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taskpanes.xml" ContentType="application/vnd.ms-office.webextensiontaskpan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Default Extension="svg" ContentType="image/svg+xml"/>
  <Override PartName="/xl/featurePropertyBag/featurePropertyBag.xml" ContentType="application/vnd.ms-excel.featurepropertybag+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Default Extension="bin" ContentType="application/vnd.openxmlformats-officedocument.spreadsheetml.printerSettings"/>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tables/table1.xml" ContentType="application/vnd.openxmlformats-officedocument.spreadsheetml.table+xml"/>
  <Override PartName="/xl/drawings/drawing8.xml" ContentType="application/vnd.openxmlformats-officedocument.drawing+xml"/>
  <Override PartName="/xl/worksheets/sheet9.xml" ContentType="application/vnd.openxmlformats-officedocument.spreadsheetml.worksheet+xml"/>
  <Override PartName="/xl/tables/table2.xml" ContentType="application/vnd.openxmlformats-officedocument.spreadsheetml.table+xml"/>
  <Override PartName="/xl/drawings/drawing9.xml" ContentType="application/vnd.openxmlformats-officedocument.drawing+xml"/>
  <Override PartName="/xl/worksheets/sheet10.xml" ContentType="application/vnd.openxmlformats-officedocument.spreadsheetml.worksheet+xml"/>
  <Override PartName="/xl/tables/table3.xml" ContentType="application/vnd.openxmlformats-officedocument.spreadsheetml.table+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queryTables/queryTable1.xml" ContentType="application/vnd.openxmlformats-officedocument.spreadsheetml.queryTable+xml"/>
  <Override PartName="/xl/tables/table10.xml" ContentType="application/vnd.openxmlformats-officedocument.spreadsheetml.table+xml"/>
  <Override PartName="/xl/queryTables/queryTable2.xml" ContentType="application/vnd.openxmlformats-officedocument.spreadsheetml.queryTable+xml"/>
  <Override PartName="/xl/tables/table11.xml" ContentType="application/vnd.openxmlformats-officedocument.spreadsheetml.table+xml"/>
  <Override PartName="/xl/drawings/drawing12.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xl/connections.xml" ContentType="application/vnd.openxmlformats-officedocument.spreadsheetml.connections+xml"/>
  <Override PartName="/xl/metadata.xml" ContentType="application/vnd.openxmlformats-officedocument.spreadsheetml.sheetMetadata+xml"/>
  <Override PartName="/xl/richData/rdRichValueTypes.xml" ContentType="application/vnd.ms-excel.rdrichvaluetypes+xml"/>
  <Override PartName="/xl/richData/rdrichvaluestructure.xml" ContentType="application/vnd.ms-excel.rdrichvaluestructure+xml"/>
  <Override PartName="/xl/richData/richValueRel.xml" ContentType="application/vnd.ms-excel.richvaluerel+xml"/>
  <Override PartName="/xl/richData/rdRichValueWebImage.xml" ContentType="application/vnd.ms-excel.rdrichvaluewebimage+xml"/>
  <Override PartName="/xl/richData/rdrichvalue.xml" ContentType="application/vnd.ms-excel.rdrichvalue+xml"/>
  <Override PartName="/xl/calcChain.xml" ContentType="application/vnd.openxmlformats-officedocument.spreadsheetml.calcChain+xml"/>
</Types>
</file>

<file path=_rels/.rels><?xml version="1.0" encoding="UTF-8" standalone="yes"?><Relationships xmlns="http://schemas.openxmlformats.org/package/2006/relationships"><Relationship Id="rId4" Type="http://schemas.openxmlformats.org/officeDocument/2006/relationships/extended-properties" Target="docProps/app.xml" /><Relationship Id="rId2" Type="http://schemas.microsoft.com/office/2011/relationships/webextensiontaskpanes" Target="xl/webextensions/taskpanes.xml" /><Relationship Id="rId3" Type="http://schemas.openxmlformats.org/package/2006/relationships/metadata/core-properties" Target="docProps/core.xml" /><Relationship Id="rId5" Type="http://schemas.openxmlformats.org/officeDocument/2006/relationships/custom-properties" Target="docProps/custom.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chang\Project Tempo\Templates for testing\"/>
    </mc:Choice>
  </mc:AlternateContent>
  <bookViews>
    <workbookView xWindow="-5550" yWindow="-21720" windowWidth="38640" windowHeight="21120" tabRatio="769" activeTab="2"/>
  </bookViews>
  <sheets>
    <sheet name="EVAL LEGEND" sheetId="109" r:id="rId4"/>
    <sheet name="Introduction" sheetId="94" r:id="rId5"/>
    <sheet name="AdjustmentReview" sheetId="95" r:id="rId6"/>
    <sheet name="PL" sheetId="16" r:id="rId7"/>
    <sheet name="BS" sheetId="22" r:id="rId8"/>
    <sheet name="CF" sheetId="23" r:id="rId9"/>
    <sheet name="KPI" sheetId="24" r:id="rId10"/>
    <sheet name="DebtOverview" sheetId="101" state="hidden" r:id="rId11"/>
    <sheet name="DebtRatio" sheetId="50" state="hidden" r:id="rId12"/>
    <sheet name="Definition" sheetId="84" state="hidden" r:id="rId13"/>
    <sheet name="AdjustmtType" sheetId="80" state="hidden" r:id="rId14"/>
    <sheet name="Feedback" sheetId="104" state="hidden" r:id="rId15"/>
    <sheet name="_CF" sheetId="100" state="hidden" r:id="rId16"/>
    <sheet name="_PL" sheetId="91" state="hidden" r:id="rId17"/>
    <sheet name="_BS" sheetId="103" state="hidden" r:id="rId18"/>
    <sheet name="Developer" sheetId="68" state="hidden" r:id="rId19"/>
    <sheet name="data-consol" sheetId="108" state="hidden" r:id="rId20"/>
  </sheets>
  <definedNames>
    <definedName name="_xlnm._FilterDatabase" localSheetId="4" hidden="1">BS!$A$19:$EL$58</definedName>
    <definedName name="_xlnm._FilterDatabase" localSheetId="8" hidden="1">DebtRatio!$BC$51:$BJ$193</definedName>
    <definedName name="_xlnm._FilterDatabase" localSheetId="3" hidden="1">PL!$A$249:$FB$293</definedName>
    <definedName name="array_displayUnit">tbl_displayUnit[UnitName]</definedName>
    <definedName name="array_timeline">_xlfn.ANCHORARRAY(Developer!$B$97)</definedName>
    <definedName name="array_typeIAdj">_xlfn.ANCHORARRAY(Developer!$B$164)</definedName>
    <definedName name="COMPANY_ENTITY_ID">PM_Support[COMPANY_ENTITY_ID]</definedName>
    <definedName name="Company_selector">_xlfn.ANCHORARRAY(Developer!$J$410)</definedName>
    <definedName name="CVC.GET">_xlfn.LAMBDA(_xlpm.EntityID,_xlpm.attribute,_xlop.Date,_xlop.Period,_xlop.Currency,_xlop.Scenario,_xlfn.LET(_xlpm.CheckBlank,SUM(_xlfn.HSTACK(_xlpm.EntityID,_xlpm.attribute,_xlpm.date,_xlpm.Period,_xlpm.Scenario)="")&gt;0,_xlpm.raw,_xldudf_CX_GET(_xlpm.EntityID,fx_attrConverter(_xlpm.attribute),_xlpm.date,_xlpm.Period,_xlpm.Currency,fx_scenarioConverter(_xlpm.Scenario)),_xlpm.process,_xlpm.raw/fxVal_normal,_xlpm.RESULT,_xlfn.SWITCH(_xlpm.raw,"Error","","","",_xlpm.process),IF(_xlpm.CheckBlank,val_blankRefText,_xlpm.RESULT)))</definedName>
    <definedName name="CVC.LOOKUP">_xlfn.LAMBDA(_xlpm.attribute,_xlpm.date,_xlop.Scenario,_xlop.Period,_xlop.NotFoundMessage,_xlfn.LET(_xlpm._period,IF(_xlfn.ISOMITTED(_xlpm.Period),"Month",TRIM(_xlpm.Period)),_xlpm.IsM,OR(_xlpm._period="M",_xlpm._period="Month",_xlpm._period="month",_xlpm._period="m"),_xlpm.df,IF(_xlpm.IsM,_xlfn.ANCHORARRAY('data-consol'!$L$11),_xlfn.ANCHORARRAY('data-consol'!$A$11)),_xlpm._nameList,_xlfn.CHOOSECOLS(_xlpm.df,3),_xlpm._attrList,_xlfn.CHOOSECOLS(_xlpm.df,2),_xlpm._scenList,_xlfn.CHOOSECOLS(_xlpm.df,4),_xlpm._dateList,TEXT(IF(_xlpm.IsM,_xlfn.ANCHORARRAY('data-consol'!$P$10),_xlfn.ANCHORARRAY('data-consol'!$E$10)),"YYYY/MM/DD"),_xlpm._data,_xlfn.DROP(_xlpm.df,,4),_xlpm._Name,TRIM(_xlpm.attribute),_xlpm._date,TEXT(_xlpm.date,"YYYY/MM/DD"),_xlpm._Scen,IF(_xlfn.ISOMITTED(_xlpm.Scenario),fx_scenarioConverter("Actual"),TRIM(_xlpm.Scenario)),_xlpm._msg,IF(_xlfn.ISOMITTED(_xlpm.NotFoundMessage),"Unkown Error",_xlpm.NotFoundMessage),_xlpm._rid,_xlfn.XMATCH(_xlpm._Name&amp;_xlpm._Scen,_xlpm._attrList&amp;_xlpm._scenList,0),_xlpm._rid2,_xlfn.XMATCH(_xlpm._Name&amp;_xlpm._Scen,_xlpm._nameList&amp;_xlpm._scenList,0),_xlpm._cid,_xlfn.XMATCH(_xlpm._date,_xlpm._dateList,0),_xlpm._dateErr,ISNUMBER(_xlpm._cid)=FALSE,_xlpm._attSceErr,ISNUMBER(_xlpm._rid)=FALSE,_xlpm._attSceNoErr,ISNUMBER(_xlpm._rid2),_xlpm._res,_xlfn.SWITCH(TRUE,_xlpm._dateErr,"Date Not Found",IFERROR(INDEX(_xlpm._data,_xlpm._rid2,_xlpm._cid),INDEX(_xlpm._data,_xlpm._rid,_xlpm._cid)),_xlpm._msg,),IFERROR(_xlpm._res,_xlpm._msg)))</definedName>
    <definedName name="CVC.LOOKUP2">_xlfn.LAMBDA(_xlpm.attribute,_xlpm.date,_xlop.Scenario,_xlop.Period,_xlop.NotFoundMessage,_xlfn.LET(_xlpm._period,IF(_xlfn.ISOMITTED(_xlpm.Period),"Month",TRIM(_xlpm.Period)),_xlpm.IsM,OR(_xlpm._period="M",_xlpm._period="Month",_xlpm._period="month",_xlpm._period="m"),_xlpm.df,IF(_xlpm.IsM,_xlfn.ANCHORARRAY('data-consol'!$L$11),_xlfn.ANCHORARRAY('data-consol'!$A$11)),_xlpm._nameList,_xlfn.CHOOSECOLS(_xlpm.df,3),_xlpm._attrList,_xlfn.CHOOSECOLS(_xlpm.df,2),_xlpm._scenList,_xlfn.CHOOSECOLS(_xlpm.df,4),_xlpm._dateList,TEXT(IF(_xlpm.IsM,_xlfn.ANCHORARRAY('data-consol'!$P$10),_xlfn.ANCHORARRAY('data-consol'!$E$10)),"YYYY/MM/DD"),_xlpm._data,_xlfn.DROP(_xlpm.df,,4),_xlpm._Name,TRIM(_xlpm.attribute),_xlpm._date,TEXT(_xlpm.date,"YYYY/MM/DD"),_xlpm._Scen,IF(_xlfn.ISOMITTED(_xlpm.Scenario),fx_scenarioConverter("Actual"),TRIM(_xlpm.Scenario)),_xlpm._msg,IF(_xlfn.ISOMITTED(_xlpm.NotFoundMessage),"Unkown Error",_xlpm.NotFoundMessage),_xlpm._rid,_xlfn.XMATCH(_xlpm._Name&amp;_xlpm._Scen,_xlpm._attrList&amp;_xlpm._scenList,0),_xlpm._rid2,_xlfn.XMATCH(_xlpm._Name&amp;_xlpm._Scen,_xlpm._nameList&amp;_xlpm._scenList,0),_xlpm._cid,_xlfn.XMATCH(_xlpm._date,_xlpm._dateList,0),_xlpm._dateErr,ISNUMBER(_xlpm._cid)=FALSE,_xlpm._attSceErr,ISNUMBER(_xlpm._rid)=FALSE,_xlpm._attSceNoErr,ISNUMBER(_xlpm._rid2),_xlpm._res,_xlfn.SWITCH(TRUE,_xlpm._dateErr,"Date Not Found",AND(_xlpm._attSceErr,_xlpm._attSceNoErr),INDEX(_xlpm._data,_xlpm._rid2,_xlpm._cid),_xlpm._attSceErr,"Attribute / Scenario Not Found",INDEX(_xlpm._data,_xlpm._rid,_xlpm._cid)),IFERROR(_xlpm._res,_xlpm._msg)))</definedName>
    <definedName name="CVC.PACK">_xlfn.LAMBDA(_xlpm.Array,_xlfn.TEXTJOIN("¶",FALSE,_xlfn.BYROW(_xlpm.Array,_xlfn.LAMBDA(_xlpm.row,_xlfn.TEXTJOIN("|",FALSE,_xlpm.row)))))</definedName>
    <definedName name="CX_ENTITY">Developer!$A$7</definedName>
    <definedName name="DATEDIFF">_xlfn.LAMBDA(_xlpm.start_date,_xlpm.end_date,_xlpm.unit,_xlfn.LET(_xlpm.yDiff,YEAR(_xlpm.end_date)-YEAR(_xlpm.start_date),_xlpm.mDiff,_xlpm.yDiff*12+MONTH(_xlpm.end_date)-MONTH(_xlpm.start_date),_xlpm.dDiff,_xlpm.end_date-_xlpm.start_date,_xlpm.RESULT,_xlfn.SWITCH(_xlpm.unit,"Y",INT(_xlpm.yDiff-(DATE(YEAR(_xlpm.end_date),MONTH(_xlpm.start_date),DAY(_xlpm.start_date))&lt;_xlpm.end_date)),"M",_xlpm.mDiff,"D",_xlpm.dDiff,"YM",MOD(_xlpm.mDiff,12),"MD",DAY(_xlpm.end_date)-DAY(_xlpm.start_date),"YD",_xlpm.end_date-DATE(YEAR(_xlpm.end_date),MONTH(_xlpm.start_date),DAY(_xlpm.start_date)),NA()),IF(_xlpm.dDiff&lt;0,NA(),_xlpm.RESULT)))</definedName>
    <definedName name="debt_ouput_replay_schedule">_xlfn.ANCHORARRAY(DebtOverview!$BZ$64)</definedName>
    <definedName name="debt_output_db">_xlfn.ANCHORARRAY(DebtOverview!$BK$67)</definedName>
    <definedName name="DebtRatio_Normal">DebtOverview!$C$8</definedName>
    <definedName name="ExternalData_1" localSheetId="15" hidden="1">Developer!$A$419:$D$635</definedName>
    <definedName name="ExternalData_2" localSheetId="15" hidden="1">Developer!$D$30:$F$31</definedName>
    <definedName name="fx_attrConverter">_xlfn.LAMBDA(_xlpm.Input,_xlop.EnablePOC,_xlpm.Input)</definedName>
    <definedName name="fx_checkComp">_xlfn.LAMBDA(_xlpm.Array,_xlfn.LET(_xlpm.GetReq,_xlfn.CHOOSEROWS(!$Z$1:$Z$300,ROW(_xlpm.Array)),_xlpm.IsReq,_xlpm.GetReq=1,_xlpm.IsOpt,_xlpm.GetReq=-1,_xlpm.R,ROWS(_xlpm.Array),_xlpm.C,COLUMNS(_xlpm.Array),_xlpm.IsUnlocked,_xlfn.MAKEARRAY(_xlpm.R,_xlpm.C,_xlfn.LAMBDA(_xlpm.i,_xlpm.j,CELL("protect",INDEX(_xlpm.Array,_xlpm.i,_xlpm.j))=0)),_xlpm.NonBlank,_xlpm.Array&lt;&gt;"",_xlpm.ReqProvided,SUM(--(_xlpm.IsReq*_xlpm.IsUnlocked*_xlpm.NonBlank)),_xlpm.ReqTotal,SUM(--_xlpm.IsReq*_xlpm.IsUnlocked),_xlpm.OptProvided,SUM(--(_xlpm.IsOpt*_xlpm.IsUnlocked*_xlpm.NonBlank)),_xlpm.OptTotal,SUM(--_xlpm.IsOpt*_xlpm.IsUnlocked),_xlpm.ReqDisplay,"R: "&amp;_xlpm.ReqProvided&amp;" / "&amp;_xlpm.ReqTotal,_xlpm.OptDisplay,"O: "&amp;_xlpm.OptProvided&amp;" / "&amp;_xlpm.OptTotal,_xlpm.Ratio,IF(AND(_xlpm.ReqTotal&gt;0,_xlpm.ReqProvided=_xlpm.ReqTotal),100,(_xlpm.ReqProvided+_xlpm.OptProvided)/(_xlpm.OptTotal+_xlpm.ReqTotal)),_xlpm.TextDisplay,IF(OR(_xlpm.ReqTotal=0,_xlpm.ReqProvided=_xlpm.ReqTotal),_xlpm.OptDisplay,_xlpm.ReqDisplay),_xlfn.VSTACK(_xlpm.Ratio,_xlpm.TextDisplay)))</definedName>
    <definedName name="fx_CXInputError">_xlfn.LAMBDA(_xlpm.x,SUM(_xlfn.MAP(TRIM(_xlfn.TEXTSPLIT(_xlfn.TEXTBEFORE(_xlfn.TEXTAFTER(_xlfn.FORMULATEXT(_xlpm.x),"CX.GET("),")"),",")),_xlfn.LAMBDA(_xlpm.x,IF(_xlpm.x="",FALSE,ISERROR(INDIRECT(_xlpm.x)))))))</definedName>
    <definedName name="fx_getFinYearEnd">_xlfn.LAMBDA(_xlpm.date,_xlop.yeMonth,_xlfn.LET(_xlpm.YE,IF(_xlfn.ISOMITTED(_xlpm.yeMonth),12,_xlpm.yeMonth),_xlpm._YE,_xlfn.SWITCH(TRUE,ISNUMBER(_xlpm.YE),_xlpm.YE,ISNUMBER(MONTH(_xlpm.YE)),MONTH(_xlpm.YE)),_xlpm.TargetDateFY,YEAR(EOMONTH(_xlpm.date,12-_xlpm._YE)),_xlpm.yearEnd,EOMONTH(DATE(_xlpm.TargetDateFY,_xlpm._YE,1),0),_xlpm.yearEnd))</definedName>
    <definedName name="fx_getIcon">_xlfn.LAMBDA(_xlpm.IconName,_xlfn.LET(_xlpm.Online,_xlfn.XLOOKUP(_xlpm.IconName,tbl_icon[Icon name],tbl_icon[Image]),_xlpm.Local,_xlfn.XLOOKUP(_xlpm.IconName,tbl_icon[Icon name],tbl_icon[local]),IF(OR(ISERROR(_xlpm.Local),_xlpm.Local=""),_xlpm.Online,_xlpm.Local)))</definedName>
    <definedName name="fx_getLTM">_xlfn.LAMBDA(_xlpm.Array,_xlpm.endDate,_xlpm.Periods,_xlfn.TAKE(_xlfn.DROP(_xlpm.Array,,_xlfn.XMATCH(_xlpm.endDate,array_timeline,0)-_xlpm.Periods),1,_xlpm.Periods))</definedName>
    <definedName name="fx_getRollingDates">_xlfn.LAMBDA(_xlpm.as_of,_xlop.fy_end,_xlop.roll_months,_xlop.n_months,_xlop.quarter_mode,_xlfn.LET(_xlpm._as,EOMONTH(_xlpm.as_of,0),_xlpm._m,IF(_xlfn.ISOMITTED(_xlpm.fy_end),12,IF(AND(ISNUMBER(_xlpm.fy_end),_xlpm.fy_end&gt;=1,_xlpm.fy_end&lt;=12),_xlpm.fy_end,MONTH(_xlpm.fy_end))),_xlpm._fye_this,EOMONTH(DATE(YEAR(_xlpm._as),_xlpm._m,1),0),_xlpm._fye_incl,IF(_xlpm._as&lt;=_xlpm._fye_this,_xlpm._fye_this,EDATE(_xlpm._fye_this,12)),_xlpm._roll,MAX(0,IF(_xlfn.ISOMITTED(_xlpm.roll_months),1,_xlpm.roll_months)),_xlpm._m2e,DATEDIF(_xlpm._as,_xlpm._fye_incl,"m"),_xlpm._base_fye,IF(_xlpm._m2e&lt;_xlpm._roll,EDATE(_xlpm._fye_incl,12),_xlpm._fye_incl),_xlpm._n,IF(_xlfn.ISOMITTED(_xlpm.n_months),49,_xlpm.n_months),_xlpm._dates,EOMONTH(_xlpm._base_fye,_xlfn.SEQUENCE(_xlpm._n,1,-(_xlpm._n-1),1)),_xlfn.TOROW(_xlpm._dates)))</definedName>
    <definedName name="fx_hasCX">_xlfn.LAMBDA(_xlpm.x,SEARCH("CX.",_xlfn.FORMULATEXT(_xlpm.x))&gt;0)</definedName>
    <definedName name="fx_ProtectPush">TRUE</definedName>
    <definedName name="fx_scenarioConverter">_xlfn.LAMBDA(_xlpm.ScenarioDisplaytext,_xlop.EnablePOC,_xlfn.LET(_xlpm.IsBlank,_xlpm.ScenarioDisplaytext="",_xlpm.IsPocOm,_xlfn.ISOMITTED(_xlpm.EnablePOC),_xlpm.EnabPOC,IF(_xlpm.IsPocOm,val_enablePOC,_xlpm.EnablePOC),_xlpm.returnCol,IF(_xlpm.EnabPOC=1,tbl_scenarioPicker[POC],tbl_scenarioPicker[Live Data]),_xlpm.RESULT,_xlfn.XLOOKUP(_xlpm.ScenarioDisplaytext,tbl_scenarioPicker[Display],_xlpm.returnCol,_xlpm.ScenarioDisplaytext),_xlpm.RESULT))</definedName>
    <definedName name="fx_SignToBin">_xlfn.LAMBDA(_xlpm.SignRange,_xlfn.LET(_xlpm.Sign,_xlpm.SignRange,_xlpm.Reverse_Sign,_xlfn.SORTBY(_xlpm.Sign,_xlfn.SEQUENCE(ROWS(_xlpm.Sign)),-1),_xlpm.Scan_Sign,_xlfn.SCAN(1,_xlpm.Reverse_Sign,_xlfn.LAMBDA(_xlpm.prev,_xlpm.curr,IF(_xlpm.prev=0,0,_xlpm.curr))),_xlpm.Scan_reverse,_xlfn.SORTBY(_xlpm.Scan_Sign,_xlfn.SEQUENCE(ROWS(_xlpm.Sign)),-1),_xlpm.Scan_reverse))</definedName>
    <definedName name="fx_trailingPeriods">_xlfn.LAMBDA(_xlpm.Periods,_xlpm.EndMonth,EOMONTH(_xlpm.EndMonth,_xlfn.SEQUENCE(1,_xlpm.Periods,-_xlpm.Periods+1,1)))</definedName>
    <definedName name="fxVal_normal" localSheetId="7">DebtOverview!$C$8</definedName>
    <definedName name="fxVal_normal">_xlfn.XLOOKUP(val_displayUnit,tbl_displayUnit[UnitName],tbl_displayUnit[Number],1)</definedName>
    <definedName name="fxVal_sign">_xlfn.LAMBDA(_xlpm.ID,1)</definedName>
    <definedName name="icon_lock">fx_getIcon("lock")</definedName>
    <definedName name="icon_unlock">fx_getIcon("unlock")</definedName>
    <definedName name="IFBLANK">_xlfn.LAMBDA(_xlpm.Primary,_xlpm.Alternative,IF(_xlpm.Primary="",_xlpm.Alternative,_xlpm.Primary))</definedName>
    <definedName name="img_cvc">Developer!$E$158</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"02/19/2025 09:12:19"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SBLANKTAB">_xlfn.LAMBDA(_xlpm.tableStr,TRIM(SUBSTITUTE(SUBSTITUTE(_xlpm.tableStr,"|",""),"¶",""))="")</definedName>
    <definedName name="loc_adjExample">AdjustmtType!$C$4</definedName>
    <definedName name="LTM">fx_trailingPeriods(12,val_asOfDate)</definedName>
    <definedName name="PACK">_xlfn.LAMBDA(_xlpm.tbl,_xlfn.TEXTJOIN("¶",FALSE,_xlfn.BYROW(_xlpm.tbl,_xlfn.LAMBDA(_xlpm.row,_xlfn.TEXTJOIN("|",FALSE,_xlpm.row)))))</definedName>
    <definedName name="pqToday">pquery_today[Date]</definedName>
    <definedName name="_xlnm.Print_Area" localSheetId="14">_BS!$W$19:$CF$89</definedName>
    <definedName name="_xlnm.Print_Area" localSheetId="13">_PL!$A$1:$CV$199</definedName>
    <definedName name="_xlnm.Print_Area" localSheetId="4">BS!$W$19:$CF$88</definedName>
    <definedName name="_xlnm.Print_Area" localSheetId="5">CF!$Q$20:$CN$63</definedName>
    <definedName name="_xlnm.Print_Area" localSheetId="7">DebtOverview!$AE$3:$AU$223</definedName>
    <definedName name="_xlnm.Print_Area" localSheetId="8">DebtRatio!$R$2:$AK$200</definedName>
    <definedName name="_xlnm.Print_Area" localSheetId="9">Definition!$A$8:$H$117</definedName>
    <definedName name="_xlnm.Print_Area" localSheetId="6">KPI!$T$9:$BL$72</definedName>
    <definedName name="_xlnm.Print_Area" localSheetId="3">PL!$N$3:$CN$247</definedName>
    <definedName name="_xlnm.Print_Titles" localSheetId="13">_PL!$W:$Z,_PL!$11:$12</definedName>
    <definedName name="_xlnm.Print_Titles" localSheetId="7">DebtOverview!$3:$6</definedName>
    <definedName name="_xlnm.Print_Titles" localSheetId="8">DebtRatio!$3:$5</definedName>
    <definedName name="_xlnm.Print_Titles" localSheetId="3">PL!$W:$AC,PL!$3:$11</definedName>
    <definedName name="protectStatus">"!$O$4"</definedName>
    <definedName name="REMOVEBLANK">_xlfn.LAMBDA(_xlpm.Array,_xlfn.LET(_xlpm.TrimRng,_xlfn.TRIMRANGE(_xlpm.Array),_xlpm.IsBlank,ISBLANK(_xlpm.TrimRng),_xlpm.BlankRow,_xlfn.BYROW(_xlpm.IsBlank,_xleta.AND),_xlpm.blankCol,_xlfn.BYCOL(_xlpm.IsBlank,_xleta.AND),_xlpm.RESULT,_xlfn._xlws.FILTER(_xlfn._xlws.FILTER(_xlpm.TrimRng,NOT(_xlpm.BlankRow)),NOT(_xlpm.blankCol)),_xlpm.RESULT))</definedName>
    <definedName name="reportingdate">Developer!$R$2</definedName>
    <definedName name="TODECIMAL">_xlfn.LAMBDA(_xlpm.Input,_xlop.NormaliseFactor,_xlfn.LET(_xlpm.Norm,IF(_xlfn.ISOMITTED(_xlpm.NormaliseFactor),1,_xlpm.NormaliseFactor),IF(ISNUMBER(_xlpm.Input),_xlpm.Input/_xlpm.Norm,_xlpm.Input)))</definedName>
    <definedName name="UNPACK">_xlfn.LAMBDA(_xlpm.CXReturn,_xlfn.LET(_xlpm.Res,IF(_xlpm.CXReturn="","",_xlfn.TEXTSPLIT(_xlpm.CXReturn,"|","¶",FALSE)),IFERROR(_xlfn.NUMBERVALUE(_xlpm.Res),_xlpm.Res)))</definedName>
    <definedName name="UNPACK_ROW">_xlfn.LAMBDA(_xlpm.PackedString,_xlpm.Nth,IF(_xlpm.PackedString="","",IF(ISNUMBER(SEARCH("|",_xlpm.PackedString)),INDEX(_xlfn.TEXTSPLIT(_xlpm.PackedString,"|",,FALSE),_xlpm.Nth),_xlpm.PackedString)))</definedName>
    <definedName name="UNPIVOT">_xlfn.LAMBDA(_xlpm.Col_Header,_xlpm.Row_Header,_xlpm.Data,_xlfn.LET(_xlpm.Col_Header_count,COLUMNS(_xlpm.Col_Header),_xlpm.Row_Header_Count,ROWS(_xlpm.Row_Header),_xlpm.DataCol,_xlfn.TOCOL(_xlpm.Data),_xlpm.ID,_xlfn.SEQUENCE(ROWS(_xlpm.DataCol),1,0,1),_xlpm.R_ID,MOD(_xlfn.SEQUENCE(ROWS(_xlpm.DataCol),1,0,1),_xlpm.Col_Header_count)+1,_xlpm.C_ID,QUOTIENT(_xlfn.SEQUENCE(ROWS(_xlpm.DataCol),1,0,1),_xlpm.Col_Header_count)+1,_xlpm.RH,_xlfn.CHOOSEROWS(_xlpm.Row_Header,_xlpm.C_ID),_xlpm.CH,_xlfn.CHOOSEROWS(TRANSPOSE(_xlpm.Col_Header),_xlpm.R_ID),_xlfn.HSTACK(_xlpm.RH,_xlpm.CH,_xlpm.DataCol)))</definedName>
    <definedName name="val_asOfDate">PL!$AG$6</definedName>
    <definedName name="val_blankRefText">_PL!$S$12</definedName>
    <definedName name="val_company">Developer!$A$8</definedName>
    <definedName name="val_currentFYE" comment="=LAMBDA(date,financialYearEndMonth,LET( fdate,EOMONTH(date,12-financialYearEndMonth), yearEnd,EOMONTH(DATE(YEAR(fdate),financialYearEndMonth,1),0),yearEnd ) )(val_asOfDate, MONTH(CX.GET(CX_ENTITY, &quot;fiscal_year_end&quot;)))">_PL!$AK$6</definedName>
    <definedName name="val_displayUnit">PL!$AL$6</definedName>
    <definedName name="val_enablePOC">Developer!$A$11</definedName>
    <definedName name="val_priorQtrEnd">_xlfn.LET(_xlpm.GetQtr,_xlfn.LAMBDA(_xlpm.date,EOMONTH(_xlpm.date,3-ROUNDUP(MONTH(_xlpm.date)/3,0)+1)),EOMONTH(_xlpm.GetQtr(val_asOfDate),-3))</definedName>
    <definedName name="val_reportingCurrency">_PL!$AM$6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94" l="1"/>
</calcChain>
</file>

<file path=xl/connections.xml><?xml version="1.0" encoding="utf-8"?>
<connections xmlns="http://schemas.openxmlformats.org/spreadsheetml/2006/main" xmlns:mc="http://schemas.openxmlformats.org/spreadsheetml/2006/main" xmlns:xr16="http://schemas.microsoft.com/office/spreadsheetml/2017/revision16" mc:Ignorable="xr16">
  <connection id="1" keepAlive="1" name="Query - PM Support" description="Connection to the 'PM Support' query in the workbook." type="5" refreshedVersion="8" background="1" refreshOnLoad="1" saveData="1">
    <dbPr connection="Provider=Microsoft.Mashup.OleDb.1;Data Source=$Workbook$;Location=&quot;PM Support&quot;;Extended Properties=&quot;&quot;" command="SELECT * FROM [PM Support]"/>
  </connection>
  <connection id="2" keepAlive="1" interval="30" name="Query - pquery_today" description="Connection to the 'pquery_today' query in the workbook." type="5" refreshedVersion="8" background="1" refreshOnLoad="1" saveData="1">
    <dbPr connection="Provider=Microsoft.Mashup.OleDb.1;Data Source=$Workbook$;Location=pquery_today;Extended Properties=&quot;&quot;" command="SELECT * FROM [pquery_today]"/>
  </connection>
</connections>
</file>

<file path=xl/metadata.xml><?xml version="1.0" encoding="utf-8"?>
<metadata xmlns="http://schemas.openxmlformats.org/spreadsheetml/2006/main" xmlns:xda="http://schemas.microsoft.com/office/spreadsheetml/2017/dynamicarray" xmlns:xlrd="http://schemas.microsoft.com/office/spreadsheetml/2017/richdata">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futureMetadata>
  <cellMetadata count="1">
    <bk>
      <rc t="1" v="0"/>
    </bk>
  </cellMetadata>
  <valueMetadata count="4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valueMetadata>
</metadata>
</file>

<file path=xl/sharedStrings.xml><?xml version="1.0" encoding="utf-8"?>
<sst xmlns="http://schemas.openxmlformats.org/spreadsheetml/2006/main" count="4998" uniqueCount="2224">
  <si>
    <t>Introduction to the Monthly Flash Sheets</t>
  </si>
  <si>
    <t>Introduction</t>
  </si>
  <si>
    <t xml:space="preserve"> Core Financial Data Collection</t>
  </si>
  <si>
    <t>Key Performance Indicators (KPIs)</t>
  </si>
  <si>
    <t>Debt Analysis Section</t>
  </si>
  <si>
    <t>DO NOT SKIP</t>
  </si>
  <si>
    <t>Flash Data</t>
  </si>
  <si>
    <t>Like-for-Like Adjustments Review</t>
  </si>
  <si>
    <t>Perimeter changes distort year-over-year comparisons. LFL adjustments hold the perimeter constant so you compare the same businesses across periods—either by:
&gt; Excluding acquired/disposed contributions in the comparison window, or
&gt; Restating the base period on a pro-forma basis to simulate today’s perimeter.</t>
  </si>
  <si>
    <r>
      <rPr>
        <b/>
        <sz val="14"/>
        <color theme="4" tint="0.399980008602142"/>
        <rFont val="Arial"/>
        <family val="2"/>
        <scheme val="minor"/>
      </rPr>
      <t xml:space="preserve">Example. </t>
    </r>
    <r>
      <rPr>
        <sz val="14"/>
        <color theme="1"/>
        <rFont val="Arial"/>
        <family val="2"/>
        <scheme val="minor"/>
      </rPr>
      <t>If we bought a business in May, we will add last year’s May–Dec sales as if we’d owned it then. Either way, we’re comparing the same footprint across both years.</t>
    </r>
  </si>
  <si>
    <t>Past FY</t>
  </si>
  <si>
    <t>FY Ending</t>
  </si>
  <si>
    <t>FY Starting</t>
  </si>
  <si>
    <t>Branch</t>
  </si>
  <si>
    <t>Metric</t>
  </si>
  <si>
    <t>NO</t>
  </si>
  <si>
    <t>Top Line</t>
  </si>
  <si>
    <t>Earning</t>
  </si>
  <si>
    <t>Valuation</t>
  </si>
  <si>
    <t>YES</t>
  </si>
  <si>
    <t>Example 1: Deal closed in May 2025, not reflected in the FY2025 Budget.</t>
  </si>
  <si>
    <t>Example 2: Portfolio company budgeting a perimeter change for an add-on expected to happen during the year, not yet closed.</t>
  </si>
  <si>
    <t>L</t>
  </si>
  <si>
    <t>USER GUIDE</t>
  </si>
  <si>
    <t>Template Version Push</t>
  </si>
  <si>
    <t>Worksheet Completion Guidance</t>
  </si>
  <si>
    <t>Profit and Loss (OpCo)</t>
  </si>
  <si>
    <t>As of Date</t>
  </si>
  <si>
    <t>Fiscal Year End</t>
  </si>
  <si>
    <t>Current FYE</t>
  </si>
  <si>
    <t>Unit</t>
  </si>
  <si>
    <t>Currency</t>
  </si>
  <si>
    <t>Hide grouping to minimise</t>
  </si>
  <si>
    <t>Millions</t>
  </si>
  <si>
    <t xml:space="preserve">Annual Summary </t>
  </si>
  <si>
    <t>Forward Looking Data Collection</t>
  </si>
  <si>
    <t>Developer Console</t>
  </si>
  <si>
    <t>Colour</t>
  </si>
  <si>
    <t>Format</t>
  </si>
  <si>
    <t>Unpivot</t>
  </si>
  <si>
    <t>Push?</t>
  </si>
  <si>
    <t>Full Financial Year</t>
  </si>
  <si>
    <t>Financial Year To Date</t>
  </si>
  <si>
    <t>Last 12 Months</t>
  </si>
  <si>
    <t>Current FY</t>
  </si>
  <si>
    <t>Next FY</t>
  </si>
  <si>
    <t>PUSH NOTICE</t>
  </si>
  <si>
    <t>Financial Period Ending</t>
  </si>
  <si>
    <t xml:space="preserve">As part of process, the push operation should push Field values to CX against the folloiwng parameters Task month (as of date) and the month following. 
</t>
  </si>
  <si>
    <t>Input (White shading, black font)</t>
  </si>
  <si>
    <t>Refer to the definitions in columns X–Y for all mandatory fields.</t>
  </si>
  <si>
    <t>Dropdown</t>
  </si>
  <si>
    <t>Required</t>
  </si>
  <si>
    <t>Financial Period</t>
  </si>
  <si>
    <t>LTM</t>
  </si>
  <si>
    <t xml:space="preserve">As 
</t>
  </si>
  <si>
    <t>2-blue</t>
  </si>
  <si>
    <t>1 num</t>
  </si>
  <si>
    <t xml:space="preserve"> 1 Req, 0 Opt, -1 Auto</t>
  </si>
  <si>
    <t>Formula (Off-blue shading, blue font)</t>
  </si>
  <si>
    <t>Summary type of formula</t>
  </si>
  <si>
    <t>Sign</t>
  </si>
  <si>
    <t>a</t>
  </si>
  <si>
    <t>Optional</t>
  </si>
  <si>
    <t>Months prior</t>
  </si>
  <si>
    <t>FY</t>
  </si>
  <si>
    <t>Show Unprotected Cell</t>
  </si>
  <si>
    <t>Modify with caution!</t>
  </si>
  <si>
    <t>2 pct</t>
  </si>
  <si>
    <t>Blank - not upload</t>
  </si>
  <si>
    <t>Formula (Grey shading, black font)</t>
  </si>
  <si>
    <t>Prefilled formula</t>
  </si>
  <si>
    <t>Total/Ref</t>
  </si>
  <si>
    <t>Calculated</t>
  </si>
  <si>
    <t>Period Type</t>
  </si>
  <si>
    <t>Month</t>
  </si>
  <si>
    <t>FYTD</t>
  </si>
  <si>
    <t>Column below used for filtering dropdown in segments</t>
  </si>
  <si>
    <t>3 date</t>
  </si>
  <si>
    <t>(Icon Only) Suggesting Definition for the term is available</t>
  </si>
  <si>
    <t>Conditional formatting</t>
  </si>
  <si>
    <t>Monthly P&amp;L</t>
  </si>
  <si>
    <t>[Required]</t>
  </si>
  <si>
    <t>Completion Indicator</t>
  </si>
  <si>
    <t>Type: Completed / Total</t>
  </si>
  <si>
    <t>Metric Attribute</t>
  </si>
  <si>
    <t>Field Attribute</t>
  </si>
  <si>
    <t>Utility Column (Prefilled Text) - Please ignore</t>
  </si>
  <si>
    <t>TOTAL</t>
  </si>
  <si>
    <t>NOT BLANK</t>
  </si>
  <si>
    <t>TYPE</t>
  </si>
  <si>
    <t>BgFill</t>
  </si>
  <si>
    <t>Fmt</t>
  </si>
  <si>
    <t>To Push</t>
  </si>
  <si>
    <t>Scenario</t>
  </si>
  <si>
    <t>CVC Standard P&amp;L A/C</t>
  </si>
  <si>
    <t>F</t>
  </si>
  <si>
    <t>Please select or type in or leave as blank (1)</t>
  </si>
  <si>
    <t>Please select or type in or leave as blank (2)</t>
  </si>
  <si>
    <t>Please select or type in or leave as blank (3)</t>
  </si>
  <si>
    <t>Please select or type in or leave as blank (4)</t>
  </si>
  <si>
    <t>Please select or type in or leave as blank (5)</t>
  </si>
  <si>
    <t>Please select or type in or leave as blank (6)</t>
  </si>
  <si>
    <t>Actual</t>
  </si>
  <si>
    <t>Key P&amp;L Metrics (Manual Input)</t>
  </si>
  <si>
    <t>Key P&amp;L Metrics (Automatic calculation)</t>
  </si>
  <si>
    <t xml:space="preserve">Budget </t>
  </si>
  <si>
    <t>Financial Preiod Ending</t>
  </si>
  <si>
    <t>Top Line Breakdown</t>
  </si>
  <si>
    <t>Year to Date</t>
  </si>
  <si>
    <t>Top Line Organic Growth</t>
  </si>
  <si>
    <t>Breakdown</t>
  </si>
  <si>
    <t>C</t>
  </si>
  <si>
    <t>Please select your Top Line Metric</t>
  </si>
  <si>
    <t>o/w Organic Volume Growth - LTM</t>
  </si>
  <si>
    <t>Check Total</t>
  </si>
  <si>
    <t>Like-for-Like Adjustments (Current Perimeter)</t>
  </si>
  <si>
    <t>Top Line Metric</t>
  </si>
  <si>
    <t>Adjustment Steps</t>
  </si>
  <si>
    <t>Revenue Top Line Amount</t>
  </si>
  <si>
    <t>Annual Adjustment Only - Remove change perimeter adjustment in budget for deal not closed yet</t>
  </si>
  <si>
    <t>Annual Adjustment Only - Add change perimeter adjustment in budget for deal Closed but not included in budget</t>
  </si>
  <si>
    <t>Lfl Revenue Adjustment - Amount 3</t>
  </si>
  <si>
    <t>Select, enter text or leave as blank.</t>
  </si>
  <si>
    <t>Lfl Revenue Adjustment - Amount 4</t>
  </si>
  <si>
    <t>Don't forget Annual Budget section!</t>
  </si>
  <si>
    <t>Lfl Revenue Adjustment - Amount 5</t>
  </si>
  <si>
    <t>Lfl Revenue Adjustment - Amount 6</t>
  </si>
  <si>
    <t>Lfl Revenue Amount</t>
  </si>
  <si>
    <t>Please name your Like-for-Like Revenue</t>
  </si>
  <si>
    <t>Like-for-Like Revenue</t>
  </si>
  <si>
    <r>
      <t>Earning Metric</t>
    </r>
    <r>
      <rPr>
        <b/>
        <sz val="16"/>
        <rFont val="Arial"/>
        <family val="2"/>
        <scheme val="minor"/>
      </rPr>
      <t xml:space="preserve"> </t>
    </r>
    <r>
      <rPr>
        <sz val="16"/>
        <rFont val="Arial"/>
        <family val="2"/>
        <scheme val="minor"/>
      </rPr>
      <t>(i.e. Adjusted EBITDA)</t>
    </r>
  </si>
  <si>
    <t>Earning Metric Amount</t>
  </si>
  <si>
    <t>Please select your Earning Metric</t>
  </si>
  <si>
    <t>Annual Adjustment Only - Remove change perimeter adjustment in budget for deal not closed yet (Earning)</t>
  </si>
  <si>
    <t>Annual Adjustment Only - Add change perimeter adjustment in budget for deal Closed but not included in budget (Earning)</t>
  </si>
  <si>
    <t>Earning Metric Adjustment Type II - Amount 3</t>
  </si>
  <si>
    <t>Earning Metric Adjustment Type II - Amount 4</t>
  </si>
  <si>
    <t>Earning Metric Adjustment Type II - Amount 5</t>
  </si>
  <si>
    <t>Earning Metric Adjustment Type II - Amount 6</t>
  </si>
  <si>
    <t>Adjusted Earning Amount</t>
  </si>
  <si>
    <t>Please name your Like-for-like Earning Metric</t>
  </si>
  <si>
    <t>Adjusted Earning</t>
  </si>
  <si>
    <t>Valuation Metric</t>
  </si>
  <si>
    <t>Valuation Metric Amount</t>
  </si>
  <si>
    <t>Please select your Valuation Metric</t>
  </si>
  <si>
    <t>Annual Adjustment Only - Remove change perimeter adjustment in budget for deal not closed yet (Valuation)</t>
  </si>
  <si>
    <t>Annual Adjustment Only - Add change perimeter adjustment in budget for deal Closed but not included in budget (Valuation)</t>
  </si>
  <si>
    <t>Valuation Metric Adjustment Type II - Amount 3</t>
  </si>
  <si>
    <t>Valuation Metric Adjustment Type II - Amount 4</t>
  </si>
  <si>
    <t>Valuation Metric Adjustment Type II - Amount 5</t>
  </si>
  <si>
    <t>Valuation Metric Adjustment Type II - Amount 6</t>
  </si>
  <si>
    <t>Adjusted Valuation Amount</t>
  </si>
  <si>
    <t>Please name your Like-for-like Valuation Metric</t>
  </si>
  <si>
    <t>Segment Analysis</t>
  </si>
  <si>
    <t>Select</t>
  </si>
  <si>
    <t>Untitled Segmentation I</t>
  </si>
  <si>
    <t>[Optional]</t>
  </si>
  <si>
    <t>Segment I Scenario</t>
  </si>
  <si>
    <t>Segments Structure</t>
  </si>
  <si>
    <t>Please select the metric for segmentation</t>
  </si>
  <si>
    <t>Segment I Breakdown - Amount 1</t>
  </si>
  <si>
    <t>Segment I Breakdown - Amount 2</t>
  </si>
  <si>
    <t>Segment I Breakdown - Amount 3</t>
  </si>
  <si>
    <t>Segment I Breakdown - Amount 4</t>
  </si>
  <si>
    <t>Segment I Breakdown - Amount 5</t>
  </si>
  <si>
    <t>Segment I Breakdown - Amount 6</t>
  </si>
  <si>
    <t>Check Sum</t>
  </si>
  <si>
    <t>▾Select</t>
  </si>
  <si>
    <t>Untitled Segmentation II</t>
  </si>
  <si>
    <t>Segment II Scenario</t>
  </si>
  <si>
    <t>Segment II Breakdown - Amount 1</t>
  </si>
  <si>
    <t>Segment II Breakdown - Amount 2</t>
  </si>
  <si>
    <t>Segment II Breakdown - Amount 3</t>
  </si>
  <si>
    <t>Segment II Breakdown - Amount 4</t>
  </si>
  <si>
    <t>Segment II Breakdown - Amount 5</t>
  </si>
  <si>
    <t>Segment II Breakdown - Amount 6</t>
  </si>
  <si>
    <t>Untitled Segmentation III</t>
  </si>
  <si>
    <t>Segment III Scenario</t>
  </si>
  <si>
    <t>Segment III Breakdown - Amount 1</t>
  </si>
  <si>
    <t>Segment III Breakdown - Amount 2</t>
  </si>
  <si>
    <t>Segment III Breakdown - Amount 3</t>
  </si>
  <si>
    <t>Segment III Breakdown - Amount 4</t>
  </si>
  <si>
    <t>Segment III Breakdown - Amount 5</t>
  </si>
  <si>
    <t>Segment III Breakdown - Amount 6</t>
  </si>
  <si>
    <t>Untitled Segmentation IV</t>
  </si>
  <si>
    <t>Segment IV Scenario</t>
  </si>
  <si>
    <t>Segment IV Breakdown - Amount 1</t>
  </si>
  <si>
    <t>Segment IV Breakdown - Amount 2</t>
  </si>
  <si>
    <t>Segment IV Breakdown - Amount 3</t>
  </si>
  <si>
    <t>Segment IV Breakdown - Amount 4</t>
  </si>
  <si>
    <t>Segment IV Breakdown - Amount 5</t>
  </si>
  <si>
    <t>Segment IV Breakdown - Amount 6</t>
  </si>
  <si>
    <t>c</t>
  </si>
  <si>
    <t>Calculation Definition</t>
  </si>
  <si>
    <t xml:space="preserve">Selectable for Actual </t>
  </si>
  <si>
    <t>Selectable for Budget</t>
  </si>
  <si>
    <t>Actual*</t>
  </si>
  <si>
    <t>Custom Metric 1 - Calculation (Actual)</t>
  </si>
  <si>
    <t>Note</t>
  </si>
  <si>
    <t>Adjusted EBITDA</t>
  </si>
  <si>
    <t>Adjusted EBITDAC</t>
  </si>
  <si>
    <t>Budget*</t>
  </si>
  <si>
    <t>Custom Metric 1 - Calculation (Budget)</t>
  </si>
  <si>
    <t>Custom Metric 2 - Calculation (Actual)</t>
  </si>
  <si>
    <t>Adjusted EBITDAX</t>
  </si>
  <si>
    <t>Custom Metric 2 - Calculation (Budget)</t>
  </si>
  <si>
    <t>Custom Metric 3 - Calculation (Actual)</t>
  </si>
  <si>
    <t>Reported EBITDA</t>
  </si>
  <si>
    <t>Reported EBIT</t>
  </si>
  <si>
    <t>Adjusted EBIT</t>
  </si>
  <si>
    <t>Custom Metric 3 - Calculation (Budget)</t>
  </si>
  <si>
    <t>Custom Metric 4 - Calculation (Actual)</t>
  </si>
  <si>
    <t>Please select a metric to start</t>
  </si>
  <si>
    <t xml:space="preserve">Please select suitable scenarios and signs </t>
  </si>
  <si>
    <t>Please name your custom metric</t>
  </si>
  <si>
    <t>Custom Metric 4 - Calculation (Budget)</t>
  </si>
  <si>
    <t>Custom Metric 5 - Calculation (Actual)</t>
  </si>
  <si>
    <t>Custom Metric 5 - Calculation (Budget)</t>
  </si>
  <si>
    <t>$L$1:$BX$93</t>
  </si>
  <si>
    <t>Balance Sheet (OpCo)</t>
  </si>
  <si>
    <t>Section Objectives</t>
  </si>
  <si>
    <t xml:space="preserve"> Current FY</t>
  </si>
  <si>
    <t>Assistance</t>
  </si>
  <si>
    <t>Completion</t>
  </si>
  <si>
    <t>As of</t>
  </si>
  <si>
    <t>Monthly Balance Sheet</t>
  </si>
  <si>
    <t>CVC Internal Account</t>
  </si>
  <si>
    <t>f</t>
  </si>
  <si>
    <t>l</t>
  </si>
  <si>
    <t>Financial Calendar Month</t>
  </si>
  <si>
    <t>Budget</t>
  </si>
  <si>
    <t>$L$1:$CD$66</t>
  </si>
  <si>
    <t>Cash Flow (OpCo)</t>
  </si>
  <si>
    <t>Company</t>
  </si>
  <si>
    <t>Display Unit</t>
  </si>
  <si>
    <t>Check Suspecious Cell Reference</t>
  </si>
  <si>
    <t>Monthly Cash Flow</t>
  </si>
  <si>
    <t>Non-Cash Adjustments</t>
  </si>
  <si>
    <t>(Increase)/Decrease in NWC</t>
  </si>
  <si>
    <t>Other Operating Cash Flows</t>
  </si>
  <si>
    <t>Operating Cash Flow</t>
  </si>
  <si>
    <t>Cash Tax</t>
  </si>
  <si>
    <t>Capex</t>
  </si>
  <si>
    <t>Exceptional/VCP/One-off Cash Flows</t>
  </si>
  <si>
    <t>UnLevered Free Cash Flow (UFCF)</t>
  </si>
  <si>
    <t>Cash Interest Expense (CIE)</t>
  </si>
  <si>
    <t>Principal Repayments</t>
  </si>
  <si>
    <t>Levered Free Cash Flow (LFCF)</t>
  </si>
  <si>
    <t>Financing Proceeds</t>
  </si>
  <si>
    <t>M&amp;A</t>
  </si>
  <si>
    <t>Dividend payments</t>
  </si>
  <si>
    <t>Other Financing Cash Flows</t>
  </si>
  <si>
    <t>Unreconciled Cash Flows</t>
  </si>
  <si>
    <t>Net Cash Flow</t>
  </si>
  <si>
    <t>K</t>
  </si>
  <si>
    <t>$L$1:$BS$52</t>
  </si>
  <si>
    <t> </t>
  </si>
  <si>
    <t>KPIs (OpCo)</t>
  </si>
  <si>
    <t>Integer</t>
  </si>
  <si>
    <t>_(#,##0_);(###0); _(0_)</t>
  </si>
  <si>
    <t>Step 1: Align on objectives</t>
  </si>
  <si>
    <t>Monthly Reported KPIs</t>
  </si>
  <si>
    <t>Formatting</t>
  </si>
  <si>
    <t>Code</t>
  </si>
  <si>
    <t>Formula Example</t>
  </si>
  <si>
    <t>Please report all currency KPIs in the same unit (e.g.  Millions, Thousands) as used in the PL sheet for consistency between data sets.</t>
  </si>
  <si>
    <t>In case of acquisitions and other large perimeter changes, please realign (overwrite) the past KPIs values.</t>
  </si>
  <si>
    <t>Date</t>
  </si>
  <si>
    <t>mmm-yy</t>
  </si>
  <si>
    <t>If historical values of each KPI before the start of current financial year are not available, Please leave them as blank, and start your series from the start of current financial year.</t>
  </si>
  <si>
    <t>Decimal</t>
  </si>
  <si>
    <t>_(#,##0.0_);(###0); _(0.0_)</t>
  </si>
  <si>
    <t xml:space="preserve">For Segmental Reporting, please use the KPI title to capture the segments. </t>
  </si>
  <si>
    <t>Percentage</t>
  </si>
  <si>
    <t>_(0.0%_); (0.0%); _(0.0%_)</t>
  </si>
  <si>
    <t>Step 2: Determine Scope of KPIs</t>
  </si>
  <si>
    <t>Title</t>
  </si>
  <si>
    <t>Time Period</t>
  </si>
  <si>
    <t>Data Type</t>
  </si>
  <si>
    <t>Comparison Period</t>
  </si>
  <si>
    <t>Roll Up Method</t>
  </si>
  <si>
    <t>Binary</t>
  </si>
  <si>
    <t>TRUE;; FALSE</t>
  </si>
  <si>
    <t>Multiple</t>
  </si>
  <si>
    <t>_(0.0x_); (0.0x); _(0.0x_)</t>
  </si>
  <si>
    <t>&gt;&gt;</t>
  </si>
  <si>
    <t>Options &gt;&gt;</t>
  </si>
  <si>
    <t>Please select</t>
  </si>
  <si>
    <t>As of (Point in Time)</t>
  </si>
  <si>
    <t>Current vs Previous Month</t>
  </si>
  <si>
    <t>Sum</t>
  </si>
  <si>
    <t>Current Month</t>
  </si>
  <si>
    <t>Current vs 2 Months Ago</t>
  </si>
  <si>
    <t>Last Value</t>
  </si>
  <si>
    <t>Current Quarter to Date</t>
  </si>
  <si>
    <t>Current vs 3 Months Ago</t>
  </si>
  <si>
    <t>First Value</t>
  </si>
  <si>
    <t>Calendar Year to Date</t>
  </si>
  <si>
    <t>Current vs Same Period Last Year</t>
  </si>
  <si>
    <t>Average (Mean)</t>
  </si>
  <si>
    <t>Financial Year to Date</t>
  </si>
  <si>
    <t>Current vs Previous Full Year</t>
  </si>
  <si>
    <t>Max/Min</t>
  </si>
  <si>
    <t>L3M (Trailing)</t>
  </si>
  <si>
    <t>No comparison required</t>
  </si>
  <si>
    <t>Medium</t>
  </si>
  <si>
    <t>LTM (Rolling)</t>
  </si>
  <si>
    <t>Ratio</t>
  </si>
  <si>
    <t>Last Calendar Year</t>
  </si>
  <si>
    <t>Count</t>
  </si>
  <si>
    <t>Last Financial Year</t>
  </si>
  <si>
    <t>Cannot roll-up</t>
  </si>
  <si>
    <t>Shading</t>
  </si>
  <si>
    <t>Example1</t>
  </si>
  <si>
    <t>ARR (12 month rolling sum) (£m)</t>
  </si>
  <si>
    <t>KPI Label 1</t>
  </si>
  <si>
    <t>Monthly KPI Item 1</t>
  </si>
  <si>
    <t>KPI Collect Period 1</t>
  </si>
  <si>
    <t>KPI Data Type 1</t>
  </si>
  <si>
    <t>KPI Value 1</t>
  </si>
  <si>
    <t>KPI Comparison 1</t>
  </si>
  <si>
    <t>KPI Roll Up 1</t>
  </si>
  <si>
    <t>Step 3: Identify Frequency &amp; Data Format</t>
  </si>
  <si>
    <t>KPI Label 2</t>
  </si>
  <si>
    <t>Monthly KPI Item 2</t>
  </si>
  <si>
    <t>KPI Collect Period 2</t>
  </si>
  <si>
    <t>KPI Data Type 2</t>
  </si>
  <si>
    <t>KPI Value 2</t>
  </si>
  <si>
    <t>KPI Comparison 2</t>
  </si>
  <si>
    <t>KPI Roll Up 2</t>
  </si>
  <si>
    <t>KPI Label 3</t>
  </si>
  <si>
    <t>Monthly KPI Item 3</t>
  </si>
  <si>
    <t>KPI Collect Period 3</t>
  </si>
  <si>
    <t>KPI Data Type 3</t>
  </si>
  <si>
    <t>KPI Value 3</t>
  </si>
  <si>
    <t>KPI Comparison 3</t>
  </si>
  <si>
    <t>KPI Roll Up 3</t>
  </si>
  <si>
    <t>KPI Label 4</t>
  </si>
  <si>
    <t>Monthly KPI Item 4</t>
  </si>
  <si>
    <t>KPI Collect Period 4</t>
  </si>
  <si>
    <t>KPI Data Type 4</t>
  </si>
  <si>
    <t>KPI Value 4</t>
  </si>
  <si>
    <t>KPI Comparison 4</t>
  </si>
  <si>
    <t>KPI Roll Up 4</t>
  </si>
  <si>
    <t>KPI Label 5</t>
  </si>
  <si>
    <t>Monthly KPI Item 5</t>
  </si>
  <si>
    <t>KPI Collect Period 5</t>
  </si>
  <si>
    <t>KPI Data Type 5</t>
  </si>
  <si>
    <t>KPI Value 5</t>
  </si>
  <si>
    <t>KPI Comparison 5</t>
  </si>
  <si>
    <t>KPI Roll Up 5</t>
  </si>
  <si>
    <t>KPI Label 6</t>
  </si>
  <si>
    <t>Monthly KPI Item 6</t>
  </si>
  <si>
    <t>KPI Collect Period 6</t>
  </si>
  <si>
    <t>KPI Data Type 6</t>
  </si>
  <si>
    <t>KPI Value 6</t>
  </si>
  <si>
    <t>KPI Comparison 6</t>
  </si>
  <si>
    <t>KPI Roll Up 6</t>
  </si>
  <si>
    <t>KPI Label 7</t>
  </si>
  <si>
    <t>Monthly KPI Item 7</t>
  </si>
  <si>
    <t>KPI Collect Period 7</t>
  </si>
  <si>
    <t>KPI Data Type 7</t>
  </si>
  <si>
    <t>KPI Value 7</t>
  </si>
  <si>
    <t>KPI Comparison 7</t>
  </si>
  <si>
    <t>KPI Roll Up 7</t>
  </si>
  <si>
    <t>KPI Label 8</t>
  </si>
  <si>
    <t>Monthly KPI Item 8</t>
  </si>
  <si>
    <t>KPI Collect Period 8</t>
  </si>
  <si>
    <t>KPI Data Type 8</t>
  </si>
  <si>
    <t>KPI Value 8</t>
  </si>
  <si>
    <t>KPI Comparison 8</t>
  </si>
  <si>
    <t>KPI Roll Up 8</t>
  </si>
  <si>
    <t>KPI Label 9</t>
  </si>
  <si>
    <t>Monthly KPI Item 9</t>
  </si>
  <si>
    <t>KPI Collect Period 9</t>
  </si>
  <si>
    <t>KPI Data Type 9</t>
  </si>
  <si>
    <t>KPI Value 9</t>
  </si>
  <si>
    <t>KPI Comparison 9</t>
  </si>
  <si>
    <t>KPI Roll Up 9</t>
  </si>
  <si>
    <t>Other Important Notes</t>
  </si>
  <si>
    <t>KPI Label 10</t>
  </si>
  <si>
    <t>Monthly KPI Item 10</t>
  </si>
  <si>
    <t>KPI Collect Period 10</t>
  </si>
  <si>
    <t>KPI Data Type 10</t>
  </si>
  <si>
    <t>KPI Value 10</t>
  </si>
  <si>
    <t>KPI Comparison 10</t>
  </si>
  <si>
    <t>KPI Roll Up 10</t>
  </si>
  <si>
    <t>KPI Label 11</t>
  </si>
  <si>
    <t>Monthly KPI Item 11</t>
  </si>
  <si>
    <t>KPI Collect Period 11</t>
  </si>
  <si>
    <t>KPI Data Type 11</t>
  </si>
  <si>
    <t>KPI Value 11</t>
  </si>
  <si>
    <t>KPI Comparison 11</t>
  </si>
  <si>
    <t>KPI Roll Up 11</t>
  </si>
  <si>
    <t>KPI Label 12</t>
  </si>
  <si>
    <t>Monthly KPI Item 12</t>
  </si>
  <si>
    <t>KPI Collect Period 12</t>
  </si>
  <si>
    <t>KPI Data Type 12</t>
  </si>
  <si>
    <t>KPI Value 12</t>
  </si>
  <si>
    <t>KPI Comparison 12</t>
  </si>
  <si>
    <t>KPI Roll Up 12</t>
  </si>
  <si>
    <t>KPI Label 13</t>
  </si>
  <si>
    <t>Monthly KPI Item 13</t>
  </si>
  <si>
    <t>KPI Collect Period 13</t>
  </si>
  <si>
    <t>KPI Data Type 13</t>
  </si>
  <si>
    <t>KPI Value 13</t>
  </si>
  <si>
    <t>KPI Comparison 13</t>
  </si>
  <si>
    <t>KPI Roll Up 13</t>
  </si>
  <si>
    <t>KPI Label 14</t>
  </si>
  <si>
    <t>Monthly KPI Item 14</t>
  </si>
  <si>
    <t>KPI Collect Period 14</t>
  </si>
  <si>
    <t>KPI Data Type 14</t>
  </si>
  <si>
    <t>KPI Value 14</t>
  </si>
  <si>
    <t>KPI Comparison 14</t>
  </si>
  <si>
    <t>KPI Roll Up 14</t>
  </si>
  <si>
    <t>KPI Label 15</t>
  </si>
  <si>
    <t>Monthly KPI Item 15</t>
  </si>
  <si>
    <t>KPI Collect Period 15</t>
  </si>
  <si>
    <t>KPI Data Type 15</t>
  </si>
  <si>
    <t>KPI Value 15</t>
  </si>
  <si>
    <t>KPI Comparison 15</t>
  </si>
  <si>
    <t>KPI Roll Up 15</t>
  </si>
  <si>
    <t>KPI Label 16</t>
  </si>
  <si>
    <t>Monthly KPI Item 16</t>
  </si>
  <si>
    <t>KPI Collect Period 16</t>
  </si>
  <si>
    <t>KPI Data Type 16</t>
  </si>
  <si>
    <t>KPI Value 16</t>
  </si>
  <si>
    <t>KPI Comparison 16</t>
  </si>
  <si>
    <t>KPI Roll Up 16</t>
  </si>
  <si>
    <t>Normal =</t>
  </si>
  <si>
    <t>Type</t>
  </si>
  <si>
    <t>Senior instrument(s) amortising: e.g. Term Loan A</t>
  </si>
  <si>
    <t>Senior Instrument(s) 1</t>
  </si>
  <si>
    <t>Junior Instrument(s)</t>
  </si>
  <si>
    <t>Others Instrument(s)</t>
  </si>
  <si>
    <t>Accrued Interest</t>
  </si>
  <si>
    <t>Drawn RCF</t>
  </si>
  <si>
    <t>$G$1:$AL$243</t>
  </si>
  <si>
    <t>Debt Covenant Checks</t>
  </si>
  <si>
    <t>Leverage Analysis</t>
  </si>
  <si>
    <t>OpCo | Gross Debt and Net Leverage</t>
  </si>
  <si>
    <t>Relevance</t>
  </si>
  <si>
    <t>OpCo</t>
  </si>
  <si>
    <t>Adjustments</t>
  </si>
  <si>
    <t>Total</t>
  </si>
  <si>
    <t>Gross Leverage</t>
  </si>
  <si>
    <t>Senior Instrument(S) Amortising</t>
  </si>
  <si>
    <r>
      <rPr>
        <b/>
        <sz val="12"/>
        <color rgb="FF343434"/>
        <rFont val="Arial"/>
        <family val="2"/>
        <scheme val="minor"/>
      </rPr>
      <t>Senior instrument(s)</t>
    </r>
    <r>
      <rPr>
        <sz val="12"/>
        <color rgb="FF343434"/>
        <rFont val="Arial"/>
        <family val="2"/>
        <scheme val="minor"/>
      </rPr>
      <t xml:space="preserve"> </t>
    </r>
    <r>
      <rPr>
        <b/>
        <sz val="12"/>
        <color rgb="FF343434"/>
        <rFont val="Arial"/>
        <family val="2"/>
        <scheme val="minor"/>
      </rPr>
      <t>amortising</t>
    </r>
    <r>
      <rPr>
        <sz val="12"/>
        <color rgb="FF343434"/>
        <rFont val="Arial"/>
        <family val="2"/>
        <scheme val="minor"/>
      </rPr>
      <t>: e.g. Term Loan A</t>
    </r>
  </si>
  <si>
    <t>Debt</t>
  </si>
  <si>
    <t>Senior Instrument(S) 1</t>
  </si>
  <si>
    <r>
      <rPr>
        <b/>
        <sz val="12"/>
        <color rgb="FF343434"/>
        <rFont val="Arial"/>
        <family val="2"/>
        <scheme val="minor"/>
      </rPr>
      <t>Senior Instrument(s):</t>
    </r>
    <r>
      <rPr>
        <sz val="12"/>
        <color rgb="FF343434"/>
        <rFont val="Arial"/>
        <family val="2"/>
        <scheme val="minor"/>
      </rPr>
      <t xml:space="preserve"> e.g. Term Loan B or Senior Secured Notes</t>
    </r>
  </si>
  <si>
    <t>Junior Instrument(S)</t>
  </si>
  <si>
    <r>
      <rPr>
        <b/>
        <sz val="12"/>
        <color rgb="FF343434"/>
        <rFont val="Arial"/>
        <family val="2"/>
        <scheme val="minor"/>
      </rPr>
      <t>Junior Instrument(s):</t>
    </r>
    <r>
      <rPr>
        <sz val="12"/>
        <color rgb="FF343434"/>
        <rFont val="Arial"/>
        <family val="2"/>
        <scheme val="minor"/>
      </rPr>
      <t xml:space="preserve"> e.g. Second Lien (Junior) or Unsecured Notes</t>
    </r>
  </si>
  <si>
    <t>IFRS-16 Lease Liabilities (on BS)</t>
  </si>
  <si>
    <t>Cash &amp; Equivalents</t>
  </si>
  <si>
    <t>Cash and Equivalents</t>
  </si>
  <si>
    <t>Cash</t>
  </si>
  <si>
    <t xml:space="preserve">  </t>
  </si>
  <si>
    <t>HoldCo | Look Through Levearage</t>
  </si>
  <si>
    <t>HoldCo</t>
  </si>
  <si>
    <t>Look through / ownership %</t>
  </si>
  <si>
    <t>Other</t>
  </si>
  <si>
    <t>Gross Debt for leverage - Holdco</t>
  </si>
  <si>
    <t>Cash and Equivalents - Holdco</t>
  </si>
  <si>
    <t>LTM Adjusted EBITDA (OpCo)</t>
  </si>
  <si>
    <t>Comments</t>
  </si>
  <si>
    <t>Period_display</t>
  </si>
  <si>
    <t>CX Period</t>
  </si>
  <si>
    <t>CX Scenario</t>
  </si>
  <si>
    <t>Actual L3M(A)</t>
  </si>
  <si>
    <t>Quarter</t>
  </si>
  <si>
    <t>Actual LTM</t>
  </si>
  <si>
    <t>LE</t>
  </si>
  <si>
    <t>Liquidity Analysis</t>
  </si>
  <si>
    <t>Interest Cover Ratio (ICR)</t>
  </si>
  <si>
    <t>PUSH Data</t>
  </si>
  <si>
    <t>GET Data</t>
  </si>
  <si>
    <t>Interest Cover Ratio - LTM</t>
  </si>
  <si>
    <t>Prior Quarter End</t>
  </si>
  <si>
    <t>Adj</t>
  </si>
  <si>
    <t>PreQ</t>
  </si>
  <si>
    <t>LTM Cash Interest Expense</t>
  </si>
  <si>
    <t>Cash Interest Expense - Adjustment (Debt Ratio)</t>
  </si>
  <si>
    <t>Cash Interest Expense - Adjusted Amount (Debt Ratio)</t>
  </si>
  <si>
    <t>LTM Adjusted EBITDA</t>
  </si>
  <si>
    <t>Adjusted EBITDA - Adjustment (Debt Ratio)</t>
  </si>
  <si>
    <t>Adjusted EBITDA - Adjusted Amount (Debt Ratio)</t>
  </si>
  <si>
    <t>Interest Cover Ratio (LTM)</t>
  </si>
  <si>
    <t>Interest Cover Ratio</t>
  </si>
  <si>
    <t>Interest Cover Ratio - Current FY Latest Estimate</t>
  </si>
  <si>
    <t>Cash Interest Expense</t>
  </si>
  <si>
    <t>Latest Est.</t>
  </si>
  <si>
    <t>FY Latest Estimate Cash Interest Expense</t>
  </si>
  <si>
    <t>FY Latest Estimate Adjusted EBITDA</t>
  </si>
  <si>
    <t>Interest Cover Ratio (Current FY Latest Estimate)</t>
  </si>
  <si>
    <t>Interest Cover Ratio - L3M Annualised</t>
  </si>
  <si>
    <t>L3M Annualised Cash Interest Expense</t>
  </si>
  <si>
    <t>L3M Annualised Adjusted EBITDA</t>
  </si>
  <si>
    <t>Interest Cover Ratio (L3M Annualised)</t>
  </si>
  <si>
    <t xml:space="preserve">Interest Cover Ratio </t>
  </si>
  <si>
    <t>Debt Service Cover Ratio (DSCR)</t>
  </si>
  <si>
    <t>Debt Service Cover Ratio - Current FY Latest Estimate</t>
  </si>
  <si>
    <t>Free Cash Flow to Firm</t>
  </si>
  <si>
    <t>FY Latest Estimate Free Cash Flow</t>
  </si>
  <si>
    <t>Unlevered Free Cash Flow (UFCF) - Adjustment (Debt Ratio)</t>
  </si>
  <si>
    <t>Unlevered Free Cash Flow (UFCF) - Adjusted Amount (Debt Ratio)</t>
  </si>
  <si>
    <t>Pinciple Payment</t>
  </si>
  <si>
    <t>FY Latest Estimate Principal Repayments</t>
  </si>
  <si>
    <t>Principal Repayments - Adjustment (Debt Ratio)</t>
  </si>
  <si>
    <t>Principal Repayments  - Adjusted Amount (Debt Ratio)</t>
  </si>
  <si>
    <t>Debt Service Cover Ratio (Current FY Latest Estimate)</t>
  </si>
  <si>
    <t>Debt Service Cover Ratio</t>
  </si>
  <si>
    <t>Debt Service Cover Ratio - LTM</t>
  </si>
  <si>
    <t>LTM Reported Free Cash Flow</t>
  </si>
  <si>
    <t>LTM  Principal Repayments</t>
  </si>
  <si>
    <t>Debt Service Cover Ratio (LTM)</t>
  </si>
  <si>
    <r>
      <t>Annualised Recurring Revenue (ARR) Cover Ratio</t>
    </r>
    <r>
      <rPr>
        <b/>
        <sz val="16"/>
        <color theme="2" tint="-0.749979972839355"/>
        <rFont val="Arial"/>
        <family val="2"/>
        <scheme val="minor"/>
      </rPr>
      <t xml:space="preserve"> </t>
    </r>
    <r>
      <rPr>
        <i/>
        <sz val="12"/>
        <color theme="2" tint="-0.749979972839355"/>
        <rFont val="Arial"/>
        <family val="2"/>
        <scheme val="minor"/>
      </rPr>
      <t>For Growth Funds Mainly</t>
    </r>
  </si>
  <si>
    <t>Annualised Recurring Revenue Cover Ratio - LTM</t>
  </si>
  <si>
    <t>Annual Recurring Revenue</t>
  </si>
  <si>
    <t>Annualised Recurring Revenue</t>
  </si>
  <si>
    <t>Annualised Recurring Revenue - Adjustment (Debt Ratio)</t>
  </si>
  <si>
    <t>Annualised Recurring Revenue - Adjusted Amount (Debt Ratio)</t>
  </si>
  <si>
    <t>Net (Debt)/Cash</t>
  </si>
  <si>
    <t>As of Jun-25</t>
  </si>
  <si>
    <t>Net debt / (Cash) for leverage</t>
  </si>
  <si>
    <t>Net (Debt) / Cash - Adjustment (Debt Ratio)</t>
  </si>
  <si>
    <t>Net (Debt) / Cash - Adjusted Amount (Debt Ratio)</t>
  </si>
  <si>
    <t>Annualised Recurring Revenue / Net Debt Cover Ratio (LTM)</t>
  </si>
  <si>
    <t>Annualised Recurring Revenue / Net Debt Cover Ratio</t>
  </si>
  <si>
    <t>ARR Cover Ratio - Current FY Latest Estimate</t>
  </si>
  <si>
    <t>ARR / Net Debt Cover Ratio (Current FY Latest Estimate)</t>
  </si>
  <si>
    <t>Liquidity Analysis - Comments</t>
  </si>
  <si>
    <t>Covenant Monitoring</t>
  </si>
  <si>
    <t>Before we start…</t>
  </si>
  <si>
    <t>Please answer the following questions about Maintenance vs Springing Covenants</t>
  </si>
  <si>
    <r>
      <t xml:space="preserve">1. Does the loan package contains any </t>
    </r>
    <r>
      <rPr>
        <b/>
        <sz val="12"/>
        <color rgb="FF343434"/>
        <rFont val="Arial"/>
        <family val="2"/>
        <scheme val="minor"/>
      </rPr>
      <t>Maintenance covenants</t>
    </r>
    <r>
      <rPr>
        <sz val="12"/>
        <color rgb="FF343434"/>
        <rFont val="Arial"/>
        <family val="2"/>
        <scheme val="minor"/>
      </rPr>
      <t>?</t>
    </r>
  </si>
  <si>
    <r>
      <t xml:space="preserve">2. Is there a </t>
    </r>
    <r>
      <rPr>
        <b/>
        <sz val="12"/>
        <color rgb="FF343434"/>
        <rFont val="Arial"/>
        <family val="2"/>
        <scheme val="minor"/>
      </rPr>
      <t xml:space="preserve">Springing covenant </t>
    </r>
    <r>
      <rPr>
        <sz val="12"/>
        <color rgb="FF343434"/>
        <rFont val="Arial"/>
        <family val="2"/>
        <scheme val="minor"/>
      </rPr>
      <t>on the RCF?</t>
    </r>
  </si>
  <si>
    <t>&lt;&lt; If you have a mantainance covenant then you typically won't have a springing covenant.</t>
  </si>
  <si>
    <t>3. Springing threshold (% RCF drawn):</t>
  </si>
  <si>
    <t>&lt;&lt; Deal teams to add % and have Cap Markets team confirm. Typically 35% or 40%</t>
  </si>
  <si>
    <t>4. Total RCF Drawn %</t>
  </si>
  <si>
    <t>5. Is the Springing covenants "Springing into effect"</t>
  </si>
  <si>
    <t>&lt;&lt; Automatic formula; if % RCF Drawn &gt; Springing threshold, then the covenant(s) are tested.</t>
  </si>
  <si>
    <t>Covenant &amp; Headrooms</t>
  </si>
  <si>
    <t>USD in Millions</t>
  </si>
  <si>
    <t>Get PrevQ</t>
  </si>
  <si>
    <t>Gross Leverage Ratio</t>
  </si>
  <si>
    <t>Covenant 1</t>
  </si>
  <si>
    <t>Covenant level</t>
  </si>
  <si>
    <t>Look Fwd Covenant Level</t>
  </si>
  <si>
    <t>Summary</t>
  </si>
  <si>
    <t>Current</t>
  </si>
  <si>
    <t>Previous</t>
  </si>
  <si>
    <t>Change</t>
  </si>
  <si>
    <t>%</t>
  </si>
  <si>
    <t>Covenant Headroom</t>
  </si>
  <si>
    <t>Covenant Headroom %</t>
  </si>
  <si>
    <t>Covenant 1 - Textbox</t>
  </si>
  <si>
    <t>Net Leverage Ratio</t>
  </si>
  <si>
    <t>Period</t>
  </si>
  <si>
    <t xml:space="preserve"> </t>
  </si>
  <si>
    <t>Debt Service Coverage Ratio (DSCR)</t>
  </si>
  <si>
    <t>Interest Coverage Ratio</t>
  </si>
  <si>
    <t>Covenant - Comments</t>
  </si>
  <si>
    <t>Date Ending</t>
  </si>
  <si>
    <t>Statement / Label</t>
  </si>
  <si>
    <t>Attribute</t>
  </si>
  <si>
    <t>L3M</t>
  </si>
  <si>
    <t>FY Lastest Est.</t>
  </si>
  <si>
    <t>Original Budget</t>
  </si>
  <si>
    <t>CASH FLOW</t>
  </si>
  <si>
    <t>CF</t>
  </si>
  <si>
    <t>Debt Service</t>
  </si>
  <si>
    <t>PROFIT &amp; LOSS</t>
  </si>
  <si>
    <t>Reported Net Revenue</t>
  </si>
  <si>
    <t>PL</t>
  </si>
  <si>
    <t>Pro Forma Adjusted EBITDA</t>
  </si>
  <si>
    <t>Tax</t>
  </si>
  <si>
    <t>BALANCE SHEET</t>
  </si>
  <si>
    <t>Gross External Debt</t>
  </si>
  <si>
    <t>BS</t>
  </si>
  <si>
    <t>Net External Debt</t>
  </si>
  <si>
    <t>Cash &amp; Equivalent</t>
  </si>
  <si>
    <t>Debt Covenant</t>
  </si>
  <si>
    <t>Base</t>
  </si>
  <si>
    <t>Description</t>
  </si>
  <si>
    <t>Nominator</t>
  </si>
  <si>
    <t>Denominator</t>
  </si>
  <si>
    <t>Target Metric</t>
  </si>
  <si>
    <t>Direction</t>
  </si>
  <si>
    <t>X-Net</t>
  </si>
  <si>
    <t>x-Gross</t>
  </si>
  <si>
    <t>&lt;=</t>
  </si>
  <si>
    <t xml:space="preserve">1 when higher is better and </t>
  </si>
  <si>
    <t>ARR</t>
  </si>
  <si>
    <t>Annual Recurring Revenue Leverage Ratio</t>
  </si>
  <si>
    <t>-1 when lower is better.</t>
  </si>
  <si>
    <t>ICR</t>
  </si>
  <si>
    <t>DSCR</t>
  </si>
  <si>
    <t>Definition</t>
  </si>
  <si>
    <t xml:space="preserve">The metrics  ("bold blue" shown in column B) are the standardised CVC metrics that should be reported on the Flash Output sheet.  </t>
  </si>
  <si>
    <t>You should map to these lines and use these labels wherever possible. Financial Services deals are the typical exception.</t>
  </si>
  <si>
    <t>Standardised CVC Metrics</t>
  </si>
  <si>
    <t>Order</t>
  </si>
  <si>
    <t>Term</t>
  </si>
  <si>
    <t>Statement</t>
  </si>
  <si>
    <t>Notes (If you have any questions, please leave them here)</t>
  </si>
  <si>
    <t>PROFIT &amp; LOSS STATEMENT</t>
  </si>
  <si>
    <t>PL01</t>
  </si>
  <si>
    <t>Net Revenue</t>
  </si>
  <si>
    <t>P&amp;L</t>
  </si>
  <si>
    <t>Total Portco net revenue: revenue across all business lines, geographies, subsisdiaries, etc. and net off any discounts or refunds</t>
  </si>
  <si>
    <t>PL02</t>
  </si>
  <si>
    <t>of which Inorganic Top Line</t>
  </si>
  <si>
    <t>Relates mainly to M&amp;A e.g. acquired revenues.</t>
  </si>
  <si>
    <t>PL03</t>
  </si>
  <si>
    <t>of which Organic Top Line</t>
  </si>
  <si>
    <t>Revenues generated from within a company that are a direct result of the firm's existing operations (e.g. typically at the time of FIR).</t>
  </si>
  <si>
    <t>The definition of “Organic” will vary by investment, but should best reflect the way you look at and can track the business. We would typically expect it to be relative to the FIR perimeter (thus non-organic revenue would typically be zero for initial flash reports unless it involves some immediate M&amp;A, for instance). For older investments, if you have had significant M&amp;A older than 24 months, it is at your discretion if this is absorbed into the organic business (as long as historical periods are LFL).</t>
  </si>
  <si>
    <t>PL04</t>
  </si>
  <si>
    <t>Revenue Volume</t>
  </si>
  <si>
    <t>Volumes sold in physical units or service equivalents (unit of measure must be consistent across periods).</t>
  </si>
  <si>
    <t>PL05</t>
  </si>
  <si>
    <t>of which Organic Top Line  Volume Growth</t>
  </si>
  <si>
    <t xml:space="preserve"> volumes sold in units from existing operations   (Unit of measure to be defined)</t>
  </si>
  <si>
    <t>PL06</t>
  </si>
  <si>
    <t>Annual Recurring Revenue (Rolling 12 months sum)</t>
  </si>
  <si>
    <t>Consistent, predictable stream of income ( such as  long-term contracts and subscriptions) excluding one-off and non-recurring revenue.
ARR loan convenants typically include certain growth rate or minimises churn.</t>
  </si>
  <si>
    <t>PL07</t>
  </si>
  <si>
    <t>of which Organic Top Line Volume Growth (YTD)</t>
  </si>
  <si>
    <t>PL08</t>
  </si>
  <si>
    <t>Revenue Volume Growth</t>
  </si>
  <si>
    <t>Average increase of volumes sold (in %)</t>
  </si>
  <si>
    <t>PL09</t>
  </si>
  <si>
    <t>of which Organic Revenue Volume Growth</t>
  </si>
  <si>
    <t>As above, but for the firm's existing operations (typically at the time of FIR).</t>
  </si>
  <si>
    <t>PL10</t>
  </si>
  <si>
    <t>Cost of Sales</t>
  </si>
  <si>
    <t>Cost of Sales or Cost of Goods Sold (COGS): All direct labor and direct materials costs, as well as factory overhead charges</t>
  </si>
  <si>
    <t>PL11</t>
  </si>
  <si>
    <t>Gross Profit</t>
  </si>
  <si>
    <t>= Revenue - Cost of Sales</t>
  </si>
  <si>
    <t>PL12</t>
  </si>
  <si>
    <t>Total Operating Costs (Excl. D&amp;A)</t>
  </si>
  <si>
    <t>Key categories typically include Selling General and Administrative (SG&amp;A), Marketing, People (Salaries and other compensations e.g. bonus, pensions, insurance, car policy, etc.), Non-People (such as rent and utilities for the headquarters, IT expenses) etc.</t>
  </si>
  <si>
    <r>
      <t xml:space="preserve">There is no requirement to split total operating costs in your Input sheet, however, you may wish to break it down if the VCP is targeting specific buckets of cost, or to show the main fixed / variable categories when explaining trends. </t>
    </r>
    <r>
      <rPr>
        <u val="single"/>
        <sz val="12"/>
        <color theme="1"/>
        <rFont val="Arial"/>
        <family val="2"/>
        <scheme val="minor"/>
      </rPr>
      <t>Please ensure you keep the row called "Total Operating costs" if you do.</t>
    </r>
  </si>
  <si>
    <t>PL13</t>
  </si>
  <si>
    <t>= Gross profit - Operating costs</t>
  </si>
  <si>
    <t>Reported EBITDA, before any add backs (e.g. fully loaded for any exceptional cost) should be shown on your Flash output sheet (LTM, YTD and L1M). This is irrespective of whether this is on a like-for-like (LFL) basis for any acquisitions.</t>
  </si>
  <si>
    <t>PL14</t>
  </si>
  <si>
    <t>Depreciation</t>
  </si>
  <si>
    <t>Depreciation represents the estimated reduction in value of fixed assets within a fiscal year</t>
  </si>
  <si>
    <t>PL15</t>
  </si>
  <si>
    <t>EBITA</t>
  </si>
  <si>
    <t>= EBITDA - Depreciation</t>
  </si>
  <si>
    <t>PL16</t>
  </si>
  <si>
    <t>Amortization</t>
  </si>
  <si>
    <t xml:space="preserve">Amortization of intangibles </t>
  </si>
  <si>
    <t>PL17</t>
  </si>
  <si>
    <t>EBIT</t>
  </si>
  <si>
    <t>= EBITA - Amortization</t>
  </si>
  <si>
    <t>PL18</t>
  </si>
  <si>
    <t>EBITDA Adjustments</t>
  </si>
  <si>
    <t>Removal of various one-time, irregular, and non-recurring items from EBITDA to get a normalized number to facilate comparison across years/ companies/ etc. 
Please review table Adjustment Type before you start completing this item.</t>
  </si>
  <si>
    <t>PL19</t>
  </si>
  <si>
    <t>= EBITDA +/- adjustments (Type I)</t>
  </si>
  <si>
    <r>
      <t>Adjusted</t>
    </r>
    <r>
      <rPr>
        <sz val="12"/>
        <color rgb="FF343434"/>
        <rFont val="Arial"/>
        <family val="2"/>
        <scheme val="minor"/>
      </rPr>
      <t xml:space="preserve"> EBITDA should adjust Reported EBITDA for one off costs or revenues and should exclude exceptional/VCP costs that are non-recurring</t>
    </r>
  </si>
  <si>
    <t>PL20</t>
  </si>
  <si>
    <t xml:space="preserve"> Adjusted EBITDA %</t>
  </si>
  <si>
    <t>= Adjusted EBITDA / Revenue</t>
  </si>
  <si>
    <t>PL21</t>
  </si>
  <si>
    <t>= Adjusted EBITDA - Amortisation - Depreciation</t>
  </si>
  <si>
    <t>PL22</t>
  </si>
  <si>
    <t>Like for Like Adjusted Revenue</t>
  </si>
  <si>
    <t>This is Revenue updated to account for the pre-acquisition financials of add-ons, or to adjust historical periods for discontinued operations / sold business units etc.</t>
  </si>
  <si>
    <t>Should only be added if you can not update all the underlying monthly financial metrics in the Input sheet to include pre-acquisition financials for all periods.</t>
  </si>
  <si>
    <t>PL23</t>
  </si>
  <si>
    <t>Like for Like Adjusted EBITDA</t>
  </si>
  <si>
    <t>Adjusted EBITDA updated to account for the pre-acquisition financials of add-ons, or to adjust historical periods for discontinued operations / sold business units etc.
= Adjusted EBITDA +/- Adjustments (Type II)</t>
  </si>
  <si>
    <t>PL24</t>
  </si>
  <si>
    <t>Cash EBITDA</t>
  </si>
  <si>
    <t>EBITDA adjusted for working capital movements, exceptional cash items, and provisions. Reflects true cash-generating operating profitability.</t>
  </si>
  <si>
    <t>PL25</t>
  </si>
  <si>
    <t>Adjusted EBITDA -  Capex</t>
  </si>
  <si>
    <t>PL26</t>
  </si>
  <si>
    <t>Earnings Before Interest, Taxes, Depreciation, Amortisation, and Capitalised costs. 
EBITDAC = EBITDA + Capitalised costs 
Adds back capitalised costs (like internal development or project-related expenses that are recorded as assets). offering a more “cash-like” picture of earnings before accounting for those capitalised expenditures that don’t immediately hit the P&amp;L.</t>
  </si>
  <si>
    <t>PL27</t>
  </si>
  <si>
    <t>Actual tax payments made to tax authorities in a given period (monthly, quarterly, annually), in cash terms.</t>
  </si>
  <si>
    <t>PL28</t>
  </si>
  <si>
    <t>Capitalised Costs</t>
  </si>
  <si>
    <t>Expenses that are recorded as assets on the balance sheet rather than immediately expensed on the income statement; typically relate to expenditures that provide long-term benefits—like developing software, constructing buildings, or acquiring equipment—and are gradually expensed through depreciation or amortisation over their useful life.</t>
  </si>
  <si>
    <t>BS01</t>
  </si>
  <si>
    <t>Fixed assets</t>
  </si>
  <si>
    <t>Balance Sheet</t>
  </si>
  <si>
    <t>- Tangible fixed assets: Property, Plant, and Equipment (PP&amp;E). The line item is noted net of accumulated depreciation. All PP&amp;E is depreciable except for Land</t>
  </si>
  <si>
    <t>BS02</t>
  </si>
  <si>
    <t>Intangible assets</t>
  </si>
  <si>
    <t>- Identifiable intangible assets include patents, licenses, and secret formulas
-  Unidentifiable intangible assets include brand and goodwill</t>
  </si>
  <si>
    <t xml:space="preserve">If it is not possible to separate intangible assets from the fixed asset, please either make reasonable estimation or report it within fixed assets and leave this blank. </t>
  </si>
  <si>
    <t>BS03</t>
  </si>
  <si>
    <t>Net Working Capital (NWC)</t>
  </si>
  <si>
    <t>Accounts Receivable + Inventory – Accounts Payable</t>
  </si>
  <si>
    <t>BS04</t>
  </si>
  <si>
    <t>Other Non-current Assets</t>
  </si>
  <si>
    <t>Long-term assets not classified under above listed items. long-term deposits, long-term prepayments, and investments.</t>
  </si>
  <si>
    <t>BS05</t>
  </si>
  <si>
    <t>Trade Receivables</t>
  </si>
  <si>
    <t>Amount customers owe for goods/services delivered.</t>
  </si>
  <si>
    <t>BS06</t>
  </si>
  <si>
    <t>Interest expense incurred but not yet paid.</t>
  </si>
  <si>
    <t>BS07</t>
  </si>
  <si>
    <t>Deferred Tax Assets / Liabilities</t>
  </si>
  <si>
    <t>Timing differences in recognition of tax vs. accounting income. 
(detailed model may be required in M&amp;A (affects purchase price) if material.; Track expiry of DTAs.</t>
  </si>
  <si>
    <t>BS08</t>
  </si>
  <si>
    <t>Other debt Like Items (on BS)</t>
  </si>
  <si>
    <t>Non-standard liabilities treated as debt equivalents (e.g., earn-outs, factoring).</t>
  </si>
  <si>
    <t>Identify in transaction DD (purchase price adjustments).
Monitor off-balance-sheet obligations.</t>
  </si>
  <si>
    <t>BS09</t>
  </si>
  <si>
    <t>Revolving Credit Facility. Credit line drawn from revolving facility.</t>
  </si>
  <si>
    <t>BS10</t>
  </si>
  <si>
    <t>Accounts Payables</t>
  </si>
  <si>
    <t>Amount owed to suppliers.</t>
  </si>
  <si>
    <t>BS11</t>
  </si>
  <si>
    <t>Capitalised Fees</t>
  </si>
  <si>
    <t>Upfront debt issuance costs capitalized and amortized over the loan life.</t>
  </si>
  <si>
    <t>BS12</t>
  </si>
  <si>
    <t>Inventory</t>
  </si>
  <si>
    <t>Raw materials, WIP, finished goods held for sale.</t>
  </si>
  <si>
    <t>BS13</t>
  </si>
  <si>
    <t>Other Net Working Capital</t>
  </si>
  <si>
    <t>Non-trade current assets/liabilities (like prepaid expenses, accrued expenses).</t>
  </si>
  <si>
    <t>BS14</t>
  </si>
  <si>
    <t>Other assets</t>
  </si>
  <si>
    <t>Assets not captured in PP&amp;E, intangibles, or NWC (e.g., deferred tax assets, long-term investments, prepaid expenses).</t>
  </si>
  <si>
    <t>BS15</t>
  </si>
  <si>
    <t xml:space="preserve">Please split out the major components, including: Senior Debt, Junior Debt, Drawn RCF, Accrued Interest. </t>
  </si>
  <si>
    <t>Please consider the splits required as part of the Capital Structure Mertrics sheet (required quaterly).</t>
  </si>
  <si>
    <t>BS16</t>
  </si>
  <si>
    <t>Cash and Cash Equivalents covering assets that have short-term maturities under three months or assets that the company can liquidate on short notice, such as marketable securities</t>
  </si>
  <si>
    <t>On the Input sheet: Please ensure that the movement in the cash balance each period equals the Net cash flow in the CF statement.</t>
  </si>
  <si>
    <t>BS17</t>
  </si>
  <si>
    <t xml:space="preserve">= (-) Gross External Debt + Cash and Equivalents </t>
  </si>
  <si>
    <t>BS18</t>
  </si>
  <si>
    <t>Pension Liabilities (on BS)</t>
  </si>
  <si>
    <t>Present value of defined benefit obligations less fair value of plan assets.</t>
  </si>
  <si>
    <t>BS19</t>
  </si>
  <si>
    <t>Lease obligations recognized on-balance sheet under IFRS-16, discounted at incremental borrowing rate.</t>
  </si>
  <si>
    <t>If report on and IFRS basis</t>
  </si>
  <si>
    <t>BS20</t>
  </si>
  <si>
    <t>Total Debt Like Items (on BS)</t>
  </si>
  <si>
    <t>Obligations of debt-like nature reducing enterprise value, for example pensions, lease liabilities, earn-outs, customer prepayments</t>
  </si>
  <si>
    <t>Please list out any other debt like items that are included in banking / covenant defitions separately.</t>
  </si>
  <si>
    <t>BS21</t>
  </si>
  <si>
    <t>= Net External Debt - Debt Like Items</t>
  </si>
  <si>
    <t>BS22</t>
  </si>
  <si>
    <t>Leverage</t>
  </si>
  <si>
    <t>= Net (Debt) cash / LTM Adjusted EBITDA</t>
  </si>
  <si>
    <t>Check that you are happy with the simple calculation of Leverage on the Flash output sheet, which should be formula driven.  This is a simpler calculation than what is required on the quarterly Cap Sturucture sheet (which should align to facility agreements where possible).</t>
  </si>
  <si>
    <t>BS23</t>
  </si>
  <si>
    <t>Other Liabilities</t>
  </si>
  <si>
    <t>Non-debt, non-pension obligations such as deferred tax liabilities, long-term provisions not included elsewhere.</t>
  </si>
  <si>
    <t>BS24</t>
  </si>
  <si>
    <t>Preferred Equity</t>
  </si>
  <si>
    <t>Equity that ranks senior to common equity but junior to debt, typically providing investors with priority returns or distributions before common shareholders.</t>
  </si>
  <si>
    <t>BS25</t>
  </si>
  <si>
    <t>Net assets / Total equity</t>
  </si>
  <si>
    <t>= Fixed &amp; Intangible assets + NWC + other assets + Net (Debt)/cash + Debt like items + other liabilities</t>
  </si>
  <si>
    <t>BS26</t>
  </si>
  <si>
    <t>Balance sheet check</t>
  </si>
  <si>
    <t>Please ensure that the Balance shet balances.</t>
  </si>
  <si>
    <t>CASH FLOW STATEMENT</t>
  </si>
  <si>
    <t>CF01</t>
  </si>
  <si>
    <t>Cash Flow</t>
  </si>
  <si>
    <t>Same as above</t>
  </si>
  <si>
    <t>CF02</t>
  </si>
  <si>
    <t>Add-back of non-cash P&amp;L items: depreciation, amortization, share-based comp, FX revaluations, impairments.</t>
  </si>
  <si>
    <t>CF03</t>
  </si>
  <si>
    <t>Net working capital for the current period – net working capital for the previous period</t>
  </si>
  <si>
    <t>CF04</t>
  </si>
  <si>
    <t>Miscellaneous operating items</t>
  </si>
  <si>
    <t>CF05</t>
  </si>
  <si>
    <t>The amount of cash generated (or used) by a company’s core business operations during a given period.</t>
  </si>
  <si>
    <t>CF06</t>
  </si>
  <si>
    <t>CF07</t>
  </si>
  <si>
    <t>Capital expenditures (CapEx) are funds used to acquire, upgrade, and maintain physical assets such as property, plants, buildings, technology, or equipment</t>
  </si>
  <si>
    <t>CF08</t>
  </si>
  <si>
    <t>Cash flows that are non-recurring, unusual, or exceptional in nature, which do not reflect the ongoing, sustainable performance of the business.</t>
  </si>
  <si>
    <t>VCP - Value Creation Plan</t>
  </si>
  <si>
    <t>CF09</t>
  </si>
  <si>
    <t>Unlevered Free Cash Flow (UFCF)</t>
  </si>
  <si>
    <t>(EBITDA - NWC - Capex - Cash Tax - VCP and exceptional costs) e.g. UFCF is before Financing proceeds, Principal repayments, Cash Interest Expense, M&amp;A cash flows.</t>
  </si>
  <si>
    <t>Please ensure that you align to the CVC definition of Unlevered Free Cash Flow (UFCF) e.g. before Financing = (EBITDA - NWC - Capex - Cash Tax - VCP).</t>
  </si>
  <si>
    <t>CF10</t>
  </si>
  <si>
    <t>Interest payable on any borrowings—bonds, loans, convertible debt or lines of credit</t>
  </si>
  <si>
    <t>CF11</t>
  </si>
  <si>
    <t>Principal repayments</t>
  </si>
  <si>
    <t>Cash outflows for the repayment of the original amount borrowed (the principal), excluding interest.</t>
  </si>
  <si>
    <t>CF12</t>
  </si>
  <si>
    <t>Financing proceeds</t>
  </si>
  <si>
    <t>Cash inflows from raising new capital.</t>
  </si>
  <si>
    <t>CF13</t>
  </si>
  <si>
    <t>Cash flows related to acquisitions and divestitures.</t>
  </si>
  <si>
    <t>CF14</t>
  </si>
  <si>
    <t>Cash outflows to shareholders as a return on equity.</t>
  </si>
  <si>
    <t>CF15</t>
  </si>
  <si>
    <t>Residual category for financing-related cash movements not captured above.</t>
  </si>
  <si>
    <t>CF16</t>
  </si>
  <si>
    <t>CF17</t>
  </si>
  <si>
    <t>A balancing or control line item in the cash flow statement that captures differences between the calculated “Net Cash Flow” and the actual movement in the cash balance.</t>
  </si>
  <si>
    <t>This is a check line that should equal zero each period: Please ensure that the movement in the cash balance each period equals the Net cash flow in the CF.</t>
  </si>
  <si>
    <t>OTHERS</t>
  </si>
  <si>
    <t>OT01</t>
  </si>
  <si>
    <t>Covenant Limit</t>
  </si>
  <si>
    <t>Others</t>
  </si>
  <si>
    <t>The threshold or limit specified in the debt covenant (e.g., maximum leverage ratio, minimum interest coverage ratio).</t>
  </si>
  <si>
    <t>OT02</t>
  </si>
  <si>
    <t xml:space="preserve">
Threshold limit to satisfy Convenat limit</t>
  </si>
  <si>
    <t>OT03</t>
  </si>
  <si>
    <t>Headroom / Actual Financial Metric, (e.g. Adjustd EBITDA)
Actual Financial Metric: The company’s current value for the metric being measured (e.g., current leverage ratio or interest coverage ratio).</t>
  </si>
  <si>
    <t>OT04</t>
  </si>
  <si>
    <t>Annual Recurring Revenue (Rolling 12 months)</t>
  </si>
  <si>
    <t>The total value of recurring revenue streams (such as subscriptions, maintenance fees, or long-term service contracts) measured over the past 12 months.</t>
  </si>
  <si>
    <t>OT05</t>
  </si>
  <si>
    <t>OT06</t>
  </si>
  <si>
    <t>DSCR = Operating Cash Flow (or EBITDA – capex – cash taxes, depending on covenant) ÷ (Cash Interest + Principal Repayments)</t>
  </si>
  <si>
    <t>OT07</t>
  </si>
  <si>
    <t>Interest Rate Cover Ratio</t>
  </si>
  <si>
    <t>ICR = EBITDA ÷ Cash Interest Expense</t>
  </si>
  <si>
    <t>Valuation Adjustment Types</t>
  </si>
  <si>
    <t>Return</t>
  </si>
  <si>
    <t>EBITDA Adjustment</t>
  </si>
  <si>
    <t>How does this table of information flow into the model</t>
  </si>
  <si>
    <t>No.</t>
  </si>
  <si>
    <t>Category</t>
  </si>
  <si>
    <t>Items</t>
  </si>
  <si>
    <t>Type Name</t>
  </si>
  <si>
    <t>Descriptions / Examples</t>
  </si>
  <si>
    <t>One-off Income / Expenses</t>
  </si>
  <si>
    <t>Legal settlements</t>
  </si>
  <si>
    <t>Type I</t>
  </si>
  <si>
    <t>Earning Adjustments</t>
  </si>
  <si>
    <t>One-time legal settlements</t>
  </si>
  <si>
    <t>Environmental or Regulatory Costs</t>
  </si>
  <si>
    <t>One-time remediation or compliance expenses</t>
  </si>
  <si>
    <t>Extraordinary Items</t>
  </si>
  <si>
    <t>Gains or losses that arise from events or transactions that are both unusual in nature and infrequent in occurrence. Evidence and justifications must be supplied.</t>
  </si>
  <si>
    <t>Restructuring costs</t>
  </si>
  <si>
    <t>One-off restructuring costs</t>
  </si>
  <si>
    <t>Non-recurring professional fees</t>
  </si>
  <si>
    <t>Non-recurring consulting fees</t>
  </si>
  <si>
    <t>Covid Impacts</t>
  </si>
  <si>
    <t>COVID-related temporary impacts (if still applicable)</t>
  </si>
  <si>
    <t>Non-core Operations</t>
  </si>
  <si>
    <t>Non-core Income / Expenses</t>
  </si>
  <si>
    <t>Gains or losses on asset sales</t>
  </si>
  <si>
    <t>Discontinued operations / start-ups</t>
  </si>
  <si>
    <t>Income / loss (amortisations) from discontinued operations.</t>
  </si>
  <si>
    <t>Non-Cash Items</t>
  </si>
  <si>
    <t>Stock-based compensation</t>
  </si>
  <si>
    <t>FX related (Unrealised Gains)</t>
  </si>
  <si>
    <t>Unrealized foreign exchange gains/losses</t>
  </si>
  <si>
    <t>Impairments</t>
  </si>
  <si>
    <t>Impairments, write-ups and write-off (e.g., goodwill, intangible assets)</t>
  </si>
  <si>
    <t>M&amp;A / Transaction Items</t>
  </si>
  <si>
    <t>M&amp;A / Transaction Fees</t>
  </si>
  <si>
    <t>Due diligence, advisory, legal, or transaction-related fees because of its one off nature</t>
  </si>
  <si>
    <t>Management Incentive Cost (incl. Earn-Out)</t>
  </si>
  <si>
    <t>Like-for-Like Adjustments</t>
  </si>
  <si>
    <t xml:space="preserve">Contingent consideration expense. </t>
  </si>
  <si>
    <t>Accouting Policy Related</t>
  </si>
  <si>
    <t>Accounting Adjustments (incl. IFRS16 Adjustments)</t>
  </si>
  <si>
    <t>Type II</t>
  </si>
  <si>
    <t>Adding back gross (pre-tax) lease expense to EBITDA. 
Liability also needs to be captured by a debt like item</t>
  </si>
  <si>
    <t>Pro Forma M&amp;A Adjustments</t>
  </si>
  <si>
    <t>Full year impact of M&amp;A (incl. Spin-off)</t>
  </si>
  <si>
    <t>Full-year impact of acquisitions or divestitures closed mid-year</t>
  </si>
  <si>
    <t>Run-Rate Adjustments</t>
  </si>
  <si>
    <t>Future cost saving</t>
  </si>
  <si>
    <t>Type III</t>
  </si>
  <si>
    <t>Valuation Adjustments</t>
  </si>
  <si>
    <t>Cost savings from recent restructuring not yet reflected in full-year EBITDA</t>
  </si>
  <si>
    <t>Future synergies</t>
  </si>
  <si>
    <t>Synergies expected from recent acquisitions</t>
  </si>
  <si>
    <t>Future performance result from pricing change</t>
  </si>
  <si>
    <t>Contractual price increases or margin improvements in effect post-period-end</t>
  </si>
  <si>
    <t>Cyclical Industry (Business Cyle) Bias</t>
  </si>
  <si>
    <t xml:space="preserve">This type of adjustments are not perfectly captured in our model strucutre, currently is a known limitation of this model. </t>
  </si>
  <si>
    <t>Other GAAP/IFRS Adjustments</t>
  </si>
  <si>
    <t>LfL Adjustments (Current Perimeter)</t>
  </si>
  <si>
    <t>Adjustments required for other non-GAAP standareds adopted.</t>
  </si>
  <si>
    <t>Full year impact of spin-off</t>
  </si>
  <si>
    <t>Integration costs of acquisitions because of its one-off nature</t>
  </si>
  <si>
    <t>Removing past effect of PPA</t>
  </si>
  <si>
    <t>Removing distortion from Purchase price accounting in M&amp;A transactions.</t>
  </si>
  <si>
    <t>Contractual profitability shift</t>
  </si>
  <si>
    <t>Contract wins or losses that affect future profitability</t>
  </si>
  <si>
    <t>File Name</t>
  </si>
  <si>
    <t>Url</t>
  </si>
  <si>
    <t>https://forms.office.com/e/3H3SF4mRFH</t>
  </si>
  <si>
    <t>CONTROL</t>
  </si>
  <si>
    <t>Critical Variables</t>
  </si>
  <si>
    <t>Epicor</t>
  </si>
  <si>
    <t>POC</t>
  </si>
  <si>
    <t>Timeline Switch</t>
  </si>
  <si>
    <t>Latest Available</t>
  </si>
  <si>
    <t>Reporting Currency</t>
  </si>
  <si>
    <t>Scrollable lock</t>
  </si>
  <si>
    <t>Display Units</t>
  </si>
  <si>
    <t>UnitName</t>
  </si>
  <si>
    <t>Number</t>
  </si>
  <si>
    <t>Thousands</t>
  </si>
  <si>
    <t>Billions</t>
  </si>
  <si>
    <t>Please select the metric for seg</t>
  </si>
  <si>
    <t>Please select or type in or leave as blank</t>
  </si>
  <si>
    <t>Date Picker / Timeline</t>
  </si>
  <si>
    <t>Date Picker</t>
  </si>
  <si>
    <t>Timeline</t>
  </si>
  <si>
    <t>Timeline 2</t>
  </si>
  <si>
    <t>Scenarios</t>
  </si>
  <si>
    <t>Live Data</t>
  </si>
  <si>
    <t>Display</t>
  </si>
  <si>
    <t>=fx_getScenario(RowID)</t>
  </si>
  <si>
    <t>LE*</t>
  </si>
  <si>
    <t>Original Budget*</t>
  </si>
  <si>
    <t>Currency name</t>
  </si>
  <si>
    <t>Symbol</t>
  </si>
  <si>
    <t>Format string</t>
  </si>
  <si>
    <t>USD</t>
  </si>
  <si>
    <t>Dollars</t>
  </si>
  <si>
    <t>$</t>
  </si>
  <si>
    <t>_($ #,##0.0_);($ #,##0.0);_($ 0.0_)</t>
  </si>
  <si>
    <t>GBP</t>
  </si>
  <si>
    <t>Pound</t>
  </si>
  <si>
    <t>£</t>
  </si>
  <si>
    <t>_(£ #,##0.0_);(£ #,##0.0);_(£ 0.0_)</t>
  </si>
  <si>
    <t>EUR</t>
  </si>
  <si>
    <t>Euro</t>
  </si>
  <si>
    <t>€</t>
  </si>
  <si>
    <t>_(€ #,##0.0_);(€ #,##0.0);_(€ 0.0_)</t>
  </si>
  <si>
    <t>JPY</t>
  </si>
  <si>
    <t>Japanese Yen</t>
  </si>
  <si>
    <t>¥</t>
  </si>
  <si>
    <t>_(¥ #,##0.0_);(¥ #,##0.0);_(¥ 0.0_)</t>
  </si>
  <si>
    <t>CHF</t>
  </si>
  <si>
    <t>Swiss franc</t>
  </si>
  <si>
    <t>SFr</t>
  </si>
  <si>
    <t>_(SFr #,##0.0_);(SFr #,##0.0);_(SFr 0.0_)</t>
  </si>
  <si>
    <t>PL Dropdown Options</t>
  </si>
  <si>
    <t>Revenue Proxy Metric</t>
  </si>
  <si>
    <t>Earning Metric</t>
  </si>
  <si>
    <t>Please select your Metric</t>
  </si>
  <si>
    <t>Other (please specify here)</t>
  </si>
  <si>
    <t>Please select your Revenue Proxy</t>
  </si>
  <si>
    <t>icon</t>
  </si>
  <si>
    <t>Icon name</t>
  </si>
  <si>
    <t>SRC</t>
  </si>
  <si>
    <t>Image</t>
  </si>
  <si>
    <t>local</t>
  </si>
  <si>
    <t>fx_getIcon(name)</t>
  </si>
  <si>
    <t>find</t>
  </si>
  <si>
    <t>https://img.icons8.com/ios/50/search--v1.png</t>
  </si>
  <si>
    <t>good</t>
  </si>
  <si>
    <t>https://img.icons8.com/fluency/48/thumb-up.png</t>
  </si>
  <si>
    <t>quotation</t>
  </si>
  <si>
    <t>https://img.icons8.com/ios-filled/50/quote-right.png</t>
  </si>
  <si>
    <t>right</t>
  </si>
  <si>
    <t>https://img.icons8.com/ios-glyphs/30/circled-right.png</t>
  </si>
  <si>
    <t>up</t>
  </si>
  <si>
    <t>https://img.icons8.com/ios-glyphs/90/circled-up-2.png</t>
  </si>
  <si>
    <t>down</t>
  </si>
  <si>
    <t>https://img.icons8.com/ios-glyphs/90/circled-down-2.png</t>
  </si>
  <si>
    <t>left</t>
  </si>
  <si>
    <t>https://img.icons8.com/ios-glyphs/90/circled-left.png</t>
  </si>
  <si>
    <t>plus</t>
  </si>
  <si>
    <t>https://img.icons8.com/ios-glyphs/90/add--v1.png</t>
  </si>
  <si>
    <t>alert</t>
  </si>
  <si>
    <t>https://img.icons8.com/ios-glyphs/90/error--v1.png</t>
  </si>
  <si>
    <t>link</t>
  </si>
  <si>
    <t>https://img.icons8.com/ios-glyphs/90/link--v1.png</t>
  </si>
  <si>
    <t>https://img.icons8.com/ios-glyphs/90/settings--v1.png</t>
  </si>
  <si>
    <t>edit</t>
  </si>
  <si>
    <t>https://img.icons8.com/ios-glyphs/90/edit--v1.png</t>
  </si>
  <si>
    <t>question</t>
  </si>
  <si>
    <t>https://img.icons8.com/ios-glyphs/90/help.png</t>
  </si>
  <si>
    <t>information</t>
  </si>
  <si>
    <t>https://img.icons8.com/ios-glyphs/90/info--v1.png</t>
  </si>
  <si>
    <t>tick</t>
  </si>
  <si>
    <t>https://img.icons8.com/ios-glyphs/90/ok--v1.png</t>
  </si>
  <si>
    <t>lock</t>
  </si>
  <si>
    <t>https://img.icons8.com/ios-glyphs/90/lock--v1.png</t>
  </si>
  <si>
    <t>unlock</t>
  </si>
  <si>
    <t>https://img.icons8.com/ios-glyphs/90/unlock.png</t>
  </si>
  <si>
    <t>select</t>
  </si>
  <si>
    <t>https://img.icons8.com/ios/50/expand-arrow--v2.png</t>
  </si>
  <si>
    <t>cvc</t>
  </si>
  <si>
    <t>https://www.cvc.com/media/w5tlvw0e/blue-logo.png</t>
  </si>
  <si>
    <t>view</t>
  </si>
  <si>
    <t>https://img.icons8.com/ios-glyphs/30/view-file.png</t>
  </si>
  <si>
    <t>Type I Adjustments Dropdown</t>
  </si>
  <si>
    <t>Data Validation String</t>
  </si>
  <si>
    <t>=XLOOKUP(TypeString,'Developer'!$B$157#,'Developer'!$B$158:'Developer'!$D$158,"")</t>
  </si>
  <si>
    <t>Named Ranges</t>
  </si>
  <si>
    <t>array_typeIAdj</t>
  </si>
  <si>
    <t>Please select from options</t>
  </si>
  <si>
    <t>array_typeIIAdj</t>
  </si>
  <si>
    <t>Type II Adjustment Dropdown</t>
  </si>
  <si>
    <t>Topline Metric</t>
  </si>
  <si>
    <t>Select, enter text or leave as blank</t>
  </si>
  <si>
    <t>Accounting Adjustments (incl. IFRS16 Adjustments)(Topline)</t>
  </si>
  <si>
    <t>Accounting Adjustments (incl. IFRS16 Adjustments)(Earning)</t>
  </si>
  <si>
    <t>Accounting Adjustments (incl. IFRS16 Adjustments)(Valuation)</t>
  </si>
  <si>
    <t>Full year impact of M&amp;A (incl. Spin-off) (Topline)</t>
  </si>
  <si>
    <t>Full year impact of M&amp;A (incl. Spin-off) (Earning)</t>
  </si>
  <si>
    <t>Full year impact of M&amp;A (incl. Spin-off) (Valuation)</t>
  </si>
  <si>
    <t>Excluding pending (not closed) deals (Annual Only) (Topline)</t>
  </si>
  <si>
    <t>Excluding pending (not closed) deals (Annual Only) (Earning)</t>
  </si>
  <si>
    <t>Excluding pending (not closed) deals (Annual Only) (Valuation)</t>
  </si>
  <si>
    <t>Including closed (not budgeted) deals (Annual Only) (Topline)</t>
  </si>
  <si>
    <t>Including closed (not budgeted) deals (Annual Only) (Earning)</t>
  </si>
  <si>
    <t>Including closed (not budgeted) deals (Annual Only) (Valuation)</t>
  </si>
  <si>
    <t>fx_countFxContains(Array, String)</t>
  </si>
  <si>
    <t>Scans the formula string of each cell in an array to check whether any contains the string. Returns 1 if positive, case insensitive</t>
  </si>
  <si>
    <t>=LAMBDA(Array,String,
    REDUCE(
        0,
        Array,
        LAMBDA(prev,current,
            prev+
            IFERROR(
                IF(
                    SEARCH(String,FORMULATEXT(current)) &gt; 0, 1, 0
                ),
                0
            )
        )
    )
)</t>
  </si>
  <si>
    <t>fx_countIsBlank(Array)</t>
  </si>
  <si>
    <t xml:space="preserve">Scans an given array to check whether any element is blank (empty string). </t>
  </si>
  <si>
    <t>=LAMBDA(array, reduce(0, array, LAMBDA(prev, current, prev +if(current="", 1, 0))))</t>
  </si>
  <si>
    <t>General Standing Sheet</t>
  </si>
  <si>
    <t>Function with Values</t>
  </si>
  <si>
    <t>Source</t>
  </si>
  <si>
    <t>Specify Field</t>
  </si>
  <si>
    <t>Company Field</t>
  </si>
  <si>
    <t>Company Name &amp; Team</t>
  </si>
  <si>
    <t>Chronograph</t>
  </si>
  <si>
    <t>display_name</t>
  </si>
  <si>
    <t>Type Of company</t>
  </si>
  <si>
    <t>is_public</t>
  </si>
  <si>
    <t>Fund Field</t>
  </si>
  <si>
    <t>Fund(s)</t>
  </si>
  <si>
    <t>fund:display_name</t>
  </si>
  <si>
    <t>Company Reporting Currency</t>
  </si>
  <si>
    <t>reporting_currency</t>
  </si>
  <si>
    <t>Main Fund Currency</t>
  </si>
  <si>
    <t>funds:reporting_currency</t>
  </si>
  <si>
    <t>Investment Field</t>
  </si>
  <si>
    <t>Investment Date</t>
  </si>
  <si>
    <t>Investment Date (POC)</t>
  </si>
  <si>
    <t>Financial year End</t>
  </si>
  <si>
    <t>Financial_year_end</t>
  </si>
  <si>
    <t>Business Description</t>
  </si>
  <si>
    <t>Medical claim mgmt services focused on IMEs for the workers compensation, automobile accident, and other end markets</t>
  </si>
  <si>
    <t>eFront</t>
  </si>
  <si>
    <t>External Classification</t>
  </si>
  <si>
    <t>What's this? Portfolio Classification? Green, red</t>
  </si>
  <si>
    <t xml:space="preserve">Deal Team </t>
  </si>
  <si>
    <t>DealTeam</t>
  </si>
  <si>
    <t>US, Healthcare, UK</t>
  </si>
  <si>
    <t>Sector / CPS Sector</t>
  </si>
  <si>
    <t>InvestmentOfficers</t>
  </si>
  <si>
    <t>Sylvia Qiu</t>
  </si>
  <si>
    <t>Deal Team</t>
  </si>
  <si>
    <t>AlternativeOfficer</t>
  </si>
  <si>
    <t>Bowen Chow</t>
  </si>
  <si>
    <t>MTMPreparedBy</t>
  </si>
  <si>
    <t>Sylvia Qiu, Steve Low &amp; Bowen Chow</t>
  </si>
  <si>
    <t>IPV</t>
  </si>
  <si>
    <t>Investment Metrics</t>
  </si>
  <si>
    <t>Date Entry</t>
  </si>
  <si>
    <t>Multiple At Entry</t>
  </si>
  <si>
    <t>Net Multiple at Entry (POC)</t>
  </si>
  <si>
    <t>Basis At Entry</t>
  </si>
  <si>
    <t>Basis of Entry (POC)</t>
  </si>
  <si>
    <t>Basis Amount Entry (POC)</t>
  </si>
  <si>
    <t>Gross Multiple at entry</t>
  </si>
  <si>
    <t>Gross Multiple at Entry (POC)</t>
  </si>
  <si>
    <t>Discount At entry</t>
  </si>
  <si>
    <t>Discount at Entry (POC)</t>
  </si>
  <si>
    <t>Net Multiple At entry</t>
  </si>
  <si>
    <t>Enterprise Value At entry</t>
  </si>
  <si>
    <t>Entry EV</t>
  </si>
  <si>
    <t>Net Debt At entry</t>
  </si>
  <si>
    <t>Net Debt at Entry (POC)</t>
  </si>
  <si>
    <t>FIR Expected Exit Year</t>
  </si>
  <si>
    <t>Exit Year [Base Case]</t>
  </si>
  <si>
    <t>FIR Expected MoM(LCY)</t>
  </si>
  <si>
    <t>MoM (Multiple of Money) FIR (POC)</t>
  </si>
  <si>
    <t>FIR Expected IRR(LCY)</t>
  </si>
  <si>
    <t>IRR (Internal Rate of Return) FIR (POC)</t>
  </si>
  <si>
    <t>FX Rates</t>
  </si>
  <si>
    <t>LCY to FCY FX rate (Current)</t>
  </si>
  <si>
    <t>IPV/Ask Vals team for orig source</t>
  </si>
  <si>
    <t>Investment Field (Time Series)</t>
  </si>
  <si>
    <t>CVC Diluted Ownership</t>
  </si>
  <si>
    <t>Valuation Date (current quarter end)</t>
  </si>
  <si>
    <t>Valuation Date (Last quarter end)</t>
  </si>
  <si>
    <t>Segmentation</t>
  </si>
  <si>
    <t>Preliminary List From PL</t>
  </si>
  <si>
    <t>Remove Following Itesm</t>
  </si>
  <si>
    <t>Add Prompt</t>
  </si>
  <si>
    <t>Top Line Name</t>
  </si>
  <si>
    <t>FORMULA</t>
  </si>
  <si>
    <t>Name</t>
  </si>
  <si>
    <t>Fetch data from staging</t>
  </si>
  <si>
    <t>LAMBDA</t>
  </si>
  <si>
    <t>CVC.GET</t>
  </si>
  <si>
    <t>Conditional Fomatting</t>
  </si>
  <si>
    <t>N/A</t>
  </si>
  <si>
    <t>Custom Metric Dropdown</t>
  </si>
  <si>
    <t>Company Picker</t>
  </si>
  <si>
    <t>COMPANY_NAME</t>
  </si>
  <si>
    <t>COMPANY_ENTITY_ID</t>
  </si>
  <si>
    <t>COMPANY_FISCAL_YEAR_END</t>
  </si>
  <si>
    <t>COMPANY_LOGO_URL</t>
  </si>
  <si>
    <t>Graphics test</t>
  </si>
  <si>
    <t>A Bathing Ape</t>
  </si>
  <si>
    <t>7ArUAIRq</t>
  </si>
  <si>
    <t>February 28</t>
  </si>
  <si>
    <t>ABG</t>
  </si>
  <si>
    <t>NXBCMIPD</t>
  </si>
  <si>
    <t>December 31</t>
  </si>
  <si>
    <t>ACB</t>
  </si>
  <si>
    <t>knzCbIkp</t>
  </si>
  <si>
    <t/>
  </si>
  <si>
    <t>AHAM</t>
  </si>
  <si>
    <t>knzCbIkz</t>
  </si>
  <si>
    <t>Aavas Financiers</t>
  </si>
  <si>
    <t>5ArUGIlw</t>
  </si>
  <si>
    <t>March 31</t>
  </si>
  <si>
    <t>Acronis</t>
  </si>
  <si>
    <t>MYdIBILK</t>
  </si>
  <si>
    <t>Advantage Solutions</t>
  </si>
  <si>
    <t>boqT9IGz</t>
  </si>
  <si>
    <t>Ahlsell</t>
  </si>
  <si>
    <t>PdGhEIWj</t>
  </si>
  <si>
    <t>Airalo</t>
  </si>
  <si>
    <t>rnWC6IYb</t>
  </si>
  <si>
    <t>Aleph</t>
  </si>
  <si>
    <t>RkbhNIgk</t>
  </si>
  <si>
    <t>Alvogen</t>
  </si>
  <si>
    <t>knzCbI2p</t>
  </si>
  <si>
    <t>Anchor Glass</t>
  </si>
  <si>
    <t>W06f9IkG</t>
  </si>
  <si>
    <t>Anqore</t>
  </si>
  <si>
    <t>OpzFxIBe</t>
  </si>
  <si>
    <t>April</t>
  </si>
  <si>
    <t>Q7ECAIqBk</t>
  </si>
  <si>
    <t>Arteria Networks</t>
  </si>
  <si>
    <t>gMXcDIX2k</t>
  </si>
  <si>
    <t>Asplundh</t>
  </si>
  <si>
    <t>xnyCnIYz</t>
  </si>
  <si>
    <t>Australian Venue Co</t>
  </si>
  <si>
    <t>5ArUGIDKW</t>
  </si>
  <si>
    <t>Avast</t>
  </si>
  <si>
    <t>W06f9IrPl</t>
  </si>
  <si>
    <t>Away Resorts</t>
  </si>
  <si>
    <t>RkbhNIbo</t>
  </si>
  <si>
    <t>BIP</t>
  </si>
  <si>
    <t>RkbhNIyX</t>
  </si>
  <si>
    <t>Bamboo Insurance</t>
  </si>
  <si>
    <t>eM6cAIWeO</t>
  </si>
  <si>
    <t>Bolt</t>
  </si>
  <si>
    <t>6nrCGIXao</t>
  </si>
  <si>
    <t>Breitling</t>
  </si>
  <si>
    <t>2ANUwI7P</t>
  </si>
  <si>
    <t>Bruin Sports Capital</t>
  </si>
  <si>
    <t>W06f9IbR</t>
  </si>
  <si>
    <t>C1</t>
  </si>
  <si>
    <t>0AnU0IKj</t>
  </si>
  <si>
    <t>CFGI</t>
  </si>
  <si>
    <t>PdGhEIPY</t>
  </si>
  <si>
    <t>Cary Group</t>
  </si>
  <si>
    <t>rnWC6IAo</t>
  </si>
  <si>
    <t>ChemicaInvest</t>
  </si>
  <si>
    <t>6nrCGI5</t>
  </si>
  <si>
    <t>Cohizon Life Sciences</t>
  </si>
  <si>
    <t>mnoC0I4m</t>
  </si>
  <si>
    <t>Comarch</t>
  </si>
  <si>
    <t>xnyCnIyb</t>
  </si>
  <si>
    <t>CompuGroup Medical</t>
  </si>
  <si>
    <t>ZypcrI2r</t>
  </si>
  <si>
    <t>Continental Foods</t>
  </si>
  <si>
    <t>YMXc5IMNv</t>
  </si>
  <si>
    <t>Cooper Consumer Health</t>
  </si>
  <si>
    <t>ynoCZIeo</t>
  </si>
  <si>
    <t>Corialis</t>
  </si>
  <si>
    <t>9ArUyIJW</t>
  </si>
  <si>
    <t>D-Marin</t>
  </si>
  <si>
    <t>XMYcYI6</t>
  </si>
  <si>
    <t>DFE Pharma</t>
  </si>
  <si>
    <t>MYdIBI7k</t>
  </si>
  <si>
    <t>DKV Mobility</t>
  </si>
  <si>
    <t>GbgFqIP</t>
  </si>
  <si>
    <t>DOC Generici</t>
  </si>
  <si>
    <t>XMYcYI6mM</t>
  </si>
  <si>
    <t>DTI</t>
  </si>
  <si>
    <t>pnqCvIjB0</t>
  </si>
  <si>
    <t>Dale Underwriting Partners</t>
  </si>
  <si>
    <t>KWXhLIN7</t>
  </si>
  <si>
    <t>Delly's</t>
  </si>
  <si>
    <t>ZypcrIJP</t>
  </si>
  <si>
    <t>Deoleo</t>
  </si>
  <si>
    <t>RkbhNIK7</t>
  </si>
  <si>
    <t>Domestic &amp; General</t>
  </si>
  <si>
    <t>L6pfZImY</t>
  </si>
  <si>
    <t>Douglas</t>
  </si>
  <si>
    <t>znRCxIK</t>
  </si>
  <si>
    <t>September 30</t>
  </si>
  <si>
    <t>Dream Games</t>
  </si>
  <si>
    <t>pnqCvIGa</t>
  </si>
  <si>
    <t>EcoVadis</t>
  </si>
  <si>
    <t>xnyCnIAB</t>
  </si>
  <si>
    <t>Elsan</t>
  </si>
  <si>
    <t>4ArUkIMY</t>
  </si>
  <si>
    <t>aMQc7I9a</t>
  </si>
  <si>
    <t>Ethniki Insurance</t>
  </si>
  <si>
    <t>DzbFGIEZ</t>
  </si>
  <si>
    <t>Etraveli</t>
  </si>
  <si>
    <t>dKWixIbz</t>
  </si>
  <si>
    <t>ExamWorks</t>
  </si>
  <si>
    <t>xnyCnIRR</t>
  </si>
  <si>
    <t>Exolum</t>
  </si>
  <si>
    <t>aMQc7IpJ</t>
  </si>
  <si>
    <t>Fast Logistics Group</t>
  </si>
  <si>
    <t>wldfeIZz</t>
  </si>
  <si>
    <t>Fidelis</t>
  </si>
  <si>
    <t>EGQCXIx</t>
  </si>
  <si>
    <t>FineToday</t>
  </si>
  <si>
    <t>YMXc5Ibn</t>
  </si>
  <si>
    <t>FutureLife</t>
  </si>
  <si>
    <t>aMQc7Inx</t>
  </si>
  <si>
    <t>GEMS Education</t>
  </si>
  <si>
    <t>eM6cAI0B</t>
  </si>
  <si>
    <t>August 31</t>
  </si>
  <si>
    <t>GLI</t>
  </si>
  <si>
    <t>XMYcYIBo</t>
  </si>
  <si>
    <t>Gaming1</t>
  </si>
  <si>
    <t>eM6cAIl0</t>
  </si>
  <si>
    <t>Genetic</t>
  </si>
  <si>
    <t>6nrCGIgm</t>
  </si>
  <si>
    <t>Good Choice</t>
  </si>
  <si>
    <t>PdGhEILO</t>
  </si>
  <si>
    <t>Gridspertise</t>
  </si>
  <si>
    <t>mnoC0Ibd</t>
  </si>
  <si>
    <t>Grupo GSH</t>
  </si>
  <si>
    <t>gMXcDIXAB</t>
  </si>
  <si>
    <t>Gujarat Titans</t>
  </si>
  <si>
    <t>wldfeIZQ</t>
  </si>
  <si>
    <t>Hargreaves Lansdown</t>
  </si>
  <si>
    <t>eM6cAIXM</t>
  </si>
  <si>
    <t>June 30</t>
  </si>
  <si>
    <t>HealthCare Global Enterprises</t>
  </si>
  <si>
    <t>PdGhEILq</t>
  </si>
  <si>
    <t>Hellenic Healthcare Group</t>
  </si>
  <si>
    <t>jMBcDIGR</t>
  </si>
  <si>
    <t>Hempel</t>
  </si>
  <si>
    <t>6nrCGIyL</t>
  </si>
  <si>
    <t>Hermes</t>
  </si>
  <si>
    <t>OpzFxIEP</t>
  </si>
  <si>
    <t>Icario</t>
  </si>
  <si>
    <t>ZypcrIOx</t>
  </si>
  <si>
    <t>International Schools Partnership</t>
  </si>
  <si>
    <t>onQCYIqBg</t>
  </si>
  <si>
    <t>Jagex</t>
  </si>
  <si>
    <t>wldfeI6G</t>
  </si>
  <si>
    <t>Jinuo Roadside Assistance</t>
  </si>
  <si>
    <t>5ArUGI99</t>
  </si>
  <si>
    <t>La Piadineria</t>
  </si>
  <si>
    <t>PdGhEIEg</t>
  </si>
  <si>
    <t>LaLiga</t>
  </si>
  <si>
    <t>AOosOI9d</t>
  </si>
  <si>
    <t>Ligue 1</t>
  </si>
  <si>
    <t>MYdIBIEK</t>
  </si>
  <si>
    <t>Lipton</t>
  </si>
  <si>
    <t>5ArUGILm</t>
  </si>
  <si>
    <t>M Group</t>
  </si>
  <si>
    <t>L6pfZIQm</t>
  </si>
  <si>
    <t>MBR</t>
  </si>
  <si>
    <t>eM6cAIY9</t>
  </si>
  <si>
    <t>Macromill</t>
  </si>
  <si>
    <t>eM6cAI4Y</t>
  </si>
  <si>
    <t>Mandom Corporation</t>
  </si>
  <si>
    <t>YMXc5IMgz</t>
  </si>
  <si>
    <t>Maticmind</t>
  </si>
  <si>
    <t>4ArUkILX</t>
  </si>
  <si>
    <t>MedRisk</t>
  </si>
  <si>
    <t>rnWC6IJE</t>
  </si>
  <si>
    <t>MediaOcean</t>
  </si>
  <si>
    <t>W06f9Ia</t>
  </si>
  <si>
    <t>Medivet</t>
  </si>
  <si>
    <t>0AnU0IAj</t>
  </si>
  <si>
    <t>April 30</t>
  </si>
  <si>
    <t>Mehiläinen</t>
  </si>
  <si>
    <t>ZypcrIeM</t>
  </si>
  <si>
    <t>Messer Industries</t>
  </si>
  <si>
    <t>9ArUyIjm9</t>
  </si>
  <si>
    <t>Monbake</t>
  </si>
  <si>
    <t>W06f9IJ2</t>
  </si>
  <si>
    <t>Moove</t>
  </si>
  <si>
    <t>KWXhLIJe</t>
  </si>
  <si>
    <t>Moto</t>
  </si>
  <si>
    <t>mnoC0Ira</t>
  </si>
  <si>
    <t>Multiversity</t>
  </si>
  <si>
    <t>MYdIBIa6</t>
  </si>
  <si>
    <t>NTL</t>
  </si>
  <si>
    <t>xnyCnIpx</t>
  </si>
  <si>
    <t>Namecheap</t>
  </si>
  <si>
    <t>ZypcrIRmo</t>
  </si>
  <si>
    <t>Naturgy</t>
  </si>
  <si>
    <t>qngCqIWW</t>
  </si>
  <si>
    <t>Neolith</t>
  </si>
  <si>
    <t>ynoCZI6o</t>
  </si>
  <si>
    <t>Neptune</t>
  </si>
  <si>
    <t>pnqCvIy</t>
  </si>
  <si>
    <t>NewDay</t>
  </si>
  <si>
    <t>boqT9IY</t>
  </si>
  <si>
    <t>Nirvana</t>
  </si>
  <si>
    <t>aMQc7I5E</t>
  </si>
  <si>
    <t>Oanda Global Corp</t>
  </si>
  <si>
    <t>eM6cAIQr</t>
  </si>
  <si>
    <t>Odevo</t>
  </si>
  <si>
    <t>AOosOIML</t>
  </si>
  <si>
    <t>Omada</t>
  </si>
  <si>
    <t>YMXc5IBn</t>
  </si>
  <si>
    <t>Ontic</t>
  </si>
  <si>
    <t>xnyCnIbj</t>
  </si>
  <si>
    <t>PDC Brands</t>
  </si>
  <si>
    <t>JgYCpIY0</t>
  </si>
  <si>
    <t>PIC</t>
  </si>
  <si>
    <t>AOosOIbx</t>
  </si>
  <si>
    <t>PKP Energetyka</t>
  </si>
  <si>
    <t>DzbFGIYW</t>
  </si>
  <si>
    <t>PPC</t>
  </si>
  <si>
    <t>L6pfZIze</t>
  </si>
  <si>
    <t>Packeta</t>
  </si>
  <si>
    <t>5ArUGIX6</t>
  </si>
  <si>
    <t>Panzani</t>
  </si>
  <si>
    <t>L6pfZIoY</t>
  </si>
  <si>
    <t>Partner in Pet Food</t>
  </si>
  <si>
    <t>MYdIBIod</t>
  </si>
  <si>
    <t>Paysafe</t>
  </si>
  <si>
    <t>wldfeI4z</t>
  </si>
  <si>
    <t>Petco</t>
  </si>
  <si>
    <t>gMXcDIor</t>
  </si>
  <si>
    <t>January 31</t>
  </si>
  <si>
    <t>PharmaResearch</t>
  </si>
  <si>
    <t>aMQc7IBR</t>
  </si>
  <si>
    <t>Phuong Chau</t>
  </si>
  <si>
    <t>xnyCnIpn</t>
  </si>
  <si>
    <t>Plus Company</t>
  </si>
  <si>
    <t>aMQc7I5Z</t>
  </si>
  <si>
    <t>Premier Rugby</t>
  </si>
  <si>
    <t>JgYCpIvv</t>
  </si>
  <si>
    <t>QA</t>
  </si>
  <si>
    <t>nnbCYINW</t>
  </si>
  <si>
    <t>May 31</t>
  </si>
  <si>
    <t>QSR</t>
  </si>
  <si>
    <t>mnoC0I4y</t>
  </si>
  <si>
    <t>RAC</t>
  </si>
  <si>
    <t>ynoCZIop</t>
  </si>
  <si>
    <t>RGI</t>
  </si>
  <si>
    <t>OpzFxIxP</t>
  </si>
  <si>
    <t>RKE</t>
  </si>
  <si>
    <t>MYdIBIdo</t>
  </si>
  <si>
    <t>Radwell</t>
  </si>
  <si>
    <t>Q7ECAI2</t>
  </si>
  <si>
    <t>Rayner Surgical Group Ltd</t>
  </si>
  <si>
    <t>DzbFGI9Z</t>
  </si>
  <si>
    <t>Razer</t>
  </si>
  <si>
    <t>eM6cAIQp</t>
  </si>
  <si>
    <t>Recordati</t>
  </si>
  <si>
    <t>KWXhLIvm</t>
  </si>
  <si>
    <t>Republic Finance</t>
  </si>
  <si>
    <t>nnbCYId9</t>
  </si>
  <si>
    <t>Resurs</t>
  </si>
  <si>
    <t>DzbFGI7P</t>
  </si>
  <si>
    <t>Riraku</t>
  </si>
  <si>
    <t>AOosOIZk</t>
  </si>
  <si>
    <t>RiverStone International</t>
  </si>
  <si>
    <t>0AnU0I4n</t>
  </si>
  <si>
    <t>Rossini (Recordati Holdco)</t>
  </si>
  <si>
    <t>jMBcDINn</t>
  </si>
  <si>
    <t>SD Worx</t>
  </si>
  <si>
    <t>AOosOIjX</t>
  </si>
  <si>
    <t>SEARI</t>
  </si>
  <si>
    <t>AOosOIZO</t>
  </si>
  <si>
    <t>STARK Group</t>
  </si>
  <si>
    <t>9ArUyImQ</t>
  </si>
  <si>
    <t>July 31</t>
  </si>
  <si>
    <t>Samator Indo Gas</t>
  </si>
  <si>
    <t>knzCbIXp</t>
  </si>
  <si>
    <t>Scan Global Logistics</t>
  </si>
  <si>
    <t>XMYcYIl2</t>
  </si>
  <si>
    <t>Sebia</t>
  </si>
  <si>
    <t>4ArUkI4P</t>
  </si>
  <si>
    <t>SheerID</t>
  </si>
  <si>
    <t>OpzFxI6K</t>
  </si>
  <si>
    <t>Siloam</t>
  </si>
  <si>
    <t>7ArUAIRQ</t>
  </si>
  <si>
    <t>Six Nations</t>
  </si>
  <si>
    <t>lnGCRIj2</t>
  </si>
  <si>
    <t>Skroutz</t>
  </si>
  <si>
    <t>2ANUwIxr</t>
  </si>
  <si>
    <t>Skybox Security</t>
  </si>
  <si>
    <t>pnqCvIaX</t>
  </si>
  <si>
    <t>Smiths Detection</t>
  </si>
  <si>
    <t>5ArUGIDzq</t>
  </si>
  <si>
    <t>Sogelink</t>
  </si>
  <si>
    <t>0AnU0IBm</t>
  </si>
  <si>
    <t>Sogo Medical Group</t>
  </si>
  <si>
    <t>gMXcDIJp</t>
  </si>
  <si>
    <t>Soho Global Health</t>
  </si>
  <si>
    <t>XMYcYIp2</t>
  </si>
  <si>
    <t>Sonae MC</t>
  </si>
  <si>
    <t>DzbFGIPm</t>
  </si>
  <si>
    <t>Spectrum Medical</t>
  </si>
  <si>
    <t>rnWC6IvE</t>
  </si>
  <si>
    <t>Star Vision</t>
  </si>
  <si>
    <t>mnoC0Ilq</t>
  </si>
  <si>
    <t>Stock Spirits</t>
  </si>
  <si>
    <t>ZypcrIqM</t>
  </si>
  <si>
    <t>Sunday Natural</t>
  </si>
  <si>
    <t>5ArUGI4p</t>
  </si>
  <si>
    <t>SuperStruct</t>
  </si>
  <si>
    <t>dKWixINx</t>
  </si>
  <si>
    <t>Synsam</t>
  </si>
  <si>
    <t>5ArUGIPN</t>
  </si>
  <si>
    <t>Syntegon</t>
  </si>
  <si>
    <t>jMBcDId6</t>
  </si>
  <si>
    <t>System C</t>
  </si>
  <si>
    <t>JgYCpI5x</t>
  </si>
  <si>
    <t>TMF Group</t>
  </si>
  <si>
    <t>BKGiwIWM</t>
  </si>
  <si>
    <t>TOPdesk</t>
  </si>
  <si>
    <t>xnyCnIx2</t>
  </si>
  <si>
    <t>TRY Group</t>
  </si>
  <si>
    <t>pnqCvI2X</t>
  </si>
  <si>
    <t>TechInsights</t>
  </si>
  <si>
    <t>PdGhEIlO</t>
  </si>
  <si>
    <t>Tendam</t>
  </si>
  <si>
    <t>lnGCRIPB</t>
  </si>
  <si>
    <t>Teneo</t>
  </si>
  <si>
    <t>nnbCYIQl</t>
  </si>
  <si>
    <t>The Medical City</t>
  </si>
  <si>
    <t>7ArUAIAP</t>
  </si>
  <si>
    <t>The Quality Group</t>
  </si>
  <si>
    <t>KWXhLIke</t>
  </si>
  <si>
    <t>Therakos</t>
  </si>
  <si>
    <t>OpzFxIRD</t>
  </si>
  <si>
    <t>Theramex</t>
  </si>
  <si>
    <t>qngCqIk</t>
  </si>
  <si>
    <t>Therme Horizon</t>
  </si>
  <si>
    <t>W06f9Irq7</t>
  </si>
  <si>
    <t>Tipico</t>
  </si>
  <si>
    <t>lnGCRI6A</t>
  </si>
  <si>
    <t>UAX</t>
  </si>
  <si>
    <t>gMXcDIl</t>
  </si>
  <si>
    <t>URUS</t>
  </si>
  <si>
    <t>rnWC6Im9</t>
  </si>
  <si>
    <t>Unily</t>
  </si>
  <si>
    <t>KWXhLIrm</t>
  </si>
  <si>
    <t>United Rugby Championship</t>
  </si>
  <si>
    <t>nnbCYIgD</t>
  </si>
  <si>
    <t>United Rugby Holdings</t>
  </si>
  <si>
    <t>vnpCXIZz</t>
  </si>
  <si>
    <t>UnitedLex Corp</t>
  </si>
  <si>
    <t>4ArUkIzv</t>
  </si>
  <si>
    <t>Unity</t>
  </si>
  <si>
    <t>Q7ECAINr</t>
  </si>
  <si>
    <t>VelocityEHS</t>
  </si>
  <si>
    <t>rnWC6Ibo</t>
  </si>
  <si>
    <t>Veritext</t>
  </si>
  <si>
    <t>ynoCZIqN</t>
  </si>
  <si>
    <t>Vitalia</t>
  </si>
  <si>
    <t>vnpCXIdP</t>
  </si>
  <si>
    <t>Vitech</t>
  </si>
  <si>
    <t>RkbhNIWA</t>
  </si>
  <si>
    <t>Vivartia</t>
  </si>
  <si>
    <t>onQCYIoE</t>
  </si>
  <si>
    <t>Vivartia (Arabatzis)</t>
  </si>
  <si>
    <t>2ANUwI4W</t>
  </si>
  <si>
    <t>Vivartia (Barbastathis)</t>
  </si>
  <si>
    <t>BKGiwI2O</t>
  </si>
  <si>
    <t>Vivartia (Delta)</t>
  </si>
  <si>
    <t>znRCxIzA</t>
  </si>
  <si>
    <t>Vivartia (Dodoni)</t>
  </si>
  <si>
    <t>MYdIBIkN</t>
  </si>
  <si>
    <t>Vivartia (Goody's Everest)</t>
  </si>
  <si>
    <t>GbgFqI6G</t>
  </si>
  <si>
    <t>Volleyball World</t>
  </si>
  <si>
    <t>onQCYIr5</t>
  </si>
  <si>
    <t>WTA</t>
  </si>
  <si>
    <t>7ArUAIoQ</t>
  </si>
  <si>
    <t>WWEX</t>
  </si>
  <si>
    <t>9ArUyINQ</t>
  </si>
  <si>
    <t>WebPros</t>
  </si>
  <si>
    <t>dKWixIwb</t>
  </si>
  <si>
    <t>Wireless Logic</t>
  </si>
  <si>
    <t>DzbFGIAM</t>
  </si>
  <si>
    <t>WithSecure</t>
  </si>
  <si>
    <t>ynoCZIJP0</t>
  </si>
  <si>
    <t>World of Talents</t>
  </si>
  <si>
    <t>knzCbIAO</t>
  </si>
  <si>
    <t>YiKang Pharmacy</t>
  </si>
  <si>
    <t>dKWixIdb</t>
  </si>
  <si>
    <t>Zabka</t>
  </si>
  <si>
    <t>NXBCMIrG</t>
  </si>
  <si>
    <t>twoday</t>
  </si>
  <si>
    <t>2ANUwIMr</t>
  </si>
  <si>
    <t>Staging: Profit and Loss (OpCo)</t>
  </si>
  <si>
    <t>CVC CX Metric Names</t>
  </si>
  <si>
    <t>CX Field Names</t>
  </si>
  <si>
    <t>CX Field Values</t>
  </si>
  <si>
    <t>Require</t>
  </si>
  <si>
    <t>Static Internal CVC COA</t>
  </si>
  <si>
    <t>Static values</t>
  </si>
  <si>
    <t>Formula driven  (No need update)</t>
  </si>
  <si>
    <t>Static metric names as a starting point</t>
  </si>
  <si>
    <t>Combining the dynamic and semi-dynamic fields (custom label - company specific row headers)</t>
  </si>
  <si>
    <t xml:space="preserve">Custom Company View
CXGET( Col C) </t>
  </si>
  <si>
    <t>Final Attribute Names to Fetch Numerical Data</t>
  </si>
  <si>
    <t>Financial Month</t>
  </si>
  <si>
    <t>Page Data Staging</t>
  </si>
  <si>
    <t>Global (Metric Name)</t>
  </si>
  <si>
    <t>Custom Label (Field Name)</t>
  </si>
  <si>
    <t>Custom Label (Field Value)</t>
  </si>
  <si>
    <t>DataFmt</t>
  </si>
  <si>
    <t>Req</t>
  </si>
  <si>
    <t>Net Revenue (Company View)</t>
  </si>
  <si>
    <t>PL Main ▸ Actual</t>
  </si>
  <si>
    <t>Cost of Sales (Company View)</t>
  </si>
  <si>
    <t>Gross Profit (Company View)</t>
  </si>
  <si>
    <t>Gross Margin %</t>
  </si>
  <si>
    <t>Gross Margin % (Company View)</t>
  </si>
  <si>
    <t>Operating Costs</t>
  </si>
  <si>
    <t>Operating Costs (Company View)</t>
  </si>
  <si>
    <t>Reported EBITDA (Company View)</t>
  </si>
  <si>
    <t>EBITDA Adjustment Type I - Label 1</t>
  </si>
  <si>
    <t>EBITDA Adjustment Type I - Label 2</t>
  </si>
  <si>
    <t>EBITDA Adjustment Type I - Label 3</t>
  </si>
  <si>
    <t>EBITDA Adjustment Type I - Label 4</t>
  </si>
  <si>
    <t>EBITDA Adjustment Type I - Label 5</t>
  </si>
  <si>
    <t>EBITDA Adjustment Type I - Label 6</t>
  </si>
  <si>
    <t>Adjusted EBITDA (Company View)</t>
  </si>
  <si>
    <t>Depreciation (Company View)</t>
  </si>
  <si>
    <t>Reported EBITA</t>
  </si>
  <si>
    <t>Reported EBITA (Company View)</t>
  </si>
  <si>
    <t>Amortization (Company View)</t>
  </si>
  <si>
    <t>Reported EBIT (Company View)</t>
  </si>
  <si>
    <t>Interest Expense</t>
  </si>
  <si>
    <t>Interest Expense (Company View)</t>
  </si>
  <si>
    <t>Other Items</t>
  </si>
  <si>
    <t>Other Items (Company View)</t>
  </si>
  <si>
    <t>Reported PBT</t>
  </si>
  <si>
    <t>Reported PBT (Company View)</t>
  </si>
  <si>
    <t>Tax (Company View)</t>
  </si>
  <si>
    <t>Net Profit</t>
  </si>
  <si>
    <t>Net Profit (Company View)</t>
  </si>
  <si>
    <t>Annual Recurring Revenue (Rolling 12 months) (Company View)</t>
  </si>
  <si>
    <t>PL Custom Metrics ▸ Actual</t>
  </si>
  <si>
    <t>Custom Metric Amount 1</t>
  </si>
  <si>
    <t>Custom Metric - Label 1</t>
  </si>
  <si>
    <t>Custom Metric Amount 2</t>
  </si>
  <si>
    <t>Custom Metric - Label 2</t>
  </si>
  <si>
    <t>Custom Metric Amount 3</t>
  </si>
  <si>
    <t>Custom Metric - Label 3</t>
  </si>
  <si>
    <t>Custom Metric Amount 4</t>
  </si>
  <si>
    <t>Custom Metric - Label 4</t>
  </si>
  <si>
    <t>Custom Metric Amount 5</t>
  </si>
  <si>
    <t>Custom Metric - Label 5</t>
  </si>
  <si>
    <t>Custom Metric Amount 6</t>
  </si>
  <si>
    <t>Custom Metric - Label 6</t>
  </si>
  <si>
    <t>Custom Metric Amount 7</t>
  </si>
  <si>
    <t>Custom Metric - Label 7</t>
  </si>
  <si>
    <t>Custom Metric Amount 8</t>
  </si>
  <si>
    <t>Custom Metric - Label 8</t>
  </si>
  <si>
    <t>Custom Metric Amount 9</t>
  </si>
  <si>
    <t>Custom Metric - Label 9</t>
  </si>
  <si>
    <t>Custom Metric Amount 1 [Calculated]</t>
  </si>
  <si>
    <t>Custom Metric - Label 1 [Calculated]</t>
  </si>
  <si>
    <t>PL Custom Metrics ▸ Actual (Automatic)</t>
  </si>
  <si>
    <t>Custom Metric Amount 2 [Calculated]</t>
  </si>
  <si>
    <t>Custom Metric - Label 2 [Calculated]</t>
  </si>
  <si>
    <t>Custom Metric Amount 3 [Calculated]</t>
  </si>
  <si>
    <t>Custom Metric - Label 3 [Calculated]</t>
  </si>
  <si>
    <t>Custom Metric Amount 4 [Calculated]</t>
  </si>
  <si>
    <t>Custom Metric - Label 4 [Calculated]</t>
  </si>
  <si>
    <t>Custom Metric Amount 5 [Calculated]</t>
  </si>
  <si>
    <t>Custom Metric - Label 5 [Calculated]</t>
  </si>
  <si>
    <t>Custom Metric Amount 6 [Calculated]</t>
  </si>
  <si>
    <t>Custom Metric - Label 6 [Calculated]</t>
  </si>
  <si>
    <t>Custom Metric Amount 7 [Calculated]</t>
  </si>
  <si>
    <t>Custom Metric - Label 7 [Calculated]</t>
  </si>
  <si>
    <t>Custom Metric Amount 8 [Calculated]</t>
  </si>
  <si>
    <t>Custom Metric - Label 8 [Calculated]</t>
  </si>
  <si>
    <t>Custom Metric Amount 9 [Calculated]</t>
  </si>
  <si>
    <t>Custom Metric - Label 9 [Calculated]</t>
  </si>
  <si>
    <t>Custom Metric Amount 10 [Calculated]</t>
  </si>
  <si>
    <t>Custom Metric - Label 10 [Calculated]</t>
  </si>
  <si>
    <t>PL Main ▸ Budget</t>
  </si>
  <si>
    <t>PL Custom Metrics ▸ Budget</t>
  </si>
  <si>
    <t>PL Custom Metrics ▸ Budget (Automatic)</t>
  </si>
  <si>
    <t>Organic Growth Breakdown Top Line Label</t>
  </si>
  <si>
    <t>o/w Inorganic Revenue</t>
  </si>
  <si>
    <t>o/w Organic Revenue</t>
  </si>
  <si>
    <t>o/w Organic Volume Growth</t>
  </si>
  <si>
    <t>o/w Organic Volume Growth - YTD</t>
  </si>
  <si>
    <t>of which Organic Top Line Volume Growth (LTM)</t>
  </si>
  <si>
    <t>Revenue Top Line Label</t>
  </si>
  <si>
    <t>Like-for-Like Adjustments (Top Line)</t>
  </si>
  <si>
    <t>Lfl Revenue Adjustment - Label 3</t>
  </si>
  <si>
    <t>Lfl Revenue Adjustment - Label 4</t>
  </si>
  <si>
    <t>Lfl Revenue Adjustment - Label 5</t>
  </si>
  <si>
    <t>Lfl Revenue Adjustment - Label 6</t>
  </si>
  <si>
    <t>Lfl Revenue Label</t>
  </si>
  <si>
    <t>Earning Metric (i.e. Adjusted EBITDA)</t>
  </si>
  <si>
    <t>Like-for-Like Adjustments (Earning)</t>
  </si>
  <si>
    <t>Earning Metric Label</t>
  </si>
  <si>
    <t>Earning Metric Adjustment Type II - Label 3</t>
  </si>
  <si>
    <t>Earning Metric Adjustment Type II - Label 4</t>
  </si>
  <si>
    <t>Earning Metric Adjustment Type II - Label 5</t>
  </si>
  <si>
    <t>Earning Metric Adjustment Type II - Label 6</t>
  </si>
  <si>
    <t>Adjusted Earning Label</t>
  </si>
  <si>
    <t>Like-for-Like Adjustments (Valuation)</t>
  </si>
  <si>
    <t>Valuation Metric Label</t>
  </si>
  <si>
    <t>Valuation Metric Adjustment Type II - Label 3</t>
  </si>
  <si>
    <t>Valuation Metric Adjustment Type II - Label 4</t>
  </si>
  <si>
    <t>Valuation Metric Adjustment Type II - Label 5</t>
  </si>
  <si>
    <t>Valuation Metric Adjustment Type II - Label 6</t>
  </si>
  <si>
    <t>Adjusted Valuation Label</t>
  </si>
  <si>
    <t>Segment I Name</t>
  </si>
  <si>
    <t>Segment I Breakdown Top Line Label</t>
  </si>
  <si>
    <t>Segment Analysis 1</t>
  </si>
  <si>
    <t>Segment I Breakdown - Label 1</t>
  </si>
  <si>
    <t>Segment I Breakdown - Label 2</t>
  </si>
  <si>
    <t>Segment I Breakdown - Label 3</t>
  </si>
  <si>
    <t>Segment I Breakdown - Label 4</t>
  </si>
  <si>
    <t>Segment I Breakdown - Label 5</t>
  </si>
  <si>
    <t>Segment I Breakdown - Label 6</t>
  </si>
  <si>
    <t>Sum of above Segments</t>
  </si>
  <si>
    <t>Segment II Name</t>
  </si>
  <si>
    <t>Segment Analysis 2</t>
  </si>
  <si>
    <t>Segment II Breakdown Top Line Label</t>
  </si>
  <si>
    <t>Segment II Breakdown - Label 1</t>
  </si>
  <si>
    <t>Segment II Breakdown - Label 2</t>
  </si>
  <si>
    <t>Segment II Breakdown - Label 3</t>
  </si>
  <si>
    <t>Segment II Breakdown - Label 4</t>
  </si>
  <si>
    <t>Segment II Breakdown - Label 5</t>
  </si>
  <si>
    <t>Segment II Breakdown - Label 6</t>
  </si>
  <si>
    <t>Segment III Name</t>
  </si>
  <si>
    <t>Segment Analysis 3</t>
  </si>
  <si>
    <t>Segment III Breakdown Top Line Label</t>
  </si>
  <si>
    <t>Segment III Breakdown - Label 1</t>
  </si>
  <si>
    <t>Segment III Breakdown - Label 2</t>
  </si>
  <si>
    <t>Segment III Breakdown - Label 3</t>
  </si>
  <si>
    <t>Segment III Breakdown - Label 4</t>
  </si>
  <si>
    <t>Segment III Breakdown - Label 5</t>
  </si>
  <si>
    <t>Segment III Breakdown - Label 6</t>
  </si>
  <si>
    <t>Segment IV Name</t>
  </si>
  <si>
    <t>Segment Analysis 4</t>
  </si>
  <si>
    <t>Segment IV Breakdown Top Line Label</t>
  </si>
  <si>
    <t>Segment IV Breakdown - Label 1</t>
  </si>
  <si>
    <t>Segment IV Breakdown - Label 2</t>
  </si>
  <si>
    <t>Segment IV Breakdown - Label 3</t>
  </si>
  <si>
    <t>Segment IV Breakdown - Label 4</t>
  </si>
  <si>
    <t>Segment IV Breakdown - Label 5</t>
  </si>
  <si>
    <t>Segment IV Breakdown - Label 6</t>
  </si>
  <si>
    <t>FY Budget &amp; Latest Estimate</t>
  </si>
  <si>
    <t>Custom Company View</t>
  </si>
  <si>
    <t>Query return from Col C</t>
  </si>
  <si>
    <t>CVC Standard CF A/C</t>
  </si>
  <si>
    <t>Non-Cash Adjustments (Company View)</t>
  </si>
  <si>
    <t>(Increase)/Decrease in NWC (Company View)</t>
  </si>
  <si>
    <t>Other Operating Cash Flows (Company View)</t>
  </si>
  <si>
    <t>Operating Cash Flow (Company View)</t>
  </si>
  <si>
    <t>Cash Tax (Company View)</t>
  </si>
  <si>
    <t>Capex (Company View)</t>
  </si>
  <si>
    <t>Exceptional/VCP/One-off Cash Flows (Company View)</t>
  </si>
  <si>
    <t>Unlevered Free Cash Flow (UFCF) (Company View)</t>
  </si>
  <si>
    <t>Cash Interest Expense (CIE) (Company View)</t>
  </si>
  <si>
    <t>Principal Repayments (Company View)</t>
  </si>
  <si>
    <t>Levered Free Cash Flow (LFCF) (Company View)</t>
  </si>
  <si>
    <t>Financing Proceeds (Company View)</t>
  </si>
  <si>
    <t>M&amp;A (Company View)</t>
  </si>
  <si>
    <t>Dividend Payments</t>
  </si>
  <si>
    <t>Dividend Payments (Company View)</t>
  </si>
  <si>
    <t>Other Financing Cash Flows (Company View)</t>
  </si>
  <si>
    <t>Unreconciled Cash Flows (Company View)</t>
  </si>
  <si>
    <t>Net Cash Flow (Company View)</t>
  </si>
  <si>
    <t>FY Budget</t>
  </si>
  <si>
    <t>BS1</t>
  </si>
  <si>
    <t>Fixed Assets</t>
  </si>
  <si>
    <t>Fixed Asset (Company View)</t>
  </si>
  <si>
    <t>BS2</t>
  </si>
  <si>
    <t>Intangible Assets</t>
  </si>
  <si>
    <t>Intangible Asset (Company View)</t>
  </si>
  <si>
    <t>BS3</t>
  </si>
  <si>
    <t>Other Non-current Asset (Company View)</t>
  </si>
  <si>
    <t>BS4</t>
  </si>
  <si>
    <t>Non-Current Assets</t>
  </si>
  <si>
    <t>Non-Current Asset (Company View)</t>
  </si>
  <si>
    <t>BS5</t>
  </si>
  <si>
    <t>Trade Receivable (Company View)</t>
  </si>
  <si>
    <t>BS6</t>
  </si>
  <si>
    <t>Accounts Payable</t>
  </si>
  <si>
    <t>Accounts Payable (Company View)</t>
  </si>
  <si>
    <t>BS7</t>
  </si>
  <si>
    <t>Inventory (Company View)</t>
  </si>
  <si>
    <t>BS8</t>
  </si>
  <si>
    <t>Other Net Working Capital (Company View)</t>
  </si>
  <si>
    <t>BS9</t>
  </si>
  <si>
    <t>Net Working Capital (NWC) (Company View)</t>
  </si>
  <si>
    <t>Other Assets</t>
  </si>
  <si>
    <t>Other Assets (Company View)</t>
  </si>
  <si>
    <t>Net Capital Employed</t>
  </si>
  <si>
    <t>Net Capital Employed (Company View)</t>
  </si>
  <si>
    <t>Senior Instrument(s) Amortising</t>
  </si>
  <si>
    <t>Senior Instrument(S) Amortising (Company View)</t>
  </si>
  <si>
    <t>Senior Instrument(S) 1 (Company View)</t>
  </si>
  <si>
    <t>Senior Instrument(s): e.g. Term Loan B or Senior Secured Notes</t>
  </si>
  <si>
    <t>Junior Instrument(S) (Company View)</t>
  </si>
  <si>
    <t>Junior Instrument(s): e.g. Second Lien (Junior) or Unsecured Notes</t>
  </si>
  <si>
    <t>Others Instrument(s) (Company View)</t>
  </si>
  <si>
    <t>Gross External Acquisition / Refi Debt</t>
  </si>
  <si>
    <t>Gross External Acquisition / Refi Debt (Company View)</t>
  </si>
  <si>
    <t>Accrued Interest (Company View)</t>
  </si>
  <si>
    <t>Drawn RCF (Company View)</t>
  </si>
  <si>
    <t>Gross External Debt (Company View)</t>
  </si>
  <si>
    <t>Cash &amp; Equivalents (Company View)</t>
  </si>
  <si>
    <t>Net External Debt (Company View)</t>
  </si>
  <si>
    <t>Pension Liabilities (on BS) (Company View)</t>
  </si>
  <si>
    <t>IFRS-16 Lease Liabilities (on BS) (Company View)</t>
  </si>
  <si>
    <t>Deferred Tax Assets / Liabilities (on BS)</t>
  </si>
  <si>
    <t>Deferred Tax Assets / Liabilities (Company View)</t>
  </si>
  <si>
    <t>Other debt Like items (on BS)</t>
  </si>
  <si>
    <t>Other debt Like items (on BS) (Company View)</t>
  </si>
  <si>
    <t>BS27</t>
  </si>
  <si>
    <t>Potential Debt Like Items (on BS)</t>
  </si>
  <si>
    <t>Potential Debt Like Items (Company View)</t>
  </si>
  <si>
    <t>Potential Debt Like Items</t>
  </si>
  <si>
    <t>Net (Debt) / Cash</t>
  </si>
  <si>
    <t>Net (Debt) / Cash (Company View)</t>
  </si>
  <si>
    <t>Net Debt / (Cash)</t>
  </si>
  <si>
    <t>Capitalised Fees (Company View)</t>
  </si>
  <si>
    <t>BS28</t>
  </si>
  <si>
    <t>Other Liabilities (Company View)</t>
  </si>
  <si>
    <t>Preferred Equity (Company View)</t>
  </si>
  <si>
    <t>BS29</t>
  </si>
  <si>
    <t>Net Assets / Total Equity</t>
  </si>
  <si>
    <t>Net Assets / Total Equity (Company View)</t>
  </si>
  <si>
    <t>BSB1</t>
  </si>
  <si>
    <t>BSB2</t>
  </si>
  <si>
    <t>BSB3</t>
  </si>
  <si>
    <t>BSB4</t>
  </si>
  <si>
    <t>BSB5</t>
  </si>
  <si>
    <t>BSB6</t>
  </si>
  <si>
    <t>BSB7</t>
  </si>
  <si>
    <t>BSB8</t>
  </si>
  <si>
    <t>BSB9</t>
  </si>
  <si>
    <t>BSB10</t>
  </si>
  <si>
    <t>BSB11</t>
  </si>
  <si>
    <t>BSB17</t>
  </si>
  <si>
    <t>BSB18</t>
  </si>
  <si>
    <t>BSB19</t>
  </si>
  <si>
    <t>BSB20</t>
  </si>
  <si>
    <t>BSB14</t>
  </si>
  <si>
    <t>BSB21</t>
  </si>
  <si>
    <t>BSB22</t>
  </si>
  <si>
    <t>ANNUAL</t>
  </si>
  <si>
    <t>MONTH</t>
  </si>
  <si>
    <t>Attributes</t>
  </si>
  <si>
    <t>Display Name</t>
  </si>
  <si>
    <t>DateValue</t>
  </si>
  <si>
    <t>Date/Value</t>
  </si>
  <si>
    <t>DateTime</t>
  </si>
  <si>
    <t>Time</t>
  </si>
  <si>
    <t>W</t>
  </si>
  <si>
    <t>$AB$1:$BD$211</t>
  </si>
  <si>
    <t>As Of Date</t>
  </si>
  <si>
    <t>Debt Repayment Schedule</t>
  </si>
  <si>
    <t>Objective</t>
  </si>
  <si>
    <t>Operating Company</t>
  </si>
  <si>
    <t>Expand (on row headers) to add/display repayment schedule.</t>
  </si>
  <si>
    <t>Opco | Debt</t>
  </si>
  <si>
    <t>Weighted Maturity (years) of Gross Acquisition debt</t>
  </si>
  <si>
    <t>LegalEntity</t>
  </si>
  <si>
    <t>Lookthrough</t>
  </si>
  <si>
    <t>Amt</t>
  </si>
  <si>
    <t>Weight</t>
  </si>
  <si>
    <t>Outstanding Balance</t>
  </si>
  <si>
    <t>Weight Avg Maturity</t>
  </si>
  <si>
    <t>Senior instrument(s) amortising</t>
  </si>
  <si>
    <t>Scheduled Amount</t>
  </si>
  <si>
    <t>Repayment Date</t>
  </si>
  <si>
    <t>Weight'd Avg Maturity</t>
  </si>
  <si>
    <t>Senior instrument(s) amortising Line</t>
  </si>
  <si>
    <t>YEARS REMAINING</t>
  </si>
  <si>
    <t>Senior Instrument(s) 1 Line</t>
  </si>
  <si>
    <t>Junior Instrument(s) Line</t>
  </si>
  <si>
    <t>Others Instrument(s) Line</t>
  </si>
  <si>
    <t>n/a</t>
  </si>
  <si>
    <t>Accrued Interest Line</t>
  </si>
  <si>
    <t>Drawn RCF Line</t>
  </si>
  <si>
    <t>Opco | Hedging Position</t>
  </si>
  <si>
    <t>OpCo Hedged / Fixed Rate Acquisition Debt</t>
  </si>
  <si>
    <t>Hedged /Fixed Rate Acquisition Debt</t>
  </si>
  <si>
    <t>Maturity Date</t>
  </si>
  <si>
    <t>Hedged /Fixed Rate Acquisition Debt Line</t>
  </si>
  <si>
    <r>
      <t xml:space="preserve">Holding Company </t>
    </r>
    <r>
      <rPr>
        <b/>
        <sz val="26"/>
        <color rgb="FFC00000"/>
        <rFont val="Arial"/>
        <family val="2"/>
        <scheme val="minor"/>
      </rPr>
      <t>(Monthly Task)</t>
    </r>
  </si>
  <si>
    <t>HoldCo | Debt &amp; Other Liabilities</t>
  </si>
  <si>
    <t>Holdco External Debt</t>
  </si>
  <si>
    <t>Holdco External Debt &amp; Others</t>
  </si>
  <si>
    <t>Holdco External Debt - Look Through Amount</t>
  </si>
  <si>
    <t>Holdco External Debt &amp; Others (Lookthrough)</t>
  </si>
  <si>
    <t>Holdco External Debt Line</t>
  </si>
  <si>
    <t>Legal Enttiy Name</t>
  </si>
  <si>
    <t>Legal name</t>
  </si>
  <si>
    <t>Look Through-ownership</t>
  </si>
  <si>
    <t>Holdco | RCF &amp; Cash</t>
  </si>
  <si>
    <t>HoldCo Drawn RCF and Cash</t>
  </si>
  <si>
    <t>HoldCo Drawn RCF and Cash - Look Through Amount</t>
  </si>
  <si>
    <t>HoldCo Draw RCF and Cash Look Through (for Fund Level Analysis)</t>
  </si>
  <si>
    <t>Entity</t>
  </si>
  <si>
    <t>Nominating Currency</t>
  </si>
  <si>
    <t>Amount Previous Collection</t>
  </si>
  <si>
    <t>HoldCo Drawn RCF and Cash Line</t>
  </si>
  <si>
    <t>HoldCo | Hedging Position</t>
  </si>
  <si>
    <t>HoldCo Hedged / Fixed Rate Acquisition Debt</t>
  </si>
  <si>
    <t>HoldCo Hedged /Fixed Rate Acquisition Debt Line</t>
  </si>
  <si>
    <t>Revolving Credit Facility (RCF) Analysis</t>
  </si>
  <si>
    <t>RCF Total Size</t>
  </si>
  <si>
    <t>Total Revolving Credit Facility - OpCo</t>
  </si>
  <si>
    <t>Total Revolving Credit Facility - HoldCo</t>
  </si>
  <si>
    <t xml:space="preserve">   </t>
  </si>
  <si>
    <t>Total RCF Size</t>
  </si>
  <si>
    <t>RCF Total Drawn &amp; Committed</t>
  </si>
  <si>
    <t>RCF drawn - OpCo</t>
  </si>
  <si>
    <t>RCF Drawn in Cash - OpCo</t>
  </si>
  <si>
    <t>RCF committed in LCs/Guarantees - OpCo</t>
  </si>
  <si>
    <t>Drawn RCF - HoldCo</t>
  </si>
  <si>
    <t>RCF drawn - Holdco</t>
  </si>
  <si>
    <t>Total RCF Drawn</t>
  </si>
  <si>
    <t>Total RCF Drawn %</t>
  </si>
  <si>
    <t>Total RCF Available</t>
  </si>
  <si>
    <t>RCF Total Available</t>
  </si>
  <si>
    <t>Total Available</t>
  </si>
  <si>
    <t>Total Available %</t>
  </si>
  <si>
    <t>Budget||Custom Metric 1 - Calculation (Budget)¶Budget|1|Please select a metric to start¶Budget|-1|Please select suitable scenarios and signs ¶Budget|1|¶Budget|1|¶Budget|1|¶Budget|1|¶Budget|0|Please name your custom metric</t>
  </si>
  <si>
    <t>Actual||Custom Metric 1 - Calculation (Actual)¶Actual|1|Please select a metric to start¶Actual|-1|Please select suitable scenarios and signs ¶Actual|1|¶Actual|1|¶Actual|1|¶Actual|1|¶Actual|0|Please name your custom metric</t>
  </si>
  <si>
    <t>Actual||Custom Metric 2 - Calculation (Actual)¶Actual|1|Please select a metric to start¶Actual|-1|Please select suitable scenarios and signs ¶Actual|1|¶Actual|1|¶Actual|1|¶Actual|1|¶Actual|0|Please name your custom metric</t>
  </si>
  <si>
    <t>Budget||Custom Metric 2 - Calculation (Budget)¶Budget|1|Please select a metric to start¶Budget|-1|Please select suitable scenarios and signs ¶Budget|1|¶Budget|1|¶Budget|1|¶Budget|1|¶Budget|0|Please name your custom metric</t>
  </si>
  <si>
    <t>Actual||Custom Metric 3 - Calculation (Actual)¶Actual|1|Please select a metric to start¶Actual|-1|Please select suitable scenarios and signs ¶Actual|1|¶Actual|1|¶Actual|1|¶Actual|1|¶Actual|0|Please name your custom metric</t>
  </si>
  <si>
    <t>Budget||Custom Metric 3 - Calculation (Budget)¶Budget|1|Please select a metric to start¶Budget|-1|Please select suitable scenarios and signs ¶Budget|1|¶Budget|1|¶Budget|1|¶Budget|1|¶Budget|0|Please name your custom metric</t>
  </si>
  <si>
    <t>Actual||Custom Metric 4 - Calculation (Actual)¶Actual|1|Please select a metric to start¶Actual|-1|Please select suitable scenarios and signs ¶Actual|1|¶Actual|1|¶Actual|1|¶Actual|1|¶Actual|0|Please name your custom metric</t>
  </si>
  <si>
    <t>Budget||Custom Metric 4 - Calculation (Budget)¶Budget|1|Please select a metric to start¶Budget|-1|Please select suitable scenarios and signs ¶Budget|1|¶Budget|1|¶Budget|1|¶Budget|1|¶Budget|0|Please name your custom metric</t>
  </si>
  <si>
    <t>Actual||Custom Metric 5 - Calculation (Actual)¶Actual|1|Please select a metric to start¶Actual|-1|Please select suitable scenarios and signs ¶Actual|1|¶Actual|1|¶Actual|1|¶Actual|1|¶Actual|0|Please name your custom metric</t>
  </si>
  <si>
    <t>Budget||Custom Metric 5 - Calculation (Budget)¶Budget|1|Please select a metric to start¶Budget|-1|Please select suitable scenarios and signs ¶Budget|1|¶Budget|1|¶Budget|1|¶Budget|1|¶Budget|0|Please name your custom metric</t>
  </si>
  <si>
    <t>2025-12-23T03:33:24.755Z</t>
  </si>
  <si>
    <t>unprotected</t>
  </si>
  <si>
    <t>CX Connected (Power Query)</t>
  </si>
  <si>
    <t>Manually Added Entry</t>
  </si>
  <si>
    <t>vnpCXIKbr</t>
  </si>
  <si>
    <t>Default Company Logo</t>
  </si>
  <si>
    <t>CX Object Attribute</t>
  </si>
  <si>
    <t>Line Type</t>
  </si>
  <si>
    <t>PUSHABLE?</t>
  </si>
  <si>
    <t>Actions</t>
  </si>
  <si>
    <t>CXPUSH</t>
  </si>
  <si>
    <t>CX PUSH</t>
  </si>
  <si>
    <t>Attributes &amp; Data Actions</t>
  </si>
  <si>
    <t>Years Away</t>
  </si>
  <si>
    <t>VALUE TO PUSH</t>
  </si>
  <si>
    <t>PUSH PREVIEW</t>
  </si>
  <si>
    <t>SINGLE TABULAR: REPAYMENT SCHEDULE</t>
  </si>
  <si>
    <t>PUSH Testing</t>
  </si>
  <si>
    <t>Data Staging (From CX GET)</t>
  </si>
  <si>
    <t>INSTRUMENT AMT</t>
  </si>
  <si>
    <t>CF SCHEDULE</t>
  </si>
  <si>
    <t>BALANCE AMT</t>
  </si>
  <si>
    <t>INSTRUMENT AMT (LOOK_THRU)</t>
  </si>
  <si>
    <t>CXGET</t>
  </si>
  <si>
    <t>Index</t>
  </si>
  <si>
    <t>Fund</t>
  </si>
  <si>
    <t>LCY</t>
  </si>
  <si>
    <t>Flash date</t>
  </si>
  <si>
    <t>IO completed date:</t>
  </si>
  <si>
    <t>Flash checks</t>
  </si>
  <si>
    <t>Consol checks</t>
  </si>
  <si>
    <t>Other: Please describe</t>
  </si>
  <si>
    <t>Gross External Acquisition debt</t>
  </si>
  <si>
    <t>Accrued Interest (if not captured above)</t>
  </si>
  <si>
    <t>Other debt</t>
  </si>
  <si>
    <t>Gross External Debt - Opco</t>
  </si>
  <si>
    <t>(-) Cash and Equivalents - Opco</t>
  </si>
  <si>
    <t>Net External Debt - Opco</t>
  </si>
  <si>
    <t>Weighted Maturity (years) of Gross Acquisition debt:</t>
  </si>
  <si>
    <t>Gross External Debt - Holdco</t>
  </si>
  <si>
    <t>(-) Cash and Equivalents - Holdco</t>
  </si>
  <si>
    <t>Net External Debt - Holdco</t>
  </si>
  <si>
    <t>Weighted Maturity (years) of Gross Acquisition debt (incl Holdco):</t>
  </si>
  <si>
    <t>Hedged/Fixed Rate Debt - Opco</t>
  </si>
  <si>
    <t>Hedged/Fixed Rate Debt - Holdco</t>
  </si>
  <si>
    <t>Hedged/Fixed Rate Acquisition Debt - Opco + Holdco</t>
  </si>
  <si>
    <t>Total RCF size</t>
  </si>
  <si>
    <t xml:space="preserve"> of which drawn in Cash</t>
  </si>
  <si>
    <t xml:space="preserve"> of which committed in LCs/ Guarantees</t>
  </si>
  <si>
    <t>Comments - Maturity, Hedging and RCF</t>
  </si>
  <si>
    <t>Senior Debt</t>
  </si>
  <si>
    <t>Junior Debt</t>
  </si>
  <si>
    <t>Other Debt</t>
  </si>
  <si>
    <t>Leases (if reporting on an IFRS-16 basis)</t>
  </si>
  <si>
    <t>Gross Debt for leverage</t>
  </si>
  <si>
    <t>(-) Cash and Equivalents</t>
  </si>
  <si>
    <t>Net Debt / (Cash) for leverage</t>
  </si>
  <si>
    <t>Net Leverage - Opco</t>
  </si>
  <si>
    <t>Net Leverage - Holdco</t>
  </si>
  <si>
    <t>Comments - Leverage</t>
  </si>
  <si>
    <t>Interest Coverage Ratio (LTM)</t>
  </si>
  <si>
    <t>FY Forecast Cash Interest Expense</t>
  </si>
  <si>
    <t>FY Forecast Adjusted EBITDA</t>
  </si>
  <si>
    <t>Interest Coverage Ratio (FY Forecast)</t>
  </si>
  <si>
    <t>Interest Coverage ratio (LQA)</t>
  </si>
  <si>
    <t>Comment if seasonal / lumpiness / exceptional</t>
  </si>
  <si>
    <t>FY Forecast Free Cash Flow</t>
  </si>
  <si>
    <t>FY Forecast Principal Repayments</t>
  </si>
  <si>
    <t>LTM Debt Service Cover Ratio (FY Forecast)</t>
  </si>
  <si>
    <t>ARR / Net Debt Cover Ratio - LTM</t>
  </si>
  <si>
    <t>ARR / Net Debt Cover Ratio</t>
  </si>
  <si>
    <t>Comments - Liquidity</t>
  </si>
  <si>
    <t>Does the deal have  1 or more Maintenance covenants?</t>
  </si>
  <si>
    <t>Is there a Springing covenant on the RCF?</t>
  </si>
  <si>
    <t>Springing threshold (% RCF drawn):</t>
  </si>
  <si>
    <t>If Springing covenant: Covenant tested? (Y/N)</t>
  </si>
  <si>
    <t>Covenant based on:</t>
  </si>
  <si>
    <t>Covenant level:</t>
  </si>
  <si>
    <t>Look forward Covenant level:</t>
  </si>
  <si>
    <t>Comments - Covenants</t>
  </si>
  <si>
    <t>Sum of error checks (please check if not zero):</t>
  </si>
  <si>
    <t>RESULT</t>
  </si>
  <si>
    <t>wldfeIdOY</t>
  </si>
  <si>
    <t>Dummy</t>
  </si>
  <si>
    <t>Prev Label</t>
  </si>
  <si>
    <t>funds:display_name</t>
  </si>
  <si>
    <t>Total Net Debt for leverage (OpCo)</t>
  </si>
  <si>
    <t>Total Net Debt for leverage (HoldCo)</t>
  </si>
  <si>
    <t>Total Gross Debt for leverage (OpCo)</t>
  </si>
  <si>
    <t>Cash and Equivalents (OpCo)</t>
  </si>
  <si>
    <t>RCF</t>
  </si>
  <si>
    <t>DebtOverview</t>
  </si>
  <si>
    <t>Page/ Source</t>
  </si>
  <si>
    <r>
      <t>Net Leverage</t>
    </r>
    <r>
      <rPr>
        <b/>
        <u val="singleAccounting"/>
        <sz val="11"/>
        <color theme="2" tint="-0.749979972839355"/>
        <rFont val="Arial"/>
        <family val="2"/>
        <scheme val="minor"/>
      </rPr>
      <t xml:space="preserve"> (OpCo)</t>
    </r>
  </si>
  <si>
    <r>
      <t xml:space="preserve">Net Leverage </t>
    </r>
    <r>
      <rPr>
        <b/>
        <u val="singleAccounting"/>
        <sz val="10"/>
        <color theme="2" tint="-0.749979972839355"/>
        <rFont val="Arial"/>
        <family val="2"/>
        <scheme val="minor"/>
      </rPr>
      <t>(HoldCo)</t>
    </r>
  </si>
  <si>
    <t>Liquidity Comments</t>
  </si>
  <si>
    <t>Comment</t>
  </si>
  <si>
    <t>Covenant Basis</t>
  </si>
  <si>
    <t>CF Dated</t>
  </si>
  <si>
    <t>Total add-up</t>
  </si>
  <si>
    <t>Not Used</t>
  </si>
  <si>
    <t>Linked Value</t>
  </si>
  <si>
    <t>Weight Avg Maturity - Senior instrument(s) amortising: e.g. Term Loan A</t>
  </si>
  <si>
    <t>Weight Avg Maturity - Senior Instrument(s): e.g. Term Loan B or Senior Secured Notes</t>
  </si>
  <si>
    <t>Weight Avg Maturity - Junior Instrument(s): e.g. Second Lien (Junior) or Unsecured Notes</t>
  </si>
  <si>
    <t>Weight Avg Maturity - Others Instrument(s)</t>
  </si>
  <si>
    <t>Weight Avg Maturity - Holdco External Debt &amp; Others</t>
  </si>
  <si>
    <t>Weight Avg Maturity - Hedged /Fixed Rate Acquisition Debt</t>
  </si>
  <si>
    <t>Weight Avg Maturity - HoldCo Hedged / Fixed Rate Acquisition Debt</t>
  </si>
  <si>
    <t>of which drawn in Cash - OpCo</t>
  </si>
  <si>
    <t>of which committed in LCs/Guarantees - OpCo</t>
  </si>
  <si>
    <t>DebtRatio</t>
  </si>
  <si>
    <t>New Index</t>
  </si>
  <si>
    <t>INCLUSION</t>
  </si>
  <si>
    <t>List of Target Instruments</t>
  </si>
  <si>
    <t>CF Pivot</t>
  </si>
  <si>
    <t>Tabular Database</t>
  </si>
  <si>
    <t>Page Navigation</t>
  </si>
  <si>
    <t>B - D</t>
  </si>
  <si>
    <t>CX Get Staging</t>
  </si>
  <si>
    <t>G - O</t>
  </si>
  <si>
    <t>Main Screen User</t>
  </si>
  <si>
    <t>V-AS</t>
  </si>
  <si>
    <t>Push Preview</t>
  </si>
  <si>
    <t>AZ - BG</t>
  </si>
  <si>
    <t>Single Table output</t>
  </si>
  <si>
    <t>Pivot by year summary</t>
  </si>
  <si>
    <t>Configuration</t>
  </si>
  <si>
    <t>BJ - CD</t>
  </si>
  <si>
    <t>CODE</t>
  </si>
  <si>
    <t>OPCO-EXTDEBT-SI1</t>
  </si>
  <si>
    <t>OPCO-EXTDEBT-SI2</t>
  </si>
  <si>
    <t>OPCO-EXTDEBT-JUN</t>
  </si>
  <si>
    <t>OPCO-EXTDEBT-OTHER</t>
  </si>
  <si>
    <t>PARENT</t>
  </si>
  <si>
    <t>OPCO-EXTDEBT-GROSSEXTDEBT</t>
  </si>
  <si>
    <t>HOLDCO-EXTDEBT</t>
  </si>
  <si>
    <t>HOLDCO-DRAWNRCF</t>
  </si>
  <si>
    <t>MEMO-FIXEDDEBT-OPCO</t>
  </si>
  <si>
    <t>MEMO-FIXEDDEBT-HOLDCO</t>
  </si>
  <si>
    <t>MEMO-FIXEDDEBT-ACQDEBT</t>
  </si>
  <si>
    <t>HOLDCO-GROSSEXTDEBT</t>
  </si>
  <si>
    <t>HOLDCO-OTHER</t>
  </si>
  <si>
    <t>Company Selector</t>
  </si>
  <si>
    <t>Capitalized development costs (IAS 38)</t>
  </si>
  <si>
    <t>Accounting Policy Related</t>
  </si>
  <si>
    <t>Capitalized commissions (IFRS 15)</t>
  </si>
  <si>
    <t>Capitalised software development costs</t>
  </si>
  <si>
    <t>Deferred sales commissions / contract acquisition costs</t>
  </si>
  <si>
    <t>Push</t>
  </si>
  <si>
    <t>Flash Task Date Push</t>
  </si>
  <si>
    <t>https://chronograph-documents-cvc.s3-accelerate.amazonaws.com/production/images/clearbit_logo__bape_com-1684152625460.png?X-Amz-Algorithm=AWS4-HMAC-SHA256&amp;X-Amz-Credential=AKIAYPPVAWWRDQNNAUFH%2F20260126%2Feu-west-2%2Fs3%2Faws4_request&amp;X-Amz-Date=20260126T030001Z&amp;X-Amz-Expires=604800&amp;X-Amz-Signature=2eab579c190d2f682312bf16b773b1a8c1aae6f526eca4a6a074c89b22e7005b&amp;X-Amz-SignedHeaders=host</t>
  </si>
  <si>
    <t>https://chronograph-documents-cvc.s3-accelerate.amazonaws.com/production/images/clearbit_logo__authentic_com-1678111235066.png?X-Amz-Algorithm=AWS4-HMAC-SHA256&amp;X-Amz-Credential=AKIAYPPVAWWRDQNNAUFH%2F20260126%2Feu-west-2%2Fs3%2Faws4_request&amp;X-Amz-Date=20260126T030001Z&amp;X-Amz-Expires=604800&amp;X-Amz-Signature=00d874cd77f4b2ee54e3b4f5384418c5ea21412c851868a848767c2cfd37f350&amp;X-Amz-SignedHeaders=host</t>
  </si>
  <si>
    <t>https://chronograph-documents-cvc.s3-accelerate.amazonaws.com/production/images/acb-1684164870948.png?X-Amz-Algorithm=AWS4-HMAC-SHA256&amp;X-Amz-Credential=AKIAYPPVAWWRDQNNAUFH%2F20260126%2Feu-west-2%2Fs3%2Faws4_request&amp;X-Amz-Date=20260126T030001Z&amp;X-Amz-Expires=604800&amp;X-Amz-Signature=b523202c3c9ccad68d054a15a5132e9d8a55b8f8e79fbe569098acc986a70f55&amp;X-Amz-SignedHeaders=host</t>
  </si>
  <si>
    <t>https://chronograph-documents-cvc.s3-accelerate.amazonaws.com/production/images/aham-capital-262x137px-1684165614535.png?X-Amz-Algorithm=AWS4-HMAC-SHA256&amp;X-Amz-Credential=AKIAYPPVAWWRDQNNAUFH%2F20260126%2Feu-west-2%2Fs3%2Faws4_request&amp;X-Amz-Date=20260126T030001Z&amp;X-Amz-Expires=604800&amp;X-Amz-Signature=01a04ce82edb7984eff3dece6a76732008c161443518728819826fef47ab97a4&amp;X-Amz-SignedHeaders=host</t>
  </si>
  <si>
    <t>https://chronograph-documents-cvc.s3-accelerate.amazonaws.com/production/images/aavas-logo-1743072113606.png?X-Amz-Algorithm=AWS4-HMAC-SHA256&amp;X-Amz-Credential=AKIAYPPVAWWRDQNNAUFH%2F20260126%2Feu-west-2%2Fs3%2Faws4_request&amp;X-Amz-Date=20260126T030001Z&amp;X-Amz-Expires=604800&amp;X-Amz-Signature=51e6d2d04a6faa31fe16c3bcedb4acabeb264b1057298ad55e9e95daa07b4e6e&amp;X-Amz-SignedHeaders=host</t>
  </si>
  <si>
    <t>https://chronograph-documents-cvc.s3-accelerate.amazonaws.com/production/images/clearbit_logo__www_acronis.com-1677172255437.png?X-Amz-Algorithm=AWS4-HMAC-SHA256&amp;X-Amz-Credential=AKIAYPPVAWWRDQNNAUFH%2F20260126%2Feu-west-2%2Fs3%2Faws4_request&amp;X-Amz-Date=20260126T030001Z&amp;X-Amz-Expires=604800&amp;X-Amz-Signature=d46a44829430240cd9f42d2b1ef87661d026d9243b8fee187113a33f25aff01a&amp;X-Amz-SignedHeaders=host</t>
  </si>
  <si>
    <t>https://chronograph-documents-cvc.s3-accelerate.amazonaws.com/production/images/advantage-1687956863300.png?X-Amz-Algorithm=AWS4-HMAC-SHA256&amp;X-Amz-Credential=AKIAYPPVAWWRDQNNAUFH%2F20260126%2Feu-west-2%2Fs3%2Faws4_request&amp;X-Amz-Date=20260126T030001Z&amp;X-Amz-Expires=604800&amp;X-Amz-Signature=f6a66f0c92a0d303f0803a66d84e074a308597398ae7603990cd6ddeb5453253&amp;X-Amz-SignedHeaders=host</t>
  </si>
  <si>
    <t>https://chronograph-documents-cvc.s3-accelerate.amazonaws.com/production/images/clearbit_logo__www_ahlsell.com-1677172284051.png?X-Amz-Algorithm=AWS4-HMAC-SHA256&amp;X-Amz-Credential=AKIAYPPVAWWRDQNNAUFH%2F20260126%2Feu-west-2%2Fs3%2Faws4_request&amp;X-Amz-Date=20260126T030001Z&amp;X-Amz-Expires=604800&amp;X-Amz-Signature=3a8e81615ddc53923c540542bf93eec4c0ea0b092a7e176d6c35b2f71ea715f9&amp;X-Amz-SignedHeaders=host</t>
  </si>
  <si>
    <t>https://chronograph-documents-cvc.s3-accelerate.amazonaws.com/production/images/clearbit_logo__www_airalo.com-1752136900893.png?X-Amz-Algorithm=AWS4-HMAC-SHA256&amp;X-Amz-Credential=AKIAYPPVAWWRDQNNAUFH%2F20260126%2Feu-west-2%2Fs3%2Faws4_request&amp;X-Amz-Date=20260126T030001Z&amp;X-Amz-Expires=604800&amp;X-Amz-Signature=f28b2be77ac04113b4d413abf075aa56857450047d39f532fdf93297ba53e09e&amp;X-Amz-SignedHeaders=host</t>
  </si>
  <si>
    <t>https://chronograph-documents-cvc.s3-accelerate.amazonaws.com/production/images/clearbit_logo__aleph_com-1678111245629.png?X-Amz-Algorithm=AWS4-HMAC-SHA256&amp;X-Amz-Credential=AKIAYPPVAWWRDQNNAUFH%2F20260126%2Feu-west-2%2Fs3%2Faws4_request&amp;X-Amz-Date=20260126T030001Z&amp;X-Amz-Expires=604800&amp;X-Amz-Signature=0fb644d30497fd3ef0209a0dfeadca8faff844d9e1092d938407d50a0ed6b8b6&amp;X-Amz-SignedHeaders=host</t>
  </si>
  <si>
    <t>https://chronograph-documents-cvc.s3-accelerate.amazonaws.com/production/images/alvogen-1687956795144.png?X-Amz-Algorithm=AWS4-HMAC-SHA256&amp;X-Amz-Credential=AKIAYPPVAWWRDQNNAUFH%2F20260126%2Feu-west-2%2Fs3%2Faws4_request&amp;X-Amz-Date=20260126T030001Z&amp;X-Amz-Expires=604800&amp;X-Amz-Signature=be3028a93c2bbbb4e7765814155714e188ab815b0a0758f921f67c1856b3586c&amp;X-Amz-SignedHeaders=host</t>
  </si>
  <si>
    <t>https://chronograph-documents-cvc.s3-accelerate.amazonaws.com/production/images/clearbit_logo__anchorglass_com-1663061469637.png?X-Amz-Algorithm=AWS4-HMAC-SHA256&amp;X-Amz-Credential=AKIAYPPVAWWRDQNNAUFH%2F20260126%2Feu-west-2%2Fs3%2Faws4_request&amp;X-Amz-Date=20260126T030001Z&amp;X-Amz-Expires=604800&amp;X-Amz-Signature=582c98b3f30a2e3f5f515996ece8a4cbabcfb04f9a48c6bccd145cf56479c038&amp;X-Amz-SignedHeaders=host</t>
  </si>
  <si>
    <t>https://chronograph-documents-cvc.s3-accelerate.amazonaws.com/production/images/AnQore-Colour-Logo-1678462932000.png?X-Amz-Algorithm=AWS4-HMAC-SHA256&amp;X-Amz-Credential=AKIAYPPVAWWRDQNNAUFH%2F20260126%2Feu-west-2%2Fs3%2Faws4_request&amp;X-Amz-Date=20260126T030001Z&amp;X-Amz-Expires=604800&amp;X-Amz-Signature=56f6a1f4d51bc8aa81c33142c9d01c710728a4ee925b600d4f015887d8a2eb78&amp;X-Amz-SignedHeaders=host</t>
  </si>
  <si>
    <t>https://chronograph-documents-cvc.s3-accelerate.amazonaws.com/production/images/clearbit_logo__www_aprilasia.com-1757585822533.png?X-Amz-Algorithm=AWS4-HMAC-SHA256&amp;X-Amz-Credential=AKIAYPPVAWWRDQNNAUFH%2F20260126%2Feu-west-2%2Fs3%2Faws4_request&amp;X-Amz-Date=20260126T030001Z&amp;X-Amz-Expires=604800&amp;X-Amz-Signature=b4d99ea712d702ce6a09c84bb4bfba4f3acd460e816d909fc27de8e5ef5c6d76&amp;X-Amz-SignedHeaders=host</t>
  </si>
  <si>
    <t>https://chronograph-documents-cvc.s3-accelerate.amazonaws.com/production/images/clearbit_logo__www_arteria-net.com-1757586262803.png?X-Amz-Algorithm=AWS4-HMAC-SHA256&amp;X-Amz-Credential=AKIAYPPVAWWRDQNNAUFH%2F20260126%2Feu-west-2%2Fs3%2Faws4_request&amp;X-Amz-Date=20260126T030001Z&amp;X-Amz-Expires=604800&amp;X-Amz-Signature=2cf38ac59cd752ebd0c6b90271aef47c17e8c6460c106e7395c56fdd55a9aed5&amp;X-Amz-SignedHeaders=host</t>
  </si>
  <si>
    <t>https://chronograph-documents-cvc.s3-accelerate.amazonaws.com/production/images/clearbit_logo__asplundh_com-1677237878514.png?X-Amz-Algorithm=AWS4-HMAC-SHA256&amp;X-Amz-Credential=AKIAYPPVAWWRDQNNAUFH%2F20260126%2Feu-west-2%2Fs3%2Faws4_request&amp;X-Amz-Date=20260126T030001Z&amp;X-Amz-Expires=604800&amp;X-Amz-Signature=bd5bff751b47d858670b6524d7f65e9f03ca19c60e628dec0343c53418aa241c&amp;X-Amz-SignedHeaders=host</t>
  </si>
  <si>
    <t>https://chronograph-documents-cvc.s3-accelerate.amazonaws.com/production/images/clearbit_logo__www_ausvenueco.com.au-1755269055929.png?X-Amz-Algorithm=AWS4-HMAC-SHA256&amp;X-Amz-Credential=AKIAYPPVAWWRDQNNAUFH%2F20260126%2Feu-west-2%2Fs3%2Faws4_request&amp;X-Amz-Date=20260126T030001Z&amp;X-Amz-Expires=604800&amp;X-Amz-Signature=e8ef86ec78532044b16357ed513edad8ab3967961e2230eca6dc63194496d4ac&amp;X-Amz-SignedHeaders=host</t>
  </si>
  <si>
    <t>https://chronograph-documents-cvc.s3-accelerate.amazonaws.com/production/images/clearbit_logo__www_avast.com-1757586277106.png?X-Amz-Algorithm=AWS4-HMAC-SHA256&amp;X-Amz-Credential=AKIAYPPVAWWRDQNNAUFH%2F20260126%2Feu-west-2%2Fs3%2Faws4_request&amp;X-Amz-Date=20260126T030001Z&amp;X-Amz-Expires=604800&amp;X-Amz-Signature=3b49aa8dc9db873f626a7733603b41f0b36fda8997c82483361faa3efa6a61d2&amp;X-Amz-SignedHeaders=host</t>
  </si>
  <si>
    <t>https://chronograph-documents-cvc.s3-accelerate.amazonaws.com/production/images/clearbit_logo__www_awayresorts.co.uk-1663057558163.png?X-Amz-Algorithm=AWS4-HMAC-SHA256&amp;X-Amz-Credential=AKIAYPPVAWWRDQNNAUFH%2F20260126%2Feu-west-2%2Fs3%2Faws4_request&amp;X-Amz-Date=20260126T030001Z&amp;X-Amz-Expires=604800&amp;X-Amz-Signature=766231ed9b10e57f820ee0061d81f7cfbab6e488a9c3f34071ce4ea7ebcd3b6b&amp;X-Amz-SignedHeaders=host</t>
  </si>
  <si>
    <t>https://chronograph-documents-cvc.s3-accelerate.amazonaws.com/production/images/clearbit_logo__www_bip-group.com-1676975861704.png?X-Amz-Algorithm=AWS4-HMAC-SHA256&amp;X-Amz-Credential=AKIAYPPVAWWRDQNNAUFH%2F20260126%2Feu-west-2%2Fs3%2Faws4_request&amp;X-Amz-Date=20260126T030001Z&amp;X-Amz-Expires=604800&amp;X-Amz-Signature=96204c422dc76a45900d4261d07138ced0f99093cb25b00720e4b53553dde167&amp;X-Amz-SignedHeaders=host</t>
  </si>
  <si>
    <t>https://chronograph-documents-cvc.s3-accelerate.amazonaws.com/production/images/clearbit_logo__bambooinsurance_com-1762180032093.png?X-Amz-Algorithm=AWS4-HMAC-SHA256&amp;X-Amz-Credential=AKIAYPPVAWWRDQNNAUFH%2F20260126%2Feu-west-2%2Fs3%2Faws4_request&amp;X-Amz-Date=20260126T030001Z&amp;X-Amz-Expires=604800&amp;X-Amz-Signature=aa64c15ca3d975263a614b4c1cd4abbef79376395f96b8e50c281a4cc5023af9&amp;X-Amz-SignedHeaders=host</t>
  </si>
  <si>
    <t>https://chronograph-documents-cvc.s3-accelerate.amazonaws.com/production/images/F1FQgkjG53MM5I2j83xwel0nd3E1615465363465_200x200-1757586427890.png?X-Amz-Algorithm=AWS4-HMAC-SHA256&amp;X-Amz-Credential=AKIAYPPVAWWRDQNNAUFH%2F20260126%2Feu-west-2%2Fs3%2Faws4_request&amp;X-Amz-Date=20260126T030001Z&amp;X-Amz-Expires=604800&amp;X-Amz-Signature=2147230c62aa257a21b3e5d1301780849476d932e143d0f74bdcfccc9a7a50c8&amp;X-Amz-SignedHeaders=host</t>
  </si>
  <si>
    <t>https://chronograph-documents-cvc.s3-accelerate.amazonaws.com/production/images/clearbit_logo__www_breitling.com-1677246155832.png?X-Amz-Algorithm=AWS4-HMAC-SHA256&amp;X-Amz-Credential=AKIAYPPVAWWRDQNNAUFH%2F20260126%2Feu-west-2%2Fs3%2Faws4_request&amp;X-Amz-Date=20260126T030001Z&amp;X-Amz-Expires=604800&amp;X-Amz-Signature=515e5cfe1a6e373202a7a447dd8a62c77a5cebfe338df42afb996e69f3b19c4a&amp;X-Amz-SignedHeaders=host</t>
  </si>
  <si>
    <t>https://chronograph-documents-cvc.s3-accelerate.amazonaws.com/production/images/bruin-1687956917372.png?X-Amz-Algorithm=AWS4-HMAC-SHA256&amp;X-Amz-Credential=AKIAYPPVAWWRDQNNAUFH%2F20260126%2Feu-west-2%2Fs3%2Faws4_request&amp;X-Amz-Date=20260126T030001Z&amp;X-Amz-Expires=604800&amp;X-Amz-Signature=83376479ef15fa6f8b9f968417fb1c0f6bb5ba0df20c1f7b5918f72766772178&amp;X-Amz-SignedHeaders=host</t>
  </si>
  <si>
    <t>https://chronograph-documents-cvc.s3-accelerate.amazonaws.com/production/images/clearbit_logo__www_convergeone.com-1677172327043.png?X-Amz-Algorithm=AWS4-HMAC-SHA256&amp;X-Amz-Credential=AKIAYPPVAWWRDQNNAUFH%2F20260126%2Feu-west-2%2Fs3%2Faws4_request&amp;X-Amz-Date=20260126T030001Z&amp;X-Amz-Expires=604800&amp;X-Amz-Signature=e27ab70e9d1afd6583c7f452d63df1c73b0e10b5b8608041dd11a00bb60ffd09&amp;X-Amz-SignedHeaders=host</t>
  </si>
  <si>
    <t>https://chronograph-documents-cvc.s3-accelerate.amazonaws.com/production/images/clearbit_logo__www_cfgi.com-1677248311745.png?X-Amz-Algorithm=AWS4-HMAC-SHA256&amp;X-Amz-Credential=AKIAYPPVAWWRDQNNAUFH%2F20260126%2Feu-west-2%2Fs3%2Faws4_request&amp;X-Amz-Date=20260126T030001Z&amp;X-Amz-Expires=604800&amp;X-Amz-Signature=730a33618a629efaa609e2e87935d7bc9df910b0396c9ed7e89a21ec84e533f1&amp;X-Amz-SignedHeaders=host</t>
  </si>
  <si>
    <t>https://chronograph-documents-cvc.s3-accelerate.amazonaws.com/production/images/cary-group-1677496782328.png?X-Amz-Algorithm=AWS4-HMAC-SHA256&amp;X-Amz-Credential=AKIAYPPVAWWRDQNNAUFH%2F20260126%2Feu-west-2%2Fs3%2Faws4_request&amp;X-Amz-Date=20260126T030001Z&amp;X-Amz-Expires=604800&amp;X-Amz-Signature=af7c03edc0e509a2579a5fec7f15105fc2b6b6ef3dac909c6c9aee3e491bf80f&amp;X-Amz-SignedHeaders=host</t>
  </si>
  <si>
    <t>https://chronograph-documents-cvc.s3-accelerate.amazonaws.com/production/images/anqore-1677497327436.png?X-Amz-Algorithm=AWS4-HMAC-SHA256&amp;X-Amz-Credential=AKIAYPPVAWWRDQNNAUFH%2F20260126%2Feu-west-2%2Fs3%2Faws4_request&amp;X-Amz-Date=20260126T030001Z&amp;X-Amz-Expires=604800&amp;X-Amz-Signature=0cbf8a422765e70f5bff92b9b7a36d3a646a4441de09af1017ef1b00866412e4&amp;X-Amz-SignedHeaders=host</t>
  </si>
  <si>
    <t>https://chronograph-documents-cvc.s3-accelerate.amazonaws.com/production/images/clearbit_logo__www_comarch.com-1734020484518.png?X-Amz-Algorithm=AWS4-HMAC-SHA256&amp;X-Amz-Credential=AKIAYPPVAWWRDQNNAUFH%2F20260126%2Feu-west-2%2Fs3%2Faws4_request&amp;X-Amz-Date=20260126T030001Z&amp;X-Amz-Expires=604800&amp;X-Amz-Signature=e03da1b16c1acb684a805c03308057f100529e408940e587c4792341861bcb70&amp;X-Amz-SignedHeaders=host</t>
  </si>
  <si>
    <t>https://chronograph-documents-cvc.s3-accelerate.amazonaws.com/production/images/clearbit_logo__www_cgm.com-1736766781075.png?X-Amz-Algorithm=AWS4-HMAC-SHA256&amp;X-Amz-Credential=AKIAYPPVAWWRDQNNAUFH%2F20260126%2Feu-west-2%2Fs3%2Faws4_request&amp;X-Amz-Date=20260126T030001Z&amp;X-Amz-Expires=604800&amp;X-Amz-Signature=5603d77a550e86e7428028ccbab773d20a504d90ce9583acda47b31a409f1345&amp;X-Amz-SignedHeaders=host</t>
  </si>
  <si>
    <t>https://chronograph-documents-cvc.s3-accelerate.amazonaws.com/production/images/clearbit_logo__continental_food.co.uk-1757586558866.png?X-Amz-Algorithm=AWS4-HMAC-SHA256&amp;X-Amz-Credential=AKIAYPPVAWWRDQNNAUFH%2F20260126%2Feu-west-2%2Fs3%2Faws4_request&amp;X-Amz-Date=20260126T030001Z&amp;X-Amz-Expires=604800&amp;X-Amz-Signature=7873572c447d969bb28be9ebb92871288fc869a900d9b79550f5f7baceb36103&amp;X-Amz-SignedHeaders=host</t>
  </si>
  <si>
    <t>https://chronograph-documents-cvc.s3-accelerate.amazonaws.com/production/images/cooper-fond-200px-1677172391916.png?X-Amz-Algorithm=AWS4-HMAC-SHA256&amp;X-Amz-Credential=AKIAYPPVAWWRDQNNAUFH%2F20260126%2Feu-west-2%2Fs3%2Faws4_request&amp;X-Amz-Date=20260126T030001Z&amp;X-Amz-Expires=604800&amp;X-Amz-Signature=60235c7ac3532aaaa860b4acf12fb57d779db58c1a354d2998fc166833d974b2&amp;X-Amz-SignedHeaders=host</t>
  </si>
  <si>
    <t>https://chronograph-documents-cvc.s3-accelerate.amazonaws.com/production/images/clearbit_logo__www_corialis-group.com-1677246168626.png?X-Amz-Algorithm=AWS4-HMAC-SHA256&amp;X-Amz-Credential=AKIAYPPVAWWRDQNNAUFH%2F20260126%2Feu-west-2%2Fs3%2Faws4_request&amp;X-Amz-Date=20260126T030001Z&amp;X-Amz-Expires=604800&amp;X-Amz-Signature=a93ceb570a8793306f3a70ffa875cd059ffd11d6d0d9e2041fdeffecef13c07e&amp;X-Amz-SignedHeaders=host</t>
  </si>
  <si>
    <t>https://chronograph-documents-cvc.s3-accelerate.amazonaws.com/production/images/fbShareCommon-1653053460964.png?X-Amz-Algorithm=AWS4-HMAC-SHA256&amp;X-Amz-Credential=AKIAYPPVAWWRDQNNAUFH%2F20260126%2Feu-west-2%2Fs3%2Faws4_request&amp;X-Amz-Date=20260126T030001Z&amp;X-Amz-Expires=604800&amp;X-Amz-Signature=fdb5eacd0bc6791725c332fed81bcc2e71b0c21c016c1de748838d4b87a5ef93&amp;X-Amz-SignedHeaders=host</t>
  </si>
  <si>
    <t>https://chronograph-documents-cvc.s3-accelerate.amazonaws.com/production/images/clearbit_logo__dfepharma_com-1677245114389.png?X-Amz-Algorithm=AWS4-HMAC-SHA256&amp;X-Amz-Credential=AKIAYPPVAWWRDQNNAUFH%2F20260126%2Feu-west-2%2Fs3%2Faws4_request&amp;X-Amz-Date=20260126T030001Z&amp;X-Amz-Expires=604800&amp;X-Amz-Signature=ef7853ae6061de2a01acc85520ef85eb848b2ffac4ce138d2ff465b84dbe888b&amp;X-Amz-SignedHeaders=host</t>
  </si>
  <si>
    <t>DIF PUSH Testing</t>
  </si>
  <si>
    <t>9ArUyIjoW</t>
  </si>
  <si>
    <t>https://chronograph-documents-cvc.s3-accelerate.amazonaws.com/production/images/image-1660318448300.png?X-Amz-Algorithm=AWS4-HMAC-SHA256&amp;X-Amz-Credential=AKIAYPPVAWWRDQNNAUFH%2F20260126%2Feu-west-2%2Fs3%2Faws4_request&amp;X-Amz-Date=20260126T030001Z&amp;X-Amz-Expires=604800&amp;X-Amz-Signature=d3ef9fee5624bdb7e832c5484dc657870a47c2dd12a38acad3a2c21d3cc039d2&amp;X-Amz-SignedHeaders=host</t>
  </si>
  <si>
    <t>https://chronograph-documents-cvc.s3-accelerate.amazonaws.com/production/images/channels4_profile-1757586736165.jpg?X-Amz-Algorithm=AWS4-HMAC-SHA256&amp;X-Amz-Credential=AKIAYPPVAWWRDQNNAUFH%2F20260126%2Feu-west-2%2Fs3%2Faws4_request&amp;X-Amz-Date=20260126T030001Z&amp;X-Amz-Expires=604800&amp;X-Amz-Signature=3b41bc8f3c8f1e649ba87ee3a8b6bb363fbd9176b6385f3143b03e57198f5bd6&amp;X-Amz-SignedHeaders=host</t>
  </si>
  <si>
    <t>https://chronograph-documents-cvc.s3-accelerate.amazonaws.com/production/images/OIP-1757586869621.jfif?X-Amz-Algorithm=AWS4-HMAC-SHA256&amp;X-Amz-Credential=AKIAYPPVAWWRDQNNAUFH%2F20260126%2Feu-west-2%2Fs3%2Faws4_request&amp;X-Amz-Date=20260126T030001Z&amp;X-Amz-Expires=604800&amp;X-Amz-Signature=3a7036fe1c1a7f397c1b8c25ce1d52e995fed964bc8fa80eebc4141e1882d6fe&amp;X-Amz-SignedHeaders=host</t>
  </si>
  <si>
    <t>https://chronograph-documents-cvc.s3-accelerate.amazonaws.com/production/images/clearbit_logo__www_daleuw.com-1706114994011.png?X-Amz-Algorithm=AWS4-HMAC-SHA256&amp;X-Amz-Credential=AKIAYPPVAWWRDQNNAUFH%2F20260126%2Feu-west-2%2Fs3%2Faws4_request&amp;X-Amz-Date=20260126T030001Z&amp;X-Amz-Expires=604800&amp;X-Amz-Signature=96b2b9abce36be8032dfe62382a5661a0f93c7d81e6ee3ac6640028ce8b8ddb0&amp;X-Amz-SignedHeaders=host</t>
  </si>
  <si>
    <t>https://chronograph-documents-cvc.s3-accelerate.amazonaws.com/production/images/clearbit_logo__www_dellys.com.br-1706630550174.png?X-Amz-Algorithm=AWS4-HMAC-SHA256&amp;X-Amz-Credential=AKIAYPPVAWWRDQNNAUFH%2F20260126%2Feu-west-2%2Fs3%2Faws4_request&amp;X-Amz-Date=20260126T030001Z&amp;X-Amz-Expires=604800&amp;X-Amz-Signature=e9f8a9edd5954d97f74f3788afb14671dc7f491300f3396c498b9b01d9701d2f&amp;X-Amz-SignedHeaders=host</t>
  </si>
  <si>
    <t>https://chronograph-documents-cvc.s3-accelerate.amazonaws.com/production/images/clearbit_logo__deoleo_com-1677246243644.png?X-Amz-Algorithm=AWS4-HMAC-SHA256&amp;X-Amz-Credential=AKIAYPPVAWWRDQNNAUFH%2F20260126%2Feu-west-2%2Fs3%2Faws4_request&amp;X-Amz-Date=20260126T030001Z&amp;X-Amz-Expires=604800&amp;X-Amz-Signature=5d4c2c3c45876a4bebb9089cdb2eeba3d14ad59a0385b3bf6b3f1e93758e38dd&amp;X-Amz-SignedHeaders=host</t>
  </si>
  <si>
    <t>https://chronograph-documents-cvc.s3-accelerate.amazonaws.com/production/images/clearbit_logo__www_domesticandgeneral.com-1677247548895.png?X-Amz-Algorithm=AWS4-HMAC-SHA256&amp;X-Amz-Credential=AKIAYPPVAWWRDQNNAUFH%2F20260126%2Feu-west-2%2Fs3%2Faws4_request&amp;X-Amz-Date=20260126T030001Z&amp;X-Amz-Expires=604800&amp;X-Amz-Signature=de41911b01cd46635c8ba9c9e9be5d79efbcea9b7091d7771b8c34fbcdc1f7c5&amp;X-Amz-SignedHeaders=host</t>
  </si>
  <si>
    <t>https://chronograph-documents-cvc.s3-accelerate.amazonaws.com/production/images/clearbit_logo__corporate_douglas.de-1660236338750.png?X-Amz-Algorithm=AWS4-HMAC-SHA256&amp;X-Amz-Credential=AKIAYPPVAWWRDQNNAUFH%2F20260126%2Feu-west-2%2Fs3%2Faws4_request&amp;X-Amz-Date=20260126T030001Z&amp;X-Amz-Expires=604800&amp;X-Amz-Signature=1d1b08613e6ec8e1c51aa53a97d5b91d49c732d37c9ae671f3d516f238f0d9f8&amp;X-Amz-SignedHeaders=host</t>
  </si>
  <si>
    <t>https://chronograph-documents-cvc.s3-accelerate.amazonaws.com/production/images/clearbit_logo__www_dreamgames.com-1748972416481.png?X-Amz-Algorithm=AWS4-HMAC-SHA256&amp;X-Amz-Credential=AKIAYPPVAWWRDQNNAUFH%2F20260126%2Feu-west-2%2Fs3%2Faws4_request&amp;X-Amz-Date=20260126T030001Z&amp;X-Amz-Expires=604800&amp;X-Amz-Signature=41cfd2917d5c9cd95f04309e356b9522cd1d4ab36c4644b68928940719181f2b&amp;X-Amz-SignedHeaders=host</t>
  </si>
  <si>
    <t>https://chronograph-documents-cvc.s3-accelerate.amazonaws.com/production/images/clearbit_logo__ecovadis_com-1677245590032.png?X-Amz-Algorithm=AWS4-HMAC-SHA256&amp;X-Amz-Credential=AKIAYPPVAWWRDQNNAUFH%2F20260126%2Feu-west-2%2Fs3%2Faws4_request&amp;X-Amz-Date=20260126T030001Z&amp;X-Amz-Expires=604800&amp;X-Amz-Signature=9dbfeccf26d991f7a7c7221508c0aa222c6dc3b572e4128e52f0068e067e160b&amp;X-Amz-SignedHeaders=host</t>
  </si>
  <si>
    <t>https://chronograph-documents-cvc.s3-accelerate.amazonaws.com/production/images/clearbit_logo__www_elsan.care-1677245132113.png?X-Amz-Algorithm=AWS4-HMAC-SHA256&amp;X-Amz-Credential=AKIAYPPVAWWRDQNNAUFH%2F20260126%2Feu-west-2%2Fs3%2Faws4_request&amp;X-Amz-Date=20260126T030001Z&amp;X-Amz-Expires=604800&amp;X-Amz-Signature=c5a6904315f34cd14df5894ecefbc7711bc767bc2c11eb224f4b23489072f5e7&amp;X-Amz-SignedHeaders=host</t>
  </si>
  <si>
    <t>https://chronograph-documents-cvc.s3-accelerate.amazonaws.com/production/images/clearbit_logo__www_epicor.com-1734020535660.png?X-Amz-Algorithm=AWS4-HMAC-SHA256&amp;X-Amz-Credential=AKIAYPPVAWWRDQNNAUFH%2F20260126%2Feu-west-2%2Fs3%2Faws4_request&amp;X-Amz-Date=20260126T030001Z&amp;X-Amz-Expires=604800&amp;X-Amz-Signature=94e2107d89fa7dae8498e439d2411905881ec84de25c05dca4900146e5e1f40b&amp;X-Amz-SignedHeaders=host</t>
  </si>
  <si>
    <t>https://chronograph-documents-cvc.s3-accelerate.amazonaws.com/production/images/clearbit_logo__www_ethnikiinsurance.com-1677247572867.png?X-Amz-Algorithm=AWS4-HMAC-SHA256&amp;X-Amz-Credential=AKIAYPPVAWWRDQNNAUFH%2F20260126%2Feu-west-2%2Fs3%2Faws4_request&amp;X-Amz-Date=20260126T030001Z&amp;X-Amz-Expires=604800&amp;X-Amz-Signature=c86087608554e066019c3181e102b6269d7c2053fa5bdd059e3cc694aa0a5f29&amp;X-Amz-SignedHeaders=host</t>
  </si>
  <si>
    <t>https://chronograph-documents-cvc.s3-accelerate.amazonaws.com/production/images/clearbit_logo__www_etraveligroup.com-1707210986201.png?X-Amz-Algorithm=AWS4-HMAC-SHA256&amp;X-Amz-Credential=AKIAYPPVAWWRDQNNAUFH%2F20260126%2Feu-west-2%2Fs3%2Faws4_request&amp;X-Amz-Date=20260126T030001Z&amp;X-Amz-Expires=604800&amp;X-Amz-Signature=ed5e91840f9da9c196a18863b0081c92626dd09d979e529449611cba7d3440ca&amp;X-Amz-SignedHeaders=host</t>
  </si>
  <si>
    <t>https://chronograph-documents-cvc.s3-accelerate.amazonaws.com/production/images/examworks-1677248360143.png?X-Amz-Algorithm=AWS4-HMAC-SHA256&amp;X-Amz-Credential=AKIAYPPVAWWRDQNNAUFH%2F20260126%2Feu-west-2%2Fs3%2Faws4_request&amp;X-Amz-Date=20260126T030001Z&amp;X-Amz-Expires=604800&amp;X-Amz-Signature=f8a78456d7bb30c24480d9416d67c6abc98e271c29b93d28a28adcc2518e8366&amp;X-Amz-SignedHeaders=host</t>
  </si>
  <si>
    <t>https://chronograph-documents-cvc.s3-accelerate.amazonaws.com/production/images/clearbit_logo__exolum_com-1677244474595.png?X-Amz-Algorithm=AWS4-HMAC-SHA256&amp;X-Amz-Credential=AKIAYPPVAWWRDQNNAUFH%2F20260126%2Feu-west-2%2Fs3%2Faws4_request&amp;X-Amz-Date=20260126T030001Z&amp;X-Amz-Expires=604800&amp;X-Amz-Signature=f22cd7d8d4272fed231817dac4ed0935be252f2cfd8c777c2e8674fcaa3d2ade&amp;X-Amz-SignedHeaders=host</t>
  </si>
  <si>
    <t>https://chronograph-documents-cvc.s3-accelerate.amazonaws.com/production/images/fast-1684164906287.png?X-Amz-Algorithm=AWS4-HMAC-SHA256&amp;X-Amz-Credential=AKIAYPPVAWWRDQNNAUFH%2F20260126%2Feu-west-2%2Fs3%2Faws4_request&amp;X-Amz-Date=20260126T030001Z&amp;X-Amz-Expires=604800&amp;X-Amz-Signature=ca6e722d2b1a3b6a563cd3dd3e27697e0125a17266432e16fa055380e903c0cf&amp;X-Amz-SignedHeaders=host</t>
  </si>
  <si>
    <t>https://chronograph-documents-cvc.s3-accelerate.amazonaws.com/production/images/fidelis-logo-1660240829817.png?X-Amz-Algorithm=AWS4-HMAC-SHA256&amp;X-Amz-Credential=AKIAYPPVAWWRDQNNAUFH%2F20260126%2Feu-west-2%2Fs3%2Faws4_request&amp;X-Amz-Date=20260126T030001Z&amp;X-Amz-Expires=604800&amp;X-Amz-Signature=cd6f0d738eccd43c42d21c39babed05f0aa205da34b39f4ca91258ffb2242fbb&amp;X-Amz-SignedHeaders=host</t>
  </si>
  <si>
    <t>https://chronograph-documents-cvc.s3-accelerate.amazonaws.com/production/images/fine-today-1684166014620.png?X-Amz-Algorithm=AWS4-HMAC-SHA256&amp;X-Amz-Credential=AKIAYPPVAWWRDQNNAUFH%2F20260126%2Feu-west-2%2Fs3%2Faws4_request&amp;X-Amz-Date=20260126T030001Z&amp;X-Amz-Expires=604800&amp;X-Amz-Signature=12894bb5dbd0769b42237b33fb485d360c98e0e209ef3a5c80d3c8abec2b361a&amp;X-Amz-SignedHeaders=host</t>
  </si>
  <si>
    <t>https://chronograph-documents-cvc.s3-accelerate.amazonaws.com/production/images/futurelife-1677248388612.png?X-Amz-Algorithm=AWS4-HMAC-SHA256&amp;X-Amz-Credential=AKIAYPPVAWWRDQNNAUFH%2F20260126%2Feu-west-2%2Fs3%2Faws4_request&amp;X-Amz-Date=20260126T030001Z&amp;X-Amz-Expires=604800&amp;X-Amz-Signature=b68ca0d1e4ff73d430cb7274245fd2601b4883fc14517c249533a75206e2f39c&amp;X-Amz-SignedHeaders=host</t>
  </si>
  <si>
    <t>https://chronograph-documents-cvc.s3-accelerate.amazonaws.com/production/images/clearbit_logo__www_gemseducation.com-1677244516722.png?X-Amz-Algorithm=AWS4-HMAC-SHA256&amp;X-Amz-Credential=AKIAYPPVAWWRDQNNAUFH%2F20260126%2Feu-west-2%2Fs3%2Faws4_request&amp;X-Amz-Date=20260126T030001Z&amp;X-Amz-Expires=604800&amp;X-Amz-Signature=8bcf8d867445351846ce5a2f3d9ff6c59dab0bc21e035100f18e736f64764a59&amp;X-Amz-SignedHeaders=host</t>
  </si>
  <si>
    <t>https://chronograph-documents-cvc.s3-accelerate.amazonaws.com/production/images/clearbit_logo__gaminglabs_com-1748972262359.png?X-Amz-Algorithm=AWS4-HMAC-SHA256&amp;X-Amz-Credential=AKIAYPPVAWWRDQNNAUFH%2F20260126%2Feu-west-2%2Fs3%2Faws4_request&amp;X-Amz-Date=20260126T030001Z&amp;X-Amz-Expires=604800&amp;X-Amz-Signature=ddbb9698ede98b43bb8ca2e0865b7ad29a14976696510431857d236b8cedf839&amp;X-Amz-SignedHeaders=host</t>
  </si>
  <si>
    <t>https://chronograph-documents-cvc.s3-accelerate.amazonaws.com/production/images/clearbit_logo__www_gaming1.com-1677248410623.png?X-Amz-Algorithm=AWS4-HMAC-SHA256&amp;X-Amz-Credential=AKIAYPPVAWWRDQNNAUFH%2F20260126%2Feu-west-2%2Fs3%2Faws4_request&amp;X-Amz-Date=20260126T030001Z&amp;X-Amz-Expires=604800&amp;X-Amz-Signature=036703c66620ccd671600b664eed1e5a27d54262e122ffa0fcc1d16d549ac778&amp;X-Amz-SignedHeaders=host</t>
  </si>
  <si>
    <t>https://chronograph-documents-cvc.s3-accelerate.amazonaws.com/production/images/genetic-1687957241693.png?X-Amz-Algorithm=AWS4-HMAC-SHA256&amp;X-Amz-Credential=AKIAYPPVAWWRDQNNAUFH%2F20260126%2Feu-west-2%2Fs3%2Faws4_request&amp;X-Amz-Date=20260126T030001Z&amp;X-Amz-Expires=604800&amp;X-Amz-Signature=33325d4252166333411e0839abade8527b5a9a2ac394fd5adbb451bf825d639c&amp;X-Amz-SignedHeaders=host</t>
  </si>
  <si>
    <t>https://chronograph-documents-cvc.s3-accelerate.amazonaws.com/production/images/good-choice-1684164938868.png?X-Amz-Algorithm=AWS4-HMAC-SHA256&amp;X-Amz-Credential=AKIAYPPVAWWRDQNNAUFH%2F20260126%2Feu-west-2%2Fs3%2Faws4_request&amp;X-Amz-Date=20260126T030001Z&amp;X-Amz-Expires=604800&amp;X-Amz-Signature=b4b6356c0ea8fdb3b4b5c873be7bc1c7f5a7ec9769326d78d6fc5fe4b77e1b72&amp;X-Amz-SignedHeaders=host</t>
  </si>
  <si>
    <t>https://chronograph-documents-cvc.s3-accelerate.amazonaws.com/production/images/clearbit_logo__www_gridspertise.com-1677248904499.png?X-Amz-Algorithm=AWS4-HMAC-SHA256&amp;X-Amz-Credential=AKIAYPPVAWWRDQNNAUFH%2F20260126%2Feu-west-2%2Fs3%2Faws4_request&amp;X-Amz-Date=20260126T030001Z&amp;X-Amz-Expires=604800&amp;X-Amz-Signature=d856d1c99dffd492a80a09b08a8e3deac01919ba575a246480cee037ad87c709&amp;X-Amz-SignedHeaders=host</t>
  </si>
  <si>
    <t>https://chronograph-documents-cvc.s3-accelerate.amazonaws.com/production/images/clearbit_logo__www_grupogsh.com-1755269238565.png?X-Amz-Algorithm=AWS4-HMAC-SHA256&amp;X-Amz-Credential=AKIAYPPVAWWRDQNNAUFH%2F20260126%2Feu-west-2%2Fs3%2Faws4_request&amp;X-Amz-Date=20260126T030001Z&amp;X-Amz-Expires=604800&amp;X-Amz-Signature=e826467212027e897f4bf6f3847cee6f3e60d4cc9e146254b5f7659457845593&amp;X-Amz-SignedHeaders=host</t>
  </si>
  <si>
    <t>https://chronograph-documents-cvc.s3-accelerate.amazonaws.com/production/images/clearbit_logo__www_gujarattitansipl.com-1684152653346.png?X-Amz-Algorithm=AWS4-HMAC-SHA256&amp;X-Amz-Credential=AKIAYPPVAWWRDQNNAUFH%2F20260126%2Feu-west-2%2Fs3%2Faws4_request&amp;X-Amz-Date=20260126T030001Z&amp;X-Amz-Expires=604800&amp;X-Amz-Signature=1054216d653920fe4ec030d0d8614f0b943586002d381b2b2fe02761b464a6fb&amp;X-Amz-SignedHeaders=host</t>
  </si>
  <si>
    <t>https://chronograph-documents-cvc.s3-accelerate.amazonaws.com/production/images/clearbit_logo__www_hl.co.uk-1734020598795.png?X-Amz-Algorithm=AWS4-HMAC-SHA256&amp;X-Amz-Credential=AKIAYPPVAWWRDQNNAUFH%2F20260126%2Feu-west-2%2Fs3%2Faws4_request&amp;X-Amz-Date=20260126T030001Z&amp;X-Amz-Expires=604800&amp;X-Amz-Signature=8aa8c736c390a7641128a4e889573cc29dbb0bc52ac11b2e1030949cfa78a323&amp;X-Amz-SignedHeaders=host</t>
  </si>
  <si>
    <t>https://chronograph-documents-cvc.s3-accelerate.amazonaws.com/production/images/healthcare-global-1684165672004.png?X-Amz-Algorithm=AWS4-HMAC-SHA256&amp;X-Amz-Credential=AKIAYPPVAWWRDQNNAUFH%2F20260126%2Feu-west-2%2Fs3%2Faws4_request&amp;X-Amz-Date=20260126T030001Z&amp;X-Amz-Expires=604800&amp;X-Amz-Signature=19e34a4a36b9e2a7775a970ae7f5606dfb0673879ffc8b324b730881e1b95abe&amp;X-Amz-SignedHeaders=host</t>
  </si>
  <si>
    <t>https://chronograph-documents-cvc.s3-accelerate.amazonaws.com/production/images/hhg-1677247394991.png?X-Amz-Algorithm=AWS4-HMAC-SHA256&amp;X-Amz-Credential=AKIAYPPVAWWRDQNNAUFH%2F20260126%2Feu-west-2%2Fs3%2Faws4_request&amp;X-Amz-Date=20260126T030001Z&amp;X-Amz-Expires=604800&amp;X-Amz-Signature=b6d9ae092119d06f47ec1903a1be1f6dbfc5a12e55b113f94a03d6b55da36100&amp;X-Amz-SignedHeaders=host</t>
  </si>
  <si>
    <t>https://chronograph-documents-cvc.s3-accelerate.amazonaws.com/production/images/clearbit_logo__www_hempel.com-1728402299004.png?X-Amz-Algorithm=AWS4-HMAC-SHA256&amp;X-Amz-Credential=AKIAYPPVAWWRDQNNAUFH%2F20260126%2Feu-west-2%2Fs3%2Faws4_request&amp;X-Amz-Date=20260126T030001Z&amp;X-Amz-Expires=604800&amp;X-Amz-Signature=56a0a762a8e45b8760032b1c417c0bb942317d52ed1c45ccf89ba1e4668532fd&amp;X-Amz-SignedHeaders=host</t>
  </si>
  <si>
    <t>https://chronograph-documents-cvc.s3-accelerate.amazonaws.com/production/images/hermes-1677247606140.png?X-Amz-Algorithm=AWS4-HMAC-SHA256&amp;X-Amz-Credential=AKIAYPPVAWWRDQNNAUFH%2F20260126%2Feu-west-2%2Fs3%2Faws4_request&amp;X-Amz-Date=20260126T030001Z&amp;X-Amz-Expires=604800&amp;X-Amz-Signature=ce81976c603b75bfb161e35b43ac5eb284fe5a1e99ab7488ae5fdcc7283989bc&amp;X-Amz-SignedHeaders=host</t>
  </si>
  <si>
    <t>https://chronograph-documents-cvc.s3-accelerate.amazonaws.com/production/images/clearbit_logo__icariohealth_com-1677245605932.png?X-Amz-Algorithm=AWS4-HMAC-SHA256&amp;X-Amz-Credential=AKIAYPPVAWWRDQNNAUFH%2F20260126%2Feu-west-2%2Fs3%2Faws4_request&amp;X-Amz-Date=20260126T030001Z&amp;X-Amz-Expires=604800&amp;X-Amz-Signature=d929cd6870c2131feefd739a144eec3f05e5c0c8da53124643c13ae91d21bfb6&amp;X-Amz-SignedHeaders=host</t>
  </si>
  <si>
    <t>https://chronograph-documents-cvc.s3-accelerate.amazonaws.com/production/images/clearbit_logo__internationalschoolspartnership_com-1759742623789.png?X-Amz-Algorithm=AWS4-HMAC-SHA256&amp;X-Amz-Credential=AKIAYPPVAWWRDQNNAUFH%2F20260126%2Feu-west-2%2Fs3%2Faws4_request&amp;X-Amz-Date=20260126T030001Z&amp;X-Amz-Expires=604800&amp;X-Amz-Signature=6c6837f1de90554aae9464cd0b7449fbf5c1e3eaada2250bfa35095c1d64f86a&amp;X-Amz-SignedHeaders=host</t>
  </si>
  <si>
    <t>https://chronograph-documents-cvc.s3-accelerate.amazonaws.com/production/images/clearbit_logo__www_jagex.com-1718612935669.png?X-Amz-Algorithm=AWS4-HMAC-SHA256&amp;X-Amz-Credential=AKIAYPPVAWWRDQNNAUFH%2F20260126%2Feu-west-2%2Fs3%2Faws4_request&amp;X-Amz-Date=20260126T030001Z&amp;X-Amz-Expires=604800&amp;X-Amz-Signature=c92b485797528c6e48060b57fd331f69ca8f747ea5aac72d684b0b45939a8de9&amp;X-Amz-SignedHeaders=host</t>
  </si>
  <si>
    <t>https://chronograph-documents-cvc.s3-accelerate.amazonaws.com/production/images/fujian-jinuo-logo-white-1684165720298.png?X-Amz-Algorithm=AWS4-HMAC-SHA256&amp;X-Amz-Credential=AKIAYPPVAWWRDQNNAUFH%2F20260126%2Feu-west-2%2Fs3%2Faws4_request&amp;X-Amz-Date=20260126T030001Z&amp;X-Amz-Expires=604800&amp;X-Amz-Signature=93e1a8454ac24f3678403dbbacf664f4b97802cddc7fc4b84d07d71b00529dfa&amp;X-Amz-SignedHeaders=host</t>
  </si>
  <si>
    <t>https://chronograph-documents-cvc.s3-accelerate.amazonaws.com/production/images/clearbit_logo__www_lapiadineria.com-1718612975024.png?X-Amz-Algorithm=AWS4-HMAC-SHA256&amp;X-Amz-Credential=AKIAYPPVAWWRDQNNAUFH%2F20260126%2Feu-west-2%2Fs3%2Faws4_request&amp;X-Amz-Date=20260126T030001Z&amp;X-Amz-Expires=604800&amp;X-Amz-Signature=99f4ab40afab4bae007d3a53b02ab987b7bd3c009a16b3ead99b313c023a4eb1&amp;X-Amz-SignedHeaders=host</t>
  </si>
  <si>
    <t>https://chronograph-documents-cvc.s3-accelerate.amazonaws.com/production/images/clearbit_logo__www_laliga.com-1677248441944.png?X-Amz-Algorithm=AWS4-HMAC-SHA256&amp;X-Amz-Credential=AKIAYPPVAWWRDQNNAUFH%2F20260126%2Feu-west-2%2Fs3%2Faws4_request&amp;X-Amz-Date=20260126T030001Z&amp;X-Amz-Expires=604800&amp;X-Amz-Signature=42be49d962fd5514337e407840beddc6f95ad732b2719efc9785dbb1d56c7028&amp;X-Amz-SignedHeaders=host</t>
  </si>
  <si>
    <t>https://chronograph-documents-cvc.s3-accelerate.amazonaws.com/production/images/clearbit_logo__www_lfp.fr-1677248471344.png?X-Amz-Algorithm=AWS4-HMAC-SHA256&amp;X-Amz-Credential=AKIAYPPVAWWRDQNNAUFH%2F20260126%2Feu-west-2%2Fs3%2Faws4_request&amp;X-Amz-Date=20260126T030001Z&amp;X-Amz-Expires=604800&amp;X-Amz-Signature=b12608d39806e4c54dadb422407438381b3864e4257edd1b0947c8d832b05cfe&amp;X-Amz-SignedHeaders=host</t>
  </si>
  <si>
    <t>https://chronograph-documents-cvc.s3-accelerate.amazonaws.com/production/images/clearbit_logo__ekaterratea_com-1677248331488.png?X-Amz-Algorithm=AWS4-HMAC-SHA256&amp;X-Amz-Credential=AKIAYPPVAWWRDQNNAUFH%2F20260126%2Feu-west-2%2Fs3%2Faws4_request&amp;X-Amz-Date=20260126T030001Z&amp;X-Amz-Expires=604800&amp;X-Amz-Signature=cf6ef50509d48ebe1eaf6bcfab96f575a1a0d06dee23f6950b35aa3d7543d9bd&amp;X-Amz-SignedHeaders=host</t>
  </si>
  <si>
    <t>https://chronograph-documents-cvc.s3-accelerate.amazonaws.com/production/images/mgroup_primarylogo_gradient_bluetext_rgb-1744885417666.png?X-Amz-Algorithm=AWS4-HMAC-SHA256&amp;X-Amz-Credential=AKIAYPPVAWWRDQNNAUFH%2F20260126%2Feu-west-2%2Fs3%2Faws4_request&amp;X-Amz-Date=20260126T030001Z&amp;X-Amz-Expires=604800&amp;X-Amz-Signature=e88a1962d7f7f565f58c4aa86293870694f8127ae431f9da0f9f0182368b3baa&amp;X-Amz-SignedHeaders=host</t>
  </si>
  <si>
    <t>https://chronograph-documents-cvc.s3-accelerate.amazonaws.com/production/images/clearbit_logo__www_prochiz.com-1707236192399.png?X-Amz-Algorithm=AWS4-HMAC-SHA256&amp;X-Amz-Credential=AKIAYPPVAWWRDQNNAUFH%2F20260126%2Feu-west-2%2Fs3%2Faws4_request&amp;X-Amz-Date=20260126T030001Z&amp;X-Amz-Expires=604800&amp;X-Amz-Signature=896631d3d48c5ad5765d0a3e89b22a83278c94dd72c2a84e48a9c5fe85a6f413&amp;X-Amz-SignedHeaders=host</t>
  </si>
  <si>
    <t>https://chronograph-documents-cvc.s3-accelerate.amazonaws.com/production/images/clearbit_logo__group_macromill.com-1744021460146.png?X-Amz-Algorithm=AWS4-HMAC-SHA256&amp;X-Amz-Credential=AKIAYPPVAWWRDQNNAUFH%2F20260126%2Feu-west-2%2Fs3%2Faws4_request&amp;X-Amz-Date=20260126T030001Z&amp;X-Amz-Expires=604800&amp;X-Amz-Signature=ebe7753e49b4252dc3b4b9b2af6bdb7fb9d8b1d5a65d0701712abe1bfcf8da48&amp;X-Amz-SignedHeaders=host</t>
  </si>
  <si>
    <t>https://chronograph-documents-cvc.s3-accelerate.amazonaws.com/production/images/clearbit_logo__www_mandom.co.jp-1758100163511.png?X-Amz-Algorithm=AWS4-HMAC-SHA256&amp;X-Amz-Credential=AKIAYPPVAWWRDQNNAUFH%2F20260126%2Feu-west-2%2Fs3%2Faws4_request&amp;X-Amz-Date=20260126T030001Z&amp;X-Amz-Expires=604800&amp;X-Amz-Signature=0f238bb728a88192c37be9b1d25053fcadc6938465e8e5e64fc7b4062dbbe6bc&amp;X-Amz-SignedHeaders=host</t>
  </si>
  <si>
    <t>https://chronograph-documents-cvc.s3-accelerate.amazonaws.com/production/images/clearbit_logo__www_maticmind.it-1677248490335.png?X-Amz-Algorithm=AWS4-HMAC-SHA256&amp;X-Amz-Credential=AKIAYPPVAWWRDQNNAUFH%2F20260126%2Feu-west-2%2Fs3%2Faws4_request&amp;X-Amz-Date=20260126T030001Z&amp;X-Amz-Expires=604800&amp;X-Amz-Signature=f04d7dce8b9d0d2ea196b2d23a49633334e3fd2df07ba7e1a8663dff08af4363&amp;X-Amz-SignedHeaders=host</t>
  </si>
  <si>
    <t>https://chronograph-documents-cvc.s3-accelerate.amazonaws.com/production/images/medrisk-1677247646279.png?X-Amz-Algorithm=AWS4-HMAC-SHA256&amp;X-Amz-Credential=AKIAYPPVAWWRDQNNAUFH%2F20260126%2Feu-west-2%2Fs3%2Faws4_request&amp;X-Amz-Date=20260126T030001Z&amp;X-Amz-Expires=604800&amp;X-Amz-Signature=966c8beb3a140600d2005df8fc5deedc574c20c9cfee88524e689dd187679314&amp;X-Amz-SignedHeaders=host</t>
  </si>
  <si>
    <t>https://chronograph-documents-cvc.s3-accelerate.amazonaws.com/production/images/f79d0954d1c938093f99d902d49b01185acd9ba5-1660319668583.png?X-Amz-Algorithm=AWS4-HMAC-SHA256&amp;X-Amz-Credential=AKIAYPPVAWWRDQNNAUFH%2F20260126%2Feu-west-2%2Fs3%2Faws4_request&amp;X-Amz-Date=20260126T030001Z&amp;X-Amz-Expires=604800&amp;X-Amz-Signature=f2101f993a398c1eeb57a41c029cabb71fc9cc53ad9f2d39bc5c6f08c69ed5e2&amp;X-Amz-SignedHeaders=host</t>
  </si>
  <si>
    <t>https://chronograph-documents-cvc.s3-accelerate.amazonaws.com/production/images/medivet-1677248519897.png?X-Amz-Algorithm=AWS4-HMAC-SHA256&amp;X-Amz-Credential=AKIAYPPVAWWRDQNNAUFH%2F20260126%2Feu-west-2%2Fs3%2Faws4_request&amp;X-Amz-Date=20260126T030001Z&amp;X-Amz-Expires=604800&amp;X-Amz-Signature=214eb52827df9513013eb2c125f1e0a8ad71c70e7f4982a61fca8cc0c994e758&amp;X-Amz-SignedHeaders=host</t>
  </si>
  <si>
    <t>https://chronograph-documents-cvc.s3-accelerate.amazonaws.com/production/images/clearbit_logo__www_mehilainen.fi-1677247670043.png?X-Amz-Algorithm=AWS4-HMAC-SHA256&amp;X-Amz-Credential=AKIAYPPVAWWRDQNNAUFH%2F20260126%2Feu-west-2%2Fs3%2Faws4_request&amp;X-Amz-Date=20260126T030001Z&amp;X-Amz-Expires=604800&amp;X-Amz-Signature=1cb16890b2ffdf5b1dd7e87b1260898cac51239ed6981251abde34477980ac7b&amp;X-Amz-SignedHeaders=host</t>
  </si>
  <si>
    <t>https://chronograph-documents-cvc.s3-accelerate.amazonaws.com/production/images/clearbit_logo__www_messergroup.com-1757673549473.png?X-Amz-Algorithm=AWS4-HMAC-SHA256&amp;X-Amz-Credential=AKIAYPPVAWWRDQNNAUFH%2F20260126%2Feu-west-2%2Fs3%2Faws4_request&amp;X-Amz-Date=20260126T030001Z&amp;X-Amz-Expires=604800&amp;X-Amz-Signature=4fb0ba17e9d312d024dfa0b4d263a2a2c406499d8eb678c25e7ea6463543b719&amp;X-Amz-SignedHeaders=host</t>
  </si>
  <si>
    <t>https://chronograph-documents-cvc.s3-accelerate.amazonaws.com/production/images/clearbit_logo__www_monbake.com-1728398833944.png?X-Amz-Algorithm=AWS4-HMAC-SHA256&amp;X-Amz-Credential=AKIAYPPVAWWRDQNNAUFH%2F20260126%2Feu-west-2%2Fs3%2Faws4_request&amp;X-Amz-Date=20260126T030001Z&amp;X-Amz-Expires=604800&amp;X-Amz-Signature=17b457e94dc790b9d9f7fdbc55f4a9c6e2400ec751dd7b3e516d89a8866a7cf0&amp;X-Amz-SignedHeaders=host</t>
  </si>
  <si>
    <t>https://chronograph-documents-cvc.s3-accelerate.amazonaws.com/production/images/moove-1677247711728.png?X-Amz-Algorithm=AWS4-HMAC-SHA256&amp;X-Amz-Credential=AKIAYPPVAWWRDQNNAUFH%2F20260126%2Feu-west-2%2Fs3%2Faws4_request&amp;X-Amz-Date=20260126T030001Z&amp;X-Amz-Expires=604800&amp;X-Amz-Signature=c38e444c5be4a630618a0e6684eb1d4af717306fb31b45879de7b136390f5f81&amp;X-Amz-SignedHeaders=host</t>
  </si>
  <si>
    <t>https://chronograph-documents-cvc.s3-accelerate.amazonaws.com/production/images/clearbit_logo__moto_way.com-1677244704201.png?X-Amz-Algorithm=AWS4-HMAC-SHA256&amp;X-Amz-Credential=AKIAYPPVAWWRDQNNAUFH%2F20260126%2Feu-west-2%2Fs3%2Faws4_request&amp;X-Amz-Date=20260126T030001Z&amp;X-Amz-Expires=604800&amp;X-Amz-Signature=74acedd29aacae20a979bc24817f559c946f4ed97c242a2672f2e85502c90472&amp;X-Amz-SignedHeaders=host</t>
  </si>
  <si>
    <t>https://chronograph-documents-cvc.s3-accelerate.amazonaws.com/production/images/multiversity-1683719276098.png?X-Amz-Algorithm=AWS4-HMAC-SHA256&amp;X-Amz-Credential=AKIAYPPVAWWRDQNNAUFH%2F20260126%2Feu-west-2%2Fs3%2Faws4_request&amp;X-Amz-Date=20260126T030001Z&amp;X-Amz-Expires=604800&amp;X-Amz-Signature=7c0ced254a3f00c91ae6c4a12a022e59a2586f1ac8ad6fd1c093ee32b56c5b6f&amp;X-Amz-SignedHeaders=host</t>
  </si>
  <si>
    <t>https://chronograph-documents-cvc.s3-accelerate.amazonaws.com/production/images/ngern-tid-lor-1684165061213.png?X-Amz-Algorithm=AWS4-HMAC-SHA256&amp;X-Amz-Credential=AKIAYPPVAWWRDQNNAUFH%2F20260126%2Feu-west-2%2Fs3%2Faws4_request&amp;X-Amz-Date=20260126T030001Z&amp;X-Amz-Expires=604800&amp;X-Amz-Signature=efe7be06ce140190e5594a65925a119b636d49ada6ff9c3ed8066a7546618be6&amp;X-Amz-SignedHeaders=host</t>
  </si>
  <si>
    <t>https://chronograph-documents-cvc.s3-accelerate.amazonaws.com/production/images/Screenshot%202025-11-10%20135133-1762782738184.png?X-Amz-Algorithm=AWS4-HMAC-SHA256&amp;X-Amz-Credential=AKIAYPPVAWWRDQNNAUFH%2F20260126%2Feu-west-2%2Fs3%2Faws4_request&amp;X-Amz-Date=20260126T030001Z&amp;X-Amz-Expires=604800&amp;X-Amz-Signature=2ee952814bfec4f255c733edd11534232a306a56e5cf1430b79d12420b45e306&amp;X-Amz-SignedHeaders=host</t>
  </si>
  <si>
    <t>https://chronograph-documents-cvc.s3-accelerate.amazonaws.com/production/images/naturgy-1687956895327.png?X-Amz-Algorithm=AWS4-HMAC-SHA256&amp;X-Amz-Credential=AKIAYPPVAWWRDQNNAUFH%2F20260126%2Feu-west-2%2Fs3%2Faws4_request&amp;X-Amz-Date=20260126T030001Z&amp;X-Amz-Expires=604800&amp;X-Amz-Signature=5e7b6303f8b1099cb55fc1dbde0d57047fad665824a8b02391a75d6c9f83f0df&amp;X-Amz-SignedHeaders=host</t>
  </si>
  <si>
    <t>https://chronograph-documents-cvc.s3-accelerate.amazonaws.com/production/images/clearbit_logo__www_neolith.com-1677248543680.png?X-Amz-Algorithm=AWS4-HMAC-SHA256&amp;X-Amz-Credential=AKIAYPPVAWWRDQNNAUFH%2F20260126%2Feu-west-2%2Fs3%2Faws4_request&amp;X-Amz-Date=20260126T030001Z&amp;X-Amz-Expires=604800&amp;X-Amz-Signature=a2d59b76ca8b78aef57d498373dc07f664ebdb695c3ae378e6d09ac78412bc80&amp;X-Amz-SignedHeaders=host</t>
  </si>
  <si>
    <t>https://chronograph-documents-cvc.s3-accelerate.amazonaws.com/production/images/clearbit_logo__www_neptuneenergy.com-1652986213913.png?X-Amz-Algorithm=AWS4-HMAC-SHA256&amp;X-Amz-Credential=AKIAYPPVAWWRDQNNAUFH%2F20260126%2Feu-west-2%2Fs3%2Faws4_request&amp;X-Amz-Date=20260126T030001Z&amp;X-Amz-Expires=604800&amp;X-Amz-Signature=a16fe5521df6e83f392a45ef58dae4bbaa428efc2c3696e5a75d64c32bf56664&amp;X-Amz-SignedHeaders=host</t>
  </si>
  <si>
    <t>https://chronograph-documents-cvc.s3-accelerate.amazonaws.com/production/images/clearbit_logo__www_newday.co.uk-1660313296278.png?X-Amz-Algorithm=AWS4-HMAC-SHA256&amp;X-Amz-Credential=AKIAYPPVAWWRDQNNAUFH%2F20260126%2Feu-west-2%2Fs3%2Faws4_request&amp;X-Amz-Date=20260126T030001Z&amp;X-Amz-Expires=604800&amp;X-Amz-Signature=3882f82163cc2e7183e4ce6fc8db99d223429e98f054d0fd71c9c52ca83e0394&amp;X-Amz-SignedHeaders=host</t>
  </si>
  <si>
    <t>https://chronograph-documents-cvc.s3-accelerate.amazonaws.com/production/images/nirvana-1684165027317.png?X-Amz-Algorithm=AWS4-HMAC-SHA256&amp;X-Amz-Credential=AKIAYPPVAWWRDQNNAUFH%2F20260126%2Feu-west-2%2Fs3%2Faws4_request&amp;X-Amz-Date=20260126T030001Z&amp;X-Amz-Expires=604800&amp;X-Amz-Signature=90d0d10121375d670d4e05b8699414e3c9d70deafb5ecad2612f68a1f0872ed0&amp;X-Amz-SignedHeaders=host</t>
  </si>
  <si>
    <t>https://chronograph-documents-cvc.s3-accelerate.amazonaws.com/production/images/clearbit_logo__www_oanda.com-1684165375092.png?X-Amz-Algorithm=AWS4-HMAC-SHA256&amp;X-Amz-Credential=AKIAYPPVAWWRDQNNAUFH%2F20260126%2Feu-west-2%2Fs3%2Faws4_request&amp;X-Amz-Date=20260126T030001Z&amp;X-Amz-Expires=604800&amp;X-Amz-Signature=3f23923012b3eba31d1b636d3acee0a58dea0fa6acd4dfbfb507c9416765e16d&amp;X-Amz-SignedHeaders=host</t>
  </si>
  <si>
    <t>https://chronograph-documents-cvc.s3-accelerate.amazonaws.com/production/images/clearbit_logo__odevo_com-1734020677164.png?X-Amz-Algorithm=AWS4-HMAC-SHA256&amp;X-Amz-Credential=AKIAYPPVAWWRDQNNAUFH%2F20260126%2Feu-west-2%2Fs3%2Faws4_request&amp;X-Amz-Date=20260126T030001Z&amp;X-Amz-Expires=604800&amp;X-Amz-Signature=1072b804f4c41c3c25160a48f276be037364c4df15d39924ec2f600e6f6c2682&amp;X-Amz-SignedHeaders=host</t>
  </si>
  <si>
    <t>https://chronograph-documents-cvc.s3-accelerate.amazonaws.com/production/images/omada-1687957151570.png?X-Amz-Algorithm=AWS4-HMAC-SHA256&amp;X-Amz-Credential=AKIAYPPVAWWRDQNNAUFH%2F20260126%2Feu-west-2%2Fs3%2Faws4_request&amp;X-Amz-Date=20260126T030001Z&amp;X-Amz-Expires=604800&amp;X-Amz-Signature=107b641a1b3ff2c901be351bb996e5898e76025442d336a05dde404a804a07b5&amp;X-Amz-SignedHeaders=host</t>
  </si>
  <si>
    <t>https://chronograph-documents-cvc.s3-accelerate.amazonaws.com/production/images/clearbit_logo__www_ontic.com-1678456332610.png?X-Amz-Algorithm=AWS4-HMAC-SHA256&amp;X-Amz-Credential=AKIAYPPVAWWRDQNNAUFH%2F20260126%2Feu-west-2%2Fs3%2Faws4_request&amp;X-Amz-Date=20260126T030001Z&amp;X-Amz-Expires=604800&amp;X-Amz-Signature=43c9869841ed02c83642ffc4d9250871910a5e7ab99f8cef58c0b31a027c3c2e&amp;X-Amz-SignedHeaders=host</t>
  </si>
  <si>
    <t>https://chronograph-documents-cvc.s3-accelerate.amazonaws.com/production/images/clearbit_logo__www_pdcwellness.com-1677246189899.png?X-Amz-Algorithm=AWS4-HMAC-SHA256&amp;X-Amz-Credential=AKIAYPPVAWWRDQNNAUFH%2F20260126%2Feu-west-2%2Fs3%2Faws4_request&amp;X-Amz-Date=20260126T030001Z&amp;X-Amz-Expires=604800&amp;X-Amz-Signature=05d7f8838c895e887805499d2d6e8214c107c7e7cb603165b046774d64a21bd8&amp;X-Amz-SignedHeaders=host</t>
  </si>
  <si>
    <t>https://chronograph-documents-cvc.s3-accelerate.amazonaws.com/production/images/clearbit_logo__www_pensioncorporation.com-1677244712243.png?X-Amz-Algorithm=AWS4-HMAC-SHA256&amp;X-Amz-Credential=AKIAYPPVAWWRDQNNAUFH%2F20260126%2Feu-west-2%2Fs3%2Faws4_request&amp;X-Amz-Date=20260126T030001Z&amp;X-Amz-Expires=604800&amp;X-Amz-Signature=3854b7000d90c9f1fe54ff1bf1d7c4431bcf5107165c4e3d3edf076dbb726c4b&amp;X-Amz-SignedHeaders=host</t>
  </si>
  <si>
    <t>https://chronograph-documents-cvc.s3-accelerate.amazonaws.com/production/images/clearbit_logo__www_dei.gr-1677245189445.png?X-Amz-Algorithm=AWS4-HMAC-SHA256&amp;X-Amz-Credential=AKIAYPPVAWWRDQNNAUFH%2F20260126%2Feu-west-2%2Fs3%2Faws4_request&amp;X-Amz-Date=20260126T030001Z&amp;X-Amz-Expires=604800&amp;X-Amz-Signature=98853898eb0026c4806ea79980e79fd82c1cfbd46677b874d3dd05c8a953933e&amp;X-Amz-SignedHeaders=host</t>
  </si>
  <si>
    <t>https://chronograph-documents-cvc.s3-accelerate.amazonaws.com/production/images/clearbit_logo__tracking_packeta.com-1713172687341.png?X-Amz-Algorithm=AWS4-HMAC-SHA256&amp;X-Amz-Credential=AKIAYPPVAWWRDQNNAUFH%2F20260126%2Feu-west-2%2Fs3%2Faws4_request&amp;X-Amz-Date=20260126T030001Z&amp;X-Amz-Expires=604800&amp;X-Amz-Signature=bb03dc4785697e58306400352d80f462d38d4a26f9e1576132c2f40ff753e966&amp;X-Amz-SignedHeaders=host</t>
  </si>
  <si>
    <t>https://chronograph-documents-cvc.s3-accelerate.amazonaws.com/production/images/panzani-1677248571108.png?X-Amz-Algorithm=AWS4-HMAC-SHA256&amp;X-Amz-Credential=AKIAYPPVAWWRDQNNAUFH%2F20260126%2Feu-west-2%2Fs3%2Faws4_request&amp;X-Amz-Date=20260126T030001Z&amp;X-Amz-Expires=604800&amp;X-Amz-Signature=522327c3c4040a28d866881c3855b996c427bb5f8782668922978d8ab9bb4113&amp;X-Amz-SignedHeaders=host</t>
  </si>
  <si>
    <t>https://chronograph-documents-cvc.s3-accelerate.amazonaws.com/production/images/clearbit_logo__ppfeurope_com-1734020719603.png?X-Amz-Algorithm=AWS4-HMAC-SHA256&amp;X-Amz-Credential=AKIAYPPVAWWRDQNNAUFH%2F20260126%2Feu-west-2%2Fs3%2Faws4_request&amp;X-Amz-Date=20260126T030001Z&amp;X-Amz-Expires=604800&amp;X-Amz-Signature=9a1287a0ee5a5dfbcfbbef161c480e984667801826fceceb3c2b5af2f0ecc38a&amp;X-Amz-SignedHeaders=host</t>
  </si>
  <si>
    <t>https://chronograph-documents-cvc.s3-accelerate.amazonaws.com/production/images/paysafe-1687956834353.png?X-Amz-Algorithm=AWS4-HMAC-SHA256&amp;X-Amz-Credential=AKIAYPPVAWWRDQNNAUFH%2F20260126%2Feu-west-2%2Fs3%2Faws4_request&amp;X-Amz-Date=20260126T030001Z&amp;X-Amz-Expires=604800&amp;X-Amz-Signature=6962279f0362abb208fcc19fbf0e34ee2f87005a3eb29a4d3ca88e192cbb6168&amp;X-Amz-SignedHeaders=host</t>
  </si>
  <si>
    <t>https://chronograph-documents-cvc.s3-accelerate.amazonaws.com/production/images/petco-1687956769895.png?X-Amz-Algorithm=AWS4-HMAC-SHA256&amp;X-Amz-Credential=AKIAYPPVAWWRDQNNAUFH%2F20260126%2Feu-west-2%2Fs3%2Faws4_request&amp;X-Amz-Date=20260126T030001Z&amp;X-Amz-Expires=604800&amp;X-Amz-Signature=39505c25352d587b3b6cd43afcdf92ed29170627e793cd4aa0e029ed68b36ed6&amp;X-Amz-SignedHeaders=host</t>
  </si>
  <si>
    <t>https://chronograph-documents-cvc.s3-accelerate.amazonaws.com/production/images/pharmaresearch-logo-2-1746527019912.png?X-Amz-Algorithm=AWS4-HMAC-SHA256&amp;X-Amz-Credential=AKIAYPPVAWWRDQNNAUFH%2F20260126%2Feu-west-2%2Fs3%2Faws4_request&amp;X-Amz-Date=20260126T030001Z&amp;X-Amz-Expires=604800&amp;X-Amz-Signature=0993dd74049158970db0fc0fff32f4e4512fec639c44128f3b72da74acf93386&amp;X-Amz-SignedHeaders=host</t>
  </si>
  <si>
    <t>https://chronograph-documents-cvc.s3-accelerate.amazonaws.com/production/images/phuong-chau-1684165759025.png?X-Amz-Algorithm=AWS4-HMAC-SHA256&amp;X-Amz-Credential=AKIAYPPVAWWRDQNNAUFH%2F20260126%2Feu-west-2%2Fs3%2Faws4_request&amp;X-Amz-Date=20260126T030001Z&amp;X-Amz-Expires=604800&amp;X-Amz-Signature=819bd016788a6cacfd4a6a0ecea66d7802e46560e3f7b0b1cebf6ce4c42bd547&amp;X-Amz-SignedHeaders=host</t>
  </si>
  <si>
    <t>https://chronograph-documents-cvc.s3-accelerate.amazonaws.com/production/images/clearbit_logo__www_pluscompany.com-1684152711991.png?X-Amz-Algorithm=AWS4-HMAC-SHA256&amp;X-Amz-Credential=AKIAYPPVAWWRDQNNAUFH%2F20260126%2Feu-west-2%2Fs3%2Faws4_request&amp;X-Amz-Date=20260126T030001Z&amp;X-Amz-Expires=604800&amp;X-Amz-Signature=36e73221c5ce473ff2d05e7f50489468ef2e1800226937c594e5fbe572391638&amp;X-Amz-SignedHeaders=host</t>
  </si>
  <si>
    <t>https://chronograph-documents-cvc.s3-accelerate.amazonaws.com/production/images/premiership-rugby-1687956942275.png?X-Amz-Algorithm=AWS4-HMAC-SHA256&amp;X-Amz-Credential=AKIAYPPVAWWRDQNNAUFH%2F20260126%2Feu-west-2%2Fs3%2Faws4_request&amp;X-Amz-Date=20260126T030001Z&amp;X-Amz-Expires=604800&amp;X-Amz-Signature=c111b6bc0eaf418de41980c49342be7284549caf6349b68a156b72293e324327&amp;X-Amz-SignedHeaders=host</t>
  </si>
  <si>
    <t>https://chronograph-documents-cvc.s3-accelerate.amazonaws.com/production/images/clearbit_logo__www_qa.com-1680250560795.png?X-Amz-Algorithm=AWS4-HMAC-SHA256&amp;X-Amz-Credential=AKIAYPPVAWWRDQNNAUFH%2F20260126%2Feu-west-2%2Fs3%2Faws4_request&amp;X-Amz-Date=20260126T030001Z&amp;X-Amz-Expires=604800&amp;X-Amz-Signature=47e14c015faff23f704671d68f29bf1bf0d35666f49f8cb1e9f17a9532bc7b52&amp;X-Amz-SignedHeaders=host</t>
  </si>
  <si>
    <t>https://chronograph-documents-cvc.s3-accelerate.amazonaws.com/production/images/clearbit_logo__qsrbrands_com-1684165298069.png?X-Amz-Algorithm=AWS4-HMAC-SHA256&amp;X-Amz-Credential=AKIAYPPVAWWRDQNNAUFH%2F20260126%2Feu-west-2%2Fs3%2Faws4_request&amp;X-Amz-Date=20260126T030001Z&amp;X-Amz-Expires=604800&amp;X-Amz-Signature=5702864e75786296226ed2d21b5dc1452ac216bcb6d0689ce2829646c182962a&amp;X-Amz-SignedHeaders=host</t>
  </si>
  <si>
    <t>https://chronograph-documents-cvc.s3-accelerate.amazonaws.com/production/images/clearbit_logo__www_rac.co.uk-1680511094498.png?X-Amz-Algorithm=AWS4-HMAC-SHA256&amp;X-Amz-Credential=AKIAYPPVAWWRDQNNAUFH%2F20260126%2Feu-west-2%2Fs3%2Faws4_request&amp;X-Amz-Date=20260126T030001Z&amp;X-Amz-Expires=604800&amp;X-Amz-Signature=2198e7c8adeb5edca9f90e4e8c849768dc9aa8b38fc73348a5c0f860bf29f186&amp;X-Amz-SignedHeaders=host</t>
  </si>
  <si>
    <t>https://chronograph-documents-cvc.s3-accelerate.amazonaws.com/production/images/clearbit_logo__www_rgigroup.com-1677248619947.png?X-Amz-Algorithm=AWS4-HMAC-SHA256&amp;X-Amz-Credential=AKIAYPPVAWWRDQNNAUFH%2F20260126%2Feu-west-2%2Fs3%2Faws4_request&amp;X-Amz-Date=20260126T030001Z&amp;X-Amz-Expires=604800&amp;X-Amz-Signature=4b46da7d81b0b810814595be19e18edb578b8b70d7404e33fa0c7478f2ff5c75&amp;X-Amz-SignedHeaders=host</t>
  </si>
  <si>
    <t>https://chronograph-documents-cvc.s3-accelerate.amazonaws.com/production/images/rke-1684165460675.png?X-Amz-Algorithm=AWS4-HMAC-SHA256&amp;X-Amz-Credential=AKIAYPPVAWWRDQNNAUFH%2F20260126%2Feu-west-2%2Fs3%2Faws4_request&amp;X-Amz-Date=20260126T030001Z&amp;X-Amz-Expires=604800&amp;X-Amz-Signature=183ef8ee1a555fe19256e9b8195ae95fda04e4cc1d24b0dc327b7d7950a1c7ee&amp;X-Amz-SignedHeaders=host</t>
  </si>
  <si>
    <t>https://chronograph-documents-cvc.s3-accelerate.amazonaws.com/production/images/clearbit_logo__www_radwell.com-1660319136305.png?X-Amz-Algorithm=AWS4-HMAC-SHA256&amp;X-Amz-Credential=AKIAYPPVAWWRDQNNAUFH%2F20260126%2Feu-west-2%2Fs3%2Faws4_request&amp;X-Amz-Date=20260126T030001Z&amp;X-Amz-Expires=604800&amp;X-Amz-Signature=790a9e205aa172a5496890da7229d61b6cebec313cc023e8bf18abf2f66a6a27&amp;X-Amz-SignedHeaders=host</t>
  </si>
  <si>
    <t>https://chronograph-documents-cvc.s3-accelerate.amazonaws.com/production/images/clearbit_logo__rayner_com-1677248595259.png?X-Amz-Algorithm=AWS4-HMAC-SHA256&amp;X-Amz-Credential=AKIAYPPVAWWRDQNNAUFH%2F20260126%2Feu-west-2%2Fs3%2Faws4_request&amp;X-Amz-Date=20260126T030001Z&amp;X-Amz-Expires=604800&amp;X-Amz-Signature=8ab94325bf71b6ba0f6e2ada957286938fa7bfe107554f1c4bca4d9ed011b187&amp;X-Amz-SignedHeaders=host</t>
  </si>
  <si>
    <t>https://chronograph-documents-cvc.s3-accelerate.amazonaws.com/production/images/clearbit_logo__www_razer.com-1684152723982.png?X-Amz-Algorithm=AWS4-HMAC-SHA256&amp;X-Amz-Credential=AKIAYPPVAWWRDQNNAUFH%2F20260126%2Feu-west-2%2Fs3%2Faws4_request&amp;X-Amz-Date=20260126T030001Z&amp;X-Amz-Expires=604800&amp;X-Amz-Signature=cd4d8a3d32449a845e4d1d61f840783ff7e8b29c49a900719c80d9aa162935fa&amp;X-Amz-SignedHeaders=host</t>
  </si>
  <si>
    <t>https://chronograph-documents-cvc.s3-accelerate.amazonaws.com/production/images/recordati-1677497288642.png?X-Amz-Algorithm=AWS4-HMAC-SHA256&amp;X-Amz-Credential=AKIAYPPVAWWRDQNNAUFH%2F20260126%2Feu-west-2%2Fs3%2Faws4_request&amp;X-Amz-Date=20260126T030001Z&amp;X-Amz-Expires=604800&amp;X-Amz-Signature=2342fb5fadc44fb5fd4a48ec0702f67843b59a7513676e806904291f59c6e76c&amp;X-Amz-SignedHeaders=host</t>
  </si>
  <si>
    <t>https://chronograph-documents-cvc.s3-accelerate.amazonaws.com/production/images/clearbit_logo__www_republicfinance.com-1677246199030.png?X-Amz-Algorithm=AWS4-HMAC-SHA256&amp;X-Amz-Credential=AKIAYPPVAWWRDQNNAUFH%2F20260126%2Feu-west-2%2Fs3%2Faws4_request&amp;X-Amz-Date=20260126T030001Z&amp;X-Amz-Expires=604800&amp;X-Amz-Signature=7bd9c356521308b12baa72042e06b957e38e13acacd1c19955ce18417805b290&amp;X-Amz-SignedHeaders=host</t>
  </si>
  <si>
    <t>https://chronograph-documents-cvc.s3-accelerate.amazonaws.com/production/images/clearbit_logo__www_resursbank.se-1728402355232.png?X-Amz-Algorithm=AWS4-HMAC-SHA256&amp;X-Amz-Credential=AKIAYPPVAWWRDQNNAUFH%2F20260126%2Feu-west-2%2Fs3%2Faws4_request&amp;X-Amz-Date=20260126T030001Z&amp;X-Amz-Expires=604800&amp;X-Amz-Signature=1b7b3b646d43b54eba41eabfa04759b8c79dbc8d9231631f95c1567e349931d5&amp;X-Amz-SignedHeaders=host</t>
  </si>
  <si>
    <t>https://chronograph-documents-cvc.s3-accelerate.amazonaws.com/production/images/clearbit_logo__www_relxle.com-1684165420130.png?X-Amz-Algorithm=AWS4-HMAC-SHA256&amp;X-Amz-Credential=AKIAYPPVAWWRDQNNAUFH%2F20260126%2Feu-west-2%2Fs3%2Faws4_request&amp;X-Amz-Date=20260126T030001Z&amp;X-Amz-Expires=604800&amp;X-Amz-Signature=3fe85c7bf620128d0022594d80f2a2ffcde83d0ca63a0e7398d270283492c471&amp;X-Amz-SignedHeaders=host</t>
  </si>
  <si>
    <t>https://chronograph-documents-cvc.s3-accelerate.amazonaws.com/production/images/riverstone-logo-1677247125584.png?X-Amz-Algorithm=AWS4-HMAC-SHA256&amp;X-Amz-Credential=AKIAYPPVAWWRDQNNAUFH%2F20260126%2Feu-west-2%2Fs3%2Faws4_request&amp;X-Amz-Date=20260126T030001Z&amp;X-Amz-Expires=604800&amp;X-Amz-Signature=5ddab38bb3b6308f2418483bc50b7c3706052c7669c2c11e18ba17f9d6d36284&amp;X-Amz-SignedHeaders=host</t>
  </si>
  <si>
    <t>https://chronograph-documents-cvc.s3-accelerate.amazonaws.com/production/images/clearbit_logo__www_sdworx.com-1706115009125.png?X-Amz-Algorithm=AWS4-HMAC-SHA256&amp;X-Amz-Credential=AKIAYPPVAWWRDQNNAUFH%2F20260126%2Feu-west-2%2Fs3%2Faws4_request&amp;X-Amz-Date=20260126T030001Z&amp;X-Amz-Expires=604800&amp;X-Amz-Signature=4521e57bd46ee341cb9e4ab0a5dcc20d90d82bafb0f7d54cbfc8b4cab95e28f5&amp;X-Amz-SignedHeaders=host</t>
  </si>
  <si>
    <t>https://chronograph-documents-cvc.s3-accelerate.amazonaws.com/production/images/SEARI-1684166676623.png?X-Amz-Algorithm=AWS4-HMAC-SHA256&amp;X-Amz-Credential=AKIAYPPVAWWRDQNNAUFH%2F20260126%2Feu-west-2%2Fs3%2Faws4_request&amp;X-Amz-Date=20260126T030001Z&amp;X-Amz-Expires=604800&amp;X-Amz-Signature=51006c7d6f7032f62bba2f17c3d1313ecfb932c8d1ed2da2a722ff49704cccca&amp;X-Amz-SignedHeaders=host</t>
  </si>
  <si>
    <t>https://chronograph-documents-cvc.s3-accelerate.amazonaws.com/production/images/clearbit_logo__starkgroup_dk-1677247790640.png?X-Amz-Algorithm=AWS4-HMAC-SHA256&amp;X-Amz-Credential=AKIAYPPVAWWRDQNNAUFH%2F20260126%2Feu-west-2%2Fs3%2Faws4_request&amp;X-Amz-Date=20260126T030001Z&amp;X-Amz-Expires=604800&amp;X-Amz-Signature=9356a4203653669afd8bc763eb907d4f055661f55f6703aa1a5b05c9fb3e0b18&amp;X-Amz-SignedHeaders=host</t>
  </si>
  <si>
    <t>https://chronograph-documents-cvc.s3-accelerate.amazonaws.com/production/images/samator_indo_gas_master_logo_final-1686923546835.png?X-Amz-Algorithm=AWS4-HMAC-SHA256&amp;X-Amz-Credential=AKIAYPPVAWWRDQNNAUFH%2F20260126%2Feu-west-2%2Fs3%2Faws4_request&amp;X-Amz-Date=20260126T030001Z&amp;X-Amz-Expires=604800&amp;X-Amz-Signature=1efe3bc40338b8ae1cedaf12808b08545fbc7f33bb66324dbf15ccfe670c84ab&amp;X-Amz-SignedHeaders=host</t>
  </si>
  <si>
    <t>https://chronograph-documents-cvc.s3-accelerate.amazonaws.com/production/images/scan-global-logistics-262x137-1687957089422.png?X-Amz-Algorithm=AWS4-HMAC-SHA256&amp;X-Amz-Credential=AKIAYPPVAWWRDQNNAUFH%2F20260126%2Feu-west-2%2Fs3%2Faws4_request&amp;X-Amz-Date=20260126T030001Z&amp;X-Amz-Expires=604800&amp;X-Amz-Signature=0accb631949af097e2b3184b0637241d05eff6a408268889c5cde11fa80c2f4e&amp;X-Amz-SignedHeaders=host</t>
  </si>
  <si>
    <t>https://chronograph-documents-cvc.s3-accelerate.amazonaws.com/production/images/clearbit_logo__www_sebia.com-1683719891268.png?X-Amz-Algorithm=AWS4-HMAC-SHA256&amp;X-Amz-Credential=AKIAYPPVAWWRDQNNAUFH%2F20260126%2Feu-west-2%2Fs3%2Faws4_request&amp;X-Amz-Date=20260126T030001Z&amp;X-Amz-Expires=604800&amp;X-Amz-Signature=647a375d65b86df827c9614640b2edafddfaac9e0c30a1e75077403b58e25d59&amp;X-Amz-SignedHeaders=host</t>
  </si>
  <si>
    <t>https://chronograph-documents-cvc.s3-accelerate.amazonaws.com/production/images/clearbit_logo__www_sheerid.com-1677245331236.png?X-Amz-Algorithm=AWS4-HMAC-SHA256&amp;X-Amz-Credential=AKIAYPPVAWWRDQNNAUFH%2F20260126%2Feu-west-2%2Fs3%2Faws4_request&amp;X-Amz-Date=20260126T030001Z&amp;X-Amz-Expires=604800&amp;X-Amz-Signature=e3ca6e21726f6739c26daeef4b9ce3088aeb2df54bf05aa26beb66c20bc29e76&amp;X-Amz-SignedHeaders=host</t>
  </si>
  <si>
    <t>https://chronograph-documents-cvc.s3-accelerate.amazonaws.com/production/images/clearbit_logo__www_siloamhospitals.com-1684165498173.png?X-Amz-Algorithm=AWS4-HMAC-SHA256&amp;X-Amz-Credential=AKIAYPPVAWWRDQNNAUFH%2F20260126%2Feu-west-2%2Fs3%2Faws4_request&amp;X-Amz-Date=20260126T030001Z&amp;X-Amz-Expires=604800&amp;X-Amz-Signature=ad1cc9bc22db71ea21caaa09606fbff04a9c31fcf80e882f5cf64822d640071c&amp;X-Amz-SignedHeaders=host</t>
  </si>
  <si>
    <t>https://chronograph-documents-cvc.s3-accelerate.amazonaws.com/production/images/six-nations-1687956966753.png?X-Amz-Algorithm=AWS4-HMAC-SHA256&amp;X-Amz-Credential=AKIAYPPVAWWRDQNNAUFH%2F20260126%2Feu-west-2%2Fs3%2Faws4_request&amp;X-Amz-Date=20260126T030001Z&amp;X-Amz-Expires=604800&amp;X-Amz-Signature=458b224f189bd993f05c1f8ce2ae5d87df0d047738ad939c80cfd2e22b95c7b2&amp;X-Amz-SignedHeaders=host</t>
  </si>
  <si>
    <t>https://chronograph-documents-cvc.s3-accelerate.amazonaws.com/production/images/skroutz-1677247762752.png?X-Amz-Algorithm=AWS4-HMAC-SHA256&amp;X-Amz-Credential=AKIAYPPVAWWRDQNNAUFH%2F20260126%2Feu-west-2%2Fs3%2Faws4_request&amp;X-Amz-Date=20260126T030001Z&amp;X-Amz-Expires=604800&amp;X-Amz-Signature=99f9f5b97dd3f05636ee337d4cdcbecbcd52ff78c0228b6607772ae8b9eaf5f4&amp;X-Amz-SignedHeaders=host</t>
  </si>
  <si>
    <t>https://chronograph-documents-cvc.s3-accelerate.amazonaws.com/production/images/skybox-1687957173497.png?X-Amz-Algorithm=AWS4-HMAC-SHA256&amp;X-Amz-Credential=AKIAYPPVAWWRDQNNAUFH%2F20260126%2Feu-west-2%2Fs3%2Faws4_request&amp;X-Amz-Date=20260126T030001Z&amp;X-Amz-Expires=604800&amp;X-Amz-Signature=380b85bf16f0c1eb7fe45ef42aeda0822846c1bffcc919db3f67392d972a00ea&amp;X-Amz-SignedHeaders=host</t>
  </si>
  <si>
    <t>https://chronograph-documents-cvc.s3-accelerate.amazonaws.com/production/images/clearbit_logo__www_smithsdetection.com-1764785220238.png?X-Amz-Algorithm=AWS4-HMAC-SHA256&amp;X-Amz-Credential=AKIAYPPVAWWRDQNNAUFH%2F20260126%2Feu-west-2%2Fs3%2Faws4_request&amp;X-Amz-Date=20260126T030001Z&amp;X-Amz-Expires=604800&amp;X-Amz-Signature=b3ab4fc54a501badd7855a96f25086fa17fa2741729e973bafe509ea95cffd3f&amp;X-Amz-SignedHeaders=host</t>
  </si>
  <si>
    <t>https://chronograph-documents-cvc.s3-accelerate.amazonaws.com/production/images/clearbit_logo__www_sogelink.com-1717758349940.png?X-Amz-Algorithm=AWS4-HMAC-SHA256&amp;X-Amz-Credential=AKIAYPPVAWWRDQNNAUFH%2F20260126%2Feu-west-2%2Fs3%2Faws4_request&amp;X-Amz-Date=20260126T030001Z&amp;X-Amz-Expires=604800&amp;X-Amz-Signature=f6b2a2b4ee8afc5d18a5574d4f1d35c89d7f5538aae4fb1bedd74c24fd41260c&amp;X-Amz-SignedHeaders=host</t>
  </si>
  <si>
    <t>https://chronograph-documents-cvc.s3-accelerate.amazonaws.com/production/images/clearbit_logo__www_sogo-medical.co.jp-1728290451579.png?X-Amz-Algorithm=AWS4-HMAC-SHA256&amp;X-Amz-Credential=AKIAYPPVAWWRDQNNAUFH%2F20260126%2Feu-west-2%2Fs3%2Faws4_request&amp;X-Amz-Date=20260126T030001Z&amp;X-Amz-Expires=604800&amp;X-Amz-Signature=68066041246425ccaf7e5b0456dc00ecc0120176523fd9db616e985637e80955&amp;X-Amz-SignedHeaders=host</t>
  </si>
  <si>
    <t>https://chronograph-documents-cvc.s3-accelerate.amazonaws.com/production/images/clearbit_logo__www_sohoglobalhealth.com-1684166223419.png?X-Amz-Algorithm=AWS4-HMAC-SHA256&amp;X-Amz-Credential=AKIAYPPVAWWRDQNNAUFH%2F20260126%2Feu-west-2%2Fs3%2Faws4_request&amp;X-Amz-Date=20260126T030001Z&amp;X-Amz-Expires=604800&amp;X-Amz-Signature=633f69a43496892c261349012da27f0b070727db87f3ca4870ad65b66d05b8db&amp;X-Amz-SignedHeaders=host</t>
  </si>
  <si>
    <t>https://chronograph-documents-cvc.s3-accelerate.amazonaws.com/production/images/sonae-mc-1677247186662.png?X-Amz-Algorithm=AWS4-HMAC-SHA256&amp;X-Amz-Credential=AKIAYPPVAWWRDQNNAUFH%2F20260126%2Feu-west-2%2Fs3%2Faws4_request&amp;X-Amz-Date=20260126T030001Z&amp;X-Amz-Expires=604800&amp;X-Amz-Signature=5e9e9306c4a22d1b62519f1ce5be288bcde49ebc5c1c6681aac39b146ce1322d&amp;X-Amz-SignedHeaders=host</t>
  </si>
  <si>
    <t>https://chronograph-documents-cvc.s3-accelerate.amazonaws.com/production/images/clearbit_logo__www_spectrummedical.com-1677248640452.png?X-Amz-Algorithm=AWS4-HMAC-SHA256&amp;X-Amz-Credential=AKIAYPPVAWWRDQNNAUFH%2F20260126%2Feu-west-2%2Fs3%2Faws4_request&amp;X-Amz-Date=20260126T030001Z&amp;X-Amz-Expires=604800&amp;X-Amz-Signature=b19b6a4cd9770cb0f48e60750cbc928235cf1af001a4331012ba99d877b5e29c&amp;X-Amz-SignedHeaders=host</t>
  </si>
  <si>
    <t>https://chronograph-documents-cvc.s3-accelerate.amazonaws.com/production/images/star-vision-website-logo-v2-1746527050455.png?X-Amz-Algorithm=AWS4-HMAC-SHA256&amp;X-Amz-Credential=AKIAYPPVAWWRDQNNAUFH%2F20260126%2Feu-west-2%2Fs3%2Faws4_request&amp;X-Amz-Date=20260126T030001Z&amp;X-Amz-Expires=604800&amp;X-Amz-Signature=c86e71068124fa4e46a760f2cd82639d83710a92382c6d10e2dfa876e728f9dc&amp;X-Amz-SignedHeaders=host</t>
  </si>
  <si>
    <t>https://chronograph-documents-cvc.s3-accelerate.amazonaws.com/production/images/STOCK-logo-1737048491064.png?X-Amz-Algorithm=AWS4-HMAC-SHA256&amp;X-Amz-Credential=AKIAYPPVAWWRDQNNAUFH%2F20260126%2Feu-west-2%2Fs3%2Faws4_request&amp;X-Amz-Date=20260126T030001Z&amp;X-Amz-Expires=604800&amp;X-Amz-Signature=fed9376437decd12f12827841de6d210643c1e7aea5ceb4e2701efc244c3e868&amp;X-Amz-SignedHeaders=host</t>
  </si>
  <si>
    <t>https://chronograph-documents-cvc.s3-accelerate.amazonaws.com/production/images/clearbit_logo__www_sunday.de-1718612951741.png?X-Amz-Algorithm=AWS4-HMAC-SHA256&amp;X-Amz-Credential=AKIAYPPVAWWRDQNNAUFH%2F20260126%2Feu-west-2%2Fs3%2Faws4_request&amp;X-Amz-Date=20260126T030001Z&amp;X-Amz-Expires=604800&amp;X-Amz-Signature=fb251e97bde1ba820dd876b3ca5e5904d5fcbec2065b997192151b0fba287c64&amp;X-Amz-SignedHeaders=host</t>
  </si>
  <si>
    <t>https://chronograph-documents-cvc.s3-accelerate.amazonaws.com/production/images/superstruct-logo-for-website-1-1736255238526.png?X-Amz-Algorithm=AWS4-HMAC-SHA256&amp;X-Amz-Credential=AKIAYPPVAWWRDQNNAUFH%2F20260126%2Feu-west-2%2Fs3%2Faws4_request&amp;X-Amz-Date=20260126T030001Z&amp;X-Amz-Expires=604800&amp;X-Amz-Signature=3ac1b7026961417dee8d49083652b14aa0305c0478a00be51f5395c74d448101&amp;X-Amz-SignedHeaders=host</t>
  </si>
  <si>
    <t>https://chronograph-documents-cvc.s3-accelerate.amazonaws.com/production/images/synsam-1687956740373.png?X-Amz-Algorithm=AWS4-HMAC-SHA256&amp;X-Amz-Credential=AKIAYPPVAWWRDQNNAUFH%2F20260126%2Feu-west-2%2Fs3%2Faws4_request&amp;X-Amz-Date=20260126T030001Z&amp;X-Amz-Expires=604800&amp;X-Amz-Signature=9efeb48e26fb65ef7e3f51daae2c275290bd4404110126e494e46b93e524e826&amp;X-Amz-SignedHeaders=host</t>
  </si>
  <si>
    <t>https://chronograph-documents-cvc.s3-accelerate.amazonaws.com/production/images/clearbit_logo__www_syntegon.com-1677247813587.png?X-Amz-Algorithm=AWS4-HMAC-SHA256&amp;X-Amz-Credential=AKIAYPPVAWWRDQNNAUFH%2F20260126%2Feu-west-2%2Fs3%2Faws4_request&amp;X-Amz-Date=20260126T030001Z&amp;X-Amz-Expires=604800&amp;X-Amz-Signature=c5bcc45b26cab369b7fad25dc2248d8d1c1388baa70bdfef3850350bcdbc1f19&amp;X-Amz-SignedHeaders=host</t>
  </si>
  <si>
    <t>https://chronograph-documents-cvc.s3-accelerate.amazonaws.com/production/images/System%20C%20new%20logo%20%28002%29-1715241933821.png?X-Amz-Algorithm=AWS4-HMAC-SHA256&amp;X-Amz-Credential=AKIAYPPVAWWRDQNNAUFH%2F20260126%2Feu-west-2%2Fs3%2Faws4_request&amp;X-Amz-Date=20260126T030001Z&amp;X-Amz-Expires=604800&amp;X-Amz-Signature=b9b8cf57b68208a093e1fbc4f68a65f8a57a3632a3cb0f648f33a5811cf410c7&amp;X-Amz-SignedHeaders=host</t>
  </si>
  <si>
    <t>https://chronograph-documents-cvc.s3-accelerate.amazonaws.com/production/images/clearbit_logo__www_tmf-group.com-1677245086145.png?X-Amz-Algorithm=AWS4-HMAC-SHA256&amp;X-Amz-Credential=AKIAYPPVAWWRDQNNAUFH%2F20260126%2Feu-west-2%2Fs3%2Faws4_request&amp;X-Amz-Date=20260126T030001Z&amp;X-Amz-Expires=604800&amp;X-Amz-Signature=829e3a37c1e590c9a4ec9874fe858e3470c276302ce1bbba008ebd133d5849bc&amp;X-Amz-SignedHeaders=host</t>
  </si>
  <si>
    <t>https://chronograph-documents-cvc.s3-accelerate.amazonaws.com/production/images/clearbit_logo__www_topdesk.com-1718612885369.png?X-Amz-Algorithm=AWS4-HMAC-SHA256&amp;X-Amz-Credential=AKIAYPPVAWWRDQNNAUFH%2F20260126%2Feu-west-2%2Fs3%2Faws4_request&amp;X-Amz-Date=20260126T030001Z&amp;X-Amz-Expires=604800&amp;X-Amz-Signature=fe923829cfbd8a4299b3f90249713f9a417ab998c0c23924124b7be746f1ad32&amp;X-Amz-SignedHeaders=host</t>
  </si>
  <si>
    <t>https://chronograph-documents-cvc.s3-accelerate.amazonaws.com/production/images/try-group-1684166265729.png?X-Amz-Algorithm=AWS4-HMAC-SHA256&amp;X-Amz-Credential=AKIAYPPVAWWRDQNNAUFH%2F20260126%2Feu-west-2%2Fs3%2Faws4_request&amp;X-Amz-Date=20260126T030001Z&amp;X-Amz-Expires=604800&amp;X-Amz-Signature=ecefac8a9a284bb24e040f64d133f534edec01017c67311437ad1489a4f75e00&amp;X-Amz-SignedHeaders=host</t>
  </si>
  <si>
    <t>https://chronograph-documents-cvc.s3-accelerate.amazonaws.com/production/images/techinsights-1687957208949.png?X-Amz-Algorithm=AWS4-HMAC-SHA256&amp;X-Amz-Credential=AKIAYPPVAWWRDQNNAUFH%2F20260126%2Feu-west-2%2Fs3%2Faws4_request&amp;X-Amz-Date=20260126T030001Z&amp;X-Amz-Expires=604800&amp;X-Amz-Signature=b3b2a59015c21ab2936662ce2799be6b0173ca0aa61133aa138ed1bfd4b60d66&amp;X-Amz-SignedHeaders=host</t>
  </si>
  <si>
    <t>https://chronograph-documents-cvc.s3-accelerate.amazonaws.com/production/images/clearbit_logo__www_tendam.es-1677246210500.png?X-Amz-Algorithm=AWS4-HMAC-SHA256&amp;X-Amz-Credential=AKIAYPPVAWWRDQNNAUFH%2F20260126%2Feu-west-2%2Fs3%2Faws4_request&amp;X-Amz-Date=20260126T030001Z&amp;X-Amz-Expires=604800&amp;X-Amz-Signature=8dda147916260147a9afb80ade4c49878bd07e13222f3421cc894291770c41a5&amp;X-Amz-SignedHeaders=host</t>
  </si>
  <si>
    <t>https://chronograph-documents-cvc.s3-accelerate.amazonaws.com/production/images/clearbit_logo__www_teneo.com-1677247873770.png?X-Amz-Algorithm=AWS4-HMAC-SHA256&amp;X-Amz-Credential=AKIAYPPVAWWRDQNNAUFH%2F20260126%2Feu-west-2%2Fs3%2Faws4_request&amp;X-Amz-Date=20260126T030001Z&amp;X-Amz-Expires=604800&amp;X-Amz-Signature=b20db92cadf0f1380166c640dcc1ac86156f3b8d1adf396b5bd0ad967b5b012f&amp;X-Amz-SignedHeaders=host</t>
  </si>
  <si>
    <t>https://chronograph-documents-cvc.s3-accelerate.amazonaws.com/production/images/TMC-Logo-Wout-Tagline-1698916096809.png?X-Amz-Algorithm=AWS4-HMAC-SHA256&amp;X-Amz-Credential=AKIAYPPVAWWRDQNNAUFH%2F20260126%2Feu-west-2%2Fs3%2Faws4_request&amp;X-Amz-Date=20260126T030001Z&amp;X-Amz-Expires=604800&amp;X-Amz-Signature=3e21b71ac28a735509c7e4254369a431d5a7d38e0540ab34679277e0746a32f9&amp;X-Amz-SignedHeaders=host</t>
  </si>
  <si>
    <t>https://chronograph-documents-cvc.s3-accelerate.amazonaws.com/production/images/quality-group-1677248733798.png?X-Amz-Algorithm=AWS4-HMAC-SHA256&amp;X-Amz-Credential=AKIAYPPVAWWRDQNNAUFH%2F20260126%2Feu-west-2%2Fs3%2Faws4_request&amp;X-Amz-Date=20260126T030001Z&amp;X-Amz-Expires=604800&amp;X-Amz-Signature=cc5dd59dfab97d7cd7d28c2503b2772fe398286ac1725d96dd6bd3d5c82a1204&amp;X-Amz-SignedHeaders=host</t>
  </si>
  <si>
    <t>https://chronograph-documents-cvc.s3-accelerate.amazonaws.com/production/images/clearbit_logo__www_therakos.com-1728402490100.png?X-Amz-Algorithm=AWS4-HMAC-SHA256&amp;X-Amz-Credential=AKIAYPPVAWWRDQNNAUFH%2F20260126%2Feu-west-2%2Fs3%2Faws4_request&amp;X-Amz-Date=20260126T030001Z&amp;X-Amz-Expires=604800&amp;X-Amz-Signature=4338027ca6f3993576d45093afd2ce3d1809b78fc57331367cb090415d33cb22&amp;X-Amz-SignedHeaders=host</t>
  </si>
  <si>
    <t>https://chronograph-documents-cvc.s3-accelerate.amazonaws.com/production/images/download-1660317910885.png?X-Amz-Algorithm=AWS4-HMAC-SHA256&amp;X-Amz-Credential=AKIAYPPVAWWRDQNNAUFH%2F20260126%2Feu-west-2%2Fs3%2Faws4_request&amp;X-Amz-Date=20260126T030001Z&amp;X-Amz-Expires=604800&amp;X-Amz-Signature=25296ebf4e0df5c4a1b3eb4edec7a3898e4ca0f82c7ad7d3d2f6acab6a5a25aa&amp;X-Amz-SignedHeaders=host</t>
  </si>
  <si>
    <t>https://chronograph-documents-cvc.s3-accelerate.amazonaws.com/production/images/Capture-1761690574813.JPG?X-Amz-Algorithm=AWS4-HMAC-SHA256&amp;X-Amz-Credential=AKIAYPPVAWWRDQNNAUFH%2F20260126%2Feu-west-2%2Fs3%2Faws4_request&amp;X-Amz-Date=20260126T030001Z&amp;X-Amz-Expires=604800&amp;X-Amz-Signature=e5f72e34ecc9a3591c0fb0b4c5ba615df1081c15364151464717c4fc76e3b6c8&amp;X-Amz-SignedHeaders=host</t>
  </si>
  <si>
    <t>https://chronograph-documents-cvc.s3-accelerate.amazonaws.com/production/images/tipico-1677247910852.png?X-Amz-Algorithm=AWS4-HMAC-SHA256&amp;X-Amz-Credential=AKIAYPPVAWWRDQNNAUFH%2F20260126%2Feu-west-2%2Fs3%2Faws4_request&amp;X-Amz-Date=20260126T030001Z&amp;X-Amz-Expires=604800&amp;X-Amz-Signature=7cf4018a86dded1151e6d0acebe78679c357ccc2d88553c856830ce5caa55a1d&amp;X-Amz-SignedHeaders=host</t>
  </si>
  <si>
    <t>https://chronograph-documents-cvc.s3-accelerate.amazonaws.com/production/images/5fb42699e7858e76aafb731e_LOGO-UAX-2016-OK-14-300x212-1660318895500.png?X-Amz-Algorithm=AWS4-HMAC-SHA256&amp;X-Amz-Credential=AKIAYPPVAWWRDQNNAUFH%2F20260126%2Feu-west-2%2Fs3%2Faws4_request&amp;X-Amz-Date=20260126T030001Z&amp;X-Amz-Expires=604800&amp;X-Amz-Signature=3476de956c42cfdcd042df3193a034ed55d11558d0a8fb0ab046fad8c1e55bb8&amp;X-Amz-SignedHeaders=host</t>
  </si>
  <si>
    <t>https://chronograph-documents-cvc.s3-accelerate.amazonaws.com/production/images/clearbit_logo__www_urus.org-1728402562080.png?X-Amz-Algorithm=AWS4-HMAC-SHA256&amp;X-Amz-Credential=AKIAYPPVAWWRDQNNAUFH%2F20260126%2Feu-west-2%2Fs3%2Faws4_request&amp;X-Amz-Date=20260126T030001Z&amp;X-Amz-Expires=604800&amp;X-Amz-Signature=75810bfd1b6f3550ab677e69e7442e281deac7eeeb44c122121238549825677f&amp;X-Amz-SignedHeaders=host</t>
  </si>
  <si>
    <t>https://chronograph-documents-cvc.s3-accelerate.amazonaws.com/production/images/clearbit_logo__www_unily.com-1677245621632.png?X-Amz-Algorithm=AWS4-HMAC-SHA256&amp;X-Amz-Credential=AKIAYPPVAWWRDQNNAUFH%2F20260126%2Feu-west-2%2Fs3%2Faws4_request&amp;X-Amz-Date=20260126T030001Z&amp;X-Amz-Expires=604800&amp;X-Amz-Signature=0e50200044dae3217af58d6882a640780baf681f1ee205c0d3cbb89f2b751ede&amp;X-Amz-SignedHeaders=host</t>
  </si>
  <si>
    <t>https://chronograph-documents-cvc.s3-accelerate.amazonaws.com/production/images/urc-1687957312500.png?X-Amz-Algorithm=AWS4-HMAC-SHA256&amp;X-Amz-Credential=AKIAYPPVAWWRDQNNAUFH%2F20260126%2Feu-west-2%2Fs3%2Faws4_request&amp;X-Amz-Date=20260126T030001Z&amp;X-Amz-Expires=604800&amp;X-Amz-Signature=efbee954216945a10db68d14d958e3199f1c630e1a6e21db28fc184a1250eb9c&amp;X-Amz-SignedHeaders=host</t>
  </si>
  <si>
    <t>https://chronograph-documents-cvc.s3-accelerate.amazonaws.com/production/images/clearbit_logo__www_unitedrugby.com-1677247940579.png?X-Amz-Algorithm=AWS4-HMAC-SHA256&amp;X-Amz-Credential=AKIAYPPVAWWRDQNNAUFH%2F20260126%2Feu-west-2%2Fs3%2Faws4_request&amp;X-Amz-Date=20260126T030001Z&amp;X-Amz-Expires=604800&amp;X-Amz-Signature=42ae958e0d9ef366a383a56a755f76907fd998d12a3e8fc27c1118e0f599a5cf&amp;X-Amz-SignedHeaders=host</t>
  </si>
  <si>
    <t>https://chronograph-documents-cvc.s3-accelerate.amazonaws.com/production/images/clearbit_logo__www_unitedlex.com-1684165547137.png?X-Amz-Algorithm=AWS4-HMAC-SHA256&amp;X-Amz-Credential=AKIAYPPVAWWRDQNNAUFH%2F20260126%2Feu-west-2%2Fs3%2Faws4_request&amp;X-Amz-Date=20260126T030001Z&amp;X-Amz-Expires=604800&amp;X-Amz-Signature=3b23134c302067fc91c5910d497b84dc2f00d59173db6d07f2dc0f7482d834d6&amp;X-Amz-SignedHeaders=host</t>
  </si>
  <si>
    <t>https://chronograph-documents-cvc.s3-accelerate.amazonaws.com/production/images/ironsource-1687957368385.png?X-Amz-Algorithm=AWS4-HMAC-SHA256&amp;X-Amz-Credential=AKIAYPPVAWWRDQNNAUFH%2F20260126%2Feu-west-2%2Fs3%2Faws4_request&amp;X-Amz-Date=20260126T030001Z&amp;X-Amz-Expires=604800&amp;X-Amz-Signature=c35d9f4237d0f34099bc627235795690af983d5704e2cfdd83e87f7192c99604&amp;X-Amz-SignedHeaders=host</t>
  </si>
  <si>
    <t>https://chronograph-documents-cvc.s3-accelerate.amazonaws.com/production/images/clearbit_logo__www_ehs.com-1677245340542.png?X-Amz-Algorithm=AWS4-HMAC-SHA256&amp;X-Amz-Credential=AKIAYPPVAWWRDQNNAUFH%2F20260126%2Feu-west-2%2Fs3%2Faws4_request&amp;X-Amz-Date=20260126T030001Z&amp;X-Amz-Expires=604800&amp;X-Amz-Signature=d14e2a14c3e2b80cf07a7abbbf17ff1b22b6792078c0ab220f2cd6ec830ac78b&amp;X-Amz-SignedHeaders=host</t>
  </si>
  <si>
    <t>https://chronograph-documents-cvc.s3-accelerate.amazonaws.com/production/images/clearbit_logo__www_veritext.com-1677245170146.png?X-Amz-Algorithm=AWS4-HMAC-SHA256&amp;X-Amz-Credential=AKIAYPPVAWWRDQNNAUFH%2F20260126%2Feu-west-2%2Fs3%2Faws4_request&amp;X-Amz-Date=20260126T030001Z&amp;X-Amz-Expires=604800&amp;X-Amz-Signature=a150f4b7d8e7edb97a33991bf6881fe08dcfa93b18c5ac24cdb12aa39d5d1a8b&amp;X-Amz-SignedHeaders=host</t>
  </si>
  <si>
    <t>https://chronograph-documents-cvc.s3-accelerate.amazonaws.com/production/images/clearbit_logo__www_vitaliahome.es-1677247462241.png?X-Amz-Algorithm=AWS4-HMAC-SHA256&amp;X-Amz-Credential=AKIAYPPVAWWRDQNNAUFH%2F20260126%2Feu-west-2%2Fs3%2Faws4_request&amp;X-Amz-Date=20260126T030001Z&amp;X-Amz-Expires=604800&amp;X-Amz-Signature=4c6ad962643edc4ca2a36d7c1f7ab40ac32d2e9a2200c625af20aa85bb907761&amp;X-Amz-SignedHeaders=host</t>
  </si>
  <si>
    <t>https://chronograph-documents-cvc.s3-accelerate.amazonaws.com/production/images/clearbit_logo__www_vitechinc.com-1677248037647.png?X-Amz-Algorithm=AWS4-HMAC-SHA256&amp;X-Amz-Credential=AKIAYPPVAWWRDQNNAUFH%2F20260126%2Feu-west-2%2Fs3%2Faws4_request&amp;X-Amz-Date=20260126T030001Z&amp;X-Amz-Expires=604800&amp;X-Amz-Signature=b9ed1bc212467b1bc2af8af554339e963ac088be25e0822dae643bc14e26e42a&amp;X-Amz-SignedHeaders=host</t>
  </si>
  <si>
    <t>https://chronograph-documents-cvc.s3-accelerate.amazonaws.com/production/images/vivartia-1687957028570.png?X-Amz-Algorithm=AWS4-HMAC-SHA256&amp;X-Amz-Credential=AKIAYPPVAWWRDQNNAUFH%2F20260126%2Feu-west-2%2Fs3%2Faws4_request&amp;X-Amz-Date=20260126T030001Z&amp;X-Amz-Expires=604800&amp;X-Amz-Signature=7028ff16e12e1694c00ce2e1860df506f4760874ba7818b72a1f1e9352137265&amp;X-Amz-SignedHeaders=host</t>
  </si>
  <si>
    <t>https://chronograph-documents-cvc.s3-accelerate.amazonaws.com/production/images/barba-1687957450562.png?X-Amz-Algorithm=AWS4-HMAC-SHA256&amp;X-Amz-Credential=AKIAYPPVAWWRDQNNAUFH%2F20260126%2Feu-west-2%2Fs3%2Faws4_request&amp;X-Amz-Date=20260126T030001Z&amp;X-Amz-Expires=604800&amp;X-Amz-Signature=6e73697c510ee434deb2c7a4d79f40d71b0074cb06de08164b56c6cd3eec98c5&amp;X-Amz-SignedHeaders=host</t>
  </si>
  <si>
    <t>https://chronograph-documents-cvc.s3-accelerate.amazonaws.com/production/images/delta-1687957575865.png?X-Amz-Algorithm=AWS4-HMAC-SHA256&amp;X-Amz-Credential=AKIAYPPVAWWRDQNNAUFH%2F20260126%2Feu-west-2%2Fs3%2Faws4_request&amp;X-Amz-Date=20260126T030001Z&amp;X-Amz-Expires=604800&amp;X-Amz-Signature=912dad92a339ff70e08d1be3c41c70e4256d215d2b2145b1d63377a064ac2ae5&amp;X-Amz-SignedHeaders=host</t>
  </si>
  <si>
    <t>https://chronograph-documents-cvc.s3-accelerate.amazonaws.com/production/images/clearbit_logo__dodoni_com-1706114976835.png?X-Amz-Algorithm=AWS4-HMAC-SHA256&amp;X-Amz-Credential=AKIAYPPVAWWRDQNNAUFH%2F20260126%2Feu-west-2%2Fs3%2Faws4_request&amp;X-Amz-Date=20260126T030001Z&amp;X-Amz-Expires=604800&amp;X-Amz-Signature=806f2bf8624f9e00003ee32e6866c73d837d180a00d5795164fd0998794dc1ea&amp;X-Amz-SignedHeaders=host</t>
  </si>
  <si>
    <t>https://chronograph-documents-cvc.s3-accelerate.amazonaws.com/production/images/Screenshot%202023-06-28%20140841-1687957740554.png?X-Amz-Algorithm=AWS4-HMAC-SHA256&amp;X-Amz-Credential=AKIAYPPVAWWRDQNNAUFH%2F20260126%2Feu-west-2%2Fs3%2Faws4_request&amp;X-Amz-Date=20260126T030001Z&amp;X-Amz-Expires=604800&amp;X-Amz-Signature=a87e97bdc3e3b2cdfe9dbcf73a9ffcb0516a7798c714960551c07c00fc0c4a18&amp;X-Amz-SignedHeaders=host</t>
  </si>
  <si>
    <t>https://chronograph-documents-cvc.s3-accelerate.amazonaws.com/production/images/clearbit_logo__en_volleyballworld.com-1677248061436.png?X-Amz-Algorithm=AWS4-HMAC-SHA256&amp;X-Amz-Credential=AKIAYPPVAWWRDQNNAUFH%2F20260126%2Feu-west-2%2Fs3%2Faws4_request&amp;X-Amz-Date=20260126T030001Z&amp;X-Amz-Expires=604800&amp;X-Amz-Signature=b7104bfb5458bf53e497fd950b2f58f8e0031ffd5451413dc2dd26d854891444&amp;X-Amz-SignedHeaders=host</t>
  </si>
  <si>
    <t>https://chronograph-documents-cvc.s3-accelerate.amazonaws.com/production/images/wta-logo-1-1687957120757.png?X-Amz-Algorithm=AWS4-HMAC-SHA256&amp;X-Amz-Credential=AKIAYPPVAWWRDQNNAUFH%2F20260126%2Feu-west-2%2Fs3%2Faws4_request&amp;X-Amz-Date=20260126T030001Z&amp;X-Amz-Expires=604800&amp;X-Amz-Signature=d399dc2e2ef5535bb6cfd3331d782828eb66e2d68a4852e1f93856a9e4e15596&amp;X-Amz-SignedHeaders=host</t>
  </si>
  <si>
    <t>https://chronograph-documents-cvc.s3-accelerate.amazonaws.com/production/images/clearbit_logo__wwex_com-1677248836436.png?X-Amz-Algorithm=AWS4-HMAC-SHA256&amp;X-Amz-Credential=AKIAYPPVAWWRDQNNAUFH%2F20260126%2Feu-west-2%2Fs3%2Faws4_request&amp;X-Amz-Date=20260126T030001Z&amp;X-Amz-Expires=604800&amp;X-Amz-Signature=03843257c8b186b1b292a0502b886a006ac05312b6e16af581e4f83370f45969&amp;X-Amz-SignedHeaders=host</t>
  </si>
  <si>
    <t>https://chronograph-documents-cvc.s3-accelerate.amazonaws.com/production/images/webpros-1687956997997.png?X-Amz-Algorithm=AWS4-HMAC-SHA256&amp;X-Amz-Credential=AKIAYPPVAWWRDQNNAUFH%2F20260126%2Feu-west-2%2Fs3%2Faws4_request&amp;X-Amz-Date=20260126T030001Z&amp;X-Amz-Expires=604800&amp;X-Amz-Signature=f6abb8c6a295824fe6b8da86c4df4a255a3f9fc717044a3fab75aa8b891f2d04&amp;X-Amz-SignedHeaders=host</t>
  </si>
  <si>
    <t>https://chronograph-documents-cvc.s3-accelerate.amazonaws.com/production/images/clearbit_logo__www_withsecure.com-1761746041931.png?X-Amz-Algorithm=AWS4-HMAC-SHA256&amp;X-Amz-Credential=AKIAYPPVAWWRDQNNAUFH%2F20260126%2Feu-west-2%2Fs3%2Faws4_request&amp;X-Amz-Date=20260126T030001Z&amp;X-Amz-Expires=604800&amp;X-Amz-Signature=07445dd8eb288c55b85e673a41c65a38ee8ca30b8397aa81161554d9732abb28&amp;X-Amz-SignedHeaders=host</t>
  </si>
  <si>
    <t>https://chronograph-documents-cvc.s3-accelerate.amazonaws.com/production/images/clearbit_logo__www_houseoftalents.be-1718612916979.png?X-Amz-Algorithm=AWS4-HMAC-SHA256&amp;X-Amz-Credential=AKIAYPPVAWWRDQNNAUFH%2F20260126%2Feu-west-2%2Fs3%2Faws4_request&amp;X-Amz-Date=20260126T030001Z&amp;X-Amz-Expires=604800&amp;X-Amz-Signature=e93118dda5a912300be051cd10ebd07b8dbc4b43e8bedb0b50174cdb38228ad6&amp;X-Amz-SignedHeaders=host</t>
  </si>
  <si>
    <t>https://chronograph-documents-cvc.s3-accelerate.amazonaws.com/production/images/yikang-1684166490114.png?X-Amz-Algorithm=AWS4-HMAC-SHA256&amp;X-Amz-Credential=AKIAYPPVAWWRDQNNAUFH%2F20260126%2Feu-west-2%2Fs3%2Faws4_request&amp;X-Amz-Date=20260126T030001Z&amp;X-Amz-Expires=604800&amp;X-Amz-Signature=0dcc084c43af09e97f6ae171b4080170d0a333ddc15b3ec6776fadaa3e62485f&amp;X-Amz-SignedHeaders=host</t>
  </si>
  <si>
    <t>https://chronograph-documents-cvc.s3-accelerate.amazonaws.com/production/images/zabka-1677247486350.png?X-Amz-Algorithm=AWS4-HMAC-SHA256&amp;X-Amz-Credential=AKIAYPPVAWWRDQNNAUFH%2F20260126%2Feu-west-2%2Fs3%2Faws4_request&amp;X-Amz-Date=20260126T030001Z&amp;X-Amz-Expires=604800&amp;X-Amz-Signature=c9d4be36c0814f8b21e281fd957297243c37dc3577ca56a156646c1eb80d1ba5&amp;X-Amz-SignedHeaders=host</t>
  </si>
  <si>
    <t>https://chronograph-documents-cvc.s3-accelerate.amazonaws.com/production/images/twoday-1677248763831.png?X-Amz-Algorithm=AWS4-HMAC-SHA256&amp;X-Amz-Credential=AKIAYPPVAWWRDQNNAUFH%2F20260126%2Feu-west-2%2Fs3%2Faws4_request&amp;X-Amz-Date=20260126T030001Z&amp;X-Amz-Expires=604800&amp;X-Amz-Signature=acdf2ce3b606155e24af5a7170fb2da9f7d66dbf828a01e3c73d364b8a5d46c4&amp;X-Amz-SignedHeaders=host</t>
  </si>
  <si>
    <t>Cap Structure Extract</t>
  </si>
  <si>
    <t>Portco</t>
  </si>
  <si>
    <t>Label</t>
  </si>
  <si>
    <t>Sum of above</t>
  </si>
  <si>
    <t>Hedged/Fixed Rate Debt - Opco %</t>
  </si>
  <si>
    <t>Hedged/Fixed Rate Debt - Holdco %</t>
  </si>
  <si>
    <t>Hedged/Fixed Rate Acquisition Debt - Opco + Holdco %</t>
  </si>
  <si>
    <t>Senior instrument(s) amortising: e.g. Term Loan A + Senior Instrument(s): e.g. Term Loan B or Senior Secured Notes</t>
  </si>
  <si>
    <t>Classification eval — Flash Collection_MasterTemplate_2.1.6_PROD</t>
  </si>
  <si>
    <t>Every cell you marked (1/2) is coloured by what the system did with it:</t>
  </si>
  <si>
    <t>GREEN</t>
  </si>
  <si>
    <t>agreement — system fills this marked cell</t>
  </si>
  <si>
    <t>RED</t>
  </si>
  <si>
    <t>MISSED — invisible to the system (no fact, no region)</t>
  </si>
  <si>
    <t>ORANGE</t>
  </si>
  <si>
    <t>marked but holds a FORMULA — system never writes formulas</t>
  </si>
  <si>
    <t>BLUE</t>
  </si>
  <si>
    <t>recognized as extensible-region slot (add-line path)</t>
  </si>
  <si>
    <t>PURPLE</t>
  </si>
  <si>
    <t>seen but classified config/staging (control/placeholder)</t>
  </si>
  <si>
    <t>YELLOW</t>
  </si>
  <si>
    <t>NOT marked by you, but the system would fill it</t>
  </si>
  <si>
    <t>PALE GREEN</t>
  </si>
  <si>
    <t>system FILLS it — your marking is indistinguishable from the template's own value (collision), so unverifiable</t>
  </si>
  <si>
    <t>PALE PINK</t>
  </si>
  <si>
    <t>system does NOT fill it — marking/value collision, unverifiable</t>
  </si>
  <si>
    <t>Note: YELLOW skips cells whose marking collides with a placeholder value (CLASSIFIED == NORMAL == 1/2) — ground truth is ambiguous there.</t>
  </si>
  <si>
    <t>Marked cells scored: 8079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</si>
</sst>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5">
    <numFmt numFmtId="43" formatCode="_-* #,##0.00_-;\-* #,##0.00_-;_-* &quot;-&quot;??_-;_-@_-"/>
    <numFmt numFmtId="164" formatCode="#,##0.0_);\(#,##0.0\);0.0_)"/>
    <numFmt numFmtId="165" formatCode="#,##0.0"/>
    <numFmt numFmtId="166" formatCode="#,##0;\(#,##0\)"/>
    <numFmt numFmtId="167" formatCode="0.0"/>
    <numFmt numFmtId="168" formatCode="0.0%"/>
    <numFmt numFmtId="169" formatCode="0.0\x"/>
    <numFmt numFmtId="170" formatCode="0.00\x"/>
    <numFmt numFmtId="171" formatCode="_-* #,##0_-;\-* #,##0_-;_-* &quot;-&quot;??_-;_-@_-"/>
    <numFmt numFmtId="172" formatCode="#,##0_);\(#,##0\);0_)"/>
    <numFmt numFmtId="173" formatCode="#,##0.0;\(#,##0.0\);\-"/>
    <numFmt numFmtId="174" formatCode="* _(#,##0.0_)_%\ ;* \(#,##0.0\)_%\ ;\ \(* &quot;-&quot;??\);_(@_)"/>
    <numFmt numFmtId="175" formatCode="* _(#,##0.0_)_%\ ;* \(#,##0.0\)_%\ ;\ _(* &quot;-&quot;??_);_(@_)"/>
    <numFmt numFmtId="176" formatCode="&quot;FY&quot;####"/>
    <numFmt numFmtId="177" formatCode="_-* #,##0.0_-;\-* #,##0.0_-;_-* &quot;-&quot;??_-;_-@_-"/>
    <numFmt numFmtId="178" formatCode="* _(#,##0.0_)_%\ ;* \(#,##0.0\)_%\ ;"/>
    <numFmt numFmtId="179" formatCode="_(#,##0.0_)_%\ ;\(#,##0.0\)_%\ ;\ _(&quot;-&quot;??_);_(@_)"/>
    <numFmt numFmtId="180" formatCode="&quot;As of&quot;\ mmm\ yyyy"/>
    <numFmt numFmtId="181" formatCode="#,##0.0;\(#,##0.0\);&quot;manual input&quot;"/>
    <numFmt numFmtId="182" formatCode="\'* _(&quot;+&quot;0.0\ &quot;ppt&quot;_);[Red]* \(0.0\ &quot;ppt&quot;\)"/>
    <numFmt numFmtId="183" formatCode="_(#,##0.0_)_%_0\ ;\ \(#,##0.0\)_%_0\ ;\ _(\ &quot;-&quot;_)_%_0"/>
    <numFmt numFmtId="184" formatCode="* _(0.0%_)_0_0_0;\ * \(0.0%\)_0_0_0"/>
    <numFmt numFmtId="185" formatCode="_(#,##0.0_)_%_0\ ;\ \(#,##0.0\)_%_0\ ;\ _(\ &quot;-&quot;_)_%_0\ "/>
    <numFmt numFmtId="186" formatCode="_(* #,##0.0_)_%;* \(#,##0.0\)_%;_-??_-;_-@_-"/>
    <numFmt numFmtId="187" formatCode="_-[$£-809]* #,##0.00_-;\-[$£-809]* #,##0.00_-;_-[$£-809]* &quot;-&quot;??_-;_-@_-"/>
    <numFmt numFmtId="188" formatCode="* _(0%_);[Red]* \(0%\);_-??_-;_-@_-"/>
    <numFmt numFmtId="189" formatCode="* _(#,##0.0_)_%\ ;\(#,##0.0\)_%\ ;\ _(&quot;-&quot;??_);@* "/>
    <numFmt numFmtId="190" formatCode="#,##0.0\x;\(#,##0.0\x\);_-0.0\x_)??;_-&quot;Not Specified&quot;_-"/>
    <numFmt numFmtId="191" formatCode="#,##0.0;\(#,##0.0\x\);_-0.0_)??;_-&quot;Not Specified&quot;_-"/>
    <numFmt numFmtId="192" formatCode="&quot;AS OF &quot;mmm\-yy"/>
    <numFmt numFmtId="193" formatCode="&quot;Enabled&quot;;;&quot;Disabled&quot;"/>
    <numFmt numFmtId="194" formatCode="&quot;(+)&quot;;&quot;(−)&quot;;&quot;(=)&quot;;"/>
    <numFmt numFmtId="195" formatCode="#,##0.0;\(#,##0.0\)"/>
    <numFmt numFmtId="196" formatCode="_(* #,##0.0_)_%;_(* \(#,##0.0\)_%;_-??_-;_-@_-"/>
    <numFmt numFmtId="197" formatCode="&quot;(+)&quot;;&quot;(−)&quot;;&quot;(=)&quot;;&quot;(±)&quot;"/>
    <numFmt numFmtId="198" formatCode="#,##0.0_x_)_%;\(#,##0.0\)_x_)_%;_-0.0\x_)??_-"/>
    <numFmt numFmtId="199" formatCode="#,##0.0\x_);\(#,##0.0\)\x_-;_-0.0\x_)??_-;_-@_-"/>
    <numFmt numFmtId="200" formatCode="#,##0.0\x_)_%;\(#,##0.0\)\x_)_%;_-0.0\x_)??_-;_-&quot;n/a&quot;"/>
    <numFmt numFmtId="201" formatCode="_(* #,##0.0_);* \(#,##0.0\);_-??_-;_-@_-"/>
    <numFmt numFmtId="202" formatCode="_(* #,##0.0_);* \(#,##0.0\);&quot;n/a&quot;"/>
    <numFmt numFmtId="203" formatCode="_(* #,##0.0_);_(* \(#,##0.0\);_(* 0.0_);_-@_-"/>
    <numFmt numFmtId="204" formatCode="#\ 0\ /\ 8"/>
    <numFmt numFmtId="205" formatCode="* #,##0.0\x_);* \(#,##0.0\x\)_-;_-* 0.0\x_)??_-;_-@_-"/>
    <numFmt numFmtId="206" formatCode="_(* #,##0.0_);* \(#,##0.0\);_-0.0_-;_-@_-"/>
    <numFmt numFmtId="207" formatCode="_(* #,##0.0\x_);* \(#,##0.0\x\);_(0.0\x_)"/>
    <numFmt numFmtId="208" formatCode="_(0.0%_);\(0.0%\);_-0.0%_-;_-@_-"/>
    <numFmt numFmtId="209" formatCode="_(#,##0.0_);\(#,##0.0\);_(0.0_);_-@_-"/>
    <numFmt numFmtId="210" formatCode="m\ \P"/>
    <numFmt numFmtId="211" formatCode="* #,##0.0_x_);* \(#,##0.0\)\x_-;_-0.0_)??_-;* _-@_-_%_%_%"/>
    <numFmt numFmtId="212" formatCode="_(#,##0.0\x_);_(\(#,##0.0\x\);_-??_-;_-@_-"/>
    <numFmt numFmtId="213" formatCode="mmm\ yyyy"/>
    <numFmt numFmtId="214" formatCode="_-* #,##0.0_-;\-* #,##0.0_-;_-* &quot;-&quot;?_-;_-@_-"/>
    <numFmt numFmtId="215" formatCode="[$-F400]h:mm:ss\ AM/PM"/>
    <numFmt numFmtId="216" formatCode="yyyy\-mm\-dd;@"/>
    <numFmt numFmtId="217" formatCode="_(0%_);\(0%\);_-0%_-;_-@_-"/>
  </numFmts>
  <fonts count="239">
    <font>
      <sz val="12"/>
      <color rgb="FF343434"/>
      <name val="Arial"/>
      <family val="2"/>
      <scheme val="minor"/>
    </font>
    <font>
      <sz val="10"/>
      <color theme="1"/>
      <name val="Arial"/>
      <family val="2"/>
    </font>
    <font>
      <sz val="14"/>
      <color theme="1"/>
      <name val="Arial"/>
      <family val="2"/>
      <scheme val="minor"/>
    </font>
    <font>
      <sz val="11"/>
      <color theme="1"/>
      <name val="Arial"/>
      <family val="2"/>
      <scheme val="minor"/>
    </font>
    <font>
      <sz val="12"/>
      <color theme="1"/>
      <name val="Arial"/>
      <family val="2"/>
      <scheme val="minor"/>
    </font>
    <font>
      <b/>
      <sz val="11"/>
      <color theme="1"/>
      <name val="Arial"/>
      <family val="2"/>
      <scheme val="minor"/>
    </font>
    <font>
      <sz val="8"/>
      <color theme="1"/>
      <name val="Arial"/>
      <family val="2"/>
      <scheme val="minor"/>
    </font>
    <font>
      <b/>
      <sz val="12"/>
      <color rgb="FF343434"/>
      <name val="Arial"/>
      <family val="2"/>
      <scheme val="minor"/>
    </font>
    <font>
      <b/>
      <sz val="10"/>
      <color theme="1"/>
      <name val="Arial"/>
      <family val="2"/>
      <scheme val="minor"/>
    </font>
    <font>
      <b/>
      <sz val="14"/>
      <color theme="1"/>
      <name val="Arial"/>
      <family val="2"/>
      <scheme val="minor"/>
    </font>
    <font>
      <i/>
      <sz val="11"/>
      <color theme="1"/>
      <name val="Arial"/>
      <family val="2"/>
      <scheme val="minor"/>
    </font>
    <font>
      <sz val="10"/>
      <name val="Arial"/>
      <family val="2"/>
    </font>
    <font>
      <b/>
      <sz val="12"/>
      <color theme="0"/>
      <name val="Arial"/>
      <family val="2"/>
      <scheme val="minor"/>
    </font>
    <font>
      <sz val="12"/>
      <color rgb="FFFF0000"/>
      <name val="Arial"/>
      <family val="2"/>
      <scheme val="minor"/>
    </font>
    <font>
      <sz val="12"/>
      <color theme="0"/>
      <name val="Arial"/>
      <family val="2"/>
      <scheme val="minor"/>
    </font>
    <font>
      <b/>
      <sz val="12"/>
      <color theme="3"/>
      <name val="Arial"/>
      <family val="2"/>
      <scheme val="minor"/>
    </font>
    <font>
      <sz val="12"/>
      <color theme="3"/>
      <name val="Arial"/>
      <family val="2"/>
      <scheme val="minor"/>
    </font>
    <font>
      <i/>
      <sz val="12"/>
      <color theme="1"/>
      <name val="Arial"/>
      <family val="2"/>
      <scheme val="minor"/>
    </font>
    <font>
      <i/>
      <sz val="11"/>
      <color theme="3"/>
      <name val="Arial"/>
      <family val="2"/>
      <scheme val="minor"/>
    </font>
    <font>
      <sz val="12"/>
      <color theme="0" tint="-0.149990007281303"/>
      <name val="Arial"/>
      <family val="2"/>
      <scheme val="minor"/>
    </font>
    <font>
      <b/>
      <sz val="12"/>
      <color rgb="FF002060"/>
      <name val="Arial"/>
      <family val="2"/>
      <scheme val="minor"/>
    </font>
    <font>
      <sz val="12"/>
      <color rgb="FF002060"/>
      <name val="Arial"/>
      <family val="2"/>
      <scheme val="minor"/>
    </font>
    <font>
      <b/>
      <sz val="12"/>
      <color theme="4"/>
      <name val="Arial"/>
      <family val="2"/>
      <scheme val="minor"/>
    </font>
    <font>
      <sz val="12"/>
      <color theme="4"/>
      <name val="Arial"/>
      <family val="2"/>
      <scheme val="minor"/>
    </font>
    <font>
      <b/>
      <sz val="14"/>
      <color theme="4"/>
      <name val="Arial"/>
      <family val="2"/>
      <scheme val="minor"/>
    </font>
    <font>
      <sz val="28"/>
      <color theme="3"/>
      <name val="Source Serif 4 Medium (Headings"/>
      <family val="2"/>
    </font>
    <font>
      <sz val="12"/>
      <color rgb="FF000000"/>
      <name val="Arial"/>
      <family val="2"/>
      <scheme val="minor"/>
    </font>
    <font>
      <b/>
      <sz val="12"/>
      <color rgb="FF000000"/>
      <name val="Arial"/>
      <family val="2"/>
      <scheme val="minor"/>
    </font>
    <font>
      <b/>
      <sz val="20"/>
      <color theme="1"/>
      <name val="Arial"/>
      <family val="2"/>
      <scheme val="minor"/>
    </font>
    <font>
      <sz val="10"/>
      <color theme="1"/>
      <name val="Arial"/>
      <family val="2"/>
      <scheme val="minor"/>
    </font>
    <font>
      <sz val="10"/>
      <color rgb="FFFF0000"/>
      <name val="Arial"/>
      <family val="2"/>
      <scheme val="minor"/>
    </font>
    <font>
      <sz val="10"/>
      <color theme="3"/>
      <name val="Arial"/>
      <family val="2"/>
      <scheme val="minor"/>
    </font>
    <font>
      <i/>
      <sz val="10"/>
      <color theme="1"/>
      <name val="Arial"/>
      <family val="2"/>
      <scheme val="minor"/>
    </font>
    <font>
      <b/>
      <sz val="20"/>
      <color theme="3"/>
      <name val="Arial"/>
      <family val="2"/>
      <scheme val="minor"/>
    </font>
    <font>
      <sz val="12"/>
      <name val="Arial"/>
      <family val="2"/>
      <scheme val="minor"/>
    </font>
    <font>
      <b/>
      <sz val="10"/>
      <color theme="3"/>
      <name val="Arial"/>
      <family val="2"/>
      <scheme val="minor"/>
    </font>
    <font>
      <i/>
      <sz val="12"/>
      <color theme="4"/>
      <name val="Arial"/>
      <family val="2"/>
      <scheme val="minor"/>
    </font>
    <font>
      <sz val="12"/>
      <color theme="1" tint="0.799979984760284"/>
      <name val="Arial"/>
      <family val="2"/>
      <scheme val="minor"/>
    </font>
    <font>
      <sz val="11"/>
      <color theme="1" tint="0.799979984760284"/>
      <name val="Arial"/>
      <family val="2"/>
      <scheme val="minor"/>
    </font>
    <font>
      <sz val="8"/>
      <name val="Arial"/>
      <family val="2"/>
      <scheme val="minor"/>
    </font>
    <font>
      <b/>
      <sz val="16"/>
      <color theme="1"/>
      <name val="Arial"/>
      <family val="2"/>
      <scheme val="minor"/>
    </font>
    <font>
      <sz val="11"/>
      <name val="Arial"/>
      <family val="2"/>
      <scheme val="minor"/>
    </font>
    <font>
      <i/>
      <sz val="12"/>
      <name val="Arial"/>
      <family val="2"/>
      <scheme val="minor"/>
    </font>
    <font>
      <i/>
      <sz val="12"/>
      <color rgb="FFFF0000"/>
      <name val="Arial"/>
      <family val="2"/>
      <scheme val="minor"/>
    </font>
    <font>
      <b/>
      <sz val="11"/>
      <color theme="0"/>
      <name val="Arial"/>
      <family val="2"/>
      <scheme val="minor"/>
    </font>
    <font>
      <sz val="11"/>
      <color theme="0"/>
      <name val="Arial"/>
      <family val="2"/>
      <scheme val="minor"/>
    </font>
    <font>
      <b/>
      <sz val="12"/>
      <name val="Arial"/>
      <family val="2"/>
      <scheme val="minor"/>
    </font>
    <font>
      <b/>
      <sz val="11"/>
      <name val="Arial"/>
      <family val="2"/>
      <scheme val="minor"/>
    </font>
    <font>
      <sz val="14"/>
      <name val="Arial"/>
      <family val="2"/>
      <scheme val="minor"/>
    </font>
    <font>
      <b/>
      <sz val="18"/>
      <color theme="1"/>
      <name val="Arial"/>
      <family val="2"/>
      <scheme val="minor"/>
    </font>
    <font>
      <b/>
      <sz val="11"/>
      <color theme="4" tint="0.399949997663498"/>
      <name val="Arial"/>
      <family val="2"/>
      <scheme val="minor"/>
    </font>
    <font>
      <sz val="20"/>
      <color theme="1" tint="-0.249970003962517"/>
      <name val="Arial"/>
      <family val="2"/>
      <scheme val="minor"/>
    </font>
    <font>
      <sz val="28"/>
      <color theme="3"/>
      <name val="Arial"/>
      <family val="2"/>
      <scheme val="minor"/>
    </font>
    <font>
      <sz val="12"/>
      <color theme="2" tint="-0.749979972839355"/>
      <name val="Arial"/>
      <family val="2"/>
      <scheme val="minor"/>
    </font>
    <font>
      <sz val="12"/>
      <color theme="2" tint="-0.499969989061356"/>
      <name val="Arial"/>
      <family val="2"/>
      <scheme val="minor"/>
    </font>
    <font>
      <sz val="12"/>
      <color theme="1" tint="0.399980008602142"/>
      <name val="Arial"/>
      <family val="2"/>
      <scheme val="minor"/>
    </font>
    <font>
      <b/>
      <sz val="12"/>
      <color theme="1" tint="-0.249970003962517"/>
      <name val="Arial"/>
      <family val="2"/>
      <scheme val="minor"/>
    </font>
    <font>
      <sz val="12"/>
      <color theme="1" tint="-0.249970003962517"/>
      <name val="Arial"/>
      <family val="2"/>
      <scheme val="minor"/>
    </font>
    <font>
      <b/>
      <sz val="16"/>
      <color theme="0"/>
      <name val="Arial"/>
      <family val="2"/>
      <scheme val="minor"/>
    </font>
    <font>
      <sz val="12"/>
      <color theme="0" tint="-0.499969989061356"/>
      <name val="Arial"/>
      <family val="2"/>
      <scheme val="minor"/>
    </font>
    <font>
      <b/>
      <sz val="14"/>
      <color theme="0"/>
      <name val="Arial"/>
      <family val="2"/>
      <scheme val="minor"/>
    </font>
    <font>
      <b/>
      <sz val="12"/>
      <color theme="2" tint="-0.749979972839355"/>
      <name val="Arial"/>
      <family val="2"/>
      <scheme val="minor"/>
    </font>
    <font>
      <sz val="9"/>
      <color theme="1"/>
      <name val="Arial"/>
      <family val="2"/>
      <scheme val="minor"/>
    </font>
    <font>
      <b/>
      <sz val="14"/>
      <name val="Arial"/>
      <family val="2"/>
      <scheme val="minor"/>
    </font>
    <font>
      <b/>
      <sz val="14"/>
      <color theme="1" tint="-0.249970003962517"/>
      <name val="Arial"/>
      <family val="2"/>
      <scheme val="minor"/>
    </font>
    <font>
      <b/>
      <sz val="16"/>
      <color theme="3"/>
      <name val="Arial"/>
      <family val="2"/>
      <scheme val="minor"/>
    </font>
    <font>
      <b/>
      <sz val="12"/>
      <color theme="1" tint="0.399980008602142"/>
      <name val="Arial"/>
      <family val="2"/>
      <scheme val="minor"/>
    </font>
    <font>
      <b/>
      <sz val="12"/>
      <color theme="1" tint="-0.499969989061356"/>
      <name val="Arial"/>
      <family val="2"/>
      <scheme val="minor"/>
    </font>
    <font>
      <i/>
      <sz val="11"/>
      <color theme="2" tint="-0.749979972839355"/>
      <name val="Arial"/>
      <family val="2"/>
      <scheme val="minor"/>
    </font>
    <font>
      <sz val="26"/>
      <color theme="1"/>
      <name val="Arial"/>
      <family val="2"/>
      <scheme val="minor"/>
    </font>
    <font>
      <sz val="36"/>
      <color theme="3"/>
      <name val="Arial"/>
      <family val="2"/>
      <scheme val="minor"/>
    </font>
    <font>
      <b/>
      <sz val="12"/>
      <color rgb="FF0070C0"/>
      <name val="Arial"/>
      <family val="2"/>
      <scheme val="minor"/>
    </font>
    <font>
      <sz val="12"/>
      <color rgb="FFE4E8E5"/>
      <name val="Arial"/>
      <family val="2"/>
      <scheme val="minor"/>
    </font>
    <font>
      <b/>
      <sz val="16"/>
      <color theme="2" tint="-0.749949991703033"/>
      <name val="Arial"/>
      <family val="2"/>
      <scheme val="minor"/>
    </font>
    <font>
      <sz val="12"/>
      <color rgb="FFA20000"/>
      <name val="Arial"/>
      <family val="2"/>
      <scheme val="minor"/>
    </font>
    <font>
      <sz val="12"/>
      <color rgb="FF6B6B6B"/>
      <name val="Arial"/>
      <family val="2"/>
      <scheme val="minor"/>
    </font>
    <font>
      <b/>
      <sz val="11"/>
      <color theme="3"/>
      <name val="Arial"/>
      <family val="2"/>
      <scheme val="minor"/>
    </font>
    <font>
      <sz val="18"/>
      <color theme="1"/>
      <name val="Arial"/>
      <family val="2"/>
      <scheme val="minor"/>
    </font>
    <font>
      <u val="single"/>
      <sz val="12"/>
      <color rgb="FF0066FF"/>
      <name val="Arial"/>
      <family val="2"/>
      <scheme val="minor"/>
    </font>
    <font>
      <b/>
      <sz val="18"/>
      <name val="Arial"/>
      <family val="2"/>
      <scheme val="minor"/>
    </font>
    <font>
      <b/>
      <sz val="15"/>
      <color theme="3"/>
      <name val="Arial"/>
      <family val="2"/>
      <scheme val="minor"/>
    </font>
    <font>
      <b/>
      <sz val="20"/>
      <color theme="2" tint="-0.899919986724854"/>
      <name val="Arial"/>
      <family val="2"/>
      <scheme val="minor"/>
    </font>
    <font>
      <b/>
      <sz val="13"/>
      <color theme="3"/>
      <name val="Arial"/>
      <family val="2"/>
      <scheme val="minor"/>
    </font>
    <font>
      <b/>
      <sz val="20"/>
      <color rgb="FF0C4F88"/>
      <name val="Arial"/>
      <family val="2"/>
      <scheme val="minor"/>
    </font>
    <font>
      <b/>
      <u val="singleAccounting"/>
      <sz val="18"/>
      <color theme="1"/>
      <name val="Arial"/>
      <family val="2"/>
      <scheme val="minor"/>
    </font>
    <font>
      <u val="single"/>
      <sz val="11"/>
      <color rgb="FF0066FF"/>
      <name val="Arial"/>
      <family val="2"/>
      <scheme val="minor"/>
    </font>
    <font>
      <sz val="12"/>
      <color rgb="FF3F3F76"/>
      <name val="Arial"/>
      <family val="2"/>
      <scheme val="minor"/>
    </font>
    <font>
      <b/>
      <u val="single"/>
      <sz val="12"/>
      <color theme="1"/>
      <name val="Arial"/>
      <family val="2"/>
      <scheme val="minor"/>
    </font>
    <font>
      <b/>
      <sz val="16"/>
      <color theme="2" tint="-0.899919986724854"/>
      <name val="Arial"/>
      <family val="2"/>
      <scheme val="minor"/>
    </font>
    <font>
      <b/>
      <sz val="14"/>
      <color theme="1"/>
      <name val="Arial"/>
      <family val="2"/>
    </font>
    <font>
      <b/>
      <u val="single"/>
      <sz val="12"/>
      <name val="Arial"/>
      <family val="2"/>
      <scheme val="minor"/>
    </font>
    <font>
      <u val="single"/>
      <sz val="12"/>
      <name val="Arial"/>
      <family val="2"/>
      <scheme val="minor"/>
    </font>
    <font>
      <b/>
      <sz val="12"/>
      <color rgb="FFFFFFFF"/>
      <name val="Arial"/>
      <family val="2"/>
      <scheme val="minor"/>
    </font>
    <font>
      <sz val="12"/>
      <color rgb="FFFFFFFF"/>
      <name val="Arial"/>
      <family val="2"/>
      <scheme val="minor"/>
    </font>
    <font>
      <i/>
      <sz val="12"/>
      <color rgb="FF000000"/>
      <name val="Arial"/>
      <family val="2"/>
      <scheme val="minor"/>
    </font>
    <font>
      <b/>
      <sz val="14"/>
      <color rgb="FFC00000"/>
      <name val="Arial"/>
      <family val="2"/>
      <scheme val="minor"/>
    </font>
    <font>
      <sz val="28"/>
      <color theme="1"/>
      <name val="Arial"/>
      <family val="2"/>
      <scheme val="minor"/>
    </font>
    <font>
      <b/>
      <u val="singleAccounting"/>
      <sz val="14"/>
      <color theme="1"/>
      <name val="Arial"/>
      <family val="2"/>
      <scheme val="minor"/>
    </font>
    <font>
      <sz val="18"/>
      <color theme="0"/>
      <name val="Arial"/>
      <family val="2"/>
      <scheme val="minor"/>
    </font>
    <font>
      <b/>
      <sz val="12"/>
      <color rgb="FFC00000"/>
      <name val="Arial"/>
      <family val="2"/>
      <scheme val="minor"/>
    </font>
    <font>
      <sz val="11"/>
      <color theme="2" tint="-0.899980008602142"/>
      <name val="Arial"/>
      <family val="2"/>
      <scheme val="minor"/>
    </font>
    <font>
      <sz val="12"/>
      <color theme="2" tint="-0.899980008602142"/>
      <name val="Arial"/>
      <family val="2"/>
      <scheme val="minor"/>
    </font>
    <font>
      <b/>
      <sz val="16"/>
      <color theme="2" tint="-0.749979972839355"/>
      <name val="Arial"/>
      <family val="2"/>
      <scheme val="minor"/>
    </font>
    <font>
      <sz val="18"/>
      <color rgb="FFE4E8E5"/>
      <name val="Arial"/>
      <family val="2"/>
      <scheme val="minor"/>
    </font>
    <font>
      <b/>
      <sz val="16"/>
      <name val="Arial"/>
      <family val="2"/>
      <scheme val="minor"/>
    </font>
    <font>
      <i/>
      <sz val="10"/>
      <color theme="1" tint="0.399980008602142"/>
      <name val="Arial Narrow"/>
      <family val="2"/>
    </font>
    <font>
      <b/>
      <u val="single"/>
      <sz val="12"/>
      <color theme="2" tint="-0.749979972839355"/>
      <name val="Arial"/>
      <family val="2"/>
      <scheme val="minor"/>
    </font>
    <font>
      <b/>
      <u val="single"/>
      <sz val="12"/>
      <color theme="0"/>
      <name val="Arial"/>
      <family val="2"/>
      <scheme val="minor"/>
    </font>
    <font>
      <u val="single"/>
      <sz val="12"/>
      <color theme="0"/>
      <name val="Arial"/>
      <family val="2"/>
      <scheme val="minor"/>
    </font>
    <font>
      <sz val="14"/>
      <color theme="0"/>
      <name val="Arial"/>
      <family val="2"/>
      <scheme val="minor"/>
    </font>
    <font>
      <b/>
      <sz val="12"/>
      <color theme="2" tint="-0.499969989061356"/>
      <name val="Arial"/>
      <family val="2"/>
      <scheme val="minor"/>
    </font>
    <font>
      <b/>
      <sz val="12"/>
      <color theme="2" tint="-0.0999699980020523"/>
      <name val="Arial"/>
      <family val="2"/>
      <scheme val="minor"/>
    </font>
    <font>
      <b/>
      <sz val="26"/>
      <color theme="1"/>
      <name val="Arial"/>
      <family val="2"/>
      <scheme val="minor"/>
    </font>
    <font>
      <sz val="10"/>
      <color theme="2" tint="-0.499969989061356"/>
      <name val="Arial"/>
      <family val="2"/>
      <scheme val="minor"/>
    </font>
    <font>
      <b/>
      <u val="singleAccounting"/>
      <sz val="12"/>
      <name val="Arial"/>
      <family val="2"/>
      <scheme val="minor"/>
    </font>
    <font>
      <b/>
      <sz val="11"/>
      <color theme="4"/>
      <name val="Arial"/>
      <family val="2"/>
      <scheme val="minor"/>
    </font>
    <font>
      <b/>
      <u val="singleAccounting"/>
      <sz val="16"/>
      <color theme="1"/>
      <name val="Arial"/>
      <family val="2"/>
      <scheme val="minor"/>
    </font>
    <font>
      <b/>
      <i/>
      <sz val="11"/>
      <color theme="7"/>
      <name val="Arial"/>
      <family val="2"/>
      <scheme val="minor"/>
    </font>
    <font>
      <b/>
      <u val="singleAccounting"/>
      <sz val="11"/>
      <name val="Arial"/>
      <family val="2"/>
      <scheme val="minor"/>
    </font>
    <font>
      <sz val="11"/>
      <color rgb="FF002060"/>
      <name val="Arial"/>
      <family val="2"/>
      <scheme val="minor"/>
    </font>
    <font>
      <sz val="11"/>
      <color theme="3"/>
      <name val="Arial"/>
      <family val="2"/>
      <scheme val="minor"/>
    </font>
    <font>
      <i/>
      <sz val="12"/>
      <color theme="2" tint="-0.749979972839355"/>
      <name val="Arial"/>
      <family val="2"/>
      <scheme val="minor"/>
    </font>
    <font>
      <b/>
      <sz val="20"/>
      <color theme="2" tint="-0.749979972839355"/>
      <name val="Arial"/>
      <family val="2"/>
      <scheme val="minor"/>
    </font>
    <font>
      <sz val="10"/>
      <color theme="0"/>
      <name val="Arial"/>
      <family val="2"/>
      <scheme val="minor"/>
    </font>
    <font>
      <sz val="20"/>
      <name val="Arial"/>
      <family val="2"/>
      <scheme val="minor"/>
    </font>
    <font>
      <sz val="10"/>
      <color theme="2" tint="-0.749979972839355"/>
      <name val="Arial"/>
      <family val="2"/>
      <scheme val="minor"/>
    </font>
    <font>
      <sz val="11"/>
      <color theme="2" tint="-0.899919986724854"/>
      <name val="Arial"/>
      <family val="2"/>
      <scheme val="minor"/>
    </font>
    <font>
      <b/>
      <sz val="36"/>
      <color theme="1"/>
      <name val="Arial"/>
      <family val="2"/>
      <scheme val="minor"/>
    </font>
    <font>
      <b/>
      <sz val="26"/>
      <name val="Arial"/>
      <family val="2"/>
      <scheme val="minor"/>
    </font>
    <font>
      <sz val="36"/>
      <color rgb="FF26264C"/>
      <name val="Arial"/>
      <family val="2"/>
      <scheme val="minor"/>
    </font>
    <font>
      <sz val="12"/>
      <color theme="2" tint="-0.899919986724854"/>
      <name val="Arial"/>
      <family val="2"/>
      <scheme val="minor"/>
    </font>
    <font>
      <sz val="16"/>
      <color theme="1"/>
      <name val="Arial"/>
      <family val="2"/>
      <scheme val="minor"/>
    </font>
    <font>
      <sz val="14"/>
      <color rgb="FFFF0000"/>
      <name val="Arial"/>
      <family val="2"/>
      <scheme val="minor"/>
    </font>
    <font>
      <b/>
      <u val="singleAccounting"/>
      <sz val="11"/>
      <color theme="2" tint="-0.749979972839355"/>
      <name val="Arial"/>
      <family val="2"/>
      <scheme val="minor"/>
    </font>
    <font>
      <sz val="36"/>
      <color rgb="FF0C4F88"/>
      <name val="Arial"/>
      <family val="2"/>
      <scheme val="minor"/>
    </font>
    <font>
      <sz val="11"/>
      <color theme="2" tint="-0.499969989061356"/>
      <name val="Arial"/>
      <family val="2"/>
      <scheme val="minor"/>
    </font>
    <font>
      <sz val="11"/>
      <color theme="1" tint="0.399980008602142"/>
      <name val="Arial"/>
      <family val="2"/>
      <scheme val="minor"/>
    </font>
    <font>
      <b/>
      <u val="singleAccounting"/>
      <sz val="11"/>
      <color theme="7" tint="-0.499969989061356"/>
      <name val="Arial"/>
      <family val="2"/>
      <scheme val="minor"/>
    </font>
    <font>
      <b/>
      <sz val="11"/>
      <color theme="7" tint="-0.499969989061356"/>
      <name val="Arial"/>
      <family val="2"/>
      <scheme val="minor"/>
    </font>
    <font>
      <sz val="12"/>
      <color rgb="FF666666"/>
      <name val="Arial"/>
      <family val="2"/>
      <scheme val="minor"/>
    </font>
    <font>
      <b/>
      <sz val="10"/>
      <color theme="0"/>
      <name val="Arial"/>
      <family val="2"/>
      <scheme val="minor"/>
    </font>
    <font>
      <b/>
      <u val="single"/>
      <sz val="10"/>
      <color theme="1"/>
      <name val="Arial"/>
      <family val="2"/>
      <scheme val="minor"/>
    </font>
    <font>
      <sz val="12"/>
      <color theme="7" tint="-0.249970003962517"/>
      <name val="Arial"/>
      <family val="2"/>
      <scheme val="minor"/>
    </font>
    <font>
      <sz val="9"/>
      <color rgb="FFE12D39"/>
      <name val="Courier New"/>
      <family val="3"/>
    </font>
    <font>
      <b/>
      <sz val="22"/>
      <name val="Arial"/>
      <family val="2"/>
      <scheme val="minor"/>
    </font>
    <font>
      <b/>
      <sz val="12"/>
      <color theme="1" tint="0.799979984760284"/>
      <name val="Arial"/>
      <family val="2"/>
      <scheme val="minor"/>
    </font>
    <font>
      <b/>
      <sz val="12"/>
      <color rgb="FF6B6B6B"/>
      <name val="Arial"/>
      <family val="2"/>
      <scheme val="minor"/>
    </font>
    <font>
      <b/>
      <sz val="12"/>
      <color theme="2" tint="-0.899980008602142"/>
      <name val="Arial"/>
      <family val="2"/>
      <scheme val="minor"/>
    </font>
    <font>
      <b/>
      <sz val="22"/>
      <color theme="7"/>
      <name val="Arial"/>
      <family val="2"/>
      <scheme val="minor"/>
    </font>
    <font>
      <sz val="12"/>
      <color rgb="FFFF99CC"/>
      <name val="Arial"/>
      <family val="2"/>
      <scheme val="minor"/>
    </font>
    <font>
      <sz val="12"/>
      <color theme="0" tint="-0.349979996681213"/>
      <name val="Arial"/>
      <family val="2"/>
      <scheme val="minor"/>
    </font>
    <font>
      <b/>
      <strike/>
      <sz val="14"/>
      <color theme="0"/>
      <name val="Arial"/>
      <family val="2"/>
      <scheme val="minor"/>
    </font>
    <font>
      <sz val="12"/>
      <color rgb="FFC00000"/>
      <name val="Arial"/>
      <family val="2"/>
      <scheme val="minor"/>
    </font>
    <font>
      <b/>
      <sz val="14"/>
      <color theme="1" tint="0.399980008602142"/>
      <name val="Arial"/>
      <family val="2"/>
      <scheme val="minor"/>
    </font>
    <font>
      <sz val="36"/>
      <color theme="2" tint="-0.499969989061356"/>
      <name val="Arial"/>
      <family val="2"/>
      <scheme val="minor"/>
    </font>
    <font>
      <b/>
      <sz val="14"/>
      <color theme="2" tint="-0.499969989061356"/>
      <name val="Arial"/>
      <family val="2"/>
      <scheme val="minor"/>
    </font>
    <font>
      <sz val="11"/>
      <color theme="0" tint="-0.149990007281303"/>
      <name val="Arial"/>
      <family val="2"/>
      <scheme val="minor"/>
    </font>
    <font>
      <b/>
      <sz val="11"/>
      <color theme="7" tint="0.399980008602142"/>
      <name val="Arial"/>
      <family val="2"/>
      <scheme val="minor"/>
    </font>
    <font>
      <sz val="12"/>
      <color theme="2" tint="-0.249970003962517"/>
      <name val="Arial"/>
      <family val="2"/>
      <scheme val="minor"/>
    </font>
    <font>
      <i/>
      <sz val="14"/>
      <color theme="2" tint="-0.749979972839355"/>
      <name val="Arial"/>
      <family val="2"/>
      <scheme val="minor"/>
    </font>
    <font>
      <b/>
      <sz val="11"/>
      <color rgb="FFFF99CC"/>
      <name val="Arial"/>
      <family val="2"/>
      <scheme val="minor"/>
    </font>
    <font>
      <b/>
      <sz val="14"/>
      <color theme="2" tint="-0.749949991703033"/>
      <name val="Arial"/>
      <family val="2"/>
      <scheme val="minor"/>
    </font>
    <font>
      <b/>
      <sz val="14"/>
      <color theme="7" tint="-0.499969989061356"/>
      <name val="Arial"/>
      <family val="2"/>
      <scheme val="minor"/>
    </font>
    <font>
      <sz val="14"/>
      <color theme="7" tint="-0.499969989061356"/>
      <name val="Arial"/>
      <family val="2"/>
      <scheme val="minor"/>
    </font>
    <font>
      <b/>
      <u val="singleAccounting"/>
      <sz val="14"/>
      <color theme="2" tint="-0.749979972839355"/>
      <name val="Arial"/>
      <family val="2"/>
      <scheme val="minor"/>
    </font>
    <font>
      <sz val="11"/>
      <color theme="2" tint="-0.749979972839355"/>
      <name val="Arial"/>
      <family val="2"/>
      <scheme val="minor"/>
    </font>
    <font>
      <sz val="10"/>
      <name val="Arial"/>
      <family val="2"/>
      <scheme val="minor"/>
    </font>
    <font>
      <b/>
      <sz val="10"/>
      <color theme="4"/>
      <name val="Arial"/>
      <family val="2"/>
      <scheme val="minor"/>
    </font>
    <font>
      <i/>
      <sz val="12"/>
      <color rgb="FFC00000"/>
      <name val="Arial"/>
      <family val="2"/>
      <scheme val="minor"/>
    </font>
    <font>
      <b/>
      <sz val="16"/>
      <color rgb="FFFF0000"/>
      <name val="Arial"/>
      <family val="2"/>
      <scheme val="minor"/>
    </font>
    <font>
      <sz val="18"/>
      <color theme="6" tint="-0.499969989061356"/>
      <name val="Arial"/>
      <family val="2"/>
      <scheme val="minor"/>
    </font>
    <font>
      <b/>
      <sz val="12"/>
      <color theme="7" tint="-0.499969989061356"/>
      <name val="Arial"/>
      <family val="2"/>
      <scheme val="minor"/>
    </font>
    <font>
      <sz val="16"/>
      <name val="Arial"/>
      <family val="2"/>
      <scheme val="minor"/>
    </font>
    <font>
      <sz val="11"/>
      <color theme="2" tint="-0.249970003962517"/>
      <name val="Arial"/>
      <family val="2"/>
      <scheme val="minor"/>
    </font>
    <font>
      <b/>
      <u val="singleAccounting"/>
      <sz val="12"/>
      <color theme="0"/>
      <name val="Arial"/>
      <family val="2"/>
      <scheme val="minor"/>
    </font>
    <font>
      <sz val="12"/>
      <color theme="7" tint="-0.499969989061356"/>
      <name val="Arial"/>
      <family val="2"/>
      <scheme val="minor"/>
    </font>
    <font>
      <b/>
      <u val="singleAccounting"/>
      <sz val="14"/>
      <color theme="0"/>
      <name val="Arial"/>
      <family val="2"/>
      <scheme val="minor"/>
    </font>
    <font>
      <b/>
      <sz val="11"/>
      <color theme="2" tint="-0.899919986724854"/>
      <name val="Arial"/>
      <family val="2"/>
      <scheme val="minor"/>
    </font>
    <font>
      <b/>
      <sz val="12"/>
      <color theme="2" tint="-0.899919986724854"/>
      <name val="Arial"/>
      <family val="2"/>
      <scheme val="minor"/>
    </font>
    <font>
      <b/>
      <sz val="14"/>
      <color theme="2" tint="-0.749979972839355"/>
      <name val="Arial"/>
      <family val="2"/>
      <scheme val="minor"/>
    </font>
    <font>
      <sz val="14"/>
      <color theme="2" tint="-0.749979972839355"/>
      <name val="Arial"/>
      <family val="2"/>
      <scheme val="minor"/>
    </font>
    <font>
      <b/>
      <sz val="12"/>
      <color theme="7"/>
      <name val="Arial"/>
      <family val="2"/>
      <scheme val="minor"/>
    </font>
    <font>
      <b/>
      <sz val="10"/>
      <color theme="2" tint="-0.499969989061356"/>
      <name val="Arial"/>
      <family val="2"/>
      <scheme val="minor"/>
    </font>
    <font>
      <b/>
      <sz val="14"/>
      <color theme="4" tint="0.399980008602142"/>
      <name val="Arial"/>
      <family val="2"/>
      <scheme val="minor"/>
    </font>
    <font>
      <i/>
      <sz val="12"/>
      <color theme="2"/>
      <name val="Arial"/>
      <family val="2"/>
      <scheme val="minor"/>
    </font>
    <font>
      <sz val="12"/>
      <color theme="0" tint="-0.0499799996614456"/>
      <name val="Arial"/>
      <family val="2"/>
      <scheme val="minor"/>
    </font>
    <font>
      <sz val="12"/>
      <color theme="0" tint="-0.249970003962517"/>
      <name val="Arial"/>
      <family val="2"/>
      <scheme val="minor"/>
    </font>
    <font>
      <b/>
      <sz val="14"/>
      <color theme="0" tint="-0.249970003962517"/>
      <name val="Arial"/>
      <family val="2"/>
      <scheme val="minor"/>
    </font>
    <font>
      <b/>
      <sz val="14"/>
      <color theme="0" tint="-0.0499799996614456"/>
      <name val="Arial"/>
      <family val="2"/>
      <scheme val="minor"/>
    </font>
    <font>
      <sz val="16"/>
      <color theme="0"/>
      <name val="Arial"/>
      <family val="2"/>
      <scheme val="minor"/>
    </font>
    <font>
      <sz val="20"/>
      <color theme="0"/>
      <name val="Arial"/>
      <family val="2"/>
      <scheme val="minor"/>
    </font>
    <font>
      <sz val="12"/>
      <color theme="7" tint="0.399980008602142"/>
      <name val="Arial"/>
      <family val="2"/>
      <scheme val="minor"/>
    </font>
    <font>
      <sz val="22"/>
      <color theme="0"/>
      <name val="Arial"/>
      <family val="2"/>
      <scheme val="minor"/>
    </font>
    <font>
      <sz val="24"/>
      <color theme="1"/>
      <name val="Arial"/>
      <family val="2"/>
      <scheme val="minor"/>
    </font>
    <font>
      <sz val="24"/>
      <color theme="1" tint="-0.249970003962517"/>
      <name val="Arial"/>
      <family val="2"/>
      <scheme val="minor"/>
    </font>
    <font>
      <b/>
      <u val="singleAccounting"/>
      <sz val="14"/>
      <name val="Arial"/>
      <family val="2"/>
      <scheme val="minor"/>
    </font>
    <font>
      <b/>
      <sz val="12"/>
      <color theme="0" tint="-0.349979996681213"/>
      <name val="Arial"/>
      <family val="2"/>
      <scheme val="minor"/>
    </font>
    <font>
      <b/>
      <sz val="14"/>
      <color theme="4" tint="-0.249970003962517"/>
      <name val="Arial"/>
      <family val="2"/>
      <scheme val="minor"/>
    </font>
    <font>
      <b/>
      <sz val="12"/>
      <color theme="4" tint="-0.249970003962517"/>
      <name val="Arial"/>
      <family val="2"/>
      <scheme val="minor"/>
    </font>
    <font>
      <sz val="10"/>
      <color theme="7" tint="0.399980008602142"/>
      <name val="Arial"/>
      <family val="2"/>
      <scheme val="minor"/>
    </font>
    <font>
      <sz val="11"/>
      <color theme="8" tint="0.399980008602142"/>
      <name val="Arial"/>
      <family val="2"/>
      <scheme val="minor"/>
    </font>
    <font>
      <sz val="12"/>
      <color theme="8" tint="0.399980008602142"/>
      <name val="Arial"/>
      <family val="2"/>
      <scheme val="minor"/>
    </font>
    <font>
      <sz val="10"/>
      <color theme="8" tint="0.399980008602142"/>
      <name val="Arial"/>
      <family val="2"/>
      <scheme val="minor"/>
    </font>
    <font>
      <sz val="12"/>
      <color rgb="FFFF9999"/>
      <name val="Arial"/>
      <family val="2"/>
      <scheme val="minor"/>
    </font>
    <font>
      <sz val="11"/>
      <color rgb="FFFF9999"/>
      <name val="Arial"/>
      <family val="2"/>
      <scheme val="minor"/>
    </font>
    <font>
      <sz val="10"/>
      <color rgb="FFFF9999"/>
      <name val="Arial"/>
      <family val="2"/>
      <scheme val="minor"/>
    </font>
    <font>
      <u val="single"/>
      <sz val="12"/>
      <color theme="1"/>
      <name val="Arial"/>
      <family val="2"/>
      <scheme val="minor"/>
    </font>
    <font>
      <sz val="12"/>
      <color theme="3"/>
      <name val="Source Serif 4 Medium (Headings"/>
      <family val="2"/>
    </font>
    <font>
      <b/>
      <u val="singleAccounting"/>
      <sz val="12"/>
      <color theme="7" tint="-0.499969989061356"/>
      <name val="Arial"/>
      <family val="2"/>
      <scheme val="minor"/>
    </font>
    <font>
      <b/>
      <sz val="12"/>
      <color rgb="FFFF0000"/>
      <name val="Arial"/>
      <family val="2"/>
      <scheme val="minor"/>
    </font>
    <font>
      <b/>
      <sz val="18"/>
      <color theme="8" tint="0.399949997663498"/>
      <name val="Arial"/>
      <family val="2"/>
      <scheme val="minor"/>
    </font>
    <font>
      <sz val="12"/>
      <color theme="7"/>
      <name val="Arial"/>
      <family val="2"/>
      <scheme val="minor"/>
    </font>
    <font>
      <u val="singleAccounting"/>
      <sz val="12"/>
      <name val="Arial"/>
      <family val="2"/>
      <scheme val="minor"/>
    </font>
    <font>
      <b/>
      <sz val="10"/>
      <name val="Arial"/>
      <family val="2"/>
      <scheme val="minor"/>
    </font>
    <font>
      <sz val="12"/>
      <color rgb="FF00B050"/>
      <name val="Arial"/>
      <family val="2"/>
      <scheme val="minor"/>
    </font>
    <font>
      <i/>
      <sz val="28"/>
      <color rgb="FFFF0000"/>
      <name val="Arial"/>
      <family val="2"/>
      <scheme val="minor"/>
    </font>
    <font>
      <b/>
      <sz val="28"/>
      <color theme="0"/>
      <name val="Arial"/>
      <family val="2"/>
      <scheme val="minor"/>
    </font>
    <font>
      <b/>
      <sz val="26"/>
      <color theme="0"/>
      <name val="Arial"/>
      <family val="2"/>
      <scheme val="minor"/>
    </font>
    <font>
      <sz val="22"/>
      <color theme="1"/>
      <name val="Arial"/>
      <family val="2"/>
      <scheme val="minor"/>
    </font>
    <font>
      <b/>
      <sz val="26"/>
      <color rgb="FFC00000"/>
      <name val="Arial"/>
      <family val="2"/>
      <scheme val="minor"/>
    </font>
    <font>
      <sz val="16"/>
      <color theme="2" tint="-0.499969989061356"/>
      <name val="Arial"/>
      <family val="2"/>
      <scheme val="minor"/>
    </font>
    <font>
      <sz val="16"/>
      <color theme="0" tint="-0.249970003962517"/>
      <name val="Arial"/>
      <family val="2"/>
      <scheme val="minor"/>
    </font>
    <font>
      <sz val="36"/>
      <color theme="0"/>
      <name val="Arial"/>
      <family val="2"/>
      <scheme val="minor"/>
    </font>
    <font>
      <sz val="10"/>
      <color theme="2" tint="-0.249970003962517"/>
      <name val="Arial"/>
      <family val="2"/>
      <scheme val="minor"/>
    </font>
    <font>
      <sz val="10"/>
      <color theme="7" tint="0.799979984760284"/>
      <name val="Arial"/>
      <family val="2"/>
      <scheme val="minor"/>
    </font>
    <font>
      <b/>
      <sz val="10"/>
      <color theme="8" tint="0.399980008602142"/>
      <name val="Arial"/>
      <family val="2"/>
      <scheme val="minor"/>
    </font>
    <font>
      <sz val="14"/>
      <color theme="2" tint="-0.499969989061356"/>
      <name val="Arial"/>
      <family val="2"/>
      <scheme val="minor"/>
    </font>
    <font>
      <sz val="10"/>
      <color rgb="FFFFFFFF"/>
      <name val="Arial"/>
      <family val="2"/>
      <scheme val="minor"/>
    </font>
    <font>
      <b/>
      <sz val="11"/>
      <color theme="2" tint="-0.499969989061356"/>
      <name val="Arial"/>
      <family val="2"/>
      <scheme val="minor"/>
    </font>
    <font>
      <sz val="12"/>
      <color rgb="FF009174"/>
      <name val="Arial"/>
      <family val="2"/>
      <scheme val="minor"/>
    </font>
    <font>
      <b/>
      <u val="singleAccounting"/>
      <sz val="10"/>
      <color theme="2" tint="-0.749979972839355"/>
      <name val="Arial"/>
      <family val="2"/>
      <scheme val="minor"/>
    </font>
    <font>
      <sz val="11"/>
      <color theme="2"/>
      <name val="Arial"/>
      <family val="2"/>
      <scheme val="minor"/>
    </font>
    <font>
      <sz val="12"/>
      <color theme="2"/>
      <name val="Arial"/>
      <family val="2"/>
      <scheme val="minor"/>
    </font>
    <font>
      <sz val="10"/>
      <color theme="2"/>
      <name val="Arial"/>
      <family val="2"/>
      <scheme val="minor"/>
    </font>
    <font>
      <sz val="18"/>
      <color theme="2"/>
      <name val="Arial"/>
      <family val="2"/>
      <scheme val="minor"/>
    </font>
    <font>
      <sz val="18"/>
      <color theme="2" tint="-0.0999699980020523"/>
      <name val="Arial"/>
      <family val="2"/>
      <scheme val="minor"/>
    </font>
    <font>
      <sz val="12"/>
      <color rgb="FF343434"/>
      <name val="Arial"/>
      <family val="2"/>
    </font>
    <font>
      <sz val="12"/>
      <color rgb="FF383838"/>
      <name val="Arial"/>
      <family val="2"/>
    </font>
    <font>
      <b/>
      <sz val="12"/>
      <color theme="1"/>
      <name val="Arial"/>
      <family val="2"/>
      <scheme val="minor"/>
    </font>
  </fonts>
  <fills count="105">
    <fill>
      <patternFill patternType="none"/>
    </fill>
    <fill>
      <patternFill patternType="gray125"/>
    </fill>
    <fill>
      <patternFill patternType="solid">
        <fgColor theme="0"/>
        <bgColor indexed="64"/>
      </patternFill>
    </fill>
    <fill>
      <patternFill patternType="solid">
        <fgColor theme="0" tint="-0.0499799996614456"/>
        <bgColor indexed="64"/>
      </patternFill>
    </fill>
    <fill>
      <patternFill patternType="solid">
        <fgColor theme="2"/>
        <bgColor indexed="64"/>
      </patternFill>
    </fill>
    <fill>
      <patternFill patternType="solid">
        <fgColor rgb="FF0070C0"/>
        <bgColor indexed="64"/>
      </patternFill>
    </fill>
    <fill>
      <patternFill patternType="solid">
        <fgColor rgb="FFFFD9D9"/>
        <bgColor indexed="64"/>
      </patternFill>
    </fill>
    <fill>
      <patternFill patternType="solid">
        <fgColor rgb="FFD1F7FF"/>
        <bgColor indexed="64"/>
      </patternFill>
    </fill>
    <fill>
      <patternFill patternType="solid">
        <fgColor theme="6"/>
        <bgColor indexed="64"/>
      </patternFill>
    </fill>
    <fill>
      <patternFill patternType="solid">
        <fgColor rgb="FFFFCC99"/>
        <bgColor indexed="64"/>
      </patternFill>
    </fill>
    <fill>
      <patternFill patternType="darkUp">
        <fgColor theme="5"/>
        <bgColor theme="0" tint="-0.0499799996614456"/>
      </patternFill>
    </fill>
    <fill>
      <patternFill patternType="lightUp">
        <fgColor theme="2" tint="-0.499969989061356"/>
        <bgColor theme="0" tint="-0.0499799996614456"/>
      </patternFill>
    </fill>
    <fill>
      <patternFill patternType="solid">
        <fgColor rgb="FFF2F2F2"/>
        <bgColor indexed="64"/>
      </patternFill>
    </fill>
    <fill>
      <patternFill patternType="solid">
        <fgColor theme="5" tint="0.399949997663498"/>
        <bgColor indexed="64"/>
      </patternFill>
    </fill>
    <fill>
      <patternFill patternType="solid">
        <fgColor rgb="FFECECEC"/>
        <bgColor indexed="64"/>
      </patternFill>
    </fill>
    <fill>
      <patternFill patternType="solid">
        <fgColor rgb="FFE3E1D9"/>
        <bgColor indexed="64"/>
      </patternFill>
    </fill>
    <fill>
      <patternFill patternType="solid">
        <fgColor rgb="FFF2EFE6"/>
        <bgColor indexed="64"/>
      </patternFill>
    </fill>
    <fill>
      <patternFill patternType="solid">
        <fgColor rgb="FFEAE6E0"/>
        <bgColor indexed="64"/>
      </patternFill>
    </fill>
    <fill>
      <patternFill patternType="darkDown">
        <fgColor theme="1" tint="-0.499969989061356"/>
        <bgColor theme="2" tint="-0.499969989061356"/>
      </patternFill>
    </fill>
    <fill>
      <patternFill patternType="solid">
        <fgColor theme="1" tint="-0.499969989061356"/>
        <bgColor indexed="64"/>
      </patternFill>
    </fill>
    <fill>
      <patternFill patternType="solid">
        <fgColor theme="2" tint="-0.0999699980020523"/>
        <bgColor indexed="64"/>
      </patternFill>
    </fill>
    <fill>
      <patternFill patternType="solid">
        <fgColor theme="4"/>
        <bgColor indexed="64"/>
      </patternFill>
    </fill>
    <fill>
      <patternFill patternType="solid">
        <fgColor theme="2" tint="-0.749979972839355"/>
        <bgColor indexed="64"/>
      </patternFill>
    </fill>
    <fill>
      <patternFill patternType="solid">
        <fgColor theme="3"/>
        <bgColor indexed="64"/>
      </patternFill>
    </fill>
    <fill>
      <patternFill patternType="solid">
        <fgColor theme="3"/>
        <bgColor indexed="64"/>
      </patternFill>
    </fill>
    <fill>
      <patternFill patternType="solid">
        <fgColor theme="3" tint="-0.249970003962517"/>
        <bgColor indexed="64"/>
      </patternFill>
    </fill>
    <fill>
      <patternFill patternType="solid">
        <fgColor theme="5"/>
        <bgColor indexed="64"/>
      </patternFill>
    </fill>
    <fill>
      <patternFill patternType="solid">
        <fgColor theme="1"/>
        <bgColor indexed="64"/>
      </patternFill>
    </fill>
    <fill>
      <patternFill patternType="solid">
        <fgColor theme="6"/>
        <bgColor indexed="64"/>
      </patternFill>
    </fill>
    <fill>
      <patternFill patternType="solid">
        <fgColor theme="0" tint="-0.0499799996614456"/>
        <bgColor indexed="64"/>
      </patternFill>
    </fill>
    <fill>
      <patternFill patternType="solid">
        <fgColor theme="2" tint="-0.899980008602142"/>
        <bgColor indexed="64"/>
      </patternFill>
    </fill>
    <fill>
      <patternFill patternType="solid">
        <fgColor theme="0" tint="-0.0499799996614456"/>
        <bgColor indexed="64"/>
      </patternFill>
    </fill>
    <fill>
      <patternFill patternType="solid">
        <fgColor rgb="FFDCDCDC"/>
        <bgColor indexed="64"/>
      </patternFill>
    </fill>
    <fill>
      <patternFill patternType="darkUp">
        <fgColor theme="2"/>
        <bgColor theme="0" tint="-0.0499799996614456"/>
      </patternFill>
    </fill>
    <fill>
      <patternFill patternType="solid">
        <fgColor theme="0" tint="-0.0499799996614456"/>
        <bgColor indexed="64"/>
      </patternFill>
    </fill>
    <fill>
      <patternFill patternType="solid">
        <fgColor rgb="FFE3EDE9"/>
        <bgColor indexed="64"/>
      </patternFill>
    </fill>
    <fill>
      <patternFill patternType="solid">
        <fgColor theme="0" tint="-0.149990007281303"/>
        <bgColor indexed="64"/>
      </patternFill>
    </fill>
    <fill>
      <patternFill patternType="lightUp">
        <fgColor theme="1"/>
        <bgColor theme="0" tint="-0.0499799996614456"/>
      </patternFill>
    </fill>
    <fill>
      <patternFill patternType="solid">
        <fgColor rgb="FFC2D9D1"/>
        <bgColor indexed="64"/>
      </patternFill>
    </fill>
    <fill>
      <patternFill patternType="solid">
        <fgColor theme="7"/>
        <bgColor indexed="64"/>
      </patternFill>
    </fill>
    <fill>
      <patternFill patternType="solid">
        <fgColor theme="6" tint="-0.0999699980020523"/>
        <bgColor indexed="64"/>
      </patternFill>
    </fill>
    <fill>
      <patternFill patternType="solid">
        <fgColor rgb="FFE2E2E2"/>
        <bgColor indexed="64"/>
      </patternFill>
    </fill>
    <fill>
      <patternFill patternType="solid">
        <fgColor theme="7" tint="0.399980008602142"/>
        <bgColor indexed="64"/>
      </patternFill>
    </fill>
    <fill>
      <patternFill patternType="solid">
        <fgColor theme="7" tint="-0.249970003962517"/>
        <bgColor indexed="64"/>
      </patternFill>
    </fill>
    <fill>
      <patternFill patternType="solid">
        <fgColor theme="7" tint="-0.499969989061356"/>
        <bgColor indexed="64"/>
      </patternFill>
    </fill>
    <fill>
      <patternFill patternType="lightUp">
        <fgColor theme="6" tint="-0.499969989061356"/>
        <bgColor theme="0" tint="-0.0499799996614456"/>
      </patternFill>
    </fill>
    <fill>
      <patternFill patternType="solid">
        <fgColor theme="9" tint="0.799979984760284"/>
        <bgColor indexed="64"/>
      </patternFill>
    </fill>
    <fill>
      <patternFill patternType="solid">
        <fgColor rgb="FF009174"/>
        <bgColor indexed="64"/>
      </patternFill>
    </fill>
    <fill>
      <patternFill patternType="solid">
        <fgColor rgb="FFD1DCC6"/>
        <bgColor indexed="64"/>
      </patternFill>
    </fill>
    <fill>
      <patternFill patternType="solid">
        <fgColor theme="3" tint="0.399980008602142"/>
        <bgColor indexed="64"/>
      </patternFill>
    </fill>
    <fill>
      <patternFill patternType="solid">
        <fgColor theme="8" tint="-0.499969989061356"/>
        <bgColor indexed="64"/>
      </patternFill>
    </fill>
    <fill>
      <patternFill patternType="solid">
        <fgColor rgb="FFB1CFC4"/>
        <bgColor indexed="64"/>
      </patternFill>
    </fill>
    <fill>
      <patternFill patternType="darkUp">
        <fgColor theme="1" tint="0.599960029125214"/>
        <bgColor theme="0" tint="-0.0499799996614456"/>
      </patternFill>
    </fill>
    <fill>
      <patternFill patternType="solid">
        <fgColor rgb="FFD4E4DE"/>
        <bgColor indexed="64"/>
      </patternFill>
    </fill>
    <fill>
      <patternFill patternType="solid">
        <fgColor rgb="FFD9E1C1"/>
        <bgColor indexed="64"/>
      </patternFill>
    </fill>
    <fill>
      <patternFill patternType="solid">
        <fgColor theme="1" tint="-0.249970003962517"/>
        <bgColor indexed="64"/>
      </patternFill>
    </fill>
    <fill>
      <patternFill patternType="lightUp">
        <fgColor theme="4" tint="0.399949997663498"/>
        <bgColor theme="1" tint="-0.499969989061356"/>
      </patternFill>
    </fill>
    <fill>
      <patternFill patternType="lightUp">
        <fgColor theme="2" tint="-0.499969989061356"/>
        <bgColor theme="1"/>
      </patternFill>
    </fill>
    <fill>
      <patternFill patternType="solid">
        <fgColor theme="2" tint="-0.899980008602142"/>
        <bgColor indexed="64"/>
      </patternFill>
    </fill>
    <fill>
      <patternFill patternType="solid">
        <fgColor theme="2"/>
        <bgColor indexed="64"/>
      </patternFill>
    </fill>
    <fill>
      <patternFill patternType="solid">
        <fgColor theme="3" tint="-0.249970003962517"/>
        <bgColor indexed="64"/>
      </patternFill>
    </fill>
    <fill>
      <patternFill patternType="solid">
        <fgColor rgb="FFCCDAE6"/>
        <bgColor indexed="64"/>
      </patternFill>
    </fill>
    <fill>
      <patternFill patternType="solid">
        <fgColor rgb="FFBECEAE"/>
        <bgColor indexed="64"/>
      </patternFill>
    </fill>
    <fill>
      <patternFill patternType="solid">
        <fgColor rgb="FFCCDAE6"/>
        <bgColor indexed="64"/>
      </patternFill>
    </fill>
    <fill>
      <patternFill patternType="solid">
        <fgColor theme="6"/>
        <bgColor indexed="64"/>
      </patternFill>
    </fill>
    <fill>
      <patternFill patternType="solid">
        <fgColor rgb="FFBECEAE"/>
        <bgColor indexed="64"/>
      </patternFill>
    </fill>
    <fill>
      <patternFill patternType="solid">
        <fgColor rgb="FFD1DCC6"/>
        <bgColor indexed="64"/>
      </patternFill>
    </fill>
    <fill>
      <patternFill patternType="solid">
        <fgColor theme="2" tint="-0.749979972839355"/>
        <bgColor indexed="64"/>
      </patternFill>
    </fill>
    <fill>
      <patternFill patternType="solid">
        <fgColor theme="3"/>
        <bgColor indexed="64"/>
      </patternFill>
    </fill>
    <fill>
      <patternFill patternType="darkUp">
        <fgColor theme="2"/>
        <bgColor rgb="FFD1DCC6"/>
      </patternFill>
    </fill>
    <fill>
      <patternFill patternType="lightUp">
        <fgColor theme="6" tint="-0.499969989061356"/>
        <bgColor theme="2"/>
      </patternFill>
    </fill>
    <fill>
      <patternFill patternType="solid">
        <fgColor theme="7" tint="0.799979984760284"/>
        <bgColor indexed="64"/>
      </patternFill>
    </fill>
    <fill>
      <patternFill patternType="solid">
        <fgColor rgb="FF99D0D8"/>
        <bgColor indexed="64"/>
      </patternFill>
    </fill>
    <fill>
      <patternFill patternType="solid">
        <fgColor rgb="FFB6CADB"/>
        <bgColor indexed="64"/>
      </patternFill>
    </fill>
    <fill>
      <patternFill patternType="solid">
        <fgColor theme="8"/>
        <bgColor indexed="64"/>
      </patternFill>
    </fill>
    <fill>
      <patternFill patternType="solid">
        <fgColor theme="5" tint="-0.499969989061356"/>
        <bgColor indexed="64"/>
      </patternFill>
    </fill>
    <fill>
      <patternFill patternType="solid">
        <fgColor theme="3" tint="-0.499969989061356"/>
        <bgColor indexed="64"/>
      </patternFill>
    </fill>
    <fill>
      <patternFill patternType="solid">
        <fgColor rgb="FFFFFF00"/>
        <bgColor indexed="64"/>
      </patternFill>
    </fill>
    <fill>
      <patternFill patternType="solid">
        <fgColor rgb="FFFF0000"/>
        <bgColor indexed="64"/>
      </patternFill>
    </fill>
    <fill>
      <patternFill patternType="solid">
        <fgColor rgb="FF00738B"/>
        <bgColor indexed="64"/>
      </patternFill>
    </fill>
    <fill>
      <patternFill patternType="lightUp">
        <fgColor theme="2" tint="-0.499969989061356"/>
        <bgColor theme="1" tint="-0.499969989061356"/>
      </patternFill>
    </fill>
    <fill>
      <patternFill patternType="solid">
        <fgColor rgb="FFEAEAEA"/>
        <bgColor indexed="64"/>
      </patternFill>
    </fill>
    <fill>
      <patternFill patternType="solid">
        <fgColor rgb="FFFBFBFB"/>
        <bgColor indexed="64"/>
      </patternFill>
    </fill>
    <fill>
      <patternFill patternType="solid">
        <fgColor rgb="FFFF9999"/>
        <bgColor indexed="64"/>
      </patternFill>
    </fill>
    <fill>
      <patternFill patternType="solid">
        <fgColor theme="0" tint="-0.0499799996614456"/>
        <bgColor indexed="64"/>
      </patternFill>
    </fill>
    <fill>
      <patternFill patternType="lightUp">
        <fgColor theme="0" tint="-0.0499799996614456"/>
        <bgColor theme="0" tint="-0.0499799996614456"/>
      </patternFill>
    </fill>
    <fill>
      <patternFill patternType="lightGrid">
        <fgColor theme="7"/>
        <bgColor theme="1" tint="-0.499969989061356"/>
      </patternFill>
    </fill>
    <fill>
      <patternFill patternType="solid">
        <fgColor rgb="FFFFC000"/>
        <bgColor indexed="64"/>
      </patternFill>
    </fill>
    <fill>
      <patternFill patternType="solid">
        <fgColor theme="4"/>
        <bgColor indexed="64"/>
      </patternFill>
    </fill>
    <fill>
      <patternFill patternType="solid">
        <fgColor theme="2" tint="-0.499969989061356"/>
        <bgColor indexed="64"/>
      </patternFill>
    </fill>
    <fill>
      <patternFill patternType="solid">
        <fgColor rgb="FF161616"/>
        <bgColor indexed="64"/>
      </patternFill>
    </fill>
    <fill>
      <patternFill patternType="solid">
        <fgColor rgb="FF009174"/>
        <bgColor indexed="64"/>
      </patternFill>
    </fill>
    <fill>
      <patternFill patternType="solid">
        <fgColor theme="6" tint="-0.899980008602142"/>
        <bgColor indexed="64"/>
      </patternFill>
    </fill>
    <fill>
      <patternFill patternType="solid">
        <fgColor rgb="FFFFFFFF"/>
        <bgColor indexed="64"/>
      </patternFill>
    </fill>
    <fill>
      <patternFill patternType="solid">
        <fgColor theme="0"/>
        <bgColor indexed="64"/>
      </patternFill>
    </fill>
    <fill>
      <patternFill patternType="solid">
        <fgColor rgb="FFC00000"/>
        <bgColor indexed="64"/>
      </patternFill>
    </fill>
    <fill>
      <patternFill patternType="solid">
        <fgColor rgb="FFFFA500"/>
        <bgColor indexed="64"/>
      </patternFill>
    </fill>
    <fill>
      <patternFill patternType="solid">
        <fgColor rgb="FF63BE7B"/>
        <bgColor indexed="64"/>
      </patternFill>
    </fill>
    <fill>
      <patternFill patternType="solid">
        <fgColor rgb="FF9DC3E6"/>
        <bgColor indexed="64"/>
      </patternFill>
    </fill>
    <fill>
      <patternFill patternType="solid">
        <fgColor rgb="FFF2C4C4"/>
        <bgColor indexed="64"/>
      </patternFill>
    </fill>
    <fill>
      <patternFill patternType="solid">
        <fgColor rgb="FFD8E4BC"/>
        <bgColor indexed="64"/>
      </patternFill>
    </fill>
    <fill>
      <patternFill patternType="solid">
        <fgColor rgb="FFFFF200"/>
        <bgColor indexed="64"/>
      </patternFill>
    </fill>
    <fill>
      <patternFill patternType="solid">
        <fgColor rgb="FFFFF200"/>
        <bgColor indexed="64"/>
      </patternFill>
    </fill>
    <fill>
      <patternFill patternType="solid">
        <fgColor rgb="FFFFF200"/>
        <bgColor indexed="64"/>
      </patternFill>
    </fill>
    <fill>
      <patternFill patternType="solid">
        <fgColor rgb="FFC9A0DC"/>
        <bgColor indexed="64"/>
      </patternFill>
    </fill>
  </fills>
  <borders count="183">
    <border>
      <left/>
      <right/>
      <top/>
      <bottom/>
      <diagonal/>
    </border>
    <border>
      <left style="thin">
        <color theme="0" tint="-0.149959996342659"/>
      </left>
      <right style="thin">
        <color theme="0" tint="-0.149959996342659"/>
      </right>
      <top style="thin">
        <color theme="0" tint="-0.149959996342659"/>
      </top>
      <bottom style="thin">
        <color theme="0" tint="-0.149959996342659"/>
      </bottom>
    </border>
    <border>
      <left/>
      <right/>
      <top style="thin">
        <color theme="0" tint="-0.149959996342659"/>
      </top>
      <bottom/>
    </border>
    <border>
      <left style="thick">
        <color theme="4"/>
      </left>
      <right/>
      <top/>
      <bottom/>
    </border>
    <border>
      <left/>
      <right style="medium">
        <color theme="3"/>
      </right>
      <top/>
      <bottom/>
    </border>
    <border>
      <left/>
      <right style="thin">
        <color rgb="FF0070C0"/>
      </right>
      <top/>
      <bottom/>
    </border>
    <border>
      <left style="thin">
        <color rgb="FFFF9999"/>
      </left>
      <right style="thin">
        <color rgb="FFFF9999"/>
      </right>
      <top style="thin">
        <color rgb="FFFF9999"/>
      </top>
      <bottom style="thin">
        <color rgb="FFFF9999"/>
      </bottom>
    </border>
    <border>
      <left style="thin">
        <color rgb="FF6AE6FF"/>
      </left>
      <right style="thin">
        <color rgb="FF6AE6FF"/>
      </right>
      <top/>
      <bottom/>
    </border>
    <border>
      <left/>
      <right/>
      <top style="thin">
        <color theme="2"/>
      </top>
      <bottom/>
    </border>
    <border>
      <left/>
      <right/>
      <top style="thin">
        <color rgb="FF8FC7F5"/>
      </top>
      <bottom style="thin">
        <color rgb="FF8FC7F5"/>
      </bottom>
    </border>
    <border>
      <left/>
      <right/>
      <top/>
      <bottom style="thick">
        <color theme="4"/>
      </bottom>
    </border>
    <border>
      <left/>
      <right/>
      <top/>
      <bottom style="thick">
        <color theme="4" tint="0.499980002641678"/>
      </bottom>
    </border>
    <border>
      <left/>
      <right/>
      <top/>
      <bottom style="medium">
        <color theme="4" tint="0.399980008602142"/>
      </bottom>
    </border>
    <border>
      <left style="thin">
        <color rgb="FF7F7F7F"/>
      </left>
      <right style="thin">
        <color rgb="FF7F7F7F"/>
      </right>
      <top style="thin">
        <color rgb="FF7F7F7F"/>
      </top>
      <bottom style="thin">
        <color rgb="FF7F7F7F"/>
      </bottom>
    </border>
    <border>
      <left/>
      <right/>
      <top style="thin">
        <color theme="8" tint="0.399949997663498"/>
      </top>
      <bottom/>
    </border>
    <border>
      <left/>
      <right/>
      <top style="thin">
        <color theme="4"/>
      </top>
      <bottom style="double">
        <color theme="4"/>
      </bottom>
    </border>
    <border>
      <left style="thin">
        <color theme="0" tint="-0.249970003962517"/>
      </left>
      <right style="thin">
        <color theme="0" tint="-0.249970003962517"/>
      </right>
      <top style="thin">
        <color theme="0" tint="-0.249970003962517"/>
      </top>
      <bottom style="thin">
        <color theme="0" tint="-0.249970003962517"/>
      </bottom>
    </border>
    <border>
      <left style="thin">
        <color theme="0" tint="-0.249939993023872"/>
      </left>
      <right style="thin">
        <color theme="0" tint="-0.249939993023872"/>
      </right>
      <top style="thin">
        <color theme="0" tint="-0.249939993023872"/>
      </top>
      <bottom style="thin">
        <color theme="0" tint="-0.249939993023872"/>
      </bottom>
    </border>
    <border>
      <left/>
      <right/>
      <top style="thin">
        <color theme="0" tint="-0.249939993023872"/>
      </top>
      <bottom style="thin">
        <color theme="0" tint="-0.249939993023872"/>
      </bottom>
    </border>
    <border>
      <left/>
      <right/>
      <top style="thin">
        <color theme="3" tint="0.399949997663498"/>
      </top>
      <bottom style="thin">
        <color theme="3" tint="0.399949997663498"/>
      </bottom>
    </border>
    <border>
      <left/>
      <right/>
      <top style="thin">
        <color theme="0" tint="-0.249970003962517"/>
      </top>
      <bottom style="thin">
        <color theme="0" tint="-0.249970003962517"/>
      </bottom>
    </border>
    <border>
      <left style="thin">
        <color theme="0" tint="-0.249970003962517"/>
      </left>
      <right style="thin">
        <color theme="0" tint="-0.249970003962517"/>
      </right>
      <top/>
      <bottom style="thin">
        <color theme="0" tint="-0.249970003962517"/>
      </bottom>
    </border>
    <border>
      <left style="thin">
        <color theme="0" tint="-0.249970003962517"/>
      </left>
      <right/>
      <top/>
      <bottom/>
    </border>
    <border>
      <left/>
      <right/>
      <top/>
      <bottom style="thin">
        <color theme="0" tint="-0.249970003962517"/>
      </bottom>
    </border>
    <border>
      <left style="thin">
        <color theme="0" tint="-0.249970003962517"/>
      </left>
      <right/>
      <top style="thin">
        <color theme="0" tint="-0.249970003962517"/>
      </top>
      <bottom/>
    </border>
    <border>
      <left/>
      <right/>
      <top style="thin">
        <color theme="0" tint="-0.249970003962517"/>
      </top>
      <bottom/>
    </border>
    <border>
      <left style="thin">
        <color theme="0" tint="-0.249970003962517"/>
      </left>
      <right/>
      <top/>
      <bottom style="thin">
        <color theme="0" tint="-0.249970003962517"/>
      </bottom>
    </border>
    <border>
      <left/>
      <right style="thin">
        <color theme="0" tint="-0.249970003962517"/>
      </right>
      <top/>
      <bottom/>
    </border>
    <border>
      <left/>
      <right style="thin">
        <color theme="0" tint="-0.249970003962517"/>
      </right>
      <top/>
      <bottom style="thin">
        <color theme="0" tint="-0.249970003962517"/>
      </bottom>
    </border>
    <border>
      <left/>
      <right style="thin">
        <color theme="0" tint="-0.249970003962517"/>
      </right>
      <top style="thin">
        <color theme="0" tint="-0.249970003962517"/>
      </top>
      <bottom/>
    </border>
    <border>
      <left/>
      <right style="thin">
        <color theme="3"/>
      </right>
      <top/>
      <bottom/>
    </border>
    <border>
      <left style="thin">
        <color theme="0" tint="-0.149990007281303"/>
      </left>
      <right/>
      <top style="thin">
        <color theme="0" tint="-0.249970003962517"/>
      </top>
      <bottom style="thin">
        <color theme="0" tint="-0.249970003962517"/>
      </bottom>
    </border>
    <border>
      <left style="thin">
        <color theme="0" tint="-0.149990007281303"/>
      </left>
      <right/>
      <top style="thin">
        <color theme="0" tint="-0.249970003962517"/>
      </top>
      <bottom style="thin">
        <color theme="0" tint="-0.149990007281303"/>
      </bottom>
    </border>
    <border>
      <left/>
      <right style="thin">
        <color theme="0" tint="-0.149990007281303"/>
      </right>
      <top style="thin">
        <color theme="0" tint="-0.249970003962517"/>
      </top>
      <bottom style="thin">
        <color theme="0" tint="-0.149990007281303"/>
      </bottom>
    </border>
    <border>
      <left/>
      <right style="thin">
        <color theme="0" tint="-0.149990007281303"/>
      </right>
      <top/>
      <bottom/>
    </border>
    <border>
      <left style="thin">
        <color theme="0" tint="-0.149990007281303"/>
      </left>
      <right/>
      <top/>
      <bottom/>
    </border>
    <border>
      <left style="thin">
        <color theme="3"/>
      </left>
      <right/>
      <top/>
      <bottom/>
    </border>
    <border>
      <left style="thin">
        <color theme="0" tint="-0.249970003962517"/>
      </left>
      <right/>
      <top style="thin">
        <color theme="0" tint="-0.249970003962517"/>
      </top>
      <bottom style="thin">
        <color theme="0" tint="-0.249970003962517"/>
      </bottom>
    </border>
    <border>
      <left/>
      <right style="thin">
        <color theme="0" tint="-0.249970003962517"/>
      </right>
      <top style="thin">
        <color theme="0" tint="-0.249970003962517"/>
      </top>
      <bottom style="thin">
        <color theme="0" tint="-0.249970003962517"/>
      </bottom>
    </border>
    <border>
      <left/>
      <right style="thin">
        <color theme="0" tint="-0.249939993023872"/>
      </right>
      <top/>
      <bottom style="thin">
        <color theme="0" tint="-0.249939993023872"/>
      </bottom>
    </border>
    <border>
      <left style="thin">
        <color theme="0" tint="-0.249939993023872"/>
      </left>
      <right style="thin">
        <color theme="0" tint="-0.249939993023872"/>
      </right>
      <top/>
      <bottom style="thin">
        <color theme="0" tint="-0.249939993023872"/>
      </bottom>
    </border>
    <border>
      <left style="thin">
        <color theme="0" tint="-0.249939993023872"/>
      </left>
      <right/>
      <top/>
      <bottom style="thin">
        <color theme="0" tint="-0.249939993023872"/>
      </bottom>
    </border>
    <border>
      <left style="thin">
        <color theme="0" tint="-0.249939993023872"/>
      </left>
      <right style="thin">
        <color theme="0" tint="-0.249939993023872"/>
      </right>
      <top style="thin">
        <color theme="0" tint="-0.249939993023872"/>
      </top>
      <bottom/>
    </border>
    <border>
      <left/>
      <right style="thin">
        <color theme="0" tint="-0.249939993023872"/>
      </right>
      <top style="thin">
        <color theme="0" tint="-0.249939993023872"/>
      </top>
      <bottom style="thin">
        <color theme="0" tint="-0.249939993023872"/>
      </bottom>
    </border>
    <border>
      <left/>
      <right/>
      <top/>
      <bottom style="thin">
        <color theme="0"/>
      </bottom>
    </border>
    <border>
      <left/>
      <right/>
      <top style="thin">
        <color theme="0" tint="-0.149990007281303"/>
      </top>
      <bottom style="thin">
        <color theme="0"/>
      </bottom>
    </border>
    <border>
      <left style="thin">
        <color theme="0" tint="-0.249970003962517"/>
      </left>
      <right style="thin">
        <color theme="0" tint="-0.249970003962517"/>
      </right>
      <top/>
      <bottom/>
    </border>
    <border>
      <left/>
      <right/>
      <top style="thin">
        <color auto="1"/>
      </top>
      <bottom style="thin">
        <color theme="0" tint="-0.249970003962517"/>
      </bottom>
    </border>
    <border>
      <left/>
      <right/>
      <top style="thin">
        <color theme="0" tint="-0.149959996342659"/>
      </top>
      <bottom style="thin">
        <color theme="0" tint="-0.249970003962517"/>
      </bottom>
    </border>
    <border>
      <left style="medium">
        <color auto="1"/>
      </left>
      <right style="medium">
        <color auto="1"/>
      </right>
      <top style="medium">
        <color auto="1"/>
      </top>
      <bottom style="medium">
        <color auto="1"/>
      </bottom>
    </border>
    <border>
      <left style="thin">
        <color theme="0" tint="-0.249970003962517"/>
      </left>
      <right style="thin">
        <color theme="0" tint="-0.249970003962517"/>
      </right>
      <top style="thin">
        <color theme="0" tint="-0.249970003962517"/>
      </top>
      <bottom/>
    </border>
    <border>
      <left/>
      <right/>
      <top/>
      <bottom style="thin">
        <color theme="2" tint="-0.499969989061356"/>
      </bottom>
    </border>
    <border>
      <left style="thick">
        <color theme="3"/>
      </left>
      <right/>
      <top style="thin">
        <color theme="0" tint="-0.249970003962517"/>
      </top>
      <bottom/>
    </border>
    <border>
      <left style="thick">
        <color theme="3"/>
      </left>
      <right/>
      <top/>
      <bottom style="thin">
        <color theme="0" tint="-0.249970003962517"/>
      </bottom>
    </border>
    <border>
      <left/>
      <right style="thick">
        <color theme="3"/>
      </right>
      <top/>
      <bottom/>
    </border>
    <border>
      <left style="thick">
        <color auto="1"/>
      </left>
      <right/>
      <top/>
      <bottom/>
    </border>
    <border>
      <left/>
      <right style="thin">
        <color theme="0" tint="-0.249939993023872"/>
      </right>
      <top style="thin">
        <color theme="0" tint="-0.249939993023872"/>
      </top>
      <bottom/>
    </border>
    <border>
      <left style="thick">
        <color auto="1"/>
      </left>
      <right/>
      <top/>
      <bottom style="thin">
        <color theme="0" tint="-0.249939993023872"/>
      </bottom>
    </border>
    <border>
      <left/>
      <right/>
      <top/>
      <bottom style="thin">
        <color theme="0" tint="-0.249939993023872"/>
      </bottom>
    </border>
    <border>
      <left/>
      <right style="thin">
        <color theme="0" tint="-0.249939993023872"/>
      </right>
      <top/>
      <bottom/>
    </border>
    <border>
      <left style="thick">
        <color theme="7"/>
      </left>
      <right/>
      <top/>
      <bottom/>
    </border>
    <border>
      <left style="thick">
        <color theme="3"/>
      </left>
      <right/>
      <top/>
      <bottom/>
    </border>
    <border>
      <left style="thick">
        <color theme="2" tint="-0.89995002746582"/>
      </left>
      <right/>
      <top style="thin">
        <color theme="0" tint="-0.249970003962517"/>
      </top>
      <bottom/>
    </border>
    <border>
      <left style="thick">
        <color theme="2" tint="-0.89995002746582"/>
      </left>
      <right/>
      <top/>
      <bottom/>
    </border>
    <border>
      <left style="thin">
        <color theme="4" tint="0.599960029125214"/>
      </left>
      <right/>
      <top style="thin">
        <color theme="4" tint="0.599960029125214"/>
      </top>
      <bottom style="thin">
        <color theme="4" tint="0.599960029125214"/>
      </bottom>
    </border>
    <border>
      <left/>
      <right/>
      <top style="thin">
        <color theme="4" tint="0.599960029125214"/>
      </top>
      <bottom style="thin">
        <color theme="4" tint="0.599960029125214"/>
      </bottom>
    </border>
    <border>
      <left/>
      <right style="thin">
        <color theme="4" tint="0.599960029125214"/>
      </right>
      <top style="thin">
        <color theme="4" tint="0.599960029125214"/>
      </top>
      <bottom style="thin">
        <color theme="4" tint="0.599960029125214"/>
      </bottom>
    </border>
    <border>
      <left/>
      <right style="thin">
        <color theme="0" tint="-0.149930000305176"/>
      </right>
      <top/>
      <bottom/>
    </border>
    <border>
      <left style="thin">
        <color theme="0" tint="-0.149930000305176"/>
      </left>
      <right style="thin">
        <color theme="0" tint="-0.149930000305176"/>
      </right>
      <top/>
      <bottom/>
    </border>
    <border>
      <left style="thin">
        <color theme="0" tint="-0.149930000305176"/>
      </left>
      <right style="thin">
        <color theme="0" tint="-0.249970003962517"/>
      </right>
      <top/>
      <bottom/>
    </border>
    <border>
      <left style="thin">
        <color theme="0" tint="-0.249939993023872"/>
      </left>
      <right style="thin">
        <color theme="0" tint="-0.249970003962517"/>
      </right>
      <top style="thin">
        <color theme="0" tint="-0.249939993023872"/>
      </top>
      <bottom style="thin">
        <color theme="0" tint="-0.249939993023872"/>
      </bottom>
    </border>
    <border>
      <left style="thin">
        <color theme="0" tint="-0.249939993023872"/>
      </left>
      <right style="thin">
        <color theme="0" tint="-0.249939993023872"/>
      </right>
      <top style="thin">
        <color theme="0" tint="-0.249939993023872"/>
      </top>
      <bottom style="thin">
        <color theme="0" tint="-0.249970003962517"/>
      </bottom>
    </border>
    <border>
      <left style="thin">
        <color theme="0" tint="-0.249939993023872"/>
      </left>
      <right style="thin">
        <color theme="0" tint="-0.249970003962517"/>
      </right>
      <top style="thin">
        <color theme="0" tint="-0.249939993023872"/>
      </top>
      <bottom style="thin">
        <color theme="0" tint="-0.249970003962517"/>
      </bottom>
    </border>
    <border>
      <left style="thin">
        <color theme="0" tint="-0.249970003962517"/>
      </left>
      <right style="thin">
        <color theme="2"/>
      </right>
      <top style="thin">
        <color theme="2"/>
      </top>
      <bottom/>
    </border>
    <border>
      <left style="thin">
        <color theme="0" tint="-0.249970003962517"/>
      </left>
      <right style="thin">
        <color theme="2"/>
      </right>
      <top/>
      <bottom style="thin">
        <color theme="2"/>
      </bottom>
    </border>
    <border>
      <left style="thin">
        <color theme="0" tint="-0.149990007281303"/>
      </left>
      <right style="thin">
        <color theme="0" tint="-0.249970003962517"/>
      </right>
      <top style="thin">
        <color theme="0" tint="-0.249970003962517"/>
      </top>
      <bottom style="thin">
        <color theme="0" tint="-0.249970003962517"/>
      </bottom>
    </border>
    <border>
      <left/>
      <right/>
      <top/>
      <bottom style="thin">
        <color theme="1" tint="0.399980008602142"/>
      </bottom>
    </border>
    <border>
      <left/>
      <right style="thin">
        <color theme="0" tint="-0.149959996342659"/>
      </right>
      <top/>
      <bottom style="thin">
        <color theme="0" tint="-0.249970003962517"/>
      </bottom>
    </border>
    <border>
      <left style="thin">
        <color theme="0" tint="-0.249970003962517"/>
      </left>
      <right style="thin">
        <color rgb="FF81B1A0"/>
      </right>
      <top/>
      <bottom/>
    </border>
    <border>
      <left style="thin">
        <color theme="0" tint="-0.149959996342659"/>
      </left>
      <right style="thin">
        <color theme="0" tint="-0.149959996342659"/>
      </right>
      <top style="thin">
        <color theme="0" tint="-0.149959996342659"/>
      </top>
      <bottom/>
    </border>
    <border>
      <left style="thin">
        <color theme="0" tint="-0.249939993023872"/>
      </left>
      <right/>
      <top style="thin">
        <color theme="0" tint="-0.249970003962517"/>
      </top>
      <bottom/>
    </border>
    <border>
      <left style="thin">
        <color theme="0" tint="-0.249939993023872"/>
      </left>
      <right/>
      <top/>
      <bottom/>
    </border>
    <border>
      <left style="thin">
        <color theme="0" tint="-0.149959996342659"/>
      </left>
      <right/>
      <top style="thin">
        <color theme="0" tint="-0.149959996342659"/>
      </top>
      <bottom style="thin">
        <color theme="0" tint="-0.149959996342659"/>
      </bottom>
    </border>
    <border>
      <left style="thick">
        <color theme="7"/>
      </left>
      <right/>
      <top style="thin">
        <color theme="0" tint="-0.249939993023872"/>
      </top>
      <bottom/>
    </border>
    <border>
      <left/>
      <right/>
      <top style="thin">
        <color theme="0" tint="-0.249939993023872"/>
      </top>
      <bottom/>
    </border>
    <border>
      <left style="thick">
        <color theme="7"/>
      </left>
      <right/>
      <top style="thin">
        <color theme="0" tint="-0.249970003962517"/>
      </top>
      <bottom/>
    </border>
    <border>
      <left style="thick">
        <color theme="7"/>
      </left>
      <right/>
      <top/>
      <bottom style="thin">
        <color theme="0" tint="-0.249970003962517"/>
      </bottom>
    </border>
    <border>
      <left/>
      <right/>
      <top style="thin">
        <color theme="3" tint="0.399949997663498"/>
      </top>
      <bottom style="thin">
        <color theme="0" tint="-0.249970003962517"/>
      </bottom>
    </border>
    <border>
      <left style="thin">
        <color theme="0" tint="-0.249970003962517"/>
      </left>
      <right style="thin">
        <color theme="0" tint="-0.149959996342659"/>
      </right>
      <top style="thin">
        <color theme="0" tint="-0.149959996342659"/>
      </top>
      <bottom style="thin">
        <color theme="0" tint="-0.249970003962517"/>
      </bottom>
    </border>
    <border>
      <left/>
      <right/>
      <top style="thin">
        <color theme="0" tint="-0.149990007281303"/>
      </top>
      <bottom style="thin">
        <color theme="0" tint="-0.149990007281303"/>
      </bottom>
    </border>
    <border>
      <left style="thin">
        <color theme="0" tint="-0.249970003962517"/>
      </left>
      <right style="thin">
        <color theme="0" tint="-0.149959996342659"/>
      </right>
      <top style="thin">
        <color theme="0" tint="-0.249970003962517"/>
      </top>
      <bottom style="thin">
        <color theme="0" tint="-0.249970003962517"/>
      </bottom>
    </border>
    <border>
      <left style="thin">
        <color theme="0" tint="-0.149959996342659"/>
      </left>
      <right style="thin">
        <color theme="0" tint="-0.249970003962517"/>
      </right>
      <top style="thin">
        <color theme="0" tint="-0.249970003962517"/>
      </top>
      <bottom style="thin">
        <color theme="0" tint="-0.249970003962517"/>
      </bottom>
    </border>
    <border>
      <left style="thin">
        <color theme="0" tint="-0.149959996342659"/>
      </left>
      <right style="thin">
        <color theme="0" tint="-0.249970003962517"/>
      </right>
      <top style="thin">
        <color theme="0" tint="-0.149959996342659"/>
      </top>
      <bottom style="thin">
        <color theme="0" tint="-0.249970003962517"/>
      </bottom>
    </border>
    <border>
      <left style="thin">
        <color rgb="FF7BB78B"/>
      </left>
      <right/>
      <top style="thin">
        <color rgb="FF7BB78B"/>
      </top>
      <bottom style="thin">
        <color rgb="FF7BB78B"/>
      </bottom>
    </border>
    <border>
      <left/>
      <right/>
      <top style="thin">
        <color rgb="FF7BB78B"/>
      </top>
      <bottom style="thin">
        <color rgb="FF7BB78B"/>
      </bottom>
    </border>
    <border>
      <left/>
      <right style="thin">
        <color rgb="FF7BB78B"/>
      </right>
      <top style="thin">
        <color rgb="FF7BB78B"/>
      </top>
      <bottom style="thin">
        <color rgb="FF7BB78B"/>
      </bottom>
    </border>
    <border>
      <left style="thin">
        <color theme="0" tint="-0.249939993023872"/>
      </left>
      <right style="thin">
        <color theme="0" tint="-0.249970003962517"/>
      </right>
      <top/>
      <bottom style="thin">
        <color theme="0" tint="-0.249939993023872"/>
      </bottom>
    </border>
    <border>
      <left/>
      <right/>
      <top/>
      <bottom style="thin">
        <color theme="0" tint="-0.149990007281303"/>
      </bottom>
    </border>
    <border>
      <left style="thin">
        <color rgb="FF81B1A0"/>
      </left>
      <right/>
      <top style="thin">
        <color rgb="FF81B1A0"/>
      </top>
      <bottom style="thin">
        <color rgb="FF81B1A0"/>
      </bottom>
    </border>
    <border>
      <left style="thin">
        <color rgb="FF81B1A0"/>
      </left>
      <right style="thin">
        <color rgb="FF81B1A0"/>
      </right>
      <top style="thin">
        <color rgb="FF81B1A0"/>
      </top>
      <bottom/>
    </border>
    <border>
      <left style="thin">
        <color rgb="FF81B1A0"/>
      </left>
      <right style="thin">
        <color rgb="FF81B1A0"/>
      </right>
      <top/>
      <bottom/>
    </border>
    <border>
      <left style="thin">
        <color rgb="FF81B1A0"/>
      </left>
      <right style="thin">
        <color rgb="FF81B1A0"/>
      </right>
      <top/>
      <bottom style="thin">
        <color rgb="FF81B1A0"/>
      </bottom>
    </border>
    <border>
      <left/>
      <right style="thin">
        <color rgb="FF81B1A0"/>
      </right>
      <top style="thin">
        <color rgb="FF81B1A0"/>
      </top>
      <bottom/>
    </border>
    <border>
      <left/>
      <right style="thin">
        <color rgb="FF81B1A0"/>
      </right>
      <top/>
      <bottom/>
    </border>
    <border>
      <left/>
      <right style="thin">
        <color rgb="FF81B1A0"/>
      </right>
      <top/>
      <bottom style="thin">
        <color rgb="FF81B1A0"/>
      </bottom>
    </border>
    <border>
      <left style="thin">
        <color rgb="FF81B1A0"/>
      </left>
      <right style="thin">
        <color rgb="FF81B1A0"/>
      </right>
      <top style="thin">
        <color rgb="FF81B1A0"/>
      </top>
      <bottom style="thin">
        <color rgb="FF81B1A0"/>
      </bottom>
    </border>
    <border>
      <left style="thin">
        <color theme="0" tint="-0.149990007281303"/>
      </left>
      <right style="thin">
        <color theme="0" tint="-0.249970003962517"/>
      </right>
      <top style="thin">
        <color theme="0" tint="-0.249970003962517"/>
      </top>
      <bottom/>
    </border>
    <border>
      <left style="thin">
        <color theme="0" tint="-0.149990007281303"/>
      </left>
      <right style="thin">
        <color theme="0" tint="-0.249970003962517"/>
      </right>
      <top/>
      <bottom style="thin">
        <color theme="0" tint="-0.249970003962517"/>
      </bottom>
    </border>
    <border>
      <left style="dashDot">
        <color rgb="FFC00000"/>
      </left>
      <right style="thin">
        <color theme="0" tint="-0.249970003962517"/>
      </right>
      <top style="dashDot">
        <color rgb="FFC00000"/>
      </top>
      <bottom style="dashDot">
        <color rgb="FFC00000"/>
      </bottom>
    </border>
    <border>
      <left style="thin">
        <color theme="0" tint="-0.249970003962517"/>
      </left>
      <right style="thin">
        <color theme="0" tint="-0.249970003962517"/>
      </right>
      <top style="dashDot">
        <color rgb="FFC00000"/>
      </top>
      <bottom style="dashDot">
        <color rgb="FFC00000"/>
      </bottom>
    </border>
    <border>
      <left style="thin">
        <color theme="0" tint="-0.249970003962517"/>
      </left>
      <right/>
      <top style="dashDot">
        <color rgb="FFC00000"/>
      </top>
      <bottom style="dashDot">
        <color rgb="FFC00000"/>
      </bottom>
    </border>
    <border>
      <left/>
      <right/>
      <top style="dashDot">
        <color rgb="FFC00000"/>
      </top>
      <bottom style="dashDot">
        <color rgb="FFC00000"/>
      </bottom>
    </border>
    <border>
      <left/>
      <right style="dashDot">
        <color rgb="FFC00000"/>
      </right>
      <top style="dashDot">
        <color rgb="FFC00000"/>
      </top>
      <bottom style="dashDot">
        <color rgb="FFC00000"/>
      </bottom>
    </border>
    <border>
      <left style="thin">
        <color theme="0" tint="-0.149990007281303"/>
      </left>
      <right style="thin">
        <color theme="0" tint="-0.149990007281303"/>
      </right>
      <top style="thin">
        <color theme="0" tint="-0.149990007281303"/>
      </top>
      <bottom style="thin">
        <color theme="0" tint="-0.149990007281303"/>
      </bottom>
    </border>
    <border>
      <left style="thin">
        <color theme="0" tint="-0.149930000305176"/>
      </left>
      <right style="thin">
        <color theme="0" tint="-0.149930000305176"/>
      </right>
      <top style="thin">
        <color theme="0" tint="-0.149930000305176"/>
      </top>
      <bottom style="thin">
        <color theme="0" tint="-0.149930000305176"/>
      </bottom>
    </border>
    <border>
      <left/>
      <right/>
      <top/>
      <bottom style="thin">
        <color auto="1"/>
      </bottom>
    </border>
    <border>
      <left style="thin">
        <color theme="0" tint="-0.249970003962517"/>
      </left>
      <right style="thin">
        <color theme="0" tint="-0.249939993023872"/>
      </right>
      <top style="thin">
        <color theme="0" tint="-0.249939993023872"/>
      </top>
      <bottom style="thin">
        <color theme="0" tint="-0.249939993023872"/>
      </bottom>
    </border>
    <border>
      <left style="thin">
        <color theme="0" tint="-0.249970003962517"/>
      </left>
      <right style="thin">
        <color theme="0" tint="-0.249970003962517"/>
      </right>
      <top style="thin">
        <color theme="0" tint="-0.149959996342659"/>
      </top>
      <bottom style="thin">
        <color theme="0" tint="-0.249970003962517"/>
      </bottom>
    </border>
    <border>
      <left/>
      <right style="thin">
        <color theme="0" tint="-0.149959996342659"/>
      </right>
      <top style="thin">
        <color theme="0" tint="-0.149959996342659"/>
      </top>
      <bottom style="thin">
        <color theme="0" tint="-0.149959996342659"/>
      </bottom>
    </border>
    <border>
      <left style="thin">
        <color theme="0" tint="-0.249939993023872"/>
      </left>
      <right/>
      <top style="thin">
        <color theme="0" tint="-0.149959996342659"/>
      </top>
      <bottom/>
    </border>
    <border>
      <left/>
      <right style="thin">
        <color theme="0" tint="-0.149990007281303"/>
      </right>
      <top style="thin">
        <color theme="0" tint="-0.149959996342659"/>
      </top>
      <bottom/>
    </border>
    <border>
      <left style="thin">
        <color theme="0" tint="-0.249970003962517"/>
      </left>
      <right style="thin">
        <color theme="0" tint="-0.249939993023872"/>
      </right>
      <top/>
      <bottom style="thin">
        <color theme="0" tint="-0.249939993023872"/>
      </bottom>
    </border>
    <border>
      <left style="thin">
        <color theme="0" tint="-0.249970003962517"/>
      </left>
      <right style="thin">
        <color theme="0" tint="-0.249939993023872"/>
      </right>
      <top/>
      <bottom style="thin">
        <color theme="0" tint="-0.249970003962517"/>
      </bottom>
    </border>
    <border>
      <left style="thin">
        <color theme="0" tint="-0.249939993023872"/>
      </left>
      <right style="thin">
        <color theme="0" tint="-0.249970003962517"/>
      </right>
      <top/>
      <bottom style="thin">
        <color theme="0" tint="-0.249970003962517"/>
      </bottom>
    </border>
    <border>
      <left style="thin">
        <color theme="0" tint="-0.249970003962517"/>
      </left>
      <right style="thin">
        <color theme="0" tint="-0.249939993023872"/>
      </right>
      <top style="thin">
        <color theme="0" tint="-0.249939993023872"/>
      </top>
      <bottom style="thin">
        <color theme="0" tint="-0.249970003962517"/>
      </bottom>
    </border>
    <border>
      <left style="thin">
        <color theme="0" tint="-0.249970003962517"/>
      </left>
      <right style="thin">
        <color theme="0" tint="-0.149990007281303"/>
      </right>
      <top/>
      <bottom style="thin">
        <color theme="0" tint="-0.149990007281303"/>
      </bottom>
    </border>
    <border>
      <left/>
      <right style="thin">
        <color theme="0" tint="-0.349979996681213"/>
      </right>
      <top style="thin">
        <color theme="0" tint="-0.349979996681213"/>
      </top>
      <bottom style="thin">
        <color theme="0" tint="-0.249970003962517"/>
      </bottom>
    </border>
    <border>
      <left/>
      <right style="thin">
        <color theme="0" tint="-0.349979996681213"/>
      </right>
      <top/>
      <bottom/>
    </border>
    <border>
      <left style="thin">
        <color theme="0" tint="-0.349979996681213"/>
      </left>
      <right style="thin">
        <color theme="0" tint="-0.349979996681213"/>
      </right>
      <top style="thin">
        <color theme="0" tint="-0.349979996681213"/>
      </top>
      <bottom style="thin">
        <color theme="0" tint="-0.249970003962517"/>
      </bottom>
    </border>
    <border>
      <left style="thin">
        <color theme="0" tint="-0.349979996681213"/>
      </left>
      <right style="thin">
        <color theme="0" tint="-0.349979996681213"/>
      </right>
      <top/>
      <bottom/>
    </border>
    <border>
      <left/>
      <right/>
      <top style="thin">
        <color theme="0" tint="-0.249939993023872"/>
      </top>
      <bottom style="thin">
        <color theme="0" tint="-0.249970003962517"/>
      </bottom>
    </border>
    <border>
      <left style="thin">
        <color theme="0" tint="-0.249970003962517"/>
      </left>
      <right style="thin">
        <color theme="0" tint="-0.249939993023872"/>
      </right>
      <top style="thin">
        <color theme="0" tint="-0.249970003962517"/>
      </top>
      <bottom style="thin">
        <color theme="0" tint="-0.249970003962517"/>
      </bottom>
    </border>
    <border>
      <left/>
      <right/>
      <top style="thin">
        <color auto="1"/>
      </top>
      <bottom/>
    </border>
    <border>
      <left/>
      <right style="thin">
        <color theme="3"/>
      </right>
      <top/>
      <bottom style="thin">
        <color theme="0" tint="-0.249970003962517"/>
      </bottom>
    </border>
    <border>
      <left style="thin">
        <color auto="1"/>
      </left>
      <right style="thin">
        <color auto="1"/>
      </right>
      <top style="thin">
        <color auto="1"/>
      </top>
      <bottom style="thin">
        <color auto="1"/>
      </bottom>
    </border>
    <border>
      <left/>
      <right style="thin">
        <color auto="1"/>
      </right>
      <top/>
      <bottom/>
    </border>
    <border>
      <left style="thin">
        <color theme="0" tint="-0.249939993023872"/>
      </left>
      <right/>
      <top style="thin">
        <color theme="0" tint="-0.249939993023872"/>
      </top>
      <bottom style="thin">
        <color theme="0" tint="-0.249939993023872"/>
      </bottom>
    </border>
    <border>
      <left style="thin">
        <color theme="0" tint="-0.249939993023872"/>
      </left>
      <right/>
      <top style="thin">
        <color theme="0" tint="-0.249939993023872"/>
      </top>
      <bottom/>
    </border>
    <border>
      <left/>
      <right/>
      <top style="thin">
        <color theme="0" tint="-0.249970003962517"/>
      </top>
      <bottom style="thin">
        <color theme="0" tint="-0.149959996342659"/>
      </bottom>
    </border>
    <border>
      <left style="thin">
        <color theme="0" tint="-0.249970003962517"/>
      </left>
      <right style="thin">
        <color theme="0" tint="-0.249970003962517"/>
      </right>
      <top style="thin">
        <color theme="0" tint="-0.249970003962517"/>
      </top>
      <bottom style="thin">
        <color theme="0" tint="-0.149990007281303"/>
      </bottom>
    </border>
    <border>
      <left/>
      <right style="thin">
        <color theme="0" tint="-0.149959996342659"/>
      </right>
      <top style="thin">
        <color theme="0" tint="-0.149959996342659"/>
      </top>
      <bottom/>
    </border>
    <border>
      <left/>
      <right style="thin">
        <color theme="0" tint="-0.249939993023872"/>
      </right>
      <top/>
      <bottom style="thin">
        <color theme="0" tint="-0.249970003962517"/>
      </bottom>
    </border>
    <border>
      <left style="thin">
        <color theme="0" tint="-0.149959996342659"/>
      </left>
      <right/>
      <top/>
      <bottom style="thin">
        <color theme="0" tint="-0.149959996342659"/>
      </bottom>
    </border>
    <border>
      <left style="thin">
        <color theme="0" tint="-0.249970003962517"/>
      </left>
      <right/>
      <top style="thin">
        <color theme="0" tint="-0.249970003962517"/>
      </top>
      <bottom style="thin">
        <color theme="2" tint="-0.0999699980020523"/>
      </bottom>
    </border>
    <border>
      <left/>
      <right style="thin">
        <color theme="0" tint="-0.249970003962517"/>
      </right>
      <top style="thin">
        <color theme="0" tint="-0.249970003962517"/>
      </top>
      <bottom style="thin">
        <color theme="2" tint="-0.0999699980020523"/>
      </bottom>
    </border>
    <border>
      <left style="thin">
        <color theme="2" tint="-0.0999699980020523"/>
      </left>
      <right/>
      <top style="thin">
        <color theme="0" tint="-0.249970003962517"/>
      </top>
      <bottom style="thin">
        <color theme="0" tint="-0.249970003962517"/>
      </bottom>
    </border>
    <border>
      <left/>
      <right/>
      <top style="thin">
        <color theme="2" tint="-0.0999699980020523"/>
      </top>
      <bottom style="thin">
        <color theme="0" tint="-0.249970003962517"/>
      </bottom>
    </border>
    <border>
      <left/>
      <right/>
      <top style="thin">
        <color theme="0" tint="-0.249970003962517"/>
      </top>
      <bottom style="thin">
        <color theme="2" tint="-0.0999699980020523"/>
      </bottom>
    </border>
    <border>
      <left/>
      <right/>
      <top style="thin">
        <color theme="2" tint="-0.0999699980020523"/>
      </top>
      <bottom/>
    </border>
    <border>
      <left style="thin">
        <color theme="0" tint="-0.249970003962517"/>
      </left>
      <right/>
      <top/>
      <bottom style="thin">
        <color theme="0" tint="-0.249939993023872"/>
      </bottom>
    </border>
    <border>
      <left style="thin">
        <color theme="0" tint="-0.249970003962517"/>
      </left>
      <right style="thin">
        <color theme="0" tint="-0.249970003962517"/>
      </right>
      <top/>
      <bottom style="thin">
        <color theme="0" tint="-0.249939993023872"/>
      </bottom>
    </border>
    <border>
      <left/>
      <right style="thin">
        <color theme="0" tint="-0.249939993023872"/>
      </right>
      <top style="thin">
        <color theme="0" tint="-0.249970003962517"/>
      </top>
      <bottom/>
    </border>
    <border>
      <left style="thin">
        <color theme="4"/>
      </left>
      <right/>
      <top/>
      <bottom/>
    </border>
    <border>
      <left/>
      <right style="thin">
        <color theme="7" tint="-0.249939993023872"/>
      </right>
      <top/>
      <bottom/>
    </border>
    <border>
      <left style="thin">
        <color theme="7" tint="-0.249939993023872"/>
      </left>
      <right style="thin">
        <color theme="7" tint="-0.249939993023872"/>
      </right>
      <top/>
      <bottom/>
    </border>
    <border>
      <left style="thin">
        <color theme="7" tint="-0.499969989061356"/>
      </left>
      <right style="thin">
        <color theme="7" tint="-0.499969989061356"/>
      </right>
      <top style="thin">
        <color theme="7" tint="-0.499969989061356"/>
      </top>
      <bottom style="thin">
        <color theme="7" tint="-0.499969989061356"/>
      </bottom>
    </border>
    <border>
      <left/>
      <right/>
      <top/>
      <bottom style="thin">
        <color theme="2" tint="-0.749979972839355"/>
      </bottom>
    </border>
    <border>
      <left style="thin">
        <color rgb="FFD9D9D9"/>
      </left>
      <right style="thin">
        <color rgb="FFD9D9D9"/>
      </right>
      <top style="thin">
        <color rgb="FFD9D9D9"/>
      </top>
      <bottom style="thin">
        <color rgb="FFD9D9D9"/>
      </bottom>
    </border>
    <border>
      <left style="thin">
        <color theme="0" tint="-0.149959996342659"/>
      </left>
      <right/>
      <top style="thin">
        <color theme="0" tint="-0.149959996342659"/>
      </top>
      <bottom/>
    </border>
    <border>
      <left/>
      <right/>
      <top style="thin">
        <color rgb="FF000000"/>
      </top>
      <bottom/>
    </border>
    <border>
      <left style="thin">
        <color theme="0" tint="-0.249970003962517"/>
      </left>
      <right/>
      <top style="thin">
        <color theme="0" tint="-0.249970003962517"/>
      </top>
      <bottom style="thin">
        <color theme="0" tint="-0.249939993023872"/>
      </bottom>
    </border>
    <border>
      <left/>
      <right style="thin">
        <color theme="0" tint="-0.249970003962517"/>
      </right>
      <top style="thin">
        <color theme="0" tint="-0.249970003962517"/>
      </top>
      <bottom style="thin">
        <color theme="0" tint="-0.249939993023872"/>
      </bottom>
    </border>
    <border>
      <left style="thin">
        <color theme="0" tint="-0.249939993023872"/>
      </left>
      <right style="thin">
        <color theme="0" tint="-0.249939993023872"/>
      </right>
      <top style="thin">
        <color theme="0" tint="-0.249970003962517"/>
      </top>
      <bottom style="thin">
        <color theme="0" tint="-0.249939993023872"/>
      </bottom>
    </border>
    <border>
      <left style="thin">
        <color theme="0" tint="-0.249970003962517"/>
      </left>
      <right style="thin">
        <color theme="0" tint="-0.249970003962517"/>
      </right>
      <top style="thin">
        <color theme="0" tint="-0.249970003962517"/>
      </top>
      <bottom style="thin">
        <color theme="0" tint="-0.249939993023872"/>
      </bottom>
    </border>
    <border>
      <left style="thin">
        <color theme="0" tint="-0.249970003962517"/>
      </left>
      <right/>
      <top style="thin">
        <color theme="0" tint="-0.249939993023872"/>
      </top>
      <bottom style="thin">
        <color theme="0" tint="-0.249939993023872"/>
      </bottom>
    </border>
    <border>
      <left style="thin">
        <color theme="0" tint="-0.249970003962517"/>
      </left>
      <right style="thin">
        <color theme="0" tint="-0.249970003962517"/>
      </right>
      <top style="thin">
        <color theme="0" tint="-0.249939993023872"/>
      </top>
      <bottom style="thin">
        <color theme="0" tint="-0.249939993023872"/>
      </bottom>
    </border>
    <border>
      <left style="thin">
        <color theme="0" tint="-0.149959996342659"/>
      </left>
      <right style="thin">
        <color theme="0" tint="-0.249970003962517"/>
      </right>
      <top style="thin">
        <color theme="0" tint="-0.149959996342659"/>
      </top>
      <bottom style="thin">
        <color theme="0" tint="-0.149959996342659"/>
      </bottom>
    </border>
    <border>
      <left style="thin">
        <color theme="0" tint="-0.149959996342659"/>
      </left>
      <right style="thin">
        <color theme="0" tint="-0.249970003962517"/>
      </right>
      <top style="thin">
        <color theme="0" tint="-0.249970003962517"/>
      </top>
      <bottom style="thin">
        <color theme="0" tint="-0.149959996342659"/>
      </bottom>
    </border>
    <border>
      <left style="thin">
        <color theme="0" tint="-0.149990007281303"/>
      </left>
      <right style="thin">
        <color theme="0" tint="-0.249970003962517"/>
      </right>
      <top style="dashDot">
        <color rgb="FFC00000"/>
      </top>
      <bottom style="thin">
        <color theme="0" tint="-0.249970003962517"/>
      </bottom>
    </border>
    <border>
      <left style="thin">
        <color theme="0" tint="-0.249970003962517"/>
      </left>
      <right style="thin">
        <color theme="0" tint="-0.249970003962517"/>
      </right>
      <top style="dashDot">
        <color rgb="FFC00000"/>
      </top>
      <bottom style="thin">
        <color theme="0" tint="-0.249970003962517"/>
      </bottom>
    </border>
    <border>
      <left style="thin">
        <color auto="1"/>
      </left>
      <right/>
      <top/>
      <bottom/>
    </border>
    <border>
      <left/>
      <right/>
      <top style="thin">
        <color theme="0" tint="-0.149990007281303"/>
      </top>
      <bottom/>
    </border>
    <border>
      <left/>
      <right/>
      <top style="thin">
        <color theme="2" tint="-0.499969989061356"/>
      </top>
      <bottom/>
    </border>
    <border>
      <left style="thin">
        <color theme="0" tint="-0.349979996681213"/>
      </left>
      <right style="thin">
        <color theme="0" tint="-0.349979996681213"/>
      </right>
      <top style="thin">
        <color theme="0" tint="-0.249970003962517"/>
      </top>
      <bottom/>
    </border>
    <border>
      <left/>
      <right/>
      <top style="thin">
        <color theme="2" tint="-0.749979972839355"/>
      </top>
      <bottom/>
    </border>
    <border>
      <left style="thin">
        <color theme="0" tint="-0.249970003962517"/>
      </left>
      <right style="thin">
        <color theme="0" tint="-0.149930000305176"/>
      </right>
      <top/>
      <bottom/>
    </border>
    <border>
      <left style="thin">
        <color theme="0" tint="-0.149930000305176"/>
      </left>
      <right style="thin">
        <color theme="0" tint="-0.149959996342659"/>
      </right>
      <top style="thin">
        <color theme="0" tint="-0.149959996342659"/>
      </top>
      <bottom style="thin">
        <color theme="0" tint="-0.149959996342659"/>
      </bottom>
    </border>
    <border>
      <left style="thin">
        <color theme="0" tint="-0.249970003962517"/>
      </left>
      <right style="thin">
        <color theme="0" tint="-0.149959996342659"/>
      </right>
      <top/>
      <bottom/>
    </border>
    <border>
      <left/>
      <right style="thin">
        <color theme="0" tint="-0.149959996342659"/>
      </right>
      <top style="thin">
        <color theme="0" tint="-0.149959996342659"/>
      </top>
      <bottom style="thin">
        <color theme="0" tint="-0.249970003962517"/>
      </bottom>
    </border>
    <border>
      <left/>
      <right style="thin">
        <color theme="0" tint="-0.149959996342659"/>
      </right>
      <top/>
      <bottom/>
    </border>
    <border>
      <left style="thin">
        <color theme="0" tint="-0.149959996342659"/>
      </left>
      <right/>
      <top/>
      <bottom/>
    </border>
    <border>
      <left style="thin">
        <color theme="0" tint="-0.149959996342659"/>
      </left>
      <right style="thin">
        <color theme="0" tint="-0.149959996342659"/>
      </right>
      <top style="thin">
        <color theme="0" tint="-0.149959996342659"/>
      </top>
      <bottom style="thin">
        <color theme="0" tint="-0.249939993023872"/>
      </bottom>
    </border>
    <border>
      <left style="thin">
        <color theme="0" tint="-0.149959996342659"/>
      </left>
      <right style="thin">
        <color theme="0" tint="-0.249970003962517"/>
      </right>
      <top style="thin">
        <color theme="0" tint="-0.149959996342659"/>
      </top>
      <bottom/>
    </border>
  </borders>
  <cellStyleXfs count="66">
    <xf numFmtId="0" fontId="4" fillId="0" borderId="0" applyNumberFormat="0" applyFill="0" applyBorder="0">
      <alignment horizontal="left" vertical="center"/>
      <protection/>
    </xf>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3" fillId="0" borderId="0" applyFont="0" applyFill="0" applyBorder="0" applyAlignment="0" applyProtection="0">
      <alignment/>
    </xf>
    <xf numFmtId="41" fontId="1" fillId="0" borderId="0" applyFont="0" applyFill="0" applyBorder="0" applyAlignment="0" applyProtection="0"/>
    <xf numFmtId="208" fontId="3" fillId="0" borderId="0" applyFont="0" applyFill="0" applyBorder="0" applyAlignment="0" applyProtection="0">
      <alignment/>
    </xf>
    <xf numFmtId="0" fontId="85" fillId="0" borderId="0" applyNumberFormat="0" applyFont="0" applyFill="0" applyBorder="0" applyProtection="0">
      <alignment horizontal="center" vertical="center" shrinkToFit="1"/>
    </xf>
    <xf numFmtId="0" fontId="4" fillId="2" borderId="1" applyNumberFormat="0" applyAlignment="0">
      <alignment/>
      <protection/>
    </xf>
    <xf numFmtId="0" fontId="4" fillId="3" borderId="0" applyNumberFormat="0" applyFont="0" applyAlignment="0">
      <alignment/>
      <protection/>
    </xf>
    <xf numFmtId="179" fontId="4" fillId="3" borderId="0">
      <alignment horizontal="center"/>
      <protection/>
    </xf>
    <xf numFmtId="175" fontId="4" fillId="2" borderId="1">
      <alignment horizontal="right"/>
      <protection locked="0"/>
    </xf>
    <xf numFmtId="0" fontId="78" fillId="0" borderId="0" applyNumberFormat="0" applyFill="0" applyBorder="0" applyAlignment="0" applyProtection="0">
      <alignment/>
    </xf>
    <xf numFmtId="0" fontId="70" fillId="0" borderId="0">
      <alignment horizontal="left" vertical="center" indent="1"/>
      <protection/>
    </xf>
    <xf numFmtId="0" fontId="69" fillId="2" borderId="0" applyNumberFormat="0" applyFill="0">
      <alignment horizontal="left" vertical="center"/>
      <protection/>
    </xf>
    <xf numFmtId="0" fontId="81" fillId="0" borderId="2" applyNumberFormat="0" applyFill="0" applyBorder="0">
      <alignment vertical="center"/>
      <protection/>
    </xf>
    <xf numFmtId="0" fontId="84" fillId="4" borderId="3" applyNumberFormat="0">
      <alignment horizontal="left" vertical="center" indent="2"/>
      <protection/>
    </xf>
    <xf numFmtId="0" fontId="73" fillId="0" borderId="2" applyNumberFormat="0" applyFill="0" applyProtection="0">
      <alignment horizontal="left" vertical="center"/>
    </xf>
    <xf numFmtId="0" fontId="4" fillId="2" borderId="1" applyNumberFormat="0">
      <alignment horizontal="center" vertical="center"/>
      <protection locked="0"/>
    </xf>
    <xf numFmtId="0" fontId="9" fillId="0" borderId="0" applyNumberFormat="0" applyFill="0" applyProtection="0">
      <alignment horizontal="left" vertical="center"/>
    </xf>
    <xf numFmtId="0" fontId="50" fillId="5" borderId="0" applyNumberFormat="0" applyBorder="0" applyProtection="0">
      <alignment horizontal="center" vertical="center"/>
    </xf>
    <xf numFmtId="182" fontId="4" fillId="0" borderId="0" applyFont="0" applyFill="0" applyBorder="0" applyAlignment="0" applyProtection="0">
      <alignment/>
    </xf>
    <xf numFmtId="0" fontId="0" fillId="2" borderId="1" applyNumberFormat="0" applyFont="0" applyAlignment="0">
      <alignment/>
      <protection locked="0"/>
    </xf>
    <xf numFmtId="0" fontId="4" fillId="3" borderId="0" applyNumberFormat="0" applyFont="0" applyAlignment="0">
      <alignment/>
      <protection/>
    </xf>
    <xf numFmtId="17" fontId="29" fillId="0" borderId="0" applyFont="0" applyFill="0" applyBorder="0" applyProtection="0">
      <alignment horizontal="center" vertical="center"/>
    </xf>
    <xf numFmtId="183" fontId="3" fillId="0" borderId="0" applyFont="0" applyFill="0" applyBorder="0" applyAlignment="0" applyProtection="0">
      <alignment/>
    </xf>
    <xf numFmtId="0" fontId="4" fillId="3" borderId="4" applyNumberFormat="0" applyFont="0" applyFill="0" applyAlignment="0" applyProtection="0">
      <alignment/>
    </xf>
    <xf numFmtId="0" fontId="51" fillId="3" borderId="5" applyNumberFormat="0" applyFont="0" applyFill="0" applyAlignment="0" applyProtection="0">
      <alignment/>
    </xf>
    <xf numFmtId="0" fontId="13" fillId="6" borderId="6">
      <alignment horizontal="left" vertical="center" wrapText="1"/>
      <protection/>
    </xf>
    <xf numFmtId="0" fontId="4" fillId="7" borderId="7">
      <alignment horizontal="left" vertical="center" wrapText="1" shrinkToFit="1"/>
      <protection/>
    </xf>
    <xf numFmtId="181" fontId="26" fillId="2" borderId="1">
      <alignment horizontal="left" vertical="top" readingOrder="1"/>
      <protection locked="0"/>
    </xf>
    <xf numFmtId="0" fontId="76" fillId="0" borderId="0" applyNumberFormat="0" applyFill="0" applyBorder="0" applyAlignment="0" applyProtection="0">
      <alignment/>
    </xf>
    <xf numFmtId="0" fontId="65" fillId="8" borderId="0" applyAlignment="0">
      <alignment/>
      <protection/>
    </xf>
    <xf numFmtId="0" fontId="63" fillId="3" borderId="8">
      <alignment horizontal="left" vertical="center"/>
      <protection/>
    </xf>
    <xf numFmtId="0" fontId="79" fillId="8" borderId="9" applyFont="0" applyAlignment="0">
      <alignment/>
      <protection/>
    </xf>
    <xf numFmtId="0" fontId="80" fillId="0" borderId="10" applyNumberFormat="0" applyFill="0" applyAlignment="0" applyProtection="0">
      <alignment/>
    </xf>
    <xf numFmtId="0" fontId="82" fillId="0" borderId="11" applyNumberFormat="0" applyFill="0" applyAlignment="0" applyProtection="0">
      <alignment/>
    </xf>
    <xf numFmtId="0" fontId="83" fillId="3" borderId="2" applyBorder="0">
      <alignment vertical="center"/>
      <protection/>
    </xf>
    <xf numFmtId="0" fontId="76" fillId="0" borderId="12" applyNumberFormat="0" applyFill="0" applyAlignment="0" applyProtection="0">
      <alignment/>
    </xf>
    <xf numFmtId="0" fontId="86" fillId="9" borderId="13" applyNumberFormat="0" applyAlignment="0" applyProtection="0">
      <alignment/>
    </xf>
    <xf numFmtId="0" fontId="3" fillId="0" borderId="0">
      <alignment/>
      <protection/>
    </xf>
    <xf numFmtId="184" fontId="11" fillId="0" borderId="0" applyFont="0" applyFill="0" applyBorder="0" applyProtection="0">
      <alignment horizontal="left" vertical="center" indent="2"/>
    </xf>
    <xf numFmtId="0" fontId="34" fillId="3" borderId="0" applyNumberFormat="0" applyFont="0" applyBorder="0" applyAlignment="0">
      <alignment/>
      <protection hidden="1" locked="0"/>
    </xf>
    <xf numFmtId="206" fontId="87" fillId="3" borderId="0" applyFont="0" applyFill="0" applyBorder="0" applyAlignment="0" applyProtection="0">
      <alignment/>
    </xf>
    <xf numFmtId="0" fontId="4" fillId="7" borderId="14" applyNumberFormat="0" applyFont="0" applyFill="0" applyAlignment="0" applyProtection="0">
      <alignment/>
    </xf>
    <xf numFmtId="0" fontId="238" fillId="0" borderId="15" applyNumberFormat="0" applyFill="0" applyAlignment="0" applyProtection="0">
      <alignment/>
    </xf>
    <xf numFmtId="0" fontId="9" fillId="0" borderId="2" applyNumberFormat="0" applyFont="0" applyFill="0" applyAlignment="0" applyProtection="0">
      <alignment/>
    </xf>
    <xf numFmtId="0" fontId="88" fillId="3" borderId="2" applyNumberFormat="0" applyBorder="0" applyAlignment="0">
      <alignment/>
      <protection/>
    </xf>
    <xf numFmtId="205" fontId="89" fillId="3" borderId="16" applyFont="0" applyFill="0" applyBorder="0" applyAlignment="0">
      <alignment/>
      <protection/>
    </xf>
    <xf numFmtId="201" fontId="87" fillId="3" borderId="0" applyFont="0" applyFill="0" applyBorder="0" applyAlignment="0" applyProtection="0">
      <alignment/>
    </xf>
    <xf numFmtId="0" fontId="10" fillId="10" borderId="0" applyNumberFormat="0" applyFont="0" applyBorder="0" applyAlignment="0">
      <alignment/>
      <protection locked="0"/>
    </xf>
    <xf numFmtId="0" fontId="4" fillId="11" borderId="0" applyNumberFormat="0" applyFont="0" applyBorder="0" applyAlignment="0">
      <alignment/>
      <protection/>
    </xf>
    <xf numFmtId="207" fontId="89" fillId="3" borderId="16" applyFont="0" applyFill="0" applyBorder="0" applyAlignment="0">
      <alignment/>
      <protection/>
    </xf>
    <xf numFmtId="43" fontId="3" fillId="0" borderId="0" applyFont="0" applyFill="0" applyBorder="0" applyAlignment="0" applyProtection="0">
      <alignment/>
    </xf>
    <xf numFmtId="0" fontId="34" fillId="2" borderId="17" applyNumberFormat="0" applyFont="0" applyFill="0" applyBorder="0" applyAlignment="0">
      <alignment/>
      <protection/>
    </xf>
    <xf numFmtId="0" fontId="34" fillId="2" borderId="18" applyNumberFormat="0" applyFont="0" applyFill="0" applyBorder="0" applyAlignment="0">
      <alignment/>
      <protection locked="0"/>
    </xf>
    <xf numFmtId="197" fontId="4" fillId="3" borderId="0" applyFont="0" applyFill="0" applyBorder="0" applyAlignment="0" applyProtection="0">
      <alignment/>
    </xf>
    <xf numFmtId="211" fontId="53" fillId="12" borderId="0" applyFont="0" applyFill="0" applyBorder="0" applyAlignment="0" applyProtection="0">
      <alignment/>
    </xf>
    <xf numFmtId="0" fontId="65" fillId="13" borderId="19" applyAlignment="0">
      <alignment/>
      <protection/>
    </xf>
    <xf numFmtId="0" fontId="46" fillId="14" borderId="20" applyNumberFormat="0" applyFont="0" applyBorder="0" applyAlignment="0">
      <alignment/>
      <protection/>
    </xf>
    <xf numFmtId="0" fontId="64" fillId="15" borderId="21" applyNumberFormat="0" applyFont="0" applyBorder="0" applyAlignment="0">
      <alignment/>
      <protection/>
    </xf>
    <xf numFmtId="0" fontId="9" fillId="16" borderId="22" applyNumberFormat="0" applyFont="0" applyBorder="0" applyAlignment="0">
      <alignment/>
      <protection/>
    </xf>
    <xf numFmtId="0" fontId="23" fillId="17" borderId="23" applyNumberFormat="0" applyFont="0" applyBorder="0" applyAlignment="0" applyProtection="0">
      <alignment/>
    </xf>
    <xf numFmtId="209" fontId="87" fillId="3" borderId="0" applyFont="0" applyFill="0" applyBorder="0" applyAlignment="0" applyProtection="0">
      <alignment/>
    </xf>
    <xf numFmtId="213" fontId="29" fillId="0" borderId="0" applyFont="0" applyFill="0" applyBorder="0" applyProtection="0">
      <alignment horizontal="center" vertical="center"/>
    </xf>
    <xf numFmtId="0" fontId="4" fillId="18" borderId="0" applyFont="0" applyBorder="0" applyAlignment="0">
      <alignment/>
      <protection/>
    </xf>
  </cellStyleXfs>
  <cellXfs count="3480">
    <xf numFmtId="0" fontId="4" fillId="0" borderId="0" xfId="0">
      <alignment horizontal="left" vertical="center"/>
    </xf>
    <xf numFmtId="0" fontId="238" fillId="0" borderId="0" xfId="0" applyFont="1">
      <alignment horizontal="left" vertical="center"/>
    </xf>
    <xf numFmtId="0" fontId="4" fillId="2" borderId="0" xfId="0" applyFill="1">
      <alignment horizontal="left" vertical="center"/>
    </xf>
    <xf numFmtId="0" fontId="4" fillId="3" borderId="0" xfId="0" applyFill="1">
      <alignment horizontal="left" vertical="center"/>
    </xf>
    <xf numFmtId="14" fontId="4" fillId="0" borderId="0" xfId="0" applyNumberFormat="1">
      <alignment horizontal="left" vertical="center"/>
    </xf>
    <xf numFmtId="0" fontId="6" fillId="2" borderId="0" xfId="0" applyFont="1" applyFill="1">
      <alignment horizontal="left" vertical="center"/>
    </xf>
    <xf numFmtId="171" fontId="4" fillId="0" borderId="0" xfId="4" applyNumberFormat="1" applyFont="1">
      <alignment/>
    </xf>
    <xf numFmtId="171" fontId="4" fillId="0" borderId="0" xfId="4" applyNumberFormat="1" applyFont="1" applyFill="1">
      <alignment/>
    </xf>
    <xf numFmtId="0" fontId="4" fillId="2" borderId="0" xfId="0" applyFill="1" applyAlignment="1">
      <alignment horizontal="left" vertical="center" wrapText="1"/>
    </xf>
    <xf numFmtId="0" fontId="45" fillId="0" borderId="0" xfId="0" applyFont="1">
      <alignment horizontal="left" vertical="center"/>
    </xf>
    <xf numFmtId="0" fontId="2" fillId="0" borderId="0" xfId="0" applyFont="1">
      <alignment horizontal="left" vertical="center"/>
    </xf>
    <xf numFmtId="0" fontId="4" fillId="0" borderId="0" xfId="0" applyAlignment="1">
      <alignment horizontal="left" vertical="top"/>
    </xf>
    <xf numFmtId="171" fontId="4" fillId="0" borderId="0" xfId="4" applyNumberFormat="1" applyFont="1" applyFill="1" applyAlignment="1">
      <alignment horizontal="center"/>
    </xf>
    <xf numFmtId="0" fontId="4" fillId="3" borderId="23" xfId="0" applyFill="1" applyBorder="1">
      <alignment horizontal="left" vertical="center"/>
    </xf>
    <xf numFmtId="0" fontId="4" fillId="2" borderId="24" xfId="0" applyFill="1" applyBorder="1">
      <alignment horizontal="left" vertical="center"/>
    </xf>
    <xf numFmtId="0" fontId="4" fillId="2" borderId="25" xfId="0" applyFill="1" applyBorder="1">
      <alignment horizontal="left" vertical="center"/>
    </xf>
    <xf numFmtId="0" fontId="4" fillId="2" borderId="22" xfId="0" applyFill="1" applyBorder="1">
      <alignment horizontal="left" vertical="center"/>
    </xf>
    <xf numFmtId="0" fontId="4" fillId="2" borderId="26" xfId="0" applyFill="1" applyBorder="1">
      <alignment horizontal="left" vertical="center"/>
    </xf>
    <xf numFmtId="0" fontId="4" fillId="2" borderId="23" xfId="0" applyFill="1" applyBorder="1">
      <alignment horizontal="left" vertical="center"/>
    </xf>
    <xf numFmtId="0" fontId="4" fillId="3" borderId="25" xfId="0" applyFill="1" applyBorder="1">
      <alignment horizontal="left" vertical="center"/>
    </xf>
    <xf numFmtId="0" fontId="4" fillId="12" borderId="22" xfId="0" applyFill="1" applyBorder="1">
      <alignment horizontal="left" vertical="center"/>
    </xf>
    <xf numFmtId="0" fontId="22" fillId="3" borderId="0" xfId="0" applyFont="1" applyFill="1" applyAlignment="1">
      <alignment vertical="top" wrapText="1"/>
    </xf>
    <xf numFmtId="171" fontId="4" fillId="2" borderId="0" xfId="4" applyNumberFormat="1" applyFont="1" applyFill="1" applyBorder="1">
      <alignment/>
    </xf>
    <xf numFmtId="0" fontId="69" fillId="12" borderId="0" xfId="14" applyFill="1">
      <alignment horizontal="left" vertical="center"/>
      <protection/>
    </xf>
    <xf numFmtId="0" fontId="69" fillId="3" borderId="0" xfId="14" applyFill="1">
      <alignment horizontal="left" vertical="center"/>
      <protection/>
    </xf>
    <xf numFmtId="0" fontId="70" fillId="3" borderId="0" xfId="13" applyFill="1" applyAlignment="1">
      <alignment horizontal="left" vertical="center"/>
      <protection/>
    </xf>
    <xf numFmtId="17" fontId="54" fillId="12" borderId="0" xfId="24" applyFont="1" applyFill="1" applyBorder="1">
      <alignment horizontal="center" vertical="center"/>
    </xf>
    <xf numFmtId="0" fontId="24" fillId="12" borderId="22" xfId="0" applyFont="1" applyFill="1" applyBorder="1" applyAlignment="1" quotePrefix="1">
      <alignment horizontal="center"/>
    </xf>
    <xf numFmtId="17" fontId="54" fillId="12" borderId="27" xfId="24" applyFont="1" applyFill="1" applyBorder="1">
      <alignment horizontal="center" vertical="center"/>
    </xf>
    <xf numFmtId="0" fontId="56" fillId="12" borderId="26" xfId="0" applyFont="1" applyFill="1" applyBorder="1" applyAlignment="1">
      <alignment horizontal="center"/>
    </xf>
    <xf numFmtId="0" fontId="60" fillId="19" borderId="0" xfId="0" applyFont="1" applyFill="1" applyAlignment="1">
      <alignment horizontal="center"/>
    </xf>
    <xf numFmtId="0" fontId="4" fillId="0" borderId="0" xfId="0" applyAlignment="1">
      <alignment horizontal="left" vertical="center" shrinkToFit="1"/>
    </xf>
    <xf numFmtId="0" fontId="60" fillId="19" borderId="0" xfId="0" applyFont="1" applyFill="1" applyAlignment="1">
      <alignment horizontal="center" shrinkToFit="1"/>
    </xf>
    <xf numFmtId="0" fontId="4" fillId="3" borderId="22" xfId="0" applyFill="1" applyBorder="1">
      <alignment horizontal="left" vertical="center"/>
    </xf>
    <xf numFmtId="0" fontId="4" fillId="3" borderId="27" xfId="0" applyFill="1" applyBorder="1">
      <alignment horizontal="left" vertical="center"/>
    </xf>
    <xf numFmtId="0" fontId="46" fillId="3" borderId="16" xfId="0" applyFont="1" applyFill="1" applyBorder="1" applyAlignment="1">
      <alignment horizontal="center" vertical="center"/>
    </xf>
    <xf numFmtId="0" fontId="4" fillId="2" borderId="28" xfId="0" applyFill="1" applyBorder="1">
      <alignment horizontal="left" vertical="center"/>
    </xf>
    <xf numFmtId="0" fontId="4" fillId="0" borderId="0" xfId="0" applyAlignment="1">
      <alignment horizontal="center" vertical="center"/>
    </xf>
    <xf numFmtId="0" fontId="4" fillId="2" borderId="29" xfId="0" applyFill="1" applyBorder="1">
      <alignment horizontal="left" vertical="center"/>
    </xf>
    <xf numFmtId="0" fontId="4" fillId="2" borderId="27" xfId="0" applyFill="1" applyBorder="1">
      <alignment horizontal="left" vertical="center"/>
    </xf>
    <xf numFmtId="0" fontId="4" fillId="3" borderId="26" xfId="0" applyFill="1" applyBorder="1">
      <alignment horizontal="left" vertical="center"/>
    </xf>
    <xf numFmtId="0" fontId="4" fillId="3" borderId="28" xfId="0" applyFill="1" applyBorder="1">
      <alignment horizontal="left" vertical="center"/>
    </xf>
    <xf numFmtId="164" fontId="46" fillId="3" borderId="16" xfId="0" applyNumberFormat="1" applyFont="1" applyFill="1" applyBorder="1" applyAlignment="1" applyProtection="1">
      <alignment horizontal="center" vertical="center"/>
      <protection locked="0"/>
    </xf>
    <xf numFmtId="173" fontId="34" fillId="20" borderId="17" xfId="0" applyNumberFormat="1" applyFont="1" applyFill="1" applyBorder="1" applyAlignment="1">
      <alignment horizontal="center"/>
    </xf>
    <xf numFmtId="0" fontId="4" fillId="0" borderId="20" xfId="0" applyBorder="1">
      <alignment horizontal="left" vertical="center"/>
    </xf>
    <xf numFmtId="0" fontId="4" fillId="0" borderId="0" xfId="0" applyFont="1" applyFill="1">
      <alignment horizontal="left" vertical="center"/>
    </xf>
    <xf numFmtId="17" fontId="54" fillId="12" borderId="27" xfId="0" applyNumberFormat="1" applyFont="1" applyFill="1" applyBorder="1" applyAlignment="1">
      <alignment horizontal="center" vertical="center"/>
    </xf>
    <xf numFmtId="0" fontId="4" fillId="0" borderId="28" xfId="0" applyBorder="1">
      <alignment horizontal="left" vertical="center"/>
    </xf>
    <xf numFmtId="176" fontId="12" fillId="3" borderId="22" xfId="0" applyNumberFormat="1" applyFont="1" applyFill="1" applyBorder="1" applyAlignment="1">
      <alignment horizontal="center"/>
    </xf>
    <xf numFmtId="176" fontId="22" fillId="3" borderId="27" xfId="0" applyNumberFormat="1" applyFont="1" applyFill="1" applyBorder="1" applyAlignment="1">
      <alignment horizontal="center"/>
    </xf>
    <xf numFmtId="0" fontId="46" fillId="3" borderId="22" xfId="0" applyFont="1" applyFill="1" applyBorder="1" applyAlignment="1">
      <alignment horizontal="center"/>
    </xf>
    <xf numFmtId="0" fontId="4" fillId="21" borderId="0" xfId="0" applyFill="1">
      <alignment horizontal="left" vertical="center"/>
    </xf>
    <xf numFmtId="0" fontId="4" fillId="2" borderId="30" xfId="0" applyFill="1" applyBorder="1">
      <alignment horizontal="left" vertical="center"/>
    </xf>
    <xf numFmtId="0" fontId="63" fillId="3" borderId="31" xfId="0" applyFont="1" applyFill="1" applyBorder="1" applyAlignment="1">
      <alignment shrinkToFit="1"/>
    </xf>
    <xf numFmtId="0" fontId="63" fillId="3" borderId="32" xfId="0" applyFont="1" applyFill="1" applyBorder="1" applyAlignment="1">
      <alignment shrinkToFit="1"/>
    </xf>
    <xf numFmtId="0" fontId="63" fillId="3" borderId="33" xfId="0" applyFont="1" applyFill="1" applyBorder="1" applyAlignment="1">
      <alignment shrinkToFit="1"/>
    </xf>
    <xf numFmtId="0" fontId="4" fillId="3" borderId="22" xfId="0" applyFont="1" applyFill="1" applyBorder="1">
      <alignment horizontal="left" vertical="center"/>
    </xf>
    <xf numFmtId="0" fontId="46" fillId="3" borderId="22" xfId="0" applyFont="1" applyFill="1" applyBorder="1" applyAlignment="1">
      <alignment/>
    </xf>
    <xf numFmtId="0" fontId="34" fillId="3" borderId="22" xfId="0" applyFont="1" applyFill="1" applyBorder="1" applyAlignment="1">
      <alignment horizontal="center"/>
    </xf>
    <xf numFmtId="0" fontId="14" fillId="22" borderId="0" xfId="0" applyFont="1" applyFill="1">
      <alignment horizontal="left" vertical="center"/>
    </xf>
    <xf numFmtId="0" fontId="14" fillId="22" borderId="0" xfId="0" applyFont="1" applyFill="1" applyAlignment="1">
      <alignment vertical="top"/>
    </xf>
    <xf numFmtId="171" fontId="14" fillId="22" borderId="0" xfId="4" applyNumberFormat="1" applyFont="1" applyFill="1" applyAlignment="1">
      <alignment horizontal="left" vertical="center"/>
    </xf>
    <xf numFmtId="1" fontId="54" fillId="12" borderId="34" xfId="4" applyNumberFormat="1" applyFont="1" applyFill="1" applyBorder="1" applyAlignment="1">
      <alignment horizontal="center" vertical="center"/>
    </xf>
    <xf numFmtId="1" fontId="54" fillId="12" borderId="0" xfId="4" applyNumberFormat="1" applyFont="1" applyFill="1" applyBorder="1" applyAlignment="1">
      <alignment horizontal="center" vertical="center"/>
    </xf>
    <xf numFmtId="1" fontId="54" fillId="12" borderId="27" xfId="4" applyNumberFormat="1" applyFont="1" applyFill="1" applyBorder="1" applyAlignment="1">
      <alignment horizontal="center" vertical="center"/>
    </xf>
    <xf numFmtId="173" fontId="12" fillId="22" borderId="0" xfId="0" applyNumberFormat="1" applyFont="1" applyFill="1" applyAlignment="1">
      <alignment horizontal="center" vertical="top" readingOrder="1"/>
    </xf>
    <xf numFmtId="0" fontId="14" fillId="22" borderId="0" xfId="0" applyFont="1" applyFill="1" applyAlignment="1">
      <alignment horizontal="center" vertical="top"/>
    </xf>
    <xf numFmtId="208" fontId="14" fillId="22" borderId="0" xfId="6" applyFont="1" applyFill="1" applyBorder="1" applyAlignment="1" applyProtection="1">
      <alignment horizontal="center" vertical="top" readingOrder="1"/>
      <protection/>
    </xf>
    <xf numFmtId="0" fontId="4" fillId="2" borderId="24" xfId="0" applyFont="1" applyFill="1" applyBorder="1">
      <alignment horizontal="left" vertical="center"/>
    </xf>
    <xf numFmtId="0" fontId="16" fillId="2" borderId="25" xfId="0" applyFont="1" applyFill="1" applyBorder="1" applyAlignment="1">
      <alignment horizontal="right"/>
    </xf>
    <xf numFmtId="0" fontId="4" fillId="2" borderId="25" xfId="0" applyFont="1" applyFill="1" applyBorder="1" applyAlignment="1">
      <alignment wrapText="1"/>
    </xf>
    <xf numFmtId="0" fontId="4" fillId="2" borderId="25" xfId="0" applyFont="1" applyFill="1" applyBorder="1" applyAlignment="1">
      <alignment horizontal="left"/>
    </xf>
    <xf numFmtId="0" fontId="4" fillId="2" borderId="22" xfId="0" applyFont="1" applyFill="1" applyBorder="1">
      <alignment horizontal="left" vertical="center"/>
    </xf>
    <xf numFmtId="0" fontId="4" fillId="2" borderId="26" xfId="0" applyFont="1" applyFill="1" applyBorder="1">
      <alignment horizontal="left" vertical="center"/>
    </xf>
    <xf numFmtId="0" fontId="16" fillId="2" borderId="23" xfId="0" applyFont="1" applyFill="1" applyBorder="1" applyAlignment="1">
      <alignment horizontal="right"/>
    </xf>
    <xf numFmtId="0" fontId="25" fillId="2" borderId="23" xfId="0" applyFont="1" applyFill="1" applyBorder="1" applyAlignment="1">
      <alignment wrapText="1"/>
    </xf>
    <xf numFmtId="0" fontId="4" fillId="2" borderId="23" xfId="0" applyFont="1" applyFill="1" applyBorder="1" applyAlignment="1">
      <alignment horizontal="left"/>
    </xf>
    <xf numFmtId="0" fontId="4" fillId="22" borderId="0" xfId="0" applyFill="1">
      <alignment horizontal="left" vertical="center"/>
    </xf>
    <xf numFmtId="0" fontId="4" fillId="2" borderId="25" xfId="0" applyFont="1" applyFill="1" applyBorder="1">
      <alignment horizontal="left" vertical="center"/>
    </xf>
    <xf numFmtId="0" fontId="25" fillId="2" borderId="23" xfId="0" applyFont="1" applyFill="1" applyBorder="1">
      <alignment horizontal="left" vertical="center"/>
    </xf>
    <xf numFmtId="0" fontId="55" fillId="19" borderId="0" xfId="0" applyFont="1" applyFill="1">
      <alignment horizontal="left" vertical="center"/>
    </xf>
    <xf numFmtId="0" fontId="45" fillId="22" borderId="0" xfId="0" applyFont="1" applyFill="1">
      <alignment horizontal="left" vertical="center"/>
    </xf>
    <xf numFmtId="0" fontId="12" fillId="22" borderId="0" xfId="0" applyFont="1" applyFill="1" applyAlignment="1">
      <alignment horizontal="center" vertical="top"/>
    </xf>
    <xf numFmtId="208" fontId="14" fillId="22" borderId="0" xfId="6" applyFont="1" applyFill="1" applyAlignment="1" applyProtection="1">
      <alignment horizontal="center" vertical="top" readingOrder="1"/>
      <protection locked="0"/>
    </xf>
    <xf numFmtId="0" fontId="16" fillId="2" borderId="28" xfId="0" applyFont="1" applyFill="1" applyBorder="1">
      <alignment horizontal="left" vertical="center"/>
    </xf>
    <xf numFmtId="0" fontId="4" fillId="3" borderId="35" xfId="0" applyFill="1" applyBorder="1">
      <alignment horizontal="left" vertical="center"/>
    </xf>
    <xf numFmtId="179" fontId="34" fillId="3" borderId="0" xfId="18" applyNumberFormat="1" applyFont="1" applyFill="1" applyBorder="1" applyAlignment="1" quotePrefix="1">
      <alignment horizontal="center" vertical="center" wrapText="1"/>
      <protection locked="0"/>
    </xf>
    <xf numFmtId="0" fontId="4" fillId="3" borderId="36" xfId="0" applyFill="1" applyBorder="1">
      <alignment horizontal="left" vertical="center"/>
    </xf>
    <xf numFmtId="0" fontId="4" fillId="3" borderId="0" xfId="0" applyFill="1" applyBorder="1">
      <alignment horizontal="left" vertical="center"/>
    </xf>
    <xf numFmtId="0" fontId="74" fillId="2" borderId="0" xfId="0" applyFont="1" applyFill="1" applyAlignment="1">
      <alignment horizontal="center" vertical="center"/>
    </xf>
    <xf numFmtId="1" fontId="4" fillId="12" borderId="28" xfId="0" applyNumberFormat="1" applyFill="1" applyBorder="1" applyAlignment="1">
      <alignment horizontal="center" vertical="center"/>
    </xf>
    <xf numFmtId="0" fontId="75" fillId="3" borderId="22" xfId="0" applyFont="1" applyFill="1" applyBorder="1" applyAlignment="1">
      <alignment horizontal="center"/>
    </xf>
    <xf numFmtId="0" fontId="5" fillId="0" borderId="0" xfId="0" applyFont="1" applyAlignment="1">
      <alignment horizontal="left" vertical="top"/>
    </xf>
    <xf numFmtId="164" fontId="46" fillId="2" borderId="0" xfId="0" applyNumberFormat="1" applyFont="1" applyFill="1" applyBorder="1" applyAlignment="1" applyProtection="1">
      <alignment horizontal="center" vertical="center"/>
      <protection locked="0"/>
    </xf>
    <xf numFmtId="0" fontId="70" fillId="2" borderId="22" xfId="13" applyFill="1" applyBorder="1" applyAlignment="1">
      <alignment horizontal="left" vertical="center" shrinkToFit="1"/>
      <protection/>
    </xf>
    <xf numFmtId="0" fontId="63" fillId="3" borderId="0" xfId="0" applyFont="1" applyFill="1" applyBorder="1" applyAlignment="1">
      <alignment horizontal="center" shrinkToFit="1"/>
    </xf>
    <xf numFmtId="0" fontId="63" fillId="3" borderId="0" xfId="0" applyFont="1" applyFill="1" applyBorder="1" applyAlignment="1">
      <alignment horizontal="left" shrinkToFit="1"/>
    </xf>
    <xf numFmtId="0" fontId="34" fillId="3" borderId="0" xfId="0" applyFont="1" applyFill="1" applyBorder="1">
      <alignment horizontal="left" vertical="center"/>
    </xf>
    <xf numFmtId="0" fontId="4" fillId="0" borderId="0" xfId="0" quotePrefix="1">
      <alignment horizontal="left" vertical="center"/>
    </xf>
    <xf numFmtId="0" fontId="16" fillId="0" borderId="0" xfId="0" applyFont="1" quotePrefix="1">
      <alignment horizontal="left" vertical="center"/>
    </xf>
    <xf numFmtId="0" fontId="238" fillId="3" borderId="34" xfId="0" applyFont="1" applyFill="1" applyBorder="1">
      <alignment horizontal="left" vertical="center"/>
    </xf>
    <xf numFmtId="0" fontId="4" fillId="2" borderId="0" xfId="0" applyFill="1" applyBorder="1">
      <alignment horizontal="left" vertical="center"/>
    </xf>
    <xf numFmtId="0" fontId="34" fillId="3" borderId="23" xfId="0" applyFont="1" applyFill="1" applyBorder="1" applyAlignment="1">
      <alignment horizontal="left" vertical="center" wrapText="1" indent="1"/>
    </xf>
    <xf numFmtId="0" fontId="4" fillId="3" borderId="35" xfId="0" applyFill="1" applyBorder="1" applyAlignment="1">
      <alignment horizontal="left" vertical="center" wrapText="1" indent="1"/>
    </xf>
    <xf numFmtId="0" fontId="4" fillId="3" borderId="0" xfId="0" applyFill="1" applyAlignment="1">
      <alignment horizontal="left" vertical="center" wrapText="1" indent="1"/>
    </xf>
    <xf numFmtId="0" fontId="4" fillId="3" borderId="34" xfId="0" applyFill="1" applyBorder="1" applyAlignment="1">
      <alignment horizontal="left" vertical="center" wrapText="1" indent="1"/>
    </xf>
    <xf numFmtId="0" fontId="4" fillId="0" borderId="0" xfId="0" applyAlignment="1">
      <alignment horizontal="left" vertical="center" wrapText="1" indent="1"/>
    </xf>
    <xf numFmtId="0" fontId="16" fillId="2" borderId="23" xfId="0" applyFont="1" applyFill="1" applyBorder="1" applyAlignment="1">
      <alignment horizontal="right" vertical="center" indent="1"/>
    </xf>
    <xf numFmtId="0" fontId="4" fillId="0" borderId="0" xfId="0" applyBorder="1">
      <alignment horizontal="left" vertical="center"/>
    </xf>
    <xf numFmtId="0" fontId="4" fillId="0" borderId="37" xfId="0" applyBorder="1" quotePrefix="1">
      <alignment horizontal="left" vertical="center"/>
    </xf>
    <xf numFmtId="0" fontId="4" fillId="0" borderId="38" xfId="0" applyBorder="1">
      <alignment horizontal="left" vertical="center"/>
    </xf>
    <xf numFmtId="0" fontId="4" fillId="0" borderId="16" xfId="0" applyBorder="1">
      <alignment horizontal="left" vertical="center"/>
    </xf>
    <xf numFmtId="0" fontId="34" fillId="3" borderId="0" xfId="0" applyFont="1" applyFill="1" applyAlignment="1">
      <alignment horizontal="left" vertical="center" wrapText="1" indent="1"/>
    </xf>
    <xf numFmtId="0" fontId="34" fillId="3" borderId="25" xfId="0" applyFont="1" applyFill="1" applyBorder="1" applyAlignment="1">
      <alignment horizontal="left" vertical="center" wrapText="1" indent="1"/>
    </xf>
    <xf numFmtId="0" fontId="34" fillId="3" borderId="34" xfId="0" applyFont="1" applyFill="1" applyBorder="1" applyAlignment="1">
      <alignment horizontal="left" vertical="center" wrapText="1" indent="1"/>
    </xf>
    <xf numFmtId="0" fontId="4" fillId="0" borderId="0" xfId="0" applyFill="1" applyBorder="1">
      <alignment horizontal="left" vertical="center"/>
    </xf>
    <xf numFmtId="0" fontId="238" fillId="0" borderId="23" xfId="0" applyFont="1" applyBorder="1">
      <alignment horizontal="left" vertical="center"/>
    </xf>
    <xf numFmtId="0" fontId="60" fillId="19" borderId="0" xfId="0" applyFont="1" applyFill="1" applyAlignment="1">
      <alignment horizontal="left"/>
    </xf>
    <xf numFmtId="0" fontId="60" fillId="19" borderId="0" xfId="0" applyFont="1" applyFill="1" applyAlignment="1">
      <alignment horizontal="left" shrinkToFit="1"/>
    </xf>
    <xf numFmtId="0" fontId="22" fillId="8" borderId="0" xfId="0" applyFont="1" applyFill="1" applyBorder="1">
      <alignment horizontal="left" vertical="center"/>
    </xf>
    <xf numFmtId="0" fontId="4" fillId="0" borderId="0" xfId="0" applyAlignment="1">
      <alignment horizontal="left" vertical="top" wrapText="1"/>
    </xf>
    <xf numFmtId="0" fontId="238" fillId="0" borderId="0" xfId="0" applyFont="1" applyAlignment="1">
      <alignment horizontal="left" vertical="top"/>
    </xf>
    <xf numFmtId="0" fontId="40" fillId="4" borderId="3" xfId="16" applyFont="1">
      <alignment horizontal="left" vertical="center" indent="2"/>
      <protection/>
    </xf>
    <xf numFmtId="0" fontId="70" fillId="2" borderId="0" xfId="13" applyFill="1" applyAlignment="1">
      <alignment horizontal="center" vertical="center" shrinkToFit="1"/>
      <protection/>
    </xf>
    <xf numFmtId="0" fontId="4" fillId="3" borderId="23" xfId="0" applyFill="1" applyBorder="1" applyAlignment="1">
      <alignment horizontal="center" vertical="center"/>
    </xf>
    <xf numFmtId="0" fontId="4" fillId="3" borderId="20" xfId="0" applyFill="1" applyBorder="1" applyAlignment="1">
      <alignment horizontal="center" vertical="center"/>
    </xf>
    <xf numFmtId="0" fontId="4" fillId="2" borderId="0" xfId="0" applyFill="1" applyBorder="1" applyAlignment="1">
      <alignment horizontal="center" vertical="center"/>
    </xf>
    <xf numFmtId="0" fontId="75" fillId="3" borderId="0" xfId="0" applyFont="1" applyFill="1" applyBorder="1" applyAlignment="1">
      <alignment horizontal="center"/>
    </xf>
    <xf numFmtId="0" fontId="4" fillId="3" borderId="0" xfId="0" applyFill="1" applyBorder="1" applyAlignment="1">
      <alignment horizontal="center" vertical="center"/>
    </xf>
    <xf numFmtId="0" fontId="92" fillId="23" borderId="39" xfId="0" applyFont="1" applyFill="1" applyBorder="1" applyAlignment="1">
      <alignment horizontal="center" vertical="center" readingOrder="1"/>
    </xf>
    <xf numFmtId="0" fontId="92" fillId="23" borderId="40" xfId="0" applyFont="1" applyFill="1" applyBorder="1" applyAlignment="1">
      <alignment horizontal="center" vertical="center" readingOrder="1"/>
    </xf>
    <xf numFmtId="0" fontId="93" fillId="23" borderId="40" xfId="0" applyFont="1" applyFill="1" applyBorder="1" applyAlignment="1">
      <alignment horizontal="center" vertical="center" wrapText="1" readingOrder="1"/>
    </xf>
    <xf numFmtId="0" fontId="93" fillId="23" borderId="41" xfId="0" applyFont="1" applyFill="1" applyBorder="1" applyAlignment="1">
      <alignment horizontal="center" vertical="center" wrapText="1" readingOrder="1"/>
    </xf>
    <xf numFmtId="0" fontId="22" fillId="0" borderId="17" xfId="0" applyFont="1" applyBorder="1" applyAlignment="1">
      <alignment horizontal="left" vertical="center" wrapText="1" readingOrder="1"/>
    </xf>
    <xf numFmtId="0" fontId="26" fillId="0" borderId="17" xfId="0" applyFont="1" applyBorder="1" applyAlignment="1">
      <alignment horizontal="left" vertical="center" wrapText="1" readingOrder="1"/>
    </xf>
    <xf numFmtId="0" fontId="26" fillId="0" borderId="42" xfId="0" applyFont="1" applyBorder="1" applyAlignment="1">
      <alignment horizontal="left" vertical="center" wrapText="1" readingOrder="1"/>
    </xf>
    <xf numFmtId="0" fontId="238" fillId="3" borderId="0" xfId="0" applyFont="1" applyFill="1" applyBorder="1">
      <alignment horizontal="left" vertical="center"/>
    </xf>
    <xf numFmtId="0" fontId="4" fillId="24" borderId="0" xfId="0" applyFill="1" applyBorder="1">
      <alignment horizontal="left" vertical="center"/>
    </xf>
    <xf numFmtId="0" fontId="4" fillId="2" borderId="0" xfId="0" applyFont="1" applyFill="1" applyBorder="1">
      <alignment horizontal="left" vertical="center"/>
    </xf>
    <xf numFmtId="168" fontId="4" fillId="2" borderId="0" xfId="6" applyNumberFormat="1" applyFont="1" applyFill="1" applyBorder="1" applyAlignment="1">
      <alignment horizontal="right" vertical="center"/>
    </xf>
    <xf numFmtId="0" fontId="74" fillId="2" borderId="0" xfId="0" applyFont="1" applyFill="1" applyBorder="1" applyAlignment="1">
      <alignment horizontal="center" vertical="center"/>
    </xf>
    <xf numFmtId="0" fontId="4" fillId="12" borderId="0" xfId="0" applyFont="1" applyFill="1" applyBorder="1">
      <alignment horizontal="left" vertical="center"/>
    </xf>
    <xf numFmtId="0" fontId="37" fillId="2" borderId="24" xfId="0" applyFont="1" applyFill="1" applyBorder="1" applyAlignment="1">
      <alignment horizontal="center" vertical="center"/>
    </xf>
    <xf numFmtId="0" fontId="37" fillId="2" borderId="25" xfId="0" applyFont="1" applyFill="1" applyBorder="1">
      <alignment horizontal="left" vertical="center"/>
    </xf>
    <xf numFmtId="0" fontId="37" fillId="2" borderId="25" xfId="0" applyFont="1" applyFill="1" applyBorder="1" applyAlignment="1">
      <alignment horizontal="center" vertical="center"/>
    </xf>
    <xf numFmtId="14" fontId="10" fillId="2" borderId="0" xfId="0" applyNumberFormat="1" applyFont="1" applyFill="1" applyBorder="1">
      <alignment horizontal="left" vertical="center"/>
    </xf>
    <xf numFmtId="43" fontId="4" fillId="2" borderId="0" xfId="0" applyNumberFormat="1" applyFont="1" applyFill="1" applyBorder="1">
      <alignment horizontal="left" vertical="center"/>
    </xf>
    <xf numFmtId="166" fontId="28" fillId="0" borderId="0" xfId="0" applyNumberFormat="1" applyFont="1" applyBorder="1" applyAlignment="1">
      <alignment horizontal="center" vertical="center" readingOrder="1"/>
    </xf>
    <xf numFmtId="0" fontId="13" fillId="2" borderId="0" xfId="0" applyFont="1" applyFill="1" applyBorder="1">
      <alignment horizontal="left" vertical="center"/>
    </xf>
    <xf numFmtId="0" fontId="4" fillId="2" borderId="26" xfId="0" applyFill="1" applyBorder="1" applyAlignment="1">
      <alignment horizontal="center" vertical="center"/>
    </xf>
    <xf numFmtId="0" fontId="4" fillId="2" borderId="23" xfId="0" applyFill="1" applyBorder="1" applyAlignment="1">
      <alignment horizontal="center" vertical="center"/>
    </xf>
    <xf numFmtId="0" fontId="4" fillId="21" borderId="0" xfId="0" applyFill="1" applyBorder="1">
      <alignment horizontal="left" vertical="center"/>
    </xf>
    <xf numFmtId="14" fontId="28" fillId="2" borderId="25" xfId="0" applyNumberFormat="1" applyFont="1" applyFill="1" applyBorder="1" applyAlignment="1">
      <alignment horizontal="center"/>
    </xf>
    <xf numFmtId="0" fontId="4" fillId="2" borderId="0" xfId="0" applyFill="1" applyBorder="1" applyAlignment="1">
      <alignment vertical="center"/>
    </xf>
    <xf numFmtId="14" fontId="28" fillId="2" borderId="0" xfId="0" applyNumberFormat="1" applyFont="1" applyFill="1" applyBorder="1">
      <alignment horizontal="left" vertical="center"/>
    </xf>
    <xf numFmtId="0" fontId="95" fillId="3" borderId="0" xfId="0" applyFont="1" applyFill="1" applyBorder="1">
      <alignment horizontal="left" vertical="center"/>
    </xf>
    <xf numFmtId="168" fontId="75" fillId="3" borderId="22" xfId="6" applyNumberFormat="1" applyFont="1" applyFill="1" applyBorder="1" applyAlignment="1">
      <alignment horizontal="center"/>
    </xf>
    <xf numFmtId="0" fontId="4" fillId="3" borderId="0" xfId="0" applyFont="1" applyFill="1" applyBorder="1">
      <alignment horizontal="left" vertical="center"/>
    </xf>
    <xf numFmtId="0" fontId="4" fillId="25" borderId="22" xfId="0" applyFill="1" applyBorder="1">
      <alignment horizontal="left" vertical="center"/>
    </xf>
    <xf numFmtId="0" fontId="4" fillId="2" borderId="16" xfId="0" applyFill="1" applyBorder="1">
      <alignment horizontal="left" vertical="center"/>
    </xf>
    <xf numFmtId="0" fontId="81" fillId="2" borderId="0" xfId="15" applyFill="1" applyBorder="1" applyAlignment="1">
      <alignment horizontal="left" vertical="center"/>
      <protection/>
    </xf>
    <xf numFmtId="0" fontId="24" fillId="12" borderId="22" xfId="0" applyFont="1" applyFill="1" applyBorder="1" quotePrefix="1">
      <alignment horizontal="left" vertical="center"/>
    </xf>
    <xf numFmtId="0" fontId="46" fillId="3" borderId="0" xfId="0" applyFont="1" applyFill="1" applyBorder="1" applyAlignment="1">
      <alignment horizontal="left" vertical="center" shrinkToFit="1"/>
    </xf>
    <xf numFmtId="0" fontId="63" fillId="3" borderId="0" xfId="0" applyFont="1" applyFill="1" applyBorder="1" applyAlignment="1">
      <alignment horizontal="left" vertical="center" shrinkToFit="1"/>
    </xf>
    <xf numFmtId="206" fontId="17" fillId="12" borderId="0" xfId="43" applyFont="1" applyFill="1" applyBorder="1" applyAlignment="1" applyProtection="1">
      <alignment horizontal="center" vertical="center"/>
      <protection/>
    </xf>
    <xf numFmtId="0" fontId="23" fillId="12" borderId="22" xfId="0" applyFont="1" applyFill="1" applyBorder="1" applyAlignment="1">
      <alignment horizontal="center" vertical="center"/>
    </xf>
    <xf numFmtId="183" fontId="4" fillId="3" borderId="0" xfId="25" applyFont="1" applyFill="1" applyBorder="1" applyAlignment="1">
      <alignment horizontal="left" vertical="center"/>
    </xf>
    <xf numFmtId="0" fontId="4" fillId="12" borderId="20" xfId="0" applyFill="1" applyBorder="1" applyAlignment="1">
      <alignment horizontal="center" vertical="center"/>
    </xf>
    <xf numFmtId="0" fontId="69" fillId="3" borderId="0" xfId="14" applyFill="1" applyAlignment="1">
      <alignment vertical="center"/>
      <protection/>
    </xf>
    <xf numFmtId="0" fontId="70" fillId="2" borderId="0" xfId="13" applyFill="1">
      <alignment horizontal="left" vertical="center" indent="1"/>
      <protection/>
    </xf>
    <xf numFmtId="176" fontId="12" fillId="3" borderId="0" xfId="0" applyNumberFormat="1" applyFont="1" applyFill="1" applyBorder="1" applyAlignment="1">
      <alignment horizontal="center"/>
    </xf>
    <xf numFmtId="183" fontId="34" fillId="12" borderId="0" xfId="25" applyFont="1" applyFill="1" applyBorder="1" applyAlignment="1">
      <alignment horizontal="center"/>
    </xf>
    <xf numFmtId="0" fontId="46" fillId="3" borderId="0" xfId="0" applyFont="1" applyFill="1" applyBorder="1" applyAlignment="1">
      <alignment horizontal="center"/>
    </xf>
    <xf numFmtId="176" fontId="238" fillId="3" borderId="0" xfId="0" applyNumberFormat="1" applyFont="1" applyFill="1" applyBorder="1" applyAlignment="1">
      <alignment horizontal="center"/>
    </xf>
    <xf numFmtId="176" fontId="12" fillId="3" borderId="27" xfId="0" applyNumberFormat="1" applyFont="1" applyFill="1" applyBorder="1" applyAlignment="1">
      <alignment horizontal="center"/>
    </xf>
    <xf numFmtId="0" fontId="55" fillId="3" borderId="27" xfId="0" applyFont="1" applyFill="1" applyBorder="1">
      <alignment horizontal="left" vertical="center"/>
    </xf>
    <xf numFmtId="183" fontId="14" fillId="3" borderId="22" xfId="25" applyFont="1" applyFill="1" applyBorder="1" applyAlignment="1">
      <alignment horizontal="center"/>
    </xf>
    <xf numFmtId="206" fontId="57" fillId="12" borderId="0" xfId="43" applyFont="1" applyFill="1" applyBorder="1" applyAlignment="1" applyProtection="1">
      <alignment horizontal="center"/>
      <protection/>
    </xf>
    <xf numFmtId="206" fontId="57" fillId="3" borderId="0" xfId="43" applyFont="1" applyFill="1" applyBorder="1" applyAlignment="1" applyProtection="1">
      <alignment horizontal="center"/>
      <protection/>
    </xf>
    <xf numFmtId="206" fontId="4" fillId="3" borderId="0" xfId="43" applyFont="1" applyFill="1" applyBorder="1" applyAlignment="1" applyProtection="1">
      <alignment horizontal="left" vertical="center" indent="1"/>
      <protection/>
    </xf>
    <xf numFmtId="17" fontId="56" fillId="3" borderId="22" xfId="24" applyFont="1" applyFill="1" applyBorder="1">
      <alignment horizontal="center" vertical="center"/>
    </xf>
    <xf numFmtId="14" fontId="34" fillId="12" borderId="22" xfId="0" applyNumberFormat="1" applyFont="1" applyFill="1" applyBorder="1" applyAlignment="1">
      <alignment horizontal="center"/>
    </xf>
    <xf numFmtId="206" fontId="46" fillId="3" borderId="0" xfId="43" applyFont="1" applyFill="1" applyBorder="1" applyAlignment="1" applyProtection="1">
      <alignment horizontal="center"/>
      <protection/>
    </xf>
    <xf numFmtId="17" fontId="56" fillId="12" borderId="22" xfId="24" applyFont="1" applyFill="1" applyBorder="1" applyAlignment="1">
      <alignment horizontal="left" vertical="center"/>
    </xf>
    <xf numFmtId="206" fontId="15" fillId="3" borderId="0" xfId="43" applyFont="1" applyFill="1" applyBorder="1" applyAlignment="1" applyProtection="1">
      <alignment horizontal="center"/>
      <protection/>
    </xf>
    <xf numFmtId="0" fontId="63" fillId="3" borderId="23" xfId="0" applyFont="1" applyFill="1" applyBorder="1" applyAlignment="1">
      <alignment horizontal="center" shrinkToFit="1"/>
    </xf>
    <xf numFmtId="0" fontId="24" fillId="12" borderId="0" xfId="0" applyFont="1" applyFill="1" applyBorder="1" quotePrefix="1">
      <alignment horizontal="left" vertical="center"/>
    </xf>
    <xf numFmtId="0" fontId="100" fillId="0" borderId="0" xfId="0" applyFont="1" quotePrefix="1">
      <alignment horizontal="left" vertical="center"/>
    </xf>
    <xf numFmtId="0" fontId="101" fillId="0" borderId="0" xfId="0" applyFont="1">
      <alignment horizontal="left" vertical="center"/>
    </xf>
    <xf numFmtId="176" fontId="66" fillId="3" borderId="24" xfId="0" applyNumberFormat="1" applyFont="1" applyFill="1" applyBorder="1" applyAlignment="1">
      <alignment horizontal="center"/>
    </xf>
    <xf numFmtId="176" fontId="66" fillId="3" borderId="29" xfId="0" applyNumberFormat="1" applyFont="1" applyFill="1" applyBorder="1" applyAlignment="1">
      <alignment horizontal="center"/>
    </xf>
    <xf numFmtId="176" fontId="238" fillId="3" borderId="24" xfId="0" applyNumberFormat="1" applyFont="1" applyFill="1" applyBorder="1" applyAlignment="1">
      <alignment horizontal="center"/>
    </xf>
    <xf numFmtId="176" fontId="238" fillId="3" borderId="29" xfId="0" applyNumberFormat="1" applyFont="1" applyFill="1" applyBorder="1" applyAlignment="1">
      <alignment horizontal="center"/>
    </xf>
    <xf numFmtId="0" fontId="34" fillId="3" borderId="20" xfId="0" applyFont="1" applyFill="1" applyBorder="1">
      <alignment horizontal="left" vertical="center"/>
    </xf>
    <xf numFmtId="0" fontId="63" fillId="3" borderId="20" xfId="0" applyFont="1" applyFill="1" applyBorder="1" applyAlignment="1">
      <alignment horizontal="center" shrinkToFit="1"/>
    </xf>
    <xf numFmtId="0" fontId="23" fillId="3" borderId="20" xfId="0" applyFont="1" applyFill="1" applyBorder="1" applyAlignment="1">
      <alignment horizontal="center" vertical="center"/>
    </xf>
    <xf numFmtId="0" fontId="102" fillId="3" borderId="37" xfId="0" applyFont="1" applyFill="1" applyBorder="1">
      <alignment horizontal="left" vertical="center"/>
    </xf>
    <xf numFmtId="0" fontId="4" fillId="2" borderId="27" xfId="0" applyFill="1" applyBorder="1" applyAlignment="1">
      <alignment horizontal="center" vertical="center"/>
    </xf>
    <xf numFmtId="0" fontId="4" fillId="3" borderId="22" xfId="0" applyFill="1" applyBorder="1" applyAlignment="1">
      <alignment horizontal="center" vertical="center"/>
    </xf>
    <xf numFmtId="17" fontId="46" fillId="3" borderId="0" xfId="24" applyFont="1" applyFill="1" applyBorder="1">
      <alignment horizontal="center" vertical="center"/>
    </xf>
    <xf numFmtId="0" fontId="4" fillId="3" borderId="27" xfId="0" applyFill="1" applyBorder="1" applyAlignment="1">
      <alignment horizontal="center" vertical="center"/>
    </xf>
    <xf numFmtId="1" fontId="4" fillId="12" borderId="20" xfId="0" applyNumberFormat="1" applyFill="1" applyBorder="1" applyAlignment="1">
      <alignment horizontal="center" vertical="center"/>
    </xf>
    <xf numFmtId="0" fontId="69" fillId="2" borderId="22" xfId="14" applyFill="1" applyBorder="1" applyAlignment="1">
      <alignment vertical="center"/>
      <protection/>
    </xf>
    <xf numFmtId="176" fontId="15" fillId="26" borderId="22" xfId="0" applyNumberFormat="1" applyFont="1" applyFill="1" applyBorder="1" applyAlignment="1">
      <alignment horizontal="center" vertical="center"/>
    </xf>
    <xf numFmtId="176" fontId="15" fillId="26" borderId="27" xfId="0" applyNumberFormat="1" applyFont="1" applyFill="1" applyBorder="1" applyAlignment="1">
      <alignment horizontal="center" vertical="center"/>
    </xf>
    <xf numFmtId="176" fontId="12" fillId="24" borderId="22" xfId="0" applyNumberFormat="1" applyFont="1" applyFill="1" applyBorder="1" applyAlignment="1">
      <alignment horizontal="center" vertical="center"/>
    </xf>
    <xf numFmtId="176" fontId="12" fillId="24" borderId="27" xfId="0" applyNumberFormat="1" applyFont="1" applyFill="1" applyBorder="1" applyAlignment="1">
      <alignment horizontal="center" vertical="center"/>
    </xf>
    <xf numFmtId="176" fontId="12" fillId="3" borderId="0" xfId="0" applyNumberFormat="1" applyFont="1" applyFill="1" applyBorder="1" applyAlignment="1">
      <alignment horizontal="center" vertical="center"/>
    </xf>
    <xf numFmtId="176" fontId="12" fillId="27" borderId="22" xfId="0" applyNumberFormat="1" applyFont="1" applyFill="1" applyBorder="1" applyAlignment="1">
      <alignment horizontal="center" vertical="center"/>
    </xf>
    <xf numFmtId="176" fontId="12" fillId="27" borderId="27" xfId="0" applyNumberFormat="1" applyFont="1" applyFill="1" applyBorder="1" applyAlignment="1">
      <alignment horizontal="center" vertical="center"/>
    </xf>
    <xf numFmtId="0" fontId="70" fillId="2" borderId="0" xfId="13" applyFill="1" applyAlignment="1">
      <alignment vertical="center"/>
      <protection/>
    </xf>
    <xf numFmtId="0" fontId="4" fillId="0" borderId="0" xfId="0" applyFill="1">
      <alignment horizontal="left" vertical="center"/>
    </xf>
    <xf numFmtId="0" fontId="22" fillId="0" borderId="43" xfId="0" applyFont="1" applyFill="1" applyBorder="1" applyAlignment="1">
      <alignment horizontal="center" vertical="center" wrapText="1" readingOrder="1"/>
    </xf>
    <xf numFmtId="0" fontId="22" fillId="0" borderId="17" xfId="0" applyFont="1" applyFill="1" applyBorder="1" applyAlignment="1">
      <alignment horizontal="left" vertical="center" wrapText="1" readingOrder="1"/>
    </xf>
    <xf numFmtId="0" fontId="22" fillId="0" borderId="17" xfId="0" applyFont="1" applyFill="1" applyBorder="1" applyAlignment="1">
      <alignment horizontal="center" vertical="center" wrapText="1" readingOrder="1"/>
    </xf>
    <xf numFmtId="0" fontId="26" fillId="0" borderId="17" xfId="0" applyFont="1" applyFill="1" applyBorder="1" applyAlignment="1">
      <alignment horizontal="left" vertical="center" wrapText="1" readingOrder="1"/>
    </xf>
    <xf numFmtId="0" fontId="22" fillId="0" borderId="17" xfId="0" applyFont="1" applyFill="1" applyBorder="1" applyAlignment="1">
      <alignment horizontal="left" vertical="center" wrapText="1" indent="1" readingOrder="1"/>
    </xf>
    <xf numFmtId="0" fontId="26" fillId="0" borderId="17" xfId="0" applyFont="1" applyFill="1" applyBorder="1" applyAlignment="1">
      <alignment horizontal="left" vertical="center" wrapText="1" indent="1" readingOrder="1"/>
    </xf>
    <xf numFmtId="0" fontId="22" fillId="0" borderId="17" xfId="0" applyFont="1" applyFill="1" applyBorder="1" applyAlignment="1">
      <alignment horizontal="left" vertical="center" wrapText="1" indent="2" readingOrder="1"/>
    </xf>
    <xf numFmtId="0" fontId="26" fillId="0" borderId="17" xfId="0" applyFont="1" applyFill="1" applyBorder="1" applyAlignment="1" quotePrefix="1">
      <alignment horizontal="left" vertical="center" wrapText="1" readingOrder="1"/>
    </xf>
    <xf numFmtId="0" fontId="94" fillId="0" borderId="17" xfId="0" applyFont="1" applyFill="1" applyBorder="1" applyAlignment="1">
      <alignment horizontal="left" vertical="center" wrapText="1" readingOrder="1"/>
    </xf>
    <xf numFmtId="0" fontId="94" fillId="0" borderId="17" xfId="0" applyFont="1" applyFill="1" applyBorder="1" applyAlignment="1" quotePrefix="1">
      <alignment horizontal="left" vertical="center" wrapText="1" readingOrder="1"/>
    </xf>
    <xf numFmtId="0" fontId="12" fillId="24" borderId="0" xfId="0" applyFont="1" applyFill="1">
      <alignment horizontal="left" vertical="center"/>
    </xf>
    <xf numFmtId="0" fontId="12" fillId="24" borderId="34" xfId="0" applyFont="1" applyFill="1" applyBorder="1">
      <alignment horizontal="left" vertical="center"/>
    </xf>
    <xf numFmtId="0" fontId="34" fillId="3" borderId="0" xfId="0" applyFont="1" applyFill="1" applyBorder="1" applyAlignment="1">
      <alignment horizontal="left" vertical="center" wrapText="1" indent="1"/>
    </xf>
    <xf numFmtId="0" fontId="72" fillId="0" borderId="0" xfId="0" applyFont="1" applyFill="1">
      <alignment horizontal="left" vertical="center"/>
    </xf>
    <xf numFmtId="0" fontId="14" fillId="3" borderId="24" xfId="0" applyFont="1" applyFill="1" applyBorder="1">
      <alignment horizontal="left" vertical="center"/>
    </xf>
    <xf numFmtId="0" fontId="4" fillId="3" borderId="29" xfId="0" applyFill="1" applyBorder="1">
      <alignment horizontal="left" vertical="center"/>
    </xf>
    <xf numFmtId="0" fontId="14" fillId="3" borderId="22" xfId="0" applyFont="1" applyFill="1" applyBorder="1">
      <alignment horizontal="left" vertical="center"/>
    </xf>
    <xf numFmtId="0" fontId="5" fillId="3" borderId="0" xfId="0" applyFont="1" applyFill="1" applyBorder="1" quotePrefix="1">
      <alignment horizontal="left" vertical="center"/>
    </xf>
    <xf numFmtId="0" fontId="5" fillId="3" borderId="0" xfId="0" applyFont="1" applyFill="1" applyBorder="1">
      <alignment horizontal="left" vertical="center"/>
    </xf>
    <xf numFmtId="0" fontId="103" fillId="0" borderId="0" xfId="0" applyFont="1" applyFill="1">
      <alignment horizontal="left" vertical="center"/>
    </xf>
    <xf numFmtId="0" fontId="98" fillId="3" borderId="22" xfId="0" applyFont="1" applyFill="1" applyBorder="1">
      <alignment horizontal="left" vertical="center"/>
    </xf>
    <xf numFmtId="0" fontId="77" fillId="3" borderId="0" xfId="0" applyFont="1" applyFill="1" applyBorder="1">
      <alignment horizontal="left" vertical="center"/>
    </xf>
    <xf numFmtId="0" fontId="77" fillId="3" borderId="27" xfId="0" applyFont="1" applyFill="1" applyBorder="1">
      <alignment horizontal="left" vertical="center"/>
    </xf>
    <xf numFmtId="0" fontId="77" fillId="0" borderId="0" xfId="0" applyFont="1">
      <alignment horizontal="left" vertical="center"/>
    </xf>
    <xf numFmtId="0" fontId="81" fillId="3" borderId="0" xfId="15" applyFill="1" applyBorder="1">
      <alignment vertical="center"/>
      <protection/>
    </xf>
    <xf numFmtId="0" fontId="81" fillId="0" borderId="0" xfId="15" applyFill="1" applyBorder="1">
      <alignment vertical="center"/>
      <protection/>
    </xf>
    <xf numFmtId="0" fontId="81" fillId="3" borderId="22" xfId="15" applyFill="1" applyBorder="1">
      <alignment vertical="center"/>
      <protection/>
    </xf>
    <xf numFmtId="0" fontId="81" fillId="3" borderId="2" xfId="15" applyFill="1" applyBorder="1">
      <alignment vertical="center"/>
      <protection/>
    </xf>
    <xf numFmtId="0" fontId="81" fillId="3" borderId="27" xfId="15" applyFill="1" applyBorder="1">
      <alignment vertical="center"/>
      <protection/>
    </xf>
    <xf numFmtId="0" fontId="81" fillId="0" borderId="0" xfId="15" applyBorder="1">
      <alignment vertical="center"/>
      <protection/>
    </xf>
    <xf numFmtId="0" fontId="81" fillId="3" borderId="2" xfId="46" applyFont="1" applyFill="1" applyAlignment="1">
      <alignment vertical="center"/>
    </xf>
    <xf numFmtId="0" fontId="81" fillId="3" borderId="2" xfId="15" applyFill="1">
      <alignment vertical="center"/>
      <protection/>
    </xf>
    <xf numFmtId="0" fontId="4" fillId="22" borderId="0" xfId="0" applyFont="1" applyFill="1">
      <alignment horizontal="left" vertical="center"/>
    </xf>
    <xf numFmtId="171" fontId="45" fillId="22" borderId="0" xfId="4" applyNumberFormat="1" applyFont="1" applyFill="1" applyBorder="1" applyAlignment="1">
      <alignment horizontal="left" vertical="center" shrinkToFit="1"/>
    </xf>
    <xf numFmtId="171" fontId="45" fillId="19" borderId="0" xfId="0" applyNumberFormat="1" applyFont="1" applyFill="1" applyBorder="1">
      <alignment horizontal="left" vertical="center"/>
    </xf>
    <xf numFmtId="171" fontId="14" fillId="22" borderId="0" xfId="4" applyNumberFormat="1" applyFont="1" applyFill="1" applyBorder="1" applyAlignment="1">
      <alignment horizontal="left" vertical="center"/>
    </xf>
    <xf numFmtId="0" fontId="14" fillId="22" borderId="0" xfId="0" applyFont="1" applyFill="1" applyBorder="1" applyAlignment="1">
      <alignment horizontal="center" vertical="center"/>
    </xf>
    <xf numFmtId="0" fontId="45" fillId="22" borderId="0" xfId="0" applyFont="1" applyFill="1" applyBorder="1">
      <alignment horizontal="left" vertical="center"/>
    </xf>
    <xf numFmtId="0" fontId="45" fillId="19" borderId="0" xfId="0" applyFont="1" applyFill="1" applyBorder="1">
      <alignment horizontal="left" vertical="center"/>
    </xf>
    <xf numFmtId="171" fontId="45" fillId="22" borderId="0" xfId="4" applyNumberFormat="1" applyFont="1" applyFill="1" applyBorder="1" applyAlignment="1">
      <alignment/>
    </xf>
    <xf numFmtId="173" fontId="4" fillId="12" borderId="0" xfId="0" applyNumberFormat="1" applyFont="1" applyFill="1" applyBorder="1" applyAlignment="1">
      <alignment vertical="center"/>
    </xf>
    <xf numFmtId="173" fontId="4" fillId="12" borderId="0" xfId="0" applyNumberFormat="1" applyFill="1" applyBorder="1" applyAlignment="1">
      <alignment vertical="center"/>
    </xf>
    <xf numFmtId="173" fontId="105" fillId="12" borderId="0" xfId="0" applyNumberFormat="1" applyFont="1" applyFill="1" applyBorder="1" applyAlignment="1">
      <alignment vertical="top"/>
    </xf>
    <xf numFmtId="0" fontId="4" fillId="0" borderId="29" xfId="0" applyBorder="1">
      <alignment horizontal="left" vertical="center"/>
    </xf>
    <xf numFmtId="0" fontId="16" fillId="28" borderId="17" xfId="0" applyFont="1" applyFill="1" applyBorder="1" applyAlignment="1">
      <alignment horizontal="left" vertical="center" wrapText="1" readingOrder="1"/>
    </xf>
    <xf numFmtId="0" fontId="15" fillId="28" borderId="43" xfId="0" applyFont="1" applyFill="1" applyBorder="1" applyAlignment="1">
      <alignment horizontal="left" vertical="center" wrapText="1" readingOrder="1"/>
    </xf>
    <xf numFmtId="0" fontId="15" fillId="28" borderId="17" xfId="0" applyFont="1" applyFill="1" applyBorder="1" applyAlignment="1">
      <alignment horizontal="center" vertical="center" wrapText="1" readingOrder="1"/>
    </xf>
    <xf numFmtId="0" fontId="15" fillId="28" borderId="17" xfId="0" applyFont="1" applyFill="1" applyBorder="1" applyAlignment="1">
      <alignment horizontal="left" vertical="center" wrapText="1" readingOrder="1"/>
    </xf>
    <xf numFmtId="0" fontId="92" fillId="28" borderId="17" xfId="0" applyFont="1" applyFill="1" applyBorder="1" applyAlignment="1">
      <alignment horizontal="center" vertical="center" readingOrder="1"/>
    </xf>
    <xf numFmtId="0" fontId="93" fillId="28" borderId="17" xfId="0" applyFont="1" applyFill="1" applyBorder="1" applyAlignment="1">
      <alignment horizontal="left" vertical="center" wrapText="1" readingOrder="1"/>
    </xf>
    <xf numFmtId="0" fontId="15" fillId="28" borderId="17" xfId="0" applyFont="1" applyFill="1" applyBorder="1" applyAlignment="1">
      <alignment horizontal="left" vertical="center" readingOrder="1"/>
    </xf>
    <xf numFmtId="0" fontId="15" fillId="28" borderId="17" xfId="0" applyFont="1" applyFill="1" applyBorder="1" applyAlignment="1">
      <alignment horizontal="center" vertical="center" readingOrder="1"/>
    </xf>
    <xf numFmtId="0" fontId="70" fillId="2" borderId="0" xfId="13" applyFill="1" applyAlignment="1">
      <alignment horizontal="left" vertical="center" shrinkToFit="1"/>
      <protection/>
    </xf>
    <xf numFmtId="0" fontId="4" fillId="12" borderId="22" xfId="0" applyFont="1" applyFill="1" applyBorder="1">
      <alignment horizontal="left" vertical="center"/>
    </xf>
    <xf numFmtId="0" fontId="34" fillId="3" borderId="23" xfId="0" applyFont="1" applyFill="1" applyBorder="1" applyAlignment="1">
      <alignment horizontal="left" vertical="center" shrinkToFit="1"/>
    </xf>
    <xf numFmtId="0" fontId="34" fillId="3" borderId="20" xfId="0" applyFont="1" applyFill="1" applyBorder="1" applyAlignment="1">
      <alignment horizontal="left" vertical="center" shrinkToFit="1"/>
    </xf>
    <xf numFmtId="0" fontId="75" fillId="3" borderId="26" xfId="0" applyFont="1" applyFill="1" applyBorder="1" applyAlignment="1">
      <alignment horizontal="center"/>
    </xf>
    <xf numFmtId="0" fontId="75" fillId="3" borderId="24" xfId="0" applyFont="1" applyFill="1" applyBorder="1" applyAlignment="1">
      <alignment horizontal="center"/>
    </xf>
    <xf numFmtId="0" fontId="22" fillId="8" borderId="23" xfId="0" applyFont="1" applyFill="1" applyBorder="1">
      <alignment horizontal="left" vertical="center"/>
    </xf>
    <xf numFmtId="0" fontId="95" fillId="3" borderId="20" xfId="0" applyFont="1" applyFill="1" applyBorder="1">
      <alignment horizontal="left" vertical="center"/>
    </xf>
    <xf numFmtId="0" fontId="64" fillId="12" borderId="16" xfId="0" applyFont="1" applyFill="1" applyBorder="1" applyAlignment="1">
      <alignment horizontal="center" vertical="center"/>
    </xf>
    <xf numFmtId="0" fontId="34" fillId="3" borderId="0" xfId="0" applyFont="1" applyFill="1" applyBorder="1" applyAlignment="1">
      <alignment horizontal="left" vertical="center" shrinkToFit="1"/>
    </xf>
    <xf numFmtId="183" fontId="34" fillId="12" borderId="0" xfId="25" applyFont="1" applyFill="1" applyBorder="1" applyAlignment="1">
      <alignment horizontal="right"/>
    </xf>
    <xf numFmtId="0" fontId="4" fillId="3" borderId="38" xfId="0" applyFill="1" applyBorder="1" applyAlignment="1">
      <alignment horizontal="center" vertical="center"/>
    </xf>
    <xf numFmtId="0" fontId="4" fillId="29" borderId="0" xfId="51" applyFont="1" applyFill="1" applyBorder="1" applyAlignment="1">
      <alignment horizontal="left" vertical="center" indent="1"/>
      <protection/>
    </xf>
    <xf numFmtId="186" fontId="22" fillId="29" borderId="0" xfId="51" applyNumberFormat="1" applyFont="1" applyFill="1" applyBorder="1" applyAlignment="1">
      <alignment horizontal="center" vertical="center"/>
      <protection/>
    </xf>
    <xf numFmtId="0" fontId="17" fillId="29" borderId="0" xfId="51" applyFont="1" applyFill="1" applyBorder="1" applyAlignment="1">
      <alignment horizontal="center" vertical="center"/>
      <protection/>
    </xf>
    <xf numFmtId="0" fontId="63" fillId="12" borderId="37" xfId="0" applyFont="1" applyFill="1" applyBorder="1" applyAlignment="1">
      <alignment vertical="center" wrapText="1"/>
    </xf>
    <xf numFmtId="0" fontId="22" fillId="8" borderId="20" xfId="0" applyFont="1" applyFill="1" applyBorder="1">
      <alignment horizontal="left" vertical="center"/>
    </xf>
    <xf numFmtId="0" fontId="63" fillId="3" borderId="25" xfId="0" applyFont="1" applyFill="1" applyBorder="1" applyAlignment="1">
      <alignment horizontal="center" shrinkToFit="1"/>
    </xf>
    <xf numFmtId="1" fontId="4" fillId="12" borderId="38" xfId="0" applyNumberFormat="1" applyFill="1" applyBorder="1" applyAlignment="1">
      <alignment horizontal="center" vertical="center"/>
    </xf>
    <xf numFmtId="0" fontId="24" fillId="3" borderId="22" xfId="0" applyFont="1" applyFill="1" applyBorder="1" applyAlignment="1">
      <alignment horizontal="center"/>
    </xf>
    <xf numFmtId="173" fontId="238" fillId="3" borderId="0" xfId="0" applyNumberFormat="1" applyFont="1" applyFill="1" applyBorder="1" applyAlignment="1">
      <alignment horizontal="left"/>
    </xf>
    <xf numFmtId="0" fontId="238" fillId="3" borderId="22" xfId="0" applyFont="1" applyFill="1" applyBorder="1">
      <alignment horizontal="left" vertical="center"/>
    </xf>
    <xf numFmtId="0" fontId="4" fillId="0" borderId="0" xfId="0" applyNumberFormat="1">
      <alignment horizontal="left" vertical="center"/>
    </xf>
    <xf numFmtId="0" fontId="4" fillId="2" borderId="16" xfId="0" applyFill="1" applyBorder="1" applyAlignment="1">
      <alignment horizontal="center" vertical="center"/>
    </xf>
    <xf numFmtId="0" fontId="4" fillId="21" borderId="44" xfId="0" applyFill="1" applyBorder="1">
      <alignment horizontal="left" vertical="center"/>
    </xf>
    <xf numFmtId="0" fontId="4" fillId="4" borderId="0" xfId="0" applyFill="1" applyBorder="1">
      <alignment horizontal="left" vertical="center"/>
    </xf>
    <xf numFmtId="0" fontId="4" fillId="4" borderId="44" xfId="0" applyFill="1" applyBorder="1">
      <alignment horizontal="left" vertical="center"/>
    </xf>
    <xf numFmtId="0" fontId="4" fillId="4" borderId="45" xfId="0" applyFill="1" applyBorder="1">
      <alignment horizontal="left" vertical="center"/>
    </xf>
    <xf numFmtId="208" fontId="4" fillId="3" borderId="0" xfId="6" applyFont="1" applyFill="1" applyBorder="1" applyAlignment="1">
      <alignment horizontal="left" vertical="center" indent="1"/>
    </xf>
    <xf numFmtId="0" fontId="4" fillId="3" borderId="0" xfId="51" applyFont="1" applyFill="1" applyBorder="1" applyAlignment="1">
      <alignment horizontal="left" vertical="center" indent="1"/>
      <protection/>
    </xf>
    <xf numFmtId="186" fontId="46" fillId="3" borderId="0" xfId="51" applyNumberFormat="1" applyFont="1" applyFill="1" applyBorder="1" applyAlignment="1">
      <alignment horizontal="center"/>
      <protection/>
    </xf>
    <xf numFmtId="0" fontId="46" fillId="3" borderId="0" xfId="51" applyFont="1" applyFill="1" applyBorder="1" applyAlignment="1">
      <alignment horizontal="center"/>
      <protection/>
    </xf>
    <xf numFmtId="14" fontId="34" fillId="12" borderId="0" xfId="0" applyNumberFormat="1" applyFont="1" applyFill="1" applyBorder="1" applyAlignment="1">
      <alignment horizontal="center"/>
    </xf>
    <xf numFmtId="179" fontId="15" fillId="3" borderId="0" xfId="25" applyNumberFormat="1" applyFont="1" applyFill="1" applyBorder="1" applyAlignment="1" quotePrefix="1">
      <alignment horizontal="center" vertical="center" wrapText="1"/>
    </xf>
    <xf numFmtId="17" fontId="56" fillId="3" borderId="22" xfId="24" applyFont="1" applyFill="1" applyBorder="1" applyAlignment="1">
      <alignment horizontal="left" vertical="center"/>
    </xf>
    <xf numFmtId="179" fontId="34" fillId="3" borderId="22" xfId="18" applyNumberFormat="1" applyFont="1" applyFill="1" applyBorder="1" applyAlignment="1" quotePrefix="1">
      <alignment horizontal="center" vertical="center" wrapText="1"/>
      <protection locked="0"/>
    </xf>
    <xf numFmtId="0" fontId="4" fillId="3" borderId="46" xfId="0" applyFill="1" applyBorder="1" applyAlignment="1">
      <alignment horizontal="center" vertical="center"/>
    </xf>
    <xf numFmtId="0" fontId="4" fillId="3" borderId="24" xfId="0" applyFill="1" applyBorder="1">
      <alignment horizontal="left" vertical="center"/>
    </xf>
    <xf numFmtId="0" fontId="25" fillId="2" borderId="0" xfId="0" applyFont="1" applyFill="1" applyBorder="1">
      <alignment horizontal="left" vertical="center"/>
    </xf>
    <xf numFmtId="0" fontId="4" fillId="2" borderId="0" xfId="0" applyFont="1" applyFill="1" applyBorder="1" applyAlignment="1">
      <alignment wrapText="1"/>
    </xf>
    <xf numFmtId="0" fontId="4" fillId="12" borderId="0" xfId="0" applyFont="1" applyFill="1" applyBorder="1" applyAlignment="1">
      <alignment wrapText="1"/>
    </xf>
    <xf numFmtId="0" fontId="4" fillId="12" borderId="0" xfId="0" applyFont="1" applyFill="1" applyBorder="1" applyAlignment="1">
      <alignment vertical="top"/>
    </xf>
    <xf numFmtId="171" fontId="14" fillId="22" borderId="0" xfId="4" applyNumberFormat="1" applyFont="1" applyFill="1" applyAlignment="1">
      <alignment horizontal="left" vertical="center" indent="1"/>
    </xf>
    <xf numFmtId="173" fontId="4" fillId="12" borderId="0" xfId="0" applyNumberFormat="1" applyFont="1" applyFill="1" applyBorder="1" applyAlignment="1">
      <alignment vertical="center" wrapText="1"/>
    </xf>
    <xf numFmtId="173" fontId="105" fillId="3" borderId="0" xfId="0" applyNumberFormat="1" applyFont="1" applyFill="1" applyBorder="1" applyAlignment="1">
      <alignment vertical="top" wrapText="1"/>
    </xf>
    <xf numFmtId="43" fontId="14" fillId="22" borderId="0" xfId="4" applyFont="1" applyFill="1" applyAlignment="1">
      <alignment horizontal="left" vertical="center" indent="1"/>
    </xf>
    <xf numFmtId="0" fontId="238" fillId="3" borderId="0" xfId="0" applyFont="1" applyFill="1" applyBorder="1" applyAlignment="1">
      <alignment vertical="center" wrapText="1"/>
    </xf>
    <xf numFmtId="173" fontId="55" fillId="12" borderId="0" xfId="0" applyNumberFormat="1" applyFont="1" applyFill="1" applyBorder="1" applyAlignment="1">
      <alignment vertical="top" wrapText="1"/>
    </xf>
    <xf numFmtId="173" fontId="55" fillId="12" borderId="23" xfId="0" applyNumberFormat="1" applyFont="1" applyFill="1" applyBorder="1" applyAlignment="1">
      <alignment vertical="top" wrapText="1"/>
    </xf>
    <xf numFmtId="173" fontId="4" fillId="12" borderId="0" xfId="0" applyNumberFormat="1" applyFont="1" applyFill="1" applyBorder="1" applyAlignment="1">
      <alignment vertical="top"/>
    </xf>
    <xf numFmtId="173" fontId="4" fillId="12" borderId="0" xfId="0" applyNumberFormat="1" applyFont="1" applyFill="1" applyBorder="1" applyAlignment="1">
      <alignment vertical="top" wrapText="1"/>
    </xf>
    <xf numFmtId="0" fontId="14" fillId="22" borderId="0" xfId="0" applyFont="1" applyFill="1" applyAlignment="1">
      <alignment vertical="center"/>
    </xf>
    <xf numFmtId="0" fontId="16" fillId="2" borderId="0" xfId="0" applyFont="1" applyFill="1" applyBorder="1" applyAlignment="1">
      <alignment horizontal="right"/>
    </xf>
    <xf numFmtId="0" fontId="69" fillId="3" borderId="0" xfId="46" applyFont="1" applyFill="1" applyBorder="1">
      <alignment horizontal="left" vertical="center"/>
    </xf>
    <xf numFmtId="0" fontId="25" fillId="2" borderId="0" xfId="0" applyFont="1" applyFill="1" applyBorder="1" applyAlignment="1">
      <alignment wrapText="1"/>
    </xf>
    <xf numFmtId="0" fontId="16" fillId="12" borderId="0" xfId="0" applyFont="1" applyFill="1" applyBorder="1" applyAlignment="1">
      <alignment horizontal="right"/>
    </xf>
    <xf numFmtId="0" fontId="16" fillId="3" borderId="0" xfId="0" applyFont="1" applyFill="1" applyBorder="1" applyAlignment="1">
      <alignment horizontal="right"/>
    </xf>
    <xf numFmtId="0" fontId="4" fillId="12" borderId="0" xfId="0" applyFont="1" applyFill="1" applyBorder="1" applyAlignment="1">
      <alignment horizontal="left"/>
    </xf>
    <xf numFmtId="0" fontId="16" fillId="21" borderId="0" xfId="0" applyFont="1" applyFill="1" applyBorder="1" applyAlignment="1">
      <alignment horizontal="right" vertical="top"/>
    </xf>
    <xf numFmtId="0" fontId="16" fillId="3" borderId="0" xfId="0" applyFont="1" applyFill="1" applyBorder="1" applyAlignment="1">
      <alignment horizontal="right" vertical="top"/>
    </xf>
    <xf numFmtId="0" fontId="4" fillId="12" borderId="0" xfId="0" applyFill="1" applyBorder="1">
      <alignment horizontal="left" vertical="center"/>
    </xf>
    <xf numFmtId="0" fontId="32" fillId="12" borderId="0" xfId="0" applyFont="1" applyFill="1" applyBorder="1" applyAlignment="1">
      <alignment vertical="top"/>
    </xf>
    <xf numFmtId="0" fontId="4" fillId="3" borderId="0" xfId="0" applyFill="1" applyBorder="1" applyAlignment="1">
      <alignment vertical="top"/>
    </xf>
    <xf numFmtId="0" fontId="4" fillId="3" borderId="0" xfId="0" applyFill="1" applyBorder="1" applyAlignment="1">
      <alignment wrapText="1"/>
    </xf>
    <xf numFmtId="0" fontId="4" fillId="3" borderId="0" xfId="0" applyFill="1" applyBorder="1" applyAlignment="1">
      <alignment vertical="center" wrapText="1"/>
    </xf>
    <xf numFmtId="0" fontId="4" fillId="12" borderId="0" xfId="0" applyFont="1" applyFill="1" applyBorder="1" applyAlignment="1">
      <alignment vertical="top" wrapText="1"/>
    </xf>
    <xf numFmtId="0" fontId="4" fillId="12" borderId="0" xfId="0" applyFont="1" applyFill="1" applyBorder="1" applyAlignment="1">
      <alignment horizontal="left" vertical="top"/>
    </xf>
    <xf numFmtId="0" fontId="4" fillId="12" borderId="0" xfId="0" applyFont="1" applyFill="1" applyBorder="1" applyAlignment="1">
      <alignment horizontal="center" vertical="top"/>
    </xf>
    <xf numFmtId="169" fontId="27" fillId="12" borderId="0" xfId="0" applyNumberFormat="1" applyFont="1" applyFill="1" applyBorder="1" applyAlignment="1">
      <alignment horizontal="center" vertical="top" readingOrder="1"/>
    </xf>
    <xf numFmtId="0" fontId="238" fillId="12" borderId="0" xfId="0" applyFont="1" applyFill="1" applyBorder="1" applyAlignment="1">
      <alignment vertical="top"/>
    </xf>
    <xf numFmtId="0" fontId="238" fillId="12" borderId="0" xfId="0" applyFont="1" applyFill="1" applyBorder="1" applyAlignment="1">
      <alignment vertical="top" wrapText="1"/>
    </xf>
    <xf numFmtId="169" fontId="27" fillId="12" borderId="0" xfId="0" applyNumberFormat="1" applyFont="1" applyFill="1" applyBorder="1" applyAlignment="1">
      <alignment horizontal="left" vertical="top" readingOrder="1"/>
    </xf>
    <xf numFmtId="0" fontId="46" fillId="12" borderId="0" xfId="0" applyFont="1" applyFill="1" applyBorder="1" applyAlignment="1">
      <alignment vertical="top"/>
    </xf>
    <xf numFmtId="0" fontId="15" fillId="12" borderId="0" xfId="0" applyFont="1" applyFill="1" applyBorder="1" applyAlignment="1">
      <alignment vertical="top"/>
    </xf>
    <xf numFmtId="0" fontId="15" fillId="12" borderId="0" xfId="0" applyFont="1" applyFill="1" applyBorder="1" applyAlignment="1">
      <alignment vertical="top" wrapText="1"/>
    </xf>
    <xf numFmtId="0" fontId="238" fillId="12" borderId="0" xfId="0" applyFont="1" applyFill="1" applyBorder="1" applyAlignment="1">
      <alignment horizontal="left" vertical="top"/>
    </xf>
    <xf numFmtId="0" fontId="32" fillId="12" borderId="0" xfId="0" applyFont="1" applyFill="1" applyBorder="1" applyAlignment="1">
      <alignment vertical="top" wrapText="1"/>
    </xf>
    <xf numFmtId="167" fontId="4" fillId="12" borderId="0" xfId="0" applyNumberFormat="1" applyFont="1" applyFill="1" applyBorder="1" applyAlignment="1">
      <alignment horizontal="left" vertical="top"/>
    </xf>
    <xf numFmtId="0" fontId="16" fillId="12" borderId="0" xfId="0" applyFont="1" applyFill="1" applyBorder="1" applyAlignment="1">
      <alignment horizontal="right" vertical="top"/>
    </xf>
    <xf numFmtId="0" fontId="68" fillId="12" borderId="0" xfId="0" applyFont="1" applyFill="1" applyBorder="1" applyAlignment="1">
      <alignment vertical="top"/>
    </xf>
    <xf numFmtId="0" fontId="18" fillId="12" borderId="0" xfId="0" applyFont="1" applyFill="1" applyBorder="1" applyAlignment="1">
      <alignment vertical="top" wrapText="1"/>
    </xf>
    <xf numFmtId="0" fontId="29" fillId="12" borderId="0" xfId="0" applyFont="1" applyFill="1" applyBorder="1" applyAlignment="1">
      <alignment vertical="top"/>
    </xf>
    <xf numFmtId="0" fontId="30" fillId="12" borderId="0" xfId="0" applyFont="1" applyFill="1" applyBorder="1" applyAlignment="1">
      <alignment vertical="top"/>
    </xf>
    <xf numFmtId="173" fontId="4" fillId="12" borderId="0" xfId="0" applyNumberFormat="1" applyFill="1" applyBorder="1" applyAlignment="1">
      <alignment vertical="top"/>
    </xf>
    <xf numFmtId="0" fontId="4" fillId="3" borderId="0" xfId="0" applyFont="1" applyFill="1" applyBorder="1" applyAlignment="1">
      <alignment wrapText="1"/>
    </xf>
    <xf numFmtId="173" fontId="61" fillId="4" borderId="0" xfId="0" applyNumberFormat="1" applyFont="1" applyFill="1" applyBorder="1" applyAlignment="1">
      <alignment vertical="top"/>
    </xf>
    <xf numFmtId="173" fontId="61" fillId="4" borderId="0" xfId="0" applyNumberFormat="1" applyFont="1" applyFill="1" applyBorder="1" applyAlignment="1">
      <alignment vertical="top" wrapText="1"/>
    </xf>
    <xf numFmtId="173" fontId="61" fillId="4" borderId="0" xfId="0" applyNumberFormat="1" applyFont="1" applyFill="1" applyBorder="1" applyAlignment="1">
      <alignment horizontal="right" vertical="top" wrapText="1"/>
    </xf>
    <xf numFmtId="0" fontId="17" fillId="12" borderId="0" xfId="0" applyFont="1" applyFill="1" applyBorder="1" applyAlignment="1">
      <alignment horizontal="left" vertical="top"/>
    </xf>
    <xf numFmtId="167" fontId="17" fillId="12" borderId="0" xfId="0" applyNumberFormat="1" applyFont="1" applyFill="1" applyBorder="1" applyAlignment="1">
      <alignment horizontal="left" vertical="top"/>
    </xf>
    <xf numFmtId="0" fontId="17" fillId="12" borderId="0" xfId="0" applyFont="1" applyFill="1" applyBorder="1" applyAlignment="1">
      <alignment vertical="top"/>
    </xf>
    <xf numFmtId="0" fontId="17" fillId="12" borderId="0" xfId="0" applyFont="1" applyFill="1" applyBorder="1" applyAlignment="1">
      <alignment vertical="top" wrapText="1"/>
    </xf>
    <xf numFmtId="0" fontId="33" fillId="12" borderId="0" xfId="0" applyFont="1" applyFill="1" applyBorder="1" applyAlignment="1">
      <alignment vertical="top" wrapText="1"/>
    </xf>
    <xf numFmtId="0" fontId="14" fillId="3" borderId="0" xfId="0" applyFont="1" applyFill="1" applyBorder="1" applyAlignment="1">
      <alignment horizontal="right"/>
    </xf>
    <xf numFmtId="173" fontId="238" fillId="12" borderId="0" xfId="0" applyNumberFormat="1" applyFont="1" applyFill="1" applyBorder="1" applyAlignment="1">
      <alignment vertical="top"/>
    </xf>
    <xf numFmtId="0" fontId="4" fillId="3" borderId="0" xfId="0" applyFont="1" applyFill="1" applyBorder="1" applyAlignment="1">
      <alignment horizontal="left"/>
    </xf>
    <xf numFmtId="0" fontId="238" fillId="12" borderId="0" xfId="0" applyFont="1" applyFill="1" applyBorder="1" applyAlignment="1">
      <alignment horizontal="center" vertical="top"/>
    </xf>
    <xf numFmtId="0" fontId="16" fillId="12" borderId="0" xfId="0" applyFont="1" applyFill="1" applyBorder="1" applyAlignment="1">
      <alignment horizontal="right" vertical="center"/>
    </xf>
    <xf numFmtId="0" fontId="16" fillId="3" borderId="0" xfId="0" applyFont="1" applyFill="1" applyBorder="1" applyAlignment="1">
      <alignment horizontal="right" vertical="center"/>
    </xf>
    <xf numFmtId="173" fontId="53" fillId="3" borderId="0" xfId="0" applyNumberFormat="1" applyFont="1" applyFill="1" applyBorder="1" applyAlignment="1">
      <alignment vertical="center"/>
    </xf>
    <xf numFmtId="173" fontId="53" fillId="3" borderId="0" xfId="0" applyNumberFormat="1" applyFont="1" applyFill="1" applyBorder="1">
      <alignment horizontal="left" vertical="center"/>
    </xf>
    <xf numFmtId="173" fontId="53" fillId="12" borderId="0" xfId="0" applyNumberFormat="1" applyFont="1" applyFill="1" applyBorder="1" applyAlignment="1">
      <alignment vertical="center"/>
    </xf>
    <xf numFmtId="172" fontId="26" fillId="12" borderId="0" xfId="0" applyNumberFormat="1" applyFont="1" applyFill="1" applyBorder="1" applyAlignment="1">
      <alignment horizontal="left" vertical="top" readingOrder="1"/>
    </xf>
    <xf numFmtId="0" fontId="16" fillId="3" borderId="23" xfId="0" applyFont="1" applyFill="1" applyBorder="1" applyAlignment="1">
      <alignment horizontal="right"/>
    </xf>
    <xf numFmtId="173" fontId="105" fillId="3" borderId="22" xfId="0" applyNumberFormat="1" applyFont="1" applyFill="1" applyBorder="1" applyAlignment="1">
      <alignment vertical="top" wrapText="1"/>
    </xf>
    <xf numFmtId="0" fontId="4" fillId="2" borderId="25" xfId="0" applyFill="1" applyBorder="1" applyAlignment="1">
      <alignment horizontal="right" vertical="center"/>
    </xf>
    <xf numFmtId="0" fontId="40" fillId="2" borderId="16" xfId="0" applyFont="1" applyFill="1" applyBorder="1" applyAlignment="1">
      <alignment horizontal="center" vertical="center"/>
    </xf>
    <xf numFmtId="0" fontId="4" fillId="27" borderId="24" xfId="0" applyFill="1" applyBorder="1">
      <alignment horizontal="left" vertical="center"/>
    </xf>
    <xf numFmtId="0" fontId="4" fillId="27" borderId="22" xfId="0" applyFill="1" applyBorder="1">
      <alignment horizontal="left" vertical="center"/>
    </xf>
    <xf numFmtId="0" fontId="4" fillId="30" borderId="0" xfId="0" applyFill="1" applyBorder="1">
      <alignment horizontal="left" vertical="center"/>
    </xf>
    <xf numFmtId="17" fontId="46" fillId="3" borderId="20" xfId="24" applyFont="1" applyFill="1" applyBorder="1">
      <alignment horizontal="center" vertical="center"/>
    </xf>
    <xf numFmtId="17" fontId="46" fillId="3" borderId="38" xfId="24" applyFont="1" applyFill="1" applyBorder="1">
      <alignment horizontal="center" vertical="center"/>
    </xf>
    <xf numFmtId="14" fontId="34" fillId="3" borderId="24" xfId="0" applyNumberFormat="1" applyFont="1" applyFill="1" applyBorder="1" applyAlignment="1">
      <alignment horizontal="center"/>
    </xf>
    <xf numFmtId="0" fontId="34" fillId="3" borderId="25" xfId="0" applyFont="1" applyFill="1" applyBorder="1">
      <alignment horizontal="left" vertical="center"/>
    </xf>
    <xf numFmtId="0" fontId="34" fillId="3" borderId="25" xfId="0" applyFont="1" applyFill="1" applyBorder="1" applyAlignment="1">
      <alignment horizontal="center" vertical="center"/>
    </xf>
    <xf numFmtId="14" fontId="34" fillId="3" borderId="25" xfId="0" applyNumberFormat="1" applyFont="1" applyFill="1" applyBorder="1">
      <alignment horizontal="left" vertical="center"/>
    </xf>
    <xf numFmtId="0" fontId="34" fillId="3" borderId="25" xfId="0" applyFont="1" applyFill="1" applyBorder="1" applyAlignment="1">
      <alignment horizontal="center"/>
    </xf>
    <xf numFmtId="0" fontId="34" fillId="3" borderId="29" xfId="0" applyFont="1" applyFill="1" applyBorder="1">
      <alignment horizontal="left" vertical="center"/>
    </xf>
    <xf numFmtId="0" fontId="34" fillId="3" borderId="0" xfId="0" applyFont="1" applyFill="1" applyBorder="1" applyAlignment="1">
      <alignment horizontal="center" vertical="center"/>
    </xf>
    <xf numFmtId="0" fontId="34" fillId="3" borderId="0" xfId="0" applyFont="1" applyFill="1" applyBorder="1" applyAlignment="1">
      <alignment horizontal="center"/>
    </xf>
    <xf numFmtId="0" fontId="34" fillId="3" borderId="27" xfId="0" applyFont="1" applyFill="1" applyBorder="1">
      <alignment horizontal="left" vertical="center"/>
    </xf>
    <xf numFmtId="1" fontId="34" fillId="3" borderId="34" xfId="4" applyNumberFormat="1" applyFont="1" applyFill="1" applyBorder="1" applyAlignment="1">
      <alignment horizontal="center" vertical="center"/>
    </xf>
    <xf numFmtId="1" fontId="34" fillId="3" borderId="27" xfId="4" applyNumberFormat="1" applyFont="1" applyFill="1" applyBorder="1" applyAlignment="1">
      <alignment horizontal="center" vertical="center"/>
    </xf>
    <xf numFmtId="1" fontId="34" fillId="3" borderId="0" xfId="0" applyNumberFormat="1" applyFont="1" applyFill="1" applyBorder="1" applyAlignment="1">
      <alignment horizontal="center" vertical="center"/>
    </xf>
    <xf numFmtId="1" fontId="34" fillId="3" borderId="27" xfId="0" applyNumberFormat="1" applyFont="1" applyFill="1" applyBorder="1" applyAlignment="1">
      <alignment horizontal="center" vertical="center"/>
    </xf>
    <xf numFmtId="0" fontId="69" fillId="12" borderId="0" xfId="46" applyFont="1" applyFill="1" applyBorder="1">
      <alignment horizontal="left" vertical="center"/>
    </xf>
    <xf numFmtId="0" fontId="87" fillId="8" borderId="0" xfId="0" applyFont="1" applyFill="1" applyBorder="1" applyAlignment="1">
      <alignment vertical="top"/>
    </xf>
    <xf numFmtId="0" fontId="69" fillId="8" borderId="0" xfId="46" applyFont="1" applyFill="1" applyBorder="1">
      <alignment horizontal="left" vertical="center"/>
    </xf>
    <xf numFmtId="0" fontId="16" fillId="8" borderId="0" xfId="0" applyFont="1" applyFill="1" applyBorder="1" applyAlignment="1">
      <alignment horizontal="right"/>
    </xf>
    <xf numFmtId="0" fontId="238" fillId="8" borderId="0" xfId="0" applyFont="1" applyFill="1" applyBorder="1" applyAlignment="1">
      <alignment vertical="center" wrapText="1"/>
    </xf>
    <xf numFmtId="0" fontId="4" fillId="8" borderId="0" xfId="0" applyFill="1" applyBorder="1" applyAlignment="1">
      <alignment vertical="center" wrapText="1"/>
    </xf>
    <xf numFmtId="0" fontId="40" fillId="3" borderId="0" xfId="0" applyFont="1" applyFill="1" applyBorder="1" applyAlignment="1">
      <alignment vertical="top"/>
    </xf>
    <xf numFmtId="0" fontId="4" fillId="8" borderId="0" xfId="0" applyFill="1" applyBorder="1" applyAlignment="1">
      <alignment horizontal="center" vertical="center"/>
    </xf>
    <xf numFmtId="0" fontId="122" fillId="12" borderId="0" xfId="0" applyFont="1" applyFill="1" applyBorder="1" applyAlignment="1">
      <alignment vertical="top"/>
    </xf>
    <xf numFmtId="0" fontId="60" fillId="19" borderId="0" xfId="0" applyFont="1" applyFill="1" applyAlignment="1">
      <alignment horizontal="centerContinuous" vertical="center"/>
    </xf>
    <xf numFmtId="0" fontId="53" fillId="3" borderId="0" xfId="0" applyFont="1" applyFill="1" applyBorder="1" applyAlignment="1">
      <alignment/>
    </xf>
    <xf numFmtId="0" fontId="53" fillId="3" borderId="23" xfId="0" applyFont="1" applyFill="1" applyBorder="1" applyAlignment="1">
      <alignment/>
    </xf>
    <xf numFmtId="0" fontId="14" fillId="19" borderId="0" xfId="0" applyFont="1" applyFill="1" applyBorder="1" applyAlignment="1">
      <alignment horizontal="center" vertical="center"/>
    </xf>
    <xf numFmtId="0" fontId="126" fillId="3" borderId="0" xfId="15" applyFont="1" applyFill="1" applyBorder="1">
      <alignment vertical="center"/>
      <protection/>
    </xf>
    <xf numFmtId="0" fontId="4" fillId="0" borderId="42" xfId="0" applyBorder="1" applyAlignment="1">
      <alignment horizontal="left" vertical="center" wrapText="1" readingOrder="1"/>
    </xf>
    <xf numFmtId="0" fontId="26" fillId="8" borderId="17" xfId="0" applyFont="1" applyFill="1" applyBorder="1" applyAlignment="1">
      <alignment horizontal="left" vertical="center" wrapText="1" readingOrder="1"/>
    </xf>
    <xf numFmtId="0" fontId="4" fillId="30" borderId="0" xfId="0" applyFont="1" applyFill="1" applyProtection="1">
      <alignment horizontal="left" vertical="center"/>
      <protection hidden="1"/>
    </xf>
    <xf numFmtId="0" fontId="4" fillId="0" borderId="0" xfId="0" applyFont="1" applyProtection="1">
      <alignment horizontal="left" vertical="center"/>
      <protection hidden="1"/>
    </xf>
    <xf numFmtId="0" fontId="4" fillId="0" borderId="0" xfId="0" applyFont="1" applyAlignment="1" applyProtection="1">
      <alignment wrapText="1"/>
      <protection hidden="1"/>
    </xf>
    <xf numFmtId="0" fontId="4" fillId="0" borderId="0" xfId="0" applyFont="1" applyAlignment="1" applyProtection="1">
      <alignment horizontal="center" vertical="center"/>
      <protection hidden="1"/>
    </xf>
    <xf numFmtId="0" fontId="4" fillId="2" borderId="0" xfId="0" applyFont="1" applyFill="1" applyProtection="1">
      <alignment horizontal="left" vertical="center"/>
      <protection hidden="1"/>
    </xf>
    <xf numFmtId="0" fontId="23" fillId="2" borderId="25" xfId="0" applyFont="1" applyFill="1" applyBorder="1" applyAlignment="1" applyProtection="1">
      <alignment horizontal="right"/>
      <protection hidden="1"/>
    </xf>
    <xf numFmtId="0" fontId="4" fillId="2" borderId="25" xfId="0" applyFont="1" applyFill="1" applyBorder="1" applyProtection="1">
      <alignment horizontal="left" vertical="center"/>
      <protection hidden="1"/>
    </xf>
    <xf numFmtId="0" fontId="4" fillId="2" borderId="25" xfId="0" applyFont="1" applyFill="1" applyBorder="1" applyAlignment="1" applyProtection="1">
      <alignment wrapText="1"/>
      <protection hidden="1"/>
    </xf>
    <xf numFmtId="0" fontId="4" fillId="2" borderId="29" xfId="0" applyFont="1" applyFill="1" applyBorder="1" applyAlignment="1" applyProtection="1">
      <alignment horizontal="center" vertical="center"/>
      <protection hidden="1"/>
    </xf>
    <xf numFmtId="0" fontId="23" fillId="2" borderId="0" xfId="0" applyFont="1" applyFill="1" applyBorder="1" applyAlignment="1" applyProtection="1">
      <alignment horizontal="right"/>
      <protection hidden="1"/>
    </xf>
    <xf numFmtId="0" fontId="4" fillId="2" borderId="0" xfId="0" applyFont="1" applyFill="1" applyBorder="1" applyProtection="1">
      <alignment horizontal="left" vertical="center"/>
      <protection hidden="1"/>
    </xf>
    <xf numFmtId="0" fontId="4" fillId="2" borderId="0" xfId="0" applyFill="1" applyBorder="1" applyAlignment="1" applyProtection="1">
      <alignment horizontal="right" vertical="center"/>
      <protection hidden="1"/>
    </xf>
    <xf numFmtId="0" fontId="4" fillId="2" borderId="0" xfId="0" applyFont="1" applyFill="1" applyBorder="1" applyAlignment="1" applyProtection="1">
      <alignment wrapText="1"/>
      <protection hidden="1"/>
    </xf>
    <xf numFmtId="0" fontId="4" fillId="2" borderId="27" xfId="0" applyFont="1" applyFill="1" applyBorder="1" applyAlignment="1" applyProtection="1">
      <alignment horizontal="center" vertical="center"/>
      <protection hidden="1"/>
    </xf>
    <xf numFmtId="0" fontId="4" fillId="2" borderId="22" xfId="0" applyFont="1" applyFill="1" applyBorder="1" applyProtection="1">
      <alignment horizontal="left" vertical="center"/>
      <protection hidden="1"/>
    </xf>
    <xf numFmtId="0" fontId="25" fillId="2" borderId="0" xfId="0" applyFont="1" applyFill="1" applyBorder="1" applyProtection="1">
      <alignment horizontal="left" vertical="center"/>
      <protection hidden="1"/>
    </xf>
    <xf numFmtId="0" fontId="40" fillId="2" borderId="0" xfId="0" applyFont="1" applyFill="1" applyBorder="1" applyAlignment="1" applyProtection="1">
      <alignment horizontal="center" vertical="center"/>
      <protection hidden="1"/>
    </xf>
    <xf numFmtId="0" fontId="4" fillId="2" borderId="26" xfId="0" applyFont="1" applyFill="1" applyBorder="1" applyProtection="1">
      <alignment horizontal="left" vertical="center"/>
      <protection hidden="1"/>
    </xf>
    <xf numFmtId="0" fontId="4" fillId="2" borderId="23" xfId="0" applyFont="1" applyFill="1" applyBorder="1" applyProtection="1">
      <alignment horizontal="left" vertical="center"/>
      <protection hidden="1"/>
    </xf>
    <xf numFmtId="0" fontId="25" fillId="2" borderId="23" xfId="0" applyFont="1" applyFill="1" applyBorder="1" applyProtection="1">
      <alignment horizontal="left" vertical="center"/>
      <protection hidden="1"/>
    </xf>
    <xf numFmtId="0" fontId="4" fillId="2" borderId="23" xfId="0" applyFont="1" applyFill="1" applyBorder="1" applyAlignment="1" applyProtection="1">
      <alignment wrapText="1"/>
      <protection hidden="1"/>
    </xf>
    <xf numFmtId="0" fontId="4" fillId="12" borderId="24" xfId="0" applyFont="1" applyFill="1" applyBorder="1" applyProtection="1">
      <alignment horizontal="left" vertical="center"/>
      <protection hidden="1"/>
    </xf>
    <xf numFmtId="0" fontId="4" fillId="12" borderId="25" xfId="0" applyFont="1" applyFill="1" applyBorder="1" applyProtection="1">
      <alignment horizontal="left" vertical="center"/>
      <protection hidden="1"/>
    </xf>
    <xf numFmtId="0" fontId="4" fillId="12" borderId="22" xfId="0" applyFont="1" applyFill="1" applyBorder="1" applyProtection="1">
      <alignment horizontal="left" vertical="center"/>
      <protection hidden="1"/>
    </xf>
    <xf numFmtId="0" fontId="4" fillId="12" borderId="0" xfId="0" applyFont="1" applyFill="1" applyBorder="1" applyProtection="1">
      <alignment horizontal="left" vertical="center"/>
      <protection hidden="1"/>
    </xf>
    <xf numFmtId="0" fontId="4" fillId="12" borderId="0" xfId="0" applyFont="1" applyFill="1" applyBorder="1" applyAlignment="1" applyProtection="1">
      <alignment wrapText="1"/>
      <protection hidden="1"/>
    </xf>
    <xf numFmtId="0" fontId="4" fillId="3" borderId="0" xfId="0" applyFont="1" applyFill="1" applyProtection="1">
      <alignment horizontal="left" vertical="center"/>
      <protection hidden="1"/>
    </xf>
    <xf numFmtId="0" fontId="4" fillId="12" borderId="27" xfId="0" applyFont="1" applyFill="1" applyBorder="1" applyAlignment="1" applyProtection="1">
      <alignment horizontal="center" vertical="center"/>
      <protection hidden="1"/>
    </xf>
    <xf numFmtId="0" fontId="4" fillId="3" borderId="0" xfId="0" applyFont="1" applyFill="1" applyBorder="1" applyAlignment="1" applyProtection="1">
      <alignment horizontal="center" vertical="center"/>
      <protection hidden="1"/>
    </xf>
    <xf numFmtId="0" fontId="53" fillId="3" borderId="0" xfId="14" applyFont="1" applyFill="1" applyProtection="1">
      <alignment horizontal="left" vertical="center"/>
      <protection hidden="1"/>
    </xf>
    <xf numFmtId="0" fontId="23" fillId="12" borderId="0" xfId="0" applyFont="1" applyFill="1" applyBorder="1" applyAlignment="1" applyProtection="1">
      <alignment horizontal="right"/>
      <protection hidden="1"/>
    </xf>
    <xf numFmtId="0" fontId="113" fillId="12" borderId="0" xfId="0" applyFont="1" applyFill="1" applyBorder="1" applyProtection="1">
      <alignment horizontal="left" vertical="center"/>
      <protection hidden="1"/>
    </xf>
    <xf numFmtId="0" fontId="4" fillId="3" borderId="0" xfId="0" applyFont="1" applyFill="1" applyBorder="1" applyProtection="1">
      <alignment horizontal="left" vertical="center"/>
      <protection hidden="1"/>
    </xf>
    <xf numFmtId="0" fontId="16" fillId="12" borderId="22" xfId="0" applyFont="1" applyFill="1" applyBorder="1" applyProtection="1">
      <alignment horizontal="left" vertical="center"/>
      <protection hidden="1"/>
    </xf>
    <xf numFmtId="0" fontId="16" fillId="12" borderId="0" xfId="0" applyFont="1" applyFill="1" applyBorder="1" applyProtection="1">
      <alignment horizontal="left" vertical="center"/>
      <protection hidden="1"/>
    </xf>
    <xf numFmtId="0" fontId="112" fillId="12" borderId="0" xfId="14" applyFont="1" applyFill="1" applyAlignment="1" applyProtection="1">
      <alignment horizontal="right" vertical="center"/>
      <protection hidden="1"/>
    </xf>
    <xf numFmtId="0" fontId="81" fillId="12" borderId="2" xfId="46" applyFont="1" applyFill="1" applyAlignment="1" applyProtection="1">
      <alignment vertical="center"/>
      <protection hidden="1"/>
    </xf>
    <xf numFmtId="0" fontId="16" fillId="12" borderId="2" xfId="46" applyFont="1" applyFill="1" applyAlignment="1" applyProtection="1">
      <alignment horizontal="left" vertical="center" indent="1"/>
      <protection hidden="1"/>
    </xf>
    <xf numFmtId="0" fontId="16" fillId="12" borderId="2" xfId="46" applyFont="1" applyFill="1" applyAlignment="1" applyProtection="1">
      <alignment wrapText="1"/>
      <protection hidden="1"/>
    </xf>
    <xf numFmtId="0" fontId="16" fillId="3" borderId="2" xfId="46" applyFont="1" applyFill="1" applyAlignment="1" applyProtection="1">
      <alignment horizontal="left" vertical="center" indent="1"/>
      <protection hidden="1"/>
    </xf>
    <xf numFmtId="0" fontId="16" fillId="12" borderId="27" xfId="0" applyFont="1" applyFill="1" applyBorder="1" applyAlignment="1" applyProtection="1">
      <alignment horizontal="center" vertical="center"/>
      <protection hidden="1"/>
    </xf>
    <xf numFmtId="0" fontId="81" fillId="12" borderId="0" xfId="46" applyFont="1" applyFill="1" applyBorder="1" applyAlignment="1" applyProtection="1">
      <alignment vertical="center"/>
      <protection hidden="1"/>
    </xf>
    <xf numFmtId="0" fontId="16" fillId="12" borderId="0" xfId="46" applyFont="1" applyFill="1" applyBorder="1" applyAlignment="1" applyProtection="1">
      <alignment horizontal="left" vertical="center" indent="1"/>
      <protection hidden="1"/>
    </xf>
    <xf numFmtId="0" fontId="4" fillId="3" borderId="0" xfId="0" applyFill="1" applyProtection="1">
      <alignment horizontal="left" vertical="center"/>
      <protection hidden="1"/>
    </xf>
    <xf numFmtId="0" fontId="22" fillId="12" borderId="0" xfId="0" applyFont="1" applyFill="1" applyBorder="1" applyAlignment="1" applyProtection="1">
      <alignment horizontal="right"/>
      <protection hidden="1"/>
    </xf>
    <xf numFmtId="0" fontId="16" fillId="3" borderId="0" xfId="0" applyFont="1" applyFill="1" applyBorder="1" applyProtection="1">
      <alignment horizontal="left" vertical="center"/>
      <protection hidden="1"/>
    </xf>
    <xf numFmtId="180" fontId="114" fillId="12" borderId="0" xfId="0" applyNumberFormat="1" applyFont="1" applyFill="1" applyBorder="1" applyAlignment="1" applyProtection="1">
      <alignment horizontal="center" wrapText="1"/>
      <protection hidden="1"/>
    </xf>
    <xf numFmtId="0" fontId="15" fillId="12" borderId="0" xfId="0" applyFont="1" applyFill="1" applyBorder="1" applyAlignment="1" applyProtection="1">
      <alignment horizontal="center"/>
      <protection hidden="1"/>
    </xf>
    <xf numFmtId="166" fontId="23" fillId="12" borderId="0" xfId="0" applyNumberFormat="1" applyFont="1" applyFill="1" applyBorder="1" applyAlignment="1" applyProtection="1">
      <alignment horizontal="right"/>
      <protection hidden="1"/>
    </xf>
    <xf numFmtId="0" fontId="4" fillId="3" borderId="0" xfId="0" applyFill="1" applyBorder="1" applyAlignment="1" applyProtection="1">
      <alignment horizontal="center"/>
      <protection hidden="1"/>
    </xf>
    <xf numFmtId="205" fontId="4" fillId="3" borderId="0" xfId="48" applyFont="1" applyBorder="1" applyAlignment="1" applyProtection="1">
      <alignment horizontal="left" vertical="center" indent="1"/>
      <protection hidden="1"/>
    </xf>
    <xf numFmtId="0" fontId="47" fillId="8" borderId="25" xfId="0" applyFont="1" applyFill="1" applyBorder="1" applyProtection="1">
      <alignment horizontal="left" vertical="center"/>
      <protection hidden="1"/>
    </xf>
    <xf numFmtId="0" fontId="5" fillId="8" borderId="25" xfId="0" applyFont="1" applyFill="1" applyBorder="1" applyProtection="1">
      <alignment horizontal="left" vertical="center"/>
      <protection hidden="1"/>
    </xf>
    <xf numFmtId="180" fontId="118" fillId="8" borderId="25" xfId="0" applyNumberFormat="1" applyFont="1" applyFill="1" applyBorder="1" applyAlignment="1" applyProtection="1">
      <alignment horizontal="center" wrapText="1"/>
      <protection hidden="1"/>
    </xf>
    <xf numFmtId="205" fontId="20" fillId="8" borderId="29" xfId="48" applyFont="1" applyFill="1" applyBorder="1" applyAlignment="1" applyProtection="1">
      <alignment horizontal="center"/>
      <protection hidden="1"/>
    </xf>
    <xf numFmtId="0" fontId="4" fillId="8" borderId="0" xfId="0" applyFont="1" applyFill="1" applyBorder="1" applyProtection="1">
      <alignment horizontal="left" vertical="center"/>
      <protection hidden="1"/>
    </xf>
    <xf numFmtId="180" fontId="47" fillId="8" borderId="0" xfId="0" applyNumberFormat="1" applyFont="1" applyFill="1" applyBorder="1" applyAlignment="1" applyProtection="1">
      <alignment horizontal="center" wrapText="1"/>
      <protection hidden="1"/>
    </xf>
    <xf numFmtId="15" fontId="34" fillId="8" borderId="0" xfId="18" applyNumberFormat="1" applyFont="1" applyFill="1" applyBorder="1" applyAlignment="1" applyProtection="1">
      <alignment horizontal="center"/>
      <protection hidden="1"/>
    </xf>
    <xf numFmtId="180" fontId="47" fillId="8" borderId="47" xfId="0" applyNumberFormat="1" applyFont="1" applyFill="1" applyBorder="1" applyAlignment="1" applyProtection="1">
      <alignment horizontal="center" shrinkToFit="1"/>
      <protection hidden="1"/>
    </xf>
    <xf numFmtId="205" fontId="20" fillId="8" borderId="27" xfId="48" applyFont="1" applyFill="1" applyBorder="1" applyAlignment="1" applyProtection="1">
      <alignment horizontal="center"/>
      <protection hidden="1"/>
    </xf>
    <xf numFmtId="188" fontId="34" fillId="8" borderId="0" xfId="6" applyNumberFormat="1" applyFont="1" applyFill="1" applyBorder="1" applyAlignment="1" applyProtection="1" quotePrefix="1">
      <alignment horizontal="center" wrapText="1"/>
      <protection hidden="1"/>
    </xf>
    <xf numFmtId="0" fontId="29" fillId="8" borderId="23" xfId="0" applyFont="1" applyFill="1" applyBorder="1" applyProtection="1">
      <alignment horizontal="left" vertical="center"/>
      <protection hidden="1"/>
    </xf>
    <xf numFmtId="0" fontId="4" fillId="8" borderId="23" xfId="0" applyFont="1" applyFill="1" applyBorder="1" applyProtection="1">
      <alignment horizontal="left" vertical="center"/>
      <protection hidden="1"/>
    </xf>
    <xf numFmtId="166" fontId="238" fillId="8" borderId="23" xfId="0" applyNumberFormat="1" applyFont="1" applyFill="1" applyBorder="1" applyAlignment="1" applyProtection="1">
      <alignment horizontal="right"/>
      <protection hidden="1"/>
    </xf>
    <xf numFmtId="166" fontId="22" fillId="8" borderId="23" xfId="0" applyNumberFormat="1" applyFont="1" applyFill="1" applyBorder="1" applyAlignment="1" applyProtection="1">
      <alignment horizontal="center" wrapText="1"/>
      <protection hidden="1"/>
    </xf>
    <xf numFmtId="14" fontId="29" fillId="8" borderId="28" xfId="0" applyNumberFormat="1" applyFont="1" applyFill="1" applyBorder="1" applyAlignment="1" applyProtection="1">
      <alignment horizontal="right"/>
      <protection hidden="1"/>
    </xf>
    <xf numFmtId="0" fontId="29" fillId="3" borderId="0" xfId="0" applyFont="1" applyFill="1" applyBorder="1" applyProtection="1">
      <alignment horizontal="left" vertical="center"/>
      <protection hidden="1"/>
    </xf>
    <xf numFmtId="166" fontId="22" fillId="3" borderId="0" xfId="0" applyNumberFormat="1" applyFont="1" applyFill="1" applyBorder="1" applyAlignment="1" applyProtection="1">
      <alignment horizontal="center" wrapText="1"/>
      <protection hidden="1"/>
    </xf>
    <xf numFmtId="166" fontId="238" fillId="3" borderId="0" xfId="0" applyNumberFormat="1" applyFont="1" applyFill="1" applyBorder="1" applyAlignment="1" applyProtection="1">
      <alignment horizontal="right"/>
      <protection hidden="1"/>
    </xf>
    <xf numFmtId="177" fontId="116" fillId="3" borderId="0" xfId="4" applyNumberFormat="1" applyFont="1" applyFill="1" applyBorder="1" applyAlignment="1" applyProtection="1">
      <alignment horizontal="center" vertical="center" wrapText="1"/>
      <protection hidden="1"/>
    </xf>
    <xf numFmtId="0" fontId="29" fillId="12" borderId="0" xfId="0" applyFont="1" applyFill="1" applyBorder="1" applyProtection="1">
      <alignment horizontal="left" vertical="center"/>
      <protection hidden="1"/>
    </xf>
    <xf numFmtId="166" fontId="16" fillId="12" borderId="0" xfId="0" applyNumberFormat="1" applyFont="1" applyFill="1" applyBorder="1" applyAlignment="1" applyProtection="1">
      <alignment horizontal="center" wrapText="1"/>
      <protection hidden="1"/>
    </xf>
    <xf numFmtId="166" fontId="21" fillId="12" borderId="0" xfId="0" applyNumberFormat="1" applyFont="1" applyFill="1" applyBorder="1" applyAlignment="1" applyProtection="1">
      <alignment horizontal="center"/>
      <protection hidden="1"/>
    </xf>
    <xf numFmtId="14" fontId="4" fillId="12" borderId="0" xfId="0" applyNumberFormat="1" applyFont="1" applyFill="1" applyBorder="1" applyAlignment="1" applyProtection="1">
      <alignment horizontal="center"/>
      <protection hidden="1"/>
    </xf>
    <xf numFmtId="14" fontId="4" fillId="12" borderId="0" xfId="0" applyNumberFormat="1" applyFont="1" applyFill="1" applyBorder="1" applyAlignment="1" applyProtection="1">
      <alignment horizontal="right"/>
      <protection hidden="1"/>
    </xf>
    <xf numFmtId="166" fontId="4" fillId="12" borderId="0" xfId="0" applyNumberFormat="1" applyFont="1" applyFill="1" applyBorder="1" applyAlignment="1" applyProtection="1">
      <alignment horizontal="center"/>
      <protection hidden="1"/>
    </xf>
    <xf numFmtId="43" fontId="4" fillId="12" borderId="0" xfId="4" applyFont="1" applyFill="1" applyBorder="1" applyAlignment="1" applyProtection="1">
      <alignment vertical="top"/>
      <protection hidden="1"/>
    </xf>
    <xf numFmtId="0" fontId="4" fillId="3" borderId="0" xfId="0" applyFill="1" applyBorder="1" applyAlignment="1" applyProtection="1">
      <alignment horizontal="center" vertical="center"/>
      <protection hidden="1"/>
    </xf>
    <xf numFmtId="166" fontId="22" fillId="3" borderId="0" xfId="0" applyNumberFormat="1" applyFont="1" applyFill="1" applyBorder="1" applyAlignment="1" applyProtection="1">
      <alignment horizontal="right" vertical="center"/>
      <protection hidden="1"/>
    </xf>
    <xf numFmtId="43" fontId="4" fillId="12" borderId="0" xfId="4" applyFont="1" applyFill="1" applyBorder="1" applyAlignment="1" applyProtection="1">
      <alignment vertical="center"/>
      <protection hidden="1"/>
    </xf>
    <xf numFmtId="166" fontId="23" fillId="3" borderId="0" xfId="0" applyNumberFormat="1" applyFont="1" applyFill="1" applyBorder="1" applyAlignment="1" applyProtection="1">
      <alignment horizontal="right"/>
      <protection hidden="1"/>
    </xf>
    <xf numFmtId="166" fontId="8" fillId="12" borderId="0" xfId="0" applyNumberFormat="1" applyFont="1" applyFill="1" applyBorder="1" applyAlignment="1" applyProtection="1">
      <alignment horizontal="right"/>
      <protection hidden="1"/>
    </xf>
    <xf numFmtId="14" fontId="35" fillId="12" borderId="0" xfId="0" applyNumberFormat="1" applyFont="1" applyFill="1" applyBorder="1" applyAlignment="1" applyProtection="1">
      <alignment horizontal="center"/>
      <protection hidden="1"/>
    </xf>
    <xf numFmtId="166" fontId="16" fillId="3" borderId="0" xfId="0" applyNumberFormat="1" applyFont="1" applyFill="1" applyBorder="1" applyAlignment="1" applyProtection="1">
      <alignment horizontal="center" wrapText="1"/>
      <protection hidden="1"/>
    </xf>
    <xf numFmtId="14" fontId="29" fillId="12" borderId="0" xfId="0" applyNumberFormat="1" applyFont="1" applyFill="1" applyBorder="1" applyAlignment="1" applyProtection="1">
      <alignment horizontal="right"/>
      <protection hidden="1"/>
    </xf>
    <xf numFmtId="166" fontId="29" fillId="12" borderId="0" xfId="0" applyNumberFormat="1" applyFont="1" applyFill="1" applyBorder="1" applyAlignment="1" applyProtection="1">
      <alignment horizontal="center"/>
      <protection hidden="1"/>
    </xf>
    <xf numFmtId="0" fontId="15" fillId="3" borderId="0" xfId="0" applyFont="1" applyFill="1" applyBorder="1" applyAlignment="1" applyProtection="1">
      <alignment vertical="top"/>
      <protection hidden="1"/>
    </xf>
    <xf numFmtId="206" fontId="15" fillId="3" borderId="0" xfId="43" applyFont="1" applyFill="1" applyBorder="1" applyAlignment="1" applyProtection="1">
      <alignment horizontal="center"/>
      <protection hidden="1"/>
    </xf>
    <xf numFmtId="0" fontId="34" fillId="12" borderId="48" xfId="46" applyFont="1" applyFill="1" applyBorder="1" applyAlignment="1" applyProtection="1">
      <alignment horizontal="center" vertical="center" wrapText="1"/>
      <protection hidden="1"/>
    </xf>
    <xf numFmtId="0" fontId="238" fillId="3" borderId="0" xfId="0" applyFont="1" applyFill="1" applyProtection="1">
      <alignment horizontal="left" vertical="center"/>
      <protection hidden="1"/>
    </xf>
    <xf numFmtId="0" fontId="130" fillId="3" borderId="0" xfId="15" applyFont="1" applyFill="1" applyBorder="1">
      <alignment vertical="center"/>
      <protection/>
    </xf>
    <xf numFmtId="0" fontId="125" fillId="3" borderId="0" xfId="0" applyFont="1" applyFill="1" applyBorder="1" applyAlignment="1">
      <alignment horizontal="left"/>
    </xf>
    <xf numFmtId="0" fontId="125" fillId="3" borderId="0" xfId="0" applyFont="1" applyFill="1" applyBorder="1" applyAlignment="1">
      <alignment horizontal="center"/>
    </xf>
    <xf numFmtId="0" fontId="15" fillId="3" borderId="23" xfId="0" applyFont="1" applyFill="1" applyBorder="1" applyAlignment="1">
      <alignment horizontal="right"/>
    </xf>
    <xf numFmtId="166" fontId="115" fillId="8" borderId="29" xfId="0" applyNumberFormat="1" applyFont="1" applyFill="1" applyBorder="1" applyAlignment="1" applyProtection="1">
      <alignment horizontal="right"/>
      <protection hidden="1"/>
    </xf>
    <xf numFmtId="14" fontId="8" fillId="8" borderId="27" xfId="0" applyNumberFormat="1" applyFont="1" applyFill="1" applyBorder="1" applyAlignment="1" applyProtection="1">
      <alignment horizontal="right"/>
      <protection hidden="1"/>
    </xf>
    <xf numFmtId="14" fontId="29" fillId="8" borderId="27" xfId="0" applyNumberFormat="1" applyFont="1" applyFill="1" applyBorder="1" applyAlignment="1" applyProtection="1">
      <alignment horizontal="right"/>
      <protection hidden="1"/>
    </xf>
    <xf numFmtId="15" fontId="34" fillId="8" borderId="25" xfId="18" applyNumberFormat="1" applyFont="1" applyFill="1" applyBorder="1" applyAlignment="1" applyProtection="1">
      <alignment horizontal="center"/>
      <protection hidden="1"/>
    </xf>
    <xf numFmtId="177" fontId="8" fillId="3" borderId="46" xfId="4" applyNumberFormat="1" applyFont="1" applyFill="1" applyBorder="1" applyAlignment="1" applyProtection="1">
      <alignment horizontal="center" vertical="center" wrapText="1"/>
      <protection hidden="1"/>
    </xf>
    <xf numFmtId="191" fontId="127" fillId="3" borderId="46" xfId="43" applyNumberFormat="1" applyFont="1" applyFill="1" applyBorder="1" applyAlignment="1" applyProtection="1">
      <alignment horizontal="center" vertical="center" wrapText="1"/>
      <protection hidden="1"/>
    </xf>
    <xf numFmtId="191" fontId="127" fillId="3" borderId="21" xfId="43" applyNumberFormat="1" applyFont="1" applyFill="1" applyBorder="1" applyAlignment="1" applyProtection="1">
      <alignment horizontal="center" vertical="center" wrapText="1"/>
      <protection hidden="1"/>
    </xf>
    <xf numFmtId="177" fontId="116" fillId="8" borderId="23" xfId="4" applyNumberFormat="1" applyFont="1" applyFill="1" applyBorder="1" applyAlignment="1" applyProtection="1">
      <alignment horizontal="center" vertical="center" wrapText="1"/>
      <protection hidden="1"/>
    </xf>
    <xf numFmtId="180" fontId="118" fillId="8" borderId="25" xfId="0" applyNumberFormat="1" applyFont="1" applyFill="1" applyBorder="1" applyAlignment="1" applyProtection="1">
      <alignment horizontal="center" shrinkToFit="1"/>
      <protection hidden="1"/>
    </xf>
    <xf numFmtId="0" fontId="34" fillId="3" borderId="0" xfId="0" applyFont="1" applyFill="1" applyAlignment="1">
      <alignment horizontal="left" vertical="top" wrapText="1" indent="1"/>
    </xf>
    <xf numFmtId="0" fontId="34" fillId="3" borderId="0" xfId="0" applyFont="1" applyFill="1" applyBorder="1" applyAlignment="1">
      <alignment horizontal="left" vertical="center" indent="3"/>
    </xf>
    <xf numFmtId="0" fontId="60" fillId="19" borderId="0" xfId="0" applyFont="1" applyFill="1" applyAlignment="1">
      <alignment horizontal="center" vertical="center"/>
    </xf>
    <xf numFmtId="0" fontId="4" fillId="0" borderId="49" xfId="0" applyBorder="1">
      <alignment horizontal="left" vertical="center"/>
    </xf>
    <xf numFmtId="0" fontId="26" fillId="31" borderId="17" xfId="0" applyFont="1" applyFill="1" applyBorder="1" applyAlignment="1">
      <alignment horizontal="left" vertical="center" wrapText="1" readingOrder="1"/>
    </xf>
    <xf numFmtId="0" fontId="26" fillId="3" borderId="17" xfId="0" applyFont="1" applyFill="1" applyBorder="1" applyAlignment="1">
      <alignment horizontal="left" vertical="center" wrapText="1" readingOrder="1"/>
    </xf>
    <xf numFmtId="180" fontId="118" fillId="4" borderId="25" xfId="0" applyNumberFormat="1" applyFont="1" applyFill="1" applyBorder="1" applyAlignment="1" applyProtection="1">
      <alignment horizontal="center" wrapText="1"/>
      <protection hidden="1"/>
    </xf>
    <xf numFmtId="0" fontId="4" fillId="4" borderId="0" xfId="0" applyFont="1" applyFill="1" applyBorder="1" applyProtection="1">
      <alignment horizontal="left" vertical="center"/>
      <protection hidden="1"/>
    </xf>
    <xf numFmtId="15" fontId="34" fillId="4" borderId="25" xfId="18" applyNumberFormat="1" applyFont="1" applyFill="1" applyBorder="1" applyAlignment="1" applyProtection="1">
      <alignment horizontal="center"/>
      <protection hidden="1"/>
    </xf>
    <xf numFmtId="180" fontId="118" fillId="4" borderId="25" xfId="0" applyNumberFormat="1" applyFont="1" applyFill="1" applyBorder="1" applyAlignment="1" applyProtection="1">
      <alignment horizontal="center" shrinkToFit="1"/>
      <protection hidden="1"/>
    </xf>
    <xf numFmtId="188" fontId="34" fillId="4" borderId="0" xfId="6" applyNumberFormat="1" applyFont="1" applyFill="1" applyBorder="1" applyAlignment="1" applyProtection="1" quotePrefix="1">
      <alignment horizontal="center" wrapText="1"/>
      <protection hidden="1"/>
    </xf>
    <xf numFmtId="208" fontId="34" fillId="4" borderId="0" xfId="6" applyFont="1" applyFill="1" applyBorder="1" applyAlignment="1" applyProtection="1" quotePrefix="1">
      <alignment horizontal="center" wrapText="1"/>
      <protection hidden="1"/>
    </xf>
    <xf numFmtId="0" fontId="46" fillId="3" borderId="0" xfId="0" applyFont="1" applyFill="1" applyAlignment="1">
      <alignment horizontal="left" vertical="top"/>
    </xf>
    <xf numFmtId="0" fontId="4" fillId="3" borderId="0" xfId="0" applyFill="1" applyAlignment="1">
      <alignment horizontal="left" vertical="top" wrapText="1"/>
    </xf>
    <xf numFmtId="0" fontId="34" fillId="3" borderId="0" xfId="0" applyFont="1" applyFill="1" applyAlignment="1">
      <alignment horizontal="left" vertical="top"/>
    </xf>
    <xf numFmtId="0" fontId="107" fillId="3" borderId="0" xfId="0" applyFont="1" applyFill="1" applyAlignment="1">
      <alignment horizontal="left" vertical="top"/>
    </xf>
    <xf numFmtId="0" fontId="90" fillId="3" borderId="0" xfId="0" applyFont="1" applyFill="1" applyAlignment="1">
      <alignment horizontal="left" vertical="top"/>
    </xf>
    <xf numFmtId="0" fontId="14" fillId="3" borderId="0" xfId="0" applyFont="1" applyFill="1" applyAlignment="1">
      <alignment horizontal="left" vertical="top"/>
    </xf>
    <xf numFmtId="0" fontId="12" fillId="3" borderId="0" xfId="0" applyFont="1" applyFill="1" applyAlignment="1">
      <alignment horizontal="left" vertical="top"/>
    </xf>
    <xf numFmtId="0" fontId="108" fillId="3" borderId="0" xfId="0" applyFont="1" applyFill="1" applyAlignment="1">
      <alignment horizontal="left" vertical="top"/>
    </xf>
    <xf numFmtId="0" fontId="91" fillId="3" borderId="0" xfId="0" applyFont="1" applyFill="1" applyAlignment="1">
      <alignment horizontal="left" vertical="top"/>
    </xf>
    <xf numFmtId="0" fontId="238" fillId="3" borderId="0" xfId="0" applyFont="1" applyFill="1" applyAlignment="1">
      <alignment horizontal="left" vertical="top"/>
    </xf>
    <xf numFmtId="0" fontId="4" fillId="3" borderId="0" xfId="0" applyFill="1" applyAlignment="1">
      <alignment horizontal="left" vertical="top"/>
    </xf>
    <xf numFmtId="0" fontId="238" fillId="3" borderId="0" xfId="0" applyFont="1" applyFill="1" applyAlignment="1">
      <alignment horizontal="left" vertical="top" wrapText="1"/>
    </xf>
    <xf numFmtId="0" fontId="5" fillId="3" borderId="0" xfId="0" applyFont="1" applyFill="1" applyAlignment="1">
      <alignment horizontal="left" vertical="top"/>
    </xf>
    <xf numFmtId="0" fontId="16" fillId="2" borderId="23" xfId="0" applyFont="1" applyFill="1" applyBorder="1">
      <alignment horizontal="left" vertical="center"/>
    </xf>
    <xf numFmtId="0" fontId="81" fillId="12" borderId="0" xfId="15" applyFill="1" applyBorder="1">
      <alignment vertical="center"/>
      <protection/>
    </xf>
    <xf numFmtId="0" fontId="37" fillId="2" borderId="25" xfId="0" applyFont="1" applyFill="1" applyBorder="1" applyAlignment="1">
      <alignment horizontal="right" vertical="center"/>
    </xf>
    <xf numFmtId="0" fontId="61" fillId="3" borderId="20" xfId="0" applyFont="1" applyFill="1" applyBorder="1" applyAlignment="1">
      <alignment horizontal="right" vertical="center"/>
    </xf>
    <xf numFmtId="0" fontId="4" fillId="0" borderId="0" xfId="0" applyAlignment="1">
      <alignment horizontal="right" vertical="center"/>
    </xf>
    <xf numFmtId="0" fontId="4" fillId="3" borderId="26" xfId="0" applyFill="1" applyBorder="1" applyAlignment="1">
      <alignment horizontal="center" vertical="center"/>
    </xf>
    <xf numFmtId="0" fontId="4" fillId="2" borderId="0" xfId="0" applyFill="1" applyAlignment="1">
      <alignment horizontal="center" vertical="center"/>
    </xf>
    <xf numFmtId="0" fontId="46" fillId="2" borderId="0" xfId="0" applyFont="1" applyFill="1">
      <alignment horizontal="left" vertical="center"/>
    </xf>
    <xf numFmtId="206" fontId="4" fillId="3" borderId="17" xfId="43" applyFont="1" applyFill="1" applyBorder="1" applyAlignment="1" applyProtection="1">
      <alignment horizontal="right" vertical="center"/>
      <protection hidden="1"/>
    </xf>
    <xf numFmtId="1" fontId="4" fillId="12" borderId="0" xfId="0" applyNumberFormat="1" applyFill="1" applyBorder="1" applyAlignment="1">
      <alignment horizontal="center" vertical="center"/>
    </xf>
    <xf numFmtId="0" fontId="238" fillId="3" borderId="0" xfId="0" applyFont="1" applyFill="1" applyBorder="1" applyAlignment="1">
      <alignment horizontal="right" vertical="center"/>
    </xf>
    <xf numFmtId="0" fontId="102" fillId="3" borderId="23" xfId="0" applyFont="1" applyFill="1" applyBorder="1">
      <alignment horizontal="left" vertical="center"/>
    </xf>
    <xf numFmtId="0" fontId="34" fillId="3" borderId="23" xfId="0" applyFont="1" applyFill="1" applyBorder="1">
      <alignment horizontal="left" vertical="center"/>
    </xf>
    <xf numFmtId="194" fontId="4" fillId="3" borderId="0" xfId="0" applyNumberFormat="1" applyFill="1" applyBorder="1" applyAlignment="1">
      <alignment horizontal="center" vertical="center"/>
    </xf>
    <xf numFmtId="194" fontId="4" fillId="3" borderId="20" xfId="0" applyNumberFormat="1" applyFill="1" applyBorder="1" applyAlignment="1">
      <alignment horizontal="center" vertical="center"/>
    </xf>
    <xf numFmtId="0" fontId="238" fillId="3" borderId="20" xfId="0" applyFont="1" applyFill="1" applyBorder="1" applyAlignment="1">
      <alignment horizontal="right" vertical="center"/>
    </xf>
    <xf numFmtId="0" fontId="238" fillId="3" borderId="20" xfId="0" applyFont="1" applyFill="1" applyBorder="1" applyAlignment="1">
      <alignment horizontal="center" vertical="center"/>
    </xf>
    <xf numFmtId="0" fontId="34" fillId="3" borderId="20" xfId="7" applyFont="1" applyFill="1" applyBorder="1">
      <alignment horizontal="center" vertical="center" shrinkToFit="1"/>
    </xf>
    <xf numFmtId="0" fontId="62" fillId="2" borderId="0" xfId="0" applyFont="1" applyFill="1" applyBorder="1" applyAlignment="1">
      <alignment horizontal="center" vertical="center"/>
    </xf>
    <xf numFmtId="206" fontId="4" fillId="3" borderId="43" xfId="43" applyFont="1" applyFill="1" applyBorder="1" applyAlignment="1" applyProtection="1">
      <alignment horizontal="right" vertical="center"/>
      <protection hidden="1"/>
    </xf>
    <xf numFmtId="0" fontId="4" fillId="3" borderId="25" xfId="0" applyFill="1" applyBorder="1" applyAlignment="1">
      <alignment horizontal="center" vertical="center"/>
    </xf>
    <xf numFmtId="0" fontId="75" fillId="3" borderId="46" xfId="0" applyFont="1" applyFill="1" applyBorder="1" applyAlignment="1">
      <alignment horizontal="center"/>
    </xf>
    <xf numFmtId="0" fontId="75" fillId="3" borderId="21" xfId="0" applyFont="1" applyFill="1" applyBorder="1" applyAlignment="1">
      <alignment horizontal="center"/>
    </xf>
    <xf numFmtId="0" fontId="238" fillId="3" borderId="25" xfId="0" applyFont="1" applyFill="1" applyBorder="1" applyAlignment="1">
      <alignment horizontal="right" vertical="center"/>
    </xf>
    <xf numFmtId="0" fontId="75" fillId="3" borderId="50" xfId="0" applyFont="1" applyFill="1" applyBorder="1" applyAlignment="1">
      <alignment horizontal="center"/>
    </xf>
    <xf numFmtId="0" fontId="238" fillId="3" borderId="25" xfId="0" applyFont="1" applyFill="1" applyBorder="1">
      <alignment horizontal="left" vertical="center"/>
    </xf>
    <xf numFmtId="206" fontId="4" fillId="3" borderId="16" xfId="43" applyFont="1" applyFill="1" applyBorder="1" applyAlignment="1" applyProtection="1">
      <alignment horizontal="center"/>
      <protection/>
    </xf>
    <xf numFmtId="0" fontId="62" fillId="2" borderId="0" xfId="0" applyFont="1" applyFill="1" applyBorder="1" applyAlignment="1">
      <alignment vertical="center"/>
    </xf>
    <xf numFmtId="0" fontId="9" fillId="12" borderId="20" xfId="0" applyFont="1" applyFill="1" applyBorder="1" applyAlignment="1">
      <alignment vertical="center" wrapText="1"/>
    </xf>
    <xf numFmtId="206" fontId="4" fillId="3" borderId="18" xfId="43" applyFont="1" applyFill="1" applyBorder="1" applyAlignment="1" applyProtection="1">
      <alignment horizontal="right" vertical="center"/>
      <protection hidden="1"/>
    </xf>
    <xf numFmtId="0" fontId="4" fillId="3" borderId="23" xfId="0" applyFill="1" applyBorder="1" applyAlignment="1" applyProtection="1">
      <alignment horizontal="center" vertical="center"/>
      <protection hidden="1"/>
    </xf>
    <xf numFmtId="1" fontId="34" fillId="3" borderId="0" xfId="0" applyNumberFormat="1" applyFont="1" applyFill="1" applyBorder="1">
      <alignment horizontal="left" vertical="center"/>
    </xf>
    <xf numFmtId="0" fontId="9" fillId="32" borderId="16" xfId="0" applyFont="1" applyFill="1" applyBorder="1" applyAlignment="1">
      <alignment horizontal="center" vertical="center"/>
    </xf>
    <xf numFmtId="206" fontId="4" fillId="3" borderId="0" xfId="43" applyFont="1" applyFill="1" applyBorder="1" applyAlignment="1" applyProtection="1">
      <alignment horizontal="center"/>
      <protection/>
    </xf>
    <xf numFmtId="176" fontId="238" fillId="3" borderId="37" xfId="0" applyNumberFormat="1" applyFont="1" applyFill="1" applyBorder="1" applyAlignment="1">
      <alignment horizontal="center"/>
    </xf>
    <xf numFmtId="176" fontId="238" fillId="3" borderId="38" xfId="0" applyNumberFormat="1" applyFont="1" applyFill="1" applyBorder="1" applyAlignment="1">
      <alignment horizontal="center"/>
    </xf>
    <xf numFmtId="176" fontId="111" fillId="33" borderId="37" xfId="50" applyNumberFormat="1" applyFont="1" applyFill="1" applyBorder="1" applyAlignment="1">
      <alignment horizontal="center"/>
      <protection locked="0"/>
    </xf>
    <xf numFmtId="176" fontId="111" fillId="33" borderId="38" xfId="50" applyNumberFormat="1" applyFont="1" applyFill="1" applyBorder="1" applyAlignment="1">
      <alignment horizontal="center"/>
      <protection locked="0"/>
    </xf>
    <xf numFmtId="206" fontId="15" fillId="8" borderId="21" xfId="43" applyFont="1" applyFill="1" applyBorder="1" applyAlignment="1" applyProtection="1">
      <alignment horizontal="left" vertical="center"/>
      <protection/>
    </xf>
    <xf numFmtId="0" fontId="60" fillId="19" borderId="0" xfId="0" applyFont="1" applyFill="1" applyAlignment="1">
      <alignment horizontal="center" vertical="center" shrinkToFit="1"/>
    </xf>
    <xf numFmtId="0" fontId="4" fillId="19" borderId="0" xfId="0" applyFill="1">
      <alignment horizontal="left" vertical="center"/>
    </xf>
    <xf numFmtId="0" fontId="14" fillId="19" borderId="0" xfId="0" applyFont="1" applyFill="1" applyBorder="1">
      <alignment horizontal="left" vertical="center"/>
    </xf>
    <xf numFmtId="0" fontId="14" fillId="19" borderId="23" xfId="0" applyFont="1" applyFill="1" applyBorder="1">
      <alignment horizontal="left" vertical="center"/>
    </xf>
    <xf numFmtId="0" fontId="14" fillId="19" borderId="23" xfId="0" applyFont="1" applyFill="1" applyBorder="1" applyAlignment="1">
      <alignment horizontal="center" vertical="center"/>
    </xf>
    <xf numFmtId="0" fontId="14" fillId="19" borderId="0" xfId="0" applyFont="1" applyFill="1">
      <alignment horizontal="left" vertical="center"/>
    </xf>
    <xf numFmtId="0" fontId="14" fillId="19" borderId="0" xfId="0" applyFont="1" applyFill="1" applyAlignment="1">
      <alignment horizontal="center" vertical="center"/>
    </xf>
    <xf numFmtId="0" fontId="14" fillId="19" borderId="0" xfId="0" applyFont="1" applyFill="1" applyAlignment="1">
      <alignment horizontal="center" vertical="center"/>
      <extLst>
        <ext xmlns:xfpb="http://schemas.microsoft.com/office/spreadsheetml/2022/featurepropertybag" uri="{C7286773-470A-42A8-94C5-96B5CB345126}">
          <xfpb:xfComplement i="0"/>
        </ext>
      </extLst>
    </xf>
    <xf numFmtId="0" fontId="14" fillId="19" borderId="0" xfId="0" applyFont="1" applyFill="1" applyBorder="1" applyAlignment="1">
      <alignment horizontal="left" vertical="center" shrinkToFit="1"/>
    </xf>
    <xf numFmtId="0" fontId="14" fillId="19" borderId="0" xfId="0" applyFont="1" applyFill="1" applyBorder="1" applyAlignment="1">
      <alignment horizontal="center" vertical="center"/>
      <extLst>
        <ext xmlns:xfpb="http://schemas.microsoft.com/office/spreadsheetml/2022/featurepropertybag" uri="{C7286773-470A-42A8-94C5-96B5CB345126}">
          <xfpb:xfComplement i="0"/>
        </ext>
      </extLst>
    </xf>
    <xf numFmtId="0" fontId="109" fillId="19" borderId="0" xfId="0" applyFont="1" applyFill="1" applyAlignment="1">
      <alignment horizontal="center" vertical="center" shrinkToFit="1"/>
    </xf>
    <xf numFmtId="0" fontId="60" fillId="19" borderId="0" xfId="0" applyFont="1" applyFill="1" applyAlignment="1">
      <alignment horizontal="left" vertical="center" shrinkToFit="1"/>
    </xf>
    <xf numFmtId="0" fontId="44" fillId="19" borderId="0" xfId="0" applyFont="1" applyFill="1" applyAlignment="1">
      <alignment horizontal="center" vertical="center"/>
    </xf>
    <xf numFmtId="0" fontId="60" fillId="19" borderId="0" xfId="0" applyFont="1" applyFill="1" applyBorder="1" applyAlignment="1">
      <alignment horizontal="center" vertical="center"/>
    </xf>
    <xf numFmtId="0" fontId="60" fillId="19" borderId="0" xfId="0" applyFont="1" applyFill="1" applyBorder="1" applyAlignment="1">
      <alignment horizontal="center"/>
    </xf>
    <xf numFmtId="0" fontId="14" fillId="0" borderId="0" xfId="0" applyFont="1" applyAlignment="1">
      <alignment horizontal="center" vertical="center"/>
    </xf>
    <xf numFmtId="0" fontId="60" fillId="19" borderId="51" xfId="0" applyFont="1" applyFill="1" applyBorder="1" applyAlignment="1">
      <alignment horizontal="center" vertical="center"/>
    </xf>
    <xf numFmtId="0" fontId="14" fillId="19" borderId="51" xfId="0" applyFont="1" applyFill="1" applyBorder="1" applyAlignment="1">
      <alignment horizontal="center" vertical="center"/>
    </xf>
    <xf numFmtId="0" fontId="34" fillId="3" borderId="16" xfId="0" applyFont="1" applyFill="1" applyBorder="1">
      <alignment horizontal="left" vertical="center"/>
    </xf>
    <xf numFmtId="0" fontId="42" fillId="34" borderId="0" xfId="50" applyFont="1" applyFill="1" applyBorder="1" applyAlignment="1">
      <alignment horizontal="left" vertical="center" indent="1"/>
      <protection locked="0"/>
    </xf>
    <xf numFmtId="0" fontId="4" fillId="27" borderId="0" xfId="0" applyFill="1">
      <alignment horizontal="left" vertical="center"/>
    </xf>
    <xf numFmtId="0" fontId="70" fillId="2" borderId="0" xfId="13" applyFill="1" applyAlignment="1">
      <alignment horizontal="right" vertical="center" shrinkToFit="1"/>
      <protection/>
    </xf>
    <xf numFmtId="0" fontId="54" fillId="3" borderId="0" xfId="14" applyFont="1" applyFill="1" applyProtection="1">
      <alignment horizontal="left" vertical="center"/>
      <protection hidden="1"/>
    </xf>
    <xf numFmtId="0" fontId="9" fillId="12" borderId="23" xfId="19" applyFill="1" applyBorder="1" applyProtection="1">
      <alignment horizontal="left" vertical="center"/>
      <protection hidden="1"/>
    </xf>
    <xf numFmtId="0" fontId="238" fillId="12" borderId="23" xfId="0" applyFont="1" applyFill="1" applyBorder="1" applyProtection="1">
      <alignment horizontal="left" vertical="center"/>
      <protection hidden="1"/>
    </xf>
    <xf numFmtId="0" fontId="4" fillId="3" borderId="23" xfId="0" applyFill="1" applyBorder="1" applyAlignment="1" applyProtection="1">
      <alignment horizontal="center"/>
      <protection hidden="1"/>
    </xf>
    <xf numFmtId="205" fontId="20" fillId="3" borderId="23" xfId="48" applyFont="1" applyBorder="1" applyAlignment="1" applyProtection="1">
      <alignment horizontal="center"/>
      <protection hidden="1"/>
    </xf>
    <xf numFmtId="0" fontId="46" fillId="12" borderId="23" xfId="46" applyFont="1" applyFill="1" applyBorder="1" applyAlignment="1" applyProtection="1">
      <alignment horizontal="center" vertical="center" wrapText="1"/>
      <protection hidden="1"/>
    </xf>
    <xf numFmtId="0" fontId="15" fillId="12" borderId="0" xfId="46" applyFont="1" applyFill="1" applyBorder="1" applyAlignment="1" applyProtection="1">
      <alignment wrapText="1"/>
      <protection hidden="1"/>
    </xf>
    <xf numFmtId="0" fontId="15" fillId="3" borderId="0" xfId="46" applyFont="1" applyFill="1" applyBorder="1" applyAlignment="1" applyProtection="1">
      <alignment horizontal="left" vertical="center" indent="1"/>
      <protection hidden="1"/>
    </xf>
    <xf numFmtId="0" fontId="47" fillId="8" borderId="0" xfId="0" applyFont="1" applyFill="1" applyBorder="1" applyProtection="1">
      <alignment horizontal="left" vertical="center"/>
      <protection hidden="1"/>
    </xf>
    <xf numFmtId="0" fontId="5" fillId="8" borderId="0" xfId="0" applyFont="1" applyFill="1" applyBorder="1" applyProtection="1">
      <alignment horizontal="left" vertical="center"/>
      <protection hidden="1"/>
    </xf>
    <xf numFmtId="180" fontId="118" fillId="8" borderId="0" xfId="0" applyNumberFormat="1" applyFont="1" applyFill="1" applyBorder="1" applyAlignment="1" applyProtection="1">
      <alignment horizontal="center" wrapText="1"/>
      <protection hidden="1"/>
    </xf>
    <xf numFmtId="166" fontId="115" fillId="8" borderId="27" xfId="0" applyNumberFormat="1" applyFont="1" applyFill="1" applyBorder="1" applyAlignment="1" applyProtection="1">
      <alignment horizontal="right"/>
      <protection hidden="1"/>
    </xf>
    <xf numFmtId="17" fontId="113" fillId="3" borderId="46" xfId="24" applyFont="1" applyFill="1" applyBorder="1" applyProtection="1">
      <alignment horizontal="center" vertical="center"/>
      <protection hidden="1"/>
    </xf>
    <xf numFmtId="0" fontId="47" fillId="8" borderId="52" xfId="0" applyFont="1" applyFill="1" applyBorder="1" applyProtection="1">
      <alignment horizontal="left" vertical="center"/>
      <protection hidden="1"/>
    </xf>
    <xf numFmtId="0" fontId="29" fillId="8" borderId="53" xfId="0" applyFont="1" applyFill="1" applyBorder="1" applyProtection="1">
      <alignment horizontal="left" vertical="center"/>
      <protection hidden="1"/>
    </xf>
    <xf numFmtId="166" fontId="44" fillId="3" borderId="54" xfId="0" applyNumberFormat="1" applyFont="1" applyFill="1" applyBorder="1" applyAlignment="1" applyProtection="1">
      <alignment horizontal="right"/>
      <protection hidden="1"/>
    </xf>
    <xf numFmtId="166" fontId="14" fillId="3" borderId="54" xfId="0" applyNumberFormat="1" applyFont="1" applyFill="1" applyBorder="1" applyAlignment="1" applyProtection="1">
      <alignment horizontal="right"/>
      <protection hidden="1"/>
    </xf>
    <xf numFmtId="177" fontId="29" fillId="3" borderId="46" xfId="4" applyNumberFormat="1" applyFont="1" applyFill="1" applyBorder="1" applyAlignment="1" applyProtection="1">
      <alignment horizontal="center" vertical="center" wrapText="1"/>
      <protection hidden="1"/>
    </xf>
    <xf numFmtId="166" fontId="115" fillId="3" borderId="0" xfId="0" applyNumberFormat="1" applyFont="1" applyFill="1" applyBorder="1" applyAlignment="1" applyProtection="1">
      <alignment horizontal="right"/>
      <protection hidden="1"/>
    </xf>
    <xf numFmtId="0" fontId="47" fillId="4" borderId="0" xfId="0" applyFont="1" applyFill="1" applyBorder="1" applyProtection="1">
      <alignment horizontal="left" vertical="center"/>
      <protection hidden="1"/>
    </xf>
    <xf numFmtId="0" fontId="47" fillId="4" borderId="55" xfId="0" applyFont="1" applyFill="1" applyBorder="1" applyProtection="1">
      <alignment horizontal="left" vertical="center"/>
      <protection hidden="1"/>
    </xf>
    <xf numFmtId="0" fontId="29" fillId="4" borderId="55" xfId="0" applyFont="1" applyFill="1" applyBorder="1" applyAlignment="1" applyProtection="1">
      <alignment vertical="top"/>
      <protection hidden="1"/>
    </xf>
    <xf numFmtId="166" fontId="21" fillId="4" borderId="56" xfId="0" applyNumberFormat="1" applyFont="1" applyFill="1" applyBorder="1" applyAlignment="1" applyProtection="1">
      <alignment horizontal="center" vertical="center"/>
      <protection hidden="1"/>
    </xf>
    <xf numFmtId="0" fontId="29" fillId="4" borderId="57" xfId="0" applyFont="1" applyFill="1" applyBorder="1" applyAlignment="1" applyProtection="1">
      <alignment vertical="top"/>
      <protection hidden="1"/>
    </xf>
    <xf numFmtId="0" fontId="29" fillId="4" borderId="58" xfId="0" applyFont="1" applyFill="1" applyBorder="1" applyProtection="1">
      <alignment horizontal="left" vertical="center"/>
      <protection hidden="1"/>
    </xf>
    <xf numFmtId="166" fontId="21" fillId="4" borderId="39" xfId="0" applyNumberFormat="1" applyFont="1" applyFill="1" applyBorder="1" applyAlignment="1" applyProtection="1">
      <alignment horizontal="center"/>
      <protection hidden="1"/>
    </xf>
    <xf numFmtId="14" fontId="8" fillId="4" borderId="59" xfId="0" applyNumberFormat="1" applyFont="1" applyFill="1" applyBorder="1" applyAlignment="1" applyProtection="1">
      <alignment horizontal="right"/>
      <protection hidden="1"/>
    </xf>
    <xf numFmtId="14" fontId="29" fillId="4" borderId="59" xfId="0" applyNumberFormat="1" applyFont="1" applyFill="1" applyBorder="1" applyAlignment="1" applyProtection="1">
      <alignment horizontal="right"/>
      <protection hidden="1"/>
    </xf>
    <xf numFmtId="0" fontId="29" fillId="4" borderId="57" xfId="0" applyFont="1" applyFill="1" applyBorder="1" applyProtection="1">
      <alignment horizontal="left" vertical="center"/>
      <protection hidden="1"/>
    </xf>
    <xf numFmtId="0" fontId="4" fillId="4" borderId="58" xfId="0" applyFont="1" applyFill="1" applyBorder="1" applyProtection="1">
      <alignment horizontal="left" vertical="center"/>
      <protection hidden="1"/>
    </xf>
    <xf numFmtId="166" fontId="22" fillId="4" borderId="58" xfId="0" applyNumberFormat="1" applyFont="1" applyFill="1" applyBorder="1" applyAlignment="1" applyProtection="1">
      <alignment horizontal="center" wrapText="1"/>
      <protection hidden="1"/>
    </xf>
    <xf numFmtId="166" fontId="238" fillId="4" borderId="58" xfId="0" applyNumberFormat="1" applyFont="1" applyFill="1" applyBorder="1" applyAlignment="1" applyProtection="1">
      <alignment horizontal="right"/>
      <protection hidden="1"/>
    </xf>
    <xf numFmtId="177" fontId="116" fillId="4" borderId="58" xfId="4" applyNumberFormat="1" applyFont="1" applyFill="1" applyBorder="1" applyAlignment="1" applyProtection="1">
      <alignment horizontal="center" vertical="center" wrapText="1"/>
      <protection hidden="1"/>
    </xf>
    <xf numFmtId="14" fontId="29" fillId="4" borderId="39" xfId="0" applyNumberFormat="1" applyFont="1" applyFill="1" applyBorder="1" applyAlignment="1" applyProtection="1">
      <alignment horizontal="right"/>
      <protection hidden="1"/>
    </xf>
    <xf numFmtId="0" fontId="5" fillId="4" borderId="0" xfId="0" applyFont="1" applyFill="1" applyBorder="1" applyProtection="1">
      <alignment horizontal="left" vertical="center"/>
      <protection hidden="1"/>
    </xf>
    <xf numFmtId="180" fontId="118" fillId="4" borderId="0" xfId="0" applyNumberFormat="1" applyFont="1" applyFill="1" applyBorder="1" applyAlignment="1" applyProtection="1">
      <alignment horizontal="center" vertical="center" wrapText="1"/>
      <protection hidden="1"/>
    </xf>
    <xf numFmtId="0" fontId="29" fillId="35" borderId="60" xfId="0" applyFont="1" applyFill="1" applyBorder="1" applyProtection="1">
      <alignment horizontal="left" vertical="center"/>
      <protection hidden="1"/>
    </xf>
    <xf numFmtId="0" fontId="34" fillId="35" borderId="0" xfId="0" applyFont="1" applyFill="1" applyBorder="1" applyAlignment="1" applyProtection="1">
      <alignment horizontal="center" vertical="center"/>
      <protection hidden="1"/>
    </xf>
    <xf numFmtId="208" fontId="34" fillId="35" borderId="0" xfId="6" applyFont="1" applyFill="1" applyBorder="1" applyAlignment="1" applyProtection="1" quotePrefix="1">
      <alignment horizontal="center" wrapText="1"/>
      <protection hidden="1"/>
    </xf>
    <xf numFmtId="166" fontId="21" fillId="35" borderId="59" xfId="0" applyNumberFormat="1" applyFont="1" applyFill="1" applyBorder="1" applyAlignment="1" applyProtection="1">
      <alignment horizontal="center"/>
      <protection hidden="1"/>
    </xf>
    <xf numFmtId="0" fontId="29" fillId="35" borderId="58" xfId="0" applyFont="1" applyFill="1" applyBorder="1" applyProtection="1">
      <alignment horizontal="left" vertical="center"/>
      <protection hidden="1"/>
    </xf>
    <xf numFmtId="0" fontId="4" fillId="35" borderId="58" xfId="0" applyFont="1" applyFill="1" applyBorder="1" applyProtection="1">
      <alignment horizontal="left" vertical="center"/>
      <protection hidden="1"/>
    </xf>
    <xf numFmtId="166" fontId="238" fillId="35" borderId="58" xfId="0" applyNumberFormat="1" applyFont="1" applyFill="1" applyBorder="1" applyAlignment="1" applyProtection="1">
      <alignment horizontal="right"/>
      <protection hidden="1"/>
    </xf>
    <xf numFmtId="166" fontId="21" fillId="35" borderId="39" xfId="0" applyNumberFormat="1" applyFont="1" applyFill="1" applyBorder="1" applyAlignment="1" applyProtection="1">
      <alignment horizontal="center"/>
      <protection hidden="1"/>
    </xf>
    <xf numFmtId="171" fontId="39" fillId="4" borderId="0" xfId="4" applyNumberFormat="1" applyFont="1" applyFill="1" applyBorder="1" applyAlignment="1" applyProtection="1">
      <alignment horizontal="center"/>
      <protection hidden="1"/>
    </xf>
    <xf numFmtId="171" fontId="39" fillId="8" borderId="0" xfId="4" applyNumberFormat="1" applyFont="1" applyFill="1" applyBorder="1" applyAlignment="1" applyProtection="1">
      <alignment horizontal="center"/>
      <protection hidden="1"/>
    </xf>
    <xf numFmtId="166" fontId="16" fillId="35" borderId="0" xfId="0" applyNumberFormat="1" applyFont="1" applyFill="1" applyBorder="1" applyAlignment="1" applyProtection="1">
      <alignment horizontal="center" wrapText="1"/>
      <protection hidden="1"/>
    </xf>
    <xf numFmtId="171" fontId="39" fillId="35" borderId="0" xfId="4" applyNumberFormat="1" applyFont="1" applyFill="1" applyBorder="1" applyAlignment="1" applyProtection="1">
      <alignment horizontal="center"/>
      <protection hidden="1"/>
    </xf>
    <xf numFmtId="166" fontId="21" fillId="35" borderId="27" xfId="0" applyNumberFormat="1" applyFont="1" applyFill="1" applyBorder="1" applyAlignment="1" applyProtection="1">
      <alignment horizontal="center"/>
      <protection hidden="1"/>
    </xf>
    <xf numFmtId="0" fontId="29" fillId="35" borderId="23" xfId="0" applyFont="1" applyFill="1" applyBorder="1" applyProtection="1">
      <alignment horizontal="left" vertical="center"/>
      <protection hidden="1"/>
    </xf>
    <xf numFmtId="166" fontId="16" fillId="35" borderId="23" xfId="0" applyNumberFormat="1" applyFont="1" applyFill="1" applyBorder="1" applyAlignment="1" applyProtection="1">
      <alignment horizontal="center" wrapText="1"/>
      <protection hidden="1"/>
    </xf>
    <xf numFmtId="166" fontId="238" fillId="35" borderId="23" xfId="0" applyNumberFormat="1" applyFont="1" applyFill="1" applyBorder="1" applyAlignment="1" applyProtection="1">
      <alignment horizontal="right"/>
      <protection hidden="1"/>
    </xf>
    <xf numFmtId="177" fontId="116" fillId="35" borderId="23" xfId="4" applyNumberFormat="1" applyFont="1" applyFill="1" applyBorder="1" applyAlignment="1" applyProtection="1">
      <alignment horizontal="center" vertical="center"/>
      <protection hidden="1"/>
    </xf>
    <xf numFmtId="166" fontId="21" fillId="35" borderId="28" xfId="0" applyNumberFormat="1" applyFont="1" applyFill="1" applyBorder="1" applyAlignment="1" applyProtection="1">
      <alignment horizontal="center"/>
      <protection hidden="1"/>
    </xf>
    <xf numFmtId="0" fontId="16" fillId="24" borderId="0" xfId="0" applyFont="1" applyFill="1" applyBorder="1" applyProtection="1">
      <alignment horizontal="left" vertical="center"/>
      <protection hidden="1"/>
    </xf>
    <xf numFmtId="0" fontId="112" fillId="24" borderId="0" xfId="14" applyFont="1" applyFill="1" applyAlignment="1" applyProtection="1">
      <alignment horizontal="right" vertical="center"/>
      <protection hidden="1"/>
    </xf>
    <xf numFmtId="0" fontId="16" fillId="26" borderId="0" xfId="0" applyFont="1" applyFill="1" applyBorder="1" applyProtection="1">
      <alignment horizontal="left" vertical="center"/>
      <protection hidden="1"/>
    </xf>
    <xf numFmtId="0" fontId="112" fillId="26" borderId="0" xfId="14" applyFont="1" applyFill="1" applyAlignment="1" applyProtection="1">
      <alignment horizontal="right" vertical="center"/>
      <protection hidden="1"/>
    </xf>
    <xf numFmtId="0" fontId="47" fillId="8" borderId="61" xfId="0" applyFont="1" applyFill="1" applyBorder="1" applyProtection="1">
      <alignment horizontal="left" vertical="center"/>
      <protection hidden="1"/>
    </xf>
    <xf numFmtId="0" fontId="4" fillId="24" borderId="0" xfId="0" applyFont="1" applyFill="1" applyBorder="1" applyProtection="1">
      <alignment horizontal="left" vertical="center"/>
      <protection hidden="1"/>
    </xf>
    <xf numFmtId="0" fontId="4" fillId="24" borderId="0" xfId="0" applyFont="1" applyFill="1" applyProtection="1">
      <alignment horizontal="left" vertical="center"/>
      <protection hidden="1"/>
    </xf>
    <xf numFmtId="0" fontId="4" fillId="3" borderId="0" xfId="0" applyFont="1" applyFill="1" applyBorder="1" applyAlignment="1" applyProtection="1">
      <alignment vertical="center"/>
      <protection hidden="1"/>
    </xf>
    <xf numFmtId="0" fontId="4" fillId="24" borderId="0" xfId="0" applyFont="1" applyFill="1" applyBorder="1" applyAlignment="1" applyProtection="1">
      <alignment vertical="center"/>
      <protection hidden="1"/>
    </xf>
    <xf numFmtId="0" fontId="4" fillId="3" borderId="36" xfId="0" applyFont="1" applyFill="1" applyBorder="1" applyAlignment="1" applyProtection="1">
      <alignment horizontal="center" vertical="center"/>
      <protection hidden="1"/>
    </xf>
    <xf numFmtId="0" fontId="23" fillId="12" borderId="36" xfId="0" applyFont="1" applyFill="1" applyBorder="1" applyAlignment="1" applyProtection="1">
      <alignment horizontal="right"/>
      <protection hidden="1"/>
    </xf>
    <xf numFmtId="167" fontId="22" fillId="12" borderId="36" xfId="0" applyNumberFormat="1" applyFont="1" applyFill="1" applyBorder="1" applyAlignment="1" applyProtection="1">
      <alignment horizontal="right"/>
      <protection hidden="1"/>
    </xf>
    <xf numFmtId="166" fontId="115" fillId="12" borderId="36" xfId="0" applyNumberFormat="1" applyFont="1" applyFill="1" applyBorder="1" applyAlignment="1" applyProtection="1">
      <alignment horizontal="right"/>
      <protection hidden="1"/>
    </xf>
    <xf numFmtId="166" fontId="23" fillId="12" borderId="36" xfId="0" applyNumberFormat="1" applyFont="1" applyFill="1" applyBorder="1" applyAlignment="1" applyProtection="1">
      <alignment horizontal="right"/>
      <protection hidden="1"/>
    </xf>
    <xf numFmtId="166" fontId="22" fillId="3" borderId="36" xfId="0" applyNumberFormat="1" applyFont="1" applyFill="1" applyBorder="1" applyAlignment="1" applyProtection="1">
      <alignment horizontal="right" vertical="center"/>
      <protection hidden="1"/>
    </xf>
    <xf numFmtId="166" fontId="23" fillId="3" borderId="36" xfId="0" applyNumberFormat="1" applyFont="1" applyFill="1" applyBorder="1" applyAlignment="1" applyProtection="1">
      <alignment horizontal="right"/>
      <protection hidden="1"/>
    </xf>
    <xf numFmtId="166" fontId="115" fillId="3" borderId="36" xfId="0" applyNumberFormat="1" applyFont="1" applyFill="1" applyBorder="1" applyAlignment="1" applyProtection="1">
      <alignment horizontal="right"/>
      <protection hidden="1"/>
    </xf>
    <xf numFmtId="0" fontId="9" fillId="12" borderId="23" xfId="0" applyFont="1" applyFill="1" applyBorder="1" applyProtection="1">
      <alignment horizontal="left" vertical="center"/>
      <protection hidden="1"/>
    </xf>
    <xf numFmtId="180" fontId="133" fillId="4" borderId="0" xfId="0" applyNumberFormat="1" applyFont="1" applyFill="1" applyBorder="1" applyAlignment="1" applyProtection="1">
      <alignment horizontal="center" vertical="center" wrapText="1"/>
      <protection hidden="1"/>
    </xf>
    <xf numFmtId="180" fontId="133" fillId="4" borderId="0" xfId="0" applyNumberFormat="1" applyFont="1" applyFill="1" applyBorder="1" applyAlignment="1" applyProtection="1">
      <alignment horizontal="center" shrinkToFit="1"/>
      <protection hidden="1"/>
    </xf>
    <xf numFmtId="0" fontId="9" fillId="3" borderId="0" xfId="0" applyFont="1" applyFill="1" applyBorder="1" applyProtection="1">
      <alignment horizontal="left" vertical="center"/>
      <protection hidden="1"/>
    </xf>
    <xf numFmtId="166" fontId="8" fillId="3" borderId="0" xfId="0" applyNumberFormat="1" applyFont="1" applyFill="1" applyBorder="1" applyAlignment="1" applyProtection="1">
      <alignment horizontal="right"/>
      <protection hidden="1"/>
    </xf>
    <xf numFmtId="0" fontId="16" fillId="3" borderId="0" xfId="0" applyFont="1" applyFill="1" applyBorder="1" applyAlignment="1" applyProtection="1">
      <alignment vertical="top"/>
      <protection hidden="1"/>
    </xf>
    <xf numFmtId="206" fontId="34" fillId="3" borderId="0" xfId="43" applyFont="1" applyFill="1" applyBorder="1" applyAlignment="1" applyProtection="1">
      <alignment horizontal="center"/>
      <protection hidden="1"/>
    </xf>
    <xf numFmtId="206" fontId="16" fillId="3" borderId="0" xfId="43" applyFont="1" applyFill="1" applyBorder="1" applyAlignment="1" applyProtection="1">
      <alignment horizontal="center"/>
      <protection hidden="1"/>
    </xf>
    <xf numFmtId="206" fontId="16" fillId="3" borderId="0" xfId="43" applyFont="1" applyFill="1" applyBorder="1" applyAlignment="1" applyProtection="1">
      <alignment horizontal="center" wrapText="1"/>
      <protection hidden="1"/>
    </xf>
    <xf numFmtId="0" fontId="4" fillId="3" borderId="0" xfId="0" applyFont="1" applyFill="1" applyBorder="1" applyAlignment="1" applyProtection="1">
      <alignment vertical="top"/>
      <protection hidden="1"/>
    </xf>
    <xf numFmtId="0" fontId="16" fillId="3" borderId="0" xfId="0" applyFont="1" applyFill="1" applyBorder="1" applyAlignment="1" applyProtection="1">
      <alignment vertical="top" wrapText="1"/>
      <protection hidden="1"/>
    </xf>
    <xf numFmtId="0" fontId="4" fillId="3" borderId="0" xfId="0" applyFont="1" applyFill="1" applyBorder="1" applyAlignment="1" applyProtection="1">
      <alignment horizontal="center"/>
      <protection hidden="1"/>
    </xf>
    <xf numFmtId="166" fontId="21" fillId="3" borderId="0" xfId="0" applyNumberFormat="1" applyFont="1" applyFill="1" applyBorder="1" applyAlignment="1" applyProtection="1">
      <alignment horizontal="left"/>
      <protection hidden="1"/>
    </xf>
    <xf numFmtId="0" fontId="29" fillId="3" borderId="25" xfId="46" applyFont="1" applyFill="1" applyBorder="1" applyAlignment="1" applyProtection="1">
      <alignment horizontal="left" vertical="center" indent="1"/>
      <protection hidden="1"/>
    </xf>
    <xf numFmtId="0" fontId="4" fillId="3" borderId="25" xfId="46" applyFont="1" applyFill="1" applyBorder="1" applyAlignment="1" applyProtection="1">
      <alignment horizontal="left" vertical="center" indent="1"/>
      <protection hidden="1"/>
    </xf>
    <xf numFmtId="166" fontId="16" fillId="3" borderId="25" xfId="46" applyNumberFormat="1" applyFont="1" applyFill="1" applyBorder="1" applyAlignment="1" applyProtection="1">
      <alignment horizontal="center" wrapText="1"/>
      <protection hidden="1"/>
    </xf>
    <xf numFmtId="166" fontId="8" fillId="3" borderId="25" xfId="46" applyNumberFormat="1" applyFont="1" applyFill="1" applyBorder="1" applyAlignment="1" applyProtection="1">
      <alignment horizontal="right"/>
      <protection hidden="1"/>
    </xf>
    <xf numFmtId="14" fontId="35" fillId="3" borderId="25" xfId="46" applyNumberFormat="1" applyFont="1" applyFill="1" applyBorder="1" applyAlignment="1" applyProtection="1">
      <alignment horizontal="center"/>
      <protection hidden="1"/>
    </xf>
    <xf numFmtId="14" fontId="29" fillId="12" borderId="29" xfId="0" applyNumberFormat="1" applyFont="1" applyFill="1" applyBorder="1" applyAlignment="1" applyProtection="1">
      <alignment horizontal="right"/>
      <protection hidden="1"/>
    </xf>
    <xf numFmtId="0" fontId="4" fillId="12" borderId="27" xfId="0" applyFont="1" applyFill="1" applyBorder="1" applyAlignment="1" applyProtection="1">
      <alignment horizontal="center"/>
      <protection hidden="1"/>
    </xf>
    <xf numFmtId="166" fontId="21" fillId="12" borderId="27" xfId="0" applyNumberFormat="1" applyFont="1" applyFill="1" applyBorder="1" applyAlignment="1" applyProtection="1">
      <alignment horizontal="left"/>
      <protection hidden="1"/>
    </xf>
    <xf numFmtId="0" fontId="29" fillId="3" borderId="62" xfId="0" applyFont="1" applyFill="1" applyBorder="1" applyAlignment="1" applyProtection="1">
      <alignment vertical="top"/>
      <protection hidden="1"/>
    </xf>
    <xf numFmtId="0" fontId="29" fillId="3" borderId="63" xfId="0" applyFont="1" applyFill="1" applyBorder="1" applyAlignment="1" applyProtection="1">
      <alignment vertical="top"/>
      <protection hidden="1"/>
    </xf>
    <xf numFmtId="180" fontId="118" fillId="4" borderId="0" xfId="0" applyNumberFormat="1" applyFont="1" applyFill="1" applyBorder="1" applyAlignment="1" applyProtection="1">
      <alignment horizontal="center" wrapText="1"/>
      <protection hidden="1"/>
    </xf>
    <xf numFmtId="166" fontId="115" fillId="4" borderId="59" xfId="0" applyNumberFormat="1" applyFont="1" applyFill="1" applyBorder="1" applyAlignment="1" applyProtection="1">
      <alignment horizontal="right"/>
      <protection hidden="1"/>
    </xf>
    <xf numFmtId="195" fontId="46" fillId="12" borderId="23" xfId="0" applyNumberFormat="1" applyFont="1" applyFill="1" applyBorder="1" applyAlignment="1" applyProtection="1">
      <alignment horizontal="center"/>
      <protection hidden="1"/>
    </xf>
    <xf numFmtId="0" fontId="9" fillId="19" borderId="0" xfId="0" applyFont="1" applyFill="1" applyAlignment="1">
      <alignment horizontal="left" shrinkToFit="1"/>
    </xf>
    <xf numFmtId="0" fontId="9" fillId="19" borderId="0" xfId="0" applyFont="1" applyFill="1" applyAlignment="1">
      <alignment horizontal="center" shrinkToFit="1"/>
    </xf>
    <xf numFmtId="0" fontId="4" fillId="19" borderId="0" xfId="0" applyFill="1" applyAlignment="1">
      <alignment horizontal="left" vertical="center" shrinkToFit="1"/>
    </xf>
    <xf numFmtId="0" fontId="9" fillId="19" borderId="23" xfId="0" applyFont="1" applyFill="1" applyBorder="1" applyAlignment="1">
      <alignment horizontal="center" shrinkToFit="1"/>
    </xf>
    <xf numFmtId="43" fontId="14" fillId="19" borderId="0" xfId="4" applyFont="1" applyFill="1" applyAlignment="1">
      <alignment horizontal="left" vertical="center" indent="1"/>
    </xf>
    <xf numFmtId="0" fontId="4" fillId="19" borderId="0" xfId="0" applyFill="1" applyBorder="1" applyAlignment="1">
      <alignment horizontal="left" vertical="center" shrinkToFit="1"/>
    </xf>
    <xf numFmtId="0" fontId="60" fillId="19" borderId="0" xfId="0" applyFont="1" applyFill="1" applyBorder="1" applyAlignment="1">
      <alignment horizontal="center" vertical="center" shrinkToFit="1"/>
    </xf>
    <xf numFmtId="0" fontId="70" fillId="2" borderId="22" xfId="13" applyFill="1" applyBorder="1" applyAlignment="1">
      <alignment horizontal="left" vertical="center"/>
      <protection/>
    </xf>
    <xf numFmtId="206" fontId="4" fillId="3" borderId="29" xfId="43" applyFont="1" applyFill="1" applyBorder="1" applyAlignment="1" applyProtection="1">
      <alignment horizontal="right" vertical="center"/>
      <protection hidden="1"/>
    </xf>
    <xf numFmtId="206" fontId="4" fillId="3" borderId="37" xfId="43" applyFont="1" applyFill="1" applyBorder="1" applyAlignment="1" applyProtection="1">
      <alignment horizontal="center"/>
      <protection/>
    </xf>
    <xf numFmtId="206" fontId="4" fillId="3" borderId="38" xfId="43" applyFont="1" applyFill="1" applyBorder="1" applyAlignment="1" applyProtection="1">
      <alignment horizontal="center"/>
      <protection/>
    </xf>
    <xf numFmtId="0" fontId="14" fillId="22" borderId="23" xfId="0" applyFont="1" applyFill="1" applyBorder="1" applyAlignment="1">
      <alignment horizontal="center" vertical="top"/>
    </xf>
    <xf numFmtId="0" fontId="61" fillId="3" borderId="0" xfId="0" applyFont="1" applyFill="1" applyBorder="1" applyAlignment="1">
      <alignment/>
    </xf>
    <xf numFmtId="0" fontId="19" fillId="12" borderId="0" xfId="0" applyFont="1" applyFill="1" applyBorder="1">
      <alignment horizontal="left" vertical="center"/>
    </xf>
    <xf numFmtId="0" fontId="19" fillId="12" borderId="0" xfId="0" applyFont="1" applyFill="1" applyBorder="1" applyAlignment="1">
      <alignment horizontal="center"/>
    </xf>
    <xf numFmtId="0" fontId="60" fillId="3" borderId="0" xfId="0" applyFont="1" applyFill="1" applyBorder="1" applyAlignment="1">
      <alignment horizontal="center" shrinkToFit="1"/>
    </xf>
    <xf numFmtId="14" fontId="136" fillId="2" borderId="0" xfId="0" applyNumberFormat="1" applyFont="1" applyFill="1" applyBorder="1" applyAlignment="1">
      <alignment horizontal="center" vertical="center"/>
    </xf>
    <xf numFmtId="0" fontId="53" fillId="3" borderId="16" xfId="14" applyFont="1" applyFill="1" applyBorder="1" applyAlignment="1">
      <alignment horizontal="center" vertical="center"/>
      <protection/>
    </xf>
    <xf numFmtId="0" fontId="4" fillId="3" borderId="16" xfId="0" applyFill="1" applyBorder="1">
      <alignment horizontal="left" vertical="center"/>
    </xf>
    <xf numFmtId="0" fontId="238" fillId="3" borderId="37" xfId="0" applyFont="1" applyFill="1" applyBorder="1" applyAlignment="1">
      <alignment horizontal="center" vertical="center"/>
    </xf>
    <xf numFmtId="0" fontId="238" fillId="3" borderId="20" xfId="0" applyFont="1" applyFill="1" applyBorder="1" applyAlignment="1">
      <alignment horizontal="center" vertical="center" wrapText="1"/>
    </xf>
    <xf numFmtId="0" fontId="138" fillId="35" borderId="0" xfId="0" applyFont="1" applyFill="1" applyBorder="1" applyProtection="1">
      <alignment horizontal="left" vertical="center"/>
      <protection hidden="1"/>
    </xf>
    <xf numFmtId="180" fontId="137" fillId="35" borderId="0" xfId="0" applyNumberFormat="1" applyFont="1" applyFill="1" applyBorder="1" applyAlignment="1" applyProtection="1">
      <alignment horizontal="center" wrapText="1"/>
      <protection hidden="1"/>
    </xf>
    <xf numFmtId="0" fontId="238" fillId="36" borderId="16" xfId="14" applyFont="1" applyFill="1" applyBorder="1" applyAlignment="1">
      <alignment horizontal="center" vertical="center"/>
      <protection/>
    </xf>
    <xf numFmtId="0" fontId="4" fillId="0" borderId="0" xfId="7" applyFont="1">
      <alignment horizontal="center" vertical="center" shrinkToFit="1"/>
    </xf>
    <xf numFmtId="0" fontId="238" fillId="36" borderId="24" xfId="0" applyFont="1" applyFill="1" applyBorder="1" applyAlignment="1">
      <alignment horizontal="center" vertical="center"/>
    </xf>
    <xf numFmtId="0" fontId="139" fillId="0" borderId="0" xfId="0" applyFont="1">
      <alignment horizontal="left" vertical="center"/>
    </xf>
    <xf numFmtId="0" fontId="63" fillId="37" borderId="16" xfId="0" applyFont="1" applyFill="1" applyBorder="1" applyAlignment="1">
      <alignment horizontal="left" shrinkToFit="1"/>
    </xf>
    <xf numFmtId="0" fontId="60" fillId="19" borderId="23" xfId="0" applyFont="1" applyFill="1" applyBorder="1" applyAlignment="1">
      <alignment horizontal="center" shrinkToFit="1"/>
    </xf>
    <xf numFmtId="14" fontId="81" fillId="12" borderId="0" xfId="15" applyNumberFormat="1" applyFill="1" applyBorder="1">
      <alignment vertical="center"/>
      <protection/>
    </xf>
    <xf numFmtId="17" fontId="4" fillId="0" borderId="0" xfId="24" applyFont="1">
      <alignment horizontal="center" vertical="center"/>
    </xf>
    <xf numFmtId="0" fontId="140" fillId="19" borderId="0" xfId="0" applyFont="1" applyFill="1" applyAlignment="1">
      <alignment vertical="center" shrinkToFit="1"/>
    </xf>
    <xf numFmtId="0" fontId="16" fillId="12" borderId="0" xfId="0" applyFont="1" applyFill="1" applyProtection="1">
      <alignment horizontal="left" vertical="center"/>
      <protection hidden="1"/>
    </xf>
    <xf numFmtId="166" fontId="23" fillId="3" borderId="0" xfId="0" applyNumberFormat="1" applyFont="1" applyFill="1" applyAlignment="1" applyProtection="1">
      <alignment horizontal="right"/>
      <protection hidden="1"/>
    </xf>
    <xf numFmtId="43" fontId="4" fillId="12" borderId="0" xfId="4" applyFont="1" applyFill="1" applyAlignment="1" applyProtection="1">
      <alignment vertical="top"/>
      <protection hidden="1"/>
    </xf>
    <xf numFmtId="0" fontId="4" fillId="12" borderId="0" xfId="0" applyFill="1" applyProtection="1">
      <alignment horizontal="left" vertical="center"/>
      <protection hidden="1"/>
    </xf>
    <xf numFmtId="0" fontId="4" fillId="12" borderId="27" xfId="0" applyFill="1" applyBorder="1" applyAlignment="1" applyProtection="1">
      <alignment horizontal="center" vertical="center"/>
      <protection hidden="1"/>
    </xf>
    <xf numFmtId="0" fontId="238" fillId="38" borderId="23" xfId="0" applyFont="1" applyFill="1" applyBorder="1">
      <alignment horizontal="left" vertical="center"/>
    </xf>
    <xf numFmtId="0" fontId="238" fillId="38" borderId="22" xfId="0" applyFont="1" applyFill="1" applyBorder="1" applyAlignment="1">
      <alignment vertical="center" wrapText="1"/>
    </xf>
    <xf numFmtId="0" fontId="238" fillId="38" borderId="0" xfId="0" applyFont="1" applyFill="1" applyBorder="1">
      <alignment horizontal="left" vertical="center"/>
    </xf>
    <xf numFmtId="0" fontId="60" fillId="19" borderId="0" xfId="0" applyFont="1" applyFill="1" applyBorder="1" applyAlignment="1">
      <alignment horizontal="center" shrinkToFit="1"/>
    </xf>
    <xf numFmtId="0" fontId="143" fillId="0" borderId="0" xfId="0" applyFont="1">
      <alignment horizontal="left" vertical="center"/>
    </xf>
    <xf numFmtId="0" fontId="4" fillId="2" borderId="16" xfId="7" applyFont="1" applyFill="1" applyBorder="1">
      <alignment horizontal="center" vertical="center" shrinkToFit="1"/>
    </xf>
    <xf numFmtId="0" fontId="70" fillId="2" borderId="0" xfId="13" applyFill="1" applyAlignment="1">
      <alignment horizontal="left" vertical="center"/>
      <protection/>
    </xf>
    <xf numFmtId="166" fontId="21" fillId="12" borderId="20" xfId="0" applyNumberFormat="1" applyFont="1" applyFill="1" applyBorder="1" applyAlignment="1" applyProtection="1">
      <alignment horizontal="center"/>
      <protection hidden="1"/>
    </xf>
    <xf numFmtId="0" fontId="144" fillId="31" borderId="0" xfId="29" applyFont="1" applyFill="1" applyBorder="1" applyAlignment="1">
      <alignment vertical="center" wrapText="1" shrinkToFit="1"/>
      <protection/>
    </xf>
    <xf numFmtId="0" fontId="144" fillId="31" borderId="20" xfId="29" applyFont="1" applyFill="1" applyBorder="1" applyAlignment="1">
      <alignment vertical="center" wrapText="1" shrinkToFit="1"/>
      <protection/>
    </xf>
    <xf numFmtId="0" fontId="238" fillId="12" borderId="0" xfId="0" applyFont="1" applyFill="1" applyBorder="1" applyProtection="1">
      <alignment horizontal="left" vertical="center"/>
      <protection hidden="1"/>
    </xf>
    <xf numFmtId="17" fontId="4" fillId="3" borderId="0" xfId="0" applyNumberFormat="1" applyFont="1" applyFill="1" applyBorder="1" applyAlignment="1" applyProtection="1">
      <alignment horizontal="center" vertical="center"/>
      <protection hidden="1"/>
    </xf>
    <xf numFmtId="195" fontId="46" fillId="12" borderId="0" xfId="0" applyNumberFormat="1" applyFont="1" applyFill="1" applyBorder="1" applyAlignment="1" applyProtection="1">
      <alignment horizontal="center"/>
      <protection hidden="1"/>
    </xf>
    <xf numFmtId="166" fontId="119" fillId="35" borderId="27" xfId="0" applyNumberFormat="1" applyFont="1" applyFill="1" applyBorder="1" applyAlignment="1" applyProtection="1">
      <alignment horizontal="center"/>
      <protection hidden="1"/>
    </xf>
    <xf numFmtId="0" fontId="9" fillId="12" borderId="0" xfId="0" applyFont="1" applyFill="1" applyBorder="1" applyProtection="1">
      <alignment horizontal="left" vertical="center"/>
      <protection hidden="1"/>
    </xf>
    <xf numFmtId="0" fontId="29" fillId="35" borderId="25" xfId="0" applyFont="1" applyFill="1" applyBorder="1" applyProtection="1">
      <alignment horizontal="left" vertical="center"/>
      <protection hidden="1"/>
    </xf>
    <xf numFmtId="0" fontId="4" fillId="35" borderId="25" xfId="0" applyFont="1" applyFill="1" applyBorder="1" applyProtection="1">
      <alignment horizontal="left" vertical="center"/>
      <protection hidden="1"/>
    </xf>
    <xf numFmtId="166" fontId="16" fillId="35" borderId="25" xfId="0" applyNumberFormat="1" applyFont="1" applyFill="1" applyBorder="1" applyAlignment="1" applyProtection="1">
      <alignment horizontal="center" wrapText="1"/>
      <protection hidden="1"/>
    </xf>
    <xf numFmtId="166" fontId="238" fillId="35" borderId="25" xfId="0" applyNumberFormat="1" applyFont="1" applyFill="1" applyBorder="1" applyAlignment="1" applyProtection="1">
      <alignment horizontal="right"/>
      <protection hidden="1"/>
    </xf>
    <xf numFmtId="166" fontId="21" fillId="35" borderId="29" xfId="0" applyNumberFormat="1" applyFont="1" applyFill="1" applyBorder="1" applyAlignment="1" applyProtection="1">
      <alignment horizontal="center"/>
      <protection hidden="1"/>
    </xf>
    <xf numFmtId="173" fontId="4" fillId="12" borderId="0" xfId="0" applyNumberFormat="1" applyFill="1" applyBorder="1" applyAlignment="1">
      <alignment vertical="top" wrapText="1"/>
    </xf>
    <xf numFmtId="173" fontId="4" fillId="12" borderId="23" xfId="0" applyNumberFormat="1" applyFill="1" applyBorder="1" applyAlignment="1">
      <alignment vertical="top" wrapText="1"/>
    </xf>
    <xf numFmtId="0" fontId="12" fillId="39" borderId="0" xfId="0" applyFont="1" applyFill="1" applyBorder="1" applyAlignment="1">
      <alignment horizontal="left" vertical="center" wrapText="1" indent="1"/>
    </xf>
    <xf numFmtId="0" fontId="64" fillId="12" borderId="37" xfId="0" applyFont="1" applyFill="1" applyBorder="1" applyAlignment="1">
      <alignment horizontal="center" vertical="center"/>
    </xf>
    <xf numFmtId="0" fontId="24" fillId="12" borderId="0" xfId="0" applyFont="1" applyFill="1" applyBorder="1" applyAlignment="1">
      <alignment horizontal="center"/>
    </xf>
    <xf numFmtId="0" fontId="56" fillId="12" borderId="23" xfId="0" applyFont="1" applyFill="1" applyBorder="1" applyAlignment="1">
      <alignment horizontal="center"/>
    </xf>
    <xf numFmtId="0" fontId="59" fillId="3" borderId="0" xfId="0" applyFont="1" applyFill="1" applyBorder="1" applyAlignment="1">
      <alignment horizontal="center"/>
    </xf>
    <xf numFmtId="0" fontId="23" fillId="3" borderId="0" xfId="0" applyFont="1" applyFill="1" applyBorder="1">
      <alignment horizontal="left" vertical="center"/>
    </xf>
    <xf numFmtId="0" fontId="9" fillId="32" borderId="37" xfId="0" applyFont="1" applyFill="1" applyBorder="1" applyAlignment="1">
      <alignment horizontal="center" vertical="center"/>
    </xf>
    <xf numFmtId="0" fontId="9" fillId="12" borderId="20" xfId="0" applyFont="1" applyFill="1" applyBorder="1" applyAlignment="1">
      <alignment horizontal="left" vertical="center" wrapText="1"/>
    </xf>
    <xf numFmtId="196" fontId="15" fillId="8" borderId="23" xfId="49" applyNumberFormat="1" applyFont="1" applyFill="1" applyBorder="1" applyAlignment="1" applyProtection="1" quotePrefix="1">
      <alignment horizontal="right" vertical="center" wrapText="1"/>
      <protection/>
    </xf>
    <xf numFmtId="196" fontId="15" fillId="8" borderId="28" xfId="49" applyNumberFormat="1" applyFont="1" applyFill="1" applyBorder="1" applyAlignment="1" applyProtection="1" quotePrefix="1">
      <alignment horizontal="right" vertical="center" wrapText="1"/>
      <protection/>
    </xf>
    <xf numFmtId="196" fontId="15" fillId="8" borderId="21" xfId="4" applyNumberFormat="1" applyFont="1" applyFill="1" applyBorder="1" applyAlignment="1" applyProtection="1">
      <alignment horizontal="right" vertical="center" wrapText="1"/>
      <protection/>
    </xf>
    <xf numFmtId="197" fontId="4" fillId="3" borderId="0" xfId="0" applyNumberFormat="1" applyFill="1" applyBorder="1" applyAlignment="1">
      <alignment horizontal="center" vertical="center"/>
    </xf>
    <xf numFmtId="0" fontId="63" fillId="3" borderId="37" xfId="0" applyFont="1" applyFill="1" applyBorder="1" applyAlignment="1">
      <alignment horizontal="left" vertical="center" wrapText="1"/>
    </xf>
    <xf numFmtId="186" fontId="4" fillId="11" borderId="17" xfId="51" applyNumberFormat="1" applyFont="1" applyBorder="1" applyAlignment="1">
      <alignment horizontal="right" vertical="center"/>
      <protection/>
    </xf>
    <xf numFmtId="0" fontId="238" fillId="12" borderId="20" xfId="14" applyFont="1" applyFill="1" applyBorder="1">
      <alignment horizontal="left" vertical="center"/>
      <protection/>
    </xf>
    <xf numFmtId="0" fontId="238" fillId="0" borderId="0" xfId="0" applyFont="1" applyAlignment="1">
      <alignment horizontal="right" vertical="center"/>
    </xf>
    <xf numFmtId="0" fontId="145" fillId="2" borderId="25" xfId="0" applyFont="1" applyFill="1" applyBorder="1" applyAlignment="1">
      <alignment horizontal="right" vertical="center"/>
    </xf>
    <xf numFmtId="0" fontId="4" fillId="2" borderId="22" xfId="0" applyFill="1" applyBorder="1" applyAlignment="1">
      <alignment horizontal="center" vertical="center"/>
    </xf>
    <xf numFmtId="0" fontId="238" fillId="2" borderId="0" xfId="0" applyFont="1" applyFill="1" applyBorder="1" applyAlignment="1">
      <alignment horizontal="right" vertical="center"/>
    </xf>
    <xf numFmtId="43" fontId="4" fillId="2" borderId="0" xfId="0" applyNumberFormat="1" applyFill="1" applyBorder="1">
      <alignment horizontal="left" vertical="center"/>
    </xf>
    <xf numFmtId="171" fontId="4" fillId="2" borderId="0" xfId="4" applyNumberFormat="1" applyFont="1" applyFill="1" applyBorder="1">
      <alignment/>
    </xf>
    <xf numFmtId="0" fontId="73" fillId="40" borderId="64" xfId="17" applyFill="1" applyBorder="1">
      <alignment horizontal="left" vertical="center"/>
    </xf>
    <xf numFmtId="0" fontId="69" fillId="40" borderId="65" xfId="14" applyFill="1" applyBorder="1" applyAlignment="1">
      <alignment vertical="center"/>
      <protection/>
    </xf>
    <xf numFmtId="0" fontId="70" fillId="40" borderId="65" xfId="13" applyFill="1" applyBorder="1">
      <alignment horizontal="left" vertical="center" indent="1"/>
      <protection/>
    </xf>
    <xf numFmtId="0" fontId="4" fillId="40" borderId="65" xfId="0" applyFill="1" applyBorder="1">
      <alignment horizontal="left" vertical="center"/>
    </xf>
    <xf numFmtId="0" fontId="70" fillId="40" borderId="65" xfId="13" applyFill="1" applyBorder="1" applyAlignment="1">
      <alignment vertical="center"/>
      <protection/>
    </xf>
    <xf numFmtId="0" fontId="70" fillId="40" borderId="66" xfId="13" applyFill="1" applyBorder="1" applyAlignment="1">
      <alignment vertical="center"/>
      <protection/>
    </xf>
    <xf numFmtId="0" fontId="238" fillId="2" borderId="23" xfId="0" applyFont="1" applyFill="1" applyBorder="1" applyAlignment="1">
      <alignment horizontal="right" vertical="center"/>
    </xf>
    <xf numFmtId="0" fontId="46" fillId="3" borderId="25" xfId="0" applyFont="1" applyFill="1" applyBorder="1" applyAlignment="1">
      <alignment horizontal="right" vertical="center"/>
    </xf>
    <xf numFmtId="206" fontId="4" fillId="3" borderId="22" xfId="43" applyFont="1" applyFill="1" applyBorder="1" applyAlignment="1" applyProtection="1">
      <alignment horizontal="right" vertical="center"/>
      <protection locked="0"/>
    </xf>
    <xf numFmtId="206" fontId="4" fillId="3" borderId="27" xfId="43" applyFont="1" applyFill="1" applyBorder="1" applyAlignment="1" applyProtection="1">
      <alignment horizontal="right" vertical="center"/>
      <protection locked="0"/>
    </xf>
    <xf numFmtId="14" fontId="4" fillId="3" borderId="0" xfId="0" applyNumberFormat="1" applyFill="1" applyBorder="1">
      <alignment horizontal="left" vertical="center"/>
    </xf>
    <xf numFmtId="14" fontId="4" fillId="3" borderId="0" xfId="0" applyNumberFormat="1" applyFill="1" applyBorder="1" applyAlignment="1">
      <alignment horizontal="center"/>
    </xf>
    <xf numFmtId="0" fontId="4" fillId="3" borderId="0" xfId="0" applyFill="1" applyBorder="1" applyAlignment="1">
      <alignment horizontal="center"/>
    </xf>
    <xf numFmtId="0" fontId="99" fillId="3" borderId="25" xfId="0" applyFont="1" applyFill="1" applyBorder="1" applyAlignment="1">
      <alignment horizontal="right" vertical="center"/>
    </xf>
    <xf numFmtId="0" fontId="4" fillId="19" borderId="23" xfId="0" applyFill="1" applyBorder="1" applyAlignment="1">
      <alignment horizontal="left" vertical="center" shrinkToFit="1"/>
    </xf>
    <xf numFmtId="206" fontId="4" fillId="3" borderId="0" xfId="43" applyFont="1" applyFill="1" applyBorder="1" applyAlignment="1" applyProtection="1">
      <alignment horizontal="right" vertical="center"/>
      <protection locked="0"/>
    </xf>
    <xf numFmtId="0" fontId="4" fillId="3" borderId="28" xfId="0" applyFill="1" applyBorder="1" applyAlignment="1">
      <alignment horizontal="center" vertical="center"/>
    </xf>
    <xf numFmtId="0" fontId="238" fillId="12" borderId="0" xfId="14" applyFont="1" applyFill="1" applyAlignment="1">
      <alignment horizontal="right" vertical="center"/>
      <protection/>
    </xf>
    <xf numFmtId="0" fontId="61" fillId="3" borderId="0" xfId="0" applyFont="1" applyFill="1" applyBorder="1" applyAlignment="1">
      <alignment horizontal="right" vertical="center"/>
    </xf>
    <xf numFmtId="0" fontId="238" fillId="12" borderId="20" xfId="14" applyFont="1" applyFill="1" applyBorder="1" applyAlignment="1">
      <alignment horizontal="right" vertical="center"/>
      <protection/>
    </xf>
    <xf numFmtId="0" fontId="146" fillId="3" borderId="0" xfId="0" applyFont="1" applyFill="1" applyBorder="1" applyAlignment="1">
      <alignment horizontal="right"/>
    </xf>
    <xf numFmtId="173" fontId="238" fillId="3" borderId="0" xfId="0" applyNumberFormat="1" applyFont="1" applyFill="1" applyBorder="1" applyAlignment="1">
      <alignment horizontal="right"/>
    </xf>
    <xf numFmtId="186" fontId="4" fillId="11" borderId="42" xfId="51" applyNumberFormat="1" applyFont="1" applyBorder="1" applyAlignment="1">
      <alignment horizontal="right" vertical="center"/>
      <protection/>
    </xf>
    <xf numFmtId="0" fontId="4" fillId="12" borderId="22" xfId="0" applyFill="1" applyBorder="1" applyAlignment="1">
      <alignment horizontal="center" vertical="center"/>
    </xf>
    <xf numFmtId="0" fontId="238" fillId="12" borderId="0" xfId="0" applyFont="1" applyFill="1" applyBorder="1" applyAlignment="1">
      <alignment horizontal="right" vertical="center"/>
    </xf>
    <xf numFmtId="179" fontId="4" fillId="12" borderId="0" xfId="0" applyNumberFormat="1" applyFill="1" applyBorder="1" applyAlignment="1">
      <alignment horizontal="center"/>
    </xf>
    <xf numFmtId="179" fontId="4" fillId="3" borderId="22" xfId="0" applyNumberFormat="1" applyFill="1" applyBorder="1" applyAlignment="1">
      <alignment horizontal="center"/>
    </xf>
    <xf numFmtId="0" fontId="46" fillId="12" borderId="20" xfId="0" applyFont="1" applyFill="1" applyBorder="1" applyAlignment="1">
      <alignment horizontal="right" vertical="center" wrapText="1"/>
    </xf>
    <xf numFmtId="206" fontId="4" fillId="3" borderId="0" xfId="43" applyFont="1" applyFill="1" applyBorder="1" applyAlignment="1" applyProtection="1">
      <alignment horizontal="center" vertical="center"/>
      <protection locked="0"/>
    </xf>
    <xf numFmtId="0" fontId="53" fillId="3" borderId="0" xfId="0" applyFont="1" applyFill="1" applyBorder="1" quotePrefix="1">
      <alignment horizontal="left" vertical="center"/>
    </xf>
    <xf numFmtId="0" fontId="28" fillId="3" borderId="0" xfId="16" applyFont="1" applyFill="1" applyBorder="1" applyAlignment="1">
      <alignment vertical="center"/>
      <protection/>
    </xf>
    <xf numFmtId="0" fontId="40" fillId="3" borderId="0" xfId="16" applyFont="1" applyFill="1" applyBorder="1" applyAlignment="1">
      <alignment vertical="center"/>
      <protection/>
    </xf>
    <xf numFmtId="0" fontId="6" fillId="3" borderId="0" xfId="0" applyFont="1" applyFill="1" applyBorder="1">
      <alignment horizontal="left" vertical="center"/>
    </xf>
    <xf numFmtId="0" fontId="99" fillId="3" borderId="25" xfId="0" applyFont="1" applyFill="1" applyBorder="1">
      <alignment horizontal="left" vertical="center"/>
    </xf>
    <xf numFmtId="0" fontId="4" fillId="2" borderId="0" xfId="0" applyFont="1" applyFill="1" applyBorder="1" applyAlignment="1">
      <alignment horizontal="center" vertical="center"/>
    </xf>
    <xf numFmtId="208" fontId="4" fillId="3" borderId="0" xfId="6" applyFont="1" applyFill="1" applyBorder="1">
      <alignment/>
    </xf>
    <xf numFmtId="197" fontId="4" fillId="3" borderId="0" xfId="56" applyFont="1" applyFill="1" applyBorder="1" applyAlignment="1">
      <alignment horizontal="center" vertical="center"/>
    </xf>
    <xf numFmtId="0" fontId="34" fillId="3" borderId="22" xfId="0" applyFont="1" applyFill="1" applyBorder="1" applyAlignment="1">
      <alignment horizontal="center" vertical="center"/>
    </xf>
    <xf numFmtId="43" fontId="148" fillId="31" borderId="38" xfId="29" applyNumberFormat="1" applyFont="1" applyFill="1" applyBorder="1" applyAlignment="1">
      <alignment horizontal="center" vertical="center" wrapText="1" shrinkToFit="1"/>
      <protection/>
    </xf>
    <xf numFmtId="0" fontId="9" fillId="19" borderId="0" xfId="0" applyFont="1" applyFill="1" applyBorder="1" applyAlignment="1">
      <alignment horizontal="center" shrinkToFit="1"/>
    </xf>
    <xf numFmtId="43" fontId="14" fillId="19" borderId="0" xfId="4" applyFont="1" applyFill="1" applyBorder="1" applyAlignment="1">
      <alignment horizontal="left" vertical="center" indent="1"/>
    </xf>
    <xf numFmtId="168" fontId="4" fillId="19" borderId="0" xfId="6" applyNumberFormat="1" applyFont="1" applyFill="1" applyBorder="1" applyAlignment="1">
      <alignment horizontal="left" vertical="center" shrinkToFit="1"/>
    </xf>
    <xf numFmtId="17" fontId="41" fillId="4" borderId="0" xfId="24" applyFont="1" applyFill="1" applyBorder="1" applyProtection="1">
      <alignment horizontal="center" vertical="center"/>
      <protection hidden="1"/>
    </xf>
    <xf numFmtId="17" fontId="113" fillId="4" borderId="0" xfId="24" applyFont="1" applyFill="1" applyBorder="1" applyProtection="1">
      <alignment horizontal="center" vertical="center"/>
      <protection hidden="1"/>
    </xf>
    <xf numFmtId="197" fontId="4" fillId="3" borderId="46" xfId="0" applyNumberFormat="1" applyFill="1" applyBorder="1" applyAlignment="1">
      <alignment horizontal="center" vertical="center"/>
    </xf>
    <xf numFmtId="0" fontId="4" fillId="3" borderId="16" xfId="0" applyFill="1" applyBorder="1" applyAlignment="1">
      <alignment horizontal="center" vertical="center"/>
    </xf>
    <xf numFmtId="0" fontId="34" fillId="3" borderId="25" xfId="7" applyFont="1" applyFill="1" applyBorder="1">
      <alignment horizontal="center" vertical="center" shrinkToFit="1"/>
    </xf>
    <xf numFmtId="0" fontId="34" fillId="2" borderId="16" xfId="0" applyFont="1" applyFill="1" applyBorder="1">
      <alignment horizontal="left" vertical="center"/>
    </xf>
    <xf numFmtId="0" fontId="34" fillId="8" borderId="16" xfId="0" applyFont="1" applyFill="1" applyBorder="1">
      <alignment horizontal="left" vertical="center"/>
    </xf>
    <xf numFmtId="0" fontId="34" fillId="2" borderId="16" xfId="0" applyFont="1" applyFill="1" applyBorder="1" applyAlignment="1">
      <alignment horizontal="center" vertical="center"/>
    </xf>
    <xf numFmtId="0" fontId="14" fillId="0" borderId="0" xfId="0" applyFont="1" applyBorder="1" applyAlignment="1">
      <alignment horizontal="center" vertical="center"/>
    </xf>
    <xf numFmtId="0" fontId="4" fillId="0" borderId="0" xfId="0" applyBorder="1" applyAlignment="1">
      <alignment horizontal="center" vertical="center"/>
    </xf>
    <xf numFmtId="0" fontId="12" fillId="19" borderId="0" xfId="0" applyFont="1" applyFill="1" applyBorder="1" applyAlignment="1">
      <alignment horizontal="center" vertical="center"/>
    </xf>
    <xf numFmtId="0" fontId="60" fillId="19" borderId="0" xfId="0" applyFont="1" applyFill="1" applyBorder="1" applyAlignment="1">
      <alignment horizontal="left" wrapText="1" shrinkToFit="1"/>
    </xf>
    <xf numFmtId="0" fontId="238" fillId="3" borderId="25" xfId="0" applyFont="1" applyFill="1" applyBorder="1" applyAlignment="1">
      <alignment horizontal="center" vertical="center" wrapText="1"/>
    </xf>
    <xf numFmtId="0" fontId="238" fillId="3" borderId="25" xfId="0" applyFont="1" applyFill="1" applyBorder="1" applyAlignment="1">
      <alignment horizontal="center" vertical="center"/>
    </xf>
    <xf numFmtId="0" fontId="12" fillId="19" borderId="0" xfId="0" applyFont="1" applyFill="1" applyAlignment="1">
      <alignment horizontal="center" shrinkToFit="1"/>
    </xf>
    <xf numFmtId="0" fontId="12" fillId="39" borderId="0" xfId="0" applyFont="1" applyFill="1" applyBorder="1" quotePrefix="1">
      <alignment horizontal="left" vertical="center"/>
    </xf>
    <xf numFmtId="0" fontId="12" fillId="39" borderId="0" xfId="0" applyFont="1" applyFill="1" applyBorder="1">
      <alignment horizontal="left" vertical="center"/>
    </xf>
    <xf numFmtId="0" fontId="12" fillId="38" borderId="24" xfId="0" applyFont="1" applyFill="1" applyBorder="1" quotePrefix="1">
      <alignment horizontal="left" vertical="center"/>
    </xf>
    <xf numFmtId="0" fontId="12" fillId="38" borderId="25" xfId="0" applyFont="1" applyFill="1" applyBorder="1">
      <alignment horizontal="left" vertical="center"/>
    </xf>
    <xf numFmtId="0" fontId="12" fillId="38" borderId="20" xfId="0" applyFont="1" applyFill="1" applyBorder="1" applyAlignment="1">
      <alignment horizontal="left" vertical="center" wrapText="1" indent="1"/>
    </xf>
    <xf numFmtId="0" fontId="12" fillId="38" borderId="29" xfId="0" applyFont="1" applyFill="1" applyBorder="1" applyAlignment="1">
      <alignment horizontal="left" vertical="center" wrapText="1" indent="1"/>
    </xf>
    <xf numFmtId="0" fontId="4" fillId="38" borderId="27" xfId="0" applyFill="1" applyBorder="1" applyAlignment="1">
      <alignment vertical="center" wrapText="1"/>
    </xf>
    <xf numFmtId="0" fontId="4" fillId="38" borderId="27" xfId="0" applyFill="1" applyBorder="1">
      <alignment horizontal="left" vertical="center"/>
    </xf>
    <xf numFmtId="0" fontId="238" fillId="38" borderId="22" xfId="0" applyFont="1" applyFill="1" applyBorder="1">
      <alignment horizontal="left" vertical="center"/>
    </xf>
    <xf numFmtId="0" fontId="238" fillId="38" borderId="26" xfId="0" applyFont="1" applyFill="1" applyBorder="1">
      <alignment horizontal="left" vertical="center"/>
    </xf>
    <xf numFmtId="0" fontId="238" fillId="38" borderId="28" xfId="0" applyFont="1" applyFill="1" applyBorder="1" applyAlignment="1">
      <alignment vertical="center" wrapText="1"/>
    </xf>
    <xf numFmtId="180" fontId="137" fillId="35" borderId="25" xfId="0" applyNumberFormat="1" applyFont="1" applyFill="1" applyBorder="1" applyAlignment="1" applyProtection="1">
      <alignment horizontal="center" wrapText="1"/>
      <protection hidden="1"/>
    </xf>
    <xf numFmtId="186" fontId="4" fillId="11" borderId="40" xfId="51" applyNumberFormat="1" applyFont="1" applyBorder="1" applyAlignment="1">
      <alignment horizontal="right" vertical="center"/>
      <protection/>
    </xf>
    <xf numFmtId="176" fontId="16" fillId="26" borderId="22" xfId="0" applyNumberFormat="1" applyFont="1" applyFill="1" applyBorder="1" applyAlignment="1">
      <alignment horizontal="center" vertical="center"/>
    </xf>
    <xf numFmtId="176" fontId="16" fillId="26" borderId="27" xfId="0" applyNumberFormat="1" applyFont="1" applyFill="1" applyBorder="1" applyAlignment="1">
      <alignment horizontal="center" vertical="center"/>
    </xf>
    <xf numFmtId="0" fontId="38" fillId="2" borderId="25" xfId="0" applyFont="1" applyFill="1" applyBorder="1" applyAlignment="1">
      <alignment horizontal="right" vertical="center"/>
    </xf>
    <xf numFmtId="0" fontId="41" fillId="3" borderId="25" xfId="0" applyFont="1" applyFill="1" applyBorder="1" applyAlignment="1">
      <alignment horizontal="right" vertical="center"/>
    </xf>
    <xf numFmtId="0" fontId="41" fillId="3" borderId="0" xfId="0" applyFont="1" applyFill="1" applyBorder="1" applyAlignment="1" quotePrefix="1">
      <alignment horizontal="right" vertical="center"/>
    </xf>
    <xf numFmtId="0" fontId="109" fillId="19" borderId="0" xfId="0" applyFont="1" applyFill="1" applyBorder="1" applyAlignment="1">
      <alignment vertical="top" wrapText="1"/>
    </xf>
    <xf numFmtId="0" fontId="150" fillId="19" borderId="0" xfId="0" applyFont="1" applyFill="1" applyBorder="1" applyAlignment="1">
      <alignment horizontal="left" vertical="top" wrapText="1"/>
    </xf>
    <xf numFmtId="0" fontId="9" fillId="19" borderId="0" xfId="0" applyFont="1" applyFill="1" applyBorder="1" applyAlignment="1">
      <alignment horizontal="center" vertical="center"/>
    </xf>
    <xf numFmtId="0" fontId="60" fillId="19" borderId="0" xfId="0" applyFont="1" applyFill="1" applyBorder="1" applyAlignment="1">
      <alignment vertical="top" wrapText="1"/>
    </xf>
    <xf numFmtId="0" fontId="60" fillId="19" borderId="0" xfId="0" applyFont="1" applyFill="1" applyBorder="1" applyAlignment="1">
      <alignment vertical="top" textRotation="90" wrapText="1"/>
    </xf>
    <xf numFmtId="0" fontId="60" fillId="19" borderId="51" xfId="0" applyFont="1" applyFill="1" applyBorder="1" applyAlignment="1">
      <alignment vertical="top" wrapText="1"/>
    </xf>
    <xf numFmtId="0" fontId="44" fillId="19" borderId="0" xfId="0" applyFont="1" applyFill="1" applyAlignment="1">
      <alignment horizontal="center" vertical="center" shrinkToFit="1"/>
    </xf>
    <xf numFmtId="0" fontId="60" fillId="19" borderId="0" xfId="0" applyFont="1" applyFill="1" applyBorder="1" applyAlignment="1">
      <alignment vertical="top"/>
    </xf>
    <xf numFmtId="0" fontId="60" fillId="19" borderId="0" xfId="0" applyFont="1" applyFill="1" applyBorder="1" applyAlignment="1">
      <alignment vertical="center" shrinkToFit="1"/>
    </xf>
    <xf numFmtId="206" fontId="4" fillId="3" borderId="40" xfId="43" applyFont="1" applyFill="1" applyBorder="1" applyAlignment="1" applyProtection="1">
      <alignment horizontal="right" vertical="center"/>
      <protection hidden="1"/>
    </xf>
    <xf numFmtId="0" fontId="102" fillId="3" borderId="25" xfId="0" applyFont="1" applyFill="1" applyBorder="1">
      <alignment horizontal="left" vertical="center"/>
    </xf>
    <xf numFmtId="197" fontId="4" fillId="3" borderId="46" xfId="56" applyFont="1" applyFill="1" applyBorder="1" applyAlignment="1">
      <alignment horizontal="center" vertical="center"/>
    </xf>
    <xf numFmtId="0" fontId="53" fillId="3" borderId="25" xfId="0" applyFont="1" applyFill="1" applyBorder="1">
      <alignment horizontal="left" vertical="center"/>
    </xf>
    <xf numFmtId="1" fontId="4" fillId="12" borderId="25" xfId="0" applyNumberFormat="1" applyFill="1" applyBorder="1" applyAlignment="1">
      <alignment horizontal="center" vertical="center"/>
    </xf>
    <xf numFmtId="0" fontId="152" fillId="3" borderId="0" xfId="0" applyFont="1" applyFill="1" applyBorder="1" applyAlignment="1">
      <alignment horizontal="right" vertical="center"/>
    </xf>
    <xf numFmtId="0" fontId="53" fillId="3" borderId="0" xfId="0" applyFont="1" applyFill="1" applyBorder="1" applyAlignment="1">
      <alignment horizontal="right" vertical="center"/>
    </xf>
    <xf numFmtId="0" fontId="4" fillId="3" borderId="21" xfId="0" applyFill="1" applyBorder="1" applyAlignment="1">
      <alignment horizontal="center" vertical="center"/>
    </xf>
    <xf numFmtId="0" fontId="54" fillId="3" borderId="0" xfId="0" applyFont="1" applyFill="1" applyBorder="1" applyAlignment="1" quotePrefix="1">
      <alignment horizontal="right" vertical="center"/>
    </xf>
    <xf numFmtId="0" fontId="132" fillId="12" borderId="0" xfId="14" applyFont="1" applyFill="1">
      <alignment horizontal="left" vertical="center"/>
      <protection/>
    </xf>
    <xf numFmtId="0" fontId="238" fillId="3" borderId="0" xfId="14" applyFont="1" applyFill="1" applyAlignment="1">
      <alignment horizontal="right" vertical="center"/>
      <protection/>
    </xf>
    <xf numFmtId="0" fontId="99" fillId="3" borderId="20" xfId="0" applyFont="1" applyFill="1" applyBorder="1">
      <alignment horizontal="left" vertical="center"/>
    </xf>
    <xf numFmtId="0" fontId="55" fillId="3" borderId="25" xfId="0" applyFont="1" applyFill="1" applyBorder="1">
      <alignment horizontal="left" vertical="center"/>
    </xf>
    <xf numFmtId="0" fontId="153" fillId="3" borderId="25" xfId="0" applyFont="1" applyFill="1" applyBorder="1" applyAlignment="1">
      <alignment horizontal="center" shrinkToFit="1"/>
    </xf>
    <xf numFmtId="0" fontId="55" fillId="3" borderId="0" xfId="0" applyFont="1" applyFill="1" applyBorder="1">
      <alignment horizontal="left" vertical="center"/>
    </xf>
    <xf numFmtId="0" fontId="55" fillId="3" borderId="0" xfId="0" applyFont="1" applyFill="1" applyBorder="1" applyAlignment="1">
      <alignment horizontal="center" vertical="center"/>
    </xf>
    <xf numFmtId="1" fontId="55" fillId="3" borderId="34" xfId="4" applyNumberFormat="1" applyFont="1" applyFill="1" applyBorder="1" applyAlignment="1">
      <alignment horizontal="center" vertical="center"/>
    </xf>
    <xf numFmtId="1" fontId="55" fillId="3" borderId="27" xfId="4" applyNumberFormat="1" applyFont="1" applyFill="1" applyBorder="1" applyAlignment="1">
      <alignment horizontal="center" vertical="center"/>
    </xf>
    <xf numFmtId="17" fontId="55" fillId="3" borderId="67" xfId="0" applyNumberFormat="1" applyFont="1" applyFill="1" applyBorder="1" applyAlignment="1">
      <alignment horizontal="center" vertical="center"/>
    </xf>
    <xf numFmtId="17" fontId="55" fillId="3" borderId="68" xfId="0" applyNumberFormat="1" applyFont="1" applyFill="1" applyBorder="1" applyAlignment="1">
      <alignment horizontal="center" vertical="center"/>
    </xf>
    <xf numFmtId="17" fontId="55" fillId="3" borderId="69" xfId="0" applyNumberFormat="1" applyFont="1" applyFill="1" applyBorder="1" applyAlignment="1">
      <alignment horizontal="center" vertical="center"/>
    </xf>
    <xf numFmtId="0" fontId="23" fillId="3" borderId="25" xfId="0" applyFont="1" applyFill="1" applyBorder="1" applyAlignment="1">
      <alignment horizontal="center" vertical="center"/>
    </xf>
    <xf numFmtId="0" fontId="4" fillId="3" borderId="29" xfId="0" applyFill="1" applyBorder="1" applyAlignment="1">
      <alignment horizontal="center" vertical="center"/>
    </xf>
    <xf numFmtId="0" fontId="4" fillId="3" borderId="24" xfId="0" applyFill="1" applyBorder="1" applyAlignment="1">
      <alignment horizontal="center" vertical="center"/>
    </xf>
    <xf numFmtId="0" fontId="4" fillId="2" borderId="37" xfId="0" applyFill="1" applyBorder="1">
      <alignment horizontal="left" vertical="center"/>
    </xf>
    <xf numFmtId="0" fontId="54" fillId="0" borderId="0" xfId="0" applyFont="1" applyAlignment="1">
      <alignment horizontal="center" vertical="center"/>
    </xf>
    <xf numFmtId="0" fontId="54" fillId="2" borderId="25" xfId="0" applyFont="1" applyFill="1" applyBorder="1" applyAlignment="1">
      <alignment horizontal="center" vertical="center"/>
    </xf>
    <xf numFmtId="0" fontId="54" fillId="2" borderId="0" xfId="0" applyFont="1" applyFill="1" applyBorder="1" applyAlignment="1">
      <alignment horizontal="center" vertical="center"/>
    </xf>
    <xf numFmtId="0" fontId="54" fillId="3" borderId="25" xfId="0" applyFont="1" applyFill="1" applyBorder="1" applyAlignment="1">
      <alignment horizontal="center" vertical="center"/>
    </xf>
    <xf numFmtId="197" fontId="54" fillId="3" borderId="46" xfId="0" applyNumberFormat="1" applyFont="1" applyFill="1" applyBorder="1" applyAlignment="1">
      <alignment horizontal="center" vertical="center"/>
    </xf>
    <xf numFmtId="0" fontId="54" fillId="3" borderId="0" xfId="0" applyFont="1" applyFill="1" applyBorder="1">
      <alignment horizontal="left" vertical="center"/>
    </xf>
    <xf numFmtId="0" fontId="110" fillId="3" borderId="16" xfId="0" applyFont="1" applyFill="1" applyBorder="1" applyAlignment="1">
      <alignment horizontal="center" vertical="center"/>
    </xf>
    <xf numFmtId="194" fontId="54" fillId="3" borderId="0" xfId="0" applyNumberFormat="1" applyFont="1" applyFill="1" applyBorder="1" applyAlignment="1">
      <alignment horizontal="center" vertical="center"/>
    </xf>
    <xf numFmtId="206" fontId="54" fillId="3" borderId="0" xfId="43" applyFont="1" applyFill="1" applyBorder="1" applyAlignment="1" applyProtection="1">
      <alignment horizontal="right" vertical="center"/>
      <protection locked="0"/>
    </xf>
    <xf numFmtId="194" fontId="54" fillId="3" borderId="20" xfId="0" applyNumberFormat="1" applyFont="1" applyFill="1" applyBorder="1" applyAlignment="1">
      <alignment horizontal="center" vertical="center"/>
    </xf>
    <xf numFmtId="194" fontId="54" fillId="3" borderId="25" xfId="0" applyNumberFormat="1" applyFont="1" applyFill="1" applyBorder="1" applyAlignment="1">
      <alignment horizontal="center" vertical="center"/>
    </xf>
    <xf numFmtId="197" fontId="54" fillId="3" borderId="16" xfId="0" applyNumberFormat="1" applyFont="1" applyFill="1" applyBorder="1" applyAlignment="1">
      <alignment horizontal="center" vertical="center"/>
    </xf>
    <xf numFmtId="197" fontId="54" fillId="3" borderId="46" xfId="6" applyNumberFormat="1" applyFont="1" applyFill="1" applyBorder="1" applyAlignment="1" applyProtection="1">
      <alignment horizontal="center" vertical="center"/>
      <protection/>
    </xf>
    <xf numFmtId="197" fontId="54" fillId="3" borderId="21" xfId="0" applyNumberFormat="1" applyFont="1" applyFill="1" applyBorder="1" applyAlignment="1">
      <alignment horizontal="center" vertical="center"/>
    </xf>
    <xf numFmtId="194" fontId="54" fillId="3" borderId="46" xfId="0" applyNumberFormat="1" applyFont="1" applyFill="1" applyBorder="1" applyAlignment="1">
      <alignment horizontal="center" vertical="center"/>
    </xf>
    <xf numFmtId="194" fontId="54" fillId="3" borderId="21" xfId="0" applyNumberFormat="1" applyFont="1" applyFill="1" applyBorder="1" applyAlignment="1">
      <alignment horizontal="center" vertical="center"/>
    </xf>
    <xf numFmtId="194" fontId="54" fillId="3" borderId="16" xfId="0" applyNumberFormat="1" applyFont="1" applyFill="1" applyBorder="1" applyAlignment="1">
      <alignment horizontal="center" vertical="center"/>
    </xf>
    <xf numFmtId="194" fontId="110" fillId="3" borderId="46" xfId="0" applyNumberFormat="1" applyFont="1" applyFill="1" applyBorder="1" applyAlignment="1">
      <alignment horizontal="center"/>
    </xf>
    <xf numFmtId="194" fontId="54" fillId="3" borderId="0" xfId="0" applyNumberFormat="1" applyFont="1" applyFill="1" applyBorder="1" applyAlignment="1">
      <alignment horizontal="center"/>
    </xf>
    <xf numFmtId="194" fontId="54" fillId="3" borderId="24" xfId="0" applyNumberFormat="1" applyFont="1" applyFill="1" applyBorder="1" applyAlignment="1">
      <alignment horizontal="center" vertical="center"/>
    </xf>
    <xf numFmtId="194" fontId="110" fillId="3" borderId="46" xfId="7" applyNumberFormat="1" applyFont="1" applyFill="1" applyBorder="1">
      <alignment horizontal="center" vertical="center" shrinkToFit="1"/>
    </xf>
    <xf numFmtId="194" fontId="110" fillId="3" borderId="0" xfId="0" applyNumberFormat="1" applyFont="1" applyFill="1" applyBorder="1" applyAlignment="1">
      <alignment horizontal="center"/>
    </xf>
    <xf numFmtId="0" fontId="54" fillId="0" borderId="0" xfId="0" applyFont="1">
      <alignment horizontal="left" vertical="center"/>
    </xf>
    <xf numFmtId="173" fontId="46" fillId="41" borderId="29" xfId="0" applyNumberFormat="1" applyFont="1" applyFill="1" applyBorder="1">
      <alignment horizontal="left" vertical="center"/>
    </xf>
    <xf numFmtId="0" fontId="46" fillId="41" borderId="28" xfId="0" applyFont="1" applyFill="1" applyBorder="1">
      <alignment horizontal="left" vertical="center"/>
    </xf>
    <xf numFmtId="0" fontId="34" fillId="34" borderId="27" xfId="50" applyFont="1" applyFill="1" applyBorder="1" applyAlignment="1">
      <alignment horizontal="left" vertical="center" indent="1"/>
      <protection locked="0"/>
    </xf>
    <xf numFmtId="0" fontId="22" fillId="8" borderId="28" xfId="0" applyFont="1" applyFill="1" applyBorder="1">
      <alignment horizontal="left" vertical="center"/>
    </xf>
    <xf numFmtId="194" fontId="135" fillId="3" borderId="0" xfId="0" applyNumberFormat="1" applyFont="1" applyFill="1" applyBorder="1" applyAlignment="1">
      <alignment horizontal="center" vertical="center"/>
    </xf>
    <xf numFmtId="197" fontId="54" fillId="3" borderId="0" xfId="0" applyNumberFormat="1" applyFont="1" applyFill="1" applyBorder="1" applyAlignment="1">
      <alignment horizontal="center" vertical="center"/>
    </xf>
    <xf numFmtId="0" fontId="54" fillId="3" borderId="22" xfId="0" applyFont="1" applyFill="1" applyBorder="1" applyAlignment="1" quotePrefix="1">
      <alignment horizontal="right" vertical="center"/>
    </xf>
    <xf numFmtId="2" fontId="4" fillId="2" borderId="17" xfId="43" applyNumberFormat="1" applyFont="1" applyFill="1" applyBorder="1" applyAlignment="1" applyProtection="1">
      <alignment horizontal="right" vertical="center"/>
      <protection hidden="1" locked="0"/>
    </xf>
    <xf numFmtId="0" fontId="4" fillId="2" borderId="37" xfId="55" applyFont="1" applyFill="1" applyBorder="1">
      <alignment horizontal="left" vertical="center" indent="1"/>
      <protection locked="0"/>
    </xf>
    <xf numFmtId="0" fontId="63" fillId="3" borderId="24" xfId="0" applyFont="1" applyFill="1" applyBorder="1" applyAlignment="1">
      <alignment horizontal="left" vertical="center" wrapText="1"/>
    </xf>
    <xf numFmtId="197" fontId="34" fillId="3" borderId="46" xfId="0" applyNumberFormat="1" applyFont="1" applyFill="1" applyBorder="1" applyAlignment="1">
      <alignment horizontal="center" vertical="center"/>
    </xf>
    <xf numFmtId="0" fontId="4" fillId="34" borderId="0" xfId="50" applyFont="1" applyFill="1" applyBorder="1" applyAlignment="1" applyProtection="1">
      <alignment horizontal="center" vertical="center"/>
      <protection/>
    </xf>
    <xf numFmtId="0" fontId="4" fillId="2" borderId="16" xfId="0" applyFill="1" applyBorder="1" applyProtection="1">
      <alignment horizontal="left" vertical="center"/>
      <protection locked="0"/>
    </xf>
    <xf numFmtId="0" fontId="4" fillId="2" borderId="16" xfId="55" applyFont="1" applyFill="1" applyBorder="1">
      <alignment horizontal="left" vertical="center" indent="1"/>
      <protection locked="0"/>
    </xf>
    <xf numFmtId="0" fontId="4" fillId="8" borderId="16" xfId="0" applyFill="1" applyBorder="1">
      <alignment horizontal="left" vertical="center"/>
    </xf>
    <xf numFmtId="2" fontId="4" fillId="2" borderId="17" xfId="54" applyNumberFormat="1" applyFont="1" applyFill="1" applyBorder="1" applyAlignment="1">
      <alignment horizontal="right" vertical="center"/>
      <protection/>
    </xf>
    <xf numFmtId="186" fontId="4" fillId="2" borderId="17" xfId="54" applyNumberFormat="1" applyFont="1" applyFill="1" applyBorder="1" applyAlignment="1">
      <alignment horizontal="right" vertical="center"/>
      <protection/>
    </xf>
    <xf numFmtId="186" fontId="4" fillId="2" borderId="50" xfId="55" applyNumberFormat="1" applyFont="1" applyFill="1" applyBorder="1" applyAlignment="1">
      <alignment horizontal="right"/>
      <protection locked="0"/>
    </xf>
    <xf numFmtId="0" fontId="4" fillId="0" borderId="0" xfId="54" applyFont="1" applyFill="1" applyBorder="1">
      <alignment horizontal="left" vertical="center" indent="1"/>
      <protection/>
    </xf>
    <xf numFmtId="0" fontId="75" fillId="3" borderId="22" xfId="54" applyFont="1" applyFill="1" applyBorder="1" applyAlignment="1">
      <alignment horizontal="center"/>
      <protection/>
    </xf>
    <xf numFmtId="0" fontId="4" fillId="2" borderId="16" xfId="54" applyFont="1" applyFill="1" applyBorder="1">
      <alignment horizontal="left" vertical="center" indent="1"/>
      <protection/>
    </xf>
    <xf numFmtId="0" fontId="4" fillId="3" borderId="27" xfId="54" applyFont="1" applyFill="1" applyBorder="1" applyAlignment="1">
      <alignment horizontal="center" vertical="center"/>
      <protection/>
    </xf>
    <xf numFmtId="0" fontId="4" fillId="3" borderId="0" xfId="54" applyFont="1" applyFill="1" applyBorder="1">
      <alignment horizontal="left" vertical="center" indent="1"/>
      <protection/>
    </xf>
    <xf numFmtId="0" fontId="4" fillId="3" borderId="27" xfId="54" applyFont="1" applyFill="1" applyBorder="1">
      <alignment horizontal="left" vertical="center" indent="1"/>
      <protection/>
    </xf>
    <xf numFmtId="0" fontId="4" fillId="3" borderId="22" xfId="54" applyFont="1" applyFill="1" applyBorder="1">
      <alignment horizontal="left" vertical="center" indent="1"/>
      <protection/>
    </xf>
    <xf numFmtId="186" fontId="4" fillId="3" borderId="16" xfId="54" applyNumberFormat="1" applyFont="1" applyFill="1" applyBorder="1" applyAlignment="1">
      <alignment horizontal="center"/>
      <protection/>
    </xf>
    <xf numFmtId="0" fontId="4" fillId="3" borderId="28" xfId="54" applyFont="1" applyFill="1" applyBorder="1">
      <alignment horizontal="left" vertical="center" indent="1"/>
      <protection/>
    </xf>
    <xf numFmtId="0" fontId="55" fillId="3" borderId="46" xfId="0" applyFont="1" applyFill="1" applyBorder="1" applyAlignment="1">
      <alignment horizontal="center"/>
    </xf>
    <xf numFmtId="168" fontId="55" fillId="3" borderId="46" xfId="6" applyNumberFormat="1" applyFont="1" applyFill="1" applyBorder="1" applyAlignment="1">
      <alignment horizontal="center"/>
    </xf>
    <xf numFmtId="0" fontId="55" fillId="3" borderId="22" xfId="0" applyFont="1" applyFill="1" applyBorder="1" applyAlignment="1">
      <alignment horizontal="center"/>
    </xf>
    <xf numFmtId="0" fontId="55" fillId="3" borderId="24" xfId="0" applyFont="1" applyFill="1" applyBorder="1" applyAlignment="1">
      <alignment horizontal="center"/>
    </xf>
    <xf numFmtId="0" fontId="55" fillId="3" borderId="26" xfId="0" applyFont="1" applyFill="1" applyBorder="1" applyAlignment="1">
      <alignment horizontal="center"/>
    </xf>
    <xf numFmtId="2" fontId="4" fillId="2" borderId="70" xfId="54" applyNumberFormat="1" applyFont="1" applyFill="1" applyBorder="1" applyAlignment="1">
      <alignment horizontal="right" vertical="center"/>
      <protection/>
    </xf>
    <xf numFmtId="2" fontId="4" fillId="2" borderId="71" xfId="54" applyNumberFormat="1" applyFont="1" applyFill="1" applyBorder="1" applyAlignment="1">
      <alignment horizontal="right" vertical="center"/>
      <protection/>
    </xf>
    <xf numFmtId="2" fontId="4" fillId="2" borderId="72" xfId="54" applyNumberFormat="1" applyFont="1" applyFill="1" applyBorder="1" applyAlignment="1">
      <alignment horizontal="right" vertical="center"/>
      <protection/>
    </xf>
    <xf numFmtId="0" fontId="24" fillId="12" borderId="22" xfId="0" applyFont="1" applyFill="1" applyBorder="1" applyAlignment="1">
      <alignment horizontal="center"/>
    </xf>
    <xf numFmtId="0" fontId="238" fillId="12" borderId="25" xfId="0" applyFont="1" applyFill="1" applyBorder="1" applyAlignment="1">
      <alignment horizontal="right" vertical="center"/>
    </xf>
    <xf numFmtId="0" fontId="4" fillId="21" borderId="73" xfId="0" applyFill="1" applyBorder="1" applyAlignment="1">
      <alignment horizontal="center"/>
    </xf>
    <xf numFmtId="0" fontId="40" fillId="2" borderId="0" xfId="0" applyFont="1" applyFill="1" applyBorder="1" applyAlignment="1">
      <alignment horizontal="center" vertical="center"/>
    </xf>
    <xf numFmtId="0" fontId="4" fillId="21" borderId="74" xfId="0" applyFill="1" applyBorder="1" applyAlignment="1">
      <alignment horizontal="center"/>
    </xf>
    <xf numFmtId="17" fontId="54" fillId="12" borderId="0" xfId="0" applyNumberFormat="1" applyFont="1" applyFill="1" applyBorder="1" applyAlignment="1">
      <alignment horizontal="center" vertical="center"/>
    </xf>
    <xf numFmtId="0" fontId="59" fillId="3" borderId="22" xfId="0" applyFont="1" applyFill="1" applyBorder="1" applyAlignment="1">
      <alignment horizontal="center"/>
    </xf>
    <xf numFmtId="0" fontId="4" fillId="2" borderId="26" xfId="0" applyFill="1" applyBorder="1" applyAlignment="1">
      <alignment vertical="center"/>
    </xf>
    <xf numFmtId="0" fontId="4" fillId="2" borderId="23" xfId="0" applyFill="1" applyBorder="1" applyAlignment="1">
      <alignment vertical="center"/>
    </xf>
    <xf numFmtId="0" fontId="4" fillId="3" borderId="23" xfId="0" applyFill="1" applyBorder="1" applyAlignment="1">
      <alignment vertical="center"/>
    </xf>
    <xf numFmtId="0" fontId="4" fillId="3" borderId="28" xfId="0" applyFill="1" applyBorder="1" applyAlignment="1">
      <alignment vertical="center"/>
    </xf>
    <xf numFmtId="0" fontId="4" fillId="3" borderId="26" xfId="0" applyFill="1" applyBorder="1" applyAlignment="1">
      <alignment vertical="center"/>
    </xf>
    <xf numFmtId="0" fontId="6" fillId="3" borderId="0" xfId="54" applyFont="1" applyFill="1" applyBorder="1">
      <alignment horizontal="left" vertical="center" indent="1"/>
      <protection/>
    </xf>
    <xf numFmtId="0" fontId="152" fillId="3" borderId="0" xfId="54" applyFont="1" applyFill="1" applyBorder="1" applyAlignment="1">
      <alignment horizontal="right" vertical="center"/>
      <protection/>
    </xf>
    <xf numFmtId="0" fontId="53" fillId="3" borderId="0" xfId="54" applyFont="1" applyFill="1" applyBorder="1" applyAlignment="1">
      <alignment horizontal="right" vertical="center"/>
      <protection/>
    </xf>
    <xf numFmtId="0" fontId="54" fillId="3" borderId="0" xfId="54" applyFont="1" applyFill="1" applyBorder="1" applyAlignment="1" quotePrefix="1">
      <alignment horizontal="right" vertical="center"/>
      <protection/>
    </xf>
    <xf numFmtId="0" fontId="16" fillId="3" borderId="0" xfId="54" applyFont="1" applyFill="1" applyBorder="1" applyAlignment="1">
      <alignment horizontal="center"/>
      <protection/>
    </xf>
    <xf numFmtId="165" fontId="16" fillId="3" borderId="0" xfId="54" applyNumberFormat="1" applyFont="1" applyFill="1" applyBorder="1" applyAlignment="1">
      <alignment horizontal="center"/>
      <protection/>
    </xf>
    <xf numFmtId="165" fontId="16" fillId="3" borderId="34" xfId="54" applyNumberFormat="1" applyFont="1" applyFill="1" applyBorder="1" applyAlignment="1">
      <alignment horizontal="center"/>
      <protection/>
    </xf>
    <xf numFmtId="0" fontId="34" fillId="3" borderId="22" xfId="54" applyFont="1" applyFill="1" applyBorder="1" applyAlignment="1">
      <alignment horizontal="center"/>
      <protection/>
    </xf>
    <xf numFmtId="0" fontId="46" fillId="3" borderId="22" xfId="54" applyFont="1" applyFill="1" applyBorder="1" applyAlignment="1">
      <alignment horizontal="center"/>
      <protection/>
    </xf>
    <xf numFmtId="0" fontId="16" fillId="3" borderId="34" xfId="54" applyFont="1" applyFill="1" applyBorder="1" applyAlignment="1">
      <alignment horizontal="center"/>
      <protection/>
    </xf>
    <xf numFmtId="17" fontId="54" fillId="12" borderId="0" xfId="54" applyNumberFormat="1" applyFont="1" applyFill="1" applyBorder="1" applyAlignment="1">
      <alignment horizontal="center" vertical="center"/>
      <protection/>
    </xf>
    <xf numFmtId="168" fontId="75" fillId="3" borderId="22" xfId="54" applyNumberFormat="1" applyFont="1" applyFill="1" applyBorder="1" applyAlignment="1">
      <alignment horizontal="center"/>
      <protection/>
    </xf>
    <xf numFmtId="0" fontId="75" fillId="3" borderId="26" xfId="54" applyFont="1" applyFill="1" applyBorder="1" applyAlignment="1">
      <alignment horizontal="center"/>
      <protection/>
    </xf>
    <xf numFmtId="1" fontId="4" fillId="12" borderId="26" xfId="0" applyNumberFormat="1" applyFill="1" applyBorder="1" applyAlignment="1">
      <alignment horizontal="center" vertical="center"/>
    </xf>
    <xf numFmtId="0" fontId="4" fillId="3" borderId="27" xfId="0" applyFill="1" applyBorder="1" applyAlignment="1">
      <alignment horizontal="center" vertical="center" indent="1"/>
    </xf>
    <xf numFmtId="0" fontId="4" fillId="0" borderId="0" xfId="0" applyAlignment="1">
      <alignment horizontal="center" vertical="center" indent="1"/>
    </xf>
    <xf numFmtId="0" fontId="4" fillId="3" borderId="22" xfId="0" applyFill="1" applyBorder="1" applyAlignment="1">
      <alignment horizontal="center" vertical="center" indent="1"/>
    </xf>
    <xf numFmtId="0" fontId="4" fillId="3" borderId="0" xfId="0" applyFill="1" applyBorder="1" applyAlignment="1">
      <alignment horizontal="center" vertical="center" indent="1"/>
    </xf>
    <xf numFmtId="173" fontId="53" fillId="3" borderId="25" xfId="0" applyNumberFormat="1" applyFont="1" applyFill="1" applyBorder="1">
      <alignment horizontal="left" vertical="center"/>
    </xf>
    <xf numFmtId="173" fontId="4" fillId="12" borderId="0" xfId="0" applyNumberFormat="1" applyFill="1" applyBorder="1" applyAlignment="1">
      <alignment horizontal="left" vertical="top"/>
    </xf>
    <xf numFmtId="173" fontId="238" fillId="12" borderId="0" xfId="0" applyNumberFormat="1" applyFont="1" applyFill="1" applyBorder="1" applyAlignment="1">
      <alignment horizontal="left" vertical="top"/>
    </xf>
    <xf numFmtId="0" fontId="15" fillId="8" borderId="20" xfId="0" applyFont="1" applyFill="1" applyBorder="1">
      <alignment horizontal="left" vertical="center"/>
    </xf>
    <xf numFmtId="0" fontId="34" fillId="14" borderId="37" xfId="0" applyFont="1" applyFill="1" applyBorder="1" applyAlignment="1" quotePrefix="1">
      <alignment horizontal="center" vertical="center"/>
    </xf>
    <xf numFmtId="0" fontId="46" fillId="14" borderId="20" xfId="0" applyFont="1" applyFill="1" applyBorder="1" applyAlignment="1">
      <alignment horizontal="right" vertical="center"/>
    </xf>
    <xf numFmtId="0" fontId="34" fillId="14" borderId="20" xfId="0" applyFont="1" applyFill="1" applyBorder="1" applyAlignment="1">
      <alignment horizontal="center" vertical="center"/>
    </xf>
    <xf numFmtId="0" fontId="46" fillId="14" borderId="20" xfId="0" applyFont="1" applyFill="1" applyBorder="1" applyAlignment="1">
      <alignment horizontal="left" vertical="center" shrinkToFit="1"/>
    </xf>
    <xf numFmtId="0" fontId="63" fillId="14" borderId="20" xfId="0" applyFont="1" applyFill="1" applyBorder="1" applyAlignment="1">
      <alignment horizontal="center" vertical="center" shrinkToFit="1"/>
    </xf>
    <xf numFmtId="17" fontId="46" fillId="14" borderId="20" xfId="24" applyFont="1" applyFill="1" applyBorder="1">
      <alignment horizontal="center" vertical="center"/>
    </xf>
    <xf numFmtId="17" fontId="46" fillId="14" borderId="38" xfId="24" applyFont="1" applyFill="1" applyBorder="1">
      <alignment horizontal="center" vertical="center"/>
    </xf>
    <xf numFmtId="0" fontId="4" fillId="0" borderId="27" xfId="0" applyBorder="1">
      <alignment horizontal="left" vertical="center"/>
    </xf>
    <xf numFmtId="0" fontId="46" fillId="12" borderId="48" xfId="46" applyFont="1" applyFill="1" applyBorder="1" applyAlignment="1" applyProtection="1">
      <alignment horizontal="center" vertical="center" wrapText="1"/>
      <protection hidden="1"/>
    </xf>
    <xf numFmtId="0" fontId="15" fillId="12" borderId="2" xfId="46" applyFont="1" applyFill="1" applyAlignment="1" applyProtection="1">
      <alignment wrapText="1"/>
      <protection hidden="1"/>
    </xf>
    <xf numFmtId="17" fontId="238" fillId="14" borderId="37" xfId="24" applyFont="1" applyFill="1" applyBorder="1">
      <alignment horizontal="center" vertical="center"/>
    </xf>
    <xf numFmtId="17" fontId="238" fillId="14" borderId="38" xfId="24" applyFont="1" applyFill="1" applyBorder="1">
      <alignment horizontal="center" vertical="center"/>
    </xf>
    <xf numFmtId="17" fontId="46" fillId="14" borderId="37" xfId="24" applyFont="1" applyFill="1" applyBorder="1">
      <alignment horizontal="center" vertical="center"/>
    </xf>
    <xf numFmtId="0" fontId="34" fillId="14" borderId="20" xfId="0" applyFont="1" applyFill="1" applyBorder="1" applyAlignment="1">
      <alignment horizontal="left" vertical="center" shrinkToFit="1"/>
    </xf>
    <xf numFmtId="0" fontId="69" fillId="2" borderId="0" xfId="14" applyFill="1" applyAlignment="1">
      <alignment vertical="center"/>
      <protection/>
    </xf>
    <xf numFmtId="0" fontId="16" fillId="3" borderId="0" xfId="0" applyFont="1" applyFill="1" applyBorder="1" applyAlignment="1">
      <alignment horizontal="center"/>
    </xf>
    <xf numFmtId="0" fontId="4" fillId="3" borderId="26" xfId="54" applyFont="1" applyFill="1" applyBorder="1">
      <alignment horizontal="left" vertical="center" indent="1"/>
      <protection/>
    </xf>
    <xf numFmtId="0" fontId="15" fillId="2" borderId="0" xfId="13" applyFont="1" applyFill="1" applyAlignment="1">
      <alignment horizontal="right" vertical="center" shrinkToFit="1"/>
      <protection/>
    </xf>
    <xf numFmtId="0" fontId="46" fillId="3" borderId="0" xfId="14" applyFont="1" applyFill="1" applyAlignment="1">
      <alignment horizontal="right" vertical="center"/>
      <protection/>
    </xf>
    <xf numFmtId="0" fontId="69" fillId="12" borderId="0" xfId="14" applyFill="1" applyAlignment="1">
      <alignment vertical="center"/>
      <protection/>
    </xf>
    <xf numFmtId="0" fontId="53" fillId="3" borderId="0" xfId="0" applyFont="1" applyFill="1" applyBorder="1">
      <alignment horizontal="left" vertical="center"/>
    </xf>
    <xf numFmtId="0" fontId="120" fillId="2" borderId="0" xfId="13" applyFont="1" applyFill="1" applyAlignment="1">
      <alignment horizontal="right" vertical="center" shrinkToFit="1"/>
      <protection/>
    </xf>
    <xf numFmtId="0" fontId="41" fillId="3" borderId="0" xfId="14" applyFont="1" applyFill="1" applyAlignment="1">
      <alignment horizontal="right" vertical="center"/>
      <protection/>
    </xf>
    <xf numFmtId="0" fontId="4" fillId="2" borderId="28" xfId="0" applyFill="1" applyBorder="1" applyAlignment="1">
      <alignment vertical="center"/>
    </xf>
    <xf numFmtId="0" fontId="154" fillId="2" borderId="0" xfId="13" applyFont="1" applyFill="1" applyAlignment="1">
      <alignment horizontal="left" vertical="center" shrinkToFit="1"/>
      <protection/>
    </xf>
    <xf numFmtId="0" fontId="154" fillId="2" borderId="0" xfId="13" applyFont="1" applyFill="1" applyAlignment="1">
      <alignment horizontal="center" vertical="center" shrinkToFit="1"/>
      <protection/>
    </xf>
    <xf numFmtId="1" fontId="4" fillId="3" borderId="0" xfId="0" applyNumberFormat="1" applyFill="1" applyBorder="1">
      <alignment horizontal="left" vertical="center"/>
    </xf>
    <xf numFmtId="0" fontId="63" fillId="3" borderId="26" xfId="0" applyFont="1" applyFill="1" applyBorder="1" applyAlignment="1">
      <alignment horizontal="center"/>
    </xf>
    <xf numFmtId="0" fontId="34" fillId="3" borderId="23" xfId="0" applyFont="1" applyFill="1" applyBorder="1" applyAlignment="1">
      <alignment horizontal="center" vertical="center"/>
    </xf>
    <xf numFmtId="0" fontId="34" fillId="3" borderId="23" xfId="0" applyFont="1" applyFill="1" applyBorder="1" quotePrefix="1">
      <alignment horizontal="left" vertical="center"/>
    </xf>
    <xf numFmtId="0" fontId="46" fillId="3" borderId="23" xfId="0" applyFont="1" applyFill="1" applyBorder="1" applyAlignment="1" quotePrefix="1">
      <alignment horizontal="right" vertical="center"/>
    </xf>
    <xf numFmtId="1" fontId="34" fillId="3" borderId="23" xfId="0" applyNumberFormat="1" applyFont="1" applyFill="1" applyBorder="1" applyAlignment="1">
      <alignment horizontal="center" vertical="center"/>
    </xf>
    <xf numFmtId="1" fontId="34" fillId="3" borderId="28" xfId="0" applyNumberFormat="1" applyFont="1" applyFill="1" applyBorder="1" applyAlignment="1">
      <alignment horizontal="center" vertical="center"/>
    </xf>
    <xf numFmtId="0" fontId="55" fillId="3" borderId="23" xfId="0" applyFont="1" applyFill="1" applyBorder="1">
      <alignment horizontal="left" vertical="center"/>
    </xf>
    <xf numFmtId="0" fontId="238" fillId="0" borderId="0" xfId="0" applyFont="1" applyAlignment="1">
      <alignment horizontal="center" vertical="center"/>
    </xf>
    <xf numFmtId="194" fontId="54" fillId="5" borderId="46" xfId="0" applyNumberFormat="1" applyFont="1" applyFill="1" applyBorder="1" applyAlignment="1">
      <alignment horizontal="center" vertical="center"/>
    </xf>
    <xf numFmtId="0" fontId="156" fillId="19" borderId="0" xfId="0" applyFont="1" applyFill="1">
      <alignment horizontal="left" vertical="center"/>
    </xf>
    <xf numFmtId="0" fontId="4" fillId="22" borderId="0" xfId="0" applyFill="1" applyBorder="1">
      <alignment horizontal="left" vertical="center"/>
    </xf>
    <xf numFmtId="173" fontId="61" fillId="3" borderId="0" xfId="0" applyNumberFormat="1" applyFont="1" applyFill="1" applyBorder="1" applyAlignment="1">
      <alignment vertical="top"/>
    </xf>
    <xf numFmtId="173" fontId="61" fillId="3" borderId="0" xfId="0" applyNumberFormat="1" applyFont="1" applyFill="1" applyBorder="1" applyAlignment="1">
      <alignment vertical="top" wrapText="1"/>
    </xf>
    <xf numFmtId="173" fontId="4" fillId="4" borderId="0" xfId="0" applyNumberFormat="1" applyFont="1" applyFill="1" applyBorder="1" applyAlignment="1">
      <alignment vertical="top" wrapText="1"/>
    </xf>
    <xf numFmtId="206" fontId="61" fillId="3" borderId="0" xfId="43" applyFont="1" applyFill="1" applyBorder="1" applyAlignment="1" applyProtection="1">
      <alignment horizontal="center" vertical="top" readingOrder="1"/>
      <protection/>
    </xf>
    <xf numFmtId="173" fontId="61" fillId="3" borderId="0" xfId="0" applyNumberFormat="1" applyFont="1" applyFill="1" applyBorder="1" applyAlignment="1">
      <alignment horizontal="center" vertical="top" readingOrder="1"/>
    </xf>
    <xf numFmtId="171" fontId="45" fillId="30" borderId="0" xfId="4" applyNumberFormat="1" applyFont="1" applyFill="1" applyBorder="1" applyAlignment="1">
      <alignment/>
    </xf>
    <xf numFmtId="0" fontId="19" fillId="22" borderId="0" xfId="0" applyFont="1" applyFill="1">
      <alignment horizontal="left" vertical="center"/>
    </xf>
    <xf numFmtId="0" fontId="156" fillId="22" borderId="0" xfId="0" applyFont="1" applyFill="1">
      <alignment horizontal="left" vertical="center"/>
    </xf>
    <xf numFmtId="0" fontId="157" fillId="19" borderId="0" xfId="0" applyFont="1" applyFill="1">
      <alignment horizontal="left" vertical="center"/>
    </xf>
    <xf numFmtId="0" fontId="14" fillId="22" borderId="0" xfId="0" applyFont="1" applyFill="1" applyBorder="1" applyAlignment="1">
      <alignment horizontal="center" vertical="center" wrapText="1"/>
    </xf>
    <xf numFmtId="171" fontId="45" fillId="24" borderId="0" xfId="4" applyNumberFormat="1" applyFont="1" applyFill="1" applyBorder="1">
      <alignment/>
    </xf>
    <xf numFmtId="17" fontId="67" fillId="42" borderId="0" xfId="24" applyFont="1" applyFill="1" applyBorder="1">
      <alignment horizontal="center" vertical="center"/>
    </xf>
    <xf numFmtId="17" fontId="12" fillId="43" borderId="0" xfId="24" applyFont="1" applyFill="1" applyBorder="1">
      <alignment horizontal="center" vertical="center"/>
    </xf>
    <xf numFmtId="17" fontId="12" fillId="44" borderId="0" xfId="24" applyFont="1" applyFill="1" applyBorder="1">
      <alignment horizontal="center" vertical="center"/>
    </xf>
    <xf numFmtId="0" fontId="55" fillId="19" borderId="0" xfId="0" applyFont="1" applyFill="1" applyBorder="1">
      <alignment horizontal="left" vertical="center"/>
    </xf>
    <xf numFmtId="0" fontId="156" fillId="19" borderId="0" xfId="0" applyFont="1" applyFill="1" applyBorder="1">
      <alignment horizontal="left" vertical="center"/>
    </xf>
    <xf numFmtId="0" fontId="156" fillId="22" borderId="0" xfId="0" applyFont="1" applyFill="1" applyBorder="1">
      <alignment horizontal="left" vertical="center"/>
    </xf>
    <xf numFmtId="0" fontId="19" fillId="22" borderId="0" xfId="0" applyFont="1" applyFill="1" applyBorder="1">
      <alignment horizontal="left" vertical="center"/>
    </xf>
    <xf numFmtId="0" fontId="4" fillId="3" borderId="0" xfId="0" applyFont="1" applyFill="1" applyBorder="1" applyAlignment="1">
      <alignment horizontal="center" wrapText="1"/>
    </xf>
    <xf numFmtId="197" fontId="4" fillId="14" borderId="46" xfId="0" applyNumberFormat="1" applyFill="1" applyBorder="1" applyAlignment="1">
      <alignment horizontal="center" vertical="center"/>
    </xf>
    <xf numFmtId="9" fontId="0" fillId="2" borderId="1" xfId="55" applyNumberFormat="1" applyFont="1" applyBorder="1" applyAlignment="1">
      <alignment horizontal="center" vertical="top"/>
      <protection locked="0"/>
    </xf>
    <xf numFmtId="0" fontId="14" fillId="22" borderId="0" xfId="0" applyFont="1" applyFill="1" applyAlignment="1">
      <alignment horizontal="left" vertical="top"/>
    </xf>
    <xf numFmtId="173" fontId="12" fillId="22" borderId="0" xfId="0" applyNumberFormat="1" applyFont="1" applyFill="1" applyAlignment="1">
      <alignment horizontal="left" vertical="top" readingOrder="1"/>
    </xf>
    <xf numFmtId="0" fontId="45" fillId="19" borderId="0" xfId="0" applyFont="1" applyFill="1" applyBorder="1" applyAlignment="1">
      <alignment horizontal="center" vertical="center"/>
    </xf>
    <xf numFmtId="0" fontId="45" fillId="19" borderId="0" xfId="0" applyFont="1" applyFill="1" applyBorder="1" applyAlignment="1">
      <alignment horizontal="right" vertical="center"/>
    </xf>
    <xf numFmtId="0" fontId="45" fillId="22" borderId="0" xfId="0" applyFont="1" applyFill="1" applyBorder="1" applyAlignment="1">
      <alignment horizontal="right" vertical="center"/>
    </xf>
    <xf numFmtId="0" fontId="45" fillId="22" borderId="0" xfId="0" applyFont="1" applyFill="1" applyBorder="1" applyAlignment="1">
      <alignment horizontal="right" vertical="center" wrapText="1"/>
    </xf>
    <xf numFmtId="0" fontId="45" fillId="22" borderId="0" xfId="0" applyFont="1" applyFill="1" applyBorder="1" applyAlignment="1">
      <alignment horizontal="left" vertical="center" indent="4"/>
    </xf>
    <xf numFmtId="198" fontId="53" fillId="12" borderId="0" xfId="54" applyNumberFormat="1" applyFont="1" applyFill="1" applyBorder="1" applyAlignment="1">
      <alignment horizontal="right" vertical="center" readingOrder="1"/>
      <protection/>
    </xf>
    <xf numFmtId="198" fontId="55" fillId="12" borderId="0" xfId="0" applyNumberFormat="1" applyFont="1" applyFill="1" applyBorder="1" applyAlignment="1">
      <alignment vertical="top" wrapText="1"/>
    </xf>
    <xf numFmtId="198" fontId="55" fillId="12" borderId="23" xfId="0" applyNumberFormat="1" applyFont="1" applyFill="1" applyBorder="1" applyAlignment="1">
      <alignment vertical="top" wrapText="1"/>
    </xf>
    <xf numFmtId="198" fontId="4" fillId="12" borderId="0" xfId="0" applyNumberFormat="1" applyFont="1" applyFill="1" applyBorder="1" applyAlignment="1">
      <alignment horizontal="left" vertical="top"/>
    </xf>
    <xf numFmtId="0" fontId="61" fillId="3" borderId="23" xfId="0" applyNumberFormat="1" applyFont="1" applyFill="1" applyBorder="1" applyAlignment="1">
      <alignment horizontal="center" vertical="top"/>
    </xf>
    <xf numFmtId="189" fontId="61" fillId="3" borderId="23" xfId="0" applyNumberFormat="1" applyFont="1" applyFill="1" applyBorder="1" applyAlignment="1">
      <alignment vertical="top"/>
    </xf>
    <xf numFmtId="0" fontId="53" fillId="3" borderId="0" xfId="0" applyFont="1" applyFill="1" applyBorder="1" applyAlignment="1">
      <alignment horizontal="center"/>
    </xf>
    <xf numFmtId="0" fontId="159" fillId="12" borderId="0" xfId="0" applyFont="1" applyFill="1" applyBorder="1">
      <alignment horizontal="left" vertical="center"/>
    </xf>
    <xf numFmtId="0" fontId="23" fillId="22" borderId="0" xfId="0" applyFont="1" applyFill="1">
      <alignment horizontal="left" vertical="center"/>
    </xf>
    <xf numFmtId="0" fontId="23" fillId="22" borderId="0" xfId="0" applyFont="1" applyFill="1" applyAlignment="1">
      <alignment vertical="center"/>
    </xf>
    <xf numFmtId="0" fontId="23" fillId="0" borderId="0" xfId="0" applyFont="1" applyFill="1">
      <alignment horizontal="left" vertical="center"/>
    </xf>
    <xf numFmtId="0" fontId="23" fillId="3" borderId="22" xfId="0" applyFont="1" applyFill="1" applyBorder="1">
      <alignment horizontal="left" vertical="center"/>
    </xf>
    <xf numFmtId="0" fontId="23" fillId="12" borderId="0" xfId="0" applyFont="1" applyFill="1" applyBorder="1" applyAlignment="1">
      <alignment horizontal="right"/>
    </xf>
    <xf numFmtId="0" fontId="23" fillId="3" borderId="0" xfId="0" applyFont="1" applyFill="1" applyBorder="1" applyAlignment="1">
      <alignment horizontal="right"/>
    </xf>
    <xf numFmtId="0" fontId="22" fillId="12" borderId="0" xfId="0" applyFont="1" applyFill="1" applyBorder="1" applyAlignment="1">
      <alignment vertical="top" wrapText="1"/>
    </xf>
    <xf numFmtId="0" fontId="22" fillId="12" borderId="0" xfId="0" applyFont="1" applyFill="1" applyBorder="1" applyAlignment="1">
      <alignment horizontal="center" vertical="top"/>
    </xf>
    <xf numFmtId="211" fontId="53" fillId="12" borderId="0" xfId="57" applyFont="1" applyFill="1" applyBorder="1" applyAlignment="1">
      <alignment horizontal="right" vertical="center" readingOrder="1"/>
    </xf>
    <xf numFmtId="211" fontId="16" fillId="3" borderId="0" xfId="57" applyFont="1" applyFill="1" applyBorder="1" applyAlignment="1" applyProtection="1">
      <alignment horizontal="right"/>
      <protection/>
    </xf>
    <xf numFmtId="211" fontId="53" fillId="12" borderId="0" xfId="57" applyFont="1" applyFill="1" applyBorder="1" applyAlignment="1">
      <alignment horizontal="center" vertical="center" readingOrder="1"/>
    </xf>
    <xf numFmtId="173" fontId="4" fillId="12" borderId="0" xfId="0" applyNumberFormat="1" applyFont="1" applyFill="1" applyBorder="1" applyAlignment="1">
      <alignment horizontal="right" vertical="top"/>
    </xf>
    <xf numFmtId="0" fontId="4" fillId="0" borderId="17" xfId="0" applyBorder="1" applyAlignment="1">
      <alignment horizontal="left" vertical="center" wrapText="1" readingOrder="1"/>
    </xf>
    <xf numFmtId="173" fontId="46" fillId="4" borderId="0" xfId="0" applyNumberFormat="1" applyFont="1" applyFill="1" applyBorder="1" applyAlignment="1">
      <alignment vertical="center"/>
    </xf>
    <xf numFmtId="173" fontId="34" fillId="4" borderId="0" xfId="0" applyNumberFormat="1" applyFont="1" applyFill="1" applyBorder="1" applyAlignment="1">
      <alignment vertical="center"/>
    </xf>
    <xf numFmtId="0" fontId="19" fillId="30" borderId="0" xfId="0" applyFont="1" applyFill="1">
      <alignment horizontal="left" vertical="center"/>
    </xf>
    <xf numFmtId="171" fontId="45" fillId="30" borderId="0" xfId="4" applyNumberFormat="1" applyFont="1" applyFill="1" applyBorder="1" applyAlignment="1">
      <alignment horizontal="left" vertical="center" shrinkToFit="1"/>
    </xf>
    <xf numFmtId="0" fontId="160" fillId="19" borderId="0" xfId="0" applyFont="1" applyFill="1">
      <alignment horizontal="left" vertical="center"/>
    </xf>
    <xf numFmtId="0" fontId="4" fillId="2" borderId="0" xfId="0" applyFill="1" applyBorder="1" applyAlignment="1">
      <alignment horizontal="right" vertical="center"/>
    </xf>
    <xf numFmtId="0" fontId="46" fillId="36" borderId="16" xfId="0" applyFont="1" applyFill="1" applyBorder="1" applyAlignment="1">
      <alignment horizontal="center" vertical="center"/>
    </xf>
    <xf numFmtId="0" fontId="46" fillId="36" borderId="24" xfId="0" applyFont="1" applyFill="1" applyBorder="1" applyAlignment="1">
      <alignment horizontal="center" vertical="center"/>
    </xf>
    <xf numFmtId="0" fontId="69" fillId="12" borderId="35" xfId="14" applyFill="1" applyBorder="1">
      <alignment horizontal="left" vertical="center"/>
      <protection/>
    </xf>
    <xf numFmtId="0" fontId="58" fillId="27" borderId="31" xfId="14" applyFont="1" applyFill="1" applyBorder="1" applyAlignment="1">
      <alignment horizontal="center" vertical="center"/>
      <protection/>
    </xf>
    <xf numFmtId="0" fontId="61" fillId="3" borderId="0" xfId="0" applyFont="1" applyFill="1" applyBorder="1">
      <alignment horizontal="left" vertical="center"/>
    </xf>
    <xf numFmtId="0" fontId="53" fillId="3" borderId="75" xfId="14" applyFont="1" applyFill="1" applyBorder="1" applyAlignment="1">
      <alignment horizontal="center" vertical="center"/>
      <protection/>
    </xf>
    <xf numFmtId="208" fontId="4" fillId="3" borderId="35" xfId="6" applyFont="1" applyFill="1" applyBorder="1">
      <alignment/>
    </xf>
    <xf numFmtId="0" fontId="4" fillId="19" borderId="0" xfId="0" applyFill="1" applyBorder="1">
      <alignment horizontal="left" vertical="center"/>
    </xf>
    <xf numFmtId="0" fontId="4" fillId="19" borderId="0" xfId="0" applyFill="1" applyBorder="1" applyAlignment="1">
      <alignment horizontal="center" vertical="center"/>
    </xf>
    <xf numFmtId="0" fontId="140" fillId="19" borderId="0" xfId="0" applyFont="1" applyFill="1" applyBorder="1" applyAlignment="1">
      <alignment vertical="center" shrinkToFit="1"/>
    </xf>
    <xf numFmtId="0" fontId="60" fillId="19" borderId="0" xfId="0" applyFont="1" applyFill="1" applyBorder="1" applyAlignment="1">
      <alignment horizontal="left"/>
    </xf>
    <xf numFmtId="0" fontId="9" fillId="19" borderId="0" xfId="0" applyFont="1" applyFill="1" applyBorder="1" applyAlignment="1">
      <alignment vertical="top" wrapText="1"/>
    </xf>
    <xf numFmtId="176" fontId="12" fillId="39" borderId="22" xfId="0" applyNumberFormat="1" applyFont="1" applyFill="1" applyBorder="1" applyAlignment="1">
      <alignment horizontal="center" vertical="center"/>
    </xf>
    <xf numFmtId="176" fontId="12" fillId="39" borderId="27" xfId="0" applyNumberFormat="1" applyFont="1" applyFill="1" applyBorder="1" applyAlignment="1">
      <alignment horizontal="center" vertical="center"/>
    </xf>
    <xf numFmtId="0" fontId="4" fillId="30" borderId="0" xfId="0" applyFill="1">
      <alignment horizontal="left" vertical="center"/>
    </xf>
    <xf numFmtId="0" fontId="14" fillId="30" borderId="0" xfId="0" applyFont="1" applyFill="1">
      <alignment horizontal="left" vertical="center"/>
    </xf>
    <xf numFmtId="0" fontId="14" fillId="27" borderId="0" xfId="0" applyFont="1" applyFill="1">
      <alignment horizontal="left" vertical="center"/>
    </xf>
    <xf numFmtId="0" fontId="143" fillId="0" borderId="0" xfId="7" applyFont="1">
      <alignment horizontal="center" vertical="center" shrinkToFit="1"/>
    </xf>
    <xf numFmtId="0" fontId="161" fillId="40" borderId="64" xfId="17" applyFont="1" applyFill="1" applyBorder="1">
      <alignment horizontal="left" vertical="center"/>
    </xf>
    <xf numFmtId="14" fontId="238" fillId="2" borderId="16" xfId="54" applyNumberFormat="1" applyFont="1" applyFill="1" applyBorder="1" applyAlignment="1">
      <alignment horizontal="center" vertical="center"/>
      <protection/>
    </xf>
    <xf numFmtId="164" fontId="46" fillId="2" borderId="16" xfId="54" applyNumberFormat="1" applyFont="1" applyFill="1" applyBorder="1" applyAlignment="1">
      <alignment horizontal="center" vertical="center"/>
      <protection/>
    </xf>
    <xf numFmtId="164" fontId="46" fillId="2" borderId="16" xfId="54" applyNumberFormat="1" applyFont="1" applyFill="1" applyBorder="1" applyAlignment="1">
      <alignment horizontal="center" vertical="center" shrinkToFit="1"/>
      <protection/>
    </xf>
    <xf numFmtId="0" fontId="4" fillId="12" borderId="27" xfId="0" applyFont="1" applyFill="1" applyBorder="1">
      <alignment horizontal="left" vertical="center"/>
    </xf>
    <xf numFmtId="0" fontId="73" fillId="12" borderId="27" xfId="46" applyFont="1" applyFill="1" applyBorder="1">
      <alignment horizontal="left" vertical="center"/>
    </xf>
    <xf numFmtId="0" fontId="69" fillId="12" borderId="27" xfId="14" applyFill="1" applyBorder="1">
      <alignment horizontal="left" vertical="center"/>
      <protection/>
    </xf>
    <xf numFmtId="0" fontId="4" fillId="12" borderId="27" xfId="0" applyFont="1" applyFill="1" applyBorder="1" applyAlignment="1">
      <alignment vertical="top"/>
    </xf>
    <xf numFmtId="0" fontId="238" fillId="12" borderId="27" xfId="0" applyFont="1" applyFill="1" applyBorder="1" applyAlignment="1">
      <alignment vertical="top"/>
    </xf>
    <xf numFmtId="0" fontId="69" fillId="3" borderId="27" xfId="46" applyFont="1" applyFill="1" applyBorder="1">
      <alignment horizontal="left" vertical="center"/>
    </xf>
    <xf numFmtId="0" fontId="4" fillId="3" borderId="27" xfId="0" applyFont="1" applyFill="1" applyBorder="1">
      <alignment horizontal="left" vertical="center"/>
    </xf>
    <xf numFmtId="0" fontId="4" fillId="12" borderId="27" xfId="0" applyFont="1" applyFill="1" applyBorder="1" applyAlignment="1">
      <alignment horizontal="center" vertical="top"/>
    </xf>
    <xf numFmtId="0" fontId="65" fillId="8" borderId="9" xfId="34" applyFont="1" applyAlignment="1">
      <alignment vertical="top"/>
      <protection/>
    </xf>
    <xf numFmtId="0" fontId="238" fillId="12" borderId="27" xfId="0" applyFont="1" applyFill="1" applyBorder="1" applyAlignment="1">
      <alignment horizontal="center" vertical="top"/>
    </xf>
    <xf numFmtId="0" fontId="4" fillId="12" borderId="27" xfId="0" applyFont="1" applyFill="1" applyBorder="1" applyAlignment="1">
      <alignment horizontal="center" vertical="center"/>
    </xf>
    <xf numFmtId="0" fontId="23" fillId="12" borderId="27" xfId="0" applyFont="1" applyFill="1" applyBorder="1" applyAlignment="1">
      <alignment horizontal="center" vertical="top"/>
    </xf>
    <xf numFmtId="0" fontId="65" fillId="8" borderId="9" xfId="34" applyFont="1" applyAlignment="1">
      <alignment vertical="center"/>
      <protection/>
    </xf>
    <xf numFmtId="0" fontId="4" fillId="2" borderId="29" xfId="0" applyFont="1" applyFill="1" applyBorder="1">
      <alignment horizontal="left" vertical="center"/>
    </xf>
    <xf numFmtId="0" fontId="4" fillId="2" borderId="28" xfId="0" applyFont="1" applyFill="1" applyBorder="1">
      <alignment horizontal="left" vertical="center"/>
    </xf>
    <xf numFmtId="205" fontId="53" fillId="3" borderId="0" xfId="48" applyFont="1" applyBorder="1" applyAlignment="1">
      <alignment horizontal="center" vertical="top" readingOrder="1"/>
      <protection/>
    </xf>
    <xf numFmtId="170" fontId="53" fillId="3" borderId="0" xfId="0" applyNumberFormat="1" applyFont="1" applyFill="1" applyBorder="1" applyAlignment="1">
      <alignment horizontal="center" vertical="center" readingOrder="1"/>
    </xf>
    <xf numFmtId="173" fontId="61" fillId="14" borderId="46" xfId="0" applyNumberFormat="1" applyFont="1" applyFill="1" applyBorder="1" applyAlignment="1">
      <alignment vertical="top"/>
    </xf>
    <xf numFmtId="0" fontId="164" fillId="3" borderId="0" xfId="0" applyFont="1" applyFill="1" applyBorder="1" applyAlignment="1">
      <alignment horizontal="center" vertical="top"/>
    </xf>
    <xf numFmtId="43" fontId="14" fillId="22" borderId="0" xfId="4" applyFont="1" applyFill="1" applyAlignment="1">
      <alignment horizontal="right" vertical="center"/>
    </xf>
    <xf numFmtId="0" fontId="65" fillId="8" borderId="9" xfId="34" applyFont="1" applyAlignment="1">
      <alignment horizontal="left" vertical="center"/>
      <protection/>
    </xf>
    <xf numFmtId="173" fontId="46" fillId="4" borderId="0" xfId="0" applyNumberFormat="1" applyFont="1" applyFill="1" applyBorder="1" applyAlignment="1">
      <alignment vertical="top"/>
    </xf>
    <xf numFmtId="173" fontId="46" fillId="4" borderId="0" xfId="0" applyNumberFormat="1" applyFont="1" applyFill="1" applyBorder="1" applyAlignment="1">
      <alignment vertical="top" wrapText="1"/>
    </xf>
    <xf numFmtId="0" fontId="14" fillId="22" borderId="23" xfId="0" applyFont="1" applyFill="1" applyBorder="1">
      <alignment horizontal="left" vertical="center"/>
    </xf>
    <xf numFmtId="0" fontId="14" fillId="22" borderId="23" xfId="0" applyFont="1" applyFill="1" applyBorder="1" applyAlignment="1">
      <alignment vertical="center"/>
    </xf>
    <xf numFmtId="0" fontId="45" fillId="22" borderId="23" xfId="0" applyFont="1" applyFill="1" applyBorder="1">
      <alignment horizontal="left" vertical="center"/>
    </xf>
    <xf numFmtId="0" fontId="14" fillId="22" borderId="0" xfId="0" applyFont="1" applyFill="1" applyBorder="1">
      <alignment horizontal="left" vertical="center"/>
    </xf>
    <xf numFmtId="171" fontId="14" fillId="22" borderId="23" xfId="4" applyNumberFormat="1" applyFont="1" applyFill="1" applyBorder="1" applyAlignment="1">
      <alignment horizontal="left" vertical="center"/>
    </xf>
    <xf numFmtId="0" fontId="120" fillId="3" borderId="0" xfId="0" applyFont="1" applyFill="1" applyBorder="1" applyAlignment="1">
      <alignment horizontal="right"/>
    </xf>
    <xf numFmtId="0" fontId="4" fillId="2" borderId="25" xfId="0" applyFont="1" applyFill="1" applyBorder="1" applyAlignment="1">
      <alignment horizontal="right" vertical="center"/>
    </xf>
    <xf numFmtId="202" fontId="16" fillId="3" borderId="0" xfId="0" applyNumberFormat="1" applyFont="1" applyFill="1" applyBorder="1" applyAlignment="1">
      <alignment horizontal="right" vertical="top"/>
    </xf>
    <xf numFmtId="202" fontId="61" fillId="3" borderId="0" xfId="0" applyNumberFormat="1" applyFont="1" applyFill="1" applyBorder="1" applyAlignment="1">
      <alignment horizontal="right" vertical="top" wrapText="1"/>
    </xf>
    <xf numFmtId="202" fontId="4" fillId="3" borderId="0" xfId="0" applyNumberFormat="1" applyFont="1" applyFill="1" applyBorder="1" applyAlignment="1">
      <alignment horizontal="right" wrapText="1"/>
    </xf>
    <xf numFmtId="202" fontId="4" fillId="12" borderId="0" xfId="0" applyNumberFormat="1" applyFont="1" applyFill="1" applyBorder="1" applyAlignment="1">
      <alignment horizontal="right" vertical="top"/>
    </xf>
    <xf numFmtId="0" fontId="14" fillId="22" borderId="23" xfId="0" applyFont="1" applyFill="1" applyBorder="1" applyAlignment="1">
      <alignment horizontal="right" vertical="center" indent="1"/>
    </xf>
    <xf numFmtId="0" fontId="14" fillId="22" borderId="20" xfId="0" applyFont="1" applyFill="1" applyBorder="1">
      <alignment horizontal="left" vertical="center"/>
    </xf>
    <xf numFmtId="0" fontId="4" fillId="22" borderId="20" xfId="0" applyFill="1" applyBorder="1">
      <alignment horizontal="left" vertical="center"/>
    </xf>
    <xf numFmtId="0" fontId="65" fillId="13" borderId="19" xfId="58" applyAlignment="1">
      <alignment horizontal="left" vertical="center" indent="1"/>
      <protection/>
    </xf>
    <xf numFmtId="164" fontId="46" fillId="3" borderId="16" xfId="54" applyNumberFormat="1" applyFont="1" applyFill="1" applyBorder="1" applyAlignment="1">
      <alignment horizontal="center" vertical="center"/>
      <protection/>
    </xf>
    <xf numFmtId="0" fontId="12" fillId="19" borderId="76" xfId="0" applyFont="1" applyFill="1" applyBorder="1" applyAlignment="1">
      <alignment vertical="center"/>
    </xf>
    <xf numFmtId="0" fontId="15" fillId="8" borderId="37" xfId="0" applyFont="1" applyFill="1" applyBorder="1" applyProtection="1">
      <alignment horizontal="left" vertical="center"/>
      <protection locked="0"/>
    </xf>
    <xf numFmtId="0" fontId="42" fillId="34" borderId="0" xfId="54" applyFont="1" applyFill="1" applyBorder="1" applyAlignment="1">
      <alignment horizontal="left" vertical="center" indent="1"/>
      <protection/>
    </xf>
    <xf numFmtId="0" fontId="99" fillId="3" borderId="0" xfId="0" applyFont="1" applyFill="1" applyBorder="1">
      <alignment horizontal="left" vertical="center"/>
    </xf>
    <xf numFmtId="0" fontId="95" fillId="34" borderId="0" xfId="54" applyFont="1" applyFill="1" applyBorder="1" applyAlignment="1">
      <alignment horizontal="center" vertical="center"/>
      <protection/>
    </xf>
    <xf numFmtId="0" fontId="95" fillId="34" borderId="0" xfId="54" applyFont="1" applyFill="1" applyBorder="1" applyAlignment="1">
      <alignment horizontal="left" vertical="center" indent="1"/>
      <protection/>
    </xf>
    <xf numFmtId="2" fontId="4" fillId="3" borderId="17" xfId="43" applyNumberFormat="1" applyFont="1" applyFill="1" applyBorder="1" applyAlignment="1" applyProtection="1">
      <alignment horizontal="right" vertical="center"/>
      <protection hidden="1" locked="0"/>
    </xf>
    <xf numFmtId="0" fontId="4" fillId="41" borderId="37" xfId="0" applyFill="1" applyBorder="1">
      <alignment horizontal="left" vertical="center"/>
    </xf>
    <xf numFmtId="0" fontId="4" fillId="3" borderId="37" xfId="0" applyFill="1" applyBorder="1">
      <alignment horizontal="left" vertical="center"/>
    </xf>
    <xf numFmtId="0" fontId="4" fillId="41" borderId="24" xfId="0" applyFill="1" applyBorder="1">
      <alignment horizontal="left" vertical="center"/>
    </xf>
    <xf numFmtId="0" fontId="4" fillId="41" borderId="26" xfId="0" applyFill="1" applyBorder="1">
      <alignment horizontal="left" vertical="center"/>
    </xf>
    <xf numFmtId="206" fontId="4" fillId="2" borderId="16" xfId="43" applyFont="1" applyFill="1" applyBorder="1" applyAlignment="1" applyProtection="1">
      <alignment horizontal="center"/>
      <protection/>
    </xf>
    <xf numFmtId="0" fontId="4" fillId="34" borderId="77" xfId="50" applyFont="1" applyFill="1" applyBorder="1" applyAlignment="1" applyProtection="1">
      <alignment horizontal="center" vertical="center"/>
      <protection/>
    </xf>
    <xf numFmtId="0" fontId="152" fillId="3" borderId="0" xfId="0" applyFont="1" applyFill="1" applyBorder="1">
      <alignment horizontal="left" vertical="center"/>
    </xf>
    <xf numFmtId="2" fontId="4" fillId="3" borderId="17" xfId="43" applyNumberFormat="1" applyFont="1" applyFill="1" applyBorder="1" applyAlignment="1" applyProtection="1">
      <alignment horizontal="center" vertical="center"/>
      <protection hidden="1" locked="0"/>
    </xf>
    <xf numFmtId="0" fontId="15" fillId="28" borderId="43" xfId="0" applyFont="1" applyFill="1" applyBorder="1" applyAlignment="1">
      <alignment horizontal="center" vertical="center" wrapText="1" readingOrder="1"/>
    </xf>
    <xf numFmtId="175" fontId="4" fillId="2" borderId="1" xfId="11" applyProtection="1">
      <alignment horizontal="right"/>
      <protection/>
    </xf>
    <xf numFmtId="0" fontId="131" fillId="2" borderId="22" xfId="0" applyFont="1" applyFill="1" applyBorder="1">
      <alignment horizontal="left" vertical="center"/>
    </xf>
    <xf numFmtId="0" fontId="238" fillId="3" borderId="0" xfId="0" applyFont="1" applyFill="1" applyBorder="1" applyAlignment="1">
      <alignment horizontal="center" vertical="center"/>
    </xf>
    <xf numFmtId="0" fontId="9" fillId="38" borderId="78" xfId="0" applyFont="1" applyFill="1" applyBorder="1" applyAlignment="1">
      <alignment horizontal="left" vertical="center" wrapText="1" indent="2"/>
    </xf>
    <xf numFmtId="0" fontId="5" fillId="38" borderId="78" xfId="0" applyFont="1" applyFill="1" applyBorder="1" applyAlignment="1">
      <alignment horizontal="center" vertical="center" wrapText="1"/>
    </xf>
    <xf numFmtId="14" fontId="28" fillId="2" borderId="0" xfId="0" applyNumberFormat="1" applyFont="1" applyFill="1" applyBorder="1" applyAlignment="1">
      <alignment horizontal="center"/>
    </xf>
    <xf numFmtId="0" fontId="29" fillId="3" borderId="0" xfId="46" applyFont="1" applyFill="1" applyBorder="1">
      <alignment horizontal="left" vertical="center"/>
    </xf>
    <xf numFmtId="9" fontId="0" fillId="2" borderId="79" xfId="55" applyNumberFormat="1" applyFont="1" applyBorder="1" applyAlignment="1">
      <alignment horizontal="center" vertical="top"/>
      <protection locked="0"/>
    </xf>
    <xf numFmtId="179" fontId="4" fillId="3" borderId="17" xfId="10" applyBorder="1">
      <alignment horizontal="center"/>
      <protection/>
    </xf>
    <xf numFmtId="179" fontId="4" fillId="3" borderId="17" xfId="10" applyBorder="1" applyAlignment="1">
      <alignment horizontal="center" vertical="center"/>
      <protection/>
    </xf>
    <xf numFmtId="0" fontId="37" fillId="2" borderId="80" xfId="0" applyFont="1" applyFill="1" applyBorder="1" applyAlignment="1">
      <alignment horizontal="center" vertical="center"/>
    </xf>
    <xf numFmtId="0" fontId="70" fillId="2" borderId="81" xfId="13" applyFill="1" applyBorder="1" applyAlignment="1">
      <alignment vertical="center"/>
      <protection/>
    </xf>
    <xf numFmtId="0" fontId="4" fillId="2" borderId="81" xfId="0" applyFont="1" applyFill="1" applyBorder="1" applyAlignment="1">
      <alignment horizontal="center" vertical="center"/>
    </xf>
    <xf numFmtId="17" fontId="4" fillId="3" borderId="16" xfId="24" applyFont="1" applyFill="1" applyBorder="1">
      <alignment horizontal="center" vertical="center"/>
    </xf>
    <xf numFmtId="179" fontId="4" fillId="3" borderId="16" xfId="10" applyBorder="1" applyAlignment="1">
      <alignment horizontal="center" vertical="center"/>
      <protection/>
    </xf>
    <xf numFmtId="14" fontId="45" fillId="2" borderId="0" xfId="0" applyNumberFormat="1" applyFont="1" applyFill="1" applyBorder="1" applyAlignment="1">
      <alignment horizontal="center" vertical="center"/>
    </xf>
    <xf numFmtId="0" fontId="4" fillId="12" borderId="37" xfId="0" applyFill="1" applyBorder="1">
      <alignment horizontal="left" vertical="center"/>
    </xf>
    <xf numFmtId="0" fontId="63" fillId="37" borderId="46" xfId="0" applyFont="1" applyFill="1" applyBorder="1" applyAlignment="1">
      <alignment horizontal="left" shrinkToFit="1"/>
    </xf>
    <xf numFmtId="0" fontId="46" fillId="2" borderId="82" xfId="22" applyFont="1" applyBorder="1" applyAlignment="1">
      <alignment horizontal="left" vertical="center"/>
      <protection locked="0"/>
    </xf>
    <xf numFmtId="0" fontId="4" fillId="41" borderId="20" xfId="0" applyFill="1" applyBorder="1">
      <alignment horizontal="left" vertical="center"/>
    </xf>
    <xf numFmtId="0" fontId="23" fillId="12" borderId="23" xfId="0" applyFont="1" applyFill="1" applyBorder="1" applyAlignment="1">
      <alignment horizontal="center" vertical="center"/>
    </xf>
    <xf numFmtId="0" fontId="4" fillId="41" borderId="20" xfId="0" applyFill="1" applyBorder="1" applyAlignment="1">
      <alignment horizontal="center" vertical="center"/>
    </xf>
    <xf numFmtId="0" fontId="23" fillId="3" borderId="0" xfId="0" applyFont="1" applyFill="1" applyBorder="1" applyAlignment="1">
      <alignment horizontal="center" vertical="center"/>
    </xf>
    <xf numFmtId="0" fontId="22" fillId="8" borderId="20" xfId="0" applyFont="1" applyFill="1" applyBorder="1" applyAlignment="1">
      <alignment horizontal="center" vertical="center"/>
    </xf>
    <xf numFmtId="0" fontId="4" fillId="3" borderId="28" xfId="54" applyFont="1" applyFill="1" applyBorder="1" applyAlignment="1">
      <alignment horizontal="center" vertical="center"/>
      <protection/>
    </xf>
    <xf numFmtId="186" fontId="4" fillId="2" borderId="71" xfId="54" applyNumberFormat="1" applyFont="1" applyFill="1" applyBorder="1" applyAlignment="1">
      <alignment horizontal="right" vertical="center"/>
      <protection/>
    </xf>
    <xf numFmtId="175" fontId="4" fillId="2" borderId="16" xfId="54" applyNumberFormat="1" applyFont="1" applyBorder="1" applyAlignment="1">
      <alignment horizontal="right"/>
      <protection/>
    </xf>
    <xf numFmtId="0" fontId="4" fillId="3" borderId="0" xfId="0" applyFill="1" applyBorder="1" applyAlignment="1">
      <alignment horizontal="right" vertical="center" indent="1"/>
    </xf>
    <xf numFmtId="208" fontId="4" fillId="3" borderId="0" xfId="6" applyFont="1" applyFill="1" applyBorder="1" applyAlignment="1">
      <alignment horizontal="right" vertical="center" indent="1"/>
    </xf>
    <xf numFmtId="2" fontId="4" fillId="2" borderId="17" xfId="43" applyNumberFormat="1" applyFont="1" applyFill="1" applyBorder="1" applyAlignment="1" applyProtection="1">
      <alignment horizontal="center" vertical="center"/>
      <protection hidden="1" locked="0"/>
    </xf>
    <xf numFmtId="17" fontId="238" fillId="3" borderId="0" xfId="0" applyNumberFormat="1" applyFont="1" applyFill="1" applyBorder="1" applyAlignment="1" applyProtection="1">
      <alignment horizontal="center" vertical="center"/>
      <protection hidden="1"/>
    </xf>
    <xf numFmtId="0" fontId="29" fillId="35" borderId="0" xfId="0" applyFont="1" applyFill="1" applyBorder="1" applyProtection="1">
      <alignment horizontal="left" vertical="center"/>
      <protection hidden="1"/>
    </xf>
    <xf numFmtId="0" fontId="4" fillId="35" borderId="0" xfId="0" applyFont="1" applyFill="1" applyBorder="1" applyProtection="1">
      <alignment horizontal="left" vertical="center"/>
      <protection hidden="1"/>
    </xf>
    <xf numFmtId="166" fontId="238" fillId="35" borderId="0" xfId="0" applyNumberFormat="1" applyFont="1" applyFill="1" applyBorder="1" applyAlignment="1" applyProtection="1">
      <alignment horizontal="right"/>
      <protection hidden="1"/>
    </xf>
    <xf numFmtId="0" fontId="34" fillId="3" borderId="0" xfId="0" applyFont="1" applyFill="1" applyBorder="1" applyAlignment="1" applyProtection="1">
      <alignment horizontal="center" vertical="center"/>
      <protection hidden="1"/>
    </xf>
    <xf numFmtId="0" fontId="117" fillId="35" borderId="83" xfId="0" applyFont="1" applyFill="1" applyBorder="1" applyProtection="1">
      <alignment horizontal="left" vertical="center"/>
      <protection hidden="1"/>
    </xf>
    <xf numFmtId="0" fontId="141" fillId="35" borderId="84" xfId="0" applyFont="1" applyFill="1" applyBorder="1" applyAlignment="1" applyProtection="1">
      <alignment vertical="center"/>
      <protection hidden="1"/>
    </xf>
    <xf numFmtId="0" fontId="5" fillId="35" borderId="84" xfId="0" applyFont="1" applyFill="1" applyBorder="1" applyProtection="1">
      <alignment horizontal="left" vertical="center"/>
      <protection hidden="1"/>
    </xf>
    <xf numFmtId="180" fontId="133" fillId="35" borderId="84" xfId="0" applyNumberFormat="1" applyFont="1" applyFill="1" applyBorder="1" applyAlignment="1" applyProtection="1">
      <alignment horizontal="center" wrapText="1"/>
      <protection hidden="1"/>
    </xf>
    <xf numFmtId="166" fontId="119" fillId="35" borderId="56" xfId="0" applyNumberFormat="1" applyFont="1" applyFill="1" applyBorder="1" applyAlignment="1" applyProtection="1">
      <alignment horizontal="center"/>
      <protection hidden="1"/>
    </xf>
    <xf numFmtId="0" fontId="4" fillId="35" borderId="0" xfId="0" applyFill="1" applyBorder="1">
      <alignment horizontal="left" vertical="center"/>
    </xf>
    <xf numFmtId="208" fontId="34" fillId="35" borderId="0" xfId="6" applyFont="1" applyFill="1" applyBorder="1" applyAlignment="1" applyProtection="1">
      <alignment horizontal="center" wrapText="1"/>
      <protection hidden="1"/>
    </xf>
    <xf numFmtId="0" fontId="29" fillId="35" borderId="85" xfId="0" applyFont="1" applyFill="1" applyBorder="1" applyProtection="1">
      <alignment horizontal="left" vertical="center"/>
      <protection hidden="1"/>
    </xf>
    <xf numFmtId="0" fontId="29" fillId="35" borderId="86" xfId="0" applyFont="1" applyFill="1" applyBorder="1" applyProtection="1">
      <alignment horizontal="left" vertical="center"/>
      <protection hidden="1"/>
    </xf>
    <xf numFmtId="173" fontId="61" fillId="45" borderId="0" xfId="0" applyNumberFormat="1" applyFont="1" applyFill="1" applyBorder="1" applyAlignment="1" applyProtection="1">
      <alignment horizontal="center" vertical="top" readingOrder="1"/>
      <protection locked="0"/>
    </xf>
    <xf numFmtId="0" fontId="65" fillId="46" borderId="87" xfId="58" applyFill="1" applyBorder="1" applyAlignment="1">
      <alignment horizontal="left" vertical="center" indent="1"/>
      <protection/>
    </xf>
    <xf numFmtId="0" fontId="169" fillId="46" borderId="87" xfId="58" applyFont="1" applyFill="1" applyBorder="1" applyAlignment="1">
      <alignment horizontal="left" vertical="center" indent="1"/>
      <protection/>
    </xf>
    <xf numFmtId="0" fontId="131" fillId="3" borderId="0" xfId="0" applyFont="1" applyFill="1" applyBorder="1" applyAlignment="1">
      <alignment vertical="top" wrapText="1"/>
    </xf>
    <xf numFmtId="0" fontId="4" fillId="3" borderId="0" xfId="0" applyFill="1" applyBorder="1" applyAlignment="1">
      <alignment vertical="top" wrapText="1"/>
    </xf>
    <xf numFmtId="0" fontId="170" fillId="2" borderId="0" xfId="0" applyFont="1" applyFill="1" applyBorder="1">
      <alignment horizontal="left" vertical="center"/>
    </xf>
    <xf numFmtId="17" fontId="4" fillId="3" borderId="0" xfId="24" applyFont="1" applyFill="1" applyBorder="1">
      <alignment horizontal="center" vertical="center"/>
    </xf>
    <xf numFmtId="176" fontId="71" fillId="3" borderId="0" xfId="0" applyNumberFormat="1" applyFont="1" applyFill="1" applyBorder="1" applyAlignment="1">
      <alignment horizontal="center" vertical="center"/>
    </xf>
    <xf numFmtId="175" fontId="4" fillId="2" borderId="88" xfId="11" applyBorder="1" applyProtection="1">
      <alignment horizontal="right"/>
      <protection/>
    </xf>
    <xf numFmtId="0" fontId="15" fillId="3" borderId="22" xfId="0" applyFont="1" applyFill="1" applyBorder="1" applyAlignment="1" quotePrefix="1">
      <alignment horizontal="right" vertical="center"/>
    </xf>
    <xf numFmtId="0" fontId="4" fillId="2" borderId="37" xfId="55" applyFont="1" applyFill="1" applyBorder="1" applyProtection="1">
      <alignment horizontal="left" vertical="center" indent="1"/>
      <protection/>
    </xf>
    <xf numFmtId="17" fontId="22" fillId="12" borderId="89" xfId="24" applyFont="1" applyFill="1" applyBorder="1">
      <alignment horizontal="center" vertical="center"/>
    </xf>
    <xf numFmtId="0" fontId="12" fillId="47" borderId="26" xfId="0" applyFont="1" applyFill="1" applyBorder="1" applyAlignment="1">
      <alignment horizontal="center" vertical="center"/>
    </xf>
    <xf numFmtId="0" fontId="12" fillId="47" borderId="28" xfId="0" applyFont="1" applyFill="1" applyBorder="1" applyAlignment="1">
      <alignment horizontal="center" vertical="center"/>
    </xf>
    <xf numFmtId="176" fontId="171" fillId="48" borderId="22" xfId="0" applyNumberFormat="1" applyFont="1" applyFill="1" applyBorder="1" applyAlignment="1">
      <alignment horizontal="center" vertical="center"/>
    </xf>
    <xf numFmtId="175" fontId="4" fillId="2" borderId="90" xfId="11" applyBorder="1" applyProtection="1">
      <alignment horizontal="right"/>
      <protection/>
    </xf>
    <xf numFmtId="175" fontId="4" fillId="2" borderId="91" xfId="11" applyBorder="1" applyProtection="1">
      <alignment horizontal="right"/>
      <protection/>
    </xf>
    <xf numFmtId="175" fontId="4" fillId="2" borderId="92" xfId="11" applyBorder="1" applyProtection="1">
      <alignment horizontal="right"/>
      <protection/>
    </xf>
    <xf numFmtId="0" fontId="4" fillId="2" borderId="18" xfId="54" applyFont="1" applyBorder="1">
      <alignment horizontal="left" vertical="center" indent="1"/>
      <protection/>
    </xf>
    <xf numFmtId="0" fontId="66" fillId="3" borderId="0" xfId="0" applyFont="1" applyFill="1" applyBorder="1">
      <alignment horizontal="left" vertical="center"/>
    </xf>
    <xf numFmtId="0" fontId="162" fillId="48" borderId="93" xfId="17" applyFont="1" applyFill="1" applyBorder="1">
      <alignment horizontal="left" vertical="center"/>
    </xf>
    <xf numFmtId="0" fontId="163" fillId="48" borderId="94" xfId="13" applyFont="1" applyFill="1" applyBorder="1" applyAlignment="1">
      <alignment vertical="center"/>
      <protection/>
    </xf>
    <xf numFmtId="0" fontId="163" fillId="48" borderId="95" xfId="13" applyFont="1" applyFill="1" applyBorder="1" applyAlignment="1">
      <alignment vertical="center"/>
      <protection/>
    </xf>
    <xf numFmtId="203" fontId="34" fillId="3" borderId="0" xfId="0" applyNumberFormat="1" applyFont="1" applyFill="1" applyBorder="1">
      <alignment horizontal="left" vertical="center"/>
    </xf>
    <xf numFmtId="2" fontId="4" fillId="2" borderId="43" xfId="54" applyNumberFormat="1" applyFont="1" applyFill="1" applyBorder="1" applyAlignment="1">
      <alignment horizontal="right" vertical="center"/>
      <protection/>
    </xf>
    <xf numFmtId="1" fontId="158" fillId="3" borderId="0" xfId="0" applyNumberFormat="1" applyFont="1" applyFill="1" applyBorder="1" applyAlignment="1">
      <alignment horizontal="center" vertical="center"/>
    </xf>
    <xf numFmtId="1" fontId="4" fillId="3" borderId="27" xfId="0" applyNumberFormat="1" applyFill="1" applyBorder="1">
      <alignment horizontal="left" vertical="center"/>
    </xf>
    <xf numFmtId="0" fontId="4" fillId="3" borderId="27" xfId="0" applyFill="1" applyBorder="1" applyAlignment="1">
      <alignment horizontal="center"/>
    </xf>
    <xf numFmtId="0" fontId="99" fillId="3" borderId="0" xfId="0" applyFont="1" applyFill="1" applyBorder="1" applyAlignment="1">
      <alignment horizontal="right" vertical="center"/>
    </xf>
    <xf numFmtId="1" fontId="4" fillId="12" borderId="29" xfId="0" applyNumberFormat="1" applyFill="1" applyBorder="1" applyAlignment="1">
      <alignment horizontal="center" vertical="center"/>
    </xf>
    <xf numFmtId="0" fontId="99" fillId="3" borderId="23" xfId="0" applyFont="1" applyFill="1" applyBorder="1">
      <alignment horizontal="left" vertical="center"/>
    </xf>
    <xf numFmtId="0" fontId="54" fillId="3" borderId="23" xfId="0" applyFont="1" applyFill="1" applyBorder="1" applyAlignment="1">
      <alignment horizontal="center" vertical="center"/>
    </xf>
    <xf numFmtId="0" fontId="23" fillId="3" borderId="26" xfId="0" applyFont="1" applyFill="1" applyBorder="1" applyAlignment="1">
      <alignment horizontal="center" vertical="center"/>
    </xf>
    <xf numFmtId="0" fontId="58" fillId="27" borderId="24" xfId="14" applyFont="1" applyFill="1" applyBorder="1" applyAlignment="1">
      <alignment horizontal="center" vertical="center"/>
      <protection/>
    </xf>
    <xf numFmtId="0" fontId="54" fillId="3" borderId="27" xfId="0" applyFont="1" applyFill="1" applyBorder="1" applyAlignment="1">
      <alignment horizontal="center" vertical="center"/>
    </xf>
    <xf numFmtId="186" fontId="4" fillId="2" borderId="46" xfId="55" applyNumberFormat="1" applyFont="1" applyFill="1" applyBorder="1" applyAlignment="1">
      <alignment horizontal="right"/>
      <protection locked="0"/>
    </xf>
    <xf numFmtId="0" fontId="4" fillId="2" borderId="21" xfId="0" applyFill="1" applyBorder="1">
      <alignment horizontal="left" vertical="center"/>
    </xf>
    <xf numFmtId="2" fontId="4" fillId="2" borderId="40" xfId="54" applyNumberFormat="1" applyFont="1" applyFill="1" applyBorder="1" applyAlignment="1">
      <alignment horizontal="right" vertical="center"/>
      <protection/>
    </xf>
    <xf numFmtId="2" fontId="4" fillId="2" borderId="96" xfId="54" applyNumberFormat="1" applyFont="1" applyFill="1" applyBorder="1" applyAlignment="1">
      <alignment horizontal="right" vertical="center"/>
      <protection/>
    </xf>
    <xf numFmtId="0" fontId="46" fillId="14" borderId="37" xfId="59" applyBorder="1" applyAlignment="1">
      <alignment horizontal="center" vertical="center"/>
      <protection/>
    </xf>
    <xf numFmtId="0" fontId="46" fillId="14" borderId="20" xfId="59" applyBorder="1" applyAlignment="1">
      <alignment horizontal="left" vertical="center"/>
      <protection/>
    </xf>
    <xf numFmtId="0" fontId="46" fillId="14" borderId="20" xfId="59" applyBorder="1" applyAlignment="1">
      <alignment horizontal="center" vertical="center"/>
      <protection/>
    </xf>
    <xf numFmtId="0" fontId="46" fillId="14" borderId="38" xfId="59" applyBorder="1" applyAlignment="1">
      <alignment horizontal="center" vertical="center"/>
      <protection/>
    </xf>
    <xf numFmtId="0" fontId="46" fillId="14" borderId="20" xfId="59" applyBorder="1" applyAlignment="1">
      <alignment horizontal="left" vertical="center" indent="1"/>
      <protection/>
    </xf>
    <xf numFmtId="186" fontId="46" fillId="14" borderId="20" xfId="59" applyNumberFormat="1" applyBorder="1" applyAlignment="1">
      <alignment horizontal="center" vertical="center"/>
      <protection/>
    </xf>
    <xf numFmtId="186" fontId="46" fillId="14" borderId="38" xfId="59" applyNumberFormat="1" applyBorder="1" applyAlignment="1">
      <alignment horizontal="center" vertical="center"/>
      <protection/>
    </xf>
    <xf numFmtId="197" fontId="46" fillId="14" borderId="23" xfId="59" applyNumberFormat="1" applyBorder="1" applyAlignment="1">
      <alignment horizontal="center" vertical="center"/>
      <protection/>
    </xf>
    <xf numFmtId="0" fontId="46" fillId="14" borderId="23" xfId="59" applyBorder="1" applyAlignment="1">
      <alignment horizontal="left" vertical="center"/>
      <protection/>
    </xf>
    <xf numFmtId="0" fontId="23" fillId="3" borderId="24" xfId="0" applyFont="1" applyFill="1" applyBorder="1" applyAlignment="1">
      <alignment horizontal="center" vertical="center"/>
    </xf>
    <xf numFmtId="176" fontId="12" fillId="3" borderId="24" xfId="0" applyNumberFormat="1" applyFont="1" applyFill="1" applyBorder="1" applyAlignment="1">
      <alignment horizontal="center"/>
    </xf>
    <xf numFmtId="176" fontId="22" fillId="3" borderId="29" xfId="0" applyNumberFormat="1" applyFont="1" applyFill="1" applyBorder="1" applyAlignment="1">
      <alignment horizontal="center"/>
    </xf>
    <xf numFmtId="176" fontId="12" fillId="3" borderId="22" xfId="0" applyNumberFormat="1" applyFont="1" applyFill="1" applyBorder="1" applyAlignment="1">
      <alignment horizontal="center" vertical="center"/>
    </xf>
    <xf numFmtId="176" fontId="22" fillId="3" borderId="27" xfId="0" applyNumberFormat="1" applyFont="1" applyFill="1" applyBorder="1" applyAlignment="1">
      <alignment horizontal="center" vertical="center"/>
    </xf>
    <xf numFmtId="176" fontId="111" fillId="33" borderId="24" xfId="50" applyNumberFormat="1" applyFont="1" applyFill="1" applyBorder="1" applyAlignment="1">
      <alignment horizontal="center"/>
      <protection locked="0"/>
    </xf>
    <xf numFmtId="176" fontId="111" fillId="33" borderId="29" xfId="50" applyNumberFormat="1" applyFont="1" applyFill="1" applyBorder="1" applyAlignment="1">
      <alignment horizontal="center"/>
      <protection locked="0"/>
    </xf>
    <xf numFmtId="0" fontId="4" fillId="0" borderId="24" xfId="0" applyBorder="1">
      <alignment horizontal="left" vertical="center"/>
    </xf>
    <xf numFmtId="0" fontId="4" fillId="0" borderId="22" xfId="0" applyBorder="1">
      <alignment horizontal="left" vertical="center"/>
    </xf>
    <xf numFmtId="0" fontId="4" fillId="0" borderId="26" xfId="0" applyBorder="1">
      <alignment horizontal="left" vertical="center"/>
    </xf>
    <xf numFmtId="43" fontId="14" fillId="19" borderId="0" xfId="4" applyFont="1" applyFill="1" applyAlignment="1">
      <alignment horizontal="center" vertical="center"/>
    </xf>
    <xf numFmtId="0" fontId="4" fillId="25" borderId="22" xfId="0" applyFill="1" applyBorder="1" applyAlignment="1">
      <alignment horizontal="center" vertical="center"/>
    </xf>
    <xf numFmtId="0" fontId="4" fillId="2" borderId="30" xfId="0" applyFill="1" applyBorder="1" applyAlignment="1">
      <alignment horizontal="center" vertical="center"/>
    </xf>
    <xf numFmtId="0" fontId="54" fillId="12" borderId="24" xfId="0" applyFont="1" applyFill="1" applyBorder="1" applyAlignment="1">
      <alignment horizontal="center" vertical="center"/>
    </xf>
    <xf numFmtId="0" fontId="99" fillId="12" borderId="25" xfId="0" applyFont="1" applyFill="1" applyBorder="1">
      <alignment horizontal="left" vertical="center"/>
    </xf>
    <xf numFmtId="0" fontId="63" fillId="12" borderId="25" xfId="0" applyFont="1" applyFill="1" applyBorder="1" applyAlignment="1">
      <alignment horizontal="center" shrinkToFit="1"/>
    </xf>
    <xf numFmtId="0" fontId="54" fillId="12" borderId="26" xfId="0" applyFont="1" applyFill="1" applyBorder="1" applyAlignment="1">
      <alignment horizontal="center" vertical="center"/>
    </xf>
    <xf numFmtId="0" fontId="99" fillId="12" borderId="23" xfId="0" applyFont="1" applyFill="1" applyBorder="1">
      <alignment horizontal="left" vertical="center"/>
    </xf>
    <xf numFmtId="0" fontId="63" fillId="12" borderId="23" xfId="0" applyFont="1" applyFill="1" applyBorder="1" applyAlignment="1">
      <alignment horizontal="center" shrinkToFit="1"/>
    </xf>
    <xf numFmtId="204" fontId="173" fillId="12" borderId="23" xfId="0" applyNumberFormat="1" applyFont="1" applyFill="1" applyBorder="1" applyAlignment="1">
      <alignment horizontal="center" vertical="center"/>
    </xf>
    <xf numFmtId="0" fontId="46" fillId="14" borderId="25" xfId="59" applyBorder="1" applyAlignment="1">
      <alignment horizontal="center" vertical="center"/>
      <protection/>
    </xf>
    <xf numFmtId="0" fontId="110" fillId="3" borderId="24" xfId="0" applyFont="1" applyFill="1" applyBorder="1" applyAlignment="1">
      <alignment horizontal="center" vertical="center"/>
    </xf>
    <xf numFmtId="0" fontId="110" fillId="3" borderId="26" xfId="0" applyFont="1" applyFill="1" applyBorder="1" applyAlignment="1">
      <alignment horizontal="center" vertical="center"/>
    </xf>
    <xf numFmtId="0" fontId="9" fillId="12" borderId="24" xfId="0" applyFont="1" applyFill="1" applyBorder="1" applyAlignment="1">
      <alignment horizontal="left" vertical="center" wrapText="1"/>
    </xf>
    <xf numFmtId="0" fontId="46" fillId="14" borderId="25" xfId="59" applyBorder="1" applyAlignment="1">
      <alignment horizontal="left" vertical="center"/>
      <protection/>
    </xf>
    <xf numFmtId="0" fontId="46" fillId="14" borderId="25" xfId="59" applyBorder="1" applyAlignment="1">
      <alignment horizontal="center" shrinkToFit="1"/>
      <protection/>
    </xf>
    <xf numFmtId="1" fontId="46" fillId="14" borderId="25" xfId="59" applyNumberFormat="1" applyBorder="1" applyAlignment="1">
      <alignment horizontal="center" vertical="center"/>
      <protection/>
    </xf>
    <xf numFmtId="1" fontId="46" fillId="14" borderId="29" xfId="59" applyNumberFormat="1" applyBorder="1" applyAlignment="1">
      <alignment horizontal="center" vertical="center"/>
      <protection/>
    </xf>
    <xf numFmtId="0" fontId="46" fillId="14" borderId="23" xfId="59" applyBorder="1" applyAlignment="1">
      <alignment horizontal="center" shrinkToFit="1"/>
      <protection/>
    </xf>
    <xf numFmtId="0" fontId="46" fillId="14" borderId="25" xfId="59" applyBorder="1" applyAlignment="1">
      <alignment vertical="center"/>
      <protection/>
    </xf>
    <xf numFmtId="206" fontId="4" fillId="3" borderId="21" xfId="43" applyFont="1" applyFill="1" applyBorder="1" applyAlignment="1" applyProtection="1">
      <alignment horizontal="center"/>
      <protection/>
    </xf>
    <xf numFmtId="176" fontId="46" fillId="14" borderId="24" xfId="59" applyNumberFormat="1" applyBorder="1" applyAlignment="1">
      <alignment horizontal="center"/>
      <protection/>
    </xf>
    <xf numFmtId="176" fontId="46" fillId="14" borderId="29" xfId="59" applyNumberFormat="1" applyBorder="1" applyAlignment="1">
      <alignment horizontal="center"/>
      <protection/>
    </xf>
    <xf numFmtId="176" fontId="46" fillId="14" borderId="26" xfId="59" applyNumberFormat="1" applyBorder="1" applyAlignment="1">
      <alignment horizontal="center"/>
      <protection/>
    </xf>
    <xf numFmtId="176" fontId="46" fillId="14" borderId="28" xfId="59" applyNumberFormat="1" applyBorder="1" applyAlignment="1">
      <alignment horizontal="center"/>
      <protection/>
    </xf>
    <xf numFmtId="1" fontId="46" fillId="14" borderId="24" xfId="59" applyNumberFormat="1" applyBorder="1" applyAlignment="1">
      <alignment horizontal="center" vertical="center"/>
      <protection/>
    </xf>
    <xf numFmtId="206" fontId="34" fillId="3" borderId="0" xfId="43" applyFont="1" applyFill="1" applyBorder="1" applyAlignment="1" applyProtection="1">
      <alignment horizontal="right" vertical="center"/>
      <protection locked="0"/>
    </xf>
    <xf numFmtId="43" fontId="158" fillId="3" borderId="0" xfId="4" applyFont="1" applyFill="1" applyBorder="1" applyAlignment="1">
      <alignment horizontal="center" vertical="center"/>
    </xf>
    <xf numFmtId="43" fontId="173" fillId="12" borderId="23" xfId="4" applyFont="1" applyFill="1" applyBorder="1" applyAlignment="1">
      <alignment horizontal="center" vertical="center"/>
    </xf>
    <xf numFmtId="1" fontId="23" fillId="12" borderId="25" xfId="0" applyNumberFormat="1" applyFont="1" applyFill="1" applyBorder="1" applyAlignment="1">
      <alignment horizontal="center" vertical="center"/>
    </xf>
    <xf numFmtId="0" fontId="4" fillId="3" borderId="46" xfId="7" applyFont="1" applyFill="1" applyBorder="1">
      <alignment horizontal="center" vertical="center" shrinkToFit="1"/>
    </xf>
    <xf numFmtId="197" fontId="46" fillId="14" borderId="25" xfId="59" applyNumberFormat="1" applyBorder="1" applyAlignment="1">
      <alignment vertical="center"/>
      <protection/>
    </xf>
    <xf numFmtId="0" fontId="46" fillId="14" borderId="24" xfId="59" applyBorder="1" applyAlignment="1">
      <alignment vertical="center"/>
      <protection/>
    </xf>
    <xf numFmtId="0" fontId="54" fillId="19" borderId="0" xfId="0" applyFont="1" applyFill="1" applyBorder="1" applyAlignment="1">
      <alignment horizontal="center" vertical="center"/>
    </xf>
    <xf numFmtId="0" fontId="54" fillId="25" borderId="22" xfId="0" applyFont="1" applyFill="1" applyBorder="1" applyAlignment="1">
      <alignment horizontal="center" vertical="center"/>
    </xf>
    <xf numFmtId="0" fontId="54" fillId="2" borderId="0" xfId="0" applyFont="1" applyFill="1" applyAlignment="1">
      <alignment horizontal="center" vertical="center"/>
    </xf>
    <xf numFmtId="0" fontId="54" fillId="2" borderId="30" xfId="0" applyFont="1" applyFill="1" applyBorder="1" applyAlignment="1">
      <alignment horizontal="center" vertical="center"/>
    </xf>
    <xf numFmtId="0" fontId="54" fillId="2" borderId="27" xfId="0" applyFont="1" applyFill="1" applyBorder="1" applyAlignment="1">
      <alignment horizontal="center" vertical="center"/>
    </xf>
    <xf numFmtId="0" fontId="155" fillId="12" borderId="26" xfId="0" applyFont="1" applyFill="1" applyBorder="1" applyAlignment="1">
      <alignment horizontal="center" vertical="center" wrapText="1"/>
    </xf>
    <xf numFmtId="0" fontId="110" fillId="3" borderId="23" xfId="0" applyFont="1" applyFill="1" applyBorder="1" applyAlignment="1">
      <alignment horizontal="center" vertical="center"/>
    </xf>
    <xf numFmtId="0" fontId="54" fillId="3" borderId="23" xfId="7" applyFont="1" applyFill="1" applyBorder="1">
      <alignment horizontal="center" vertical="center" shrinkToFit="1"/>
    </xf>
    <xf numFmtId="43" fontId="135" fillId="12" borderId="23" xfId="4" applyFont="1" applyFill="1" applyBorder="1" applyAlignment="1">
      <alignment horizontal="center" vertical="center"/>
    </xf>
    <xf numFmtId="206" fontId="54" fillId="3" borderId="23" xfId="43" applyFont="1" applyFill="1" applyBorder="1" applyAlignment="1" applyProtection="1">
      <alignment horizontal="center" vertical="center"/>
      <protection hidden="1"/>
    </xf>
    <xf numFmtId="206" fontId="54" fillId="3" borderId="28" xfId="43" applyFont="1" applyFill="1" applyBorder="1" applyAlignment="1" applyProtection="1">
      <alignment horizontal="center" vertical="center"/>
      <protection hidden="1"/>
    </xf>
    <xf numFmtId="0" fontId="54" fillId="3" borderId="22" xfId="0" applyFont="1" applyFill="1" applyBorder="1" applyAlignment="1">
      <alignment horizontal="center" vertical="center"/>
    </xf>
    <xf numFmtId="0" fontId="54" fillId="3" borderId="0" xfId="0" applyFont="1" applyFill="1" applyAlignment="1">
      <alignment horizontal="center" vertical="center"/>
    </xf>
    <xf numFmtId="0" fontId="55" fillId="3" borderId="50" xfId="0" applyFont="1" applyFill="1" applyBorder="1" applyAlignment="1">
      <alignment horizontal="center"/>
    </xf>
    <xf numFmtId="168" fontId="75" fillId="3" borderId="46" xfId="54" applyNumberFormat="1" applyFont="1" applyFill="1" applyBorder="1" applyAlignment="1">
      <alignment horizontal="center"/>
      <protection/>
    </xf>
    <xf numFmtId="168" fontId="75" fillId="3" borderId="21" xfId="54" applyNumberFormat="1" applyFont="1" applyFill="1" applyBorder="1" applyAlignment="1">
      <alignment horizontal="center"/>
      <protection/>
    </xf>
    <xf numFmtId="197" fontId="4" fillId="3" borderId="50" xfId="56" applyFont="1" applyFill="1" applyBorder="1" applyAlignment="1">
      <alignment horizontal="center" vertical="center"/>
    </xf>
    <xf numFmtId="197" fontId="4" fillId="3" borderId="46" xfId="54" applyNumberFormat="1" applyFont="1" applyFill="1" applyBorder="1" applyAlignment="1">
      <alignment horizontal="center" vertical="center"/>
      <protection/>
    </xf>
    <xf numFmtId="197" fontId="4" fillId="3" borderId="21" xfId="54" applyNumberFormat="1" applyFont="1" applyFill="1" applyBorder="1" applyAlignment="1">
      <alignment horizontal="center" vertical="center"/>
      <protection/>
    </xf>
    <xf numFmtId="0" fontId="46" fillId="2" borderId="16" xfId="4" applyNumberFormat="1" applyFont="1" applyFill="1" applyBorder="1" applyAlignment="1" applyProtection="1">
      <alignment horizontal="center" vertical="center"/>
      <protection/>
    </xf>
    <xf numFmtId="0" fontId="140" fillId="19" borderId="0" xfId="0" applyFont="1" applyFill="1" applyAlignment="1">
      <alignment horizontal="center" vertical="center"/>
    </xf>
    <xf numFmtId="0" fontId="140" fillId="19" borderId="0" xfId="0" applyFont="1" applyFill="1" applyAlignment="1">
      <alignment horizontal="center"/>
    </xf>
    <xf numFmtId="0" fontId="60" fillId="19" borderId="0" xfId="0" applyFont="1" applyFill="1" applyBorder="1" applyAlignment="1">
      <alignment horizontal="centerContinuous" vertical="center"/>
    </xf>
    <xf numFmtId="0" fontId="166" fillId="19" borderId="0" xfId="0" applyFont="1" applyFill="1" applyBorder="1" applyAlignment="1">
      <alignment horizontal="center" vertical="center" shrinkToFit="1"/>
    </xf>
    <xf numFmtId="0" fontId="140" fillId="19" borderId="0" xfId="0" applyFont="1" applyFill="1" applyBorder="1" applyAlignment="1">
      <alignment horizontal="center" vertical="center"/>
    </xf>
    <xf numFmtId="0" fontId="140" fillId="19" borderId="0" xfId="0" applyFont="1" applyFill="1" applyBorder="1" applyAlignment="1">
      <alignment horizontal="center" shrinkToFit="1"/>
    </xf>
    <xf numFmtId="0" fontId="60" fillId="19" borderId="0" xfId="0" applyFont="1" applyFill="1" applyBorder="1" applyAlignment="1">
      <alignment horizontal="centerContinuous" vertical="center" shrinkToFit="1"/>
    </xf>
    <xf numFmtId="0" fontId="167" fillId="19" borderId="0" xfId="0" applyFont="1" applyFill="1" applyBorder="1" applyAlignment="1">
      <alignment horizontal="center" vertical="center" shrinkToFit="1"/>
    </xf>
    <xf numFmtId="0" fontId="140" fillId="19" borderId="0" xfId="0" applyFont="1" applyFill="1" applyBorder="1" applyAlignment="1">
      <alignment horizontal="center" vertical="center" shrinkToFit="1"/>
    </xf>
    <xf numFmtId="0" fontId="60" fillId="19" borderId="76" xfId="0" applyFont="1" applyFill="1" applyBorder="1" applyAlignment="1">
      <alignment vertical="top" wrapText="1"/>
    </xf>
    <xf numFmtId="193" fontId="14" fillId="19" borderId="76" xfId="0" applyNumberFormat="1" applyFont="1" applyFill="1" applyBorder="1" applyAlignment="1">
      <alignment horizontal="center" vertical="center" shrinkToFit="1"/>
    </xf>
    <xf numFmtId="193" fontId="14" fillId="19" borderId="0" xfId="0" applyNumberFormat="1" applyFont="1" applyFill="1" applyBorder="1" applyAlignment="1">
      <alignment horizontal="center" vertical="center" shrinkToFit="1"/>
    </xf>
    <xf numFmtId="0" fontId="12" fillId="19" borderId="76" xfId="0" applyFont="1" applyFill="1" applyBorder="1" applyAlignment="1">
      <alignment horizontal="right" vertical="center"/>
    </xf>
    <xf numFmtId="0" fontId="145" fillId="19" borderId="0" xfId="0" applyFont="1" applyFill="1" applyBorder="1">
      <alignment horizontal="left" vertical="center"/>
    </xf>
    <xf numFmtId="0" fontId="60" fillId="19" borderId="0" xfId="0" applyFont="1" applyFill="1" applyBorder="1" applyAlignment="1">
      <alignment vertical="center" textRotation="90" wrapText="1"/>
    </xf>
    <xf numFmtId="0" fontId="60" fillId="19" borderId="0" xfId="0" applyFont="1" applyFill="1" applyBorder="1" applyAlignment="1">
      <alignment vertical="center" wrapText="1"/>
    </xf>
    <xf numFmtId="0" fontId="150" fillId="19" borderId="0" xfId="0" applyFont="1" applyFill="1" applyBorder="1" applyAlignment="1">
      <alignment vertical="top" wrapText="1"/>
    </xf>
    <xf numFmtId="0" fontId="4" fillId="3" borderId="0" xfId="0" applyFill="1" applyBorder="1" applyAlignment="1">
      <alignment horizontal="right" vertical="center"/>
    </xf>
    <xf numFmtId="0" fontId="14" fillId="49" borderId="0" xfId="0" applyFont="1" applyFill="1" applyAlignment="1">
      <alignment horizontal="center" vertical="center"/>
    </xf>
    <xf numFmtId="0" fontId="151" fillId="19" borderId="0" xfId="0" applyFont="1" applyFill="1" applyBorder="1" applyAlignment="1">
      <alignment vertical="center" shrinkToFit="1"/>
    </xf>
    <xf numFmtId="0" fontId="14" fillId="19" borderId="97" xfId="0" applyFont="1" applyFill="1" applyBorder="1" applyAlignment="1">
      <alignment horizontal="left" vertical="center" shrinkToFit="1"/>
    </xf>
    <xf numFmtId="0" fontId="14" fillId="19" borderId="97" xfId="0" applyFont="1" applyFill="1" applyBorder="1">
      <alignment horizontal="left" vertical="center"/>
    </xf>
    <xf numFmtId="0" fontId="4" fillId="30" borderId="97" xfId="0" applyFill="1" applyBorder="1">
      <alignment horizontal="left" vertical="center"/>
    </xf>
    <xf numFmtId="0" fontId="14" fillId="19" borderId="97" xfId="0" applyFont="1" applyFill="1" applyBorder="1" applyAlignment="1">
      <alignment horizontal="center" vertical="center"/>
    </xf>
    <xf numFmtId="0" fontId="14" fillId="19" borderId="97" xfId="0" applyFont="1" applyFill="1" applyBorder="1" applyAlignment="1">
      <alignment horizontal="center" vertical="center"/>
      <extLst>
        <ext xmlns:xfpb="http://schemas.microsoft.com/office/spreadsheetml/2022/featurepropertybag" uri="{C7286773-470A-42A8-94C5-96B5CB345126}">
          <xfpb:xfComplement i="0"/>
        </ext>
      </extLst>
    </xf>
    <xf numFmtId="0" fontId="14" fillId="19" borderId="0" xfId="0" applyFont="1" applyFill="1" applyAlignment="1">
      <alignment horizontal="left" vertical="center" shrinkToFit="1"/>
    </xf>
    <xf numFmtId="0" fontId="14" fillId="50" borderId="0" xfId="0" applyFont="1" applyFill="1" applyAlignment="1">
      <alignment horizontal="center" vertical="center"/>
    </xf>
    <xf numFmtId="168" fontId="4" fillId="30" borderId="0" xfId="6" applyNumberFormat="1" applyFont="1" applyFill="1" applyAlignment="1" applyProtection="1">
      <alignment horizontal="right" vertical="center" indent="1"/>
      <protection/>
    </xf>
    <xf numFmtId="0" fontId="238" fillId="3" borderId="0" xfId="0" applyFont="1" applyFill="1" applyBorder="1" applyAlignment="1">
      <alignment horizontal="right" vertical="center" indent="1"/>
    </xf>
    <xf numFmtId="0" fontId="14" fillId="50" borderId="0" xfId="0" applyFont="1" applyFill="1" applyBorder="1" applyAlignment="1">
      <alignment horizontal="center" vertical="center"/>
    </xf>
    <xf numFmtId="0" fontId="14" fillId="30" borderId="0" xfId="0" applyFont="1" applyFill="1" applyBorder="1">
      <alignment horizontal="left" vertical="center"/>
    </xf>
    <xf numFmtId="0" fontId="14" fillId="19" borderId="51" xfId="0" applyFont="1" applyFill="1" applyBorder="1">
      <alignment horizontal="left" vertical="center"/>
    </xf>
    <xf numFmtId="0" fontId="14" fillId="19" borderId="76" xfId="0" applyFont="1" applyFill="1" applyBorder="1">
      <alignment horizontal="left" vertical="center"/>
    </xf>
    <xf numFmtId="0" fontId="4" fillId="3" borderId="27" xfId="0" applyFill="1" applyBorder="1" applyAlignment="1">
      <alignment horizontal="right" vertical="center"/>
    </xf>
    <xf numFmtId="43" fontId="14" fillId="19" borderId="0" xfId="4" applyFont="1" applyFill="1" applyBorder="1" applyAlignment="1" applyProtection="1">
      <alignment horizontal="left" vertical="center" indent="1"/>
      <protection/>
    </xf>
    <xf numFmtId="43" fontId="14" fillId="19" borderId="23" xfId="4" applyFont="1" applyFill="1" applyBorder="1" applyAlignment="1" applyProtection="1">
      <alignment horizontal="left" vertical="center" indent="1"/>
      <protection/>
    </xf>
    <xf numFmtId="0" fontId="60" fillId="50" borderId="0" xfId="0" applyFont="1" applyFill="1" applyAlignment="1">
      <alignment horizontal="center" vertical="center" shrinkToFit="1"/>
    </xf>
    <xf numFmtId="0" fontId="60" fillId="19" borderId="51" xfId="0" applyFont="1" applyFill="1" applyBorder="1" applyAlignment="1">
      <alignment horizontal="center"/>
    </xf>
    <xf numFmtId="0" fontId="4" fillId="3" borderId="20" xfId="0" applyFill="1" applyBorder="1">
      <alignment horizontal="left" vertical="center"/>
    </xf>
    <xf numFmtId="0" fontId="14" fillId="19" borderId="51" xfId="0" applyFont="1" applyFill="1" applyBorder="1" applyAlignment="1">
      <alignment horizontal="center" vertical="center"/>
      <extLst>
        <ext xmlns:xfpb="http://schemas.microsoft.com/office/spreadsheetml/2022/featurepropertybag" uri="{C7286773-470A-42A8-94C5-96B5CB345126}">
          <xfpb:xfComplement i="0"/>
        </ext>
      </extLst>
    </xf>
    <xf numFmtId="0" fontId="23" fillId="3" borderId="22" xfId="0" applyFont="1" applyFill="1" applyBorder="1" applyAlignment="1">
      <alignment horizontal="center" vertical="center"/>
    </xf>
    <xf numFmtId="187" fontId="97" fillId="3" borderId="37" xfId="14" applyNumberFormat="1" applyFont="1" applyFill="1" applyBorder="1" applyAlignment="1">
      <alignment horizontal="center" vertical="center"/>
      <protection/>
    </xf>
    <xf numFmtId="187" fontId="97" fillId="3" borderId="38" xfId="14" applyNumberFormat="1" applyFont="1" applyFill="1" applyBorder="1" applyAlignment="1">
      <alignment horizontal="center" vertical="center"/>
      <protection/>
    </xf>
    <xf numFmtId="176" fontId="171" fillId="48" borderId="27" xfId="0" applyNumberFormat="1" applyFont="1" applyFill="1" applyBorder="1" applyAlignment="1">
      <alignment horizontal="center" vertical="center"/>
    </xf>
    <xf numFmtId="176" fontId="12" fillId="8" borderId="22" xfId="0" applyNumberFormat="1" applyFont="1" applyFill="1" applyBorder="1" applyAlignment="1">
      <alignment horizontal="center"/>
    </xf>
    <xf numFmtId="176" fontId="22" fillId="8" borderId="27" xfId="0" applyNumberFormat="1" applyFont="1" applyFill="1" applyBorder="1" applyAlignment="1">
      <alignment horizontal="center"/>
    </xf>
    <xf numFmtId="176" fontId="15" fillId="8" borderId="22" xfId="0" applyNumberFormat="1" applyFont="1" applyFill="1" applyBorder="1" applyAlignment="1">
      <alignment horizontal="center" vertical="center"/>
    </xf>
    <xf numFmtId="176" fontId="15" fillId="8" borderId="27" xfId="0" applyNumberFormat="1" applyFont="1" applyFill="1" applyBorder="1" applyAlignment="1">
      <alignment horizontal="center" vertical="center"/>
    </xf>
    <xf numFmtId="0" fontId="34" fillId="29" borderId="24" xfId="51" applyFont="1" applyFill="1" applyBorder="1" applyAlignment="1">
      <alignment horizontal="center" vertical="center"/>
      <protection/>
    </xf>
    <xf numFmtId="0" fontId="34" fillId="29" borderId="29" xfId="51" applyFont="1" applyFill="1" applyBorder="1" applyAlignment="1">
      <alignment horizontal="center" vertical="center"/>
      <protection/>
    </xf>
    <xf numFmtId="0" fontId="42" fillId="29" borderId="0" xfId="51" applyFont="1" applyFill="1" applyBorder="1" applyAlignment="1">
      <alignment horizontal="center" vertical="center"/>
      <protection/>
    </xf>
    <xf numFmtId="176" fontId="12" fillId="27" borderId="22" xfId="0" applyNumberFormat="1" applyFont="1" applyFill="1" applyBorder="1" applyAlignment="1">
      <alignment horizontal="center"/>
    </xf>
    <xf numFmtId="176" fontId="12" fillId="27" borderId="27" xfId="0" applyNumberFormat="1" applyFont="1" applyFill="1" applyBorder="1" applyAlignment="1">
      <alignment horizontal="center"/>
    </xf>
    <xf numFmtId="176" fontId="12" fillId="21" borderId="22" xfId="0" applyNumberFormat="1" applyFont="1" applyFill="1" applyBorder="1" applyAlignment="1">
      <alignment horizontal="center" vertical="center"/>
    </xf>
    <xf numFmtId="176" fontId="12" fillId="21" borderId="27" xfId="0" applyNumberFormat="1" applyFont="1" applyFill="1" applyBorder="1" applyAlignment="1">
      <alignment horizontal="center" vertical="center"/>
    </xf>
    <xf numFmtId="176" fontId="12" fillId="21" borderId="22" xfId="0" applyNumberFormat="1" applyFont="1" applyFill="1" applyBorder="1" applyAlignment="1">
      <alignment horizontal="center"/>
    </xf>
    <xf numFmtId="176" fontId="12" fillId="21" borderId="27" xfId="0" applyNumberFormat="1" applyFont="1" applyFill="1" applyBorder="1" applyAlignment="1">
      <alignment horizontal="center"/>
    </xf>
    <xf numFmtId="206" fontId="16" fillId="3" borderId="0" xfId="43" applyFont="1" applyFill="1" applyBorder="1" applyAlignment="1" applyProtection="1">
      <alignment horizontal="center"/>
      <protection/>
    </xf>
    <xf numFmtId="186" fontId="4" fillId="3" borderId="16" xfId="54" applyNumberFormat="1" applyFont="1" applyFill="1" applyBorder="1" applyAlignment="1">
      <alignment horizontal="center"/>
      <protection/>
    </xf>
    <xf numFmtId="0" fontId="4" fillId="3" borderId="0" xfId="54" applyFont="1" applyFill="1" applyBorder="1">
      <alignment horizontal="left" vertical="center" indent="1"/>
      <protection/>
    </xf>
    <xf numFmtId="206" fontId="34" fillId="3" borderId="0" xfId="43" applyFont="1" applyFill="1" applyBorder="1" applyAlignment="1" applyProtection="1">
      <alignment horizontal="center"/>
      <protection/>
    </xf>
    <xf numFmtId="0" fontId="37" fillId="2" borderId="0" xfId="0" applyFont="1" applyFill="1" applyBorder="1">
      <alignment horizontal="left" vertical="center"/>
    </xf>
    <xf numFmtId="0" fontId="60" fillId="19" borderId="0" xfId="0" applyFont="1" applyFill="1" applyBorder="1" applyAlignment="1">
      <alignment horizontal="left" shrinkToFit="1"/>
    </xf>
    <xf numFmtId="0" fontId="48" fillId="19" borderId="0" xfId="0" applyFont="1" applyFill="1" applyBorder="1" applyAlignment="1">
      <alignment horizontal="center" vertical="center" shrinkToFit="1"/>
    </xf>
    <xf numFmtId="0" fontId="24" fillId="19" borderId="0" xfId="0" applyFont="1" applyFill="1" applyBorder="1" applyAlignment="1">
      <alignment horizontal="center" vertical="center" shrinkToFit="1"/>
    </xf>
    <xf numFmtId="17" fontId="22" fillId="12" borderId="20" xfId="24" applyFont="1" applyFill="1" applyBorder="1">
      <alignment horizontal="center" vertical="center"/>
    </xf>
    <xf numFmtId="0" fontId="142" fillId="51" borderId="98" xfId="0" applyFont="1" applyFill="1" applyBorder="1" applyAlignment="1">
      <alignment horizontal="left" vertical="center" wrapText="1" indent="1"/>
    </xf>
    <xf numFmtId="0" fontId="4" fillId="38" borderId="99" xfId="0" applyFill="1" applyBorder="1">
      <alignment horizontal="left" vertical="center"/>
    </xf>
    <xf numFmtId="0" fontId="4" fillId="38" borderId="100" xfId="0" applyFill="1" applyBorder="1">
      <alignment horizontal="left" vertical="center"/>
    </xf>
    <xf numFmtId="0" fontId="142" fillId="51" borderId="99" xfId="0" applyFont="1" applyFill="1" applyBorder="1" applyAlignment="1">
      <alignment horizontal="left" vertical="center" wrapText="1" indent="1"/>
    </xf>
    <xf numFmtId="0" fontId="4" fillId="38" borderId="101" xfId="0" applyFill="1" applyBorder="1">
      <alignment horizontal="left" vertical="center"/>
    </xf>
    <xf numFmtId="0" fontId="238" fillId="38" borderId="0" xfId="0" applyFont="1" applyFill="1" applyBorder="1" applyAlignment="1">
      <alignment horizontal="left" vertical="center" indent="2"/>
    </xf>
    <xf numFmtId="0" fontId="142" fillId="51" borderId="102" xfId="0" applyFont="1" applyFill="1" applyBorder="1" applyAlignment="1">
      <alignment horizontal="left" vertical="center" wrapText="1" indent="1"/>
    </xf>
    <xf numFmtId="0" fontId="4" fillId="38" borderId="102" xfId="0" applyFill="1" applyBorder="1">
      <alignment horizontal="left" vertical="center"/>
    </xf>
    <xf numFmtId="0" fontId="4" fillId="38" borderId="103" xfId="0" applyFill="1" applyBorder="1">
      <alignment horizontal="left" vertical="center"/>
    </xf>
    <xf numFmtId="0" fontId="4" fillId="38" borderId="104" xfId="0" applyFill="1" applyBorder="1">
      <alignment horizontal="left" vertical="center"/>
    </xf>
    <xf numFmtId="0" fontId="142" fillId="51" borderId="105" xfId="0" applyFont="1" applyFill="1" applyBorder="1" applyAlignment="1">
      <alignment horizontal="left" vertical="center" wrapText="1" indent="1"/>
    </xf>
    <xf numFmtId="0" fontId="44" fillId="19" borderId="0" xfId="0" applyFont="1" applyFill="1" applyBorder="1" applyAlignment="1">
      <alignment horizontal="centerContinuous" vertical="center"/>
    </xf>
    <xf numFmtId="0" fontId="44" fillId="19" borderId="0" xfId="0" applyFont="1" applyFill="1" applyBorder="1" applyAlignment="1">
      <alignment horizontal="center" vertical="center"/>
    </xf>
    <xf numFmtId="0" fontId="3" fillId="0" borderId="0" xfId="0" applyFont="1">
      <alignment horizontal="left" vertical="center"/>
    </xf>
    <xf numFmtId="0" fontId="177" fillId="3" borderId="35" xfId="15" applyFont="1" applyFill="1" applyBorder="1">
      <alignment vertical="center"/>
      <protection/>
    </xf>
    <xf numFmtId="0" fontId="177" fillId="3" borderId="0" xfId="15" applyFont="1" applyFill="1" applyBorder="1">
      <alignment vertical="center"/>
      <protection/>
    </xf>
    <xf numFmtId="0" fontId="177" fillId="12" borderId="0" xfId="15" applyFont="1" applyFill="1" applyBorder="1">
      <alignment vertical="center"/>
      <protection/>
    </xf>
    <xf numFmtId="14" fontId="177" fillId="12" borderId="0" xfId="15" applyNumberFormat="1" applyFont="1" applyFill="1" applyBorder="1">
      <alignment vertical="center"/>
      <protection/>
    </xf>
    <xf numFmtId="0" fontId="156" fillId="12" borderId="0" xfId="0" applyFont="1" applyFill="1" applyBorder="1" applyAlignment="1">
      <alignment horizontal="center"/>
    </xf>
    <xf numFmtId="0" fontId="12" fillId="19" borderId="0" xfId="0" applyFont="1" applyFill="1" applyBorder="1" applyAlignment="1">
      <alignment horizontal="centerContinuous" vertical="center"/>
    </xf>
    <xf numFmtId="0" fontId="12" fillId="19" borderId="0" xfId="0" applyFont="1" applyFill="1" applyAlignment="1">
      <alignment horizontal="center" vertical="center" shrinkToFit="1"/>
    </xf>
    <xf numFmtId="0" fontId="178" fillId="3" borderId="0" xfId="15" applyFont="1" applyFill="1" applyBorder="1">
      <alignment vertical="center"/>
      <protection/>
    </xf>
    <xf numFmtId="0" fontId="178" fillId="12" borderId="0" xfId="15" applyFont="1" applyFill="1" applyBorder="1">
      <alignment vertical="center"/>
      <protection/>
    </xf>
    <xf numFmtId="14" fontId="178" fillId="12" borderId="0" xfId="15" applyNumberFormat="1" applyFont="1" applyFill="1" applyBorder="1">
      <alignment vertical="center"/>
      <protection/>
    </xf>
    <xf numFmtId="0" fontId="130" fillId="3" borderId="35" xfId="15" applyFont="1" applyFill="1" applyBorder="1" applyAlignment="1">
      <alignment horizontal="center" vertical="center"/>
      <protection/>
    </xf>
    <xf numFmtId="0" fontId="4" fillId="12" borderId="0" xfId="14" applyFont="1" applyFill="1">
      <alignment horizontal="left" vertical="center"/>
      <protection/>
    </xf>
    <xf numFmtId="0" fontId="4" fillId="52" borderId="106" xfId="14" applyFont="1" applyFill="1" applyBorder="1" applyAlignment="1">
      <alignment horizontal="center" vertical="center"/>
      <protection/>
    </xf>
    <xf numFmtId="0" fontId="4" fillId="52" borderId="50" xfId="14" applyFont="1" applyFill="1" applyBorder="1" applyAlignment="1">
      <alignment horizontal="center" vertical="center"/>
      <protection/>
    </xf>
    <xf numFmtId="0" fontId="63" fillId="37" borderId="50" xfId="0" applyFont="1" applyFill="1" applyBorder="1" applyAlignment="1">
      <alignment horizontal="left" shrinkToFit="1"/>
    </xf>
    <xf numFmtId="0" fontId="53" fillId="3" borderId="107" xfId="14" applyFont="1" applyFill="1" applyBorder="1" applyAlignment="1">
      <alignment horizontal="center" vertical="center"/>
      <protection/>
    </xf>
    <xf numFmtId="0" fontId="53" fillId="3" borderId="21" xfId="14" applyFont="1" applyFill="1" applyBorder="1" applyAlignment="1">
      <alignment horizontal="center" vertical="center"/>
      <protection/>
    </xf>
    <xf numFmtId="0" fontId="99" fillId="3" borderId="108" xfId="14" applyFont="1" applyFill="1" applyBorder="1" applyAlignment="1">
      <alignment horizontal="center" vertical="center"/>
      <protection/>
    </xf>
    <xf numFmtId="0" fontId="99" fillId="3" borderId="109" xfId="14" applyFont="1" applyFill="1" applyBorder="1" applyAlignment="1">
      <alignment horizontal="center" vertical="center"/>
      <protection/>
    </xf>
    <xf numFmtId="0" fontId="4" fillId="3" borderId="109" xfId="0" applyFill="1" applyBorder="1">
      <alignment horizontal="left" vertical="center"/>
    </xf>
    <xf numFmtId="0" fontId="4" fillId="3" borderId="109" xfId="0" applyFont="1" applyFill="1" applyBorder="1">
      <alignment horizontal="left" vertical="center"/>
    </xf>
    <xf numFmtId="0" fontId="64" fillId="12" borderId="110" xfId="0" applyFont="1" applyFill="1" applyBorder="1">
      <alignment horizontal="left" vertical="center"/>
    </xf>
    <xf numFmtId="201" fontId="63" fillId="3" borderId="111" xfId="49" applyFont="1" applyFill="1" applyBorder="1" applyAlignment="1" applyProtection="1">
      <alignment horizontal="left" shrinkToFit="1"/>
      <protection/>
    </xf>
    <xf numFmtId="201" fontId="63" fillId="3" borderId="112" xfId="49" applyFont="1" applyFill="1" applyBorder="1" applyAlignment="1" applyProtection="1">
      <alignment horizontal="left" shrinkToFit="1"/>
      <protection/>
    </xf>
    <xf numFmtId="0" fontId="4" fillId="53" borderId="16" xfId="0" applyFill="1" applyBorder="1" applyProtection="1">
      <alignment horizontal="left" vertical="center"/>
      <protection hidden="1"/>
    </xf>
    <xf numFmtId="0" fontId="4" fillId="53" borderId="16" xfId="0" applyFont="1" applyFill="1" applyBorder="1" applyProtection="1">
      <alignment horizontal="left" vertical="center"/>
      <protection hidden="1"/>
    </xf>
    <xf numFmtId="0" fontId="46" fillId="2" borderId="21" xfId="46" applyFont="1" applyFill="1" applyBorder="1" applyAlignment="1" applyProtection="1">
      <alignment horizontal="center" vertical="center" shrinkToFit="1"/>
      <protection hidden="1"/>
    </xf>
    <xf numFmtId="207" fontId="53" fillId="3" borderId="113" xfId="52" applyFont="1" applyBorder="1" applyAlignment="1">
      <alignment horizontal="right" vertical="top" readingOrder="1"/>
      <protection/>
    </xf>
    <xf numFmtId="206" fontId="53" fillId="3" borderId="114" xfId="43" applyFont="1" applyBorder="1" applyAlignment="1" applyProtection="1">
      <alignment horizontal="right" vertical="top" readingOrder="1"/>
      <protection/>
    </xf>
    <xf numFmtId="206" fontId="53" fillId="12" borderId="113" xfId="43" applyFont="1" applyFill="1" applyBorder="1" applyAlignment="1" applyProtection="1">
      <alignment horizontal="right" vertical="top" readingOrder="1"/>
      <protection/>
    </xf>
    <xf numFmtId="206" fontId="61" fillId="4" borderId="0" xfId="43" applyFont="1" applyFill="1" applyBorder="1" applyAlignment="1" applyProtection="1">
      <alignment horizontal="right" vertical="top" readingOrder="1"/>
      <protection/>
    </xf>
    <xf numFmtId="206" fontId="16" fillId="3" borderId="0" xfId="43" applyFont="1" applyFill="1" applyBorder="1" applyAlignment="1" applyProtection="1">
      <alignment horizontal="right" vertical="top"/>
      <protection/>
    </xf>
    <xf numFmtId="202" fontId="164" fillId="3" borderId="0" xfId="0" applyNumberFormat="1" applyFont="1" applyFill="1" applyBorder="1" applyAlignment="1">
      <alignment horizontal="center" vertical="top"/>
    </xf>
    <xf numFmtId="207" fontId="61" fillId="4" borderId="0" xfId="52" applyFont="1" applyFill="1" applyBorder="1" applyAlignment="1">
      <alignment horizontal="center" vertical="top" readingOrder="1"/>
      <protection/>
    </xf>
    <xf numFmtId="207" fontId="46" fillId="4" borderId="0" xfId="52" applyFont="1" applyFill="1" applyBorder="1" applyAlignment="1">
      <alignment horizontal="center" vertical="top" readingOrder="1"/>
      <protection/>
    </xf>
    <xf numFmtId="206" fontId="61" fillId="3" borderId="0" xfId="43" applyFont="1" applyFill="1" applyBorder="1" applyAlignment="1" applyProtection="1">
      <alignment vertical="top"/>
      <protection/>
    </xf>
    <xf numFmtId="0" fontId="54" fillId="3" borderId="0" xfId="0" applyFont="1" applyFill="1" applyBorder="1" applyAlignment="1">
      <alignment horizontal="center" wrapText="1"/>
    </xf>
    <xf numFmtId="0" fontId="4" fillId="4" borderId="0" xfId="0" applyFont="1" applyFill="1" applyBorder="1" applyAlignment="1">
      <alignment horizontal="center" wrapText="1"/>
    </xf>
    <xf numFmtId="207" fontId="27" fillId="4" borderId="0" xfId="52" applyFont="1" applyFill="1" applyBorder="1" applyAlignment="1">
      <alignment horizontal="center" vertical="top" readingOrder="1"/>
      <protection/>
    </xf>
    <xf numFmtId="206" fontId="61" fillId="3" borderId="0" xfId="43" applyFont="1" applyFill="1" applyBorder="1" applyAlignment="1">
      <alignment horizontal="center" vertical="center" readingOrder="1"/>
    </xf>
    <xf numFmtId="0" fontId="125" fillId="4" borderId="23" xfId="0" applyFont="1" applyFill="1" applyBorder="1" applyAlignment="1">
      <alignment horizontal="center"/>
    </xf>
    <xf numFmtId="0" fontId="16" fillId="4" borderId="25" xfId="0" applyFont="1" applyFill="1" applyBorder="1" applyAlignment="1">
      <alignment horizontal="right"/>
    </xf>
    <xf numFmtId="0" fontId="4" fillId="4" borderId="29" xfId="0" applyFont="1" applyFill="1" applyBorder="1">
      <alignment horizontal="left" vertical="center"/>
    </xf>
    <xf numFmtId="0" fontId="16" fillId="4" borderId="0" xfId="0" applyFont="1" applyFill="1" applyBorder="1" applyAlignment="1">
      <alignment horizontal="right"/>
    </xf>
    <xf numFmtId="17" fontId="61" fillId="4" borderId="0" xfId="24" applyFont="1" applyFill="1" applyBorder="1">
      <alignment horizontal="center" vertical="center"/>
    </xf>
    <xf numFmtId="17" fontId="102" fillId="4" borderId="0" xfId="24" applyFont="1" applyFill="1" applyBorder="1">
      <alignment horizontal="center" vertical="center"/>
    </xf>
    <xf numFmtId="0" fontId="4" fillId="4" borderId="27" xfId="0" applyFont="1" applyFill="1" applyBorder="1">
      <alignment horizontal="left" vertical="center"/>
    </xf>
    <xf numFmtId="0" fontId="4" fillId="4" borderId="28" xfId="0" applyFont="1" applyFill="1" applyBorder="1">
      <alignment horizontal="left" vertical="center"/>
    </xf>
    <xf numFmtId="0" fontId="16" fillId="4" borderId="23" xfId="0" applyFont="1" applyFill="1" applyBorder="1" applyAlignment="1">
      <alignment horizontal="right"/>
    </xf>
    <xf numFmtId="199" fontId="61" fillId="3" borderId="0" xfId="48" applyNumberFormat="1" applyFont="1" applyFill="1" applyBorder="1" applyAlignment="1">
      <alignment horizontal="right"/>
      <protection/>
    </xf>
    <xf numFmtId="199" fontId="61" fillId="3" borderId="0" xfId="48" applyNumberFormat="1" applyFont="1" applyFill="1" applyBorder="1" applyAlignment="1">
      <alignment/>
      <protection/>
    </xf>
    <xf numFmtId="206" fontId="61" fillId="3" borderId="0" xfId="43" applyFont="1" applyFill="1" applyBorder="1" applyAlignment="1">
      <alignment vertical="center" readingOrder="1"/>
    </xf>
    <xf numFmtId="208" fontId="61" fillId="3" borderId="0" xfId="6" applyFont="1" applyFill="1" applyBorder="1" applyAlignment="1" applyProtection="1">
      <alignment horizontal="right" vertical="center"/>
      <protection/>
    </xf>
    <xf numFmtId="206" fontId="53" fillId="3" borderId="16" xfId="43" applyFont="1" applyFill="1" applyBorder="1" applyAlignment="1" applyProtection="1">
      <alignment horizontal="right"/>
      <protection/>
    </xf>
    <xf numFmtId="0" fontId="61" fillId="3" borderId="0" xfId="0" applyFont="1" applyFill="1" applyBorder="1" applyAlignment="1">
      <alignment horizontal="center"/>
    </xf>
    <xf numFmtId="0" fontId="16" fillId="3" borderId="16" xfId="0" applyFont="1" applyFill="1" applyBorder="1" applyAlignment="1">
      <alignment horizontal="right"/>
    </xf>
    <xf numFmtId="0" fontId="16" fillId="3" borderId="37" xfId="0" applyFont="1" applyFill="1" applyBorder="1" applyAlignment="1">
      <alignment horizontal="right"/>
    </xf>
    <xf numFmtId="0" fontId="180" fillId="36" borderId="23" xfId="0" applyFont="1" applyFill="1" applyBorder="1" applyAlignment="1">
      <alignment horizontal="left"/>
    </xf>
    <xf numFmtId="206" fontId="53" fillId="3" borderId="37" xfId="43" applyFont="1" applyFill="1" applyBorder="1" applyAlignment="1" applyProtection="1">
      <alignment horizontal="right"/>
      <protection/>
    </xf>
    <xf numFmtId="0" fontId="0" fillId="2" borderId="38" xfId="22" applyBorder="1" applyAlignment="1">
      <alignment horizontal="center" vertical="center"/>
      <protection locked="0"/>
    </xf>
    <xf numFmtId="0" fontId="125" fillId="3" borderId="22" xfId="0" applyFont="1" applyFill="1" applyBorder="1" applyAlignment="1">
      <alignment horizontal="left"/>
    </xf>
    <xf numFmtId="0" fontId="16" fillId="3" borderId="22" xfId="0" applyFont="1" applyFill="1" applyBorder="1" applyAlignment="1">
      <alignment horizontal="right"/>
    </xf>
    <xf numFmtId="0" fontId="61" fillId="3" borderId="22" xfId="0" applyFont="1" applyFill="1" applyBorder="1" applyAlignment="1">
      <alignment/>
    </xf>
    <xf numFmtId="0" fontId="53" fillId="3" borderId="22" xfId="0" applyFont="1" applyFill="1" applyBorder="1" applyAlignment="1">
      <alignment/>
    </xf>
    <xf numFmtId="0" fontId="53" fillId="3" borderId="26" xfId="0" applyFont="1" applyFill="1" applyBorder="1" applyAlignment="1">
      <alignment/>
    </xf>
    <xf numFmtId="0" fontId="179" fillId="3" borderId="22" xfId="0" applyFont="1" applyFill="1" applyBorder="1" applyAlignment="1">
      <alignment/>
    </xf>
    <xf numFmtId="199" fontId="61" fillId="3" borderId="16" xfId="48" applyNumberFormat="1" applyFont="1" applyFill="1" applyBorder="1" applyAlignment="1">
      <alignment horizontal="right"/>
      <protection/>
    </xf>
    <xf numFmtId="206" fontId="61" fillId="3" borderId="16" xfId="43" applyFont="1" applyFill="1" applyBorder="1" applyAlignment="1">
      <alignment horizontal="right" vertical="center" readingOrder="1"/>
    </xf>
    <xf numFmtId="208" fontId="61" fillId="3" borderId="16" xfId="6" applyFont="1" applyFill="1" applyBorder="1" applyAlignment="1" applyProtection="1">
      <alignment horizontal="right" vertical="center"/>
      <protection/>
    </xf>
    <xf numFmtId="0" fontId="61" fillId="3" borderId="0" xfId="0" applyNumberFormat="1" applyFont="1" applyFill="1" applyBorder="1" applyAlignment="1">
      <alignment horizontal="center" vertical="top"/>
    </xf>
    <xf numFmtId="0" fontId="125" fillId="4" borderId="0" xfId="0" applyFont="1" applyFill="1" applyBorder="1" applyAlignment="1">
      <alignment horizontal="center"/>
    </xf>
    <xf numFmtId="0" fontId="120" fillId="4" borderId="23" xfId="0" applyFont="1" applyFill="1" applyBorder="1" applyAlignment="1">
      <alignment horizontal="right"/>
    </xf>
    <xf numFmtId="0" fontId="125" fillId="4" borderId="0" xfId="0" applyFont="1" applyFill="1" applyBorder="1">
      <alignment horizontal="left" vertical="center"/>
    </xf>
    <xf numFmtId="0" fontId="180" fillId="36" borderId="0" xfId="0" applyFont="1" applyFill="1" applyBorder="1" applyAlignment="1">
      <alignment horizontal="left"/>
    </xf>
    <xf numFmtId="0" fontId="29" fillId="3" borderId="0" xfId="46" applyFont="1" applyFill="1" applyBorder="1" applyAlignment="1" applyProtection="1">
      <alignment horizontal="left" vertical="center" indent="1"/>
      <protection hidden="1"/>
    </xf>
    <xf numFmtId="0" fontId="4" fillId="3" borderId="0" xfId="46" applyFont="1" applyFill="1" applyBorder="1" applyAlignment="1" applyProtection="1">
      <alignment horizontal="left" vertical="center" indent="1"/>
      <protection hidden="1"/>
    </xf>
    <xf numFmtId="166" fontId="16" fillId="3" borderId="0" xfId="46" applyNumberFormat="1" applyFont="1" applyFill="1" applyBorder="1" applyAlignment="1" applyProtection="1">
      <alignment horizontal="center" wrapText="1"/>
      <protection hidden="1"/>
    </xf>
    <xf numFmtId="166" fontId="8" fillId="3" borderId="0" xfId="46" applyNumberFormat="1" applyFont="1" applyFill="1" applyBorder="1" applyAlignment="1" applyProtection="1">
      <alignment horizontal="right"/>
      <protection hidden="1"/>
    </xf>
    <xf numFmtId="14" fontId="35" fillId="3" borderId="0" xfId="46" applyNumberFormat="1" applyFont="1" applyFill="1" applyBorder="1" applyAlignment="1" applyProtection="1">
      <alignment horizontal="center"/>
      <protection hidden="1"/>
    </xf>
    <xf numFmtId="14" fontId="29" fillId="12" borderId="27" xfId="0" applyNumberFormat="1" applyFont="1" applyFill="1" applyBorder="1" applyAlignment="1" applyProtection="1">
      <alignment horizontal="right"/>
      <protection hidden="1"/>
    </xf>
    <xf numFmtId="17" fontId="98" fillId="27" borderId="37" xfId="24" applyFont="1" applyFill="1" applyBorder="1">
      <alignment horizontal="center" vertical="center"/>
    </xf>
    <xf numFmtId="0" fontId="60" fillId="24" borderId="38" xfId="0" applyFont="1" applyFill="1" applyBorder="1" applyAlignment="1">
      <alignment horizontal="center" vertical="center"/>
    </xf>
    <xf numFmtId="17" fontId="98" fillId="2" borderId="0" xfId="24" applyFont="1" applyFill="1" applyBorder="1">
      <alignment horizontal="center" vertical="center"/>
    </xf>
    <xf numFmtId="0" fontId="14" fillId="19" borderId="0" xfId="0" applyFont="1" applyFill="1" applyAlignment="1">
      <alignment horizontal="center" vertical="center" wrapText="1"/>
    </xf>
    <xf numFmtId="206" fontId="4" fillId="3" borderId="16" xfId="43" applyFont="1" applyFill="1" applyBorder="1" applyAlignment="1" applyProtection="1">
      <alignment horizontal="right"/>
      <protection/>
    </xf>
    <xf numFmtId="206" fontId="4" fillId="3" borderId="46" xfId="43" applyFont="1" applyFill="1" applyBorder="1" applyAlignment="1" applyProtection="1">
      <alignment horizontal="right"/>
      <protection/>
    </xf>
    <xf numFmtId="186" fontId="22" fillId="29" borderId="0" xfId="51" applyNumberFormat="1" applyFont="1" applyFill="1" applyBorder="1" applyAlignment="1">
      <alignment horizontal="right" vertical="center"/>
      <protection/>
    </xf>
    <xf numFmtId="176" fontId="181" fillId="35" borderId="22" xfId="0" applyNumberFormat="1" applyFont="1" applyFill="1" applyBorder="1" applyAlignment="1">
      <alignment horizontal="center" vertical="center"/>
    </xf>
    <xf numFmtId="176" fontId="181" fillId="35" borderId="27" xfId="0" applyNumberFormat="1" applyFont="1" applyFill="1" applyBorder="1" applyAlignment="1">
      <alignment horizontal="center" vertical="center"/>
    </xf>
    <xf numFmtId="204" fontId="53" fillId="14" borderId="26" xfId="59" applyNumberFormat="1" applyFont="1" applyBorder="1" applyAlignment="1">
      <alignment horizontal="center" vertical="center"/>
      <protection/>
    </xf>
    <xf numFmtId="204" fontId="53" fillId="14" borderId="28" xfId="59" applyNumberFormat="1" applyFont="1" applyBorder="1" applyAlignment="1">
      <alignment horizontal="center" vertical="center"/>
      <protection/>
    </xf>
    <xf numFmtId="0" fontId="112" fillId="3" borderId="0" xfId="14" applyFont="1" applyFill="1" applyAlignment="1">
      <alignment horizontal="right" vertical="center"/>
      <protection/>
    </xf>
    <xf numFmtId="206" fontId="15" fillId="3" borderId="0" xfId="43" applyFont="1" applyFill="1" applyBorder="1" applyAlignment="1" applyProtection="1">
      <alignment horizontal="right"/>
      <protection/>
    </xf>
    <xf numFmtId="187" fontId="97" fillId="3" borderId="0" xfId="14" applyNumberFormat="1" applyFont="1" applyFill="1" applyAlignment="1">
      <alignment horizontal="right" vertical="center"/>
      <protection/>
    </xf>
    <xf numFmtId="0" fontId="69" fillId="3" borderId="0" xfId="14" applyFill="1" applyAlignment="1">
      <alignment horizontal="right" vertical="center"/>
      <protection/>
    </xf>
    <xf numFmtId="0" fontId="9" fillId="3" borderId="0" xfId="14" applyFont="1" applyFill="1" applyAlignment="1">
      <alignment horizontal="right" vertical="center"/>
      <protection/>
    </xf>
    <xf numFmtId="0" fontId="9" fillId="3" borderId="0" xfId="0" applyFont="1" applyFill="1" applyBorder="1" applyAlignment="1">
      <alignment horizontal="right" vertical="center" indent="1"/>
    </xf>
    <xf numFmtId="0" fontId="14" fillId="39" borderId="0" xfId="0" applyFont="1" applyFill="1">
      <alignment horizontal="left" vertical="center"/>
    </xf>
    <xf numFmtId="0" fontId="238" fillId="54" borderId="115" xfId="0" applyFont="1" applyFill="1" applyBorder="1">
      <alignment horizontal="left" vertical="center"/>
    </xf>
    <xf numFmtId="0" fontId="4" fillId="0" borderId="0" xfId="0" applyAlignment="1">
      <alignment horizontal="right" vertical="center" indent="1"/>
    </xf>
    <xf numFmtId="1" fontId="165" fillId="12" borderId="0" xfId="0" applyNumberFormat="1" applyFont="1" applyFill="1" applyBorder="1" applyAlignment="1">
      <alignment horizontal="center" vertical="center"/>
    </xf>
    <xf numFmtId="1" fontId="165" fillId="12" borderId="27" xfId="0" applyNumberFormat="1" applyFont="1" applyFill="1" applyBorder="1" applyAlignment="1">
      <alignment horizontal="center" vertical="center"/>
    </xf>
    <xf numFmtId="0" fontId="102" fillId="3" borderId="0" xfId="0" applyFont="1" applyFill="1" applyBorder="1">
      <alignment horizontal="left" vertical="center"/>
    </xf>
    <xf numFmtId="187" fontId="97" fillId="3" borderId="22" xfId="14" applyNumberFormat="1" applyFont="1" applyFill="1" applyBorder="1" applyAlignment="1">
      <alignment horizontal="right" vertical="center"/>
      <protection/>
    </xf>
    <xf numFmtId="187" fontId="97" fillId="3" borderId="27" xfId="14" applyNumberFormat="1" applyFont="1" applyFill="1" applyBorder="1" applyAlignment="1">
      <alignment horizontal="right" vertical="center"/>
      <protection/>
    </xf>
    <xf numFmtId="164" fontId="46" fillId="3" borderId="16" xfId="0" applyNumberFormat="1" applyFont="1" applyFill="1" applyBorder="1" applyAlignment="1">
      <alignment horizontal="center" vertical="center"/>
    </xf>
    <xf numFmtId="14" fontId="4" fillId="2" borderId="16" xfId="0" applyNumberFormat="1" applyFill="1" applyBorder="1" applyAlignment="1">
      <alignment horizontal="center" vertical="center"/>
    </xf>
    <xf numFmtId="0" fontId="4" fillId="3" borderId="22" xfId="0" applyFill="1" applyBorder="1" applyAlignment="1">
      <alignment horizontal="right" vertical="center"/>
    </xf>
    <xf numFmtId="186" fontId="14" fillId="55" borderId="17" xfId="54" applyNumberFormat="1" applyFont="1" applyFill="1" applyBorder="1" applyAlignment="1">
      <alignment horizontal="right"/>
      <protection/>
    </xf>
    <xf numFmtId="186" fontId="34" fillId="20" borderId="17" xfId="54" applyNumberFormat="1" applyFont="1" applyFill="1" applyBorder="1" applyAlignment="1">
      <alignment horizontal="right"/>
      <protection/>
    </xf>
    <xf numFmtId="186" fontId="34" fillId="20" borderId="70" xfId="54" applyNumberFormat="1" applyFont="1" applyFill="1" applyBorder="1" applyAlignment="1">
      <alignment horizontal="right"/>
      <protection/>
    </xf>
    <xf numFmtId="0" fontId="34" fillId="3" borderId="27" xfId="0" applyFont="1" applyFill="1" applyBorder="1" applyAlignment="1">
      <alignment horizontal="right" vertical="center"/>
    </xf>
    <xf numFmtId="0" fontId="34" fillId="3" borderId="0" xfId="0" applyFont="1" applyFill="1" applyBorder="1" applyAlignment="1">
      <alignment horizontal="right" vertical="center"/>
    </xf>
    <xf numFmtId="173" fontId="36" fillId="3" borderId="0" xfId="0" applyNumberFormat="1" applyFont="1" applyFill="1" applyBorder="1" applyAlignment="1">
      <alignment horizontal="right"/>
    </xf>
    <xf numFmtId="0" fontId="63" fillId="3" borderId="0" xfId="0" applyFont="1" applyFill="1" applyBorder="1" applyAlignment="1">
      <alignment horizontal="right" shrinkToFit="1"/>
    </xf>
    <xf numFmtId="0" fontId="23" fillId="3" borderId="0" xfId="0" applyFont="1" applyFill="1" applyBorder="1" applyAlignment="1">
      <alignment horizontal="right" vertical="center"/>
    </xf>
    <xf numFmtId="0" fontId="46" fillId="3" borderId="22" xfId="0" applyFont="1" applyFill="1" applyBorder="1" applyAlignment="1">
      <alignment horizontal="right"/>
    </xf>
    <xf numFmtId="17" fontId="15" fillId="26" borderId="22" xfId="24" applyFont="1" applyFill="1" applyBorder="1" applyAlignment="1">
      <alignment horizontal="right" vertical="center"/>
    </xf>
    <xf numFmtId="17" fontId="15" fillId="26" borderId="27" xfId="24" applyFont="1" applyFill="1" applyBorder="1" applyAlignment="1">
      <alignment horizontal="right" vertical="center"/>
    </xf>
    <xf numFmtId="17" fontId="4" fillId="3" borderId="0" xfId="24" applyFont="1" applyFill="1" applyBorder="1" applyAlignment="1">
      <alignment horizontal="right" vertical="center"/>
    </xf>
    <xf numFmtId="17" fontId="12" fillId="24" borderId="22" xfId="24" applyFont="1" applyFill="1" applyBorder="1" applyAlignment="1">
      <alignment horizontal="right" vertical="center"/>
    </xf>
    <xf numFmtId="17" fontId="12" fillId="24" borderId="27" xfId="24" applyFont="1" applyFill="1" applyBorder="1" applyAlignment="1">
      <alignment horizontal="right" vertical="center"/>
    </xf>
    <xf numFmtId="17" fontId="12" fillId="3" borderId="0" xfId="24" applyFont="1" applyFill="1" applyBorder="1" applyAlignment="1">
      <alignment horizontal="right" vertical="center"/>
    </xf>
    <xf numFmtId="17" fontId="12" fillId="27" borderId="22" xfId="24" applyFont="1" applyFill="1" applyBorder="1" applyAlignment="1">
      <alignment horizontal="right" vertical="center"/>
    </xf>
    <xf numFmtId="17" fontId="12" fillId="27" borderId="27" xfId="24" applyFont="1" applyFill="1" applyBorder="1" applyAlignment="1">
      <alignment horizontal="right" vertical="center"/>
    </xf>
    <xf numFmtId="0" fontId="99" fillId="12" borderId="23" xfId="0" applyFont="1" applyFill="1" applyBorder="1" applyAlignment="1">
      <alignment horizontal="center" vertical="center"/>
    </xf>
    <xf numFmtId="197" fontId="46" fillId="14" borderId="20" xfId="59" applyNumberFormat="1" applyBorder="1" applyAlignment="1">
      <alignment horizontal="center" vertical="center"/>
      <protection/>
    </xf>
    <xf numFmtId="0" fontId="145" fillId="2" borderId="25" xfId="0" applyFont="1" applyFill="1" applyBorder="1" applyAlignment="1">
      <alignment horizontal="center" vertical="center"/>
    </xf>
    <xf numFmtId="0" fontId="238" fillId="2" borderId="0" xfId="0" applyFont="1" applyFill="1" applyBorder="1" applyAlignment="1">
      <alignment horizontal="center" vertical="center"/>
    </xf>
    <xf numFmtId="0" fontId="15" fillId="2" borderId="0" xfId="13" applyFont="1" applyFill="1" applyAlignment="1">
      <alignment horizontal="center" vertical="center" shrinkToFit="1"/>
      <protection/>
    </xf>
    <xf numFmtId="0" fontId="46" fillId="3" borderId="25" xfId="0" applyFont="1" applyFill="1" applyBorder="1" applyAlignment="1">
      <alignment horizontal="center" vertical="center"/>
    </xf>
    <xf numFmtId="0" fontId="46" fillId="3" borderId="0" xfId="14" applyFont="1" applyFill="1" applyAlignment="1">
      <alignment horizontal="center" vertical="center"/>
      <protection/>
    </xf>
    <xf numFmtId="0" fontId="99" fillId="12" borderId="0" xfId="0" applyFont="1" applyFill="1" applyBorder="1" applyAlignment="1">
      <alignment horizontal="center" vertical="center"/>
    </xf>
    <xf numFmtId="0" fontId="46" fillId="3" borderId="20" xfId="59" applyFill="1" applyBorder="1" applyAlignment="1">
      <alignment horizontal="center" vertical="center"/>
      <protection/>
    </xf>
    <xf numFmtId="1" fontId="4" fillId="12" borderId="24" xfId="0" applyNumberFormat="1" applyFill="1" applyBorder="1" applyAlignment="1">
      <alignment horizontal="center" vertical="center"/>
    </xf>
    <xf numFmtId="204" fontId="173" fillId="12" borderId="26" xfId="0" applyNumberFormat="1" applyFont="1" applyFill="1" applyBorder="1" applyAlignment="1">
      <alignment horizontal="center" vertical="center"/>
    </xf>
    <xf numFmtId="204" fontId="173" fillId="12" borderId="28" xfId="0" applyNumberFormat="1" applyFont="1" applyFill="1" applyBorder="1" applyAlignment="1">
      <alignment horizontal="center" vertical="center"/>
    </xf>
    <xf numFmtId="206" fontId="4" fillId="3" borderId="70" xfId="43" applyFont="1" applyFill="1" applyBorder="1" applyAlignment="1" applyProtection="1">
      <alignment horizontal="right" vertical="center"/>
      <protection hidden="1"/>
    </xf>
    <xf numFmtId="173" fontId="34" fillId="20" borderId="116" xfId="0" applyNumberFormat="1" applyFont="1" applyFill="1" applyBorder="1" applyAlignment="1">
      <alignment horizontal="right"/>
    </xf>
    <xf numFmtId="173" fontId="34" fillId="20" borderId="70" xfId="0" applyNumberFormat="1" applyFont="1" applyFill="1" applyBorder="1" applyAlignment="1">
      <alignment horizontal="right"/>
    </xf>
    <xf numFmtId="206" fontId="4" fillId="3" borderId="72" xfId="43" applyFont="1" applyFill="1" applyBorder="1" applyAlignment="1" applyProtection="1">
      <alignment horizontal="right" vertical="center"/>
      <protection hidden="1"/>
    </xf>
    <xf numFmtId="0" fontId="75" fillId="3" borderId="22" xfId="0" applyFont="1" applyFill="1" applyBorder="1" applyAlignment="1">
      <alignment horizontal="center" vertical="center"/>
    </xf>
    <xf numFmtId="175" fontId="4" fillId="3" borderId="0" xfId="11" applyFont="1" applyFill="1" applyBorder="1" applyAlignment="1" applyProtection="1">
      <alignment vertical="center" wrapText="1"/>
      <protection hidden="1"/>
    </xf>
    <xf numFmtId="0" fontId="34" fillId="0" borderId="17" xfId="0" applyFont="1" applyFill="1" applyBorder="1" applyAlignment="1">
      <alignment horizontal="left" vertical="center" wrapText="1" readingOrder="1"/>
    </xf>
    <xf numFmtId="175" fontId="4" fillId="3" borderId="117" xfId="11" applyFont="1" applyFill="1" applyBorder="1" applyAlignment="1" applyProtection="1">
      <alignment vertical="center" wrapText="1"/>
      <protection hidden="1"/>
    </xf>
    <xf numFmtId="0" fontId="4" fillId="2" borderId="24" xfId="0" applyFont="1" applyFill="1" applyBorder="1" applyProtection="1">
      <alignment horizontal="left" vertical="center"/>
      <protection hidden="1"/>
    </xf>
    <xf numFmtId="0" fontId="129" fillId="2" borderId="0" xfId="13" applyFont="1" applyFill="1" applyProtection="1">
      <alignment horizontal="left" vertical="center" indent="1"/>
      <protection hidden="1"/>
    </xf>
    <xf numFmtId="0" fontId="70" fillId="2" borderId="0" xfId="13" applyFill="1" applyProtection="1">
      <alignment horizontal="left" vertical="center" indent="1"/>
      <protection hidden="1"/>
    </xf>
    <xf numFmtId="180" fontId="47" fillId="8" borderId="47" xfId="0" applyNumberFormat="1" applyFont="1" applyFill="1" applyBorder="1" applyAlignment="1" applyProtection="1">
      <alignment horizontal="center" vertical="center" wrapText="1"/>
      <protection hidden="1"/>
    </xf>
    <xf numFmtId="209" fontId="4" fillId="12" borderId="25" xfId="63" applyFont="1" applyFill="1" applyBorder="1" applyAlignment="1" applyProtection="1">
      <alignment horizontal="center" vertical="center"/>
      <protection hidden="1"/>
    </xf>
    <xf numFmtId="209" fontId="104" fillId="12" borderId="0" xfId="63" applyFont="1" applyFill="1" applyBorder="1" applyAlignment="1" applyProtection="1">
      <alignment horizontal="center" vertical="center" wrapText="1"/>
      <protection hidden="1"/>
    </xf>
    <xf numFmtId="209" fontId="144" fillId="31" borderId="0" xfId="63" applyFont="1" applyFill="1" applyBorder="1" applyAlignment="1" applyProtection="1">
      <alignment horizontal="center" vertical="center" wrapText="1" shrinkToFit="1"/>
      <protection/>
    </xf>
    <xf numFmtId="209" fontId="46" fillId="12" borderId="23" xfId="63" applyFont="1" applyFill="1" applyBorder="1" applyAlignment="1" applyProtection="1">
      <alignment horizontal="center" vertical="center" wrapText="1"/>
      <protection hidden="1"/>
    </xf>
    <xf numFmtId="209" fontId="16" fillId="12" borderId="0" xfId="63" applyFont="1" applyFill="1" applyBorder="1" applyAlignment="1" applyProtection="1">
      <alignment horizontal="center" vertical="center"/>
      <protection hidden="1"/>
    </xf>
    <xf numFmtId="209" fontId="5" fillId="8" borderId="25" xfId="63" applyFont="1" applyFill="1" applyBorder="1" applyAlignment="1" applyProtection="1">
      <alignment horizontal="center" vertical="center"/>
      <protection hidden="1"/>
    </xf>
    <xf numFmtId="209" fontId="47" fillId="8" borderId="47" xfId="63" applyFont="1" applyFill="1" applyBorder="1" applyAlignment="1" applyProtection="1">
      <alignment horizontal="center" vertical="center" wrapText="1"/>
      <protection hidden="1"/>
    </xf>
    <xf numFmtId="209" fontId="238" fillId="8" borderId="23" xfId="63" applyFont="1" applyFill="1" applyBorder="1" applyAlignment="1" applyProtection="1">
      <alignment horizontal="center" vertical="center"/>
      <protection hidden="1"/>
    </xf>
    <xf numFmtId="209" fontId="5" fillId="8" borderId="0" xfId="63" applyFont="1" applyFill="1" applyBorder="1" applyAlignment="1" applyProtection="1">
      <alignment horizontal="center" vertical="center"/>
      <protection hidden="1"/>
    </xf>
    <xf numFmtId="209" fontId="118" fillId="8" borderId="25" xfId="63" applyFont="1" applyFill="1" applyBorder="1" applyAlignment="1" applyProtection="1">
      <alignment horizontal="center" vertical="center" wrapText="1"/>
      <protection hidden="1"/>
    </xf>
    <xf numFmtId="209" fontId="5" fillId="4" borderId="0" xfId="63" applyFont="1" applyFill="1" applyBorder="1" applyAlignment="1" applyProtection="1">
      <alignment horizontal="center" vertical="center"/>
      <protection hidden="1"/>
    </xf>
    <xf numFmtId="209" fontId="46" fillId="12" borderId="48" xfId="63" applyFont="1" applyFill="1" applyBorder="1" applyAlignment="1" applyProtection="1">
      <alignment horizontal="center" vertical="center" wrapText="1"/>
      <protection hidden="1"/>
    </xf>
    <xf numFmtId="209" fontId="4" fillId="35" borderId="58" xfId="63" applyFont="1" applyFill="1" applyBorder="1" applyAlignment="1" applyProtection="1">
      <alignment horizontal="center" vertical="center"/>
      <protection hidden="1"/>
    </xf>
    <xf numFmtId="209" fontId="133" fillId="4" borderId="0" xfId="63" applyFont="1" applyFill="1" applyBorder="1" applyAlignment="1" applyProtection="1">
      <alignment horizontal="center" vertical="center" wrapText="1"/>
      <protection hidden="1"/>
    </xf>
    <xf numFmtId="209" fontId="29" fillId="4" borderId="58" xfId="63" applyFont="1" applyFill="1" applyBorder="1" applyAlignment="1" applyProtection="1">
      <alignment horizontal="center" vertical="center"/>
      <protection hidden="1"/>
    </xf>
    <xf numFmtId="0" fontId="4" fillId="2" borderId="27" xfId="0" applyFont="1" applyFill="1" applyBorder="1" applyProtection="1">
      <alignment horizontal="left" vertical="center"/>
      <protection hidden="1"/>
    </xf>
    <xf numFmtId="0" fontId="4" fillId="2" borderId="28" xfId="0" applyFont="1" applyFill="1" applyBorder="1" applyProtection="1">
      <alignment horizontal="left" vertical="center"/>
      <protection hidden="1"/>
    </xf>
    <xf numFmtId="43" fontId="4" fillId="19" borderId="0" xfId="4" applyFont="1" applyFill="1" applyBorder="1" applyAlignment="1">
      <alignment horizontal="left" vertical="center" indent="1"/>
    </xf>
    <xf numFmtId="43" fontId="4" fillId="19" borderId="0" xfId="4" applyFont="1" applyFill="1" applyBorder="1" applyAlignment="1">
      <alignment horizontal="center" vertical="center"/>
    </xf>
    <xf numFmtId="43" fontId="55" fillId="19" borderId="0" xfId="4" applyFont="1" applyFill="1" applyBorder="1" applyAlignment="1">
      <alignment horizontal="left" vertical="center" indent="1"/>
    </xf>
    <xf numFmtId="43" fontId="14" fillId="19" borderId="23" xfId="4" applyFont="1" applyFill="1" applyBorder="1" applyAlignment="1">
      <alignment horizontal="left" vertical="center" indent="1"/>
    </xf>
    <xf numFmtId="43" fontId="45" fillId="19" borderId="23" xfId="4" applyFont="1" applyFill="1" applyBorder="1" applyAlignment="1">
      <alignment vertical="center" shrinkToFit="1"/>
    </xf>
    <xf numFmtId="0" fontId="14" fillId="56" borderId="0" xfId="0" applyFont="1" applyFill="1">
      <alignment horizontal="left" vertical="center"/>
    </xf>
    <xf numFmtId="0" fontId="14" fillId="56" borderId="0" xfId="0" applyFont="1" applyFill="1" applyBorder="1">
      <alignment horizontal="left" vertical="center"/>
    </xf>
    <xf numFmtId="0" fontId="109" fillId="19" borderId="0" xfId="0" applyFont="1" applyFill="1" applyBorder="1" applyAlignment="1">
      <alignment horizontal="center" vertical="center" shrinkToFit="1"/>
    </xf>
    <xf numFmtId="0" fontId="12" fillId="19" borderId="0" xfId="0" applyFont="1" applyFill="1" applyBorder="1" applyAlignment="1">
      <alignment horizontal="right" vertical="center"/>
    </xf>
    <xf numFmtId="206" fontId="4" fillId="2" borderId="42" xfId="43" applyFont="1" applyFill="1" applyBorder="1" applyAlignment="1" applyProtection="1">
      <alignment horizontal="right" vertical="center"/>
      <protection hidden="1" locked="0"/>
    </xf>
    <xf numFmtId="0" fontId="0" fillId="2" borderId="1" xfId="55" applyFont="1" applyBorder="1" applyAlignment="1">
      <alignment horizontal="left" vertical="center"/>
      <protection locked="0"/>
    </xf>
    <xf numFmtId="175" fontId="4" fillId="2" borderId="1" xfId="55" applyNumberFormat="1" applyFont="1" applyBorder="1" applyAlignment="1">
      <alignment horizontal="left"/>
      <protection locked="0"/>
    </xf>
    <xf numFmtId="175" fontId="4" fillId="2" borderId="82" xfId="55" applyNumberFormat="1" applyFont="1" applyBorder="1" applyAlignment="1">
      <alignment horizontal="left" vertical="center"/>
      <protection locked="0"/>
    </xf>
    <xf numFmtId="206" fontId="53" fillId="2" borderId="40" xfId="55" applyNumberFormat="1" applyFont="1" applyFill="1" applyBorder="1" applyAlignment="1">
      <alignment horizontal="right" vertical="center"/>
      <protection locked="0"/>
    </xf>
    <xf numFmtId="181" fontId="26" fillId="2" borderId="118" xfId="55" applyNumberFormat="1" applyFont="1" applyBorder="1" applyAlignment="1">
      <alignment horizontal="center" vertical="top" readingOrder="1"/>
      <protection locked="0"/>
    </xf>
    <xf numFmtId="198" fontId="4" fillId="12" borderId="0" xfId="0" applyNumberFormat="1" applyFont="1" applyFill="1" applyBorder="1" applyAlignment="1">
      <alignment horizontal="right" vertical="top"/>
    </xf>
    <xf numFmtId="198" fontId="55" fillId="12" borderId="0" xfId="0" applyNumberFormat="1" applyFont="1" applyFill="1" applyBorder="1" applyAlignment="1">
      <alignment horizontal="right" vertical="top" wrapText="1"/>
    </xf>
    <xf numFmtId="198" fontId="55" fillId="12" borderId="23" xfId="0" applyNumberFormat="1" applyFont="1" applyFill="1" applyBorder="1" applyAlignment="1">
      <alignment horizontal="right" vertical="top" wrapText="1"/>
    </xf>
    <xf numFmtId="0" fontId="4" fillId="3" borderId="0" xfId="0" applyFont="1" applyFill="1" applyBorder="1" applyAlignment="1">
      <alignment horizontal="right" wrapText="1"/>
    </xf>
    <xf numFmtId="0" fontId="32" fillId="12" borderId="0" xfId="0" applyFont="1" applyFill="1" applyBorder="1" applyAlignment="1">
      <alignment horizontal="right" vertical="top" wrapText="1"/>
    </xf>
    <xf numFmtId="0" fontId="65" fillId="8" borderId="9" xfId="34" applyFont="1" applyAlignment="1">
      <alignment horizontal="right" vertical="top"/>
      <protection/>
    </xf>
    <xf numFmtId="0" fontId="4" fillId="12" borderId="0" xfId="0" applyFont="1" applyFill="1" applyBorder="1" applyAlignment="1">
      <alignment horizontal="right" vertical="top" wrapText="1"/>
    </xf>
    <xf numFmtId="0" fontId="238" fillId="12" borderId="0" xfId="0" applyFont="1" applyFill="1" applyBorder="1" applyAlignment="1">
      <alignment horizontal="right" vertical="top" wrapText="1"/>
    </xf>
    <xf numFmtId="0" fontId="53" fillId="2" borderId="21" xfId="55" applyFont="1" applyFill="1" applyBorder="1" applyAlignment="1">
      <alignment horizontal="left" vertical="center"/>
      <protection locked="0"/>
    </xf>
    <xf numFmtId="0" fontId="53" fillId="2" borderId="16" xfId="55" applyFont="1" applyFill="1" applyBorder="1" applyAlignment="1">
      <alignment vertical="center"/>
      <protection locked="0"/>
    </xf>
    <xf numFmtId="0" fontId="53" fillId="2" borderId="16" xfId="55" applyFont="1" applyFill="1" applyBorder="1" applyAlignment="1">
      <alignment horizontal="left" vertical="center"/>
      <protection locked="0"/>
    </xf>
    <xf numFmtId="0" fontId="53" fillId="2" borderId="16" xfId="55" applyFont="1" applyFill="1" applyBorder="1" applyAlignment="1">
      <alignment horizontal="left" vertical="center" indent="1"/>
      <protection locked="0"/>
    </xf>
    <xf numFmtId="0" fontId="53" fillId="2" borderId="38" xfId="55" applyFont="1" applyFill="1" applyBorder="1" applyAlignment="1">
      <alignment horizontal="left" vertical="center"/>
      <protection locked="0"/>
    </xf>
    <xf numFmtId="0" fontId="54" fillId="19" borderId="0" xfId="0" applyFont="1" applyFill="1">
      <alignment horizontal="left" vertical="center"/>
    </xf>
    <xf numFmtId="0" fontId="182" fillId="19" borderId="0" xfId="0" applyFont="1" applyFill="1" applyAlignment="1">
      <alignment vertical="center" shrinkToFit="1"/>
    </xf>
    <xf numFmtId="0" fontId="54" fillId="25" borderId="22" xfId="0" applyFont="1" applyFill="1" applyBorder="1">
      <alignment horizontal="left" vertical="center"/>
    </xf>
    <xf numFmtId="0" fontId="54" fillId="2" borderId="0" xfId="0" applyFont="1" applyFill="1" applyBorder="1">
      <alignment horizontal="left" vertical="center"/>
    </xf>
    <xf numFmtId="0" fontId="54" fillId="2" borderId="27" xfId="0" applyFont="1" applyFill="1" applyBorder="1">
      <alignment horizontal="left" vertical="center"/>
    </xf>
    <xf numFmtId="0" fontId="110" fillId="3" borderId="23" xfId="0" applyFont="1" applyFill="1" applyBorder="1" applyAlignment="1">
      <alignment horizontal="right" vertical="center"/>
    </xf>
    <xf numFmtId="0" fontId="155" fillId="3" borderId="23" xfId="0" applyFont="1" applyFill="1" applyBorder="1" applyAlignment="1">
      <alignment horizontal="center" shrinkToFit="1"/>
    </xf>
    <xf numFmtId="0" fontId="54" fillId="3" borderId="23" xfId="0" applyFont="1" applyFill="1" applyBorder="1">
      <alignment horizontal="left" vertical="center"/>
    </xf>
    <xf numFmtId="1" fontId="54" fillId="12" borderId="23" xfId="0" applyNumberFormat="1" applyFont="1" applyFill="1" applyBorder="1" applyAlignment="1">
      <alignment horizontal="center" vertical="center"/>
    </xf>
    <xf numFmtId="1" fontId="54" fillId="12" borderId="28" xfId="0" applyNumberFormat="1" applyFont="1" applyFill="1" applyBorder="1" applyAlignment="1">
      <alignment horizontal="center" vertical="center"/>
    </xf>
    <xf numFmtId="0" fontId="54" fillId="3" borderId="27" xfId="54" applyFont="1" applyFill="1" applyBorder="1">
      <alignment horizontal="left" vertical="center" indent="1"/>
      <protection/>
    </xf>
    <xf numFmtId="0" fontId="54" fillId="0" borderId="0" xfId="54" applyFont="1" applyFill="1" applyBorder="1">
      <alignment horizontal="left" vertical="center" indent="1"/>
      <protection/>
    </xf>
    <xf numFmtId="0" fontId="54" fillId="3" borderId="22" xfId="54" applyFont="1" applyFill="1" applyBorder="1">
      <alignment horizontal="left" vertical="center" indent="1"/>
      <protection/>
    </xf>
    <xf numFmtId="176" fontId="110" fillId="3" borderId="26" xfId="0" applyNumberFormat="1" applyFont="1" applyFill="1" applyBorder="1" applyAlignment="1">
      <alignment horizontal="center"/>
    </xf>
    <xf numFmtId="176" fontId="110" fillId="3" borderId="28" xfId="0" applyNumberFormat="1" applyFont="1" applyFill="1" applyBorder="1" applyAlignment="1">
      <alignment horizontal="center"/>
    </xf>
    <xf numFmtId="176" fontId="54" fillId="3" borderId="26" xfId="0" applyNumberFormat="1" applyFont="1" applyFill="1" applyBorder="1" applyAlignment="1">
      <alignment horizontal="center"/>
    </xf>
    <xf numFmtId="176" fontId="54" fillId="3" borderId="28" xfId="0" applyNumberFormat="1" applyFont="1" applyFill="1" applyBorder="1" applyAlignment="1">
      <alignment horizontal="center"/>
    </xf>
    <xf numFmtId="0" fontId="155" fillId="19" borderId="0" xfId="0" applyFont="1" applyFill="1" applyAlignment="1">
      <alignment horizontal="center" shrinkToFit="1"/>
    </xf>
    <xf numFmtId="0" fontId="54" fillId="19" borderId="0" xfId="0" applyFont="1" applyFill="1" applyBorder="1">
      <alignment horizontal="left" vertical="center"/>
    </xf>
    <xf numFmtId="0" fontId="4" fillId="0" borderId="0" xfId="0" applyNumberFormat="1" applyAlignment="1">
      <alignment horizontal="center" vertical="center"/>
    </xf>
    <xf numFmtId="0" fontId="238" fillId="2" borderId="16" xfId="0" applyFont="1" applyFill="1" applyBorder="1" applyAlignment="1" applyProtection="1">
      <alignment horizontal="center" vertical="center"/>
      <protection hidden="1"/>
    </xf>
    <xf numFmtId="164" fontId="46" fillId="3" borderId="16" xfId="0" applyNumberFormat="1" applyFont="1" applyFill="1" applyBorder="1" applyAlignment="1" applyProtection="1">
      <alignment horizontal="center" vertical="center"/>
      <protection hidden="1"/>
    </xf>
    <xf numFmtId="0" fontId="4" fillId="3" borderId="16" xfId="54" applyFont="1" applyFill="1" applyBorder="1">
      <alignment horizontal="left" vertical="center" indent="1"/>
      <protection/>
    </xf>
    <xf numFmtId="208" fontId="0" fillId="2" borderId="1" xfId="6" applyFont="1" applyFill="1" applyBorder="1" applyAlignment="1" applyProtection="1">
      <alignment horizontal="center" vertical="center"/>
      <protection hidden="1" locked="0"/>
    </xf>
    <xf numFmtId="206" fontId="4" fillId="2" borderId="1" xfId="43" applyFont="1" applyFill="1" applyBorder="1" applyAlignment="1" applyProtection="1">
      <alignment horizontal="right"/>
      <protection hidden="1" locked="0"/>
    </xf>
    <xf numFmtId="206" fontId="53" fillId="2" borderId="118" xfId="43" applyFont="1" applyFill="1" applyBorder="1" applyAlignment="1" applyProtection="1">
      <alignment horizontal="right" vertical="top" readingOrder="1"/>
      <protection hidden="1" locked="0"/>
    </xf>
    <xf numFmtId="206" fontId="53" fillId="2" borderId="1" xfId="43" applyFont="1" applyFill="1" applyBorder="1" applyAlignment="1" applyProtection="1">
      <alignment horizontal="right" vertical="top" readingOrder="1"/>
      <protection hidden="1" locked="0"/>
    </xf>
    <xf numFmtId="190" fontId="0" fillId="2" borderId="1" xfId="52" applyNumberFormat="1" applyFont="1" applyFill="1" applyBorder="1" applyAlignment="1" applyProtection="1">
      <alignment horizontal="center" vertical="center"/>
      <protection locked="0"/>
    </xf>
    <xf numFmtId="190" fontId="0" fillId="2" borderId="82" xfId="52" applyNumberFormat="1" applyFont="1" applyFill="1" applyBorder="1" applyAlignment="1" applyProtection="1">
      <alignment horizontal="center" vertical="center"/>
      <protection locked="0"/>
    </xf>
    <xf numFmtId="0" fontId="0" fillId="2" borderId="38" xfId="22" applyBorder="1" applyAlignment="1" applyProtection="1">
      <alignment horizontal="center" vertical="center"/>
      <protection hidden="1" locked="0"/>
    </xf>
    <xf numFmtId="210" fontId="54" fillId="12" borderId="0" xfId="24" applyNumberFormat="1" applyFont="1" applyFill="1" applyBorder="1">
      <alignment horizontal="center" vertical="center"/>
    </xf>
    <xf numFmtId="210" fontId="54" fillId="12" borderId="27" xfId="24" applyNumberFormat="1" applyFont="1" applyFill="1" applyBorder="1">
      <alignment horizontal="center" vertical="center"/>
    </xf>
    <xf numFmtId="210" fontId="55" fillId="3" borderId="25" xfId="24" applyNumberFormat="1" applyFont="1" applyFill="1" applyBorder="1">
      <alignment horizontal="center" vertical="center"/>
    </xf>
    <xf numFmtId="210" fontId="55" fillId="3" borderId="29" xfId="24" applyNumberFormat="1" applyFont="1" applyFill="1" applyBorder="1">
      <alignment horizontal="center" vertical="center"/>
    </xf>
    <xf numFmtId="0" fontId="96" fillId="2" borderId="0" xfId="13" applyFont="1" applyFill="1" applyAlignment="1">
      <alignment vertical="center"/>
      <protection/>
    </xf>
    <xf numFmtId="0" fontId="44" fillId="19" borderId="0" xfId="0" applyFont="1" applyFill="1" applyBorder="1" applyAlignment="1">
      <alignment vertical="center" wrapText="1"/>
    </xf>
    <xf numFmtId="0" fontId="45" fillId="19" borderId="0" xfId="0" applyFont="1" applyFill="1" applyAlignment="1">
      <alignment horizontal="center" vertical="center"/>
    </xf>
    <xf numFmtId="0" fontId="4" fillId="3" borderId="119" xfId="0" applyFill="1" applyBorder="1" applyAlignment="1">
      <alignment horizontal="left" vertical="center" wrapText="1" indent="1"/>
    </xf>
    <xf numFmtId="0" fontId="4" fillId="3" borderId="2" xfId="0" applyFill="1" applyBorder="1" applyAlignment="1">
      <alignment horizontal="left" vertical="center" wrapText="1" indent="1"/>
    </xf>
    <xf numFmtId="0" fontId="34" fillId="3" borderId="2" xfId="0" applyFont="1" applyFill="1" applyBorder="1" applyAlignment="1">
      <alignment horizontal="left" vertical="center" wrapText="1" indent="1"/>
    </xf>
    <xf numFmtId="0" fontId="34" fillId="3" borderId="48" xfId="0" applyFont="1" applyFill="1" applyBorder="1" applyAlignment="1">
      <alignment horizontal="left" vertical="center" wrapText="1" indent="1"/>
    </xf>
    <xf numFmtId="0" fontId="34" fillId="3" borderId="2" xfId="0" applyFont="1" applyFill="1" applyBorder="1" applyAlignment="1">
      <alignment horizontal="left" vertical="top" wrapText="1" indent="1"/>
    </xf>
    <xf numFmtId="0" fontId="34" fillId="3" borderId="120" xfId="0" applyFont="1" applyFill="1" applyBorder="1" applyAlignment="1">
      <alignment horizontal="left" vertical="center" wrapText="1" indent="1"/>
    </xf>
    <xf numFmtId="0" fontId="75" fillId="3" borderId="2" xfId="0" applyFont="1" applyFill="1" applyBorder="1" applyAlignment="1">
      <alignment horizontal="left" vertical="center" wrapText="1" indent="1"/>
    </xf>
    <xf numFmtId="0" fontId="184" fillId="19" borderId="0" xfId="0" applyFont="1" applyFill="1">
      <alignment horizontal="left" vertical="center"/>
    </xf>
    <xf numFmtId="0" fontId="184" fillId="30" borderId="0" xfId="0" applyFont="1" applyFill="1">
      <alignment horizontal="left" vertical="center"/>
    </xf>
    <xf numFmtId="0" fontId="29" fillId="0" borderId="0" xfId="0" applyFont="1">
      <alignment horizontal="left" vertical="center"/>
    </xf>
    <xf numFmtId="0" fontId="29" fillId="0" borderId="16" xfId="0" applyFont="1" applyBorder="1">
      <alignment horizontal="left" vertical="center"/>
    </xf>
    <xf numFmtId="0" fontId="29" fillId="0" borderId="20" xfId="0" applyFont="1" applyBorder="1">
      <alignment horizontal="left" vertical="center"/>
    </xf>
    <xf numFmtId="0" fontId="29" fillId="0" borderId="38" xfId="0" applyFont="1" applyBorder="1">
      <alignment horizontal="left" vertical="center"/>
    </xf>
    <xf numFmtId="0" fontId="29" fillId="0" borderId="0" xfId="0" applyFont="1" applyBorder="1">
      <alignment horizontal="left" vertical="center"/>
    </xf>
    <xf numFmtId="0" fontId="29" fillId="0" borderId="23" xfId="0" applyFont="1" applyBorder="1">
      <alignment horizontal="left" vertical="center"/>
    </xf>
    <xf numFmtId="0" fontId="4" fillId="0" borderId="37" xfId="0" applyBorder="1">
      <alignment horizontal="left" vertical="center"/>
    </xf>
    <xf numFmtId="0" fontId="187" fillId="19" borderId="0" xfId="0" applyFont="1" applyFill="1" applyBorder="1" applyAlignment="1">
      <alignment horizontal="center" shrinkToFit="1"/>
    </xf>
    <xf numFmtId="0" fontId="186" fillId="19" borderId="0" xfId="0" applyFont="1" applyFill="1" applyAlignment="1">
      <alignment horizontal="left" vertical="center" shrinkToFit="1"/>
    </xf>
    <xf numFmtId="0" fontId="186" fillId="19" borderId="0" xfId="0" applyFont="1" applyFill="1" applyBorder="1" applyAlignment="1">
      <alignment horizontal="left" vertical="center" shrinkToFit="1"/>
    </xf>
    <xf numFmtId="0" fontId="187" fillId="19" borderId="0" xfId="0" applyFont="1" applyFill="1" applyAlignment="1">
      <alignment horizontal="left" vertical="center" shrinkToFit="1"/>
    </xf>
    <xf numFmtId="0" fontId="187" fillId="19" borderId="0" xfId="0" applyFont="1" applyFill="1" applyBorder="1" applyAlignment="1">
      <alignment horizontal="left" vertical="center" shrinkToFit="1"/>
    </xf>
    <xf numFmtId="0" fontId="63" fillId="3" borderId="23" xfId="0" applyFont="1" applyFill="1" applyBorder="1" applyAlignment="1">
      <alignment horizontal="left" vertical="center" shrinkToFit="1"/>
    </xf>
    <xf numFmtId="0" fontId="55" fillId="12" borderId="25" xfId="0" applyFont="1" applyFill="1" applyBorder="1">
      <alignment horizontal="left" vertical="center"/>
    </xf>
    <xf numFmtId="0" fontId="55" fillId="12" borderId="23" xfId="0" applyFont="1" applyFill="1" applyBorder="1">
      <alignment horizontal="left" vertical="center"/>
    </xf>
    <xf numFmtId="0" fontId="147" fillId="3" borderId="25" xfId="0" applyFont="1" applyFill="1" applyBorder="1">
      <alignment horizontal="left" vertical="center"/>
    </xf>
    <xf numFmtId="0" fontId="63" fillId="3" borderId="25" xfId="0" applyFont="1" applyFill="1" applyBorder="1" applyAlignment="1">
      <alignment horizontal="left" vertical="center" shrinkToFit="1"/>
    </xf>
    <xf numFmtId="17" fontId="46" fillId="14" borderId="23" xfId="24" applyFont="1" applyFill="1" applyBorder="1">
      <alignment horizontal="center" vertical="center"/>
    </xf>
    <xf numFmtId="17" fontId="46" fillId="14" borderId="28" xfId="24" applyFont="1" applyFill="1" applyBorder="1">
      <alignment horizontal="center" vertical="center"/>
    </xf>
    <xf numFmtId="0" fontId="147" fillId="3" borderId="23" xfId="0" applyFont="1" applyFill="1" applyBorder="1">
      <alignment horizontal="left" vertical="center"/>
    </xf>
    <xf numFmtId="0" fontId="23" fillId="3" borderId="23" xfId="0" applyFont="1" applyFill="1" applyBorder="1" applyAlignment="1">
      <alignment horizontal="center" vertical="center"/>
    </xf>
    <xf numFmtId="0" fontId="140" fillId="56" borderId="0" xfId="0" applyFont="1" applyFill="1" applyBorder="1" applyAlignment="1">
      <alignment vertical="center" shrinkToFit="1"/>
    </xf>
    <xf numFmtId="0" fontId="14" fillId="56" borderId="0" xfId="0" applyFont="1" applyFill="1" applyBorder="1" applyAlignment="1">
      <alignment horizontal="center" vertical="center"/>
    </xf>
    <xf numFmtId="43" fontId="14" fillId="56" borderId="0" xfId="0" applyNumberFormat="1" applyFont="1" applyFill="1" applyBorder="1">
      <alignment horizontal="left" vertical="center"/>
    </xf>
    <xf numFmtId="0" fontId="185" fillId="0" borderId="0" xfId="0" applyFont="1" applyBorder="1" applyAlignment="1">
      <alignment horizontal="left" vertical="center" shrinkToFit="1"/>
    </xf>
    <xf numFmtId="0" fontId="188" fillId="19" borderId="0" xfId="0" applyFont="1" applyFill="1" applyBorder="1" applyAlignment="1">
      <alignment horizontal="left" shrinkToFit="1"/>
    </xf>
    <xf numFmtId="0" fontId="188" fillId="19" borderId="0" xfId="0" applyFont="1" applyFill="1" applyBorder="1" applyAlignment="1">
      <alignment horizontal="center" vertical="center"/>
    </xf>
    <xf numFmtId="0" fontId="188" fillId="19" borderId="0" xfId="0" applyFont="1" applyFill="1" applyBorder="1" applyAlignment="1">
      <alignment vertical="top" wrapText="1"/>
    </xf>
    <xf numFmtId="0" fontId="188" fillId="19" borderId="0" xfId="0" applyFont="1" applyFill="1" applyBorder="1" applyAlignment="1">
      <alignment horizontal="center" shrinkToFit="1"/>
    </xf>
    <xf numFmtId="0" fontId="185" fillId="19" borderId="0" xfId="0" applyFont="1" applyFill="1" applyBorder="1" applyAlignment="1">
      <alignment horizontal="left" vertical="center" shrinkToFit="1"/>
    </xf>
    <xf numFmtId="168" fontId="185" fillId="19" borderId="0" xfId="6" applyNumberFormat="1" applyFont="1" applyFill="1" applyBorder="1" applyAlignment="1">
      <alignment horizontal="center" vertical="center" shrinkToFit="1"/>
    </xf>
    <xf numFmtId="1" fontId="55" fillId="12" borderId="0" xfId="0" applyNumberFormat="1" applyFont="1" applyFill="1" applyBorder="1" applyAlignment="1">
      <alignment horizontal="center" vertical="center"/>
    </xf>
    <xf numFmtId="1" fontId="55" fillId="12" borderId="27" xfId="0" applyNumberFormat="1" applyFont="1" applyFill="1" applyBorder="1" applyAlignment="1">
      <alignment horizontal="center" vertical="center"/>
    </xf>
    <xf numFmtId="2" fontId="53" fillId="2" borderId="121" xfId="55" applyNumberFormat="1" applyFont="1" applyFill="1" applyBorder="1" applyAlignment="1">
      <alignment horizontal="right" vertical="center"/>
      <protection locked="0"/>
    </xf>
    <xf numFmtId="2" fontId="53" fillId="2" borderId="96" xfId="55" applyNumberFormat="1" applyFont="1" applyFill="1" applyBorder="1" applyAlignment="1">
      <alignment horizontal="right" vertical="center"/>
      <protection locked="0"/>
    </xf>
    <xf numFmtId="186" fontId="4" fillId="11" borderId="122" xfId="51" applyNumberFormat="1" applyFont="1" applyBorder="1" applyAlignment="1">
      <alignment horizontal="right" vertical="center"/>
      <protection/>
    </xf>
    <xf numFmtId="186" fontId="4" fillId="11" borderId="123" xfId="51" applyNumberFormat="1" applyFont="1" applyBorder="1" applyAlignment="1">
      <alignment horizontal="right" vertical="center"/>
      <protection/>
    </xf>
    <xf numFmtId="206" fontId="54" fillId="3" borderId="26" xfId="43" applyFont="1" applyFill="1" applyBorder="1" applyAlignment="1" applyProtection="1">
      <alignment horizontal="center" vertical="center"/>
      <protection hidden="1"/>
    </xf>
    <xf numFmtId="186" fontId="4" fillId="11" borderId="124" xfId="51" applyNumberFormat="1" applyFont="1" applyBorder="1" applyAlignment="1">
      <alignment horizontal="right" vertical="center"/>
      <protection/>
    </xf>
    <xf numFmtId="186" fontId="4" fillId="11" borderId="72" xfId="51" applyNumberFormat="1" applyFont="1" applyBorder="1" applyAlignment="1">
      <alignment horizontal="right" vertical="center"/>
      <protection/>
    </xf>
    <xf numFmtId="206" fontId="4" fillId="3" borderId="125" xfId="43" applyFont="1" applyFill="1" applyBorder="1" applyAlignment="1" applyProtection="1">
      <alignment horizontal="right"/>
      <protection/>
    </xf>
    <xf numFmtId="206" fontId="55" fillId="3" borderId="26" xfId="43" applyFont="1" applyFill="1" applyBorder="1" applyAlignment="1" applyProtection="1">
      <alignment horizontal="center" vertical="center"/>
      <protection hidden="1"/>
    </xf>
    <xf numFmtId="206" fontId="55" fillId="3" borderId="28" xfId="43" applyFont="1" applyFill="1" applyBorder="1" applyAlignment="1" applyProtection="1">
      <alignment horizontal="center" vertical="center"/>
      <protection hidden="1"/>
    </xf>
    <xf numFmtId="204" fontId="136" fillId="48" borderId="23" xfId="0" applyNumberFormat="1" applyFont="1" applyFill="1" applyBorder="1" applyAlignment="1">
      <alignment horizontal="center" vertical="center"/>
    </xf>
    <xf numFmtId="179" fontId="4" fillId="3" borderId="16" xfId="10" applyFont="1" applyBorder="1" applyAlignment="1">
      <alignment horizontal="right"/>
      <protection/>
    </xf>
    <xf numFmtId="0" fontId="4" fillId="3" borderId="0" xfId="0" applyFill="1" applyAlignment="1">
      <alignment horizontal="right" vertical="center"/>
    </xf>
    <xf numFmtId="186" fontId="4" fillId="11" borderId="16" xfId="51" applyNumberFormat="1" applyFont="1" applyBorder="1" applyAlignment="1">
      <alignment horizontal="right" vertical="center"/>
      <protection/>
    </xf>
    <xf numFmtId="1" fontId="4" fillId="48" borderId="22" xfId="0" applyNumberFormat="1" applyFill="1" applyBorder="1" applyAlignment="1">
      <alignment horizontal="center" vertical="center"/>
    </xf>
    <xf numFmtId="1" fontId="4" fillId="48" borderId="27" xfId="0" applyNumberFormat="1" applyFill="1" applyBorder="1" applyAlignment="1">
      <alignment horizontal="center" vertical="center"/>
    </xf>
    <xf numFmtId="204" fontId="136" fillId="48" borderId="26" xfId="0" applyNumberFormat="1" applyFont="1" applyFill="1" applyBorder="1" applyAlignment="1">
      <alignment horizontal="center" vertical="center"/>
    </xf>
    <xf numFmtId="204" fontId="136" fillId="48" borderId="28" xfId="0" applyNumberFormat="1" applyFont="1" applyFill="1" applyBorder="1" applyAlignment="1">
      <alignment horizontal="center" vertical="center"/>
    </xf>
    <xf numFmtId="186" fontId="4" fillId="2" borderId="40" xfId="54" applyNumberFormat="1" applyFont="1" applyFill="1" applyBorder="1" applyAlignment="1">
      <alignment horizontal="right" vertical="center"/>
      <protection/>
    </xf>
    <xf numFmtId="186" fontId="4" fillId="2" borderId="16" xfId="55" applyNumberFormat="1" applyFont="1" applyFill="1" applyBorder="1" applyAlignment="1">
      <alignment horizontal="right"/>
      <protection locked="0"/>
    </xf>
    <xf numFmtId="186" fontId="46" fillId="14" borderId="25" xfId="59" applyNumberFormat="1" applyBorder="1" applyAlignment="1">
      <alignment horizontal="center" vertical="center"/>
      <protection/>
    </xf>
    <xf numFmtId="0" fontId="3" fillId="0" borderId="0" xfId="0" applyFont="1">
      <alignment horizontal="left" vertical="center"/>
    </xf>
    <xf numFmtId="0" fontId="4" fillId="0" borderId="22" xfId="0" applyFill="1" applyBorder="1" applyAlignment="1">
      <alignment vertical="center"/>
    </xf>
    <xf numFmtId="43" fontId="189" fillId="19" borderId="0" xfId="4" applyFont="1" applyFill="1" applyBorder="1" applyAlignment="1">
      <alignment horizontal="left" vertical="center" indent="1"/>
    </xf>
    <xf numFmtId="43" fontId="190" fillId="19" borderId="0" xfId="4" applyFont="1" applyFill="1" applyBorder="1" applyAlignment="1">
      <alignment horizontal="left" indent="1"/>
    </xf>
    <xf numFmtId="0" fontId="43" fillId="30" borderId="0" xfId="0" applyFont="1" applyFill="1" applyProtection="1">
      <alignment horizontal="left" vertical="center"/>
      <protection hidden="1"/>
    </xf>
    <xf numFmtId="0" fontId="29" fillId="30" borderId="0" xfId="0" applyFont="1" applyFill="1" applyProtection="1">
      <alignment horizontal="left" vertical="center"/>
      <protection hidden="1"/>
    </xf>
    <xf numFmtId="0" fontId="45" fillId="30" borderId="0" xfId="0" applyFont="1" applyFill="1" applyBorder="1" applyProtection="1">
      <alignment horizontal="left" vertical="center"/>
      <protection hidden="1"/>
    </xf>
    <xf numFmtId="43" fontId="192" fillId="19" borderId="0" xfId="4" applyFont="1" applyFill="1" applyBorder="1" applyAlignment="1">
      <alignment horizontal="left" indent="1"/>
    </xf>
    <xf numFmtId="0" fontId="3" fillId="27" borderId="22" xfId="0" applyFont="1" applyFill="1" applyBorder="1">
      <alignment horizontal="left" vertical="center"/>
    </xf>
    <xf numFmtId="0" fontId="3" fillId="2" borderId="0" xfId="0" applyFont="1" applyFill="1" applyBorder="1">
      <alignment horizontal="left" vertical="center"/>
    </xf>
    <xf numFmtId="0" fontId="3" fillId="30" borderId="0" xfId="0" applyFont="1" applyFill="1" applyBorder="1">
      <alignment horizontal="left" vertical="center"/>
    </xf>
    <xf numFmtId="0" fontId="3" fillId="2" borderId="27" xfId="0" applyFont="1" applyFill="1" applyBorder="1">
      <alignment horizontal="left" vertical="center"/>
    </xf>
    <xf numFmtId="0" fontId="3" fillId="0" borderId="0" xfId="0" applyFont="1" applyAlignment="1">
      <alignment horizontal="right" vertical="center"/>
    </xf>
    <xf numFmtId="0" fontId="3" fillId="2" borderId="0" xfId="0" applyFont="1" applyFill="1" applyBorder="1" applyAlignment="1">
      <alignment horizontal="right" vertical="center"/>
    </xf>
    <xf numFmtId="0" fontId="3" fillId="2" borderId="23" xfId="0" applyFont="1" applyFill="1" applyBorder="1" applyAlignment="1">
      <alignment horizontal="right" vertical="center"/>
    </xf>
    <xf numFmtId="0" fontId="3" fillId="3" borderId="0" xfId="0" applyFont="1" applyFill="1" applyBorder="1" applyAlignment="1">
      <alignment horizontal="right" vertical="center"/>
    </xf>
    <xf numFmtId="0" fontId="3" fillId="2" borderId="23" xfId="0" applyFont="1" applyFill="1" applyBorder="1" applyAlignment="1">
      <alignment vertical="center"/>
    </xf>
    <xf numFmtId="0" fontId="4" fillId="24" borderId="0" xfId="0" applyFill="1">
      <alignment horizontal="left" vertical="center"/>
    </xf>
    <xf numFmtId="0" fontId="109" fillId="27" borderId="126" xfId="0" applyFont="1" applyFill="1" applyBorder="1" applyAlignment="1">
      <alignment horizontal="left" shrinkToFit="1"/>
    </xf>
    <xf numFmtId="0" fontId="14" fillId="27" borderId="127" xfId="0" applyFont="1" applyFill="1" applyBorder="1">
      <alignment horizontal="left" vertical="center"/>
    </xf>
    <xf numFmtId="0" fontId="109" fillId="27" borderId="128" xfId="0" applyFont="1" applyFill="1" applyBorder="1" applyAlignment="1">
      <alignment horizontal="left" shrinkToFit="1"/>
    </xf>
    <xf numFmtId="0" fontId="14" fillId="27" borderId="129" xfId="0" applyFont="1" applyFill="1" applyBorder="1">
      <alignment horizontal="left" vertical="center"/>
    </xf>
    <xf numFmtId="0" fontId="12" fillId="19" borderId="127" xfId="0" applyFont="1" applyFill="1" applyBorder="1" applyAlignment="1">
      <alignment horizontal="left"/>
    </xf>
    <xf numFmtId="43" fontId="45" fillId="19" borderId="0" xfId="4" applyFont="1" applyFill="1" applyBorder="1" applyAlignment="1">
      <alignment vertical="center" shrinkToFit="1"/>
    </xf>
    <xf numFmtId="0" fontId="186" fillId="57" borderId="0" xfId="51" applyFont="1" applyFill="1" applyBorder="1" applyAlignment="1">
      <alignment horizontal="left" vertical="center" shrinkToFit="1"/>
      <protection/>
    </xf>
    <xf numFmtId="43" fontId="14" fillId="57" borderId="0" xfId="51" applyNumberFormat="1" applyFont="1" applyFill="1" applyBorder="1" applyAlignment="1">
      <alignment horizontal="left" vertical="center" indent="1"/>
      <protection/>
    </xf>
    <xf numFmtId="0" fontId="14" fillId="57" borderId="0" xfId="51" applyFont="1" applyFill="1" applyBorder="1">
      <alignment horizontal="left" vertical="center" indent="1"/>
      <protection/>
    </xf>
    <xf numFmtId="0" fontId="14" fillId="57" borderId="0" xfId="51" applyFont="1" applyFill="1" applyBorder="1" applyAlignment="1">
      <alignment horizontal="center" vertical="center"/>
      <protection/>
    </xf>
    <xf numFmtId="0" fontId="9" fillId="57" borderId="0" xfId="51" applyFont="1" applyFill="1" applyBorder="1" applyAlignment="1">
      <alignment horizontal="center" shrinkToFit="1"/>
      <protection/>
    </xf>
    <xf numFmtId="43" fontId="45" fillId="57" borderId="0" xfId="51" applyNumberFormat="1" applyFont="1" applyFill="1" applyBorder="1" applyAlignment="1">
      <alignment vertical="center" shrinkToFit="1"/>
      <protection/>
    </xf>
    <xf numFmtId="0" fontId="12" fillId="38" borderId="25" xfId="0" applyFont="1" applyFill="1" applyBorder="1" quotePrefix="1">
      <alignment horizontal="left" vertical="center"/>
    </xf>
    <xf numFmtId="0" fontId="238" fillId="38" borderId="0" xfId="0" applyFont="1" applyFill="1" applyBorder="1" applyAlignment="1">
      <alignment vertical="center" wrapText="1"/>
    </xf>
    <xf numFmtId="0" fontId="5" fillId="38" borderId="103" xfId="0" applyFont="1" applyFill="1" applyBorder="1" applyAlignment="1">
      <alignment horizontal="center" vertical="center" wrapText="1"/>
    </xf>
    <xf numFmtId="0" fontId="9" fillId="38" borderId="103" xfId="0" applyFont="1" applyFill="1" applyBorder="1" applyAlignment="1">
      <alignment horizontal="left" vertical="center" wrapText="1" indent="2"/>
    </xf>
    <xf numFmtId="176" fontId="171" fillId="48" borderId="26" xfId="0" applyNumberFormat="1" applyFont="1" applyFill="1" applyBorder="1" applyAlignment="1">
      <alignment horizontal="center" vertical="center"/>
    </xf>
    <xf numFmtId="176" fontId="171" fillId="48" borderId="28" xfId="0" applyNumberFormat="1" applyFont="1" applyFill="1" applyBorder="1" applyAlignment="1">
      <alignment horizontal="center" vertical="center"/>
    </xf>
    <xf numFmtId="204" fontId="173" fillId="48" borderId="22" xfId="0" applyNumberFormat="1" applyFont="1" applyFill="1" applyBorder="1" applyAlignment="1">
      <alignment horizontal="center" vertical="center"/>
    </xf>
    <xf numFmtId="204" fontId="173" fillId="48" borderId="27" xfId="0" applyNumberFormat="1" applyFont="1" applyFill="1" applyBorder="1" applyAlignment="1">
      <alignment horizontal="center" vertical="center"/>
    </xf>
    <xf numFmtId="17" fontId="12" fillId="58" borderId="26" xfId="51" applyNumberFormat="1" applyFont="1" applyFill="1" applyBorder="1" applyAlignment="1">
      <alignment horizontal="center" vertical="center"/>
      <protection/>
    </xf>
    <xf numFmtId="17" fontId="12" fillId="58" borderId="28" xfId="51" applyNumberFormat="1" applyFont="1" applyFill="1" applyBorder="1" applyAlignment="1">
      <alignment horizontal="center" vertical="center"/>
      <protection/>
    </xf>
    <xf numFmtId="0" fontId="34" fillId="59" borderId="37" xfId="51" applyFont="1" applyFill="1" applyBorder="1" applyAlignment="1">
      <alignment horizontal="center" vertical="center"/>
      <protection/>
    </xf>
    <xf numFmtId="0" fontId="34" fillId="59" borderId="38" xfId="51" applyFont="1" applyFill="1" applyBorder="1" applyAlignment="1">
      <alignment horizontal="center" vertical="center"/>
      <protection/>
    </xf>
    <xf numFmtId="0" fontId="34" fillId="29" borderId="22" xfId="51" applyFont="1" applyFill="1" applyBorder="1" applyAlignment="1">
      <alignment horizontal="center" vertical="center"/>
      <protection/>
    </xf>
    <xf numFmtId="0" fontId="34" fillId="29" borderId="27" xfId="51" applyFont="1" applyFill="1" applyBorder="1" applyAlignment="1">
      <alignment horizontal="center" vertical="center"/>
      <protection/>
    </xf>
    <xf numFmtId="17" fontId="12" fillId="60" borderId="0" xfId="51" applyNumberFormat="1" applyFont="1" applyFill="1" applyBorder="1" applyAlignment="1">
      <alignment horizontal="center" vertical="center"/>
      <protection/>
    </xf>
    <xf numFmtId="17" fontId="46" fillId="61" borderId="26" xfId="51" applyNumberFormat="1" applyFont="1" applyFill="1" applyBorder="1" applyAlignment="1">
      <alignment horizontal="center" vertical="center"/>
      <protection/>
    </xf>
    <xf numFmtId="17" fontId="46" fillId="61" borderId="28" xfId="51" applyNumberFormat="1" applyFont="1" applyFill="1" applyBorder="1" applyAlignment="1">
      <alignment horizontal="center" vertical="center"/>
      <protection/>
    </xf>
    <xf numFmtId="17" fontId="46" fillId="62" borderId="26" xfId="51" applyNumberFormat="1" applyFont="1" applyFill="1" applyBorder="1" applyAlignment="1">
      <alignment horizontal="center" vertical="center"/>
      <protection/>
    </xf>
    <xf numFmtId="17" fontId="46" fillId="62" borderId="28" xfId="51" applyNumberFormat="1" applyFont="1" applyFill="1" applyBorder="1" applyAlignment="1">
      <alignment horizontal="center" vertical="center"/>
      <protection/>
    </xf>
    <xf numFmtId="176" fontId="46" fillId="63" borderId="26" xfId="0" applyNumberFormat="1" applyFont="1" applyFill="1" applyBorder="1" applyAlignment="1">
      <alignment horizontal="center" vertical="center"/>
    </xf>
    <xf numFmtId="176" fontId="46" fillId="63" borderId="28" xfId="0" applyNumberFormat="1" applyFont="1" applyFill="1" applyBorder="1" applyAlignment="1">
      <alignment horizontal="center" vertical="center"/>
    </xf>
    <xf numFmtId="17" fontId="46" fillId="64" borderId="22" xfId="51" applyNumberFormat="1" applyFont="1" applyFill="1" applyBorder="1" applyAlignment="1">
      <alignment horizontal="center" vertical="center"/>
      <protection/>
    </xf>
    <xf numFmtId="17" fontId="46" fillId="64" borderId="27" xfId="51" applyNumberFormat="1" applyFont="1" applyFill="1" applyBorder="1" applyAlignment="1">
      <alignment horizontal="center" vertical="center"/>
      <protection/>
    </xf>
    <xf numFmtId="176" fontId="12" fillId="30" borderId="26" xfId="0" applyNumberFormat="1" applyFont="1" applyFill="1" applyBorder="1" applyAlignment="1">
      <alignment horizontal="center" vertical="center"/>
    </xf>
    <xf numFmtId="176" fontId="12" fillId="30" borderId="28" xfId="0" applyNumberFormat="1" applyFont="1" applyFill="1" applyBorder="1" applyAlignment="1">
      <alignment horizontal="center" vertical="center"/>
    </xf>
    <xf numFmtId="176" fontId="46" fillId="65" borderId="26" xfId="0" applyNumberFormat="1" applyFont="1" applyFill="1" applyBorder="1" applyAlignment="1">
      <alignment horizontal="center" vertical="center"/>
    </xf>
    <xf numFmtId="176" fontId="46" fillId="65" borderId="28" xfId="0" applyNumberFormat="1" applyFont="1" applyFill="1" applyBorder="1" applyAlignment="1">
      <alignment horizontal="center" vertical="center"/>
    </xf>
    <xf numFmtId="17" fontId="46" fillId="66" borderId="22" xfId="51" applyNumberFormat="1" applyFont="1" applyFill="1" applyBorder="1" applyAlignment="1">
      <alignment horizontal="center" vertical="center"/>
      <protection/>
    </xf>
    <xf numFmtId="17" fontId="46" fillId="66" borderId="27" xfId="51" applyNumberFormat="1" applyFont="1" applyFill="1" applyBorder="1" applyAlignment="1">
      <alignment horizontal="center" vertical="center"/>
      <protection/>
    </xf>
    <xf numFmtId="17" fontId="12" fillId="67" borderId="22" xfId="51" applyNumberFormat="1" applyFont="1" applyFill="1" applyBorder="1" applyAlignment="1">
      <alignment horizontal="center" vertical="center"/>
      <protection/>
    </xf>
    <xf numFmtId="17" fontId="12" fillId="67" borderId="27" xfId="51" applyNumberFormat="1" applyFont="1" applyFill="1" applyBorder="1" applyAlignment="1">
      <alignment horizontal="center" vertical="center"/>
      <protection/>
    </xf>
    <xf numFmtId="17" fontId="12" fillId="68" borderId="22" xfId="51" applyNumberFormat="1" applyFont="1" applyFill="1" applyBorder="1" applyAlignment="1">
      <alignment horizontal="center" vertical="center"/>
      <protection/>
    </xf>
    <xf numFmtId="17" fontId="12" fillId="68" borderId="27" xfId="51" applyNumberFormat="1" applyFont="1" applyFill="1" applyBorder="1" applyAlignment="1">
      <alignment horizontal="center" vertical="center"/>
      <protection/>
    </xf>
    <xf numFmtId="176" fontId="12" fillId="25" borderId="26" xfId="0" applyNumberFormat="1" applyFont="1" applyFill="1" applyBorder="1" applyAlignment="1">
      <alignment horizontal="center" vertical="center"/>
    </xf>
    <xf numFmtId="176" fontId="12" fillId="25" borderId="28" xfId="0" applyNumberFormat="1" applyFont="1" applyFill="1" applyBorder="1" applyAlignment="1">
      <alignment horizontal="center" vertical="center"/>
    </xf>
    <xf numFmtId="176" fontId="46" fillId="14" borderId="37" xfId="59" applyNumberFormat="1" applyBorder="1" applyAlignment="1">
      <alignment horizontal="center"/>
      <protection/>
    </xf>
    <xf numFmtId="176" fontId="46" fillId="14" borderId="38" xfId="59" applyNumberFormat="1" applyBorder="1" applyAlignment="1">
      <alignment horizontal="center"/>
      <protection/>
    </xf>
    <xf numFmtId="206" fontId="4" fillId="3" borderId="24" xfId="43" applyFont="1" applyFill="1" applyBorder="1" applyAlignment="1" applyProtection="1">
      <alignment horizontal="center"/>
      <protection/>
    </xf>
    <xf numFmtId="206" fontId="54" fillId="3" borderId="26" xfId="43" applyFont="1" applyFill="1" applyBorder="1" applyAlignment="1" applyProtection="1">
      <alignment horizontal="center"/>
      <protection/>
    </xf>
    <xf numFmtId="206" fontId="4" fillId="3" borderId="29" xfId="43" applyFont="1" applyFill="1" applyBorder="1" applyAlignment="1" applyProtection="1">
      <alignment horizontal="center"/>
      <protection/>
    </xf>
    <xf numFmtId="206" fontId="54" fillId="3" borderId="28" xfId="43" applyFont="1" applyFill="1" applyBorder="1" applyAlignment="1" applyProtection="1">
      <alignment horizontal="center"/>
      <protection/>
    </xf>
    <xf numFmtId="0" fontId="4" fillId="8" borderId="22" xfId="0" applyFill="1" applyBorder="1">
      <alignment horizontal="left" vertical="center"/>
    </xf>
    <xf numFmtId="0" fontId="4" fillId="8" borderId="27" xfId="0" applyFill="1" applyBorder="1">
      <alignment horizontal="left" vertical="center"/>
    </xf>
    <xf numFmtId="176" fontId="12" fillId="24" borderId="22" xfId="0" applyNumberFormat="1" applyFont="1" applyFill="1" applyBorder="1" applyAlignment="1">
      <alignment horizontal="center"/>
    </xf>
    <xf numFmtId="176" fontId="12" fillId="24" borderId="27" xfId="0" applyNumberFormat="1" applyFont="1" applyFill="1" applyBorder="1" applyAlignment="1">
      <alignment horizontal="center"/>
    </xf>
    <xf numFmtId="0" fontId="14" fillId="24" borderId="22" xfId="0" applyFont="1" applyFill="1" applyBorder="1">
      <alignment horizontal="left" vertical="center"/>
    </xf>
    <xf numFmtId="0" fontId="14" fillId="24" borderId="27" xfId="0" applyFont="1" applyFill="1" applyBorder="1">
      <alignment horizontal="left" vertical="center"/>
    </xf>
    <xf numFmtId="176" fontId="12" fillId="22" borderId="22" xfId="0" applyNumberFormat="1" applyFont="1" applyFill="1" applyBorder="1" applyAlignment="1">
      <alignment horizontal="center"/>
    </xf>
    <xf numFmtId="176" fontId="12" fillId="22" borderId="27" xfId="0" applyNumberFormat="1" applyFont="1" applyFill="1" applyBorder="1" applyAlignment="1">
      <alignment horizontal="center"/>
    </xf>
    <xf numFmtId="0" fontId="4" fillId="22" borderId="22" xfId="0" applyFill="1" applyBorder="1">
      <alignment horizontal="left" vertical="center"/>
    </xf>
    <xf numFmtId="0" fontId="4" fillId="22" borderId="27" xfId="0" applyFill="1" applyBorder="1">
      <alignment horizontal="left" vertical="center"/>
    </xf>
    <xf numFmtId="176" fontId="22" fillId="22" borderId="27" xfId="0" applyNumberFormat="1" applyFont="1" applyFill="1" applyBorder="1" applyAlignment="1">
      <alignment horizontal="center"/>
    </xf>
    <xf numFmtId="176" fontId="46" fillId="8" borderId="22" xfId="0" applyNumberFormat="1" applyFont="1" applyFill="1" applyBorder="1" applyAlignment="1">
      <alignment horizontal="center" vertical="center"/>
    </xf>
    <xf numFmtId="176" fontId="46" fillId="8" borderId="27" xfId="0" applyNumberFormat="1" applyFont="1" applyFill="1" applyBorder="1" applyAlignment="1">
      <alignment horizontal="center" vertical="center"/>
    </xf>
    <xf numFmtId="176" fontId="238" fillId="8" borderId="22" xfId="0" applyNumberFormat="1" applyFont="1" applyFill="1" applyBorder="1" applyAlignment="1">
      <alignment horizontal="center"/>
    </xf>
    <xf numFmtId="176" fontId="238" fillId="8" borderId="27" xfId="0" applyNumberFormat="1" applyFont="1" applyFill="1" applyBorder="1" applyAlignment="1">
      <alignment horizontal="center"/>
    </xf>
    <xf numFmtId="176" fontId="66" fillId="22" borderId="22" xfId="0" applyNumberFormat="1" applyFont="1" applyFill="1" applyBorder="1" applyAlignment="1">
      <alignment horizontal="center"/>
    </xf>
    <xf numFmtId="176" fontId="66" fillId="22" borderId="27" xfId="0" applyNumberFormat="1" applyFont="1" applyFill="1" applyBorder="1" applyAlignment="1">
      <alignment horizontal="center"/>
    </xf>
    <xf numFmtId="176" fontId="12" fillId="22" borderId="22" xfId="0" applyNumberFormat="1" applyFont="1" applyFill="1" applyBorder="1" applyAlignment="1">
      <alignment horizontal="center" vertical="center"/>
    </xf>
    <xf numFmtId="176" fontId="12" fillId="22" borderId="27" xfId="0" applyNumberFormat="1" applyFont="1" applyFill="1" applyBorder="1" applyAlignment="1">
      <alignment horizontal="center" vertical="center"/>
    </xf>
    <xf numFmtId="176" fontId="46" fillId="48" borderId="22" xfId="0" applyNumberFormat="1" applyFont="1" applyFill="1" applyBorder="1" applyAlignment="1">
      <alignment horizontal="center" vertical="center"/>
    </xf>
    <xf numFmtId="176" fontId="46" fillId="48" borderId="27" xfId="0" applyNumberFormat="1" applyFont="1" applyFill="1" applyBorder="1" applyAlignment="1">
      <alignment horizontal="center" vertical="center"/>
    </xf>
    <xf numFmtId="176" fontId="12" fillId="48" borderId="22" xfId="0" applyNumberFormat="1" applyFont="1" applyFill="1" applyBorder="1" applyAlignment="1">
      <alignment horizontal="center"/>
    </xf>
    <xf numFmtId="176" fontId="12" fillId="48" borderId="27" xfId="0" applyNumberFormat="1" applyFont="1" applyFill="1" applyBorder="1" applyAlignment="1">
      <alignment horizontal="center"/>
    </xf>
    <xf numFmtId="176" fontId="111" fillId="69" borderId="22" xfId="50" applyNumberFormat="1" applyFont="1" applyFill="1" applyBorder="1" applyAlignment="1">
      <alignment horizontal="center"/>
      <protection locked="0"/>
    </xf>
    <xf numFmtId="176" fontId="111" fillId="69" borderId="27" xfId="50" applyNumberFormat="1" applyFont="1" applyFill="1" applyBorder="1" applyAlignment="1">
      <alignment horizontal="center"/>
      <protection locked="0"/>
    </xf>
    <xf numFmtId="176" fontId="22" fillId="48" borderId="27" xfId="0" applyNumberFormat="1" applyFont="1" applyFill="1" applyBorder="1" applyAlignment="1">
      <alignment horizontal="center"/>
    </xf>
    <xf numFmtId="204" fontId="41" fillId="48" borderId="26" xfId="0" applyNumberFormat="1" applyFont="1" applyFill="1" applyBorder="1" applyAlignment="1">
      <alignment horizontal="center" vertical="center"/>
    </xf>
    <xf numFmtId="204" fontId="41" fillId="48" borderId="28" xfId="0" applyNumberFormat="1" applyFont="1" applyFill="1" applyBorder="1" applyAlignment="1">
      <alignment horizontal="center" vertical="center"/>
    </xf>
    <xf numFmtId="0" fontId="4" fillId="48" borderId="22" xfId="0" applyFill="1" applyBorder="1">
      <alignment horizontal="left" vertical="center"/>
    </xf>
    <xf numFmtId="0" fontId="4" fillId="48" borderId="27" xfId="0" applyFill="1" applyBorder="1">
      <alignment horizontal="left" vertical="center"/>
    </xf>
    <xf numFmtId="206" fontId="4" fillId="3" borderId="21" xfId="43" applyFont="1" applyFill="1" applyBorder="1" applyAlignment="1" applyProtection="1">
      <alignment horizontal="right"/>
      <protection/>
    </xf>
    <xf numFmtId="187" fontId="97" fillId="8" borderId="22" xfId="14" applyNumberFormat="1" applyFont="1" applyFill="1" applyBorder="1" applyAlignment="1">
      <alignment horizontal="right" vertical="center"/>
      <protection/>
    </xf>
    <xf numFmtId="187" fontId="97" fillId="8" borderId="27" xfId="14" applyNumberFormat="1" applyFont="1" applyFill="1" applyBorder="1" applyAlignment="1">
      <alignment horizontal="right" vertical="center"/>
      <protection/>
    </xf>
    <xf numFmtId="187" fontId="176" fillId="24" borderId="22" xfId="14" applyNumberFormat="1" applyFont="1" applyFill="1" applyBorder="1" applyAlignment="1">
      <alignment horizontal="right" vertical="center"/>
      <protection/>
    </xf>
    <xf numFmtId="187" fontId="176" fillId="24" borderId="27" xfId="14" applyNumberFormat="1" applyFont="1" applyFill="1" applyBorder="1" applyAlignment="1">
      <alignment horizontal="right" vertical="center"/>
      <protection/>
    </xf>
    <xf numFmtId="187" fontId="176" fillId="22" borderId="22" xfId="14" applyNumberFormat="1" applyFont="1" applyFill="1" applyBorder="1" applyAlignment="1">
      <alignment horizontal="right" vertical="center"/>
      <protection/>
    </xf>
    <xf numFmtId="187" fontId="176" fillId="22" borderId="27" xfId="14" applyNumberFormat="1" applyFont="1" applyFill="1" applyBorder="1" applyAlignment="1">
      <alignment horizontal="right" vertical="center"/>
      <protection/>
    </xf>
    <xf numFmtId="17" fontId="15" fillId="26" borderId="22" xfId="24" applyFont="1" applyFill="1" applyBorder="1">
      <alignment horizontal="center" vertical="center"/>
    </xf>
    <xf numFmtId="17" fontId="15" fillId="26" borderId="27" xfId="24" applyFont="1" applyFill="1" applyBorder="1">
      <alignment horizontal="center" vertical="center"/>
    </xf>
    <xf numFmtId="17" fontId="12" fillId="3" borderId="0" xfId="24" applyFont="1" applyFill="1" applyBorder="1">
      <alignment horizontal="center" vertical="center"/>
    </xf>
    <xf numFmtId="17" fontId="12" fillId="25" borderId="22" xfId="24" applyFont="1" applyFill="1" applyBorder="1">
      <alignment horizontal="center" vertical="center"/>
    </xf>
    <xf numFmtId="17" fontId="12" fillId="25" borderId="27" xfId="24" applyFont="1" applyFill="1" applyBorder="1">
      <alignment horizontal="center" vertical="center"/>
    </xf>
    <xf numFmtId="17" fontId="12" fillId="30" borderId="22" xfId="24" applyFont="1" applyFill="1" applyBorder="1">
      <alignment horizontal="center" vertical="center"/>
    </xf>
    <xf numFmtId="17" fontId="12" fillId="30" borderId="27" xfId="24" applyFont="1" applyFill="1" applyBorder="1">
      <alignment horizontal="center" vertical="center"/>
    </xf>
    <xf numFmtId="187" fontId="97" fillId="48" borderId="22" xfId="14" applyNumberFormat="1" applyFont="1" applyFill="1" applyBorder="1" applyAlignment="1">
      <alignment horizontal="right" vertical="center"/>
      <protection/>
    </xf>
    <xf numFmtId="187" fontId="97" fillId="48" borderId="27" xfId="14" applyNumberFormat="1" applyFont="1" applyFill="1" applyBorder="1" applyAlignment="1">
      <alignment horizontal="right" vertical="center"/>
      <protection/>
    </xf>
    <xf numFmtId="17" fontId="46" fillId="48" borderId="26" xfId="24" applyFont="1" applyFill="1" applyBorder="1">
      <alignment horizontal="center" vertical="center"/>
    </xf>
    <xf numFmtId="17" fontId="46" fillId="48" borderId="28" xfId="24" applyFont="1" applyFill="1" applyBorder="1">
      <alignment horizontal="center" vertical="center"/>
    </xf>
    <xf numFmtId="176" fontId="110" fillId="8" borderId="26" xfId="0" applyNumberFormat="1" applyFont="1" applyFill="1" applyBorder="1" applyAlignment="1">
      <alignment horizontal="center"/>
    </xf>
    <xf numFmtId="176" fontId="110" fillId="8" borderId="28" xfId="0" applyNumberFormat="1" applyFont="1" applyFill="1" applyBorder="1" applyAlignment="1">
      <alignment horizontal="center"/>
    </xf>
    <xf numFmtId="176" fontId="46" fillId="48" borderId="22" xfId="0" applyNumberFormat="1" applyFont="1" applyFill="1" applyBorder="1" applyAlignment="1">
      <alignment horizontal="center"/>
    </xf>
    <xf numFmtId="176" fontId="46" fillId="48" borderId="27" xfId="0" applyNumberFormat="1" applyFont="1" applyFill="1" applyBorder="1" applyAlignment="1">
      <alignment horizontal="center"/>
    </xf>
    <xf numFmtId="176" fontId="34" fillId="48" borderId="26" xfId="0" applyNumberFormat="1" applyFont="1" applyFill="1" applyBorder="1" applyAlignment="1">
      <alignment horizontal="center"/>
    </xf>
    <xf numFmtId="176" fontId="34" fillId="48" borderId="28" xfId="0" applyNumberFormat="1" applyFont="1" applyFill="1" applyBorder="1" applyAlignment="1">
      <alignment horizontal="center"/>
    </xf>
    <xf numFmtId="17" fontId="46" fillId="48" borderId="22" xfId="24" applyFont="1" applyFill="1" applyBorder="1">
      <alignment horizontal="center" vertical="center"/>
    </xf>
    <xf numFmtId="17" fontId="46" fillId="48" borderId="27" xfId="24" applyFont="1" applyFill="1" applyBorder="1">
      <alignment horizontal="center" vertical="center"/>
    </xf>
    <xf numFmtId="1" fontId="34" fillId="48" borderId="22" xfId="0" applyNumberFormat="1" applyFont="1" applyFill="1" applyBorder="1" applyAlignment="1">
      <alignment horizontal="center" vertical="center"/>
    </xf>
    <xf numFmtId="201" fontId="46" fillId="26" borderId="26" xfId="59" applyNumberFormat="1" applyFill="1" applyBorder="1" applyAlignment="1">
      <alignment horizontal="center" vertical="center"/>
      <protection/>
    </xf>
    <xf numFmtId="201" fontId="46" fillId="26" borderId="28" xfId="59" applyNumberFormat="1" applyFill="1" applyBorder="1" applyAlignment="1">
      <alignment horizontal="center" vertical="center"/>
      <protection/>
    </xf>
    <xf numFmtId="0" fontId="4" fillId="3" borderId="28" xfId="0" applyFill="1" applyBorder="1" applyAlignment="1">
      <alignment horizontal="center"/>
    </xf>
    <xf numFmtId="17" fontId="54" fillId="12" borderId="29" xfId="54" applyNumberFormat="1" applyFont="1" applyFill="1" applyBorder="1" applyAlignment="1">
      <alignment horizontal="center" vertical="center"/>
      <protection/>
    </xf>
    <xf numFmtId="17" fontId="54" fillId="12" borderId="27" xfId="54" applyNumberFormat="1" applyFont="1" applyFill="1" applyBorder="1" applyAlignment="1">
      <alignment horizontal="center" vertical="center"/>
      <protection/>
    </xf>
    <xf numFmtId="1" fontId="4" fillId="12" borderId="27" xfId="0" applyNumberFormat="1" applyFill="1" applyBorder="1" applyAlignment="1">
      <alignment horizontal="center" vertical="center"/>
    </xf>
    <xf numFmtId="0" fontId="4" fillId="3" borderId="130" xfId="0" applyFill="1" applyBorder="1">
      <alignment horizontal="left" vertical="center"/>
    </xf>
    <xf numFmtId="0" fontId="4" fillId="3" borderId="50" xfId="54" applyFont="1" applyFill="1" applyBorder="1">
      <alignment horizontal="left" vertical="center" indent="1"/>
      <protection/>
    </xf>
    <xf numFmtId="0" fontId="75" fillId="3" borderId="84" xfId="0" applyFont="1" applyFill="1" applyBorder="1" applyAlignment="1">
      <alignment horizontal="center"/>
    </xf>
    <xf numFmtId="0" fontId="4" fillId="3" borderId="84" xfId="0" applyFill="1" applyBorder="1" applyAlignment="1">
      <alignment horizontal="center" vertical="center"/>
    </xf>
    <xf numFmtId="0" fontId="238" fillId="36" borderId="75" xfId="14" applyFont="1" applyFill="1" applyBorder="1" applyAlignment="1">
      <alignment horizontal="left" vertical="center" indent="1"/>
      <protection/>
    </xf>
    <xf numFmtId="14" fontId="4" fillId="3" borderId="16" xfId="54" applyNumberFormat="1" applyFont="1" applyFill="1" applyBorder="1" applyAlignment="1">
      <alignment horizontal="center" vertical="center"/>
      <protection/>
    </xf>
    <xf numFmtId="0" fontId="4" fillId="3" borderId="16" xfId="54" applyFont="1" applyFill="1" applyBorder="1" applyAlignment="1">
      <alignment horizontal="center" vertical="center" shrinkToFit="1"/>
      <protection/>
    </xf>
    <xf numFmtId="0" fontId="6" fillId="3" borderId="25" xfId="54" applyFont="1" applyFill="1" applyBorder="1">
      <alignment horizontal="left" vertical="center" indent="1"/>
      <protection/>
    </xf>
    <xf numFmtId="0" fontId="6" fillId="3" borderId="23" xfId="54" applyFont="1" applyFill="1" applyBorder="1">
      <alignment horizontal="left" vertical="center" indent="1"/>
      <protection/>
    </xf>
    <xf numFmtId="0" fontId="34" fillId="14" borderId="37" xfId="0" applyFont="1" applyFill="1" applyBorder="1" applyAlignment="1">
      <alignment horizontal="center" vertical="center"/>
    </xf>
    <xf numFmtId="0" fontId="34" fillId="14" borderId="25" xfId="0" applyFont="1" applyFill="1" applyBorder="1" applyAlignment="1">
      <alignment horizontal="center" vertical="center"/>
    </xf>
    <xf numFmtId="0" fontId="46" fillId="14" borderId="25" xfId="0" applyFont="1" applyFill="1" applyBorder="1" applyAlignment="1">
      <alignment horizontal="right" vertical="center"/>
    </xf>
    <xf numFmtId="0" fontId="152" fillId="3" borderId="25" xfId="54" applyFont="1" applyFill="1" applyBorder="1" applyAlignment="1">
      <alignment horizontal="right" vertical="center"/>
      <protection/>
    </xf>
    <xf numFmtId="0" fontId="54" fillId="3" borderId="23" xfId="54" applyFont="1" applyFill="1" applyBorder="1" applyAlignment="1" quotePrefix="1">
      <alignment horizontal="right" vertical="center"/>
      <protection/>
    </xf>
    <xf numFmtId="0" fontId="12" fillId="47" borderId="37" xfId="0" applyFont="1" applyFill="1" applyBorder="1" applyAlignment="1">
      <alignment horizontal="center" vertical="center"/>
    </xf>
    <xf numFmtId="2" fontId="4" fillId="2" borderId="131" xfId="54" applyNumberFormat="1" applyFont="1" applyFill="1" applyBorder="1" applyAlignment="1">
      <alignment horizontal="right" vertical="center"/>
      <protection/>
    </xf>
    <xf numFmtId="0" fontId="4" fillId="2" borderId="37" xfId="54" applyFont="1" applyFill="1" applyBorder="1">
      <alignment horizontal="left" vertical="center" indent="1"/>
      <protection/>
    </xf>
    <xf numFmtId="43" fontId="14" fillId="22" borderId="0" xfId="4" applyFont="1" applyFill="1" applyBorder="1" applyAlignment="1">
      <alignment horizontal="right" vertical="center" indent="1"/>
    </xf>
    <xf numFmtId="43" fontId="14" fillId="22" borderId="0" xfId="4" applyFont="1" applyFill="1" applyAlignment="1">
      <alignment horizontal="right" vertical="center" indent="1"/>
    </xf>
    <xf numFmtId="43" fontId="4" fillId="22" borderId="0" xfId="4" applyFont="1" applyFill="1" applyAlignment="1">
      <alignment horizontal="left" vertical="center" indent="1"/>
    </xf>
    <xf numFmtId="0" fontId="14" fillId="19" borderId="25" xfId="0" applyFont="1" applyFill="1" applyBorder="1">
      <alignment horizontal="left" vertical="center"/>
    </xf>
    <xf numFmtId="14" fontId="14" fillId="19" borderId="25" xfId="0" applyNumberFormat="1" applyFont="1" applyFill="1" applyBorder="1">
      <alignment horizontal="left" vertical="center"/>
    </xf>
    <xf numFmtId="164" fontId="46" fillId="3" borderId="16" xfId="54" applyNumberFormat="1" applyFont="1" applyFill="1" applyBorder="1" applyAlignment="1">
      <alignment horizontal="center" vertical="center" shrinkToFit="1"/>
      <protection/>
    </xf>
    <xf numFmtId="17" fontId="238" fillId="3" borderId="16" xfId="24" applyFont="1" applyFill="1" applyBorder="1" applyProtection="1">
      <alignment horizontal="center" vertical="center"/>
      <protection hidden="1"/>
    </xf>
    <xf numFmtId="17" fontId="4" fillId="2" borderId="16" xfId="0" applyNumberFormat="1" applyFill="1" applyBorder="1" applyAlignment="1">
      <alignment horizontal="center" vertical="center"/>
    </xf>
    <xf numFmtId="0" fontId="64" fillId="12" borderId="21" xfId="0" applyFont="1" applyFill="1" applyBorder="1" applyProtection="1">
      <alignment horizontal="left" vertical="center"/>
      <protection hidden="1"/>
    </xf>
    <xf numFmtId="0" fontId="63" fillId="12" borderId="0" xfId="0" applyFont="1" applyFill="1" applyBorder="1" applyProtection="1">
      <alignment horizontal="left" vertical="center"/>
      <protection hidden="1"/>
    </xf>
    <xf numFmtId="197" fontId="4" fillId="3" borderId="21" xfId="0" applyNumberFormat="1" applyFill="1" applyBorder="1" applyAlignment="1">
      <alignment horizontal="center" vertical="center"/>
    </xf>
    <xf numFmtId="0" fontId="28" fillId="2" borderId="0" xfId="16" applyFont="1" applyFill="1" applyBorder="1" applyAlignment="1">
      <alignment vertical="center"/>
      <protection/>
    </xf>
    <xf numFmtId="0" fontId="40" fillId="2" borderId="0" xfId="16" applyFont="1" applyFill="1" applyBorder="1" applyAlignment="1">
      <alignment vertical="center"/>
      <protection/>
    </xf>
    <xf numFmtId="0" fontId="4" fillId="2" borderId="44" xfId="0" applyFill="1" applyBorder="1">
      <alignment horizontal="left" vertical="center"/>
    </xf>
    <xf numFmtId="176" fontId="46" fillId="3" borderId="22" xfId="0" applyNumberFormat="1" applyFont="1" applyFill="1" applyBorder="1" applyAlignment="1">
      <alignment horizontal="center"/>
    </xf>
    <xf numFmtId="176" fontId="46" fillId="3" borderId="27" xfId="0" applyNumberFormat="1" applyFont="1" applyFill="1" applyBorder="1" applyAlignment="1">
      <alignment horizontal="center"/>
    </xf>
    <xf numFmtId="0" fontId="46" fillId="2" borderId="82" xfId="55" applyFont="1" applyFill="1" applyBorder="1" applyAlignment="1">
      <alignment horizontal="left" vertical="center"/>
      <protection locked="0"/>
    </xf>
    <xf numFmtId="0" fontId="4" fillId="2" borderId="22" xfId="0" applyFill="1" applyBorder="1" applyAlignment="1">
      <alignment horizontal="center"/>
    </xf>
    <xf numFmtId="1" fontId="34" fillId="3" borderId="0" xfId="4" applyNumberFormat="1" applyFont="1" applyFill="1" applyBorder="1" applyAlignment="1">
      <alignment horizontal="center" vertical="center"/>
    </xf>
    <xf numFmtId="1" fontId="55" fillId="12" borderId="28" xfId="0" applyNumberFormat="1" applyFont="1" applyFill="1" applyBorder="1" applyAlignment="1">
      <alignment horizontal="center" vertical="center"/>
    </xf>
    <xf numFmtId="176" fontId="198" fillId="3" borderId="22" xfId="0" applyNumberFormat="1" applyFont="1" applyFill="1" applyBorder="1" applyAlignment="1">
      <alignment horizontal="center"/>
    </xf>
    <xf numFmtId="173" fontId="36" fillId="3" borderId="0" xfId="0" applyNumberFormat="1" applyFont="1" applyFill="1" applyBorder="1" applyAlignment="1">
      <alignment horizontal="center"/>
    </xf>
    <xf numFmtId="206" fontId="4" fillId="3" borderId="0" xfId="43" applyFont="1" applyFill="1" applyBorder="1" applyAlignment="1" applyProtection="1">
      <alignment horizontal="right" vertical="center"/>
      <protection hidden="1"/>
    </xf>
    <xf numFmtId="0" fontId="185" fillId="19" borderId="0" xfId="0" applyFont="1" applyFill="1" applyBorder="1" applyAlignment="1">
      <alignment horizontal="left" vertical="center" shrinkToFit="1"/>
      <extLst>
        <ext xmlns:xfpb="http://schemas.microsoft.com/office/spreadsheetml/2022/featurepropertybag" uri="{C7286773-470A-42A8-94C5-96B5CB345126}">
          <xfpb:xfComplement i="0"/>
        </ext>
      </extLst>
    </xf>
    <xf numFmtId="209" fontId="46" fillId="3" borderId="16" xfId="54" applyNumberFormat="1" applyFont="1" applyFill="1" applyBorder="1" applyAlignment="1">
      <alignment horizontal="center" vertical="center"/>
      <protection/>
    </xf>
    <xf numFmtId="0" fontId="4" fillId="2" borderId="0" xfId="54" applyFont="1" applyFill="1" applyBorder="1" applyAlignment="1">
      <alignment wrapText="1"/>
      <protection/>
    </xf>
    <xf numFmtId="43" fontId="14" fillId="22" borderId="0" xfId="4" applyFont="1" applyFill="1" applyBorder="1" applyAlignment="1">
      <alignment horizontal="left" vertical="center" indent="1"/>
    </xf>
    <xf numFmtId="0" fontId="14" fillId="22" borderId="0" xfId="0" applyFont="1" applyFill="1" applyAlignment="1">
      <alignment horizontal="right" vertical="center" indent="1"/>
      <extLst>
        <ext xmlns:xfpb="http://schemas.microsoft.com/office/spreadsheetml/2022/featurepropertybag" uri="{C7286773-470A-42A8-94C5-96B5CB345126}">
          <xfpb:xfComplement i="0"/>
        </ext>
      </extLst>
    </xf>
    <xf numFmtId="173" fontId="61" fillId="70" borderId="0" xfId="0" applyNumberFormat="1" applyFont="1" applyFill="1" applyBorder="1" applyAlignment="1">
      <alignment horizontal="center" vertical="top" readingOrder="1"/>
    </xf>
    <xf numFmtId="206" fontId="61" fillId="3" borderId="0" xfId="43" applyFont="1" applyFill="1" applyBorder="1" applyAlignment="1" applyProtection="1">
      <alignment horizontal="left" vertical="top" readingOrder="1"/>
      <protection/>
    </xf>
    <xf numFmtId="198" fontId="46" fillId="4" borderId="0" xfId="0" applyNumberFormat="1" applyFont="1" applyFill="1" applyBorder="1" applyAlignment="1">
      <alignment horizontal="left" vertical="top" readingOrder="1"/>
    </xf>
    <xf numFmtId="173" fontId="46" fillId="4" borderId="0" xfId="0" applyNumberFormat="1" applyFont="1" applyFill="1" applyBorder="1" applyAlignment="1">
      <alignment horizontal="right" vertical="top" readingOrder="1"/>
    </xf>
    <xf numFmtId="198" fontId="46" fillId="3" borderId="0" xfId="0" applyNumberFormat="1" applyFont="1" applyFill="1" applyBorder="1" applyAlignment="1">
      <alignment horizontal="right" vertical="top" readingOrder="1"/>
    </xf>
    <xf numFmtId="198" fontId="46" fillId="3" borderId="0" xfId="0" applyNumberFormat="1" applyFont="1" applyFill="1" applyBorder="1" applyAlignment="1">
      <alignment horizontal="left" vertical="top" readingOrder="1"/>
    </xf>
    <xf numFmtId="173" fontId="46" fillId="3" borderId="0" xfId="0" applyNumberFormat="1" applyFont="1" applyFill="1" applyBorder="1" applyAlignment="1">
      <alignment horizontal="right" vertical="top" readingOrder="1"/>
    </xf>
    <xf numFmtId="173" fontId="46" fillId="4" borderId="0" xfId="0" applyNumberFormat="1" applyFont="1" applyFill="1" applyBorder="1" applyAlignment="1">
      <alignment horizontal="left" vertical="top" readingOrder="1"/>
    </xf>
    <xf numFmtId="211" fontId="46" fillId="4" borderId="0" xfId="57" applyFont="1" applyFill="1" applyBorder="1" applyAlignment="1" applyProtection="1">
      <alignment horizontal="left" vertical="top" readingOrder="1"/>
      <protection/>
    </xf>
    <xf numFmtId="0" fontId="69" fillId="2" borderId="0" xfId="14" applyNumberFormat="1" applyFill="1" applyAlignment="1">
      <alignment vertical="center"/>
      <protection/>
    </xf>
    <xf numFmtId="0" fontId="185" fillId="19" borderId="0" xfId="0" applyFont="1" applyFill="1" applyBorder="1" applyAlignment="1">
      <alignment horizontal="center" vertical="center" shrinkToFit="1"/>
      <extLst>
        <ext xmlns:xfpb="http://schemas.microsoft.com/office/spreadsheetml/2022/featurepropertybag" uri="{C7286773-470A-42A8-94C5-96B5CB345126}">
          <xfpb:xfComplement i="0"/>
        </ext>
      </extLst>
    </xf>
    <xf numFmtId="0" fontId="55" fillId="12" borderId="23" xfId="0" applyFont="1" applyFill="1" applyBorder="1" applyProtection="1">
      <alignment horizontal="left" vertical="center"/>
      <protection locked="0"/>
    </xf>
    <xf numFmtId="0" fontId="4" fillId="3" borderId="37" xfId="0" applyFill="1" applyBorder="1" applyAlignment="1">
      <alignment horizontal="center" vertical="center"/>
    </xf>
    <xf numFmtId="0" fontId="4" fillId="3" borderId="132" xfId="0" applyFill="1" applyBorder="1">
      <alignment horizontal="left" vertical="center"/>
    </xf>
    <xf numFmtId="206" fontId="4" fillId="11" borderId="132" xfId="51" applyNumberFormat="1" applyFont="1" applyBorder="1" applyAlignment="1">
      <alignment horizontal="right" vertical="center" indent="1"/>
      <protection/>
    </xf>
    <xf numFmtId="206" fontId="4" fillId="3" borderId="132" xfId="43" applyFont="1" applyFill="1" applyBorder="1" applyAlignment="1" applyProtection="1">
      <alignment horizontal="right" vertical="center" indent="1"/>
      <protection/>
    </xf>
    <xf numFmtId="206" fontId="4" fillId="11" borderId="0" xfId="51" applyNumberFormat="1" applyFont="1" applyBorder="1" applyAlignment="1">
      <alignment horizontal="right" vertical="center" indent="1"/>
      <protection/>
    </xf>
    <xf numFmtId="206" fontId="4" fillId="3" borderId="0" xfId="43" applyFont="1" applyFill="1" applyBorder="1" applyAlignment="1" applyProtection="1">
      <alignment horizontal="right" vertical="center" indent="1"/>
      <protection/>
    </xf>
    <xf numFmtId="0" fontId="4" fillId="3" borderId="115" xfId="0" applyFill="1" applyBorder="1">
      <alignment horizontal="left" vertical="center"/>
    </xf>
    <xf numFmtId="206" fontId="4" fillId="3" borderId="115" xfId="43" applyFont="1" applyFill="1" applyBorder="1" applyAlignment="1" applyProtection="1">
      <alignment horizontal="right" vertical="center" indent="1"/>
      <protection/>
    </xf>
    <xf numFmtId="0" fontId="238" fillId="12" borderId="0" xfId="0" applyFont="1" applyFill="1" applyBorder="1" applyAlignment="1">
      <alignment vertical="center" wrapText="1"/>
    </xf>
    <xf numFmtId="0" fontId="134" fillId="2" borderId="0" xfId="13" applyFont="1" applyFill="1" applyAlignment="1">
      <alignment horizontal="left" vertical="center"/>
      <protection/>
    </xf>
    <xf numFmtId="0" fontId="49" fillId="3" borderId="0" xfId="0" applyFont="1" applyFill="1" applyBorder="1">
      <alignment horizontal="left" vertical="center"/>
    </xf>
    <xf numFmtId="0" fontId="4" fillId="2" borderId="133" xfId="0" applyFill="1" applyBorder="1">
      <alignment horizontal="left" vertical="center"/>
    </xf>
    <xf numFmtId="43" fontId="156" fillId="22" borderId="0" xfId="0" applyNumberFormat="1" applyFont="1" applyFill="1" applyBorder="1">
      <alignment horizontal="left" vertical="center"/>
    </xf>
    <xf numFmtId="0" fontId="12" fillId="44" borderId="0" xfId="0" applyFont="1" applyFill="1" applyAlignment="1">
      <alignment horizontal="center" vertical="center"/>
    </xf>
    <xf numFmtId="17" fontId="4" fillId="42" borderId="0" xfId="24" applyFont="1" applyFill="1" applyAlignment="1">
      <alignment vertical="center"/>
    </xf>
    <xf numFmtId="17" fontId="4" fillId="71" borderId="0" xfId="24" applyFont="1" applyFill="1">
      <alignment horizontal="center" vertical="center"/>
    </xf>
    <xf numFmtId="0" fontId="46" fillId="26" borderId="134" xfId="0" applyFont="1" applyFill="1" applyBorder="1" applyAlignment="1">
      <alignment horizontal="center" vertical="center"/>
    </xf>
    <xf numFmtId="0" fontId="4" fillId="72" borderId="134" xfId="0" applyFill="1" applyBorder="1" applyAlignment="1">
      <alignment vertical="center"/>
    </xf>
    <xf numFmtId="2" fontId="4" fillId="0" borderId="0" xfId="0" applyNumberFormat="1" applyAlignment="1">
      <alignment horizontal="center" vertical="center"/>
    </xf>
    <xf numFmtId="0" fontId="12" fillId="39" borderId="134" xfId="0" applyFont="1" applyFill="1" applyBorder="1" applyAlignment="1">
      <alignment horizontal="center" vertical="center"/>
    </xf>
    <xf numFmtId="0" fontId="34" fillId="0" borderId="16" xfId="0" applyFont="1" applyFill="1" applyBorder="1">
      <alignment horizontal="left" vertical="center"/>
    </xf>
    <xf numFmtId="0" fontId="4" fillId="73" borderId="134" xfId="0" applyFill="1" applyBorder="1" applyAlignment="1">
      <alignment vertical="center"/>
    </xf>
    <xf numFmtId="0" fontId="12" fillId="74" borderId="134" xfId="0" applyFont="1" applyFill="1" applyBorder="1" applyAlignment="1">
      <alignment horizontal="center" vertical="center"/>
    </xf>
    <xf numFmtId="43" fontId="14" fillId="19" borderId="0" xfId="4" applyFont="1" applyFill="1" applyBorder="1" applyAlignment="1">
      <alignment vertical="center"/>
    </xf>
    <xf numFmtId="0" fontId="4" fillId="3" borderId="109" xfId="0" applyFill="1" applyBorder="1" applyAlignment="1">
      <alignment vertical="center"/>
    </xf>
    <xf numFmtId="0" fontId="53" fillId="2" borderId="21" xfId="55" applyFont="1" applyFill="1" applyBorder="1" applyAlignment="1">
      <alignment vertical="center"/>
      <protection locked="0"/>
    </xf>
    <xf numFmtId="0" fontId="4" fillId="2" borderId="0" xfId="0" applyFill="1" applyAlignment="1" applyProtection="1">
      <alignment vertical="center" wrapText="1"/>
      <protection hidden="1" locked="0"/>
    </xf>
    <xf numFmtId="0" fontId="53" fillId="2" borderId="16" xfId="55" applyFont="1" applyFill="1" applyBorder="1" applyAlignment="1">
      <alignment vertical="center" wrapText="1"/>
      <protection locked="0"/>
    </xf>
    <xf numFmtId="0" fontId="4" fillId="3" borderId="109" xfId="0" applyFont="1" applyFill="1" applyBorder="1" applyAlignment="1">
      <alignment vertical="center"/>
    </xf>
    <xf numFmtId="0" fontId="53" fillId="2" borderId="37" xfId="55" applyFont="1" applyFill="1" applyBorder="1" applyAlignment="1">
      <alignment vertical="center"/>
      <protection locked="0"/>
    </xf>
    <xf numFmtId="0" fontId="14" fillId="19" borderId="0" xfId="0" applyFont="1" applyFill="1" applyBorder="1" applyAlignment="1">
      <alignment vertical="center"/>
    </xf>
    <xf numFmtId="2" fontId="34" fillId="2" borderId="21" xfId="55" applyNumberFormat="1" applyFont="1" applyFill="1" applyBorder="1" applyAlignment="1">
      <alignment horizontal="right" vertical="center" shrinkToFit="1"/>
      <protection locked="0"/>
    </xf>
    <xf numFmtId="0" fontId="193" fillId="0" borderId="0" xfId="0" applyFont="1">
      <alignment horizontal="left" vertical="center"/>
    </xf>
    <xf numFmtId="0" fontId="40" fillId="0" borderId="0" xfId="0" applyFont="1" applyAlignment="1">
      <alignment vertical="center"/>
    </xf>
    <xf numFmtId="0" fontId="60" fillId="19" borderId="0" xfId="0" applyFont="1" applyFill="1" applyBorder="1" applyAlignment="1">
      <alignment horizontal="center" vertical="top" textRotation="90" wrapText="1"/>
    </xf>
    <xf numFmtId="171" fontId="14" fillId="19" borderId="0" xfId="0" applyNumberFormat="1" applyFont="1" applyFill="1" applyAlignment="1">
      <alignment horizontal="center" vertical="center"/>
    </xf>
    <xf numFmtId="0" fontId="60" fillId="19" borderId="0" xfId="0" applyFont="1" applyFill="1" applyBorder="1" applyAlignment="1">
      <alignment horizontal="center" vertical="top" wrapText="1"/>
    </xf>
    <xf numFmtId="0" fontId="109" fillId="19" borderId="0" xfId="0" applyFont="1" applyFill="1" applyBorder="1" applyAlignment="1">
      <alignment horizontal="center" vertical="top" wrapText="1"/>
    </xf>
    <xf numFmtId="0" fontId="60" fillId="19" borderId="0" xfId="0" applyFont="1" applyFill="1" applyBorder="1" applyAlignment="1">
      <alignment horizontal="center" vertical="top"/>
    </xf>
    <xf numFmtId="43" fontId="12" fillId="44" borderId="0" xfId="4" applyFont="1" applyFill="1" applyAlignment="1">
      <alignment horizontal="center" vertical="center"/>
    </xf>
    <xf numFmtId="171" fontId="14" fillId="19" borderId="0" xfId="4" applyNumberFormat="1" applyFont="1" applyFill="1" applyAlignment="1">
      <alignment horizontal="center" vertical="center"/>
    </xf>
    <xf numFmtId="43" fontId="14" fillId="19" borderId="0" xfId="4" applyFont="1" applyFill="1" applyBorder="1" applyAlignment="1">
      <alignment horizontal="center" vertical="center"/>
    </xf>
    <xf numFmtId="0" fontId="12" fillId="75" borderId="0" xfId="0" applyFont="1" applyFill="1" applyBorder="1" applyAlignment="1">
      <alignment horizontal="right" vertical="center"/>
    </xf>
    <xf numFmtId="0" fontId="191" fillId="30" borderId="0" xfId="0" applyFont="1" applyFill="1" applyBorder="1" applyProtection="1">
      <alignment horizontal="left" vertical="center"/>
      <protection hidden="1"/>
    </xf>
    <xf numFmtId="0" fontId="191" fillId="30" borderId="0" xfId="0" applyFont="1" applyFill="1" applyProtection="1">
      <alignment horizontal="left" vertical="center"/>
      <protection hidden="1"/>
    </xf>
    <xf numFmtId="17" fontId="191" fillId="30" borderId="0" xfId="24" applyFont="1" applyFill="1" applyProtection="1">
      <alignment horizontal="center" vertical="center"/>
      <protection hidden="1"/>
    </xf>
    <xf numFmtId="17" fontId="199" fillId="30" borderId="0" xfId="24" applyFont="1" applyFill="1" applyProtection="1">
      <alignment horizontal="center" vertical="center"/>
      <protection hidden="1"/>
    </xf>
    <xf numFmtId="17" fontId="199" fillId="30" borderId="0" xfId="24" applyFont="1" applyFill="1" applyBorder="1" applyProtection="1">
      <alignment horizontal="center" vertical="center"/>
      <protection hidden="1"/>
    </xf>
    <xf numFmtId="206" fontId="191" fillId="30" borderId="0" xfId="43" applyFont="1" applyFill="1" applyAlignment="1" applyProtection="1">
      <alignment horizontal="left" vertical="center" indent="1"/>
      <protection hidden="1"/>
    </xf>
    <xf numFmtId="0" fontId="201" fillId="76" borderId="0" xfId="0" applyFont="1" applyFill="1" applyBorder="1" applyProtection="1">
      <alignment horizontal="left" vertical="center"/>
      <protection hidden="1"/>
    </xf>
    <xf numFmtId="43" fontId="123" fillId="30" borderId="0" xfId="4" applyFont="1" applyFill="1" applyBorder="1" applyAlignment="1" applyProtection="1">
      <alignment horizontal="left" vertical="center"/>
      <protection hidden="1"/>
    </xf>
    <xf numFmtId="0" fontId="14" fillId="30" borderId="0" xfId="0" applyFont="1" applyFill="1" applyBorder="1" applyProtection="1">
      <alignment horizontal="left" vertical="center"/>
      <protection hidden="1"/>
    </xf>
    <xf numFmtId="188" fontId="14" fillId="30" borderId="0" xfId="6" applyNumberFormat="1" applyFont="1" applyFill="1" applyBorder="1" applyAlignment="1" applyProtection="1" quotePrefix="1">
      <alignment horizontal="center" wrapText="1"/>
      <protection hidden="1"/>
    </xf>
    <xf numFmtId="2" fontId="14" fillId="30" borderId="0" xfId="6" applyNumberFormat="1" applyFont="1" applyFill="1" applyBorder="1" applyAlignment="1" applyProtection="1">
      <alignment horizontal="center" wrapText="1"/>
      <protection hidden="1"/>
    </xf>
    <xf numFmtId="0" fontId="14" fillId="30" borderId="0" xfId="0" applyFont="1" applyFill="1" applyBorder="1" applyAlignment="1" applyProtection="1">
      <alignment vertical="center"/>
      <protection hidden="1"/>
    </xf>
    <xf numFmtId="0" fontId="14" fillId="30" borderId="0" xfId="4" applyNumberFormat="1" applyFont="1" applyFill="1" applyBorder="1" applyAlignment="1" applyProtection="1" quotePrefix="1">
      <alignment vertical="center" wrapText="1"/>
      <protection hidden="1"/>
    </xf>
    <xf numFmtId="0" fontId="44" fillId="30" borderId="0" xfId="0" applyFont="1" applyFill="1" applyBorder="1" applyProtection="1">
      <alignment horizontal="left" vertical="center"/>
      <protection hidden="1"/>
    </xf>
    <xf numFmtId="171" fontId="14" fillId="30" borderId="0" xfId="4" applyNumberFormat="1" applyFont="1" applyFill="1" applyBorder="1" applyAlignment="1" applyProtection="1" quotePrefix="1">
      <alignment vertical="center" wrapText="1"/>
      <protection hidden="1"/>
    </xf>
    <xf numFmtId="188" fontId="14" fillId="30" borderId="0" xfId="6" applyNumberFormat="1" applyFont="1" applyFill="1" applyBorder="1" applyAlignment="1" applyProtection="1" quotePrefix="1">
      <alignment vertical="center" wrapText="1"/>
      <protection hidden="1"/>
    </xf>
    <xf numFmtId="0" fontId="55" fillId="30" borderId="0" xfId="0" applyFont="1" applyFill="1" applyProtection="1">
      <alignment horizontal="left" vertical="center"/>
      <protection hidden="1"/>
    </xf>
    <xf numFmtId="171" fontId="45" fillId="22" borderId="0" xfId="0" applyNumberFormat="1" applyFont="1" applyFill="1" applyBorder="1" applyAlignment="1">
      <alignment horizontal="center" vertical="center"/>
    </xf>
    <xf numFmtId="171" fontId="45" fillId="22" borderId="0" xfId="4" applyNumberFormat="1" applyFont="1" applyFill="1" applyBorder="1" applyAlignment="1">
      <alignment horizontal="center" vertical="center" shrinkToFit="1"/>
    </xf>
    <xf numFmtId="171" fontId="45" fillId="19" borderId="0" xfId="0" applyNumberFormat="1" applyFont="1" applyFill="1" applyBorder="1" applyAlignment="1">
      <alignment horizontal="center" vertical="center"/>
    </xf>
    <xf numFmtId="171" fontId="45" fillId="27" borderId="0" xfId="4" applyNumberFormat="1" applyFont="1" applyFill="1" applyBorder="1" applyAlignment="1">
      <alignment horizontal="center" vertical="center" shrinkToFit="1"/>
    </xf>
    <xf numFmtId="171" fontId="45" fillId="22" borderId="135" xfId="4" applyNumberFormat="1" applyFont="1" applyFill="1" applyBorder="1" applyAlignment="1">
      <alignment horizontal="center" vertical="center" shrinkToFit="1"/>
    </xf>
    <xf numFmtId="0" fontId="19" fillId="22" borderId="0" xfId="0" applyFont="1" applyFill="1" applyAlignment="1">
      <alignment horizontal="center" vertical="center"/>
    </xf>
    <xf numFmtId="171" fontId="45" fillId="22" borderId="0" xfId="4" applyNumberFormat="1" applyFont="1" applyFill="1" applyBorder="1" applyAlignment="1">
      <alignment horizontal="center"/>
    </xf>
    <xf numFmtId="43" fontId="109" fillId="19" borderId="0" xfId="4" applyFont="1" applyFill="1" applyBorder="1" applyAlignment="1">
      <alignment horizontal="left" vertical="center"/>
    </xf>
    <xf numFmtId="0" fontId="48" fillId="14" borderId="37" xfId="0" applyFont="1" applyFill="1" applyBorder="1" applyAlignment="1" quotePrefix="1">
      <alignment horizontal="center" vertical="center"/>
    </xf>
    <xf numFmtId="0" fontId="63" fillId="14" borderId="20" xfId="0" applyFont="1" applyFill="1" applyBorder="1" applyAlignment="1">
      <alignment horizontal="right" vertical="center"/>
    </xf>
    <xf numFmtId="0" fontId="48" fillId="14" borderId="20" xfId="0" applyFont="1" applyFill="1" applyBorder="1" applyAlignment="1">
      <alignment horizontal="center" vertical="center"/>
    </xf>
    <xf numFmtId="0" fontId="63" fillId="14" borderId="20" xfId="0" applyFont="1" applyFill="1" applyBorder="1" applyAlignment="1">
      <alignment horizontal="left" vertical="center" shrinkToFit="1"/>
    </xf>
    <xf numFmtId="17" fontId="63" fillId="14" borderId="20" xfId="24" applyFont="1" applyFill="1" applyBorder="1">
      <alignment horizontal="center" vertical="center"/>
    </xf>
    <xf numFmtId="17" fontId="63" fillId="14" borderId="38" xfId="24" applyFont="1" applyFill="1" applyBorder="1">
      <alignment horizontal="center" vertical="center"/>
    </xf>
    <xf numFmtId="0" fontId="48" fillId="3" borderId="27" xfId="0" applyFont="1" applyFill="1" applyBorder="1">
      <alignment horizontal="left" vertical="center"/>
    </xf>
    <xf numFmtId="17" fontId="63" fillId="64" borderId="22" xfId="51" applyNumberFormat="1" applyFont="1" applyFill="1" applyBorder="1" applyAlignment="1">
      <alignment horizontal="center" vertical="center"/>
      <protection/>
    </xf>
    <xf numFmtId="17" fontId="63" fillId="64" borderId="27" xfId="51" applyNumberFormat="1" applyFont="1" applyFill="1" applyBorder="1" applyAlignment="1">
      <alignment horizontal="center" vertical="center"/>
      <protection/>
    </xf>
    <xf numFmtId="186" fontId="24" fillId="29" borderId="0" xfId="51" applyNumberFormat="1" applyFont="1" applyFill="1" applyBorder="1" applyAlignment="1">
      <alignment horizontal="center" vertical="center"/>
      <protection/>
    </xf>
    <xf numFmtId="17" fontId="60" fillId="68" borderId="22" xfId="51" applyNumberFormat="1" applyFont="1" applyFill="1" applyBorder="1" applyAlignment="1">
      <alignment horizontal="center" vertical="center"/>
      <protection/>
    </xf>
    <xf numFmtId="17" fontId="60" fillId="68" borderId="27" xfId="51" applyNumberFormat="1" applyFont="1" applyFill="1" applyBorder="1" applyAlignment="1">
      <alignment horizontal="center" vertical="center"/>
      <protection/>
    </xf>
    <xf numFmtId="17" fontId="60" fillId="67" borderId="22" xfId="51" applyNumberFormat="1" applyFont="1" applyFill="1" applyBorder="1" applyAlignment="1">
      <alignment horizontal="center" vertical="center"/>
      <protection/>
    </xf>
    <xf numFmtId="17" fontId="60" fillId="67" borderId="27" xfId="51" applyNumberFormat="1" applyFont="1" applyFill="1" applyBorder="1" applyAlignment="1">
      <alignment horizontal="center" vertical="center"/>
      <protection/>
    </xf>
    <xf numFmtId="17" fontId="63" fillId="66" borderId="22" xfId="51" applyNumberFormat="1" applyFont="1" applyFill="1" applyBorder="1" applyAlignment="1">
      <alignment horizontal="center" vertical="center"/>
      <protection/>
    </xf>
    <xf numFmtId="17" fontId="63" fillId="66" borderId="27" xfId="51" applyNumberFormat="1" applyFont="1" applyFill="1" applyBorder="1" applyAlignment="1">
      <alignment horizontal="center" vertical="center"/>
      <protection/>
    </xf>
    <xf numFmtId="0" fontId="238" fillId="28" borderId="136" xfId="0" applyFont="1" applyFill="1" applyBorder="1" applyAlignment="1" applyProtection="1">
      <alignment horizontal="left" vertical="top" wrapText="1" readingOrder="1"/>
      <protection locked="0"/>
    </xf>
    <xf numFmtId="0" fontId="4" fillId="0" borderId="136" xfId="0" applyFill="1" applyBorder="1" applyAlignment="1" applyProtection="1">
      <alignment horizontal="left" vertical="top" wrapText="1" readingOrder="1"/>
      <protection locked="0"/>
    </xf>
    <xf numFmtId="0" fontId="17" fillId="0" borderId="136" xfId="0" applyFont="1" applyFill="1" applyBorder="1" applyAlignment="1" applyProtection="1">
      <alignment horizontal="left" vertical="top" wrapText="1" readingOrder="1"/>
      <protection locked="0"/>
    </xf>
    <xf numFmtId="0" fontId="4" fillId="28" borderId="136" xfId="0" applyFill="1" applyBorder="1" applyAlignment="1" applyProtection="1">
      <alignment horizontal="left" vertical="top" wrapText="1" readingOrder="1"/>
      <protection locked="0"/>
    </xf>
    <xf numFmtId="0" fontId="4" fillId="0" borderId="136" xfId="0" applyFill="1" applyBorder="1" applyAlignment="1" applyProtection="1" quotePrefix="1">
      <alignment horizontal="left" vertical="top" wrapText="1" readingOrder="1"/>
      <protection locked="0"/>
    </xf>
    <xf numFmtId="0" fontId="4" fillId="0" borderId="136" xfId="0" applyBorder="1" applyAlignment="1" applyProtection="1">
      <alignment horizontal="left" vertical="top" wrapText="1" readingOrder="1"/>
      <protection locked="0"/>
    </xf>
    <xf numFmtId="0" fontId="4" fillId="0" borderId="137" xfId="0" applyBorder="1" applyAlignment="1" applyProtection="1">
      <alignment horizontal="left" vertical="top" wrapText="1" readingOrder="1"/>
      <protection locked="0"/>
    </xf>
    <xf numFmtId="0" fontId="4" fillId="8" borderId="136" xfId="0" applyFill="1" applyBorder="1" applyAlignment="1" applyProtection="1">
      <alignment horizontal="left" vertical="top" wrapText="1" readingOrder="1"/>
      <protection locked="0"/>
    </xf>
    <xf numFmtId="0" fontId="4" fillId="3" borderId="136" xfId="0" applyFill="1" applyBorder="1" applyAlignment="1" applyProtection="1">
      <alignment horizontal="left" vertical="top" wrapText="1" readingOrder="1"/>
      <protection locked="0"/>
    </xf>
    <xf numFmtId="0" fontId="14" fillId="75" borderId="23" xfId="0" applyFont="1" applyFill="1" applyBorder="1" applyAlignment="1">
      <alignment horizontal="center" vertical="center"/>
    </xf>
    <xf numFmtId="175" fontId="4" fillId="2" borderId="91" xfId="11" applyBorder="1" applyAlignment="1" applyProtection="1">
      <alignment horizontal="center"/>
      <protection/>
    </xf>
    <xf numFmtId="175" fontId="4" fillId="2" borderId="90" xfId="11" applyBorder="1" applyAlignment="1" applyProtection="1">
      <alignment horizontal="center"/>
      <protection/>
    </xf>
    <xf numFmtId="2" fontId="4" fillId="3" borderId="17" xfId="43" applyNumberFormat="1" applyFont="1" applyFill="1" applyBorder="1" applyAlignment="1" applyProtection="1">
      <alignment horizontal="center" vertical="center"/>
      <protection/>
    </xf>
    <xf numFmtId="194" fontId="54" fillId="10" borderId="46" xfId="50" applyNumberFormat="1" applyFont="1" applyBorder="1" applyAlignment="1" applyProtection="1">
      <alignment horizontal="center" vertical="center"/>
      <protection/>
    </xf>
    <xf numFmtId="1" fontId="54" fillId="3" borderId="34" xfId="4" applyNumberFormat="1" applyFont="1" applyFill="1" applyBorder="1" applyAlignment="1">
      <alignment horizontal="center" vertical="center"/>
    </xf>
    <xf numFmtId="1" fontId="54" fillId="3" borderId="27" xfId="4" applyNumberFormat="1" applyFont="1" applyFill="1" applyBorder="1" applyAlignment="1">
      <alignment horizontal="center" vertical="center"/>
    </xf>
    <xf numFmtId="206" fontId="15" fillId="8" borderId="16" xfId="43" applyFont="1" applyFill="1" applyBorder="1" applyAlignment="1" applyProtection="1">
      <alignment horizontal="center" vertical="center"/>
      <protection/>
    </xf>
    <xf numFmtId="43" fontId="4" fillId="3" borderId="0" xfId="0" applyNumberFormat="1" applyFill="1" applyBorder="1" applyAlignment="1">
      <alignment horizontal="right" vertical="center"/>
    </xf>
    <xf numFmtId="206" fontId="4" fillId="77" borderId="16" xfId="43" applyFont="1" applyFill="1" applyBorder="1" applyAlignment="1" applyProtection="1">
      <alignment horizontal="right"/>
      <protection/>
    </xf>
    <xf numFmtId="176" fontId="196" fillId="69" borderId="22" xfId="50" applyNumberFormat="1" applyFont="1" applyFill="1" applyBorder="1" applyAlignment="1" applyProtection="1">
      <alignment horizontal="center"/>
      <protection/>
    </xf>
    <xf numFmtId="176" fontId="196" fillId="69" borderId="27" xfId="50" applyNumberFormat="1" applyFont="1" applyFill="1" applyBorder="1" applyAlignment="1" applyProtection="1">
      <alignment horizontal="center"/>
      <protection/>
    </xf>
    <xf numFmtId="209" fontId="0" fillId="2" borderId="1" xfId="63" applyFont="1" applyFill="1" applyBorder="1" applyAlignment="1" applyProtection="1">
      <alignment horizontal="center" vertical="center" wrapText="1"/>
      <protection locked="0"/>
    </xf>
    <xf numFmtId="209" fontId="4" fillId="0" borderId="0" xfId="63" applyFont="1" applyFill="1" applyAlignment="1" applyProtection="1">
      <alignment horizontal="center" vertical="center" wrapText="1"/>
      <protection hidden="1"/>
    </xf>
    <xf numFmtId="209" fontId="4" fillId="2" borderId="25" xfId="63" applyFont="1" applyFill="1" applyBorder="1" applyAlignment="1" applyProtection="1">
      <alignment horizontal="center" vertical="center" wrapText="1"/>
      <protection hidden="1"/>
    </xf>
    <xf numFmtId="17" fontId="63" fillId="3" borderId="16" xfId="24" applyFont="1" applyFill="1" applyBorder="1" applyProtection="1">
      <alignment horizontal="center" vertical="center"/>
      <protection hidden="1"/>
    </xf>
    <xf numFmtId="209" fontId="4" fillId="2" borderId="23" xfId="63" applyFont="1" applyFill="1" applyBorder="1" applyAlignment="1" applyProtection="1">
      <alignment horizontal="center" vertical="center" wrapText="1"/>
      <protection hidden="1"/>
    </xf>
    <xf numFmtId="209" fontId="4" fillId="12" borderId="0" xfId="63" applyFont="1" applyFill="1" applyBorder="1" applyAlignment="1" applyProtection="1">
      <alignment horizontal="center" vertical="center" wrapText="1"/>
      <protection hidden="1"/>
    </xf>
    <xf numFmtId="209" fontId="63" fillId="3" borderId="23" xfId="63" applyFont="1" applyFill="1" applyBorder="1" applyAlignment="1" applyProtection="1" quotePrefix="1">
      <alignment horizontal="center" vertical="center" wrapText="1"/>
      <protection hidden="1"/>
    </xf>
    <xf numFmtId="209" fontId="22" fillId="3" borderId="0" xfId="63" applyFont="1" applyFill="1" applyBorder="1" applyAlignment="1" applyProtection="1">
      <alignment horizontal="center" vertical="center" wrapText="1"/>
      <protection hidden="1"/>
    </xf>
    <xf numFmtId="209" fontId="16" fillId="12" borderId="0" xfId="63" applyFont="1" applyFill="1" applyBorder="1" applyAlignment="1" applyProtection="1">
      <alignment horizontal="center" vertical="center" wrapText="1"/>
      <protection hidden="1"/>
    </xf>
    <xf numFmtId="209" fontId="16" fillId="12" borderId="2" xfId="63" applyFont="1" applyFill="1" applyBorder="1" applyAlignment="1" applyProtection="1">
      <alignment horizontal="center" vertical="center" wrapText="1"/>
      <protection hidden="1"/>
    </xf>
    <xf numFmtId="209" fontId="118" fillId="4" borderId="138" xfId="63" applyFont="1" applyFill="1" applyBorder="1" applyAlignment="1" applyProtection="1">
      <alignment horizontal="center" vertical="center" wrapText="1"/>
      <protection hidden="1"/>
    </xf>
    <xf numFmtId="209" fontId="46" fillId="4" borderId="58" xfId="63" applyFont="1" applyFill="1" applyBorder="1" applyAlignment="1" applyProtection="1">
      <alignment horizontal="center" vertical="center" wrapText="1"/>
      <protection hidden="1"/>
    </xf>
    <xf numFmtId="209" fontId="23" fillId="12" borderId="0" xfId="63" applyFont="1" applyFill="1" applyBorder="1" applyAlignment="1" applyProtection="1">
      <alignment horizontal="center" vertical="center"/>
      <protection hidden="1"/>
    </xf>
    <xf numFmtId="209" fontId="63" fillId="3" borderId="0" xfId="63" applyFont="1" applyFill="1" applyBorder="1" applyAlignment="1" applyProtection="1" quotePrefix="1">
      <alignment horizontal="center" vertical="center" wrapText="1"/>
      <protection hidden="1"/>
    </xf>
    <xf numFmtId="209" fontId="133" fillId="35" borderId="84" xfId="63" applyFont="1" applyFill="1" applyBorder="1" applyAlignment="1" applyProtection="1">
      <alignment horizontal="center" vertical="center" wrapText="1"/>
      <protection hidden="1"/>
    </xf>
    <xf numFmtId="209" fontId="16" fillId="35" borderId="25" xfId="63" applyFont="1" applyFill="1" applyBorder="1" applyAlignment="1" applyProtection="1">
      <alignment horizontal="center" vertical="center" wrapText="1"/>
      <protection hidden="1"/>
    </xf>
    <xf numFmtId="209" fontId="137" fillId="35" borderId="0" xfId="63" applyFont="1" applyFill="1" applyBorder="1" applyAlignment="1" applyProtection="1">
      <alignment horizontal="center" vertical="center" wrapText="1"/>
      <protection hidden="1"/>
    </xf>
    <xf numFmtId="209" fontId="16" fillId="3" borderId="25" xfId="63" applyFont="1" applyFill="1" applyBorder="1" applyAlignment="1" applyProtection="1">
      <alignment horizontal="center" vertical="center" wrapText="1"/>
      <protection hidden="1"/>
    </xf>
    <xf numFmtId="186" fontId="34" fillId="3" borderId="16" xfId="55" applyNumberFormat="1" applyFont="1" applyFill="1" applyBorder="1" applyAlignment="1">
      <alignment horizontal="right"/>
      <protection locked="0"/>
    </xf>
    <xf numFmtId="186" fontId="34" fillId="2" borderId="16" xfId="55" applyNumberFormat="1" applyFont="1" applyFill="1" applyBorder="1" applyAlignment="1">
      <alignment horizontal="right"/>
      <protection locked="0"/>
    </xf>
    <xf numFmtId="0" fontId="4" fillId="2" borderId="25" xfId="0" applyFill="1" applyBorder="1" applyAlignment="1">
      <alignment horizontal="center" vertical="center"/>
    </xf>
    <xf numFmtId="0" fontId="34" fillId="14" borderId="20" xfId="0" applyFont="1" applyFill="1" applyBorder="1" applyAlignment="1">
      <alignment horizontal="center" vertical="center" shrinkToFit="1"/>
    </xf>
    <xf numFmtId="0" fontId="53" fillId="3" borderId="25" xfId="0" applyFont="1" applyFill="1" applyBorder="1" applyAlignment="1">
      <alignment horizontal="center" vertical="center"/>
    </xf>
    <xf numFmtId="0" fontId="53" fillId="3" borderId="0" xfId="0" applyFont="1" applyFill="1" applyBorder="1" applyAlignment="1">
      <alignment horizontal="center" vertical="center"/>
    </xf>
    <xf numFmtId="0" fontId="6" fillId="3" borderId="0" xfId="0" applyFont="1" applyFill="1" applyBorder="1" applyAlignment="1">
      <alignment horizontal="center" vertical="center"/>
    </xf>
    <xf numFmtId="186" fontId="34" fillId="2" borderId="21" xfId="55" applyNumberFormat="1" applyFont="1" applyFill="1" applyBorder="1" applyAlignment="1">
      <alignment horizontal="right"/>
      <protection locked="0"/>
    </xf>
    <xf numFmtId="179" fontId="15" fillId="8" borderId="16" xfId="25" applyNumberFormat="1" applyFont="1" applyFill="1" applyBorder="1" applyAlignment="1">
      <alignment horizontal="center" vertical="center" wrapText="1"/>
    </xf>
    <xf numFmtId="0" fontId="4" fillId="0" borderId="0" xfId="0" applyProtection="1">
      <alignment horizontal="left" vertical="center"/>
      <protection hidden="1"/>
    </xf>
    <xf numFmtId="0" fontId="4" fillId="2" borderId="25" xfId="0" applyFill="1" applyBorder="1" applyProtection="1">
      <alignment horizontal="left" vertical="center"/>
      <protection hidden="1"/>
    </xf>
    <xf numFmtId="0" fontId="4" fillId="2" borderId="0" xfId="0" applyFill="1" applyBorder="1" applyProtection="1">
      <alignment horizontal="left" vertical="center"/>
      <protection hidden="1"/>
    </xf>
    <xf numFmtId="0" fontId="207" fillId="2" borderId="0" xfId="0" applyFont="1" applyFill="1" applyBorder="1" applyProtection="1">
      <alignment horizontal="left" vertical="center"/>
      <protection hidden="1"/>
    </xf>
    <xf numFmtId="0" fontId="207" fillId="2" borderId="23" xfId="0" applyFont="1" applyFill="1" applyBorder="1" applyProtection="1">
      <alignment horizontal="left" vertical="center"/>
      <protection hidden="1"/>
    </xf>
    <xf numFmtId="0" fontId="4" fillId="12" borderId="25" xfId="0" applyFill="1" applyBorder="1" applyProtection="1">
      <alignment horizontal="left" vertical="center"/>
      <protection hidden="1"/>
    </xf>
    <xf numFmtId="0" fontId="4" fillId="3" borderId="0" xfId="14" applyFont="1" applyFill="1" applyProtection="1">
      <alignment horizontal="left" vertical="center"/>
      <protection hidden="1"/>
    </xf>
    <xf numFmtId="0" fontId="54" fillId="12" borderId="0" xfId="0" applyFont="1" applyFill="1" applyBorder="1" applyProtection="1">
      <alignment horizontal="left" vertical="center"/>
      <protection hidden="1"/>
    </xf>
    <xf numFmtId="0" fontId="4" fillId="3" borderId="0" xfId="0" applyFill="1" applyBorder="1" applyProtection="1">
      <alignment horizontal="left" vertical="center"/>
      <protection hidden="1"/>
    </xf>
    <xf numFmtId="0" fontId="46" fillId="31" borderId="0" xfId="29" applyFont="1" applyFill="1" applyBorder="1">
      <alignment horizontal="left" vertical="center" wrapText="1" shrinkToFit="1"/>
      <protection/>
    </xf>
    <xf numFmtId="0" fontId="178" fillId="12" borderId="0" xfId="46" applyFont="1" applyFill="1" applyBorder="1" applyAlignment="1" applyProtection="1">
      <alignment vertical="center"/>
      <protection hidden="1"/>
    </xf>
    <xf numFmtId="0" fontId="238" fillId="12" borderId="23" xfId="19" applyFont="1" applyFill="1" applyBorder="1" applyProtection="1">
      <alignment horizontal="left" vertical="center"/>
      <protection hidden="1"/>
    </xf>
    <xf numFmtId="0" fontId="90" fillId="8" borderId="25" xfId="0" applyFont="1" applyFill="1" applyBorder="1" applyProtection="1">
      <alignment horizontal="left" vertical="center"/>
      <protection hidden="1"/>
    </xf>
    <xf numFmtId="0" fontId="46" fillId="8" borderId="25" xfId="0" applyFont="1" applyFill="1" applyBorder="1" applyProtection="1">
      <alignment horizontal="left" vertical="center"/>
      <protection hidden="1"/>
    </xf>
    <xf numFmtId="0" fontId="90" fillId="8" borderId="0" xfId="0" applyFont="1" applyFill="1" applyBorder="1" applyProtection="1">
      <alignment horizontal="left" vertical="center"/>
      <protection hidden="1"/>
    </xf>
    <xf numFmtId="0" fontId="46" fillId="8" borderId="0" xfId="0" applyFont="1" applyFill="1" applyBorder="1" applyProtection="1">
      <alignment horizontal="left" vertical="center"/>
      <protection hidden="1"/>
    </xf>
    <xf numFmtId="0" fontId="4" fillId="8" borderId="23" xfId="0" applyFill="1" applyBorder="1" applyProtection="1">
      <alignment horizontal="left" vertical="center"/>
      <protection hidden="1"/>
    </xf>
    <xf numFmtId="0" fontId="4" fillId="12" borderId="0" xfId="0" applyFill="1" applyBorder="1" applyProtection="1">
      <alignment horizontal="left" vertical="center"/>
      <protection hidden="1"/>
    </xf>
    <xf numFmtId="0" fontId="178" fillId="12" borderId="2" xfId="46" applyFont="1" applyFill="1" applyAlignment="1" applyProtection="1">
      <alignment vertical="center"/>
      <protection hidden="1"/>
    </xf>
    <xf numFmtId="0" fontId="46" fillId="4" borderId="0" xfId="0" applyFont="1" applyFill="1" applyBorder="1" applyProtection="1">
      <alignment horizontal="left" vertical="center"/>
      <protection hidden="1"/>
    </xf>
    <xf numFmtId="192" fontId="34" fillId="4" borderId="0" xfId="24" applyNumberFormat="1" applyFont="1" applyFill="1" applyBorder="1" applyProtection="1">
      <alignment horizontal="center" vertical="center"/>
      <protection hidden="1"/>
    </xf>
    <xf numFmtId="17" fontId="34" fillId="4" borderId="0" xfId="24" applyFont="1" applyFill="1" applyBorder="1" applyProtection="1">
      <alignment horizontal="center" vertical="center"/>
      <protection hidden="1"/>
    </xf>
    <xf numFmtId="192" fontId="54" fillId="4" borderId="0" xfId="24" applyNumberFormat="1" applyFont="1" applyFill="1" applyBorder="1" applyProtection="1">
      <alignment horizontal="center" vertical="center"/>
      <protection hidden="1"/>
    </xf>
    <xf numFmtId="17" fontId="54" fillId="4" borderId="0" xfId="24" applyFont="1" applyFill="1" applyBorder="1" applyProtection="1">
      <alignment horizontal="center" vertical="center"/>
      <protection hidden="1"/>
    </xf>
    <xf numFmtId="0" fontId="4" fillId="4" borderId="58" xfId="0" applyFill="1" applyBorder="1" applyProtection="1">
      <alignment horizontal="left" vertical="center"/>
      <protection hidden="1"/>
    </xf>
    <xf numFmtId="0" fontId="46" fillId="35" borderId="84" xfId="0" applyFont="1" applyFill="1" applyBorder="1" applyProtection="1">
      <alignment horizontal="left" vertical="center"/>
      <protection hidden="1"/>
    </xf>
    <xf numFmtId="0" fontId="4" fillId="35" borderId="84" xfId="0" applyFill="1" applyBorder="1">
      <alignment horizontal="left" vertical="center"/>
    </xf>
    <xf numFmtId="0" fontId="46" fillId="35" borderId="0" xfId="0" applyFont="1" applyFill="1" applyBorder="1" applyProtection="1">
      <alignment horizontal="left" vertical="center"/>
      <protection hidden="1"/>
    </xf>
    <xf numFmtId="0" fontId="4" fillId="35" borderId="0" xfId="0" applyFill="1" applyBorder="1" applyProtection="1">
      <alignment horizontal="left" vertical="center"/>
      <protection hidden="1"/>
    </xf>
    <xf numFmtId="180" fontId="171" fillId="35" borderId="0" xfId="0" applyNumberFormat="1" applyFont="1" applyFill="1" applyBorder="1" applyAlignment="1" applyProtection="1">
      <alignment horizontal="left" wrapText="1"/>
      <protection hidden="1"/>
    </xf>
    <xf numFmtId="0" fontId="4" fillId="35" borderId="0" xfId="0" applyFill="1" applyBorder="1" applyAlignment="1" applyProtection="1">
      <alignment vertical="center"/>
      <protection hidden="1"/>
    </xf>
    <xf numFmtId="0" fontId="238" fillId="35" borderId="0" xfId="0" applyFont="1" applyFill="1" applyBorder="1" applyAlignment="1" applyProtection="1">
      <alignment vertical="center"/>
      <protection hidden="1"/>
    </xf>
    <xf numFmtId="0" fontId="4" fillId="35" borderId="58" xfId="0" applyFill="1" applyBorder="1" applyProtection="1">
      <alignment horizontal="left" vertical="center"/>
      <protection hidden="1"/>
    </xf>
    <xf numFmtId="0" fontId="4" fillId="35" borderId="25" xfId="0" applyFill="1" applyBorder="1" applyProtection="1">
      <alignment horizontal="left" vertical="center"/>
      <protection hidden="1"/>
    </xf>
    <xf numFmtId="180" fontId="208" fillId="35" borderId="0" xfId="0" applyNumberFormat="1" applyFont="1" applyFill="1" applyBorder="1" applyAlignment="1" applyProtection="1">
      <alignment horizontal="left" wrapText="1"/>
      <protection hidden="1"/>
    </xf>
    <xf numFmtId="0" fontId="4" fillId="35" borderId="23" xfId="0" applyFill="1" applyBorder="1" applyProtection="1">
      <alignment horizontal="left" vertical="center"/>
      <protection hidden="1"/>
    </xf>
    <xf numFmtId="3" fontId="46" fillId="4" borderId="0" xfId="43" applyNumberFormat="1" applyFont="1" applyFill="1" applyBorder="1" applyAlignment="1" applyProtection="1">
      <alignment vertical="center"/>
      <protection hidden="1"/>
    </xf>
    <xf numFmtId="180" fontId="171" fillId="4" borderId="0" xfId="0" applyNumberFormat="1" applyFont="1" applyFill="1" applyBorder="1" applyAlignment="1" applyProtection="1">
      <alignment horizontal="left" wrapText="1"/>
      <protection hidden="1"/>
    </xf>
    <xf numFmtId="188" fontId="4" fillId="2" borderId="16" xfId="55" applyNumberFormat="1" applyFont="1" applyFill="1" applyBorder="1" applyAlignment="1">
      <alignment horizontal="center" vertical="center"/>
      <protection locked="0"/>
    </xf>
    <xf numFmtId="0" fontId="4" fillId="4" borderId="0" xfId="0" applyFill="1" applyBorder="1" applyAlignment="1" applyProtection="1">
      <alignment vertical="center"/>
      <protection hidden="1"/>
    </xf>
    <xf numFmtId="0" fontId="4" fillId="4" borderId="0" xfId="0" applyFill="1" applyBorder="1" applyProtection="1">
      <alignment horizontal="left" vertical="center"/>
      <protection hidden="1"/>
    </xf>
    <xf numFmtId="0" fontId="4" fillId="3" borderId="25" xfId="46" applyFont="1" applyFill="1" applyBorder="1" applyAlignment="1" applyProtection="1">
      <alignment horizontal="left" vertical="center" indent="1"/>
      <protection hidden="1"/>
    </xf>
    <xf numFmtId="0" fontId="238" fillId="3" borderId="0" xfId="0" applyFont="1" applyFill="1" applyBorder="1" applyProtection="1">
      <alignment horizontal="left" vertical="center"/>
      <protection hidden="1"/>
    </xf>
    <xf numFmtId="0" fontId="4" fillId="3" borderId="0" xfId="46" applyFont="1" applyFill="1" applyBorder="1" applyAlignment="1" applyProtection="1">
      <alignment horizontal="left" vertical="center" indent="1"/>
      <protection hidden="1"/>
    </xf>
    <xf numFmtId="0" fontId="4" fillId="3" borderId="0" xfId="0" applyFill="1" applyBorder="1" applyAlignment="1" applyProtection="1">
      <alignment horizontal="left" vertical="top" indent="2"/>
      <protection hidden="1"/>
    </xf>
    <xf numFmtId="0" fontId="4" fillId="3" borderId="0" xfId="0" applyFill="1" applyBorder="1" applyAlignment="1" applyProtection="1">
      <alignment vertical="top"/>
      <protection hidden="1"/>
    </xf>
    <xf numFmtId="166" fontId="238" fillId="3" borderId="0" xfId="46" applyNumberFormat="1" applyFont="1" applyFill="1" applyBorder="1" applyAlignment="1" applyProtection="1">
      <alignment horizontal="right"/>
      <protection hidden="1"/>
    </xf>
    <xf numFmtId="208" fontId="4" fillId="2" borderId="16" xfId="6" applyFont="1" applyFill="1" applyBorder="1" applyAlignment="1" applyProtection="1">
      <alignment horizontal="center" vertical="center"/>
      <protection hidden="1" locked="0"/>
    </xf>
    <xf numFmtId="0" fontId="4" fillId="2" borderId="16" xfId="55" applyFont="1" applyFill="1" applyBorder="1" applyAlignment="1">
      <alignment horizontal="center" vertical="center"/>
      <protection locked="0"/>
    </xf>
    <xf numFmtId="0" fontId="4" fillId="25" borderId="46" xfId="0" applyFill="1" applyBorder="1">
      <alignment horizontal="left" vertical="center"/>
    </xf>
    <xf numFmtId="0" fontId="4" fillId="25" borderId="21" xfId="0" applyFill="1" applyBorder="1">
      <alignment horizontal="left" vertical="center"/>
    </xf>
    <xf numFmtId="0" fontId="4" fillId="27" borderId="0" xfId="0" applyFill="1" applyBorder="1">
      <alignment horizontal="left" vertical="center"/>
    </xf>
    <xf numFmtId="0" fontId="150" fillId="0" borderId="0" xfId="0" applyFont="1">
      <alignment horizontal="left" vertical="center"/>
    </xf>
    <xf numFmtId="0" fontId="150" fillId="0" borderId="0" xfId="0" applyFont="1" applyFill="1">
      <alignment horizontal="left" vertical="center"/>
    </xf>
    <xf numFmtId="0" fontId="150" fillId="0" borderId="0" xfId="0" applyFont="1" applyBorder="1" applyAlignment="1">
      <alignment horizontal="left" vertical="center" shrinkToFit="1"/>
    </xf>
    <xf numFmtId="0" fontId="150" fillId="0" borderId="0" xfId="0" applyFont="1" applyBorder="1">
      <alignment horizontal="left" vertical="center"/>
    </xf>
    <xf numFmtId="0" fontId="150" fillId="0" borderId="0" xfId="0" applyFont="1" applyAlignment="1">
      <alignment horizontal="left" vertical="center" shrinkToFit="1"/>
    </xf>
    <xf numFmtId="0" fontId="53" fillId="2" borderId="27" xfId="55" applyFont="1" applyFill="1" applyBorder="1" applyAlignment="1">
      <alignment horizontal="left" vertical="center" indent="1"/>
      <protection locked="0"/>
    </xf>
    <xf numFmtId="0" fontId="53" fillId="2" borderId="21" xfId="55" applyFont="1" applyFill="1" applyBorder="1" applyAlignment="1">
      <alignment horizontal="left" vertical="center" indent="1"/>
      <protection locked="0"/>
    </xf>
    <xf numFmtId="0" fontId="81" fillId="3" borderId="35" xfId="15" applyFill="1" applyBorder="1" applyAlignment="1">
      <alignment horizontal="left" vertical="center" indent="2"/>
      <protection/>
    </xf>
    <xf numFmtId="0" fontId="238" fillId="3" borderId="16" xfId="14" applyFont="1" applyFill="1" applyBorder="1" applyAlignment="1">
      <alignment horizontal="center" vertical="center"/>
      <protection/>
    </xf>
    <xf numFmtId="197" fontId="4" fillId="3" borderId="50" xfId="0" applyNumberFormat="1" applyFill="1" applyBorder="1" applyAlignment="1">
      <alignment horizontal="center" vertical="center"/>
    </xf>
    <xf numFmtId="2" fontId="4" fillId="0" borderId="0" xfId="0" applyNumberFormat="1" applyAlignment="1" quotePrefix="1">
      <alignment horizontal="center" vertical="center" wrapText="1"/>
    </xf>
    <xf numFmtId="0" fontId="15" fillId="31" borderId="17" xfId="0" applyFont="1" applyFill="1" applyBorder="1" applyAlignment="1">
      <alignment horizontal="center" vertical="center" wrapText="1" readingOrder="1"/>
    </xf>
    <xf numFmtId="0" fontId="22" fillId="31" borderId="43" xfId="0" applyFont="1" applyFill="1" applyBorder="1" applyAlignment="1">
      <alignment horizontal="center" vertical="center" wrapText="1" readingOrder="1"/>
    </xf>
    <xf numFmtId="0" fontId="15" fillId="31" borderId="0" xfId="0" applyFont="1" applyFill="1" applyBorder="1" applyAlignment="1">
      <alignment horizontal="center" vertical="center" wrapText="1" readingOrder="1"/>
    </xf>
    <xf numFmtId="175" fontId="4" fillId="2" borderId="16" xfId="11" applyBorder="1" applyProtection="1">
      <alignment horizontal="right"/>
      <protection/>
    </xf>
    <xf numFmtId="175" fontId="4" fillId="2" borderId="16" xfId="11" applyBorder="1" applyAlignment="1" applyProtection="1">
      <alignment horizontal="center"/>
      <protection/>
    </xf>
    <xf numFmtId="175" fontId="4" fillId="78" borderId="16" xfId="11" applyFill="1" applyBorder="1" applyProtection="1">
      <alignment horizontal="right"/>
      <protection/>
    </xf>
    <xf numFmtId="206" fontId="4" fillId="3" borderId="21" xfId="43" applyFont="1" applyFill="1" applyBorder="1" applyAlignment="1" applyProtection="1">
      <alignment horizontal="center"/>
      <protection locked="0"/>
    </xf>
    <xf numFmtId="179" fontId="34" fillId="3" borderId="22" xfId="18" applyNumberFormat="1" applyFont="1" applyFill="1" applyBorder="1" applyAlignment="1" applyProtection="1" quotePrefix="1">
      <alignment horizontal="center" vertical="center" wrapText="1"/>
      <protection/>
    </xf>
    <xf numFmtId="179" fontId="4" fillId="2" borderId="16" xfId="10" applyFill="1" applyBorder="1" applyAlignment="1" applyProtection="1">
      <alignment horizontal="center" vertical="center"/>
      <protection locked="0"/>
    </xf>
    <xf numFmtId="17" fontId="4" fillId="2" borderId="16" xfId="24" applyFont="1" applyFill="1" applyBorder="1" applyProtection="1">
      <alignment horizontal="center" vertical="center"/>
      <protection/>
    </xf>
    <xf numFmtId="0" fontId="4" fillId="2" borderId="16" xfId="55" applyFont="1" applyFill="1" applyBorder="1" applyProtection="1">
      <alignment horizontal="left" vertical="center" indent="1"/>
      <protection/>
    </xf>
    <xf numFmtId="186" fontId="4" fillId="2" borderId="46" xfId="55" applyNumberFormat="1" applyFont="1" applyFill="1" applyBorder="1" applyAlignment="1" applyProtection="1">
      <alignment horizontal="right"/>
      <protection/>
    </xf>
    <xf numFmtId="186" fontId="4" fillId="2" borderId="50" xfId="55" applyNumberFormat="1" applyFont="1" applyFill="1" applyBorder="1" applyAlignment="1" applyProtection="1">
      <alignment horizontal="right"/>
      <protection/>
    </xf>
    <xf numFmtId="0" fontId="4" fillId="12" borderId="0" xfId="0" applyFill="1" applyBorder="1" applyAlignment="1">
      <alignment horizontal="center" vertical="center"/>
    </xf>
    <xf numFmtId="179" fontId="4" fillId="3" borderId="0" xfId="0" applyNumberFormat="1" applyFill="1" applyBorder="1" applyAlignment="1">
      <alignment horizontal="center"/>
    </xf>
    <xf numFmtId="210" fontId="53" fillId="12" borderId="0" xfId="24" applyNumberFormat="1" applyFont="1" applyFill="1" applyBorder="1">
      <alignment horizontal="center" vertical="center"/>
    </xf>
    <xf numFmtId="210" fontId="53" fillId="12" borderId="27" xfId="24" applyNumberFormat="1" applyFont="1" applyFill="1" applyBorder="1">
      <alignment horizontal="center" vertical="center"/>
    </xf>
    <xf numFmtId="1" fontId="53" fillId="12" borderId="34" xfId="4" applyNumberFormat="1" applyFont="1" applyFill="1" applyBorder="1" applyAlignment="1">
      <alignment horizontal="center" vertical="center"/>
    </xf>
    <xf numFmtId="1" fontId="53" fillId="12" borderId="0" xfId="4" applyNumberFormat="1" applyFont="1" applyFill="1" applyBorder="1" applyAlignment="1">
      <alignment horizontal="center" vertical="center"/>
    </xf>
    <xf numFmtId="1" fontId="53" fillId="12" borderId="27" xfId="4" applyNumberFormat="1" applyFont="1" applyFill="1" applyBorder="1" applyAlignment="1">
      <alignment horizontal="center" vertical="center"/>
    </xf>
    <xf numFmtId="17" fontId="53" fillId="12" borderId="0" xfId="0" applyNumberFormat="1" applyFont="1" applyFill="1" applyBorder="1" applyAlignment="1">
      <alignment horizontal="center" vertical="center"/>
    </xf>
    <xf numFmtId="17" fontId="53" fillId="12" borderId="27" xfId="0" applyNumberFormat="1" applyFont="1" applyFill="1" applyBorder="1" applyAlignment="1">
      <alignment horizontal="center" vertical="center"/>
    </xf>
    <xf numFmtId="194" fontId="165" fillId="3" borderId="0" xfId="0" applyNumberFormat="1" applyFont="1" applyFill="1" applyBorder="1" applyAlignment="1">
      <alignment horizontal="center" vertical="center"/>
    </xf>
    <xf numFmtId="197" fontId="53" fillId="3" borderId="0" xfId="0" applyNumberFormat="1" applyFont="1" applyFill="1" applyBorder="1" applyAlignment="1">
      <alignment horizontal="center" vertical="center"/>
    </xf>
    <xf numFmtId="197" fontId="53" fillId="3" borderId="46" xfId="0" applyNumberFormat="1" applyFont="1" applyFill="1" applyBorder="1" applyAlignment="1">
      <alignment horizontal="center" vertical="center"/>
    </xf>
    <xf numFmtId="197" fontId="53" fillId="3" borderId="46" xfId="6" applyNumberFormat="1" applyFont="1" applyFill="1" applyBorder="1" applyAlignment="1" applyProtection="1">
      <alignment horizontal="center" vertical="center"/>
      <protection/>
    </xf>
    <xf numFmtId="0" fontId="14" fillId="19" borderId="0" xfId="4" applyNumberFormat="1" applyFont="1" applyFill="1" applyAlignment="1">
      <alignment horizontal="left" vertical="center" indent="1"/>
    </xf>
    <xf numFmtId="0" fontId="14" fillId="19" borderId="0" xfId="4" applyNumberFormat="1" applyFont="1" applyFill="1" applyBorder="1" applyAlignment="1">
      <alignment horizontal="left" vertical="center" indent="1"/>
    </xf>
    <xf numFmtId="0" fontId="14" fillId="79" borderId="134" xfId="0" applyFont="1" applyFill="1" applyBorder="1" applyAlignment="1">
      <alignment vertical="center"/>
    </xf>
    <xf numFmtId="0" fontId="4" fillId="47" borderId="134" xfId="0" applyFill="1" applyBorder="1" applyAlignment="1">
      <alignment vertical="center"/>
    </xf>
    <xf numFmtId="0" fontId="178" fillId="3" borderId="0" xfId="15" applyFont="1" applyFill="1" applyBorder="1" applyAlignment="1">
      <alignment horizontal="center" vertical="center"/>
      <protection/>
    </xf>
    <xf numFmtId="14" fontId="4" fillId="0" borderId="0" xfId="0" applyNumberFormat="1" applyAlignment="1">
      <alignment horizontal="center" vertical="center"/>
    </xf>
    <xf numFmtId="0" fontId="12" fillId="74" borderId="134" xfId="0" applyFont="1" applyFill="1" applyBorder="1" applyAlignment="1">
      <alignment vertical="center"/>
    </xf>
    <xf numFmtId="17" fontId="46" fillId="14" borderId="27" xfId="24" applyFont="1" applyFill="1" applyBorder="1">
      <alignment horizontal="center" vertical="center"/>
    </xf>
    <xf numFmtId="210" fontId="55" fillId="3" borderId="27" xfId="24" applyNumberFormat="1" applyFont="1" applyFill="1" applyBorder="1">
      <alignment horizontal="center" vertical="center"/>
    </xf>
    <xf numFmtId="17" fontId="55" fillId="3" borderId="27" xfId="0" applyNumberFormat="1" applyFont="1" applyFill="1" applyBorder="1" applyAlignment="1">
      <alignment horizontal="center" vertical="center"/>
    </xf>
    <xf numFmtId="204" fontId="173" fillId="12" borderId="27" xfId="0" applyNumberFormat="1" applyFont="1" applyFill="1" applyBorder="1" applyAlignment="1">
      <alignment horizontal="center" vertical="center"/>
    </xf>
    <xf numFmtId="0" fontId="46" fillId="14" borderId="27" xfId="59" applyBorder="1" applyAlignment="1">
      <alignment horizontal="center" vertical="center"/>
      <protection/>
    </xf>
    <xf numFmtId="186" fontId="4" fillId="2" borderId="27" xfId="55" applyNumberFormat="1" applyFont="1" applyFill="1" applyBorder="1" applyAlignment="1">
      <alignment horizontal="right"/>
      <protection locked="0"/>
    </xf>
    <xf numFmtId="2" fontId="4" fillId="2" borderId="0" xfId="54" applyNumberFormat="1" applyFont="1" applyFill="1" applyBorder="1" applyAlignment="1">
      <alignment horizontal="right" vertical="center"/>
      <protection/>
    </xf>
    <xf numFmtId="43" fontId="173" fillId="12" borderId="0" xfId="4" applyFont="1" applyFill="1" applyBorder="1" applyAlignment="1">
      <alignment horizontal="center" vertical="center"/>
    </xf>
    <xf numFmtId="1" fontId="46" fillId="14" borderId="27" xfId="59" applyNumberFormat="1" applyBorder="1" applyAlignment="1">
      <alignment horizontal="center" vertical="center"/>
      <protection/>
    </xf>
    <xf numFmtId="204" fontId="173" fillId="12" borderId="0" xfId="0" applyNumberFormat="1" applyFont="1" applyFill="1" applyBorder="1" applyAlignment="1">
      <alignment horizontal="center" vertical="center"/>
    </xf>
    <xf numFmtId="0" fontId="54" fillId="12" borderId="27" xfId="0" applyFont="1" applyFill="1" applyBorder="1" applyAlignment="1">
      <alignment horizontal="center" vertical="center"/>
    </xf>
    <xf numFmtId="186" fontId="34" fillId="3" borderId="27" xfId="55" applyNumberFormat="1" applyFont="1" applyFill="1" applyBorder="1" applyAlignment="1">
      <alignment horizontal="right"/>
      <protection locked="0"/>
    </xf>
    <xf numFmtId="206" fontId="54" fillId="3" borderId="27" xfId="43" applyFont="1" applyFill="1" applyBorder="1" applyAlignment="1" applyProtection="1">
      <alignment horizontal="center" vertical="center"/>
      <protection hidden="1"/>
    </xf>
    <xf numFmtId="186" fontId="34" fillId="2" borderId="27" xfId="55" applyNumberFormat="1" applyFont="1" applyFill="1" applyBorder="1" applyAlignment="1">
      <alignment horizontal="right"/>
      <protection locked="0"/>
    </xf>
    <xf numFmtId="186" fontId="4" fillId="11" borderId="0" xfId="51" applyNumberFormat="1" applyFont="1" applyBorder="1" applyAlignment="1">
      <alignment horizontal="right" vertical="center"/>
      <protection/>
    </xf>
    <xf numFmtId="196" fontId="15" fillId="8" borderId="27" xfId="4" applyNumberFormat="1" applyFont="1" applyFill="1" applyBorder="1" applyAlignment="1" applyProtection="1">
      <alignment horizontal="right" vertical="center" wrapText="1"/>
      <protection/>
    </xf>
    <xf numFmtId="196" fontId="15" fillId="8" borderId="27" xfId="49" applyNumberFormat="1" applyFont="1" applyFill="1" applyBorder="1" applyAlignment="1" applyProtection="1" quotePrefix="1">
      <alignment horizontal="right" vertical="center" wrapText="1"/>
      <protection/>
    </xf>
    <xf numFmtId="2" fontId="4" fillId="2" borderId="0" xfId="43" applyNumberFormat="1" applyFont="1" applyFill="1" applyBorder="1" applyAlignment="1" applyProtection="1">
      <alignment horizontal="right" vertical="center"/>
      <protection hidden="1" locked="0"/>
    </xf>
    <xf numFmtId="2" fontId="4" fillId="3" borderId="0" xfId="43" applyNumberFormat="1" applyFont="1" applyFill="1" applyBorder="1" applyAlignment="1" applyProtection="1">
      <alignment horizontal="center" vertical="center"/>
      <protection hidden="1" locked="0"/>
    </xf>
    <xf numFmtId="2" fontId="4" fillId="2" borderId="0" xfId="43" applyNumberFormat="1" applyFont="1" applyFill="1" applyBorder="1" applyAlignment="1" applyProtection="1">
      <alignment horizontal="center" vertical="center"/>
      <protection hidden="1" locked="0"/>
    </xf>
    <xf numFmtId="179" fontId="15" fillId="8" borderId="27" xfId="25" applyNumberFormat="1" applyFont="1" applyFill="1" applyBorder="1" applyAlignment="1">
      <alignment horizontal="center" vertical="center" wrapText="1"/>
    </xf>
    <xf numFmtId="17" fontId="46" fillId="3" borderId="27" xfId="24" applyFont="1" applyFill="1" applyBorder="1">
      <alignment horizontal="center" vertical="center"/>
    </xf>
    <xf numFmtId="186" fontId="46" fillId="14" borderId="27" xfId="59" applyNumberFormat="1" applyBorder="1" applyAlignment="1">
      <alignment horizontal="center" vertical="center"/>
      <protection/>
    </xf>
    <xf numFmtId="1" fontId="54" fillId="12" borderId="27" xfId="0" applyNumberFormat="1" applyFont="1" applyFill="1" applyBorder="1" applyAlignment="1">
      <alignment horizontal="center" vertical="center"/>
    </xf>
    <xf numFmtId="2" fontId="4" fillId="2" borderId="27" xfId="54" applyNumberFormat="1" applyFont="1" applyFill="1" applyBorder="1" applyAlignment="1">
      <alignment horizontal="right" vertical="center"/>
      <protection/>
    </xf>
    <xf numFmtId="206" fontId="4" fillId="2" borderId="0" xfId="43" applyFont="1" applyFill="1" applyBorder="1" applyAlignment="1" applyProtection="1">
      <alignment horizontal="right" vertical="center"/>
      <protection hidden="1" locked="0"/>
    </xf>
    <xf numFmtId="186" fontId="34" fillId="20" borderId="27" xfId="54" applyNumberFormat="1" applyFont="1" applyFill="1" applyBorder="1" applyAlignment="1">
      <alignment horizontal="right"/>
      <protection/>
    </xf>
    <xf numFmtId="186" fontId="4" fillId="2" borderId="0" xfId="54" applyNumberFormat="1" applyFont="1" applyFill="1" applyBorder="1" applyAlignment="1">
      <alignment horizontal="right" vertical="center"/>
      <protection/>
    </xf>
    <xf numFmtId="186" fontId="4" fillId="2" borderId="28" xfId="55" applyNumberFormat="1" applyFont="1" applyFill="1" applyBorder="1" applyAlignment="1">
      <alignment horizontal="right"/>
      <protection locked="0"/>
    </xf>
    <xf numFmtId="17" fontId="63" fillId="14" borderId="27" xfId="24" applyFont="1" applyFill="1" applyBorder="1">
      <alignment horizontal="center" vertical="center"/>
    </xf>
    <xf numFmtId="2" fontId="4" fillId="3" borderId="0" xfId="43" applyNumberFormat="1" applyFont="1" applyFill="1" applyBorder="1" applyAlignment="1" applyProtection="1">
      <alignment horizontal="center" vertical="center"/>
      <protection/>
    </xf>
    <xf numFmtId="2" fontId="4" fillId="0" borderId="0" xfId="0" applyNumberFormat="1" applyFill="1" applyBorder="1" applyAlignment="1">
      <alignment horizontal="center" vertical="center"/>
    </xf>
    <xf numFmtId="186" fontId="4" fillId="3" borderId="16" xfId="54" applyNumberFormat="1" applyFont="1" applyFill="1" applyBorder="1" applyAlignment="1">
      <alignment horizontal="right"/>
      <protection/>
    </xf>
    <xf numFmtId="186" fontId="4" fillId="3" borderId="16" xfId="54" applyNumberFormat="1" applyFont="1" applyFill="1" applyBorder="1" applyAlignment="1">
      <alignment horizontal="right"/>
      <protection/>
    </xf>
    <xf numFmtId="186" fontId="4" fillId="3" borderId="16" xfId="55" applyNumberFormat="1" applyFont="1" applyFill="1" applyBorder="1" applyAlignment="1" applyProtection="1">
      <alignment horizontal="right"/>
      <protection hidden="1"/>
    </xf>
    <xf numFmtId="0" fontId="149" fillId="19" borderId="0" xfId="0" applyFont="1" applyFill="1">
      <alignment horizontal="left" vertical="center"/>
    </xf>
    <xf numFmtId="0" fontId="14" fillId="80" borderId="0" xfId="0" applyFont="1" applyFill="1">
      <alignment horizontal="left" vertical="center"/>
    </xf>
    <xf numFmtId="0" fontId="151" fillId="19" borderId="0" xfId="0" applyFont="1" applyFill="1" applyBorder="1" applyAlignment="1">
      <alignment horizontal="left" vertical="center" shrinkToFit="1"/>
    </xf>
    <xf numFmtId="43" fontId="14" fillId="19" borderId="0" xfId="4" applyFont="1" applyFill="1" applyAlignment="1" applyProtection="1">
      <alignment horizontal="left" vertical="center"/>
      <protection/>
    </xf>
    <xf numFmtId="0" fontId="149" fillId="19" borderId="23" xfId="0" applyFont="1" applyFill="1" applyBorder="1">
      <alignment horizontal="left" vertical="center"/>
    </xf>
    <xf numFmtId="43" fontId="14" fillId="19" borderId="23" xfId="4" applyFont="1" applyFill="1" applyBorder="1" applyAlignment="1" applyProtection="1">
      <alignment horizontal="left" vertical="center"/>
      <protection/>
    </xf>
    <xf numFmtId="0" fontId="149" fillId="19" borderId="0" xfId="0" applyFont="1" applyFill="1" applyBorder="1">
      <alignment horizontal="left" vertical="center"/>
    </xf>
    <xf numFmtId="2" fontId="62" fillId="2" borderId="0" xfId="0" applyNumberFormat="1" applyFont="1" applyFill="1" applyBorder="1" applyAlignment="1">
      <alignment vertical="center"/>
    </xf>
    <xf numFmtId="0" fontId="209" fillId="12" borderId="22" xfId="0" applyFont="1" applyFill="1" applyBorder="1" applyAlignment="1">
      <alignment horizontal="center" vertical="center"/>
    </xf>
    <xf numFmtId="0" fontId="4" fillId="25" borderId="0" xfId="0" applyFill="1" applyBorder="1">
      <alignment horizontal="left" vertical="center"/>
    </xf>
    <xf numFmtId="171" fontId="14" fillId="19" borderId="0" xfId="4" applyNumberFormat="1" applyFont="1" applyFill="1" applyBorder="1" applyAlignment="1">
      <alignment horizontal="center" vertical="center"/>
    </xf>
    <xf numFmtId="0" fontId="3" fillId="3" borderId="29" xfId="0" applyFont="1" applyFill="1" applyBorder="1" applyAlignment="1">
      <alignment horizontal="center" vertical="center"/>
    </xf>
    <xf numFmtId="194" fontId="110" fillId="8" borderId="46" xfId="0" applyNumberFormat="1" applyFont="1" applyFill="1" applyBorder="1" applyAlignment="1">
      <alignment horizontal="center"/>
    </xf>
    <xf numFmtId="0" fontId="4" fillId="8" borderId="20" xfId="0" applyFill="1" applyBorder="1" applyAlignment="1">
      <alignment horizontal="center" vertical="center"/>
    </xf>
    <xf numFmtId="0" fontId="15" fillId="8" borderId="24" xfId="0" applyFont="1" applyFill="1" applyBorder="1" applyAlignment="1">
      <alignment horizontal="center" vertical="center"/>
    </xf>
    <xf numFmtId="0" fontId="15" fillId="8" borderId="29" xfId="0" applyFont="1" applyFill="1" applyBorder="1" applyAlignment="1">
      <alignment horizontal="center" vertical="center"/>
    </xf>
    <xf numFmtId="0" fontId="15" fillId="8" borderId="37" xfId="0" applyFont="1" applyFill="1" applyBorder="1">
      <alignment horizontal="left" vertical="center"/>
    </xf>
    <xf numFmtId="0" fontId="4" fillId="0" borderId="37" xfId="0" applyFill="1" applyBorder="1">
      <alignment horizontal="left" vertical="center"/>
    </xf>
    <xf numFmtId="0" fontId="238" fillId="3" borderId="0" xfId="0" applyFont="1" applyFill="1" applyBorder="1" applyAlignment="1" applyProtection="1">
      <alignment horizontal="left" vertical="top" indent="2"/>
      <protection hidden="1"/>
    </xf>
    <xf numFmtId="0" fontId="17" fillId="3" borderId="0" xfId="0" applyFont="1" applyFill="1" applyBorder="1" applyAlignment="1" applyProtection="1">
      <alignment horizontal="left" vertical="top" indent="4"/>
      <protection hidden="1"/>
    </xf>
    <xf numFmtId="0" fontId="46" fillId="3" borderId="0" xfId="0" applyFont="1" applyFill="1" applyBorder="1" applyAlignment="1" applyProtection="1">
      <alignment horizontal="left" vertical="center" indent="2"/>
      <protection hidden="1"/>
    </xf>
    <xf numFmtId="0" fontId="211" fillId="3" borderId="0" xfId="0" applyFont="1" applyFill="1" applyBorder="1" applyAlignment="1" applyProtection="1">
      <alignment vertical="top"/>
      <protection hidden="1"/>
    </xf>
    <xf numFmtId="0" fontId="211" fillId="3" borderId="0" xfId="0" applyFont="1" applyFill="1" applyBorder="1" applyAlignment="1" applyProtection="1">
      <alignment horizontal="center" vertical="center"/>
      <protection hidden="1"/>
    </xf>
    <xf numFmtId="0" fontId="46" fillId="3" borderId="0" xfId="0" applyFont="1" applyFill="1" applyBorder="1" applyAlignment="1" applyProtection="1">
      <alignment horizontal="left" vertical="top" indent="2"/>
      <protection hidden="1"/>
    </xf>
    <xf numFmtId="209" fontId="71" fillId="3" borderId="0" xfId="63" applyFont="1" applyFill="1" applyBorder="1" applyAlignment="1" applyProtection="1">
      <alignment horizontal="center" vertical="center" wrapText="1"/>
      <protection hidden="1"/>
    </xf>
    <xf numFmtId="206" fontId="201" fillId="76" borderId="0" xfId="43" applyFont="1" applyFill="1" applyBorder="1" applyAlignment="1" applyProtection="1">
      <alignment horizontal="left" vertical="center" indent="1"/>
      <protection hidden="1"/>
    </xf>
    <xf numFmtId="17" fontId="201" fillId="76" borderId="0" xfId="24" applyFont="1" applyFill="1" applyBorder="1" applyProtection="1">
      <alignment horizontal="center" vertical="center"/>
      <protection hidden="1"/>
    </xf>
    <xf numFmtId="206" fontId="16" fillId="3" borderId="16" xfId="43" applyFont="1" applyFill="1" applyBorder="1" applyAlignment="1" applyProtection="1">
      <alignment horizontal="right" vertical="center"/>
      <protection/>
    </xf>
    <xf numFmtId="179" fontId="16" fillId="3" borderId="27" xfId="25" applyNumberFormat="1" applyFont="1" applyFill="1" applyBorder="1" applyAlignment="1">
      <alignment horizontal="center" vertical="center" wrapText="1"/>
    </xf>
    <xf numFmtId="206" fontId="4" fillId="3" borderId="16" xfId="43" applyFont="1" applyFill="1" applyBorder="1" applyAlignment="1" applyProtection="1">
      <alignment horizontal="right"/>
      <protection/>
    </xf>
    <xf numFmtId="0" fontId="12" fillId="3" borderId="23" xfId="23" applyNumberFormat="1" applyFont="1" applyBorder="1" applyAlignment="1">
      <alignment horizontal="left" vertical="center"/>
      <protection/>
    </xf>
    <xf numFmtId="0" fontId="238" fillId="3" borderId="23" xfId="23" applyNumberFormat="1" applyFont="1" applyBorder="1" applyAlignment="1">
      <alignment horizontal="center" vertical="center"/>
      <protection/>
    </xf>
    <xf numFmtId="0" fontId="109" fillId="3" borderId="23" xfId="0" applyFont="1" applyFill="1" applyBorder="1" applyAlignment="1" applyProtection="1">
      <alignment horizontal="center" vertical="center"/>
      <protection hidden="1"/>
    </xf>
    <xf numFmtId="0" fontId="109" fillId="3" borderId="23" xfId="0" applyFont="1" applyFill="1" applyBorder="1" applyProtection="1">
      <alignment horizontal="left" vertical="center"/>
      <protection hidden="1"/>
    </xf>
    <xf numFmtId="208" fontId="121" fillId="3" borderId="0" xfId="6" applyFont="1" applyFill="1" applyBorder="1" applyAlignment="1" applyProtection="1">
      <alignment horizontal="center" vertical="center"/>
      <protection hidden="1"/>
    </xf>
    <xf numFmtId="206" fontId="212" fillId="3" borderId="0" xfId="43" applyFont="1" applyFill="1" applyBorder="1" applyAlignment="1" applyProtection="1" quotePrefix="1">
      <alignment horizontal="center" wrapText="1"/>
      <protection locked="0"/>
    </xf>
    <xf numFmtId="208" fontId="53" fillId="3" borderId="0" xfId="6" applyFont="1" applyFill="1" applyBorder="1" applyAlignment="1" applyProtection="1">
      <alignment horizontal="center" vertical="center"/>
      <protection hidden="1"/>
    </xf>
    <xf numFmtId="209" fontId="9" fillId="3" borderId="0" xfId="63" applyFont="1" applyFill="1" applyBorder="1" applyAlignment="1" applyProtection="1">
      <alignment horizontal="center" vertical="center" wrapText="1"/>
      <protection hidden="1"/>
    </xf>
    <xf numFmtId="209" fontId="34" fillId="3" borderId="0" xfId="55" applyNumberFormat="1" applyFont="1" applyFill="1" applyBorder="1" applyAlignment="1" applyProtection="1" quotePrefix="1">
      <alignment horizontal="center" vertical="center" wrapText="1"/>
      <protection/>
    </xf>
    <xf numFmtId="209" fontId="9" fillId="3" borderId="0" xfId="55" applyNumberFormat="1" applyFont="1" applyFill="1" applyBorder="1" applyAlignment="1" applyProtection="1" quotePrefix="1">
      <alignment horizontal="center" vertical="center" wrapText="1"/>
      <protection/>
    </xf>
    <xf numFmtId="0" fontId="121" fillId="3" borderId="0" xfId="0" applyFont="1" applyFill="1" applyBorder="1" applyAlignment="1" applyProtection="1">
      <alignment horizontal="left" vertical="top" indent="4"/>
      <protection hidden="1"/>
    </xf>
    <xf numFmtId="0" fontId="34" fillId="2" borderId="139" xfId="55" applyNumberFormat="1" applyFont="1" applyFill="1" applyBorder="1" applyAlignment="1">
      <alignment horizontal="center" vertical="center" wrapText="1"/>
      <protection locked="0"/>
    </xf>
    <xf numFmtId="0" fontId="54" fillId="2" borderId="16" xfId="0" applyFont="1" applyFill="1" applyBorder="1" applyAlignment="1" applyProtection="1">
      <alignment wrapText="1"/>
      <protection locked="0"/>
      <extLst>
        <ext xmlns:xfpb="http://schemas.microsoft.com/office/spreadsheetml/2022/featurepropertybag" uri="{C7286773-470A-42A8-94C5-96B5CB345126}">
          <xfpb:xfComplement i="0"/>
        </ext>
      </extLst>
    </xf>
    <xf numFmtId="43" fontId="33" fillId="12" borderId="0" xfId="4" applyFont="1" applyFill="1" applyBorder="1" applyAlignment="1">
      <alignment vertical="top" wrapText="1"/>
    </xf>
    <xf numFmtId="14" fontId="238" fillId="12" borderId="0" xfId="0" applyNumberFormat="1" applyFont="1" applyFill="1" applyBorder="1" applyAlignment="1">
      <alignment horizontal="center" vertical="top"/>
    </xf>
    <xf numFmtId="201" fontId="53" fillId="12" borderId="0" xfId="49" applyFont="1" applyFill="1" applyBorder="1" applyAlignment="1">
      <alignment horizontal="right" vertical="center" readingOrder="1"/>
    </xf>
    <xf numFmtId="206" fontId="53" fillId="12" borderId="0" xfId="43" applyFont="1" applyFill="1" applyBorder="1" applyAlignment="1">
      <alignment horizontal="right" vertical="center" readingOrder="1"/>
    </xf>
    <xf numFmtId="0" fontId="28" fillId="12" borderId="0" xfId="0" applyFont="1" applyFill="1" applyBorder="1">
      <alignment horizontal="left" vertical="center"/>
    </xf>
    <xf numFmtId="206" fontId="34" fillId="12" borderId="0" xfId="43" applyFont="1" applyFill="1" applyBorder="1" applyAlignment="1">
      <alignment horizontal="right" vertical="center" readingOrder="1"/>
    </xf>
    <xf numFmtId="0" fontId="169" fillId="3" borderId="0" xfId="15" applyFont="1" applyFill="1" applyBorder="1">
      <alignment vertical="center"/>
      <protection/>
    </xf>
    <xf numFmtId="173" fontId="46" fillId="4" borderId="0" xfId="0" applyNumberFormat="1" applyFont="1" applyFill="1" applyBorder="1" applyAlignment="1">
      <alignment horizontal="center" vertical="top"/>
    </xf>
    <xf numFmtId="189" fontId="61" fillId="3" borderId="23" xfId="0" applyNumberFormat="1" applyFont="1" applyFill="1" applyBorder="1" applyAlignment="1">
      <alignment horizontal="center" vertical="top"/>
    </xf>
    <xf numFmtId="189" fontId="61" fillId="3" borderId="23" xfId="0" applyNumberFormat="1" applyFont="1" applyFill="1" applyBorder="1" applyAlignment="1">
      <alignment horizontal="left" vertical="top"/>
    </xf>
    <xf numFmtId="211" fontId="53" fillId="12" borderId="0" xfId="57" applyFont="1" applyFill="1" applyBorder="1" applyAlignment="1">
      <alignment horizontal="left" vertical="center" readingOrder="1"/>
    </xf>
    <xf numFmtId="198" fontId="46" fillId="4" borderId="0" xfId="0" applyNumberFormat="1" applyFont="1" applyFill="1" applyBorder="1" applyAlignment="1">
      <alignment horizontal="center" vertical="top" readingOrder="1"/>
    </xf>
    <xf numFmtId="173" fontId="4" fillId="12" borderId="0" xfId="0" applyNumberFormat="1" applyFont="1" applyFill="1" applyBorder="1" applyAlignment="1">
      <alignment horizontal="left" vertical="top"/>
    </xf>
    <xf numFmtId="0" fontId="124" fillId="4" borderId="0" xfId="0" applyFont="1" applyFill="1" applyBorder="1" applyAlignment="1">
      <alignment vertical="center"/>
    </xf>
    <xf numFmtId="0" fontId="172" fillId="4" borderId="22" xfId="0" applyFont="1" applyFill="1" applyBorder="1" applyAlignment="1">
      <alignment vertical="center"/>
    </xf>
    <xf numFmtId="0" fontId="34" fillId="4" borderId="0" xfId="0" applyFont="1" applyFill="1" applyBorder="1" applyAlignment="1">
      <alignment horizontal="center" vertical="center"/>
    </xf>
    <xf numFmtId="0" fontId="53" fillId="4" borderId="0" xfId="0" applyFont="1" applyFill="1" applyBorder="1" applyAlignment="1">
      <alignment horizontal="center" vertical="center"/>
    </xf>
    <xf numFmtId="0" fontId="53" fillId="3" borderId="23" xfId="0" applyFont="1" applyFill="1" applyBorder="1" applyAlignment="1">
      <alignment horizontal="center"/>
    </xf>
    <xf numFmtId="0" fontId="34" fillId="4" borderId="23" xfId="0" applyFont="1" applyFill="1" applyBorder="1" applyAlignment="1">
      <alignment horizontal="center"/>
    </xf>
    <xf numFmtId="0" fontId="48" fillId="4" borderId="0" xfId="0" applyFont="1" applyFill="1" applyBorder="1" applyAlignment="1">
      <alignment vertical="center"/>
    </xf>
    <xf numFmtId="0" fontId="16" fillId="4" borderId="0" xfId="0" applyFont="1" applyFill="1" applyBorder="1">
      <alignment horizontal="left" vertical="center"/>
    </xf>
    <xf numFmtId="0" fontId="14" fillId="5" borderId="0" xfId="0" applyFont="1" applyFill="1" applyBorder="1">
      <alignment horizontal="left" vertical="center"/>
    </xf>
    <xf numFmtId="198" fontId="46" fillId="3" borderId="0" xfId="0" applyNumberFormat="1" applyFont="1" applyFill="1" applyBorder="1" applyAlignment="1">
      <alignment horizontal="center" vertical="top" readingOrder="1"/>
    </xf>
    <xf numFmtId="198" fontId="4" fillId="12" borderId="0" xfId="0" applyNumberFormat="1" applyFont="1" applyFill="1" applyBorder="1" applyAlignment="1">
      <alignment horizontal="center" vertical="top"/>
    </xf>
    <xf numFmtId="0" fontId="65" fillId="12" borderId="0" xfId="0" applyFont="1" applyFill="1" applyBorder="1" applyAlignment="1">
      <alignment vertical="top" wrapText="1"/>
    </xf>
    <xf numFmtId="17" fontId="33" fillId="12" borderId="0" xfId="24" applyFont="1" applyFill="1" applyBorder="1">
      <alignment horizontal="center" vertical="center"/>
    </xf>
    <xf numFmtId="206" fontId="53" fillId="2" borderId="16" xfId="43" applyFont="1" applyFill="1" applyBorder="1" applyAlignment="1">
      <alignment horizontal="right" vertical="center" readingOrder="1"/>
    </xf>
    <xf numFmtId="207" fontId="213" fillId="2" borderId="16" xfId="52" applyFont="1" applyFill="1" applyBorder="1" applyAlignment="1">
      <alignment horizontal="right" vertical="center" readingOrder="1"/>
      <protection/>
    </xf>
    <xf numFmtId="206" fontId="14" fillId="5" borderId="16" xfId="43" applyFont="1" applyFill="1" applyBorder="1" applyAlignment="1">
      <alignment horizontal="right" vertical="center" readingOrder="1"/>
    </xf>
    <xf numFmtId="0" fontId="238" fillId="3" borderId="0" xfId="0" applyFont="1" applyFill="1">
      <alignment horizontal="left" vertical="center"/>
    </xf>
    <xf numFmtId="17" fontId="238" fillId="29" borderId="16" xfId="24" applyFont="1" applyFill="1" applyBorder="1" applyProtection="1">
      <alignment horizontal="center" vertical="center"/>
      <protection locked="0"/>
    </xf>
    <xf numFmtId="207" fontId="213" fillId="3" borderId="16" xfId="52" applyFont="1" applyFill="1" applyBorder="1" applyAlignment="1">
      <alignment horizontal="right" vertical="center" readingOrder="1"/>
      <protection/>
    </xf>
    <xf numFmtId="207" fontId="63" fillId="3" borderId="16" xfId="52" applyFont="1" applyFill="1" applyBorder="1" applyAlignment="1">
      <alignment horizontal="right" vertical="center" readingOrder="1"/>
      <protection/>
    </xf>
    <xf numFmtId="0" fontId="4" fillId="4" borderId="0" xfId="0" applyFill="1">
      <alignment horizontal="left" vertical="center"/>
    </xf>
    <xf numFmtId="206" fontId="53" fillId="26" borderId="16" xfId="43" applyFont="1" applyFill="1" applyBorder="1" applyAlignment="1">
      <alignment horizontal="right" vertical="center" readingOrder="1"/>
    </xf>
    <xf numFmtId="206" fontId="14" fillId="3" borderId="16" xfId="43" applyFont="1" applyFill="1" applyBorder="1" applyAlignment="1">
      <alignment horizontal="right" vertical="center" readingOrder="1"/>
    </xf>
    <xf numFmtId="173" fontId="238" fillId="29" borderId="0" xfId="50" applyNumberFormat="1" applyFont="1" applyFill="1" applyBorder="1" applyAlignment="1">
      <alignment vertical="top" wrapText="1"/>
      <protection locked="0"/>
    </xf>
    <xf numFmtId="209" fontId="53" fillId="12" borderId="0" xfId="63" applyFont="1" applyFill="1" applyBorder="1" applyAlignment="1">
      <alignment horizontal="center" vertical="center" readingOrder="1"/>
    </xf>
    <xf numFmtId="0" fontId="238" fillId="12" borderId="0" xfId="0" applyFont="1" applyFill="1" applyBorder="1" applyAlignment="1">
      <alignment horizontal="center" vertical="top" wrapText="1"/>
    </xf>
    <xf numFmtId="209" fontId="16" fillId="3" borderId="0" xfId="63" applyFont="1" applyFill="1" applyBorder="1" applyAlignment="1" applyProtection="1">
      <alignment horizontal="center"/>
      <protection/>
    </xf>
    <xf numFmtId="0" fontId="32" fillId="12" borderId="0" xfId="0" applyFont="1" applyFill="1" applyBorder="1" applyAlignment="1">
      <alignment horizontal="center" vertical="top" wrapText="1"/>
    </xf>
    <xf numFmtId="209" fontId="33" fillId="12" borderId="0" xfId="63" applyFont="1" applyFill="1" applyBorder="1" applyAlignment="1" applyProtection="1">
      <alignment horizontal="center" vertical="top" wrapText="1"/>
      <protection/>
    </xf>
    <xf numFmtId="209" fontId="65" fillId="8" borderId="9" xfId="63" applyFont="1" applyFill="1" applyBorder="1" applyAlignment="1" applyProtection="1">
      <alignment horizontal="center" vertical="top"/>
      <protection/>
    </xf>
    <xf numFmtId="209" fontId="238" fillId="12" borderId="0" xfId="63" applyFont="1" applyFill="1" applyBorder="1" applyAlignment="1" applyProtection="1">
      <alignment horizontal="center" vertical="top" wrapText="1"/>
      <protection/>
    </xf>
    <xf numFmtId="209" fontId="53" fillId="12" borderId="0" xfId="63" applyFont="1" applyFill="1" applyBorder="1" applyAlignment="1" applyProtection="1">
      <alignment horizontal="center" vertical="center" readingOrder="1"/>
      <protection/>
    </xf>
    <xf numFmtId="0" fontId="61" fillId="3" borderId="20" xfId="0" applyNumberFormat="1" applyFont="1" applyFill="1" applyBorder="1" applyAlignment="1">
      <alignment horizontal="right" vertical="top"/>
    </xf>
    <xf numFmtId="0" fontId="61" fillId="3" borderId="20" xfId="0" applyNumberFormat="1" applyFont="1" applyFill="1" applyBorder="1" applyAlignment="1">
      <alignment horizontal="center" vertical="top"/>
    </xf>
    <xf numFmtId="209" fontId="61" fillId="3" borderId="20" xfId="63" applyFont="1" applyFill="1" applyBorder="1" applyAlignment="1" applyProtection="1">
      <alignment horizontal="center" vertical="top"/>
      <protection/>
    </xf>
    <xf numFmtId="197" fontId="54" fillId="3" borderId="37" xfId="0" applyNumberFormat="1" applyFont="1" applyFill="1" applyBorder="1" applyAlignment="1">
      <alignment horizontal="center" vertical="center"/>
    </xf>
    <xf numFmtId="197" fontId="54" fillId="81" borderId="37" xfId="0" applyNumberFormat="1" applyFont="1" applyFill="1" applyBorder="1" applyAlignment="1">
      <alignment horizontal="center" vertical="center"/>
    </xf>
    <xf numFmtId="197" fontId="54" fillId="81" borderId="46" xfId="0" applyNumberFormat="1" applyFont="1" applyFill="1" applyBorder="1" applyAlignment="1">
      <alignment horizontal="center" vertical="center"/>
    </xf>
    <xf numFmtId="197" fontId="54" fillId="81" borderId="21" xfId="0" applyNumberFormat="1" applyFont="1" applyFill="1" applyBorder="1" applyAlignment="1">
      <alignment horizontal="center" vertical="center"/>
    </xf>
    <xf numFmtId="0" fontId="61" fillId="81" borderId="20" xfId="0" applyNumberFormat="1" applyFont="1" applyFill="1" applyBorder="1" applyAlignment="1">
      <alignment horizontal="right" vertical="top"/>
    </xf>
    <xf numFmtId="0" fontId="61" fillId="81" borderId="20" xfId="0" applyNumberFormat="1" applyFont="1" applyFill="1" applyBorder="1" applyAlignment="1">
      <alignment horizontal="center" vertical="top"/>
    </xf>
    <xf numFmtId="209" fontId="61" fillId="81" borderId="20" xfId="63" applyFont="1" applyFill="1" applyBorder="1" applyAlignment="1" applyProtection="1">
      <alignment horizontal="center" vertical="top"/>
      <protection/>
    </xf>
    <xf numFmtId="189" fontId="106" fillId="81" borderId="20" xfId="0" applyNumberFormat="1" applyFont="1" applyFill="1" applyBorder="1" applyAlignment="1">
      <alignment vertical="top"/>
    </xf>
    <xf numFmtId="181" fontId="26" fillId="2" borderId="140" xfId="55" applyNumberFormat="1" applyFont="1" applyBorder="1" applyAlignment="1">
      <alignment horizontal="center" vertical="top" readingOrder="1"/>
      <protection locked="0"/>
    </xf>
    <xf numFmtId="173" fontId="46" fillId="81" borderId="37" xfId="0" applyNumberFormat="1" applyFont="1" applyFill="1" applyBorder="1" applyAlignment="1">
      <alignment vertical="top"/>
    </xf>
    <xf numFmtId="173" fontId="46" fillId="81" borderId="20" xfId="0" applyNumberFormat="1" applyFont="1" applyFill="1" applyBorder="1" applyAlignment="1">
      <alignment vertical="top" wrapText="1"/>
    </xf>
    <xf numFmtId="0" fontId="46" fillId="81" borderId="20" xfId="0" applyFont="1" applyFill="1" applyBorder="1" applyAlignment="1">
      <alignment wrapText="1"/>
    </xf>
    <xf numFmtId="211" fontId="46" fillId="81" borderId="20" xfId="57" applyFont="1" applyFill="1" applyBorder="1" applyAlignment="1" applyProtection="1">
      <alignment horizontal="right" vertical="top" readingOrder="1"/>
      <protection/>
    </xf>
    <xf numFmtId="211" fontId="46" fillId="81" borderId="20" xfId="57" applyFont="1" applyFill="1" applyBorder="1" applyAlignment="1" applyProtection="1">
      <alignment horizontal="left" vertical="top" readingOrder="1"/>
      <protection/>
    </xf>
    <xf numFmtId="173" fontId="46" fillId="81" borderId="20" xfId="0" applyNumberFormat="1" applyFont="1" applyFill="1" applyBorder="1" applyAlignment="1">
      <alignment horizontal="left" vertical="top" readingOrder="1"/>
    </xf>
    <xf numFmtId="200" fontId="46" fillId="81" borderId="20" xfId="52" applyNumberFormat="1" applyFont="1" applyFill="1" applyBorder="1" applyAlignment="1">
      <alignment horizontal="center" vertical="center" readingOrder="1"/>
      <protection/>
    </xf>
    <xf numFmtId="198" fontId="46" fillId="81" borderId="20" xfId="0" applyNumberFormat="1" applyFont="1" applyFill="1" applyBorder="1" applyAlignment="1">
      <alignment horizontal="right" vertical="top" readingOrder="1"/>
    </xf>
    <xf numFmtId="198" fontId="46" fillId="81" borderId="20" xfId="0" applyNumberFormat="1" applyFont="1" applyFill="1" applyBorder="1" applyAlignment="1">
      <alignment horizontal="left" vertical="top" readingOrder="1"/>
    </xf>
    <xf numFmtId="200" fontId="46" fillId="81" borderId="20" xfId="52" applyNumberFormat="1" applyFont="1" applyFill="1" applyBorder="1" applyAlignment="1">
      <alignment horizontal="right" vertical="center" readingOrder="1"/>
      <protection/>
    </xf>
    <xf numFmtId="0" fontId="61" fillId="81" borderId="20" xfId="0" applyNumberFormat="1" applyFont="1" applyFill="1" applyBorder="1" applyAlignment="1">
      <alignment horizontal="right" vertical="center"/>
    </xf>
    <xf numFmtId="0" fontId="61" fillId="81" borderId="20" xfId="0" applyNumberFormat="1" applyFont="1" applyFill="1" applyBorder="1" applyAlignment="1">
      <alignment horizontal="center" vertical="center"/>
    </xf>
    <xf numFmtId="209" fontId="61" fillId="81" borderId="20" xfId="63" applyFont="1" applyFill="1" applyBorder="1" applyAlignment="1" applyProtection="1">
      <alignment horizontal="center" vertical="center"/>
      <protection/>
    </xf>
    <xf numFmtId="0" fontId="16" fillId="81" borderId="0" xfId="0" applyFont="1" applyFill="1" applyBorder="1" applyAlignment="1">
      <alignment horizontal="right"/>
    </xf>
    <xf numFmtId="0" fontId="16" fillId="8" borderId="0" xfId="0" applyFont="1" applyFill="1" applyBorder="1" applyAlignment="1">
      <alignment horizontal="right" vertical="top"/>
    </xf>
    <xf numFmtId="0" fontId="4" fillId="8" borderId="0" xfId="0" applyFill="1" applyBorder="1">
      <alignment horizontal="left" vertical="center"/>
    </xf>
    <xf numFmtId="0" fontId="4" fillId="81" borderId="0" xfId="0" applyFill="1" applyBorder="1" applyAlignment="1">
      <alignment horizontal="center" vertical="center"/>
    </xf>
    <xf numFmtId="0" fontId="16" fillId="81" borderId="25" xfId="0" applyFont="1" applyFill="1" applyBorder="1" applyAlignment="1">
      <alignment horizontal="right"/>
    </xf>
    <xf numFmtId="0" fontId="124" fillId="81" borderId="46" xfId="0" applyFont="1" applyFill="1" applyBorder="1" applyAlignment="1">
      <alignment vertical="center"/>
    </xf>
    <xf numFmtId="0" fontId="125" fillId="81" borderId="0" xfId="0" applyFont="1" applyFill="1" applyBorder="1" applyAlignment="1">
      <alignment horizontal="center"/>
    </xf>
    <xf numFmtId="0" fontId="125" fillId="81" borderId="0" xfId="0" applyFont="1" applyFill="1" applyBorder="1">
      <alignment horizontal="left" vertical="center"/>
    </xf>
    <xf numFmtId="0" fontId="16" fillId="81" borderId="23" xfId="0" applyFont="1" applyFill="1" applyBorder="1" applyAlignment="1">
      <alignment horizontal="right"/>
    </xf>
    <xf numFmtId="17" fontId="61" fillId="81" borderId="0" xfId="24" applyFont="1" applyFill="1" applyBorder="1">
      <alignment horizontal="center" vertical="center"/>
    </xf>
    <xf numFmtId="17" fontId="102" fillId="81" borderId="0" xfId="24" applyFont="1" applyFill="1" applyBorder="1">
      <alignment horizontal="center" vertical="center"/>
    </xf>
    <xf numFmtId="0" fontId="4" fillId="81" borderId="29" xfId="0" applyFont="1" applyFill="1" applyBorder="1">
      <alignment horizontal="left" vertical="center"/>
    </xf>
    <xf numFmtId="0" fontId="4" fillId="81" borderId="27" xfId="0" applyFont="1" applyFill="1" applyBorder="1">
      <alignment horizontal="left" vertical="center"/>
    </xf>
    <xf numFmtId="0" fontId="4" fillId="81" borderId="28" xfId="0" applyFont="1" applyFill="1" applyBorder="1">
      <alignment horizontal="left" vertical="center"/>
    </xf>
    <xf numFmtId="0" fontId="16" fillId="81" borderId="24" xfId="0" applyFont="1" applyFill="1" applyBorder="1" applyAlignment="1">
      <alignment horizontal="right"/>
    </xf>
    <xf numFmtId="0" fontId="16" fillId="81" borderId="22" xfId="0" applyFont="1" applyFill="1" applyBorder="1" applyAlignment="1">
      <alignment horizontal="right"/>
    </xf>
    <xf numFmtId="0" fontId="16" fillId="81" borderId="26" xfId="0" applyFont="1" applyFill="1" applyBorder="1" applyAlignment="1">
      <alignment horizontal="right"/>
    </xf>
    <xf numFmtId="0" fontId="4" fillId="81" borderId="0" xfId="0" applyFill="1" applyBorder="1">
      <alignment horizontal="left" vertical="center"/>
    </xf>
    <xf numFmtId="181" fontId="26" fillId="3" borderId="0" xfId="55" applyNumberFormat="1" applyFont="1" applyFill="1" applyBorder="1" applyAlignment="1">
      <alignment horizontal="center" vertical="top" readingOrder="1"/>
      <protection locked="0"/>
    </xf>
    <xf numFmtId="181" fontId="26" fillId="2" borderId="16" xfId="55" applyNumberFormat="1" applyFont="1" applyBorder="1" applyAlignment="1">
      <alignment horizontal="center" vertical="top" readingOrder="1"/>
      <protection locked="0"/>
    </xf>
    <xf numFmtId="206" fontId="53" fillId="3" borderId="113" xfId="43" applyFont="1" applyFill="1" applyBorder="1" applyAlignment="1" applyProtection="1">
      <alignment horizontal="center" vertical="center" readingOrder="1"/>
      <protection hidden="1" locked="0"/>
    </xf>
    <xf numFmtId="212" fontId="46" fillId="81" borderId="20" xfId="48" applyNumberFormat="1" applyFont="1" applyFill="1" applyBorder="1" applyAlignment="1">
      <alignment horizontal="center" vertical="center" readingOrder="1"/>
      <protection/>
    </xf>
    <xf numFmtId="173" fontId="46" fillId="81" borderId="20" xfId="0" applyNumberFormat="1" applyFont="1" applyFill="1" applyBorder="1" applyAlignment="1">
      <alignment horizontal="center" vertical="top" readingOrder="1"/>
    </xf>
    <xf numFmtId="0" fontId="14" fillId="2" borderId="0" xfId="0" applyFont="1" applyFill="1">
      <alignment horizontal="left" vertical="center"/>
    </xf>
    <xf numFmtId="0" fontId="4" fillId="2" borderId="0" xfId="0" applyFill="1" applyAlignment="1">
      <alignment horizontal="right" vertical="center" indent="1"/>
    </xf>
    <xf numFmtId="0" fontId="40" fillId="2" borderId="0" xfId="0" applyFont="1" applyFill="1">
      <alignment horizontal="left" vertical="center"/>
    </xf>
    <xf numFmtId="0" fontId="4" fillId="2" borderId="0" xfId="7" applyFont="1" applyFill="1" applyAlignment="1">
      <alignment horizontal="left" vertical="center"/>
    </xf>
    <xf numFmtId="0" fontId="13" fillId="0" borderId="0" xfId="0" applyFont="1">
      <alignment horizontal="left" vertical="center"/>
    </xf>
    <xf numFmtId="0" fontId="14" fillId="24" borderId="0" xfId="0" applyFont="1" applyFill="1">
      <alignment horizontal="left" vertical="center"/>
    </xf>
    <xf numFmtId="0" fontId="45" fillId="24" borderId="0" xfId="0" applyFont="1" applyFill="1">
      <alignment horizontal="left" vertical="center"/>
    </xf>
    <xf numFmtId="0" fontId="123" fillId="24" borderId="23" xfId="0" applyFont="1" applyFill="1" applyBorder="1">
      <alignment horizontal="left" vertical="center"/>
    </xf>
    <xf numFmtId="14" fontId="90" fillId="8" borderId="0" xfId="0" applyNumberFormat="1" applyFont="1" applyFill="1" applyBorder="1" applyProtection="1">
      <alignment horizontal="left" vertical="center"/>
      <protection hidden="1"/>
    </xf>
    <xf numFmtId="14" fontId="16" fillId="12" borderId="0" xfId="0" applyNumberFormat="1" applyFont="1" applyFill="1" applyBorder="1" applyProtection="1">
      <alignment horizontal="left" vertical="center"/>
      <protection hidden="1"/>
    </xf>
    <xf numFmtId="0" fontId="61" fillId="81" borderId="20" xfId="0" applyFont="1" applyFill="1" applyBorder="1" applyAlignment="1">
      <alignment horizontal="right" vertical="center"/>
    </xf>
    <xf numFmtId="213" fontId="238" fillId="3" borderId="23" xfId="64" applyFont="1" applyFill="1" applyBorder="1" applyProtection="1">
      <alignment horizontal="center" vertical="center"/>
      <protection hidden="1"/>
    </xf>
    <xf numFmtId="213" fontId="0" fillId="2" borderId="1" xfId="64" applyFont="1" applyFill="1" applyBorder="1" applyProtection="1">
      <alignment horizontal="center" vertical="center"/>
      <protection locked="0"/>
    </xf>
    <xf numFmtId="213" fontId="238" fillId="3" borderId="0" xfId="64" applyFont="1" applyFill="1" applyBorder="1" applyProtection="1">
      <alignment horizontal="center" vertical="center"/>
      <protection hidden="1"/>
    </xf>
    <xf numFmtId="213" fontId="4" fillId="2" borderId="0" xfId="64" applyFont="1" applyFill="1" applyBorder="1">
      <alignment horizontal="center" vertical="center"/>
    </xf>
    <xf numFmtId="0" fontId="238" fillId="72" borderId="134" xfId="0" applyFont="1" applyFill="1" applyBorder="1" applyAlignment="1">
      <alignment vertical="center"/>
    </xf>
    <xf numFmtId="0" fontId="4" fillId="2" borderId="0" xfId="55" applyFont="1" applyFill="1" applyBorder="1" applyAlignment="1">
      <alignment vertical="center"/>
      <protection locked="0"/>
    </xf>
    <xf numFmtId="0" fontId="53" fillId="2" borderId="20" xfId="55" applyFont="1" applyFill="1" applyBorder="1" applyAlignment="1">
      <alignment vertical="center"/>
      <protection locked="0"/>
    </xf>
    <xf numFmtId="186" fontId="4" fillId="2" borderId="0" xfId="55" applyNumberFormat="1" applyFont="1" applyFill="1" applyBorder="1" applyAlignment="1">
      <alignment horizontal="right"/>
      <protection locked="0"/>
    </xf>
    <xf numFmtId="0" fontId="4" fillId="3" borderId="141" xfId="0" applyFill="1" applyBorder="1">
      <alignment horizontal="left" vertical="center"/>
    </xf>
    <xf numFmtId="206" fontId="4" fillId="2" borderId="42" xfId="43" applyFont="1" applyFill="1" applyBorder="1" applyAlignment="1" applyProtection="1">
      <alignment horizontal="right" vertical="center"/>
      <protection locked="0"/>
    </xf>
    <xf numFmtId="214" fontId="4" fillId="0" borderId="0" xfId="0" applyNumberFormat="1">
      <alignment horizontal="left" vertical="center"/>
    </xf>
    <xf numFmtId="0" fontId="215" fillId="2" borderId="0" xfId="13" applyFont="1" applyFill="1" applyAlignment="1">
      <alignment vertical="center"/>
      <protection/>
    </xf>
    <xf numFmtId="0" fontId="14" fillId="19" borderId="132" xfId="0" applyFont="1" applyFill="1" applyBorder="1">
      <alignment horizontal="left" vertical="center"/>
    </xf>
    <xf numFmtId="206" fontId="61" fillId="2" borderId="16" xfId="43" applyFont="1" applyFill="1" applyBorder="1" applyAlignment="1" applyProtection="1">
      <alignment horizontal="right" vertical="center" readingOrder="1"/>
      <protection locked="0"/>
    </xf>
    <xf numFmtId="206" fontId="16" fillId="3" borderId="0" xfId="43" applyFont="1" applyFill="1" applyBorder="1" applyAlignment="1" applyProtection="1">
      <alignment horizontal="right"/>
      <protection/>
    </xf>
    <xf numFmtId="206" fontId="16" fillId="3" borderId="23" xfId="43" applyFont="1" applyFill="1" applyBorder="1" applyAlignment="1" applyProtection="1">
      <alignment horizontal="right"/>
      <protection/>
    </xf>
    <xf numFmtId="43" fontId="4" fillId="2" borderId="0" xfId="4" applyFont="1" applyFill="1" applyAlignment="1">
      <alignment horizontal="left" vertical="center"/>
    </xf>
    <xf numFmtId="1" fontId="4" fillId="0" borderId="0" xfId="0" applyNumberFormat="1" applyProtection="1">
      <alignment horizontal="left" vertical="center"/>
      <protection locked="0"/>
    </xf>
    <xf numFmtId="171" fontId="4" fillId="0" borderId="0" xfId="4" applyNumberFormat="1" applyFont="1" applyAlignment="1" applyProtection="1">
      <alignment horizontal="center" vertical="center"/>
      <protection/>
    </xf>
    <xf numFmtId="1" fontId="4" fillId="0" borderId="0" xfId="0" applyNumberFormat="1">
      <alignment horizontal="left" vertical="center"/>
    </xf>
    <xf numFmtId="0" fontId="4" fillId="0" borderId="0" xfId="0" applyProtection="1">
      <alignment horizontal="left" vertical="center"/>
      <protection locked="0"/>
    </xf>
    <xf numFmtId="17" fontId="4" fillId="0" borderId="0" xfId="24" applyFont="1" applyAlignment="1" applyProtection="1">
      <alignment horizontal="left" vertical="center"/>
      <protection locked="0"/>
    </xf>
    <xf numFmtId="171" fontId="4" fillId="0" borderId="0" xfId="4" applyNumberFormat="1" applyFont="1" applyAlignment="1" applyProtection="1">
      <alignment horizontal="center" vertical="center"/>
      <protection locked="0"/>
    </xf>
    <xf numFmtId="1" fontId="214" fillId="3" borderId="0" xfId="0" applyNumberFormat="1" applyFont="1" applyFill="1" applyProtection="1">
      <alignment horizontal="left" vertical="center"/>
      <protection locked="0"/>
    </xf>
    <xf numFmtId="0" fontId="214" fillId="3" borderId="0" xfId="0" applyFont="1" applyFill="1" applyProtection="1">
      <alignment horizontal="left" vertical="center"/>
      <protection locked="0"/>
    </xf>
    <xf numFmtId="17" fontId="214" fillId="3" borderId="0" xfId="24" applyFont="1" applyFill="1" applyAlignment="1" applyProtection="1">
      <alignment horizontal="left" vertical="center"/>
      <protection locked="0"/>
    </xf>
    <xf numFmtId="171" fontId="214" fillId="3" borderId="0" xfId="4" applyNumberFormat="1" applyFont="1" applyFill="1" applyAlignment="1" applyProtection="1">
      <alignment horizontal="center" vertical="center"/>
      <protection locked="0"/>
    </xf>
    <xf numFmtId="0" fontId="238" fillId="0" borderId="0" xfId="0" applyFont="1" applyProtection="1">
      <alignment horizontal="left" vertical="center"/>
      <protection locked="0"/>
    </xf>
    <xf numFmtId="171" fontId="238" fillId="0" borderId="0" xfId="4" applyNumberFormat="1" applyFont="1" applyAlignment="1" applyProtection="1">
      <alignment horizontal="center" vertical="center"/>
      <protection locked="0"/>
    </xf>
    <xf numFmtId="14" fontId="238" fillId="0" borderId="0" xfId="0" applyNumberFormat="1" applyFont="1" applyProtection="1">
      <alignment horizontal="left" vertical="center"/>
      <protection locked="0"/>
    </xf>
    <xf numFmtId="43" fontId="4" fillId="0" borderId="0" xfId="4" applyFont="1" applyAlignment="1" applyProtection="1">
      <alignment horizontal="center" vertical="center"/>
      <protection locked="0"/>
    </xf>
    <xf numFmtId="17" fontId="4" fillId="0" borderId="0" xfId="24" applyFont="1" applyProtection="1">
      <alignment horizontal="center" vertical="center"/>
      <protection locked="0"/>
    </xf>
    <xf numFmtId="43" fontId="4" fillId="0" borderId="0" xfId="4" applyFont="1" applyAlignment="1" applyProtection="1">
      <alignment horizontal="left" vertical="center"/>
      <protection locked="0"/>
    </xf>
    <xf numFmtId="14" fontId="4" fillId="0" borderId="0" xfId="0" applyNumberFormat="1" applyProtection="1">
      <alignment horizontal="left" vertical="center"/>
      <protection locked="0"/>
    </xf>
    <xf numFmtId="194" fontId="4" fillId="3" borderId="23" xfId="0" applyNumberFormat="1" applyFill="1" applyBorder="1" applyAlignment="1">
      <alignment horizontal="center" vertical="center"/>
    </xf>
    <xf numFmtId="187" fontId="176" fillId="27" borderId="24" xfId="14" applyNumberFormat="1" applyFont="1" applyFill="1" applyBorder="1" applyAlignment="1">
      <alignment horizontal="right" vertical="center"/>
      <protection/>
    </xf>
    <xf numFmtId="187" fontId="176" fillId="27" borderId="29" xfId="14" applyNumberFormat="1" applyFont="1" applyFill="1" applyBorder="1" applyAlignment="1">
      <alignment horizontal="right" vertical="center"/>
      <protection/>
    </xf>
    <xf numFmtId="187" fontId="97" fillId="48" borderId="37" xfId="14" applyNumberFormat="1" applyFont="1" applyFill="1" applyBorder="1" applyAlignment="1">
      <alignment horizontal="right" vertical="center"/>
      <protection/>
    </xf>
    <xf numFmtId="187" fontId="97" fillId="48" borderId="38" xfId="14" applyNumberFormat="1" applyFont="1" applyFill="1" applyBorder="1" applyAlignment="1">
      <alignment horizontal="right" vertical="center"/>
      <protection/>
    </xf>
    <xf numFmtId="187" fontId="97" fillId="8" borderId="24" xfId="14" applyNumberFormat="1" applyFont="1" applyFill="1" applyBorder="1" applyAlignment="1">
      <alignment horizontal="right" vertical="center"/>
      <protection/>
    </xf>
    <xf numFmtId="187" fontId="97" fillId="8" borderId="29" xfId="14" applyNumberFormat="1" applyFont="1" applyFill="1" applyBorder="1" applyAlignment="1">
      <alignment horizontal="right" vertical="center"/>
      <protection/>
    </xf>
    <xf numFmtId="187" fontId="176" fillId="24" borderId="24" xfId="14" applyNumberFormat="1" applyFont="1" applyFill="1" applyBorder="1" applyAlignment="1">
      <alignment horizontal="right" vertical="center"/>
      <protection/>
    </xf>
    <xf numFmtId="187" fontId="176" fillId="24" borderId="29" xfId="14" applyNumberFormat="1" applyFont="1" applyFill="1" applyBorder="1" applyAlignment="1">
      <alignment horizontal="right" vertical="center"/>
      <protection/>
    </xf>
    <xf numFmtId="0" fontId="46" fillId="3" borderId="0" xfId="22" applyFont="1" applyFill="1" applyBorder="1" applyAlignment="1">
      <alignment horizontal="left" vertical="center"/>
      <protection locked="0"/>
    </xf>
    <xf numFmtId="0" fontId="3" fillId="3" borderId="0" xfId="0" applyFont="1" applyFill="1" applyBorder="1" applyAlignment="1">
      <alignment horizontal="center" vertical="center"/>
    </xf>
    <xf numFmtId="206" fontId="16" fillId="3" borderId="0" xfId="43" applyFont="1" applyFill="1" applyBorder="1" applyAlignment="1" applyProtection="1">
      <alignment horizontal="right" vertical="center"/>
      <protection/>
    </xf>
    <xf numFmtId="179" fontId="16" fillId="3" borderId="0" xfId="25" applyNumberFormat="1" applyFont="1" applyFill="1" applyBorder="1" applyAlignment="1">
      <alignment horizontal="center" vertical="center" wrapText="1"/>
    </xf>
    <xf numFmtId="206" fontId="4" fillId="3" borderId="0" xfId="43" applyFont="1" applyFill="1" applyBorder="1" applyAlignment="1" applyProtection="1">
      <alignment horizontal="right"/>
      <protection/>
    </xf>
    <xf numFmtId="175" fontId="4" fillId="3" borderId="0" xfId="11" applyFill="1" applyBorder="1" applyProtection="1">
      <alignment horizontal="right"/>
      <protection/>
    </xf>
    <xf numFmtId="2" fontId="4" fillId="0" borderId="0" xfId="0" applyNumberFormat="1" applyBorder="1" applyAlignment="1" quotePrefix="1">
      <alignment horizontal="center" vertical="center" wrapText="1"/>
    </xf>
    <xf numFmtId="0" fontId="3" fillId="3" borderId="37" xfId="0" applyFont="1" applyFill="1" applyBorder="1" applyAlignment="1">
      <alignment horizontal="center" vertical="center"/>
    </xf>
    <xf numFmtId="0" fontId="3" fillId="3" borderId="38" xfId="0" applyFont="1" applyFill="1" applyBorder="1" applyAlignment="1">
      <alignment horizontal="center" vertical="center"/>
    </xf>
    <xf numFmtId="0" fontId="4" fillId="2" borderId="0" xfId="0" applyFill="1" applyBorder="1" quotePrefix="1">
      <alignment horizontal="left" vertical="center"/>
    </xf>
    <xf numFmtId="197" fontId="53" fillId="8" borderId="21" xfId="0" applyNumberFormat="1" applyFont="1" applyFill="1" applyBorder="1" applyAlignment="1">
      <alignment horizontal="center" vertical="center"/>
    </xf>
    <xf numFmtId="0" fontId="46" fillId="3" borderId="92" xfId="22" applyFont="1" applyFill="1" applyBorder="1" applyAlignment="1">
      <alignment horizontal="left" vertical="center"/>
      <protection locked="0"/>
    </xf>
    <xf numFmtId="0" fontId="46" fillId="8" borderId="82" xfId="22" applyFont="1" applyFill="1" applyBorder="1" applyAlignment="1" applyProtection="1">
      <alignment horizontal="left" vertical="center"/>
      <protection/>
    </xf>
    <xf numFmtId="0" fontId="238" fillId="3" borderId="22" xfId="0" applyFont="1" applyFill="1" applyBorder="1" applyAlignment="1" applyProtection="1">
      <alignment horizontal="center"/>
      <protection locked="0"/>
    </xf>
    <xf numFmtId="0" fontId="55" fillId="3" borderId="22" xfId="0" applyFont="1" applyFill="1" applyBorder="1" applyAlignment="1" applyProtection="1">
      <alignment horizontal="center"/>
      <protection locked="0"/>
    </xf>
    <xf numFmtId="0" fontId="55" fillId="3" borderId="21" xfId="0" applyFont="1" applyFill="1" applyBorder="1" applyAlignment="1" applyProtection="1">
      <alignment horizontal="center"/>
      <protection locked="0"/>
    </xf>
    <xf numFmtId="0" fontId="14" fillId="19" borderId="0" xfId="4" applyNumberFormat="1" applyFont="1" applyFill="1" applyBorder="1" applyAlignment="1" quotePrefix="1">
      <alignment horizontal="left" vertical="center" indent="1"/>
    </xf>
    <xf numFmtId="0" fontId="75" fillId="3" borderId="20" xfId="0" applyFont="1" applyFill="1" applyBorder="1" applyAlignment="1">
      <alignment horizontal="center"/>
    </xf>
    <xf numFmtId="197" fontId="53" fillId="3" borderId="20" xfId="0" applyNumberFormat="1" applyFont="1" applyFill="1" applyBorder="1" applyAlignment="1">
      <alignment horizontal="center" vertical="center"/>
    </xf>
    <xf numFmtId="0" fontId="46" fillId="3" borderId="20" xfId="22" applyFont="1" applyFill="1" applyBorder="1" applyAlignment="1">
      <alignment horizontal="left" vertical="center"/>
      <protection locked="0"/>
    </xf>
    <xf numFmtId="0" fontId="46" fillId="2" borderId="142" xfId="22" applyFont="1" applyBorder="1" applyAlignment="1">
      <alignment horizontal="left" vertical="center"/>
      <protection locked="0"/>
    </xf>
    <xf numFmtId="0" fontId="46" fillId="8" borderId="91" xfId="22" applyFont="1" applyFill="1" applyBorder="1" applyAlignment="1" applyProtection="1">
      <alignment horizontal="left" vertical="center"/>
      <protection/>
    </xf>
    <xf numFmtId="0" fontId="15" fillId="8" borderId="37" xfId="0" applyFont="1" applyFill="1" applyBorder="1" applyAlignment="1">
      <alignment horizontal="center" vertical="center"/>
    </xf>
    <xf numFmtId="0" fontId="60" fillId="19" borderId="23" xfId="0" applyFont="1" applyFill="1" applyBorder="1" applyAlignment="1">
      <alignment vertical="top"/>
    </xf>
    <xf numFmtId="0" fontId="14" fillId="19" borderId="23" xfId="0" applyFont="1" applyFill="1" applyBorder="1" applyAlignment="1">
      <alignment horizontal="center" vertical="center"/>
      <extLst>
        <ext xmlns:xfpb="http://schemas.microsoft.com/office/spreadsheetml/2022/featurepropertybag" uri="{C7286773-470A-42A8-94C5-96B5CB345126}">
          <xfpb:xfComplement i="0"/>
        </ext>
      </extLst>
    </xf>
    <xf numFmtId="0" fontId="2" fillId="3" borderId="0" xfId="0" applyFont="1" applyFill="1" applyBorder="1" applyAlignment="1">
      <alignment vertical="top" wrapText="1"/>
    </xf>
    <xf numFmtId="0" fontId="2" fillId="3" borderId="0" xfId="0" applyFont="1" applyFill="1" applyBorder="1" applyAlignment="1">
      <alignment horizontal="left" vertical="top" wrapText="1"/>
    </xf>
    <xf numFmtId="43" fontId="2" fillId="19" borderId="0" xfId="4" applyFont="1" applyFill="1" applyBorder="1" applyAlignment="1">
      <alignment horizontal="center" vertical="center"/>
    </xf>
    <xf numFmtId="0" fontId="2" fillId="19" borderId="0" xfId="0" applyFont="1" applyFill="1">
      <alignment horizontal="left" vertical="center"/>
    </xf>
    <xf numFmtId="0" fontId="2" fillId="0" borderId="0" xfId="0" applyFont="1">
      <alignment horizontal="left" vertical="center"/>
    </xf>
    <xf numFmtId="0" fontId="2" fillId="2" borderId="0" xfId="0" applyFont="1" applyFill="1" applyBorder="1">
      <alignment horizontal="left" vertical="center"/>
    </xf>
    <xf numFmtId="0" fontId="2" fillId="2" borderId="0" xfId="0" applyFont="1" applyFill="1" applyBorder="1" applyAlignment="1">
      <alignment horizontal="center" vertical="center"/>
    </xf>
    <xf numFmtId="0" fontId="2" fillId="2" borderId="0" xfId="0" applyFont="1" applyFill="1">
      <alignment horizontal="left" vertical="center"/>
    </xf>
    <xf numFmtId="0" fontId="2" fillId="2" borderId="27" xfId="0" applyFont="1" applyFill="1" applyBorder="1" applyAlignment="1">
      <alignment horizontal="center" vertical="center"/>
    </xf>
    <xf numFmtId="0" fontId="2" fillId="3" borderId="22" xfId="0" applyFont="1" applyFill="1" applyBorder="1" applyAlignment="1">
      <alignment horizontal="center" vertical="center"/>
    </xf>
    <xf numFmtId="0" fontId="2" fillId="29" borderId="0" xfId="51" applyFont="1" applyFill="1" applyBorder="1" applyAlignment="1">
      <alignment horizontal="left" vertical="center" indent="1"/>
      <protection/>
    </xf>
    <xf numFmtId="0" fontId="2" fillId="3" borderId="0" xfId="0" applyFont="1" applyFill="1" applyBorder="1">
      <alignment horizontal="left" vertical="center"/>
    </xf>
    <xf numFmtId="0" fontId="2" fillId="3" borderId="27" xfId="0" applyFont="1" applyFill="1" applyBorder="1" applyAlignment="1">
      <alignment horizontal="center" vertical="center"/>
    </xf>
    <xf numFmtId="0" fontId="2" fillId="3" borderId="0" xfId="0" applyFont="1" applyFill="1" applyBorder="1" applyAlignment="1">
      <alignment horizontal="right" vertical="center" indent="1"/>
    </xf>
    <xf numFmtId="0" fontId="2" fillId="3" borderId="0" xfId="46" applyFont="1" applyFill="1" applyBorder="1">
      <alignment horizontal="left" vertical="center"/>
    </xf>
    <xf numFmtId="17" fontId="2" fillId="0" borderId="0" xfId="24" applyFont="1">
      <alignment horizontal="center" vertical="center"/>
    </xf>
    <xf numFmtId="17" fontId="2" fillId="71" borderId="0" xfId="24" applyFont="1" applyFill="1">
      <alignment horizontal="center" vertical="center"/>
    </xf>
    <xf numFmtId="2" fontId="4" fillId="3" borderId="40" xfId="55" applyNumberFormat="1" applyFont="1" applyFill="1" applyBorder="1" applyAlignment="1" applyProtection="1">
      <alignment horizontal="right" vertical="center"/>
      <protection/>
    </xf>
    <xf numFmtId="17" fontId="63" fillId="14" borderId="20" xfId="24" applyFont="1" applyFill="1" applyBorder="1" applyProtection="1">
      <alignment horizontal="center" vertical="center"/>
      <protection/>
    </xf>
    <xf numFmtId="17" fontId="63" fillId="14" borderId="38" xfId="24" applyFont="1" applyFill="1" applyBorder="1" applyProtection="1">
      <alignment horizontal="center" vertical="center"/>
      <protection/>
    </xf>
    <xf numFmtId="17" fontId="63" fillId="14" borderId="27" xfId="24" applyFont="1" applyFill="1" applyBorder="1" applyProtection="1">
      <alignment horizontal="center" vertical="center"/>
      <protection/>
    </xf>
    <xf numFmtId="17" fontId="46" fillId="14" borderId="23" xfId="24" applyFont="1" applyFill="1" applyBorder="1" applyProtection="1">
      <alignment horizontal="center" vertical="center"/>
      <protection/>
    </xf>
    <xf numFmtId="179" fontId="16" fillId="3" borderId="27" xfId="25" applyNumberFormat="1" applyFont="1" applyFill="1" applyBorder="1" applyAlignment="1" applyProtection="1">
      <alignment horizontal="center" vertical="center" wrapText="1"/>
      <protection/>
    </xf>
    <xf numFmtId="179" fontId="16" fillId="3" borderId="0" xfId="25" applyNumberFormat="1" applyFont="1" applyFill="1" applyBorder="1" applyAlignment="1" applyProtection="1">
      <alignment horizontal="center" vertical="center" wrapText="1"/>
      <protection/>
    </xf>
    <xf numFmtId="0" fontId="55" fillId="82" borderId="22" xfId="0" applyFont="1" applyFill="1" applyBorder="1" applyAlignment="1" applyProtection="1">
      <alignment horizontal="center"/>
      <protection locked="0"/>
    </xf>
    <xf numFmtId="0" fontId="55" fillId="82" borderId="21" xfId="0" applyFont="1" applyFill="1" applyBorder="1" applyAlignment="1" applyProtection="1">
      <alignment horizontal="center"/>
      <protection locked="0"/>
    </xf>
    <xf numFmtId="43" fontId="46" fillId="2" borderId="142" xfId="4" applyFont="1" applyFill="1" applyBorder="1" applyAlignment="1" applyProtection="1">
      <alignment horizontal="left" vertical="center"/>
      <protection locked="0"/>
    </xf>
    <xf numFmtId="43" fontId="46" fillId="2" borderId="82" xfId="4" applyFont="1" applyFill="1" applyBorder="1" applyAlignment="1" applyProtection="1">
      <alignment horizontal="left" vertical="center"/>
      <protection locked="0"/>
    </xf>
    <xf numFmtId="43" fontId="54" fillId="3" borderId="0" xfId="4" applyFont="1" applyFill="1" applyBorder="1" applyAlignment="1">
      <alignment horizontal="left" vertical="center"/>
    </xf>
    <xf numFmtId="43" fontId="4" fillId="3" borderId="0" xfId="4" applyFont="1" applyFill="1" applyBorder="1" applyAlignment="1">
      <alignment horizontal="left" vertical="center"/>
    </xf>
    <xf numFmtId="197" fontId="54" fillId="3" borderId="46" xfId="0" applyNumberFormat="1" applyFont="1" applyFill="1" applyBorder="1" applyAlignment="1" quotePrefix="1">
      <alignment horizontal="center" vertical="center" wrapText="1"/>
    </xf>
    <xf numFmtId="0" fontId="34" fillId="3" borderId="58" xfId="0" applyFont="1" applyFill="1" applyBorder="1">
      <alignment horizontal="left" vertical="center"/>
    </xf>
    <xf numFmtId="2" fontId="4" fillId="2" borderId="40" xfId="55" applyNumberFormat="1" applyFont="1" applyFill="1" applyBorder="1" applyAlignment="1" applyProtection="1">
      <alignment horizontal="right" vertical="center"/>
      <protection/>
    </xf>
    <xf numFmtId="197" fontId="53" fillId="2" borderId="46" xfId="0" applyNumberFormat="1" applyFont="1" applyFill="1" applyBorder="1" applyAlignment="1" applyProtection="1">
      <alignment horizontal="center" vertical="center"/>
      <protection locked="0"/>
    </xf>
    <xf numFmtId="197" fontId="53" fillId="8" borderId="21" xfId="0" applyNumberFormat="1" applyFont="1" applyFill="1" applyBorder="1" applyAlignment="1" applyProtection="1">
      <alignment horizontal="center" vertical="center"/>
      <protection locked="0"/>
    </xf>
    <xf numFmtId="0" fontId="4" fillId="3" borderId="37" xfId="0" applyFill="1" applyBorder="1" quotePrefix="1">
      <alignment horizontal="left" vertical="center"/>
    </xf>
    <xf numFmtId="2" fontId="4" fillId="3" borderId="17" xfId="43" applyNumberFormat="1" applyFont="1" applyFill="1" applyBorder="1" applyAlignment="1" applyProtection="1">
      <alignment horizontal="right" vertical="center"/>
      <protection/>
    </xf>
    <xf numFmtId="2" fontId="4" fillId="2" borderId="17" xfId="43" applyNumberFormat="1" applyFont="1" applyFill="1" applyBorder="1" applyAlignment="1" applyProtection="1">
      <alignment horizontal="right" vertical="center"/>
      <protection/>
    </xf>
    <xf numFmtId="0" fontId="34" fillId="0" borderId="0" xfId="0" applyFont="1" applyAlignment="1">
      <alignment horizontal="left" vertical="center" shrinkToFit="1"/>
    </xf>
    <xf numFmtId="43" fontId="4" fillId="0" borderId="0" xfId="4" applyFont="1" applyAlignment="1" applyProtection="1">
      <alignment horizontal="left" vertical="center" indent="1"/>
      <protection/>
    </xf>
    <xf numFmtId="0" fontId="34" fillId="0" borderId="0" xfId="0" applyFont="1">
      <alignment horizontal="left" vertical="center"/>
    </xf>
    <xf numFmtId="17" fontId="4" fillId="0" borderId="0" xfId="0" applyNumberFormat="1">
      <alignment horizontal="left" vertical="center"/>
    </xf>
    <xf numFmtId="0" fontId="4" fillId="0" borderId="0" xfId="0" applyAlignment="1" quotePrefix="1">
      <alignment horizontal="center" vertical="center" wrapText="1"/>
    </xf>
    <xf numFmtId="0" fontId="4" fillId="2" borderId="0" xfId="0" applyFill="1" applyBorder="1" applyAlignment="1" quotePrefix="1">
      <alignment horizontal="left" vertical="center" wrapText="1"/>
    </xf>
    <xf numFmtId="171" fontId="4" fillId="2" borderId="0" xfId="4" applyNumberFormat="1" applyFont="1" applyFill="1" applyBorder="1" applyProtection="1">
      <alignment/>
      <protection/>
    </xf>
    <xf numFmtId="0" fontId="210" fillId="27" borderId="0" xfId="7" applyFont="1" applyFill="1" applyProtection="1">
      <alignment horizontal="center" vertical="center" shrinkToFit="1"/>
      <protection/>
    </xf>
    <xf numFmtId="0" fontId="187" fillId="19" borderId="0" xfId="0" applyFont="1" applyFill="1" applyBorder="1" applyAlignment="1">
      <alignment horizontal="left" shrinkToFit="1"/>
    </xf>
    <xf numFmtId="43" fontId="60" fillId="19" borderId="0" xfId="4" applyFont="1" applyFill="1" applyBorder="1" applyAlignment="1" applyProtection="1">
      <alignment horizontal="left"/>
      <protection/>
    </xf>
    <xf numFmtId="17" fontId="4" fillId="3" borderId="16" xfId="24" applyFont="1" applyFill="1" applyBorder="1" applyProtection="1">
      <alignment horizontal="center" vertical="center"/>
      <protection/>
    </xf>
    <xf numFmtId="0" fontId="187" fillId="19" borderId="0" xfId="0" applyFont="1" applyFill="1" applyBorder="1" applyAlignment="1">
      <alignment horizontal="center" vertical="center"/>
    </xf>
    <xf numFmtId="43" fontId="60" fillId="19" borderId="0" xfId="4" applyFont="1" applyFill="1" applyBorder="1" applyAlignment="1" applyProtection="1">
      <alignment horizontal="center" vertical="center"/>
      <protection/>
    </xf>
    <xf numFmtId="0" fontId="48" fillId="19" borderId="0" xfId="0" applyFont="1" applyFill="1" applyAlignment="1">
      <alignment horizontal="center" vertical="center" shrinkToFit="1"/>
    </xf>
    <xf numFmtId="0" fontId="12" fillId="19" borderId="0" xfId="0" applyFont="1" applyFill="1" applyAlignment="1">
      <alignment horizontal="center" vertical="center"/>
    </xf>
    <xf numFmtId="0" fontId="31" fillId="2" borderId="0" xfId="13" applyFont="1" applyFill="1" applyAlignment="1">
      <alignment horizontal="left" vertical="center"/>
      <protection/>
    </xf>
    <xf numFmtId="0" fontId="73" fillId="40" borderId="64" xfId="17" applyFill="1" applyBorder="1" applyProtection="1">
      <alignment horizontal="left" vertical="center"/>
      <protection/>
    </xf>
    <xf numFmtId="0" fontId="162" fillId="48" borderId="93" xfId="17" applyFont="1" applyFill="1" applyBorder="1" applyProtection="1">
      <alignment horizontal="left" vertical="center"/>
      <protection/>
    </xf>
    <xf numFmtId="43" fontId="60" fillId="19" borderId="0" xfId="4" applyFont="1" applyFill="1" applyBorder="1" applyAlignment="1" applyProtection="1">
      <alignment horizontal="center" vertical="center" shrinkToFit="1"/>
      <protection/>
    </xf>
    <xf numFmtId="0" fontId="24" fillId="19" borderId="0" xfId="0" applyFont="1" applyFill="1" applyAlignment="1">
      <alignment horizontal="center" vertical="center" shrinkToFit="1"/>
    </xf>
    <xf numFmtId="2" fontId="4" fillId="2" borderId="0" xfId="0" applyNumberFormat="1" applyFill="1" applyBorder="1">
      <alignment horizontal="left" vertical="center"/>
    </xf>
    <xf numFmtId="0" fontId="194" fillId="3" borderId="25" xfId="0" applyFont="1" applyFill="1" applyBorder="1">
      <alignment horizontal="left" vertical="center"/>
    </xf>
    <xf numFmtId="171" fontId="34" fillId="3" borderId="25" xfId="4" applyNumberFormat="1" applyFont="1" applyFill="1" applyBorder="1" applyAlignment="1" applyProtection="1">
      <alignment horizontal="left" vertical="center"/>
      <protection/>
    </xf>
    <xf numFmtId="0" fontId="187" fillId="19" borderId="0" xfId="0" applyFont="1" applyFill="1" applyBorder="1" applyAlignment="1">
      <alignment vertical="top" wrapText="1"/>
    </xf>
    <xf numFmtId="43" fontId="192" fillId="19" borderId="0" xfId="4" applyFont="1" applyFill="1" applyBorder="1" applyAlignment="1" applyProtection="1">
      <alignment horizontal="left" vertical="center"/>
      <protection/>
    </xf>
    <xf numFmtId="43" fontId="4" fillId="19" borderId="0" xfId="4" applyFont="1" applyFill="1" applyBorder="1" applyAlignment="1" applyProtection="1">
      <alignment horizontal="left" vertical="center" indent="1"/>
      <protection/>
    </xf>
    <xf numFmtId="0" fontId="12" fillId="19" borderId="76" xfId="0" applyFont="1" applyFill="1" applyBorder="1">
      <alignment horizontal="left" vertical="center"/>
    </xf>
    <xf numFmtId="43" fontId="109" fillId="19" borderId="0" xfId="4" applyFont="1" applyFill="1" applyBorder="1" applyAlignment="1" applyProtection="1">
      <alignment horizontal="left" vertical="center"/>
      <protection/>
    </xf>
    <xf numFmtId="43" fontId="2" fillId="19" borderId="0" xfId="4" applyFont="1" applyFill="1" applyBorder="1" applyAlignment="1" applyProtection="1">
      <alignment horizontal="center" vertical="center"/>
      <protection/>
    </xf>
    <xf numFmtId="0" fontId="109" fillId="19" borderId="0" xfId="0" applyFont="1" applyFill="1" applyBorder="1">
      <alignment horizontal="left" vertical="center"/>
    </xf>
    <xf numFmtId="0" fontId="2" fillId="27" borderId="22" xfId="0" applyFont="1" applyFill="1" applyBorder="1">
      <alignment horizontal="left" vertical="center"/>
    </xf>
    <xf numFmtId="0" fontId="2" fillId="0" borderId="0" xfId="0" applyFont="1" applyFill="1" applyBorder="1">
      <alignment horizontal="left" vertical="center"/>
    </xf>
    <xf numFmtId="43" fontId="14" fillId="19" borderId="0" xfId="4" applyFont="1" applyFill="1" applyBorder="1" applyAlignment="1" applyProtection="1">
      <alignment vertical="center" wrapText="1"/>
      <protection/>
    </xf>
    <xf numFmtId="43" fontId="14" fillId="19" borderId="0" xfId="4" applyFont="1" applyFill="1" applyBorder="1" applyAlignment="1" applyProtection="1">
      <alignment horizontal="left" vertical="center" wrapText="1"/>
      <protection/>
    </xf>
    <xf numFmtId="210" fontId="55" fillId="3" borderId="25" xfId="24" applyNumberFormat="1" applyFont="1" applyFill="1" applyBorder="1" applyProtection="1">
      <alignment horizontal="center" vertical="center"/>
      <protection/>
    </xf>
    <xf numFmtId="210" fontId="55" fillId="3" borderId="29" xfId="24" applyNumberFormat="1" applyFont="1" applyFill="1" applyBorder="1" applyProtection="1">
      <alignment horizontal="center" vertical="center"/>
      <protection/>
    </xf>
    <xf numFmtId="210" fontId="55" fillId="3" borderId="27" xfId="24" applyNumberFormat="1" applyFont="1" applyFill="1" applyBorder="1" applyProtection="1">
      <alignment horizontal="center" vertical="center"/>
      <protection/>
    </xf>
    <xf numFmtId="43" fontId="4" fillId="19" borderId="0" xfId="4" applyFont="1" applyFill="1" applyBorder="1" applyAlignment="1" applyProtection="1">
      <alignment horizontal="left" vertical="center" wrapText="1" indent="1"/>
      <protection/>
    </xf>
    <xf numFmtId="168" fontId="4" fillId="2" borderId="0" xfId="6" applyNumberFormat="1" applyFont="1" applyFill="1" applyBorder="1" applyAlignment="1" applyProtection="1">
      <alignment horizontal="right" vertical="center"/>
      <protection/>
    </xf>
    <xf numFmtId="0" fontId="53" fillId="3" borderId="22" xfId="0" applyFont="1" applyFill="1" applyBorder="1" applyAlignment="1" quotePrefix="1">
      <alignment horizontal="right" vertical="center"/>
    </xf>
    <xf numFmtId="1" fontId="55" fillId="3" borderId="34" xfId="4" applyNumberFormat="1" applyFont="1" applyFill="1" applyBorder="1" applyAlignment="1" applyProtection="1">
      <alignment horizontal="center" vertical="center"/>
      <protection/>
    </xf>
    <xf numFmtId="1" fontId="55" fillId="3" borderId="27" xfId="4" applyNumberFormat="1" applyFont="1" applyFill="1" applyBorder="1" applyAlignment="1" applyProtection="1">
      <alignment horizontal="center" vertical="center"/>
      <protection/>
    </xf>
    <xf numFmtId="0" fontId="187" fillId="19" borderId="0" xfId="0" applyFont="1" applyFill="1" applyBorder="1" applyAlignment="1">
      <alignment horizontal="center" shrinkToFit="1"/>
      <extLst>
        <ext xmlns:xfpb="http://schemas.microsoft.com/office/spreadsheetml/2022/featurepropertybag" uri="{C7286773-470A-42A8-94C5-96B5CB345126}">
          <xfpb:xfComplement i="0"/>
        </ext>
      </extLst>
    </xf>
    <xf numFmtId="43" fontId="55" fillId="19" borderId="0" xfId="4" applyFont="1" applyFill="1" applyBorder="1" applyAlignment="1" applyProtection="1">
      <alignment horizontal="left" vertical="center" indent="1"/>
      <protection/>
    </xf>
    <xf numFmtId="0" fontId="12" fillId="19" borderId="0" xfId="0" applyFont="1" applyFill="1" applyBorder="1">
      <alignment horizontal="left" vertical="center"/>
    </xf>
    <xf numFmtId="0" fontId="53" fillId="3" borderId="0" xfId="0" applyFont="1" applyFill="1" applyBorder="1" applyAlignment="1" quotePrefix="1">
      <alignment horizontal="right" vertical="center"/>
    </xf>
    <xf numFmtId="43" fontId="14" fillId="19" borderId="0" xfId="4" applyFont="1" applyFill="1" applyAlignment="1" applyProtection="1">
      <alignment horizontal="left" vertical="center" indent="1"/>
      <protection/>
    </xf>
    <xf numFmtId="43" fontId="158" fillId="3" borderId="0" xfId="4" applyFont="1" applyFill="1" applyBorder="1" applyAlignment="1" applyProtection="1">
      <alignment horizontal="center" vertical="center"/>
      <protection/>
    </xf>
    <xf numFmtId="0" fontId="40" fillId="0" borderId="0" xfId="0" applyFont="1" applyFill="1" applyBorder="1" applyAlignment="1">
      <alignment vertical="center"/>
    </xf>
    <xf numFmtId="0" fontId="187" fillId="19" borderId="0" xfId="0" applyFont="1" applyFill="1" applyAlignment="1">
      <alignment horizontal="center" shrinkToFit="1"/>
    </xf>
    <xf numFmtId="43" fontId="140" fillId="19" borderId="0" xfId="4" applyFont="1" applyFill="1" applyAlignment="1" applyProtection="1">
      <alignment vertical="center" shrinkToFit="1"/>
      <protection/>
    </xf>
    <xf numFmtId="171" fontId="109" fillId="19" borderId="0" xfId="0" applyNumberFormat="1" applyFont="1" applyFill="1" applyBorder="1" applyAlignment="1">
      <alignment horizontal="center" vertical="top" wrapText="1"/>
    </xf>
    <xf numFmtId="204" fontId="53" fillId="12" borderId="23" xfId="0" applyNumberFormat="1" applyFont="1" applyFill="1" applyBorder="1" applyAlignment="1">
      <alignment horizontal="center" vertical="center"/>
    </xf>
    <xf numFmtId="204" fontId="53" fillId="12" borderId="28" xfId="0" applyNumberFormat="1" applyFont="1" applyFill="1" applyBorder="1" applyAlignment="1">
      <alignment horizontal="center" vertical="center"/>
    </xf>
    <xf numFmtId="204" fontId="53" fillId="12" borderId="27" xfId="0" applyNumberFormat="1" applyFont="1" applyFill="1" applyBorder="1" applyAlignment="1">
      <alignment horizontal="center" vertical="center"/>
    </xf>
    <xf numFmtId="0" fontId="187" fillId="19" borderId="23" xfId="0" applyFont="1" applyFill="1" applyBorder="1" applyAlignment="1">
      <alignment horizontal="center" shrinkToFit="1"/>
    </xf>
    <xf numFmtId="43" fontId="45" fillId="19" borderId="23" xfId="4" applyFont="1" applyFill="1" applyBorder="1" applyAlignment="1" applyProtection="1">
      <alignment vertical="center" shrinkToFit="1"/>
      <protection/>
    </xf>
    <xf numFmtId="43" fontId="12" fillId="44" borderId="0" xfId="4" applyFont="1" applyFill="1" applyAlignment="1" applyProtection="1">
      <alignment horizontal="center" vertical="center"/>
      <protection/>
    </xf>
    <xf numFmtId="0" fontId="12" fillId="0" borderId="0" xfId="0" applyFont="1" applyFill="1" applyBorder="1" applyAlignment="1">
      <alignment vertical="center"/>
    </xf>
    <xf numFmtId="0" fontId="12" fillId="39" borderId="134" xfId="0" applyFont="1" applyFill="1" applyBorder="1" applyAlignment="1">
      <alignment vertical="center"/>
    </xf>
    <xf numFmtId="0" fontId="34" fillId="26" borderId="134" xfId="0" applyFont="1" applyFill="1" applyBorder="1" applyAlignment="1">
      <alignment horizontal="center" vertical="center"/>
    </xf>
    <xf numFmtId="0" fontId="14" fillId="19" borderId="0" xfId="4" applyNumberFormat="1" applyFont="1" applyFill="1" applyAlignment="1" applyProtection="1">
      <alignment horizontal="left" vertical="center" indent="1"/>
      <protection/>
    </xf>
    <xf numFmtId="171" fontId="14" fillId="19" borderId="0" xfId="4" applyNumberFormat="1" applyFont="1" applyFill="1" applyAlignment="1" applyProtection="1">
      <alignment horizontal="center" vertical="center"/>
      <protection/>
    </xf>
    <xf numFmtId="2" fontId="4" fillId="2" borderId="40" xfId="55" applyNumberFormat="1" applyFont="1" applyFill="1" applyBorder="1" applyAlignment="1">
      <alignment horizontal="right" vertical="center"/>
      <protection locked="0"/>
    </xf>
    <xf numFmtId="2" fontId="4" fillId="2" borderId="0" xfId="55" applyNumberFormat="1" applyFont="1" applyFill="1" applyBorder="1" applyAlignment="1">
      <alignment horizontal="right" vertical="center"/>
      <protection locked="0"/>
    </xf>
    <xf numFmtId="0" fontId="14" fillId="0" borderId="0" xfId="0" applyFont="1" applyFill="1" applyBorder="1" applyAlignment="1">
      <alignment vertical="center"/>
    </xf>
    <xf numFmtId="0" fontId="14" fillId="47" borderId="134" xfId="0" applyFont="1" applyFill="1" applyBorder="1" applyAlignment="1">
      <alignment vertical="center"/>
    </xf>
    <xf numFmtId="0" fontId="4" fillId="26" borderId="134" xfId="0" applyFill="1" applyBorder="1" applyAlignment="1">
      <alignment vertical="center"/>
    </xf>
    <xf numFmtId="175" fontId="4" fillId="2" borderId="16" xfId="54" applyNumberFormat="1" applyFont="1" applyFill="1" applyBorder="1" applyAlignment="1">
      <alignment horizontal="right"/>
      <protection/>
    </xf>
    <xf numFmtId="0" fontId="34" fillId="83" borderId="134" xfId="0" applyFont="1" applyFill="1" applyBorder="1" applyAlignment="1">
      <alignment vertical="center"/>
    </xf>
    <xf numFmtId="0" fontId="4" fillId="3" borderId="38" xfId="7" applyFont="1" applyFill="1" applyBorder="1" applyProtection="1">
      <alignment horizontal="center" vertical="center" shrinkToFit="1"/>
      <protection/>
    </xf>
    <xf numFmtId="0" fontId="186" fillId="19" borderId="23" xfId="0" applyFont="1" applyFill="1" applyBorder="1" applyAlignment="1">
      <alignment horizontal="left" vertical="center" shrinkToFit="1"/>
    </xf>
    <xf numFmtId="0" fontId="14" fillId="19" borderId="23" xfId="4" applyNumberFormat="1" applyFont="1" applyFill="1" applyBorder="1" applyAlignment="1" applyProtection="1">
      <alignment horizontal="left" vertical="center" indent="1"/>
      <protection/>
    </xf>
    <xf numFmtId="0" fontId="14" fillId="56" borderId="23" xfId="0" applyFont="1" applyFill="1" applyBorder="1">
      <alignment horizontal="left" vertical="center"/>
    </xf>
    <xf numFmtId="197" fontId="53" fillId="3" borderId="21" xfId="0" applyNumberFormat="1" applyFont="1" applyFill="1" applyBorder="1" applyAlignment="1">
      <alignment horizontal="center" vertical="center"/>
    </xf>
    <xf numFmtId="43" fontId="14" fillId="19" borderId="0" xfId="4" applyFont="1" applyFill="1" applyAlignment="1" applyProtection="1">
      <alignment horizontal="center" vertical="center"/>
      <protection/>
    </xf>
    <xf numFmtId="2" fontId="14" fillId="19" borderId="0" xfId="0" applyNumberFormat="1" applyFont="1" applyFill="1" applyBorder="1" applyAlignment="1">
      <alignment horizontal="center" vertical="center"/>
    </xf>
    <xf numFmtId="183" fontId="14" fillId="3" borderId="22" xfId="25" applyFont="1" applyFill="1" applyBorder="1" applyAlignment="1" applyProtection="1">
      <alignment horizontal="center"/>
      <protection/>
    </xf>
    <xf numFmtId="183" fontId="34" fillId="12" borderId="0" xfId="25" applyFont="1" applyFill="1" applyBorder="1" applyAlignment="1" applyProtection="1">
      <alignment horizontal="right"/>
      <protection/>
    </xf>
    <xf numFmtId="183" fontId="34" fillId="12" borderId="0" xfId="25" applyFont="1" applyFill="1" applyBorder="1" applyAlignment="1" applyProtection="1">
      <alignment horizontal="center"/>
      <protection/>
    </xf>
    <xf numFmtId="0" fontId="140" fillId="56" borderId="0" xfId="0" applyFont="1" applyFill="1" applyAlignment="1">
      <alignment vertical="center" shrinkToFit="1"/>
    </xf>
    <xf numFmtId="0" fontId="60" fillId="19" borderId="0" xfId="0" applyFont="1" applyFill="1" applyAlignment="1">
      <alignment horizontal="center" vertical="top"/>
    </xf>
    <xf numFmtId="0" fontId="55" fillId="12" borderId="25" xfId="0" applyFont="1" applyFill="1" applyBorder="1" applyAlignment="1">
      <alignment horizontal="center" vertical="center"/>
    </xf>
    <xf numFmtId="0" fontId="55" fillId="12" borderId="23" xfId="0" applyFont="1" applyFill="1" applyBorder="1" applyAlignment="1">
      <alignment horizontal="center" vertical="center"/>
    </xf>
    <xf numFmtId="43" fontId="53" fillId="12" borderId="23" xfId="4" applyFont="1" applyFill="1" applyBorder="1" applyAlignment="1" applyProtection="1">
      <alignment horizontal="center" vertical="center"/>
      <protection/>
    </xf>
    <xf numFmtId="43" fontId="53" fillId="12" borderId="28" xfId="4" applyFont="1" applyFill="1" applyBorder="1" applyAlignment="1" applyProtection="1">
      <alignment horizontal="center" vertical="center"/>
      <protection/>
    </xf>
    <xf numFmtId="43" fontId="53" fillId="12" borderId="27" xfId="4" applyFont="1" applyFill="1" applyBorder="1" applyAlignment="1" applyProtection="1">
      <alignment horizontal="center" vertical="center"/>
      <protection/>
    </xf>
    <xf numFmtId="2" fontId="14" fillId="24" borderId="0" xfId="0" applyNumberFormat="1" applyFont="1" applyFill="1" applyAlignment="1">
      <alignment horizontal="center" vertical="center"/>
    </xf>
    <xf numFmtId="0" fontId="4" fillId="2" borderId="37" xfId="55" applyFont="1" applyFill="1" applyBorder="1" applyAlignment="1">
      <alignment horizontal="left" vertical="center"/>
      <protection locked="0"/>
    </xf>
    <xf numFmtId="0" fontId="4" fillId="3" borderId="143" xfId="0" applyFill="1" applyBorder="1">
      <alignment horizontal="left" vertical="center"/>
    </xf>
    <xf numFmtId="0" fontId="4" fillId="3" borderId="144" xfId="0" applyFill="1" applyBorder="1" applyAlignment="1">
      <alignment horizontal="center" vertical="center"/>
    </xf>
    <xf numFmtId="186" fontId="4" fillId="11" borderId="21" xfId="51" applyNumberFormat="1" applyFont="1" applyBorder="1" applyAlignment="1">
      <alignment horizontal="center"/>
      <protection/>
    </xf>
    <xf numFmtId="2" fontId="4" fillId="3" borderId="0" xfId="55" applyNumberFormat="1" applyFont="1" applyFill="1" applyBorder="1" applyAlignment="1">
      <alignment horizontal="right" vertical="center"/>
      <protection locked="0"/>
    </xf>
    <xf numFmtId="194" fontId="4" fillId="3" borderId="145" xfId="0" applyNumberFormat="1" applyFill="1" applyBorder="1" applyAlignment="1">
      <alignment horizontal="center" vertical="center"/>
    </xf>
    <xf numFmtId="194" fontId="4" fillId="3" borderId="146" xfId="0" applyNumberFormat="1" applyFill="1" applyBorder="1" applyAlignment="1">
      <alignment horizontal="center" vertical="center"/>
    </xf>
    <xf numFmtId="183" fontId="4" fillId="3" borderId="0" xfId="25" applyFont="1" applyFill="1" applyBorder="1" applyAlignment="1" applyProtection="1">
      <alignment horizontal="left" vertical="center"/>
      <protection/>
    </xf>
    <xf numFmtId="197" fontId="46" fillId="14" borderId="20" xfId="59" applyNumberFormat="1" applyBorder="1" applyAlignment="1">
      <alignment vertical="center"/>
      <protection/>
    </xf>
    <xf numFmtId="0" fontId="46" fillId="14" borderId="147" xfId="59" applyBorder="1" applyAlignment="1">
      <alignment vertical="center"/>
      <protection/>
    </xf>
    <xf numFmtId="1" fontId="46" fillId="14" borderId="37" xfId="59" applyNumberFormat="1" applyBorder="1" applyAlignment="1">
      <alignment horizontal="center" vertical="center"/>
      <protection/>
    </xf>
    <xf numFmtId="1" fontId="46" fillId="14" borderId="38" xfId="59" applyNumberFormat="1" applyBorder="1" applyAlignment="1">
      <alignment horizontal="center" vertical="center"/>
      <protection/>
    </xf>
    <xf numFmtId="179" fontId="4" fillId="3" borderId="16" xfId="10" applyFont="1" applyBorder="1" applyAlignment="1">
      <alignment/>
      <protection/>
    </xf>
    <xf numFmtId="179" fontId="4" fillId="3" borderId="27" xfId="10" applyFont="1" applyBorder="1">
      <alignment horizontal="center"/>
      <protection/>
    </xf>
    <xf numFmtId="0" fontId="4" fillId="84" borderId="0" xfId="0" applyFill="1" applyBorder="1">
      <alignment horizontal="left" vertical="center"/>
    </xf>
    <xf numFmtId="206" fontId="4" fillId="3" borderId="24" xfId="43" applyFont="1" applyFill="1" applyBorder="1" applyAlignment="1" applyProtection="1">
      <alignment horizontal="right" vertical="center"/>
      <protection/>
    </xf>
    <xf numFmtId="206" fontId="54" fillId="3" borderId="25" xfId="43" applyFont="1" applyFill="1" applyBorder="1" applyAlignment="1" applyProtection="1">
      <alignment horizontal="right" vertical="center"/>
      <protection/>
    </xf>
    <xf numFmtId="206" fontId="34" fillId="3" borderId="148" xfId="43" applyFont="1" applyFill="1" applyBorder="1" applyAlignment="1" applyProtection="1">
      <alignment horizontal="right" vertical="center"/>
      <protection/>
    </xf>
    <xf numFmtId="206" fontId="4" fillId="3" borderId="0" xfId="43" applyFont="1" applyFill="1" applyBorder="1" applyAlignment="1" applyProtection="1">
      <alignment horizontal="right" vertical="center"/>
      <protection/>
    </xf>
    <xf numFmtId="206" fontId="4" fillId="3" borderId="148" xfId="43" applyFont="1" applyFill="1" applyBorder="1" applyAlignment="1" applyProtection="1">
      <alignment horizontal="right" vertical="center"/>
      <protection/>
    </xf>
    <xf numFmtId="206" fontId="4" fillId="3" borderId="148" xfId="43" applyFont="1" applyFill="1" applyBorder="1" applyAlignment="1" applyProtection="1">
      <alignment horizontal="center" vertical="center"/>
      <protection/>
    </xf>
    <xf numFmtId="206" fontId="4" fillId="3" borderId="22" xfId="43" applyFont="1" applyFill="1" applyBorder="1" applyAlignment="1" applyProtection="1">
      <alignment horizontal="right" vertical="center"/>
      <protection/>
    </xf>
    <xf numFmtId="206" fontId="54" fillId="3" borderId="0" xfId="43" applyFont="1" applyFill="1" applyBorder="1" applyAlignment="1" applyProtection="1">
      <alignment horizontal="right" vertical="center"/>
      <protection/>
    </xf>
    <xf numFmtId="206" fontId="34" fillId="3" borderId="0" xfId="43" applyFont="1" applyFill="1" applyBorder="1" applyAlignment="1" applyProtection="1">
      <alignment horizontal="right" vertical="center"/>
      <protection/>
    </xf>
    <xf numFmtId="206" fontId="4" fillId="3" borderId="0" xfId="43" applyFont="1" applyFill="1" applyBorder="1" applyAlignment="1" applyProtection="1">
      <alignment horizontal="center" vertical="center"/>
      <protection/>
    </xf>
    <xf numFmtId="204" fontId="41" fillId="48" borderId="22" xfId="0" applyNumberFormat="1" applyFont="1" applyFill="1" applyBorder="1" applyAlignment="1">
      <alignment horizontal="center" vertical="center"/>
    </xf>
    <xf numFmtId="204" fontId="41" fillId="48" borderId="27" xfId="0" applyNumberFormat="1" applyFont="1" applyFill="1" applyBorder="1" applyAlignment="1">
      <alignment horizontal="center" vertical="center"/>
    </xf>
    <xf numFmtId="17" fontId="46" fillId="14" borderId="20" xfId="24" applyFont="1" applyFill="1" applyBorder="1" applyProtection="1">
      <alignment horizontal="center" vertical="center"/>
      <protection/>
    </xf>
    <xf numFmtId="17" fontId="46" fillId="14" borderId="38" xfId="24" applyFont="1" applyFill="1" applyBorder="1" applyProtection="1">
      <alignment horizontal="center" vertical="center"/>
      <protection/>
    </xf>
    <xf numFmtId="17" fontId="46" fillId="14" borderId="27" xfId="24" applyFont="1" applyFill="1" applyBorder="1" applyProtection="1">
      <alignment horizontal="center" vertical="center"/>
      <protection/>
    </xf>
    <xf numFmtId="17" fontId="56" fillId="3" borderId="22" xfId="24" applyFont="1" applyFill="1" applyBorder="1" applyProtection="1">
      <alignment horizontal="center" vertical="center"/>
      <protection/>
    </xf>
    <xf numFmtId="17" fontId="46" fillId="66" borderId="26" xfId="51" applyNumberFormat="1" applyFont="1" applyFill="1" applyBorder="1" applyAlignment="1">
      <alignment horizontal="center" vertical="center"/>
      <protection/>
    </xf>
    <xf numFmtId="17" fontId="46" fillId="66" borderId="28" xfId="51" applyNumberFormat="1" applyFont="1" applyFill="1" applyBorder="1" applyAlignment="1">
      <alignment horizontal="center" vertical="center"/>
      <protection/>
    </xf>
    <xf numFmtId="197" fontId="53" fillId="3" borderId="16" xfId="0" applyNumberFormat="1" applyFont="1" applyFill="1" applyBorder="1" applyAlignment="1">
      <alignment horizontal="center" vertical="center"/>
    </xf>
    <xf numFmtId="0" fontId="53" fillId="12" borderId="27" xfId="0" applyFont="1" applyFill="1" applyBorder="1" applyAlignment="1">
      <alignment horizontal="center" vertical="center"/>
    </xf>
    <xf numFmtId="0" fontId="14" fillId="19" borderId="0" xfId="4" applyNumberFormat="1" applyFont="1" applyFill="1" applyAlignment="1" applyProtection="1">
      <alignment horizontal="left" vertical="center"/>
      <protection/>
    </xf>
    <xf numFmtId="168" fontId="186" fillId="19" borderId="0" xfId="6" applyNumberFormat="1" applyFont="1" applyFill="1" applyAlignment="1" applyProtection="1">
      <alignment horizontal="center" vertical="center" shrinkToFit="1"/>
      <protection/>
    </xf>
    <xf numFmtId="0" fontId="14" fillId="56" borderId="0" xfId="0" applyFont="1" applyFill="1" applyAlignment="1">
      <alignment horizontal="center" vertical="center"/>
    </xf>
    <xf numFmtId="175" fontId="4" fillId="3" borderId="16" xfId="54" applyNumberFormat="1" applyFont="1" applyFill="1" applyBorder="1" applyAlignment="1">
      <alignment horizontal="right"/>
      <protection/>
    </xf>
    <xf numFmtId="0" fontId="4" fillId="83" borderId="134" xfId="0" applyFill="1" applyBorder="1" applyAlignment="1">
      <alignment vertical="center"/>
    </xf>
    <xf numFmtId="43" fontId="14" fillId="56" borderId="0" xfId="0" applyNumberFormat="1" applyFont="1" applyFill="1">
      <alignment horizontal="left" vertical="center"/>
    </xf>
    <xf numFmtId="0" fontId="4" fillId="3" borderId="37" xfId="7" applyFont="1" applyFill="1" applyBorder="1" applyAlignment="1" applyProtection="1">
      <alignment horizontal="left" vertical="center" indent="1" shrinkToFit="1"/>
      <protection/>
    </xf>
    <xf numFmtId="0" fontId="4" fillId="3" borderId="38" xfId="0" applyFill="1" applyBorder="1">
      <alignment horizontal="left" vertical="center"/>
    </xf>
    <xf numFmtId="0" fontId="14" fillId="19" borderId="23" xfId="4" applyNumberFormat="1" applyFont="1" applyFill="1" applyBorder="1" applyAlignment="1" applyProtection="1">
      <alignment horizontal="left" vertical="center"/>
      <protection/>
    </xf>
    <xf numFmtId="206" fontId="4" fillId="3" borderId="29" xfId="43" applyFont="1" applyFill="1" applyBorder="1" applyAlignment="1" applyProtection="1">
      <alignment horizontal="right" vertical="center"/>
      <protection/>
    </xf>
    <xf numFmtId="1" fontId="4" fillId="12" borderId="50" xfId="0" applyNumberFormat="1" applyFill="1" applyBorder="1" applyAlignment="1">
      <alignment horizontal="center" vertical="center"/>
    </xf>
    <xf numFmtId="0" fontId="186" fillId="19" borderId="0" xfId="0" applyFont="1" applyFill="1" applyBorder="1" applyAlignment="1">
      <alignment horizontal="center" vertical="center" shrinkToFit="1"/>
    </xf>
    <xf numFmtId="0" fontId="54" fillId="56" borderId="0" xfId="0" applyFont="1" applyFill="1" applyAlignment="1">
      <alignment horizontal="center" vertical="center"/>
    </xf>
    <xf numFmtId="43" fontId="54" fillId="19" borderId="0" xfId="4" applyFont="1" applyFill="1" applyAlignment="1" applyProtection="1">
      <alignment horizontal="center" vertical="center"/>
      <protection/>
    </xf>
    <xf numFmtId="0" fontId="54" fillId="19" borderId="0" xfId="0" applyFont="1" applyFill="1" applyAlignment="1">
      <alignment horizontal="center" vertical="center"/>
    </xf>
    <xf numFmtId="206" fontId="53" fillId="3" borderId="23" xfId="43" applyFont="1" applyFill="1" applyBorder="1" applyAlignment="1" applyProtection="1">
      <alignment horizontal="center" vertical="center"/>
      <protection/>
    </xf>
    <xf numFmtId="206" fontId="53" fillId="3" borderId="28" xfId="43" applyFont="1" applyFill="1" applyBorder="1" applyAlignment="1" applyProtection="1">
      <alignment horizontal="center" vertical="center"/>
      <protection/>
    </xf>
    <xf numFmtId="206" fontId="53" fillId="3" borderId="27" xfId="43" applyFont="1" applyFill="1" applyBorder="1" applyAlignment="1" applyProtection="1">
      <alignment horizontal="center" vertical="center"/>
      <protection/>
    </xf>
    <xf numFmtId="206" fontId="54" fillId="3" borderId="28" xfId="43" applyFont="1" applyFill="1" applyBorder="1" applyAlignment="1" applyProtection="1">
      <alignment horizontal="center" vertical="center"/>
      <protection/>
    </xf>
    <xf numFmtId="206" fontId="55" fillId="3" borderId="26" xfId="43" applyFont="1" applyFill="1" applyBorder="1" applyAlignment="1" applyProtection="1">
      <alignment horizontal="center" vertical="center"/>
      <protection/>
    </xf>
    <xf numFmtId="206" fontId="55" fillId="3" borderId="21" xfId="43" applyFont="1" applyFill="1" applyBorder="1" applyAlignment="1" applyProtection="1">
      <alignment horizontal="center" vertical="center"/>
      <protection/>
    </xf>
    <xf numFmtId="206" fontId="54" fillId="3" borderId="26" xfId="43" applyFont="1" applyFill="1" applyBorder="1" applyAlignment="1" applyProtection="1">
      <alignment horizontal="center" vertical="center"/>
      <protection/>
    </xf>
    <xf numFmtId="194" fontId="53" fillId="3" borderId="46" xfId="0" applyNumberFormat="1" applyFont="1" applyFill="1" applyBorder="1" applyAlignment="1">
      <alignment horizontal="center" vertical="center"/>
    </xf>
    <xf numFmtId="0" fontId="34" fillId="2" borderId="58" xfId="0" applyFont="1" applyFill="1" applyBorder="1">
      <alignment horizontal="left" vertical="center"/>
    </xf>
    <xf numFmtId="0" fontId="4" fillId="3" borderId="18" xfId="0" applyFill="1" applyBorder="1">
      <alignment horizontal="left" vertical="center"/>
    </xf>
    <xf numFmtId="0" fontId="14" fillId="44" borderId="134" xfId="0" applyFont="1" applyFill="1" applyBorder="1" applyAlignment="1">
      <alignment vertical="center"/>
    </xf>
    <xf numFmtId="186" fontId="4" fillId="85" borderId="43" xfId="51" applyNumberFormat="1" applyFont="1" applyFill="1" applyBorder="1" applyAlignment="1">
      <alignment horizontal="center" vertical="center"/>
      <protection/>
    </xf>
    <xf numFmtId="183" fontId="34" fillId="3" borderId="0" xfId="25" applyFont="1" applyFill="1" applyBorder="1" applyAlignment="1" applyProtection="1">
      <alignment horizontal="right"/>
      <protection/>
    </xf>
    <xf numFmtId="183" fontId="34" fillId="3" borderId="0" xfId="25" applyFont="1" applyFill="1" applyBorder="1" applyAlignment="1" applyProtection="1">
      <alignment horizontal="center"/>
      <protection/>
    </xf>
    <xf numFmtId="0" fontId="46" fillId="14" borderId="24" xfId="59" applyBorder="1" applyAlignment="1">
      <alignment horizontal="center" vertical="center"/>
      <protection/>
    </xf>
    <xf numFmtId="206" fontId="4" fillId="3" borderId="18" xfId="43" applyFont="1" applyFill="1" applyBorder="1" applyAlignment="1" applyProtection="1">
      <alignment horizontal="right" vertical="center"/>
      <protection/>
    </xf>
    <xf numFmtId="206" fontId="4" fillId="3" borderId="43" xfId="43" applyFont="1" applyFill="1" applyBorder="1" applyAlignment="1" applyProtection="1">
      <alignment horizontal="right" vertical="center"/>
      <protection/>
    </xf>
    <xf numFmtId="179" fontId="4" fillId="3" borderId="27" xfId="10" applyFont="1" applyBorder="1" applyAlignment="1">
      <alignment horizontal="right"/>
      <protection/>
    </xf>
    <xf numFmtId="186" fontId="4" fillId="85" borderId="149" xfId="51" applyNumberFormat="1" applyFont="1" applyFill="1" applyBorder="1" applyAlignment="1">
      <alignment horizontal="right" vertical="center"/>
      <protection/>
    </xf>
    <xf numFmtId="186" fontId="4" fillId="85" borderId="150" xfId="51" applyNumberFormat="1" applyFont="1" applyFill="1" applyBorder="1" applyAlignment="1">
      <alignment horizontal="right" vertical="center"/>
      <protection/>
    </xf>
    <xf numFmtId="186" fontId="4" fillId="85" borderId="27" xfId="51" applyNumberFormat="1" applyFont="1" applyFill="1" applyBorder="1" applyAlignment="1">
      <alignment horizontal="right" vertical="center"/>
      <protection/>
    </xf>
    <xf numFmtId="0" fontId="14" fillId="19" borderId="0" xfId="4" applyNumberFormat="1" applyFont="1" applyFill="1" applyBorder="1" applyAlignment="1" applyProtection="1">
      <alignment horizontal="left" vertical="center"/>
      <protection/>
    </xf>
    <xf numFmtId="186" fontId="4" fillId="85" borderId="21" xfId="51" applyNumberFormat="1" applyFont="1" applyFill="1" applyBorder="1" applyAlignment="1">
      <alignment horizontal="right" vertical="center"/>
      <protection/>
    </xf>
    <xf numFmtId="0" fontId="193" fillId="12" borderId="0" xfId="14" applyFont="1" applyFill="1">
      <alignment horizontal="left" vertical="center"/>
      <protection/>
    </xf>
    <xf numFmtId="0" fontId="14" fillId="19" borderId="0" xfId="4" applyNumberFormat="1" applyFont="1" applyFill="1" applyBorder="1" applyAlignment="1" applyProtection="1">
      <alignment horizontal="left" vertical="center" indent="1"/>
      <protection/>
    </xf>
    <xf numFmtId="17" fontId="46" fillId="14" borderId="28" xfId="24" applyFont="1" applyFill="1" applyBorder="1" applyProtection="1">
      <alignment horizontal="center" vertical="center"/>
      <protection/>
    </xf>
    <xf numFmtId="17" fontId="56" fillId="12" borderId="22" xfId="24" applyFont="1" applyFill="1" applyBorder="1" applyAlignment="1" applyProtection="1">
      <alignment horizontal="left" vertical="center"/>
      <protection/>
    </xf>
    <xf numFmtId="17" fontId="46" fillId="3" borderId="37" xfId="24" applyFont="1" applyFill="1" applyBorder="1" applyProtection="1">
      <alignment horizontal="center" vertical="center"/>
      <protection/>
    </xf>
    <xf numFmtId="17" fontId="46" fillId="3" borderId="20" xfId="24" applyFont="1" applyFill="1" applyBorder="1" applyProtection="1">
      <alignment horizontal="center" vertical="center"/>
      <protection/>
    </xf>
    <xf numFmtId="43" fontId="14" fillId="19" borderId="23" xfId="4" applyFont="1" applyFill="1" applyBorder="1" applyAlignment="1" applyProtection="1">
      <alignment horizontal="center" vertical="center"/>
      <protection/>
    </xf>
    <xf numFmtId="0" fontId="60" fillId="19" borderId="23" xfId="0" applyFont="1" applyFill="1" applyBorder="1" applyAlignment="1">
      <alignment horizontal="center" vertical="center"/>
    </xf>
    <xf numFmtId="0" fontId="4" fillId="3" borderId="151" xfId="0" applyFill="1" applyBorder="1" applyAlignment="1">
      <alignment horizontal="center" vertical="center"/>
    </xf>
    <xf numFmtId="0" fontId="4" fillId="3" borderId="59" xfId="0" applyFill="1" applyBorder="1" applyAlignment="1">
      <alignment horizontal="center" vertical="center"/>
    </xf>
    <xf numFmtId="208" fontId="4" fillId="3" borderId="0" xfId="6" applyFont="1" applyFill="1" applyBorder="1" applyAlignment="1" applyProtection="1">
      <alignment horizontal="right" vertical="center" indent="1"/>
      <protection/>
    </xf>
    <xf numFmtId="0" fontId="4" fillId="3" borderId="141" xfId="0" applyFill="1" applyBorder="1" applyAlignment="1">
      <alignment horizontal="center" vertical="center"/>
    </xf>
    <xf numFmtId="194" fontId="53" fillId="3" borderId="21" xfId="0" applyNumberFormat="1" applyFont="1" applyFill="1" applyBorder="1" applyAlignment="1">
      <alignment horizontal="center" vertical="center"/>
    </xf>
    <xf numFmtId="0" fontId="69" fillId="3" borderId="0" xfId="54" applyFont="1" applyFill="1" applyBorder="1" applyAlignment="1">
      <alignment horizontal="left" vertical="center"/>
      <protection/>
    </xf>
    <xf numFmtId="0" fontId="238" fillId="3" borderId="0" xfId="54" applyFont="1" applyFill="1" applyBorder="1" applyAlignment="1">
      <alignment horizontal="right" vertical="center"/>
      <protection/>
    </xf>
    <xf numFmtId="0" fontId="34" fillId="3" borderId="0" xfId="54" applyFont="1" applyFill="1" applyBorder="1">
      <alignment horizontal="left" vertical="center" indent="1"/>
      <protection/>
    </xf>
    <xf numFmtId="0" fontId="54" fillId="3" borderId="0" xfId="54" applyFont="1" applyFill="1" applyBorder="1" applyAlignment="1">
      <alignment horizontal="left" vertical="center"/>
      <protection/>
    </xf>
    <xf numFmtId="0" fontId="4" fillId="3" borderId="0" xfId="54" applyFont="1" applyFill="1" applyBorder="1" applyAlignment="1">
      <alignment horizontal="center" vertical="center"/>
      <protection/>
    </xf>
    <xf numFmtId="0" fontId="75" fillId="3" borderId="0" xfId="54" applyFont="1" applyFill="1" applyBorder="1" applyAlignment="1">
      <alignment horizontal="center"/>
      <protection/>
    </xf>
    <xf numFmtId="0" fontId="146" fillId="3" borderId="0" xfId="54" applyFont="1" applyFill="1" applyBorder="1" applyAlignment="1">
      <alignment horizontal="right"/>
      <protection/>
    </xf>
    <xf numFmtId="179" fontId="34" fillId="3" borderId="0" xfId="54" applyNumberFormat="1" applyFont="1" applyFill="1" applyBorder="1" applyAlignment="1" quotePrefix="1">
      <alignment horizontal="center" vertical="center" wrapText="1"/>
      <protection/>
    </xf>
    <xf numFmtId="17" fontId="56" fillId="12" borderId="22" xfId="54" applyNumberFormat="1" applyFont="1" applyFill="1" applyBorder="1" applyAlignment="1">
      <alignment horizontal="left" vertical="center"/>
      <protection/>
    </xf>
    <xf numFmtId="17" fontId="171" fillId="3" borderId="37" xfId="24" applyFont="1" applyFill="1" applyBorder="1" applyProtection="1">
      <alignment horizontal="center" vertical="center"/>
      <protection/>
    </xf>
    <xf numFmtId="17" fontId="171" fillId="3" borderId="20" xfId="24" applyFont="1" applyFill="1" applyBorder="1" applyProtection="1">
      <alignment horizontal="center" vertical="center"/>
      <protection/>
    </xf>
    <xf numFmtId="17" fontId="171" fillId="3" borderId="26" xfId="24" applyFont="1" applyFill="1" applyBorder="1" applyProtection="1">
      <alignment horizontal="center" vertical="center"/>
      <protection/>
    </xf>
    <xf numFmtId="2" fontId="4" fillId="3" borderId="17" xfId="54" applyNumberFormat="1" applyFont="1" applyFill="1" applyBorder="1" applyAlignment="1">
      <alignment horizontal="right" vertical="center"/>
      <protection/>
    </xf>
    <xf numFmtId="206" fontId="4" fillId="3" borderId="16" xfId="54" applyNumberFormat="1" applyFont="1" applyFill="1" applyBorder="1" applyAlignment="1">
      <alignment horizontal="right"/>
      <protection/>
    </xf>
    <xf numFmtId="0" fontId="34" fillId="0" borderId="0" xfId="0" applyFont="1" applyFill="1" applyBorder="1" applyAlignment="1">
      <alignment vertical="center"/>
    </xf>
    <xf numFmtId="0" fontId="191" fillId="86" borderId="0" xfId="4" applyNumberFormat="1" applyFont="1" applyFill="1" applyAlignment="1" applyProtection="1">
      <alignment horizontal="left" vertical="center"/>
      <protection/>
    </xf>
    <xf numFmtId="0" fontId="14" fillId="86" borderId="0" xfId="4" applyNumberFormat="1" applyFont="1" applyFill="1" applyAlignment="1" applyProtection="1">
      <alignment horizontal="left" vertical="center" indent="1"/>
      <protection/>
    </xf>
    <xf numFmtId="0" fontId="75" fillId="11" borderId="22" xfId="51" applyFont="1" applyBorder="1" applyAlignment="1">
      <alignment horizontal="center" vertical="center"/>
      <protection/>
    </xf>
    <xf numFmtId="175" fontId="4" fillId="3" borderId="117" xfId="11" applyFont="1" applyFill="1" applyBorder="1" applyAlignment="1" applyProtection="1">
      <alignment vertical="center" wrapText="1"/>
      <protection/>
    </xf>
    <xf numFmtId="0" fontId="34" fillId="34" borderId="27" xfId="50" applyFont="1" applyFill="1" applyBorder="1" applyAlignment="1" applyProtection="1">
      <alignment horizontal="left" vertical="center" indent="1"/>
      <protection/>
    </xf>
    <xf numFmtId="179" fontId="34" fillId="3" borderId="22" xfId="54" applyNumberFormat="1" applyFont="1" applyFill="1" applyBorder="1" applyAlignment="1" quotePrefix="1">
      <alignment horizontal="center" vertical="center" wrapText="1"/>
      <protection/>
    </xf>
    <xf numFmtId="175" fontId="4" fillId="3" borderId="0" xfId="11" applyFont="1" applyFill="1" applyBorder="1" applyAlignment="1" applyProtection="1">
      <alignment vertical="center" wrapText="1"/>
      <protection/>
    </xf>
    <xf numFmtId="175" fontId="238" fillId="3" borderId="82" xfId="55" applyNumberFormat="1" applyFont="1" applyFill="1" applyBorder="1" applyAlignment="1">
      <alignment horizontal="left" vertical="center"/>
      <protection locked="0"/>
    </xf>
    <xf numFmtId="0" fontId="197" fillId="34" borderId="0" xfId="54" applyFont="1" applyFill="1" applyBorder="1" applyAlignment="1">
      <alignment horizontal="center" vertical="center"/>
      <protection/>
    </xf>
    <xf numFmtId="0" fontId="14" fillId="19" borderId="0" xfId="4" applyNumberFormat="1" applyFont="1" applyFill="1" applyAlignment="1" applyProtection="1">
      <alignment vertical="center"/>
      <protection/>
    </xf>
    <xf numFmtId="2" fontId="4" fillId="2" borderId="0" xfId="43" applyNumberFormat="1" applyFont="1" applyFill="1" applyBorder="1" applyAlignment="1" applyProtection="1">
      <alignment horizontal="right" vertical="center"/>
      <protection locked="0"/>
    </xf>
    <xf numFmtId="17" fontId="56" fillId="3" borderId="22" xfId="54" applyNumberFormat="1" applyFont="1" applyFill="1" applyBorder="1" applyAlignment="1">
      <alignment horizontal="left" vertical="center"/>
      <protection/>
    </xf>
    <xf numFmtId="17" fontId="171" fillId="3" borderId="28" xfId="24" applyFont="1" applyFill="1" applyBorder="1" applyProtection="1">
      <alignment horizontal="center" vertical="center"/>
      <protection/>
    </xf>
    <xf numFmtId="0" fontId="175" fillId="3" borderId="0" xfId="0" applyFont="1" applyFill="1" applyBorder="1">
      <alignment horizontal="left" vertical="center"/>
    </xf>
    <xf numFmtId="17" fontId="171" fillId="3" borderId="38" xfId="24" applyFont="1" applyFill="1" applyBorder="1" applyProtection="1">
      <alignment horizontal="center" vertical="center"/>
      <protection/>
    </xf>
    <xf numFmtId="194" fontId="4" fillId="3" borderId="46" xfId="0" applyNumberFormat="1" applyFill="1" applyBorder="1" applyAlignment="1">
      <alignment horizontal="center" vertical="center"/>
    </xf>
    <xf numFmtId="0" fontId="46" fillId="8" borderId="82" xfId="22" applyFont="1" applyFill="1" applyBorder="1" applyAlignment="1">
      <alignment horizontal="left" vertical="center"/>
      <protection locked="0"/>
    </xf>
    <xf numFmtId="2" fontId="4" fillId="2" borderId="0" xfId="43" applyNumberFormat="1" applyFont="1" applyFill="1" applyBorder="1" applyAlignment="1" applyProtection="1">
      <alignment horizontal="right" vertical="center"/>
      <protection/>
    </xf>
    <xf numFmtId="0" fontId="191" fillId="86" borderId="0" xfId="4" applyNumberFormat="1" applyFont="1" applyFill="1" applyAlignment="1" applyProtection="1">
      <alignment horizontal="left" vertical="center" indent="1"/>
      <protection/>
    </xf>
    <xf numFmtId="175" fontId="4" fillId="2" borderId="82" xfId="55" applyNumberFormat="1" applyFont="1" applyBorder="1" applyAlignment="1">
      <alignment horizontal="left" vertical="center"/>
      <protection locked="0"/>
    </xf>
    <xf numFmtId="17" fontId="56" fillId="3" borderId="22" xfId="24" applyFont="1" applyFill="1" applyBorder="1" applyAlignment="1" applyProtection="1">
      <alignment horizontal="left" vertical="center"/>
      <protection/>
    </xf>
    <xf numFmtId="194" fontId="110" fillId="3" borderId="46" xfId="7" applyNumberFormat="1" applyFont="1" applyFill="1" applyBorder="1" applyProtection="1">
      <alignment horizontal="center" vertical="center" shrinkToFit="1"/>
      <protection/>
    </xf>
    <xf numFmtId="0" fontId="46" fillId="12" borderId="25" xfId="0" applyFont="1" applyFill="1" applyBorder="1">
      <alignment horizontal="left" vertical="center"/>
    </xf>
    <xf numFmtId="2" fontId="4" fillId="3" borderId="17" xfId="54" applyNumberFormat="1" applyFont="1" applyFill="1" applyBorder="1" applyAlignment="1">
      <alignment horizontal="center" vertical="center"/>
      <protection/>
    </xf>
    <xf numFmtId="175" fontId="4" fillId="2" borderId="1" xfId="55" applyNumberFormat="1" applyFont="1" applyBorder="1" applyAlignment="1">
      <alignment horizontal="left"/>
      <protection locked="0"/>
    </xf>
    <xf numFmtId="0" fontId="42" fillId="34" borderId="0" xfId="50" applyFont="1" applyFill="1" applyBorder="1" applyAlignment="1" applyProtection="1">
      <alignment horizontal="left" vertical="center" indent="1"/>
      <protection/>
    </xf>
    <xf numFmtId="0" fontId="75" fillId="3" borderId="46" xfId="0" applyFont="1" applyFill="1" applyBorder="1" applyAlignment="1">
      <alignment horizontal="center" vertical="center"/>
    </xf>
    <xf numFmtId="0" fontId="75" fillId="3" borderId="21" xfId="0" applyFont="1" applyFill="1" applyBorder="1" applyAlignment="1">
      <alignment horizontal="center" vertical="center"/>
    </xf>
    <xf numFmtId="2" fontId="4" fillId="3" borderId="0" xfId="54" applyNumberFormat="1" applyFont="1" applyFill="1" applyBorder="1" applyAlignment="1">
      <alignment horizontal="center" vertical="center"/>
      <protection/>
    </xf>
    <xf numFmtId="179" fontId="15" fillId="3" borderId="0" xfId="25" applyNumberFormat="1" applyFont="1" applyFill="1" applyBorder="1" applyAlignment="1" applyProtection="1" quotePrefix="1">
      <alignment horizontal="center" vertical="center" wrapText="1"/>
      <protection/>
    </xf>
    <xf numFmtId="194" fontId="54" fillId="3" borderId="0" xfId="0" applyNumberFormat="1" applyFont="1" applyFill="1" applyAlignment="1">
      <alignment horizontal="center" vertical="center"/>
    </xf>
    <xf numFmtId="0" fontId="4" fillId="41" borderId="20" xfId="54" applyFont="1" applyFill="1" applyBorder="1" applyAlignment="1">
      <alignment horizontal="center" vertical="center"/>
      <protection/>
    </xf>
    <xf numFmtId="2" fontId="4" fillId="2" borderId="17" xfId="54" applyNumberFormat="1" applyFont="1" applyFill="1" applyBorder="1" applyAlignment="1">
      <alignment horizontal="center" vertical="center"/>
      <protection/>
    </xf>
    <xf numFmtId="2" fontId="4" fillId="2" borderId="0" xfId="54" applyNumberFormat="1" applyFont="1" applyFill="1" applyBorder="1" applyAlignment="1">
      <alignment horizontal="center" vertical="center"/>
      <protection/>
    </xf>
    <xf numFmtId="179" fontId="15" fillId="8" borderId="27" xfId="25" applyNumberFormat="1" applyFont="1" applyFill="1" applyBorder="1" applyAlignment="1" applyProtection="1">
      <alignment horizontal="center" vertical="center" wrapText="1"/>
      <protection/>
    </xf>
    <xf numFmtId="2" fontId="4" fillId="3" borderId="17" xfId="43" applyNumberFormat="1" applyFont="1" applyFill="1" applyBorder="1" applyAlignment="1" applyProtection="1">
      <alignment horizontal="center" vertical="center"/>
      <protection locked="0"/>
    </xf>
    <xf numFmtId="2" fontId="4" fillId="2" borderId="17" xfId="43" applyNumberFormat="1" applyFont="1" applyFill="1" applyBorder="1" applyAlignment="1" applyProtection="1">
      <alignment horizontal="center" vertical="center"/>
      <protection locked="0"/>
    </xf>
    <xf numFmtId="2" fontId="4" fillId="2" borderId="0" xfId="43" applyNumberFormat="1" applyFont="1" applyFill="1" applyBorder="1" applyAlignment="1" applyProtection="1">
      <alignment horizontal="center" vertical="center"/>
      <protection locked="0"/>
    </xf>
    <xf numFmtId="43" fontId="14" fillId="19" borderId="0" xfId="4" applyFont="1" applyFill="1" applyBorder="1" applyAlignment="1" applyProtection="1">
      <alignment horizontal="center" vertical="center"/>
      <protection/>
    </xf>
    <xf numFmtId="0" fontId="14" fillId="19" borderId="0" xfId="4" applyNumberFormat="1" applyFont="1" applyFill="1" applyBorder="1" applyAlignment="1" applyProtection="1" quotePrefix="1">
      <alignment horizontal="left" vertical="center" indent="1"/>
      <protection/>
    </xf>
    <xf numFmtId="171" fontId="14" fillId="19" borderId="0" xfId="4" applyNumberFormat="1" applyFont="1" applyFill="1" applyBorder="1" applyAlignment="1" applyProtection="1">
      <alignment horizontal="center" vertical="center"/>
      <protection/>
    </xf>
    <xf numFmtId="194" fontId="110" fillId="8" borderId="16" xfId="0" applyNumberFormat="1" applyFont="1" applyFill="1" applyBorder="1" applyAlignment="1">
      <alignment horizontal="center"/>
    </xf>
    <xf numFmtId="0" fontId="15" fillId="8" borderId="38" xfId="0" applyFont="1" applyFill="1" applyBorder="1" applyAlignment="1">
      <alignment horizontal="center" vertical="center"/>
    </xf>
    <xf numFmtId="0" fontId="3" fillId="3" borderId="26" xfId="0" applyFont="1" applyFill="1" applyBorder="1" applyAlignment="1">
      <alignment horizontal="center" vertical="center"/>
    </xf>
    <xf numFmtId="0" fontId="3" fillId="3" borderId="28" xfId="0" applyFont="1" applyFill="1" applyBorder="1" applyAlignment="1">
      <alignment horizontal="center" vertical="center"/>
    </xf>
    <xf numFmtId="206" fontId="4" fillId="2" borderId="21" xfId="43" applyFont="1" applyFill="1" applyBorder="1" applyAlignment="1" applyProtection="1">
      <alignment horizontal="center"/>
      <protection/>
    </xf>
    <xf numFmtId="206" fontId="4" fillId="2" borderId="16" xfId="43" applyFont="1" applyFill="1" applyBorder="1" applyAlignment="1" applyProtection="1">
      <alignment horizontal="right"/>
      <protection/>
    </xf>
    <xf numFmtId="43" fontId="63" fillId="3" borderId="0" xfId="0" applyNumberFormat="1" applyFont="1" applyFill="1" applyBorder="1" applyAlignment="1">
      <alignment horizontal="right" shrinkToFit="1"/>
    </xf>
    <xf numFmtId="0" fontId="14" fillId="24" borderId="134" xfId="0" applyFont="1" applyFill="1" applyBorder="1" applyAlignment="1">
      <alignment horizontal="center" vertical="center"/>
    </xf>
    <xf numFmtId="0" fontId="34" fillId="87" borderId="134" xfId="0" applyFont="1" applyFill="1" applyBorder="1" applyAlignment="1">
      <alignment vertical="center"/>
    </xf>
    <xf numFmtId="14" fontId="4" fillId="0" borderId="0" xfId="4" applyNumberFormat="1" applyFont="1" applyAlignment="1" applyProtection="1">
      <alignment horizontal="left" vertical="center" indent="1"/>
      <protection/>
    </xf>
    <xf numFmtId="22" fontId="4" fillId="0" borderId="0" xfId="0" applyNumberFormat="1">
      <alignment horizontal="left" vertical="center"/>
    </xf>
    <xf numFmtId="215" fontId="4" fillId="0" borderId="0" xfId="0" applyNumberFormat="1">
      <alignment horizontal="left" vertical="center"/>
    </xf>
    <xf numFmtId="0" fontId="12" fillId="19" borderId="0" xfId="4" applyNumberFormat="1" applyFont="1" applyFill="1" applyAlignment="1" applyProtection="1">
      <alignment horizontal="left" vertical="center" indent="1"/>
      <protection/>
    </xf>
    <xf numFmtId="0" fontId="12" fillId="19" borderId="0" xfId="4" applyNumberFormat="1" applyFont="1" applyFill="1" applyAlignment="1" applyProtection="1">
      <alignment horizontal="left" vertical="center"/>
      <protection/>
    </xf>
    <xf numFmtId="0" fontId="238" fillId="12" borderId="20" xfId="0" applyFont="1" applyFill="1" applyBorder="1" applyAlignment="1">
      <alignment horizontal="center" vertical="center"/>
    </xf>
    <xf numFmtId="0" fontId="4" fillId="3" borderId="0" xfId="54" applyFont="1" applyFill="1" applyBorder="1" applyAlignment="1">
      <alignment vertical="center"/>
      <protection/>
    </xf>
    <xf numFmtId="0" fontId="4" fillId="2" borderId="21" xfId="55" applyFont="1" applyFill="1" applyBorder="1" applyAlignment="1">
      <alignment vertical="center"/>
      <protection locked="0"/>
    </xf>
    <xf numFmtId="0" fontId="4" fillId="3" borderId="27" xfId="0" applyFill="1" applyBorder="1" applyAlignment="1">
      <alignment vertical="center"/>
    </xf>
    <xf numFmtId="0" fontId="4" fillId="3" borderId="0" xfId="0" applyFill="1" applyBorder="1" applyAlignment="1">
      <alignment vertical="center"/>
    </xf>
    <xf numFmtId="0" fontId="4" fillId="2" borderId="16" xfId="55" applyFont="1" applyFill="1" applyBorder="1" applyAlignment="1">
      <alignment vertical="center"/>
      <protection locked="0"/>
    </xf>
    <xf numFmtId="0" fontId="4" fillId="2" borderId="16" xfId="54" applyFont="1" applyFill="1" applyBorder="1" applyAlignment="1">
      <alignment vertical="center"/>
      <protection/>
    </xf>
    <xf numFmtId="0" fontId="4" fillId="3" borderId="27" xfId="54" applyFont="1" applyFill="1" applyBorder="1" applyAlignment="1">
      <alignment vertical="center"/>
      <protection/>
    </xf>
    <xf numFmtId="0" fontId="4" fillId="3" borderId="21" xfId="54" applyFont="1" applyFill="1" applyBorder="1" applyAlignment="1">
      <alignment vertical="center"/>
      <protection/>
    </xf>
    <xf numFmtId="0" fontId="4" fillId="3" borderId="16" xfId="54" applyFont="1" applyFill="1" applyBorder="1" applyAlignment="1">
      <alignment vertical="center"/>
      <protection/>
    </xf>
    <xf numFmtId="0" fontId="110" fillId="12" borderId="20" xfId="0" applyFont="1" applyFill="1" applyBorder="1" applyAlignment="1">
      <alignment horizontal="center" vertical="center"/>
    </xf>
    <xf numFmtId="0" fontId="110" fillId="12" borderId="38" xfId="0" applyFont="1" applyFill="1" applyBorder="1" applyAlignment="1">
      <alignment horizontal="center" vertical="center"/>
    </xf>
    <xf numFmtId="1" fontId="4" fillId="0" borderId="0" xfId="0" applyNumberFormat="1" applyFill="1" applyProtection="1">
      <alignment horizontal="left" vertical="center"/>
      <protection locked="0"/>
    </xf>
    <xf numFmtId="0" fontId="4" fillId="0" borderId="0" xfId="0" applyFill="1" applyProtection="1">
      <alignment horizontal="left" vertical="center"/>
      <protection locked="0"/>
    </xf>
    <xf numFmtId="17" fontId="4" fillId="0" borderId="0" xfId="24" applyFont="1" applyFill="1" applyAlignment="1" applyProtection="1">
      <alignment horizontal="left" vertical="center"/>
      <protection locked="0"/>
    </xf>
    <xf numFmtId="17" fontId="4" fillId="0" borderId="0" xfId="0" applyNumberFormat="1" applyFill="1" applyProtection="1">
      <alignment horizontal="left" vertical="center"/>
      <protection locked="0"/>
    </xf>
    <xf numFmtId="171" fontId="4" fillId="0" borderId="0" xfId="4" applyNumberFormat="1" applyFont="1" applyFill="1" applyAlignment="1" applyProtection="1">
      <alignment horizontal="center" vertical="center"/>
      <protection locked="0"/>
    </xf>
    <xf numFmtId="17" fontId="4" fillId="0" borderId="0" xfId="24" applyFont="1" applyFill="1" applyProtection="1">
      <alignment horizontal="center" vertical="center"/>
      <protection locked="0"/>
    </xf>
    <xf numFmtId="0" fontId="61" fillId="12" borderId="20" xfId="0" applyFont="1" applyFill="1" applyBorder="1" applyAlignment="1">
      <alignment horizontal="center" vertical="center"/>
    </xf>
    <xf numFmtId="0" fontId="238" fillId="12" borderId="25" xfId="0" applyFont="1" applyFill="1" applyBorder="1" applyAlignment="1">
      <alignment horizontal="center" vertical="center"/>
    </xf>
    <xf numFmtId="2" fontId="4" fillId="3" borderId="17" xfId="54" applyNumberFormat="1" applyFont="1" applyFill="1" applyBorder="1" applyAlignment="1">
      <alignment vertical="center"/>
      <protection/>
    </xf>
    <xf numFmtId="206" fontId="15" fillId="8" borderId="16" xfId="43" applyFont="1" applyFill="1" applyBorder="1" applyAlignment="1" applyProtection="1">
      <alignment horizontal="right" vertical="center"/>
      <protection/>
    </xf>
    <xf numFmtId="179" fontId="15" fillId="8" borderId="16" xfId="25" applyNumberFormat="1" applyFont="1" applyFill="1" applyBorder="1" applyAlignment="1" applyProtection="1">
      <alignment horizontal="right" vertical="center" wrapText="1"/>
      <protection/>
    </xf>
    <xf numFmtId="43" fontId="218" fillId="0" borderId="134" xfId="4" applyFont="1" applyBorder="1" applyAlignment="1" applyProtection="1">
      <alignment horizontal="center" vertical="center"/>
      <protection/>
    </xf>
    <xf numFmtId="0" fontId="69" fillId="3" borderId="0" xfId="14" applyFill="1" applyProtection="1">
      <alignment horizontal="left" vertical="center"/>
      <protection hidden="1"/>
    </xf>
    <xf numFmtId="191" fontId="127" fillId="4" borderId="0" xfId="43" applyNumberFormat="1" applyFont="1" applyFill="1" applyBorder="1" applyAlignment="1" applyProtection="1">
      <alignment horizontal="center" vertical="center" wrapText="1"/>
      <protection hidden="1"/>
    </xf>
    <xf numFmtId="0" fontId="144" fillId="31" borderId="0" xfId="29" applyFont="1" applyFill="1" applyBorder="1">
      <alignment horizontal="left" vertical="center" wrapText="1" shrinkToFit="1"/>
      <protection/>
    </xf>
    <xf numFmtId="3" fontId="46" fillId="4" borderId="0" xfId="43" applyNumberFormat="1" applyFont="1" applyFill="1" applyBorder="1" applyAlignment="1" applyProtection="1">
      <alignment horizontal="center" vertical="center"/>
      <protection hidden="1"/>
    </xf>
    <xf numFmtId="0" fontId="2" fillId="12" borderId="0" xfId="0" applyFont="1" applyFill="1" applyBorder="1" applyProtection="1">
      <alignment horizontal="left" vertical="center"/>
      <protection hidden="1"/>
    </xf>
    <xf numFmtId="0" fontId="2" fillId="3" borderId="23" xfId="23" applyNumberFormat="1" applyFont="1" applyBorder="1" applyAlignment="1">
      <alignment horizontal="left" vertical="center"/>
      <protection/>
    </xf>
    <xf numFmtId="0" fontId="2" fillId="3" borderId="23" xfId="0" applyFont="1" applyFill="1" applyBorder="1" applyProtection="1">
      <alignment horizontal="left" vertical="center"/>
      <protection hidden="1"/>
    </xf>
    <xf numFmtId="209" fontId="2" fillId="3" borderId="23" xfId="55" applyNumberFormat="1" applyFont="1" applyFill="1" applyBorder="1" applyAlignment="1" applyProtection="1" quotePrefix="1">
      <alignment horizontal="center" vertical="center" wrapText="1"/>
      <protection/>
    </xf>
    <xf numFmtId="0" fontId="3" fillId="12" borderId="22" xfId="0" applyFont="1" applyFill="1" applyBorder="1" applyProtection="1">
      <alignment horizontal="left" vertical="center"/>
      <protection hidden="1"/>
    </xf>
    <xf numFmtId="0" fontId="3" fillId="12" borderId="0" xfId="0" applyFont="1" applyFill="1" applyBorder="1" applyProtection="1">
      <alignment horizontal="left" vertical="center"/>
      <protection hidden="1"/>
    </xf>
    <xf numFmtId="0" fontId="3" fillId="3" borderId="27" xfId="0" applyFont="1" applyFill="1" applyBorder="1" applyAlignment="1" applyProtection="1">
      <alignment horizontal="center"/>
      <protection hidden="1"/>
    </xf>
    <xf numFmtId="43" fontId="3" fillId="12" borderId="0" xfId="4" applyFont="1" applyFill="1" applyBorder="1" applyAlignment="1" applyProtection="1">
      <alignment vertical="top"/>
      <protection hidden="1"/>
    </xf>
    <xf numFmtId="0" fontId="3" fillId="12" borderId="27" xfId="0" applyFont="1" applyFill="1" applyBorder="1" applyAlignment="1" applyProtection="1">
      <alignment horizontal="center" vertical="center"/>
      <protection hidden="1"/>
    </xf>
    <xf numFmtId="2" fontId="4" fillId="77" borderId="40" xfId="55" applyNumberFormat="1" applyFont="1" applyFill="1" applyBorder="1" applyAlignment="1" applyProtection="1">
      <alignment horizontal="right" vertical="center"/>
      <protection/>
    </xf>
    <xf numFmtId="0" fontId="238" fillId="2" borderId="139" xfId="0" applyFont="1" applyFill="1" applyBorder="1" applyAlignment="1" applyProtection="1">
      <alignment horizontal="center"/>
      <protection locked="0"/>
    </xf>
    <xf numFmtId="0" fontId="220" fillId="0" borderId="0" xfId="0" applyFont="1">
      <alignment horizontal="left" vertical="center"/>
    </xf>
    <xf numFmtId="0" fontId="12" fillId="88" borderId="152" xfId="0" applyFont="1" applyFill="1" applyBorder="1">
      <alignment horizontal="left" vertical="center"/>
    </xf>
    <xf numFmtId="0" fontId="12" fillId="88" borderId="0" xfId="0" applyFont="1" applyFill="1" applyBorder="1">
      <alignment horizontal="left" vertical="center"/>
    </xf>
    <xf numFmtId="0" fontId="14" fillId="30" borderId="0" xfId="0" applyFont="1" applyFill="1" applyProtection="1">
      <alignment horizontal="left" vertical="center"/>
      <protection hidden="1"/>
    </xf>
    <xf numFmtId="0" fontId="164" fillId="3" borderId="0" xfId="0" applyFont="1" applyFill="1" applyBorder="1" applyAlignment="1">
      <alignment horizontal="left" vertical="top"/>
    </xf>
    <xf numFmtId="0" fontId="98" fillId="30" borderId="0" xfId="0" applyFont="1" applyFill="1" applyProtection="1">
      <alignment horizontal="left" vertical="center"/>
      <protection hidden="1"/>
    </xf>
    <xf numFmtId="0" fontId="199" fillId="30" borderId="0" xfId="0" applyFont="1" applyFill="1" applyProtection="1">
      <alignment horizontal="left" vertical="center"/>
      <protection hidden="1"/>
    </xf>
    <xf numFmtId="0" fontId="123" fillId="55" borderId="0" xfId="0" applyFont="1" applyFill="1" applyBorder="1" applyProtection="1">
      <alignment horizontal="left" vertical="center"/>
      <protection hidden="1"/>
    </xf>
    <xf numFmtId="0" fontId="199" fillId="30" borderId="0" xfId="0" applyFont="1" applyFill="1" applyBorder="1" applyProtection="1">
      <alignment horizontal="left" vertical="center"/>
      <protection hidden="1"/>
    </xf>
    <xf numFmtId="0" fontId="123" fillId="30" borderId="0" xfId="0" applyFont="1" applyFill="1" applyBorder="1" applyProtection="1">
      <alignment horizontal="left" vertical="center"/>
      <protection hidden="1"/>
    </xf>
    <xf numFmtId="2" fontId="123" fillId="30" borderId="0" xfId="6" applyNumberFormat="1" applyFont="1" applyFill="1" applyBorder="1" applyAlignment="1" applyProtection="1">
      <alignment horizontal="center" wrapText="1"/>
      <protection hidden="1"/>
    </xf>
    <xf numFmtId="171" fontId="123" fillId="30" borderId="0" xfId="4" applyNumberFormat="1" applyFont="1" applyFill="1" applyBorder="1" applyAlignment="1" applyProtection="1" quotePrefix="1">
      <alignment vertical="center" wrapText="1"/>
      <protection hidden="1"/>
    </xf>
    <xf numFmtId="188" fontId="123" fillId="30" borderId="0" xfId="6" applyNumberFormat="1" applyFont="1" applyFill="1" applyBorder="1" applyAlignment="1" applyProtection="1" quotePrefix="1">
      <alignment vertical="center" wrapText="1"/>
      <protection hidden="1"/>
    </xf>
    <xf numFmtId="0" fontId="140" fillId="30" borderId="0" xfId="0" applyFont="1" applyFill="1" applyBorder="1" applyProtection="1">
      <alignment horizontal="left" vertical="center"/>
      <protection hidden="1"/>
    </xf>
    <xf numFmtId="0" fontId="222" fillId="30" borderId="0" xfId="13" applyFont="1" applyFill="1" applyProtection="1">
      <alignment horizontal="left" vertical="center" indent="1"/>
      <protection hidden="1"/>
    </xf>
    <xf numFmtId="0" fontId="186" fillId="30" borderId="0" xfId="0" applyFont="1" applyFill="1" applyAlignment="1" applyProtection="1">
      <alignment horizontal="left" vertical="center" shrinkToFit="1"/>
      <protection hidden="1"/>
    </xf>
    <xf numFmtId="0" fontId="4" fillId="30" borderId="0" xfId="0" applyFill="1" applyProtection="1">
      <alignment horizontal="left" vertical="center"/>
      <protection hidden="1"/>
    </xf>
    <xf numFmtId="0" fontId="186" fillId="30" borderId="0" xfId="0" applyFont="1" applyFill="1" applyProtection="1" quotePrefix="1">
      <alignment horizontal="left" vertical="center"/>
      <protection hidden="1"/>
    </xf>
    <xf numFmtId="171" fontId="191" fillId="30" borderId="0" xfId="4" applyNumberFormat="1" applyFont="1" applyFill="1" applyAlignment="1" applyProtection="1">
      <alignment horizontal="left" vertical="top"/>
      <protection hidden="1"/>
    </xf>
    <xf numFmtId="43" fontId="14" fillId="19" borderId="0" xfId="4" applyFont="1" applyFill="1" applyBorder="1" applyAlignment="1" applyProtection="1">
      <alignment horizontal="left" vertical="center" indent="1"/>
      <protection hidden="1"/>
    </xf>
    <xf numFmtId="0" fontId="221" fillId="30" borderId="0" xfId="0" applyFont="1" applyFill="1" applyAlignment="1" applyProtection="1">
      <alignment horizontal="left" vertical="center" shrinkToFit="1"/>
      <protection hidden="1"/>
    </xf>
    <xf numFmtId="171" fontId="98" fillId="30" borderId="0" xfId="4" applyNumberFormat="1" applyFont="1" applyFill="1" applyAlignment="1" applyProtection="1">
      <alignment horizontal="left" vertical="center"/>
      <protection hidden="1"/>
    </xf>
    <xf numFmtId="0" fontId="14" fillId="18" borderId="0" xfId="65" applyFont="1" applyBorder="1" applyAlignment="1" applyProtection="1">
      <alignment horizontal="center" wrapText="1"/>
      <protection hidden="1"/>
    </xf>
    <xf numFmtId="0" fontId="200" fillId="22" borderId="0" xfId="0" applyFont="1" applyFill="1" applyBorder="1" applyProtection="1">
      <alignment horizontal="left" vertical="center"/>
      <protection hidden="1"/>
    </xf>
    <xf numFmtId="17" fontId="201" fillId="22" borderId="0" xfId="24" applyFont="1" applyFill="1" applyBorder="1" applyProtection="1">
      <alignment horizontal="center" vertical="center"/>
      <protection hidden="1"/>
    </xf>
    <xf numFmtId="171" fontId="201" fillId="22" borderId="0" xfId="4" applyNumberFormat="1" applyFont="1" applyFill="1" applyBorder="1" applyAlignment="1" applyProtection="1">
      <alignment horizontal="left" vertical="top"/>
      <protection hidden="1"/>
    </xf>
    <xf numFmtId="206" fontId="201" fillId="22" borderId="0" xfId="43" applyFont="1" applyFill="1" applyBorder="1" applyAlignment="1" applyProtection="1">
      <alignment horizontal="left" vertical="center" indent="1"/>
      <protection hidden="1"/>
    </xf>
    <xf numFmtId="17" fontId="202" fillId="22" borderId="0" xfId="24" applyFont="1" applyFill="1" applyBorder="1" applyProtection="1">
      <alignment horizontal="center" vertical="center"/>
      <protection hidden="1"/>
    </xf>
    <xf numFmtId="0" fontId="201" fillId="22" borderId="0" xfId="0" applyFont="1" applyFill="1" applyBorder="1" applyProtection="1">
      <alignment horizontal="left" vertical="center"/>
      <protection hidden="1"/>
    </xf>
    <xf numFmtId="188" fontId="201" fillId="22" borderId="0" xfId="6" applyNumberFormat="1" applyFont="1" applyFill="1" applyBorder="1" applyAlignment="1" applyProtection="1">
      <alignment vertical="center" wrapText="1"/>
      <protection hidden="1"/>
    </xf>
    <xf numFmtId="188" fontId="201" fillId="22" borderId="0" xfId="6" applyNumberFormat="1" applyFont="1" applyFill="1" applyBorder="1" applyAlignment="1" applyProtection="1" quotePrefix="1">
      <alignment horizontal="center" wrapText="1"/>
      <protection hidden="1"/>
    </xf>
    <xf numFmtId="188" fontId="201" fillId="22" borderId="0" xfId="6" applyNumberFormat="1" applyFont="1" applyFill="1" applyBorder="1" applyAlignment="1" applyProtection="1">
      <alignment horizontal="center" wrapText="1"/>
      <protection hidden="1"/>
    </xf>
    <xf numFmtId="188" fontId="201" fillId="22" borderId="0" xfId="6" applyNumberFormat="1" applyFont="1" applyFill="1" applyBorder="1" applyAlignment="1" applyProtection="1">
      <alignment horizontal="center" vertical="center" wrapText="1"/>
      <protection hidden="1"/>
    </xf>
    <xf numFmtId="188" fontId="201" fillId="22" borderId="0" xfId="6" applyNumberFormat="1" applyFont="1" applyFill="1" applyBorder="1" applyAlignment="1" applyProtection="1">
      <alignment vertical="center"/>
      <protection hidden="1"/>
    </xf>
    <xf numFmtId="188" fontId="201" fillId="22" borderId="0" xfId="6" applyNumberFormat="1" applyFont="1" applyFill="1" applyBorder="1" applyAlignment="1" applyProtection="1" quotePrefix="1">
      <alignment horizontal="center" vertical="center" wrapText="1"/>
      <protection hidden="1"/>
    </xf>
    <xf numFmtId="188" fontId="201" fillId="22" borderId="0" xfId="6" applyNumberFormat="1" applyFont="1" applyFill="1" applyBorder="1" applyAlignment="1" applyProtection="1" quotePrefix="1">
      <alignment vertical="center" wrapText="1"/>
      <protection hidden="1"/>
    </xf>
    <xf numFmtId="188" fontId="201" fillId="22" borderId="0" xfId="6" applyNumberFormat="1" applyFont="1" applyFill="1" applyBorder="1" applyAlignment="1" applyProtection="1" quotePrefix="1">
      <alignment wrapText="1"/>
      <protection hidden="1"/>
    </xf>
    <xf numFmtId="0" fontId="201" fillId="22" borderId="0" xfId="0" applyFont="1" applyFill="1" applyBorder="1" applyAlignment="1" applyProtection="1">
      <alignment vertical="center"/>
      <protection hidden="1"/>
    </xf>
    <xf numFmtId="188" fontId="201" fillId="22" borderId="0" xfId="6" applyNumberFormat="1" applyFont="1" applyFill="1" applyBorder="1" applyAlignment="1" applyProtection="1">
      <alignment horizontal="left" wrapText="1"/>
      <protection hidden="1"/>
    </xf>
    <xf numFmtId="208" fontId="201" fillId="22" borderId="0" xfId="6" applyFont="1" applyFill="1" applyBorder="1" applyAlignment="1" applyProtection="1" quotePrefix="1">
      <alignment horizontal="center" wrapText="1"/>
      <protection hidden="1"/>
    </xf>
    <xf numFmtId="0" fontId="201" fillId="22" borderId="0" xfId="0" applyFont="1" applyFill="1" applyBorder="1" applyAlignment="1" applyProtection="1">
      <alignment horizontal="left" vertical="top" indent="1"/>
      <protection hidden="1"/>
    </xf>
    <xf numFmtId="188" fontId="201" fillId="22" borderId="0" xfId="6" applyNumberFormat="1" applyFont="1" applyFill="1" applyBorder="1" applyAlignment="1" applyProtection="1">
      <alignment horizontal="left" vertical="top" wrapText="1"/>
      <protection hidden="1"/>
    </xf>
    <xf numFmtId="206" fontId="201" fillId="22" borderId="0" xfId="43" applyFont="1" applyFill="1" applyBorder="1" applyAlignment="1" applyProtection="1">
      <alignment vertical="center" wrapText="1"/>
      <protection hidden="1"/>
    </xf>
    <xf numFmtId="0" fontId="38" fillId="22" borderId="0" xfId="0" applyFont="1" applyFill="1" applyBorder="1" applyAlignment="1" applyProtection="1">
      <alignment horizontal="center" vertical="center"/>
      <protection hidden="1"/>
    </xf>
    <xf numFmtId="188" fontId="37" fillId="22" borderId="0" xfId="6" applyNumberFormat="1" applyFont="1" applyFill="1" applyBorder="1" applyAlignment="1" applyProtection="1" quotePrefix="1">
      <alignment horizontal="center" vertical="center" wrapText="1"/>
      <protection hidden="1"/>
    </xf>
    <xf numFmtId="208" fontId="37" fillId="22" borderId="0" xfId="6" applyFont="1" applyFill="1" applyBorder="1" applyAlignment="1" applyProtection="1">
      <alignment horizontal="center" vertical="center" wrapText="1"/>
      <protection hidden="1"/>
    </xf>
    <xf numFmtId="206" fontId="37" fillId="22" borderId="0" xfId="43" applyFont="1" applyFill="1" applyBorder="1" applyAlignment="1" applyProtection="1">
      <alignment horizontal="center" vertical="center" wrapText="1"/>
      <protection hidden="1"/>
    </xf>
    <xf numFmtId="17" fontId="37" fillId="22" borderId="0" xfId="24" applyFont="1" applyFill="1" applyBorder="1" applyProtection="1">
      <alignment horizontal="center" vertical="center"/>
      <protection hidden="1"/>
    </xf>
    <xf numFmtId="0" fontId="60" fillId="30" borderId="16" xfId="0" applyFont="1" applyFill="1" applyBorder="1" applyProtection="1">
      <alignment horizontal="left" vertical="center"/>
      <protection hidden="1"/>
    </xf>
    <xf numFmtId="0" fontId="186" fillId="30" borderId="0" xfId="0" applyFont="1" applyFill="1" applyAlignment="1" applyProtection="1">
      <alignment horizontal="center" vertical="center" shrinkToFit="1"/>
      <protection hidden="1"/>
      <extLst>
        <ext xmlns:xfpb="http://schemas.microsoft.com/office/spreadsheetml/2022/featurepropertybag" uri="{C7286773-470A-42A8-94C5-96B5CB345126}">
          <xfpb:xfComplement i="0"/>
        </ext>
      </extLst>
    </xf>
    <xf numFmtId="171" fontId="98" fillId="22" borderId="0" xfId="4" applyNumberFormat="1" applyFont="1" applyFill="1" applyAlignment="1" applyProtection="1">
      <alignment vertical="center"/>
      <protection hidden="1"/>
    </xf>
    <xf numFmtId="0" fontId="205" fillId="55" borderId="0" xfId="0" applyFont="1" applyFill="1" applyBorder="1" applyProtection="1">
      <alignment horizontal="left" vertical="center"/>
      <protection hidden="1"/>
    </xf>
    <xf numFmtId="208" fontId="203" fillId="55" borderId="0" xfId="6" applyFont="1" applyFill="1" applyBorder="1" applyAlignment="1" applyProtection="1">
      <alignment horizontal="left" vertical="center" indent="1"/>
      <protection hidden="1"/>
    </xf>
    <xf numFmtId="0" fontId="203" fillId="55" borderId="0" xfId="0" applyFont="1" applyFill="1" applyBorder="1">
      <alignment horizontal="left" vertical="center"/>
    </xf>
    <xf numFmtId="0" fontId="204" fillId="55" borderId="0" xfId="0" applyFont="1" applyFill="1" applyBorder="1" applyProtection="1">
      <alignment horizontal="left" vertical="center"/>
      <protection hidden="1"/>
    </xf>
    <xf numFmtId="208" fontId="203" fillId="55" borderId="0" xfId="6" applyFont="1" applyFill="1" applyBorder="1" applyAlignment="1" applyProtection="1" quotePrefix="1">
      <alignment horizontal="center" wrapText="1"/>
      <protection hidden="1"/>
    </xf>
    <xf numFmtId="43" fontId="205" fillId="55" borderId="0" xfId="4" applyFont="1" applyFill="1" applyBorder="1" applyAlignment="1" applyProtection="1">
      <alignment horizontal="left" vertical="center" indent="1"/>
      <protection hidden="1"/>
    </xf>
    <xf numFmtId="208" fontId="203" fillId="55" borderId="0" xfId="6" applyFont="1" applyFill="1" applyBorder="1" applyAlignment="1" applyProtection="1">
      <alignment horizontal="center" wrapText="1"/>
      <protection hidden="1"/>
    </xf>
    <xf numFmtId="43" fontId="203" fillId="55" borderId="0" xfId="4" applyFont="1" applyFill="1" applyBorder="1" applyAlignment="1" applyProtection="1">
      <alignment horizontal="center" wrapText="1"/>
      <protection hidden="1"/>
    </xf>
    <xf numFmtId="208" fontId="204" fillId="55" borderId="0" xfId="6" applyFont="1" applyFill="1" applyBorder="1" applyAlignment="1" applyProtection="1">
      <alignment horizontal="left" vertical="center" indent="1"/>
      <protection hidden="1"/>
    </xf>
    <xf numFmtId="43" fontId="204" fillId="55" borderId="0" xfId="4" applyFont="1" applyFill="1" applyBorder="1" applyAlignment="1" applyProtection="1">
      <alignment horizontal="left" vertical="center" indent="1"/>
      <protection hidden="1"/>
    </xf>
    <xf numFmtId="43" fontId="203" fillId="55" borderId="0" xfId="4" applyFont="1" applyFill="1" applyBorder="1" applyAlignment="1" applyProtection="1">
      <alignment horizontal="left" vertical="center" indent="1"/>
      <protection hidden="1"/>
    </xf>
    <xf numFmtId="0" fontId="203" fillId="55" borderId="0" xfId="0" applyFont="1" applyFill="1" applyBorder="1" applyProtection="1">
      <alignment horizontal="left" vertical="center"/>
      <protection hidden="1"/>
    </xf>
    <xf numFmtId="0" fontId="203" fillId="55" borderId="0" xfId="0" applyFont="1" applyFill="1" applyProtection="1">
      <alignment horizontal="left" vertical="center"/>
      <protection hidden="1"/>
    </xf>
    <xf numFmtId="0" fontId="4" fillId="5" borderId="0" xfId="0" applyFill="1" applyProtection="1">
      <alignment horizontal="left" vertical="center"/>
      <protection hidden="1"/>
    </xf>
    <xf numFmtId="0" fontId="4" fillId="76" borderId="0" xfId="0" applyFill="1" applyProtection="1">
      <alignment horizontal="left" vertical="center"/>
      <protection hidden="1"/>
    </xf>
    <xf numFmtId="0" fontId="205" fillId="22" borderId="0" xfId="0" applyFont="1" applyFill="1" applyBorder="1" applyProtection="1">
      <alignment horizontal="left" vertical="center"/>
      <protection hidden="1"/>
    </xf>
    <xf numFmtId="208" fontId="203" fillId="22" borderId="0" xfId="6" applyFont="1" applyFill="1" applyBorder="1" applyAlignment="1" applyProtection="1">
      <alignment horizontal="left" vertical="center" indent="1"/>
      <protection hidden="1"/>
    </xf>
    <xf numFmtId="0" fontId="203" fillId="22" borderId="0" xfId="0" applyFont="1" applyFill="1" applyBorder="1">
      <alignment horizontal="left" vertical="center"/>
    </xf>
    <xf numFmtId="208" fontId="14" fillId="55" borderId="0" xfId="6" applyFont="1" applyFill="1" applyBorder="1" applyAlignment="1" applyProtection="1">
      <alignment horizontal="center" wrapText="1"/>
      <protection hidden="1"/>
    </xf>
    <xf numFmtId="43" fontId="14" fillId="55" borderId="0" xfId="4" applyFont="1" applyFill="1" applyBorder="1" applyAlignment="1" applyProtection="1">
      <alignment horizontal="center" wrapText="1"/>
      <protection hidden="1"/>
    </xf>
    <xf numFmtId="43" fontId="123" fillId="55" borderId="0" xfId="4" applyFont="1" applyFill="1" applyBorder="1" applyAlignment="1" applyProtection="1">
      <alignment horizontal="center" vertical="center"/>
      <protection hidden="1"/>
    </xf>
    <xf numFmtId="208" fontId="203" fillId="22" borderId="0" xfId="6" applyFont="1" applyFill="1" applyBorder="1" applyAlignment="1" applyProtection="1" quotePrefix="1">
      <alignment horizontal="center" wrapText="1"/>
      <protection hidden="1"/>
    </xf>
    <xf numFmtId="43" fontId="205" fillId="22" borderId="0" xfId="4" applyFont="1" applyFill="1" applyBorder="1" applyAlignment="1" applyProtection="1">
      <alignment horizontal="left" vertical="center" indent="1"/>
      <protection hidden="1"/>
    </xf>
    <xf numFmtId="208" fontId="14" fillId="22" borderId="0" xfId="6" applyFont="1" applyFill="1" applyBorder="1" applyAlignment="1" applyProtection="1">
      <alignment horizontal="center" wrapText="1"/>
      <protection hidden="1"/>
    </xf>
    <xf numFmtId="43" fontId="14" fillId="22" borderId="0" xfId="4" applyFont="1" applyFill="1" applyBorder="1" applyAlignment="1" applyProtection="1">
      <alignment horizontal="center" wrapText="1"/>
      <protection hidden="1"/>
    </xf>
    <xf numFmtId="43" fontId="123" fillId="22" borderId="0" xfId="4" applyFont="1" applyFill="1" applyBorder="1" applyAlignment="1" applyProtection="1">
      <alignment horizontal="center" vertical="center"/>
      <protection hidden="1"/>
    </xf>
    <xf numFmtId="208" fontId="45" fillId="22" borderId="0" xfId="6" applyFont="1" applyFill="1" applyBorder="1" applyAlignment="1" applyProtection="1">
      <alignment horizontal="center" vertical="center"/>
      <protection hidden="1"/>
    </xf>
    <xf numFmtId="43" fontId="45" fillId="22" borderId="0" xfId="4" applyFont="1" applyFill="1" applyBorder="1" applyAlignment="1" applyProtection="1">
      <alignment horizontal="center" vertical="center" wrapText="1"/>
      <protection hidden="1"/>
    </xf>
    <xf numFmtId="0" fontId="4" fillId="22" borderId="0" xfId="0" applyFill="1" applyProtection="1">
      <alignment horizontal="left" vertical="center"/>
      <protection hidden="1"/>
    </xf>
    <xf numFmtId="0" fontId="173" fillId="22" borderId="0" xfId="0" applyFont="1" applyFill="1" applyBorder="1" applyAlignment="1" applyProtection="1">
      <alignment horizontal="center" vertical="center"/>
      <protection hidden="1"/>
    </xf>
    <xf numFmtId="188" fontId="158" fillId="22" borderId="0" xfId="6" applyNumberFormat="1" applyFont="1" applyFill="1" applyBorder="1" applyAlignment="1" applyProtection="1" quotePrefix="1">
      <alignment horizontal="center" vertical="center" wrapText="1"/>
      <protection hidden="1"/>
    </xf>
    <xf numFmtId="208" fontId="158" fillId="22" borderId="0" xfId="6" applyFont="1" applyFill="1" applyBorder="1" applyAlignment="1" applyProtection="1">
      <alignment horizontal="center" vertical="center" wrapText="1"/>
      <protection hidden="1"/>
    </xf>
    <xf numFmtId="206" fontId="158" fillId="22" borderId="0" xfId="43" applyFont="1" applyFill="1" applyBorder="1" applyAlignment="1" applyProtection="1">
      <alignment horizontal="center" vertical="center" wrapText="1"/>
      <protection hidden="1"/>
    </xf>
    <xf numFmtId="17" fontId="158" fillId="22" borderId="0" xfId="24" applyFont="1" applyFill="1" applyBorder="1" applyProtection="1">
      <alignment horizontal="center" vertical="center"/>
      <protection hidden="1"/>
    </xf>
    <xf numFmtId="0" fontId="223" fillId="55" borderId="0" xfId="0" applyFont="1" applyFill="1" applyBorder="1" applyProtection="1">
      <alignment horizontal="left" vertical="center"/>
      <protection hidden="1"/>
    </xf>
    <xf numFmtId="208" fontId="173" fillId="22" borderId="0" xfId="6" applyFont="1" applyFill="1" applyBorder="1" applyAlignment="1" applyProtection="1">
      <alignment horizontal="center" vertical="center"/>
      <protection hidden="1"/>
    </xf>
    <xf numFmtId="43" fontId="173" fillId="22" borderId="0" xfId="4" applyFont="1" applyFill="1" applyBorder="1" applyAlignment="1" applyProtection="1">
      <alignment horizontal="center" vertical="center" wrapText="1"/>
      <protection hidden="1"/>
    </xf>
    <xf numFmtId="0" fontId="4" fillId="22" borderId="0" xfId="0" applyFill="1" applyBorder="1" applyProtection="1">
      <alignment horizontal="left" vertical="center"/>
      <protection hidden="1"/>
    </xf>
    <xf numFmtId="0" fontId="4" fillId="76" borderId="0" xfId="0" applyFill="1" applyBorder="1" applyProtection="1">
      <alignment horizontal="left" vertical="center"/>
      <protection hidden="1"/>
    </xf>
    <xf numFmtId="171" fontId="202" fillId="55" borderId="0" xfId="4" applyNumberFormat="1" applyFont="1" applyFill="1" applyBorder="1" applyAlignment="1" applyProtection="1">
      <alignment horizontal="left" vertical="top"/>
      <protection hidden="1"/>
    </xf>
    <xf numFmtId="0" fontId="202" fillId="55" borderId="0" xfId="0" applyFont="1" applyFill="1" applyBorder="1" applyProtection="1">
      <alignment horizontal="left" vertical="center"/>
      <protection hidden="1"/>
    </xf>
    <xf numFmtId="188" fontId="202" fillId="55" borderId="0" xfId="6" applyNumberFormat="1" applyFont="1" applyFill="1" applyBorder="1" applyAlignment="1" applyProtection="1">
      <alignment horizontal="left" vertical="top" wrapText="1"/>
      <protection hidden="1"/>
    </xf>
    <xf numFmtId="14" fontId="224" fillId="44" borderId="153" xfId="24" applyNumberFormat="1" applyFont="1" applyFill="1" applyBorder="1" applyProtection="1">
      <alignment horizontal="center" vertical="center"/>
      <protection hidden="1"/>
    </xf>
    <xf numFmtId="14" fontId="224" fillId="44" borderId="154" xfId="24" applyNumberFormat="1" applyFont="1" applyFill="1" applyBorder="1" applyProtection="1">
      <alignment horizontal="center" vertical="center"/>
      <protection hidden="1"/>
    </xf>
    <xf numFmtId="188" fontId="202" fillId="55" borderId="0" xfId="6" applyNumberFormat="1" applyFont="1" applyFill="1" applyBorder="1" applyAlignment="1" applyProtection="1">
      <alignment vertical="center"/>
      <protection hidden="1"/>
    </xf>
    <xf numFmtId="188" fontId="202" fillId="55" borderId="0" xfId="6" applyNumberFormat="1" applyFont="1" applyFill="1" applyBorder="1" applyAlignment="1" applyProtection="1" quotePrefix="1">
      <alignment vertical="center" wrapText="1"/>
      <protection hidden="1"/>
    </xf>
    <xf numFmtId="188" fontId="202" fillId="55" borderId="0" xfId="6" applyNumberFormat="1" applyFont="1" applyFill="1" applyBorder="1" applyAlignment="1" applyProtection="1">
      <alignment vertical="center" wrapText="1"/>
      <protection hidden="1"/>
    </xf>
    <xf numFmtId="14" fontId="224" fillId="44" borderId="154" xfId="0" applyNumberFormat="1" applyFont="1" applyFill="1" applyBorder="1" applyAlignment="1" applyProtection="1">
      <alignment horizontal="center" vertical="center"/>
      <protection hidden="1"/>
    </xf>
    <xf numFmtId="0" fontId="199" fillId="55" borderId="0" xfId="0" applyFont="1" applyFill="1" applyProtection="1">
      <alignment horizontal="left" vertical="center"/>
      <protection hidden="1"/>
    </xf>
    <xf numFmtId="0" fontId="225" fillId="55" borderId="0" xfId="0" applyFont="1" applyFill="1" applyBorder="1" applyProtection="1" quotePrefix="1">
      <alignment horizontal="left" vertical="center"/>
      <protection hidden="1"/>
    </xf>
    <xf numFmtId="0" fontId="202" fillId="55" borderId="0" xfId="0" applyFont="1" applyFill="1" applyBorder="1" applyProtection="1" quotePrefix="1">
      <alignment horizontal="left" vertical="center"/>
      <protection hidden="1"/>
    </xf>
    <xf numFmtId="1" fontId="224" fillId="44" borderId="154" xfId="0" applyNumberFormat="1" applyFont="1" applyFill="1" applyBorder="1" applyAlignment="1" applyProtection="1">
      <alignment horizontal="center" vertical="center"/>
      <protection hidden="1"/>
    </xf>
    <xf numFmtId="206" fontId="202" fillId="55" borderId="0" xfId="43" applyFont="1" applyFill="1" applyBorder="1" applyAlignment="1" applyProtection="1">
      <alignment vertical="center" wrapText="1"/>
      <protection hidden="1"/>
    </xf>
    <xf numFmtId="206" fontId="202" fillId="55" borderId="0" xfId="43" applyFont="1" applyFill="1" applyBorder="1" applyAlignment="1" applyProtection="1">
      <alignment horizontal="left" vertical="center"/>
      <protection hidden="1"/>
    </xf>
    <xf numFmtId="208" fontId="14" fillId="55" borderId="0" xfId="6" applyFont="1" applyFill="1" applyBorder="1" applyAlignment="1" applyProtection="1">
      <alignment horizontal="left" vertical="center" indent="1"/>
      <protection hidden="1"/>
    </xf>
    <xf numFmtId="43" fontId="123" fillId="55" borderId="0" xfId="4" applyFont="1" applyFill="1" applyBorder="1" applyAlignment="1" applyProtection="1">
      <alignment horizontal="left" vertical="center" indent="1"/>
      <protection hidden="1"/>
    </xf>
    <xf numFmtId="208" fontId="14" fillId="55" borderId="0" xfId="6" applyFont="1" applyFill="1" applyBorder="1" applyAlignment="1" applyProtection="1">
      <alignment horizontal="center" vertical="center"/>
      <protection hidden="1"/>
    </xf>
    <xf numFmtId="188" fontId="14" fillId="22" borderId="0" xfId="6" applyNumberFormat="1" applyFont="1" applyFill="1" applyBorder="1" applyAlignment="1" applyProtection="1">
      <alignment vertical="center" wrapText="1"/>
      <protection hidden="1"/>
    </xf>
    <xf numFmtId="188" fontId="14" fillId="22" borderId="0" xfId="6" applyNumberFormat="1" applyFont="1" applyFill="1" applyBorder="1" applyAlignment="1" applyProtection="1">
      <alignment horizontal="left" vertical="top" wrapText="1"/>
      <protection hidden="1"/>
    </xf>
    <xf numFmtId="188" fontId="14" fillId="22" borderId="0" xfId="6" applyNumberFormat="1" applyFont="1" applyFill="1" applyBorder="1" applyAlignment="1" applyProtection="1" quotePrefix="1">
      <alignment horizontal="center" vertical="center" wrapText="1"/>
      <protection hidden="1"/>
    </xf>
    <xf numFmtId="206" fontId="14" fillId="22" borderId="0" xfId="43" applyFont="1" applyFill="1" applyBorder="1" applyAlignment="1" applyProtection="1">
      <alignment horizontal="left" vertical="center" indent="1"/>
      <protection hidden="1"/>
    </xf>
    <xf numFmtId="17" fontId="14" fillId="22" borderId="0" xfId="24" applyFont="1" applyFill="1" applyBorder="1" applyProtection="1">
      <alignment horizontal="center" vertical="center"/>
      <protection hidden="1"/>
    </xf>
    <xf numFmtId="43" fontId="14" fillId="55" borderId="0" xfId="4" applyFont="1" applyFill="1" applyBorder="1" applyAlignment="1" applyProtection="1">
      <alignment wrapText="1"/>
      <protection hidden="1"/>
    </xf>
    <xf numFmtId="0" fontId="14" fillId="22" borderId="0" xfId="0" applyFont="1" applyFill="1" applyBorder="1" applyProtection="1">
      <alignment horizontal="left" vertical="center"/>
      <protection hidden="1"/>
    </xf>
    <xf numFmtId="188" fontId="14" fillId="22" borderId="0" xfId="6" applyNumberFormat="1" applyFont="1" applyFill="1" applyBorder="1" applyAlignment="1" applyProtection="1" quotePrefix="1">
      <alignment horizontal="center" wrapText="1"/>
      <protection hidden="1"/>
    </xf>
    <xf numFmtId="43" fontId="123" fillId="55" borderId="0" xfId="4" applyFont="1" applyFill="1" applyBorder="1" applyAlignment="1" applyProtection="1">
      <alignment vertical="center"/>
      <protection hidden="1"/>
    </xf>
    <xf numFmtId="0" fontId="4" fillId="75" borderId="0" xfId="0" applyFill="1" applyProtection="1">
      <alignment horizontal="left" vertical="center"/>
      <protection hidden="1"/>
    </xf>
    <xf numFmtId="0" fontId="4" fillId="75" borderId="0" xfId="0" applyFill="1" applyBorder="1" applyProtection="1">
      <alignment horizontal="left" vertical="center"/>
      <protection hidden="1"/>
    </xf>
    <xf numFmtId="17" fontId="37" fillId="89" borderId="0" xfId="24" applyFont="1" applyFill="1" applyBorder="1" applyProtection="1">
      <alignment horizontal="center" vertical="center"/>
      <protection hidden="1"/>
    </xf>
    <xf numFmtId="0" fontId="38" fillId="89" borderId="0" xfId="0" applyFont="1" applyFill="1" applyBorder="1" applyAlignment="1" applyProtection="1">
      <alignment horizontal="center" vertical="center"/>
      <protection hidden="1"/>
    </xf>
    <xf numFmtId="206" fontId="202" fillId="55" borderId="0" xfId="43" applyFont="1" applyFill="1" applyBorder="1" applyAlignment="1" applyProtection="1">
      <alignment horizontal="right" vertical="center" wrapText="1"/>
      <protection hidden="1"/>
    </xf>
    <xf numFmtId="0" fontId="226" fillId="3" borderId="0" xfId="14" applyFont="1" applyFill="1" applyProtection="1">
      <alignment horizontal="left" vertical="center"/>
      <protection hidden="1"/>
    </xf>
    <xf numFmtId="188" fontId="201" fillId="22" borderId="0" xfId="6" applyNumberFormat="1" applyFont="1" applyFill="1" applyBorder="1" applyAlignment="1" applyProtection="1">
      <alignment horizontal="left" vertical="center" wrapText="1"/>
      <protection hidden="1"/>
    </xf>
    <xf numFmtId="206" fontId="201" fillId="22" borderId="0" xfId="43" applyFont="1" applyFill="1" applyBorder="1" applyAlignment="1" applyProtection="1">
      <alignment horizontal="left" vertical="center"/>
      <protection hidden="1"/>
    </xf>
    <xf numFmtId="0" fontId="227" fillId="90" borderId="0" xfId="0" applyFont="1" applyFill="1" applyProtection="1">
      <alignment horizontal="left" vertical="center"/>
      <protection hidden="1"/>
    </xf>
    <xf numFmtId="0" fontId="228" fillId="30" borderId="0" xfId="0" applyFont="1" applyFill="1" applyBorder="1" applyProtection="1">
      <alignment horizontal="left" vertical="center"/>
      <protection hidden="1"/>
    </xf>
    <xf numFmtId="43" fontId="201" fillId="22" borderId="0" xfId="4" applyFont="1" applyFill="1" applyBorder="1" applyAlignment="1" applyProtection="1">
      <alignment horizontal="center" vertical="center"/>
      <protection hidden="1"/>
    </xf>
    <xf numFmtId="188" fontId="14" fillId="22" borderId="0" xfId="6" applyNumberFormat="1" applyFont="1" applyFill="1" applyBorder="1" applyAlignment="1" applyProtection="1" quotePrefix="1">
      <alignment horizontal="left" vertical="top" wrapText="1"/>
      <protection hidden="1"/>
    </xf>
    <xf numFmtId="206" fontId="14" fillId="22" borderId="0" xfId="43" applyFont="1" applyFill="1" applyBorder="1" applyAlignment="1" applyProtection="1">
      <alignment horizontal="left" vertical="top" indent="1"/>
      <protection hidden="1"/>
    </xf>
    <xf numFmtId="17" fontId="14" fillId="22" borderId="0" xfId="24" applyFont="1" applyFill="1" applyBorder="1" applyAlignment="1" applyProtection="1">
      <alignment horizontal="left" vertical="top"/>
      <protection hidden="1"/>
    </xf>
    <xf numFmtId="188" fontId="17" fillId="2" borderId="37" xfId="55" applyNumberFormat="1" applyFont="1" applyFill="1" applyBorder="1">
      <alignment horizontal="left" vertical="center" indent="1"/>
      <protection locked="0"/>
    </xf>
    <xf numFmtId="208" fontId="4" fillId="2" borderId="16" xfId="6" applyFont="1" applyFill="1" applyBorder="1" applyAlignment="1" applyProtection="1">
      <alignment horizontal="center" vertical="center"/>
      <protection locked="0"/>
    </xf>
    <xf numFmtId="0" fontId="60" fillId="91" borderId="155" xfId="29" applyFont="1" applyFill="1" applyBorder="1" applyAlignment="1">
      <alignment vertical="center" wrapText="1" shrinkToFit="1"/>
      <protection/>
    </xf>
    <xf numFmtId="188" fontId="14" fillId="22" borderId="0" xfId="6" applyNumberFormat="1" applyFont="1" applyFill="1" applyBorder="1" applyAlignment="1" applyProtection="1" quotePrefix="1">
      <alignment horizontal="left" vertical="top"/>
      <protection hidden="1"/>
    </xf>
    <xf numFmtId="177" fontId="116" fillId="35" borderId="0" xfId="4" applyNumberFormat="1" applyFont="1" applyFill="1" applyBorder="1" applyAlignment="1" applyProtection="1">
      <alignment horizontal="center" vertical="center"/>
      <protection hidden="1"/>
    </xf>
    <xf numFmtId="0" fontId="238" fillId="35" borderId="0" xfId="0" applyFont="1" applyFill="1" applyBorder="1" applyProtection="1">
      <alignment horizontal="left" vertical="center"/>
      <protection hidden="1"/>
    </xf>
    <xf numFmtId="0" fontId="238" fillId="35" borderId="23" xfId="0" applyFont="1" applyFill="1" applyBorder="1" applyProtection="1">
      <alignment horizontal="left" vertical="center"/>
      <protection hidden="1"/>
    </xf>
    <xf numFmtId="209" fontId="238" fillId="35" borderId="0" xfId="0" applyNumberFormat="1" applyFont="1" applyFill="1" applyBorder="1" applyAlignment="1" applyProtection="1">
      <alignment horizontal="center" vertical="center"/>
      <protection hidden="1"/>
    </xf>
    <xf numFmtId="209" fontId="238" fillId="35" borderId="23" xfId="0" applyNumberFormat="1" applyFont="1" applyFill="1" applyBorder="1" applyAlignment="1" applyProtection="1">
      <alignment horizontal="center" vertical="center"/>
      <protection hidden="1"/>
    </xf>
    <xf numFmtId="0" fontId="229" fillId="35" borderId="0" xfId="0" applyFont="1" applyFill="1" applyBorder="1" applyProtection="1">
      <alignment horizontal="left" vertical="center"/>
      <protection hidden="1"/>
    </xf>
    <xf numFmtId="0" fontId="229" fillId="35" borderId="0" xfId="0" applyFont="1" applyFill="1" applyBorder="1" applyAlignment="1" applyProtection="1">
      <alignment horizontal="center" vertical="center"/>
      <protection hidden="1"/>
    </xf>
    <xf numFmtId="14" fontId="201" fillId="22" borderId="0" xfId="24" applyNumberFormat="1" applyFont="1" applyFill="1" applyBorder="1" applyProtection="1">
      <alignment horizontal="center" vertical="center"/>
      <protection hidden="1"/>
    </xf>
    <xf numFmtId="0" fontId="231" fillId="22" borderId="0" xfId="0" applyFont="1" applyFill="1" applyBorder="1" applyProtection="1">
      <alignment horizontal="left" vertical="center"/>
      <protection hidden="1"/>
    </xf>
    <xf numFmtId="0" fontId="231" fillId="22" borderId="0" xfId="0" applyFont="1" applyFill="1" applyBorder="1" applyAlignment="1" applyProtection="1">
      <alignment horizontal="center" vertical="center"/>
      <protection hidden="1"/>
    </xf>
    <xf numFmtId="206" fontId="232" fillId="22" borderId="0" xfId="43" applyFont="1" applyFill="1" applyBorder="1" applyAlignment="1" applyProtection="1">
      <alignment horizontal="left" vertical="center" indent="1"/>
      <protection hidden="1"/>
    </xf>
    <xf numFmtId="17" fontId="232" fillId="22" borderId="0" xfId="24" applyFont="1" applyFill="1" applyBorder="1" applyProtection="1">
      <alignment horizontal="center" vertical="center"/>
      <protection hidden="1"/>
    </xf>
    <xf numFmtId="43" fontId="232" fillId="22" borderId="0" xfId="4" applyFont="1" applyFill="1" applyBorder="1" applyAlignment="1" applyProtection="1">
      <alignment horizontal="center" vertical="center"/>
      <protection hidden="1"/>
    </xf>
    <xf numFmtId="0" fontId="232" fillId="0" borderId="0" xfId="0" applyFont="1" applyAlignment="1" applyProtection="1">
      <alignment horizontal="center" vertical="center"/>
      <protection hidden="1"/>
    </xf>
    <xf numFmtId="0" fontId="233" fillId="30" borderId="0" xfId="0" applyFont="1" applyFill="1" applyProtection="1">
      <alignment horizontal="left" vertical="center"/>
      <protection hidden="1"/>
    </xf>
    <xf numFmtId="171" fontId="234" fillId="22" borderId="0" xfId="4" applyNumberFormat="1" applyFont="1" applyFill="1" applyAlignment="1" applyProtection="1">
      <alignment vertical="center"/>
      <protection hidden="1"/>
    </xf>
    <xf numFmtId="188" fontId="232" fillId="22" borderId="0" xfId="6" applyNumberFormat="1" applyFont="1" applyFill="1" applyBorder="1" applyAlignment="1" applyProtection="1" quotePrefix="1">
      <alignment horizontal="center" vertical="center" wrapText="1"/>
      <protection hidden="1"/>
    </xf>
    <xf numFmtId="208" fontId="232" fillId="22" borderId="0" xfId="6" applyFont="1" applyFill="1" applyBorder="1" applyAlignment="1" applyProtection="1">
      <alignment horizontal="center" vertical="center" wrapText="1"/>
      <protection hidden="1"/>
    </xf>
    <xf numFmtId="206" fontId="232" fillId="22" borderId="0" xfId="43" applyFont="1" applyFill="1" applyBorder="1" applyAlignment="1" applyProtection="1">
      <alignment horizontal="center" vertical="center" wrapText="1"/>
      <protection hidden="1"/>
    </xf>
    <xf numFmtId="171" fontId="232" fillId="22" borderId="0" xfId="4" applyNumberFormat="1" applyFont="1" applyFill="1" applyBorder="1" applyAlignment="1" applyProtection="1">
      <alignment horizontal="left" vertical="top"/>
      <protection hidden="1"/>
    </xf>
    <xf numFmtId="17" fontId="233" fillId="22" borderId="0" xfId="24" applyFont="1" applyFill="1" applyBorder="1" applyProtection="1">
      <alignment horizontal="center" vertical="center"/>
      <protection hidden="1"/>
    </xf>
    <xf numFmtId="0" fontId="232" fillId="22" borderId="0" xfId="0" applyFont="1" applyFill="1" applyBorder="1" applyProtection="1">
      <alignment horizontal="left" vertical="center"/>
      <protection hidden="1"/>
    </xf>
    <xf numFmtId="188" fontId="232" fillId="92" borderId="0" xfId="6" applyNumberFormat="1" applyFont="1" applyFill="1" applyBorder="1" applyAlignment="1" applyProtection="1">
      <alignment vertical="center" wrapText="1"/>
      <protection hidden="1"/>
    </xf>
    <xf numFmtId="188" fontId="232" fillId="92" borderId="0" xfId="6" applyNumberFormat="1" applyFont="1" applyFill="1" applyBorder="1" applyAlignment="1" applyProtection="1" quotePrefix="1">
      <alignment horizontal="center" wrapText="1"/>
      <protection hidden="1"/>
    </xf>
    <xf numFmtId="188" fontId="232" fillId="92" borderId="0" xfId="6" applyNumberFormat="1" applyFont="1" applyFill="1" applyBorder="1" applyAlignment="1" applyProtection="1">
      <alignment horizontal="center" wrapText="1"/>
      <protection hidden="1"/>
    </xf>
    <xf numFmtId="188" fontId="232" fillId="92" borderId="0" xfId="6" applyNumberFormat="1" applyFont="1" applyFill="1" applyBorder="1" applyAlignment="1" applyProtection="1">
      <alignment horizontal="center" vertical="center" wrapText="1"/>
      <protection hidden="1"/>
    </xf>
    <xf numFmtId="206" fontId="232" fillId="92" borderId="0" xfId="43" applyFont="1" applyFill="1" applyBorder="1" applyAlignment="1" applyProtection="1">
      <alignment horizontal="left" vertical="center" indent="1"/>
      <protection hidden="1"/>
    </xf>
    <xf numFmtId="17" fontId="232" fillId="92" borderId="0" xfId="24" applyFont="1" applyFill="1" applyBorder="1" applyProtection="1">
      <alignment horizontal="center" vertical="center"/>
      <protection hidden="1"/>
    </xf>
    <xf numFmtId="188" fontId="232" fillId="92" borderId="0" xfId="6" applyNumberFormat="1" applyFont="1" applyFill="1" applyBorder="1" applyAlignment="1" applyProtection="1">
      <alignment vertical="center"/>
      <protection hidden="1"/>
    </xf>
    <xf numFmtId="188" fontId="232" fillId="92" borderId="0" xfId="6" applyNumberFormat="1" applyFont="1" applyFill="1" applyBorder="1" applyAlignment="1" applyProtection="1" quotePrefix="1">
      <alignment horizontal="center" vertical="center" wrapText="1"/>
      <protection hidden="1"/>
    </xf>
    <xf numFmtId="0" fontId="232" fillId="92" borderId="0" xfId="0" applyFont="1" applyFill="1" applyBorder="1" applyProtection="1">
      <alignment horizontal="left" vertical="center"/>
      <protection hidden="1"/>
    </xf>
    <xf numFmtId="188" fontId="232" fillId="92" borderId="0" xfId="6" applyNumberFormat="1" applyFont="1" applyFill="1" applyBorder="1" applyAlignment="1" applyProtection="1" quotePrefix="1">
      <alignment wrapText="1"/>
      <protection hidden="1"/>
    </xf>
    <xf numFmtId="0" fontId="232" fillId="92" borderId="0" xfId="0" applyFont="1" applyFill="1" applyBorder="1" applyAlignment="1" applyProtection="1">
      <alignment vertical="center"/>
      <protection hidden="1"/>
    </xf>
    <xf numFmtId="188" fontId="232" fillId="92" borderId="0" xfId="6" applyNumberFormat="1" applyFont="1" applyFill="1" applyBorder="1" applyAlignment="1" applyProtection="1">
      <alignment horizontal="left" wrapText="1"/>
      <protection hidden="1"/>
    </xf>
    <xf numFmtId="208" fontId="232" fillId="92" borderId="0" xfId="6" applyFont="1" applyFill="1" applyBorder="1" applyAlignment="1" applyProtection="1">
      <alignment horizontal="left" vertical="center" indent="1"/>
      <protection hidden="1"/>
    </xf>
    <xf numFmtId="208" fontId="232" fillId="92" borderId="0" xfId="6" applyFont="1" applyFill="1" applyBorder="1" applyAlignment="1" applyProtection="1" quotePrefix="1">
      <alignment horizontal="center" wrapText="1"/>
      <protection hidden="1"/>
    </xf>
    <xf numFmtId="188" fontId="232" fillId="22" borderId="0" xfId="6" applyNumberFormat="1" applyFont="1" applyFill="1" applyBorder="1" applyAlignment="1" applyProtection="1" quotePrefix="1">
      <alignment horizontal="center" wrapText="1"/>
      <protection hidden="1"/>
    </xf>
    <xf numFmtId="188" fontId="232" fillId="92" borderId="0" xfId="6" applyNumberFormat="1" applyFont="1" applyFill="1" applyBorder="1" applyAlignment="1" applyProtection="1" quotePrefix="1">
      <alignment horizontal="left" vertical="top"/>
      <protection hidden="1"/>
    </xf>
    <xf numFmtId="188" fontId="232" fillId="92" borderId="0" xfId="6" applyNumberFormat="1" applyFont="1" applyFill="1" applyBorder="1" applyAlignment="1" applyProtection="1" quotePrefix="1">
      <alignment horizontal="left"/>
      <protection hidden="1"/>
    </xf>
    <xf numFmtId="188" fontId="232" fillId="92" borderId="0" xfId="6" applyNumberFormat="1" applyFont="1" applyFill="1" applyBorder="1" applyAlignment="1" applyProtection="1" quotePrefix="1">
      <alignment horizontal="left" vertical="center"/>
      <protection hidden="1"/>
    </xf>
    <xf numFmtId="17" fontId="232" fillId="92" borderId="0" xfId="24" applyFont="1" applyFill="1" applyBorder="1" applyAlignment="1" applyProtection="1">
      <alignment horizontal="left" vertical="center"/>
      <protection hidden="1"/>
    </xf>
    <xf numFmtId="0" fontId="231" fillId="92" borderId="0" xfId="0" applyFont="1" applyFill="1" applyBorder="1" applyProtection="1">
      <alignment horizontal="left" vertical="center"/>
      <protection hidden="1"/>
    </xf>
    <xf numFmtId="188" fontId="232" fillId="92" borderId="0" xfId="6" applyNumberFormat="1" applyFont="1" applyFill="1" applyBorder="1" applyAlignment="1" applyProtection="1" quotePrefix="1">
      <alignment horizontal="left" vertical="top" wrapText="1"/>
      <protection hidden="1"/>
    </xf>
    <xf numFmtId="188" fontId="232" fillId="92" borderId="0" xfId="6" applyNumberFormat="1" applyFont="1" applyFill="1" applyBorder="1" applyAlignment="1" applyProtection="1" quotePrefix="1">
      <alignment vertical="center" wrapText="1"/>
      <protection hidden="1"/>
    </xf>
    <xf numFmtId="0" fontId="232" fillId="92" borderId="0" xfId="0" applyFont="1" applyFill="1" applyBorder="1" applyAlignment="1" applyProtection="1">
      <alignment horizontal="left" vertical="top" indent="1"/>
      <protection hidden="1"/>
    </xf>
    <xf numFmtId="188" fontId="232" fillId="92" borderId="0" xfId="6" applyNumberFormat="1" applyFont="1" applyFill="1" applyBorder="1" applyAlignment="1" applyProtection="1" quotePrefix="1">
      <alignment horizontal="left" wrapText="1"/>
      <protection hidden="1"/>
    </xf>
    <xf numFmtId="188" fontId="232" fillId="22" borderId="0" xfId="6" applyNumberFormat="1" applyFont="1" applyFill="1" applyBorder="1" applyAlignment="1" applyProtection="1" quotePrefix="1">
      <alignment vertical="center" wrapText="1"/>
      <protection hidden="1"/>
    </xf>
    <xf numFmtId="188" fontId="232" fillId="22" borderId="0" xfId="6" applyNumberFormat="1" applyFont="1" applyFill="1" applyBorder="1" applyAlignment="1" applyProtection="1">
      <alignment vertical="center" wrapText="1"/>
      <protection hidden="1"/>
    </xf>
    <xf numFmtId="0" fontId="232" fillId="22" borderId="0" xfId="0" applyFont="1" applyFill="1" applyBorder="1" applyAlignment="1" applyProtection="1">
      <alignment horizontal="left" vertical="top" indent="1"/>
      <protection hidden="1"/>
    </xf>
    <xf numFmtId="188" fontId="232" fillId="92" borderId="0" xfId="6" applyNumberFormat="1" applyFont="1" applyFill="1" applyBorder="1" applyAlignment="1" applyProtection="1">
      <alignment horizontal="left" vertical="top" wrapText="1"/>
      <protection hidden="1"/>
    </xf>
    <xf numFmtId="206" fontId="232" fillId="22" borderId="0" xfId="43" applyFont="1" applyFill="1" applyBorder="1" applyAlignment="1" applyProtection="1">
      <alignment vertical="center" wrapText="1"/>
      <protection hidden="1"/>
    </xf>
    <xf numFmtId="0" fontId="232" fillId="76" borderId="0" xfId="0" applyFont="1" applyFill="1" applyBorder="1" applyProtection="1">
      <alignment horizontal="left" vertical="center"/>
      <protection hidden="1"/>
    </xf>
    <xf numFmtId="206" fontId="232" fillId="76" borderId="0" xfId="43" applyFont="1" applyFill="1" applyBorder="1" applyAlignment="1" applyProtection="1">
      <alignment horizontal="left" vertical="center" indent="1"/>
      <protection hidden="1"/>
    </xf>
    <xf numFmtId="17" fontId="232" fillId="76" borderId="0" xfId="24" applyFont="1" applyFill="1" applyBorder="1" applyProtection="1">
      <alignment horizontal="center" vertical="center"/>
      <protection hidden="1"/>
    </xf>
    <xf numFmtId="0" fontId="232" fillId="30" borderId="0" xfId="0" applyFont="1" applyFill="1" applyProtection="1">
      <alignment horizontal="left" vertical="center"/>
      <protection hidden="1"/>
    </xf>
    <xf numFmtId="0" fontId="232" fillId="0" borderId="0" xfId="0" applyFont="1">
      <alignment horizontal="left" vertical="center"/>
    </xf>
    <xf numFmtId="43" fontId="232" fillId="0" borderId="0" xfId="4" applyFont="1" applyAlignment="1" applyProtection="1">
      <alignment horizontal="center" vertical="center"/>
      <protection hidden="1"/>
    </xf>
    <xf numFmtId="0" fontId="233" fillId="30" borderId="0" xfId="0" applyFont="1" applyFill="1" applyAlignment="1" applyProtection="1">
      <alignment horizontal="center" vertical="center"/>
      <protection hidden="1"/>
    </xf>
    <xf numFmtId="43" fontId="233" fillId="30" borderId="0" xfId="4" applyFont="1" applyFill="1" applyAlignment="1" applyProtection="1">
      <alignment horizontal="left" vertical="center"/>
      <protection hidden="1"/>
    </xf>
    <xf numFmtId="171" fontId="234" fillId="22" borderId="0" xfId="4" applyNumberFormat="1" applyFont="1" applyFill="1" applyAlignment="1" applyProtection="1">
      <alignment horizontal="center" vertical="center"/>
      <protection hidden="1"/>
    </xf>
    <xf numFmtId="43" fontId="234" fillId="22" borderId="0" xfId="4" applyFont="1" applyFill="1" applyAlignment="1" applyProtection="1">
      <alignment vertical="center"/>
      <protection hidden="1"/>
    </xf>
    <xf numFmtId="43" fontId="233" fillId="22" borderId="0" xfId="4" applyFont="1" applyFill="1" applyBorder="1" applyAlignment="1" applyProtection="1">
      <alignment horizontal="center" vertical="center"/>
      <protection hidden="1"/>
    </xf>
    <xf numFmtId="17" fontId="232" fillId="22" borderId="0" xfId="24" applyFont="1" applyFill="1" applyBorder="1" applyAlignment="1" applyProtection="1">
      <alignment horizontal="left" vertical="center"/>
      <protection hidden="1"/>
    </xf>
    <xf numFmtId="43" fontId="232" fillId="22" borderId="0" xfId="4" applyFont="1" applyFill="1" applyBorder="1" applyAlignment="1" applyProtection="1">
      <alignment horizontal="left" vertical="center"/>
      <protection hidden="1"/>
    </xf>
    <xf numFmtId="43" fontId="232" fillId="22" borderId="0" xfId="4" applyFont="1" applyFill="1" applyBorder="1" applyAlignment="1" applyProtection="1">
      <alignment vertical="center"/>
      <protection hidden="1"/>
    </xf>
    <xf numFmtId="0" fontId="232" fillId="22" borderId="0" xfId="0" applyFont="1" applyFill="1" applyBorder="1" applyAlignment="1" applyProtection="1">
      <alignment horizontal="center" vertical="center"/>
      <protection hidden="1"/>
    </xf>
    <xf numFmtId="0" fontId="232" fillId="76" borderId="0" xfId="0" applyFont="1" applyFill="1" applyBorder="1" applyAlignment="1" applyProtection="1">
      <alignment horizontal="center" vertical="center"/>
      <protection hidden="1"/>
    </xf>
    <xf numFmtId="43" fontId="232" fillId="76" borderId="0" xfId="4" applyFont="1" applyFill="1" applyBorder="1" applyAlignment="1" applyProtection="1">
      <alignment horizontal="center" vertical="center"/>
      <protection hidden="1"/>
    </xf>
    <xf numFmtId="0" fontId="232" fillId="0" borderId="0" xfId="0" applyFont="1" applyBorder="1" applyProtection="1">
      <alignment horizontal="left" vertical="center"/>
      <protection hidden="1"/>
    </xf>
    <xf numFmtId="0" fontId="232" fillId="0" borderId="0" xfId="0" applyFont="1" applyBorder="1" applyAlignment="1" applyProtection="1">
      <alignment horizontal="center" vertical="center"/>
      <protection hidden="1"/>
    </xf>
    <xf numFmtId="17" fontId="232" fillId="0" borderId="0" xfId="24" applyFont="1" applyBorder="1" applyProtection="1">
      <alignment horizontal="center" vertical="center"/>
      <protection hidden="1"/>
    </xf>
    <xf numFmtId="43" fontId="232" fillId="0" borderId="0" xfId="4" applyFont="1" applyBorder="1" applyAlignment="1" applyProtection="1">
      <alignment horizontal="center" vertical="center"/>
      <protection hidden="1"/>
    </xf>
    <xf numFmtId="0" fontId="232" fillId="0" borderId="0" xfId="0" applyFont="1" applyAlignment="1">
      <alignment horizontal="center" vertical="center"/>
    </xf>
    <xf numFmtId="43" fontId="232" fillId="0" borderId="0" xfId="4" applyFont="1" applyAlignment="1">
      <alignment horizontal="left" vertical="center"/>
    </xf>
    <xf numFmtId="188" fontId="4" fillId="3" borderId="23" xfId="0" applyNumberFormat="1" applyFill="1" applyBorder="1" applyAlignment="1" applyProtection="1">
      <alignment horizontal="center"/>
      <protection hidden="1"/>
    </xf>
    <xf numFmtId="188" fontId="4" fillId="3" borderId="0" xfId="0" applyNumberFormat="1" applyFill="1" applyBorder="1" applyAlignment="1" applyProtection="1">
      <alignment horizontal="center"/>
      <protection hidden="1"/>
    </xf>
    <xf numFmtId="43" fontId="232" fillId="22" borderId="0" xfId="4" applyFont="1" applyFill="1" applyBorder="1" applyAlignment="1" applyProtection="1" quotePrefix="1">
      <alignment horizontal="center" vertical="center" wrapText="1"/>
      <protection hidden="1"/>
    </xf>
    <xf numFmtId="206" fontId="232" fillId="22" borderId="0" xfId="43" applyFont="1" applyFill="1" applyBorder="1" applyAlignment="1" applyProtection="1">
      <alignment horizontal="center" vertical="center"/>
      <protection hidden="1"/>
    </xf>
    <xf numFmtId="206" fontId="232" fillId="76" borderId="0" xfId="43" applyFont="1" applyFill="1" applyBorder="1" applyAlignment="1" applyProtection="1">
      <alignment horizontal="center" vertical="center"/>
      <protection hidden="1"/>
    </xf>
    <xf numFmtId="206" fontId="232" fillId="0" borderId="0" xfId="43" applyFont="1" applyFill="1" applyBorder="1" applyAlignment="1" applyProtection="1">
      <alignment horizontal="center" vertical="center"/>
      <protection hidden="1"/>
    </xf>
    <xf numFmtId="0" fontId="232" fillId="76" borderId="0" xfId="0" applyFont="1" applyFill="1" applyBorder="1" applyAlignment="1" applyProtection="1">
      <alignment vertical="center"/>
      <protection hidden="1"/>
    </xf>
    <xf numFmtId="0" fontId="232" fillId="22" borderId="0" xfId="0" applyFont="1" applyFill="1" applyBorder="1" applyAlignment="1" applyProtection="1">
      <alignment vertical="center"/>
      <protection hidden="1"/>
    </xf>
    <xf numFmtId="188" fontId="232" fillId="22" borderId="0" xfId="6" applyNumberFormat="1" applyFont="1" applyFill="1" applyBorder="1" applyAlignment="1" applyProtection="1" quotePrefix="1">
      <alignment vertical="top"/>
      <protection hidden="1"/>
    </xf>
    <xf numFmtId="0" fontId="231" fillId="30" borderId="0" xfId="0" applyFont="1" applyFill="1" applyBorder="1" applyProtection="1">
      <alignment horizontal="left" vertical="center"/>
      <protection hidden="1"/>
    </xf>
    <xf numFmtId="0" fontId="231" fillId="30" borderId="0" xfId="0" applyFont="1" applyFill="1" applyBorder="1" applyAlignment="1" applyProtection="1">
      <alignment horizontal="center" vertical="center"/>
      <protection hidden="1"/>
    </xf>
    <xf numFmtId="206" fontId="232" fillId="30" borderId="0" xfId="43" applyFont="1" applyFill="1" applyBorder="1" applyAlignment="1" applyProtection="1">
      <alignment horizontal="center" vertical="center"/>
      <protection hidden="1"/>
    </xf>
    <xf numFmtId="43" fontId="232" fillId="30" borderId="0" xfId="4" applyFont="1" applyFill="1" applyBorder="1" applyAlignment="1" applyProtection="1">
      <alignment horizontal="center" vertical="center"/>
      <protection hidden="1"/>
    </xf>
    <xf numFmtId="43" fontId="232" fillId="30" borderId="0" xfId="4" applyFont="1" applyFill="1" applyBorder="1" applyAlignment="1" applyProtection="1">
      <alignment horizontal="left" vertical="center"/>
      <protection hidden="1"/>
    </xf>
    <xf numFmtId="0" fontId="231" fillId="30" borderId="0" xfId="0" applyFont="1" applyFill="1" applyBorder="1" applyAlignment="1" applyProtection="1">
      <alignment horizontal="right" vertical="center"/>
      <protection hidden="1"/>
    </xf>
    <xf numFmtId="17" fontId="232" fillId="30" borderId="0" xfId="24" applyFont="1" applyFill="1" applyBorder="1" applyAlignment="1" applyProtection="1">
      <alignment horizontal="left" vertical="center"/>
      <protection hidden="1"/>
    </xf>
    <xf numFmtId="188" fontId="232" fillId="22" borderId="0" xfId="6" applyNumberFormat="1" applyFont="1" applyFill="1" applyBorder="1" applyAlignment="1" applyProtection="1" quotePrefix="1">
      <alignment horizontal="left" vertical="center"/>
      <protection hidden="1"/>
    </xf>
    <xf numFmtId="188" fontId="232" fillId="22" borderId="0" xfId="6" applyNumberFormat="1" applyFont="1" applyFill="1" applyAlignment="1" applyProtection="1" quotePrefix="1">
      <alignment horizontal="left" vertical="center"/>
      <protection hidden="1"/>
    </xf>
    <xf numFmtId="188" fontId="232" fillId="22" borderId="0" xfId="6" applyNumberFormat="1" applyFont="1" applyFill="1" applyAlignment="1" applyProtection="1">
      <alignment horizontal="left" vertical="center"/>
      <protection hidden="1"/>
    </xf>
    <xf numFmtId="208" fontId="232" fillId="22" borderId="0" xfId="6" applyFont="1" applyFill="1" applyAlignment="1" applyProtection="1">
      <alignment horizontal="center" vertical="center"/>
      <protection hidden="1"/>
    </xf>
    <xf numFmtId="43" fontId="232" fillId="22" borderId="0" xfId="4" applyFont="1" applyFill="1" applyAlignment="1" applyProtection="1" quotePrefix="1">
      <alignment horizontal="center" vertical="center" wrapText="1"/>
      <protection hidden="1"/>
    </xf>
    <xf numFmtId="43" fontId="232" fillId="22" borderId="0" xfId="4" applyFont="1" applyFill="1" applyAlignment="1" applyProtection="1">
      <alignment horizontal="center" vertical="center" wrapText="1"/>
      <protection hidden="1"/>
    </xf>
    <xf numFmtId="43" fontId="232" fillId="22" borderId="0" xfId="4" applyFont="1" applyFill="1" applyAlignment="1" applyProtection="1">
      <alignment horizontal="center" vertical="center"/>
      <protection hidden="1"/>
    </xf>
    <xf numFmtId="43" fontId="231" fillId="22" borderId="0" xfId="4" applyFont="1" applyFill="1" applyBorder="1" applyAlignment="1" applyProtection="1">
      <alignment horizontal="left" vertical="center"/>
      <protection hidden="1"/>
    </xf>
    <xf numFmtId="43" fontId="231" fillId="30" borderId="0" xfId="4" applyFont="1" applyFill="1" applyBorder="1" applyAlignment="1" applyProtection="1">
      <alignment horizontal="left" vertical="center"/>
      <protection hidden="1"/>
    </xf>
    <xf numFmtId="43" fontId="231" fillId="30" borderId="0" xfId="4" applyFont="1" applyFill="1" applyBorder="1" applyAlignment="1" applyProtection="1">
      <alignment horizontal="center" vertical="center"/>
      <protection hidden="1"/>
    </xf>
    <xf numFmtId="43" fontId="232" fillId="0" borderId="0" xfId="4" applyFont="1" applyAlignment="1" applyProtection="1">
      <alignment horizontal="left" vertical="center"/>
      <protection hidden="1"/>
    </xf>
    <xf numFmtId="43" fontId="234" fillId="22" borderId="0" xfId="4" applyFont="1" applyFill="1" applyAlignment="1" applyProtection="1">
      <alignment horizontal="left" vertical="center"/>
      <protection hidden="1"/>
    </xf>
    <xf numFmtId="43" fontId="232" fillId="22" borderId="0" xfId="4" applyFont="1" applyFill="1" applyBorder="1" applyAlignment="1" applyProtection="1" quotePrefix="1">
      <alignment horizontal="left" vertical="center"/>
      <protection hidden="1"/>
    </xf>
    <xf numFmtId="43" fontId="232" fillId="22" borderId="0" xfId="4" applyFont="1" applyFill="1" applyAlignment="1" applyProtection="1" quotePrefix="1">
      <alignment horizontal="left" vertical="center"/>
      <protection hidden="1"/>
    </xf>
    <xf numFmtId="43" fontId="232" fillId="22" borderId="0" xfId="4" applyFont="1" applyFill="1" applyAlignment="1" applyProtection="1">
      <alignment horizontal="left" vertical="center"/>
      <protection hidden="1"/>
    </xf>
    <xf numFmtId="43" fontId="232" fillId="22" borderId="0" xfId="4" applyFont="1" applyFill="1" applyBorder="1" applyAlignment="1" applyProtection="1" quotePrefix="1">
      <alignment horizontal="left"/>
      <protection hidden="1"/>
    </xf>
    <xf numFmtId="43" fontId="232" fillId="76" borderId="0" xfId="4" applyFont="1" applyFill="1" applyBorder="1" applyAlignment="1" applyProtection="1">
      <alignment horizontal="left" vertical="center"/>
      <protection hidden="1"/>
    </xf>
    <xf numFmtId="43" fontId="232" fillId="0" borderId="0" xfId="4" applyFont="1" applyBorder="1" applyAlignment="1" applyProtection="1">
      <alignment horizontal="left" vertical="center"/>
      <protection hidden="1"/>
    </xf>
    <xf numFmtId="43" fontId="232" fillId="92" borderId="0" xfId="4" applyFont="1" applyFill="1" applyBorder="1" applyAlignment="1" applyProtection="1">
      <alignment horizontal="left" vertical="center" indent="1"/>
      <protection hidden="1"/>
    </xf>
    <xf numFmtId="43" fontId="232" fillId="22" borderId="0" xfId="4" applyFont="1" applyFill="1" applyBorder="1" applyAlignment="1" applyProtection="1">
      <alignment horizontal="left" vertical="center" indent="1"/>
      <protection hidden="1"/>
    </xf>
    <xf numFmtId="0" fontId="199" fillId="30" borderId="0" xfId="0" applyFont="1" applyFill="1" applyProtection="1">
      <alignment horizontal="left" vertical="center"/>
      <protection hidden="1"/>
      <extLst>
        <ext xmlns:xfpb="http://schemas.microsoft.com/office/spreadsheetml/2022/featurepropertybag" uri="{C7286773-470A-42A8-94C5-96B5CB345126}">
          <xfpb:xfComplement i="0"/>
        </ext>
      </extLst>
    </xf>
    <xf numFmtId="208" fontId="201" fillId="22" borderId="0" xfId="6" applyFont="1" applyFill="1" applyBorder="1" applyAlignment="1" applyProtection="1">
      <alignment horizontal="center" vertical="center"/>
      <protection hidden="1"/>
    </xf>
    <xf numFmtId="188" fontId="14" fillId="22" borderId="0" xfId="6" applyNumberFormat="1" applyFont="1" applyFill="1" applyBorder="1" applyAlignment="1" applyProtection="1" quotePrefix="1">
      <alignment vertical="center" wrapText="1"/>
      <protection hidden="1"/>
    </xf>
    <xf numFmtId="43" fontId="14" fillId="22" borderId="0" xfId="4" applyFont="1" applyFill="1" applyAlignment="1">
      <alignment horizontal="left" vertical="center"/>
    </xf>
    <xf numFmtId="43" fontId="14" fillId="22" borderId="0" xfId="4" applyFont="1" applyFill="1" applyBorder="1" applyAlignment="1" applyProtection="1">
      <alignment horizontal="center" vertical="center"/>
      <protection hidden="1"/>
    </xf>
    <xf numFmtId="43" fontId="14" fillId="22" borderId="0" xfId="4" applyFont="1" applyFill="1" applyBorder="1" applyAlignment="1" applyProtection="1" quotePrefix="1">
      <alignment horizontal="center" vertical="center" wrapText="1"/>
      <protection hidden="1"/>
    </xf>
    <xf numFmtId="43" fontId="14" fillId="22" borderId="0" xfId="4" applyFont="1" applyFill="1" applyAlignment="1" applyProtection="1" quotePrefix="1">
      <alignment horizontal="left" vertical="center"/>
      <protection hidden="1"/>
    </xf>
    <xf numFmtId="188" fontId="14" fillId="22" borderId="0" xfId="6" applyNumberFormat="1" applyFont="1" applyFill="1" applyAlignment="1" applyProtection="1">
      <alignment horizontal="left" vertical="center"/>
      <protection hidden="1"/>
    </xf>
    <xf numFmtId="208" fontId="14" fillId="22" borderId="0" xfId="6" applyFont="1" applyFill="1" applyAlignment="1" applyProtection="1">
      <alignment horizontal="center" vertical="center"/>
      <protection hidden="1"/>
    </xf>
    <xf numFmtId="1" fontId="4" fillId="0" borderId="0" xfId="0" applyNumberFormat="1" applyFont="1" applyAlignment="1" applyProtection="1">
      <alignment horizontal="right" vertical="center"/>
      <protection hidden="1"/>
    </xf>
    <xf numFmtId="1" fontId="29" fillId="30" borderId="0" xfId="0" applyNumberFormat="1" applyFont="1" applyFill="1" applyAlignment="1" applyProtection="1">
      <alignment horizontal="right" vertical="center"/>
      <protection hidden="1"/>
    </xf>
    <xf numFmtId="1" fontId="173" fillId="22" borderId="0" xfId="0" applyNumberFormat="1" applyFont="1" applyFill="1" applyBorder="1" applyAlignment="1" applyProtection="1">
      <alignment horizontal="right" vertical="center"/>
      <protection hidden="1"/>
    </xf>
    <xf numFmtId="1" fontId="200" fillId="22" borderId="0" xfId="0" applyNumberFormat="1" applyFont="1" applyFill="1" applyBorder="1" applyAlignment="1" applyProtection="1">
      <alignment horizontal="right" vertical="center"/>
      <protection hidden="1"/>
    </xf>
    <xf numFmtId="1" fontId="45" fillId="30" borderId="0" xfId="0" applyNumberFormat="1" applyFont="1" applyFill="1" applyBorder="1" applyAlignment="1" applyProtection="1">
      <alignment horizontal="right" vertical="center"/>
      <protection hidden="1"/>
    </xf>
    <xf numFmtId="1" fontId="14" fillId="22" borderId="0" xfId="4" applyNumberFormat="1" applyFont="1" applyFill="1" applyBorder="1" applyAlignment="1" applyProtection="1">
      <alignment horizontal="right" vertical="center" wrapText="1"/>
      <protection hidden="1"/>
    </xf>
    <xf numFmtId="1" fontId="201" fillId="22" borderId="0" xfId="6" applyNumberFormat="1" applyFont="1" applyFill="1" applyBorder="1" applyAlignment="1" applyProtection="1" quotePrefix="1">
      <alignment horizontal="right" vertical="center" wrapText="1"/>
      <protection hidden="1"/>
    </xf>
    <xf numFmtId="1" fontId="201" fillId="22" borderId="0" xfId="6" applyNumberFormat="1" applyFont="1" applyFill="1" applyBorder="1" applyAlignment="1" applyProtection="1">
      <alignment horizontal="right" vertical="center" wrapText="1"/>
      <protection hidden="1"/>
    </xf>
    <xf numFmtId="1" fontId="14" fillId="22" borderId="0" xfId="6" applyNumberFormat="1" applyFont="1" applyFill="1" applyBorder="1" applyAlignment="1" applyProtection="1">
      <alignment horizontal="right" vertical="center" wrapText="1"/>
      <protection hidden="1"/>
    </xf>
    <xf numFmtId="1" fontId="14" fillId="22" borderId="0" xfId="6" applyNumberFormat="1" applyFont="1" applyFill="1" applyAlignment="1" applyProtection="1">
      <alignment horizontal="right" vertical="center" wrapText="1"/>
      <protection hidden="1"/>
    </xf>
    <xf numFmtId="1" fontId="232" fillId="22" borderId="0" xfId="6" applyNumberFormat="1" applyFont="1" applyFill="1" applyAlignment="1" applyProtection="1">
      <alignment horizontal="right" vertical="center" wrapText="1"/>
      <protection hidden="1"/>
    </xf>
    <xf numFmtId="1" fontId="201" fillId="22" borderId="0" xfId="0" applyNumberFormat="1" applyFont="1" applyFill="1" applyBorder="1" applyAlignment="1" applyProtection="1">
      <alignment horizontal="right" vertical="center"/>
      <protection hidden="1"/>
    </xf>
    <xf numFmtId="1" fontId="201" fillId="22" borderId="0" xfId="43" applyNumberFormat="1" applyFont="1" applyFill="1" applyBorder="1" applyAlignment="1" applyProtection="1">
      <alignment horizontal="right" vertical="center" wrapText="1"/>
      <protection hidden="1"/>
    </xf>
    <xf numFmtId="1" fontId="201" fillId="76" borderId="0" xfId="0" applyNumberFormat="1" applyFont="1" applyFill="1" applyBorder="1" applyAlignment="1" applyProtection="1">
      <alignment horizontal="right" vertical="center"/>
      <protection hidden="1"/>
    </xf>
    <xf numFmtId="1" fontId="191" fillId="0" borderId="0" xfId="0" applyNumberFormat="1" applyFont="1" applyBorder="1" applyAlignment="1" applyProtection="1">
      <alignment horizontal="right" vertical="center"/>
      <protection hidden="1"/>
    </xf>
    <xf numFmtId="1" fontId="4" fillId="0" borderId="0" xfId="0" applyNumberFormat="1" applyAlignment="1">
      <alignment horizontal="right" vertical="center"/>
    </xf>
    <xf numFmtId="1" fontId="235" fillId="22" borderId="0" xfId="6" applyNumberFormat="1" applyFont="1" applyFill="1" applyBorder="1" applyAlignment="1" applyProtection="1" quotePrefix="1">
      <alignment horizontal="left" vertical="center"/>
      <protection hidden="1"/>
    </xf>
    <xf numFmtId="1" fontId="29" fillId="30" borderId="0" xfId="0" applyNumberFormat="1" applyFont="1" applyFill="1" applyProtection="1">
      <alignment horizontal="left" vertical="center"/>
      <protection hidden="1"/>
    </xf>
    <xf numFmtId="1" fontId="190" fillId="22" borderId="0" xfId="4" applyNumberFormat="1" applyFont="1" applyFill="1" applyAlignment="1" applyProtection="1">
      <alignment horizontal="left" vertical="center"/>
      <protection hidden="1"/>
    </xf>
    <xf numFmtId="43" fontId="231" fillId="30" borderId="0" xfId="4" applyFont="1" applyFill="1" applyBorder="1" applyAlignment="1" applyProtection="1">
      <alignment vertical="center"/>
      <protection hidden="1"/>
    </xf>
    <xf numFmtId="0" fontId="232" fillId="0" borderId="0" xfId="0" applyFont="1" applyProtection="1">
      <alignment horizontal="left" vertical="center"/>
      <protection hidden="1"/>
    </xf>
    <xf numFmtId="171" fontId="234" fillId="22" borderId="0" xfId="4" applyNumberFormat="1" applyFont="1" applyFill="1" applyAlignment="1" applyProtection="1">
      <alignment horizontal="left" vertical="center"/>
      <protection hidden="1"/>
    </xf>
    <xf numFmtId="188" fontId="232" fillId="22" borderId="0" xfId="6" applyNumberFormat="1" applyFont="1" applyFill="1" applyBorder="1" applyAlignment="1" applyProtection="1" quotePrefix="1">
      <alignment horizontal="left" vertical="center" wrapText="1"/>
      <protection hidden="1"/>
    </xf>
    <xf numFmtId="188" fontId="232" fillId="22" borderId="0" xfId="6" applyNumberFormat="1" applyFont="1" applyFill="1" applyBorder="1" applyAlignment="1" applyProtection="1">
      <alignment horizontal="left" vertical="center"/>
      <protection hidden="1"/>
    </xf>
    <xf numFmtId="188" fontId="232" fillId="22" borderId="0" xfId="6" applyNumberFormat="1" applyFont="1" applyFill="1" applyAlignment="1" applyProtection="1">
      <alignment horizontal="left" vertical="center" wrapText="1"/>
      <protection hidden="1"/>
    </xf>
    <xf numFmtId="188" fontId="232" fillId="22" borderId="0" xfId="6" applyNumberFormat="1" applyFont="1" applyFill="1" applyBorder="1" applyAlignment="1" applyProtection="1">
      <alignment horizontal="left" vertical="center" wrapText="1"/>
      <protection hidden="1"/>
    </xf>
    <xf numFmtId="206" fontId="232" fillId="22" borderId="0" xfId="43" applyFont="1" applyFill="1" applyBorder="1" applyAlignment="1" applyProtection="1">
      <alignment horizontal="left" vertical="center" wrapText="1"/>
      <protection hidden="1"/>
    </xf>
    <xf numFmtId="43" fontId="201" fillId="22" borderId="0" xfId="4" applyFont="1" applyFill="1" applyBorder="1" applyAlignment="1" applyProtection="1">
      <alignment vertical="center" wrapText="1"/>
      <protection hidden="1"/>
    </xf>
    <xf numFmtId="43" fontId="202" fillId="55" borderId="0" xfId="4" applyFont="1" applyFill="1" applyBorder="1" applyAlignment="1" applyProtection="1">
      <alignment horizontal="left" vertical="top" wrapText="1"/>
      <protection hidden="1"/>
    </xf>
    <xf numFmtId="43" fontId="14" fillId="22" borderId="0" xfId="4" applyFont="1" applyFill="1" applyBorder="1" applyAlignment="1" applyProtection="1" quotePrefix="1">
      <alignment horizontal="left" vertical="center" wrapText="1"/>
      <protection hidden="1"/>
    </xf>
    <xf numFmtId="43" fontId="14" fillId="22" borderId="0" xfId="4" applyFont="1" applyFill="1" applyAlignment="1" applyProtection="1">
      <alignment horizontal="left" vertical="center"/>
      <protection hidden="1"/>
    </xf>
    <xf numFmtId="1" fontId="14" fillId="27" borderId="0" xfId="0" applyNumberFormat="1" applyFont="1" applyFill="1" applyAlignment="1">
      <alignment horizontal="right" vertical="center"/>
    </xf>
    <xf numFmtId="0" fontId="123" fillId="30" borderId="0" xfId="0" applyFont="1" applyFill="1" applyProtection="1">
      <alignment horizontal="left" vertical="center"/>
      <protection hidden="1"/>
    </xf>
    <xf numFmtId="0" fontId="233" fillId="30" borderId="0" xfId="0" applyFont="1" applyFill="1" applyAlignment="1" applyProtection="1">
      <alignment horizontal="left" vertical="center" indent="2"/>
      <protection hidden="1"/>
    </xf>
    <xf numFmtId="0" fontId="109" fillId="22" borderId="156" xfId="0" applyFont="1" applyFill="1" applyBorder="1" applyProtection="1">
      <alignment horizontal="left" vertical="center"/>
      <protection hidden="1"/>
    </xf>
    <xf numFmtId="0" fontId="233" fillId="22" borderId="156" xfId="0" applyFont="1" applyFill="1" applyBorder="1" applyProtection="1">
      <alignment horizontal="left" vertical="center"/>
      <protection hidden="1"/>
    </xf>
    <xf numFmtId="0" fontId="29" fillId="22" borderId="156" xfId="0" applyFont="1" applyFill="1" applyBorder="1" applyProtection="1">
      <alignment horizontal="left" vertical="center"/>
      <protection hidden="1"/>
    </xf>
    <xf numFmtId="0" fontId="231" fillId="22" borderId="0" xfId="7" applyFont="1" applyFill="1" applyBorder="1" applyProtection="1">
      <alignment horizontal="center" vertical="center" shrinkToFit="1"/>
      <protection locked="0"/>
      <extLst>
        <ext xmlns:xfpb="http://schemas.microsoft.com/office/spreadsheetml/2022/featurepropertybag" uri="{C7286773-470A-42A8-94C5-96B5CB345126}">
          <xfpb:xfComplement i="0"/>
        </ext>
      </extLst>
    </xf>
    <xf numFmtId="188" fontId="14" fillId="22" borderId="0" xfId="6" applyNumberFormat="1" applyFont="1" applyFill="1" applyBorder="1" applyAlignment="1" applyProtection="1">
      <alignment vertical="center"/>
      <protection hidden="1"/>
    </xf>
    <xf numFmtId="0" fontId="14" fillId="22" borderId="0" xfId="4" applyNumberFormat="1" applyFont="1" applyFill="1" applyAlignment="1">
      <alignment horizontal="left" vertical="center"/>
    </xf>
    <xf numFmtId="188" fontId="232" fillId="30" borderId="0" xfId="6" applyNumberFormat="1" applyFont="1" applyFill="1" applyBorder="1" applyAlignment="1" applyProtection="1" quotePrefix="1">
      <alignment horizontal="left" vertical="center"/>
      <protection hidden="1"/>
    </xf>
    <xf numFmtId="188" fontId="201" fillId="30" borderId="0" xfId="6" applyNumberFormat="1" applyFont="1" applyFill="1" applyBorder="1" applyAlignment="1" applyProtection="1">
      <alignment horizontal="left" vertical="center" wrapText="1"/>
      <protection hidden="1"/>
    </xf>
    <xf numFmtId="188" fontId="201" fillId="30" borderId="0" xfId="6" applyNumberFormat="1" applyFont="1" applyFill="1" applyBorder="1" applyAlignment="1" applyProtection="1">
      <alignment vertical="center" wrapText="1"/>
      <protection hidden="1"/>
    </xf>
    <xf numFmtId="0" fontId="14" fillId="30" borderId="0" xfId="4" applyNumberFormat="1" applyFont="1" applyFill="1" applyAlignment="1">
      <alignment horizontal="left" vertical="center"/>
    </xf>
    <xf numFmtId="43" fontId="14" fillId="30" borderId="0" xfId="4" applyFont="1" applyFill="1" applyAlignment="1">
      <alignment horizontal="left" vertical="center"/>
    </xf>
    <xf numFmtId="188" fontId="232" fillId="30" borderId="23" xfId="6" applyNumberFormat="1" applyFont="1" applyFill="1" applyBorder="1" applyAlignment="1" applyProtection="1" quotePrefix="1">
      <alignment horizontal="left" vertical="center"/>
      <protection hidden="1"/>
    </xf>
    <xf numFmtId="43" fontId="232" fillId="30" borderId="23" xfId="4" applyFont="1" applyFill="1" applyBorder="1" applyAlignment="1" applyProtection="1">
      <alignment horizontal="left" vertical="center"/>
      <protection hidden="1"/>
    </xf>
    <xf numFmtId="0" fontId="232" fillId="30" borderId="0" xfId="4" applyNumberFormat="1" applyFont="1" applyFill="1" applyBorder="1" applyAlignment="1" applyProtection="1" quotePrefix="1">
      <alignment horizontal="left" vertical="center"/>
      <protection hidden="1"/>
    </xf>
    <xf numFmtId="0" fontId="231" fillId="30" borderId="0" xfId="4" applyNumberFormat="1" applyFont="1" applyFill="1" applyBorder="1" applyAlignment="1" applyProtection="1">
      <alignment vertical="center"/>
      <protection hidden="1"/>
    </xf>
    <xf numFmtId="216" fontId="232" fillId="30" borderId="0" xfId="6" applyNumberFormat="1" applyFont="1" applyFill="1" applyBorder="1" applyAlignment="1" applyProtection="1" quotePrefix="1">
      <alignment horizontal="left" vertical="center"/>
      <protection hidden="1"/>
    </xf>
    <xf numFmtId="216" fontId="231" fillId="30" borderId="0" xfId="4" applyNumberFormat="1" applyFont="1" applyFill="1" applyBorder="1" applyAlignment="1" applyProtection="1">
      <alignment vertical="center"/>
      <protection hidden="1"/>
    </xf>
    <xf numFmtId="216" fontId="14" fillId="30" borderId="0" xfId="4" applyNumberFormat="1" applyFont="1" applyFill="1" applyAlignment="1">
      <alignment horizontal="left" vertical="center"/>
    </xf>
    <xf numFmtId="216" fontId="14" fillId="22" borderId="0" xfId="4" applyNumberFormat="1" applyFont="1" applyFill="1" applyAlignment="1">
      <alignment horizontal="left" vertical="center"/>
    </xf>
    <xf numFmtId="0" fontId="14" fillId="30" borderId="0" xfId="4" applyNumberFormat="1" applyFont="1" applyFill="1" applyBorder="1" applyAlignment="1" applyProtection="1" quotePrefix="1">
      <alignment horizontal="left" vertical="center"/>
      <protection hidden="1"/>
    </xf>
    <xf numFmtId="216" fontId="14" fillId="30" borderId="0" xfId="6" applyNumberFormat="1" applyFont="1" applyFill="1" applyBorder="1" applyAlignment="1" applyProtection="1" quotePrefix="1">
      <alignment horizontal="left" vertical="center"/>
      <protection hidden="1"/>
    </xf>
    <xf numFmtId="0" fontId="14" fillId="30" borderId="0" xfId="4" applyNumberFormat="1" applyFont="1" applyFill="1" applyBorder="1" applyAlignment="1" applyProtection="1">
      <alignment horizontal="left" vertical="center" wrapText="1"/>
      <protection hidden="1"/>
    </xf>
    <xf numFmtId="216" fontId="14" fillId="30" borderId="0" xfId="6" applyNumberFormat="1" applyFont="1" applyFill="1" applyBorder="1" applyAlignment="1" applyProtection="1">
      <alignment horizontal="left" vertical="center" wrapText="1"/>
      <protection hidden="1"/>
    </xf>
    <xf numFmtId="0" fontId="34" fillId="3" borderId="0" xfId="0" applyFont="1" applyFill="1" applyAlignment="1">
      <alignment horizontal="left" vertical="center" wrapText="1"/>
    </xf>
    <xf numFmtId="0" fontId="34" fillId="0" borderId="0" xfId="0" applyFont="1" applyAlignment="1">
      <alignment horizontal="left" vertical="center" wrapText="1"/>
    </xf>
    <xf numFmtId="0" fontId="34" fillId="3" borderId="0" xfId="0" applyFont="1" applyFill="1">
      <alignment horizontal="left" vertical="center"/>
    </xf>
    <xf numFmtId="14" fontId="109" fillId="19" borderId="0" xfId="0" applyNumberFormat="1" applyFont="1" applyFill="1" applyBorder="1" applyAlignment="1">
      <alignment horizontal="center" vertical="center" shrinkToFit="1"/>
    </xf>
    <xf numFmtId="14" fontId="109" fillId="19" borderId="0" xfId="0" applyNumberFormat="1" applyFont="1" applyFill="1" applyBorder="1" applyAlignment="1">
      <alignment horizontal="center" vertical="center" wrapText="1"/>
    </xf>
    <xf numFmtId="0" fontId="238" fillId="4" borderId="0" xfId="0" applyFont="1" applyFill="1" applyBorder="1">
      <alignment horizontal="left" vertical="center"/>
    </xf>
    <xf numFmtId="0" fontId="238" fillId="4" borderId="0" xfId="0" applyFont="1" applyFill="1" applyBorder="1" applyAlignment="1">
      <alignment horizontal="left" vertical="center" readingOrder="1"/>
    </xf>
    <xf numFmtId="0" fontId="238" fillId="4" borderId="0" xfId="0" applyFont="1" applyFill="1" applyBorder="1" applyAlignment="1">
      <alignment horizontal="right" vertical="center"/>
    </xf>
    <xf numFmtId="0" fontId="34" fillId="4" borderId="0" xfId="0" applyFont="1" applyFill="1" applyBorder="1">
      <alignment horizontal="left" vertical="center"/>
    </xf>
    <xf numFmtId="0" fontId="34" fillId="4" borderId="0" xfId="0" applyFont="1" applyFill="1" applyBorder="1" applyAlignment="1">
      <alignment horizontal="left" vertical="center" readingOrder="1"/>
    </xf>
    <xf numFmtId="17" fontId="34" fillId="4" borderId="0" xfId="0" applyNumberFormat="1" applyFont="1" applyFill="1" applyBorder="1" applyAlignment="1">
      <alignment horizontal="right" vertical="center"/>
    </xf>
    <xf numFmtId="0" fontId="34" fillId="4" borderId="0" xfId="0" applyFont="1" applyFill="1" applyBorder="1" applyAlignment="1">
      <alignment horizontal="right" vertical="center"/>
    </xf>
    <xf numFmtId="213" fontId="34" fillId="4" borderId="0" xfId="64" applyFont="1" applyFill="1" applyBorder="1" applyAlignment="1">
      <alignment horizontal="left" vertical="center"/>
    </xf>
    <xf numFmtId="213" fontId="34" fillId="4" borderId="0" xfId="64" applyFont="1" applyFill="1" applyBorder="1">
      <alignment horizontal="center" vertical="center"/>
    </xf>
    <xf numFmtId="43" fontId="34" fillId="4" borderId="0" xfId="0" applyNumberFormat="1" applyFont="1" applyFill="1" applyBorder="1" applyAlignment="1">
      <alignment horizontal="left" vertical="center" readingOrder="1"/>
    </xf>
    <xf numFmtId="1" fontId="34" fillId="4" borderId="0" xfId="0" applyNumberFormat="1" applyFont="1" applyFill="1" applyBorder="1" applyAlignment="1">
      <alignment horizontal="right" vertical="center"/>
    </xf>
    <xf numFmtId="173" fontId="34" fillId="4" borderId="0" xfId="0" applyNumberFormat="1" applyFont="1" applyFill="1" applyBorder="1" applyAlignment="1">
      <alignment horizontal="left" vertical="center" readingOrder="1"/>
    </xf>
    <xf numFmtId="0" fontId="46" fillId="4" borderId="0" xfId="0" applyFont="1" applyFill="1" applyBorder="1" applyAlignment="1">
      <alignment horizontal="left" vertical="center" readingOrder="1"/>
    </xf>
    <xf numFmtId="1" fontId="34" fillId="4" borderId="0" xfId="6" applyNumberFormat="1" applyFont="1" applyFill="1" applyBorder="1" applyAlignment="1">
      <alignment horizontal="right" vertical="center"/>
    </xf>
    <xf numFmtId="212" fontId="34" fillId="4" borderId="0" xfId="0" applyNumberFormat="1" applyFont="1" applyFill="1" applyBorder="1" applyAlignment="1">
      <alignment horizontal="left" vertical="center" readingOrder="1"/>
    </xf>
    <xf numFmtId="1" fontId="34" fillId="4" borderId="0" xfId="4" applyNumberFormat="1" applyFont="1" applyFill="1" applyBorder="1" applyAlignment="1">
      <alignment horizontal="right" vertical="center"/>
    </xf>
    <xf numFmtId="199" fontId="34" fillId="4" borderId="0" xfId="0" applyNumberFormat="1" applyFont="1" applyFill="1" applyBorder="1" applyAlignment="1">
      <alignment horizontal="left" vertical="center" readingOrder="1"/>
    </xf>
    <xf numFmtId="206" fontId="34" fillId="4" borderId="0" xfId="0" applyNumberFormat="1" applyFont="1" applyFill="1" applyBorder="1" applyAlignment="1">
      <alignment horizontal="left" vertical="center" readingOrder="1"/>
    </xf>
    <xf numFmtId="209" fontId="236" fillId="93" borderId="157" xfId="63" applyFont="1" applyFill="1" applyBorder="1" applyAlignment="1" applyProtection="1">
      <alignment horizontal="center" vertical="center" wrapText="1"/>
      <protection locked="0"/>
    </xf>
    <xf numFmtId="208" fontId="34" fillId="4" borderId="0" xfId="6" applyFont="1" applyFill="1" applyBorder="1" applyAlignment="1">
      <alignment horizontal="right" vertical="center"/>
    </xf>
    <xf numFmtId="217" fontId="34" fillId="4" borderId="0" xfId="6" applyNumberFormat="1" applyFont="1" applyFill="1" applyBorder="1" applyAlignment="1">
      <alignment horizontal="right" vertical="center"/>
    </xf>
    <xf numFmtId="206" fontId="236" fillId="94" borderId="157" xfId="43" applyFont="1" applyFill="1" applyBorder="1" applyAlignment="1" applyProtection="1">
      <alignment horizontal="right"/>
      <protection hidden="1" locked="0"/>
    </xf>
    <xf numFmtId="206" fontId="237" fillId="94" borderId="157" xfId="43" applyFont="1" applyFill="1" applyBorder="1" applyAlignment="1" applyProtection="1">
      <alignment vertical="top" readingOrder="1"/>
      <protection hidden="1" locked="0"/>
    </xf>
    <xf numFmtId="0" fontId="37" fillId="2" borderId="0" xfId="0" applyFont="1" applyFill="1" applyBorder="1" applyAlignment="1">
      <alignment horizontal="center" vertical="center"/>
    </xf>
    <xf numFmtId="0" fontId="37" fillId="2" borderId="0" xfId="0" applyFont="1" applyFill="1" applyBorder="1">
      <alignment horizontal="left" vertical="center"/>
    </xf>
    <xf numFmtId="0" fontId="9" fillId="3" borderId="0" xfId="0" applyFont="1" applyFill="1">
      <alignment horizontal="left" vertical="center"/>
    </xf>
    <xf numFmtId="0" fontId="58" fillId="27" borderId="24" xfId="0" applyFont="1" applyFill="1" applyBorder="1" applyAlignment="1">
      <alignment horizontal="center" vertical="center" textRotation="90"/>
    </xf>
    <xf numFmtId="0" fontId="58" fillId="27" borderId="22" xfId="0" applyFont="1" applyFill="1" applyBorder="1" applyAlignment="1">
      <alignment horizontal="center" vertical="center" textRotation="90"/>
    </xf>
    <xf numFmtId="0" fontId="96" fillId="2" borderId="0" xfId="13" applyFont="1" applyFill="1" applyAlignment="1">
      <alignment horizontal="left" vertical="center"/>
      <protection/>
    </xf>
    <xf numFmtId="0" fontId="9" fillId="3" borderId="0" xfId="0" applyFont="1" applyFill="1" applyBorder="1">
      <alignment horizontal="left" vertical="center"/>
    </xf>
    <xf numFmtId="0" fontId="9" fillId="3" borderId="44" xfId="0" applyFont="1" applyFill="1" applyBorder="1">
      <alignment horizontal="left" vertical="center"/>
    </xf>
    <xf numFmtId="0" fontId="4" fillId="2" borderId="0" xfId="0" applyFill="1" applyBorder="1" applyAlignment="1">
      <alignment horizontal="center" vertical="center"/>
    </xf>
    <xf numFmtId="0" fontId="40" fillId="3" borderId="0" xfId="16" applyFont="1" applyFill="1" applyBorder="1" applyAlignment="1">
      <alignment horizontal="left" vertical="center"/>
      <protection/>
    </xf>
    <xf numFmtId="0" fontId="4" fillId="3" borderId="0" xfId="0" applyFill="1" applyBorder="1" applyAlignment="1">
      <alignment horizontal="center" vertical="top" wrapText="1"/>
    </xf>
    <xf numFmtId="0" fontId="2" fillId="3" borderId="0" xfId="0" applyFont="1" applyFill="1" applyBorder="1" applyAlignment="1">
      <alignment horizontal="left" vertical="top" wrapText="1"/>
    </xf>
    <xf numFmtId="0" fontId="216" fillId="95" borderId="0" xfId="0" applyFont="1" applyFill="1" applyBorder="1" applyAlignment="1">
      <alignment horizontal="center" vertical="center"/>
    </xf>
    <xf numFmtId="187" fontId="97" fillId="48" borderId="37" xfId="14" applyNumberFormat="1" applyFont="1" applyFill="1" applyBorder="1" applyAlignment="1">
      <alignment horizontal="right" vertical="center"/>
      <protection/>
    </xf>
    <xf numFmtId="187" fontId="97" fillId="48" borderId="38" xfId="14" applyNumberFormat="1" applyFont="1" applyFill="1" applyBorder="1" applyAlignment="1">
      <alignment horizontal="right" vertical="center"/>
      <protection/>
    </xf>
    <xf numFmtId="187" fontId="97" fillId="48" borderId="24" xfId="14" applyNumberFormat="1" applyFont="1" applyFill="1" applyBorder="1" applyAlignment="1">
      <alignment horizontal="right" vertical="center"/>
      <protection/>
    </xf>
    <xf numFmtId="187" fontId="97" fillId="48" borderId="29" xfId="14" applyNumberFormat="1" applyFont="1" applyFill="1" applyBorder="1" applyAlignment="1">
      <alignment horizontal="right" vertical="center"/>
      <protection/>
    </xf>
    <xf numFmtId="0" fontId="42" fillId="34" borderId="22" xfId="54" applyFont="1" applyFill="1" applyBorder="1" applyAlignment="1">
      <alignment horizontal="center" vertical="center"/>
      <protection/>
    </xf>
    <xf numFmtId="187" fontId="97" fillId="8" borderId="24" xfId="14" applyNumberFormat="1" applyFont="1" applyFill="1" applyBorder="1" applyAlignment="1">
      <alignment horizontal="right" vertical="center"/>
      <protection/>
    </xf>
    <xf numFmtId="187" fontId="97" fillId="8" borderId="29" xfId="14" applyNumberFormat="1" applyFont="1" applyFill="1" applyBorder="1" applyAlignment="1">
      <alignment horizontal="right" vertical="center"/>
      <protection/>
    </xf>
    <xf numFmtId="187" fontId="176" fillId="24" borderId="24" xfId="14" applyNumberFormat="1" applyFont="1" applyFill="1" applyBorder="1" applyAlignment="1">
      <alignment horizontal="right" vertical="center"/>
      <protection/>
    </xf>
    <xf numFmtId="187" fontId="176" fillId="24" borderId="29" xfId="14" applyNumberFormat="1" applyFont="1" applyFill="1" applyBorder="1" applyAlignment="1">
      <alignment horizontal="right" vertical="center"/>
      <protection/>
    </xf>
    <xf numFmtId="187" fontId="176" fillId="27" borderId="24" xfId="14" applyNumberFormat="1" applyFont="1" applyFill="1" applyBorder="1" applyAlignment="1">
      <alignment horizontal="right" vertical="center"/>
      <protection/>
    </xf>
    <xf numFmtId="187" fontId="176" fillId="27" borderId="29" xfId="14" applyNumberFormat="1" applyFont="1" applyFill="1" applyBorder="1" applyAlignment="1">
      <alignment horizontal="right" vertical="center"/>
      <protection/>
    </xf>
    <xf numFmtId="187" fontId="97" fillId="26" borderId="24" xfId="14" applyNumberFormat="1" applyFont="1" applyFill="1" applyBorder="1" applyAlignment="1">
      <alignment horizontal="right" vertical="center"/>
      <protection/>
    </xf>
    <xf numFmtId="187" fontId="97" fillId="26" borderId="29" xfId="14" applyNumberFormat="1" applyFont="1" applyFill="1" applyBorder="1" applyAlignment="1">
      <alignment horizontal="right" vertical="center"/>
      <protection/>
    </xf>
    <xf numFmtId="187" fontId="176" fillId="21" borderId="24" xfId="14" applyNumberFormat="1" applyFont="1" applyFill="1" applyBorder="1" applyAlignment="1">
      <alignment horizontal="right" vertical="center"/>
      <protection/>
    </xf>
    <xf numFmtId="187" fontId="176" fillId="21" borderId="29" xfId="14" applyNumberFormat="1" applyFont="1" applyFill="1" applyBorder="1" applyAlignment="1">
      <alignment horizontal="right" vertical="center"/>
      <protection/>
    </xf>
    <xf numFmtId="187" fontId="97" fillId="8" borderId="24" xfId="59" applyNumberFormat="1" applyFont="1" applyFill="1" applyBorder="1" applyAlignment="1">
      <alignment horizontal="right" vertical="center"/>
      <protection/>
    </xf>
    <xf numFmtId="187" fontId="97" fillId="8" borderId="29" xfId="59" applyNumberFormat="1" applyFont="1" applyFill="1" applyBorder="1" applyAlignment="1">
      <alignment horizontal="right" vertical="center"/>
      <protection/>
    </xf>
    <xf numFmtId="187" fontId="174" fillId="21" borderId="24" xfId="14" applyNumberFormat="1" applyFont="1" applyFill="1" applyBorder="1" applyAlignment="1">
      <alignment horizontal="right" vertical="center"/>
      <protection/>
    </xf>
    <xf numFmtId="187" fontId="174" fillId="21" borderId="29" xfId="14" applyNumberFormat="1" applyFont="1" applyFill="1" applyBorder="1" applyAlignment="1">
      <alignment horizontal="right" vertical="center"/>
      <protection/>
    </xf>
    <xf numFmtId="187" fontId="176" fillId="27" borderId="24" xfId="59" applyNumberFormat="1" applyFont="1" applyFill="1" applyBorder="1" applyAlignment="1">
      <alignment horizontal="right" vertical="center"/>
      <protection/>
    </xf>
    <xf numFmtId="187" fontId="176" fillId="27" borderId="29" xfId="59" applyNumberFormat="1" applyFont="1" applyFill="1" applyBorder="1" applyAlignment="1">
      <alignment horizontal="right" vertical="center"/>
      <protection/>
    </xf>
    <xf numFmtId="0" fontId="46" fillId="14" borderId="24" xfId="59" applyBorder="1" applyAlignment="1">
      <alignment horizontal="center" vertical="center"/>
      <protection/>
    </xf>
    <xf numFmtId="0" fontId="46" fillId="14" borderId="26" xfId="59" applyBorder="1" applyAlignment="1">
      <alignment horizontal="center" vertical="center"/>
      <protection/>
    </xf>
    <xf numFmtId="0" fontId="46" fillId="14" borderId="25" xfId="59" applyBorder="1" applyAlignment="1">
      <alignment horizontal="left" vertical="center"/>
      <protection/>
    </xf>
    <xf numFmtId="0" fontId="46" fillId="14" borderId="23" xfId="59" applyBorder="1" applyAlignment="1">
      <alignment horizontal="left" vertical="center"/>
      <protection/>
    </xf>
    <xf numFmtId="0" fontId="58" fillId="22" borderId="158" xfId="22" applyFont="1" applyFill="1" applyBorder="1" applyAlignment="1">
      <alignment horizontal="center" vertical="center"/>
      <protection locked="0"/>
    </xf>
    <xf numFmtId="0" fontId="58" fillId="22" borderId="142" xfId="22" applyFont="1" applyFill="1" applyBorder="1" applyAlignment="1">
      <alignment horizontal="center" vertical="center"/>
      <protection locked="0"/>
    </xf>
    <xf numFmtId="0" fontId="102" fillId="12" borderId="25" xfId="0" applyFont="1" applyFill="1" applyBorder="1">
      <alignment horizontal="left" vertical="center"/>
    </xf>
    <xf numFmtId="0" fontId="102" fillId="12" borderId="23" xfId="0" applyFont="1" applyFill="1" applyBorder="1">
      <alignment horizontal="left" vertical="center"/>
    </xf>
    <xf numFmtId="0" fontId="4" fillId="4" borderId="0" xfId="0" applyFill="1" applyAlignment="1">
      <alignment horizontal="center" vertical="center"/>
    </xf>
    <xf numFmtId="0" fontId="58" fillId="27" borderId="24" xfId="0" applyFont="1" applyFill="1" applyBorder="1" applyAlignment="1" applyProtection="1">
      <alignment horizontal="center" vertical="center" textRotation="90"/>
      <protection locked="0"/>
    </xf>
    <xf numFmtId="0" fontId="58" fillId="27" borderId="22" xfId="0" applyFont="1" applyFill="1" applyBorder="1" applyAlignment="1" applyProtection="1">
      <alignment horizontal="center" vertical="center" textRotation="90"/>
      <protection locked="0"/>
    </xf>
    <xf numFmtId="0" fontId="58" fillId="27" borderId="50" xfId="14" applyFont="1" applyFill="1" applyBorder="1" applyAlignment="1">
      <alignment horizontal="center" vertical="center"/>
      <protection/>
    </xf>
    <xf numFmtId="0" fontId="58" fillId="27" borderId="21" xfId="14" applyFont="1" applyFill="1" applyBorder="1" applyAlignment="1">
      <alignment horizontal="center" vertical="center"/>
      <protection/>
    </xf>
    <xf numFmtId="0" fontId="28" fillId="3" borderId="0" xfId="16" applyFont="1" applyFill="1" applyBorder="1" applyAlignment="1">
      <alignment horizontal="left" vertical="center"/>
      <protection/>
    </xf>
    <xf numFmtId="0" fontId="104" fillId="3" borderId="158" xfId="22" applyFont="1" applyFill="1" applyBorder="1" applyAlignment="1">
      <alignment horizontal="left" vertical="center"/>
      <protection locked="0"/>
    </xf>
    <xf numFmtId="0" fontId="104" fillId="3" borderId="142" xfId="22" applyFont="1" applyFill="1" applyBorder="1" applyAlignment="1">
      <alignment horizontal="left" vertical="center"/>
      <protection locked="0"/>
    </xf>
    <xf numFmtId="187" fontId="97" fillId="48" borderId="37" xfId="14" applyNumberFormat="1" applyFont="1" applyFill="1" applyBorder="1" applyAlignment="1">
      <alignment horizontal="center" vertical="center"/>
      <protection/>
    </xf>
    <xf numFmtId="187" fontId="97" fillId="48" borderId="38" xfId="14" applyNumberFormat="1" applyFont="1" applyFill="1" applyBorder="1" applyAlignment="1">
      <alignment horizontal="center" vertical="center"/>
      <protection/>
    </xf>
    <xf numFmtId="187" fontId="97" fillId="8" borderId="24" xfId="14" applyNumberFormat="1" applyFont="1" applyFill="1" applyBorder="1" applyAlignment="1">
      <alignment horizontal="center" vertical="center"/>
      <protection/>
    </xf>
    <xf numFmtId="187" fontId="97" fillId="8" borderId="29" xfId="14" applyNumberFormat="1" applyFont="1" applyFill="1" applyBorder="1" applyAlignment="1">
      <alignment horizontal="center" vertical="center"/>
      <protection/>
    </xf>
    <xf numFmtId="187" fontId="176" fillId="24" borderId="24" xfId="14" applyNumberFormat="1" applyFont="1" applyFill="1" applyBorder="1" applyAlignment="1">
      <alignment horizontal="center" vertical="center"/>
      <protection/>
    </xf>
    <xf numFmtId="187" fontId="176" fillId="24" borderId="29" xfId="14" applyNumberFormat="1" applyFont="1" applyFill="1" applyBorder="1" applyAlignment="1">
      <alignment horizontal="center" vertical="center"/>
      <protection/>
    </xf>
    <xf numFmtId="0" fontId="217" fillId="24" borderId="0" xfId="0" applyFont="1" applyFill="1" applyBorder="1" applyAlignment="1">
      <alignment horizontal="center" vertical="center"/>
    </xf>
    <xf numFmtId="0" fontId="217" fillId="24" borderId="135" xfId="0" applyFont="1" applyFill="1" applyBorder="1" applyAlignment="1">
      <alignment horizontal="center" vertical="center"/>
    </xf>
    <xf numFmtId="43" fontId="60" fillId="19" borderId="0" xfId="4" applyFont="1" applyFill="1" applyBorder="1" applyAlignment="1" applyProtection="1">
      <alignment horizontal="center" vertical="center" shrinkToFit="1"/>
      <protection/>
    </xf>
    <xf numFmtId="187" fontId="176" fillId="27" borderId="24" xfId="14" applyNumberFormat="1" applyFont="1" applyFill="1" applyBorder="1" applyAlignment="1">
      <alignment horizontal="center" vertical="center"/>
      <protection/>
    </xf>
    <xf numFmtId="187" fontId="176" fillId="27" borderId="29" xfId="14" applyNumberFormat="1" applyFont="1" applyFill="1" applyBorder="1" applyAlignment="1">
      <alignment horizontal="center" vertical="center"/>
      <protection/>
    </xf>
    <xf numFmtId="197" fontId="46" fillId="14" borderId="25" xfId="59" applyNumberFormat="1" applyBorder="1" applyAlignment="1">
      <alignment horizontal="center" vertical="center"/>
      <protection/>
    </xf>
    <xf numFmtId="197" fontId="46" fillId="14" borderId="23" xfId="59" applyNumberFormat="1" applyBorder="1" applyAlignment="1">
      <alignment horizontal="center" vertical="center"/>
      <protection/>
    </xf>
    <xf numFmtId="0" fontId="102" fillId="3" borderId="25" xfId="54" applyFont="1" applyFill="1" applyBorder="1" applyAlignment="1">
      <alignment horizontal="left" vertical="center"/>
      <protection/>
    </xf>
    <xf numFmtId="0" fontId="102" fillId="3" borderId="23" xfId="54" applyFont="1" applyFill="1" applyBorder="1" applyAlignment="1">
      <alignment horizontal="left" vertical="center"/>
      <protection/>
    </xf>
    <xf numFmtId="0" fontId="23" fillId="3" borderId="24" xfId="0" applyFont="1" applyFill="1" applyBorder="1" applyAlignment="1">
      <alignment horizontal="center" vertical="center"/>
    </xf>
    <xf numFmtId="0" fontId="23" fillId="3" borderId="26" xfId="0" applyFont="1" applyFill="1" applyBorder="1" applyAlignment="1">
      <alignment horizontal="center" vertical="center"/>
    </xf>
    <xf numFmtId="0" fontId="102" fillId="3" borderId="25" xfId="0" applyFont="1" applyFill="1" applyBorder="1">
      <alignment horizontal="left" vertical="center"/>
    </xf>
    <xf numFmtId="0" fontId="102" fillId="3" borderId="23" xfId="0" applyFont="1" applyFill="1" applyBorder="1">
      <alignment horizontal="left" vertical="center"/>
    </xf>
    <xf numFmtId="187" fontId="195" fillId="48" borderId="24" xfId="14" applyNumberFormat="1" applyFont="1" applyFill="1" applyBorder="1" applyAlignment="1">
      <alignment horizontal="right" vertical="center"/>
      <protection/>
    </xf>
    <xf numFmtId="187" fontId="195" fillId="48" borderId="29" xfId="14" applyNumberFormat="1" applyFont="1" applyFill="1" applyBorder="1" applyAlignment="1">
      <alignment horizontal="right" vertical="center"/>
      <protection/>
    </xf>
    <xf numFmtId="187" fontId="176" fillId="22" borderId="24" xfId="14" applyNumberFormat="1" applyFont="1" applyFill="1" applyBorder="1" applyAlignment="1">
      <alignment horizontal="right" vertical="center"/>
      <protection/>
    </xf>
    <xf numFmtId="187" fontId="176" fillId="22" borderId="29" xfId="14" applyNumberFormat="1" applyFont="1" applyFill="1" applyBorder="1" applyAlignment="1">
      <alignment horizontal="right" vertical="center"/>
      <protection/>
    </xf>
    <xf numFmtId="0" fontId="70" fillId="2" borderId="0" xfId="13" applyFill="1" applyAlignment="1">
      <alignment horizontal="left" vertical="center"/>
      <protection/>
    </xf>
    <xf numFmtId="0" fontId="58" fillId="27" borderId="46" xfId="14" applyFont="1" applyFill="1" applyBorder="1" applyAlignment="1">
      <alignment horizontal="center" vertical="center"/>
      <protection/>
    </xf>
    <xf numFmtId="0" fontId="102" fillId="3" borderId="0" xfId="0" applyFont="1" applyFill="1" applyBorder="1">
      <alignment horizontal="left" vertical="center"/>
    </xf>
    <xf numFmtId="0" fontId="69" fillId="3" borderId="0" xfId="14" applyFill="1" applyProtection="1">
      <alignment horizontal="left" vertical="center"/>
      <protection hidden="1"/>
    </xf>
    <xf numFmtId="191" fontId="127" fillId="4" borderId="0" xfId="43" applyNumberFormat="1" applyFont="1" applyFill="1" applyBorder="1" applyAlignment="1" applyProtection="1">
      <alignment horizontal="center" vertical="center" wrapText="1"/>
      <protection hidden="1"/>
    </xf>
    <xf numFmtId="206" fontId="127" fillId="4" borderId="159" xfId="43" applyFont="1" applyFill="1" applyBorder="1" applyAlignment="1" applyProtection="1">
      <alignment horizontal="center" vertical="center" wrapText="1"/>
      <protection hidden="1"/>
    </xf>
    <xf numFmtId="206" fontId="127" fillId="4" borderId="0" xfId="43" applyFont="1" applyFill="1" applyBorder="1" applyAlignment="1" applyProtection="1">
      <alignment horizontal="center" vertical="center" wrapText="1"/>
      <protection hidden="1"/>
    </xf>
    <xf numFmtId="0" fontId="29" fillId="8" borderId="61" xfId="0" applyFont="1" applyFill="1" applyBorder="1" applyAlignment="1" applyProtection="1">
      <alignment horizontal="left" vertical="top"/>
      <protection hidden="1"/>
    </xf>
    <xf numFmtId="0" fontId="53" fillId="3" borderId="0" xfId="14" applyFont="1" applyFill="1" applyAlignment="1" applyProtection="1">
      <alignment horizontal="left" vertical="top" wrapText="1"/>
      <protection hidden="1"/>
    </xf>
    <xf numFmtId="167" fontId="127" fillId="3" borderId="50" xfId="43" applyNumberFormat="1" applyFont="1" applyFill="1" applyBorder="1" applyAlignment="1" applyProtection="1">
      <alignment horizontal="center" vertical="center" shrinkToFit="1"/>
      <protection hidden="1"/>
    </xf>
    <xf numFmtId="167" fontId="127" fillId="3" borderId="46" xfId="43" applyNumberFormat="1" applyFont="1" applyFill="1" applyBorder="1" applyAlignment="1" applyProtection="1">
      <alignment horizontal="center" vertical="center" shrinkToFit="1"/>
      <protection hidden="1"/>
    </xf>
    <xf numFmtId="0" fontId="144" fillId="31" borderId="0" xfId="29" applyFont="1" applyFill="1" applyBorder="1">
      <alignment horizontal="left" vertical="center" wrapText="1" shrinkToFit="1"/>
      <protection/>
    </xf>
    <xf numFmtId="0" fontId="12" fillId="27" borderId="24" xfId="0" applyFont="1" applyFill="1" applyBorder="1" applyAlignment="1">
      <alignment horizontal="center" vertical="center" textRotation="90"/>
    </xf>
    <xf numFmtId="0" fontId="12" fillId="27" borderId="22" xfId="0" applyFont="1" applyFill="1" applyBorder="1" applyAlignment="1">
      <alignment horizontal="center" vertical="center" textRotation="90"/>
    </xf>
    <xf numFmtId="3" fontId="128" fillId="4" borderId="0" xfId="43" applyNumberFormat="1" applyFont="1" applyFill="1" applyBorder="1" applyAlignment="1" applyProtection="1">
      <alignment horizontal="center" vertical="center"/>
      <protection hidden="1"/>
    </xf>
    <xf numFmtId="206" fontId="127" fillId="35" borderId="159" xfId="43" applyFont="1" applyFill="1" applyBorder="1" applyAlignment="1" applyProtection="1">
      <alignment horizontal="center" vertical="center" wrapText="1"/>
      <protection hidden="1"/>
    </xf>
    <xf numFmtId="206" fontId="127" fillId="35" borderId="0" xfId="43" applyFont="1" applyFill="1" applyBorder="1" applyAlignment="1" applyProtection="1">
      <alignment horizontal="center" vertical="center" wrapText="1"/>
      <protection hidden="1"/>
    </xf>
    <xf numFmtId="0" fontId="29" fillId="35" borderId="0" xfId="0" applyFont="1" applyFill="1" applyBorder="1" applyAlignment="1" applyProtection="1">
      <alignment horizontal="center" vertical="center"/>
      <protection hidden="1"/>
    </xf>
    <xf numFmtId="3" fontId="46" fillId="4" borderId="0" xfId="43" applyNumberFormat="1" applyFont="1" applyFill="1" applyBorder="1" applyAlignment="1" applyProtection="1">
      <alignment horizontal="center" vertical="center"/>
      <protection hidden="1"/>
    </xf>
    <xf numFmtId="43" fontId="4" fillId="2" borderId="24" xfId="4" applyFont="1" applyFill="1" applyBorder="1" applyAlignment="1" applyProtection="1">
      <alignment horizontal="left" vertical="top"/>
      <protection locked="0"/>
    </xf>
    <xf numFmtId="43" fontId="4" fillId="2" borderId="25" xfId="4" applyFont="1" applyFill="1" applyBorder="1" applyAlignment="1" applyProtection="1">
      <alignment horizontal="left" vertical="top"/>
      <protection locked="0"/>
    </xf>
    <xf numFmtId="43" fontId="4" fillId="2" borderId="22" xfId="4" applyFont="1" applyFill="1" applyBorder="1" applyAlignment="1" applyProtection="1">
      <alignment horizontal="left" vertical="top"/>
      <protection locked="0"/>
    </xf>
    <xf numFmtId="43" fontId="4" fillId="2" borderId="0" xfId="4" applyFont="1" applyFill="1" applyBorder="1" applyAlignment="1" applyProtection="1">
      <alignment horizontal="left" vertical="top"/>
      <protection locked="0"/>
    </xf>
    <xf numFmtId="43" fontId="4" fillId="2" borderId="26" xfId="4" applyFont="1" applyFill="1" applyBorder="1" applyAlignment="1" applyProtection="1">
      <alignment horizontal="left" vertical="top"/>
      <protection locked="0"/>
    </xf>
    <xf numFmtId="43" fontId="4" fillId="2" borderId="23" xfId="4" applyFont="1" applyFill="1" applyBorder="1" applyAlignment="1" applyProtection="1">
      <alignment horizontal="left" vertical="top"/>
      <protection locked="0"/>
    </xf>
    <xf numFmtId="189" fontId="61" fillId="81" borderId="20" xfId="0" applyNumberFormat="1" applyFont="1" applyFill="1" applyBorder="1" applyAlignment="1">
      <alignment horizontal="center" vertical="center"/>
    </xf>
    <xf numFmtId="189" fontId="61" fillId="81" borderId="20" xfId="0" applyNumberFormat="1" applyFont="1" applyFill="1" applyBorder="1" applyAlignment="1">
      <alignment horizontal="center" vertical="top"/>
    </xf>
    <xf numFmtId="189" fontId="61" fillId="81" borderId="20" xfId="0" applyNumberFormat="1" applyFont="1" applyFill="1" applyBorder="1" applyAlignment="1">
      <alignment horizontal="left" vertical="top"/>
    </xf>
    <xf numFmtId="43" fontId="4" fillId="2" borderId="29" xfId="4" applyFont="1" applyFill="1" applyBorder="1" applyAlignment="1" applyProtection="1">
      <alignment horizontal="left" vertical="top"/>
      <protection locked="0"/>
    </xf>
    <xf numFmtId="43" fontId="4" fillId="2" borderId="27" xfId="4" applyFont="1" applyFill="1" applyBorder="1" applyAlignment="1" applyProtection="1">
      <alignment horizontal="left" vertical="top"/>
      <protection locked="0"/>
    </xf>
    <xf numFmtId="43" fontId="4" fillId="2" borderId="28" xfId="4" applyFont="1" applyFill="1" applyBorder="1" applyAlignment="1" applyProtection="1">
      <alignment horizontal="left" vertical="top"/>
      <protection locked="0"/>
    </xf>
    <xf numFmtId="173" fontId="46" fillId="81" borderId="37" xfId="0" applyNumberFormat="1" applyFont="1" applyFill="1" applyBorder="1" applyAlignment="1">
      <alignment horizontal="left" vertical="top"/>
    </xf>
    <xf numFmtId="173" fontId="46" fillId="81" borderId="20" xfId="0" applyNumberFormat="1" applyFont="1" applyFill="1" applyBorder="1" applyAlignment="1">
      <alignment horizontal="left" vertical="top"/>
    </xf>
    <xf numFmtId="0" fontId="14" fillId="27" borderId="0" xfId="0" applyFont="1" applyFill="1" applyAlignment="1">
      <alignment horizontal="left" vertical="center" wrapText="1"/>
    </xf>
    <xf numFmtId="0" fontId="14" fillId="27" borderId="0" xfId="0" applyFont="1" applyFill="1">
      <alignment horizontal="left" vertical="center"/>
    </xf>
    <xf numFmtId="206" fontId="4" fillId="2" borderId="24" xfId="0" applyNumberFormat="1" applyFont="1" applyFill="1" applyBorder="1" applyAlignment="1" applyProtection="1">
      <alignment horizontal="left" vertical="top" wrapText="1"/>
      <protection locked="0"/>
    </xf>
    <xf numFmtId="0" fontId="4" fillId="2" borderId="25" xfId="0" applyFont="1" applyFill="1" applyBorder="1" applyAlignment="1" applyProtection="1">
      <alignment horizontal="left" vertical="top" wrapText="1"/>
      <protection locked="0"/>
    </xf>
    <xf numFmtId="0" fontId="4" fillId="2" borderId="29" xfId="0" applyFont="1" applyFill="1" applyBorder="1" applyAlignment="1" applyProtection="1">
      <alignment horizontal="left" vertical="top" wrapText="1"/>
      <protection locked="0"/>
    </xf>
    <xf numFmtId="0" fontId="4" fillId="2" borderId="22" xfId="0" applyFont="1" applyFill="1" applyBorder="1" applyAlignment="1" applyProtection="1">
      <alignment horizontal="left" vertical="top" wrapText="1"/>
      <protection locked="0"/>
    </xf>
    <xf numFmtId="0" fontId="4" fillId="2" borderId="0" xfId="0" applyFont="1" applyFill="1" applyBorder="1" applyAlignment="1" applyProtection="1">
      <alignment horizontal="left" vertical="top" wrapText="1"/>
      <protection locked="0"/>
    </xf>
    <xf numFmtId="0" fontId="4" fillId="2" borderId="27" xfId="0" applyFont="1" applyFill="1" applyBorder="1" applyAlignment="1" applyProtection="1">
      <alignment horizontal="left" vertical="top" wrapText="1"/>
      <protection locked="0"/>
    </xf>
    <xf numFmtId="0" fontId="4" fillId="2" borderId="26" xfId="0" applyFont="1" applyFill="1" applyBorder="1" applyAlignment="1" applyProtection="1">
      <alignment horizontal="left" vertical="top" wrapText="1"/>
      <protection locked="0"/>
    </xf>
    <xf numFmtId="0" fontId="4" fillId="2" borderId="23" xfId="0" applyFont="1" applyFill="1" applyBorder="1" applyAlignment="1" applyProtection="1">
      <alignment horizontal="left" vertical="top" wrapText="1"/>
      <protection locked="0"/>
    </xf>
    <xf numFmtId="0" fontId="4" fillId="2" borderId="28" xfId="0" applyFont="1" applyFill="1" applyBorder="1" applyAlignment="1" applyProtection="1">
      <alignment horizontal="left" vertical="top" wrapText="1"/>
      <protection locked="0"/>
    </xf>
    <xf numFmtId="0" fontId="124" fillId="2" borderId="37" xfId="0" applyFont="1" applyFill="1" applyBorder="1" applyAlignment="1" applyProtection="1">
      <alignment horizontal="left" vertical="center" shrinkToFit="1"/>
      <protection hidden="1" locked="0"/>
    </xf>
    <xf numFmtId="0" fontId="124" fillId="2" borderId="20" xfId="0" applyFont="1" applyFill="1" applyBorder="1" applyAlignment="1" applyProtection="1">
      <alignment horizontal="left" vertical="center" shrinkToFit="1"/>
      <protection hidden="1" locked="0"/>
    </xf>
    <xf numFmtId="0" fontId="48" fillId="3" borderId="25" xfId="0" applyFont="1" applyFill="1" applyBorder="1" applyAlignment="1">
      <alignment horizontal="left" vertical="top" wrapText="1"/>
    </xf>
    <xf numFmtId="0" fontId="48" fillId="3" borderId="29" xfId="0" applyFont="1" applyFill="1" applyBorder="1" applyAlignment="1">
      <alignment horizontal="left" vertical="top" wrapText="1"/>
    </xf>
    <xf numFmtId="0" fontId="48" fillId="3" borderId="0" xfId="0" applyFont="1" applyFill="1" applyBorder="1" applyAlignment="1">
      <alignment horizontal="left" vertical="top" wrapText="1"/>
    </xf>
    <xf numFmtId="0" fontId="48" fillId="3" borderId="27" xfId="0" applyFont="1" applyFill="1" applyBorder="1" applyAlignment="1">
      <alignment horizontal="left" vertical="top" wrapText="1"/>
    </xf>
    <xf numFmtId="0" fontId="48" fillId="3" borderId="23" xfId="0" applyFont="1" applyFill="1" applyBorder="1" applyAlignment="1">
      <alignment horizontal="left" vertical="top" wrapText="1"/>
    </xf>
    <xf numFmtId="0" fontId="48" fillId="3" borderId="28" xfId="0" applyFont="1" applyFill="1" applyBorder="1" applyAlignment="1">
      <alignment horizontal="left" vertical="top" wrapText="1"/>
    </xf>
    <xf numFmtId="189" fontId="61" fillId="3" borderId="23" xfId="0" applyNumberFormat="1" applyFont="1" applyFill="1" applyBorder="1" applyAlignment="1">
      <alignment horizontal="left" vertical="top"/>
    </xf>
    <xf numFmtId="0" fontId="4" fillId="2" borderId="22" xfId="0" applyFill="1" applyBorder="1" applyAlignment="1">
      <alignment horizontal="center" vertical="center"/>
    </xf>
    <xf numFmtId="0" fontId="164" fillId="3" borderId="0" xfId="0" applyFont="1" applyFill="1" applyBorder="1" applyAlignment="1">
      <alignment horizontal="left" vertical="top"/>
    </xf>
    <xf numFmtId="189" fontId="61" fillId="3" borderId="20" xfId="0" applyNumberFormat="1" applyFont="1" applyFill="1" applyBorder="1" applyAlignment="1">
      <alignment horizontal="center" vertical="top"/>
    </xf>
    <xf numFmtId="0" fontId="124" fillId="2" borderId="20" xfId="0" applyFont="1" applyFill="1" applyBorder="1" applyProtection="1">
      <alignment horizontal="left" vertical="center"/>
      <protection hidden="1" locked="0"/>
    </xf>
    <xf numFmtId="0" fontId="70" fillId="3" borderId="0" xfId="13" applyFill="1" applyAlignment="1">
      <alignment horizontal="left" vertical="center"/>
      <protection/>
    </xf>
    <xf numFmtId="0" fontId="81" fillId="3" borderId="0" xfId="15" applyFill="1" applyBorder="1">
      <alignment vertical="center"/>
      <protection/>
    </xf>
    <xf numFmtId="0" fontId="121" fillId="12" borderId="0" xfId="0" applyFont="1" applyFill="1" applyBorder="1">
      <alignment horizontal="left" vertical="center"/>
    </xf>
    <xf numFmtId="0" fontId="52" fillId="2" borderId="0" xfId="13" applyFont="1" applyFill="1">
      <alignment horizontal="left" vertical="center" indent="1"/>
      <protection/>
    </xf>
    <xf numFmtId="0" fontId="69" fillId="3" borderId="0" xfId="14" applyFill="1">
      <alignment horizontal="left" vertical="center"/>
      <protection/>
    </xf>
    <xf numFmtId="0" fontId="4" fillId="0" borderId="46" xfId="0" applyFill="1" applyBorder="1" applyAlignment="1">
      <alignment horizontal="center" vertical="center"/>
    </xf>
    <xf numFmtId="0" fontId="40" fillId="4" borderId="3" xfId="16" applyFont="1">
      <alignment horizontal="left" vertical="center" indent="2"/>
      <protection/>
    </xf>
    <xf numFmtId="0" fontId="4" fillId="2" borderId="0" xfId="0" applyFill="1" applyAlignment="1">
      <alignment horizontal="center" vertical="center"/>
    </xf>
    <xf numFmtId="0" fontId="55" fillId="2" borderId="0" xfId="0" applyFont="1" applyFill="1" applyAlignment="1">
      <alignment horizontal="center" vertical="center"/>
    </xf>
    <xf numFmtId="0" fontId="150" fillId="19" borderId="0" xfId="0" applyFont="1" applyFill="1" applyBorder="1" applyAlignment="1">
      <alignment horizontal="center" vertical="top" wrapText="1"/>
    </xf>
    <xf numFmtId="0" fontId="150" fillId="19" borderId="0" xfId="0" applyFont="1" applyFill="1" applyBorder="1" applyAlignment="1">
      <alignment horizontal="left" vertical="top" wrapText="1"/>
    </xf>
    <xf numFmtId="0" fontId="60" fillId="19" borderId="0" xfId="0" applyFont="1" applyFill="1" applyBorder="1" applyAlignment="1">
      <alignment horizontal="center" vertical="center" wrapText="1"/>
    </xf>
    <xf numFmtId="0" fontId="60" fillId="19" borderId="0" xfId="0" applyFont="1" applyFill="1" applyBorder="1" applyAlignment="1">
      <alignment horizontal="center" vertical="center" textRotation="90" wrapText="1"/>
    </xf>
    <xf numFmtId="0" fontId="58" fillId="27" borderId="24" xfId="14" applyFont="1" applyFill="1" applyBorder="1" applyAlignment="1">
      <alignment horizontal="center" vertical="center"/>
      <protection/>
    </xf>
    <xf numFmtId="0" fontId="58" fillId="27" borderId="22" xfId="14" applyFont="1" applyFill="1" applyBorder="1" applyAlignment="1">
      <alignment horizontal="center" vertical="center"/>
      <protection/>
    </xf>
    <xf numFmtId="187" fontId="97" fillId="3" borderId="24" xfId="14" applyNumberFormat="1" applyFont="1" applyFill="1" applyBorder="1" applyAlignment="1">
      <alignment horizontal="center" vertical="center"/>
      <protection/>
    </xf>
    <xf numFmtId="187" fontId="97" fillId="3" borderId="29" xfId="14" applyNumberFormat="1" applyFont="1" applyFill="1" applyBorder="1" applyAlignment="1">
      <alignment horizontal="center" vertical="center"/>
      <protection/>
    </xf>
    <xf numFmtId="187" fontId="97" fillId="3" borderId="160" xfId="14" applyNumberFormat="1" applyFont="1" applyFill="1" applyBorder="1" applyAlignment="1">
      <alignment horizontal="center" vertical="center"/>
      <protection/>
    </xf>
    <xf numFmtId="187" fontId="97" fillId="3" borderId="161" xfId="14" applyNumberFormat="1" applyFont="1" applyFill="1" applyBorder="1" applyAlignment="1">
      <alignment horizontal="center" vertical="center"/>
      <protection/>
    </xf>
    <xf numFmtId="187" fontId="97" fillId="3" borderId="37" xfId="14" applyNumberFormat="1" applyFont="1" applyFill="1" applyBorder="1" applyAlignment="1">
      <alignment horizontal="center" vertical="center"/>
      <protection/>
    </xf>
    <xf numFmtId="187" fontId="97" fillId="3" borderId="38" xfId="14" applyNumberFormat="1" applyFont="1" applyFill="1" applyBorder="1" applyAlignment="1">
      <alignment horizontal="center" vertical="center"/>
      <protection/>
    </xf>
    <xf numFmtId="187" fontId="97" fillId="3" borderId="24" xfId="14" applyNumberFormat="1" applyFont="1" applyFill="1" applyBorder="1" applyAlignment="1">
      <alignment horizontal="right" vertical="center"/>
      <protection/>
    </xf>
    <xf numFmtId="187" fontId="97" fillId="3" borderId="29" xfId="14" applyNumberFormat="1" applyFont="1" applyFill="1" applyBorder="1" applyAlignment="1">
      <alignment horizontal="right" vertical="center"/>
      <protection/>
    </xf>
    <xf numFmtId="0" fontId="14" fillId="19" borderId="0" xfId="0" applyFont="1" applyFill="1" applyAlignment="1">
      <alignment horizontal="center" vertical="center"/>
    </xf>
    <xf numFmtId="0" fontId="42" fillId="34" borderId="0" xfId="54" applyFont="1" applyFill="1" applyBorder="1" applyAlignment="1">
      <alignment horizontal="center" vertical="center"/>
      <protection/>
    </xf>
    <xf numFmtId="0" fontId="168" fillId="34" borderId="22" xfId="54" applyFont="1" applyFill="1" applyBorder="1" applyAlignment="1">
      <alignment horizontal="center" vertical="center"/>
      <protection/>
    </xf>
    <xf numFmtId="0" fontId="9" fillId="32" borderId="50" xfId="0" applyFont="1" applyFill="1" applyBorder="1" applyAlignment="1">
      <alignment horizontal="center" vertical="center"/>
    </xf>
    <xf numFmtId="0" fontId="9" fillId="32" borderId="21" xfId="0" applyFont="1" applyFill="1" applyBorder="1" applyAlignment="1">
      <alignment horizontal="center" vertical="center"/>
    </xf>
    <xf numFmtId="0" fontId="14" fillId="19" borderId="0" xfId="0" applyFont="1" applyFill="1">
      <alignment horizontal="left" vertical="center"/>
    </xf>
    <xf numFmtId="187" fontId="97" fillId="3" borderId="37" xfId="14" applyNumberFormat="1" applyFont="1" applyFill="1" applyBorder="1" applyAlignment="1">
      <alignment horizontal="right" vertical="center"/>
      <protection/>
    </xf>
    <xf numFmtId="187" fontId="97" fillId="3" borderId="38" xfId="14" applyNumberFormat="1" applyFont="1" applyFill="1" applyBorder="1" applyAlignment="1">
      <alignment horizontal="right" vertical="center"/>
      <protection/>
    </xf>
    <xf numFmtId="0" fontId="102" fillId="3" borderId="25" xfId="54" applyFont="1" applyFill="1" applyBorder="1" applyAlignment="1">
      <alignment horizontal="center" vertical="center"/>
      <protection/>
    </xf>
    <xf numFmtId="0" fontId="102" fillId="3" borderId="23" xfId="54" applyFont="1" applyFill="1" applyBorder="1" applyAlignment="1">
      <alignment horizontal="center" vertical="center"/>
      <protection/>
    </xf>
    <xf numFmtId="0" fontId="4" fillId="0" borderId="20" xfId="0" applyBorder="1" applyAlignment="1">
      <alignment horizontal="left" vertical="center" wrapText="1"/>
    </xf>
    <xf numFmtId="0" fontId="4" fillId="0" borderId="38" xfId="0" applyBorder="1" applyAlignment="1" quotePrefix="1">
      <alignment horizontal="left" vertical="center" wrapText="1"/>
    </xf>
    <xf numFmtId="0" fontId="4" fillId="0" borderId="24" xfId="0" applyBorder="1" applyAlignment="1">
      <alignment horizontal="center" vertical="center"/>
    </xf>
    <xf numFmtId="0" fontId="4" fillId="0" borderId="29" xfId="0" applyBorder="1" applyAlignment="1">
      <alignment horizontal="center" vertical="center"/>
    </xf>
    <xf numFmtId="0" fontId="4" fillId="0" borderId="22" xfId="0" applyBorder="1" applyAlignment="1">
      <alignment horizontal="center" vertical="center"/>
    </xf>
    <xf numFmtId="0" fontId="4" fillId="0" borderId="27" xfId="0" applyBorder="1" applyAlignment="1">
      <alignment horizontal="center" vertical="center"/>
    </xf>
    <xf numFmtId="0" fontId="4" fillId="0" borderId="26" xfId="0" applyBorder="1" applyAlignment="1">
      <alignment horizontal="center" vertical="center"/>
    </xf>
    <xf numFmtId="0" fontId="4" fillId="0" borderId="28" xfId="0" applyBorder="1" applyAlignment="1">
      <alignment horizontal="center" vertical="center"/>
    </xf>
    <xf numFmtId="206" fontId="4" fillId="96" borderId="132" xfId="43" applyFont="1" applyFill="1" applyBorder="1" applyAlignment="1" applyProtection="1">
      <alignment horizontal="right" vertical="center" indent="1"/>
      <protection/>
    </xf>
    <xf numFmtId="206" fontId="4" fillId="96" borderId="0" xfId="43" applyFont="1" applyFill="1" applyBorder="1" applyAlignment="1" applyProtection="1">
      <alignment horizontal="right" vertical="center" indent="1"/>
      <protection/>
    </xf>
    <xf numFmtId="206" fontId="4" fillId="96" borderId="115" xfId="43" applyFont="1" applyFill="1" applyBorder="1" applyAlignment="1" applyProtection="1">
      <alignment horizontal="right" vertical="center" indent="1"/>
      <protection/>
    </xf>
    <xf numFmtId="0" fontId="4" fillId="78" borderId="16" xfId="55" applyFont="1" applyFill="1" applyBorder="1">
      <alignment horizontal="left" vertical="center" indent="1"/>
      <protection locked="0"/>
    </xf>
    <xf numFmtId="2" fontId="4" fillId="97" borderId="162" xfId="55" applyNumberFormat="1" applyFont="1" applyFill="1" applyBorder="1" applyAlignment="1">
      <alignment horizontal="right" vertical="center"/>
      <protection locked="0"/>
    </xf>
    <xf numFmtId="0" fontId="4" fillId="96" borderId="16" xfId="55" applyFont="1" applyFill="1" applyBorder="1">
      <alignment horizontal="left" vertical="center" indent="1"/>
      <protection locked="0"/>
    </xf>
    <xf numFmtId="2" fontId="4" fillId="97" borderId="17" xfId="55" applyNumberFormat="1" applyFont="1" applyFill="1" applyBorder="1" applyAlignment="1">
      <alignment horizontal="right" vertical="center"/>
      <protection locked="0"/>
    </xf>
    <xf numFmtId="2" fontId="4" fillId="96" borderId="116" xfId="54" applyNumberFormat="1" applyFont="1" applyFill="1" applyBorder="1" applyAlignment="1">
      <alignment horizontal="right" vertical="center"/>
      <protection/>
    </xf>
    <xf numFmtId="2" fontId="4" fillId="96" borderId="17" xfId="54" applyNumberFormat="1" applyFont="1" applyFill="1" applyBorder="1" applyAlignment="1">
      <alignment horizontal="right" vertical="center"/>
      <protection/>
    </xf>
    <xf numFmtId="175" fontId="4" fillId="96" borderId="16" xfId="54" applyNumberFormat="1" applyFont="1" applyFill="1" applyBorder="1" applyAlignment="1">
      <alignment horizontal="right"/>
      <protection/>
    </xf>
    <xf numFmtId="2" fontId="4" fillId="96" borderId="43" xfId="54" applyNumberFormat="1" applyFont="1" applyFill="1" applyBorder="1" applyAlignment="1">
      <alignment horizontal="right" vertical="center"/>
      <protection/>
    </xf>
    <xf numFmtId="0" fontId="14" fillId="96" borderId="0" xfId="4" applyNumberFormat="1" applyFont="1" applyFill="1" applyAlignment="1" applyProtection="1">
      <alignment horizontal="left" vertical="center" indent="1"/>
      <protection/>
    </xf>
    <xf numFmtId="0" fontId="4" fillId="97" borderId="16" xfId="55" applyFont="1" applyFill="1" applyBorder="1">
      <alignment horizontal="left" vertical="center" indent="1"/>
      <protection locked="0"/>
    </xf>
    <xf numFmtId="0" fontId="4" fillId="96" borderId="37" xfId="0" applyFill="1" applyBorder="1">
      <alignment horizontal="left" vertical="center"/>
    </xf>
    <xf numFmtId="2" fontId="4" fillId="96" borderId="17" xfId="55" applyNumberFormat="1" applyFont="1" applyFill="1" applyBorder="1" applyAlignment="1">
      <alignment horizontal="right" vertical="center"/>
      <protection locked="0"/>
    </xf>
    <xf numFmtId="1" fontId="4" fillId="96" borderId="25" xfId="0" applyNumberFormat="1" applyFill="1" applyBorder="1" applyAlignment="1">
      <alignment horizontal="center" vertical="center"/>
    </xf>
    <xf numFmtId="1" fontId="4" fillId="96" borderId="29" xfId="0" applyNumberFormat="1" applyFill="1" applyBorder="1" applyAlignment="1">
      <alignment horizontal="center" vertical="center"/>
    </xf>
    <xf numFmtId="1" fontId="4" fillId="96" borderId="24" xfId="0" applyNumberFormat="1" applyFill="1" applyBorder="1" applyAlignment="1">
      <alignment horizontal="center" vertical="center"/>
    </xf>
    <xf numFmtId="0" fontId="4" fillId="97" borderId="16" xfId="55" applyFont="1" applyFill="1" applyBorder="1" applyAlignment="1">
      <alignment horizontal="left" vertical="center"/>
      <protection locked="0"/>
    </xf>
    <xf numFmtId="206" fontId="4" fillId="96" borderId="16" xfId="43" applyFont="1" applyFill="1" applyBorder="1" applyAlignment="1" applyProtection="1">
      <alignment horizontal="center"/>
      <protection locked="0"/>
    </xf>
    <xf numFmtId="0" fontId="4" fillId="96" borderId="16" xfId="55" applyFont="1" applyFill="1" applyBorder="1" applyAlignment="1">
      <alignment horizontal="left" vertical="center"/>
      <protection locked="0"/>
    </xf>
    <xf numFmtId="0" fontId="4" fillId="96" borderId="16" xfId="0" applyFill="1" applyBorder="1">
      <alignment horizontal="left" vertical="center"/>
    </xf>
    <xf numFmtId="2" fontId="4" fillId="96" borderId="162" xfId="55" applyNumberFormat="1" applyFont="1" applyFill="1" applyBorder="1" applyAlignment="1">
      <alignment horizontal="right" vertical="center"/>
      <protection locked="0"/>
    </xf>
    <xf numFmtId="2" fontId="4" fillId="96" borderId="162" xfId="55" applyNumberFormat="1" applyFont="1" applyFill="1" applyBorder="1" applyAlignment="1" applyProtection="1">
      <alignment horizontal="right" vertical="center"/>
      <protection/>
    </xf>
    <xf numFmtId="2" fontId="4" fillId="96" borderId="17" xfId="55" applyNumberFormat="1" applyFont="1" applyFill="1" applyBorder="1" applyAlignment="1" applyProtection="1">
      <alignment horizontal="right" vertical="center"/>
      <protection/>
    </xf>
    <xf numFmtId="0" fontId="14" fillId="96" borderId="0" xfId="4" applyNumberFormat="1" applyFont="1" applyFill="1" applyAlignment="1" applyProtection="1">
      <alignment horizontal="left" vertical="center"/>
      <protection/>
    </xf>
    <xf numFmtId="0" fontId="4" fillId="97" borderId="16" xfId="0" applyFill="1" applyBorder="1">
      <alignment horizontal="left" vertical="center"/>
    </xf>
    <xf numFmtId="0" fontId="4" fillId="96" borderId="37" xfId="7" applyFont="1" applyFill="1" applyBorder="1" applyAlignment="1" applyProtection="1">
      <alignment horizontal="left" vertical="center" indent="1" shrinkToFit="1"/>
      <protection/>
    </xf>
    <xf numFmtId="0" fontId="34" fillId="96" borderId="163" xfId="0" applyFont="1" applyFill="1" applyBorder="1">
      <alignment horizontal="left" vertical="center"/>
    </xf>
    <xf numFmtId="0" fontId="4" fillId="96" borderId="164" xfId="0" applyFill="1" applyBorder="1">
      <alignment horizontal="left" vertical="center"/>
    </xf>
    <xf numFmtId="206" fontId="4" fillId="96" borderId="16" xfId="43" applyFont="1" applyFill="1" applyBorder="1" applyAlignment="1" applyProtection="1">
      <alignment horizontal="center"/>
      <protection/>
    </xf>
    <xf numFmtId="0" fontId="34" fillId="97" borderId="165" xfId="0" applyFont="1" applyFill="1" applyBorder="1">
      <alignment horizontal="left" vertical="center"/>
    </xf>
    <xf numFmtId="2" fontId="4" fillId="97" borderId="17" xfId="55" applyNumberFormat="1" applyFont="1" applyFill="1" applyBorder="1" applyAlignment="1" applyProtection="1">
      <alignment horizontal="right" vertical="center"/>
      <protection/>
    </xf>
    <xf numFmtId="0" fontId="34" fillId="96" borderId="165" xfId="0" applyFont="1" applyFill="1" applyBorder="1">
      <alignment horizontal="left" vertical="center"/>
    </xf>
    <xf numFmtId="0" fontId="14" fillId="96" borderId="25" xfId="4" applyNumberFormat="1" applyFont="1" applyFill="1" applyBorder="1" applyAlignment="1" applyProtection="1">
      <alignment horizontal="left" vertical="center"/>
      <protection/>
    </xf>
    <xf numFmtId="0" fontId="46" fillId="97" borderId="166" xfId="22" applyFont="1" applyFill="1" applyBorder="1" applyAlignment="1">
      <alignment horizontal="left" vertical="center"/>
      <protection locked="0"/>
    </xf>
    <xf numFmtId="206" fontId="15" fillId="96" borderId="21" xfId="43" applyFont="1" applyFill="1" applyBorder="1" applyAlignment="1" applyProtection="1">
      <alignment horizontal="left" vertical="center"/>
      <protection/>
    </xf>
    <xf numFmtId="196" fontId="15" fillId="97" borderId="21" xfId="4" applyNumberFormat="1" applyFont="1" applyFill="1" applyBorder="1" applyAlignment="1" applyProtection="1">
      <alignment horizontal="right" vertical="center" wrapText="1"/>
      <protection/>
    </xf>
    <xf numFmtId="175" fontId="4" fillId="96" borderId="16" xfId="11" applyFill="1" applyBorder="1" applyProtection="1">
      <alignment horizontal="right"/>
      <protection/>
    </xf>
    <xf numFmtId="175" fontId="4" fillId="97" borderId="16" xfId="11" applyFill="1" applyBorder="1" applyProtection="1">
      <alignment horizontal="right"/>
      <protection/>
    </xf>
    <xf numFmtId="2" fontId="4" fillId="96" borderId="17" xfId="43" applyNumberFormat="1" applyFont="1" applyFill="1" applyBorder="1" applyAlignment="1" applyProtection="1">
      <alignment horizontal="center" vertical="center"/>
      <protection/>
    </xf>
    <xf numFmtId="175" fontId="4" fillId="96" borderId="16" xfId="11" applyFill="1" applyBorder="1" applyAlignment="1" applyProtection="1">
      <alignment horizontal="center"/>
      <protection/>
    </xf>
    <xf numFmtId="2" fontId="4" fillId="97" borderId="17" xfId="54" applyNumberFormat="1" applyFont="1" applyFill="1" applyBorder="1" applyAlignment="1">
      <alignment horizontal="right" vertical="center"/>
      <protection/>
    </xf>
    <xf numFmtId="175" fontId="238" fillId="97" borderId="166" xfId="55" applyNumberFormat="1" applyFont="1" applyFill="1" applyBorder="1" applyAlignment="1">
      <alignment horizontal="left" vertical="center"/>
      <protection locked="0"/>
    </xf>
    <xf numFmtId="2" fontId="4" fillId="97" borderId="40" xfId="55" applyNumberFormat="1" applyFont="1" applyFill="1" applyBorder="1" applyAlignment="1">
      <alignment horizontal="right" vertical="center"/>
      <protection locked="0"/>
    </xf>
    <xf numFmtId="2" fontId="4" fillId="96" borderId="17" xfId="43" applyNumberFormat="1" applyFont="1" applyFill="1" applyBorder="1" applyAlignment="1" applyProtection="1">
      <alignment horizontal="right" vertical="center"/>
      <protection/>
    </xf>
    <xf numFmtId="2" fontId="4" fillId="97" borderId="17" xfId="43" applyNumberFormat="1" applyFont="1" applyFill="1" applyBorder="1" applyAlignment="1" applyProtection="1">
      <alignment horizontal="right" vertical="center"/>
      <protection/>
    </xf>
    <xf numFmtId="175" fontId="4" fillId="97" borderId="166" xfId="55" applyNumberFormat="1" applyFont="1" applyFill="1" applyBorder="1" applyAlignment="1">
      <alignment horizontal="left" vertical="center"/>
      <protection locked="0"/>
    </xf>
    <xf numFmtId="0" fontId="104" fillId="97" borderId="158" xfId="22" applyFont="1" applyFill="1" applyBorder="1" applyAlignment="1">
      <alignment horizontal="left" vertical="center"/>
      <protection locked="0"/>
    </xf>
    <xf numFmtId="1" fontId="4" fillId="96" borderId="22" xfId="0" applyNumberFormat="1" applyFill="1" applyBorder="1" applyAlignment="1">
      <alignment horizontal="center" vertical="center"/>
    </xf>
    <xf numFmtId="1" fontId="4" fillId="96" borderId="27" xfId="0" applyNumberFormat="1" applyFill="1" applyBorder="1" applyAlignment="1">
      <alignment horizontal="center" vertical="center"/>
    </xf>
    <xf numFmtId="175" fontId="4" fillId="97" borderId="1" xfId="55" applyNumberFormat="1" applyFont="1" applyFill="1" applyBorder="1" applyAlignment="1">
      <alignment horizontal="left"/>
      <protection locked="0"/>
    </xf>
    <xf numFmtId="0" fontId="46" fillId="96" borderId="166" xfId="22" applyFont="1" applyFill="1" applyBorder="1" applyAlignment="1">
      <alignment horizontal="left" vertical="center"/>
      <protection locked="0"/>
    </xf>
    <xf numFmtId="0" fontId="0" fillId="97" borderId="1" xfId="55" applyFont="1" applyFill="1" applyBorder="1" applyAlignment="1">
      <alignment horizontal="left" vertical="center"/>
      <protection locked="0"/>
    </xf>
    <xf numFmtId="0" fontId="4" fillId="96" borderId="25" xfId="0" applyFill="1" applyBorder="1">
      <alignment horizontal="left" vertical="center"/>
    </xf>
    <xf numFmtId="0" fontId="4" fillId="96" borderId="25" xfId="0" applyFill="1" applyBorder="1" quotePrefix="1">
      <alignment horizontal="left" vertical="center"/>
    </xf>
    <xf numFmtId="43" fontId="46" fillId="96" borderId="167" xfId="4" applyFont="1" applyFill="1" applyBorder="1" applyAlignment="1" applyProtection="1">
      <alignment horizontal="left" vertical="center"/>
      <protection locked="0"/>
    </xf>
    <xf numFmtId="43" fontId="46" fillId="96" borderId="166" xfId="4" applyFont="1" applyFill="1" applyBorder="1" applyAlignment="1" applyProtection="1">
      <alignment horizontal="left" vertical="center"/>
      <protection locked="0"/>
    </xf>
    <xf numFmtId="186" fontId="4" fillId="97" borderId="16" xfId="55" applyNumberFormat="1" applyFont="1" applyFill="1" applyBorder="1" applyAlignment="1">
      <alignment horizontal="right"/>
      <protection locked="0"/>
    </xf>
    <xf numFmtId="0" fontId="4" fillId="96" borderId="16" xfId="54" applyFont="1" applyFill="1" applyBorder="1">
      <alignment horizontal="left" vertical="center" indent="1"/>
      <protection/>
    </xf>
    <xf numFmtId="0" fontId="4" fillId="97" borderId="16" xfId="0" applyFill="1" applyBorder="1" applyProtection="1">
      <alignment horizontal="left" vertical="center"/>
      <protection locked="0"/>
    </xf>
    <xf numFmtId="206" fontId="4" fillId="97" borderId="17" xfId="43" applyFont="1" applyFill="1" applyBorder="1" applyAlignment="1" applyProtection="1">
      <alignment horizontal="right" vertical="center"/>
      <protection locked="0"/>
    </xf>
    <xf numFmtId="0" fontId="53" fillId="96" borderId="168" xfId="14" applyFont="1" applyFill="1" applyBorder="1" applyAlignment="1">
      <alignment horizontal="center" vertical="center"/>
      <protection/>
    </xf>
    <xf numFmtId="0" fontId="53" fillId="96" borderId="169" xfId="55" applyFont="1" applyFill="1" applyBorder="1" applyAlignment="1">
      <alignment vertical="center"/>
      <protection locked="0"/>
    </xf>
    <xf numFmtId="0" fontId="53" fillId="97" borderId="169" xfId="55" applyFont="1" applyFill="1" applyBorder="1" applyAlignment="1">
      <alignment vertical="center"/>
      <protection locked="0"/>
    </xf>
    <xf numFmtId="0" fontId="53" fillId="97" borderId="169" xfId="55" applyFont="1" applyFill="1" applyBorder="1" applyAlignment="1">
      <alignment horizontal="left" vertical="center" indent="1"/>
      <protection locked="0"/>
    </xf>
    <xf numFmtId="0" fontId="4" fillId="97" borderId="169" xfId="55" applyFont="1" applyFill="1" applyBorder="1" applyAlignment="1">
      <alignment vertical="center"/>
      <protection locked="0"/>
    </xf>
    <xf numFmtId="2" fontId="34" fillId="96" borderId="169" xfId="55" applyNumberFormat="1" applyFont="1" applyFill="1" applyBorder="1" applyAlignment="1">
      <alignment horizontal="right" vertical="center" shrinkToFit="1"/>
      <protection locked="0"/>
    </xf>
    <xf numFmtId="0" fontId="53" fillId="96" borderId="75" xfId="14" applyFont="1" applyFill="1" applyBorder="1" applyAlignment="1">
      <alignment horizontal="center" vertical="center"/>
      <protection/>
    </xf>
    <xf numFmtId="0" fontId="4" fillId="96" borderId="50" xfId="0" applyFill="1" applyBorder="1" applyAlignment="1" applyProtection="1">
      <alignment vertical="center" wrapText="1"/>
      <protection hidden="1" locked="0"/>
    </xf>
    <xf numFmtId="0" fontId="53" fillId="97" borderId="16" xfId="55" applyFont="1" applyFill="1" applyBorder="1" applyAlignment="1">
      <alignment vertical="center"/>
      <protection locked="0"/>
    </xf>
    <xf numFmtId="0" fontId="53" fillId="97" borderId="16" xfId="55" applyFont="1" applyFill="1" applyBorder="1" applyAlignment="1">
      <alignment horizontal="left" vertical="center" indent="1"/>
      <protection locked="0"/>
    </xf>
    <xf numFmtId="2" fontId="34" fillId="96" borderId="16" xfId="55" applyNumberFormat="1" applyFont="1" applyFill="1" applyBorder="1" applyAlignment="1">
      <alignment horizontal="right" vertical="center" shrinkToFit="1"/>
      <protection locked="0"/>
    </xf>
    <xf numFmtId="0" fontId="53" fillId="96" borderId="21" xfId="55" applyFont="1" applyFill="1" applyBorder="1" applyAlignment="1">
      <alignment vertical="center"/>
      <protection locked="0"/>
    </xf>
    <xf numFmtId="0" fontId="4" fillId="96" borderId="16" xfId="0" applyFill="1" applyBorder="1" applyAlignment="1" applyProtection="1">
      <alignment vertical="center" wrapText="1"/>
      <protection hidden="1" locked="0"/>
    </xf>
    <xf numFmtId="0" fontId="53" fillId="96" borderId="16" xfId="55" applyFont="1" applyFill="1" applyBorder="1" applyAlignment="1">
      <alignment vertical="center" wrapText="1"/>
      <protection locked="0"/>
    </xf>
    <xf numFmtId="0" fontId="53" fillId="96" borderId="16" xfId="55" applyFont="1" applyFill="1" applyBorder="1" applyAlignment="1">
      <alignment vertical="center"/>
      <protection locked="0"/>
    </xf>
    <xf numFmtId="209" fontId="63" fillId="96" borderId="23" xfId="63" applyFont="1" applyFill="1" applyBorder="1" applyAlignment="1" applyProtection="1" quotePrefix="1">
      <alignment horizontal="center" vertical="center" wrapText="1"/>
      <protection hidden="1"/>
    </xf>
    <xf numFmtId="188" fontId="4" fillId="96" borderId="23" xfId="0" applyNumberFormat="1" applyFill="1" applyBorder="1" applyAlignment="1" applyProtection="1">
      <alignment horizontal="center"/>
      <protection hidden="1"/>
    </xf>
    <xf numFmtId="0" fontId="231" fillId="78" borderId="0" xfId="7" applyFont="1" applyFill="1" applyBorder="1" applyProtection="1">
      <alignment horizontal="center" vertical="center" shrinkToFit="1"/>
      <protection locked="0"/>
      <extLst>
        <ext xmlns:xfpb="http://schemas.microsoft.com/office/spreadsheetml/2022/featurepropertybag" uri="{C7286773-470A-42A8-94C5-96B5CB345126}">
          <xfpb:xfComplement i="0"/>
        </ext>
      </extLst>
    </xf>
    <xf numFmtId="0" fontId="231" fillId="98" borderId="0" xfId="7" applyFont="1" applyFill="1" applyBorder="1" applyProtection="1">
      <alignment horizontal="center" vertical="center" shrinkToFit="1"/>
      <protection locked="0"/>
      <extLst>
        <ext xmlns:xfpb="http://schemas.microsoft.com/office/spreadsheetml/2022/featurepropertybag" uri="{C7286773-470A-42A8-94C5-96B5CB345126}">
          <xfpb:xfComplement i="0"/>
        </ext>
      </extLst>
    </xf>
    <xf numFmtId="188" fontId="201" fillId="96" borderId="0" xfId="6" applyNumberFormat="1" applyFont="1" applyFill="1" applyBorder="1" applyAlignment="1" applyProtection="1">
      <alignment vertical="center" wrapText="1"/>
      <protection hidden="1"/>
    </xf>
    <xf numFmtId="0" fontId="9" fillId="96" borderId="23" xfId="19" applyFill="1" applyBorder="1" applyProtection="1">
      <alignment horizontal="left" vertical="center"/>
      <protection hidden="1"/>
    </xf>
    <xf numFmtId="188" fontId="201" fillId="96" borderId="0" xfId="6" applyNumberFormat="1" applyFont="1" applyFill="1" applyBorder="1" applyAlignment="1" applyProtection="1">
      <alignment vertical="center"/>
      <protection hidden="1"/>
    </xf>
    <xf numFmtId="209" fontId="34" fillId="97" borderId="23" xfId="55" applyNumberFormat="1" applyFont="1" applyFill="1" applyBorder="1" applyAlignment="1" applyProtection="1" quotePrefix="1">
      <alignment horizontal="center" vertical="center" wrapText="1"/>
      <protection/>
    </xf>
    <xf numFmtId="209" fontId="9" fillId="96" borderId="0" xfId="55" applyNumberFormat="1" applyFont="1" applyFill="1" applyBorder="1" applyAlignment="1" applyProtection="1" quotePrefix="1">
      <alignment horizontal="center" vertical="center" wrapText="1"/>
      <protection/>
    </xf>
    <xf numFmtId="0" fontId="14" fillId="96" borderId="0" xfId="0" applyFont="1" applyFill="1">
      <alignment horizontal="left" vertical="center"/>
    </xf>
    <xf numFmtId="43" fontId="14" fillId="96" borderId="0" xfId="4" applyFont="1" applyFill="1" applyBorder="1" applyAlignment="1">
      <alignment horizontal="right" vertical="center" indent="1"/>
    </xf>
    <xf numFmtId="0" fontId="54" fillId="97" borderId="16" xfId="0" applyFont="1" applyFill="1" applyBorder="1" applyAlignment="1" applyProtection="1">
      <alignment wrapText="1"/>
      <protection locked="0"/>
      <extLst>
        <ext xmlns:xfpb="http://schemas.microsoft.com/office/spreadsheetml/2022/featurepropertybag" uri="{C7286773-470A-42A8-94C5-96B5CB345126}">
          <xfpb:xfComplement i="0"/>
        </ext>
      </extLst>
    </xf>
    <xf numFmtId="43" fontId="4" fillId="96" borderId="0" xfId="4" applyFont="1" applyFill="1" applyAlignment="1">
      <alignment horizontal="left" vertical="center" indent="1"/>
    </xf>
    <xf numFmtId="0" fontId="14" fillId="96" borderId="0" xfId="0" applyFont="1" applyFill="1" applyBorder="1">
      <alignment horizontal="left" vertical="center"/>
    </xf>
    <xf numFmtId="0" fontId="34" fillId="96" borderId="0" xfId="0" applyFont="1" applyFill="1" applyBorder="1">
      <alignment horizontal="left" vertical="center"/>
    </xf>
    <xf numFmtId="1" fontId="34" fillId="96" borderId="0" xfId="0" applyNumberFormat="1" applyFont="1" applyFill="1" applyBorder="1" applyAlignment="1">
      <alignment horizontal="right" vertical="center"/>
    </xf>
    <xf numFmtId="171" fontId="45" fillId="96" borderId="135" xfId="4" applyNumberFormat="1" applyFont="1" applyFill="1" applyBorder="1" applyAlignment="1">
      <alignment horizontal="center" vertical="center" shrinkToFit="1"/>
    </xf>
    <xf numFmtId="171" fontId="45" fillId="96" borderId="170" xfId="4" applyNumberFormat="1" applyFont="1" applyFill="1" applyBorder="1" applyAlignment="1">
      <alignment horizontal="center" vertical="center" shrinkToFit="1"/>
    </xf>
    <xf numFmtId="171" fontId="45" fillId="96" borderId="0" xfId="4" applyNumberFormat="1" applyFont="1" applyFill="1" applyBorder="1" applyAlignment="1">
      <alignment horizontal="center" vertical="center" shrinkToFit="1"/>
    </xf>
    <xf numFmtId="171" fontId="45" fillId="96" borderId="0" xfId="4" applyNumberFormat="1" applyFont="1" applyFill="1" applyBorder="1" applyAlignment="1">
      <alignment horizontal="center"/>
    </xf>
    <xf numFmtId="0" fontId="60" fillId="78" borderId="0" xfId="0" applyFont="1" applyFill="1" applyBorder="1" applyAlignment="1">
      <alignment vertical="center" wrapText="1"/>
    </xf>
    <xf numFmtId="0" fontId="14" fillId="78" borderId="0" xfId="0" applyFont="1" applyFill="1" applyAlignment="1">
      <alignment horizontal="center" vertical="center"/>
      <extLst>
        <ext xmlns:xfpb="http://schemas.microsoft.com/office/spreadsheetml/2022/featurepropertybag" uri="{C7286773-470A-42A8-94C5-96B5CB345126}">
          <xfpb:xfComplement i="0"/>
        </ext>
      </extLst>
    </xf>
    <xf numFmtId="0" fontId="44" fillId="78" borderId="0" xfId="0" applyFont="1" applyFill="1" applyBorder="1" applyAlignment="1">
      <alignment vertical="center" wrapText="1"/>
    </xf>
    <xf numFmtId="0" fontId="14" fillId="78" borderId="171" xfId="0" applyFont="1" applyFill="1" applyBorder="1" applyAlignment="1">
      <alignment horizontal="center" vertical="center"/>
      <extLst>
        <ext xmlns:xfpb="http://schemas.microsoft.com/office/spreadsheetml/2022/featurepropertybag" uri="{C7286773-470A-42A8-94C5-96B5CB345126}">
          <xfpb:xfComplement i="0"/>
        </ext>
      </extLst>
    </xf>
    <xf numFmtId="2" fontId="4" fillId="96" borderId="131" xfId="54" applyNumberFormat="1" applyFont="1" applyFill="1" applyBorder="1" applyAlignment="1">
      <alignment horizontal="right" vertical="center"/>
      <protection/>
    </xf>
    <xf numFmtId="0" fontId="14" fillId="78" borderId="172" xfId="0" applyFont="1" applyFill="1" applyBorder="1" applyAlignment="1">
      <alignment horizontal="center" vertical="center"/>
      <extLst>
        <ext xmlns:xfpb="http://schemas.microsoft.com/office/spreadsheetml/2022/featurepropertybag" uri="{C7286773-470A-42A8-94C5-96B5CB345126}">
          <xfpb:xfComplement i="0"/>
        </ext>
      </extLst>
    </xf>
    <xf numFmtId="206" fontId="4" fillId="96" borderId="16" xfId="43" applyFont="1" applyFill="1" applyBorder="1" applyAlignment="1" applyProtection="1">
      <alignment horizontal="right"/>
      <protection/>
    </xf>
    <xf numFmtId="0" fontId="14" fillId="78" borderId="115"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96" borderId="0" xfId="0" applyFill="1">
      <alignment horizontal="left" vertical="center"/>
    </xf>
    <xf numFmtId="0" fontId="14" fillId="99" borderId="23" xfId="0" applyFont="1" applyFill="1" applyBorder="1" applyAlignment="1">
      <alignment horizontal="center" vertical="center"/>
    </xf>
    <xf numFmtId="0" fontId="60" fillId="99" borderId="0" xfId="0" applyFont="1" applyFill="1" applyAlignment="1">
      <alignment horizontal="center" vertical="center"/>
    </xf>
    <xf numFmtId="0" fontId="14" fillId="99" borderId="0" xfId="0" applyFont="1" applyFill="1" applyAlignment="1">
      <alignment horizontal="center" vertical="center"/>
    </xf>
    <xf numFmtId="0" fontId="14" fillId="99" borderId="0" xfId="0" applyFont="1" applyFill="1" applyBorder="1" applyAlignment="1">
      <alignment horizontal="center" vertical="center"/>
    </xf>
    <xf numFmtId="0" fontId="60" fillId="99" borderId="51" xfId="0" applyFont="1" applyFill="1" applyBorder="1" applyAlignment="1">
      <alignment horizontal="center" vertical="center"/>
    </xf>
    <xf numFmtId="0" fontId="44" fillId="99" borderId="0" xfId="0" applyFont="1" applyFill="1" applyAlignment="1">
      <alignment horizontal="center" vertical="center"/>
    </xf>
    <xf numFmtId="0" fontId="4" fillId="99" borderId="0" xfId="0" applyFill="1" applyAlignment="1">
      <alignment horizontal="center" vertical="center"/>
    </xf>
    <xf numFmtId="0" fontId="14" fillId="99" borderId="25" xfId="0" applyFont="1" applyFill="1" applyBorder="1" applyAlignment="1">
      <alignment horizontal="center" vertical="center"/>
    </xf>
    <xf numFmtId="2" fontId="14" fillId="99" borderId="115" xfId="0" applyNumberFormat="1" applyFont="1" applyFill="1" applyBorder="1" applyAlignment="1">
      <alignment horizontal="center" vertical="center"/>
    </xf>
    <xf numFmtId="0" fontId="4" fillId="99" borderId="24" xfId="0" applyFill="1" applyBorder="1" applyAlignment="1">
      <alignment horizontal="center" vertical="center"/>
    </xf>
    <xf numFmtId="0" fontId="60" fillId="99" borderId="172" xfId="0" applyFont="1" applyFill="1" applyBorder="1" applyAlignment="1">
      <alignment horizontal="center" vertical="center"/>
    </xf>
    <xf numFmtId="197" fontId="54" fillId="99" borderId="46" xfId="0" applyNumberFormat="1" applyFont="1" applyFill="1" applyBorder="1" applyAlignment="1">
      <alignment horizontal="center" vertical="center"/>
    </xf>
    <xf numFmtId="194" fontId="54" fillId="99" borderId="46" xfId="0" applyNumberFormat="1" applyFont="1" applyFill="1" applyBorder="1" applyAlignment="1">
      <alignment horizontal="center" vertical="center"/>
    </xf>
    <xf numFmtId="0" fontId="60" fillId="99" borderId="0" xfId="0" applyFont="1" applyFill="1" applyBorder="1" applyAlignment="1">
      <alignment horizontal="center" vertical="center"/>
    </xf>
    <xf numFmtId="0" fontId="4" fillId="99" borderId="22" xfId="0" applyFill="1" applyBorder="1" applyAlignment="1">
      <alignment horizontal="center" vertical="center"/>
    </xf>
    <xf numFmtId="197" fontId="4" fillId="99" borderId="46" xfId="56" applyFont="1" applyFill="1" applyBorder="1" applyAlignment="1">
      <alignment horizontal="center" vertical="center"/>
    </xf>
    <xf numFmtId="1" fontId="14" fillId="99" borderId="0" xfId="4" applyNumberFormat="1" applyFont="1" applyFill="1" applyBorder="1" applyAlignment="1" applyProtection="1">
      <alignment horizontal="right" vertical="center" wrapText="1"/>
      <protection hidden="1"/>
    </xf>
    <xf numFmtId="0" fontId="60" fillId="99" borderId="25" xfId="0" applyFont="1" applyFill="1" applyBorder="1" applyAlignment="1">
      <alignment horizontal="center" vertical="center"/>
    </xf>
    <xf numFmtId="0" fontId="60" fillId="100" borderId="23" xfId="0" applyFont="1" applyFill="1" applyBorder="1" applyAlignment="1">
      <alignment horizontal="center" vertical="center"/>
    </xf>
    <xf numFmtId="0" fontId="4" fillId="99" borderId="0" xfId="0" applyFill="1" applyAlignment="1">
      <alignment horizontal="left" vertical="center" wrapText="1" indent="1"/>
    </xf>
    <xf numFmtId="0" fontId="60" fillId="99" borderId="23" xfId="0" applyFont="1" applyFill="1" applyBorder="1" applyAlignment="1">
      <alignment horizontal="center" vertical="center"/>
    </xf>
    <xf numFmtId="197" fontId="53" fillId="99" borderId="16" xfId="0" applyNumberFormat="1" applyFont="1" applyFill="1" applyBorder="1" applyAlignment="1">
      <alignment horizontal="center" vertical="center"/>
    </xf>
    <xf numFmtId="197" fontId="4" fillId="99" borderId="46" xfId="0" applyNumberFormat="1" applyFill="1" applyBorder="1" applyAlignment="1">
      <alignment horizontal="center" vertical="center"/>
    </xf>
    <xf numFmtId="0" fontId="4" fillId="99" borderId="27" xfId="0" applyFill="1" applyBorder="1" applyAlignment="1">
      <alignment horizontal="center" vertical="center"/>
    </xf>
    <xf numFmtId="0" fontId="4" fillId="99" borderId="25" xfId="0" applyFill="1" applyBorder="1" applyAlignment="1">
      <alignment horizontal="center" vertical="center"/>
    </xf>
    <xf numFmtId="0" fontId="60" fillId="100" borderId="0" xfId="0" applyFont="1" applyFill="1" applyAlignment="1">
      <alignment horizontal="center" vertical="center"/>
    </xf>
    <xf numFmtId="197" fontId="4" fillId="99" borderId="50" xfId="56" applyFont="1" applyFill="1" applyBorder="1" applyAlignment="1">
      <alignment horizontal="center" vertical="center"/>
    </xf>
    <xf numFmtId="0" fontId="123" fillId="99" borderId="0" xfId="0" applyFont="1" applyFill="1" applyProtection="1">
      <alignment horizontal="left" vertical="center"/>
      <protection hidden="1"/>
    </xf>
    <xf numFmtId="0" fontId="14" fillId="99" borderId="171" xfId="0" applyFont="1" applyFill="1" applyBorder="1" applyAlignment="1">
      <alignment horizontal="center" vertical="center"/>
    </xf>
    <xf numFmtId="208" fontId="14" fillId="99" borderId="0" xfId="6" applyFont="1" applyFill="1" applyBorder="1" applyAlignment="1" applyProtection="1">
      <alignment horizontal="center" wrapText="1"/>
      <protection hidden="1"/>
    </xf>
    <xf numFmtId="0" fontId="4" fillId="99" borderId="0" xfId="0" applyFill="1">
      <alignment horizontal="left" vertical="center"/>
    </xf>
    <xf numFmtId="197" fontId="4" fillId="100" borderId="46" xfId="0" applyNumberFormat="1" applyFill="1" applyBorder="1" applyAlignment="1">
      <alignment horizontal="center" vertical="center"/>
    </xf>
    <xf numFmtId="0" fontId="60" fillId="100" borderId="0" xfId="0" applyFont="1" applyFill="1" applyBorder="1" applyAlignment="1">
      <alignment horizontal="center" vertical="center"/>
    </xf>
    <xf numFmtId="197" fontId="53" fillId="99" borderId="46" xfId="0" applyNumberFormat="1" applyFont="1" applyFill="1" applyBorder="1" applyAlignment="1">
      <alignment horizontal="center" vertical="center"/>
    </xf>
    <xf numFmtId="0" fontId="4" fillId="99" borderId="26" xfId="0" applyFill="1" applyBorder="1" applyAlignment="1">
      <alignment horizontal="center" vertical="center"/>
    </xf>
    <xf numFmtId="197" fontId="54" fillId="99" borderId="50" xfId="0" applyNumberFormat="1" applyFont="1" applyFill="1" applyBorder="1" applyAlignment="1">
      <alignment horizontal="center" vertical="center"/>
    </xf>
    <xf numFmtId="194" fontId="53" fillId="99" borderId="46" xfId="0" applyNumberFormat="1" applyFont="1" applyFill="1" applyBorder="1" applyAlignment="1">
      <alignment horizontal="center" vertical="center"/>
    </xf>
    <xf numFmtId="0" fontId="14" fillId="100" borderId="134" xfId="0" applyFont="1" applyFill="1" applyBorder="1" applyAlignment="1">
      <alignment horizontal="center" vertical="center"/>
    </xf>
    <xf numFmtId="188" fontId="4" fillId="99" borderId="23" xfId="0" applyNumberFormat="1" applyFill="1" applyBorder="1" applyAlignment="1" applyProtection="1">
      <alignment horizontal="center"/>
      <protection hidden="1"/>
    </xf>
    <xf numFmtId="197" fontId="4" fillId="99" borderId="0" xfId="0" applyNumberFormat="1" applyFill="1" applyBorder="1" applyAlignment="1">
      <alignment horizontal="center" vertical="center"/>
    </xf>
    <xf numFmtId="0" fontId="4" fillId="99" borderId="0" xfId="0" applyFill="1" applyProtection="1">
      <alignment horizontal="left" vertical="center"/>
      <protection hidden="1"/>
    </xf>
    <xf numFmtId="197" fontId="46" fillId="99" borderId="20" xfId="59" applyNumberFormat="1" applyFill="1" applyBorder="1" applyAlignment="1">
      <alignment horizontal="center" vertical="center"/>
      <protection/>
    </xf>
    <xf numFmtId="171" fontId="4" fillId="99" borderId="0" xfId="4" applyNumberFormat="1" applyFont="1" applyFill="1">
      <alignment/>
    </xf>
    <xf numFmtId="0" fontId="34" fillId="99" borderId="0" xfId="0" applyFont="1" applyFill="1" applyBorder="1">
      <alignment horizontal="left" vertical="center"/>
    </xf>
    <xf numFmtId="0" fontId="166" fillId="99" borderId="0" xfId="0" applyFont="1" applyFill="1" applyBorder="1" applyAlignment="1">
      <alignment horizontal="center" vertical="center" shrinkToFit="1"/>
    </xf>
    <xf numFmtId="0" fontId="14" fillId="99" borderId="129" xfId="0" applyFont="1" applyFill="1" applyBorder="1">
      <alignment horizontal="left" vertical="center"/>
    </xf>
    <xf numFmtId="188" fontId="232" fillId="99" borderId="0" xfId="6" applyNumberFormat="1" applyFont="1" applyFill="1" applyBorder="1" applyAlignment="1" applyProtection="1">
      <alignment horizontal="center" wrapText="1"/>
      <protection hidden="1"/>
    </xf>
    <xf numFmtId="0" fontId="4" fillId="99" borderId="20" xfId="0" applyFill="1" applyBorder="1">
      <alignment horizontal="left" vertical="center"/>
    </xf>
    <xf numFmtId="0" fontId="14" fillId="99" borderId="115" xfId="0" applyFont="1" applyFill="1" applyBorder="1" applyAlignment="1">
      <alignment horizontal="center" vertical="center"/>
    </xf>
    <xf numFmtId="0" fontId="109" fillId="99" borderId="0" xfId="0" applyFont="1" applyFill="1" applyBorder="1" applyAlignment="1">
      <alignment horizontal="center" vertical="center" shrinkToFit="1"/>
    </xf>
    <xf numFmtId="0" fontId="14" fillId="99" borderId="172" xfId="0" applyFont="1" applyFill="1" applyBorder="1" applyAlignment="1">
      <alignment horizontal="center" vertical="center"/>
    </xf>
    <xf numFmtId="208" fontId="232" fillId="99" borderId="0" xfId="6" applyFont="1" applyFill="1" applyBorder="1" applyAlignment="1" applyProtection="1">
      <alignment horizontal="left" vertical="center" indent="1"/>
      <protection hidden="1"/>
    </xf>
    <xf numFmtId="0" fontId="60" fillId="100" borderId="25" xfId="0" applyFont="1" applyFill="1" applyBorder="1" applyAlignment="1">
      <alignment horizontal="center" vertical="center"/>
    </xf>
    <xf numFmtId="0" fontId="14" fillId="99" borderId="173" xfId="0" applyFont="1" applyFill="1" applyBorder="1">
      <alignment horizontal="left" vertical="center"/>
    </xf>
    <xf numFmtId="0" fontId="14" fillId="99" borderId="0" xfId="0" applyFont="1" applyFill="1" applyAlignment="1">
      <alignment horizontal="center" vertical="top"/>
    </xf>
    <xf numFmtId="197" fontId="54" fillId="99" borderId="16" xfId="0" applyNumberFormat="1" applyFont="1" applyFill="1" applyBorder="1" applyAlignment="1">
      <alignment horizontal="center" vertical="center"/>
    </xf>
    <xf numFmtId="0" fontId="60" fillId="99" borderId="0" xfId="0" applyFont="1" applyFill="1" applyBorder="1" applyAlignment="1">
      <alignment horizontal="center" vertical="center" shrinkToFit="1"/>
    </xf>
    <xf numFmtId="0" fontId="14" fillId="100" borderId="0" xfId="0" applyFont="1" applyFill="1" applyAlignment="1">
      <alignment horizontal="center" vertical="center"/>
    </xf>
    <xf numFmtId="197" fontId="34" fillId="99" borderId="46" xfId="0" applyNumberFormat="1" applyFont="1" applyFill="1" applyBorder="1" applyAlignment="1">
      <alignment horizontal="center" vertical="center"/>
    </xf>
    <xf numFmtId="0" fontId="123" fillId="99" borderId="174" xfId="0" applyFont="1" applyFill="1" applyBorder="1" applyProtection="1">
      <alignment horizontal="left" vertical="center"/>
      <protection hidden="1"/>
    </xf>
    <xf numFmtId="188" fontId="232" fillId="99" borderId="0" xfId="6" applyNumberFormat="1" applyFont="1" applyFill="1" applyBorder="1" applyAlignment="1" applyProtection="1" quotePrefix="1">
      <alignment horizontal="center" wrapText="1"/>
      <protection hidden="1"/>
    </xf>
    <xf numFmtId="197" fontId="53" fillId="99" borderId="50" xfId="0" applyNumberFormat="1" applyFont="1" applyFill="1" applyBorder="1" applyAlignment="1">
      <alignment horizontal="center" vertical="center"/>
    </xf>
    <xf numFmtId="17" fontId="238" fillId="101" borderId="16" xfId="24" applyFont="1" applyFill="1" applyBorder="1" applyProtection="1">
      <alignment horizontal="center" vertical="center"/>
      <protection hidden="1"/>
    </xf>
    <xf numFmtId="43" fontId="14" fillId="101" borderId="0" xfId="4" applyFont="1" applyFill="1" applyAlignment="1">
      <alignment horizontal="left" vertical="center" indent="1"/>
    </xf>
    <xf numFmtId="0" fontId="4" fillId="101" borderId="24" xfId="0" applyFill="1" applyBorder="1">
      <alignment horizontal="left" vertical="center"/>
    </xf>
    <xf numFmtId="186" fontId="4" fillId="101" borderId="16" xfId="55" applyNumberFormat="1" applyFont="1" applyFill="1" applyBorder="1" applyAlignment="1">
      <alignment horizontal="right"/>
      <protection locked="0"/>
    </xf>
    <xf numFmtId="0" fontId="4" fillId="101" borderId="22" xfId="0" applyFill="1" applyBorder="1">
      <alignment horizontal="left" vertical="center"/>
    </xf>
    <xf numFmtId="0" fontId="4" fillId="101" borderId="16" xfId="55" applyFont="1" applyFill="1" applyBorder="1" applyProtection="1">
      <alignment horizontal="left" vertical="center" indent="1"/>
      <protection/>
    </xf>
    <xf numFmtId="0" fontId="4" fillId="101" borderId="22" xfId="54" applyFont="1" applyFill="1" applyBorder="1">
      <alignment horizontal="left" vertical="center" indent="1"/>
      <protection/>
    </xf>
    <xf numFmtId="43" fontId="14" fillId="101" borderId="0" xfId="4" applyFont="1" applyFill="1" applyBorder="1" applyAlignment="1">
      <alignment horizontal="left" vertical="center" indent="1"/>
    </xf>
    <xf numFmtId="0" fontId="4" fillId="101" borderId="16" xfId="54" applyFont="1" applyFill="1" applyBorder="1">
      <alignment horizontal="left" vertical="center" indent="1"/>
      <protection/>
    </xf>
    <xf numFmtId="0" fontId="4" fillId="101" borderId="26" xfId="0" applyFill="1" applyBorder="1">
      <alignment horizontal="left" vertical="center"/>
    </xf>
    <xf numFmtId="14" fontId="4" fillId="101" borderId="16" xfId="54" applyNumberFormat="1" applyFont="1" applyFill="1" applyBorder="1" applyAlignment="1">
      <alignment horizontal="center" vertical="center"/>
      <protection/>
    </xf>
    <xf numFmtId="0" fontId="4" fillId="101" borderId="16" xfId="54" applyFont="1" applyFill="1" applyBorder="1" applyAlignment="1">
      <alignment horizontal="center" vertical="center" shrinkToFit="1"/>
      <protection/>
    </xf>
    <xf numFmtId="43" fontId="14" fillId="101" borderId="25" xfId="4" applyFont="1" applyFill="1" applyBorder="1" applyAlignment="1">
      <alignment horizontal="left" vertical="center" indent="1"/>
    </xf>
    <xf numFmtId="0" fontId="4" fillId="101" borderId="16" xfId="0" applyFill="1" applyBorder="1">
      <alignment horizontal="left" vertical="center"/>
    </xf>
    <xf numFmtId="206" fontId="4" fillId="101" borderId="17" xfId="43" applyFont="1" applyFill="1" applyBorder="1" applyAlignment="1" applyProtection="1">
      <alignment horizontal="right" vertical="center"/>
      <protection hidden="1" locked="0"/>
    </xf>
    <xf numFmtId="186" fontId="14" fillId="101" borderId="17" xfId="54" applyNumberFormat="1" applyFont="1" applyFill="1" applyBorder="1" applyAlignment="1">
      <alignment horizontal="right"/>
      <protection/>
    </xf>
    <xf numFmtId="0" fontId="38" fillId="101" borderId="0" xfId="0" applyFont="1" applyFill="1" applyBorder="1" applyAlignment="1" applyProtection="1">
      <alignment horizontal="center" vertical="center"/>
      <protection hidden="1"/>
    </xf>
    <xf numFmtId="43" fontId="123" fillId="101" borderId="0" xfId="4" applyFont="1" applyFill="1" applyBorder="1" applyAlignment="1" applyProtection="1">
      <alignment horizontal="left" vertical="center"/>
      <protection hidden="1"/>
    </xf>
    <xf numFmtId="209" fontId="0" fillId="101" borderId="1" xfId="63" applyFont="1" applyFill="1" applyBorder="1" applyAlignment="1" applyProtection="1">
      <alignment horizontal="center" vertical="center" wrapText="1"/>
      <protection locked="0"/>
    </xf>
    <xf numFmtId="209" fontId="236" fillId="102" borderId="157" xfId="63" applyFont="1" applyFill="1" applyBorder="1" applyAlignment="1" applyProtection="1">
      <alignment horizontal="center" vertical="center" wrapText="1"/>
      <protection locked="0"/>
    </xf>
    <xf numFmtId="213" fontId="0" fillId="101" borderId="1" xfId="64" applyFont="1" applyFill="1" applyBorder="1" applyProtection="1">
      <alignment horizontal="center" vertical="center"/>
      <protection locked="0"/>
    </xf>
    <xf numFmtId="0" fontId="14" fillId="101" borderId="0" xfId="0" applyFont="1" applyFill="1" applyBorder="1" applyAlignment="1" applyProtection="1">
      <alignment vertical="center"/>
      <protection hidden="1"/>
    </xf>
    <xf numFmtId="0" fontId="14" fillId="101" borderId="153" xfId="0" applyFont="1" applyFill="1" applyBorder="1" applyProtection="1">
      <alignment horizontal="left" vertical="center"/>
      <protection hidden="1"/>
    </xf>
    <xf numFmtId="0" fontId="14" fillId="101" borderId="0" xfId="0" applyFont="1" applyFill="1" applyBorder="1" applyProtection="1">
      <alignment horizontal="left" vertical="center"/>
      <protection hidden="1"/>
    </xf>
    <xf numFmtId="0" fontId="44" fillId="101" borderId="153" xfId="0" applyFont="1" applyFill="1" applyBorder="1" applyProtection="1">
      <alignment horizontal="left" vertical="center"/>
      <protection hidden="1"/>
    </xf>
    <xf numFmtId="0" fontId="45" fillId="101" borderId="0" xfId="0" applyFont="1" applyFill="1" applyBorder="1" applyProtection="1">
      <alignment horizontal="left" vertical="center"/>
      <protection hidden="1"/>
    </xf>
    <xf numFmtId="206" fontId="127" fillId="101" borderId="159" xfId="43" applyFont="1" applyFill="1" applyBorder="1" applyAlignment="1" applyProtection="1">
      <alignment horizontal="center" vertical="center" wrapText="1"/>
      <protection hidden="1"/>
    </xf>
    <xf numFmtId="0" fontId="4" fillId="101" borderId="16" xfId="55" applyFont="1" applyFill="1" applyBorder="1" applyAlignment="1">
      <alignment horizontal="center" vertical="center"/>
      <protection locked="0"/>
    </xf>
    <xf numFmtId="0" fontId="45" fillId="101" borderId="153" xfId="0" applyFont="1" applyFill="1" applyBorder="1" applyProtection="1">
      <alignment horizontal="left" vertical="center"/>
      <protection hidden="1"/>
    </xf>
    <xf numFmtId="188" fontId="17" fillId="101" borderId="16" xfId="55" applyNumberFormat="1" applyFont="1" applyFill="1" applyBorder="1">
      <alignment horizontal="left" vertical="center" indent="1"/>
      <protection locked="0"/>
    </xf>
    <xf numFmtId="208" fontId="0" fillId="101" borderId="1" xfId="6" applyFont="1" applyFill="1" applyBorder="1" applyAlignment="1" applyProtection="1">
      <alignment horizontal="center" vertical="center"/>
      <protection hidden="1" locked="0"/>
    </xf>
    <xf numFmtId="188" fontId="4" fillId="101" borderId="16" xfId="55" applyNumberFormat="1" applyFont="1" applyFill="1" applyBorder="1" applyAlignment="1">
      <alignment horizontal="center" vertical="center"/>
      <protection locked="0"/>
    </xf>
    <xf numFmtId="0" fontId="34" fillId="101" borderId="139" xfId="55" applyNumberFormat="1" applyFont="1" applyFill="1" applyBorder="1" applyAlignment="1">
      <alignment horizontal="center" vertical="center" wrapText="1"/>
      <protection locked="0"/>
    </xf>
    <xf numFmtId="209" fontId="2" fillId="101" borderId="23" xfId="55" applyNumberFormat="1" applyFont="1" applyFill="1" applyBorder="1" applyAlignment="1" applyProtection="1" quotePrefix="1">
      <alignment horizontal="center" vertical="center" wrapText="1"/>
      <protection/>
    </xf>
    <xf numFmtId="173" fontId="4" fillId="101" borderId="22" xfId="0" applyNumberFormat="1" applyFill="1" applyBorder="1" applyAlignment="1">
      <alignment horizontal="left" vertical="top"/>
    </xf>
    <xf numFmtId="0" fontId="4" fillId="101" borderId="27" xfId="0" applyFont="1" applyFill="1" applyBorder="1" applyAlignment="1">
      <alignment wrapText="1"/>
    </xf>
    <xf numFmtId="0" fontId="54" fillId="101" borderId="175" xfId="0" applyFont="1" applyFill="1" applyBorder="1" applyAlignment="1">
      <alignment horizontal="center" wrapText="1"/>
    </xf>
    <xf numFmtId="206" fontId="53" fillId="101" borderId="114" xfId="43" applyFont="1" applyFill="1" applyBorder="1" applyAlignment="1" applyProtection="1">
      <alignment horizontal="right" vertical="top" readingOrder="1"/>
      <protection/>
    </xf>
    <xf numFmtId="206" fontId="53" fillId="101" borderId="176" xfId="43" applyFont="1" applyFill="1" applyBorder="1" applyAlignment="1" applyProtection="1">
      <alignment horizontal="right" vertical="top" readingOrder="1"/>
      <protection hidden="1" locked="0"/>
    </xf>
    <xf numFmtId="0" fontId="4" fillId="101" borderId="0" xfId="0" applyFill="1">
      <alignment horizontal="left" vertical="center"/>
    </xf>
    <xf numFmtId="173" fontId="238" fillId="101" borderId="22" xfId="0" applyNumberFormat="1" applyFont="1" applyFill="1" applyBorder="1" applyAlignment="1">
      <alignment horizontal="left" vertical="top"/>
    </xf>
    <xf numFmtId="0" fontId="54" fillId="101" borderId="16" xfId="0" applyFont="1" applyFill="1" applyBorder="1" applyAlignment="1" applyProtection="1">
      <alignment wrapText="1"/>
      <protection locked="0"/>
      <extLst>
        <ext xmlns:xfpb="http://schemas.microsoft.com/office/spreadsheetml/2022/featurepropertybag" uri="{C7286773-470A-42A8-94C5-96B5CB345126}">
          <xfpb:xfComplement i="0"/>
        </ext>
      </extLst>
    </xf>
    <xf numFmtId="197" fontId="4" fillId="101" borderId="46" xfId="0" applyNumberFormat="1" applyFill="1" applyBorder="1" applyAlignment="1">
      <alignment horizontal="center" vertical="center"/>
    </xf>
    <xf numFmtId="173" fontId="238" fillId="101" borderId="22" xfId="0" applyNumberFormat="1" applyFont="1" applyFill="1" applyBorder="1" applyAlignment="1">
      <alignment vertical="top"/>
    </xf>
    <xf numFmtId="173" fontId="4" fillId="101" borderId="27" xfId="0" applyNumberFormat="1" applyFill="1" applyBorder="1" applyAlignment="1">
      <alignment vertical="top"/>
    </xf>
    <xf numFmtId="206" fontId="53" fillId="101" borderId="1" xfId="43" applyFont="1" applyFill="1" applyBorder="1" applyAlignment="1" applyProtection="1">
      <alignment horizontal="right" vertical="top" readingOrder="1"/>
      <protection hidden="1" locked="0"/>
    </xf>
    <xf numFmtId="0" fontId="238" fillId="101" borderId="22" xfId="0" applyFont="1" applyFill="1" applyBorder="1" applyAlignment="1">
      <alignment vertical="top"/>
    </xf>
    <xf numFmtId="0" fontId="4" fillId="101" borderId="27" xfId="0" applyFont="1" applyFill="1" applyBorder="1" applyAlignment="1">
      <alignment vertical="top"/>
    </xf>
    <xf numFmtId="0" fontId="54" fillId="101" borderId="177" xfId="0" applyFont="1" applyFill="1" applyBorder="1" applyAlignment="1">
      <alignment horizontal="center" wrapText="1"/>
    </xf>
    <xf numFmtId="206" fontId="4" fillId="101" borderId="1" xfId="43" applyFont="1" applyFill="1" applyBorder="1" applyAlignment="1" applyProtection="1">
      <alignment horizontal="right"/>
      <protection hidden="1" locked="0"/>
    </xf>
    <xf numFmtId="206" fontId="236" fillId="102" borderId="157" xfId="43" applyFont="1" applyFill="1" applyBorder="1" applyAlignment="1" applyProtection="1">
      <alignment horizontal="right"/>
      <protection hidden="1" locked="0"/>
    </xf>
    <xf numFmtId="206" fontId="237" fillId="102" borderId="157" xfId="43" applyFont="1" applyFill="1" applyBorder="1" applyAlignment="1" applyProtection="1">
      <alignment vertical="top" readingOrder="1"/>
      <protection hidden="1" locked="0"/>
    </xf>
    <xf numFmtId="181" fontId="26" fillId="101" borderId="118" xfId="55" applyNumberFormat="1" applyFont="1" applyFill="1" applyBorder="1" applyAlignment="1">
      <alignment horizontal="center" vertical="top" readingOrder="1"/>
      <protection locked="0"/>
    </xf>
    <xf numFmtId="173" fontId="53" fillId="101" borderId="25" xfId="0" applyNumberFormat="1" applyFont="1" applyFill="1" applyBorder="1">
      <alignment horizontal="left" vertical="center"/>
    </xf>
    <xf numFmtId="211" fontId="53" fillId="101" borderId="25" xfId="57" applyFont="1" applyFill="1" applyBorder="1" applyAlignment="1">
      <alignment horizontal="left" vertical="center" readingOrder="1"/>
    </xf>
    <xf numFmtId="211" fontId="53" fillId="101" borderId="25" xfId="57" applyFont="1" applyFill="1" applyBorder="1" applyAlignment="1">
      <alignment horizontal="center" vertical="center" readingOrder="1"/>
    </xf>
    <xf numFmtId="211" fontId="53" fillId="101" borderId="29" xfId="57" applyFont="1" applyFill="1" applyBorder="1" applyAlignment="1">
      <alignment horizontal="center" vertical="center" readingOrder="1"/>
    </xf>
    <xf numFmtId="173" fontId="53" fillId="101" borderId="0" xfId="0" applyNumberFormat="1" applyFont="1" applyFill="1" applyBorder="1">
      <alignment horizontal="left" vertical="center"/>
    </xf>
    <xf numFmtId="211" fontId="53" fillId="101" borderId="0" xfId="57" applyFont="1" applyFill="1" applyBorder="1" applyAlignment="1">
      <alignment horizontal="left" vertical="center" readingOrder="1"/>
    </xf>
    <xf numFmtId="211" fontId="53" fillId="101" borderId="0" xfId="57" applyFont="1" applyFill="1" applyBorder="1" applyAlignment="1">
      <alignment horizontal="center" vertical="center" readingOrder="1"/>
    </xf>
    <xf numFmtId="211" fontId="53" fillId="101" borderId="27" xfId="57" applyFont="1" applyFill="1" applyBorder="1" applyAlignment="1">
      <alignment horizontal="center" vertical="center" readingOrder="1"/>
    </xf>
    <xf numFmtId="198" fontId="46" fillId="101" borderId="0" xfId="0" applyNumberFormat="1" applyFont="1" applyFill="1" applyBorder="1" applyAlignment="1">
      <alignment horizontal="left" vertical="top" readingOrder="1"/>
    </xf>
    <xf numFmtId="198" fontId="46" fillId="101" borderId="0" xfId="0" applyNumberFormat="1" applyFont="1" applyFill="1" applyBorder="1" applyAlignment="1">
      <alignment horizontal="center" vertical="top" readingOrder="1"/>
    </xf>
    <xf numFmtId="198" fontId="46" fillId="101" borderId="27" xfId="0" applyNumberFormat="1" applyFont="1" applyFill="1" applyBorder="1" applyAlignment="1">
      <alignment horizontal="center" vertical="top" readingOrder="1"/>
    </xf>
    <xf numFmtId="181" fontId="26" fillId="101" borderId="178" xfId="55" applyNumberFormat="1" applyFont="1" applyFill="1" applyBorder="1" applyAlignment="1">
      <alignment horizontal="center" vertical="top" readingOrder="1"/>
      <protection locked="0"/>
    </xf>
    <xf numFmtId="173" fontId="46" fillId="101" borderId="0" xfId="0" applyNumberFormat="1" applyFont="1" applyFill="1" applyBorder="1" applyAlignment="1">
      <alignment vertical="top"/>
    </xf>
    <xf numFmtId="173" fontId="4" fillId="101" borderId="25" xfId="0" applyNumberFormat="1" applyFill="1" applyBorder="1" applyAlignment="1">
      <alignment vertical="center"/>
    </xf>
    <xf numFmtId="173" fontId="4" fillId="101" borderId="0" xfId="0" applyNumberFormat="1" applyFill="1" applyBorder="1" applyAlignment="1">
      <alignment vertical="center"/>
    </xf>
    <xf numFmtId="181" fontId="26" fillId="101" borderId="16" xfId="55" applyNumberFormat="1" applyFont="1" applyFill="1" applyBorder="1" applyAlignment="1">
      <alignment horizontal="center" vertical="top" readingOrder="1"/>
      <protection locked="0"/>
    </xf>
    <xf numFmtId="211" fontId="53" fillId="101" borderId="25" xfId="57" applyFont="1" applyFill="1" applyBorder="1" applyAlignment="1">
      <alignment horizontal="right" vertical="center" readingOrder="1"/>
    </xf>
    <xf numFmtId="211" fontId="53" fillId="101" borderId="29" xfId="57" applyFont="1" applyFill="1" applyBorder="1" applyAlignment="1">
      <alignment horizontal="right" vertical="center" readingOrder="1"/>
    </xf>
    <xf numFmtId="211" fontId="53" fillId="101" borderId="0" xfId="57" applyFont="1" applyFill="1" applyBorder="1" applyAlignment="1">
      <alignment horizontal="right" vertical="center" readingOrder="1"/>
    </xf>
    <xf numFmtId="211" fontId="53" fillId="101" borderId="27" xfId="57" applyFont="1" applyFill="1" applyBorder="1" applyAlignment="1">
      <alignment horizontal="right" vertical="center" readingOrder="1"/>
    </xf>
    <xf numFmtId="173" fontId="4" fillId="101" borderId="0" xfId="0" applyNumberFormat="1" applyFont="1" applyFill="1" applyBorder="1" applyAlignment="1">
      <alignment vertical="top"/>
    </xf>
    <xf numFmtId="198" fontId="46" fillId="101" borderId="27" xfId="0" applyNumberFormat="1" applyFont="1" applyFill="1" applyBorder="1" applyAlignment="1">
      <alignment horizontal="left" vertical="top" readingOrder="1"/>
    </xf>
    <xf numFmtId="173" fontId="4" fillId="101" borderId="0" xfId="0" applyNumberFormat="1" applyFont="1" applyFill="1" applyBorder="1" applyAlignment="1">
      <alignment horizontal="left" vertical="top"/>
    </xf>
    <xf numFmtId="173" fontId="4" fillId="101" borderId="25" xfId="0" applyNumberFormat="1" applyFont="1" applyFill="1" applyBorder="1" applyAlignment="1">
      <alignment vertical="top"/>
    </xf>
    <xf numFmtId="211" fontId="46" fillId="101" borderId="0" xfId="57" applyFont="1" applyFill="1" applyBorder="1" applyAlignment="1" applyProtection="1">
      <alignment horizontal="left" vertical="top" readingOrder="1"/>
      <protection/>
    </xf>
    <xf numFmtId="211" fontId="46" fillId="101" borderId="27" xfId="57" applyFont="1" applyFill="1" applyBorder="1" applyAlignment="1" applyProtection="1">
      <alignment horizontal="left" vertical="top" readingOrder="1"/>
      <protection/>
    </xf>
    <xf numFmtId="0" fontId="87" fillId="101" borderId="0" xfId="0" applyFont="1" applyFill="1" applyBorder="1" applyAlignment="1">
      <alignment vertical="top"/>
    </xf>
    <xf numFmtId="0" fontId="4" fillId="101" borderId="0" xfId="0" applyFill="1" applyBorder="1" applyAlignment="1">
      <alignment vertical="top"/>
    </xf>
    <xf numFmtId="0" fontId="4" fillId="101" borderId="0" xfId="0" applyFill="1" applyBorder="1">
      <alignment horizontal="left" vertical="center"/>
    </xf>
    <xf numFmtId="0" fontId="4" fillId="101" borderId="179" xfId="0" applyFill="1" applyBorder="1">
      <alignment horizontal="left" vertical="center"/>
    </xf>
    <xf numFmtId="9" fontId="0" fillId="101" borderId="1" xfId="55" applyNumberFormat="1" applyFont="1" applyFill="1" applyBorder="1" applyAlignment="1">
      <alignment horizontal="center" vertical="top"/>
      <protection locked="0"/>
    </xf>
    <xf numFmtId="0" fontId="2" fillId="101" borderId="180" xfId="46" applyFont="1" applyFill="1" applyBorder="1">
      <alignment horizontal="left" vertical="center"/>
    </xf>
    <xf numFmtId="0" fontId="69" fillId="101" borderId="0" xfId="46" applyFont="1" applyFill="1" applyBorder="1">
      <alignment horizontal="left" vertical="center"/>
    </xf>
    <xf numFmtId="0" fontId="29" fillId="101" borderId="180" xfId="46" applyFont="1" applyFill="1" applyBorder="1">
      <alignment horizontal="left" vertical="center"/>
    </xf>
    <xf numFmtId="9" fontId="0" fillId="101" borderId="181" xfId="55" applyNumberFormat="1" applyFont="1" applyFill="1" applyBorder="1" applyAlignment="1">
      <alignment horizontal="center" vertical="top"/>
      <protection locked="0"/>
    </xf>
    <xf numFmtId="0" fontId="4" fillId="101" borderId="0" xfId="0" applyFill="1" applyBorder="1" applyAlignment="1">
      <alignment wrapText="1"/>
    </xf>
    <xf numFmtId="0" fontId="16" fillId="101" borderId="0" xfId="0" applyFont="1" applyFill="1" applyBorder="1" applyAlignment="1">
      <alignment horizontal="right"/>
    </xf>
    <xf numFmtId="0" fontId="124" fillId="101" borderId="20" xfId="0" applyFont="1" applyFill="1" applyBorder="1" applyProtection="1">
      <alignment horizontal="left" vertical="center"/>
      <protection hidden="1" locked="0"/>
    </xf>
    <xf numFmtId="0" fontId="0" fillId="101" borderId="16" xfId="22" applyFill="1" applyBorder="1" applyAlignment="1">
      <alignment horizontal="center" vertical="center"/>
      <protection locked="0"/>
    </xf>
    <xf numFmtId="0" fontId="16" fillId="101" borderId="177" xfId="0" applyFont="1" applyFill="1" applyBorder="1" applyAlignment="1">
      <alignment horizontal="right"/>
    </xf>
    <xf numFmtId="190" fontId="0" fillId="101" borderId="1" xfId="52" applyNumberFormat="1" applyFont="1" applyFill="1" applyBorder="1" applyAlignment="1" applyProtection="1">
      <alignment horizontal="center" vertical="center"/>
      <protection locked="0"/>
    </xf>
    <xf numFmtId="190" fontId="0" fillId="101" borderId="82" xfId="52" applyNumberFormat="1" applyFont="1" applyFill="1" applyBorder="1" applyAlignment="1" applyProtection="1">
      <alignment horizontal="center" vertical="center"/>
      <protection locked="0"/>
    </xf>
    <xf numFmtId="17" fontId="61" fillId="101" borderId="0" xfId="24" applyFont="1" applyFill="1" applyBorder="1">
      <alignment horizontal="center" vertical="center"/>
    </xf>
    <xf numFmtId="0" fontId="172" fillId="101" borderId="22" xfId="0" applyFont="1" applyFill="1" applyBorder="1" applyAlignment="1">
      <alignment vertical="center"/>
    </xf>
    <xf numFmtId="0" fontId="4" fillId="101" borderId="27" xfId="0" applyFill="1" applyBorder="1">
      <alignment horizontal="left" vertical="center"/>
    </xf>
    <xf numFmtId="0" fontId="61" fillId="101" borderId="22" xfId="0" applyFont="1" applyFill="1" applyBorder="1" applyAlignment="1">
      <alignment/>
    </xf>
    <xf numFmtId="0" fontId="4" fillId="101" borderId="20" xfId="0" applyFill="1" applyBorder="1" applyAlignment="1">
      <alignment horizontal="center" vertical="center"/>
    </xf>
    <xf numFmtId="0" fontId="4" fillId="101" borderId="38" xfId="0" applyFill="1" applyBorder="1">
      <alignment horizontal="left" vertical="center"/>
    </xf>
    <xf numFmtId="0" fontId="4" fillId="101" borderId="25" xfId="0" applyFill="1" applyBorder="1" applyAlignment="1">
      <alignment horizontal="center" vertical="center"/>
    </xf>
    <xf numFmtId="0" fontId="4" fillId="101" borderId="29" xfId="0" applyFill="1" applyBorder="1">
      <alignment horizontal="left" vertical="center"/>
    </xf>
    <xf numFmtId="206" fontId="61" fillId="101" borderId="16" xfId="43" applyFont="1" applyFill="1" applyBorder="1" applyAlignment="1" applyProtection="1">
      <alignment horizontal="right" vertical="center" readingOrder="1"/>
      <protection locked="0"/>
    </xf>
    <xf numFmtId="0" fontId="61" fillId="101" borderId="0" xfId="0" applyFont="1" applyFill="1" applyBorder="1" applyAlignment="1">
      <alignment horizontal="center"/>
    </xf>
    <xf numFmtId="0" fontId="61" fillId="101" borderId="27" xfId="0" applyFont="1" applyFill="1" applyBorder="1" applyAlignment="1">
      <alignment/>
    </xf>
    <xf numFmtId="0" fontId="53" fillId="101" borderId="0" xfId="0" applyFont="1" applyFill="1" applyBorder="1" applyAlignment="1">
      <alignment horizontal="center"/>
    </xf>
    <xf numFmtId="0" fontId="172" fillId="101" borderId="24" xfId="0" applyFont="1" applyFill="1" applyBorder="1" applyAlignment="1">
      <alignment vertical="center"/>
    </xf>
    <xf numFmtId="0" fontId="16" fillId="101" borderId="27" xfId="0" applyFont="1" applyFill="1" applyBorder="1" applyAlignment="1">
      <alignment horizontal="right"/>
    </xf>
    <xf numFmtId="0" fontId="124" fillId="101" borderId="37" xfId="0" applyFont="1" applyFill="1" applyBorder="1" applyAlignment="1" applyProtection="1">
      <alignment horizontal="left" vertical="center" shrinkToFit="1"/>
      <protection hidden="1" locked="0"/>
    </xf>
    <xf numFmtId="0" fontId="0" fillId="101" borderId="16" xfId="22" applyFill="1" applyBorder="1" applyAlignment="1" applyProtection="1">
      <alignment horizontal="center" vertical="center"/>
      <protection hidden="1" locked="0"/>
    </xf>
    <xf numFmtId="0" fontId="16" fillId="101" borderId="46" xfId="0" applyFont="1" applyFill="1" applyBorder="1" applyAlignment="1">
      <alignment horizontal="right"/>
    </xf>
    <xf numFmtId="0" fontId="4" fillId="101" borderId="25" xfId="0" applyFill="1" applyBorder="1">
      <alignment horizontal="left" vertical="center"/>
    </xf>
    <xf numFmtId="0" fontId="14" fillId="101" borderId="25" xfId="0" applyFont="1" applyFill="1" applyBorder="1" applyAlignment="1">
      <alignment horizontal="left" vertical="top"/>
    </xf>
    <xf numFmtId="0" fontId="14" fillId="101" borderId="0" xfId="0" applyFont="1" applyFill="1" applyAlignment="1">
      <alignment horizontal="left" vertical="top"/>
    </xf>
    <xf numFmtId="0" fontId="14" fillId="101" borderId="129" xfId="0" applyFont="1" applyFill="1" applyBorder="1">
      <alignment horizontal="left" vertical="center"/>
    </xf>
    <xf numFmtId="17" fontId="4" fillId="101" borderId="16" xfId="24" applyFont="1" applyFill="1" applyBorder="1" applyProtection="1">
      <alignment horizontal="center" vertical="center"/>
      <protection/>
    </xf>
    <xf numFmtId="179" fontId="4" fillId="101" borderId="16" xfId="10" applyFill="1" applyBorder="1" applyAlignment="1" applyProtection="1">
      <alignment horizontal="center" vertical="center"/>
      <protection locked="0"/>
    </xf>
    <xf numFmtId="0" fontId="4" fillId="101" borderId="0" xfId="0" applyFill="1" applyBorder="1" applyAlignment="1">
      <alignment horizontal="center" vertical="center"/>
    </xf>
    <xf numFmtId="0" fontId="75" fillId="101" borderId="50" xfId="0" applyFont="1" applyFill="1" applyBorder="1" applyAlignment="1">
      <alignment horizontal="center"/>
    </xf>
    <xf numFmtId="0" fontId="14" fillId="101" borderId="0" xfId="4" applyNumberFormat="1" applyFont="1" applyFill="1" applyAlignment="1" applyProtection="1">
      <alignment horizontal="left" vertical="center" indent="1"/>
      <protection/>
    </xf>
    <xf numFmtId="186" fontId="4" fillId="103" borderId="16" xfId="51" applyNumberFormat="1" applyFont="1" applyFill="1" applyBorder="1" applyAlignment="1">
      <alignment horizontal="center"/>
      <protection/>
    </xf>
    <xf numFmtId="179" fontId="4" fillId="101" borderId="16" xfId="10" applyFont="1" applyFill="1" applyBorder="1" applyAlignment="1">
      <alignment/>
      <protection/>
    </xf>
    <xf numFmtId="2" fontId="4" fillId="101" borderId="17" xfId="55" applyNumberFormat="1" applyFont="1" applyFill="1" applyBorder="1" applyAlignment="1" applyProtection="1">
      <alignment horizontal="right" vertical="center"/>
      <protection/>
    </xf>
    <xf numFmtId="0" fontId="14" fillId="101" borderId="0" xfId="4" applyNumberFormat="1" applyFont="1" applyFill="1" applyAlignment="1" applyProtection="1">
      <alignment horizontal="left" vertical="center"/>
      <protection/>
    </xf>
    <xf numFmtId="179" fontId="4" fillId="101" borderId="16" xfId="10" applyFont="1" applyFill="1" applyBorder="1" applyAlignment="1">
      <alignment horizontal="right"/>
      <protection/>
    </xf>
    <xf numFmtId="186" fontId="4" fillId="103" borderId="163" xfId="51" applyNumberFormat="1" applyFont="1" applyFill="1" applyBorder="1" applyAlignment="1">
      <alignment horizontal="right" vertical="center"/>
      <protection/>
    </xf>
    <xf numFmtId="186" fontId="4" fillId="103" borderId="165" xfId="51" applyNumberFormat="1" applyFont="1" applyFill="1" applyBorder="1" applyAlignment="1">
      <alignment horizontal="right" vertical="center"/>
      <protection/>
    </xf>
    <xf numFmtId="0" fontId="14" fillId="101" borderId="25" xfId="4" applyNumberFormat="1" applyFont="1" applyFill="1" applyBorder="1" applyAlignment="1" applyProtection="1">
      <alignment horizontal="left" vertical="center"/>
      <protection/>
    </xf>
    <xf numFmtId="2" fontId="4" fillId="101" borderId="17" xfId="43" applyNumberFormat="1" applyFont="1" applyFill="1" applyBorder="1" applyAlignment="1" applyProtection="1">
      <alignment horizontal="right" vertical="center"/>
      <protection/>
    </xf>
    <xf numFmtId="0" fontId="58" fillId="101" borderId="182" xfId="22" applyFont="1" applyFill="1" applyBorder="1" applyAlignment="1">
      <alignment horizontal="center" vertical="center"/>
      <protection locked="0"/>
    </xf>
    <xf numFmtId="2" fontId="4" fillId="101" borderId="17" xfId="54" applyNumberFormat="1" applyFont="1" applyFill="1" applyBorder="1" applyAlignment="1">
      <alignment horizontal="right" vertical="center"/>
      <protection/>
    </xf>
    <xf numFmtId="175" fontId="4" fillId="101" borderId="16" xfId="11" applyFill="1" applyBorder="1" applyProtection="1">
      <alignment horizontal="right"/>
      <protection/>
    </xf>
    <xf numFmtId="0" fontId="104" fillId="101" borderId="158" xfId="22" applyFont="1" applyFill="1" applyBorder="1" applyAlignment="1">
      <alignment horizontal="left" vertical="center"/>
      <protection locked="0"/>
    </xf>
    <xf numFmtId="0" fontId="14" fillId="101" borderId="134" xfId="0" applyFont="1" applyFill="1" applyBorder="1" applyAlignment="1">
      <alignment horizontal="center" vertical="center"/>
    </xf>
    <xf numFmtId="0" fontId="14" fillId="101" borderId="0" xfId="4" applyNumberFormat="1" applyFont="1" applyFill="1" applyBorder="1" applyAlignment="1" applyProtection="1" quotePrefix="1">
      <alignment horizontal="left" vertical="center" indent="1"/>
      <protection/>
    </xf>
    <xf numFmtId="0" fontId="4" fillId="97" borderId="0" xfId="0" applyFill="1">
      <alignment horizontal="left" vertical="center"/>
    </xf>
    <xf numFmtId="0" fontId="4" fillId="78" borderId="0" xfId="0" applyFill="1">
      <alignment horizontal="left" vertical="center"/>
    </xf>
    <xf numFmtId="0" fontId="4" fillId="98" borderId="0" xfId="0" applyFill="1">
      <alignment horizontal="left" vertical="center"/>
    </xf>
    <xf numFmtId="0" fontId="4" fillId="104" borderId="0" xfId="0" applyFill="1">
      <alignment horizontal="left" vertical="center"/>
    </xf>
    <xf numFmtId="0" fontId="4" fillId="100" borderId="0" xfId="0" applyFill="1">
      <alignment horizontal="left" vertical="center"/>
    </xf>
  </cellXfs>
  <cellStyles count="66">
    <cellStyle name="Normal" xfId="0" builtinId="0"/>
    <cellStyle name="Percent" xfId="1" builtinId="5"/>
    <cellStyle name="Currency" xfId="2" builtinId="4"/>
    <cellStyle name="Currency [0]" xfId="3" builtinId="7"/>
    <cellStyle name="Comma" xfId="4" builtinId="3"/>
    <cellStyle name="Comma [0]" xfId="5" builtinId="6"/>
    <cellStyle name="Per cent" xfId="6" builtinId="5"/>
    <cellStyle name="Hyperlink" xfId="7" builtinId="8"/>
    <cellStyle name="Input - bd &amp; adj" xfId="8"/>
    <cellStyle name="Formula - grey" xfId="9"/>
    <cellStyle name="formula grey" xfId="10"/>
    <cellStyle name="Input white" xfId="11"/>
    <cellStyle name="Followed Hyperlink" xfId="12" builtinId="9"/>
    <cellStyle name="Title" xfId="13" builtinId="15"/>
    <cellStyle name="Heading 1" xfId="14" builtinId="16"/>
    <cellStyle name="Heading 2" xfId="15" builtinId="17"/>
    <cellStyle name="Heading 3" xfId="16" builtinId="18"/>
    <cellStyle name="Heading 4" xfId="17" builtinId="19"/>
    <cellStyle name="Input" xfId="18" builtinId="20"/>
    <cellStyle name="Total" xfId="19" builtinId="25"/>
    <cellStyle name="60% - Accent1" xfId="20" builtinId="32"/>
    <cellStyle name="ppt change" xfId="21"/>
    <cellStyle name="Input (Shade, Frame. Lock)" xfId="22"/>
    <cellStyle name="Locked Grey" xfId="23"/>
    <cellStyle name="Month Year" xfId="24"/>
    <cellStyle name="Numerical" xfId="25"/>
    <cellStyle name="R Outline Boader (B)" xfId="26"/>
    <cellStyle name="R Section Boarder (B)" xfId="27"/>
    <cellStyle name="Style 2" xfId="28"/>
    <cellStyle name="Style 3" xfId="29"/>
    <cellStyle name="input - with grey ink" xfId="30"/>
    <cellStyle name="Heading 4 2" xfId="31"/>
    <cellStyle name="Debt subheading" xfId="32"/>
    <cellStyle name="Debt subsubheading" xfId="33"/>
    <cellStyle name="Grand Total Heading" xfId="34"/>
    <cellStyle name="Heading 1 2" xfId="35"/>
    <cellStyle name="Heading 2 2" xfId="36"/>
    <cellStyle name="Heading 2 Blue" xfId="37"/>
    <cellStyle name="Heading 3 2" xfId="38"/>
    <cellStyle name="Input 2" xfId="39"/>
    <cellStyle name="Normal 2" xfId="40"/>
    <cellStyle name="Percentage" xfId="41"/>
    <cellStyle name="Push to CX" xfId="42"/>
    <cellStyle name="&gt;| Number" xfId="43"/>
    <cellStyle name="Style 1" xfId="44"/>
    <cellStyle name="Total 2" xfId="45"/>
    <cellStyle name="Up border (grey2)" xfId="46"/>
    <cellStyle name="warning" xfId="47"/>
    <cellStyle name="x multiple" xfId="48"/>
    <cellStyle name="&gt;| number (color)" xfId="49"/>
    <cellStyle name="Block-lightblue" xfId="50"/>
    <cellStyle name="Block-grey" xfId="51"/>
    <cellStyle name="x covenant" xfId="52"/>
    <cellStyle name="Comma 2" xfId="53"/>
    <cellStyle name="Lock" xfId="54"/>
    <cellStyle name="Unlock" xfId="55"/>
    <cellStyle name="Sign" xfId="56"/>
    <cellStyle name="# &amp; N?A" xfId="57"/>
    <cellStyle name="Debt subheading 2" xfId="58"/>
    <cellStyle name="grey subtle" xfId="59"/>
    <cellStyle name="Grey 1" xfId="60"/>
    <cellStyle name="Grey 2" xfId="61"/>
    <cellStyle name="Cavas" xfId="62"/>
    <cellStyle name="NoAlign Number 2" xfId="63"/>
    <cellStyle name="📅 Month Year" xfId="64"/>
    <cellStyle name="Block-grey 2" xfId="65"/>
  </cellStyles>
  <dxfs count="4258">
    <dxf>
      <numFmt numFmtId="22" formatCode="mmm\-yy"/>
    </dxf>
    <dxf>
      <numFmt numFmtId="177" formatCode="_(0.0%_);\(0.0%\);_(0.0%_);_-@_-"/>
    </dxf>
    <dxf>
      <numFmt numFmtId="178" formatCode="\ _(* #,##0.0_);_(* \(#,##0.0\);_(0.0_);_-@_-"/>
    </dxf>
    <dxf>
      <numFmt numFmtId="179" formatCode="_(#,##0.0_);\(#,##0.0\);_(0.0_);_-@_-"/>
    </dxf>
    <dxf>
      <numFmt numFmtId="177" formatCode="_(0.0%_);\(0.0%\);_(0.0%_);_-@_-"/>
    </dxf>
    <dxf>
      <numFmt numFmtId="22" formatCode="mmm\-yy"/>
    </dxf>
    <dxf>
      <numFmt numFmtId="177" formatCode="_(0.0%_);\(0.0%\);_(0.0%_);_-@_-"/>
    </dxf>
    <dxf>
      <numFmt numFmtId="22" formatCode="mmm\-yy"/>
    </dxf>
    <dxf>
      <numFmt numFmtId="178" formatCode="\ _(* #,##0.0_);_(* \(#,##0.0\);_(0.0_);_-@_-"/>
    </dxf>
    <dxf>
      <fill>
        <patternFill>
          <bgColor rgb="FFFF6699"/>
        </patternFill>
      </fill>
    </dxf>
    <dxf>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ill>
        <patternFill>
          <bgColor rgb="FFFF7C80"/>
        </patternFill>
      </fill>
    </dxf>
    <dxf>
      <numFmt numFmtId="178" formatCode="\ _(* #,##0.0_);_(* \(#,##0.0\);_(0.0_);_-@_-"/>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ill>
        <patternFill>
          <bgColor rgb="FFFF6699"/>
        </patternFill>
      </fill>
    </dxf>
    <dxf>
      <font>
        <b/>
        <i val="0"/>
        <color theme="7" tint="-0.499969989061356"/>
      </font>
      <fill>
        <patternFill>
          <bgColor rgb="FFD9E1C1"/>
        </patternFill>
      </fill>
    </dxf>
    <dxf>
      <numFmt numFmtId="177" formatCode="_(0.0%_);\(0.0%\);_(0.0%_);_-@_-"/>
    </dxf>
    <dxf>
      <fill>
        <patternFill>
          <bgColor theme="6"/>
        </patternFill>
      </fill>
    </dxf>
    <dxf>
      <fill>
        <patternFill>
          <bgColor rgb="FFFF7C80"/>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numFmt numFmtId="22" formatCode="mmm\-yy"/>
    </dxf>
    <dxf>
      <numFmt numFmtId="177" formatCode="_(0.0%_);\(0.0%\);_(0.0%_);_-@_-"/>
    </dxf>
    <dxf>
      <numFmt numFmtId="178" formatCode="\ _(* #,##0.0_);_(* \(#,##0.0\);_(0.0_);_-@_-"/>
    </dxf>
    <dxf>
      <font>
        <b/>
        <i val="0"/>
        <color theme="7" tint="-0.499969989061356"/>
      </font>
      <fill>
        <patternFill>
          <bgColor rgb="FFD9E1C1"/>
        </patternFill>
      </fill>
    </dxf>
    <dxf>
      <numFmt numFmtId="177" formatCode="_(0.0%_);\(0.0%\);_(0.0%_);_-@_-"/>
    </dxf>
    <dxf>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ill>
        <patternFill>
          <bgColor rgb="FFFF7C80"/>
        </patternFill>
      </fill>
    </dxf>
    <dxf>
      <numFmt numFmtId="178" formatCode="\ _(* #,##0.0_);_(* \(#,##0.0\);_(0.0_);_-@_-"/>
    </dxf>
    <dxf>
      <numFmt numFmtId="178" formatCode="\ _(* #,##0.0_);_(* \(#,##0.0\);_(0.0_);_-@_-"/>
    </dxf>
    <dxf>
      <fill>
        <patternFill>
          <bgColor rgb="FFFF6699"/>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font>
        <b/>
        <i val="0"/>
        <color theme="7" tint="-0.499969989061356"/>
      </font>
      <fill>
        <patternFill>
          <bgColor rgb="FFD9E1C1"/>
        </patternFill>
      </fill>
    </dxf>
    <dxf>
      <numFmt numFmtId="177" formatCode="_(0.0%_);\(0.0%\);_(0.0%_);_-@_-"/>
    </dxf>
    <dxf>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7C80"/>
        </patternFill>
      </fill>
    </dxf>
    <dxf>
      <numFmt numFmtId="22" formatCode="mmm\-yy"/>
    </dxf>
    <dxf>
      <numFmt numFmtId="178" formatCode="\ _(* #,##0.0_);_(* \(#,##0.0\);_(0.0_);_-@_-"/>
    </dxf>
    <dxf>
      <numFmt numFmtId="177" formatCode="_(0.0%_);\(0.0%\);_(0.0%_);_-@_-"/>
    </dxf>
    <dxf>
      <numFmt numFmtId="178" formatCode="\ _(* #,##0.0_);_(* \(#,##0.0\);_(0.0_);_-@_-"/>
    </dxf>
    <dxf>
      <font>
        <b/>
        <i val="0"/>
        <color theme="7" tint="-0.499969989061356"/>
      </font>
      <fill>
        <patternFill>
          <bgColor rgb="FFD9E1C1"/>
        </patternFill>
      </fill>
    </dxf>
    <dxf>
      <numFmt numFmtId="22" formatCode="mmm\-yy"/>
    </dxf>
    <dxf>
      <fill>
        <patternFill>
          <bgColor rgb="FFFF6699"/>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7" formatCode="_(0.0%_);\(0.0%\);_(0.0%_);_-@_-"/>
    </dxf>
    <dxf>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ill>
        <patternFill>
          <bgColor rgb="FFFF7C80"/>
        </patternFill>
      </fill>
    </dxf>
    <dxf>
      <numFmt numFmtId="178" formatCode="\ _(* #,##0.0_);_(* \(#,##0.0\);_(0.0_);_-@_-"/>
    </dxf>
    <dxf>
      <font>
        <b/>
        <i val="0"/>
        <color theme="7" tint="-0.499969989061356"/>
      </font>
      <fill>
        <patternFill>
          <bgColor rgb="FFD9E1C1"/>
        </patternFill>
      </fill>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numFmt numFmtId="22" formatCode="mmm\-yy"/>
    </dxf>
    <dxf>
      <numFmt numFmtId="177" formatCode="_(0.0%_);\(0.0%\);_(0.0%_);_-@_-"/>
    </dxf>
    <dxf>
      <fill>
        <patternFill>
          <bgColor theme="6"/>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7C80"/>
        </patternFill>
      </fill>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numFmt numFmtId="22" formatCode="mmm\-yy"/>
    </dxf>
    <dxf>
      <numFmt numFmtId="177" formatCode="_(0.0%_);\(0.0%\);_(0.0%_);_-@_-"/>
    </dxf>
    <dxf>
      <numFmt numFmtId="178" formatCode="\ _(* #,##0.0_);_(* \(#,##0.0\);_(0.0_);_-@_-"/>
    </dxf>
    <dxf>
      <font>
        <b/>
        <i val="0"/>
        <color theme="7" tint="-0.499969989061356"/>
      </font>
      <fill>
        <patternFill>
          <bgColor rgb="FFD9E1C1"/>
        </patternFill>
      </fill>
    </dxf>
    <dxf>
      <numFmt numFmtId="177" formatCode="_(0.0%_);\(0.0%\);_(0.0%_);_-@_-"/>
    </dxf>
    <dxf>
      <fill>
        <patternFill>
          <bgColor theme="6"/>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7C80"/>
        </patternFill>
      </fill>
    </dxf>
    <dxf>
      <numFmt numFmtId="178" formatCode="\ _(* #,##0.0_);_(* \(#,##0.0\);_(0.0_);_-@_-"/>
    </dxf>
    <dxf>
      <numFmt numFmtId="178" formatCode="\ _(* #,##0.0_);_(* \(#,##0.0\);_(0.0_);_-@_-"/>
    </dxf>
    <dxf>
      <fill>
        <patternFill>
          <bgColor rgb="FFFF6699"/>
        </patternFill>
      </fill>
    </dxf>
    <dxf>
      <numFmt numFmtId="22" formatCode="mmm\-yy"/>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7" formatCode="_(0.0%_);\(0.0%\);_(0.0%_);_-@_-"/>
    </dxf>
    <dxf>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7C80"/>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numFmt numFmtId="178" formatCode="\ _(* #,##0.0_);_(* \(#,##0.0\);_(0.0_);_-@_-"/>
    </dxf>
    <dxf>
      <numFmt numFmtId="22" formatCode="mmm\-yy"/>
    </dxf>
    <dxf>
      <font>
        <b/>
        <i val="0"/>
        <color theme="7" tint="-0.499969989061356"/>
      </font>
      <fill>
        <patternFill>
          <bgColor rgb="FFD9E1C1"/>
        </patternFill>
      </fill>
    </dxf>
    <dxf>
      <numFmt numFmtId="177" formatCode="_(0.0%_);\(0.0%\);_(0.0%_);_-@_-"/>
    </dxf>
    <dxf>
      <numFmt numFmtId="178" formatCode="\ _(* #,##0.0_);_(* \(#,##0.0\);_(0.0_);_-@_-"/>
    </dxf>
    <dxf>
      <numFmt numFmtId="177" formatCode="_(0.0%_);\(0.0%\);_(0.0%_);_-@_-"/>
    </dxf>
    <dxf>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7C80"/>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fill>
        <patternFill>
          <bgColor rgb="FFFF6699"/>
        </patternFill>
      </fill>
    </dxf>
    <dxf>
      <font>
        <b/>
        <i val="0"/>
        <color theme="7" tint="-0.499969989061356"/>
      </font>
      <fill>
        <patternFill>
          <bgColor rgb="FFD9E1C1"/>
        </patternFill>
      </fill>
    </dxf>
    <dxf>
      <numFmt numFmtId="178" formatCode="\ _(* #,##0.0_);_(* \(#,##0.0\);_(0.0_);_-@_-"/>
    </dxf>
    <dxf>
      <numFmt numFmtId="22" formatCode="mmm\-yy"/>
    </dxf>
    <dxf>
      <numFmt numFmtId="178" formatCode="\ _(* #,##0.0_);_(* \(#,##0.0\);_(0.0_);_-@_-"/>
    </dxf>
    <dxf>
      <numFmt numFmtId="177" formatCode="_(0.0%_);\(0.0%\);_(0.0%_);_-@_-"/>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7" formatCode="_(0.0%_);\(0.0%\);_(0.0%_);_-@_-"/>
    </dxf>
    <dxf>
      <fill>
        <patternFill>
          <bgColor rgb="FFFF6699"/>
        </patternFill>
      </fill>
    </dxf>
    <dxf>
      <font>
        <b/>
        <i val="0"/>
        <color theme="7" tint="-0.499969989061356"/>
      </font>
      <fill>
        <patternFill>
          <bgColor rgb="FFD9E1C1"/>
        </patternFill>
      </fill>
    </dxf>
    <dxf>
      <numFmt numFmtId="178" formatCode="\ _(* #,##0.0_);_(* \(#,##0.0\);_(0.0_);_-@_-"/>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ill>
        <patternFill>
          <bgColor rgb="FFFF6699"/>
        </patternFill>
      </fill>
    </dxf>
    <dxf>
      <numFmt numFmtId="22" formatCode="mmm\-yy"/>
    </dxf>
    <dxf>
      <numFmt numFmtId="177" formatCode="_(0.0%_);\(0.0%\);_(0.0%_);_-@_-"/>
    </dxf>
    <dxf>
      <numFmt numFmtId="178" formatCode="\ _(* #,##0.0_);_(* \(#,##0.0\);_(0.0_);_-@_-"/>
    </dxf>
    <dxf>
      <font>
        <b/>
        <i val="0"/>
        <color theme="7" tint="-0.499969989061356"/>
      </font>
      <fill>
        <patternFill>
          <bgColor rgb="FFD9E1C1"/>
        </patternFill>
      </fill>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fill>
        <patternFill>
          <bgColor theme="9" tint="0.799979984760284"/>
        </patternFill>
      </fill>
      <border>
        <left style="thin">
          <color theme="9"/>
        </left>
        <right style="thin">
          <color theme="9"/>
        </right>
        <top style="thin">
          <color theme="9"/>
        </top>
        <bottom style="thin">
          <color theme="9"/>
        </bottom>
      </border>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22" formatCode="mmm\-yy"/>
    </dxf>
    <dxf>
      <font>
        <b/>
        <i val="0"/>
        <color theme="3"/>
      </font>
      <fill>
        <patternFill>
          <bgColor theme="6"/>
        </patternFill>
      </fill>
    </dxf>
    <dxf>
      <fill>
        <patternFill>
          <bgColor rgb="FFFF6699"/>
        </patternFill>
      </fill>
    </dxf>
    <dxf>
      <font>
        <b/>
        <i val="0"/>
        <color theme="7" tint="-0.499969989061356"/>
      </font>
      <fill>
        <patternFill>
          <bgColor rgb="FFD9E1C1"/>
        </patternFill>
      </fill>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font>
        <b/>
        <i val="0"/>
        <color theme="7" tint="-0.499969989061356"/>
      </font>
      <fill>
        <patternFill>
          <bgColor rgb="FFD9E1C1"/>
        </patternFill>
      </fill>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font>
        <b/>
        <i val="0"/>
        <color theme="7" tint="-0.499969989061356"/>
      </font>
      <fill>
        <patternFill>
          <bgColor rgb="FFD9E1C1"/>
        </patternFill>
      </fill>
    </dxf>
    <dxf>
      <numFmt numFmtId="177" formatCode="_(0.0%_);\(0.0%\);_(0.0%_);_-@_-"/>
    </dxf>
    <dxf>
      <numFmt numFmtId="22" formatCode="mmm\-yy"/>
    </dxf>
    <dxf>
      <font>
        <b/>
        <i val="0"/>
        <color theme="3"/>
      </font>
      <fill>
        <patternFill>
          <bgColor theme="6"/>
        </patternFill>
      </fill>
    </dxf>
    <dxf>
      <numFmt numFmtId="178" formatCode="\ _(* #,##0.0_);_(* \(#,##0.0\);_(0.0_);_-@_-"/>
    </dxf>
    <dxf>
      <numFmt numFmtId="178" formatCode="\ _(* #,##0.0_);_(* \(#,##0.0\);_(0.0_);_-@_-"/>
    </dxf>
    <dxf>
      <numFmt numFmtId="179" formatCode="_(#,##0.0_);\(#,##0.0\);_(0.0_);_-@_-"/>
    </dxf>
    <dxf>
      <numFmt numFmtId="177" formatCode="_(0.0%_);\(0.0%\);_(0.0%_);_-@_-"/>
    </dxf>
    <dxf>
      <font>
        <b/>
        <i val="0"/>
        <color theme="7" tint="-0.499969989061356"/>
      </font>
      <fill>
        <patternFill>
          <bgColor rgb="FFD9E1C1"/>
        </patternFill>
      </fill>
    </dxf>
    <dxf>
      <numFmt numFmtId="22" formatCode="mmm\-yy"/>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ont>
        <b/>
        <i val="0"/>
        <color theme="3"/>
      </font>
      <fill>
        <patternFill>
          <bgColor theme="6"/>
        </patternFill>
      </fill>
    </dxf>
    <dxf>
      <font>
        <b/>
        <i val="0"/>
        <color theme="3"/>
      </font>
      <fill>
        <patternFill>
          <bgColor theme="6"/>
        </patternFill>
      </fill>
    </dxf>
    <dxf>
      <numFmt numFmtId="22" formatCode="mmm\-yy"/>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8" formatCode="\ _(* #,##0.0_);_(* \(#,##0.0\);_(0.0_);_-@_-"/>
    </dxf>
    <dxf>
      <font>
        <b/>
        <i val="0"/>
        <color theme="3"/>
      </font>
      <fill>
        <patternFill>
          <bgColor theme="6"/>
        </patternFill>
      </fill>
    </dxf>
    <dxf>
      <numFmt numFmtId="178" formatCode="\ _(* #,##0.0_);_(* \(#,##0.0\);_(0.0_);_-@_-"/>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numFmt numFmtId="22" formatCode="mmm\-yy"/>
    </dxf>
    <dxf>
      <fill>
        <patternFill>
          <bgColor rgb="FFFF6699"/>
        </patternFill>
      </fill>
    </dxf>
    <dxf>
      <font>
        <b/>
        <i val="0"/>
        <color theme="7" tint="-0.499969989061356"/>
      </font>
      <fill>
        <patternFill>
          <bgColor rgb="FFD9E1C1"/>
        </patternFill>
      </fill>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22" formatCode="mmm\-yy"/>
    </dxf>
    <dxf>
      <numFmt numFmtId="177" formatCode="_(0.0%_);\(0.0%\);_(0.0%_);_-@_-"/>
    </dxf>
    <dxf>
      <font>
        <b/>
        <i val="0"/>
        <color theme="7" tint="-0.499969989061356"/>
      </font>
      <fill>
        <patternFill>
          <bgColor rgb="FFD9E1C1"/>
        </patternFill>
      </fill>
    </dxf>
    <dxf>
      <numFmt numFmtId="178" formatCode="\ _(* #,##0.0_);_(* \(#,##0.0\);_(0.0_);_-@_-"/>
    </dxf>
    <dxf>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numFmt numFmtId="22" formatCode="mmm\-yy"/>
    </dxf>
    <dxf>
      <font>
        <b/>
        <i val="0"/>
        <color theme="3"/>
      </font>
      <fill>
        <patternFill>
          <bgColor theme="6"/>
        </patternFill>
      </fill>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ont>
        <b/>
        <i val="0"/>
        <color theme="7" tint="-0.499969989061356"/>
      </font>
      <fill>
        <patternFill>
          <bgColor rgb="FFD9E1C1"/>
        </patternFill>
      </fill>
    </dxf>
    <dxf>
      <font>
        <b/>
        <i val="0"/>
        <color theme="7" tint="-0.499969989061356"/>
      </font>
      <fill>
        <patternFill>
          <bgColor rgb="FFD9E1C1"/>
        </patternFill>
      </fill>
    </dxf>
    <dxf>
      <font>
        <b/>
        <i val="0"/>
        <color theme="7" tint="-0.499969989061356"/>
      </font>
      <fill>
        <patternFill>
          <bgColor rgb="FFD9E1C1"/>
        </patternFill>
      </fill>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ont>
        <b/>
        <i val="0"/>
        <color theme="7" tint="-0.499969989061356"/>
      </font>
      <fill>
        <patternFill>
          <bgColor rgb="FFD9E1C1"/>
        </patternFill>
      </fill>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22" formatCode="mmm\-yy"/>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22" formatCode="mmm\-yy"/>
    </dxf>
    <dxf>
      <numFmt numFmtId="177" formatCode="_(0.0%_);\(0.0%\);_(0.0%_);_-@_-"/>
    </dxf>
    <dxf>
      <numFmt numFmtId="22" formatCode="mmm\-yy"/>
    </dxf>
    <dxf>
      <numFmt numFmtId="177" formatCode="_(0.0%_);\(0.0%\);_(0.0%_);_-@_-"/>
    </dxf>
    <dxf>
      <numFmt numFmtId="178" formatCode="\ _(* #,##0.0_);_(* \(#,##0.0\);_(0.0_);_-@_-"/>
    </dxf>
    <dxf>
      <numFmt numFmtId="178" formatCode="\ _(* #,##0.0_);_(* \(#,##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22" formatCode="mmm\-yy"/>
    </dxf>
    <dxf>
      <numFmt numFmtId="178" formatCode="\ _(* #,##0.0_);_(* \(#,##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22" formatCode="mmm\-yy"/>
    </dxf>
    <dxf>
      <numFmt numFmtId="178" formatCode="\ _(* #,##0.0_);_(* \(#,##0.0\);_(0.0_);_-@_-"/>
    </dxf>
    <dxf>
      <numFmt numFmtId="178" formatCode="\ _(* #,##0.0_);_(* \(#,##0.0\);_(0.0_);_-@_-"/>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8" formatCode="\ _(* #,##0.0_);_(* \(#,##0.0\);_(0.0_);_-@_-"/>
    </dxf>
    <dxf>
      <numFmt numFmtId="177" formatCode="_(0.0%_);\(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22" formatCode="mmm\-yy"/>
    </dxf>
    <dxf>
      <numFmt numFmtId="178" formatCode="\ _(* #,##0.0_);_(* \(#,##0.0\);_(0.0_);_-@_-"/>
    </dxf>
    <dxf>
      <numFmt numFmtId="177" formatCode="_(0.0%_);\(0.0%\);_(0.0%_);_-@_-"/>
    </dxf>
    <dxf>
      <numFmt numFmtId="177" formatCode="_(0.0%_);\(0.0%\);_(0.0%_);_-@_-"/>
    </dxf>
    <dxf>
      <numFmt numFmtId="22" formatCode="mmm\-yy"/>
    </dxf>
    <dxf>
      <numFmt numFmtId="177" formatCode="_(0.0%_);\(0.0%\);_(0.0%_);_-@_-"/>
    </dxf>
    <dxf>
      <numFmt numFmtId="178" formatCode="\ _(* #,##0.0_);_(* \(#,##0.0\);_(0.0_);_-@_-"/>
    </dxf>
    <dxf>
      <numFmt numFmtId="178" formatCode="\ _(* #,##0.0_);_(* \(#,##0.0\);_(0.0_);_-@_-"/>
    </dxf>
    <dxf>
      <numFmt numFmtId="22" formatCode="mmm\-yy"/>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7" formatCode="_(0.0%_);\(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7" formatCode="_(0.0%_);\(0.0%\);_(0.0%_);_-@_-"/>
    </dxf>
    <dxf>
      <numFmt numFmtId="22" formatCode="mmm\-yy"/>
    </dxf>
    <dxf>
      <numFmt numFmtId="178" formatCode="\ _(* #,##0.0_);_(* \(#,##0.0\);_(0.0_);_-@_-"/>
    </dxf>
    <dxf>
      <numFmt numFmtId="178" formatCode="\ _(* #,##0.0_);_(* \(#,##0.0\);_(0.0_);_-@_-"/>
    </dxf>
    <dxf>
      <numFmt numFmtId="22" formatCode="mmm\-yy"/>
    </dxf>
    <dxf>
      <numFmt numFmtId="177" formatCode="_(0.0%_);\(0.0%\);_(0.0%_);_-@_-"/>
    </dxf>
    <dxf>
      <numFmt numFmtId="177" formatCode="_(0.0%_);\(0.0%\);_(0.0%_);_-@_-"/>
    </dxf>
    <dxf>
      <numFmt numFmtId="22" formatCode="mmm\-yy"/>
    </dxf>
    <dxf>
      <numFmt numFmtId="178" formatCode="\ _(* #,##0.0_);_(* \(#,##0.0\);_(0.0_);_-@_-"/>
    </dxf>
    <dxf>
      <numFmt numFmtId="178" formatCode="\ _(* #,##0.0_);_(* \(#,##0.0\);_(0.0_);_-@_-"/>
    </dxf>
    <dxf>
      <numFmt numFmtId="177" formatCode="_(0.0%_);\(0.0%\);_(0.0%_);_-@_-"/>
    </dxf>
    <dxf>
      <numFmt numFmtId="178" formatCode="\ _(* #,##0.0_);_(* \(#,##0.0\);_(0.0_);_-@_-"/>
    </dxf>
    <dxf>
      <numFmt numFmtId="178" formatCode="\ _(* #,##0.0_);_(* \(#,##0.0\);_(0.0_);_-@_-"/>
    </dxf>
    <dxf>
      <numFmt numFmtId="22" formatCode="mmm\-yy"/>
    </dxf>
    <dxf>
      <numFmt numFmtId="177" formatCode="_(0.0%_);\(0.0%\);_(0.0%_);_-@_-"/>
    </dxf>
    <dxf>
      <numFmt numFmtId="22" formatCode="mmm\-yy"/>
    </dxf>
    <dxf>
      <numFmt numFmtId="22" formatCode="mmm\-yy"/>
    </dxf>
    <dxf>
      <numFmt numFmtId="178" formatCode="\ _(* #,##0.0_);_(* \(#,##0.0\);_(0.0_);_-@_-"/>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177" formatCode="_(0.0%_);\(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22" formatCode="mmm\-yy"/>
    </dxf>
    <dxf>
      <numFmt numFmtId="22" formatCode="mmm\-yy"/>
    </dxf>
    <dxf>
      <numFmt numFmtId="178" formatCode="\ _(* #,##0.0_);_(* \(#,##0.0\);_(0.0_);_-@_-"/>
    </dxf>
    <dxf>
      <numFmt numFmtId="178" formatCode="\ _(* #,##0.0_);_(* \(#,##0.0\);_(0.0_);_-@_-"/>
    </dxf>
    <dxf>
      <numFmt numFmtId="177" formatCode="_(0.0%_);\(0.0%\);_(0.0%_);_-@_-"/>
    </dxf>
    <dxf>
      <numFmt numFmtId="22" formatCode="mmm\-yy"/>
    </dxf>
    <dxf>
      <numFmt numFmtId="177" formatCode="_(0.0%_);\(0.0%\);_(0.0%_);_-@_-"/>
    </dxf>
    <dxf>
      <numFmt numFmtId="178" formatCode="\ _(* #,##0.0_);_(* \(#,##0.0\);_(0.0_);_-@_-"/>
    </dxf>
    <dxf>
      <numFmt numFmtId="177" formatCode="_(0.0%_);\(0.0%\);_(0.0%_);_-@_-"/>
    </dxf>
    <dxf>
      <numFmt numFmtId="177" formatCode="_(0.0%_);\(0.0%\);_(0.0%_);_-@_-"/>
    </dxf>
    <dxf>
      <numFmt numFmtId="178" formatCode="\ _(* #,##0.0_);_(* \(#,##0.0\);_(0.0_);_-@_-"/>
    </dxf>
    <dxf>
      <numFmt numFmtId="22" formatCode="mmm\-yy"/>
    </dxf>
    <dxf>
      <numFmt numFmtId="22" formatCode="mmm\-yy"/>
    </dxf>
    <dxf>
      <numFmt numFmtId="22" formatCode="mmm\-yy"/>
    </dxf>
    <dxf>
      <numFmt numFmtId="178" formatCode="\ _(* #,##0.0_);_(* \(#,##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22" formatCode="mmm\-yy"/>
    </dxf>
    <dxf>
      <numFmt numFmtId="177" formatCode="_(0.0%_);\(0.0%\);_(0.0%_);_-@_-"/>
    </dxf>
    <dxf>
      <fill>
        <patternFill>
          <bgColor rgb="FFFF6699"/>
        </patternFill>
      </fill>
    </dxf>
    <dxf>
      <fill>
        <patternFill>
          <bgColor rgb="FFFF6699"/>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ont>
        <b/>
        <i val="0"/>
        <color theme="7" tint="-0.499969989061356"/>
      </font>
      <fill>
        <patternFill>
          <bgColor rgb="FFD9E1C1"/>
        </patternFill>
      </fill>
    </dxf>
    <dxf>
      <font>
        <b/>
        <i val="0"/>
        <color theme="7" tint="-0.499969989061356"/>
      </font>
      <fill>
        <patternFill>
          <bgColor rgb="FFD9E1C1"/>
        </patternFill>
      </fill>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font>
        <b/>
        <i val="0"/>
        <color theme="7" tint="-0.499969989061356"/>
      </font>
      <fill>
        <patternFill>
          <bgColor rgb="FFD9E1C1"/>
        </patternFill>
      </fill>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numFmt numFmtId="177" formatCode="_(0.0%_);\(0.0%\);_(0.0%_);_-@_-"/>
    </dxf>
    <dxf>
      <font>
        <b/>
        <i val="0"/>
        <color theme="3"/>
      </font>
      <fill>
        <patternFill>
          <bgColor theme="6"/>
        </patternFill>
      </fill>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ill>
        <patternFill>
          <bgColor rgb="FFFF6699"/>
        </patternFill>
      </fill>
    </dxf>
    <dxf>
      <numFmt numFmtId="177" formatCode="_(0.0%_);\(0.0%\);_(0.0%_);_-@_-"/>
    </dxf>
    <dxf>
      <fill>
        <patternFill>
          <bgColor rgb="FFFF6699"/>
        </patternFill>
      </fill>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ont>
        <b/>
        <i val="0"/>
        <color theme="7" tint="-0.499969989061356"/>
      </font>
      <fill>
        <patternFill>
          <bgColor rgb="FFD9E1C1"/>
        </patternFill>
      </fill>
    </dxf>
    <dxf>
      <numFmt numFmtId="177" formatCode="_(0.0%_);\(0.0%\);_(0.0%_);_-@_-"/>
    </dxf>
    <dxf>
      <numFmt numFmtId="22" formatCode="mmm\-yy"/>
    </dxf>
    <dxf>
      <numFmt numFmtId="178" formatCode="\ _(* #,##0.0_);_(* \(#,##0.0\);_(0.0_);_-@_-"/>
    </dxf>
    <dxf>
      <fill>
        <patternFill>
          <bgColor rgb="FFFF6699"/>
        </patternFill>
      </fill>
    </dxf>
    <dxf>
      <numFmt numFmtId="177" formatCode="_(0.0%_);\(0.0%\);_(0.0%_);_-@_-"/>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ont>
        <b/>
        <i val="0"/>
        <color theme="3"/>
      </font>
      <fill>
        <patternFill>
          <bgColor theme="6"/>
        </patternFill>
      </fill>
    </dxf>
    <dxf>
      <fill>
        <patternFill>
          <bgColor rgb="FFFF6699"/>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7" tint="-0.499969989061356"/>
      </font>
      <fill>
        <patternFill>
          <bgColor rgb="FFD9E1C1"/>
        </patternFill>
      </fill>
    </dxf>
    <dxf>
      <numFmt numFmtId="177" formatCode="_(0.0%_);\(0.0%\);_(0.0%_);_-@_-"/>
    </dxf>
    <dxf>
      <font>
        <b/>
        <i val="0"/>
        <color theme="7" tint="-0.499969989061356"/>
      </font>
      <fill>
        <patternFill>
          <bgColor rgb="FFD9E1C1"/>
        </patternFill>
      </fill>
    </dxf>
    <dxf>
      <font>
        <b/>
        <i val="0"/>
        <color theme="7" tint="-0.499969989061356"/>
      </font>
      <fill>
        <patternFill>
          <bgColor rgb="FFD9E1C1"/>
        </patternFill>
      </fill>
    </dxf>
    <dxf>
      <font>
        <b/>
        <i val="0"/>
        <color theme="7" tint="-0.499969989061356"/>
      </font>
      <fill>
        <patternFill>
          <bgColor rgb="FFD9E1C1"/>
        </patternFill>
      </fill>
    </dxf>
    <dxf>
      <numFmt numFmtId="177" formatCode="_(0.0%_);\(0.0%\);_(0.0%_);_-@_-"/>
    </dxf>
    <dxf>
      <numFmt numFmtId="22" formatCode="mmm\-yy"/>
    </dxf>
    <dxf>
      <numFmt numFmtId="22" formatCode="mmm\-yy"/>
    </dxf>
    <dxf>
      <numFmt numFmtId="177" formatCode="_(0.0%_);\(0.0%\);_(0.0%_);_-@_-"/>
    </dxf>
    <dxf>
      <numFmt numFmtId="22" formatCode="mmm\-yy"/>
    </dxf>
    <dxf>
      <numFmt numFmtId="178" formatCode="\ _(* #,##0.0_);_(* \(#,##0.0\);_(0.0_);_-@_-"/>
    </dxf>
    <dxf>
      <numFmt numFmtId="178" formatCode="\ _(* #,##0.0_);_(* \(#,##0.0\);_(0.0_);_-@_-"/>
    </dxf>
    <dxf>
      <numFmt numFmtId="177" formatCode="_(0.0%_);\(0.0%\);_(0.0%_);_-@_-"/>
    </dxf>
    <dxf>
      <numFmt numFmtId="177" formatCode="_(0.0%_);\(0.0%\);_(0.0%_);_-@_-"/>
    </dxf>
    <dxf>
      <numFmt numFmtId="178" formatCode="\ _(* #,##0.0_);_(* \(#,##0.0\);_(0.0_);_-@_-"/>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22" formatCode="mmm\-yy"/>
    </dxf>
    <dxf>
      <numFmt numFmtId="177" formatCode="_(0.0%_);\(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177" formatCode="_(0.0%_);\(0.0%\);_(0.0%_);_-@_-"/>
    </dxf>
    <dxf>
      <numFmt numFmtId="22" formatCode="mmm\-yy"/>
    </dxf>
    <dxf>
      <numFmt numFmtId="178" formatCode="\ _(* #,##0.0_);_(* \(#,##0.0\);_(0.0_);_-@_-"/>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178" formatCode="\ _(* #,##0.0_);_(* \(#,##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22" formatCode="mmm\-yy"/>
    </dxf>
    <dxf>
      <numFmt numFmtId="22" formatCode="mmm\-yy"/>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22" formatCode="mmm\-yy"/>
    </dxf>
    <dxf>
      <numFmt numFmtId="178" formatCode="\ _(* #,##0.0_);_(* \(#,##0.0\);_(0.0_);_-@_-"/>
    </dxf>
    <dxf>
      <numFmt numFmtId="178" formatCode="\ _(* #,##0.0_);_(* \(#,##0.0\);_(0.0_);_-@_-"/>
    </dxf>
    <dxf>
      <numFmt numFmtId="22" formatCode="mmm\-yy"/>
    </dxf>
    <dxf>
      <numFmt numFmtId="177" formatCode="_(0.0%_);\(0.0%\);_(0.0%_);_-@_-"/>
    </dxf>
    <dxf>
      <numFmt numFmtId="177" formatCode="_(0.0%_);\(0.0%\);_(0.0%_);_-@_-"/>
    </dxf>
    <dxf>
      <numFmt numFmtId="22" formatCode="mmm\-yy"/>
    </dxf>
    <dxf>
      <numFmt numFmtId="178" formatCode="\ _(* #,##0.0_);_(* \(#,##0.0\);_(0.0_);_-@_-"/>
    </dxf>
    <dxf>
      <numFmt numFmtId="178" formatCode="\ _(* #,##0.0_);_(* \(#,##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177" formatCode="_(0.0%_);\(0.0%\);_(0.0%_);_-@_-"/>
    </dxf>
    <dxf>
      <numFmt numFmtId="178" formatCode="\ _(* #,##0.0_);_(* \(#,##0.0\);_(0.0_);_-@_-"/>
    </dxf>
    <dxf>
      <numFmt numFmtId="22" formatCode="mmm\-yy"/>
    </dxf>
    <dxf>
      <numFmt numFmtId="22" formatCode="mmm\-yy"/>
    </dxf>
    <dxf>
      <numFmt numFmtId="22" formatCode="mmm\-yy"/>
    </dxf>
    <dxf>
      <numFmt numFmtId="178" formatCode="\ _(* #,##0.0_);_(* \(#,##0.0\);_(0.0_);_-@_-"/>
    </dxf>
    <dxf>
      <numFmt numFmtId="177" formatCode="_(0.0%_);\(0.0%\);_(0.0%_);_-@_-"/>
    </dxf>
    <dxf>
      <numFmt numFmtId="178" formatCode="\ _(* #,##0.0_);_(* \(#,##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8" formatCode="\ _(* #,##0.0_);_(* \(#,##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8" formatCode="\ _(* #,##0.0_);_(* \(#,##0.0\);_(0.0_);_-@_-"/>
    </dxf>
    <dxf>
      <numFmt numFmtId="22" formatCode="mmm\-yy"/>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177" formatCode="_(0.0%_);\(0.0%\);_(0.0%_);_-@_-"/>
    </dxf>
    <dxf>
      <numFmt numFmtId="22" formatCode="mmm\-yy"/>
    </dxf>
    <dxf>
      <numFmt numFmtId="22" formatCode="mmm\-yy"/>
    </dxf>
    <dxf>
      <numFmt numFmtId="177" formatCode="_(0.0%_);\(0.0%\);_(0.0%_);_-@_-"/>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22" formatCode="mmm\-yy"/>
    </dxf>
    <dxf>
      <numFmt numFmtId="177" formatCode="_(0.0%_);\(0.0%\);_(0.0%_);_-@_-"/>
    </dxf>
    <dxf>
      <numFmt numFmtId="22" formatCode="mmm\-yy"/>
    </dxf>
    <dxf>
      <numFmt numFmtId="178" formatCode="\ _(* #,##0.0_);_(* \(#,##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22" formatCode="mmm\-yy"/>
    </dxf>
    <dxf>
      <numFmt numFmtId="177" formatCode="_(0.0%_);\(0.0%\);_(0.0%_);_-@_-"/>
    </dxf>
    <dxf>
      <numFmt numFmtId="178" formatCode="\ _(* #,##0.0_);_(* \(#,##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22" formatCode="mmm\-yy"/>
    </dxf>
    <dxf>
      <numFmt numFmtId="177" formatCode="_(0.0%_);\(0.0%\);_(0.0%_);_-@_-"/>
    </dxf>
    <dxf>
      <numFmt numFmtId="178" formatCode="\ _(* #,##0.0_);_(* \(#,##0.0\);_(0.0_);_-@_-"/>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8" formatCode="\ _(* #,##0.0_);_(* \(#,##0.0\);_(0.0_);_-@_-"/>
    </dxf>
    <dxf>
      <numFmt numFmtId="178" formatCode="\ _(* #,##0.0_);_(* \(#,##0.0\);_(0.0_);_-@_-"/>
    </dxf>
    <dxf>
      <numFmt numFmtId="177" formatCode="_(0.0%_);\(0.0%\);_(0.0%_);_-@_-"/>
    </dxf>
    <dxf>
      <numFmt numFmtId="22" formatCode="mmm\-yy"/>
    </dxf>
    <dxf>
      <numFmt numFmtId="177" formatCode="_(0.0%_);\(0.0%\);_(0.0%_);_-@_-"/>
    </dxf>
    <dxf>
      <numFmt numFmtId="22" formatCode="mmm\-yy"/>
    </dxf>
    <dxf>
      <numFmt numFmtId="22" formatCode="mmm\-yy"/>
    </dxf>
    <dxf>
      <numFmt numFmtId="178" formatCode="\ _(* #,##0.0_);_(* \(#,##0.0\);_(0.0_);_-@_-"/>
    </dxf>
    <dxf>
      <numFmt numFmtId="178" formatCode="\ _(* #,##0.0_);_(* \(#,##0.0\);_(0.0_);_-@_-"/>
    </dxf>
    <dxf>
      <numFmt numFmtId="22" formatCode="mmm\-yy"/>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22" formatCode="mmm\-yy"/>
    </dxf>
    <dxf>
      <numFmt numFmtId="178" formatCode="\ _(* #,##0.0_);_(* \(#,##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22" formatCode="mmm\-yy"/>
    </dxf>
    <dxf>
      <numFmt numFmtId="177" formatCode="_(0.0%_);\(0.0%\);_(0.0%_);_-@_-"/>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178" formatCode="\ _(* #,##0.0_);_(* \(#,##0.0\);_(0.0_);_-@_-"/>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177" formatCode="_(0.0%_);\(0.0%\);_(0.0%_);_-@_-"/>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178" formatCode="\ _(* #,##0.0_);_(* \(#,##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22" formatCode="mmm\-yy"/>
    </dxf>
    <dxf>
      <numFmt numFmtId="178" formatCode="\ _(* #,##0.0_);_(* \(#,##0.0\);_(0.0_);_-@_-"/>
    </dxf>
    <dxf>
      <numFmt numFmtId="177" formatCode="_(0.0%_);\(0.0%\);_(0.0%_);_-@_-"/>
    </dxf>
    <dxf>
      <fill>
        <patternFill>
          <bgColor theme="6"/>
        </patternFill>
      </fill>
    </dxf>
    <dxf>
      <numFmt numFmtId="178" formatCode="\ _(* #,##0.0_);_(* \(#,##0.0\);_(0.0_);_-@_-"/>
    </dxf>
    <dxf>
      <numFmt numFmtId="177" formatCode="_(0.0%_);\(0.0%\);_(0.0%_);_-@_-"/>
    </dxf>
    <dxf>
      <numFmt numFmtId="22" formatCode="mmm\-yy"/>
    </dxf>
    <dxf>
      <numFmt numFmtId="178" formatCode="\ _(* #,##0.0_);_(* \(#,##0.0\);_(0.0_);_-@_-"/>
    </dxf>
    <dxf>
      <numFmt numFmtId="177" formatCode="_(0.0%_);\(0.0%\);_(0.0%_);_-@_-"/>
    </dxf>
    <dxf>
      <fill>
        <patternFill>
          <bgColor theme="6"/>
        </patternFill>
      </fill>
    </dxf>
    <dxf>
      <numFmt numFmtId="178" formatCode="\ _(* #,##0.0_);_(* \(#,##0.0\);_(0.0_);_-@_-"/>
    </dxf>
    <dxf>
      <numFmt numFmtId="177" formatCode="_(0.0%_);\(0.0%\);_(0.0%_);_-@_-"/>
    </dxf>
    <dxf>
      <numFmt numFmtId="22" formatCode="mmm\-yy"/>
    </dxf>
    <dxf>
      <numFmt numFmtId="177" formatCode="_(0.0%_);\(0.0%\);_(0.0%_);_-@_-"/>
    </dxf>
    <dxf>
      <numFmt numFmtId="178" formatCode="\ _(* #,##0.0_);_(* \(#,##0.0\);_(0.0_);_-@_-"/>
    </dxf>
    <dxf>
      <fill>
        <patternFill>
          <bgColor theme="6"/>
        </patternFill>
      </fill>
    </dxf>
    <dxf>
      <numFmt numFmtId="178" formatCode="\ _(* #,##0.0_);_(* \(#,##0.0\);_(0.0_);_-@_-"/>
    </dxf>
    <dxf>
      <numFmt numFmtId="177" formatCode="_(0.0%_);\(0.0%\);_(0.0%_);_-@_-"/>
    </dxf>
    <dxf>
      <numFmt numFmtId="178" formatCode="\ _(* #,##0.0_);_(* \(#,##0.0\);_(0.0_);_-@_-"/>
    </dxf>
    <dxf>
      <numFmt numFmtId="177" formatCode="_(0.0%_);\(0.0%\);_(0.0%_);_-@_-"/>
    </dxf>
    <dxf>
      <numFmt numFmtId="22" formatCode="mmm\-yy"/>
    </dxf>
    <dxf>
      <fill>
        <patternFill>
          <bgColor theme="6"/>
        </patternFill>
      </fill>
    </dxf>
    <dxf>
      <numFmt numFmtId="178" formatCode="\ _(* #,##0.0_);_(* \(#,##0.0\);_(0.0_);_-@_-"/>
    </dxf>
    <dxf>
      <numFmt numFmtId="177" formatCode="_(0.0%_);\(0.0%\);_(0.0%_);_-@_-"/>
    </dxf>
    <dxf>
      <numFmt numFmtId="177" formatCode="_(0.0%_);\(0.0%\);_(0.0%_);_-@_-"/>
    </dxf>
    <dxf>
      <numFmt numFmtId="178" formatCode="\ _(* #,##0.0_);_(* \(#,##0.0\);_(0.0_);_-@_-"/>
    </dxf>
    <dxf>
      <numFmt numFmtId="22" formatCode="mmm\-yy"/>
    </dxf>
    <dxf>
      <fill>
        <patternFill>
          <bgColor theme="6"/>
        </patternFill>
      </fill>
    </dxf>
    <dxf>
      <numFmt numFmtId="177" formatCode="_(0.0%_);\(0.0%\);_(0.0%_);_-@_-"/>
    </dxf>
    <dxf>
      <numFmt numFmtId="178" formatCode="\ _(* #,##0.0_);_(* \(#,##0.0\);_(0.0_);_-@_-"/>
    </dxf>
    <dxf>
      <numFmt numFmtId="178" formatCode="\ _(* #,##0.0_);_(* \(#,##0.0\);_(0.0_);_-@_-"/>
    </dxf>
    <dxf>
      <numFmt numFmtId="177" formatCode="_(0.0%_);\(0.0%\);_(0.0%_);_-@_-"/>
    </dxf>
    <dxf>
      <numFmt numFmtId="22" formatCode="mmm\-yy"/>
    </dxf>
    <dxf>
      <fill>
        <patternFill>
          <bgColor theme="6"/>
        </patternFill>
      </fill>
    </dxf>
    <dxf>
      <numFmt numFmtId="178" formatCode="\ _(* #,##0.0_);_(* \(#,##0.0\);_(0.0_);_-@_-"/>
    </dxf>
    <dxf>
      <numFmt numFmtId="177" formatCode="_(0.0%_);\(0.0%\);_(0.0%_);_-@_-"/>
    </dxf>
    <dxf>
      <numFmt numFmtId="178" formatCode="\ _(* #,##0.0_);_(* \(#,##0.0\);_(0.0_);_-@_-"/>
    </dxf>
    <dxf>
      <numFmt numFmtId="177" formatCode="_(0.0%_);\(0.0%\);_(0.0%_);_-@_-"/>
    </dxf>
    <dxf>
      <numFmt numFmtId="22" formatCode="mmm\-yy"/>
    </dxf>
    <dxf>
      <fill>
        <patternFill>
          <bgColor theme="6"/>
        </patternFill>
      </fill>
    </dxf>
    <dxf>
      <numFmt numFmtId="178" formatCode="\ _(* #,##0.0_);_(* \(#,##0.0\);_(0.0_);_-@_-"/>
    </dxf>
    <dxf>
      <numFmt numFmtId="177" formatCode="_(0.0%_);\(0.0%\);_(0.0%_);_-@_-"/>
    </dxf>
    <dxf>
      <numFmt numFmtId="22" formatCode="mmm\-yy"/>
    </dxf>
    <dxf>
      <numFmt numFmtId="177" formatCode="_(0.0%_);\(0.0%\);_(0.0%_);_-@_-"/>
    </dxf>
    <dxf>
      <numFmt numFmtId="178" formatCode="\ _(* #,##0.0_);_(* \(#,##0.0\);_(0.0_);_-@_-"/>
    </dxf>
    <dxf>
      <fill>
        <patternFill>
          <bgColor theme="6"/>
        </patternFill>
      </fill>
    </dxf>
    <dxf>
      <numFmt numFmtId="178" formatCode="\ _(* #,##0.0_);_(* \(#,##0.0\);_(0.0_);_-@_-"/>
    </dxf>
    <dxf>
      <numFmt numFmtId="177" formatCode="_(0.0%_);\(0.0%\);_(0.0%_);_-@_-"/>
    </dxf>
    <dxf>
      <numFmt numFmtId="22" formatCode="mmm\-yy"/>
    </dxf>
    <dxf>
      <fill>
        <patternFill>
          <bgColor theme="6"/>
        </patternFill>
      </fill>
    </dxf>
    <dxf>
      <numFmt numFmtId="177" formatCode="_(0.0%_);\(0.0%\);_(0.0%_);_-@_-"/>
    </dxf>
    <dxf>
      <numFmt numFmtId="22" formatCode="mmm\-yy"/>
    </dxf>
    <dxf>
      <numFmt numFmtId="178" formatCode="\ _(* #,##0.0_);_(* \(#,##0.0\);_(0.0_);_-@_-"/>
    </dxf>
    <dxf>
      <numFmt numFmtId="178" formatCode="\ _(* #,##0.0_);_(* \(#,##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177" formatCode="_(0.0%_);\(0.0%\);_(0.0%_);_-@_-"/>
    </dxf>
    <dxf>
      <numFmt numFmtId="22" formatCode="mmm\-yy"/>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22" formatCode="mmm\-yy"/>
    </dxf>
    <dxf>
      <numFmt numFmtId="178" formatCode="\ _(* #,##0.0_);_(* \(#,##0.0\);_(0.0_);_-@_-"/>
    </dxf>
    <dxf>
      <numFmt numFmtId="178" formatCode="\ _(* #,##0.0_);_(* \(#,##0.0\);_(0.0_);_-@_-"/>
    </dxf>
    <dxf>
      <numFmt numFmtId="22" formatCode="mmm\-yy"/>
    </dxf>
    <dxf>
      <numFmt numFmtId="177" formatCode="_(0.0%_);\(0.0%\);_(0.0%_);_-@_-"/>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178" formatCode="\ _(* #,##0.0_);_(* \(#,##0.0\);_(0.0_);_-@_-"/>
    </dxf>
    <dxf>
      <numFmt numFmtId="22" formatCode="mmm\-yy"/>
    </dxf>
    <dxf>
      <numFmt numFmtId="178" formatCode="\ _(* #,##0.0_);_(* \(#,##0.0\);_(0.0_);_-@_-"/>
    </dxf>
    <dxf>
      <numFmt numFmtId="177" formatCode="_(0.0%_);\(0.0%\);_(0.0%_);_-@_-"/>
    </dxf>
    <dxf>
      <numFmt numFmtId="177" formatCode="_(0.0%_);\(0.0%\);_(0.0%_);_-@_-"/>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numFmt numFmtId="178" formatCode="\ _(* #,##0.0_);_(* \(#,##0.0\);_(0.0_);_-@_-"/>
    </dxf>
    <dxf>
      <numFmt numFmtId="177" formatCode="_(0.0%_);\(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8" formatCode="\ _(* #,##0.0_);_(* \(#,##0.0\);_(0.0_);_-@_-"/>
    </dxf>
    <dxf>
      <numFmt numFmtId="177" formatCode="_(0.0%_);\(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ont>
        <b/>
        <i val="0"/>
        <color theme="3"/>
      </font>
      <fill>
        <patternFill>
          <bgColor theme="6"/>
        </patternFill>
      </fill>
    </dxf>
    <dxf>
      <numFmt numFmtId="177" formatCode="_(0.0%_);\(0.0%\);_(0.0%_);_-@_-"/>
    </dxf>
    <dxf>
      <numFmt numFmtId="178" formatCode="\ _(* #,##0.0_);_(* \(#,##0.0\);_(0.0_);_-@_-"/>
    </dxf>
    <dxf>
      <numFmt numFmtId="22" formatCode="mmm\-yy"/>
    </dxf>
    <dxf>
      <numFmt numFmtId="178" formatCode="\ _(* #,##0.0_);_(* \(#,##0.0\);_(0.0_);_-@_-"/>
    </dxf>
    <dxf>
      <numFmt numFmtId="177" formatCode="_(0.0%_);\(0.0%\);_(0.0%_);_-@_-"/>
    </dxf>
    <dxf>
      <fill>
        <patternFill>
          <bgColor rgb="FFFF6699"/>
        </patternFill>
      </fill>
    </dxf>
    <dxf>
      <numFmt numFmtId="177" formatCode="_(0.0%_);\(0.0%\);_(0.0%_);_-@_-"/>
    </dxf>
    <dxf>
      <numFmt numFmtId="22" formatCode="mmm\-yy"/>
    </dxf>
    <dxf>
      <numFmt numFmtId="22" formatCode="mmm\-yy"/>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177" formatCode="_(0.0%_);\(0.0%\);_(0.0%_);_-@_-"/>
    </dxf>
    <dxf>
      <numFmt numFmtId="22" formatCode="mmm\-yy"/>
    </dxf>
    <dxf>
      <numFmt numFmtId="22" formatCode="mmm\-yy"/>
    </dxf>
    <dxf>
      <numFmt numFmtId="22" formatCode="mmm\-yy"/>
    </dxf>
    <dxf>
      <numFmt numFmtId="178" formatCode="\ _(* #,##0.0_);_(* \(#,##0.0\);_(0.0_);_-@_-"/>
    </dxf>
    <dxf>
      <numFmt numFmtId="22" formatCode="mmm\-yy"/>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22" formatCode="mmm\-yy"/>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178" formatCode="\ _(* #,##0.0_);_(* \(#,##0.0\);_(0.0_);_-@_-"/>
    </dxf>
    <dxf>
      <numFmt numFmtId="177" formatCode="_(0.0%_);\(0.0%\);_(0.0%_);_-@_-"/>
    </dxf>
    <dxf>
      <numFmt numFmtId="22" formatCode="mmm\-yy"/>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22" formatCode="mmm\-yy"/>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b/>
        <i val="0"/>
        <color theme="3"/>
      </font>
      <fill>
        <patternFill>
          <bgColor theme="5"/>
        </patternFill>
      </fill>
    </dxf>
    <dxf>
      <font>
        <b/>
        <i val="0"/>
        <color theme="0"/>
      </font>
      <fill>
        <patternFill>
          <bgColor theme="3"/>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numFmt numFmtId="177" formatCode="_(0.0%_);\(0.0%\);_(0.0%_);_-@_-"/>
    </dxf>
    <dxf>
      <numFmt numFmtId="178" formatCode="\ _(* #,##0.0_);_(* \(#,##0.0\);_(0.0_);_-@_-"/>
    </dxf>
    <dxf>
      <numFmt numFmtId="22" formatCode="mmm\-yy"/>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ill>
        <patternFill>
          <bgColor theme="6"/>
        </patternFill>
      </fill>
    </dxf>
    <dxf>
      <numFmt numFmtId="177" formatCode="_(0.0%_);\(0.0%\);_(0.0%_);_-@_-"/>
    </dxf>
    <dxf>
      <numFmt numFmtId="22" formatCode="mmm\-yy"/>
    </dxf>
    <dxf>
      <fill>
        <patternFill>
          <bgColor theme="6"/>
        </patternFill>
      </fill>
    </dxf>
    <dxf>
      <fill>
        <patternFill>
          <bgColor theme="6"/>
        </patternFill>
      </fill>
    </dxf>
    <dxf>
      <fill>
        <patternFill>
          <bgColor theme="6"/>
        </patternFill>
      </fill>
    </dxf>
    <dxf>
      <numFmt numFmtId="178" formatCode="\ _(* #,##0.0_);_(* \(#,##0.0\);_(0.0_);_-@_-"/>
    </dxf>
    <dxf>
      <numFmt numFmtId="177" formatCode="_(0.0%_);\(0.0%\);_(0.0%_);_-@_-"/>
    </dxf>
    <dxf>
      <numFmt numFmtId="22" formatCode="mmm\-yy"/>
    </dxf>
    <dxf>
      <font>
        <b/>
        <i val="0"/>
        <color theme="0"/>
      </font>
      <fill>
        <patternFill>
          <bgColor theme="3"/>
        </patternFill>
      </fill>
    </dxf>
    <dxf>
      <numFmt numFmtId="178" formatCode="\ _(* #,##0.0_);_(* \(#,##0.0\);_(0.0_);_-@_-"/>
    </dxf>
    <dxf>
      <numFmt numFmtId="177" formatCode="_(0.0%_);\(0.0%\);_(0.0%_);_-@_-"/>
    </dxf>
    <dxf>
      <font>
        <b/>
        <i val="0"/>
        <color theme="3"/>
      </font>
      <fill>
        <patternFill>
          <bgColor theme="5"/>
        </patternFill>
      </fill>
    </dxf>
    <dxf>
      <font>
        <b/>
        <i val="0"/>
        <color theme="0"/>
      </font>
      <fill>
        <patternFill>
          <bgColor theme="3"/>
        </patternFill>
      </fill>
    </dxf>
    <dxf>
      <numFmt numFmtId="179" formatCode="_(#,##0.0_);\(#,##0.0\);_(0.0_);_-@_-"/>
    </dxf>
    <dxf>
      <numFmt numFmtId="177" formatCode="_(0.0%_);\(0.0%\);_(0.0%_);_-@_-"/>
    </dxf>
    <dxf>
      <font>
        <b/>
        <i val="0"/>
        <color theme="3"/>
      </font>
      <fill>
        <patternFill>
          <bgColor theme="6"/>
        </patternFill>
      </fill>
    </dxf>
    <dxf>
      <numFmt numFmtId="22" formatCode="mmm\-yy"/>
    </dxf>
    <dxf>
      <numFmt numFmtId="179" formatCode="_(#,##0.0_);\(#,##0.0\);_(0.0_);_-@_-"/>
    </dxf>
    <dxf>
      <font>
        <b/>
        <i val="0"/>
        <color theme="3"/>
      </font>
      <fill>
        <patternFill>
          <bgColor theme="6"/>
        </patternFill>
      </fill>
    </dxf>
    <dxf>
      <font>
        <b/>
        <i val="0"/>
        <color theme="3"/>
      </font>
      <fill>
        <patternFill>
          <bgColor theme="5"/>
        </patternFill>
      </fill>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ill>
        <patternFill>
          <bgColor rgb="FFFF6699"/>
        </patternFill>
      </fill>
    </dxf>
    <dxf>
      <numFmt numFmtId="22" formatCode="mmm\-yy"/>
    </dxf>
    <dxf>
      <numFmt numFmtId="177" formatCode="_(0.0%_);\(0.0%\);_(0.0%_);_-@_-"/>
    </dxf>
    <dxf>
      <numFmt numFmtId="179"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numFmt numFmtId="179" formatCode="_(#,##0.0_);\(#,##0.0\);_(0.0_);_-@_-"/>
    </dxf>
    <dxf>
      <font>
        <b/>
        <i val="0"/>
        <color theme="3"/>
      </font>
      <fill>
        <patternFill>
          <bgColor theme="6"/>
        </patternFill>
      </fill>
    </dxf>
    <dxf>
      <font>
        <b/>
        <i val="0"/>
        <color theme="3"/>
      </font>
      <fill>
        <patternFill>
          <bgColor theme="6"/>
        </patternFill>
      </fill>
    </dxf>
    <dxf>
      <numFmt numFmtId="179" formatCode="_(#,##0.0_);\(#,##0.0\);_(0.0_);_-@_-"/>
    </dxf>
    <dxf>
      <numFmt numFmtId="177" formatCode="_(0.0%_);\(0.0%\);_(0.0%_);_-@_-"/>
    </dxf>
    <dxf>
      <fill>
        <patternFill>
          <bgColor rgb="FFFF6699"/>
        </patternFill>
      </fill>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numFmt numFmtId="179" formatCode="_(#,##0.0_);\(#,##0.0\);_(0.0_);_-@_-"/>
    </dxf>
    <dxf>
      <font>
        <b/>
        <i val="0"/>
        <color theme="3"/>
      </font>
      <fill>
        <patternFill>
          <bgColor theme="6"/>
        </patternFill>
      </fill>
    </dxf>
    <dxf>
      <fill>
        <patternFill>
          <bgColor rgb="FFFF7C80"/>
        </patternFill>
      </fill>
    </dxf>
    <dxf>
      <fill>
        <patternFill>
          <bgColor rgb="FFFF6699"/>
        </patternFill>
      </fill>
    </dxf>
    <dxf>
      <fill>
        <patternFill>
          <bgColor theme="9" tint="0.799979984760284"/>
        </patternFill>
      </fill>
      <border>
        <left style="thin">
          <color theme="9"/>
        </left>
        <right style="thin">
          <color theme="9"/>
        </right>
        <top style="thin">
          <color theme="9"/>
        </top>
        <bottom style="thin">
          <color theme="9"/>
        </bottom>
      </border>
    </dxf>
    <dxf>
      <numFmt numFmtId="22" formatCode="mmm\-yy"/>
    </dxf>
    <dxf>
      <font>
        <b/>
        <i val="0"/>
        <color theme="0"/>
      </font>
      <fill>
        <patternFill>
          <bgColor theme="3"/>
        </patternFill>
      </fill>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numFmt numFmtId="179" formatCode="_(#,##0.0_);\(#,##0.0\);_(0.0_);_-@_-"/>
    </dxf>
    <dxf>
      <numFmt numFmtId="177" formatCode="_(0.0%_);\(0.0%\);_(0.0%_);_-@_-"/>
    </dxf>
    <dxf>
      <numFmt numFmtId="22" formatCode="mmm\-yy"/>
    </dxf>
    <dxf>
      <fill>
        <patternFill>
          <bgColor rgb="FFFF6699"/>
        </patternFill>
      </fill>
    </dxf>
    <dxf>
      <fill>
        <patternFill>
          <bgColor rgb="FFFF6699"/>
        </patternFill>
      </fill>
    </dxf>
    <dxf>
      <numFmt numFmtId="22" formatCode="mmm\-yy"/>
    </dxf>
    <dxf>
      <numFmt numFmtId="177" formatCode="_(0.0%_);\(0.0%\);_(0.0%_);_-@_-"/>
    </dxf>
    <dxf>
      <numFmt numFmtId="179" formatCode="_(#,##0.0_);\(#,##0.0\);_(0.0_);_-@_-"/>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fill>
        <patternFill>
          <bgColor rgb="FFCBE9D4"/>
        </patternFill>
      </fill>
    </dxf>
    <dxf>
      <font>
        <b/>
        <i val="0"/>
        <color theme="3"/>
      </font>
      <fill>
        <patternFill>
          <bgColor theme="6"/>
        </patternFill>
      </fill>
    </dxf>
    <dxf>
      <fill>
        <patternFill>
          <bgColor rgb="FFFF6699"/>
        </patternFill>
      </fill>
    </dxf>
    <dxf>
      <fill>
        <patternFill>
          <bgColor theme="6"/>
        </patternFill>
      </fill>
    </dxf>
    <dxf>
      <fill>
        <patternFill>
          <bgColor rgb="FFFF6699"/>
        </patternFill>
      </fill>
    </dxf>
    <dxf>
      <fill>
        <patternFill>
          <bgColor rgb="FFFF6699"/>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ont>
        <b/>
        <i val="0"/>
        <color theme="3"/>
      </font>
      <fill>
        <patternFill>
          <bgColor theme="6"/>
        </patternFill>
      </fill>
    </dxf>
    <dxf>
      <fill>
        <patternFill>
          <bgColor theme="6"/>
        </patternFill>
      </fill>
    </dxf>
    <dxf>
      <font>
        <b/>
        <i val="0"/>
        <color theme="3"/>
      </font>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6699"/>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ont>
        <b/>
        <i val="0"/>
        <color theme="3"/>
      </font>
      <fill>
        <patternFill>
          <bgColor theme="6"/>
        </patternFill>
      </fill>
    </dxf>
    <dxf>
      <fill>
        <patternFill>
          <bgColor rgb="FFFF6699"/>
        </patternFill>
      </fill>
    </dxf>
    <dxf>
      <fill>
        <patternFill>
          <bgColor rgb="FFFF7C80"/>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7C80"/>
        </patternFill>
      </fill>
    </dxf>
    <dxf>
      <fill>
        <patternFill>
          <bgColor theme="6"/>
        </patternFill>
      </fill>
    </dxf>
    <dxf>
      <border>
        <top style="thin">
          <color theme="0" tint="-0.249939993023872"/>
        </top>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rder>
    </dxf>
    <dxf>
      <border>
        <top style="thin">
          <color theme="0" tint="-0.249939993023872"/>
        </top>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numFmt numFmtId="180" formatCode="_(0.0%_);[Red]\(0.0%\);_-??_-;_-@_-"/>
    </dxf>
    <dxf>
      <numFmt numFmtId="181" formatCode="* _(#,##0.0_)_%\ ;\(#,##0.0\)_%\ ;\ _(&quot;-&quot;??_);* @_ _ _ "/>
    </dxf>
    <dxf>
      <font>
        <b/>
        <i val="0"/>
        <color theme="3"/>
      </font>
      <fill>
        <patternFill>
          <bgColor theme="6"/>
        </patternFill>
      </fill>
    </dxf>
    <dxf>
      <numFmt numFmtId="22" formatCode="mmm\-yy"/>
    </dxf>
    <dxf>
      <font>
        <b/>
        <i val="0"/>
        <color theme="7" tint="-0.499969989061356"/>
      </font>
      <fill>
        <patternFill>
          <bgColor rgb="FFD1DCC6"/>
        </patternFill>
      </fill>
    </dxf>
    <dxf>
      <font>
        <b/>
        <i val="0"/>
        <color theme="7" tint="-0.499969989061356"/>
      </font>
      <fill>
        <patternFill>
          <bgColor rgb="FFD1DCC6"/>
        </patternFill>
      </fill>
    </dxf>
    <dxf>
      <numFmt numFmtId="22" formatCode="mmm\-yy"/>
    </dxf>
    <dxf>
      <numFmt numFmtId="180" formatCode="_(0.0%_);[Red]\(0.0%\);_-??_-;_-@_-"/>
    </dxf>
    <dxf>
      <numFmt numFmtId="181" formatCode="* _(#,##0.0_)_%\ ;\(#,##0.0\)_%\ ;\ _(&quot;-&quot;??_);* @_ _ _ "/>
    </dxf>
    <dxf>
      <font>
        <b/>
        <i val="0"/>
        <color theme="3"/>
      </font>
      <fill>
        <patternFill>
          <bgColor theme="6"/>
        </patternFill>
      </fill>
    </dxf>
    <dxf>
      <font>
        <b/>
        <i val="0"/>
        <color theme="7" tint="-0.499969989061356"/>
      </font>
      <fill>
        <patternFill>
          <bgColor rgb="FFD9E1C1"/>
        </patternFill>
      </fill>
    </dxf>
    <dxf>
      <fill>
        <patternFill>
          <bgColor rgb="FFFF7C80"/>
        </patternFill>
      </fill>
    </dxf>
    <dxf>
      <font>
        <color theme="0"/>
      </font>
      <fill>
        <patternFill>
          <bgColor theme="3"/>
        </patternFill>
      </fill>
    </dxf>
    <dxf>
      <numFmt numFmtId="181" formatCode="* _(#,##0.0_)_%\ ;\(#,##0.0\)_%\ ;\ _(&quot;-&quot;??_);* @_ _ _ "/>
    </dxf>
    <dxf>
      <font>
        <b/>
        <i val="0"/>
        <color theme="3"/>
      </font>
      <fill>
        <patternFill>
          <bgColor theme="6"/>
        </patternFill>
      </fill>
    </dxf>
    <dxf>
      <numFmt numFmtId="180" formatCode="_(0.0%_);[Red]\(0.0%\);_-??_-;_-@_-"/>
    </dxf>
    <dxf>
      <font>
        <b/>
        <i val="0"/>
        <color theme="7" tint="-0.499969989061356"/>
      </font>
      <fill>
        <patternFill>
          <bgColor rgb="FFD1DCC6"/>
        </patternFill>
      </fill>
    </dxf>
    <dxf>
      <numFmt numFmtId="22" formatCode="mmm\-yy"/>
    </dxf>
    <dxf>
      <font>
        <b/>
        <i val="0"/>
        <color theme="3"/>
      </font>
      <fill>
        <patternFill>
          <bgColor theme="6"/>
        </patternFill>
      </fill>
    </dxf>
    <dxf>
      <numFmt numFmtId="181" formatCode="* _(#,##0.0_)_%\ ;\(#,##0.0\)_%\ ;\ _(&quot;-&quot;??_);* @_ _ _ "/>
    </dxf>
    <dxf>
      <numFmt numFmtId="180" formatCode="_(0.0%_);[Red]\(0.0%\);_-??_-;_-@_-"/>
    </dxf>
    <dxf>
      <fill>
        <patternFill>
          <bgColor rgb="FFFF7C80"/>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7" tint="-0.499969989061356"/>
      </font>
      <fill>
        <patternFill>
          <bgColor rgb="FFD9E1C1"/>
        </patternFill>
      </fill>
    </dxf>
    <dxf>
      <numFmt numFmtId="177" formatCode="_(0.0%_);\(0.0%\);_(0.0%_);_-@_-"/>
    </dxf>
    <dxf>
      <numFmt numFmtId="182" formatCode="* _(#,##0.0_);* \(#,##0.0\);* _(0.0_);_-@_-"/>
    </dxf>
    <dxf>
      <numFmt numFmtId="22" formatCode="mmm\-yy"/>
    </dxf>
    <dxf>
      <font>
        <b/>
        <i val="0"/>
        <color theme="3"/>
      </font>
      <fill>
        <patternFill>
          <bgColor theme="6"/>
        </patternFill>
      </fill>
    </dxf>
    <dxf>
      <numFmt numFmtId="22" formatCode="mmm\-yy"/>
    </dxf>
    <dxf>
      <font>
        <b/>
        <i val="0"/>
        <color theme="7" tint="-0.499969989061356"/>
      </font>
      <fill>
        <patternFill>
          <bgColor rgb="FFD1DCC6"/>
        </patternFill>
      </fill>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22" formatCode="mmm\-yy"/>
    </dxf>
    <dxf>
      <font>
        <b/>
        <i val="0"/>
        <color theme="3"/>
      </font>
      <fill>
        <patternFill>
          <bgColor theme="6"/>
        </patternFill>
      </fill>
    </dxf>
    <dxf>
      <numFmt numFmtId="178" formatCode="\ _(* #,##0.0_);_(* \(#,##0.0\);_(0.0_);_-@_-"/>
    </dxf>
    <dxf>
      <numFmt numFmtId="22" formatCode="mmm\-yy"/>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177" formatCode="_(0.0%_);\(0.0%\);_(0.0%_);_-@_-"/>
    </dxf>
    <dxf>
      <fill>
        <patternFill>
          <bgColor theme="9" tint="0.799979984760284"/>
        </patternFill>
      </fill>
      <border>
        <left style="thin">
          <color rgb="FFFFC000"/>
        </left>
        <right style="thin">
          <color rgb="FFFFC000"/>
        </right>
        <top style="thin">
          <color rgb="FFFFC000"/>
        </top>
        <bottom style="thin">
          <color rgb="FFFFC000"/>
        </bottom>
      </border>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7" formatCode="_(0.0%_);\(0.0%\);_(0.0%_);_-@_-"/>
    </dxf>
    <dxf>
      <numFmt numFmtId="178" formatCode="\ _(* #,##0.0_);_(* \(#,##0.0\);_(0.0_);_-@_-"/>
    </dxf>
    <dxf>
      <numFmt numFmtId="22" formatCode="mmm\-yy"/>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8" formatCode="\ _(* #,##0.0_);_(* \(#,##0.0\);_(0.0_);_-@_-"/>
    </dxf>
    <dxf>
      <font>
        <b/>
        <i val="0"/>
        <color theme="3"/>
      </font>
      <fill>
        <patternFill>
          <bgColor theme="6"/>
        </patternFill>
      </fill>
    </dxf>
    <dxf>
      <font>
        <color theme="0"/>
      </font>
      <fill>
        <patternFill>
          <bgColor theme="3"/>
        </patternFill>
      </fill>
    </dxf>
    <dxf>
      <font>
        <color rgb="FF9C0006"/>
      </font>
      <fill>
        <patternFill>
          <bgColor rgb="FFFFC7CE"/>
        </patternFill>
      </fill>
    </dxf>
    <dxf>
      <fill>
        <patternFill>
          <bgColor rgb="FFFF9999"/>
        </patternFill>
      </fill>
    </dxf>
    <dxf>
      <fill>
        <patternFill>
          <bgColor rgb="FFFF9999"/>
        </patternFill>
      </fill>
    </dxf>
    <dxf>
      <numFmt numFmtId="178" formatCode="\ _(* #,##0.0_);_(* \(#,##0.0\);_(0.0_);_-@_-"/>
    </dxf>
    <dxf>
      <numFmt numFmtId="177" formatCode="_(0.0%_);\(0.0%\);_(0.0%_);_-@_-"/>
    </dxf>
    <dxf>
      <numFmt numFmtId="22" formatCode="mmm\-yy"/>
    </dxf>
    <dxf>
      <fill>
        <patternFill>
          <bgColor theme="9" tint="0.799979984760284"/>
        </patternFill>
      </fill>
      <border>
        <left style="thin">
          <color rgb="FFFFC000"/>
        </left>
        <right style="thin">
          <color rgb="FFFFC000"/>
        </right>
        <top style="thin">
          <color rgb="FFFFC000"/>
        </top>
        <bottom style="thin">
          <color rgb="FFFFC000"/>
        </bottom>
      </border>
    </dxf>
    <dxf>
      <numFmt numFmtId="177" formatCode="_(0.0%_);\(0.0%\);_(0.0%_);_-@_-"/>
    </dxf>
    <dxf>
      <fill>
        <patternFill>
          <bgColor theme="9" tint="0.799979984760284"/>
        </patternFill>
      </fill>
      <border>
        <left style="thin">
          <color rgb="FFFFC000"/>
        </left>
        <right style="thin">
          <color rgb="FFFFC000"/>
        </right>
        <top style="thin">
          <color rgb="FFFFC000"/>
        </top>
        <bottom style="thin">
          <color rgb="FFFFC000"/>
        </bottom>
      </border>
    </dxf>
    <dxf>
      <numFmt numFmtId="178" formatCode="\ _(* #,##0.0_);_(* \(#,##0.0\);_(0.0_);_-@_-"/>
    </dxf>
    <dxf>
      <numFmt numFmtId="22" formatCode="mmm\-yy"/>
    </dxf>
    <dxf>
      <numFmt numFmtId="180" formatCode="_(0.0%_);[Red]\(0.0%\);_-??_-;_-@_-"/>
    </dxf>
    <dxf>
      <font>
        <b/>
        <i val="0"/>
        <color theme="3"/>
      </font>
      <fill>
        <patternFill>
          <bgColor theme="6"/>
        </patternFill>
      </fill>
    </dxf>
    <dxf>
      <numFmt numFmtId="181" formatCode="* _(#,##0.0_)_%\ ;\(#,##0.0\)_%\ ;\ _(&quot;-&quot;??_);* @_ _ _ "/>
    </dxf>
    <dxf>
      <numFmt numFmtId="180" formatCode="_(0.0%_);[Red]\(0.0%\);_-??_-;_-@_-"/>
    </dxf>
    <dxf>
      <numFmt numFmtId="22" formatCode="mmm\-yy"/>
    </dxf>
    <dxf>
      <font>
        <b/>
        <i val="0"/>
        <color theme="3"/>
      </font>
      <fill>
        <patternFill>
          <bgColor theme="6"/>
        </patternFill>
      </fill>
    </dxf>
    <dxf>
      <numFmt numFmtId="22" formatCode="mmm\-yy"/>
    </dxf>
    <dxf>
      <numFmt numFmtId="181" formatCode="* _(#,##0.0_)_%\ ;\(#,##0.0\)_%\ ;\ _(&quot;-&quot;??_);* @_ _ _ "/>
    </dxf>
    <dxf>
      <font>
        <color theme="0"/>
      </font>
      <fill>
        <patternFill>
          <bgColor theme="3"/>
        </patternFill>
      </fill>
    </dxf>
    <dxf>
      <font>
        <b val="0"/>
        <i val="0"/>
        <color theme="4"/>
      </font>
      <fill>
        <patternFill>
          <bgColor theme="6"/>
        </patternFill>
      </fill>
    </dxf>
    <dxf>
      <numFmt numFmtId="183" formatCode="_(* #,##0.0_)_%;_(* \(#,##0.0\)_%;_-??_-;_-@_-"/>
    </dxf>
    <dxf>
      <numFmt numFmtId="22" formatCode="mmm\-yy"/>
    </dxf>
    <dxf>
      <numFmt numFmtId="180" formatCode="_(0.0%_);[Red]\(0.0%\);_-??_-;_-@_-"/>
    </dxf>
    <dxf>
      <numFmt numFmtId="177" formatCode="_(0.0%_);\(0.0%\);_(0.0%_);_-@_-"/>
    </dxf>
    <dxf>
      <numFmt numFmtId="22" formatCode="mmm\-yy"/>
    </dxf>
    <dxf>
      <font>
        <b/>
        <i val="0"/>
        <color theme="3"/>
      </font>
      <fill>
        <patternFill>
          <bgColor theme="6"/>
        </patternFill>
      </fill>
    </dxf>
    <dxf>
      <numFmt numFmtId="182" formatCode="* _(#,##0.0_);* \(#,##0.0\);* _(0.0_);_-@_-"/>
    </dxf>
    <dxf>
      <numFmt numFmtId="22" formatCode="mmm\-yy"/>
    </dxf>
    <dxf>
      <numFmt numFmtId="180" formatCode="_(0.0%_);[Red]\(0.0%\);_-??_-;_-@_-"/>
    </dxf>
    <dxf>
      <numFmt numFmtId="181" formatCode="* _(#,##0.0_)_%\ ;\(#,##0.0\)_%\ ;\ _(&quot;-&quot;??_);* @_ _ _ "/>
    </dxf>
    <dxf>
      <font>
        <b/>
        <i val="0"/>
        <color theme="3"/>
      </font>
      <fill>
        <patternFill>
          <bgColor theme="6"/>
        </patternFill>
      </fill>
    </dxf>
    <dxf>
      <numFmt numFmtId="177" formatCode="_(0.0%_);\(0.0%\);_(0.0%_);_-@_-"/>
    </dxf>
    <dxf>
      <numFmt numFmtId="182" formatCode="* _(#,##0.0_);* \(#,##0.0\);* _(0.0_);_-@_-"/>
    </dxf>
    <dxf>
      <numFmt numFmtId="22" formatCode="mmm\-yy"/>
    </dxf>
    <dxf>
      <font>
        <b/>
        <i val="0"/>
        <color theme="0"/>
      </font>
      <fill>
        <patternFill>
          <bgColor theme="3"/>
        </patternFill>
      </fill>
    </dxf>
    <dxf>
      <font>
        <b/>
        <i val="0"/>
        <color theme="3"/>
      </font>
      <fill>
        <patternFill>
          <bgColor theme="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3"/>
      </font>
      <fill>
        <patternFill>
          <bgColor theme="6"/>
        </patternFill>
      </fill>
    </dxf>
    <dxf>
      <font>
        <b/>
        <i val="0"/>
        <color theme="3"/>
      </font>
      <fill>
        <patternFill>
          <bgColor theme="6"/>
        </patternFill>
      </fill>
    </dxf>
    <dxf>
      <font>
        <color rgb="FF9C0006"/>
      </font>
      <fill>
        <patternFill>
          <bgColor rgb="FFFFC7CE"/>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color rgb="FF9C0006"/>
      </font>
      <fill>
        <patternFill>
          <bgColor rgb="FFFFC7CE"/>
        </patternFill>
      </fill>
    </dxf>
    <dxf>
      <font>
        <color rgb="FF9C0006"/>
      </font>
      <fill>
        <patternFill>
          <bgColor rgb="FFFFC7CE"/>
        </patternFill>
      </fill>
    </dxf>
    <dxf>
      <fill>
        <patternFill>
          <bgColor rgb="FFFF6699"/>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color rgb="FF9C0006"/>
      </font>
      <fill>
        <patternFill>
          <bgColor rgb="FFFFC7CE"/>
        </patternFill>
      </fill>
    </dxf>
    <dxf>
      <font>
        <b/>
        <i val="0"/>
        <color theme="3"/>
      </font>
      <fill>
        <patternFill>
          <bgColor theme="6"/>
        </patternFill>
      </fill>
    </dxf>
    <dxf>
      <fill>
        <patternFill>
          <bgColor rgb="FFFF9999"/>
        </patternFill>
      </fill>
    </dxf>
    <dxf>
      <fill>
        <patternFill>
          <bgColor rgb="FFFF9999"/>
        </patternFill>
      </fill>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rgb="FF9C0006"/>
      </font>
      <fill>
        <patternFill>
          <bgColor rgb="FFFFC7CE"/>
        </patternFill>
      </fill>
    </dxf>
    <dxf>
      <font>
        <color rgb="FF006100"/>
      </font>
      <fill>
        <patternFill>
          <bgColor rgb="FFC6EFCE"/>
        </patternFill>
      </fill>
    </dxf>
    <dxf>
      <font>
        <color theme="0" tint="-0.249939993023872"/>
      </font>
    </dxf>
    <dxf>
      <font>
        <color theme="0" tint="-0.249939993023872"/>
      </font>
    </dxf>
    <dxf>
      <font>
        <color theme="0" tint="-0.249939993023872"/>
      </font>
    </dxf>
    <dxf>
      <font>
        <color theme="0" tint="-0.249939993023872"/>
      </font>
    </dxf>
    <dxf>
      <font>
        <color theme="0" tint="-0.249939993023872"/>
      </font>
    </dxf>
    <dxf>
      <font>
        <color theme="0" tint="-0.249939993023872"/>
      </font>
    </dxf>
    <dxf>
      <font>
        <color theme="0" tint="-0.249939993023872"/>
      </font>
    </dxf>
    <dxf>
      <font>
        <color theme="0" tint="-0.249939993023872"/>
      </font>
    </dxf>
    <dxf>
      <font>
        <color theme="0"/>
      </font>
    </dxf>
    <dxf>
      <font>
        <color theme="0"/>
      </font>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b val="0"/>
        <i/>
        <color theme="1" tint="0.399949997663498"/>
      </font>
    </dxf>
    <dxf>
      <font>
        <b val="0"/>
        <i/>
        <color theme="1" tint="0.399949997663498"/>
      </font>
    </dxf>
    <dxf>
      <font>
        <b val="0"/>
        <i/>
        <color theme="1" tint="0.399949997663498"/>
      </font>
    </dxf>
    <dxf>
      <font>
        <b val="0"/>
        <i/>
        <color theme="1" tint="0.399949997663498"/>
      </font>
    </dxf>
    <dxf>
      <font>
        <b val="0"/>
        <i/>
        <color theme="1" tint="0.399949997663498"/>
      </font>
    </dxf>
    <dxf>
      <font>
        <b val="0"/>
        <i/>
        <color theme="1" tint="0.399949997663498"/>
      </font>
    </dxf>
    <dxf>
      <fill>
        <patternFill>
          <bgColor rgb="FFFF7C80"/>
        </patternFill>
      </fill>
    </dxf>
    <dxf>
      <fill>
        <patternFill>
          <bgColor rgb="FFFF7C80"/>
        </patternFill>
      </fill>
    </dxf>
    <dxf>
      <fill>
        <patternFill>
          <bgColor rgb="FFFF7C80"/>
        </patternFill>
      </fill>
    </dxf>
    <dxf>
      <font>
        <color theme="1" tint="0.399949997663498"/>
      </font>
      <fill>
        <patternFill patternType="lightUp">
          <fgColor theme="1"/>
        </patternFill>
      </fill>
    </dxf>
    <dxf>
      <font>
        <b val="0"/>
        <i/>
        <color theme="1" tint="0.399949997663498"/>
      </font>
    </dxf>
    <dxf>
      <font>
        <b val="0"/>
        <i/>
        <color theme="1" tint="0.399949997663498"/>
      </font>
    </dxf>
    <dxf>
      <font>
        <b val="0"/>
        <i/>
        <color theme="1" tint="0.399949997663498"/>
      </font>
    </dxf>
    <dxf>
      <font>
        <b val="0"/>
        <i/>
        <color theme="1" tint="0.399949997663498"/>
      </font>
    </dxf>
    <dxf>
      <font>
        <b val="0"/>
        <i/>
        <color theme="1" tint="0.399949997663498"/>
      </font>
    </dxf>
    <dxf>
      <font>
        <b val="0"/>
        <i/>
        <color theme="1" tint="0.399949997663498"/>
      </font>
    </dxf>
    <dxf>
      <font>
        <b val="0"/>
        <i/>
        <color theme="1" tint="0.399949997663498"/>
      </font>
    </dxf>
    <dxf>
      <font>
        <b val="0"/>
        <i/>
        <color theme="1" tint="0.399949997663498"/>
      </font>
    </dxf>
    <dxf>
      <font>
        <color rgb="FF0066FF"/>
      </font>
    </dxf>
    <dxf>
      <font>
        <color rgb="FF0066FF"/>
      </font>
    </dxf>
    <dxf>
      <font>
        <color rgb="FF0066FF"/>
      </font>
    </dxf>
    <dxf>
      <fill>
        <patternFill>
          <bgColor rgb="FFFF6699"/>
        </patternFill>
      </fill>
    </dxf>
    <dxf>
      <fill>
        <patternFill>
          <bgColor rgb="FFFF7C80"/>
        </patternFill>
      </fill>
    </dxf>
    <dxf>
      <fill>
        <patternFill>
          <bgColor rgb="FFFF7C80"/>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ill>
        <patternFill>
          <bgColor rgb="FFFF7C80"/>
        </patternFill>
      </fill>
    </dxf>
    <dxf>
      <fill>
        <patternFill>
          <bgColor rgb="FFFF6699"/>
        </patternFill>
      </fill>
    </dxf>
    <dxf>
      <fill>
        <patternFill>
          <bgColor rgb="FFFF6699"/>
        </patternFill>
      </fill>
    </dxf>
    <dxf>
      <font>
        <b/>
        <i val="0"/>
        <color theme="3"/>
      </font>
      <fill>
        <patternFill>
          <bgColor theme="6"/>
        </patternFill>
      </fill>
    </dxf>
    <dxf>
      <fill>
        <patternFill>
          <bgColor rgb="FFFF6699"/>
        </patternFill>
      </fill>
    </dxf>
    <dxf>
      <fill>
        <patternFill>
          <bgColor rgb="FFFF6699"/>
        </patternFill>
      </fill>
    </dxf>
    <dxf>
      <fill>
        <patternFill>
          <bgColor rgb="FFFF6699"/>
        </patternFill>
      </fill>
    </dxf>
    <dxf>
      <fill>
        <patternFill>
          <bgColor rgb="FFFF7C80"/>
        </patternFill>
      </fill>
    </dxf>
    <dxf>
      <fill>
        <patternFill>
          <bgColor rgb="FFFF7C80"/>
        </patternFill>
      </fill>
    </dxf>
    <dxf>
      <border>
        <bottom style="thin">
          <color theme="0" tint="-0.249939993023872"/>
        </bottom>
      </border>
    </dxf>
    <dxf>
      <border>
        <top style="thin">
          <color theme="0" tint="-0.249939993023872"/>
        </top>
      </border>
    </dxf>
    <dxf>
      <border>
        <top style="thin">
          <color theme="0" tint="-0.249939993023872"/>
        </top>
      </border>
    </dxf>
    <dxf>
      <border>
        <bottom style="thin">
          <color theme="0" tint="-0.249939993023872"/>
        </bottom>
      </border>
    </dxf>
    <dxf>
      <font>
        <color theme="0"/>
      </font>
      <numFmt numFmtId="184" formatCode="_(* #,##0_);_(* \(#,##0\);_-??_-;_-@_-"/>
      <fill>
        <patternFill>
          <bgColor theme="2" tint="-0.749949991703033"/>
        </patternFill>
      </fill>
    </dxf>
    <dxf>
      <font>
        <color theme="0"/>
      </font>
      <numFmt numFmtId="19" formatCode="dd/mm/yyyy"/>
      <fill>
        <patternFill>
          <bgColor theme="1" tint="-0.249939993023872"/>
        </patternFill>
      </fill>
    </dxf>
    <dxf>
      <font>
        <color theme="0"/>
      </font>
      <numFmt numFmtId="19" formatCode="dd/mm/yyyy"/>
      <fill>
        <patternFill>
          <bgColor theme="1" tint="-0.249939993023872"/>
        </patternFill>
      </fill>
    </dxf>
    <dxf>
      <font>
        <color theme="0"/>
      </font>
      <numFmt numFmtId="184" formatCode="_(* #,##0_);_(* \(#,##0\);_-??_-;_-@_-"/>
      <fill>
        <patternFill>
          <bgColor theme="2" tint="-0.749949991703033"/>
        </patternFill>
      </fill>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font>
        <b val="0"/>
        <i/>
        <strike/>
        <color theme="2" tint="-0.499969989061356"/>
      </font>
      <numFmt numFmtId="185" formatCode="mmm\ yyyy"/>
      <fill>
        <patternFill>
          <bgColor theme="0" tint="-0.0499799996614456"/>
        </patternFill>
      </fill>
    </dxf>
    <dxf>
      <fill>
        <patternFill>
          <bgColor rgb="FFFF9999"/>
        </patternFill>
      </fill>
    </dxf>
    <dxf>
      <font>
        <b val="0"/>
        <i/>
        <strike/>
        <color rgb="FF717171"/>
      </font>
      <numFmt numFmtId="185" formatCode="mmm\ yyyy"/>
      <fill>
        <patternFill>
          <bgColor rgb="FFF2F2F2"/>
        </patternFill>
      </fill>
    </dxf>
    <dxf>
      <font>
        <b val="0"/>
        <i/>
        <strike/>
        <color rgb="FF717171"/>
      </font>
      <numFmt numFmtId="185" formatCode="mmm\ yyyy"/>
      <fill>
        <patternFill>
          <bgColor rgb="FFF2F2F2"/>
        </patternFill>
      </fill>
    </dxf>
    <dxf>
      <font>
        <b val="0"/>
        <i/>
        <strike/>
        <color theme="2" tint="-0.499969989061356"/>
      </font>
      <numFmt numFmtId="186" formatCode="#,##0.0;\(#,##0.0\);0.0"/>
      <fill>
        <patternFill>
          <bgColor theme="0" tint="-0.0499799996614456"/>
        </patternFill>
      </fill>
    </dxf>
    <dxf>
      <font>
        <b val="0"/>
        <i/>
        <strike/>
        <color theme="2" tint="-0.499969989061356"/>
      </font>
      <numFmt numFmtId="185" formatCode="mmm\ yyyy"/>
      <fill>
        <patternFill>
          <bgColor theme="0" tint="-0.0499799996614456"/>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ont>
        <color theme="0"/>
      </font>
      <fill>
        <patternFill>
          <bgColor rgb="FF0070C0"/>
        </patternFill>
      </fill>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ill>
        <patternFill>
          <bgColor rgb="FFFF9999"/>
        </patternFill>
      </fill>
    </dxf>
    <dxf>
      <border>
        <top style="thin">
          <color theme="0" tint="-0.249939993023872"/>
        </top>
        <bottom/>
      </border>
    </dxf>
    <dxf>
      <border>
        <bottom style="thin">
          <color theme="0" tint="-0.249939993023872"/>
        </bottom>
      </border>
    </dxf>
    <dxf>
      <fill>
        <patternFill>
          <bgColor rgb="FFFF9999"/>
        </patternFill>
      </fill>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top style="thin">
          <color theme="0" tint="-0.249939993023872"/>
        </top>
        <bottom/>
      </border>
    </dxf>
    <dxf>
      <border>
        <bottom style="thin">
          <color theme="0" tint="-0.249939993023872"/>
        </bottom>
      </border>
    </dxf>
    <dxf>
      <fill>
        <patternFill>
          <bgColor rgb="FFFF9999"/>
        </patternFill>
      </fill>
    </dxf>
    <dxf>
      <fill>
        <patternFill>
          <bgColor rgb="FFFF9999"/>
        </patternFill>
      </fill>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ill>
        <patternFill>
          <bgColor rgb="FFFF9999"/>
        </patternFill>
      </fill>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top style="thin">
          <color theme="0" tint="-0.249939993023872"/>
        </top>
        <bottom/>
      </border>
    </dxf>
    <dxf>
      <border>
        <bottom style="thin">
          <color theme="0" tint="-0.249939993023872"/>
        </bottom>
      </border>
    </dxf>
    <dxf>
      <fill>
        <patternFill>
          <bgColor rgb="FFFF9999"/>
        </patternFill>
      </fill>
    </dxf>
    <dxf>
      <border>
        <bottom style="thin">
          <color theme="0" tint="-0.249939993023872"/>
        </bottom>
      </border>
    </dxf>
    <dxf>
      <border>
        <top style="thin">
          <color theme="0" tint="-0.249939993023872"/>
        </top>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top style="thin">
          <color theme="0" tint="-0.249939993023872"/>
        </top>
        <bottom/>
      </border>
    </dxf>
    <dxf>
      <border>
        <bottom style="thin">
          <color theme="0" tint="-0.249939993023872"/>
        </bottom>
      </border>
    </dxf>
    <dxf>
      <fill>
        <patternFill>
          <bgColor rgb="FFFF9999"/>
        </patternFill>
      </fill>
    </dxf>
    <dxf>
      <fill>
        <patternFill>
          <bgColor rgb="FFFF9999"/>
        </patternFill>
      </fill>
    </dxf>
    <dxf>
      <fill>
        <patternFill>
          <bgColor rgb="FFFF9999"/>
        </patternFill>
      </fill>
    </dxf>
    <dxf>
      <border>
        <bottom style="thin">
          <color theme="0" tint="-0.249939993023872"/>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ill>
        <patternFill>
          <bgColor rgb="FFFF9999"/>
        </patternFill>
      </fill>
    </dxf>
    <dxf>
      <border>
        <top style="thin">
          <color theme="0" tint="-0.249939993023872"/>
        </top>
        <bottom/>
      </border>
    </dxf>
    <dxf>
      <border>
        <bottom style="thin">
          <color theme="0" tint="-0.249939993023872"/>
        </bottom>
      </border>
    </dxf>
    <dxf>
      <fill>
        <patternFill>
          <bgColor rgb="FFFF9999"/>
        </patternFill>
      </fill>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fill>
        <patternFill>
          <bgColor rgb="FFFF9999"/>
        </patternFill>
      </fill>
    </dxf>
    <dxf>
      <border>
        <bottom style="thin">
          <color theme="0" tint="-0.249939993023872"/>
        </bottom>
      </border>
    </dxf>
    <dxf>
      <border>
        <top style="thin">
          <color theme="0" tint="-0.249939993023872"/>
        </top>
        <bottom/>
      </border>
    </dxf>
    <dxf>
      <border>
        <top style="thin">
          <color theme="0" tint="-0.249939993023872"/>
        </top>
        <bottom/>
      </border>
    </dxf>
    <dxf>
      <fill>
        <patternFill>
          <bgColor rgb="FFFF9999"/>
        </patternFill>
      </fill>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ill>
        <patternFill>
          <bgColor rgb="FFFF9999"/>
        </patternFill>
      </fill>
    </dxf>
    <dxf>
      <border>
        <bottom style="thin">
          <color theme="0" tint="-0.249939993023872"/>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top style="thin">
          <color theme="0" tint="-0.249939993023872"/>
        </top>
        <bottom/>
      </border>
    </dxf>
    <dxf>
      <fill>
        <patternFill>
          <bgColor rgb="FFFF9999"/>
        </patternFill>
      </fill>
    </dxf>
    <dxf>
      <fill>
        <patternFill>
          <bgColor rgb="FFFF9999"/>
        </patternFill>
      </fill>
    </dxf>
    <dxf>
      <border>
        <bottom style="thin">
          <color theme="0" tint="-0.249939993023872"/>
        </bottom>
      </border>
    </dxf>
    <dxf>
      <border>
        <top style="thin">
          <color theme="0" tint="-0.249939993023872"/>
        </top>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ill>
        <patternFill>
          <bgColor rgb="FFFF9999"/>
        </patternFill>
      </fill>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fill>
        <patternFill>
          <bgColor rgb="FFFF9999"/>
        </patternFill>
      </fill>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fill>
        <patternFill>
          <bgColor rgb="FFFF9999"/>
        </patternFill>
      </fill>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ill>
        <patternFill>
          <bgColor rgb="FFFF9999"/>
        </patternFill>
      </fill>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ill>
        <patternFill>
          <bgColor rgb="FFFF9999"/>
        </patternFill>
      </fill>
    </dxf>
    <dxf>
      <border>
        <bottom style="thin">
          <color theme="0" tint="-0.249939993023872"/>
        </bottom>
      </border>
    </dxf>
    <dxf>
      <border>
        <top style="thin">
          <color theme="0" tint="-0.249939993023872"/>
        </top>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numFmt numFmtId="22" formatCode="mmm\-yy"/>
    </dxf>
    <dxf>
      <numFmt numFmtId="187" formatCode="_(#,##0_);_(\(#,##0\);_(0_);_-@_-"/>
    </dxf>
    <dxf>
      <numFmt numFmtId="188" formatCode="_(#,##0.0_);_(\(#,##0.0\);_(0.0_);_-@_-"/>
    </dxf>
    <dxf>
      <numFmt numFmtId="177" formatCode="_(0.0%_);\(0.0%\);_(0.0%_);_-@_-"/>
    </dxf>
    <dxf>
      <numFmt numFmtId="189" formatCode="_(* #,##0.0\x_);* \(#,##0.0\x\);_(0.0\x_)"/>
    </dxf>
    <dxf>
      <numFmt numFmtId="190" formatCode="&quot;TRUE&quot;;;&quot;FALSE&quot;"/>
    </dxf>
    <dxf>
      <font>
        <b/>
        <i val="0"/>
        <color theme="0"/>
      </font>
      <fill>
        <patternFill>
          <bgColor theme="4"/>
        </patternFill>
      </fill>
    </dxf>
    <dxf>
      <fill>
        <patternFill>
          <bgColor theme="9" tint="0.799979984760284"/>
        </patternFill>
      </fill>
      <border>
        <left style="thin">
          <color rgb="FFFFC000"/>
        </left>
        <right style="thin">
          <color rgb="FFFFC000"/>
        </right>
        <top style="thin">
          <color rgb="FFFFC000"/>
        </top>
        <bottom style="thin">
          <color rgb="FFFFC000"/>
        </bottom>
      </border>
    </dxf>
    <dxf>
      <font>
        <b/>
        <i val="0"/>
        <color theme="3"/>
      </font>
      <fill>
        <patternFill>
          <bgColor theme="6"/>
        </patternFill>
      </fill>
    </dxf>
    <dxf>
      <font>
        <b/>
        <i val="0"/>
        <color theme="3"/>
      </font>
      <fill>
        <patternFill>
          <bgColor theme="6"/>
        </patternFill>
      </fill>
    </dxf>
    <dxf>
      <fill>
        <patternFill>
          <bgColor rgb="FFEAF2ED"/>
        </patternFill>
      </fill>
      <border>
        <top style="thin">
          <color rgb="FFA9CBB8"/>
        </top>
        <bottom style="thin">
          <color rgb="FFA9CBB8"/>
        </bottom>
      </border>
    </dxf>
    <dxf>
      <fill>
        <patternFill>
          <bgColor rgb="FFFF9999"/>
        </patternFill>
      </fill>
    </dxf>
    <dxf>
      <fill>
        <patternFill>
          <bgColor rgb="FFFF6699"/>
        </patternFill>
      </fill>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ill>
        <patternFill>
          <bgColor rgb="FFFF7C80"/>
        </patternFill>
      </fill>
    </dxf>
    <dxf>
      <font>
        <b/>
        <i val="0"/>
        <color theme="7" tint="-0.499969989061356"/>
      </font>
      <fill>
        <patternFill>
          <bgColor rgb="FFD9E1C1"/>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7" tint="-0.499969989061356"/>
      </font>
      <fill>
        <patternFill>
          <bgColor rgb="FFD9E1C1"/>
        </patternFill>
      </fill>
    </dxf>
    <dxf>
      <fill>
        <patternFill>
          <bgColor rgb="FFFF7C80"/>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7" tint="-0.499969989061356"/>
      </font>
      <fill>
        <patternFill>
          <bgColor rgb="FFD9E1C1"/>
        </patternFill>
      </fill>
    </dxf>
    <dxf>
      <font>
        <b/>
        <i val="0"/>
        <color theme="7" tint="-0.499969989061356"/>
      </font>
      <fill>
        <patternFill>
          <bgColor rgb="FFD9E1C1"/>
        </patternFill>
      </fill>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8" formatCode="\ _(* #,##0.0_);_(* \(#,##0.0\);_(0.0_);_-@_-"/>
    </dxf>
    <dxf>
      <numFmt numFmtId="177" formatCode="_(0.0%_);\(0.0%\);_(0.0%_);_-@_-"/>
    </dxf>
    <dxf>
      <fill>
        <patternFill>
          <bgColor theme="9" tint="0.799979984760284"/>
        </patternFill>
      </fill>
      <border>
        <left style="thin">
          <color rgb="FFFFC000"/>
        </left>
        <right style="thin">
          <color rgb="FFFFC000"/>
        </right>
        <top style="thin">
          <color rgb="FFFFC000"/>
        </top>
        <bottom style="thin">
          <color rgb="FFFFC000"/>
        </bottom>
      </border>
    </dxf>
    <dxf>
      <numFmt numFmtId="177" formatCode="_(0.0%_);\(0.0%\);_(0.0%_);_-@_-"/>
    </dxf>
    <dxf>
      <numFmt numFmtId="22" formatCode="mmm\-yy"/>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ont>
        <b/>
        <i val="0"/>
        <color theme="3"/>
      </font>
      <fill>
        <patternFill>
          <bgColor theme="6"/>
        </patternFill>
      </fill>
    </dxf>
    <dxf>
      <numFmt numFmtId="22" formatCode="mmm\-yy"/>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fill>
        <patternFill>
          <bgColor theme="9" tint="0.799979984760284"/>
        </patternFill>
      </fill>
      <border>
        <left style="thin">
          <color rgb="FFFFC000"/>
        </left>
        <right style="thin">
          <color rgb="FFFFC000"/>
        </right>
        <top style="thin">
          <color rgb="FFFFC000"/>
        </top>
        <bottom style="thin">
          <color rgb="FFFFC000"/>
        </bottom>
      </border>
    </dxf>
    <dxf>
      <font>
        <b/>
        <i val="0"/>
        <color theme="3"/>
      </font>
      <fill>
        <patternFill>
          <bgColor theme="6"/>
        </patternFill>
      </fill>
    </dxf>
    <dxf>
      <numFmt numFmtId="22" formatCode="mmm\-yy"/>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theme="9" tint="0.799979984760284"/>
        </patternFill>
      </fill>
      <border>
        <left style="thin">
          <color rgb="FFFFC000"/>
        </left>
        <right style="thin">
          <color rgb="FFFFC000"/>
        </right>
        <top style="thin">
          <color rgb="FFFFC000"/>
        </top>
        <bottom style="thin">
          <color rgb="FFFFC000"/>
        </bottom>
      </border>
    </dxf>
    <dxf>
      <font>
        <b/>
        <i val="0"/>
        <color theme="3"/>
      </font>
      <fill>
        <patternFill>
          <bgColor theme="6"/>
        </patternFill>
      </fill>
    </dxf>
    <dxf>
      <numFmt numFmtId="178" formatCode="\ _(* #,##0.0_);_(* \(#,##0.0\);_(0.0_);_-@_-"/>
    </dxf>
    <dxf>
      <numFmt numFmtId="177" formatCode="_(0.0%_);\(0.0%\);_(0.0%_);_-@_-"/>
    </dxf>
    <dxf>
      <numFmt numFmtId="22" formatCode="mmm\-yy"/>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b/>
        <i val="0"/>
        <color theme="3"/>
      </font>
      <fill>
        <patternFill>
          <bgColor theme="6"/>
        </patternFill>
      </fill>
    </dxf>
    <dxf>
      <numFmt numFmtId="178" formatCode="\ _(* #,##0.0_);_(* \(#,##0.0\);_(0.0_);_-@_-"/>
    </dxf>
    <dxf>
      <numFmt numFmtId="22" formatCode="mmm\-yy"/>
    </dxf>
    <dxf>
      <numFmt numFmtId="177" formatCode="_(0.0%_);\(0.0%\);_(0.0%_);_-@_-"/>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6"/>
        </patternFill>
      </fill>
    </dxf>
    <dxf>
      <fill>
        <patternFill>
          <bgColor rgb="FFFF9999"/>
        </patternFill>
      </fill>
    </dxf>
    <dxf>
      <border>
        <top style="thin">
          <color theme="0" tint="-0.249939993023872"/>
        </top>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border>
        <bottom style="thin">
          <color theme="0" tint="-0.249939993023872"/>
        </bottom>
      </border>
    </dxf>
    <dxf>
      <border>
        <top style="thin">
          <color theme="0" tint="-0.249939993023872"/>
        </top>
      </border>
    </dxf>
    <dxf>
      <numFmt numFmtId="178" formatCode="\ _(* #,##0.0_);_(* \(#,##0.0\);_(0.0_);_-@_-"/>
    </dxf>
    <dxf>
      <font>
        <b/>
        <i val="0"/>
        <color theme="7" tint="-0.499969989061356"/>
      </font>
      <fill>
        <patternFill>
          <bgColor rgb="FFD9E1C1"/>
        </patternFill>
      </fill>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7" tint="-0.499969989061356"/>
      </font>
      <fill>
        <patternFill>
          <bgColor rgb="FFD9E1C1"/>
        </patternFill>
      </fill>
    </dxf>
    <dxf>
      <numFmt numFmtId="22" formatCode="mmm\-yy"/>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7" tint="-0.499969989061356"/>
      </font>
      <fill>
        <patternFill>
          <bgColor rgb="FFD9E1C1"/>
        </patternFill>
      </fill>
    </dxf>
    <dxf>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7" formatCode="_(0.0%_);\(0.0%\);_(0.0%_);_-@_-"/>
    </dxf>
    <dxf>
      <numFmt numFmtId="177" formatCode="_(0.0%_);\(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7" formatCode="_(0.0%_);\(0.0%\);_(0.0%_);_-@_-"/>
    </dxf>
    <dxf>
      <numFmt numFmtId="178" formatCode="\ _(* #,##0.0_);_(* \(#,##0.0\);_(0.0_);_-@_-"/>
    </dxf>
    <dxf>
      <numFmt numFmtId="22" formatCode="mmm\-yy"/>
    </dxf>
    <dxf>
      <font>
        <b/>
        <i val="0"/>
        <color theme="0"/>
      </font>
      <fill>
        <patternFill>
          <bgColor theme="3"/>
        </patternFill>
      </fill>
    </dxf>
    <dxf>
      <font>
        <b/>
        <i val="0"/>
        <color theme="3"/>
      </font>
      <fill>
        <patternFill>
          <bgColor theme="5"/>
        </patternFill>
      </fill>
    </dxf>
    <dxf>
      <font>
        <b/>
        <i val="0"/>
        <color theme="3"/>
      </font>
      <fill>
        <patternFill>
          <bgColor theme="6"/>
        </patternFill>
      </fill>
    </dxf>
    <dxf>
      <numFmt numFmtId="177" formatCode="_(0.0%_);\(0.0%\);_(0.0%_);_-@_-"/>
    </dxf>
    <dxf>
      <numFmt numFmtId="22" formatCode="mmm\-yy"/>
    </dxf>
    <dxf>
      <numFmt numFmtId="179" formatCode="_(#,##0.0_);\(#,##0.0\);_(0.0_);_-@_-"/>
    </dxf>
    <dxf>
      <font>
        <b/>
        <i val="0"/>
        <color theme="0"/>
      </font>
      <fill>
        <patternFill>
          <bgColor theme="3"/>
        </patternFill>
      </fill>
    </dxf>
    <dxf>
      <font>
        <b/>
        <i val="0"/>
        <color theme="3"/>
      </font>
      <fill>
        <patternFill>
          <bgColor theme="5"/>
        </patternFill>
      </fill>
    </dxf>
    <dxf>
      <font>
        <b/>
        <i val="0"/>
        <color theme="3"/>
      </font>
      <fill>
        <patternFill>
          <bgColor theme="6"/>
        </patternFill>
      </fill>
    </dxf>
    <dxf>
      <font>
        <b/>
        <i val="0"/>
        <color theme="3"/>
      </font>
      <fill>
        <patternFill>
          <bgColor theme="6"/>
        </patternFill>
      </fill>
    </dxf>
    <dxf>
      <fill>
        <patternFill>
          <bgColor rgb="FFFF7C80"/>
        </patternFill>
      </fill>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border>
        <bottom style="thin">
          <color theme="0" tint="-0.249939993023872"/>
        </bottom>
      </border>
    </dxf>
    <dxf>
      <border>
        <top style="thin">
          <color theme="0" tint="-0.249939993023872"/>
        </top>
      </border>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fill>
        <patternFill>
          <bgColor theme="6"/>
        </patternFill>
      </fill>
    </dxf>
    <dxf>
      <numFmt numFmtId="22" formatCode="mmm\-yy"/>
    </dxf>
    <dxf>
      <numFmt numFmtId="177" formatCode="_(0.0%_);\(0.0%\);_(0.0%_);_-@_-"/>
    </dxf>
    <dxf>
      <numFmt numFmtId="178" formatCode="\ _(* #,##0.0_);_(* \(#,##0.0\);_(0.0_);_-@_-"/>
    </dxf>
    <dxf>
      <fill>
        <patternFill>
          <bgColor theme="6"/>
        </patternFill>
      </fill>
    </dxf>
    <dxf>
      <numFmt numFmtId="22" formatCode="mmm\-yy"/>
    </dxf>
    <dxf>
      <numFmt numFmtId="177" formatCode="_(0.0%_);\(0.0%\);_(0.0%_);_-@_-"/>
    </dxf>
    <dxf>
      <numFmt numFmtId="178" formatCode="\ _(* #,##0.0_);_(* \(#,##0.0\);_(0.0_);_-@_-"/>
    </dxf>
    <dxf>
      <fill>
        <patternFill>
          <bgColor theme="6"/>
        </patternFill>
      </fill>
    </dxf>
    <dxf>
      <numFmt numFmtId="22" formatCode="mmm\-yy"/>
    </dxf>
    <dxf>
      <numFmt numFmtId="178" formatCode="\ _(* #,##0.0_);_(* \(#,##0.0\);_(0.0_);_-@_-"/>
    </dxf>
    <dxf>
      <numFmt numFmtId="177" formatCode="_(0.0%_);\(0.0%\);_(0.0%_);_-@_-"/>
    </dxf>
    <dxf>
      <fill>
        <patternFill>
          <bgColor theme="6"/>
        </patternFill>
      </fill>
    </dxf>
    <dxf>
      <numFmt numFmtId="22" formatCode="mmm\-yy"/>
    </dxf>
    <dxf>
      <numFmt numFmtId="178" formatCode="\ _(* #,##0.0_);_(* \(#,##0.0\);_(0.0_);_-@_-"/>
    </dxf>
    <dxf>
      <numFmt numFmtId="177" formatCode="_(0.0%_);\(0.0%\);_(0.0%_);_-@_-"/>
    </dxf>
    <dxf>
      <numFmt numFmtId="22" formatCode="mmm\-yy"/>
    </dxf>
    <dxf>
      <fill>
        <patternFill>
          <bgColor theme="6"/>
        </patternFill>
      </fill>
    </dxf>
    <dxf>
      <numFmt numFmtId="22" formatCode="mmm\-yy"/>
    </dxf>
    <dxf>
      <numFmt numFmtId="177" formatCode="_(0.0%_);\(0.0%\);_(0.0%_);_-@_-"/>
    </dxf>
    <dxf>
      <numFmt numFmtId="178" formatCode="\ _(* #,##0.0_);_(* \(#,##0.0\);_(0.0_);_-@_-"/>
    </dxf>
    <dxf>
      <fill>
        <patternFill>
          <bgColor theme="6"/>
        </patternFill>
      </fill>
    </dxf>
    <dxf>
      <numFmt numFmtId="22" formatCode="mmm\-yy"/>
    </dxf>
    <dxf>
      <numFmt numFmtId="178" formatCode="\ _(* #,##0.0_);_(* \(#,##0.0\);_(0.0_);_-@_-"/>
    </dxf>
    <dxf>
      <numFmt numFmtId="177" formatCode="_(0.0%_);\(0.0%\);_(0.0%_);_-@_-"/>
    </dxf>
    <dxf>
      <fill>
        <patternFill>
          <bgColor theme="6"/>
        </patternFill>
      </fill>
    </dxf>
    <dxf>
      <numFmt numFmtId="22" formatCode="mmm\-yy"/>
    </dxf>
    <dxf>
      <numFmt numFmtId="177" formatCode="_(0.0%_);\(0.0%\);_(0.0%_);_-@_-"/>
    </dxf>
    <dxf>
      <numFmt numFmtId="178" formatCode="\ _(* #,##0.0_);_(* \(#,##0.0\);_(0.0_);_-@_-"/>
    </dxf>
    <dxf>
      <fill>
        <patternFill>
          <bgColor theme="6"/>
        </patternFill>
      </fill>
    </dxf>
    <dxf>
      <numFmt numFmtId="177" formatCode="_(0.0%_);\(0.0%\);_(0.0%_);_-@_-"/>
    </dxf>
    <dxf>
      <numFmt numFmtId="22" formatCode="mmm\-yy"/>
    </dxf>
    <dxf>
      <numFmt numFmtId="178" formatCode="\ _(* #,##0.0_);_(* \(#,##0.0\);_(0.0_);_-@_-"/>
    </dxf>
    <dxf>
      <fill>
        <patternFill>
          <bgColor theme="6"/>
        </patternFill>
      </fill>
    </dxf>
    <dxf>
      <numFmt numFmtId="22" formatCode="mmm\-yy"/>
    </dxf>
    <dxf>
      <numFmt numFmtId="178" formatCode="\ _(* #,##0.0_);_(* \(#,##0.0\);_(0.0_);_-@_-"/>
    </dxf>
    <dxf>
      <numFmt numFmtId="177" formatCode="_(0.0%_);\(0.0%\);_(0.0%_);_-@_-"/>
    </dxf>
    <dxf>
      <fill>
        <patternFill>
          <bgColor theme="6"/>
        </patternFill>
      </fill>
    </dxf>
    <dxf>
      <fill>
        <patternFill>
          <bgColor rgb="FFFF7C80"/>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b/>
        <i val="0"/>
        <color theme="3"/>
      </font>
      <fill>
        <patternFill>
          <bgColor theme="6"/>
        </patternFill>
      </fill>
    </dxf>
    <dxf>
      <fill>
        <patternFill>
          <bgColor rgb="FFFF7C80"/>
        </patternFill>
      </fill>
    </dxf>
    <dxf>
      <font>
        <b/>
        <i val="0"/>
        <color theme="3"/>
      </font>
      <fill>
        <patternFill>
          <bgColor theme="6"/>
        </patternFill>
      </fill>
    </dxf>
    <dxf>
      <numFmt numFmtId="22" formatCode="mmm\-yy"/>
    </dxf>
    <dxf>
      <numFmt numFmtId="178" formatCode="\ _(* #,##0.0_);_(* \(#,##0.0\);_(0.0_);_-@_-"/>
    </dxf>
    <dxf>
      <numFmt numFmtId="177" formatCode="_(0.0%_);\(0.0%\);_(0.0%_);_-@_-"/>
    </dxf>
    <dxf>
      <font>
        <b/>
        <i val="0"/>
        <color theme="3"/>
      </font>
      <fill>
        <patternFill>
          <bgColor theme="6"/>
        </patternFill>
      </fill>
    </dxf>
    <dxf>
      <numFmt numFmtId="22" formatCode="mmm\-yy"/>
    </dxf>
    <dxf>
      <numFmt numFmtId="178" formatCode="\ _(* #,##0.0_);_(* \(#,##0.0\);_(0.0_);_-@_-"/>
    </dxf>
    <dxf>
      <numFmt numFmtId="177" formatCode="_(0.0%_);\(0.0%\);_(0.0%_);_-@_-"/>
    </dxf>
    <dxf>
      <numFmt numFmtId="22" formatCode="mmm\-yy"/>
    </dxf>
    <dxf>
      <font>
        <b/>
        <i val="0"/>
        <color theme="3"/>
      </font>
      <fill>
        <patternFill>
          <bgColor theme="6"/>
        </patternFill>
      </fill>
    </dxf>
    <dxf>
      <numFmt numFmtId="177" formatCode="_(0.0%_);\(0.0%\);_(0.0%_);_-@_-"/>
    </dxf>
    <dxf>
      <numFmt numFmtId="178" formatCode="\ _(* #,##0.0_);_(* \(#,##0.0\);_(0.0_);_-@_-"/>
    </dxf>
    <dxf>
      <numFmt numFmtId="177" formatCode="_(0.0%_);\(0.0%\);_(0.0%_);_-@_-"/>
    </dxf>
    <dxf>
      <font>
        <b/>
        <i val="0"/>
        <color theme="3"/>
      </font>
      <fill>
        <patternFill>
          <bgColor theme="6"/>
        </patternFill>
      </fill>
    </dxf>
    <dxf>
      <numFmt numFmtId="22" formatCode="mmm\-yy"/>
    </dxf>
    <dxf>
      <numFmt numFmtId="178" formatCode="\ _(* #,##0.0_);_(* \(#,##0.0\);_(0.0_);_-@_-"/>
    </dxf>
    <dxf>
      <numFmt numFmtId="22" formatCode="mmm\-yy"/>
    </dxf>
    <dxf>
      <numFmt numFmtId="177" formatCode="_(0.0%_);\(0.0%\);_(0.0%_);_-@_-"/>
    </dxf>
    <dxf>
      <font>
        <b/>
        <i val="0"/>
        <color theme="3"/>
      </font>
      <fill>
        <patternFill>
          <bgColor theme="6"/>
        </patternFill>
      </fill>
    </dxf>
    <dxf>
      <numFmt numFmtId="178" formatCode="\ _(* #,##0.0_);_(* \(#,##0.0\);_(0.0_);_-@_-"/>
    </dxf>
    <dxf>
      <font>
        <b/>
        <i val="0"/>
        <color theme="3"/>
      </font>
      <fill>
        <patternFill>
          <bgColor theme="6"/>
        </patternFill>
      </fill>
    </dxf>
    <dxf>
      <numFmt numFmtId="177" formatCode="_(0.0%_);\(0.0%\);_(0.0%_);_-@_-"/>
    </dxf>
    <dxf>
      <numFmt numFmtId="22" formatCode="mmm\-yy"/>
    </dxf>
    <dxf>
      <numFmt numFmtId="178" formatCode="\ _(* #,##0.0_);_(* \(#,##0.0\);_(0.0_);_-@_-"/>
    </dxf>
    <dxf>
      <numFmt numFmtId="177" formatCode="_(0.0%_);\(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ont>
        <b/>
        <i val="0"/>
        <color theme="3"/>
      </font>
      <fill>
        <patternFill>
          <bgColor theme="6"/>
        </patternFill>
      </fill>
    </dxf>
    <dxf>
      <numFmt numFmtId="22" formatCode="mmm\-yy"/>
    </dxf>
    <dxf>
      <numFmt numFmtId="178" formatCode="\ _(* #,##0.0_);_(* \(#,##0.0\);_(0.0_);_-@_-"/>
    </dxf>
    <dxf>
      <numFmt numFmtId="177" formatCode="_(0.0%_);\(0.0%\);_(0.0%_);_-@_-"/>
    </dxf>
    <dxf>
      <numFmt numFmtId="177" formatCode="_(0.0%_);\(0.0%\);_(0.0%_);_-@_-"/>
    </dxf>
    <dxf>
      <numFmt numFmtId="178" formatCode="\ _(* #,##0.0_);_(* \(#,##0.0\);_(0.0_);_-@_-"/>
    </dxf>
    <dxf>
      <numFmt numFmtId="177" formatCode="_(0.0%_);\(0.0%\);_(0.0%_);_-@_-"/>
    </dxf>
    <dxf>
      <numFmt numFmtId="178" formatCode="\ _(* #,##0.0_);_(* \(#,##0.0\);_(0.0_);_-@_-"/>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22" formatCode="mmm\-yy"/>
    </dxf>
    <dxf>
      <numFmt numFmtId="178" formatCode="\ _(* #,##0.0_);_(* \(#,##0.0\);_(0.0_);_-@_-"/>
    </dxf>
    <dxf>
      <numFmt numFmtId="22" formatCode="mmm\-yy"/>
    </dxf>
    <dxf>
      <numFmt numFmtId="177" formatCode="_(0.0%_);\(0.0%\);_(0.0%_);_-@_-"/>
    </dxf>
    <dxf>
      <numFmt numFmtId="22" formatCode="mmm\-yy"/>
    </dxf>
    <dxf>
      <font>
        <b/>
        <i val="0"/>
        <color theme="3"/>
      </font>
      <fill>
        <patternFill>
          <bgColor theme="6"/>
        </patternFill>
      </fill>
    </dxf>
    <dxf>
      <numFmt numFmtId="178" formatCode="\ _(* #,##0.0_);_(* \(#,##0.0\);_(0.0_);_-@_-"/>
    </dxf>
    <dxf>
      <font>
        <b/>
        <i val="0"/>
        <color theme="3"/>
      </font>
      <fill>
        <patternFill>
          <bgColor theme="6"/>
        </patternFill>
      </fill>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ont>
        <b/>
        <i val="0"/>
        <color theme="3"/>
      </font>
      <fill>
        <patternFill>
          <bgColor theme="6"/>
        </patternFill>
      </fill>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8" formatCode="\ _(* #,##0.0_);_(* \(#,##0.0\);_(0.0_);_-@_-"/>
    </dxf>
    <dxf>
      <numFmt numFmtId="177" formatCode="_(0.0%_);\(0.0%\);_(0.0%_);_-@_-"/>
    </dxf>
    <dxf>
      <numFmt numFmtId="22" formatCode="mmm\-yy"/>
    </dxf>
    <dxf>
      <font>
        <b/>
        <i val="0"/>
        <color theme="3"/>
      </font>
      <fill>
        <patternFill>
          <bgColor theme="6"/>
        </patternFill>
      </fill>
    </dxf>
    <dxf>
      <numFmt numFmtId="178" formatCode="\ _(* #,##0.0_);_(* \(#,##0.0\);_(0.0_);_-@_-"/>
    </dxf>
    <dxf>
      <numFmt numFmtId="177" formatCode="_(0.0%_);\(0.0%\);_(0.0%_);_-@_-"/>
    </dxf>
    <dxf>
      <numFmt numFmtId="178" formatCode="\ _(* #,##0.0_);_(* \(#,##0.0\);_(0.0_);_-@_-"/>
    </dxf>
    <dxf>
      <numFmt numFmtId="177" formatCode="_(0.0%_);\(0.0%\);_(0.0%_);_-@_-"/>
    </dxf>
    <dxf>
      <font>
        <b/>
        <i val="0"/>
        <color theme="7" tint="-0.499969989061356"/>
      </font>
      <fill>
        <patternFill>
          <bgColor rgb="FFD9E1C1"/>
        </patternFill>
      </fill>
    </dxf>
    <dxf>
      <font>
        <b/>
        <i val="0"/>
        <color theme="3"/>
      </font>
      <fill>
        <patternFill>
          <bgColor theme="6"/>
        </patternFill>
      </fill>
    </dxf>
    <dxf>
      <numFmt numFmtId="178" formatCode="\ _(* #,##0.0_);_(* \(#,##0.0\);_(0.0_);_-@_-"/>
    </dxf>
    <dxf>
      <font>
        <b/>
        <i val="0"/>
        <color theme="3"/>
      </font>
      <fill>
        <patternFill>
          <bgColor theme="6"/>
        </patternFill>
      </fill>
    </dxf>
    <dxf>
      <numFmt numFmtId="177" formatCode="_(0.0%_);\(0.0%\);_(0.0%_);_-@_-"/>
    </dxf>
    <dxf>
      <numFmt numFmtId="22" formatCode="mmm\-yy"/>
    </dxf>
    <dxf>
      <numFmt numFmtId="177" formatCode="_(0.0%_);\(0.0%\);_(0.0%_);_-@_-"/>
    </dxf>
    <dxf>
      <numFmt numFmtId="178" formatCode="\ _(* #,##0.0_);_(* \(#,##0.0\);_(0.0_);_-@_-"/>
    </dxf>
    <dxf>
      <numFmt numFmtId="177" formatCode="_(0.0%_);\(0.0%\);_(0.0%_);_-@_-"/>
    </dxf>
    <dxf>
      <font>
        <b/>
        <i val="0"/>
        <color theme="3"/>
      </font>
      <fill>
        <patternFill>
          <bgColor theme="6"/>
        </patternFill>
      </fill>
    </dxf>
    <dxf>
      <numFmt numFmtId="22" formatCode="mmm\-yy"/>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8" formatCode="\ _(* #,##0.0_);_(* \(#,##0.0\);_(0.0_);_-@_-"/>
    </dxf>
    <dxf>
      <numFmt numFmtId="177" formatCode="_(0.0%_);\(0.0%\);_(0.0%_);_-@_-"/>
    </dxf>
    <dxf>
      <font>
        <b/>
        <i val="0"/>
        <color theme="3"/>
      </font>
      <fill>
        <patternFill>
          <bgColor theme="6"/>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ont>
        <b/>
        <i val="0"/>
        <color theme="3"/>
      </font>
      <fill>
        <patternFill>
          <bgColor theme="6"/>
        </patternFill>
      </fill>
    </dxf>
    <dxf>
      <numFmt numFmtId="178" formatCode="\ _(* #,##0.0_);_(* \(#,##0.0\);_(0.0_);_-@_-"/>
    </dxf>
    <dxf>
      <numFmt numFmtId="177" formatCode="_(0.0%_);\(0.0%\);_(0.0%_);_-@_-"/>
    </dxf>
    <dxf>
      <numFmt numFmtId="178" formatCode="\ _(* #,##0.0_);_(* \(#,##0.0\);_(0.0_);_-@_-"/>
    </dxf>
    <dxf>
      <numFmt numFmtId="22" formatCode="mmm\-yy"/>
    </dxf>
    <dxf>
      <font>
        <b/>
        <i val="0"/>
        <color theme="3"/>
      </font>
      <fill>
        <patternFill>
          <bgColor theme="6"/>
        </patternFill>
      </fill>
    </dxf>
    <dxf>
      <numFmt numFmtId="177" formatCode="_(0.0%_);\(0.0%\);_(0.0%_);_-@_-"/>
    </dxf>
    <dxf>
      <numFmt numFmtId="178" formatCode="\ _(* #,##0.0_);_(* \(#,##0.0\);_(0.0_);_-@_-"/>
    </dxf>
    <dxf>
      <numFmt numFmtId="22" formatCode="mmm\-yy"/>
    </dxf>
    <dxf>
      <numFmt numFmtId="177" formatCode="_(0.0%_);\(0.0%\);_(0.0%_);_-@_-"/>
    </dxf>
    <dxf>
      <font>
        <b/>
        <i val="0"/>
        <color theme="3"/>
      </font>
      <fill>
        <patternFill>
          <bgColor theme="6"/>
        </patternFill>
      </fill>
    </dxf>
    <dxf>
      <numFmt numFmtId="178" formatCode="\ _(* #,##0.0_);_(* \(#,##0.0\);_(0.0_);_-@_-"/>
    </dxf>
    <dxf>
      <numFmt numFmtId="178" formatCode="\ _(* #,##0.0_);_(* \(#,##0.0\);_(0.0_);_-@_-"/>
    </dxf>
    <dxf>
      <numFmt numFmtId="177" formatCode="_(0.0%_);\(0.0%\);_(0.0%_);_-@_-"/>
    </dxf>
    <dxf>
      <font>
        <b/>
        <i val="0"/>
        <color theme="3"/>
      </font>
      <fill>
        <patternFill>
          <bgColor theme="6"/>
        </patternFill>
      </fill>
    </dxf>
    <dxf>
      <numFmt numFmtId="177" formatCode="_(0.0%_);\(0.0%\);_(0.0%_);_-@_-"/>
    </dxf>
    <dxf>
      <numFmt numFmtId="178" formatCode="\ _(* #,##0.0_);_(* \(#,##0.0\);_(0.0_);_-@_-"/>
    </dxf>
    <dxf>
      <font>
        <b/>
        <i val="0"/>
        <color theme="3"/>
      </font>
      <fill>
        <patternFill>
          <bgColor theme="6"/>
        </patternFill>
      </fill>
    </dxf>
    <dxf>
      <numFmt numFmtId="178" formatCode="\ _(* #,##0.0_);_(* \(#,##0.0\);_(0.0_);_-@_-"/>
    </dxf>
    <dxf>
      <numFmt numFmtId="177" formatCode="_(0.0%_);\(0.0%\);_(0.0%_);_-@_-"/>
    </dxf>
    <dxf>
      <font>
        <b/>
        <i val="0"/>
        <color theme="3"/>
      </font>
      <fill>
        <patternFill>
          <bgColor theme="6"/>
        </patternFill>
      </fill>
    </dxf>
    <dxf>
      <numFmt numFmtId="177" formatCode="_(0.0%_);\(0.0%\);_(0.0%_);_-@_-"/>
    </dxf>
    <dxf>
      <numFmt numFmtId="178" formatCode="\ _(* #,##0.0_);_(* \(#,##0.0\);_(0.0_);_-@_-"/>
    </dxf>
    <dxf>
      <numFmt numFmtId="177" formatCode="_(0.0%_);\(0.0%\);_(0.0%_);_-@_-"/>
    </dxf>
    <dxf>
      <font>
        <b/>
        <i val="0"/>
        <color theme="3"/>
      </font>
      <fill>
        <patternFill>
          <bgColor theme="6"/>
        </patternFill>
      </fill>
    </dxf>
    <dxf>
      <numFmt numFmtId="178" formatCode="\ _(* #,##0.0_);_(* \(#,##0.0\);_(0.0_);_-@_-"/>
    </dxf>
    <dxf>
      <numFmt numFmtId="178" formatCode="\ _(* #,##0.0_);_(* \(#,##0.0\);_(0.0_);_-@_-"/>
    </dxf>
    <dxf>
      <numFmt numFmtId="177" formatCode="_(0.0%_);\(0.0%\);_(0.0%_);_-@_-"/>
    </dxf>
    <dxf>
      <numFmt numFmtId="22" formatCode="mmm\-yy"/>
    </dxf>
    <dxf>
      <font>
        <b/>
        <i val="0"/>
        <color theme="3"/>
      </font>
      <fill>
        <patternFill>
          <bgColor theme="6"/>
        </patternFill>
      </fill>
    </dxf>
    <dxf>
      <numFmt numFmtId="22" formatCode="mmm\-yy"/>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7" formatCode="_(0.0%_);\(0.0%\);_(0.0%_);_-@_-"/>
    </dxf>
    <dxf>
      <numFmt numFmtId="178" formatCode="\ _(* #,##0.0_);_(* \(#,##0.0\);_(0.0_);_-@_-"/>
    </dxf>
    <dxf>
      <font>
        <b/>
        <i val="0"/>
        <color theme="3"/>
      </font>
      <fill>
        <patternFill>
          <bgColor theme="6"/>
        </patternFill>
      </fill>
    </dxf>
    <dxf>
      <numFmt numFmtId="177" formatCode="_(0.0%_);\(0.0%\);_(0.0%_);_-@_-"/>
    </dxf>
    <dxf>
      <numFmt numFmtId="178" formatCode="\ _(* #,##0.0_);_(* \(#,##0.0\);_(0.0_);_-@_-"/>
    </dxf>
    <dxf>
      <font>
        <b/>
        <i val="0"/>
        <color theme="3"/>
      </font>
      <fill>
        <patternFill>
          <bgColor theme="6"/>
        </patternFill>
      </fill>
    </dxf>
    <dxf>
      <numFmt numFmtId="22" formatCode="mmm\-yy"/>
    </dxf>
    <dxf>
      <numFmt numFmtId="178" formatCode="\ _(* #,##0.0_);_(* \(#,##0.0\);_(0.0_);_-@_-"/>
    </dxf>
    <dxf>
      <numFmt numFmtId="177" formatCode="_(0.0%_);\(0.0%\);_(0.0%_);_-@_-"/>
    </dxf>
    <dxf>
      <numFmt numFmtId="22" formatCode="mmm\-yy"/>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178" formatCode="\ _(* #,##0.0_);_(* \(#,##0.0\);_(0.0_);_-@_-"/>
    </dxf>
    <dxf>
      <numFmt numFmtId="22" formatCode="mmm\-yy"/>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22" formatCode="mmm\-yy"/>
    </dxf>
    <dxf>
      <numFmt numFmtId="22" formatCode="mmm\-yy"/>
    </dxf>
    <dxf>
      <numFmt numFmtId="22" formatCode="mmm\-yy"/>
    </dxf>
    <dxf>
      <numFmt numFmtId="177" formatCode="_(0.0%_);\(0.0%\);_(0.0%_);_-@_-"/>
    </dxf>
    <dxf>
      <numFmt numFmtId="178" formatCode="\ _(* #,##0.0_);_(* \(#,##0.0\);_(0.0_);_-@_-"/>
    </dxf>
    <dxf>
      <numFmt numFmtId="178" formatCode="\ _(* #,##0.0_);_(* \(#,##0.0\);_(0.0_);_-@_-"/>
    </dxf>
    <dxf>
      <numFmt numFmtId="177" formatCode="_(0.0%_);\(0.0%\);_(0.0%_);_-@_-"/>
    </dxf>
    <dxf>
      <numFmt numFmtId="178" formatCode="\ _(* #,##0.0_);_(* \(#,##0.0\);_(0.0_);_-@_-"/>
    </dxf>
    <dxf>
      <numFmt numFmtId="22" formatCode="mmm\-yy"/>
    </dxf>
    <dxf>
      <numFmt numFmtId="22" formatCode="mmm\-yy"/>
    </dxf>
    <dxf>
      <numFmt numFmtId="178" formatCode="\ _(* #,##0.0_);_(* \(#,##0.0\);_(0.0_);_-@_-"/>
    </dxf>
    <dxf>
      <numFmt numFmtId="22" formatCode="mmm\-yy"/>
    </dxf>
    <dxf>
      <numFmt numFmtId="178" formatCode="\ _(* #,##0.0_);_(* \(#,##0.0\);_(0.0_);_-@_-"/>
    </dxf>
    <dxf>
      <numFmt numFmtId="178" formatCode="\ _(* #,##0.0_);_(* \(#,##0.0\);_(0.0_);_-@_-"/>
    </dxf>
    <dxf>
      <numFmt numFmtId="177" formatCode="_(0.0%_);\(0.0%\);_(0.0%_);_-@_-"/>
    </dxf>
    <dxf>
      <numFmt numFmtId="178" formatCode="\ _(* #,##0.0_);_(* \(#,##0.0\);_(0.0_);_-@_-"/>
    </dxf>
    <dxf>
      <numFmt numFmtId="177" formatCode="_(0.0%_);\(0.0%\);_(0.0%_);_-@_-"/>
    </dxf>
    <dxf>
      <numFmt numFmtId="177" formatCode="_(0.0%_);\(0.0%\);_(0.0%_);_-@_-"/>
    </dxf>
    <dxf>
      <numFmt numFmtId="178" formatCode="\ _(* #,##0.0_);_(* \(#,##0.0\);_(0.0_);_-@_-"/>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7" formatCode="_(0.0%_);\(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177" formatCode="_(0.0%_);\(0.0%\);_(0.0%_);_-@_-"/>
    </dxf>
    <dxf>
      <numFmt numFmtId="178" formatCode="\ _(* #,##0.0_);_(* \(#,##0.0\);_(0.0_);_-@_-"/>
    </dxf>
    <dxf>
      <numFmt numFmtId="178" formatCode="\ _(* #,##0.0_);_(* \(#,##0.0\);_(0.0_);_-@_-"/>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22" formatCode="mmm\-yy"/>
    </dxf>
    <dxf>
      <numFmt numFmtId="22" formatCode="mmm\-yy"/>
    </dxf>
    <dxf>
      <numFmt numFmtId="177" formatCode="_(0.0%_);\(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7" formatCode="_(0.0%_);\(0.0%\);_(0.0%_);_-@_-"/>
    </dxf>
    <dxf>
      <numFmt numFmtId="178" formatCode="\ _(* #,##0.0_);_(* \(#,##0.0\);_(0.0_);_-@_-"/>
    </dxf>
    <dxf>
      <numFmt numFmtId="177" formatCode="_(0.0%_);\(0.0%\);_(0.0%_);_-@_-"/>
    </dxf>
    <dxf>
      <numFmt numFmtId="22" formatCode="mmm\-yy"/>
    </dxf>
    <dxf>
      <numFmt numFmtId="22" formatCode="mmm\-yy"/>
    </dxf>
    <dxf>
      <numFmt numFmtId="22" formatCode="mmm\-yy"/>
    </dxf>
    <dxf>
      <numFmt numFmtId="178" formatCode="\ _(* #,##0.0_);_(* \(#,##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22" formatCode="mmm\-yy"/>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177" formatCode="_(0.0%_);\(0.0%\);_(0.0%_);_-@_-"/>
    </dxf>
    <dxf>
      <font>
        <b/>
        <i val="0"/>
        <color theme="3"/>
      </font>
      <fill>
        <patternFill>
          <bgColor theme="6"/>
        </patternFill>
      </fill>
    </dxf>
    <dxf>
      <numFmt numFmtId="22" formatCode="mmm\-yy"/>
    </dxf>
    <dxf>
      <numFmt numFmtId="178" formatCode="\ _(* #,##0.0_);_(* \(#,##0.0\);_(0.0_);_-@_-"/>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177" formatCode="_(0.0%_);\(0.0%\);_(0.0%_);_-@_-"/>
    </dxf>
    <dxf>
      <numFmt numFmtId="177" formatCode="_(0.0%_);\(0.0%\);_(0.0%_);_-@_-"/>
    </dxf>
    <dxf>
      <numFmt numFmtId="178" formatCode="\ _(* #,##0.0_);_(* \(#,##0.0\);_(0.0_);_-@_-"/>
    </dxf>
    <dxf>
      <numFmt numFmtId="177" formatCode="_(0.0%_);\(0.0%\);_(0.0%_);_-@_-"/>
    </dxf>
    <dxf>
      <numFmt numFmtId="178" formatCode="\ _(* #,##0.0_);_(* \(#,##0.0\);_(0.0_);_-@_-"/>
    </dxf>
    <dxf>
      <numFmt numFmtId="177" formatCode="_(0.0%_);\(0.0%\);_(0.0%_);_-@_-"/>
    </dxf>
    <dxf>
      <numFmt numFmtId="177" formatCode="_(0.0%_);\(0.0%\);_(0.0%_);_-@_-"/>
    </dxf>
    <dxf>
      <numFmt numFmtId="22" formatCode="mmm\-yy"/>
    </dxf>
    <dxf>
      <numFmt numFmtId="178" formatCode="\ _(* #,##0.0_);_(* \(#,##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8" formatCode="\ _(* #,##0.0_);_(* \(#,##0.0\);_(0.0_);_-@_-"/>
    </dxf>
    <dxf>
      <numFmt numFmtId="177" formatCode="_(0.0%_);\(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7" formatCode="_(0.0%_);\(0.0%\);_(0.0%_);_-@_-"/>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ont>
        <b/>
        <i val="0"/>
        <color theme="3"/>
      </font>
      <fill>
        <patternFill>
          <bgColor theme="6"/>
        </patternFill>
      </fill>
    </dxf>
    <dxf>
      <numFmt numFmtId="177" formatCode="_(0.0%_);\(0.0%\);_(0.0%_);_-@_-"/>
    </dxf>
    <dxf>
      <numFmt numFmtId="178" formatCode="\ _(* #,##0.0_);_(* \(#,##0.0\);_(0.0_);_-@_-"/>
    </dxf>
    <dxf>
      <numFmt numFmtId="178" formatCode="\ _(* #,##0.0_);_(* \(#,##0.0\);_(0.0_);_-@_-"/>
    </dxf>
    <dxf>
      <numFmt numFmtId="178" formatCode="\ _(* #,##0.0_);_(* \(#,##0.0\);_(0.0_);_-@_-"/>
    </dxf>
    <dxf>
      <font>
        <b/>
        <i val="0"/>
        <color theme="3"/>
      </font>
      <fill>
        <patternFill>
          <bgColor theme="6"/>
        </patternFill>
      </fill>
    </dxf>
    <dxf>
      <numFmt numFmtId="177" formatCode="_(0.0%_);\(0.0%\);_(0.0%_);_-@_-"/>
    </dxf>
    <dxf>
      <numFmt numFmtId="177" formatCode="_(0.0%_);\(0.0%\);_(0.0%_);_-@_-"/>
    </dxf>
    <dxf>
      <numFmt numFmtId="178" formatCode="\ _(* #,##0.0_);_(* \(#,##0.0\);_(0.0_);_-@_-"/>
    </dxf>
    <dxf>
      <font>
        <b/>
        <i val="0"/>
        <color theme="3"/>
      </font>
      <fill>
        <patternFill>
          <bgColor theme="6"/>
        </patternFill>
      </fill>
    </dxf>
    <dxf>
      <numFmt numFmtId="177" formatCode="_(0.0%_);\(0.0%\);_(0.0%_);_-@_-"/>
    </dxf>
    <dxf>
      <font>
        <b/>
        <i val="0"/>
        <color theme="3"/>
      </font>
      <fill>
        <patternFill>
          <bgColor theme="6"/>
        </patternFill>
      </fill>
    </dxf>
    <dxf>
      <numFmt numFmtId="177" formatCode="_(0.0%_);\(0.0%\);_(0.0%_);_-@_-"/>
    </dxf>
    <dxf>
      <numFmt numFmtId="177" formatCode="_(0.0%_);\(0.0%\);_(0.0%_);_-@_-"/>
    </dxf>
    <dxf>
      <numFmt numFmtId="178" formatCode="\ _(* #,##0.0_);_(* \(#,##0.0\);_(0.0_);_-@_-"/>
    </dxf>
    <dxf>
      <numFmt numFmtId="177" formatCode="_(0.0%_);\(0.0%\);_(0.0%_);_-@_-"/>
    </dxf>
    <dxf>
      <numFmt numFmtId="178" formatCode="\ _(* #,##0.0_);_(* \(#,##0.0\);_(0.0_);_-@_-"/>
    </dxf>
    <dxf>
      <numFmt numFmtId="178" formatCode="\ _(* #,##0.0_);_(* \(#,##0.0\);_(0.0_);_-@_-"/>
    </dxf>
    <dxf>
      <font>
        <b/>
        <i val="0"/>
        <color theme="3"/>
      </font>
      <fill>
        <patternFill>
          <bgColor theme="6"/>
        </patternFill>
      </fill>
    </dxf>
    <dxf>
      <font>
        <b/>
        <i val="0"/>
        <color theme="7" tint="-0.499969989061356"/>
      </font>
      <fill>
        <patternFill>
          <bgColor rgb="FFD9E1C1"/>
        </patternFill>
      </fill>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178" formatCode="\ _(* #,##0.0_);_(* \(#,##0.0\);_(0.0_);_-@_-"/>
    </dxf>
    <dxf>
      <numFmt numFmtId="178" formatCode="\ _(* #,##0.0_);_(* \(#,##0.0\);_(0.0_);_-@_-"/>
    </dxf>
    <dxf>
      <numFmt numFmtId="177" formatCode="_(0.0%_);\(0.0%\);_(0.0%_);_-@_-"/>
    </dxf>
    <dxf>
      <numFmt numFmtId="177" formatCode="_(0.0%_);\(0.0%\);_(0.0%_);_-@_-"/>
    </dxf>
    <dxf>
      <numFmt numFmtId="22" formatCode="mmm\-yy"/>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178" formatCode="\ _(* #,##0.0_);_(* \(#,##0.0\);_(0.0_);_-@_-"/>
    </dxf>
    <dxf>
      <numFmt numFmtId="177" formatCode="_(0.0%_);\(0.0%\);_(0.0%_);_-@_-"/>
    </dxf>
    <dxf>
      <numFmt numFmtId="22" formatCode="mmm\-yy"/>
    </dxf>
    <dxf>
      <numFmt numFmtId="177" formatCode="_(0.0%_);\(0.0%\);_(0.0%_);_-@_-"/>
    </dxf>
    <dxf>
      <numFmt numFmtId="22" formatCode="mmm\-yy"/>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8" formatCode="\ _(* #,##0.0_);_(* \(#,##0.0\);_(0.0_);_-@_-"/>
    </dxf>
    <dxf>
      <numFmt numFmtId="177" formatCode="_(0.0%_);\(0.0%\);_(0.0%_);_-@_-"/>
    </dxf>
    <dxf>
      <numFmt numFmtId="22" formatCode="mmm\-yy"/>
    </dxf>
    <dxf>
      <numFmt numFmtId="177" formatCode="_(0.0%_);\(0.0%\);_(0.0%_);_-@_-"/>
    </dxf>
    <dxf>
      <numFmt numFmtId="177" formatCode="_(0.0%_);\(0.0%\);_(0.0%_);_-@_-"/>
    </dxf>
    <dxf>
      <numFmt numFmtId="22" formatCode="mmm\-yy"/>
    </dxf>
    <dxf>
      <numFmt numFmtId="177" formatCode="_(0.0%_);\(0.0%\);_(0.0%_);_-@_-"/>
    </dxf>
    <dxf>
      <numFmt numFmtId="22" formatCode="mmm\-yy"/>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8" formatCode="\ _(* #,##0.0_);_(* \(#,##0.0\);_(0.0_);_-@_-"/>
    </dxf>
    <dxf>
      <numFmt numFmtId="178" formatCode="\ _(* #,##0.0_);_(* \(#,##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177" formatCode="_(0.0%_);\(0.0%\);_(0.0%_);_-@_-"/>
    </dxf>
    <dxf>
      <numFmt numFmtId="177" formatCode="_(0.0%_);\(0.0%\);_(0.0%_);_-@_-"/>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22" formatCode="mmm\-yy"/>
    </dxf>
    <dxf>
      <numFmt numFmtId="22" formatCode="mmm\-yy"/>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22" formatCode="mmm\-yy"/>
    </dxf>
    <dxf>
      <numFmt numFmtId="22" formatCode="mmm\-yy"/>
    </dxf>
    <dxf>
      <numFmt numFmtId="178" formatCode="\ _(* #,##0.0_);_(* \(#,##0.0\);_(0.0_);_-@_-"/>
    </dxf>
    <dxf>
      <numFmt numFmtId="177" formatCode="_(0.0%_);\(0.0%\);_(0.0%_);_-@_-"/>
    </dxf>
    <dxf>
      <numFmt numFmtId="177" formatCode="_(0.0%_);\(0.0%\);_(0.0%_);_-@_-"/>
    </dxf>
    <dxf>
      <numFmt numFmtId="177" formatCode="_(0.0%_);\(0.0%\);_(0.0%_);_-@_-"/>
    </dxf>
    <dxf>
      <numFmt numFmtId="178" formatCode="\ _(* #,##0.0_);_(* \(#,##0.0\);_(0.0_);_-@_-"/>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178" formatCode="\ _(* #,##0.0_);_(* \(#,##0.0\);_(0.0_);_-@_-"/>
    </dxf>
    <dxf>
      <numFmt numFmtId="178" formatCode="\ _(* #,##0.0_);_(* \(#,##0.0\);_(0.0_);_-@_-"/>
    </dxf>
    <dxf>
      <numFmt numFmtId="177" formatCode="_(0.0%_);\(0.0%\);_(0.0%_);_-@_-"/>
    </dxf>
    <dxf>
      <numFmt numFmtId="177" formatCode="_(0.0%_);\(0.0%\);_(0.0%_);_-@_-"/>
    </dxf>
    <dxf>
      <numFmt numFmtId="22" formatCode="mmm\-yy"/>
    </dxf>
    <dxf>
      <numFmt numFmtId="177" formatCode="_(0.0%_);\(0.0%\);_(0.0%_);_-@_-"/>
    </dxf>
    <dxf>
      <numFmt numFmtId="22" formatCode="mmm\-yy"/>
    </dxf>
    <dxf>
      <numFmt numFmtId="22" formatCode="mmm\-yy"/>
    </dxf>
    <dxf>
      <numFmt numFmtId="178" formatCode="\ _(* #,##0.0_);_(* \(#,##0.0\);_(0.0_);_-@_-"/>
    </dxf>
    <dxf>
      <numFmt numFmtId="177" formatCode="_(0.0%_);\(0.0%\);_(0.0%_);_-@_-"/>
    </dxf>
    <dxf>
      <numFmt numFmtId="177" formatCode="_(0.0%_);\(0.0%\);_(0.0%_);_-@_-"/>
    </dxf>
    <dxf>
      <numFmt numFmtId="22" formatCode="mmm\-yy"/>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177" formatCode="_(0.0%_);\(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22" formatCode="mmm\-yy"/>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177" formatCode="_(0.0%_);\(0.0%\);_(0.0%_);_-@_-"/>
    </dxf>
    <dxf>
      <numFmt numFmtId="22" formatCode="mmm\-yy"/>
    </dxf>
    <dxf>
      <numFmt numFmtId="22" formatCode="mmm\-yy"/>
    </dxf>
    <dxf>
      <numFmt numFmtId="177" formatCode="_(0.0%_);\(0.0%\);_(0.0%_);_-@_-"/>
    </dxf>
    <dxf>
      <numFmt numFmtId="178" formatCode="\ _(* #,##0.0_);_(* \(#,##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7" formatCode="_(0.0%_);\(0.0%\);_(0.0%_);_-@_-"/>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22" formatCode="mmm\-yy"/>
    </dxf>
    <dxf>
      <numFmt numFmtId="177" formatCode="_(0.0%_);\(0.0%\);_(0.0%_);_-@_-"/>
    </dxf>
    <dxf>
      <numFmt numFmtId="177" formatCode="_(0.0%_);\(0.0%\);_(0.0%_);_-@_-"/>
    </dxf>
    <dxf>
      <numFmt numFmtId="22" formatCode="mmm\-yy"/>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177" formatCode="_(0.0%_);\(0.0%\);_(0.0%_);_-@_-"/>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ont>
        <b/>
        <i val="0"/>
        <color theme="3"/>
      </font>
      <fill>
        <patternFill>
          <bgColor theme="6"/>
        </patternFill>
      </fill>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7" formatCode="_(0.0%_);\(0.0%\);_(0.0%_);_-@_-"/>
    </dxf>
    <dxf>
      <numFmt numFmtId="178" formatCode="\ _(* #,##0.0_);_(* \(#,##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22" formatCode="mmm\-yy"/>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22" formatCode="mmm\-yy"/>
    </dxf>
    <dxf>
      <numFmt numFmtId="178" formatCode="\ _(* #,##0.0_);_(* \(#,##0.0\);_(0.0_);_-@_-"/>
    </dxf>
    <dxf>
      <numFmt numFmtId="22" formatCode="mmm\-yy"/>
    </dxf>
    <dxf>
      <numFmt numFmtId="22" formatCode="mmm\-yy"/>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178" formatCode="\ _(* #,##0.0_);_(* \(#,##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22" formatCode="mmm\-yy"/>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22" formatCode="mmm\-yy"/>
    </dxf>
    <dxf>
      <numFmt numFmtId="22" formatCode="mmm\-yy"/>
    </dxf>
    <dxf>
      <numFmt numFmtId="22" formatCode="mmm\-yy"/>
    </dxf>
    <dxf>
      <numFmt numFmtId="177" formatCode="_(0.0%_);\(0.0%\);_(0.0%_);_-@_-"/>
    </dxf>
    <dxf>
      <numFmt numFmtId="178" formatCode="\ _(* #,##0.0_);_(* \(#,##0.0\);_(0.0_);_-@_-"/>
    </dxf>
    <dxf>
      <numFmt numFmtId="178" formatCode="\ _(* #,##0.0_);_(* \(#,##0.0\);_(0.0_);_-@_-"/>
    </dxf>
    <dxf>
      <numFmt numFmtId="178" formatCode="\ _(* #,##0.0_);_(* \(#,##0.0\);_(0.0_);_-@_-"/>
    </dxf>
    <dxf>
      <numFmt numFmtId="22" formatCode="mmm\-yy"/>
    </dxf>
    <dxf>
      <numFmt numFmtId="178" formatCode="\ _(* #,##0.0_);_(* \(#,##0.0\);_(0.0_);_-@_-"/>
    </dxf>
    <dxf>
      <numFmt numFmtId="178" formatCode="\ _(* #,##0.0_);_(* \(#,##0.0\);_(0.0_);_-@_-"/>
    </dxf>
    <dxf>
      <numFmt numFmtId="177" formatCode="_(0.0%_);\(0.0%\);_(0.0%_);_-@_-"/>
    </dxf>
    <dxf>
      <numFmt numFmtId="177" formatCode="_(0.0%_);\(0.0%\);_(0.0%_);_-@_-"/>
    </dxf>
    <dxf>
      <numFmt numFmtId="178" formatCode="\ _(* #,##0.0_);_(* \(#,##0.0\);_(0.0_);_-@_-"/>
    </dxf>
    <dxf>
      <numFmt numFmtId="177" formatCode="_(0.0%_);\(0.0%\);_(0.0%_);_-@_-"/>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22" formatCode="mmm\-yy"/>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22" formatCode="mmm\-yy"/>
    </dxf>
    <dxf>
      <numFmt numFmtId="177" formatCode="_(0.0%_);\(0.0%\);_(0.0%_);_-@_-"/>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177" formatCode="_(0.0%_);\(0.0%\);_(0.0%_);_-@_-"/>
    </dxf>
    <dxf>
      <numFmt numFmtId="178" formatCode="\ _(* #,##0.0_);_(* \(#,##0.0\);_(0.0_);_-@_-"/>
    </dxf>
    <dxf>
      <numFmt numFmtId="177" formatCode="_(0.0%_);\(0.0%\);_(0.0%_);_-@_-"/>
    </dxf>
    <dxf>
      <numFmt numFmtId="177" formatCode="_(0.0%_);\(0.0%\);_(0.0%_);_-@_-"/>
    </dxf>
    <dxf>
      <numFmt numFmtId="177" formatCode="_(0.0%_);\(0.0%\);_(0.0%_);_-@_-"/>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22" formatCode="mmm\-yy"/>
    </dxf>
    <dxf>
      <numFmt numFmtId="22" formatCode="mmm\-yy"/>
    </dxf>
    <dxf>
      <numFmt numFmtId="178" formatCode="\ _(* #,##0.0_);_(* \(#,##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fill>
        <patternFill>
          <bgColor theme="6"/>
        </patternFill>
      </fill>
    </dxf>
    <dxf>
      <numFmt numFmtId="177" formatCode="_(0.0%_);\(0.0%\);_(0.0%_);_-@_-"/>
    </dxf>
    <dxf>
      <numFmt numFmtId="178" formatCode="\ _(* #,##0.0_);_(* \(#,##0.0\);_(0.0_);_-@_-"/>
    </dxf>
    <dxf>
      <numFmt numFmtId="178" formatCode="\ _(* #,##0.0_);_(* \(#,##0.0\);_(0.0_);_-@_-"/>
    </dxf>
    <dxf>
      <numFmt numFmtId="177" formatCode="_(0.0%_);\(0.0%\);_(0.0%_);_-@_-"/>
    </dxf>
    <dxf>
      <numFmt numFmtId="22" formatCode="mmm\-yy"/>
    </dxf>
    <dxf>
      <fill>
        <patternFill>
          <bgColor theme="6"/>
        </patternFill>
      </fill>
    </dxf>
    <dxf>
      <numFmt numFmtId="177" formatCode="_(0.0%_);\(0.0%\);_(0.0%_);_-@_-"/>
    </dxf>
    <dxf>
      <numFmt numFmtId="178" formatCode="\ _(* #,##0.0_);_(* \(#,##0.0\);_(0.0_);_-@_-"/>
    </dxf>
    <dxf>
      <numFmt numFmtId="22" formatCode="mmm\-yy"/>
    </dxf>
    <dxf>
      <numFmt numFmtId="178" formatCode="\ _(* #,##0.0_);_(* \(#,##0.0\);_(0.0_);_-@_-"/>
    </dxf>
    <dxf>
      <numFmt numFmtId="177" formatCode="_(0.0%_);\(0.0%\);_(0.0%_);_-@_-"/>
    </dxf>
    <dxf>
      <fill>
        <patternFill>
          <bgColor theme="6"/>
        </patternFill>
      </fill>
    </dxf>
    <dxf>
      <numFmt numFmtId="177" formatCode="_(0.0%_);\(0.0%\);_(0.0%_);_-@_-"/>
    </dxf>
    <dxf>
      <numFmt numFmtId="178" formatCode="\ _(* #,##0.0_);_(* \(#,##0.0\);_(0.0_);_-@_-"/>
    </dxf>
    <dxf>
      <numFmt numFmtId="178" formatCode="\ _(* #,##0.0_);_(* \(#,##0.0\);_(0.0_);_-@_-"/>
    </dxf>
    <dxf>
      <numFmt numFmtId="22" formatCode="mmm\-yy"/>
    </dxf>
    <dxf>
      <numFmt numFmtId="177" formatCode="_(0.0%_);\(0.0%\);_(0.0%_);_-@_-"/>
    </dxf>
    <dxf>
      <fill>
        <patternFill>
          <bgColor theme="6"/>
        </patternFill>
      </fill>
    </dxf>
    <dxf>
      <numFmt numFmtId="178" formatCode="\ _(* #,##0.0_);_(* \(#,##0.0\);_(0.0_);_-@_-"/>
    </dxf>
    <dxf>
      <numFmt numFmtId="177" formatCode="_(0.0%_);\(0.0%\);_(0.0%_);_-@_-"/>
    </dxf>
    <dxf>
      <numFmt numFmtId="178" formatCode="\ _(* #,##0.0_);_(* \(#,##0.0\);_(0.0_);_-@_-"/>
    </dxf>
    <dxf>
      <numFmt numFmtId="22" formatCode="mmm\-yy"/>
    </dxf>
    <dxf>
      <numFmt numFmtId="177" formatCode="_(0.0%_);\(0.0%\);_(0.0%_);_-@_-"/>
    </dxf>
    <dxf>
      <fill>
        <patternFill>
          <bgColor theme="6"/>
        </patternFill>
      </fill>
    </dxf>
    <dxf>
      <numFmt numFmtId="178" formatCode="\ _(* #,##0.0_);_(* \(#,##0.0\);_(0.0_);_-@_-"/>
    </dxf>
    <dxf>
      <numFmt numFmtId="177" formatCode="_(0.0%_);\(0.0%\);_(0.0%_);_-@_-"/>
    </dxf>
    <dxf>
      <numFmt numFmtId="22" formatCode="mmm\-yy"/>
    </dxf>
    <dxf>
      <numFmt numFmtId="177" formatCode="_(0.0%_);\(0.0%\);_(0.0%_);_-@_-"/>
    </dxf>
    <dxf>
      <numFmt numFmtId="178" formatCode="\ _(* #,##0.0_);_(* \(#,##0.0\);_(0.0_);_-@_-"/>
    </dxf>
    <dxf>
      <fill>
        <patternFill>
          <bgColor theme="6"/>
        </patternFill>
      </fill>
    </dxf>
    <dxf>
      <numFmt numFmtId="177" formatCode="_(0.0%_);\(0.0%\);_(0.0%_);_-@_-"/>
    </dxf>
    <dxf>
      <numFmt numFmtId="178" formatCode="\ _(* #,##0.0_);_(* \(#,##0.0\);_(0.0_);_-@_-"/>
    </dxf>
    <dxf>
      <numFmt numFmtId="178" formatCode="\ _(* #,##0.0_);_(* \(#,##0.0\);_(0.0_);_-@_-"/>
    </dxf>
    <dxf>
      <numFmt numFmtId="22" formatCode="mmm\-yy"/>
    </dxf>
    <dxf>
      <numFmt numFmtId="177" formatCode="_(0.0%_);\(0.0%\);_(0.0%_);_-@_-"/>
    </dxf>
    <dxf>
      <fill>
        <patternFill>
          <bgColor theme="6"/>
        </patternFill>
      </fill>
    </dxf>
    <dxf>
      <numFmt numFmtId="177" formatCode="_(0.0%_);\(0.0%\);_(0.0%_);_-@_-"/>
    </dxf>
    <dxf>
      <numFmt numFmtId="178" formatCode="\ _(* #,##0.0_);_(* \(#,##0.0\);_(0.0_);_-@_-"/>
    </dxf>
    <dxf>
      <numFmt numFmtId="22" formatCode="mmm\-yy"/>
    </dxf>
    <dxf>
      <numFmt numFmtId="177" formatCode="_(0.0%_);\(0.0%\);_(0.0%_);_-@_-"/>
    </dxf>
    <dxf>
      <numFmt numFmtId="178" formatCode="\ _(* #,##0.0_);_(* \(#,##0.0\);_(0.0_);_-@_-"/>
    </dxf>
    <dxf>
      <fill>
        <patternFill>
          <bgColor theme="6"/>
        </patternFill>
      </fill>
    </dxf>
    <dxf>
      <numFmt numFmtId="177" formatCode="_(0.0%_);\(0.0%\);_(0.0%_);_-@_-"/>
    </dxf>
    <dxf>
      <numFmt numFmtId="178" formatCode="\ _(* #,##0.0_);_(* \(#,##0.0\);_(0.0_);_-@_-"/>
    </dxf>
    <dxf>
      <numFmt numFmtId="22" formatCode="mmm\-yy"/>
    </dxf>
    <dxf>
      <fill>
        <patternFill>
          <bgColor theme="6"/>
        </patternFill>
      </fill>
    </dxf>
    <dxf>
      <numFmt numFmtId="177" formatCode="_(0.0%_);\(0.0%\);_(0.0%_);_-@_-"/>
    </dxf>
    <dxf>
      <numFmt numFmtId="178" formatCode="\ _(* #,##0.0_);_(* \(#,##0.0\);_(0.0_);_-@_-"/>
    </dxf>
    <dxf>
      <numFmt numFmtId="22" formatCode="mmm\-yy"/>
    </dxf>
    <dxf>
      <numFmt numFmtId="178" formatCode="\ _(* #,##0.0_);_(* \(#,##0.0\);_(0.0_);_-@_-"/>
    </dxf>
    <dxf>
      <numFmt numFmtId="177" formatCode="_(0.0%_);\(0.0%\);_(0.0%_);_-@_-"/>
    </dxf>
    <dxf>
      <fill>
        <patternFill>
          <bgColor theme="6"/>
        </patternFill>
      </fill>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22" formatCode="mmm\-yy"/>
    </dxf>
    <dxf>
      <numFmt numFmtId="22" formatCode="mmm\-yy"/>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22" formatCode="mmm\-yy"/>
    </dxf>
    <dxf>
      <numFmt numFmtId="22" formatCode="mmm\-yy"/>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22" formatCode="mmm\-yy"/>
    </dxf>
    <dxf>
      <numFmt numFmtId="22" formatCode="mmm\-yy"/>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177" formatCode="_(0.0%_);\(0.0%\);_(0.0%_);_-@_-"/>
    </dxf>
    <dxf>
      <numFmt numFmtId="22" formatCode="mmm\-yy"/>
    </dxf>
    <dxf>
      <numFmt numFmtId="22" formatCode="mmm\-yy"/>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22" formatCode="mmm\-yy"/>
    </dxf>
    <dxf>
      <numFmt numFmtId="22" formatCode="mmm\-yy"/>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8" formatCode="\ _(* #,##0.0_);_(* \(#,##0.0\);_(0.0_);_-@_-"/>
    </dxf>
    <dxf>
      <numFmt numFmtId="177" formatCode="_(0.0%_);\(0.0%\);_(0.0%_);_-@_-"/>
    </dxf>
    <dxf>
      <numFmt numFmtId="177" formatCode="_(0.0%_);\(0.0%\);_(0.0%_);_-@_-"/>
    </dxf>
    <dxf>
      <numFmt numFmtId="177" formatCode="_(0.0%_);\(0.0%\);_(0.0%_);_-@_-"/>
    </dxf>
    <dxf>
      <numFmt numFmtId="178" formatCode="\ _(* #,##0.0_);_(* \(#,##0.0\);_(0.0_);_-@_-"/>
    </dxf>
    <dxf>
      <numFmt numFmtId="178" formatCode="\ _(* #,##0.0_);_(* \(#,##0.0\);_(0.0_);_-@_-"/>
    </dxf>
    <dxf>
      <numFmt numFmtId="22" formatCode="mmm\-yy"/>
    </dxf>
    <dxf>
      <numFmt numFmtId="22" formatCode="mmm\-yy"/>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8" formatCode="\ _(* #,##0.0_);_(* \(#,##0.0\);_(0.0_);_-@_-"/>
    </dxf>
    <dxf>
      <numFmt numFmtId="177" formatCode="_(0.0%_);\(0.0%\);_(0.0%_);_-@_-"/>
    </dxf>
    <dxf>
      <fill>
        <patternFill>
          <bgColor theme="6"/>
        </patternFill>
      </fill>
    </dxf>
    <dxf>
      <numFmt numFmtId="178" formatCode="\ _(* #,##0.0_);_(* \(#,##0.0\);_(0.0_);_-@_-"/>
    </dxf>
    <dxf>
      <numFmt numFmtId="177" formatCode="_(0.0%_);\(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8" formatCode="\ _(* #,##0.0_);_(* \(#,##0.0\);_(0.0_);_-@_-"/>
    </dxf>
    <dxf>
      <numFmt numFmtId="177" formatCode="_(0.0%_);\(0.0%\);_(0.0%_);_-@_-"/>
    </dxf>
    <dxf>
      <fill>
        <patternFill>
          <bgColor theme="6"/>
        </patternFill>
      </fill>
    </dxf>
    <dxf>
      <numFmt numFmtId="178" formatCode="\ _(* #,##0.0_);_(* \(#,##0.0\);_(0.0_);_-@_-"/>
    </dxf>
    <dxf>
      <numFmt numFmtId="177" formatCode="_(0.0%_);\(0.0%\);_(0.0%_);_-@_-"/>
    </dxf>
    <dxf>
      <font>
        <b/>
        <i val="0"/>
        <color theme="3"/>
      </font>
      <fill>
        <patternFill>
          <bgColor theme="6"/>
        </patternFill>
      </fill>
    </dxf>
    <dxf>
      <numFmt numFmtId="177" formatCode="_(0.0%_);\(0.0%\);_(0.0%_);_-@_-"/>
    </dxf>
    <dxf>
      <numFmt numFmtId="178" formatCode="\ _(* #,##0.0_);_(* \(#,##0.0\);_(0.0_);_-@_-"/>
    </dxf>
    <dxf>
      <numFmt numFmtId="22" formatCode="mmm\-yy"/>
    </dxf>
    <dxf>
      <fill>
        <patternFill>
          <bgColor theme="6"/>
        </patternFill>
      </fill>
    </dxf>
    <dxf>
      <numFmt numFmtId="177" formatCode="_(0.0%_);\(0.0%\);_(0.0%_);_-@_-"/>
    </dxf>
    <dxf>
      <numFmt numFmtId="178" formatCode="\ _(* #,##0.0_);_(* \(#,##0.0\);_(0.0_);_-@_-"/>
    </dxf>
    <dxf>
      <font>
        <b/>
        <i val="0"/>
        <color theme="3"/>
      </font>
      <fill>
        <patternFill>
          <bgColor theme="6"/>
        </patternFill>
      </fill>
    </dxf>
    <dxf>
      <numFmt numFmtId="178" formatCode="\ _(* #,##0.0_);_(* \(#,##0.0\);_(0.0_);_-@_-"/>
    </dxf>
    <dxf>
      <numFmt numFmtId="178" formatCode="\ _(* #,##0.0_);_(* \(#,##0.0\);_(0.0_);_-@_-"/>
    </dxf>
    <dxf>
      <numFmt numFmtId="22" formatCode="mmm\-yy"/>
    </dxf>
    <dxf>
      <numFmt numFmtId="177" formatCode="_(0.0%_);\(0.0%\);_(0.0%_);_-@_-"/>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22" formatCode="mmm\-yy"/>
    </dxf>
    <dxf>
      <numFmt numFmtId="22" formatCode="mmm\-yy"/>
    </dxf>
    <dxf>
      <numFmt numFmtId="177" formatCode="_(0.0%_);\(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177" formatCode="_(0.0%_);\(0.0%\);_(0.0%_);_-@_-"/>
    </dxf>
    <dxf>
      <numFmt numFmtId="177" formatCode="_(0.0%_);\(0.0%\);_(0.0%_);_-@_-"/>
    </dxf>
    <dxf>
      <numFmt numFmtId="178" formatCode="\ _(* #,##0.0_);_(* \(#,##0.0\);_(0.0_);_-@_-"/>
    </dxf>
    <dxf>
      <numFmt numFmtId="178" formatCode="\ _(* #,##0.0_);_(* \(#,##0.0\);_(0.0_);_-@_-"/>
    </dxf>
    <dxf>
      <numFmt numFmtId="22" formatCode="mmm\-yy"/>
    </dxf>
    <dxf>
      <numFmt numFmtId="178" formatCode="\ _(* #,##0.0_);_(* \(#,##0.0\);_(0.0_);_-@_-"/>
    </dxf>
    <dxf>
      <numFmt numFmtId="22" formatCode="mmm\-yy"/>
    </dxf>
    <dxf>
      <numFmt numFmtId="22" formatCode="mmm\-yy"/>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177" formatCode="_(0.0%_);\(0.0%\);_(0.0%_);_-@_-"/>
    </dxf>
    <dxf>
      <numFmt numFmtId="178" formatCode="\ _(* #,##0.0_);_(* \(#,##0.0\);_(0.0_);_-@_-"/>
    </dxf>
    <dxf>
      <numFmt numFmtId="177" formatCode="_(0.0%_);\(0.0%\);_(0.0%_);_-@_-"/>
    </dxf>
    <dxf>
      <numFmt numFmtId="22" formatCode="mmm\-yy"/>
    </dxf>
    <dxf>
      <numFmt numFmtId="22" formatCode="mmm\-yy"/>
    </dxf>
    <dxf>
      <numFmt numFmtId="178" formatCode="\ _(* #,##0.0_);_(* \(#,##0.0\);_(0.0_);_-@_-"/>
    </dxf>
    <dxf>
      <numFmt numFmtId="178" formatCode="\ _(* #,##0.0_);_(* \(#,##0.0\);_(0.0_);_-@_-"/>
    </dxf>
    <dxf>
      <numFmt numFmtId="177" formatCode="_(0.0%_);\(0.0%\);_(0.0%_);_-@_-"/>
    </dxf>
    <dxf>
      <numFmt numFmtId="22" formatCode="mmm\-yy"/>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8" formatCode="\ _(* #,##0.0_);_(* \(#,##0.0\);_(0.0_);_-@_-"/>
    </dxf>
    <dxf>
      <numFmt numFmtId="177" formatCode="_(0.0%_);\(0.0%\);_(0.0%_);_-@_-"/>
    </dxf>
    <dxf>
      <numFmt numFmtId="22" formatCode="mmm\-yy"/>
    </dxf>
    <dxf>
      <numFmt numFmtId="22" formatCode="mmm\-yy"/>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b/>
        <i val="0"/>
        <color theme="3"/>
      </font>
      <fill>
        <patternFill>
          <bgColor theme="5"/>
        </patternFill>
      </fill>
    </dxf>
    <dxf>
      <font>
        <b/>
        <i val="0"/>
        <color theme="0"/>
      </font>
      <fill>
        <patternFill>
          <bgColor theme="3"/>
        </patternFill>
      </fill>
    </dxf>
    <dxf>
      <font>
        <b/>
        <i val="0"/>
        <color theme="0"/>
      </font>
      <fill>
        <patternFill>
          <bgColor theme="3"/>
        </patternFill>
      </fill>
    </dxf>
    <dxf>
      <font>
        <b/>
        <i val="0"/>
        <color theme="3"/>
      </font>
      <fill>
        <patternFill>
          <bgColor theme="5"/>
        </patternFill>
      </fill>
    </dxf>
    <dxf>
      <font>
        <b/>
        <i val="0"/>
        <color theme="3"/>
      </font>
      <fill>
        <patternFill>
          <bgColor theme="5"/>
        </patternFill>
      </fill>
    </dxf>
    <dxf>
      <font>
        <b/>
        <i val="0"/>
        <color theme="0"/>
      </font>
      <fill>
        <patternFill>
          <bgColor theme="3"/>
        </patternFill>
      </fill>
    </dxf>
    <dxf>
      <numFmt numFmtId="177" formatCode="_(0.0%_);\(0.0%\);_(0.0%_);_-@_-"/>
    </dxf>
    <dxf>
      <numFmt numFmtId="178" formatCode="\ _(* #,##0.0_);_(* \(#,##0.0\);_(0.0_);_-@_-"/>
    </dxf>
    <dxf>
      <font>
        <b/>
        <i val="0"/>
        <color theme="3"/>
      </font>
      <fill>
        <patternFill>
          <bgColor theme="5"/>
        </patternFill>
      </fill>
    </dxf>
    <dxf>
      <font>
        <b/>
        <i val="0"/>
        <color theme="0"/>
      </font>
      <fill>
        <patternFill>
          <bgColor theme="3"/>
        </patternFill>
      </fill>
    </dxf>
    <dxf>
      <numFmt numFmtId="22" formatCode="mmm\-yy"/>
    </dxf>
    <dxf>
      <font>
        <b/>
        <i val="0"/>
        <color theme="0"/>
      </font>
      <fill>
        <patternFill>
          <bgColor theme="3"/>
        </patternFill>
      </fill>
    </dxf>
    <dxf>
      <font>
        <b/>
        <i val="0"/>
        <color theme="3"/>
      </font>
      <fill>
        <patternFill>
          <bgColor theme="5"/>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ill>
        <patternFill>
          <bgColor theme="6"/>
        </patternFill>
      </fill>
    </dxf>
    <dxf>
      <font>
        <b/>
        <i val="0"/>
        <color theme="0"/>
      </font>
      <fill>
        <patternFill>
          <bgColor theme="3"/>
        </patternFill>
      </fill>
    </dxf>
    <dxf>
      <font>
        <b/>
        <i val="0"/>
        <color theme="3"/>
      </font>
      <fill>
        <patternFill>
          <bgColor theme="5"/>
        </patternFill>
      </fill>
    </dxf>
    <dxf>
      <font>
        <b/>
        <i val="0"/>
        <color theme="3"/>
      </font>
      <fill>
        <patternFill>
          <bgColor theme="5"/>
        </patternFill>
      </fill>
    </dxf>
    <dxf>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ill>
        <patternFill>
          <bgColor rgb="FFFF6699"/>
        </patternFill>
      </fill>
    </dxf>
    <dxf>
      <font>
        <b/>
        <i val="0"/>
        <color theme="0"/>
      </font>
      <fill>
        <patternFill>
          <bgColor theme="3"/>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ill>
        <patternFill>
          <bgColor rgb="FFFF7C80"/>
        </patternFill>
      </fill>
    </dxf>
    <dxf>
      <fill>
        <patternFill>
          <bgColor theme="0"/>
        </patternFill>
      </fill>
      <border>
        <left style="thin">
          <color theme="0" tint="-0.149959996342659"/>
        </left>
        <right style="thin">
          <color theme="0" tint="-0.149959996342659"/>
        </right>
        <top style="thin">
          <color theme="0" tint="-0.149959996342659"/>
        </top>
        <bottom style="thin">
          <color theme="0" tint="-0.149959996342659"/>
        </bottom>
      </border>
    </dxf>
    <dxf>
      <fill>
        <patternFill>
          <bgColor rgb="FFFF7C80"/>
        </patternFill>
      </fill>
    </dxf>
    <dxf>
      <fill>
        <patternFill>
          <bgColor rgb="FFFF7C80"/>
        </patternFill>
      </fill>
    </dxf>
    <dxf>
      <fill>
        <patternFill>
          <bgColor rgb="FFFF7C80"/>
        </patternFill>
      </fill>
    </dxf>
    <dxf>
      <fill>
        <patternFill>
          <bgColor rgb="FFFF7C80"/>
        </patternFill>
      </fill>
    </dxf>
    <dxf>
      <font>
        <b/>
        <i val="0"/>
        <color theme="3"/>
      </font>
      <fill>
        <patternFill>
          <bgColor theme="6"/>
        </patternFill>
      </fill>
    </dxf>
    <dxf>
      <fill>
        <patternFill>
          <bgColor rgb="FFFF7C80"/>
        </patternFill>
      </fill>
    </dxf>
    <dxf>
      <fill>
        <patternFill>
          <bgColor theme="6"/>
        </patternFill>
      </fill>
    </dxf>
    <dxf>
      <fill>
        <patternFill>
          <bgColor rgb="FFFF7C80"/>
        </patternFill>
      </fill>
    </dxf>
    <dxf>
      <font>
        <b/>
        <i val="0"/>
        <color theme="3"/>
      </font>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ont>
        <color auto="1"/>
      </font>
      <fill>
        <patternFill>
          <bgColor theme="0"/>
        </patternFill>
      </fill>
    </dxf>
    <dxf>
      <fill>
        <patternFill>
          <bgColor rgb="FFFF7C8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ill>
        <patternFill>
          <bgColor theme="0"/>
        </patternFill>
      </fill>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font>
        <color rgb="FF006100"/>
      </font>
      <fill>
        <patternFill>
          <bgColor rgb="FFC6EFCE"/>
        </patternFill>
      </fill>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top style="thin">
          <color theme="0" tint="-0.249939993023872"/>
        </top>
      </border>
    </dxf>
    <dxf>
      <border>
        <bottom style="thin">
          <color theme="0" tint="-0.249939993023872"/>
        </bottom>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top style="thin">
          <color theme="0" tint="-0.249939993023872"/>
        </top>
      </border>
    </dxf>
    <dxf>
      <border>
        <bottom style="thin">
          <color theme="0" tint="-0.249939993023872"/>
        </bottom>
      </border>
    </dxf>
    <dxf>
      <border>
        <bottom style="thin">
          <color theme="0" tint="-0.249939993023872"/>
        </bottom>
      </border>
    </dxf>
    <dxf>
      <border>
        <top style="thin">
          <color theme="0" tint="-0.249939993023872"/>
        </top>
      </border>
    </dxf>
    <dxf>
      <border>
        <top style="thin">
          <color theme="0" tint="-0.249939993023872"/>
        </top>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numFmt numFmtId="191" formatCode="_(* #,##0.0_);_(* \(#,##0.0\);_-??_-;_-@_-"/>
    </dxf>
    <dxf>
      <numFmt numFmtId="192" formatCode="_(0.0%_);\(0.0%\);_-??_-;_-@_-"/>
    </dxf>
    <dxf>
      <numFmt numFmtId="0" formatCode="General"/>
    </dxf>
    <dxf>
      <border>
        <top style="thin">
          <color theme="4"/>
        </top>
      </border>
    </dxf>
    <dxf>
      <font>
        <b/>
        <i val="0"/>
        <u val="none"/>
        <strike val="0"/>
        <sz val="12"/>
        <name val="Arial"/>
        <family val="2"/>
        <color theme="0"/>
      </font>
      <fill>
        <patternFill patternType="solid">
          <fgColor theme="4"/>
          <bgColor theme="4"/>
        </patternFill>
      </fill>
    </dxf>
    <dxf>
      <numFmt numFmtId="19" formatCode="dd/mm/yyyy"/>
    </dxf>
    <dxf>
      <numFmt numFmtId="193" formatCode="[$-F400]h:mm:ss\ AM/PM"/>
    </dxf>
    <dxf>
      <numFmt numFmtId="27" formatCode="dd/mm/yyyy\ hh:mm"/>
    </dxf>
    <dxf>
      <numFmt numFmtId="0" formatCode="General"/>
    </dxf>
    <dxf>
      <numFmt numFmtId="0" formatCode="General"/>
    </dxf>
    <dxf>
      <numFmt numFmtId="0" formatCode="General"/>
    </dxf>
    <dxf>
      <numFmt numFmtId="0" formatCode="General"/>
    </dxf>
    <dxf>
      <numFmt numFmtId="0" formatCode="General"/>
    </dxf>
    <dxf>
      <font>
        <u val="none"/>
        <strike val="0"/>
        <sz val="12"/>
        <name val="Arial"/>
        <family val="2"/>
        <color theme="0"/>
      </font>
      <fill>
        <patternFill patternType="solid">
          <bgColor theme="3"/>
        </patternFill>
      </fill>
    </dxf>
    <dxf>
      <font>
        <b val="0"/>
        <i val="0"/>
        <u val="none"/>
        <strike val="0"/>
        <sz val="12"/>
        <name val="Arial"/>
        <family val="2"/>
        <color theme="1"/>
      </font>
      <numFmt numFmtId="194" formatCode="_-* #,##0_-;\-* #,##0_-;_-* &quot;-&quot;??_-;_-@_-"/>
      <fill>
        <patternFill patternType="none"/>
      </fill>
    </dxf>
    <dxf>
      <fill>
        <patternFill patternType="solid">
          <bgColor theme="3"/>
        </patternFill>
      </fill>
    </dxf>
    <dxf>
      <alignment horizontal="center" vertical="center" textRotation="0" wrapText="0" shrinkToFit="0" readingOrder="0"/>
    </dxf>
    <dxf>
      <font>
        <u val="none"/>
        <strike val="0"/>
        <sz val="12"/>
        <name val="Arial"/>
        <family val="2"/>
        <color theme="0"/>
      </font>
      <fill>
        <patternFill patternType="solid">
          <bgColor theme="3"/>
        </patternFill>
      </fill>
    </dxf>
    <dxf>
      <font>
        <u val="none"/>
        <strike val="0"/>
        <sz val="12"/>
        <name val="Arial"/>
        <family val="2"/>
        <color theme="0"/>
      </font>
      <fill>
        <patternFill patternType="solid">
          <bgColor theme="3"/>
        </patternFill>
      </fill>
    </dxf>
    <dxf>
      <font>
        <b val="0"/>
      </font>
    </dxf>
    <dxf>
      <font>
        <b val="0"/>
      </font>
    </dxf>
    <dxf>
      <font>
        <b val="0"/>
      </font>
    </dxf>
    <dxf>
      <font>
        <b val="0"/>
      </font>
    </dxf>
    <dxf>
      <font>
        <b val="0"/>
        <u val="none"/>
        <strike val="0"/>
        <sz val="11"/>
        <name val="Arial"/>
        <family val="2"/>
        <color theme="0"/>
      </font>
      <fill>
        <patternFill patternType="solid">
          <bgColor theme="3"/>
        </patternFill>
      </fill>
    </dxf>
    <dxf>
      <font>
        <b/>
        <i val="0"/>
        <color theme="3"/>
      </font>
      <fill>
        <patternFill>
          <bgColor theme="6"/>
        </patternFill>
      </fill>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ont>
        <b/>
        <i val="0"/>
        <color theme="3"/>
      </font>
      <fill>
        <patternFill>
          <bgColor theme="6"/>
        </patternFill>
      </fill>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numFmt numFmtId="179" formatCode="_(#,##0.0_);\(#,##0.0\);_(0.0_);_-@_-"/>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9" formatCode="_(#,##0.0_);\(#,##0.0\);_(0.0_);_-@_-"/>
    </dxf>
    <dxf>
      <font>
        <b/>
        <i val="0"/>
        <color theme="3"/>
      </font>
      <fill>
        <patternFill>
          <bgColor theme="6"/>
        </patternFill>
      </fill>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font>
        <b/>
        <i val="0"/>
        <color theme="7" tint="-0.499969989061356"/>
      </font>
      <fill>
        <patternFill>
          <bgColor rgb="FFD9E1C1"/>
        </patternFill>
      </fill>
    </dxf>
    <dxf>
      <font>
        <b/>
        <i val="0"/>
        <color theme="7" tint="-0.499969989061356"/>
      </font>
      <fill>
        <patternFill>
          <bgColor rgb="FFD9E1C1"/>
        </patternFill>
      </fill>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font>
        <b/>
        <i val="0"/>
        <color theme="7" tint="-0.499969989061356"/>
      </font>
      <fill>
        <patternFill>
          <bgColor rgb="FFD9E1C1"/>
        </patternFill>
      </fill>
    </dxf>
    <dxf>
      <numFmt numFmtId="22" formatCode="mmm\-yy"/>
    </dxf>
    <dxf>
      <numFmt numFmtId="177" formatCode="_(0.0%_);\(0.0%\);_(0.0%_);_-@_-"/>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22" formatCode="mmm\-yy"/>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ont>
        <b/>
        <i val="0"/>
        <color theme="3"/>
      </font>
      <fill>
        <patternFill>
          <bgColor theme="6"/>
        </patternFill>
      </fill>
    </dxf>
    <dxf>
      <fill>
        <patternFill>
          <bgColor rgb="FFFF7C80"/>
        </patternFill>
      </fill>
    </dxf>
    <dxf>
      <fill>
        <patternFill>
          <bgColor rgb="FFFF7C80"/>
        </patternFill>
      </fill>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5"/>
        </patternFill>
      </fill>
    </dxf>
    <dxf>
      <font>
        <b/>
        <i val="0"/>
        <color theme="0"/>
      </font>
      <fill>
        <patternFill>
          <bgColor theme="3"/>
        </patternFill>
      </fill>
    </dxf>
    <dxf>
      <numFmt numFmtId="177" formatCode="_(0.0%_);\(0.0%\);_(0.0%_);_-@_-"/>
    </dxf>
    <dxf>
      <numFmt numFmtId="22" formatCode="mmm\-yy"/>
    </dxf>
    <dxf>
      <numFmt numFmtId="179" formatCode="_(#,##0.0_);\(#,##0.0\);_(0.0_);_-@_-"/>
    </dxf>
    <dxf>
      <font>
        <b/>
        <i val="0"/>
        <color theme="3"/>
      </font>
      <fill>
        <patternFill>
          <bgColor theme="5"/>
        </patternFill>
      </fill>
    </dxf>
    <dxf>
      <font>
        <b/>
        <i val="0"/>
        <color theme="0"/>
      </font>
      <fill>
        <patternFill>
          <bgColor theme="3"/>
        </patternFill>
      </fill>
    </dxf>
    <dxf>
      <font>
        <b/>
        <i val="0"/>
        <color theme="3"/>
      </font>
      <fill>
        <patternFill>
          <bgColor theme="6"/>
        </patternFill>
      </fill>
    </dxf>
    <dxf>
      <font>
        <b/>
        <i val="0"/>
        <color theme="3"/>
      </font>
      <fill>
        <patternFill>
          <bgColor theme="6"/>
        </patternFill>
      </fill>
    </dxf>
    <dxf>
      <fill>
        <patternFill>
          <bgColor rgb="FFFF6699"/>
        </patternFill>
      </fill>
    </dxf>
    <dxf>
      <fill>
        <patternFill>
          <bgColor rgb="FFFF7C80"/>
        </patternFill>
      </fill>
    </dxf>
    <dxf>
      <fill>
        <patternFill>
          <bgColor rgb="FFFF7C80"/>
        </patternFill>
      </fill>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u val="none"/>
        <strike val="0"/>
        <sz val="12"/>
        <name val="Arial"/>
        <family val="2"/>
        <color auto="1"/>
      </font>
      <fill>
        <patternFill>
          <bgColor theme="0" tint="-0.0499799996614456"/>
        </patternFill>
      </fill>
      <alignment horizontal="left" vertical="center" textRotation="0" wrapText="1" indent="1" shrinkToFit="0" readingOrder="0"/>
    </dxf>
    <dxf>
      <font>
        <b val="0"/>
        <i val="0"/>
        <u val="none"/>
        <strike val="0"/>
        <sz val="12"/>
        <name val="Arial"/>
        <family val="2"/>
        <color auto="1"/>
      </font>
      <fill>
        <patternFill patternType="solid">
          <bgColor theme="0" tint="-0.0499799996614456"/>
        </patternFill>
      </fill>
      <alignment horizontal="left" vertical="center" textRotation="0" wrapText="1" indent="1" shrinkToFit="0" readingOrder="0"/>
    </dxf>
    <dxf>
      <font>
        <u val="none"/>
        <strike val="0"/>
        <sz val="12"/>
        <name val="Arial"/>
        <family val="2"/>
        <color auto="1"/>
      </font>
      <fill>
        <patternFill patternType="solid">
          <bgColor theme="0" tint="-0.0499799996614456"/>
        </patternFill>
      </fill>
      <alignment horizontal="left" vertical="center" textRotation="0" wrapText="1" indent="1" shrinkToFit="0" readingOrder="0"/>
    </dxf>
    <dxf>
      <font>
        <u val="none"/>
        <strike val="0"/>
        <sz val="12"/>
        <name val="Arial"/>
        <family val="2"/>
        <color auto="1"/>
      </font>
      <alignment horizontal="left" vertical="center" textRotation="0" wrapText="1" shrinkToFit="0" readingOrder="0"/>
    </dxf>
    <dxf>
      <fill>
        <patternFill patternType="solid">
          <bgColor theme="0" tint="-0.0499799996614456"/>
        </patternFill>
      </fill>
      <alignment horizontal="left" vertical="center" textRotation="0" wrapText="1" indent="1" shrinkToFit="0" readingOrder="0"/>
    </dxf>
    <dxf>
      <fill>
        <patternFill>
          <bgColor theme="0" tint="-0.0499799996614456"/>
        </patternFill>
      </fill>
      <alignment horizontal="left" vertical="center" textRotation="0" wrapText="1" indent="1" shrinkToFit="0" readingOrder="0"/>
    </dxf>
    <dxf>
      <border>
        <bottom style="thin">
          <color theme="0" tint="-0.249970003962517"/>
        </bottom>
      </border>
    </dxf>
    <dxf>
      <fill>
        <patternFill>
          <bgColor theme="0" tint="-0.0499799996614456"/>
        </patternFill>
      </fill>
      <alignment horizontal="left" vertical="center" textRotation="0" wrapText="1" indent="1" shrinkToFit="0" readingOrder="0"/>
    </dxf>
    <dxf>
      <font>
        <b/>
        <u val="none"/>
        <strike val="0"/>
        <sz val="12"/>
        <name val="Arial"/>
        <family val="2"/>
        <color theme="0"/>
      </font>
      <fill>
        <patternFill patternType="solid">
          <bgColor theme="3"/>
        </patternFill>
      </fill>
    </dxf>
    <dxf>
      <font>
        <strike val="0"/>
        <sz val="12"/>
        <name val="Arial"/>
        <family val="2"/>
        <color theme="1"/>
      </font>
      <alignment horizontal="left" vertical="top" textRotation="0" wrapText="1" shrinkToFit="0" readingOrder="1"/>
      <border>
        <left style="thin">
          <color theme="0" tint="-0.249939993023872"/>
        </left>
        <right/>
        <top style="thin">
          <color theme="0" tint="-0.249939993023872"/>
        </top>
        <bottom style="thin">
          <color theme="0" tint="-0.249939993023872"/>
        </bottom>
      </border>
      <protection hidden="1" locked="0"/>
    </dxf>
    <dxf>
      <font>
        <strike val="0"/>
        <sz val="12"/>
        <name val="Arial"/>
        <family val="2"/>
      </font>
      <alignment horizontal="left" vertical="center" textRotation="0" wrapText="1" shrinkToFit="0" readingOrder="1"/>
      <border>
        <left style="thin">
          <color theme="0" tint="-0.249939993023872"/>
        </left>
        <right style="thin">
          <color theme="0" tint="-0.249939993023872"/>
        </right>
        <top style="thin">
          <color theme="0" tint="-0.249939993023872"/>
        </top>
        <bottom style="thin">
          <color theme="0" tint="-0.249939993023872"/>
        </bottom>
      </border>
    </dxf>
    <dxf>
      <font>
        <b val="0"/>
        <i val="0"/>
        <u val="none"/>
        <strike val="0"/>
        <sz val="12"/>
        <name val="Arial"/>
        <family val="2"/>
        <color rgb="FF000000"/>
      </font>
      <alignment horizontal="center" vertical="center" textRotation="0" wrapText="1" shrinkToFit="0" readingOrder="1"/>
      <border>
        <left style="thin">
          <color theme="0" tint="-0.249939993023872"/>
        </left>
        <right style="thin">
          <color theme="0" tint="-0.249939993023872"/>
        </right>
        <top style="thin">
          <color theme="0" tint="-0.249939993023872"/>
        </top>
        <bottom style="thin">
          <color theme="0" tint="-0.249939993023872"/>
        </bottom>
        <vertical style="thin">
          <color theme="0" tint="-0.249939993023872"/>
        </vertical>
        <horizontal style="thin">
          <color theme="0" tint="-0.249939993023872"/>
        </horizontal>
      </border>
    </dxf>
    <dxf>
      <font>
        <b val="0"/>
        <i val="0"/>
        <u val="none"/>
        <strike val="0"/>
        <sz val="12"/>
        <name val="Arial"/>
        <family val="2"/>
        <color rgb="FF000000"/>
      </font>
      <alignment horizontal="left" vertical="center" textRotation="0" wrapText="1" shrinkToFit="0" readingOrder="1"/>
      <border>
        <left style="thin">
          <color theme="0" tint="-0.249939993023872"/>
        </left>
        <right style="thin">
          <color theme="0" tint="-0.249939993023872"/>
        </right>
        <top style="thin">
          <color theme="0" tint="-0.249939993023872"/>
        </top>
        <bottom style="thin">
          <color theme="0" tint="-0.249939993023872"/>
        </bottom>
        <vertical style="thin">
          <color theme="0" tint="-0.249939993023872"/>
        </vertical>
        <horizontal style="thin">
          <color theme="0" tint="-0.249939993023872"/>
        </horizontal>
      </border>
    </dxf>
    <dxf>
      <font>
        <b val="0"/>
        <i val="0"/>
        <u val="none"/>
        <strike val="0"/>
        <sz val="12"/>
        <name val="Arial"/>
        <family val="2"/>
        <color rgb="FF000000"/>
      </font>
      <alignment horizontal="left" vertical="center" textRotation="0" wrapText="1" shrinkToFit="0" readingOrder="1"/>
      <border>
        <left/>
        <right style="thin">
          <color theme="0" tint="-0.249939993023872"/>
        </right>
        <top style="thin">
          <color theme="0" tint="-0.249939993023872"/>
        </top>
        <bottom style="thin">
          <color theme="0" tint="-0.249939993023872"/>
        </bottom>
        <vertical style="thin">
          <color theme="0" tint="-0.249939993023872"/>
        </vertical>
        <horizontal style="thin">
          <color theme="0" tint="-0.249939993023872"/>
        </horizontal>
      </border>
    </dxf>
    <dxf>
      <border>
        <top style="thin">
          <color theme="0" tint="-0.249939993023872"/>
        </top>
      </border>
    </dxf>
    <dxf>
      <border>
        <left style="thin">
          <color theme="0" tint="-0.249939993023872"/>
        </left>
        <right style="thin">
          <color theme="0" tint="-0.249939993023872"/>
        </right>
        <top style="thin">
          <color theme="0" tint="-0.249939993023872"/>
        </top>
        <bottom style="thin">
          <color theme="0" tint="-0.249939993023872"/>
        </bottom>
      </border>
    </dxf>
    <dxf>
      <font>
        <strike val="0"/>
        <sz val="12"/>
        <name val="Arial"/>
        <family val="2"/>
      </font>
    </dxf>
    <dxf>
      <border>
        <bottom style="thin">
          <color theme="0" tint="-0.249939993023872"/>
        </bottom>
      </border>
    </dxf>
    <dxf>
      <font>
        <b/>
        <i val="0"/>
        <u val="none"/>
        <strike val="0"/>
        <sz val="12"/>
        <name val="Arial"/>
        <family val="2"/>
        <color rgb="FFFFFFFF"/>
      </font>
      <fill>
        <patternFill patternType="solid">
          <fgColor rgb="FF000000"/>
          <bgColor theme="3"/>
        </patternFill>
      </fill>
      <alignment horizontal="center" vertical="center" textRotation="0" wrapText="0" shrinkToFit="0" readingOrder="1"/>
      <border>
        <left style="thin">
          <color theme="0" tint="-0.249939993023872"/>
        </left>
        <right style="thin">
          <color theme="0" tint="-0.249939993023872"/>
        </right>
        <top/>
        <bottom/>
        <vertical style="thin">
          <color theme="0" tint="-0.249939993023872"/>
        </vertical>
        <horizontal style="thin">
          <color theme="0" tint="-0.249939993023872"/>
        </horizontal>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fgColor theme="5" tint="0.799979984760284"/>
          <bgColor theme="5" tint="0.799979984760284"/>
        </patternFill>
      </fill>
    </dxf>
    <dxf>
      <fill>
        <patternFill patternType="solid">
          <fgColor theme="5" tint="0.799979984760284"/>
          <bgColor theme="5" tint="0.799979984760284"/>
        </patternFill>
      </fill>
    </dxf>
    <dxf>
      <font>
        <b/>
        <color theme="1"/>
      </font>
    </dxf>
    <dxf>
      <font>
        <b/>
        <color theme="1"/>
      </font>
    </dxf>
    <dxf>
      <font>
        <b/>
        <color theme="1"/>
      </font>
      <border>
        <top style="double">
          <color theme="5"/>
        </top>
      </border>
    </dxf>
    <dxf>
      <font>
        <color theme="1"/>
      </font>
      <fill>
        <patternFill patternType="solid">
          <fgColor theme="5"/>
          <bgColor theme="5"/>
        </patternFill>
      </fill>
    </dxf>
    <dxf>
      <font>
        <color theme="1"/>
      </font>
      <border>
        <left style="thin">
          <color theme="5" tint="0.399980008602142"/>
        </left>
        <right style="thin">
          <color theme="5" tint="0.399980008602142"/>
        </right>
        <top style="thin">
          <color theme="5" tint="0.399980008602142"/>
        </top>
        <bottom style="thin">
          <color theme="5" tint="0.399980008602142"/>
        </bottom>
        <horizontal style="thin">
          <color theme="5" tint="0.399980008602142"/>
        </horizontal>
      </border>
    </dxf>
    <dxf>
      <border diagonalDown="0">
        <top style="thin">
          <color theme="0" tint="-0.149959996342659"/>
        </top>
        <diagonal style="thin">
          <color theme="0" tint="-0.149959996342659"/>
        </diagonal>
      </border>
    </dxf>
    <dxf>
      <border>
        <top style="thin">
          <color theme="0" tint="-0.149959996342659"/>
        </top>
      </border>
    </dxf>
    <dxf>
      <fill>
        <patternFill>
          <bgColor rgb="FFE8E8E8"/>
        </patternFill>
      </fill>
    </dxf>
    <dxf>
      <font>
        <b/>
        <color theme="1"/>
      </font>
      <border>
        <top style="double">
          <color theme="6"/>
        </top>
      </border>
    </dxf>
    <dxf>
      <font>
        <b/>
        <i val="0"/>
        <color theme="1"/>
      </font>
      <fill>
        <patternFill patternType="solid">
          <fgColor theme="6"/>
          <bgColor theme="2"/>
        </patternFill>
      </fill>
      <border>
        <left style="thin">
          <color theme="0" tint="-0.249939993023872"/>
        </left>
        <right style="thin">
          <color theme="0" tint="-0.249939993023872"/>
        </right>
        <top style="thin">
          <color theme="0" tint="-0.249939993023872"/>
        </top>
        <bottom style="thin">
          <color theme="0" tint="-0.249939993023872"/>
        </bottom>
      </border>
    </dxf>
    <dxf>
      <font>
        <color theme="1"/>
      </font>
      <fill>
        <patternFill>
          <bgColor theme="0" tint="-0.0499799996614456"/>
        </patternFill>
      </fill>
      <border>
        <left style="thin">
          <color theme="0" tint="-0.249939993023872"/>
        </left>
        <right style="thin">
          <color theme="0" tint="-0.249939993023872"/>
        </right>
        <top style="thin">
          <color theme="0" tint="-0.249939993023872"/>
        </top>
        <bottom style="thin">
          <color theme="0" tint="-0.249939993023872"/>
        </bottom>
      </border>
    </dxf>
    <dxf>
      <font>
        <b/>
        <color theme="1"/>
      </font>
      <border>
        <left/>
        <right/>
        <top/>
        <bottom/>
      </border>
    </dxf>
    <dxf>
      <font>
        <color theme="1"/>
      </font>
      <fill>
        <patternFill>
          <bgColor theme="0" tint="-0.0499799996614456"/>
        </patternFill>
      </fill>
      <border>
        <left/>
        <right/>
        <top/>
        <bottom/>
      </border>
    </dxf>
    <dxf>
      <font>
        <b/>
        <color theme="1"/>
      </font>
      <border>
        <left/>
        <right/>
        <top/>
        <bottom/>
      </border>
    </dxf>
    <dxf>
      <font>
        <color theme="1"/>
      </font>
      <border>
        <left/>
        <right/>
        <top/>
        <bottom/>
      </border>
    </dxf>
    <dxf>
      <font>
        <b/>
        <color theme="1"/>
      </font>
      <border>
        <bottom style="thin">
          <color theme="4"/>
        </bottom>
      </border>
    </dxf>
    <dxf>
      <font>
        <color theme="1"/>
      </font>
      <border>
        <left/>
        <right/>
        <top/>
        <bottom/>
      </border>
    </dxf>
    <dxf>
      <border diagonalDown="0">
        <top style="thin">
          <color theme="0" tint="-0.149959996342659"/>
        </top>
        <diagonal style="thin">
          <color theme="0" tint="-0.149959996342659"/>
        </diagonal>
      </border>
    </dxf>
    <dxf>
      <border>
        <top style="thin">
          <color theme="0" tint="-0.149959996342659"/>
        </top>
      </border>
    </dxf>
    <dxf>
      <font>
        <b/>
        <i val="0"/>
        <color theme="3"/>
      </font>
      <fill>
        <patternFill>
          <bgColor theme="5" tint="0.399949997663498"/>
        </patternFill>
      </fill>
    </dxf>
    <dxf>
      <font>
        <b/>
        <color theme="1"/>
      </font>
      <border>
        <top style="double">
          <color theme="0" tint="-0.249939993023872"/>
        </top>
        <bottom style="thin">
          <color theme="0" tint="-0.249939993023872"/>
        </bottom>
      </border>
    </dxf>
    <dxf>
      <font>
        <b/>
        <i val="0"/>
        <color theme="0"/>
      </font>
      <fill>
        <patternFill patternType="solid">
          <fgColor theme="6"/>
          <bgColor rgb="FF0070C0"/>
        </patternFill>
      </fill>
      <border>
        <left style="thin">
          <color theme="0" tint="-0.249939993023872"/>
        </left>
        <right style="thin">
          <color theme="0" tint="-0.249939993023872"/>
        </right>
        <top style="thin">
          <color theme="0" tint="-0.249939993023872"/>
        </top>
        <bottom style="thin">
          <color theme="0" tint="-0.249939993023872"/>
        </bottom>
      </border>
    </dxf>
    <dxf>
      <font>
        <color theme="1"/>
      </font>
      <fill>
        <patternFill>
          <bgColor rgb="FFE6EDF2"/>
        </patternFill>
      </fill>
      <border>
        <left style="thin">
          <color theme="0" tint="-0.249939993023872"/>
        </left>
        <right style="thin">
          <color theme="0" tint="-0.249939993023872"/>
        </right>
        <top style="thin">
          <color theme="0" tint="-0.249939993023872"/>
        </top>
        <bottom style="thin">
          <color theme="0" tint="-0.249939993023872"/>
        </bottom>
      </border>
    </dxf>
    <dxf>
      <border diagonalDown="0">
        <top style="thin">
          <color theme="0" tint="-0.149959996342659"/>
        </top>
        <diagonal style="thin">
          <color theme="0" tint="-0.149959996342659"/>
        </diagonal>
      </border>
    </dxf>
    <dxf>
      <border>
        <top style="thin">
          <color theme="0" tint="-0.149959996342659"/>
        </top>
      </border>
    </dxf>
    <dxf>
      <font>
        <b/>
        <i val="0"/>
        <color theme="7" tint="-0.499969989061356"/>
      </font>
      <fill>
        <patternFill>
          <bgColor rgb="FFD2E4DF"/>
        </patternFill>
      </fill>
    </dxf>
    <dxf>
      <font>
        <b/>
        <color theme="1"/>
      </font>
      <border>
        <top style="double">
          <color theme="0" tint="-0.249939993023872"/>
        </top>
        <bottom style="thin">
          <color theme="0" tint="-0.249939993023872"/>
        </bottom>
      </border>
    </dxf>
    <dxf>
      <font>
        <b/>
        <i val="0"/>
        <color theme="0"/>
      </font>
      <fill>
        <patternFill patternType="solid">
          <fgColor theme="6"/>
          <bgColor theme="7"/>
        </patternFill>
      </fill>
      <border>
        <left style="thin">
          <color theme="0" tint="-0.249939993023872"/>
        </left>
        <right style="thin">
          <color theme="0" tint="-0.249939993023872"/>
        </right>
        <top style="thin">
          <color theme="0" tint="-0.249939993023872"/>
        </top>
        <bottom style="thin">
          <color theme="0" tint="-0.249939993023872"/>
        </bottom>
      </border>
    </dxf>
    <dxf>
      <font>
        <color theme="1"/>
      </font>
      <fill>
        <patternFill>
          <bgColor rgb="FFEFF5F0"/>
        </patternFill>
      </fill>
      <border>
        <left style="thin">
          <color theme="0" tint="-0.249939993023872"/>
        </left>
        <right style="thin">
          <color theme="0" tint="-0.249939993023872"/>
        </right>
        <top style="thin">
          <color theme="0" tint="-0.249939993023872"/>
        </top>
        <bottom style="thin">
          <color theme="0" tint="-0.249939993023872"/>
        </bottom>
      </border>
    </dxf>
  </dxfs>
  <tableStyles count="8" defaultTableStyle="TableStyleLight11 2 2" defaultPivotStyle="PivotStyleLight16">
    <tableStyle name="GreenTable" pivot="0" table="0" count="6">
      <tableStyleElement type="wholeTable" dxfId="4257"/>
      <tableStyleElement type="headerRow" dxfId="4256"/>
      <tableStyleElement type="totalRow" dxfId="4255"/>
      <tableStyleElement type="firstColumn" dxfId="4254"/>
      <tableStyleElement type="firstRowStripe" dxfId="4253"/>
      <tableStyleElement type="secondRowStripe" dxfId="4252"/>
    </tableStyle>
    <tableStyle name="GreenTable 2" pivot="0" table="0" count="6">
      <tableStyleElement type="wholeTable" dxfId="4251"/>
      <tableStyleElement type="headerRow" dxfId="4250"/>
      <tableStyleElement type="totalRow" dxfId="4249"/>
      <tableStyleElement type="firstColumn" dxfId="4248"/>
      <tableStyleElement type="firstRowStripe" dxfId="4247"/>
      <tableStyleElement type="secondRowStripe" dxfId="4246"/>
    </tableStyle>
    <tableStyle name="Invisible" pivot="0" table="0"/>
    <tableStyle name="SlicerStyleLight1 2" pivot="0" table="0" count="2">
      <tableStyleElement type="wholeTable" dxfId="4245"/>
      <tableStyleElement type="headerRow" dxfId="4244"/>
    </tableStyle>
    <tableStyle name="SlicerStyleLight1 3" pivot="0" table="0" count="2">
      <tableStyleElement type="wholeTable" dxfId="4243"/>
      <tableStyleElement type="headerRow" dxfId="4242"/>
    </tableStyle>
    <tableStyle name="SlicerStyleLight1 3 2" pivot="0" table="0" count="2">
      <tableStyleElement type="wholeTable" dxfId="4241"/>
      <tableStyleElement type="headerRow" dxfId="4240"/>
    </tableStyle>
    <tableStyle name="TableStyleLight11 2 2" pivot="0" table="0" count="6">
      <tableStyleElement type="wholeTable" dxfId="4239"/>
      <tableStyleElement type="headerRow" dxfId="4238"/>
      <tableStyleElement type="totalRow" dxfId="4237"/>
      <tableStyleElement type="firstColumn" dxfId="4236"/>
      <tableStyleElement type="firstRowStripe" dxfId="4235"/>
      <tableStyleElement type="secondRowStripe" dxfId="4234"/>
    </tableStyle>
    <tableStyle name="TableStyleMedium3 2" pivot="0" table="0" count="7">
      <tableStyleElement type="wholeTable" dxfId="4233"/>
      <tableStyleElement type="headerRow" dxfId="4232"/>
      <tableStyleElement type="totalRow" dxfId="4231"/>
      <tableStyleElement type="firstColumn" dxfId="4230"/>
      <tableStyleElement type="lastColumn" dxfId="4229"/>
      <tableStyleElement type="firstRowStripe" dxfId="4228"/>
      <tableStyleElement type="firstColumnStripe" dxfId="42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46F421CA-312F-682f-3DD2-61675219B42D}">
      <x14:dxfs count="24">
        <dxf>
          <fill>
            <patternFill>
              <bgColor theme="0" tint="-0.0499799996614456"/>
            </patternFill>
          </fill>
        </dxf>
        <dxf>
          <fill>
            <patternFill>
              <bgColor theme="0" tint="-0.0499799996614456"/>
            </patternFill>
          </fill>
        </dxf>
        <dxf>
          <font>
            <color rgb="FF000000"/>
          </font>
          <fill>
            <patternFill patternType="solid">
              <bgColor theme="6"/>
            </patternFill>
          </fill>
          <border>
            <left style="thin">
              <color rgb="FF999999"/>
            </left>
            <right style="thin">
              <color rgb="FF999999"/>
            </right>
            <top style="thin">
              <color rgb="FF999999"/>
            </top>
            <bottom style="thin">
              <color rgb="FF999999"/>
            </bottom>
          </border>
        </dxf>
        <dxf>
          <fill>
            <patternFill>
              <bgColor theme="0" tint="-0.0499799996614456"/>
            </patternFill>
          </fill>
        </dxf>
        <dxf>
          <font>
            <color rgb="FF828282"/>
          </font>
          <fill>
            <patternFill patternType="solid">
              <bgColor theme="0" tint="-0.0499799996614456"/>
            </patternFill>
          </fill>
          <border>
            <left style="thin">
              <color rgb="FFCCCCCC"/>
            </left>
            <right style="thin">
              <color rgb="FFCCCCCC"/>
            </right>
            <top style="thin">
              <color rgb="FFCCCCCC"/>
            </top>
            <bottom style="thin">
              <color rgb="FFCCCCCC"/>
            </bottom>
          </border>
        </dxf>
        <dxf>
          <font>
            <b/>
            <i val="0"/>
            <color theme="0"/>
          </font>
          <fill>
            <gradientFill degree="90">
              <stop position="0">
                <color theme="3"/>
              </stop>
              <stop position="1">
                <color theme="6" tint="-0.498019993305206"/>
              </stop>
            </gradientFill>
          </fill>
          <border>
            <left style="thin">
              <color rgb="FF999999"/>
            </left>
            <right style="thin">
              <color rgb="FF999999"/>
            </right>
            <top style="thin">
              <color rgb="FF999999"/>
            </top>
            <bottom style="thin">
              <color rgb="FF999999"/>
            </bottom>
          </border>
        </dxf>
        <dxf>
          <font>
            <color rgb="FF828282"/>
          </font>
          <fill>
            <patternFill patternType="solid">
              <fgColor rgb="FFFFFFFF"/>
              <bgColor theme="0" tint="-0.0499799996614456"/>
            </patternFill>
          </fill>
          <border>
            <left style="thin">
              <color rgb="FFE0E0E0"/>
            </left>
            <right style="thin">
              <color rgb="FFE0E0E0"/>
            </right>
            <top style="thin">
              <color rgb="FFE0E0E0"/>
            </top>
            <bottom style="thin">
              <color rgb="FFE0E0E0"/>
            </bottom>
          </border>
        </dxf>
        <dxf>
          <font>
            <color rgb="FF000000"/>
          </font>
          <fill>
            <patternFill patternType="solid">
              <fgColor rgb="FFFFFFFF"/>
              <bgColor theme="0" tint="-0.0499799996614456"/>
            </patternFill>
          </fill>
          <border>
            <left style="thin">
              <color rgb="FFCCCCCC"/>
            </left>
            <right style="thin">
              <color rgb="FFCCCCCC"/>
            </right>
            <top style="thin">
              <color rgb="FFCCCCCC"/>
            </top>
            <bottom style="thin">
              <color rgb="FFCCCCCC"/>
            </bottom>
          </border>
        </dxf>
        <dxf>
          <fill>
            <patternFill>
              <bgColor theme="0" tint="-0.0499799996614456"/>
            </patternFill>
          </fill>
        </dxf>
        <dxf>
          <fill>
            <patternFill>
              <bgColor theme="0" tint="-0.0499799996614456"/>
            </patternFill>
          </fill>
        </dxf>
        <dxf>
          <font>
            <color rgb="FF000000"/>
          </font>
          <fill>
            <patternFill patternType="solid">
              <bgColor theme="6"/>
            </patternFill>
          </fill>
          <border>
            <left style="thin">
              <color rgb="FF999999"/>
            </left>
            <right style="thin">
              <color rgb="FF999999"/>
            </right>
            <top style="thin">
              <color rgb="FF999999"/>
            </top>
            <bottom style="thin">
              <color rgb="FF999999"/>
            </bottom>
          </border>
        </dxf>
        <dxf>
          <fill>
            <patternFill>
              <bgColor theme="0" tint="-0.0499799996614456"/>
            </patternFill>
          </fill>
        </dxf>
        <dxf>
          <font>
            <color rgb="FF828282"/>
          </font>
          <fill>
            <patternFill patternType="solid">
              <bgColor theme="0" tint="-0.0499799996614456"/>
            </patternFill>
          </fill>
          <border>
            <left style="thin">
              <color rgb="FFCCCCCC"/>
            </left>
            <right style="thin">
              <color rgb="FFCCCCCC"/>
            </right>
            <top style="thin">
              <color rgb="FFCCCCCC"/>
            </top>
            <bottom style="thin">
              <color rgb="FFCCCCCC"/>
            </bottom>
          </border>
        </dxf>
        <dxf>
          <font>
            <color rgb="FF000000"/>
          </font>
          <fill>
            <gradientFill degree="90">
              <stop position="0">
                <color theme="3"/>
              </stop>
              <stop position="1">
                <color theme="5"/>
              </stop>
            </gradientFill>
          </fill>
          <border>
            <left style="thin">
              <color rgb="FF999999"/>
            </left>
            <right style="thin">
              <color rgb="FF999999"/>
            </right>
            <top style="thin">
              <color rgb="FF999999"/>
            </top>
            <bottom style="thin">
              <color rgb="FF999999"/>
            </bottom>
          </border>
        </dxf>
        <dxf>
          <font>
            <color rgb="FF828282"/>
          </font>
          <fill>
            <patternFill patternType="solid">
              <fgColor rgb="FFFFFFFF"/>
              <bgColor theme="0" tint="-0.0499799996614456"/>
            </patternFill>
          </fill>
          <border>
            <left style="thin">
              <color rgb="FFE0E0E0"/>
            </left>
            <right style="thin">
              <color rgb="FFE0E0E0"/>
            </right>
            <top style="thin">
              <color rgb="FFE0E0E0"/>
            </top>
            <bottom style="thin">
              <color rgb="FFE0E0E0"/>
            </bottom>
          </border>
        </dxf>
        <dxf>
          <font>
            <color rgb="FF000000"/>
          </font>
          <fill>
            <patternFill patternType="solid">
              <fgColor rgb="FFFFFFFF"/>
              <bgColor theme="0" tint="-0.0499799996614456"/>
            </patternFill>
          </fill>
          <border>
            <left style="thin">
              <color rgb="FFCCCCCC"/>
            </left>
            <right style="thin">
              <color rgb="FFCCCCCC"/>
            </right>
            <top style="thin">
              <color rgb="FFCCCCCC"/>
            </top>
            <bottom style="thin">
              <color rgb="FFCCCCCC"/>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828282"/>
          </font>
          <fill>
            <patternFill patternType="solid">
              <fgColor theme="4" tint="0.799979984760284"/>
              <bgColor theme="4" tint="0.799979984760284"/>
            </patternFill>
          </fill>
          <border>
            <left style="thin">
              <color rgb="FFCCCCCC"/>
            </left>
            <right style="thin">
              <color rgb="FFCCCCCC"/>
            </right>
            <top style="thin">
              <color rgb="FFCCCCCC"/>
            </top>
            <bottom style="thin">
              <color rgb="FFCCCCCC"/>
            </bottom>
          </border>
        </dxf>
        <dxf>
          <font>
            <b/>
            <i val="0"/>
            <color theme="0"/>
          </font>
          <fill>
            <patternFill patternType="solid">
              <fgColor theme="4" tint="0.599990010261536"/>
              <bgColor theme="4"/>
            </patternFill>
          </fill>
          <border>
            <left style="thin">
              <color rgb="FF999999"/>
            </left>
            <right style="thin">
              <color rgb="FF999999"/>
            </right>
            <top style="thin">
              <color rgb="FF999999"/>
            </top>
            <bottom style="thin">
              <color rgb="FF999999"/>
            </bottom>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3" Type="http://schemas.openxmlformats.org/officeDocument/2006/relationships/customXml" Target="../customXml/item22.xml" /><Relationship Id="rId32" Type="http://schemas.openxmlformats.org/officeDocument/2006/relationships/customXml" Target="../customXml/item11.xml" /><Relationship Id="rId24" Type="http://schemas.openxmlformats.org/officeDocument/2006/relationships/customXml" Target="../customXml/item3.xml" /><Relationship Id="rId7" Type="http://schemas.openxmlformats.org/officeDocument/2006/relationships/worksheet" Target="worksheets/sheet4.xml" /><Relationship Id="rId13" Type="http://schemas.openxmlformats.org/officeDocument/2006/relationships/worksheet" Target="worksheets/sheet10.xml" /><Relationship Id="rId5" Type="http://schemas.openxmlformats.org/officeDocument/2006/relationships/worksheet" Target="worksheets/sheet2.xml" /><Relationship Id="rId36" Type="http://schemas.openxmlformats.org/officeDocument/2006/relationships/customXml" Target="../customXml/item15.xml" /><Relationship Id="rId44" Type="http://schemas.openxmlformats.org/officeDocument/2006/relationships/connections" Target="connections.xml" /><Relationship Id="rId14" Type="http://schemas.openxmlformats.org/officeDocument/2006/relationships/worksheet" Target="worksheets/sheet11.xml" /><Relationship Id="rId28" Type="http://schemas.openxmlformats.org/officeDocument/2006/relationships/customXml" Target="../customXml/item7.xml" /><Relationship Id="rId49" Type="http://schemas.microsoft.com/office/2020/07/relationships/rdRichValueWebImage" Target="richData/rdRichValueWebImage.xml" /><Relationship Id="rId8" Type="http://schemas.openxmlformats.org/officeDocument/2006/relationships/worksheet" Target="worksheets/sheet5.xml" /><Relationship Id="rId31" Type="http://schemas.openxmlformats.org/officeDocument/2006/relationships/customXml" Target="../customXml/item10.xml" /><Relationship Id="rId3" Type="http://schemas.openxmlformats.org/officeDocument/2006/relationships/styles" Target="styles.xml" /><Relationship Id="rId16" Type="http://schemas.openxmlformats.org/officeDocument/2006/relationships/worksheet" Target="worksheets/sheet13.xml" /><Relationship Id="rId48" Type="http://schemas.microsoft.com/office/2022/10/relationships/richValueRel" Target="richData/richValueRel.xml" /><Relationship Id="rId33" Type="http://schemas.openxmlformats.org/officeDocument/2006/relationships/customXml" Target="../customXml/item12.xml" /><Relationship Id="rId19" Type="http://schemas.openxmlformats.org/officeDocument/2006/relationships/worksheet" Target="worksheets/sheet16.xml" /><Relationship Id="rId47" Type="http://schemas.microsoft.com/office/2017/06/relationships/rdRichValueStructure" Target="richData/rdrichvaluestructure.xml" /><Relationship Id="rId23" Type="http://schemas.openxmlformats.org/officeDocument/2006/relationships/customXml" Target="../customXml/item2.xml" /><Relationship Id="rId46" Type="http://schemas.microsoft.com/office/2017/06/relationships/rdRichValueTypes" Target="richData/rdRichValueTypes.xml" /><Relationship Id="rId22" Type="http://schemas.openxmlformats.org/officeDocument/2006/relationships/customXml" Target="../customXml/item1.xml" /><Relationship Id="rId26" Type="http://schemas.openxmlformats.org/officeDocument/2006/relationships/customXml" Target="../customXml/item5.xml" /><Relationship Id="rId42" Type="http://schemas.openxmlformats.org/officeDocument/2006/relationships/customXml" Target="../customXml/item21.xml" /><Relationship Id="rId51" Type="http://schemas.openxmlformats.org/officeDocument/2006/relationships/calcChain" Target="calcChain.xml" /><Relationship Id="rId35" Type="http://schemas.openxmlformats.org/officeDocument/2006/relationships/customXml" Target="../customXml/item14.xml" /><Relationship Id="rId10" Type="http://schemas.openxmlformats.org/officeDocument/2006/relationships/worksheet" Target="worksheets/sheet7.xml" /><Relationship Id="rId12" Type="http://schemas.openxmlformats.org/officeDocument/2006/relationships/worksheet" Target="worksheets/sheet9.xml" /><Relationship Id="rId1" Type="http://schemas.openxmlformats.org/officeDocument/2006/relationships/theme" Target="theme/theme1.xml" /><Relationship Id="rId34" Type="http://schemas.openxmlformats.org/officeDocument/2006/relationships/customXml" Target="../customXml/item13.xml" /><Relationship Id="rId15" Type="http://schemas.openxmlformats.org/officeDocument/2006/relationships/worksheet" Target="worksheets/sheet12.xml" /><Relationship Id="rId37" Type="http://schemas.openxmlformats.org/officeDocument/2006/relationships/customXml" Target="../customXml/item16.xml" /><Relationship Id="rId17" Type="http://schemas.openxmlformats.org/officeDocument/2006/relationships/worksheet" Target="worksheets/sheet14.xml" /><Relationship Id="rId9" Type="http://schemas.openxmlformats.org/officeDocument/2006/relationships/worksheet" Target="worksheets/sheet6.xml" /><Relationship Id="rId39" Type="http://schemas.openxmlformats.org/officeDocument/2006/relationships/customXml" Target="../customXml/item18.xml" /><Relationship Id="rId30" Type="http://schemas.openxmlformats.org/officeDocument/2006/relationships/customXml" Target="../customXml/item9.xml" /><Relationship Id="rId2" Type="http://schemas.microsoft.com/office/2022/11/relationships/FeaturePropertyBag" Target="featurePropertyBag/featurePropertyBag.xml" /><Relationship Id="rId21" Type="http://schemas.openxmlformats.org/officeDocument/2006/relationships/sharedStrings" Target="sharedStrings.xml" /><Relationship Id="rId50" Type="http://schemas.microsoft.com/office/2017/06/relationships/rdRichValue" Target="richData/rdrichvalue.xml" /><Relationship Id="rId41" Type="http://schemas.openxmlformats.org/officeDocument/2006/relationships/customXml" Target="../customXml/item20.xml" /><Relationship Id="rId38" Type="http://schemas.openxmlformats.org/officeDocument/2006/relationships/customXml" Target="../customXml/item17.xml" /><Relationship Id="rId29" Type="http://schemas.openxmlformats.org/officeDocument/2006/relationships/customXml" Target="../customXml/item8.xml" /><Relationship Id="rId27" Type="http://schemas.openxmlformats.org/officeDocument/2006/relationships/customXml" Target="../customXml/item6.xml" /><Relationship Id="rId18" Type="http://schemas.openxmlformats.org/officeDocument/2006/relationships/worksheet" Target="worksheets/sheet15.xml" /><Relationship Id="rId45" Type="http://schemas.openxmlformats.org/officeDocument/2006/relationships/sheetMetadata" Target="metadata.xml" /><Relationship Id="rId4" Type="http://schemas.openxmlformats.org/officeDocument/2006/relationships/worksheet" Target="worksheets/sheet1.xml" /><Relationship Id="rId20" Type="http://schemas.openxmlformats.org/officeDocument/2006/relationships/worksheet" Target="worksheets/sheet17.xml" /><Relationship Id="rId6" Type="http://schemas.openxmlformats.org/officeDocument/2006/relationships/worksheet" Target="worksheets/sheet3.xml" /><Relationship Id="rId40" Type="http://schemas.openxmlformats.org/officeDocument/2006/relationships/customXml" Target="../customXml/item19.xml" /><Relationship Id="rId25" Type="http://schemas.openxmlformats.org/officeDocument/2006/relationships/customXml" Target="../customXml/item4.xml" /><Relationship Id="rId11" Type="http://schemas.openxmlformats.org/officeDocument/2006/relationships/worksheet" Target="worksheets/sheet8.xml" /></Relationships>
</file>

<file path=xl/drawings/_rels/drawing1.xml.rels><?xml version="1.0" encoding="UTF-8" standalone="yes"?><Relationships xmlns="http://schemas.openxmlformats.org/package/2006/relationships"><Relationship Id="rId2" Type="http://schemas.openxmlformats.org/officeDocument/2006/relationships/image" Target="../media/image1.svg" /><Relationship Id="rId6" Type="http://schemas.openxmlformats.org/officeDocument/2006/relationships/image" Target="../media/image2.svg" /><Relationship Id="rId5" Type="http://schemas.openxmlformats.org/officeDocument/2006/relationships/image" Target="../media/image35.png" /><Relationship Id="rId8" Type="http://schemas.openxmlformats.org/officeDocument/2006/relationships/image" Target="../media/image3.svg" /><Relationship Id="rId1" Type="http://schemas.openxmlformats.org/officeDocument/2006/relationships/image" Target="../media/image36.png" /><Relationship Id="rId4" Type="http://schemas.openxmlformats.org/officeDocument/2006/relationships/image" Target="../media/image4.svg" /><Relationship Id="rId7" Type="http://schemas.openxmlformats.org/officeDocument/2006/relationships/image" Target="../media/image37.png" /><Relationship Id="rId3" Type="http://schemas.openxmlformats.org/officeDocument/2006/relationships/image" Target="../media/image38.png" /></Relationships>
</file>

<file path=xl/drawings/_rels/drawing2.xml.rels><?xml version="1.0" encoding="UTF-8" standalone="yes"?><Relationships xmlns="http://schemas.openxmlformats.org/package/2006/relationships"><Relationship Id="rId2" Type="http://schemas.openxmlformats.org/officeDocument/2006/relationships/image" Target="../media/image39.png" /><Relationship Id="rId3" Type="http://schemas.openxmlformats.org/officeDocument/2006/relationships/image" Target="../media/image40.png" /><Relationship Id="rId1" Type="http://schemas.openxmlformats.org/officeDocument/2006/relationships/image" Target="../media/image41.png" /></Relationships>
</file>

<file path=xl/drawings/_rels/drawing3.xml.rels><?xml version="1.0" encoding="UTF-8" standalone="yes"?><Relationships xmlns="http://schemas.openxmlformats.org/package/2006/relationships"><Relationship Id="rId2" Type="http://schemas.openxmlformats.org/officeDocument/2006/relationships/image" Target="../media/image42.png" /><Relationship Id="rId1" Type="http://schemas.openxmlformats.org/officeDocument/2006/relationships/image" Target="../media/image43.png" /></Relationships>
</file>

<file path=xl/drawings/_rels/drawing4.xml.rels><?xml version="1.0" encoding="UTF-8" standalone="yes"?><Relationships xmlns="http://schemas.openxmlformats.org/package/2006/relationships"><Relationship Id="rId1" Type="http://schemas.openxmlformats.org/officeDocument/2006/relationships/image" Target="../media/image44.png" /></Relationships>
</file>

<file path=xl/drawings/_rels/drawing5.xml.rels><?xml version="1.0" encoding="UTF-8" standalone="yes"?><Relationships xmlns="http://schemas.openxmlformats.org/package/2006/relationships"><Relationship Id="rId1" Type="http://schemas.openxmlformats.org/officeDocument/2006/relationships/image" Target="../media/image44.png" /></Relationships>
</file>

<file path=xl/drawings/_rels/drawing8.xml.rels><?xml version="1.0" encoding="UTF-8" standalone="yes"?><Relationships xmlns="http://schemas.openxmlformats.org/package/2006/relationships"><Relationship Id="rId2" Type="http://schemas.openxmlformats.org/officeDocument/2006/relationships/image" Target="../media/image45.png" /><Relationship Id="rId3" Type="http://schemas.openxmlformats.org/officeDocument/2006/relationships/image" Target="../media/image46.png" /><Relationship Id="rId1" Type="http://schemas.openxmlformats.org/officeDocument/2006/relationships/image" Target="../media/image47.png" /></Relationships>
</file>

<file path=xl/drawings/_rels/drawing9.xml.rels><?xml version="1.0" encoding="UTF-8" standalone="yes"?><Relationships xmlns="http://schemas.openxmlformats.org/package/2006/relationships"><Relationship Id="rId2" Type="http://schemas.openxmlformats.org/officeDocument/2006/relationships/image" Target="../media/image5.svg" /><Relationship Id="rId6" Type="http://schemas.openxmlformats.org/officeDocument/2006/relationships/hyperlink" Target="#CF!AC19" /><Relationship Id="rId5" Type="http://schemas.openxmlformats.org/officeDocument/2006/relationships/hyperlink" Target="#BS!AC19" /><Relationship Id="rId1" Type="http://schemas.openxmlformats.org/officeDocument/2006/relationships/image" Target="../media/image48.png" /><Relationship Id="rId4" Type="http://schemas.openxmlformats.org/officeDocument/2006/relationships/hyperlink" Target="#PL!AC19" /><Relationship Id="rId3" Type="http://schemas.openxmlformats.org/officeDocument/2006/relationships/hyperlink" Target="#PL!AC19" /></Relationships>
</file>

<file path=xl/drawings/_rels/drawing10.xml.rels><?xml version="1.0" encoding="UTF-8" standalone="yes"?><Relationships xmlns="http://schemas.openxmlformats.org/package/2006/relationships"><Relationship Id="rId2" Type="http://schemas.openxmlformats.org/officeDocument/2006/relationships/image" Target="../media/image6.svg" /><Relationship Id="rId3" Type="http://schemas.openxmlformats.org/officeDocument/2006/relationships/hyperlink" Target="#PL!Y26" /><Relationship Id="rId1" Type="http://schemas.openxmlformats.org/officeDocument/2006/relationships/image" Target="../media/image49.png" /></Relationships>
</file>

<file path=xl/drawings/_rels/drawing11.xml.rels><?xml version="1.0" encoding="UTF-8" standalone="yes"?><Relationships xmlns="http://schemas.openxmlformats.org/package/2006/relationships"><Relationship Id="rId2" Type="http://schemas.openxmlformats.org/officeDocument/2006/relationships/hyperlink" Target="https://forms.office.com/e/3H3SF4mRFH" TargetMode="External" /><Relationship Id="rId1" Type="http://schemas.openxmlformats.org/officeDocument/2006/relationships/image" Target="../media/image50.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4</xdr:col>
      <xdr:colOff>504825</xdr:colOff>
      <xdr:row>17</xdr:row>
      <xdr:rowOff>123823</xdr:rowOff>
    </xdr:from>
    <xdr:to>
      <xdr:col>5</xdr:col>
      <xdr:colOff>246826</xdr:colOff>
      <xdr:row>19</xdr:row>
      <xdr:rowOff>96963</xdr:rowOff>
    </xdr:to>
    <xdr:grpSp>
      <xdr:nvGrpSpPr>
        <xdr:cNvPr id="2" name="Group 1">
          <a:extLst>
            <a:ext uri="{FF2B5EF4-FFF2-40B4-BE49-F238E27FC236}">
              <a16:creationId xmlns:a16="http://schemas.microsoft.com/office/drawing/2014/main" id="{0476F240-2A2E-44BD-B067-24523BBCEA70}"/>
            </a:ext>
          </a:extLst>
        </xdr:cNvPr>
        <xdr:cNvGrpSpPr>
          <a:grpSpLocks/>
        </xdr:cNvGrpSpPr>
      </xdr:nvGrpSpPr>
      <xdr:grpSpPr>
        <a:xfrm>
          <a:off x="5305425" y="6124575"/>
          <a:ext cx="504825" cy="476250"/>
          <a:chOff x="550527" y="2162175"/>
          <a:chExt cx="604562" cy="596018"/>
        </a:xfrm>
      </xdr:grpSpPr>
      <xdr:sp>
        <xdr:nvSpPr>
          <xdr:cNvPr id="3" name="Rectangle: Rounded Corners 2">
            <a:extLst>
              <a:ext uri="{FF2B5EF4-FFF2-40B4-BE49-F238E27FC236}">
                <a16:creationId xmlns:a16="http://schemas.microsoft.com/office/drawing/2014/main" id="{2615E313-C5FD-DF4E-B822-279E0624332F}"/>
              </a:ext>
            </a:extLst>
          </xdr:cNvPr>
          <xdr:cNvSpPr/>
        </xdr:nvSpPr>
        <xdr:spPr>
          <a:xfrm>
            <a:off x="550527" y="2162175"/>
            <a:ext cx="604562" cy="596018"/>
          </a:xfrm>
          <a:prstGeom prst="roundRect"/>
          <a:solidFill>
            <a:schemeClr val="tx2"/>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pic>
        <xdr:nvPicPr>
          <xdr:cNvPr id="4" name="Graphic 3" descr="Coins outline">
            <a:extLst>
              <a:ext uri="{FF2B5EF4-FFF2-40B4-BE49-F238E27FC236}">
                <a16:creationId xmlns:a16="http://schemas.microsoft.com/office/drawing/2014/main" id="{9F70541C-BEB4-867C-A8F5-F859EF23F863}"/>
              </a:ext>
            </a:extLst>
          </xdr:cNvPr>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638175" y="2238375"/>
            <a:ext cx="390525" cy="390525"/>
          </a:xfrm>
          <a:prstGeom prst="rect"/>
        </xdr:spPr>
      </xdr:pic>
    </xdr:grpSp>
    <xdr:clientData/>
  </xdr:twoCellAnchor>
  <xdr:twoCellAnchor editAs="oneCell">
    <xdr:from>
      <xdr:col>4</xdr:col>
      <xdr:colOff>495300</xdr:colOff>
      <xdr:row>40</xdr:row>
      <xdr:rowOff>138118</xdr:rowOff>
    </xdr:from>
    <xdr:to>
      <xdr:col>5</xdr:col>
      <xdr:colOff>239206</xdr:colOff>
      <xdr:row>42</xdr:row>
      <xdr:rowOff>115068</xdr:rowOff>
    </xdr:to>
    <xdr:grpSp>
      <xdr:nvGrpSpPr>
        <xdr:cNvPr id="5" name="Group 4">
          <a:extLst>
            <a:ext uri="{FF2B5EF4-FFF2-40B4-BE49-F238E27FC236}">
              <a16:creationId xmlns:a16="http://schemas.microsoft.com/office/drawing/2014/main" id="{2923EF5A-265D-4559-846A-7716648B7165}"/>
            </a:ext>
          </a:extLst>
        </xdr:cNvPr>
        <xdr:cNvGrpSpPr>
          <a:grpSpLocks/>
        </xdr:cNvGrpSpPr>
      </xdr:nvGrpSpPr>
      <xdr:grpSpPr>
        <a:xfrm>
          <a:off x="5295900" y="11410950"/>
          <a:ext cx="504825" cy="504825"/>
          <a:chOff x="581025" y="4410075"/>
          <a:chExt cx="604563" cy="627946"/>
        </a:xfrm>
      </xdr:grpSpPr>
      <xdr:sp>
        <xdr:nvSpPr>
          <xdr:cNvPr id="6" name="Rectangle: Rounded Corners 5">
            <a:extLst>
              <a:ext uri="{FF2B5EF4-FFF2-40B4-BE49-F238E27FC236}">
                <a16:creationId xmlns:a16="http://schemas.microsoft.com/office/drawing/2014/main" id="{789E3297-64F5-0405-6EB1-23EEB49A0347}"/>
              </a:ext>
            </a:extLst>
          </xdr:cNvPr>
          <xdr:cNvSpPr/>
        </xdr:nvSpPr>
        <xdr:spPr>
          <a:xfrm>
            <a:off x="581025" y="4410075"/>
            <a:ext cx="604563" cy="627946"/>
          </a:xfrm>
          <a:prstGeom prst="roundRect"/>
          <a:solidFill>
            <a:schemeClr val="tx2"/>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pic>
        <xdr:nvPicPr>
          <xdr:cNvPr id="7" name="Graphic 6" descr="Upward trend outline">
            <a:extLst>
              <a:ext uri="{FF2B5EF4-FFF2-40B4-BE49-F238E27FC236}">
                <a16:creationId xmlns:a16="http://schemas.microsoft.com/office/drawing/2014/main" id="{35C51C24-17FB-10DB-CEE0-B964726F0DA1}"/>
              </a:ext>
            </a:extLst>
          </xdr:cNvPr>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600075" y="4419600"/>
            <a:ext cx="552450" cy="552450"/>
          </a:xfrm>
          <a:prstGeom prst="rect"/>
        </xdr:spPr>
      </xdr:pic>
    </xdr:grpSp>
    <xdr:clientData/>
  </xdr:twoCellAnchor>
  <xdr:twoCellAnchor editAs="oneCell">
    <xdr:from>
      <xdr:col>4</xdr:col>
      <xdr:colOff>504825</xdr:colOff>
      <xdr:row>48</xdr:row>
      <xdr:rowOff>57146</xdr:rowOff>
    </xdr:from>
    <xdr:to>
      <xdr:col>5</xdr:col>
      <xdr:colOff>246826</xdr:colOff>
      <xdr:row>50</xdr:row>
      <xdr:rowOff>37906</xdr:rowOff>
    </xdr:to>
    <xdr:grpSp>
      <xdr:nvGrpSpPr>
        <xdr:cNvPr id="8" name="Group 7">
          <a:extLst>
            <a:ext uri="{FF2B5EF4-FFF2-40B4-BE49-F238E27FC236}">
              <a16:creationId xmlns:a16="http://schemas.microsoft.com/office/drawing/2014/main" id="{918707CF-15D8-42C6-8446-617F94222E30}"/>
            </a:ext>
          </a:extLst>
        </xdr:cNvPr>
        <xdr:cNvGrpSpPr>
          <a:grpSpLocks/>
        </xdr:cNvGrpSpPr>
      </xdr:nvGrpSpPr>
      <xdr:grpSpPr>
        <a:xfrm>
          <a:off x="5305425" y="12992100"/>
          <a:ext cx="504825" cy="485775"/>
          <a:chOff x="657225" y="5591175"/>
          <a:chExt cx="440000" cy="482714"/>
        </a:xfrm>
      </xdr:grpSpPr>
      <xdr:sp>
        <xdr:nvSpPr>
          <xdr:cNvPr id="9" name="Rectangle: Rounded Corners 8">
            <a:extLst>
              <a:ext uri="{FF2B5EF4-FFF2-40B4-BE49-F238E27FC236}">
                <a16:creationId xmlns:a16="http://schemas.microsoft.com/office/drawing/2014/main" id="{CED82A7D-79AF-FE94-55AA-239BDBB4BB44}"/>
              </a:ext>
            </a:extLst>
          </xdr:cNvPr>
          <xdr:cNvSpPr/>
        </xdr:nvSpPr>
        <xdr:spPr>
          <a:xfrm>
            <a:off x="657225" y="5591175"/>
            <a:ext cx="440000" cy="482714"/>
          </a:xfrm>
          <a:prstGeom prst="roundRect"/>
          <a:solidFill>
            <a:schemeClr val="tx2"/>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pic>
        <xdr:nvPicPr>
          <xdr:cNvPr id="10" name="Graphic 9" descr="Dollar with solid fill">
            <a:extLst>
              <a:ext uri="{FF2B5EF4-FFF2-40B4-BE49-F238E27FC236}">
                <a16:creationId xmlns:a16="http://schemas.microsoft.com/office/drawing/2014/main" id="{CA6294AD-C350-47AA-034A-3413C869528E}"/>
              </a:ext>
            </a:extLst>
          </xdr:cNvPr>
          <xdr:cNvPicPr>
            <a:picLocks noChangeAspect="1"/>
          </xdr:cNvPicPr>
        </xdr:nvPicPr>
        <xdr:blipFill>
          <a:blip r:embed="rId5">
            <a:extLst>
              <a:ext uri="{96DAC541-7B7A-43D3-8B79-37D633B846F1}">
                <asvg:svgBlip xmlns:asvg="http://schemas.microsoft.com/office/drawing/2016/SVG/main" r:embed="rId6"/>
              </a:ext>
            </a:extLst>
          </a:blip>
          <a:stretch>
            <a:fillRect/>
          </a:stretch>
        </xdr:blipFill>
        <xdr:spPr>
          <a:xfrm>
            <a:off x="660702" y="5629275"/>
            <a:ext cx="295275" cy="295275"/>
          </a:xfrm>
          <a:prstGeom prst="rect"/>
        </xdr:spPr>
      </xdr:pic>
      <xdr:pic>
        <xdr:nvPicPr>
          <xdr:cNvPr id="11" name="Graphic 10" descr="Dollar with solid fill">
            <a:extLst>
              <a:ext uri="{FF2B5EF4-FFF2-40B4-BE49-F238E27FC236}">
                <a16:creationId xmlns:a16="http://schemas.microsoft.com/office/drawing/2014/main" id="{9A34996F-6D9B-4FBE-090F-E9891ECABA67}"/>
              </a:ext>
            </a:extLst>
          </xdr:cNvPr>
          <xdr:cNvPicPr>
            <a:picLocks noChangeAspect="1"/>
          </xdr:cNvPicPr>
        </xdr:nvPicPr>
        <xdr:blipFill>
          <a:blip r:embed="rId5">
            <a:extLst>
              <a:ext uri="{96DAC541-7B7A-43D3-8B79-37D633B846F1}">
                <asvg:svgBlip xmlns:asvg="http://schemas.microsoft.com/office/drawing/2016/SVG/main" r:embed="rId6"/>
              </a:ext>
            </a:extLst>
          </a:blip>
          <a:stretch>
            <a:fillRect/>
          </a:stretch>
        </xdr:blipFill>
        <xdr:spPr>
          <a:xfrm>
            <a:off x="797832" y="5712184"/>
            <a:ext cx="295275" cy="295275"/>
          </a:xfrm>
          <a:prstGeom prst="rect"/>
        </xdr:spPr>
      </xdr:pic>
    </xdr:grpSp>
    <xdr:clientData/>
  </xdr:twoCellAnchor>
  <xdr:twoCellAnchor>
    <xdr:from>
      <xdr:col>6</xdr:col>
      <xdr:colOff>0</xdr:colOff>
      <xdr:row>11</xdr:row>
      <xdr:rowOff>66675</xdr:rowOff>
    </xdr:from>
    <xdr:to>
      <xdr:col>19</xdr:col>
      <xdr:colOff>0</xdr:colOff>
      <xdr:row>18</xdr:row>
      <xdr:rowOff>190500</xdr:rowOff>
    </xdr:to>
    <xdr:sp>
      <xdr:nvSpPr>
        <xdr:cNvPr id="182" name="TextBox 15">
          <a:extLst>
            <a:ext uri="{FF2B5EF4-FFF2-40B4-BE49-F238E27FC236}">
              <a16:creationId xmlns:a16="http://schemas.microsoft.com/office/drawing/2014/main" id="{9BFB5EBE-2632-4B26-BADF-94DDF6BE56FC}"/>
            </a:ext>
          </a:extLst>
        </xdr:cNvPr>
        <xdr:cNvSpPr txBox="1"/>
      </xdr:nvSpPr>
      <xdr:spPr>
        <a:xfrm>
          <a:off x="6324600" y="2905125"/>
          <a:ext cx="10153650" cy="3476625"/>
        </a:xfrm>
        <a:prstGeom prst="rect"/>
        <a:noFill/>
      </xdr:spPr>
      <xdr:txBody>
        <a:bodyPr lIns="0" tIns="72000" rIns="0" bIns="0" vertOverflow="clip" horzOverflow="clip" wrap="square" rtlCol="0" anchor="t">
          <a:noAutofit/>
        </a:bodyPr>
        <a:lstStyle/>
        <a:p>
          <a:pPr algn="l" defTabSz="914400" fontAlgn="auto" indent="0" lvl="0" marL="0" marR="0" hangingPunct="1" eaLnBrk="1" latinLnBrk="0">
            <a:lnSpc>
              <a:spcPct val="150000"/>
            </a:lnSpc>
            <a:spcBef>
              <a:spcPts val="0"/>
            </a:spcBef>
            <a:spcAft>
              <a:spcPts val="0"/>
            </a:spcAft>
            <a:buClrTx/>
            <a:buSzTx/>
            <a:buFontTx/>
            <a:buNone/>
          </a:pPr>
          <a:r>
            <a:rPr lang="en-GB" sz="1200" kern="1200" dirty="0" err="1">
              <a:solidFill>
                <a:schemeClr val="bg2">
                  <a:lumMod val="25000"/>
                </a:schemeClr>
              </a:solidFill>
            </a:rPr>
            <a:t>This file is designed to collect the data needed to produce a structured and comprehensive view of the financial and operational performance of each portfolio company, on a monthly basis, populated by management with the support of the deal team, the file enables the systematic capture of monthly and full year actual and budget data across key financial and operational dimensions. </a:t>
          </a:r>
        </a:p>
        <a:p>
          <a:pPr algn="l" defTabSz="914400" fontAlgn="auto" indent="0" lvl="0" marL="0" marR="0" hangingPunct="1" eaLnBrk="1" latinLnBrk="0">
            <a:lnSpc>
              <a:spcPct val="150000"/>
            </a:lnSpc>
            <a:spcBef>
              <a:spcPts val="0"/>
            </a:spcBef>
            <a:spcAft>
              <a:spcPts val="0"/>
            </a:spcAft>
            <a:buClrTx/>
            <a:buSzTx/>
            <a:buFontTx/>
            <a:buNone/>
          </a:pPr>
          <a:endParaRPr lang="en-GB" sz="1200" kern="1200" dirty="0" err="1">
            <a:solidFill>
              <a:schemeClr val="bg2">
                <a:lumMod val="25000"/>
              </a:schemeClr>
            </a:solidFill>
          </a:endParaRPr>
        </a:p>
        <a:p>
          <a:pPr algn="l" defTabSz="914400" fontAlgn="auto" indent="0" lvl="0" marL="0" marR="0" hangingPunct="1" eaLnBrk="1" latinLnBrk="0">
            <a:lnSpc>
              <a:spcPct val="150000"/>
            </a:lnSpc>
            <a:spcBef>
              <a:spcPts val="0"/>
            </a:spcBef>
            <a:spcAft>
              <a:spcPts val="0"/>
            </a:spcAft>
            <a:buClrTx/>
            <a:buSzTx/>
            <a:buFontTx/>
            <a:buNone/>
          </a:pPr>
          <a:r>
            <a:rPr lang="en-GB" sz="1200" kern="1200" dirty="0" err="1">
              <a:solidFill>
                <a:schemeClr val="bg2">
                  <a:lumMod val="25000"/>
                </a:schemeClr>
              </a:solidFill>
            </a:rPr>
            <a:t>Management accounts should serve as the underlying  source for populating the file as they reflect how Management and the deal team should already track business performance. Subsequent adjustments for for the current perimeter and like-for-like analysis are also required to be made and are outlined on the following sheets in the appropriate sections. These adjustments must be captured in a uniform manner, using the template sections provided. The adjusted data serves as a primary input into CVC's monthly/quarterly valuations process.</a:t>
          </a:r>
        </a:p>
        <a:p>
          <a:pPr algn="l" defTabSz="914400" fontAlgn="auto" indent="0" lvl="0" marL="0" marR="0" hangingPunct="1" eaLnBrk="1" latinLnBrk="0">
            <a:lnSpc>
              <a:spcPct val="150000"/>
            </a:lnSpc>
            <a:spcBef>
              <a:spcPts val="0"/>
            </a:spcBef>
            <a:spcAft>
              <a:spcPts val="0"/>
            </a:spcAft>
            <a:buClrTx/>
            <a:buSzTx/>
            <a:buFontTx/>
            <a:buNone/>
          </a:pPr>
          <a:endParaRPr lang="en-GB" sz="1200" kern="1200" dirty="0" err="1">
            <a:solidFill>
              <a:schemeClr val="bg2">
                <a:lumMod val="25000"/>
              </a:schemeClr>
            </a:solidFill>
          </a:endParaRPr>
        </a:p>
        <a:p>
          <a:pPr algn="l" defTabSz="914400" fontAlgn="auto" indent="0" lvl="0" marL="0" marR="0" hangingPunct="1" eaLnBrk="1" latinLnBrk="0">
            <a:lnSpc>
              <a:spcPct val="150000"/>
            </a:lnSpc>
            <a:spcBef>
              <a:spcPts val="0"/>
            </a:spcBef>
            <a:spcAft>
              <a:spcPts val="0"/>
            </a:spcAft>
            <a:buClrTx/>
            <a:buSzTx/>
            <a:buFontTx/>
            <a:buNone/>
          </a:pPr>
          <a:r>
            <a:rPr lang="en-GB" sz="1200" kern="1200" dirty="0" err="1">
              <a:solidFill>
                <a:schemeClr val="bg2">
                  <a:lumMod val="25000"/>
                </a:schemeClr>
              </a:solidFill>
            </a:rPr>
            <a:t>The workbook is organized into several dedicated sheets, each focusing on a specific area of performance:</a:t>
          </a:r>
        </a:p>
        <a:p>
          <a:pPr algn="l">
            <a:lnSpc>
              <a:spcPct val="150000"/>
            </a:lnSpc>
          </a:pPr>
          <a:r>
            <a:rPr lang="en-GB" sz="1200" kern="1200" dirty="0" err="1">
              <a:solidFill>
                <a:schemeClr val="bg2">
                  <a:lumMod val="25000"/>
                </a:schemeClr>
              </a:solidFill>
            </a:rPr>
            <a:t>								</a:t>
          </a:r>
        </a:p>
        <a:p>
          <a:pPr algn="l"/>
          <a:endParaRPr lang="en-GB" sz="1200" kern="1200" dirty="0" err="1">
            <a:solidFill>
              <a:schemeClr val="bg2">
                <a:lumMod val="25000"/>
              </a:schemeClr>
            </a:solidFill>
          </a:endParaRPr>
        </a:p>
      </xdr:txBody>
    </xdr:sp>
    <xdr:clientData/>
  </xdr:twoCellAnchor>
  <xdr:twoCellAnchor>
    <xdr:from>
      <xdr:col>6</xdr:col>
      <xdr:colOff>0</xdr:colOff>
      <xdr:row>18</xdr:row>
      <xdr:rowOff>257175</xdr:rowOff>
    </xdr:from>
    <xdr:to>
      <xdr:col>19</xdr:col>
      <xdr:colOff>0</xdr:colOff>
      <xdr:row>41</xdr:row>
      <xdr:rowOff>0</xdr:rowOff>
    </xdr:to>
    <xdr:sp>
      <xdr:nvSpPr>
        <xdr:cNvPr id="17" name="TextBox 16">
          <a:extLst>
            <a:ext uri="{FF2B5EF4-FFF2-40B4-BE49-F238E27FC236}">
              <a16:creationId xmlns:a16="http://schemas.microsoft.com/office/drawing/2014/main" id="{A55E94AD-3CB3-49A2-8203-01D430681301}"/>
            </a:ext>
          </a:extLst>
        </xdr:cNvPr>
        <xdr:cNvSpPr txBox="1"/>
      </xdr:nvSpPr>
      <xdr:spPr>
        <a:xfrm>
          <a:off x="6324600" y="6448425"/>
          <a:ext cx="10153650" cy="5010150"/>
        </a:xfrm>
        <a:prstGeom prst="rect"/>
        <a:noFill/>
      </xdr:spPr>
      <xdr:txBody>
        <a:bodyPr lIns="0" tIns="108000" rIns="0" bIns="0" vertOverflow="clip" horzOverflow="clip" wrap="square" rtlCol="0" anchor="t">
          <a:noAutofit/>
        </a:bodyPr>
        <a:lstStyle/>
        <a:p>
          <a:pPr algn="l">
            <a:lnSpc>
              <a:spcPct val="125000"/>
            </a:lnSpc>
          </a:pPr>
          <a:r>
            <a:rPr lang="en-GB" sz="1200" kern="1200" dirty="0" err="1">
              <a:solidFill>
                <a:schemeClr val="bg2">
                  <a:lumMod val="25000"/>
                </a:schemeClr>
              </a:solidFill>
            </a:rPr>
            <a:t>The file includes three core financial sheets, each with a consistent structure aligned with CVC's standard Chart of Accounts (COA), and split into Actual, Budget, and Adjustment sections. [Please note that one of the key requirements is that updates to your full year budget</a:t>
          </a:r>
          <a:r>
            <a:rPr lang="en-GB" sz="1200" kern="1200" baseline="0" dirty="0" err="1">
              <a:solidFill>
                <a:schemeClr val="bg2">
                  <a:lumMod val="25000"/>
                </a:schemeClr>
              </a:solidFill>
            </a:rPr>
            <a:t> known as L</a:t>
          </a:r>
          <a:r>
            <a:rPr lang="en-GB" sz="1200" kern="1200" dirty="0" err="1">
              <a:solidFill>
                <a:schemeClr val="bg2">
                  <a:lumMod val="25000"/>
                </a:schemeClr>
              </a:solidFill>
            </a:rPr>
            <a:t>atest Estimates</a:t>
          </a:r>
          <a:r>
            <a:rPr lang="en-GB" sz="1200" kern="1200" baseline="0" dirty="0" err="1">
              <a:solidFill>
                <a:schemeClr val="bg2">
                  <a:lumMod val="25000"/>
                </a:schemeClr>
              </a:solidFill>
            </a:rPr>
            <a:t> are made promptly in order to take account of any material over or under performance expected</a:t>
          </a:r>
          <a:r>
            <a:rPr lang="en-GB" sz="1200" kern="1200" dirty="0" err="1">
              <a:solidFill>
                <a:schemeClr val="bg2">
                  <a:lumMod val="25000"/>
                </a:schemeClr>
              </a:solidFill>
            </a:rPr>
            <a:t>:</a:t>
          </a:r>
        </a:p>
        <a:p>
          <a:pPr algn="l">
            <a:lnSpc>
              <a:spcPct val="125000"/>
            </a:lnSpc>
          </a:pPr>
          <a:endParaRPr lang="en-GB" sz="1200" kern="1200" dirty="0" err="1">
            <a:solidFill>
              <a:schemeClr val="bg2">
                <a:lumMod val="25000"/>
              </a:schemeClr>
            </a:solidFill>
          </a:endParaRPr>
        </a:p>
        <a:p>
          <a:pPr algn="l">
            <a:lnSpc>
              <a:spcPct val="125000"/>
            </a:lnSpc>
          </a:pPr>
          <a:r>
            <a:rPr lang="en-GB" sz="1200" b="1" kern="1200" dirty="0" err="1">
              <a:solidFill>
                <a:srgbClr val="0C4F88"/>
              </a:solidFill>
            </a:rPr>
            <a:t>◾ Profit &amp; Loss (P&amp;L): </a:t>
          </a:r>
          <a:r>
            <a:rPr lang="en-GB" sz="1200" kern="1200" dirty="0" err="1">
              <a:solidFill>
                <a:schemeClr val="bg2">
                  <a:lumMod val="25000"/>
                </a:schemeClr>
              </a:solidFill>
            </a:rPr>
            <a:t>Captures monthly and annual income statement data, including revenue, EBITDA, net profit, and one-off</a:t>
          </a:r>
          <a:r>
            <a:rPr lang="en-GB" sz="1200" kern="1200" baseline="0" dirty="0" err="1">
              <a:solidFill>
                <a:schemeClr val="bg2">
                  <a:lumMod val="25000"/>
                </a:schemeClr>
              </a:solidFill>
            </a:rPr>
            <a:t> </a:t>
          </a:r>
          <a:r>
            <a:rPr lang="en-GB" sz="1200" kern="1200" dirty="0" err="1">
              <a:solidFill>
                <a:schemeClr val="bg2">
                  <a:lumMod val="25000"/>
                </a:schemeClr>
              </a:solidFill>
            </a:rPr>
            <a:t>adjustments.</a:t>
          </a:r>
        </a:p>
        <a:p>
          <a:pPr algn="l">
            <a:lnSpc>
              <a:spcPct val="125000"/>
            </a:lnSpc>
          </a:pPr>
          <a:r>
            <a:rPr lang="en-GB" sz="1200" kern="1200" dirty="0" err="1">
              <a:solidFill>
                <a:schemeClr val="bg2">
                  <a:lumMod val="25000"/>
                </a:schemeClr>
              </a:solidFill>
            </a:rPr>
            <a:t>									</a:t>
          </a:r>
        </a:p>
        <a:p>
          <a:pPr algn="l">
            <a:lnSpc>
              <a:spcPct val="125000"/>
            </a:lnSpc>
          </a:pPr>
          <a:r>
            <a:rPr lang="en-GB" sz="1200" b="1" kern="1200" dirty="0" err="1">
              <a:solidFill>
                <a:srgbClr val="0C4F88"/>
              </a:solidFill>
            </a:rPr>
            <a:t>◾ Balance Sheet (BS): </a:t>
          </a:r>
          <a:r>
            <a:rPr lang="en-GB" sz="1200" kern="1200" dirty="0" err="1">
              <a:solidFill>
                <a:schemeClr val="bg2">
                  <a:lumMod val="25000"/>
                </a:schemeClr>
              </a:solidFill>
            </a:rPr>
            <a:t>Tracks key asset, liability, and debt positions over time. A HoldCo section is included for capturing further debt and cash balances. 														</a:t>
          </a:r>
        </a:p>
        <a:p>
          <a:pPr algn="l">
            <a:lnSpc>
              <a:spcPct val="125000"/>
            </a:lnSpc>
          </a:pPr>
          <a:r>
            <a:rPr lang="en-GB" sz="1200" b="1" kern="1200" dirty="0" err="1">
              <a:solidFill>
                <a:srgbClr val="0C4F88"/>
              </a:solidFill>
            </a:rPr>
            <a:t>◾ Cash Flow (CF): </a:t>
          </a:r>
          <a:r>
            <a:rPr lang="en-GB" sz="1200" kern="1200" dirty="0" err="1">
              <a:solidFill>
                <a:schemeClr val="bg2">
                  <a:lumMod val="25000"/>
                </a:schemeClr>
              </a:solidFill>
            </a:rPr>
            <a:t>Provides visibility into key drivers of cash generation.</a:t>
          </a:r>
        </a:p>
        <a:p>
          <a:pPr algn="l">
            <a:lnSpc>
              <a:spcPct val="125000"/>
            </a:lnSpc>
          </a:pPr>
          <a:endParaRPr lang="en-GB" sz="1200" kern="1200" dirty="0" err="1">
            <a:solidFill>
              <a:schemeClr val="bg2">
                <a:lumMod val="25000"/>
              </a:schemeClr>
            </a:solidFill>
          </a:endParaRPr>
        </a:p>
        <a:p>
          <a:pPr algn="l">
            <a:lnSpc>
              <a:spcPct val="125000"/>
            </a:lnSpc>
          </a:pPr>
          <a:r>
            <a:rPr lang="en-GB" sz="1200">
              <a:solidFill>
                <a:srgbClr val="000000"/>
              </a:solidFill>
              <a:effectLst/>
              <a:latin typeface="+mn-lt"/>
              <a:ea typeface="+mn-ea"/>
              <a:cs typeface="+mn-cs"/>
            </a:rPr>
            <a:t>The management accounts should typically be the underlying basis for these </a:t>
          </a:r>
          <a:r>
            <a:rPr lang="en-GB" sz="1200" b="1">
              <a:solidFill>
                <a:srgbClr val="000000"/>
              </a:solidFill>
              <a:effectLst/>
              <a:latin typeface="+mn-lt"/>
              <a:ea typeface="+mn-ea"/>
              <a:cs typeface="+mn-cs"/>
            </a:rPr>
            <a:t>three sheets</a:t>
          </a:r>
          <a:r>
            <a:rPr lang="en-GB" sz="1200">
              <a:solidFill>
                <a:srgbClr val="000000"/>
              </a:solidFill>
              <a:effectLst/>
              <a:latin typeface="+mn-lt"/>
              <a:ea typeface="+mn-ea"/>
              <a:cs typeface="+mn-cs"/>
            </a:rPr>
            <a:t>, as this should be already how management and the deal team track the business. Subsequent adjustments required for the current perimeters, like for like analysis and valuations are outlined on these subsequent sheets.</a:t>
          </a:r>
          <a:endParaRPr lang="en-GB" sz="1200" kern="1200" dirty="0" err="1">
            <a:solidFill>
              <a:schemeClr val="bg2">
                <a:lumMod val="25000"/>
              </a:schemeClr>
            </a:solidFill>
          </a:endParaRPr>
        </a:p>
        <a:p>
          <a:pPr algn="l">
            <a:lnSpc>
              <a:spcPct val="125000"/>
            </a:lnSpc>
          </a:pPr>
          <a:endParaRPr lang="en-GB" sz="1200" kern="1200" dirty="0" err="1">
            <a:solidFill>
              <a:schemeClr val="bg2">
                <a:lumMod val="25000"/>
              </a:schemeClr>
            </a:solidFill>
            <a:latin typeface="+mn-lt"/>
            <a:ea typeface="+mn-ea"/>
            <a:cs typeface="+mn-cs"/>
          </a:endParaRPr>
        </a:p>
        <a:p>
          <a:pPr algn="l" defTabSz="914400" fontAlgn="auto" indent="0" lvl="0" marL="0" marR="0" hangingPunct="1" eaLnBrk="1" latinLnBrk="0">
            <a:lnSpc>
              <a:spcPct val="125000"/>
            </a:lnSpc>
            <a:spcBef>
              <a:spcPts val="0"/>
            </a:spcBef>
            <a:spcAft>
              <a:spcPts val="0"/>
            </a:spcAft>
            <a:buClrTx/>
            <a:buSzTx/>
            <a:buFontTx/>
            <a:buNone/>
          </a:pPr>
          <a:r>
            <a:rPr lang="en-GB" sz="1200" kern="1200">
              <a:solidFill>
                <a:schemeClr val="bg2">
                  <a:lumMod val="25000"/>
                </a:schemeClr>
              </a:solidFill>
              <a:latin typeface="+mn-lt"/>
              <a:ea typeface="+mn-ea"/>
              <a:cs typeface="+mn-cs"/>
            </a:rPr>
            <a:t>Each of these sheets also requires Full year Budget/Latest Estimate</a:t>
          </a:r>
          <a:r>
            <a:rPr lang="en-GB" sz="1200" kern="1200" baseline="0">
              <a:solidFill>
                <a:schemeClr val="bg2">
                  <a:lumMod val="25000"/>
                </a:schemeClr>
              </a:solidFill>
              <a:latin typeface="+mn-lt"/>
              <a:ea typeface="+mn-ea"/>
              <a:cs typeface="+mn-cs"/>
            </a:rPr>
            <a:t> data to be captured.</a:t>
          </a:r>
          <a:r>
            <a:rPr lang="en-GB" sz="1200" kern="1200">
              <a:solidFill>
                <a:schemeClr val="bg2">
                  <a:lumMod val="25000"/>
                </a:schemeClr>
              </a:solidFill>
              <a:latin typeface="+mn-lt"/>
              <a:ea typeface="+mn-ea"/>
              <a:cs typeface="+mn-cs"/>
            </a:rPr>
            <a:t> </a:t>
          </a:r>
          <a:r>
            <a:rPr lang="en-GB" sz="1200" kern="1200" dirty="0" err="1">
              <a:solidFill>
                <a:schemeClr val="bg2">
                  <a:lumMod val="25000"/>
                </a:schemeClr>
              </a:solidFill>
              <a:latin typeface="+mn-lt"/>
              <a:ea typeface="+mn-ea"/>
              <a:cs typeface="+mn-cs"/>
            </a:rPr>
            <a:t>At the </a:t>
          </a:r>
          <a:r>
            <a:rPr lang="en-GB" sz="1200" kern="1200" dirty="0" err="1">
              <a:solidFill>
                <a:schemeClr val="bg2">
                  <a:lumMod val="25000"/>
                </a:schemeClr>
              </a:solidFill>
            </a:rPr>
            <a:t>end of each financial year, Management must enter the full-year budget for the following year in the template. The template also includes a separate column for reforecasting. During the year, Management must provide timely updates in this column to reflect the latest expectations, along with tracking against the originally submitted Financial Year budget.</a:t>
          </a:r>
        </a:p>
        <a:p>
          <a:pPr algn="l" defTabSz="914400" fontAlgn="auto" indent="0" lvl="0" marL="0" marR="0" hangingPunct="1" eaLnBrk="1" latinLnBrk="0">
            <a:lnSpc>
              <a:spcPct val="125000"/>
            </a:lnSpc>
            <a:spcBef>
              <a:spcPts val="0"/>
            </a:spcBef>
            <a:spcAft>
              <a:spcPts val="0"/>
            </a:spcAft>
            <a:buClrTx/>
            <a:buSzTx/>
            <a:buFontTx/>
            <a:buNone/>
          </a:pPr>
          <a:r>
            <a:rPr lang="en-GB" sz="1200" kern="1200" dirty="0" err="1">
              <a:solidFill>
                <a:schemeClr val="bg2">
                  <a:lumMod val="25000"/>
                </a:schemeClr>
              </a:solidFill>
            </a:rPr>
            <a:t>					</a:t>
          </a:r>
        </a:p>
        <a:p>
          <a:pPr algn="l">
            <a:lnSpc>
              <a:spcPct val="125000"/>
            </a:lnSpc>
          </a:pPr>
          <a:r>
            <a:rPr lang="en-GB" sz="1200" kern="1200" dirty="0" err="1">
              <a:solidFill>
                <a:schemeClr val="bg2">
                  <a:lumMod val="25000"/>
                </a:schemeClr>
              </a:solidFill>
            </a:rPr>
            <a:t>In-line guides are available (folded by default) in the left side pane.												</a:t>
          </a:r>
        </a:p>
      </xdr:txBody>
    </xdr:sp>
    <xdr:clientData/>
  </xdr:twoCellAnchor>
  <xdr:twoCellAnchor>
    <xdr:from>
      <xdr:col>6</xdr:col>
      <xdr:colOff>19050</xdr:colOff>
      <xdr:row>42</xdr:row>
      <xdr:rowOff>1</xdr:rowOff>
    </xdr:from>
    <xdr:to>
      <xdr:col>19</xdr:col>
      <xdr:colOff>19050</xdr:colOff>
      <xdr:row>48</xdr:row>
      <xdr:rowOff>152401</xdr:rowOff>
    </xdr:to>
    <xdr:sp>
      <xdr:nvSpPr>
        <xdr:cNvPr id="18" name="TextBox 17">
          <a:extLst>
            <a:ext uri="{FF2B5EF4-FFF2-40B4-BE49-F238E27FC236}">
              <a16:creationId xmlns:a16="http://schemas.microsoft.com/office/drawing/2014/main" id="{335E6FDC-2C81-4FA5-9987-EDF39B4E8E2E}"/>
            </a:ext>
          </a:extLst>
        </xdr:cNvPr>
        <xdr:cNvSpPr txBox="1"/>
      </xdr:nvSpPr>
      <xdr:spPr>
        <a:xfrm>
          <a:off x="6343650" y="11791950"/>
          <a:ext cx="10153650" cy="1295400"/>
        </a:xfrm>
        <a:prstGeom prst="rect"/>
        <a:noFill/>
      </xdr:spPr>
      <xdr:txBody>
        <a:bodyPr lIns="0" tIns="108000" rIns="0" bIns="0" vertOverflow="clip" horzOverflow="clip" wrap="square" rtlCol="0" anchor="t">
          <a:noAutofit/>
        </a:bodyPr>
        <a:lstStyle/>
        <a:p>
          <a:pPr algn="l">
            <a:lnSpc>
              <a:spcPct val="125000"/>
            </a:lnSpc>
          </a:pPr>
          <a:r>
            <a:rPr lang="en-GB" sz="1200" kern="1200" dirty="0" err="1">
              <a:solidFill>
                <a:srgbClr val="000000"/>
              </a:solidFill>
            </a:rPr>
            <a:t>A dedicated KPI sheet collects business-specific operational and financial KPIs on a monthly cadence. </a:t>
          </a:r>
        </a:p>
        <a:p>
          <a:pPr algn="l">
            <a:lnSpc>
              <a:spcPct val="125000"/>
            </a:lnSpc>
          </a:pPr>
          <a:r>
            <a:rPr lang="en-GB" sz="1200" kern="1200" dirty="0" err="1">
              <a:solidFill>
                <a:srgbClr val="000000"/>
              </a:solidFill>
            </a:rPr>
            <a:t>These indicators are meant to reflect the underlying performance drivers of the company and may vary by industry and business model.															</a:t>
          </a:r>
        </a:p>
      </xdr:txBody>
    </xdr:sp>
    <xdr:clientData/>
  </xdr:twoCellAnchor>
  <xdr:twoCellAnchor>
    <xdr:from>
      <xdr:col>6</xdr:col>
      <xdr:colOff>0</xdr:colOff>
      <xdr:row>49</xdr:row>
      <xdr:rowOff>0</xdr:rowOff>
    </xdr:from>
    <xdr:to>
      <xdr:col>19</xdr:col>
      <xdr:colOff>0</xdr:colOff>
      <xdr:row>65</xdr:row>
      <xdr:rowOff>0</xdr:rowOff>
    </xdr:to>
    <xdr:sp>
      <xdr:nvSpPr>
        <xdr:cNvPr id="23" name="TextBox 18">
          <a:extLst>
            <a:ext uri="{FF2B5EF4-FFF2-40B4-BE49-F238E27FC236}">
              <a16:creationId xmlns:a16="http://schemas.microsoft.com/office/drawing/2014/main" id="{1AD02161-2D44-4061-89E7-83EB3AD9D4D1}"/>
            </a:ext>
          </a:extLst>
        </xdr:cNvPr>
        <xdr:cNvSpPr txBox="1"/>
      </xdr:nvSpPr>
      <xdr:spPr>
        <a:xfrm>
          <a:off x="6324600" y="13249275"/>
          <a:ext cx="10153650" cy="2305050"/>
        </a:xfrm>
        <a:prstGeom prst="rect"/>
        <a:noFill/>
      </xdr:spPr>
      <xdr:txBody>
        <a:bodyPr lIns="0" tIns="108000" rIns="0" bIns="0" vertOverflow="clip" horzOverflow="clip" wrap="square" rtlCol="0" anchor="t">
          <a:noAutofit/>
        </a:bodyPr>
        <a:lstStyle/>
        <a:p>
          <a:pPr algn="l">
            <a:lnSpc>
              <a:spcPct val="125000"/>
            </a:lnSpc>
          </a:pPr>
          <a:r>
            <a:rPr lang="en-GB" sz="1200" kern="1200" dirty="0" err="1">
              <a:solidFill>
                <a:srgbClr val="000000"/>
              </a:solidFill>
            </a:rPr>
            <a:t>The purpose of collecting the below information is to enable tracking of debt maturity / hedging / leverage / liquidity / covenant compliance on a quarterly basis. Metrics should be calculated on covenant definitions / per facility agreements wherever possible. Guidance has been included next to the required inputs - Any questions should be directed to the Capital Market and/or Portfolio Monitoring teams.</a:t>
          </a:r>
        </a:p>
        <a:p>
          <a:pPr algn="l">
            <a:lnSpc>
              <a:spcPct val="125000"/>
            </a:lnSpc>
          </a:pPr>
          <a:r>
            <a:rPr lang="en-GB" sz="1200" kern="1200" dirty="0" err="1">
              <a:solidFill>
                <a:srgbClr val="000000"/>
              </a:solidFill>
            </a:rPr>
            <a:t>		</a:t>
          </a:r>
        </a:p>
        <a:p>
          <a:pPr algn="l">
            <a:lnSpc>
              <a:spcPct val="125000"/>
            </a:lnSpc>
          </a:pPr>
          <a:r>
            <a:rPr lang="en-GB" sz="1200" kern="1200" dirty="0" err="1">
              <a:solidFill>
                <a:srgbClr val="000000"/>
              </a:solidFill>
            </a:rPr>
            <a:t>										</a:t>
          </a:r>
        </a:p>
        <a:p>
          <a:pPr algn="l">
            <a:lnSpc>
              <a:spcPct val="125000"/>
            </a:lnSpc>
          </a:pPr>
          <a:r>
            <a:rPr lang="en-GB" sz="1200" kern="1200" dirty="0" err="1">
              <a:solidFill>
                <a:srgbClr val="000000"/>
              </a:solidFill>
            </a:rPr>
            <a:t>This information ensures that the portfolio monitoring and capital markets team at CVC have the necessary visibility to assess the capital structure and financial health of the business on an ongoing basis.	</a:t>
          </a:r>
        </a:p>
      </xdr:txBody>
    </xdr:sp>
    <xdr:clientData/>
  </xdr:twoCellAnchor>
  <xdr:oneCellAnchor>
    <xdr:from>
      <xdr:col>4</xdr:col>
      <xdr:colOff>504825</xdr:colOff>
      <xdr:row>8</xdr:row>
      <xdr:rowOff>123825</xdr:rowOff>
    </xdr:from>
    <xdr:ext cx="504825" cy="504825"/>
    <xdr:sp>
      <xdr:nvSpPr>
        <xdr:cNvPr id="16" name="Rectangle: Rounded Corners 15">
          <a:extLst>
            <a:ext uri="{FF2B5EF4-FFF2-40B4-BE49-F238E27FC236}">
              <a16:creationId xmlns:a16="http://schemas.microsoft.com/office/drawing/2014/main" id="{D7644BF6-280E-F62F-715F-89F549473EA6}"/>
            </a:ext>
          </a:extLst>
        </xdr:cNvPr>
        <xdr:cNvSpPr/>
      </xdr:nvSpPr>
      <xdr:spPr>
        <a:xfrm>
          <a:off x="5305425" y="2209800"/>
          <a:ext cx="504825" cy="504825"/>
        </a:xfrm>
        <a:prstGeom prst="roundRect"/>
        <a:solidFill>
          <a:schemeClr val="tx2"/>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clientData/>
  </xdr:oneCellAnchor>
  <xdr:twoCellAnchor editAs="oneCell">
    <xdr:from>
      <xdr:col>4</xdr:col>
      <xdr:colOff>581026</xdr:colOff>
      <xdr:row>9</xdr:row>
      <xdr:rowOff>19049</xdr:rowOff>
    </xdr:from>
    <xdr:to>
      <xdr:col>5</xdr:col>
      <xdr:colOff>160022</xdr:colOff>
      <xdr:row>10</xdr:row>
      <xdr:rowOff>26670</xdr:rowOff>
    </xdr:to>
    <xdr:pic>
      <xdr:nvPicPr>
        <xdr:cNvPr id="21" name="Graphic 20" descr="Information outline">
          <a:extLst>
            <a:ext uri="{FF2B5EF4-FFF2-40B4-BE49-F238E27FC236}">
              <a16:creationId xmlns:a16="http://schemas.microsoft.com/office/drawing/2014/main" id="{9AF8FC79-587B-FE4F-3BFD-32753C91D16C}"/>
            </a:ext>
          </a:extLst>
        </xdr:cNvPr>
        <xdr:cNvPicPr>
          <a:picLocks noChangeAspect="1"/>
        </xdr:cNvPicPr>
      </xdr:nvPicPr>
      <xdr:blipFill>
        <a:blip r:embed="rId7">
          <a:extLst>
            <a:ext uri="{96DAC541-7B7A-43D3-8B79-37D633B846F1}">
              <asvg:svgBlip xmlns:asvg="http://schemas.microsoft.com/office/drawing/2016/SVG/main" r:embed="rId8"/>
            </a:ext>
          </a:extLst>
        </a:blip>
        <a:stretch>
          <a:fillRect/>
        </a:stretch>
      </xdr:blipFill>
      <xdr:spPr>
        <a:xfrm>
          <a:off x="5381625" y="2295525"/>
          <a:ext cx="342900" cy="323850"/>
        </a:xfrm>
        <a:prstGeom prst="rect"/>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8</xdr:col>
      <xdr:colOff>638734</xdr:colOff>
      <xdr:row>39</xdr:row>
      <xdr:rowOff>100852</xdr:rowOff>
    </xdr:from>
    <xdr:to>
      <xdr:col>11</xdr:col>
      <xdr:colOff>224117</xdr:colOff>
      <xdr:row>46</xdr:row>
      <xdr:rowOff>168087</xdr:rowOff>
    </xdr:to>
    <xdr:sp>
      <xdr:nvSpPr>
        <xdr:cNvPr id="59" name="Arrow: Bent 58">
          <a:extLst>
            <a:ext uri="{FF2B5EF4-FFF2-40B4-BE49-F238E27FC236}">
              <a16:creationId xmlns:a16="http://schemas.microsoft.com/office/drawing/2014/main" id="{37D38165-55BD-CF2F-885B-CF89642A96A0}"/>
            </a:ext>
          </a:extLst>
        </xdr:cNvPr>
        <xdr:cNvSpPr/>
      </xdr:nvSpPr>
      <xdr:spPr>
        <a:xfrm rot="10800000" flipH="1">
          <a:off x="8658225" y="7934325"/>
          <a:ext cx="2266950" cy="1400175"/>
        </a:xfrm>
        <a:prstGeom prst="bentArrow">
          <a:avLst>
            <a:gd name="adj1" fmla="val 31400"/>
            <a:gd name="adj2" fmla="val 29867"/>
            <a:gd name="adj3" fmla="val 32997"/>
            <a:gd name="adj4" fmla="val 87500"/>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solidFill>
              <a:schemeClr val="tx1"/>
            </a:solidFill>
          </a:endParaRPr>
        </a:p>
      </xdr:txBody>
    </xdr:sp>
    <xdr:clientData/>
  </xdr:twoCellAnchor>
  <xdr:twoCellAnchor>
    <xdr:from>
      <xdr:col>8</xdr:col>
      <xdr:colOff>638734</xdr:colOff>
      <xdr:row>24</xdr:row>
      <xdr:rowOff>134471</xdr:rowOff>
    </xdr:from>
    <xdr:to>
      <xdr:col>11</xdr:col>
      <xdr:colOff>224117</xdr:colOff>
      <xdr:row>32</xdr:row>
      <xdr:rowOff>11206</xdr:rowOff>
    </xdr:to>
    <xdr:sp>
      <xdr:nvSpPr>
        <xdr:cNvPr id="58" name="Arrow: Bent 57">
          <a:extLst>
            <a:ext uri="{FF2B5EF4-FFF2-40B4-BE49-F238E27FC236}">
              <a16:creationId xmlns:a16="http://schemas.microsoft.com/office/drawing/2014/main" id="{83851B23-4FD0-3CD1-8789-2D8229373C68}"/>
            </a:ext>
          </a:extLst>
        </xdr:cNvPr>
        <xdr:cNvSpPr/>
      </xdr:nvSpPr>
      <xdr:spPr>
        <a:xfrm>
          <a:off x="8658225" y="5105400"/>
          <a:ext cx="2266950" cy="1400175"/>
        </a:xfrm>
        <a:prstGeom prst="bentArrow">
          <a:avLst>
            <a:gd name="adj1" fmla="val 31400"/>
            <a:gd name="adj2" fmla="val 29867"/>
            <a:gd name="adj3" fmla="val 32997"/>
            <a:gd name="adj4" fmla="val 87500"/>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solidFill>
              <a:schemeClr val="tx1"/>
            </a:solidFill>
          </a:endParaRPr>
        </a:p>
      </xdr:txBody>
    </xdr:sp>
    <xdr:clientData/>
  </xdr:twoCellAnchor>
  <xdr:twoCellAnchor>
    <xdr:from>
      <xdr:col>11</xdr:col>
      <xdr:colOff>358587</xdr:colOff>
      <xdr:row>24</xdr:row>
      <xdr:rowOff>89647</xdr:rowOff>
    </xdr:from>
    <xdr:to>
      <xdr:col>15</xdr:col>
      <xdr:colOff>212911</xdr:colOff>
      <xdr:row>34</xdr:row>
      <xdr:rowOff>89647</xdr:rowOff>
    </xdr:to>
    <xdr:sp>
      <xdr:nvSpPr>
        <xdr:cNvPr id="20" name="Rectangle: Rounded Corners 19">
          <a:extLst>
            <a:ext uri="{FF2B5EF4-FFF2-40B4-BE49-F238E27FC236}">
              <a16:creationId xmlns:a16="http://schemas.microsoft.com/office/drawing/2014/main" id="{3FCC9E75-E6B9-AFE1-4163-26F4E3B7FA54}"/>
            </a:ext>
          </a:extLst>
        </xdr:cNvPr>
        <xdr:cNvSpPr/>
      </xdr:nvSpPr>
      <xdr:spPr>
        <a:xfrm>
          <a:off x="11068050" y="5057775"/>
          <a:ext cx="3562350" cy="1905000"/>
        </a:xfrm>
        <a:prstGeom prst="roundRect">
          <a:avLst>
            <a:gd name="adj" fmla="val 5294"/>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clientData/>
  </xdr:twoCellAnchor>
  <xdr:twoCellAnchor>
    <xdr:from>
      <xdr:col>9</xdr:col>
      <xdr:colOff>257737</xdr:colOff>
      <xdr:row>27</xdr:row>
      <xdr:rowOff>123263</xdr:rowOff>
    </xdr:from>
    <xdr:to>
      <xdr:col>10</xdr:col>
      <xdr:colOff>504266</xdr:colOff>
      <xdr:row>30</xdr:row>
      <xdr:rowOff>78440</xdr:rowOff>
    </xdr:to>
    <xdr:sp>
      <xdr:nvSpPr>
        <xdr:cNvPr id="22" name="Rectangle: Rounded Corners 21">
          <a:extLst>
            <a:ext uri="{FF2B5EF4-FFF2-40B4-BE49-F238E27FC236}">
              <a16:creationId xmlns:a16="http://schemas.microsoft.com/office/drawing/2014/main" id="{9480BC48-EFF3-281C-63D0-D52F8BF37CAC}"/>
            </a:ext>
          </a:extLst>
        </xdr:cNvPr>
        <xdr:cNvSpPr/>
      </xdr:nvSpPr>
      <xdr:spPr>
        <a:xfrm>
          <a:off x="9172575" y="5667375"/>
          <a:ext cx="1143000" cy="523875"/>
        </a:xfrm>
        <a:prstGeom prst="roundRect">
          <a:avLst>
            <a:gd name="adj" fmla="val 12766"/>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GB" sz="2000" b="1">
              <a:solidFill>
                <a:srgbClr val="0070C0"/>
              </a:solidFill>
            </a:rPr>
            <a:t>Yes</a:t>
          </a:r>
        </a:p>
      </xdr:txBody>
    </xdr:sp>
    <xdr:clientData/>
  </xdr:twoCellAnchor>
  <xdr:twoCellAnchor>
    <xdr:from>
      <xdr:col>5</xdr:col>
      <xdr:colOff>11206</xdr:colOff>
      <xdr:row>29</xdr:row>
      <xdr:rowOff>119321</xdr:rowOff>
    </xdr:from>
    <xdr:to>
      <xdr:col>10</xdr:col>
      <xdr:colOff>22411</xdr:colOff>
      <xdr:row>42</xdr:row>
      <xdr:rowOff>123264</xdr:rowOff>
    </xdr:to>
    <xdr:sp>
      <xdr:nvSpPr>
        <xdr:cNvPr id="23" name="Diamond 22">
          <a:extLst>
            <a:ext uri="{FF2B5EF4-FFF2-40B4-BE49-F238E27FC236}">
              <a16:creationId xmlns:a16="http://schemas.microsoft.com/office/drawing/2014/main" id="{3C56B220-1D0F-A4F3-90DB-34F5BAC6E2CD}"/>
            </a:ext>
          </a:extLst>
        </xdr:cNvPr>
        <xdr:cNvSpPr/>
      </xdr:nvSpPr>
      <xdr:spPr>
        <a:xfrm>
          <a:off x="5476875" y="6048375"/>
          <a:ext cx="4352925" cy="2476500"/>
        </a:xfrm>
        <a:prstGeom prst="diamond"/>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clientData/>
  </xdr:twoCellAnchor>
  <xdr:twoCellAnchor>
    <xdr:from>
      <xdr:col>5</xdr:col>
      <xdr:colOff>773206</xdr:colOff>
      <xdr:row>32</xdr:row>
      <xdr:rowOff>166407</xdr:rowOff>
    </xdr:from>
    <xdr:to>
      <xdr:col>9</xdr:col>
      <xdr:colOff>134470</xdr:colOff>
      <xdr:row>40</xdr:row>
      <xdr:rowOff>22412</xdr:rowOff>
    </xdr:to>
    <xdr:sp>
      <xdr:nvSpPr>
        <xdr:cNvPr id="21" name="TextBox 20">
          <a:extLst>
            <a:ext uri="{FF2B5EF4-FFF2-40B4-BE49-F238E27FC236}">
              <a16:creationId xmlns:a16="http://schemas.microsoft.com/office/drawing/2014/main" id="{5307366B-7966-ACA2-D8FC-169B3676E395}"/>
            </a:ext>
          </a:extLst>
        </xdr:cNvPr>
        <xdr:cNvSpPr txBox="1"/>
      </xdr:nvSpPr>
      <xdr:spPr>
        <a:xfrm>
          <a:off x="6229350" y="6657975"/>
          <a:ext cx="2819400" cy="1381125"/>
        </a:xfrm>
        <a:prstGeom prst="rect"/>
        <a:noFill/>
      </xdr:spPr>
      <xdr:txBody>
        <a:bodyPr lIns="0" tIns="0" rIns="0" bIns="0" vertOverflow="clip" horzOverflow="clip" wrap="square" rtlCol="0" anchor="t">
          <a:noAutofit/>
        </a:bodyPr>
        <a:lstStyle/>
        <a:p>
          <a:pPr algn="ctr"/>
          <a:r>
            <a:rPr lang="en-GB" sz="1800" b="1">
              <a:solidFill>
                <a:srgbClr val="0070C0"/>
              </a:solidFill>
            </a:rPr>
            <a:t>Question. </a:t>
          </a:r>
        </a:p>
        <a:p>
          <a:pPr algn="ctr"/>
          <a:r>
            <a:rPr lang="en-GB" sz="1400"/>
            <a:t>Have you closed any deal in the current and prior financial year that resulted in a perimeter change in your business?</a:t>
          </a:r>
          <a:r>
            <a:rPr lang="en-GB" sz="1400" baseline="0"/>
            <a:t>provided)</a:t>
          </a:r>
          <a:endParaRPr lang="en-GB" sz="1400" kern="1200" dirty="0" err="1"/>
        </a:p>
      </xdr:txBody>
    </xdr:sp>
    <xdr:clientData/>
  </xdr:twoCellAnchor>
  <xdr:twoCellAnchor>
    <xdr:from>
      <xdr:col>9</xdr:col>
      <xdr:colOff>201707</xdr:colOff>
      <xdr:row>41</xdr:row>
      <xdr:rowOff>0</xdr:rowOff>
    </xdr:from>
    <xdr:to>
      <xdr:col>10</xdr:col>
      <xdr:colOff>448236</xdr:colOff>
      <xdr:row>43</xdr:row>
      <xdr:rowOff>145675</xdr:rowOff>
    </xdr:to>
    <xdr:sp>
      <xdr:nvSpPr>
        <xdr:cNvPr id="24" name="Rectangle: Rounded Corners 23">
          <a:extLst>
            <a:ext uri="{FF2B5EF4-FFF2-40B4-BE49-F238E27FC236}">
              <a16:creationId xmlns:a16="http://schemas.microsoft.com/office/drawing/2014/main" id="{33EDE750-72D0-99F5-E53C-1528F7C452D7}"/>
            </a:ext>
          </a:extLst>
        </xdr:cNvPr>
        <xdr:cNvSpPr/>
      </xdr:nvSpPr>
      <xdr:spPr>
        <a:xfrm>
          <a:off x="9115425" y="8210550"/>
          <a:ext cx="1143000" cy="523875"/>
        </a:xfrm>
        <a:prstGeom prst="roundRect">
          <a:avLst>
            <a:gd name="adj" fmla="val 12766"/>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GB" sz="2000" b="1">
              <a:solidFill>
                <a:schemeClr val="bg2">
                  <a:lumMod val="25000"/>
                </a:schemeClr>
              </a:solidFill>
            </a:rPr>
            <a:t>No</a:t>
          </a:r>
        </a:p>
      </xdr:txBody>
    </xdr:sp>
    <xdr:clientData/>
  </xdr:twoCellAnchor>
  <xdr:twoCellAnchor>
    <xdr:from>
      <xdr:col>11</xdr:col>
      <xdr:colOff>537882</xdr:colOff>
      <xdr:row>26</xdr:row>
      <xdr:rowOff>43140</xdr:rowOff>
    </xdr:from>
    <xdr:to>
      <xdr:col>15</xdr:col>
      <xdr:colOff>168088</xdr:colOff>
      <xdr:row>33</xdr:row>
      <xdr:rowOff>179293</xdr:rowOff>
    </xdr:to>
    <xdr:sp>
      <xdr:nvSpPr>
        <xdr:cNvPr id="4" name="TextBox 11">
          <a:extLst>
            <a:ext uri="{FF2B5EF4-FFF2-40B4-BE49-F238E27FC236}">
              <a16:creationId xmlns:a16="http://schemas.microsoft.com/office/drawing/2014/main" id="{34BDA42B-3C85-4417-BD13-E189D91D4EA1}"/>
            </a:ext>
          </a:extLst>
        </xdr:cNvPr>
        <xdr:cNvSpPr txBox="1"/>
      </xdr:nvSpPr>
      <xdr:spPr>
        <a:xfrm>
          <a:off x="11239500" y="5400675"/>
          <a:ext cx="3333750" cy="1466850"/>
        </a:xfrm>
        <a:prstGeom prst="rect"/>
        <a:noFill/>
      </xdr:spPr>
      <xdr:txBody>
        <a:bodyPr lIns="0" tIns="0" rIns="0" bIns="0" vertOverflow="clip" horzOverflow="clip" wrap="square" rtlCol="0" anchor="t">
          <a:noAutofit/>
        </a:bodyPr>
        <a:lstStyle/>
        <a:p>
          <a:pPr algn="l"/>
          <a:r>
            <a:rPr lang="en-GB" sz="1400"/>
            <a:t>Ensure that you reflect the perimeter change in your Like-for-Like Adjustment for </a:t>
          </a:r>
        </a:p>
        <a:p>
          <a:pPr algn="l"/>
          <a:r>
            <a:rPr lang="en-GB" sz="1200"/>
            <a:t>FY2024, FY2025</a:t>
          </a:r>
          <a:r>
            <a:rPr lang="en-GB" sz="1200" baseline="0"/>
            <a:t>,</a:t>
          </a:r>
          <a:r>
            <a:rPr lang="en-GB" sz="1200"/>
            <a:t> FY2026(If</a:t>
          </a:r>
          <a:r>
            <a:rPr lang="en-GB" sz="1200" baseline="0"/>
            <a:t> provided) </a:t>
          </a:r>
        </a:p>
        <a:p>
          <a:pPr algn="l"/>
          <a:endParaRPr lang="en-GB" sz="1200" baseline="0">
            <a:solidFill>
              <a:srgbClr val="0070C0"/>
            </a:solidFill>
          </a:endParaRPr>
        </a:p>
        <a:p>
          <a:pPr algn="l"/>
          <a:r>
            <a:rPr lang="en-GB" sz="1200" i="1" baseline="0">
              <a:solidFill>
                <a:srgbClr val="0070C0"/>
              </a:solidFill>
            </a:rPr>
            <a:t>Adjustment for Closed Transactions Not Included in Budget</a:t>
          </a:r>
          <a:endParaRPr lang="en-GB" sz="1200" i="1" kern="1200" dirty="0" err="1">
            <a:solidFill>
              <a:srgbClr val="0070C0"/>
            </a:solidFill>
          </a:endParaRPr>
        </a:p>
      </xdr:txBody>
    </xdr:sp>
    <xdr:clientData/>
  </xdr:twoCellAnchor>
  <xdr:twoCellAnchor>
    <xdr:from>
      <xdr:col>11</xdr:col>
      <xdr:colOff>560293</xdr:colOff>
      <xdr:row>25</xdr:row>
      <xdr:rowOff>33618</xdr:rowOff>
    </xdr:from>
    <xdr:to>
      <xdr:col>15</xdr:col>
      <xdr:colOff>78441</xdr:colOff>
      <xdr:row>25</xdr:row>
      <xdr:rowOff>79337</xdr:rowOff>
    </xdr:to>
    <xdr:sp>
      <xdr:nvSpPr>
        <xdr:cNvPr id="27" name="Rectangle 26">
          <a:extLst>
            <a:ext uri="{FF2B5EF4-FFF2-40B4-BE49-F238E27FC236}">
              <a16:creationId xmlns:a16="http://schemas.microsoft.com/office/drawing/2014/main" id="{C649077C-7F9D-2C81-31C2-25F219D54F18}"/>
            </a:ext>
          </a:extLst>
        </xdr:cNvPr>
        <xdr:cNvSpPr/>
      </xdr:nvSpPr>
      <xdr:spPr>
        <a:xfrm>
          <a:off x="11268075" y="5200650"/>
          <a:ext cx="3219450" cy="47625"/>
        </a:xfrm>
        <a:prstGeom prst="rect"/>
        <a:solidFill>
          <a:srgbClr val="0070C0"/>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clientData/>
  </xdr:twoCellAnchor>
  <xdr:twoCellAnchor>
    <xdr:from>
      <xdr:col>11</xdr:col>
      <xdr:colOff>358587</xdr:colOff>
      <xdr:row>37</xdr:row>
      <xdr:rowOff>145676</xdr:rowOff>
    </xdr:from>
    <xdr:to>
      <xdr:col>15</xdr:col>
      <xdr:colOff>212911</xdr:colOff>
      <xdr:row>47</xdr:row>
      <xdr:rowOff>145676</xdr:rowOff>
    </xdr:to>
    <xdr:sp>
      <xdr:nvSpPr>
        <xdr:cNvPr id="38" name="Rectangle: Rounded Corners 37">
          <a:extLst>
            <a:ext uri="{FF2B5EF4-FFF2-40B4-BE49-F238E27FC236}">
              <a16:creationId xmlns:a16="http://schemas.microsoft.com/office/drawing/2014/main" id="{E47FAE35-26D9-6403-95BA-09850FDBAC9E}"/>
            </a:ext>
          </a:extLst>
        </xdr:cNvPr>
        <xdr:cNvSpPr/>
      </xdr:nvSpPr>
      <xdr:spPr>
        <a:xfrm>
          <a:off x="11068050" y="7591425"/>
          <a:ext cx="3562350" cy="1905000"/>
        </a:xfrm>
        <a:prstGeom prst="roundRect">
          <a:avLst>
            <a:gd name="adj" fmla="val 5294"/>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clientData/>
  </xdr:twoCellAnchor>
  <xdr:twoCellAnchor>
    <xdr:from>
      <xdr:col>11</xdr:col>
      <xdr:colOff>549088</xdr:colOff>
      <xdr:row>39</xdr:row>
      <xdr:rowOff>143996</xdr:rowOff>
    </xdr:from>
    <xdr:to>
      <xdr:col>15</xdr:col>
      <xdr:colOff>56030</xdr:colOff>
      <xdr:row>46</xdr:row>
      <xdr:rowOff>123264</xdr:rowOff>
    </xdr:to>
    <xdr:sp>
      <xdr:nvSpPr>
        <xdr:cNvPr id="6" name="TextBox 25">
          <a:extLst>
            <a:ext uri="{FF2B5EF4-FFF2-40B4-BE49-F238E27FC236}">
              <a16:creationId xmlns:a16="http://schemas.microsoft.com/office/drawing/2014/main" id="{FB0B8B8C-9DEF-ABA0-ADAD-4B807FC267A8}"/>
            </a:ext>
          </a:extLst>
        </xdr:cNvPr>
        <xdr:cNvSpPr txBox="1"/>
      </xdr:nvSpPr>
      <xdr:spPr>
        <a:xfrm>
          <a:off x="11258550" y="7972425"/>
          <a:ext cx="3209925" cy="1314450"/>
        </a:xfrm>
        <a:prstGeom prst="rect"/>
        <a:noFill/>
      </xdr:spPr>
      <xdr:txBody>
        <a:bodyPr lIns="0" tIns="0" rIns="0" bIns="0" vertOverflow="clip" horzOverflow="clip" wrap="square" rtlCol="0" anchor="t">
          <a:noAutofit/>
        </a:bodyPr>
        <a:lstStyle/>
        <a:p>
          <a:pPr algn="l"/>
          <a:r>
            <a:rPr lang="en-GB" sz="1400"/>
            <a:t>Ensure that your budget does not include any change in perimeter for FY2026 </a:t>
          </a:r>
        </a:p>
        <a:p>
          <a:pPr algn="l"/>
          <a:endParaRPr lang="en-GB" sz="1400"/>
        </a:p>
        <a:p>
          <a:pPr algn="l" defTabSz="914400" fontAlgn="auto" indent="0" lvl="0" marL="0" marR="0" hangingPunct="1" eaLnBrk="1" latinLnBrk="0">
            <a:lnSpc>
              <a:spcPct val="100000"/>
            </a:lnSpc>
            <a:spcBef>
              <a:spcPts val="0"/>
            </a:spcBef>
            <a:spcAft>
              <a:spcPts val="0"/>
            </a:spcAft>
            <a:buClrTx/>
            <a:buSzTx/>
            <a:buFontTx/>
            <a:buNone/>
          </a:pPr>
          <a:r>
            <a:rPr lang="en-GB" sz="1200" i="1" baseline="0">
              <a:solidFill>
                <a:srgbClr val="0070C0"/>
              </a:solidFill>
              <a:effectLst/>
              <a:latin typeface="+mn-lt"/>
              <a:ea typeface="+mn-ea"/>
              <a:cs typeface="+mn-cs"/>
            </a:rPr>
            <a:t>Adjustment for Budgeted but Not Closed Transactions</a:t>
          </a:r>
          <a:endParaRPr lang="en-GB" sz="1400" kern="1200" dirty="0" err="1"/>
        </a:p>
      </xdr:txBody>
    </xdr:sp>
    <xdr:clientData/>
  </xdr:twoCellAnchor>
  <xdr:twoCellAnchor>
    <xdr:from>
      <xdr:col>11</xdr:col>
      <xdr:colOff>560293</xdr:colOff>
      <xdr:row>38</xdr:row>
      <xdr:rowOff>56030</xdr:rowOff>
    </xdr:from>
    <xdr:to>
      <xdr:col>15</xdr:col>
      <xdr:colOff>78441</xdr:colOff>
      <xdr:row>38</xdr:row>
      <xdr:rowOff>101749</xdr:rowOff>
    </xdr:to>
    <xdr:sp>
      <xdr:nvSpPr>
        <xdr:cNvPr id="39" name="Rectangle 38">
          <a:extLst>
            <a:ext uri="{FF2B5EF4-FFF2-40B4-BE49-F238E27FC236}">
              <a16:creationId xmlns:a16="http://schemas.microsoft.com/office/drawing/2014/main" id="{B884B154-F2C0-07E8-2D4E-CB9A4F974691}"/>
            </a:ext>
          </a:extLst>
        </xdr:cNvPr>
        <xdr:cNvSpPr/>
      </xdr:nvSpPr>
      <xdr:spPr>
        <a:xfrm>
          <a:off x="11268075" y="7696200"/>
          <a:ext cx="3219450" cy="47625"/>
        </a:xfrm>
        <a:prstGeom prst="rect"/>
        <a:solidFill>
          <a:schemeClr val="tx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clientData/>
  </xdr:twoCellAnchor>
  <xdr:twoCellAnchor>
    <xdr:from>
      <xdr:col>11</xdr:col>
      <xdr:colOff>537882</xdr:colOff>
      <xdr:row>30</xdr:row>
      <xdr:rowOff>168088</xdr:rowOff>
    </xdr:from>
    <xdr:to>
      <xdr:col>15</xdr:col>
      <xdr:colOff>78441</xdr:colOff>
      <xdr:row>30</xdr:row>
      <xdr:rowOff>168088</xdr:rowOff>
    </xdr:to>
    <xdr:cxnSp>
      <xdr:nvCxnSpPr>
        <xdr:cNvPr id="76" name="Straight Connector 75">
          <a:extLst>
            <a:ext uri="{FF2B5EF4-FFF2-40B4-BE49-F238E27FC236}">
              <a16:creationId xmlns:a16="http://schemas.microsoft.com/office/drawing/2014/main" id="{1A0F4E8D-00CE-2722-495B-5CBBB3541799}"/>
            </a:ext>
          </a:extLst>
        </xdr:cNvPr>
        <xdr:cNvCxnSpPr/>
      </xdr:nvCxnSpPr>
      <xdr:spPr>
        <a:xfrm>
          <a:off x="11239500" y="6286500"/>
          <a:ext cx="3248025" cy="0"/>
        </a:xfrm>
        <a:prstGeom prst="line"/>
        <a:ln>
          <a:solidFill>
            <a:schemeClr val="accent2"/>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537882</xdr:colOff>
      <xdr:row>43</xdr:row>
      <xdr:rowOff>123264</xdr:rowOff>
    </xdr:from>
    <xdr:to>
      <xdr:col>15</xdr:col>
      <xdr:colOff>78441</xdr:colOff>
      <xdr:row>43</xdr:row>
      <xdr:rowOff>123264</xdr:rowOff>
    </xdr:to>
    <xdr:cxnSp>
      <xdr:nvCxnSpPr>
        <xdr:cNvPr id="77" name="Straight Connector 76">
          <a:extLst>
            <a:ext uri="{FF2B5EF4-FFF2-40B4-BE49-F238E27FC236}">
              <a16:creationId xmlns:a16="http://schemas.microsoft.com/office/drawing/2014/main" id="{D32ADD48-B9CC-BF5D-84E5-4D87DB79452D}"/>
            </a:ext>
          </a:extLst>
        </xdr:cNvPr>
        <xdr:cNvCxnSpPr/>
      </xdr:nvCxnSpPr>
      <xdr:spPr>
        <a:xfrm>
          <a:off x="11239500" y="8715375"/>
          <a:ext cx="3248025" cy="0"/>
        </a:xfrm>
        <a:prstGeom prst="line"/>
        <a:ln>
          <a:solidFill>
            <a:schemeClr val="accent2"/>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448234</xdr:colOff>
      <xdr:row>24</xdr:row>
      <xdr:rowOff>118782</xdr:rowOff>
    </xdr:from>
    <xdr:to>
      <xdr:col>32</xdr:col>
      <xdr:colOff>339599</xdr:colOff>
      <xdr:row>35</xdr:row>
      <xdr:rowOff>19746</xdr:rowOff>
    </xdr:to>
    <xdr:grpSp>
      <xdr:nvGrpSpPr>
        <xdr:cNvPr id="88" name="Group 87">
          <a:extLst>
            <a:ext uri="{FF2B5EF4-FFF2-40B4-BE49-F238E27FC236}">
              <a16:creationId xmlns:a16="http://schemas.microsoft.com/office/drawing/2014/main" id="{0A345510-2091-AA4B-2482-4745E1D332CB}"/>
            </a:ext>
          </a:extLst>
        </xdr:cNvPr>
        <xdr:cNvGrpSpPr>
          <a:grpSpLocks/>
        </xdr:cNvGrpSpPr>
      </xdr:nvGrpSpPr>
      <xdr:grpSpPr>
        <a:xfrm>
          <a:off x="14859000" y="5086350"/>
          <a:ext cx="14097000" cy="2000250"/>
          <a:chOff x="19475822" y="13140018"/>
          <a:chExt cx="14100424" cy="2108523"/>
        </a:xfrm>
      </xdr:grpSpPr>
      <xdr:grpSp>
        <xdr:nvGrpSpPr>
          <xdr:cNvPr id="26" name="Group 25">
            <a:extLst>
              <a:ext uri="{FF2B5EF4-FFF2-40B4-BE49-F238E27FC236}">
                <a16:creationId xmlns:a16="http://schemas.microsoft.com/office/drawing/2014/main" id="{CFC3055A-B561-F8F3-E9CF-03ABD9B1A521}"/>
              </a:ext>
            </a:extLst>
          </xdr:cNvPr>
          <xdr:cNvGrpSpPr>
            <a:grpSpLocks/>
          </xdr:cNvGrpSpPr>
        </xdr:nvGrpSpPr>
        <xdr:grpSpPr>
          <a:xfrm>
            <a:off x="19475822" y="13140018"/>
            <a:ext cx="4769418" cy="2108523"/>
            <a:chOff x="19475822" y="13144500"/>
            <a:chExt cx="4769418" cy="2108523"/>
          </a:xfrm>
        </xdr:grpSpPr>
        <xdr:sp>
          <xdr:nvSpPr>
            <xdr:cNvPr id="5" name="Rectangle: Rounded Corners 4">
              <a:extLst>
                <a:ext uri="{FF2B5EF4-FFF2-40B4-BE49-F238E27FC236}">
                  <a16:creationId xmlns:a16="http://schemas.microsoft.com/office/drawing/2014/main" id="{BD3F25A8-7DF0-0872-DEDE-54865AB47465}"/>
                </a:ext>
              </a:extLst>
            </xdr:cNvPr>
            <xdr:cNvSpPr/>
          </xdr:nvSpPr>
          <xdr:spPr>
            <a:xfrm>
              <a:off x="19722354" y="13144503"/>
              <a:ext cx="4493558" cy="2095500"/>
            </a:xfrm>
            <a:prstGeom prst="roundRect">
              <a:avLst>
                <a:gd name="adj" fmla="val 3298"/>
              </a:avLst>
            </a:prstGeom>
            <a:solidFill>
              <a:schemeClr val="tx2"/>
            </a:solidFill>
            <a:ln>
              <a:solidFill>
                <a:schemeClr val="tx1">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grpSp>
          <xdr:nvGrpSpPr>
            <xdr:cNvPr id="25" name="Group 24">
              <a:extLst>
                <a:ext uri="{FF2B5EF4-FFF2-40B4-BE49-F238E27FC236}">
                  <a16:creationId xmlns:a16="http://schemas.microsoft.com/office/drawing/2014/main" id="{2ED88888-23FF-4E8B-2C74-55C9B9816457}"/>
                </a:ext>
              </a:extLst>
            </xdr:cNvPr>
            <xdr:cNvGrpSpPr>
              <a:grpSpLocks/>
            </xdr:cNvGrpSpPr>
          </xdr:nvGrpSpPr>
          <xdr:grpSpPr>
            <a:xfrm>
              <a:off x="19789588" y="13144500"/>
              <a:ext cx="4415117" cy="2108523"/>
              <a:chOff x="19789588" y="13144500"/>
              <a:chExt cx="4415117" cy="2108523"/>
            </a:xfrm>
          </xdr:grpSpPr>
          <xdr:sp>
            <xdr:nvSpPr>
              <xdr:cNvPr id="7" name="BoxHeading">
                <a:extLst>
                  <a:ext uri="{FF2B5EF4-FFF2-40B4-BE49-F238E27FC236}">
                    <a16:creationId xmlns:a16="http://schemas.microsoft.com/office/drawing/2014/main" id="{4DD43726-F3F3-2441-27E6-300A56BF29B4}"/>
                  </a:ext>
                </a:extLst>
              </xdr:cNvPr>
              <xdr:cNvSpPr txBox="1"/>
            </xdr:nvSpPr>
            <xdr:spPr>
              <a:xfrm>
                <a:off x="19901646" y="13144501"/>
                <a:ext cx="4303059" cy="347383"/>
              </a:xfrm>
              <a:prstGeom prst="rect"/>
              <a:noFill/>
            </xdr:spPr>
            <xdr:txBody>
              <a:bodyPr lIns="0" tIns="0" rIns="0" bIns="0" vertOverflow="clip" horzOverflow="clip" wrap="square" rtlCol="0" anchor="ctr">
                <a:noAutofit/>
              </a:bodyPr>
              <a:lstStyle/>
              <a:p>
                <a:pPr algn="l"/>
                <a:r>
                  <a:rPr lang="en-GB" sz="1400" b="1" dirty="0" err="1">
                    <a:solidFill>
                      <a:schemeClr val="bg1"/>
                    </a:solidFill>
                  </a:rPr>
                  <a:t>Yes ▸</a:t>
                </a:r>
                <a:r>
                  <a:rPr lang="en-GB" sz="1400" b="1" baseline="0" dirty="0" err="1">
                    <a:solidFill>
                      <a:schemeClr val="bg1"/>
                    </a:solidFill>
                  </a:rPr>
                  <a:t>  </a:t>
                </a:r>
                <a:r>
                  <a:rPr lang="en-GB" sz="1400" b="1" dirty="0" err="1">
                    <a:solidFill>
                      <a:schemeClr val="bg1"/>
                    </a:solidFill>
                  </a:rPr>
                  <a:t>LfL</a:t>
                </a:r>
                <a:r>
                  <a:rPr lang="en-GB" sz="1400" b="1" baseline="0" dirty="0" err="1">
                    <a:solidFill>
                      <a:schemeClr val="bg1"/>
                    </a:solidFill>
                  </a:rPr>
                  <a:t> Adjustment Amount  ● </a:t>
                </a:r>
                <a:r>
                  <a:rPr lang="en-GB" sz="1400" b="1" baseline="0" dirty="0" err="1">
                    <a:solidFill>
                      <a:schemeClr val="accent5">
                        <a:lumMod val="40000"/>
                        <a:lumOff val="60000"/>
                      </a:schemeClr>
                    </a:solidFill>
                  </a:rPr>
                  <a:t>FY</a:t>
                </a:r>
                <a:endParaRPr lang="en-GB" sz="1400" b="1" dirty="0" err="1">
                  <a:solidFill>
                    <a:schemeClr val="accent5">
                      <a:lumMod val="40000"/>
                      <a:lumOff val="60000"/>
                    </a:schemeClr>
                  </a:solidFill>
                </a:endParaRPr>
              </a:p>
            </xdr:txBody>
          </xdr:sp>
          <xdr:sp textlink="$AS$33">
            <xdr:nvSpPr>
              <xdr:cNvPr id="8" name="FY">
                <a:extLst>
                  <a:ext uri="{FF2B5EF4-FFF2-40B4-BE49-F238E27FC236}">
                    <a16:creationId xmlns:a16="http://schemas.microsoft.com/office/drawing/2014/main" id="{AE9722FB-5F20-BA2A-999B-D0B9880BA63E}"/>
                  </a:ext>
                </a:extLst>
              </xdr:cNvPr>
              <xdr:cNvSpPr txBox="1"/>
            </xdr:nvSpPr>
            <xdr:spPr>
              <a:xfrm>
                <a:off x="22904823" y="13144500"/>
                <a:ext cx="885265" cy="349200"/>
              </a:xfrm>
              <a:prstGeom prst="rect"/>
              <a:noFill/>
            </xdr:spPr>
            <xdr:txBody>
              <a:bodyPr lIns="0" tIns="0" rIns="0" bIns="0" vertOverflow="clip" horzOverflow="clip" wrap="square" rtlCol="0" anchor="ctr">
                <a:noAutofit/>
              </a:bodyPr>
              <a:lstStyle/>
              <a:p>
                <a:pPr algn="ctr"/>
                <a:fld id="{2F621BE8-312A-4FCA-A39B-3FA27BF3F425}" type="TxLink">
                  <a:rPr lang="en-US" sz="1400" u="none" b="1" i="0" dirty="0" err="1">
                    <a:solidFill>
                      <a:schemeClr val="accent5">
                        <a:lumMod val="40000"/>
                        <a:lumOff val="60000"/>
                      </a:schemeClr>
                    </a:solidFill>
                    <a:latin typeface="Arial"/>
                    <a:cs typeface="Arial"/>
                  </a:rPr>
                  <a:t>#NAME?</a:t>
                </a:fld>
                <a:endParaRPr lang="en-GB" sz="1600" dirty="0" err="1">
                  <a:solidFill>
                    <a:schemeClr val="accent5">
                      <a:lumMod val="40000"/>
                      <a:lumOff val="60000"/>
                    </a:schemeClr>
                  </a:solidFill>
                </a:endParaRPr>
              </a:p>
            </xdr:txBody>
          </xdr:sp>
          <xdr:sp textlink="$AQ$32">
            <xdr:nvSpPr>
              <xdr:cNvPr id="10" name="AS OF">
                <a:extLst>
                  <a:ext uri="{FF2B5EF4-FFF2-40B4-BE49-F238E27FC236}">
                    <a16:creationId xmlns:a16="http://schemas.microsoft.com/office/drawing/2014/main" id="{3B116399-6E1E-8569-415E-91B4BACC3017}"/>
                  </a:ext>
                </a:extLst>
              </xdr:cNvPr>
              <xdr:cNvSpPr txBox="1"/>
            </xdr:nvSpPr>
            <xdr:spPr>
              <a:xfrm>
                <a:off x="20955000" y="14903823"/>
                <a:ext cx="2073088" cy="349200"/>
              </a:xfrm>
              <a:prstGeom prst="rect"/>
              <a:noFill/>
            </xdr:spPr>
            <xdr:txBody>
              <a:bodyPr lIns="0" tIns="0" rIns="0" bIns="0" vertOverflow="clip" horzOverflow="clip" wrap="square" rtlCol="0" anchor="ctr">
                <a:noAutofit/>
              </a:bodyPr>
              <a:lstStyle/>
              <a:p>
                <a:pPr algn="ctr"/>
                <a:fld id="{4F0FDEB2-0148-4BB5-A1D0-04E12976E193}" type="TxLink">
                  <a:rPr lang="en-US" sz="1200" u="none" b="0" i="0" dirty="0" err="1">
                    <a:solidFill>
                      <a:schemeClr val="bg1">
                        <a:lumMod val="95000"/>
                      </a:schemeClr>
                    </a:solidFill>
                    <a:latin typeface="Arial"/>
                    <a:cs typeface="Arial"/>
                  </a:rPr>
                  <a:t>#NAME?</a:t>
                </a:fld>
                <a:endParaRPr lang="en-GB" sz="1800" dirty="0" err="1">
                  <a:solidFill>
                    <a:schemeClr val="bg1">
                      <a:lumMod val="95000"/>
                    </a:schemeClr>
                  </a:solidFill>
                </a:endParaRPr>
              </a:p>
            </xdr:txBody>
          </xdr:sp>
          <xdr:grpSp>
            <xdr:nvGrpSpPr>
              <xdr:cNvPr id="19" name="Group 18">
                <a:extLst>
                  <a:ext uri="{FF2B5EF4-FFF2-40B4-BE49-F238E27FC236}">
                    <a16:creationId xmlns:a16="http://schemas.microsoft.com/office/drawing/2014/main" id="{F7450BAE-793C-1C2B-B529-95CF2E29748D}"/>
                  </a:ext>
                </a:extLst>
              </xdr:cNvPr>
              <xdr:cNvGrpSpPr>
                <a:grpSpLocks/>
              </xdr:cNvGrpSpPr>
            </xdr:nvGrpSpPr>
            <xdr:grpSpPr>
              <a:xfrm>
                <a:off x="19789588" y="13659972"/>
                <a:ext cx="4235822" cy="336177"/>
                <a:chOff x="19789588" y="13659972"/>
                <a:chExt cx="4235822" cy="336177"/>
              </a:xfrm>
            </xdr:grpSpPr>
            <xdr:sp>
              <xdr:nvSpPr>
                <xdr:cNvPr id="9" name="TOPLINE">
                  <a:extLst>
                    <a:ext uri="{FF2B5EF4-FFF2-40B4-BE49-F238E27FC236}">
                      <a16:creationId xmlns:a16="http://schemas.microsoft.com/office/drawing/2014/main" id="{E5FBE362-0FFE-500B-0300-8EA988F4D249}"/>
                    </a:ext>
                  </a:extLst>
                </xdr:cNvPr>
                <xdr:cNvSpPr txBox="1"/>
              </xdr:nvSpPr>
              <xdr:spPr>
                <a:xfrm>
                  <a:off x="19789588" y="13659972"/>
                  <a:ext cx="1221441" cy="336177"/>
                </a:xfrm>
                <a:prstGeom prst="rect"/>
                <a:noFill/>
              </xdr:spPr>
              <xdr:txBody>
                <a:bodyPr lIns="0" tIns="0" rIns="0" bIns="0" vertOverflow="clip" horzOverflow="clip" wrap="square" rtlCol="0" anchor="t">
                  <a:noAutofit/>
                </a:bodyPr>
                <a:lstStyle/>
                <a:p>
                  <a:pPr algn="ctr"/>
                  <a:r>
                    <a:rPr lang="en-GB" sz="1100" dirty="0" err="1">
                      <a:solidFill>
                        <a:schemeClr val="accent3"/>
                      </a:solidFill>
                    </a:rPr>
                    <a:t>TOP LINE</a:t>
                  </a:r>
                </a:p>
              </xdr:txBody>
            </xdr:sp>
            <xdr:sp>
              <xdr:nvSpPr>
                <xdr:cNvPr id="12" name="EARNING">
                  <a:extLst>
                    <a:ext uri="{FF2B5EF4-FFF2-40B4-BE49-F238E27FC236}">
                      <a16:creationId xmlns:a16="http://schemas.microsoft.com/office/drawing/2014/main" id="{12FA60A4-8E58-B6D5-AD09-F304F6365D75}"/>
                    </a:ext>
                  </a:extLst>
                </xdr:cNvPr>
                <xdr:cNvSpPr txBox="1"/>
              </xdr:nvSpPr>
              <xdr:spPr>
                <a:xfrm>
                  <a:off x="21296779" y="13659972"/>
                  <a:ext cx="1221441" cy="336177"/>
                </a:xfrm>
                <a:prstGeom prst="rect"/>
                <a:noFill/>
              </xdr:spPr>
              <xdr:txBody>
                <a:bodyPr lIns="0" tIns="0" rIns="0" bIns="0" vertOverflow="clip" horzOverflow="clip" wrap="square" rtlCol="0" anchor="t">
                  <a:noAutofit/>
                </a:bodyPr>
                <a:lstStyle/>
                <a:p>
                  <a:pPr algn="ctr"/>
                  <a:r>
                    <a:rPr lang="en-GB" sz="1100" dirty="0" err="1">
                      <a:solidFill>
                        <a:schemeClr val="accent3"/>
                      </a:solidFill>
                    </a:rPr>
                    <a:t>EARNING</a:t>
                  </a:r>
                </a:p>
              </xdr:txBody>
            </xdr:sp>
            <xdr:sp>
              <xdr:nvSpPr>
                <xdr:cNvPr id="13" name="VALUATION">
                  <a:extLst>
                    <a:ext uri="{FF2B5EF4-FFF2-40B4-BE49-F238E27FC236}">
                      <a16:creationId xmlns:a16="http://schemas.microsoft.com/office/drawing/2014/main" id="{D572F17C-FDD7-FD31-66B0-7D27551CC405}"/>
                    </a:ext>
                  </a:extLst>
                </xdr:cNvPr>
                <xdr:cNvSpPr txBox="1"/>
              </xdr:nvSpPr>
              <xdr:spPr>
                <a:xfrm>
                  <a:off x="22803969" y="13659972"/>
                  <a:ext cx="1221441" cy="336177"/>
                </a:xfrm>
                <a:prstGeom prst="rect"/>
                <a:noFill/>
              </xdr:spPr>
              <xdr:txBody>
                <a:bodyPr lIns="0" tIns="0" rIns="0" bIns="0" vertOverflow="clip" horzOverflow="clip" wrap="square" rtlCol="0" anchor="t">
                  <a:noAutofit/>
                </a:bodyPr>
                <a:lstStyle/>
                <a:p>
                  <a:pPr algn="ctr"/>
                  <a:r>
                    <a:rPr lang="en-GB" sz="1100" dirty="0" err="1">
                      <a:solidFill>
                        <a:schemeClr val="accent3"/>
                      </a:solidFill>
                    </a:rPr>
                    <a:t>VALUATION</a:t>
                  </a:r>
                </a:p>
              </xdr:txBody>
            </xdr:sp>
          </xdr:grpSp>
        </xdr:grpSp>
        <xdr:grpSp>
          <xdr:nvGrpSpPr>
            <xdr:cNvPr id="17" name="Group 16">
              <a:extLst>
                <a:ext uri="{FF2B5EF4-FFF2-40B4-BE49-F238E27FC236}">
                  <a16:creationId xmlns:a16="http://schemas.microsoft.com/office/drawing/2014/main" id="{0C74B7D1-DAEF-89E6-48AB-47B5BB33FC64}"/>
                </a:ext>
              </a:extLst>
            </xdr:cNvPr>
            <xdr:cNvGrpSpPr>
              <a:grpSpLocks/>
            </xdr:cNvGrpSpPr>
          </xdr:nvGrpSpPr>
          <xdr:grpSpPr>
            <a:xfrm>
              <a:off x="19475822" y="13816854"/>
              <a:ext cx="4769418" cy="1143000"/>
              <a:chOff x="19475822" y="13816854"/>
              <a:chExt cx="4769418" cy="1143000"/>
            </a:xfrm>
          </xdr:grpSpPr>
          <xdr:sp textlink="$AS$37">
            <xdr:nvSpPr>
              <xdr:cNvPr id="14" name="TopLineData">
                <a:extLst>
                  <a:ext uri="{FF2B5EF4-FFF2-40B4-BE49-F238E27FC236}">
                    <a16:creationId xmlns:a16="http://schemas.microsoft.com/office/drawing/2014/main" id="{9100C0C1-7E34-4521-FC98-068621B48A37}"/>
                  </a:ext>
                </a:extLst>
              </xdr:cNvPr>
              <xdr:cNvSpPr txBox="1"/>
            </xdr:nvSpPr>
            <xdr:spPr>
              <a:xfrm>
                <a:off x="19475822" y="13816854"/>
                <a:ext cx="1764000" cy="1143000"/>
              </a:xfrm>
              <a:prstGeom prst="rect"/>
              <a:noFill/>
            </xdr:spPr>
            <xdr:txBody>
              <a:bodyPr lIns="0" tIns="0" rIns="0" bIns="0" vertOverflow="clip" horzOverflow="clip" wrap="square" rtlCol="0" anchor="ctr">
                <a:noAutofit/>
              </a:bodyPr>
              <a:lstStyle/>
              <a:p>
                <a:pPr algn="ctr"/>
                <a:fld id="{36989344-BB8E-43DD-98A5-14FF299F919C}" type="TxLink">
                  <a:rPr lang="en-US" sz="3600" u="none" b="0" i="0" dirty="0" err="1">
                    <a:solidFill>
                      <a:schemeClr val="bg1"/>
                    </a:solidFill>
                    <a:latin typeface="Arial"/>
                    <a:cs typeface="Arial"/>
                  </a:rPr>
                  <a:t>#NAME?</a:t>
                </a:fld>
                <a:endParaRPr lang="en-GB" sz="3600" dirty="0" err="1">
                  <a:solidFill>
                    <a:schemeClr val="bg1"/>
                  </a:solidFill>
                </a:endParaRPr>
              </a:p>
            </xdr:txBody>
          </xdr:sp>
          <xdr:sp textlink="$AS$38">
            <xdr:nvSpPr>
              <xdr:cNvPr id="15" name="Earning Data">
                <a:extLst>
                  <a:ext uri="{FF2B5EF4-FFF2-40B4-BE49-F238E27FC236}">
                    <a16:creationId xmlns:a16="http://schemas.microsoft.com/office/drawing/2014/main" id="{1B08462E-8D1D-455C-885C-087F63A2FB5D}"/>
                  </a:ext>
                </a:extLst>
              </xdr:cNvPr>
              <xdr:cNvSpPr txBox="1"/>
            </xdr:nvSpPr>
            <xdr:spPr>
              <a:xfrm>
                <a:off x="20978531" y="13816854"/>
                <a:ext cx="1764000" cy="1143000"/>
              </a:xfrm>
              <a:prstGeom prst="rect"/>
              <a:noFill/>
            </xdr:spPr>
            <xdr:txBody>
              <a:bodyPr lIns="0" tIns="0" rIns="0" bIns="0" vertOverflow="clip" horzOverflow="clip" wrap="square" rtlCol="0" anchor="ctr">
                <a:noAutofit/>
              </a:bodyPr>
              <a:lstStyle/>
              <a:p>
                <a:pPr algn="ctr"/>
                <a:fld id="{BD0BDE84-C88C-4531-93A3-63E5A89C35B4}" type="TxLink">
                  <a:rPr lang="en-US" sz="3600" u="none" b="0" i="0" dirty="0" err="1">
                    <a:solidFill>
                      <a:schemeClr val="bg1">
                        <a:lumMod val="95000"/>
                      </a:schemeClr>
                    </a:solidFill>
                    <a:latin typeface="Arial"/>
                    <a:cs typeface="Arial"/>
                  </a:rPr>
                  <a:t>#NAME?</a:t>
                </a:fld>
                <a:endParaRPr lang="en-GB" sz="3600" dirty="0" err="1">
                  <a:solidFill>
                    <a:schemeClr val="bg1">
                      <a:lumMod val="95000"/>
                    </a:schemeClr>
                  </a:solidFill>
                </a:endParaRPr>
              </a:p>
            </xdr:txBody>
          </xdr:sp>
          <xdr:sp textlink="$AS$39">
            <xdr:nvSpPr>
              <xdr:cNvPr id="16" name="Valuation Data">
                <a:extLst>
                  <a:ext uri="{FF2B5EF4-FFF2-40B4-BE49-F238E27FC236}">
                    <a16:creationId xmlns:a16="http://schemas.microsoft.com/office/drawing/2014/main" id="{BAC03998-CB00-4385-8388-18179F363081}"/>
                  </a:ext>
                </a:extLst>
              </xdr:cNvPr>
              <xdr:cNvSpPr txBox="1"/>
            </xdr:nvSpPr>
            <xdr:spPr>
              <a:xfrm>
                <a:off x="22481240" y="13816854"/>
                <a:ext cx="1764000" cy="1143000"/>
              </a:xfrm>
              <a:prstGeom prst="rect"/>
              <a:noFill/>
            </xdr:spPr>
            <xdr:txBody>
              <a:bodyPr lIns="0" tIns="0" rIns="0" bIns="0" vertOverflow="clip" horzOverflow="clip" wrap="square" rtlCol="0" anchor="ctr">
                <a:noAutofit/>
              </a:bodyPr>
              <a:lstStyle/>
              <a:p>
                <a:pPr algn="ctr"/>
                <a:fld id="{CA3526C4-B915-4231-B729-B0AD2AD575B7}" type="TxLink">
                  <a:rPr lang="en-US" sz="3600" u="none" b="0" i="0" dirty="0" err="1">
                    <a:solidFill>
                      <a:schemeClr val="bg1">
                        <a:lumMod val="95000"/>
                      </a:schemeClr>
                    </a:solidFill>
                    <a:latin typeface="Arial"/>
                    <a:cs typeface="Arial"/>
                  </a:rPr>
                  <a:t>#NAME?</a:t>
                </a:fld>
                <a:endParaRPr lang="en-GB" sz="3600" dirty="0" err="1">
                  <a:solidFill>
                    <a:schemeClr val="bg1">
                      <a:lumMod val="95000"/>
                    </a:schemeClr>
                  </a:solidFill>
                </a:endParaRPr>
              </a:p>
            </xdr:txBody>
          </xdr:sp>
        </xdr:grpSp>
      </xdr:grpSp>
      <xdr:grpSp>
        <xdr:nvGrpSpPr>
          <xdr:cNvPr id="28" name="Group 27">
            <a:extLst>
              <a:ext uri="{FF2B5EF4-FFF2-40B4-BE49-F238E27FC236}">
                <a16:creationId xmlns:a16="http://schemas.microsoft.com/office/drawing/2014/main" id="{56F957E9-4C4C-49EB-87BC-EBABBF3E2242}"/>
              </a:ext>
            </a:extLst>
          </xdr:cNvPr>
          <xdr:cNvGrpSpPr>
            <a:grpSpLocks/>
          </xdr:cNvGrpSpPr>
        </xdr:nvGrpSpPr>
        <xdr:grpSpPr>
          <a:xfrm>
            <a:off x="24009722" y="13140018"/>
            <a:ext cx="4985418" cy="2108523"/>
            <a:chOff x="19374969" y="13144500"/>
            <a:chExt cx="4985418" cy="2108523"/>
          </a:xfrm>
        </xdr:grpSpPr>
        <xdr:sp>
          <xdr:nvSpPr>
            <xdr:cNvPr id="30" name="Rectangle: Rounded Corners 29">
              <a:extLst>
                <a:ext uri="{FF2B5EF4-FFF2-40B4-BE49-F238E27FC236}">
                  <a16:creationId xmlns:a16="http://schemas.microsoft.com/office/drawing/2014/main" id="{BC57D3B9-325F-90B7-5E36-8C99B59179DE}"/>
                </a:ext>
              </a:extLst>
            </xdr:cNvPr>
            <xdr:cNvSpPr/>
          </xdr:nvSpPr>
          <xdr:spPr>
            <a:xfrm>
              <a:off x="19722354" y="13144502"/>
              <a:ext cx="4493558" cy="2095500"/>
            </a:xfrm>
            <a:prstGeom prst="roundRect">
              <a:avLst>
                <a:gd name="adj" fmla="val 3298"/>
              </a:avLst>
            </a:prstGeom>
            <a:solidFill>
              <a:schemeClr val="accent4"/>
            </a:solidFill>
            <a:ln>
              <a:solidFill>
                <a:schemeClr val="accent4">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b="1"/>
            </a:p>
          </xdr:txBody>
        </xdr:sp>
        <xdr:grpSp>
          <xdr:nvGrpSpPr>
            <xdr:cNvPr id="31" name="Group 30">
              <a:extLst>
                <a:ext uri="{FF2B5EF4-FFF2-40B4-BE49-F238E27FC236}">
                  <a16:creationId xmlns:a16="http://schemas.microsoft.com/office/drawing/2014/main" id="{D6723B88-6063-358D-1EB8-EE7FB8941E51}"/>
                </a:ext>
              </a:extLst>
            </xdr:cNvPr>
            <xdr:cNvGrpSpPr>
              <a:grpSpLocks/>
            </xdr:cNvGrpSpPr>
          </xdr:nvGrpSpPr>
          <xdr:grpSpPr>
            <a:xfrm>
              <a:off x="19789588" y="13144500"/>
              <a:ext cx="4415117" cy="2108523"/>
              <a:chOff x="19789588" y="13144500"/>
              <a:chExt cx="4415117" cy="2108523"/>
            </a:xfrm>
          </xdr:grpSpPr>
          <xdr:sp>
            <xdr:nvSpPr>
              <xdr:cNvPr id="43" name="BoxHeading">
                <a:extLst>
                  <a:ext uri="{FF2B5EF4-FFF2-40B4-BE49-F238E27FC236}">
                    <a16:creationId xmlns:a16="http://schemas.microsoft.com/office/drawing/2014/main" id="{48569B3C-92B3-7EAB-8CCF-D2014BC5034E}"/>
                  </a:ext>
                </a:extLst>
              </xdr:cNvPr>
              <xdr:cNvSpPr txBox="1"/>
            </xdr:nvSpPr>
            <xdr:spPr>
              <a:xfrm>
                <a:off x="19901646" y="13144501"/>
                <a:ext cx="4303059" cy="347383"/>
              </a:xfrm>
              <a:prstGeom prst="rect"/>
              <a:noFill/>
            </xdr:spPr>
            <xdr:txBody>
              <a:bodyPr lIns="0" tIns="0" rIns="0" bIns="0" vertOverflow="clip" horzOverflow="clip" wrap="square" rtlCol="0" anchor="ctr">
                <a:noAutofit/>
              </a:bodyPr>
              <a:lstStyle/>
              <a:p>
                <a:pPr algn="l"/>
                <a:r>
                  <a:rPr lang="en-GB" sz="1400" b="1" dirty="0" err="1">
                    <a:solidFill>
                      <a:schemeClr val="bg1"/>
                    </a:solidFill>
                  </a:rPr>
                  <a:t>Yes ▸</a:t>
                </a:r>
                <a:r>
                  <a:rPr lang="en-GB" sz="1400" b="1" baseline="0" dirty="0" err="1">
                    <a:solidFill>
                      <a:schemeClr val="bg1"/>
                    </a:solidFill>
                  </a:rPr>
                  <a:t>  </a:t>
                </a:r>
                <a:r>
                  <a:rPr lang="en-GB" sz="1400" b="1" dirty="0" err="1">
                    <a:solidFill>
                      <a:schemeClr val="bg1"/>
                    </a:solidFill>
                  </a:rPr>
                  <a:t>LfL</a:t>
                </a:r>
                <a:r>
                  <a:rPr lang="en-GB" sz="1400" b="1" baseline="0" dirty="0" err="1">
                    <a:solidFill>
                      <a:schemeClr val="bg1"/>
                    </a:solidFill>
                  </a:rPr>
                  <a:t> Adjustment Amount  ● </a:t>
                </a:r>
                <a:r>
                  <a:rPr lang="en-GB" sz="1400" b="1" baseline="0" dirty="0" err="1">
                    <a:solidFill>
                      <a:srgbClr val="D1DCC6"/>
                    </a:solidFill>
                  </a:rPr>
                  <a:t>FY</a:t>
                </a:r>
                <a:endParaRPr lang="en-GB" sz="1400" b="1" dirty="0" err="1">
                  <a:solidFill>
                    <a:srgbClr val="D1DCC6"/>
                  </a:solidFill>
                </a:endParaRPr>
              </a:p>
            </xdr:txBody>
          </xdr:sp>
          <xdr:sp textlink="$AT$33">
            <xdr:nvSpPr>
              <xdr:cNvPr id="46" name="FY">
                <a:extLst>
                  <a:ext uri="{FF2B5EF4-FFF2-40B4-BE49-F238E27FC236}">
                    <a16:creationId xmlns:a16="http://schemas.microsoft.com/office/drawing/2014/main" id="{99444B31-9C30-AD58-7B27-9658B198955D}"/>
                  </a:ext>
                </a:extLst>
              </xdr:cNvPr>
              <xdr:cNvSpPr txBox="1"/>
            </xdr:nvSpPr>
            <xdr:spPr>
              <a:xfrm>
                <a:off x="22860000" y="13144500"/>
                <a:ext cx="885265" cy="349200"/>
              </a:xfrm>
              <a:prstGeom prst="rect"/>
              <a:noFill/>
            </xdr:spPr>
            <xdr:txBody>
              <a:bodyPr lIns="0" tIns="0" rIns="0" bIns="0" vertOverflow="clip" horzOverflow="clip" wrap="square" rtlCol="0" anchor="ctr">
                <a:noAutofit/>
              </a:bodyPr>
              <a:lstStyle/>
              <a:p>
                <a:pPr algn="ctr"/>
                <a:fld id="{34ED08B9-E9CB-4168-A7F3-5890D28ABCB4}" type="TxLink">
                  <a:rPr lang="en-US" sz="1400" u="none" b="1" i="0" dirty="0" err="1">
                    <a:solidFill>
                      <a:srgbClr val="D1DCC6"/>
                    </a:solidFill>
                    <a:latin typeface="Arial"/>
                    <a:cs typeface="Arial"/>
                  </a:rPr>
                  <a:t>#NAME?</a:t>
                </a:fld>
                <a:endParaRPr lang="en-GB" sz="2000" b="1" dirty="0" err="1">
                  <a:solidFill>
                    <a:srgbClr val="D1DCC6"/>
                  </a:solidFill>
                </a:endParaRPr>
              </a:p>
            </xdr:txBody>
          </xdr:sp>
          <xdr:sp textlink="$AQ$32">
            <xdr:nvSpPr>
              <xdr:cNvPr id="52" name="AS OF">
                <a:extLst>
                  <a:ext uri="{FF2B5EF4-FFF2-40B4-BE49-F238E27FC236}">
                    <a16:creationId xmlns:a16="http://schemas.microsoft.com/office/drawing/2014/main" id="{502930EC-8A6E-8220-BA23-0784C02F5D71}"/>
                  </a:ext>
                </a:extLst>
              </xdr:cNvPr>
              <xdr:cNvSpPr txBox="1"/>
            </xdr:nvSpPr>
            <xdr:spPr>
              <a:xfrm>
                <a:off x="20955000" y="14903823"/>
                <a:ext cx="2073088" cy="349200"/>
              </a:xfrm>
              <a:prstGeom prst="rect"/>
              <a:noFill/>
            </xdr:spPr>
            <xdr:txBody>
              <a:bodyPr lIns="0" tIns="0" rIns="0" bIns="0" vertOverflow="clip" horzOverflow="clip" wrap="square" rtlCol="0" anchor="ctr">
                <a:noAutofit/>
              </a:bodyPr>
              <a:lstStyle/>
              <a:p>
                <a:pPr algn="ctr"/>
                <a:fld id="{28D3081C-4A1F-4D76-B965-1EE349B6B27C}" type="TxLink">
                  <a:rPr lang="en-US" sz="1200" u="none" b="0" i="0" dirty="0" err="1">
                    <a:solidFill>
                      <a:schemeClr val="bg1">
                        <a:lumMod val="95000"/>
                      </a:schemeClr>
                    </a:solidFill>
                    <a:latin typeface="Arial"/>
                    <a:cs typeface="Arial"/>
                  </a:rPr>
                  <a:t>#NAME?</a:t>
                </a:fld>
                <a:endParaRPr lang="en-GB" sz="1800" b="0" dirty="0" err="1">
                  <a:solidFill>
                    <a:schemeClr val="bg1">
                      <a:lumMod val="95000"/>
                    </a:schemeClr>
                  </a:solidFill>
                </a:endParaRPr>
              </a:p>
            </xdr:txBody>
          </xdr:sp>
          <xdr:grpSp>
            <xdr:nvGrpSpPr>
              <xdr:cNvPr id="54" name="Group 53">
                <a:extLst>
                  <a:ext uri="{FF2B5EF4-FFF2-40B4-BE49-F238E27FC236}">
                    <a16:creationId xmlns:a16="http://schemas.microsoft.com/office/drawing/2014/main" id="{567111DA-E087-DE0A-D5C7-ED2ED51E8B27}"/>
                  </a:ext>
                </a:extLst>
              </xdr:cNvPr>
              <xdr:cNvGrpSpPr>
                <a:grpSpLocks/>
              </xdr:cNvGrpSpPr>
            </xdr:nvGrpSpPr>
            <xdr:grpSpPr>
              <a:xfrm>
                <a:off x="19789588" y="13659972"/>
                <a:ext cx="4235822" cy="336177"/>
                <a:chOff x="19789588" y="13659972"/>
                <a:chExt cx="4235822" cy="336177"/>
              </a:xfrm>
            </xdr:grpSpPr>
            <xdr:sp>
              <xdr:nvSpPr>
                <xdr:cNvPr id="55" name="TOPLINE">
                  <a:extLst>
                    <a:ext uri="{FF2B5EF4-FFF2-40B4-BE49-F238E27FC236}">
                      <a16:creationId xmlns:a16="http://schemas.microsoft.com/office/drawing/2014/main" id="{4CA0785F-BAE8-F6B3-3636-7A6D96C8DE2A}"/>
                    </a:ext>
                  </a:extLst>
                </xdr:cNvPr>
                <xdr:cNvSpPr txBox="1"/>
              </xdr:nvSpPr>
              <xdr:spPr>
                <a:xfrm>
                  <a:off x="19789588" y="13659972"/>
                  <a:ext cx="1221441" cy="336177"/>
                </a:xfrm>
                <a:prstGeom prst="rect"/>
                <a:noFill/>
              </xdr:spPr>
              <xdr:txBody>
                <a:bodyPr lIns="0" tIns="0" rIns="0" bIns="0" vertOverflow="clip" horzOverflow="clip" wrap="square" rtlCol="0" anchor="t">
                  <a:noAutofit/>
                </a:bodyPr>
                <a:lstStyle/>
                <a:p>
                  <a:pPr algn="ctr"/>
                  <a:r>
                    <a:rPr lang="en-GB" sz="1100" b="0" dirty="0" err="1">
                      <a:solidFill>
                        <a:srgbClr val="D1DCC6"/>
                      </a:solidFill>
                    </a:rPr>
                    <a:t>TOP LINE</a:t>
                  </a:r>
                </a:p>
              </xdr:txBody>
            </xdr:sp>
            <xdr:sp>
              <xdr:nvSpPr>
                <xdr:cNvPr id="56" name="EARNING">
                  <a:extLst>
                    <a:ext uri="{FF2B5EF4-FFF2-40B4-BE49-F238E27FC236}">
                      <a16:creationId xmlns:a16="http://schemas.microsoft.com/office/drawing/2014/main" id="{67E7FF4E-72C8-C4FD-24E4-9FAC032E5DA4}"/>
                    </a:ext>
                  </a:extLst>
                </xdr:cNvPr>
                <xdr:cNvSpPr txBox="1"/>
              </xdr:nvSpPr>
              <xdr:spPr>
                <a:xfrm>
                  <a:off x="21296779" y="13659972"/>
                  <a:ext cx="1221441" cy="336177"/>
                </a:xfrm>
                <a:prstGeom prst="rect"/>
                <a:noFill/>
              </xdr:spPr>
              <xdr:txBody>
                <a:bodyPr lIns="0" tIns="0" rIns="0" bIns="0" vertOverflow="clip" horzOverflow="clip" wrap="square" rtlCol="0" anchor="t">
                  <a:noAutofit/>
                </a:bodyPr>
                <a:lstStyle/>
                <a:p>
                  <a:pPr algn="ctr"/>
                  <a:r>
                    <a:rPr lang="en-GB" sz="1100" b="0" dirty="0" err="1">
                      <a:solidFill>
                        <a:srgbClr val="D1DCC6"/>
                      </a:solidFill>
                    </a:rPr>
                    <a:t>EARNING</a:t>
                  </a:r>
                </a:p>
              </xdr:txBody>
            </xdr:sp>
            <xdr:sp>
              <xdr:nvSpPr>
                <xdr:cNvPr id="57" name="VALUATION">
                  <a:extLst>
                    <a:ext uri="{FF2B5EF4-FFF2-40B4-BE49-F238E27FC236}">
                      <a16:creationId xmlns:a16="http://schemas.microsoft.com/office/drawing/2014/main" id="{56791C36-466F-78C8-391E-539A5704E185}"/>
                    </a:ext>
                  </a:extLst>
                </xdr:cNvPr>
                <xdr:cNvSpPr txBox="1"/>
              </xdr:nvSpPr>
              <xdr:spPr>
                <a:xfrm>
                  <a:off x="22803969" y="13659972"/>
                  <a:ext cx="1221441" cy="336177"/>
                </a:xfrm>
                <a:prstGeom prst="rect"/>
                <a:noFill/>
              </xdr:spPr>
              <xdr:txBody>
                <a:bodyPr lIns="0" tIns="0" rIns="0" bIns="0" vertOverflow="clip" horzOverflow="clip" wrap="square" rtlCol="0" anchor="t">
                  <a:noAutofit/>
                </a:bodyPr>
                <a:lstStyle/>
                <a:p>
                  <a:pPr algn="ctr"/>
                  <a:r>
                    <a:rPr lang="en-GB" sz="1100" b="0" dirty="0" err="1">
                      <a:solidFill>
                        <a:srgbClr val="D1DCC6"/>
                      </a:solidFill>
                    </a:rPr>
                    <a:t>VALUATION</a:t>
                  </a:r>
                </a:p>
              </xdr:txBody>
            </xdr:sp>
          </xdr:grpSp>
        </xdr:grpSp>
        <xdr:grpSp>
          <xdr:nvGrpSpPr>
            <xdr:cNvPr id="35" name="Group 34">
              <a:extLst>
                <a:ext uri="{FF2B5EF4-FFF2-40B4-BE49-F238E27FC236}">
                  <a16:creationId xmlns:a16="http://schemas.microsoft.com/office/drawing/2014/main" id="{1C7818B3-835A-C6D1-77CA-5E546153F73B}"/>
                </a:ext>
              </a:extLst>
            </xdr:cNvPr>
            <xdr:cNvGrpSpPr>
              <a:grpSpLocks/>
            </xdr:cNvGrpSpPr>
          </xdr:nvGrpSpPr>
          <xdr:grpSpPr>
            <a:xfrm>
              <a:off x="19374969" y="13816854"/>
              <a:ext cx="4985418" cy="1143000"/>
              <a:chOff x="19374969" y="13816854"/>
              <a:chExt cx="4985418" cy="1143000"/>
            </a:xfrm>
          </xdr:grpSpPr>
          <xdr:sp textlink="$AT$37">
            <xdr:nvSpPr>
              <xdr:cNvPr id="40" name="TopLineData">
                <a:extLst>
                  <a:ext uri="{FF2B5EF4-FFF2-40B4-BE49-F238E27FC236}">
                    <a16:creationId xmlns:a16="http://schemas.microsoft.com/office/drawing/2014/main" id="{AC36F980-2555-ACA1-5B79-83F85B8C94AB}"/>
                  </a:ext>
                </a:extLst>
              </xdr:cNvPr>
              <xdr:cNvSpPr txBox="1"/>
            </xdr:nvSpPr>
            <xdr:spPr>
              <a:xfrm>
                <a:off x="19374969" y="13816854"/>
                <a:ext cx="1980000" cy="1143000"/>
              </a:xfrm>
              <a:prstGeom prst="rect"/>
              <a:noFill/>
            </xdr:spPr>
            <xdr:txBody>
              <a:bodyPr lIns="0" tIns="0" rIns="0" bIns="0" vertOverflow="clip" horzOverflow="clip" wrap="square" rtlCol="0" anchor="ctr">
                <a:noAutofit/>
              </a:bodyPr>
              <a:lstStyle/>
              <a:p>
                <a:pPr algn="ctr"/>
                <a:fld id="{0AE34DD1-B564-474F-8BFD-385476E4080D}" type="TxLink">
                  <a:rPr lang="en-US" sz="3600" u="none" b="0" i="0" dirty="0" err="1">
                    <a:solidFill>
                      <a:srgbClr val="ECF0E0"/>
                    </a:solidFill>
                    <a:latin typeface="Arial"/>
                    <a:cs typeface="Arial"/>
                  </a:rPr>
                  <a:t> 1.0 </a:t>
                </a:fld>
                <a:endParaRPr lang="en-GB" sz="3600" b="1" dirty="0" err="1">
                  <a:solidFill>
                    <a:srgbClr val="ECF0E0"/>
                  </a:solidFill>
                </a:endParaRPr>
              </a:p>
            </xdr:txBody>
          </xdr:sp>
          <xdr:sp textlink="$AT$38">
            <xdr:nvSpPr>
              <xdr:cNvPr id="41" name="Earning Data">
                <a:extLst>
                  <a:ext uri="{FF2B5EF4-FFF2-40B4-BE49-F238E27FC236}">
                    <a16:creationId xmlns:a16="http://schemas.microsoft.com/office/drawing/2014/main" id="{D40889E5-B8C9-B372-FF1E-1032008E442C}"/>
                  </a:ext>
                </a:extLst>
              </xdr:cNvPr>
              <xdr:cNvSpPr txBox="1"/>
            </xdr:nvSpPr>
            <xdr:spPr>
              <a:xfrm>
                <a:off x="20877678" y="13816854"/>
                <a:ext cx="1980000" cy="1143000"/>
              </a:xfrm>
              <a:prstGeom prst="rect"/>
              <a:noFill/>
            </xdr:spPr>
            <xdr:txBody>
              <a:bodyPr lIns="0" tIns="0" rIns="0" bIns="0" vertOverflow="clip" horzOverflow="clip" wrap="square" rtlCol="0" anchor="ctr">
                <a:noAutofit/>
              </a:bodyPr>
              <a:lstStyle/>
              <a:p>
                <a:pPr algn="ctr"/>
                <a:fld id="{BBAB61D1-16A9-4CD4-B572-26E8D3DB1C20}" type="TxLink">
                  <a:rPr lang="en-US" sz="3600" u="none" b="0" i="0" dirty="0" err="1">
                    <a:solidFill>
                      <a:srgbClr val="ECF0E0"/>
                    </a:solidFill>
                    <a:latin typeface="Arial"/>
                    <a:cs typeface="Arial"/>
                  </a:rPr>
                  <a:t> 1.0 </a:t>
                </a:fld>
                <a:endParaRPr lang="en-GB" sz="3600" b="1" dirty="0" err="1">
                  <a:solidFill>
                    <a:srgbClr val="ECF0E0"/>
                  </a:solidFill>
                </a:endParaRPr>
              </a:p>
            </xdr:txBody>
          </xdr:sp>
          <xdr:sp textlink="$AT$39">
            <xdr:nvSpPr>
              <xdr:cNvPr id="42" name="Valuation Data">
                <a:extLst>
                  <a:ext uri="{FF2B5EF4-FFF2-40B4-BE49-F238E27FC236}">
                    <a16:creationId xmlns:a16="http://schemas.microsoft.com/office/drawing/2014/main" id="{FEBFF0AD-539B-6831-F461-E9A446D64B3C}"/>
                  </a:ext>
                </a:extLst>
              </xdr:cNvPr>
              <xdr:cNvSpPr txBox="1"/>
            </xdr:nvSpPr>
            <xdr:spPr>
              <a:xfrm>
                <a:off x="22380387" y="13816854"/>
                <a:ext cx="1980000" cy="1143000"/>
              </a:xfrm>
              <a:prstGeom prst="rect"/>
              <a:noFill/>
            </xdr:spPr>
            <xdr:txBody>
              <a:bodyPr lIns="0" tIns="0" rIns="0" bIns="0" vertOverflow="clip" horzOverflow="clip" wrap="square" rtlCol="0" anchor="ctr">
                <a:noAutofit/>
              </a:bodyPr>
              <a:lstStyle/>
              <a:p>
                <a:pPr algn="ctr"/>
                <a:fld id="{B661F794-4799-4454-959B-E3F741FB0F4D}" type="TxLink">
                  <a:rPr lang="en-US" sz="3600" u="none" b="0" i="0" dirty="0" err="1">
                    <a:solidFill>
                      <a:srgbClr val="ECF0E0"/>
                    </a:solidFill>
                    <a:latin typeface="Arial"/>
                    <a:cs typeface="Arial"/>
                  </a:rPr>
                  <a:t> 1.0 </a:t>
                </a:fld>
                <a:endParaRPr lang="en-GB" sz="3600" b="1" dirty="0" err="1">
                  <a:solidFill>
                    <a:srgbClr val="ECF0E0"/>
                  </a:solidFill>
                </a:endParaRPr>
              </a:p>
            </xdr:txBody>
          </xdr:sp>
        </xdr:grpSp>
      </xdr:grpSp>
      <xdr:grpSp>
        <xdr:nvGrpSpPr>
          <xdr:cNvPr id="60" name="Group 59">
            <a:extLst>
              <a:ext uri="{FF2B5EF4-FFF2-40B4-BE49-F238E27FC236}">
                <a16:creationId xmlns:a16="http://schemas.microsoft.com/office/drawing/2014/main" id="{A3327FDA-5B32-4C4A-9EA0-4C8B4274F620}"/>
              </a:ext>
            </a:extLst>
          </xdr:cNvPr>
          <xdr:cNvGrpSpPr>
            <a:grpSpLocks/>
          </xdr:cNvGrpSpPr>
        </xdr:nvGrpSpPr>
        <xdr:grpSpPr>
          <a:xfrm>
            <a:off x="28610857" y="13140018"/>
            <a:ext cx="4965389" cy="2108523"/>
            <a:chOff x="19352557" y="13144500"/>
            <a:chExt cx="4965389" cy="2108523"/>
          </a:xfrm>
        </xdr:grpSpPr>
        <xdr:sp>
          <xdr:nvSpPr>
            <xdr:cNvPr id="68" name="Rectangle: Rounded Corners 67">
              <a:extLst>
                <a:ext uri="{FF2B5EF4-FFF2-40B4-BE49-F238E27FC236}">
                  <a16:creationId xmlns:a16="http://schemas.microsoft.com/office/drawing/2014/main" id="{B388F1D0-BFA9-4A04-42F8-6F0CA08E753E}"/>
                </a:ext>
              </a:extLst>
            </xdr:cNvPr>
            <xdr:cNvSpPr/>
          </xdr:nvSpPr>
          <xdr:spPr>
            <a:xfrm>
              <a:off x="19722354" y="13144502"/>
              <a:ext cx="4493558" cy="2095500"/>
            </a:xfrm>
            <a:prstGeom prst="roundRect">
              <a:avLst>
                <a:gd name="adj" fmla="val 3298"/>
              </a:avLst>
            </a:prstGeom>
            <a:solidFill>
              <a:schemeClr val="bg2">
                <a:lumMod val="25000"/>
              </a:schemeClr>
            </a:solidFill>
            <a:ln>
              <a:solidFill>
                <a:schemeClr val="tx1">
                  <a:lumMod val="40000"/>
                  <a:lumOff val="6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b="1"/>
            </a:p>
          </xdr:txBody>
        </xdr:sp>
        <xdr:grpSp>
          <xdr:nvGrpSpPr>
            <xdr:cNvPr id="71" name="Group 70">
              <a:extLst>
                <a:ext uri="{FF2B5EF4-FFF2-40B4-BE49-F238E27FC236}">
                  <a16:creationId xmlns:a16="http://schemas.microsoft.com/office/drawing/2014/main" id="{E49AE701-2CF7-FD43-5052-28FC213F8EB6}"/>
                </a:ext>
              </a:extLst>
            </xdr:cNvPr>
            <xdr:cNvGrpSpPr>
              <a:grpSpLocks/>
            </xdr:cNvGrpSpPr>
          </xdr:nvGrpSpPr>
          <xdr:grpSpPr>
            <a:xfrm>
              <a:off x="19789588" y="13144500"/>
              <a:ext cx="4415117" cy="2108523"/>
              <a:chOff x="19789588" y="13144500"/>
              <a:chExt cx="4415117" cy="2108523"/>
            </a:xfrm>
          </xdr:grpSpPr>
          <xdr:sp>
            <xdr:nvSpPr>
              <xdr:cNvPr id="81" name="BoxHeading">
                <a:extLst>
                  <a:ext uri="{FF2B5EF4-FFF2-40B4-BE49-F238E27FC236}">
                    <a16:creationId xmlns:a16="http://schemas.microsoft.com/office/drawing/2014/main" id="{8A3BA12C-2184-3BC8-D985-F272FB31957B}"/>
                  </a:ext>
                </a:extLst>
              </xdr:cNvPr>
              <xdr:cNvSpPr txBox="1"/>
            </xdr:nvSpPr>
            <xdr:spPr>
              <a:xfrm>
                <a:off x="19901646" y="13144501"/>
                <a:ext cx="4303059" cy="347383"/>
              </a:xfrm>
              <a:prstGeom prst="rect"/>
              <a:noFill/>
            </xdr:spPr>
            <xdr:txBody>
              <a:bodyPr lIns="0" tIns="0" rIns="0" bIns="0" vertOverflow="clip" horzOverflow="clip" wrap="square" rtlCol="0" anchor="ctr">
                <a:noAutofit/>
              </a:bodyPr>
              <a:lstStyle/>
              <a:p>
                <a:pPr algn="l"/>
                <a:r>
                  <a:rPr lang="en-GB" sz="1400" b="1" dirty="0" err="1">
                    <a:solidFill>
                      <a:schemeClr val="bg1"/>
                    </a:solidFill>
                  </a:rPr>
                  <a:t>Yes ▸</a:t>
                </a:r>
                <a:r>
                  <a:rPr lang="en-GB" sz="1400" b="1" baseline="0" dirty="0" err="1">
                    <a:solidFill>
                      <a:schemeClr val="bg1"/>
                    </a:solidFill>
                  </a:rPr>
                  <a:t>  </a:t>
                </a:r>
                <a:r>
                  <a:rPr lang="en-GB" sz="1400" b="1" dirty="0" err="1">
                    <a:solidFill>
                      <a:schemeClr val="bg1"/>
                    </a:solidFill>
                  </a:rPr>
                  <a:t>LfL</a:t>
                </a:r>
                <a:r>
                  <a:rPr lang="en-GB" sz="1400" b="1" baseline="0" dirty="0" err="1">
                    <a:solidFill>
                      <a:schemeClr val="bg1"/>
                    </a:solidFill>
                  </a:rPr>
                  <a:t> Adjustment Amount  ● </a:t>
                </a:r>
                <a:r>
                  <a:rPr lang="en-GB" sz="1400" b="1" baseline="0" dirty="0" err="1">
                    <a:solidFill>
                      <a:schemeClr val="bg1">
                        <a:lumMod val="95000"/>
                      </a:schemeClr>
                    </a:solidFill>
                  </a:rPr>
                  <a:t>FY</a:t>
                </a:r>
                <a:endParaRPr lang="en-GB" sz="1400" b="1" dirty="0" err="1">
                  <a:solidFill>
                    <a:schemeClr val="bg1">
                      <a:lumMod val="95000"/>
                    </a:schemeClr>
                  </a:solidFill>
                </a:endParaRPr>
              </a:p>
            </xdr:txBody>
          </xdr:sp>
          <xdr:sp textlink="$AU$33">
            <xdr:nvSpPr>
              <xdr:cNvPr id="82" name="FY">
                <a:extLst>
                  <a:ext uri="{FF2B5EF4-FFF2-40B4-BE49-F238E27FC236}">
                    <a16:creationId xmlns:a16="http://schemas.microsoft.com/office/drawing/2014/main" id="{9873F6C0-6B5A-C5BA-3C25-1B52AC7DCCC8}"/>
                  </a:ext>
                </a:extLst>
              </xdr:cNvPr>
              <xdr:cNvSpPr txBox="1"/>
            </xdr:nvSpPr>
            <xdr:spPr>
              <a:xfrm>
                <a:off x="22848794" y="13144500"/>
                <a:ext cx="885265" cy="349200"/>
              </a:xfrm>
              <a:prstGeom prst="rect"/>
              <a:noFill/>
            </xdr:spPr>
            <xdr:txBody>
              <a:bodyPr lIns="0" tIns="0" rIns="0" bIns="0" vertOverflow="clip" horzOverflow="clip" wrap="square" rtlCol="0" anchor="ctr">
                <a:noAutofit/>
              </a:bodyPr>
              <a:lstStyle/>
              <a:p>
                <a:pPr algn="ctr"/>
                <a:fld id="{01E16522-825B-4FDB-B3D9-4D88AA5D9639}" type="TxLink">
                  <a:rPr lang="en-US" sz="1400" u="none" b="1" i="0" dirty="0" err="1">
                    <a:solidFill>
                      <a:schemeClr val="bg1">
                        <a:lumMod val="95000"/>
                      </a:schemeClr>
                    </a:solidFill>
                    <a:latin typeface="Arial"/>
                    <a:cs typeface="Arial"/>
                  </a:rPr>
                  <a:t>#NAME?</a:t>
                </a:fld>
                <a:endParaRPr lang="en-GB" sz="2400" b="1" dirty="0" err="1">
                  <a:solidFill>
                    <a:schemeClr val="bg1">
                      <a:lumMod val="95000"/>
                    </a:schemeClr>
                  </a:solidFill>
                </a:endParaRPr>
              </a:p>
            </xdr:txBody>
          </xdr:sp>
          <xdr:sp textlink="$AQ$32">
            <xdr:nvSpPr>
              <xdr:cNvPr id="83" name="AS OF">
                <a:extLst>
                  <a:ext uri="{FF2B5EF4-FFF2-40B4-BE49-F238E27FC236}">
                    <a16:creationId xmlns:a16="http://schemas.microsoft.com/office/drawing/2014/main" id="{CBC76F5D-AAED-E3D4-C3C0-894051B0C540}"/>
                  </a:ext>
                </a:extLst>
              </xdr:cNvPr>
              <xdr:cNvSpPr txBox="1"/>
            </xdr:nvSpPr>
            <xdr:spPr>
              <a:xfrm>
                <a:off x="20955000" y="14903823"/>
                <a:ext cx="2073088" cy="349200"/>
              </a:xfrm>
              <a:prstGeom prst="rect"/>
              <a:noFill/>
            </xdr:spPr>
            <xdr:txBody>
              <a:bodyPr lIns="0" tIns="0" rIns="0" bIns="0" vertOverflow="clip" horzOverflow="clip" wrap="square" rtlCol="0" anchor="ctr">
                <a:noAutofit/>
              </a:bodyPr>
              <a:lstStyle/>
              <a:p>
                <a:pPr algn="ctr"/>
                <a:fld id="{94616F0A-F71A-4E24-BB6C-18AFD714551D}" type="TxLink">
                  <a:rPr lang="en-US" sz="1200" u="none" b="0" i="0" dirty="0" err="1">
                    <a:solidFill>
                      <a:schemeClr val="bg1">
                        <a:lumMod val="95000"/>
                      </a:schemeClr>
                    </a:solidFill>
                    <a:latin typeface="Arial"/>
                    <a:cs typeface="Arial"/>
                  </a:rPr>
                  <a:t>#NAME?</a:t>
                </a:fld>
                <a:endParaRPr lang="en-GB" sz="1800" b="0" dirty="0" err="1">
                  <a:solidFill>
                    <a:schemeClr val="bg1">
                      <a:lumMod val="95000"/>
                    </a:schemeClr>
                  </a:solidFill>
                </a:endParaRPr>
              </a:p>
            </xdr:txBody>
          </xdr:sp>
          <xdr:grpSp>
            <xdr:nvGrpSpPr>
              <xdr:cNvPr id="84" name="Group 83">
                <a:extLst>
                  <a:ext uri="{FF2B5EF4-FFF2-40B4-BE49-F238E27FC236}">
                    <a16:creationId xmlns:a16="http://schemas.microsoft.com/office/drawing/2014/main" id="{90B8D077-4457-2702-A8FC-FADD098E3B34}"/>
                  </a:ext>
                </a:extLst>
              </xdr:cNvPr>
              <xdr:cNvGrpSpPr>
                <a:grpSpLocks/>
              </xdr:cNvGrpSpPr>
            </xdr:nvGrpSpPr>
            <xdr:grpSpPr>
              <a:xfrm>
                <a:off x="19789588" y="13659972"/>
                <a:ext cx="4235822" cy="336177"/>
                <a:chOff x="19789588" y="13659972"/>
                <a:chExt cx="4235822" cy="336177"/>
              </a:xfrm>
            </xdr:grpSpPr>
            <xdr:sp>
              <xdr:nvSpPr>
                <xdr:cNvPr id="85" name="TOPLINE">
                  <a:extLst>
                    <a:ext uri="{FF2B5EF4-FFF2-40B4-BE49-F238E27FC236}">
                      <a16:creationId xmlns:a16="http://schemas.microsoft.com/office/drawing/2014/main" id="{3B56D78A-86B3-62C3-D756-4AD77CCF23CD}"/>
                    </a:ext>
                  </a:extLst>
                </xdr:cNvPr>
                <xdr:cNvSpPr txBox="1"/>
              </xdr:nvSpPr>
              <xdr:spPr>
                <a:xfrm>
                  <a:off x="19789588"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bg1">
                          <a:lumMod val="85000"/>
                        </a:schemeClr>
                      </a:solidFill>
                    </a:rPr>
                    <a:t>TOP LINE</a:t>
                  </a:r>
                </a:p>
              </xdr:txBody>
            </xdr:sp>
            <xdr:sp>
              <xdr:nvSpPr>
                <xdr:cNvPr id="86" name="EARNING">
                  <a:extLst>
                    <a:ext uri="{FF2B5EF4-FFF2-40B4-BE49-F238E27FC236}">
                      <a16:creationId xmlns:a16="http://schemas.microsoft.com/office/drawing/2014/main" id="{B841138D-8E2D-1FD5-DA61-D71AD62D9AD6}"/>
                    </a:ext>
                  </a:extLst>
                </xdr:cNvPr>
                <xdr:cNvSpPr txBox="1"/>
              </xdr:nvSpPr>
              <xdr:spPr>
                <a:xfrm>
                  <a:off x="21296779"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bg1">
                          <a:lumMod val="85000"/>
                        </a:schemeClr>
                      </a:solidFill>
                    </a:rPr>
                    <a:t>EARNING</a:t>
                  </a:r>
                </a:p>
              </xdr:txBody>
            </xdr:sp>
            <xdr:sp>
              <xdr:nvSpPr>
                <xdr:cNvPr id="87" name="VALUATION">
                  <a:extLst>
                    <a:ext uri="{FF2B5EF4-FFF2-40B4-BE49-F238E27FC236}">
                      <a16:creationId xmlns:a16="http://schemas.microsoft.com/office/drawing/2014/main" id="{0B5895DE-9889-3CAA-87B8-FE3EA2C4EAD7}"/>
                    </a:ext>
                  </a:extLst>
                </xdr:cNvPr>
                <xdr:cNvSpPr txBox="1"/>
              </xdr:nvSpPr>
              <xdr:spPr>
                <a:xfrm>
                  <a:off x="22803969"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bg1">
                          <a:lumMod val="85000"/>
                        </a:schemeClr>
                      </a:solidFill>
                    </a:rPr>
                    <a:t>VALUATION</a:t>
                  </a:r>
                </a:p>
              </xdr:txBody>
            </xdr:sp>
          </xdr:grpSp>
        </xdr:grpSp>
        <xdr:grpSp>
          <xdr:nvGrpSpPr>
            <xdr:cNvPr id="75" name="Group 74">
              <a:extLst>
                <a:ext uri="{FF2B5EF4-FFF2-40B4-BE49-F238E27FC236}">
                  <a16:creationId xmlns:a16="http://schemas.microsoft.com/office/drawing/2014/main" id="{7018A84A-06DC-3CBF-1F26-DA70664F6228}"/>
                </a:ext>
              </a:extLst>
            </xdr:cNvPr>
            <xdr:cNvGrpSpPr>
              <a:grpSpLocks/>
            </xdr:cNvGrpSpPr>
          </xdr:nvGrpSpPr>
          <xdr:grpSpPr>
            <a:xfrm>
              <a:off x="19352557" y="13816854"/>
              <a:ext cx="4965389" cy="1154206"/>
              <a:chOff x="19352557" y="13816854"/>
              <a:chExt cx="4965389" cy="1154206"/>
            </a:xfrm>
          </xdr:grpSpPr>
          <xdr:sp textlink="$AU$37">
            <xdr:nvSpPr>
              <xdr:cNvPr id="78" name="TopLineData">
                <a:extLst>
                  <a:ext uri="{FF2B5EF4-FFF2-40B4-BE49-F238E27FC236}">
                    <a16:creationId xmlns:a16="http://schemas.microsoft.com/office/drawing/2014/main" id="{08BE5085-79CF-57B8-0367-19E25BA210D7}"/>
                  </a:ext>
                </a:extLst>
              </xdr:cNvPr>
              <xdr:cNvSpPr txBox="1"/>
            </xdr:nvSpPr>
            <xdr:spPr>
              <a:xfrm>
                <a:off x="19352557" y="13828060"/>
                <a:ext cx="2016000" cy="1143000"/>
              </a:xfrm>
              <a:prstGeom prst="rect"/>
              <a:noFill/>
            </xdr:spPr>
            <xdr:txBody>
              <a:bodyPr lIns="0" tIns="0" rIns="0" bIns="0" vertOverflow="clip" horzOverflow="clip" wrap="square" rtlCol="0" anchor="ctr">
                <a:noAutofit/>
              </a:bodyPr>
              <a:lstStyle/>
              <a:p>
                <a:pPr algn="ctr"/>
                <a:fld id="{73A8CAF1-4635-468F-BFBE-C5E50281A43A}" type="TxLink">
                  <a:rPr lang="en-US" sz="3600" u="none" b="0" i="0" dirty="0" err="1">
                    <a:solidFill>
                      <a:schemeClr val="bg1">
                        <a:lumMod val="95000"/>
                      </a:schemeClr>
                    </a:solidFill>
                    <a:latin typeface="Arial"/>
                    <a:cs typeface="Arial"/>
                  </a:rPr>
                  <a:t> 1.0 </a:t>
                </a:fld>
                <a:endParaRPr lang="en-GB" sz="3600" b="1" dirty="0" err="1">
                  <a:solidFill>
                    <a:schemeClr val="bg1">
                      <a:lumMod val="95000"/>
                    </a:schemeClr>
                  </a:solidFill>
                </a:endParaRPr>
              </a:p>
            </xdr:txBody>
          </xdr:sp>
          <xdr:sp textlink="$AU$38">
            <xdr:nvSpPr>
              <xdr:cNvPr id="79" name="Earning Data">
                <a:extLst>
                  <a:ext uri="{FF2B5EF4-FFF2-40B4-BE49-F238E27FC236}">
                    <a16:creationId xmlns:a16="http://schemas.microsoft.com/office/drawing/2014/main" id="{42786A58-C03A-C6AE-EA29-67134EFE9A26}"/>
                  </a:ext>
                </a:extLst>
              </xdr:cNvPr>
              <xdr:cNvSpPr txBox="1"/>
            </xdr:nvSpPr>
            <xdr:spPr>
              <a:xfrm>
                <a:off x="20799237" y="13816854"/>
                <a:ext cx="2016000" cy="1143000"/>
              </a:xfrm>
              <a:prstGeom prst="rect"/>
              <a:noFill/>
            </xdr:spPr>
            <xdr:txBody>
              <a:bodyPr lIns="0" tIns="0" rIns="0" bIns="0" vertOverflow="clip" horzOverflow="clip" wrap="square" rtlCol="0" anchor="ctr">
                <a:noAutofit/>
              </a:bodyPr>
              <a:lstStyle/>
              <a:p>
                <a:pPr algn="ctr"/>
                <a:fld id="{8DBDF441-4130-42E7-B50D-FAEB87846CA3}" type="TxLink">
                  <a:rPr lang="en-US" sz="3600" u="none" b="0" i="0" dirty="0" err="1">
                    <a:solidFill>
                      <a:schemeClr val="bg1">
                        <a:lumMod val="95000"/>
                      </a:schemeClr>
                    </a:solidFill>
                    <a:latin typeface="Arial"/>
                    <a:cs typeface="Arial"/>
                  </a:rPr>
                  <a:t> 1.0 </a:t>
                </a:fld>
                <a:endParaRPr lang="en-GB" sz="3600" b="1" dirty="0" err="1">
                  <a:solidFill>
                    <a:schemeClr val="bg1">
                      <a:lumMod val="95000"/>
                    </a:schemeClr>
                  </a:solidFill>
                </a:endParaRPr>
              </a:p>
            </xdr:txBody>
          </xdr:sp>
          <xdr:sp textlink="$AU$39">
            <xdr:nvSpPr>
              <xdr:cNvPr id="80" name="Valuation Data">
                <a:extLst>
                  <a:ext uri="{FF2B5EF4-FFF2-40B4-BE49-F238E27FC236}">
                    <a16:creationId xmlns:a16="http://schemas.microsoft.com/office/drawing/2014/main" id="{79C35F22-B303-C401-DAD3-E3A77DC6D12E}"/>
                  </a:ext>
                </a:extLst>
              </xdr:cNvPr>
              <xdr:cNvSpPr txBox="1"/>
            </xdr:nvSpPr>
            <xdr:spPr>
              <a:xfrm>
                <a:off x="22301946" y="13816854"/>
                <a:ext cx="2016000" cy="1143000"/>
              </a:xfrm>
              <a:prstGeom prst="rect"/>
              <a:noFill/>
            </xdr:spPr>
            <xdr:txBody>
              <a:bodyPr lIns="0" tIns="0" rIns="0" bIns="0" vertOverflow="clip" horzOverflow="clip" wrap="square" rtlCol="0" anchor="ctr">
                <a:noAutofit/>
              </a:bodyPr>
              <a:lstStyle/>
              <a:p>
                <a:pPr algn="ctr"/>
                <a:fld id="{6A36D126-22D3-4C8C-9CF7-6080F5D9483A}" type="TxLink">
                  <a:rPr lang="en-US" sz="3600" u="none" b="0" i="0" dirty="0" err="1">
                    <a:solidFill>
                      <a:schemeClr val="bg1">
                        <a:lumMod val="95000"/>
                      </a:schemeClr>
                    </a:solidFill>
                    <a:latin typeface="Arial"/>
                    <a:cs typeface="Arial"/>
                  </a:rPr>
                  <a:t> 1.0 </a:t>
                </a:fld>
                <a:endParaRPr lang="en-GB" sz="3600" b="1" dirty="0" err="1">
                  <a:solidFill>
                    <a:schemeClr val="bg1">
                      <a:lumMod val="95000"/>
                    </a:schemeClr>
                  </a:solidFill>
                </a:endParaRPr>
              </a:p>
            </xdr:txBody>
          </xdr:sp>
        </xdr:grpSp>
      </xdr:grpSp>
    </xdr:grpSp>
    <xdr:clientData/>
  </xdr:twoCellAnchor>
  <xdr:twoCellAnchor>
    <xdr:from>
      <xdr:col>22</xdr:col>
      <xdr:colOff>51545</xdr:colOff>
      <xdr:row>36</xdr:row>
      <xdr:rowOff>6724</xdr:rowOff>
    </xdr:from>
    <xdr:to>
      <xdr:col>28</xdr:col>
      <xdr:colOff>79198</xdr:colOff>
      <xdr:row>47</xdr:row>
      <xdr:rowOff>19747</xdr:rowOff>
    </xdr:to>
    <xdr:grpSp>
      <xdr:nvGrpSpPr>
        <xdr:cNvPr id="91" name="Group 90">
          <a:extLst>
            <a:ext uri="{FF2B5EF4-FFF2-40B4-BE49-F238E27FC236}">
              <a16:creationId xmlns:a16="http://schemas.microsoft.com/office/drawing/2014/main" id="{8030F9A8-92E9-C22F-F148-B05762AE82EB}"/>
            </a:ext>
          </a:extLst>
        </xdr:cNvPr>
        <xdr:cNvGrpSpPr>
          <a:grpSpLocks/>
        </xdr:cNvGrpSpPr>
      </xdr:nvGrpSpPr>
      <xdr:grpSpPr>
        <a:xfrm>
          <a:off x="19373850" y="7267575"/>
          <a:ext cx="4914900" cy="2105025"/>
          <a:chOff x="19374969" y="13144500"/>
          <a:chExt cx="4913418" cy="2108523"/>
        </a:xfrm>
      </xdr:grpSpPr>
      <xdr:sp>
        <xdr:nvSpPr>
          <xdr:cNvPr id="106" name="Rectangle: Rounded Corners 105">
            <a:extLst>
              <a:ext uri="{FF2B5EF4-FFF2-40B4-BE49-F238E27FC236}">
                <a16:creationId xmlns:a16="http://schemas.microsoft.com/office/drawing/2014/main" id="{9CC92913-DBAA-38AB-99B3-C510453EEDA3}"/>
              </a:ext>
            </a:extLst>
          </xdr:cNvPr>
          <xdr:cNvSpPr/>
        </xdr:nvSpPr>
        <xdr:spPr>
          <a:xfrm>
            <a:off x="19722354" y="13144502"/>
            <a:ext cx="4493558" cy="2095500"/>
          </a:xfrm>
          <a:prstGeom prst="roundRect">
            <a:avLst>
              <a:gd name="adj" fmla="val 3298"/>
            </a:avLst>
          </a:prstGeom>
          <a:solidFill>
            <a:srgbClr val="D1DCC6"/>
          </a:solidFill>
          <a:ln>
            <a:solidFill>
              <a:srgbClr val="9CB25E"/>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b="1"/>
          </a:p>
        </xdr:txBody>
      </xdr:sp>
      <xdr:grpSp>
        <xdr:nvGrpSpPr>
          <xdr:cNvPr id="107" name="Group 106">
            <a:extLst>
              <a:ext uri="{FF2B5EF4-FFF2-40B4-BE49-F238E27FC236}">
                <a16:creationId xmlns:a16="http://schemas.microsoft.com/office/drawing/2014/main" id="{62E834EA-FD83-B1C3-3395-269DEEDF07BB}"/>
              </a:ext>
            </a:extLst>
          </xdr:cNvPr>
          <xdr:cNvGrpSpPr>
            <a:grpSpLocks/>
          </xdr:cNvGrpSpPr>
        </xdr:nvGrpSpPr>
        <xdr:grpSpPr>
          <a:xfrm>
            <a:off x="19789588" y="13144500"/>
            <a:ext cx="4415117" cy="2108523"/>
            <a:chOff x="19789588" y="13144500"/>
            <a:chExt cx="4415117" cy="2108523"/>
          </a:xfrm>
        </xdr:grpSpPr>
        <xdr:sp>
          <xdr:nvSpPr>
            <xdr:cNvPr id="112" name="BoxHeading">
              <a:extLst>
                <a:ext uri="{FF2B5EF4-FFF2-40B4-BE49-F238E27FC236}">
                  <a16:creationId xmlns:a16="http://schemas.microsoft.com/office/drawing/2014/main" id="{974715DC-ECAB-B2B6-8726-EA48036F276F}"/>
                </a:ext>
              </a:extLst>
            </xdr:cNvPr>
            <xdr:cNvSpPr txBox="1"/>
          </xdr:nvSpPr>
          <xdr:spPr>
            <a:xfrm>
              <a:off x="19901646" y="13144501"/>
              <a:ext cx="4303059" cy="347383"/>
            </a:xfrm>
            <a:prstGeom prst="rect"/>
            <a:noFill/>
          </xdr:spPr>
          <xdr:txBody>
            <a:bodyPr lIns="0" tIns="0" rIns="0" bIns="0" vertOverflow="clip" horzOverflow="clip" wrap="square" rtlCol="0" anchor="ctr">
              <a:noAutofit/>
            </a:bodyPr>
            <a:lstStyle/>
            <a:p>
              <a:pPr algn="l"/>
              <a:r>
                <a:rPr lang="en-GB" sz="1400" b="1" dirty="0" err="1">
                  <a:solidFill>
                    <a:schemeClr val="tx1"/>
                  </a:solidFill>
                </a:rPr>
                <a:t>No ▸</a:t>
              </a:r>
              <a:r>
                <a:rPr lang="en-GB" sz="1400" b="1" baseline="0" dirty="0" err="1">
                  <a:solidFill>
                    <a:schemeClr val="tx1"/>
                  </a:solidFill>
                </a:rPr>
                <a:t>  </a:t>
              </a:r>
              <a:r>
                <a:rPr lang="en-GB" sz="1400" b="1" dirty="0" err="1">
                  <a:solidFill>
                    <a:schemeClr val="tx1"/>
                  </a:solidFill>
                </a:rPr>
                <a:t>LfL</a:t>
              </a:r>
              <a:r>
                <a:rPr lang="en-GB" sz="1400" b="1" baseline="0" dirty="0" err="1">
                  <a:solidFill>
                    <a:schemeClr val="tx1"/>
                  </a:solidFill>
                </a:rPr>
                <a:t> Adjustment Amount  </a:t>
              </a:r>
              <a:r>
                <a:rPr lang="en-GB" sz="1400" b="1" baseline="0" dirty="0" err="1">
                  <a:solidFill>
                    <a:schemeClr val="bg2">
                      <a:lumMod val="25000"/>
                    </a:schemeClr>
                  </a:solidFill>
                </a:rPr>
                <a:t>● </a:t>
              </a:r>
              <a:r>
                <a:rPr lang="en-GB" sz="1400" b="1" baseline="0" dirty="0" err="1">
                  <a:solidFill>
                    <a:schemeClr val="accent4"/>
                  </a:solidFill>
                </a:rPr>
                <a:t>FY</a:t>
              </a:r>
              <a:endParaRPr lang="en-GB" sz="1400" b="1" dirty="0" err="1">
                <a:solidFill>
                  <a:schemeClr val="accent4"/>
                </a:solidFill>
              </a:endParaRPr>
            </a:p>
          </xdr:txBody>
        </xdr:sp>
        <xdr:sp textlink="$AT$33">
          <xdr:nvSpPr>
            <xdr:cNvPr id="113" name="FY">
              <a:extLst>
                <a:ext uri="{FF2B5EF4-FFF2-40B4-BE49-F238E27FC236}">
                  <a16:creationId xmlns:a16="http://schemas.microsoft.com/office/drawing/2014/main" id="{F74C25D5-146A-F814-930A-F86AE6847A92}"/>
                </a:ext>
              </a:extLst>
            </xdr:cNvPr>
            <xdr:cNvSpPr txBox="1"/>
          </xdr:nvSpPr>
          <xdr:spPr>
            <a:xfrm>
              <a:off x="22792765" y="13144500"/>
              <a:ext cx="885265" cy="349200"/>
            </a:xfrm>
            <a:prstGeom prst="rect"/>
            <a:noFill/>
          </xdr:spPr>
          <xdr:txBody>
            <a:bodyPr lIns="0" tIns="0" rIns="0" bIns="0" vertOverflow="clip" horzOverflow="clip" wrap="square" rtlCol="0" anchor="ctr">
              <a:noAutofit/>
            </a:bodyPr>
            <a:lstStyle/>
            <a:p>
              <a:pPr algn="ctr"/>
              <a:fld id="{5DEF9E3C-3280-40B1-BBD1-5A98D4C7ECF0}" type="TxLink">
                <a:rPr lang="en-US" sz="1400" u="none" b="1" i="0" dirty="0" err="1">
                  <a:solidFill>
                    <a:schemeClr val="accent4"/>
                  </a:solidFill>
                  <a:latin typeface="Arial"/>
                  <a:cs typeface="Arial"/>
                </a:rPr>
                <a:t>#NAME?</a:t>
              </a:fld>
              <a:endParaRPr lang="en-GB" sz="2000" b="1" dirty="0" err="1">
                <a:solidFill>
                  <a:schemeClr val="accent4"/>
                </a:solidFill>
              </a:endParaRPr>
            </a:p>
          </xdr:txBody>
        </xdr:sp>
        <xdr:sp textlink="$AQ$32">
          <xdr:nvSpPr>
            <xdr:cNvPr id="114" name="AS OF">
              <a:extLst>
                <a:ext uri="{FF2B5EF4-FFF2-40B4-BE49-F238E27FC236}">
                  <a16:creationId xmlns:a16="http://schemas.microsoft.com/office/drawing/2014/main" id="{6FC74BD0-711E-223D-E10C-A5EE08AD213C}"/>
                </a:ext>
              </a:extLst>
            </xdr:cNvPr>
            <xdr:cNvSpPr txBox="1"/>
          </xdr:nvSpPr>
          <xdr:spPr>
            <a:xfrm>
              <a:off x="20955000" y="14903823"/>
              <a:ext cx="2073088" cy="349200"/>
            </a:xfrm>
            <a:prstGeom prst="rect"/>
            <a:noFill/>
          </xdr:spPr>
          <xdr:txBody>
            <a:bodyPr lIns="0" tIns="0" rIns="0" bIns="0" vertOverflow="clip" horzOverflow="clip" wrap="square" rtlCol="0" anchor="ctr">
              <a:noAutofit/>
            </a:bodyPr>
            <a:lstStyle/>
            <a:p>
              <a:pPr algn="ctr"/>
              <a:fld id="{A5723600-1294-4744-BA0D-8D0A6CEF9526}" type="TxLink">
                <a:rPr lang="en-US" sz="1200" u="none" b="0" i="0" dirty="0" err="1">
                  <a:solidFill>
                    <a:schemeClr val="tx1">
                      <a:lumMod val="75000"/>
                    </a:schemeClr>
                  </a:solidFill>
                  <a:latin typeface="Arial"/>
                  <a:cs typeface="Arial"/>
                </a:rPr>
                <a:t>#NAME?</a:t>
              </a:fld>
              <a:endParaRPr lang="en-GB" sz="1800" b="0" dirty="0" err="1">
                <a:solidFill>
                  <a:schemeClr val="tx1">
                    <a:lumMod val="75000"/>
                  </a:schemeClr>
                </a:solidFill>
              </a:endParaRPr>
            </a:p>
          </xdr:txBody>
        </xdr:sp>
        <xdr:grpSp>
          <xdr:nvGrpSpPr>
            <xdr:cNvPr id="115" name="Group 114">
              <a:extLst>
                <a:ext uri="{FF2B5EF4-FFF2-40B4-BE49-F238E27FC236}">
                  <a16:creationId xmlns:a16="http://schemas.microsoft.com/office/drawing/2014/main" id="{9130C6CB-508A-6DCA-5B06-D5BA2402C430}"/>
                </a:ext>
              </a:extLst>
            </xdr:cNvPr>
            <xdr:cNvGrpSpPr>
              <a:grpSpLocks/>
            </xdr:cNvGrpSpPr>
          </xdr:nvGrpSpPr>
          <xdr:grpSpPr>
            <a:xfrm>
              <a:off x="19789588" y="13659972"/>
              <a:ext cx="4235822" cy="336177"/>
              <a:chOff x="19789588" y="13659972"/>
              <a:chExt cx="4235822" cy="336177"/>
            </a:xfrm>
          </xdr:grpSpPr>
          <xdr:sp>
            <xdr:nvSpPr>
              <xdr:cNvPr id="116" name="TOPLINE">
                <a:extLst>
                  <a:ext uri="{FF2B5EF4-FFF2-40B4-BE49-F238E27FC236}">
                    <a16:creationId xmlns:a16="http://schemas.microsoft.com/office/drawing/2014/main" id="{DEADFC99-92A2-8CF7-BD71-5A23AEEC9853}"/>
                  </a:ext>
                </a:extLst>
              </xdr:cNvPr>
              <xdr:cNvSpPr txBox="1"/>
            </xdr:nvSpPr>
            <xdr:spPr>
              <a:xfrm>
                <a:off x="19789588"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accent4">
                        <a:lumMod val="50000"/>
                      </a:schemeClr>
                    </a:solidFill>
                  </a:rPr>
                  <a:t>TOP LINE</a:t>
                </a:r>
              </a:p>
            </xdr:txBody>
          </xdr:sp>
          <xdr:sp>
            <xdr:nvSpPr>
              <xdr:cNvPr id="117" name="EARNING">
                <a:extLst>
                  <a:ext uri="{FF2B5EF4-FFF2-40B4-BE49-F238E27FC236}">
                    <a16:creationId xmlns:a16="http://schemas.microsoft.com/office/drawing/2014/main" id="{E35A58E6-C2B9-4620-4807-D55288E98516}"/>
                  </a:ext>
                </a:extLst>
              </xdr:cNvPr>
              <xdr:cNvSpPr txBox="1"/>
            </xdr:nvSpPr>
            <xdr:spPr>
              <a:xfrm>
                <a:off x="21296779"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accent4">
                        <a:lumMod val="50000"/>
                      </a:schemeClr>
                    </a:solidFill>
                  </a:rPr>
                  <a:t>EARNING</a:t>
                </a:r>
              </a:p>
            </xdr:txBody>
          </xdr:sp>
          <xdr:sp>
            <xdr:nvSpPr>
              <xdr:cNvPr id="118" name="VALUATION">
                <a:extLst>
                  <a:ext uri="{FF2B5EF4-FFF2-40B4-BE49-F238E27FC236}">
                    <a16:creationId xmlns:a16="http://schemas.microsoft.com/office/drawing/2014/main" id="{F12B0D61-0829-54D6-AED3-7B15D3A5953A}"/>
                  </a:ext>
                </a:extLst>
              </xdr:cNvPr>
              <xdr:cNvSpPr txBox="1"/>
            </xdr:nvSpPr>
            <xdr:spPr>
              <a:xfrm>
                <a:off x="22803969"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accent4">
                        <a:lumMod val="50000"/>
                      </a:schemeClr>
                    </a:solidFill>
                  </a:rPr>
                  <a:t>VALUATION</a:t>
                </a:r>
              </a:p>
            </xdr:txBody>
          </xdr:sp>
        </xdr:grpSp>
      </xdr:grpSp>
      <xdr:grpSp>
        <xdr:nvGrpSpPr>
          <xdr:cNvPr id="108" name="Group 107">
            <a:extLst>
              <a:ext uri="{FF2B5EF4-FFF2-40B4-BE49-F238E27FC236}">
                <a16:creationId xmlns:a16="http://schemas.microsoft.com/office/drawing/2014/main" id="{66B0AD9F-FACC-A502-72A4-D1A1539C2033}"/>
              </a:ext>
            </a:extLst>
          </xdr:cNvPr>
          <xdr:cNvGrpSpPr>
            <a:grpSpLocks/>
          </xdr:cNvGrpSpPr>
        </xdr:nvGrpSpPr>
        <xdr:grpSpPr>
          <a:xfrm>
            <a:off x="19374969" y="13816854"/>
            <a:ext cx="4913418" cy="1143000"/>
            <a:chOff x="19374969" y="13816854"/>
            <a:chExt cx="4913418" cy="1143000"/>
          </a:xfrm>
        </xdr:grpSpPr>
        <xdr:sp textlink="$AT$34">
          <xdr:nvSpPr>
            <xdr:cNvPr id="109" name="TopLineData">
              <a:extLst>
                <a:ext uri="{FF2B5EF4-FFF2-40B4-BE49-F238E27FC236}">
                  <a16:creationId xmlns:a16="http://schemas.microsoft.com/office/drawing/2014/main" id="{39FD56B0-853C-97E4-079B-2A8B3B0806F6}"/>
                </a:ext>
              </a:extLst>
            </xdr:cNvPr>
            <xdr:cNvSpPr txBox="1"/>
          </xdr:nvSpPr>
          <xdr:spPr>
            <a:xfrm>
              <a:off x="19374969" y="13816854"/>
              <a:ext cx="1908000" cy="1143000"/>
            </a:xfrm>
            <a:prstGeom prst="rect"/>
            <a:noFill/>
          </xdr:spPr>
          <xdr:txBody>
            <a:bodyPr lIns="0" tIns="0" rIns="0" bIns="0" vertOverflow="clip" horzOverflow="clip" wrap="square" rtlCol="0" anchor="ctr">
              <a:noAutofit/>
            </a:bodyPr>
            <a:lstStyle/>
            <a:p>
              <a:pPr algn="ctr"/>
              <a:fld id="{D17C40D8-EAC7-486C-9245-A33738E88431}" type="TxLink">
                <a:rPr lang="en-US" sz="3600" u="none" b="0" i="0" dirty="0" err="1">
                  <a:solidFill>
                    <a:schemeClr val="accent4">
                      <a:lumMod val="50000"/>
                    </a:schemeClr>
                  </a:solidFill>
                  <a:latin typeface="Arial"/>
                  <a:cs typeface="Arial"/>
                </a:rPr>
                <a:t> 1.0 </a:t>
              </a:fld>
              <a:endParaRPr lang="en-GB" sz="3600" b="1" dirty="0" err="1">
                <a:solidFill>
                  <a:schemeClr val="accent4">
                    <a:lumMod val="50000"/>
                  </a:schemeClr>
                </a:solidFill>
              </a:endParaRPr>
            </a:p>
          </xdr:txBody>
        </xdr:sp>
        <xdr:sp textlink="$AT$35">
          <xdr:nvSpPr>
            <xdr:cNvPr id="110" name="Earning Data">
              <a:extLst>
                <a:ext uri="{FF2B5EF4-FFF2-40B4-BE49-F238E27FC236}">
                  <a16:creationId xmlns:a16="http://schemas.microsoft.com/office/drawing/2014/main" id="{999D7A7A-A796-E9C6-C17C-2A56CA57A0C0}"/>
                </a:ext>
              </a:extLst>
            </xdr:cNvPr>
            <xdr:cNvSpPr txBox="1"/>
          </xdr:nvSpPr>
          <xdr:spPr>
            <a:xfrm>
              <a:off x="20877678" y="13816854"/>
              <a:ext cx="1908000" cy="1143000"/>
            </a:xfrm>
            <a:prstGeom prst="rect"/>
            <a:noFill/>
          </xdr:spPr>
          <xdr:txBody>
            <a:bodyPr lIns="0" tIns="0" rIns="0" bIns="0" vertOverflow="clip" horzOverflow="clip" wrap="square" rtlCol="0" anchor="ctr">
              <a:noAutofit/>
            </a:bodyPr>
            <a:lstStyle/>
            <a:p>
              <a:pPr algn="ctr"/>
              <a:fld id="{F7A93E9F-FE1B-46BC-BF79-A587FE7910FB}" type="TxLink">
                <a:rPr lang="en-US" sz="3600" u="none" b="0" i="0" dirty="0" err="1">
                  <a:solidFill>
                    <a:schemeClr val="accent4">
                      <a:lumMod val="50000"/>
                    </a:schemeClr>
                  </a:solidFill>
                  <a:latin typeface="Arial"/>
                  <a:cs typeface="Arial"/>
                </a:rPr>
                <a:t> 1.0 </a:t>
              </a:fld>
              <a:endParaRPr lang="en-GB" sz="3600" b="1" dirty="0" err="1">
                <a:solidFill>
                  <a:schemeClr val="accent4">
                    <a:lumMod val="50000"/>
                  </a:schemeClr>
                </a:solidFill>
              </a:endParaRPr>
            </a:p>
          </xdr:txBody>
        </xdr:sp>
        <xdr:sp textlink="$AT$36">
          <xdr:nvSpPr>
            <xdr:cNvPr id="111" name="Valuation Data">
              <a:extLst>
                <a:ext uri="{FF2B5EF4-FFF2-40B4-BE49-F238E27FC236}">
                  <a16:creationId xmlns:a16="http://schemas.microsoft.com/office/drawing/2014/main" id="{06941B7A-DC4A-067D-F6D7-5FCC72D16E6A}"/>
                </a:ext>
              </a:extLst>
            </xdr:cNvPr>
            <xdr:cNvSpPr txBox="1"/>
          </xdr:nvSpPr>
          <xdr:spPr>
            <a:xfrm>
              <a:off x="22380387" y="13816854"/>
              <a:ext cx="1908000" cy="1143000"/>
            </a:xfrm>
            <a:prstGeom prst="rect"/>
            <a:noFill/>
          </xdr:spPr>
          <xdr:txBody>
            <a:bodyPr lIns="0" tIns="0" rIns="0" bIns="0" vertOverflow="clip" horzOverflow="clip" wrap="square" rtlCol="0" anchor="ctr">
              <a:noAutofit/>
            </a:bodyPr>
            <a:lstStyle/>
            <a:p>
              <a:pPr algn="ctr"/>
              <a:fld id="{E12EB1CE-08B6-4FA1-B61F-4CA1535C1357}" type="TxLink">
                <a:rPr lang="en-US" sz="3600" u="none" b="0" i="0" dirty="0" err="1">
                  <a:solidFill>
                    <a:schemeClr val="accent4">
                      <a:lumMod val="50000"/>
                    </a:schemeClr>
                  </a:solidFill>
                  <a:latin typeface="Arial"/>
                  <a:cs typeface="Arial"/>
                </a:rPr>
                <a:t> 1.0 </a:t>
              </a:fld>
              <a:endParaRPr lang="en-GB" sz="3600" b="1" dirty="0" err="1">
                <a:solidFill>
                  <a:schemeClr val="accent4">
                    <a:lumMod val="50000"/>
                  </a:schemeClr>
                </a:solidFill>
              </a:endParaRPr>
            </a:p>
          </xdr:txBody>
        </xdr:sp>
      </xdr:grpSp>
    </xdr:grpSp>
    <xdr:clientData/>
  </xdr:twoCellAnchor>
  <xdr:twoCellAnchor>
    <xdr:from>
      <xdr:col>27</xdr:col>
      <xdr:colOff>596148</xdr:colOff>
      <xdr:row>36</xdr:row>
      <xdr:rowOff>6724</xdr:rowOff>
    </xdr:from>
    <xdr:to>
      <xdr:col>32</xdr:col>
      <xdr:colOff>314802</xdr:colOff>
      <xdr:row>47</xdr:row>
      <xdr:rowOff>19747</xdr:rowOff>
    </xdr:to>
    <xdr:grpSp>
      <xdr:nvGrpSpPr>
        <xdr:cNvPr id="92" name="Group 91">
          <a:extLst>
            <a:ext uri="{FF2B5EF4-FFF2-40B4-BE49-F238E27FC236}">
              <a16:creationId xmlns:a16="http://schemas.microsoft.com/office/drawing/2014/main" id="{49EAC0A9-D2DC-6D67-B30F-F8BC76D7CD98}"/>
            </a:ext>
          </a:extLst>
        </xdr:cNvPr>
        <xdr:cNvGrpSpPr>
          <a:grpSpLocks/>
        </xdr:cNvGrpSpPr>
      </xdr:nvGrpSpPr>
      <xdr:grpSpPr>
        <a:xfrm>
          <a:off x="24003000" y="7267575"/>
          <a:ext cx="4924425" cy="2105025"/>
          <a:chOff x="19374967" y="13144500"/>
          <a:chExt cx="4929389" cy="2108523"/>
        </a:xfrm>
      </xdr:grpSpPr>
      <xdr:sp>
        <xdr:nvSpPr>
          <xdr:cNvPr id="93" name="Rectangle: Rounded Corners 92">
            <a:extLst>
              <a:ext uri="{FF2B5EF4-FFF2-40B4-BE49-F238E27FC236}">
                <a16:creationId xmlns:a16="http://schemas.microsoft.com/office/drawing/2014/main" id="{0999A534-07F0-6F6B-15B7-7B59651FB55E}"/>
              </a:ext>
            </a:extLst>
          </xdr:cNvPr>
          <xdr:cNvSpPr/>
        </xdr:nvSpPr>
        <xdr:spPr>
          <a:xfrm>
            <a:off x="19722354" y="13144502"/>
            <a:ext cx="4493558" cy="2095500"/>
          </a:xfrm>
          <a:prstGeom prst="roundRect">
            <a:avLst>
              <a:gd name="adj" fmla="val 3298"/>
            </a:avLst>
          </a:prstGeom>
          <a:solidFill>
            <a:schemeClr val="tx1">
              <a:lumMod val="20000"/>
              <a:lumOff val="80000"/>
            </a:schemeClr>
          </a:solidFill>
          <a:ln>
            <a:solidFill>
              <a:schemeClr val="tx1">
                <a:lumMod val="60000"/>
                <a:lumOff val="4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b="1"/>
          </a:p>
        </xdr:txBody>
      </xdr:sp>
      <xdr:grpSp>
        <xdr:nvGrpSpPr>
          <xdr:cNvPr id="94" name="Group 93">
            <a:extLst>
              <a:ext uri="{FF2B5EF4-FFF2-40B4-BE49-F238E27FC236}">
                <a16:creationId xmlns:a16="http://schemas.microsoft.com/office/drawing/2014/main" id="{792A3ADC-0CEE-8F40-5619-0A46EA67A92C}"/>
              </a:ext>
            </a:extLst>
          </xdr:cNvPr>
          <xdr:cNvGrpSpPr>
            <a:grpSpLocks/>
          </xdr:cNvGrpSpPr>
        </xdr:nvGrpSpPr>
        <xdr:grpSpPr>
          <a:xfrm>
            <a:off x="19789588" y="13144500"/>
            <a:ext cx="4415117" cy="2108523"/>
            <a:chOff x="19789588" y="13144500"/>
            <a:chExt cx="4415117" cy="2108523"/>
          </a:xfrm>
        </xdr:grpSpPr>
        <xdr:sp>
          <xdr:nvSpPr>
            <xdr:cNvPr id="99" name="BoxHeading">
              <a:extLst>
                <a:ext uri="{FF2B5EF4-FFF2-40B4-BE49-F238E27FC236}">
                  <a16:creationId xmlns:a16="http://schemas.microsoft.com/office/drawing/2014/main" id="{3CB5004C-A61F-7A88-77CC-663CCFA4C3A7}"/>
                </a:ext>
              </a:extLst>
            </xdr:cNvPr>
            <xdr:cNvSpPr txBox="1"/>
          </xdr:nvSpPr>
          <xdr:spPr>
            <a:xfrm>
              <a:off x="19901646" y="13144501"/>
              <a:ext cx="4303059" cy="347383"/>
            </a:xfrm>
            <a:prstGeom prst="rect"/>
            <a:noFill/>
          </xdr:spPr>
          <xdr:txBody>
            <a:bodyPr lIns="0" tIns="0" rIns="0" bIns="0" vertOverflow="clip" horzOverflow="clip" wrap="square" rtlCol="0" anchor="ctr">
              <a:noAutofit/>
            </a:bodyPr>
            <a:lstStyle/>
            <a:p>
              <a:pPr algn="l"/>
              <a:r>
                <a:rPr lang="en-GB" sz="1400" b="1" dirty="0" err="1">
                  <a:solidFill>
                    <a:srgbClr val="000000"/>
                  </a:solidFill>
                </a:rPr>
                <a:t>No ▸</a:t>
              </a:r>
              <a:r>
                <a:rPr lang="en-GB" sz="1400" b="1" baseline="0" dirty="0" err="1">
                  <a:solidFill>
                    <a:srgbClr val="000000"/>
                  </a:solidFill>
                </a:rPr>
                <a:t>  </a:t>
              </a:r>
              <a:r>
                <a:rPr lang="en-GB" sz="1400" b="1" dirty="0" err="1">
                  <a:solidFill>
                    <a:srgbClr val="000000"/>
                  </a:solidFill>
                </a:rPr>
                <a:t>LfL</a:t>
              </a:r>
              <a:r>
                <a:rPr lang="en-GB" sz="1400" b="1" baseline="0" dirty="0" err="1">
                  <a:solidFill>
                    <a:srgbClr val="000000"/>
                  </a:solidFill>
                </a:rPr>
                <a:t> Adjustment Amount  ● </a:t>
              </a:r>
              <a:r>
                <a:rPr lang="en-GB" sz="1400" b="1" baseline="0" dirty="0" err="1">
                  <a:solidFill>
                    <a:schemeClr val="bg2">
                      <a:lumMod val="10000"/>
                    </a:schemeClr>
                  </a:solidFill>
                </a:rPr>
                <a:t>FY</a:t>
              </a:r>
              <a:endParaRPr lang="en-GB" sz="1400" b="1" dirty="0" err="1">
                <a:solidFill>
                  <a:schemeClr val="bg2">
                    <a:lumMod val="10000"/>
                  </a:schemeClr>
                </a:solidFill>
              </a:endParaRPr>
            </a:p>
          </xdr:txBody>
        </xdr:sp>
        <xdr:sp textlink="$AU$33">
          <xdr:nvSpPr>
            <xdr:cNvPr id="100" name="FY">
              <a:extLst>
                <a:ext uri="{FF2B5EF4-FFF2-40B4-BE49-F238E27FC236}">
                  <a16:creationId xmlns:a16="http://schemas.microsoft.com/office/drawing/2014/main" id="{19894B53-A14E-0045-81CC-14E28BCA9C4B}"/>
                </a:ext>
              </a:extLst>
            </xdr:cNvPr>
            <xdr:cNvSpPr txBox="1"/>
          </xdr:nvSpPr>
          <xdr:spPr>
            <a:xfrm>
              <a:off x="22759145" y="13144500"/>
              <a:ext cx="885265" cy="349200"/>
            </a:xfrm>
            <a:prstGeom prst="rect"/>
            <a:noFill/>
          </xdr:spPr>
          <xdr:txBody>
            <a:bodyPr lIns="0" tIns="0" rIns="0" bIns="0" vertOverflow="clip" horzOverflow="clip" wrap="square" rtlCol="0" anchor="ctr">
              <a:noAutofit/>
            </a:bodyPr>
            <a:lstStyle/>
            <a:p>
              <a:pPr algn="ctr"/>
              <a:fld id="{AF0EB032-FC39-4C1C-9F15-08241DA29824}" type="TxLink">
                <a:rPr lang="en-US" sz="1400" u="none" b="1" i="0" dirty="0" err="1">
                  <a:solidFill>
                    <a:schemeClr val="bg2">
                      <a:lumMod val="10000"/>
                    </a:schemeClr>
                  </a:solidFill>
                  <a:latin typeface="Arial"/>
                  <a:cs typeface="Arial"/>
                </a:rPr>
                <a:t>#NAME?</a:t>
              </a:fld>
              <a:endParaRPr lang="en-GB" sz="2400" b="1" dirty="0" err="1">
                <a:solidFill>
                  <a:schemeClr val="bg2">
                    <a:lumMod val="10000"/>
                  </a:schemeClr>
                </a:solidFill>
              </a:endParaRPr>
            </a:p>
          </xdr:txBody>
        </xdr:sp>
        <xdr:sp textlink="$AQ$32">
          <xdr:nvSpPr>
            <xdr:cNvPr id="101" name="AS OF">
              <a:extLst>
                <a:ext uri="{FF2B5EF4-FFF2-40B4-BE49-F238E27FC236}">
                  <a16:creationId xmlns:a16="http://schemas.microsoft.com/office/drawing/2014/main" id="{02A41612-CA36-13A5-8194-2177D5E927FC}"/>
                </a:ext>
              </a:extLst>
            </xdr:cNvPr>
            <xdr:cNvSpPr txBox="1"/>
          </xdr:nvSpPr>
          <xdr:spPr>
            <a:xfrm>
              <a:off x="20955000" y="14903823"/>
              <a:ext cx="2073088" cy="349200"/>
            </a:xfrm>
            <a:prstGeom prst="rect"/>
            <a:noFill/>
          </xdr:spPr>
          <xdr:txBody>
            <a:bodyPr lIns="0" tIns="0" rIns="0" bIns="0" vertOverflow="clip" horzOverflow="clip" wrap="square" rtlCol="0" anchor="ctr">
              <a:noAutofit/>
            </a:bodyPr>
            <a:lstStyle/>
            <a:p>
              <a:pPr algn="ctr"/>
              <a:fld id="{4A6E4B18-4E58-4A05-B1C5-D4855B2B0987}" type="TxLink">
                <a:rPr lang="en-US" sz="1200" u="none" b="0" i="0" dirty="0" err="1">
                  <a:solidFill>
                    <a:schemeClr val="tx1">
                      <a:lumMod val="75000"/>
                    </a:schemeClr>
                  </a:solidFill>
                  <a:latin typeface="Arial"/>
                  <a:cs typeface="Arial"/>
                </a:rPr>
                <a:t>#NAME?</a:t>
              </a:fld>
              <a:endParaRPr lang="en-GB" sz="1800" b="0" dirty="0" err="1">
                <a:solidFill>
                  <a:schemeClr val="tx1">
                    <a:lumMod val="75000"/>
                  </a:schemeClr>
                </a:solidFill>
              </a:endParaRPr>
            </a:p>
          </xdr:txBody>
        </xdr:sp>
        <xdr:grpSp>
          <xdr:nvGrpSpPr>
            <xdr:cNvPr id="102" name="Group 101">
              <a:extLst>
                <a:ext uri="{FF2B5EF4-FFF2-40B4-BE49-F238E27FC236}">
                  <a16:creationId xmlns:a16="http://schemas.microsoft.com/office/drawing/2014/main" id="{7D65B3DD-B825-D4F9-3A91-D4E2043229C6}"/>
                </a:ext>
              </a:extLst>
            </xdr:cNvPr>
            <xdr:cNvGrpSpPr>
              <a:grpSpLocks/>
            </xdr:cNvGrpSpPr>
          </xdr:nvGrpSpPr>
          <xdr:grpSpPr>
            <a:xfrm>
              <a:off x="19789588" y="13659972"/>
              <a:ext cx="4235822" cy="336177"/>
              <a:chOff x="19789588" y="13659972"/>
              <a:chExt cx="4235822" cy="336177"/>
            </a:xfrm>
          </xdr:grpSpPr>
          <xdr:sp>
            <xdr:nvSpPr>
              <xdr:cNvPr id="103" name="TOPLINE">
                <a:extLst>
                  <a:ext uri="{FF2B5EF4-FFF2-40B4-BE49-F238E27FC236}">
                    <a16:creationId xmlns:a16="http://schemas.microsoft.com/office/drawing/2014/main" id="{E9106949-5629-AA47-B68B-2632BAA765E0}"/>
                  </a:ext>
                </a:extLst>
              </xdr:cNvPr>
              <xdr:cNvSpPr txBox="1"/>
            </xdr:nvSpPr>
            <xdr:spPr>
              <a:xfrm>
                <a:off x="19789588"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bg2">
                        <a:lumMod val="25000"/>
                      </a:schemeClr>
                    </a:solidFill>
                  </a:rPr>
                  <a:t>TOP LINE</a:t>
                </a:r>
              </a:p>
            </xdr:txBody>
          </xdr:sp>
          <xdr:sp>
            <xdr:nvSpPr>
              <xdr:cNvPr id="104" name="EARNING">
                <a:extLst>
                  <a:ext uri="{FF2B5EF4-FFF2-40B4-BE49-F238E27FC236}">
                    <a16:creationId xmlns:a16="http://schemas.microsoft.com/office/drawing/2014/main" id="{F6DA5097-277F-F9E6-DDFF-62CC456DF701}"/>
                  </a:ext>
                </a:extLst>
              </xdr:cNvPr>
              <xdr:cNvSpPr txBox="1"/>
            </xdr:nvSpPr>
            <xdr:spPr>
              <a:xfrm>
                <a:off x="21296779"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bg2">
                        <a:lumMod val="25000"/>
                      </a:schemeClr>
                    </a:solidFill>
                  </a:rPr>
                  <a:t>EARNING</a:t>
                </a:r>
              </a:p>
            </xdr:txBody>
          </xdr:sp>
          <xdr:sp>
            <xdr:nvSpPr>
              <xdr:cNvPr id="105" name="VALUATION">
                <a:extLst>
                  <a:ext uri="{FF2B5EF4-FFF2-40B4-BE49-F238E27FC236}">
                    <a16:creationId xmlns:a16="http://schemas.microsoft.com/office/drawing/2014/main" id="{1A9DEFBF-08D6-1D87-BAAF-DF636A814E19}"/>
                  </a:ext>
                </a:extLst>
              </xdr:cNvPr>
              <xdr:cNvSpPr txBox="1"/>
            </xdr:nvSpPr>
            <xdr:spPr>
              <a:xfrm>
                <a:off x="22803969"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bg2">
                        <a:lumMod val="25000"/>
                      </a:schemeClr>
                    </a:solidFill>
                  </a:rPr>
                  <a:t>VALUATION</a:t>
                </a:r>
              </a:p>
            </xdr:txBody>
          </xdr:sp>
        </xdr:grpSp>
      </xdr:grpSp>
      <xdr:grpSp>
        <xdr:nvGrpSpPr>
          <xdr:cNvPr id="95" name="Group 94">
            <a:extLst>
              <a:ext uri="{FF2B5EF4-FFF2-40B4-BE49-F238E27FC236}">
                <a16:creationId xmlns:a16="http://schemas.microsoft.com/office/drawing/2014/main" id="{DBB2E8B3-22F6-5108-77E2-5909ED199EFC}"/>
              </a:ext>
            </a:extLst>
          </xdr:cNvPr>
          <xdr:cNvGrpSpPr>
            <a:grpSpLocks/>
          </xdr:cNvGrpSpPr>
        </xdr:nvGrpSpPr>
        <xdr:grpSpPr>
          <a:xfrm>
            <a:off x="19374967" y="13816854"/>
            <a:ext cx="4929389" cy="1154206"/>
            <a:chOff x="19374967" y="13816854"/>
            <a:chExt cx="4929389" cy="1154206"/>
          </a:xfrm>
        </xdr:grpSpPr>
        <xdr:sp textlink="$AU$34">
          <xdr:nvSpPr>
            <xdr:cNvPr id="96" name="TopLineData">
              <a:extLst>
                <a:ext uri="{FF2B5EF4-FFF2-40B4-BE49-F238E27FC236}">
                  <a16:creationId xmlns:a16="http://schemas.microsoft.com/office/drawing/2014/main" id="{1B386620-163C-078A-B5EB-E489DD9DB5A5}"/>
                </a:ext>
              </a:extLst>
            </xdr:cNvPr>
            <xdr:cNvSpPr txBox="1"/>
          </xdr:nvSpPr>
          <xdr:spPr>
            <a:xfrm>
              <a:off x="19374967" y="13828060"/>
              <a:ext cx="1980000" cy="1143000"/>
            </a:xfrm>
            <a:prstGeom prst="rect"/>
            <a:noFill/>
          </xdr:spPr>
          <xdr:txBody>
            <a:bodyPr lIns="0" tIns="0" rIns="0" bIns="0" vertOverflow="clip" horzOverflow="clip" wrap="square" rtlCol="0" anchor="ctr">
              <a:noAutofit/>
            </a:bodyPr>
            <a:lstStyle/>
            <a:p>
              <a:pPr algn="ctr"/>
              <a:fld id="{77778A54-B6A1-4536-A060-102631D47CB9}" type="TxLink">
                <a:rPr lang="en-US" sz="3600" u="none" b="0" i="0" dirty="0" err="1">
                  <a:solidFill>
                    <a:srgbClr val="343434"/>
                  </a:solidFill>
                  <a:latin typeface="Arial"/>
                  <a:cs typeface="Arial"/>
                </a:rPr>
                <a:t> 1.0 </a:t>
              </a:fld>
              <a:endParaRPr lang="en-GB" sz="3600" b="1" dirty="0" err="1">
                <a:solidFill>
                  <a:schemeClr val="bg1"/>
                </a:solidFill>
              </a:endParaRPr>
            </a:p>
          </xdr:txBody>
        </xdr:sp>
        <xdr:sp textlink="$AU$35">
          <xdr:nvSpPr>
            <xdr:cNvPr id="97" name="Earning Data">
              <a:extLst>
                <a:ext uri="{FF2B5EF4-FFF2-40B4-BE49-F238E27FC236}">
                  <a16:creationId xmlns:a16="http://schemas.microsoft.com/office/drawing/2014/main" id="{E61D2AA3-EDFF-A044-DD24-119748BDCC1C}"/>
                </a:ext>
              </a:extLst>
            </xdr:cNvPr>
            <xdr:cNvSpPr txBox="1"/>
          </xdr:nvSpPr>
          <xdr:spPr>
            <a:xfrm>
              <a:off x="20821647" y="13816854"/>
              <a:ext cx="1980000" cy="1143000"/>
            </a:xfrm>
            <a:prstGeom prst="rect"/>
            <a:noFill/>
          </xdr:spPr>
          <xdr:txBody>
            <a:bodyPr lIns="0" tIns="0" rIns="0" bIns="0" vertOverflow="clip" horzOverflow="clip" wrap="square" rtlCol="0" anchor="ctr">
              <a:noAutofit/>
            </a:bodyPr>
            <a:lstStyle/>
            <a:p>
              <a:pPr algn="ctr"/>
              <a:fld id="{F6A24BF9-D6F5-4A45-8E9F-E755C91BC956}" type="TxLink">
                <a:rPr lang="en-US" sz="3600" u="none" b="0" i="0" dirty="0" err="1">
                  <a:solidFill>
                    <a:srgbClr val="343434"/>
                  </a:solidFill>
                  <a:latin typeface="Arial"/>
                  <a:cs typeface="Arial"/>
                </a:rPr>
                <a:t> 1.0 </a:t>
              </a:fld>
              <a:endParaRPr lang="en-GB" sz="3600" b="1" dirty="0" err="1">
                <a:solidFill>
                  <a:schemeClr val="bg1">
                    <a:lumMod val="95000"/>
                  </a:schemeClr>
                </a:solidFill>
              </a:endParaRPr>
            </a:p>
          </xdr:txBody>
        </xdr:sp>
        <xdr:sp textlink="$AU$36">
          <xdr:nvSpPr>
            <xdr:cNvPr id="98" name="Valuation Data">
              <a:extLst>
                <a:ext uri="{FF2B5EF4-FFF2-40B4-BE49-F238E27FC236}">
                  <a16:creationId xmlns:a16="http://schemas.microsoft.com/office/drawing/2014/main" id="{11693C77-33C4-82E6-82BC-AF9572EB2E7B}"/>
                </a:ext>
              </a:extLst>
            </xdr:cNvPr>
            <xdr:cNvSpPr txBox="1"/>
          </xdr:nvSpPr>
          <xdr:spPr>
            <a:xfrm>
              <a:off x="22324356" y="13816854"/>
              <a:ext cx="1980000" cy="1143000"/>
            </a:xfrm>
            <a:prstGeom prst="rect"/>
            <a:noFill/>
          </xdr:spPr>
          <xdr:txBody>
            <a:bodyPr lIns="0" tIns="0" rIns="0" bIns="0" vertOverflow="clip" horzOverflow="clip" wrap="square" rtlCol="0" anchor="ctr">
              <a:noAutofit/>
            </a:bodyPr>
            <a:lstStyle/>
            <a:p>
              <a:pPr algn="ctr"/>
              <a:fld id="{083775E9-4C68-413F-88DD-7C7B8BE2CD01}" type="TxLink">
                <a:rPr lang="en-US" sz="3600" u="none" b="0" i="0" dirty="0" err="1">
                  <a:solidFill>
                    <a:srgbClr val="343434"/>
                  </a:solidFill>
                  <a:latin typeface="Arial"/>
                  <a:cs typeface="Arial"/>
                </a:rPr>
                <a:t> 1.0 </a:t>
              </a:fld>
              <a:endParaRPr lang="en-GB" sz="3600" b="1" dirty="0" err="1">
                <a:solidFill>
                  <a:schemeClr val="bg1">
                    <a:lumMod val="95000"/>
                  </a:schemeClr>
                </a:solidFill>
              </a:endParaRPr>
            </a:p>
          </xdr:txBody>
        </xdr:sp>
      </xdr:grpSp>
    </xdr:grpSp>
    <xdr:clientData/>
  </xdr:twoCellAnchor>
  <xdr:twoCellAnchor>
    <xdr:from>
      <xdr:col>20</xdr:col>
      <xdr:colOff>885265</xdr:colOff>
      <xdr:row>20</xdr:row>
      <xdr:rowOff>67234</xdr:rowOff>
    </xdr:from>
    <xdr:to>
      <xdr:col>30</xdr:col>
      <xdr:colOff>1098177</xdr:colOff>
      <xdr:row>25</xdr:row>
      <xdr:rowOff>78441</xdr:rowOff>
    </xdr:to>
    <xdr:sp>
      <xdr:nvSpPr>
        <xdr:cNvPr id="133" name="TextBox 132">
          <a:extLst>
            <a:ext uri="{FF2B5EF4-FFF2-40B4-BE49-F238E27FC236}">
              <a16:creationId xmlns:a16="http://schemas.microsoft.com/office/drawing/2014/main" id="{C1326DC2-0FA5-54BE-020A-23685B93181A}"/>
            </a:ext>
          </a:extLst>
        </xdr:cNvPr>
        <xdr:cNvSpPr txBox="1"/>
      </xdr:nvSpPr>
      <xdr:spPr>
        <a:xfrm>
          <a:off x="18316575" y="4276725"/>
          <a:ext cx="8953500" cy="962025"/>
        </a:xfrm>
        <a:prstGeom prst="rect"/>
        <a:noFill/>
      </xdr:spPr>
      <xdr:txBody>
        <a:bodyPr lIns="0" tIns="0" rIns="0" bIns="0" vertOverflow="clip" horzOverflow="clip" wrap="square" rtlCol="0" anchor="t">
          <a:noAutofit/>
        </a:bodyPr>
        <a:lstStyle/>
        <a:p>
          <a:pPr algn="l"/>
          <a:r>
            <a:rPr lang="en-GB" sz="2400" b="1" dirty="0" err="1"/>
            <a:t>Like for Like Adjustment Amount Dashboard</a:t>
          </a:r>
        </a:p>
      </xdr:txBody>
    </xdr:sp>
    <xdr:clientData/>
  </xdr:twoCellAnchor>
  <xdr:twoCellAnchor>
    <xdr:from>
      <xdr:col>20</xdr:col>
      <xdr:colOff>448235</xdr:colOff>
      <xdr:row>51</xdr:row>
      <xdr:rowOff>40822</xdr:rowOff>
    </xdr:from>
    <xdr:to>
      <xdr:col>23</xdr:col>
      <xdr:colOff>376998</xdr:colOff>
      <xdr:row>53</xdr:row>
      <xdr:rowOff>10407</xdr:rowOff>
    </xdr:to>
    <xdr:sp textlink="$AB$30">
      <xdr:nvSpPr>
        <xdr:cNvPr id="134" name="TextBox 133">
          <a:extLst>
            <a:ext uri="{FF2B5EF4-FFF2-40B4-BE49-F238E27FC236}">
              <a16:creationId xmlns:a16="http://schemas.microsoft.com/office/drawing/2014/main" id="{DAAA1CB8-58F3-4D67-A8A9-FAD120C8B0E5}"/>
            </a:ext>
          </a:extLst>
        </xdr:cNvPr>
        <xdr:cNvSpPr txBox="1"/>
      </xdr:nvSpPr>
      <xdr:spPr>
        <a:xfrm>
          <a:off x="17878425" y="10153650"/>
          <a:ext cx="2057400" cy="447675"/>
        </a:xfrm>
        <a:prstGeom prst="rect"/>
        <a:noFill/>
      </xdr:spPr>
      <xdr:txBody>
        <a:bodyPr lIns="0" tIns="0" rIns="0" bIns="0" vertOverflow="clip" horzOverflow="clip" wrap="square" rtlCol="0" anchor="t">
          <a:noAutofit/>
        </a:bodyPr>
        <a:lstStyle/>
        <a:p>
          <a:pPr algn="ctr"/>
          <a:fld id="{6024C574-FCED-42C7-B470-7820B3BAB073}" type="TxLink">
            <a:rPr lang="en-US" sz="1200" u="none" b="0" i="0" dirty="0" err="1">
              <a:solidFill>
                <a:srgbClr val="343434"/>
              </a:solidFill>
              <a:latin typeface="Arial"/>
              <a:cs typeface="Arial"/>
            </a:rPr>
            <a:t> </a:t>
          </a:fld>
          <a:endParaRPr lang="en-GB" sz="1400" b="1" dirty="0" err="1">
            <a:solidFill>
              <a:srgbClr val="0070C0"/>
            </a:solidFill>
            <a:latin typeface="Arial Nova Cond" panose="020F0502020204030204" pitchFamily="34" charset="0"/>
          </a:endParaRPr>
        </a:p>
      </xdr:txBody>
    </xdr:sp>
    <xdr:clientData/>
  </xdr:twoCellAnchor>
  <xdr:twoCellAnchor>
    <xdr:from>
      <xdr:col>5</xdr:col>
      <xdr:colOff>145678</xdr:colOff>
      <xdr:row>54</xdr:row>
      <xdr:rowOff>78440</xdr:rowOff>
    </xdr:from>
    <xdr:to>
      <xdr:col>23</xdr:col>
      <xdr:colOff>179293</xdr:colOff>
      <xdr:row>65</xdr:row>
      <xdr:rowOff>190499</xdr:rowOff>
    </xdr:to>
    <xdr:grpSp>
      <xdr:nvGrpSpPr>
        <xdr:cNvPr id="162" name="Group 161">
          <a:extLst>
            <a:ext uri="{FF2B5EF4-FFF2-40B4-BE49-F238E27FC236}">
              <a16:creationId xmlns:a16="http://schemas.microsoft.com/office/drawing/2014/main" id="{4E00EA35-4DB4-963C-AE5C-5B0004C47883}"/>
            </a:ext>
          </a:extLst>
        </xdr:cNvPr>
        <xdr:cNvGrpSpPr>
          <a:grpSpLocks/>
        </xdr:cNvGrpSpPr>
      </xdr:nvGrpSpPr>
      <xdr:grpSpPr>
        <a:xfrm>
          <a:off x="5610225" y="10858500"/>
          <a:ext cx="14125575" cy="2209800"/>
          <a:chOff x="2398061" y="25583028"/>
          <a:chExt cx="14130615" cy="2207559"/>
        </a:xfrm>
      </xdr:grpSpPr>
      <xdr:sp>
        <xdr:nvSpPr>
          <xdr:cNvPr id="161" name="Rectangle 160">
            <a:extLst>
              <a:ext uri="{FF2B5EF4-FFF2-40B4-BE49-F238E27FC236}">
                <a16:creationId xmlns:a16="http://schemas.microsoft.com/office/drawing/2014/main" id="{27CAE56D-09C5-7144-C4A4-A710B92D303E}"/>
              </a:ext>
            </a:extLst>
          </xdr:cNvPr>
          <xdr:cNvSpPr/>
        </xdr:nvSpPr>
        <xdr:spPr>
          <a:xfrm>
            <a:off x="2398061" y="25583028"/>
            <a:ext cx="14130615" cy="2207559"/>
          </a:xfrm>
          <a:prstGeom prst="rect"/>
          <a:solidFill>
            <a:schemeClr val="bg1">
              <a:lumMod val="9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grpSp>
        <xdr:nvGrpSpPr>
          <xdr:cNvPr id="135" name="Group 134">
            <a:extLst>
              <a:ext uri="{FF2B5EF4-FFF2-40B4-BE49-F238E27FC236}">
                <a16:creationId xmlns:a16="http://schemas.microsoft.com/office/drawing/2014/main" id="{92618869-4983-47DD-9810-7ADA41477DB3}"/>
              </a:ext>
            </a:extLst>
          </xdr:cNvPr>
          <xdr:cNvGrpSpPr>
            <a:grpSpLocks/>
          </xdr:cNvGrpSpPr>
        </xdr:nvGrpSpPr>
        <xdr:grpSpPr>
          <a:xfrm>
            <a:off x="2434879" y="25834529"/>
            <a:ext cx="13916966" cy="1943253"/>
            <a:chOff x="3196879" y="20830302"/>
            <a:chExt cx="14011602" cy="1943253"/>
          </a:xfrm>
        </xdr:grpSpPr>
        <xdr:pic>
          <xdr:nvPicPr>
            <xdr:cNvPr id="136" name="Picture 135">
              <a:extLst>
                <a:ext uri="{FF2B5EF4-FFF2-40B4-BE49-F238E27FC236}">
                  <a16:creationId xmlns:a16="http://schemas.microsoft.com/office/drawing/2014/main" id="{6B5FCA7E-7CE3-7C81-98D3-9A77F208DE22}"/>
                </a:ext>
              </a:extLst>
            </xdr:cNvPr>
            <xdr:cNvPicPr>
              <a:picLocks noChangeAspect="1"/>
            </xdr:cNvPicPr>
          </xdr:nvPicPr>
          <xdr:blipFill>
            <a:blip r:embed="rId1"/>
            <a:srcRect l="0" t="0" r="61999" b="0"/>
            <a:stretch>
              <a:fillRect/>
            </a:stretch>
          </xdr:blipFill>
          <xdr:spPr>
            <a:xfrm>
              <a:off x="3196879" y="20857348"/>
              <a:ext cx="7283021" cy="1916207"/>
            </a:xfrm>
            <a:prstGeom prst="rect"/>
          </xdr:spPr>
        </xdr:pic>
        <xdr:pic>
          <xdr:nvPicPr>
            <xdr:cNvPr id="137" name="Picture 136">
              <a:extLst>
                <a:ext uri="{FF2B5EF4-FFF2-40B4-BE49-F238E27FC236}">
                  <a16:creationId xmlns:a16="http://schemas.microsoft.com/office/drawing/2014/main" id="{D5DF7ADA-7910-35C6-C0D6-D35132D2D005}"/>
                </a:ext>
              </a:extLst>
            </xdr:cNvPr>
            <xdr:cNvPicPr>
              <a:picLocks noChangeAspect="1"/>
            </xdr:cNvPicPr>
          </xdr:nvPicPr>
          <xdr:blipFill>
            <a:blip r:embed="rId1"/>
            <a:srcRect l="67416" t="0" r="0" b="0"/>
            <a:stretch>
              <a:fillRect/>
            </a:stretch>
          </xdr:blipFill>
          <xdr:spPr>
            <a:xfrm>
              <a:off x="10971113" y="20830302"/>
              <a:ext cx="6237368" cy="1916207"/>
            </a:xfrm>
            <a:prstGeom prst="rect"/>
          </xdr:spPr>
        </xdr:pic>
        <xdr:grpSp>
          <xdr:nvGrpSpPr>
            <xdr:cNvPr id="138" name="Group 137">
              <a:extLst>
                <a:ext uri="{FF2B5EF4-FFF2-40B4-BE49-F238E27FC236}">
                  <a16:creationId xmlns:a16="http://schemas.microsoft.com/office/drawing/2014/main" id="{92BD1AA9-F1E9-E6EC-9F0D-6C5B94AE3F68}"/>
                </a:ext>
              </a:extLst>
            </xdr:cNvPr>
            <xdr:cNvGrpSpPr>
              <a:grpSpLocks/>
            </xdr:cNvGrpSpPr>
          </xdr:nvGrpSpPr>
          <xdr:grpSpPr>
            <a:xfrm>
              <a:off x="10620673" y="21616283"/>
              <a:ext cx="265222" cy="72000"/>
              <a:chOff x="10332449" y="21329296"/>
              <a:chExt cx="262748" cy="72000"/>
            </a:xfrm>
          </xdr:grpSpPr>
          <xdr:sp>
            <xdr:nvSpPr>
              <xdr:cNvPr id="140" name="Oval 139">
                <a:extLst>
                  <a:ext uri="{FF2B5EF4-FFF2-40B4-BE49-F238E27FC236}">
                    <a16:creationId xmlns:a16="http://schemas.microsoft.com/office/drawing/2014/main" id="{CA60D321-0C97-1344-15E3-531ABD4EBE68}"/>
                  </a:ext>
                </a:extLst>
              </xdr:cNvPr>
              <xdr:cNvSpPr/>
            </xdr:nvSpPr>
            <xdr:spPr>
              <a:xfrm>
                <a:off x="10332449" y="21329296"/>
                <a:ext cx="72248" cy="72000"/>
              </a:xfrm>
              <a:prstGeom prst="ellipse"/>
              <a:solidFill>
                <a:schemeClr val="tx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sp>
            <xdr:nvSpPr>
              <xdr:cNvPr id="141" name="Oval 140">
                <a:extLst>
                  <a:ext uri="{FF2B5EF4-FFF2-40B4-BE49-F238E27FC236}">
                    <a16:creationId xmlns:a16="http://schemas.microsoft.com/office/drawing/2014/main" id="{237AB959-FC69-C1A7-E989-38FF24AE78DC}"/>
                  </a:ext>
                </a:extLst>
              </xdr:cNvPr>
              <xdr:cNvSpPr/>
            </xdr:nvSpPr>
            <xdr:spPr>
              <a:xfrm>
                <a:off x="10522949" y="21329296"/>
                <a:ext cx="72248" cy="72000"/>
              </a:xfrm>
              <a:prstGeom prst="ellipse"/>
              <a:solidFill>
                <a:schemeClr val="tx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sp>
            <xdr:nvSpPr>
              <xdr:cNvPr id="142" name="Oval 141">
                <a:extLst>
                  <a:ext uri="{FF2B5EF4-FFF2-40B4-BE49-F238E27FC236}">
                    <a16:creationId xmlns:a16="http://schemas.microsoft.com/office/drawing/2014/main" id="{7D10B329-28E1-9DBB-6A88-F901989BF55B}"/>
                  </a:ext>
                </a:extLst>
              </xdr:cNvPr>
              <xdr:cNvSpPr/>
            </xdr:nvSpPr>
            <xdr:spPr>
              <a:xfrm>
                <a:off x="10427699" y="21329296"/>
                <a:ext cx="72248" cy="72000"/>
              </a:xfrm>
              <a:prstGeom prst="ellipse"/>
              <a:solidFill>
                <a:schemeClr val="tx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grpSp>
        <xdr:sp>
          <xdr:nvSpPr>
            <xdr:cNvPr id="139" name="Rectangle 138">
              <a:extLst>
                <a:ext uri="{FF2B5EF4-FFF2-40B4-BE49-F238E27FC236}">
                  <a16:creationId xmlns:a16="http://schemas.microsoft.com/office/drawing/2014/main" id="{B5F1A23F-A606-8193-107B-61B638D73F48}"/>
                </a:ext>
              </a:extLst>
            </xdr:cNvPr>
            <xdr:cNvSpPr/>
          </xdr:nvSpPr>
          <xdr:spPr>
            <a:xfrm>
              <a:off x="3288622" y="22039568"/>
              <a:ext cx="13906500" cy="645939"/>
            </a:xfrm>
            <a:prstGeom prst="rect"/>
            <a:solidFill>
              <a:srgbClr val="FFFF00">
                <a:alpha val="19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grpSp>
    </xdr:grpSp>
    <xdr:clientData/>
  </xdr:twoCellAnchor>
  <xdr:twoCellAnchor>
    <xdr:from>
      <xdr:col>4</xdr:col>
      <xdr:colOff>628650</xdr:colOff>
      <xdr:row>51</xdr:row>
      <xdr:rowOff>43543</xdr:rowOff>
    </xdr:from>
    <xdr:to>
      <xdr:col>5</xdr:col>
      <xdr:colOff>111578</xdr:colOff>
      <xdr:row>51</xdr:row>
      <xdr:rowOff>288472</xdr:rowOff>
    </xdr:to>
    <xdr:sp>
      <xdr:nvSpPr>
        <xdr:cNvPr id="148" name="Oval 147">
          <a:extLst>
            <a:ext uri="{FF2B5EF4-FFF2-40B4-BE49-F238E27FC236}">
              <a16:creationId xmlns:a16="http://schemas.microsoft.com/office/drawing/2014/main" id="{1FF19F5D-E213-47D8-A944-F2A5061BCD15}"/>
            </a:ext>
          </a:extLst>
        </xdr:cNvPr>
        <xdr:cNvSpPr/>
      </xdr:nvSpPr>
      <xdr:spPr>
        <a:xfrm>
          <a:off x="5334000" y="10163175"/>
          <a:ext cx="247650" cy="238125"/>
        </a:xfrm>
        <a:prstGeom prst="ellipse"/>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GB" sz="1100" kern="1200">
              <a:solidFill>
                <a:schemeClr val="bg1"/>
              </a:solidFill>
            </a:rPr>
            <a:t>1</a:t>
          </a:r>
        </a:p>
      </xdr:txBody>
    </xdr:sp>
    <xdr:clientData/>
  </xdr:twoCellAnchor>
  <xdr:twoCellAnchor>
    <xdr:from>
      <xdr:col>4</xdr:col>
      <xdr:colOff>644979</xdr:colOff>
      <xdr:row>88</xdr:row>
      <xdr:rowOff>32657</xdr:rowOff>
    </xdr:from>
    <xdr:to>
      <xdr:col>5</xdr:col>
      <xdr:colOff>127907</xdr:colOff>
      <xdr:row>88</xdr:row>
      <xdr:rowOff>277586</xdr:rowOff>
    </xdr:to>
    <xdr:sp>
      <xdr:nvSpPr>
        <xdr:cNvPr id="149" name="Oval 148">
          <a:extLst>
            <a:ext uri="{FF2B5EF4-FFF2-40B4-BE49-F238E27FC236}">
              <a16:creationId xmlns:a16="http://schemas.microsoft.com/office/drawing/2014/main" id="{28CDC2B5-C292-4B9B-A582-1159977E3E3D}"/>
            </a:ext>
          </a:extLst>
        </xdr:cNvPr>
        <xdr:cNvSpPr/>
      </xdr:nvSpPr>
      <xdr:spPr>
        <a:xfrm>
          <a:off x="5353050" y="17487900"/>
          <a:ext cx="247650" cy="247650"/>
        </a:xfrm>
        <a:prstGeom prst="ellipse"/>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GB" sz="1100" kern="1200">
              <a:solidFill>
                <a:schemeClr val="bg1"/>
              </a:solidFill>
            </a:rPr>
            <a:t>2</a:t>
          </a:r>
        </a:p>
      </xdr:txBody>
    </xdr:sp>
    <xdr:clientData/>
  </xdr:twoCellAnchor>
  <xdr:twoCellAnchor>
    <xdr:from>
      <xdr:col>5</xdr:col>
      <xdr:colOff>149677</xdr:colOff>
      <xdr:row>67</xdr:row>
      <xdr:rowOff>1</xdr:rowOff>
    </xdr:from>
    <xdr:to>
      <xdr:col>23</xdr:col>
      <xdr:colOff>201706</xdr:colOff>
      <xdr:row>69</xdr:row>
      <xdr:rowOff>163286</xdr:rowOff>
    </xdr:to>
    <xdr:sp>
      <xdr:nvSpPr>
        <xdr:cNvPr id="150" name="TextBox 149">
          <a:extLst>
            <a:ext uri="{FF2B5EF4-FFF2-40B4-BE49-F238E27FC236}">
              <a16:creationId xmlns:a16="http://schemas.microsoft.com/office/drawing/2014/main" id="{C049A0F6-AC1C-4C0D-91CE-1C46BADF31B9}"/>
            </a:ext>
          </a:extLst>
        </xdr:cNvPr>
        <xdr:cNvSpPr txBox="1"/>
      </xdr:nvSpPr>
      <xdr:spPr>
        <a:xfrm>
          <a:off x="5619750" y="13258800"/>
          <a:ext cx="14135100" cy="542925"/>
        </a:xfrm>
        <a:prstGeom prst="rect"/>
        <a:noFill/>
      </xdr:spPr>
      <xdr:txBody>
        <a:bodyPr lIns="0" tIns="0" rIns="0" bIns="0" vertOverflow="clip" horzOverflow="clip" wrap="square" rtlCol="0" anchor="t">
          <a:noAutofit/>
        </a:bodyPr>
        <a:lstStyle/>
        <a:p>
          <a:pPr algn="l"/>
          <a:r>
            <a:rPr lang="en-GB" sz="1400" b="1" kern="1200" dirty="0" err="1"/>
            <a:t>ADJUSTMENT 2</a:t>
          </a:r>
          <a:r>
            <a:rPr lang="en-GB" sz="1400" kern="1200" dirty="0" err="1"/>
            <a:t>: The Portfolio Company that closed the acquisition is not reflecting the full impact in its P&amp;L budget. To keep the FY2025 estimate consistent with the new perimeter, it must add the full-year impact of the Acquired Company in the dedicated section.</a:t>
          </a:r>
        </a:p>
      </xdr:txBody>
    </xdr:sp>
    <xdr:clientData/>
  </xdr:twoCellAnchor>
  <xdr:twoCellAnchor>
    <xdr:from>
      <xdr:col>5</xdr:col>
      <xdr:colOff>166006</xdr:colOff>
      <xdr:row>52</xdr:row>
      <xdr:rowOff>70757</xdr:rowOff>
    </xdr:from>
    <xdr:to>
      <xdr:col>24</xdr:col>
      <xdr:colOff>751114</xdr:colOff>
      <xdr:row>55</xdr:row>
      <xdr:rowOff>122464</xdr:rowOff>
    </xdr:to>
    <xdr:sp>
      <xdr:nvSpPr>
        <xdr:cNvPr id="151" name="TextBox 150">
          <a:extLst>
            <a:ext uri="{FF2B5EF4-FFF2-40B4-BE49-F238E27FC236}">
              <a16:creationId xmlns:a16="http://schemas.microsoft.com/office/drawing/2014/main" id="{DA1901A7-FBFE-4E1D-B63B-38FB5080A550}"/>
            </a:ext>
          </a:extLst>
        </xdr:cNvPr>
        <xdr:cNvSpPr txBox="1"/>
      </xdr:nvSpPr>
      <xdr:spPr>
        <a:xfrm>
          <a:off x="5629275" y="10467975"/>
          <a:ext cx="15697200" cy="619125"/>
        </a:xfrm>
        <a:prstGeom prst="rect"/>
        <a:noFill/>
      </xdr:spPr>
      <xdr:txBody>
        <a:bodyPr lIns="0" tIns="0" rIns="0" bIns="0" vertOverflow="clip" horzOverflow="clip" wrap="square" rtlCol="0" anchor="t">
          <a:noAutofit/>
        </a:bodyPr>
        <a:lstStyle/>
        <a:p>
          <a:pPr algn="l"/>
          <a:r>
            <a:rPr lang="en-GB" sz="1400" b="1" kern="1200" dirty="0" err="1"/>
            <a:t>Adjustment 1 – Monthly Actuals Before Acquisition:</a:t>
          </a:r>
        </a:p>
        <a:p>
          <a:pPr algn="l"/>
          <a:r>
            <a:rPr lang="en-GB" sz="1400" kern="1200" dirty="0" err="1"/>
            <a:t>The Portfolio Company that closed the acquisition must retrieve the EBITDA of the Acquired Company for the 24 months prior to May 2025 and add it to the reported financials.</a:t>
          </a:r>
        </a:p>
      </xdr:txBody>
    </xdr:sp>
    <xdr:clientData/>
  </xdr:twoCellAnchor>
  <xdr:twoCellAnchor>
    <xdr:from>
      <xdr:col>5</xdr:col>
      <xdr:colOff>247649</xdr:colOff>
      <xdr:row>84</xdr:row>
      <xdr:rowOff>111579</xdr:rowOff>
    </xdr:from>
    <xdr:to>
      <xdr:col>23</xdr:col>
      <xdr:colOff>224118</xdr:colOff>
      <xdr:row>88</xdr:row>
      <xdr:rowOff>22410</xdr:rowOff>
    </xdr:to>
    <xdr:sp>
      <xdr:nvSpPr>
        <xdr:cNvPr id="152" name="TextBox 151">
          <a:extLst>
            <a:ext uri="{FF2B5EF4-FFF2-40B4-BE49-F238E27FC236}">
              <a16:creationId xmlns:a16="http://schemas.microsoft.com/office/drawing/2014/main" id="{F443CC14-3ACB-4CD2-82E3-21EA7F297994}"/>
            </a:ext>
          </a:extLst>
        </xdr:cNvPr>
        <xdr:cNvSpPr txBox="1"/>
      </xdr:nvSpPr>
      <xdr:spPr>
        <a:xfrm>
          <a:off x="5715000" y="16611600"/>
          <a:ext cx="14068425" cy="876300"/>
        </a:xfrm>
        <a:prstGeom prst="rect"/>
        <a:noFill/>
      </xdr:spPr>
      <xdr:txBody>
        <a:bodyPr lIns="0" tIns="0" rIns="0" bIns="0" vertOverflow="clip" horzOverflow="clip" wrap="square" rtlCol="0" anchor="t">
          <a:noAutofit/>
        </a:bodyPr>
        <a:lstStyle/>
        <a:p>
          <a:pPr algn="l"/>
          <a:r>
            <a:rPr lang="en-GB" sz="1400" b="1" kern="1200" dirty="0" err="1"/>
            <a:t>Note:</a:t>
          </a:r>
          <a:r>
            <a:rPr lang="en-GB" sz="1400" kern="1200" dirty="0" err="1"/>
            <a:t> </a:t>
          </a:r>
          <a:r>
            <a:rPr lang="en-GB" sz="1400" i="1" kern="1200" dirty="0" err="1"/>
            <a:t>The amounts in December 2025 (3.5m) and December 2026 (2.8m) represent the full-year impact of the Acquired Company. This adjustment is key for valuation to ensure we use the correct perimeter. It is also essential for annual performance analysis, so growth from 2024 to 2025 is measured on the same perimeter. The same applies to 2026 if available.</a:t>
          </a:r>
        </a:p>
      </xdr:txBody>
    </xdr:sp>
    <xdr:clientData/>
  </xdr:twoCellAnchor>
  <xdr:twoCellAnchor>
    <xdr:from>
      <xdr:col>5</xdr:col>
      <xdr:colOff>179614</xdr:colOff>
      <xdr:row>89</xdr:row>
      <xdr:rowOff>166008</xdr:rowOff>
    </xdr:from>
    <xdr:to>
      <xdr:col>23</xdr:col>
      <xdr:colOff>100854</xdr:colOff>
      <xdr:row>91</xdr:row>
      <xdr:rowOff>81643</xdr:rowOff>
    </xdr:to>
    <xdr:sp>
      <xdr:nvSpPr>
        <xdr:cNvPr id="153" name="TextBox 152">
          <a:extLst>
            <a:ext uri="{FF2B5EF4-FFF2-40B4-BE49-F238E27FC236}">
              <a16:creationId xmlns:a16="http://schemas.microsoft.com/office/drawing/2014/main" id="{C3044745-28A3-4148-8C05-C5C53B093AF6}"/>
            </a:ext>
          </a:extLst>
        </xdr:cNvPr>
        <xdr:cNvSpPr txBox="1"/>
      </xdr:nvSpPr>
      <xdr:spPr>
        <a:xfrm>
          <a:off x="5648325" y="17907000"/>
          <a:ext cx="14011275" cy="485775"/>
        </a:xfrm>
        <a:prstGeom prst="rect"/>
        <a:noFill/>
      </xdr:spPr>
      <xdr:txBody>
        <a:bodyPr lIns="0" tIns="0" rIns="0" bIns="0" vertOverflow="clip" horzOverflow="clip" wrap="square" rtlCol="0" anchor="t">
          <a:noAutofit/>
        </a:bodyPr>
        <a:lstStyle/>
        <a:p>
          <a:pPr algn="l"/>
          <a:r>
            <a:rPr lang="en-GB" sz="1400"/>
            <a:t>The Portfolio Company includes in its full-year budget the impact of a future acquisition that has not yet closed.</a:t>
          </a:r>
          <a:r>
            <a:rPr lang="en-GB" sz="1400" baseline="0"/>
            <a:t> The company</a:t>
          </a:r>
          <a:r>
            <a:rPr lang="en-GB" sz="1400"/>
            <a:t> must remove this impact from the full-year budget or latest estimate both for 2025 and 2026(if</a:t>
          </a:r>
          <a:r>
            <a:rPr lang="en-GB" sz="1400" baseline="0"/>
            <a:t> available)</a:t>
          </a:r>
          <a:r>
            <a:rPr lang="en-GB" sz="1400"/>
            <a:t>. See Below.</a:t>
          </a:r>
          <a:endParaRPr lang="en-GB" sz="1400" i="1" kern="1200" dirty="0" err="1"/>
        </a:p>
      </xdr:txBody>
    </xdr:sp>
    <xdr:clientData/>
  </xdr:twoCellAnchor>
  <xdr:twoCellAnchor>
    <xdr:from>
      <xdr:col>5</xdr:col>
      <xdr:colOff>112059</xdr:colOff>
      <xdr:row>72</xdr:row>
      <xdr:rowOff>145676</xdr:rowOff>
    </xdr:from>
    <xdr:to>
      <xdr:col>23</xdr:col>
      <xdr:colOff>145676</xdr:colOff>
      <xdr:row>84</xdr:row>
      <xdr:rowOff>67235</xdr:rowOff>
    </xdr:to>
    <xdr:grpSp>
      <xdr:nvGrpSpPr>
        <xdr:cNvPr id="163" name="Group 162">
          <a:extLst>
            <a:ext uri="{FF2B5EF4-FFF2-40B4-BE49-F238E27FC236}">
              <a16:creationId xmlns:a16="http://schemas.microsoft.com/office/drawing/2014/main" id="{89FEE16C-1B5B-1FB2-9795-F4BCBE2117C1}"/>
            </a:ext>
          </a:extLst>
        </xdr:cNvPr>
        <xdr:cNvGrpSpPr>
          <a:grpSpLocks/>
        </xdr:cNvGrpSpPr>
      </xdr:nvGrpSpPr>
      <xdr:grpSpPr>
        <a:xfrm>
          <a:off x="5581650" y="14354175"/>
          <a:ext cx="14125575" cy="2209800"/>
          <a:chOff x="2398059" y="29180117"/>
          <a:chExt cx="14130617" cy="2207559"/>
        </a:xfrm>
      </xdr:grpSpPr>
      <xdr:sp>
        <xdr:nvSpPr>
          <xdr:cNvPr id="159" name="Rectangle 158">
            <a:extLst>
              <a:ext uri="{FF2B5EF4-FFF2-40B4-BE49-F238E27FC236}">
                <a16:creationId xmlns:a16="http://schemas.microsoft.com/office/drawing/2014/main" id="{D09B007C-5D25-6068-6F86-6EBD3F8F4A8C}"/>
              </a:ext>
            </a:extLst>
          </xdr:cNvPr>
          <xdr:cNvSpPr/>
        </xdr:nvSpPr>
        <xdr:spPr>
          <a:xfrm>
            <a:off x="2398061" y="29180117"/>
            <a:ext cx="14130615" cy="2207559"/>
          </a:xfrm>
          <a:prstGeom prst="rect"/>
          <a:solidFill>
            <a:schemeClr val="bg1">
              <a:lumMod val="9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pic>
        <xdr:nvPicPr>
          <xdr:cNvPr id="154" name="Picture 153">
            <a:extLst>
              <a:ext uri="{FF2B5EF4-FFF2-40B4-BE49-F238E27FC236}">
                <a16:creationId xmlns:a16="http://schemas.microsoft.com/office/drawing/2014/main" id="{C8BCB1EA-C10B-471B-BC00-A5250BFB0DFA}"/>
              </a:ext>
            </a:extLst>
          </xdr:cNvPr>
          <xdr:cNvPicPr>
            <a:picLocks noChangeAspect="1"/>
          </xdr:cNvPicPr>
        </xdr:nvPicPr>
        <xdr:blipFill>
          <a:blip r:embed="rId2"/>
          <a:srcRect l="0" t="3039" r="0" b="0"/>
          <a:stretch>
            <a:fillRect/>
          </a:stretch>
        </xdr:blipFill>
        <xdr:spPr>
          <a:xfrm>
            <a:off x="2398059" y="29348206"/>
            <a:ext cx="13984941" cy="1953028"/>
          </a:xfrm>
          <a:prstGeom prst="rect"/>
        </xdr:spPr>
      </xdr:pic>
      <xdr:sp>
        <xdr:nvSpPr>
          <xdr:cNvPr id="143" name="Rectangle 142">
            <a:extLst>
              <a:ext uri="{FF2B5EF4-FFF2-40B4-BE49-F238E27FC236}">
                <a16:creationId xmlns:a16="http://schemas.microsoft.com/office/drawing/2014/main" id="{9F12CAC5-AB79-4E79-AA74-EA9CF207AA92}"/>
              </a:ext>
            </a:extLst>
          </xdr:cNvPr>
          <xdr:cNvSpPr/>
        </xdr:nvSpPr>
        <xdr:spPr>
          <a:xfrm>
            <a:off x="12420199" y="30131334"/>
            <a:ext cx="3929184" cy="471931"/>
          </a:xfrm>
          <a:prstGeom prst="rect"/>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sp>
        <xdr:nvSpPr>
          <xdr:cNvPr id="155" name="Rectangle 154">
            <a:extLst>
              <a:ext uri="{FF2B5EF4-FFF2-40B4-BE49-F238E27FC236}">
                <a16:creationId xmlns:a16="http://schemas.microsoft.com/office/drawing/2014/main" id="{ECC17F53-A8A6-4CF1-E57D-D1F7F5391185}"/>
              </a:ext>
            </a:extLst>
          </xdr:cNvPr>
          <xdr:cNvSpPr/>
        </xdr:nvSpPr>
        <xdr:spPr>
          <a:xfrm>
            <a:off x="2491787" y="30155028"/>
            <a:ext cx="4343802" cy="459443"/>
          </a:xfrm>
          <a:prstGeom prst="rect"/>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grpSp>
    <xdr:clientData/>
  </xdr:twoCellAnchor>
  <xdr:twoCellAnchor>
    <xdr:from>
      <xdr:col>5</xdr:col>
      <xdr:colOff>112061</xdr:colOff>
      <xdr:row>91</xdr:row>
      <xdr:rowOff>179293</xdr:rowOff>
    </xdr:from>
    <xdr:to>
      <xdr:col>23</xdr:col>
      <xdr:colOff>145676</xdr:colOff>
      <xdr:row>103</xdr:row>
      <xdr:rowOff>100852</xdr:rowOff>
    </xdr:to>
    <xdr:grpSp>
      <xdr:nvGrpSpPr>
        <xdr:cNvPr id="164" name="Group 163">
          <a:extLst>
            <a:ext uri="{FF2B5EF4-FFF2-40B4-BE49-F238E27FC236}">
              <a16:creationId xmlns:a16="http://schemas.microsoft.com/office/drawing/2014/main" id="{9A782BF0-6A99-54A2-CA78-C6A531278E83}"/>
            </a:ext>
          </a:extLst>
        </xdr:cNvPr>
        <xdr:cNvGrpSpPr>
          <a:grpSpLocks/>
        </xdr:cNvGrpSpPr>
      </xdr:nvGrpSpPr>
      <xdr:grpSpPr>
        <a:xfrm>
          <a:off x="5581650" y="18497550"/>
          <a:ext cx="14125575" cy="2209800"/>
          <a:chOff x="2398061" y="33135793"/>
          <a:chExt cx="14130615" cy="2207559"/>
        </a:xfrm>
      </xdr:grpSpPr>
      <xdr:sp>
        <xdr:nvSpPr>
          <xdr:cNvPr id="160" name="Rectangle 159">
            <a:extLst>
              <a:ext uri="{FF2B5EF4-FFF2-40B4-BE49-F238E27FC236}">
                <a16:creationId xmlns:a16="http://schemas.microsoft.com/office/drawing/2014/main" id="{0C63402E-5FA2-3C6D-6CFE-2827FA1562AA}"/>
              </a:ext>
            </a:extLst>
          </xdr:cNvPr>
          <xdr:cNvSpPr/>
        </xdr:nvSpPr>
        <xdr:spPr>
          <a:xfrm>
            <a:off x="2398061" y="33135793"/>
            <a:ext cx="14130615" cy="2207559"/>
          </a:xfrm>
          <a:prstGeom prst="rect"/>
          <a:solidFill>
            <a:schemeClr val="bg1">
              <a:lumMod val="9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pic>
        <xdr:nvPicPr>
          <xdr:cNvPr id="156" name="Picture 155">
            <a:extLst>
              <a:ext uri="{FF2B5EF4-FFF2-40B4-BE49-F238E27FC236}">
                <a16:creationId xmlns:a16="http://schemas.microsoft.com/office/drawing/2014/main" id="{56E0AD8B-AF0C-459D-9314-FF6B8A1861CE}"/>
              </a:ext>
            </a:extLst>
          </xdr:cNvPr>
          <xdr:cNvPicPr>
            <a:picLocks noChangeAspect="1"/>
          </xdr:cNvPicPr>
        </xdr:nvPicPr>
        <xdr:blipFill>
          <a:blip r:embed="rId3"/>
          <a:srcRect l="0" t="12928" r="0" b="0"/>
          <a:stretch>
            <a:fillRect/>
          </a:stretch>
        </xdr:blipFill>
        <xdr:spPr>
          <a:xfrm>
            <a:off x="2454089" y="33315088"/>
            <a:ext cx="13906499" cy="1947382"/>
          </a:xfrm>
          <a:prstGeom prst="rect"/>
          <a:ln>
            <a:solidFill>
              <a:schemeClr val="tx1">
                <a:lumMod val="40000"/>
                <a:lumOff val="60000"/>
              </a:schemeClr>
            </a:solidFill>
          </a:ln>
        </xdr:spPr>
      </xdr:pic>
      <xdr:sp>
        <xdr:nvSpPr>
          <xdr:cNvPr id="157" name="Rectangle 156">
            <a:extLst>
              <a:ext uri="{FF2B5EF4-FFF2-40B4-BE49-F238E27FC236}">
                <a16:creationId xmlns:a16="http://schemas.microsoft.com/office/drawing/2014/main" id="{AAE92438-D9DB-548F-36F8-C6AFECCFC7AE}"/>
              </a:ext>
            </a:extLst>
          </xdr:cNvPr>
          <xdr:cNvSpPr/>
        </xdr:nvSpPr>
        <xdr:spPr>
          <a:xfrm>
            <a:off x="2491787" y="33796940"/>
            <a:ext cx="4343802" cy="459443"/>
          </a:xfrm>
          <a:prstGeom prst="rect"/>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sp>
        <xdr:nvSpPr>
          <xdr:cNvPr id="158" name="Rectangle 157">
            <a:extLst>
              <a:ext uri="{FF2B5EF4-FFF2-40B4-BE49-F238E27FC236}">
                <a16:creationId xmlns:a16="http://schemas.microsoft.com/office/drawing/2014/main" id="{8BC9302B-49AF-B46A-ADEA-7C3C30EFD584}"/>
              </a:ext>
            </a:extLst>
          </xdr:cNvPr>
          <xdr:cNvSpPr/>
        </xdr:nvSpPr>
        <xdr:spPr>
          <a:xfrm>
            <a:off x="12420199" y="33795658"/>
            <a:ext cx="3929184" cy="471931"/>
          </a:xfrm>
          <a:prstGeom prst="rect"/>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grpSp>
    <xdr:clientData/>
  </xdr:twoCellAnchor>
  <xdr:twoCellAnchor>
    <xdr:from>
      <xdr:col>10</xdr:col>
      <xdr:colOff>381000</xdr:colOff>
      <xdr:row>27</xdr:row>
      <xdr:rowOff>33617</xdr:rowOff>
    </xdr:from>
    <xdr:to>
      <xdr:col>10</xdr:col>
      <xdr:colOff>625928</xdr:colOff>
      <xdr:row>28</xdr:row>
      <xdr:rowOff>88046</xdr:rowOff>
    </xdr:to>
    <xdr:sp>
      <xdr:nvSpPr>
        <xdr:cNvPr id="65" name="Oval 64">
          <a:extLst>
            <a:ext uri="{FF2B5EF4-FFF2-40B4-BE49-F238E27FC236}">
              <a16:creationId xmlns:a16="http://schemas.microsoft.com/office/drawing/2014/main" id="{250C6AEF-B3E9-4F03-A3D8-551882C95D21}"/>
            </a:ext>
          </a:extLst>
        </xdr:cNvPr>
        <xdr:cNvSpPr/>
      </xdr:nvSpPr>
      <xdr:spPr>
        <a:xfrm>
          <a:off x="10191750" y="5581650"/>
          <a:ext cx="247650" cy="247650"/>
        </a:xfrm>
        <a:prstGeom prst="ellipse"/>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GB" sz="1100" kern="1200">
              <a:solidFill>
                <a:schemeClr val="bg1"/>
              </a:solidFill>
            </a:rPr>
            <a:t>1</a:t>
          </a:r>
        </a:p>
      </xdr:txBody>
    </xdr:sp>
    <xdr:clientData/>
  </xdr:twoCellAnchor>
  <xdr:twoCellAnchor>
    <xdr:from>
      <xdr:col>10</xdr:col>
      <xdr:colOff>291354</xdr:colOff>
      <xdr:row>40</xdr:row>
      <xdr:rowOff>56030</xdr:rowOff>
    </xdr:from>
    <xdr:to>
      <xdr:col>10</xdr:col>
      <xdr:colOff>536282</xdr:colOff>
      <xdr:row>41</xdr:row>
      <xdr:rowOff>110459</xdr:rowOff>
    </xdr:to>
    <xdr:sp>
      <xdr:nvSpPr>
        <xdr:cNvPr id="89" name="Oval 88">
          <a:extLst>
            <a:ext uri="{FF2B5EF4-FFF2-40B4-BE49-F238E27FC236}">
              <a16:creationId xmlns:a16="http://schemas.microsoft.com/office/drawing/2014/main" id="{8E5B1F65-5419-49B2-9A35-FEDA24601F08}"/>
            </a:ext>
          </a:extLst>
        </xdr:cNvPr>
        <xdr:cNvSpPr/>
      </xdr:nvSpPr>
      <xdr:spPr>
        <a:xfrm>
          <a:off x="10106025" y="8077200"/>
          <a:ext cx="247650" cy="247650"/>
        </a:xfrm>
        <a:prstGeom prst="ellipse"/>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GB" sz="1100" kern="1200">
              <a:solidFill>
                <a:schemeClr val="bg1"/>
              </a:solidFill>
            </a:rPr>
            <a:t>2</a:t>
          </a: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18</xdr:col>
      <xdr:colOff>13608</xdr:colOff>
      <xdr:row>17</xdr:row>
      <xdr:rowOff>181695</xdr:rowOff>
    </xdr:from>
    <xdr:to>
      <xdr:col>20</xdr:col>
      <xdr:colOff>13608</xdr:colOff>
      <xdr:row>21</xdr:row>
      <xdr:rowOff>19211</xdr:rowOff>
    </xdr:to>
    <xdr:sp>
      <xdr:nvSpPr>
        <xdr:cNvPr id="118" name="Rectangle 9">
          <a:extLst>
            <a:ext uri="{FF2B5EF4-FFF2-40B4-BE49-F238E27FC236}">
              <a16:creationId xmlns:a16="http://schemas.microsoft.com/office/drawing/2014/main" id="{9EE0D4AB-BE43-4F76-A8B3-8395A8B8D461}"/>
            </a:ext>
          </a:extLst>
        </xdr:cNvPr>
        <xdr:cNvSpPr/>
      </xdr:nvSpPr>
      <xdr:spPr>
        <a:xfrm>
          <a:off x="1266825" y="4381500"/>
          <a:ext cx="7477125" cy="981075"/>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200" b="1" kern="1700" spc="0">
              <a:solidFill>
                <a:srgbClr val="000000"/>
              </a:solidFill>
            </a:rPr>
            <a:t>Task</a:t>
          </a:r>
          <a:r>
            <a:rPr lang="en-GB" sz="1200" b="0" kern="1700" spc="0">
              <a:solidFill>
                <a:srgbClr val="000000"/>
              </a:solidFill>
            </a:rPr>
            <a:t>: Please map the company P&amp;L account structure to CVC standard account structure.</a:t>
          </a:r>
        </a:p>
        <a:p>
          <a:pPr algn="l"/>
          <a:r>
            <a:rPr lang="en-GB" sz="1200" b="1" kern="1700" spc="0">
              <a:solidFill>
                <a:srgbClr val="000000"/>
              </a:solidFill>
            </a:rPr>
            <a:t>Column Y</a:t>
          </a:r>
          <a:r>
            <a:rPr lang="en-GB" sz="1200" b="0" kern="1700" spc="0">
              <a:solidFill>
                <a:srgbClr val="000000"/>
              </a:solidFill>
            </a:rPr>
            <a:t>: The placeholder for the company internal chart of accounts</a:t>
          </a:r>
          <a:r>
            <a:rPr lang="en-GB" sz="1200" b="0" kern="1700" spc="0" baseline="0">
              <a:solidFill>
                <a:srgbClr val="000000"/>
              </a:solidFill>
            </a:rPr>
            <a:t> </a:t>
          </a:r>
          <a:r>
            <a:rPr lang="en-GB" sz="1200" b="0" kern="1700" spc="0">
              <a:solidFill>
                <a:srgbClr val="000000"/>
              </a:solidFill>
            </a:rPr>
            <a:t>name.</a:t>
          </a:r>
        </a:p>
        <a:p>
          <a:pPr algn="l"/>
          <a:r>
            <a:rPr lang="en-GB" sz="1200" b="1" kern="1700" spc="0">
              <a:solidFill>
                <a:srgbClr val="000000"/>
              </a:solidFill>
            </a:rPr>
            <a:t>Column AB: </a:t>
          </a:r>
          <a:r>
            <a:rPr lang="en-GB" sz="1200" b="0" kern="1700" spc="0">
              <a:solidFill>
                <a:srgbClr val="000000"/>
              </a:solidFill>
            </a:rPr>
            <a:t>The placeholder for the CVC</a:t>
          </a:r>
          <a:r>
            <a:rPr lang="en-GB" sz="1200" b="0" kern="1700" spc="0" baseline="0">
              <a:solidFill>
                <a:srgbClr val="000000"/>
              </a:solidFill>
            </a:rPr>
            <a:t> P&amp;L standard used account name.</a:t>
          </a:r>
          <a:endParaRPr lang="en-GB" sz="1050" b="0" kern="1700" spc="0">
            <a:solidFill>
              <a:srgbClr val="000000"/>
            </a:solidFill>
          </a:endParaRPr>
        </a:p>
      </xdr:txBody>
    </xdr:sp>
    <xdr:clientData/>
  </xdr:twoCellAnchor>
  <xdr:twoCellAnchor>
    <xdr:from>
      <xdr:col>17</xdr:col>
      <xdr:colOff>190499</xdr:colOff>
      <xdr:row>162</xdr:row>
      <xdr:rowOff>0</xdr:rowOff>
    </xdr:from>
    <xdr:to>
      <xdr:col>19</xdr:col>
      <xdr:colOff>4538381</xdr:colOff>
      <xdr:row>164</xdr:row>
      <xdr:rowOff>0</xdr:rowOff>
    </xdr:to>
    <xdr:sp>
      <xdr:nvSpPr>
        <xdr:cNvPr id="227" name="Rectangle 21">
          <a:extLst>
            <a:ext uri="{FF2B5EF4-FFF2-40B4-BE49-F238E27FC236}">
              <a16:creationId xmlns:a16="http://schemas.microsoft.com/office/drawing/2014/main" id="{232A70A0-097B-452D-AB92-7BB4537582E9}"/>
            </a:ext>
          </a:extLst>
        </xdr:cNvPr>
        <xdr:cNvSpPr/>
      </xdr:nvSpPr>
      <xdr:spPr>
        <a:xfrm>
          <a:off x="1257300" y="44777025"/>
          <a:ext cx="7467600" cy="847725"/>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Top line</a:t>
          </a:r>
          <a:r>
            <a:rPr lang="en-GB" sz="1200" b="0" kern="1200" baseline="0">
              <a:solidFill>
                <a:srgbClr val="C00000"/>
              </a:solidFill>
            </a:rPr>
            <a:t> and earning metric growth to the Portfolio Committee (monthly) and externally to LPs (quarterly), we must ensure that these figures are not inflated by add-ons where their results are not included for a full 12 months in the comparative periods. </a:t>
          </a:r>
          <a:endParaRPr lang="en-GB" sz="1050" b="0" kern="1200">
            <a:solidFill>
              <a:srgbClr val="C00000"/>
            </a:solidFill>
          </a:endParaRPr>
        </a:p>
      </xdr:txBody>
    </xdr:sp>
    <xdr:clientData/>
  </xdr:twoCellAnchor>
  <xdr:twoCellAnchor>
    <xdr:from>
      <xdr:col>18</xdr:col>
      <xdr:colOff>0</xdr:colOff>
      <xdr:row>142</xdr:row>
      <xdr:rowOff>1</xdr:rowOff>
    </xdr:from>
    <xdr:to>
      <xdr:col>20</xdr:col>
      <xdr:colOff>0</xdr:colOff>
      <xdr:row>144</xdr:row>
      <xdr:rowOff>0</xdr:rowOff>
    </xdr:to>
    <xdr:sp>
      <xdr:nvSpPr>
        <xdr:cNvPr id="211" name="Rectangle 17">
          <a:extLst>
            <a:ext uri="{FF2B5EF4-FFF2-40B4-BE49-F238E27FC236}">
              <a16:creationId xmlns:a16="http://schemas.microsoft.com/office/drawing/2014/main" id="{52B7BC1A-9D0A-4671-8E14-F7AA37FA56FF}"/>
            </a:ext>
          </a:extLst>
        </xdr:cNvPr>
        <xdr:cNvSpPr/>
      </xdr:nvSpPr>
      <xdr:spPr>
        <a:xfrm>
          <a:off x="1257300" y="38252400"/>
          <a:ext cx="7477125" cy="4381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6: Provide Like for Like Revenue and Adjusted EBITDA (REQUIRED)</a:t>
          </a:r>
          <a:endParaRPr lang="en-GB" sz="1200" b="1" kern="1200">
            <a:solidFill>
              <a:srgbClr val="000000"/>
            </a:solidFill>
          </a:endParaRPr>
        </a:p>
      </xdr:txBody>
    </xdr:sp>
    <xdr:clientData/>
  </xdr:twoCellAnchor>
  <xdr:twoCellAnchor>
    <xdr:from>
      <xdr:col>18</xdr:col>
      <xdr:colOff>0</xdr:colOff>
      <xdr:row>145</xdr:row>
      <xdr:rowOff>0</xdr:rowOff>
    </xdr:from>
    <xdr:to>
      <xdr:col>20</xdr:col>
      <xdr:colOff>0</xdr:colOff>
      <xdr:row>148</xdr:row>
      <xdr:rowOff>380999</xdr:rowOff>
    </xdr:to>
    <xdr:sp>
      <xdr:nvSpPr>
        <xdr:cNvPr id="212" name="Rectangle 19">
          <a:extLst>
            <a:ext uri="{FF2B5EF4-FFF2-40B4-BE49-F238E27FC236}">
              <a16:creationId xmlns:a16="http://schemas.microsoft.com/office/drawing/2014/main" id="{B5CEE258-1EE5-46AC-9027-1BEB25B22119}"/>
            </a:ext>
          </a:extLst>
        </xdr:cNvPr>
        <xdr:cNvSpPr/>
      </xdr:nvSpPr>
      <xdr:spPr>
        <a:xfrm>
          <a:off x="1257300" y="39081075"/>
          <a:ext cx="7477125" cy="1619250"/>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1" kern="1700" spc="0">
              <a:solidFill>
                <a:srgbClr val="000000"/>
              </a:solidFill>
            </a:rPr>
            <a:t>Task</a:t>
          </a:r>
          <a:r>
            <a:rPr lang="en-GB" sz="1200" b="0" kern="1700" spc="0">
              <a:solidFill>
                <a:srgbClr val="000000"/>
              </a:solidFill>
            </a:rPr>
            <a:t>: Please populate the section Like-for-Like Adjustments by providing at least two items: an adjustment for your </a:t>
          </a:r>
          <a:r>
            <a:rPr lang="en-GB" sz="1200" b="1" kern="1700" spc="0">
              <a:solidFill>
                <a:srgbClr val="000000"/>
              </a:solidFill>
            </a:rPr>
            <a:t>top line figure (e.g. Revenue)</a:t>
          </a:r>
          <a:r>
            <a:rPr lang="en-GB" sz="1200" b="0" kern="1700" spc="0">
              <a:solidFill>
                <a:srgbClr val="000000"/>
              </a:solidFill>
            </a:rPr>
            <a:t> and an adjustment for your </a:t>
          </a:r>
          <a:r>
            <a:rPr lang="en-GB" sz="1200" b="1" kern="1700" spc="0">
              <a:solidFill>
                <a:srgbClr val="000000"/>
              </a:solidFill>
            </a:rPr>
            <a:t>Earning metric (e.g. Adjusted EBITDA or another relevant metric)</a:t>
          </a:r>
          <a:r>
            <a:rPr lang="en-GB" sz="1200" b="0" kern="1700" spc="0">
              <a:solidFill>
                <a:srgbClr val="000000"/>
              </a:solidFill>
            </a:rPr>
            <a:t>. </a:t>
          </a:r>
        </a:p>
        <a:p>
          <a:pPr algn="l"/>
          <a:endParaRPr lang="en-GB" sz="1200" b="0" kern="1700" spc="0">
            <a:solidFill>
              <a:srgbClr val="000000"/>
            </a:solidFill>
          </a:endParaRPr>
        </a:p>
        <a:p>
          <a:pPr algn="l"/>
          <a:r>
            <a:rPr lang="en-GB" sz="1200" b="0" kern="1700" spc="0">
              <a:solidFill>
                <a:srgbClr val="000000"/>
              </a:solidFill>
            </a:rPr>
            <a:t>When selecting the metric to adjust, use the options available in the dropdown list. If the metric you need is not included, please contact the Portfolio Monitoring (PM) team, who will ensure the correct metric is added.</a:t>
          </a:r>
        </a:p>
        <a:p>
          <a:pPr algn="l"/>
          <a:endParaRPr lang="en-GB" sz="1200" b="1" kern="1700" spc="0" baseline="0">
            <a:solidFill>
              <a:srgbClr val="000000"/>
            </a:solidFill>
          </a:endParaRPr>
        </a:p>
        <a:p>
          <a:pPr algn="l"/>
          <a:r>
            <a:rPr lang="en-GB" sz="1200" b="1" kern="1700" spc="0" baseline="0">
              <a:solidFill>
                <a:srgbClr val="000000"/>
              </a:solidFill>
            </a:rPr>
            <a:t>Objective:</a:t>
          </a:r>
          <a:r>
            <a:rPr lang="en-GB" sz="1200" b="0" kern="1700" spc="0" baseline="0">
              <a:solidFill>
                <a:srgbClr val="000000"/>
              </a:solidFill>
            </a:rPr>
            <a:t> </a:t>
          </a:r>
        </a:p>
        <a:p>
          <a:pPr algn="l"/>
          <a:r>
            <a:rPr lang="en-GB" sz="1200" b="0" kern="1700" spc="0" baseline="0">
              <a:solidFill>
                <a:srgbClr val="000000"/>
              </a:solidFill>
            </a:rPr>
            <a:t>Adjusted figures are used to support momentum analysis. To ensure accuracy, the analysis must always be performed on a consistent perimeter, especially in cases of acquisitions or divestments. Pre-acquisition P&amp;L financials for all add-ons should therefore be included in the historical monthly data, so that growth rates are consistently calculated on a like-for-like basis.</a:t>
          </a:r>
        </a:p>
        <a:p>
          <a:pPr algn="l"/>
          <a:endParaRPr lang="en-GB" sz="1200" b="0" kern="1700" spc="0" baseline="0">
            <a:solidFill>
              <a:srgbClr val="000000"/>
            </a:solidFill>
          </a:endParaRPr>
        </a:p>
        <a:p>
          <a:pPr algn="l"/>
          <a:r>
            <a:rPr lang="en-GB" sz="1200" b="0" kern="1700" spc="0" baseline="0">
              <a:solidFill>
                <a:srgbClr val="000000"/>
              </a:solidFill>
            </a:rPr>
            <a:t>In addition, when reporting Revenue and EBITDA </a:t>
          </a:r>
          <a:endParaRPr lang="en-GB" sz="1400">
            <a:solidFill>
              <a:srgbClr val="000000"/>
            </a:solidFill>
            <a:effectLst/>
          </a:endParaRPr>
        </a:p>
        <a:p>
          <a:r>
            <a:rPr lang="en-GB" sz="1200" b="0">
              <a:solidFill>
                <a:srgbClr val="000000"/>
              </a:solidFill>
              <a:effectLst/>
              <a:latin typeface="+mn-lt"/>
              <a:ea typeface="+mn-ea"/>
              <a:cs typeface="+mn-cs"/>
            </a:rPr>
            <a:t>If needed, the Portfolio Monitoring (PM) team may add an additional block to track other metrics on a like-for-like basis.</a:t>
          </a:r>
          <a:endParaRPr lang="en-GB" sz="1400">
            <a:solidFill>
              <a:srgbClr val="000000"/>
            </a:solidFill>
            <a:effectLst/>
          </a:endParaRPr>
        </a:p>
        <a:p>
          <a:pPr algn="l"/>
          <a:endParaRPr lang="en-GB" sz="1200" b="0" kern="1700" spc="0" baseline="0">
            <a:solidFill>
              <a:srgbClr val="000000"/>
            </a:solidFill>
          </a:endParaRPr>
        </a:p>
      </xdr:txBody>
    </xdr:sp>
    <xdr:clientData/>
  </xdr:twoCellAnchor>
  <xdr:twoCellAnchor>
    <xdr:from>
      <xdr:col>17</xdr:col>
      <xdr:colOff>163286</xdr:colOff>
      <xdr:row>186</xdr:row>
      <xdr:rowOff>2290</xdr:rowOff>
    </xdr:from>
    <xdr:to>
      <xdr:col>20</xdr:col>
      <xdr:colOff>13607</xdr:colOff>
      <xdr:row>188</xdr:row>
      <xdr:rowOff>13608</xdr:rowOff>
    </xdr:to>
    <xdr:sp>
      <xdr:nvSpPr>
        <xdr:cNvPr id="225" name="Rectangle 22">
          <a:extLst>
            <a:ext uri="{FF2B5EF4-FFF2-40B4-BE49-F238E27FC236}">
              <a16:creationId xmlns:a16="http://schemas.microsoft.com/office/drawing/2014/main" id="{6A31F52B-89CC-4266-B60D-049225635C50}"/>
            </a:ext>
          </a:extLst>
        </xdr:cNvPr>
        <xdr:cNvSpPr/>
      </xdr:nvSpPr>
      <xdr:spPr>
        <a:xfrm>
          <a:off x="1257300" y="52425600"/>
          <a:ext cx="7486650" cy="46672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7: Provide segment breakdown (OPTIONAL)</a:t>
          </a:r>
          <a:endParaRPr lang="en-GB" sz="1200" b="1" kern="1200">
            <a:solidFill>
              <a:srgbClr val="000000"/>
            </a:solidFill>
          </a:endParaRPr>
        </a:p>
      </xdr:txBody>
    </xdr:sp>
    <xdr:clientData/>
  </xdr:twoCellAnchor>
  <xdr:twoCellAnchor>
    <xdr:from>
      <xdr:col>18</xdr:col>
      <xdr:colOff>0</xdr:colOff>
      <xdr:row>189</xdr:row>
      <xdr:rowOff>0</xdr:rowOff>
    </xdr:from>
    <xdr:to>
      <xdr:col>20</xdr:col>
      <xdr:colOff>0</xdr:colOff>
      <xdr:row>192</xdr:row>
      <xdr:rowOff>136071</xdr:rowOff>
    </xdr:to>
    <xdr:sp>
      <xdr:nvSpPr>
        <xdr:cNvPr id="235" name="Rectangle 23">
          <a:extLst>
            <a:ext uri="{FF2B5EF4-FFF2-40B4-BE49-F238E27FC236}">
              <a16:creationId xmlns:a16="http://schemas.microsoft.com/office/drawing/2014/main" id="{C93A1981-695C-4DB1-B103-919F29BE667B}"/>
            </a:ext>
          </a:extLst>
        </xdr:cNvPr>
        <xdr:cNvSpPr/>
      </xdr:nvSpPr>
      <xdr:spPr>
        <a:xfrm>
          <a:off x="1257300" y="53273325"/>
          <a:ext cx="7477125" cy="1057275"/>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1" kern="1700" spc="0">
              <a:solidFill>
                <a:srgbClr val="000000"/>
              </a:solidFill>
            </a:rPr>
            <a:t>Task</a:t>
          </a:r>
          <a:r>
            <a:rPr lang="en-GB" sz="1200" b="0" kern="1700" spc="0">
              <a:solidFill>
                <a:srgbClr val="000000"/>
              </a:solidFill>
            </a:rPr>
            <a:t>: This</a:t>
          </a:r>
          <a:r>
            <a:rPr lang="en-GB" sz="1200" b="0" kern="1700" spc="0" baseline="0">
              <a:solidFill>
                <a:srgbClr val="000000"/>
              </a:solidFill>
            </a:rPr>
            <a:t> section is used to capture a detailed breakdown of key financial metrics</a:t>
          </a:r>
          <a:endParaRPr lang="en-GB" sz="1200" b="0" kern="1700" spc="0">
            <a:solidFill>
              <a:srgbClr val="000000"/>
            </a:solidFill>
          </a:endParaRPr>
        </a:p>
        <a:p>
          <a:pPr algn="l"/>
          <a:endParaRPr lang="en-GB" sz="1200" b="0" kern="1700" spc="0" baseline="0">
            <a:solidFill>
              <a:srgbClr val="000000"/>
            </a:solidFill>
          </a:endParaRPr>
        </a:p>
        <a:p>
          <a:pPr algn="l"/>
          <a:r>
            <a:rPr lang="en-GB" sz="1200" b="0" kern="1700" spc="0" baseline="0">
              <a:solidFill>
                <a:srgbClr val="000000"/>
              </a:solidFill>
            </a:rPr>
            <a:t>The purpose of this breakdown is to provide greater granularity and insight into performance drivers across:</a:t>
          </a:r>
        </a:p>
        <a:p>
          <a:pPr algn="l"/>
          <a:endParaRPr lang="en-GB" sz="1200" b="0" kern="1700" spc="0" baseline="0">
            <a:solidFill>
              <a:srgbClr val="000000"/>
            </a:solidFill>
          </a:endParaRPr>
        </a:p>
        <a:p>
          <a:pPr algn="l"/>
          <a:r>
            <a:rPr lang="en-GB" sz="1200" b="0" kern="1700" spc="0" baseline="0">
              <a:solidFill>
                <a:srgbClr val="000000"/>
              </a:solidFill>
            </a:rPr>
            <a:t>- Business Segment/Divisions (e.g., product lines, service categories)</a:t>
          </a:r>
        </a:p>
        <a:p>
          <a:pPr algn="l"/>
          <a:r>
            <a:rPr lang="en-GB" sz="1200" b="0" kern="1700" spc="0" baseline="0">
              <a:solidFill>
                <a:srgbClr val="000000"/>
              </a:solidFill>
            </a:rPr>
            <a:t>- Grographies (e.g., regions, countries)</a:t>
          </a:r>
        </a:p>
        <a:p>
          <a:pPr algn="l"/>
          <a:endParaRPr lang="en-GB" sz="1200" b="1" kern="1700" spc="0" baseline="0">
            <a:solidFill>
              <a:srgbClr val="000000"/>
            </a:solidFill>
          </a:endParaRPr>
        </a:p>
      </xdr:txBody>
    </xdr:sp>
    <xdr:clientData/>
  </xdr:twoCellAnchor>
  <xdr:twoCellAnchor>
    <xdr:from>
      <xdr:col>17</xdr:col>
      <xdr:colOff>190499</xdr:colOff>
      <xdr:row>158</xdr:row>
      <xdr:rowOff>95483</xdr:rowOff>
    </xdr:from>
    <xdr:to>
      <xdr:col>20</xdr:col>
      <xdr:colOff>0</xdr:colOff>
      <xdr:row>161</xdr:row>
      <xdr:rowOff>0</xdr:rowOff>
    </xdr:to>
    <xdr:sp>
      <xdr:nvSpPr>
        <xdr:cNvPr id="228" name="Rectangle 21">
          <a:extLst>
            <a:ext uri="{FF2B5EF4-FFF2-40B4-BE49-F238E27FC236}">
              <a16:creationId xmlns:a16="http://schemas.microsoft.com/office/drawing/2014/main" id="{1BE7509E-A119-FB1E-1FC5-0E73154D374D}"/>
            </a:ext>
          </a:extLst>
        </xdr:cNvPr>
        <xdr:cNvSpPr/>
      </xdr:nvSpPr>
      <xdr:spPr>
        <a:xfrm>
          <a:off x="1257300" y="43243500"/>
          <a:ext cx="7477125" cy="952500"/>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Any adjustment in the Like-for-Like section should reflect only changes in perimeter or accounting policy. Please select the appropriate adjustment from the provided list.</a:t>
          </a:r>
          <a:endParaRPr lang="en-GB" sz="1050" b="0" kern="1200">
            <a:solidFill>
              <a:srgbClr val="C00000"/>
            </a:solidFill>
          </a:endParaRPr>
        </a:p>
      </xdr:txBody>
    </xdr:sp>
    <xdr:clientData/>
  </xdr:twoCellAnchor>
  <xdr:twoCellAnchor>
    <xdr:from>
      <xdr:col>18</xdr:col>
      <xdr:colOff>0</xdr:colOff>
      <xdr:row>16</xdr:row>
      <xdr:rowOff>0</xdr:rowOff>
    </xdr:from>
    <xdr:to>
      <xdr:col>20</xdr:col>
      <xdr:colOff>0</xdr:colOff>
      <xdr:row>18</xdr:row>
      <xdr:rowOff>0</xdr:rowOff>
    </xdr:to>
    <xdr:sp>
      <xdr:nvSpPr>
        <xdr:cNvPr id="82" name="Rectangle 2">
          <a:extLst>
            <a:ext uri="{FF2B5EF4-FFF2-40B4-BE49-F238E27FC236}">
              <a16:creationId xmlns:a16="http://schemas.microsoft.com/office/drawing/2014/main" id="{D45EE017-912B-4674-A4A6-AAF7DA6D071D}"/>
            </a:ext>
          </a:extLst>
        </xdr:cNvPr>
        <xdr:cNvSpPr/>
      </xdr:nvSpPr>
      <xdr:spPr>
        <a:xfrm>
          <a:off x="1257300" y="3943350"/>
          <a:ext cx="7477125" cy="5143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Map Company P&amp;L Accounts to CVC Accounts</a:t>
          </a:r>
          <a:r>
            <a:rPr lang="en-GB" sz="1600" b="1" kern="1200">
              <a:solidFill>
                <a:srgbClr val="000000"/>
              </a:solidFill>
            </a:rPr>
            <a:t> (REQUIRED)</a:t>
          </a:r>
          <a:endParaRPr lang="en-GB" sz="1200" b="1" kern="1200">
            <a:solidFill>
              <a:srgbClr val="000000"/>
            </a:solidFill>
          </a:endParaRPr>
        </a:p>
      </xdr:txBody>
    </xdr:sp>
    <xdr:clientData/>
  </xdr:twoCellAnchor>
  <xdr:twoCellAnchor>
    <xdr:from>
      <xdr:col>18</xdr:col>
      <xdr:colOff>27214</xdr:colOff>
      <xdr:row>23</xdr:row>
      <xdr:rowOff>212911</xdr:rowOff>
    </xdr:from>
    <xdr:to>
      <xdr:col>20</xdr:col>
      <xdr:colOff>27214</xdr:colOff>
      <xdr:row>26</xdr:row>
      <xdr:rowOff>158483</xdr:rowOff>
    </xdr:to>
    <xdr:sp>
      <xdr:nvSpPr>
        <xdr:cNvPr id="169" name="Rectangle 78">
          <a:extLst>
            <a:ext uri="{FF2B5EF4-FFF2-40B4-BE49-F238E27FC236}">
              <a16:creationId xmlns:a16="http://schemas.microsoft.com/office/drawing/2014/main" id="{2A163CA9-E4D6-4F8C-9FA3-39041BACE733}"/>
            </a:ext>
          </a:extLst>
        </xdr:cNvPr>
        <xdr:cNvSpPr/>
      </xdr:nvSpPr>
      <xdr:spPr>
        <a:xfrm>
          <a:off x="1285875" y="6086475"/>
          <a:ext cx="7477125" cy="7429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Review past data and provide latest month actual P&amp;L data (REQUIRED)</a:t>
          </a:r>
          <a:endParaRPr lang="en-GB" sz="1200" b="1" kern="1200">
            <a:solidFill>
              <a:srgbClr val="000000"/>
            </a:solidFill>
          </a:endParaRPr>
        </a:p>
      </xdr:txBody>
    </xdr:sp>
    <xdr:clientData/>
  </xdr:twoCellAnchor>
  <xdr:twoCellAnchor>
    <xdr:from>
      <xdr:col>18</xdr:col>
      <xdr:colOff>1</xdr:colOff>
      <xdr:row>27</xdr:row>
      <xdr:rowOff>29152</xdr:rowOff>
    </xdr:from>
    <xdr:to>
      <xdr:col>19</xdr:col>
      <xdr:colOff>4435929</xdr:colOff>
      <xdr:row>29</xdr:row>
      <xdr:rowOff>70435</xdr:rowOff>
    </xdr:to>
    <xdr:sp>
      <xdr:nvSpPr>
        <xdr:cNvPr id="170" name="Rectangle 79">
          <a:extLst>
            <a:ext uri="{FF2B5EF4-FFF2-40B4-BE49-F238E27FC236}">
              <a16:creationId xmlns:a16="http://schemas.microsoft.com/office/drawing/2014/main" id="{AFA7028A-FE63-471A-B878-23520BDCFCAD}"/>
            </a:ext>
          </a:extLst>
        </xdr:cNvPr>
        <xdr:cNvSpPr/>
      </xdr:nvSpPr>
      <xdr:spPr>
        <a:xfrm>
          <a:off x="1257300" y="6972300"/>
          <a:ext cx="7372350" cy="571500"/>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200" b="1" kern="1700" spc="0">
              <a:solidFill>
                <a:srgbClr val="000000"/>
              </a:solidFill>
            </a:rPr>
            <a:t>Task</a:t>
          </a:r>
          <a:r>
            <a:rPr lang="en-GB" sz="1200" b="0" kern="1700" spc="0">
              <a:solidFill>
                <a:srgbClr val="000000"/>
              </a:solidFill>
            </a:rPr>
            <a:t>: Please review past data and provide the latest month's data in the last column. (Column BN)</a:t>
          </a:r>
        </a:p>
        <a:p>
          <a:pPr algn="l"/>
          <a:r>
            <a:rPr lang="en-GB" sz="1200" b="1" kern="1700" spc="0">
              <a:solidFill>
                <a:srgbClr val="000000"/>
              </a:solidFill>
            </a:rPr>
            <a:t>Column AD-BN</a:t>
          </a:r>
          <a:r>
            <a:rPr lang="en-GB" sz="1200" b="0" kern="1700" spc="0">
              <a:solidFill>
                <a:srgbClr val="000000"/>
              </a:solidFill>
            </a:rPr>
            <a:t>: The column contains historical monthly P&amp;L data; all 36 months must be provided</a:t>
          </a:r>
        </a:p>
        <a:p>
          <a:pPr algn="l"/>
          <a:r>
            <a:rPr lang="en-GB" sz="1200" b="1" kern="1700" spc="0">
              <a:solidFill>
                <a:srgbClr val="000000"/>
              </a:solidFill>
            </a:rPr>
            <a:t>Column BR - BY: </a:t>
          </a:r>
          <a:r>
            <a:rPr lang="en-GB" sz="1200" b="0" kern="1700" spc="0">
              <a:solidFill>
                <a:srgbClr val="000000"/>
              </a:solidFill>
            </a:rPr>
            <a:t>Formula-driven outputs based on monthly data; please review for accuracy.</a:t>
          </a:r>
          <a:endParaRPr lang="en-GB" sz="1050" b="0" kern="1700" spc="0">
            <a:solidFill>
              <a:srgbClr val="000000"/>
            </a:solidFill>
          </a:endParaRPr>
        </a:p>
      </xdr:txBody>
    </xdr:sp>
    <xdr:clientData/>
  </xdr:twoCellAnchor>
  <xdr:twoCellAnchor>
    <xdr:from>
      <xdr:col>18</xdr:col>
      <xdr:colOff>0</xdr:colOff>
      <xdr:row>74</xdr:row>
      <xdr:rowOff>0</xdr:rowOff>
    </xdr:from>
    <xdr:to>
      <xdr:col>20</xdr:col>
      <xdr:colOff>0</xdr:colOff>
      <xdr:row>81</xdr:row>
      <xdr:rowOff>0</xdr:rowOff>
    </xdr:to>
    <xdr:sp>
      <xdr:nvSpPr>
        <xdr:cNvPr id="194" name="Rectangle 21">
          <a:extLst>
            <a:ext uri="{FF2B5EF4-FFF2-40B4-BE49-F238E27FC236}">
              <a16:creationId xmlns:a16="http://schemas.microsoft.com/office/drawing/2014/main" id="{5A657447-8FFA-4B16-91B2-8E83C4F81093}"/>
            </a:ext>
          </a:extLst>
        </xdr:cNvPr>
        <xdr:cNvSpPr/>
      </xdr:nvSpPr>
      <xdr:spPr>
        <a:xfrm>
          <a:off x="1257300" y="19507200"/>
          <a:ext cx="7477125" cy="1990725"/>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1" kern="1700" spc="0">
              <a:solidFill>
                <a:srgbClr val="000000"/>
              </a:solidFill>
            </a:rPr>
            <a:t>Task</a:t>
          </a:r>
          <a:r>
            <a:rPr lang="en-GB" sz="1200" b="0" kern="1700" spc="0">
              <a:solidFill>
                <a:srgbClr val="000000"/>
              </a:solidFill>
            </a:rPr>
            <a:t>: Please provide monthly budget data. Reported figures must remain consistent with the initial budget and should not be restated retrospectively. In the event of a significant development requiring a reforecast, the revised budget should be applied prospectively only, beginning with the month in which the event occurs and its impact is expected to be reflected in the actual results.</a:t>
          </a:r>
        </a:p>
        <a:p>
          <a:pPr algn="l"/>
          <a:endParaRPr lang="en-GB" sz="1200" b="0" kern="1700" spc="0" baseline="0">
            <a:solidFill>
              <a:srgbClr val="000000"/>
            </a:solidFill>
          </a:endParaRPr>
        </a:p>
        <a:p>
          <a:pPr algn="l"/>
          <a:r>
            <a:rPr lang="en-GB" sz="1200" b="1" kern="1700" spc="0" baseline="0">
              <a:solidFill>
                <a:srgbClr val="000000"/>
              </a:solidFill>
            </a:rPr>
            <a:t>Example:</a:t>
          </a:r>
          <a:r>
            <a:rPr lang="en-GB" sz="1200" b="0" kern="1700" spc="0" baseline="0">
              <a:solidFill>
                <a:srgbClr val="000000"/>
              </a:solidFill>
            </a:rPr>
            <a:t>  If an acquisition closes in March 2025 and was not included in the original budget, the monthly budget figures should incorporate the new perimeter starting in April 2025. Actual results would also be expected to reflect the new perimeter from April 2025 onward. For the period January through March 2025, both budget and actual figures should remain aligned with the pre-acquisition perimeter.</a:t>
          </a:r>
          <a:endParaRPr lang="en-GB" sz="1200" b="0" kern="1700" spc="0">
            <a:solidFill>
              <a:srgbClr val="000000"/>
            </a:solidFill>
          </a:endParaRPr>
        </a:p>
      </xdr:txBody>
    </xdr:sp>
    <xdr:clientData/>
  </xdr:twoCellAnchor>
  <xdr:twoCellAnchor>
    <xdr:from>
      <xdr:col>18</xdr:col>
      <xdr:colOff>0</xdr:colOff>
      <xdr:row>86</xdr:row>
      <xdr:rowOff>0</xdr:rowOff>
    </xdr:from>
    <xdr:to>
      <xdr:col>20</xdr:col>
      <xdr:colOff>0</xdr:colOff>
      <xdr:row>88</xdr:row>
      <xdr:rowOff>0</xdr:rowOff>
    </xdr:to>
    <xdr:sp>
      <xdr:nvSpPr>
        <xdr:cNvPr id="195" name="Rectangle 82">
          <a:extLst>
            <a:ext uri="{FF2B5EF4-FFF2-40B4-BE49-F238E27FC236}">
              <a16:creationId xmlns:a16="http://schemas.microsoft.com/office/drawing/2014/main" id="{7281F916-6311-450F-B833-5BB10A8BB8E1}"/>
            </a:ext>
          </a:extLst>
        </xdr:cNvPr>
        <xdr:cNvSpPr/>
      </xdr:nvSpPr>
      <xdr:spPr>
        <a:xfrm>
          <a:off x="1257300" y="22831425"/>
          <a:ext cx="7477125" cy="533400"/>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M&amp;A activity should be excluded from the initial budget unless explicitly required by strategy.</a:t>
          </a:r>
          <a:endParaRPr lang="en-GB" sz="1050" b="0" kern="1200">
            <a:solidFill>
              <a:srgbClr val="C00000"/>
            </a:solidFill>
          </a:endParaRPr>
        </a:p>
      </xdr:txBody>
    </xdr:sp>
    <xdr:clientData/>
  </xdr:twoCellAnchor>
  <xdr:twoCellAnchor>
    <xdr:from>
      <xdr:col>18</xdr:col>
      <xdr:colOff>0</xdr:colOff>
      <xdr:row>29</xdr:row>
      <xdr:rowOff>179294</xdr:rowOff>
    </xdr:from>
    <xdr:to>
      <xdr:col>19</xdr:col>
      <xdr:colOff>4503965</xdr:colOff>
      <xdr:row>33</xdr:row>
      <xdr:rowOff>224118</xdr:rowOff>
    </xdr:to>
    <xdr:sp>
      <xdr:nvSpPr>
        <xdr:cNvPr id="171" name="Rectangle 83">
          <a:extLst>
            <a:ext uri="{FF2B5EF4-FFF2-40B4-BE49-F238E27FC236}">
              <a16:creationId xmlns:a16="http://schemas.microsoft.com/office/drawing/2014/main" id="{4EC11E2E-54EA-4730-A93B-EC81A9D93F93}"/>
            </a:ext>
          </a:extLst>
        </xdr:cNvPr>
        <xdr:cNvSpPr/>
      </xdr:nvSpPr>
      <xdr:spPr>
        <a:xfrm>
          <a:off x="1257300" y="7658100"/>
          <a:ext cx="7439025" cy="1114425"/>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EBITDA adjustments can be selected from the dropdown list. These adjustments should relate only to extraordinary items within the reported perimeter. Any adjustments reflecting changes in perimeter or accounting policy must instead be captured in the like-for-like analysis. Please ensure no</a:t>
          </a:r>
          <a:r>
            <a:rPr lang="en-GB" sz="1200" b="0" kern="1200" baseline="0">
              <a:solidFill>
                <a:srgbClr val="C00000"/>
              </a:solidFill>
            </a:rPr>
            <a:t> duplicated qadjustment headings are used in this section.</a:t>
          </a:r>
          <a:endParaRPr lang="en-GB" sz="1050" b="0" kern="1200">
            <a:solidFill>
              <a:srgbClr val="C00000"/>
            </a:solidFill>
          </a:endParaRPr>
        </a:p>
      </xdr:txBody>
    </xdr:sp>
    <xdr:clientData/>
  </xdr:twoCellAnchor>
  <xdr:twoCellAnchor>
    <xdr:from>
      <xdr:col>18</xdr:col>
      <xdr:colOff>1</xdr:colOff>
      <xdr:row>20</xdr:row>
      <xdr:rowOff>215650</xdr:rowOff>
    </xdr:from>
    <xdr:to>
      <xdr:col>20</xdr:col>
      <xdr:colOff>1</xdr:colOff>
      <xdr:row>23</xdr:row>
      <xdr:rowOff>134470</xdr:rowOff>
    </xdr:to>
    <xdr:sp>
      <xdr:nvSpPr>
        <xdr:cNvPr id="162" name="Rectangle 85">
          <a:extLst>
            <a:ext uri="{FF2B5EF4-FFF2-40B4-BE49-F238E27FC236}">
              <a16:creationId xmlns:a16="http://schemas.microsoft.com/office/drawing/2014/main" id="{101733E4-CC14-4C1D-AD1A-9AABD9EACAA7}"/>
            </a:ext>
          </a:extLst>
        </xdr:cNvPr>
        <xdr:cNvSpPr/>
      </xdr:nvSpPr>
      <xdr:spPr>
        <a:xfrm>
          <a:off x="1257300" y="5295900"/>
          <a:ext cx="7477125" cy="714375"/>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It</a:t>
          </a:r>
          <a:r>
            <a:rPr lang="en-GB" sz="1200" b="0" kern="1200" baseline="0">
              <a:solidFill>
                <a:srgbClr val="C00000"/>
              </a:solidFill>
            </a:rPr>
            <a:t> is required that all company accounts must be mapped to a valid CVC account</a:t>
          </a:r>
          <a:endParaRPr lang="en-GB" sz="1050" b="0" kern="1200">
            <a:solidFill>
              <a:srgbClr val="C00000"/>
            </a:solidFill>
          </a:endParaRPr>
        </a:p>
      </xdr:txBody>
    </xdr:sp>
    <xdr:clientData/>
  </xdr:twoCellAnchor>
  <xdr:twoCellAnchor>
    <xdr:from>
      <xdr:col>17</xdr:col>
      <xdr:colOff>119223</xdr:colOff>
      <xdr:row>34</xdr:row>
      <xdr:rowOff>56030</xdr:rowOff>
    </xdr:from>
    <xdr:to>
      <xdr:col>20</xdr:col>
      <xdr:colOff>0</xdr:colOff>
      <xdr:row>41</xdr:row>
      <xdr:rowOff>89648</xdr:rowOff>
    </xdr:to>
    <xdr:sp>
      <xdr:nvSpPr>
        <xdr:cNvPr id="174" name="Rectangle 79">
          <a:extLst>
            <a:ext uri="{FF2B5EF4-FFF2-40B4-BE49-F238E27FC236}">
              <a16:creationId xmlns:a16="http://schemas.microsoft.com/office/drawing/2014/main" id="{05E00D2D-04B5-4034-AAEF-B894A1C3F8FD}"/>
            </a:ext>
          </a:extLst>
        </xdr:cNvPr>
        <xdr:cNvSpPr/>
      </xdr:nvSpPr>
      <xdr:spPr>
        <a:xfrm>
          <a:off x="1257300" y="8867775"/>
          <a:ext cx="7477125" cy="1905000"/>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1" kern="1700" spc="0">
              <a:solidFill>
                <a:srgbClr val="000000"/>
              </a:solidFill>
            </a:rPr>
            <a:t>Task</a:t>
          </a:r>
          <a:r>
            <a:rPr lang="en-GB" sz="1200" b="0" kern="1700" spc="0">
              <a:solidFill>
                <a:srgbClr val="000000"/>
              </a:solidFill>
            </a:rPr>
            <a:t>:  Please</a:t>
          </a:r>
          <a:r>
            <a:rPr lang="en-GB" sz="1200" b="0" kern="1700" spc="0" baseline="0">
              <a:solidFill>
                <a:srgbClr val="000000"/>
              </a:solidFill>
            </a:rPr>
            <a:t> a</a:t>
          </a:r>
          <a:r>
            <a:rPr lang="en-GB" sz="1200" b="0" kern="1700" spc="0">
              <a:solidFill>
                <a:srgbClr val="000000"/>
              </a:solidFill>
            </a:rPr>
            <a:t>dd the current full financial </a:t>
          </a:r>
          <a:r>
            <a:rPr lang="en-GB" sz="1200" b="0" kern="1700" spc="0">
              <a:solidFill>
                <a:srgbClr val="000000"/>
              </a:solidFill>
              <a:latin typeface="+mn-lt"/>
              <a:ea typeface="+mn-ea"/>
              <a:cs typeface="+mn-cs"/>
            </a:rPr>
            <a:t>year budget (and latest full financial year forecast as the budget is updated through the year) in the rightmost columns. </a:t>
          </a:r>
        </a:p>
        <a:p>
          <a:pPr algn="l"/>
          <a:endParaRPr lang="en-GB" sz="1200" b="0" kern="1700" spc="0">
            <a:solidFill>
              <a:srgbClr val="000000"/>
            </a:solidFill>
            <a:latin typeface="+mn-lt"/>
            <a:ea typeface="+mn-ea"/>
            <a:cs typeface="+mn-cs"/>
          </a:endParaRPr>
        </a:p>
        <a:p>
          <a:pPr algn="l"/>
          <a:r>
            <a:rPr lang="en-GB" sz="1200" b="0" kern="1700" spc="0">
              <a:solidFill>
                <a:srgbClr val="000000"/>
              </a:solidFill>
              <a:latin typeface="+mn-lt"/>
              <a:ea typeface="+mn-ea"/>
              <a:cs typeface="+mn-cs"/>
            </a:rPr>
            <a:t>Budget should reflect same perimeter of the actual figure.The Budget should be refreshed on december submission for each year.(Ie December 2024, submit Budget for FY 2025). </a:t>
          </a:r>
        </a:p>
        <a:p>
          <a:pPr algn="l"/>
          <a:endParaRPr lang="en-GB" sz="1200" b="0" kern="1700" spc="0">
            <a:solidFill>
              <a:srgbClr val="000000"/>
            </a:solidFill>
            <a:latin typeface="+mn-lt"/>
            <a:ea typeface="+mn-ea"/>
            <a:cs typeface="+mn-cs"/>
          </a:endParaRPr>
        </a:p>
        <a:p>
          <a:pPr algn="l"/>
          <a:r>
            <a:rPr lang="en-GB" sz="1200" b="0" kern="1700" spc="0">
              <a:solidFill>
                <a:srgbClr val="000000"/>
              </a:solidFill>
              <a:latin typeface="+mn-lt"/>
              <a:ea typeface="+mn-ea"/>
              <a:cs typeface="+mn-cs"/>
            </a:rPr>
            <a:t>Subsequent updates to the budget is termed as Latest Estimate (LE). </a:t>
          </a:r>
          <a:r>
            <a:rPr lang="en-GB" sz="1200" u="sng" b="0" kern="1700" spc="0">
              <a:solidFill>
                <a:srgbClr val="000000"/>
              </a:solidFill>
              <a:latin typeface="+mn-lt"/>
              <a:ea typeface="+mn-ea"/>
              <a:cs typeface="+mn-cs"/>
            </a:rPr>
            <a:t>Please provide Latest Estimates whenever there is a material deviation that is not expected to be recovered in the remainder of the year</a:t>
          </a:r>
          <a:r>
            <a:rPr lang="en-GB" sz="1200" b="0" kern="1700" spc="0">
              <a:solidFill>
                <a:srgbClr val="000000"/>
              </a:solidFill>
              <a:latin typeface="+mn-lt"/>
              <a:ea typeface="+mn-ea"/>
              <a:cs typeface="+mn-cs"/>
            </a:rPr>
            <a:t>. </a:t>
          </a:r>
        </a:p>
        <a:p>
          <a:pPr algn="l"/>
          <a:endParaRPr lang="en-GB" sz="1200" b="0" kern="1700" spc="0">
            <a:solidFill>
              <a:srgbClr val="000000"/>
            </a:solidFill>
            <a:latin typeface="+mn-lt"/>
            <a:ea typeface="+mn-ea"/>
            <a:cs typeface="+mn-cs"/>
          </a:endParaRPr>
        </a:p>
        <a:p>
          <a:pPr algn="l"/>
          <a:r>
            <a:rPr lang="en-GB" sz="1200" b="0" kern="1700" spc="0">
              <a:solidFill>
                <a:srgbClr val="000000"/>
              </a:solidFill>
              <a:latin typeface="+mn-lt"/>
              <a:ea typeface="+mn-ea"/>
              <a:cs typeface="+mn-cs"/>
            </a:rPr>
            <a:t>Please reassess if an update is required at least quarterly.</a:t>
          </a:r>
        </a:p>
      </xdr:txBody>
    </xdr:sp>
    <xdr:clientData/>
  </xdr:twoCellAnchor>
  <xdr:twoCellAnchor>
    <xdr:from>
      <xdr:col>18</xdr:col>
      <xdr:colOff>0</xdr:colOff>
      <xdr:row>123</xdr:row>
      <xdr:rowOff>0</xdr:rowOff>
    </xdr:from>
    <xdr:to>
      <xdr:col>20</xdr:col>
      <xdr:colOff>0</xdr:colOff>
      <xdr:row>125</xdr:row>
      <xdr:rowOff>0</xdr:rowOff>
    </xdr:to>
    <xdr:sp>
      <xdr:nvSpPr>
        <xdr:cNvPr id="197" name="Rectangle 2">
          <a:extLst>
            <a:ext uri="{FF2B5EF4-FFF2-40B4-BE49-F238E27FC236}">
              <a16:creationId xmlns:a16="http://schemas.microsoft.com/office/drawing/2014/main" id="{89C20384-39A2-46FC-AD59-C3C82F6C3DF4}"/>
            </a:ext>
          </a:extLst>
        </xdr:cNvPr>
        <xdr:cNvSpPr/>
      </xdr:nvSpPr>
      <xdr:spPr>
        <a:xfrm>
          <a:off x="1257300" y="32575500"/>
          <a:ext cx="7477125" cy="5619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5: Provide breakdown Organic Revenue (REQUIRED)</a:t>
          </a:r>
          <a:endParaRPr lang="en-GB" sz="1200" b="1" kern="1200">
            <a:solidFill>
              <a:srgbClr val="000000"/>
            </a:solidFill>
          </a:endParaRPr>
        </a:p>
      </xdr:txBody>
    </xdr:sp>
    <xdr:clientData/>
  </xdr:twoCellAnchor>
  <xdr:twoCellAnchor>
    <xdr:from>
      <xdr:col>17</xdr:col>
      <xdr:colOff>190499</xdr:colOff>
      <xdr:row>130</xdr:row>
      <xdr:rowOff>0</xdr:rowOff>
    </xdr:from>
    <xdr:to>
      <xdr:col>19</xdr:col>
      <xdr:colOff>4543424</xdr:colOff>
      <xdr:row>136</xdr:row>
      <xdr:rowOff>0</xdr:rowOff>
    </xdr:to>
    <xdr:sp>
      <xdr:nvSpPr>
        <xdr:cNvPr id="190" name="Rectangle 19">
          <a:extLst>
            <a:ext uri="{FF2B5EF4-FFF2-40B4-BE49-F238E27FC236}">
              <a16:creationId xmlns:a16="http://schemas.microsoft.com/office/drawing/2014/main" id="{BD950449-644D-4F5A-B594-32FFED80FF4D}"/>
            </a:ext>
          </a:extLst>
        </xdr:cNvPr>
        <xdr:cNvSpPr/>
      </xdr:nvSpPr>
      <xdr:spPr>
        <a:xfrm>
          <a:off x="1257300" y="34613850"/>
          <a:ext cx="7477125" cy="1724025"/>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lnSpc>
              <a:spcPct val="120000"/>
            </a:lnSpc>
          </a:pPr>
          <a:r>
            <a:rPr lang="en-GB" sz="1200" b="1" kern="1700" spc="0">
              <a:solidFill>
                <a:srgbClr val="000000"/>
              </a:solidFill>
            </a:rPr>
            <a:t>Task</a:t>
          </a:r>
          <a:r>
            <a:rPr lang="en-GB" sz="1200" b="0" kern="1700" spc="0">
              <a:solidFill>
                <a:srgbClr val="000000"/>
              </a:solidFill>
            </a:rPr>
            <a:t>: Please provide the top-line organic revenue split together with the breakdown of organic volume growth. You may select the top-line metric most representative of your business (e.g., Net Revenue or Annual Recurring Revenue). </a:t>
          </a:r>
          <a:endParaRPr lang="en-GB" sz="1200" b="0" kern="1700" spc="0" baseline="0">
            <a:solidFill>
              <a:srgbClr val="000000"/>
            </a:solidFill>
          </a:endParaRPr>
        </a:p>
        <a:p>
          <a:pPr algn="l">
            <a:lnSpc>
              <a:spcPct val="120000"/>
            </a:lnSpc>
          </a:pPr>
          <a:r>
            <a:rPr lang="en-GB" sz="1200">
              <a:solidFill>
                <a:srgbClr val="000000"/>
              </a:solidFill>
            </a:rPr>
            <a:t>The definition of “organic” may vary by investment, but it should reflect the way you track and assess the business. In general, this should be relative to the FIR perimeter. Accordingly, non-organic revenue would normally be zero in the initial flash reports, unless an immediate M&amp;A transaction has occurred. For older investments, significant M&amp;A completed more than 24 months ago may be absorbed into the organic perimeter, provided historical periods remain on a like-for-like basis.</a:t>
          </a:r>
        </a:p>
        <a:p>
          <a:pPr algn="l">
            <a:lnSpc>
              <a:spcPct val="120000"/>
            </a:lnSpc>
          </a:pPr>
          <a:r>
            <a:rPr lang="en-GB" sz="1200">
              <a:solidFill>
                <a:srgbClr val="000000"/>
              </a:solidFill>
            </a:rPr>
            <a:t>The objective is to distinguish headline revenue growth into its components, for example: “Headline revenue grew 20%, of which 15% was organic growth, of which 5% was organic volume growth."</a:t>
          </a:r>
        </a:p>
        <a:p>
          <a:pPr algn="l">
            <a:lnSpc>
              <a:spcPct val="120000"/>
            </a:lnSpc>
          </a:pPr>
          <a:r>
            <a:rPr lang="en-GB" sz="1200">
              <a:solidFill>
                <a:srgbClr val="000000"/>
              </a:solidFill>
            </a:rPr>
            <a:t>For what concern</a:t>
          </a:r>
          <a:r>
            <a:rPr lang="en-GB" sz="1200" baseline="0">
              <a:solidFill>
                <a:srgbClr val="000000"/>
              </a:solidFill>
            </a:rPr>
            <a:t> the Organic Volume growth, p</a:t>
          </a:r>
          <a:r>
            <a:rPr lang="en-GB" sz="1200">
              <a:solidFill>
                <a:srgbClr val="000000"/>
              </a:solidFill>
            </a:rPr>
            <a:t>lease report only the final percentage growth figures for each period; absolute units or detailed workings are not required. Where calculating the percentages requires additional input rows, you may include them, but please flag this to the PM team so the template can be updated accordingly.</a:t>
          </a:r>
        </a:p>
        <a:p>
          <a:pPr algn="l">
            <a:lnSpc>
              <a:spcPct val="120000"/>
            </a:lnSpc>
          </a:pPr>
          <a:r>
            <a:rPr lang="en-GB" sz="1200">
              <a:solidFill>
                <a:srgbClr val="000000"/>
              </a:solidFill>
            </a:rPr>
            <a:t>In some cases, a volume metric may already be reported within the KPI section of the Input Sheet. If this is appropriate for organic volume growth, please inform the PM team and we will link the new rows to that metric for month, YTD, and LTM reporting.</a:t>
          </a:r>
        </a:p>
      </xdr:txBody>
    </xdr:sp>
    <xdr:clientData/>
  </xdr:twoCellAnchor>
  <xdr:twoCellAnchor>
    <xdr:from>
      <xdr:col>18</xdr:col>
      <xdr:colOff>0</xdr:colOff>
      <xdr:row>141</xdr:row>
      <xdr:rowOff>0</xdr:rowOff>
    </xdr:from>
    <xdr:to>
      <xdr:col>19</xdr:col>
      <xdr:colOff>4531178</xdr:colOff>
      <xdr:row>142</xdr:row>
      <xdr:rowOff>0</xdr:rowOff>
    </xdr:to>
    <xdr:sp>
      <xdr:nvSpPr>
        <xdr:cNvPr id="189" name="Rectangle 9">
          <a:extLst>
            <a:ext uri="{FF2B5EF4-FFF2-40B4-BE49-F238E27FC236}">
              <a16:creationId xmlns:a16="http://schemas.microsoft.com/office/drawing/2014/main" id="{9DFA8E4D-C6D0-4203-9C4E-C754A2E5E4BC}"/>
            </a:ext>
          </a:extLst>
        </xdr:cNvPr>
        <xdr:cNvSpPr/>
      </xdr:nvSpPr>
      <xdr:spPr>
        <a:xfrm>
          <a:off x="1257300" y="37842825"/>
          <a:ext cx="7467600" cy="409575"/>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Recurring and Non-recurring Revenue should be reported as absolute figures, and together they must reconcile to the total Net Revenue.</a:t>
          </a:r>
          <a:endParaRPr lang="en-GB" sz="1050" b="0" kern="1200">
            <a:solidFill>
              <a:srgbClr val="C00000"/>
            </a:solidFill>
          </a:endParaRPr>
        </a:p>
      </xdr:txBody>
    </xdr:sp>
    <xdr:clientData/>
  </xdr:twoCellAnchor>
  <xdr:twoCellAnchor>
    <xdr:from>
      <xdr:col>18</xdr:col>
      <xdr:colOff>0</xdr:colOff>
      <xdr:row>8</xdr:row>
      <xdr:rowOff>0</xdr:rowOff>
    </xdr:from>
    <xdr:to>
      <xdr:col>20</xdr:col>
      <xdr:colOff>0</xdr:colOff>
      <xdr:row>9</xdr:row>
      <xdr:rowOff>335017</xdr:rowOff>
    </xdr:to>
    <xdr:sp>
      <xdr:nvSpPr>
        <xdr:cNvPr id="76" name="Rectangle 2">
          <a:extLst>
            <a:ext uri="{FF2B5EF4-FFF2-40B4-BE49-F238E27FC236}">
              <a16:creationId xmlns:a16="http://schemas.microsoft.com/office/drawing/2014/main" id="{90EDFD36-390A-4274-8F0C-A4E4EA06B99C}"/>
            </a:ext>
          </a:extLst>
        </xdr:cNvPr>
        <xdr:cNvSpPr/>
      </xdr:nvSpPr>
      <xdr:spPr>
        <a:xfrm>
          <a:off x="1257300" y="1657350"/>
          <a:ext cx="7477125" cy="7048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Section</a:t>
          </a:r>
          <a:r>
            <a:rPr lang="en-GB" sz="1600" b="1" kern="1200" baseline="0">
              <a:solidFill>
                <a:srgbClr val="000000"/>
              </a:solidFill>
            </a:rPr>
            <a:t> Guidance for Completion</a:t>
          </a:r>
          <a:endParaRPr lang="en-GB" sz="1600" b="1" kern="1200">
            <a:solidFill>
              <a:srgbClr val="000000"/>
            </a:solidFill>
          </a:endParaRPr>
        </a:p>
      </xdr:txBody>
    </xdr:sp>
    <xdr:clientData/>
  </xdr:twoCellAnchor>
  <xdr:twoCellAnchor>
    <xdr:from>
      <xdr:col>18</xdr:col>
      <xdr:colOff>0</xdr:colOff>
      <xdr:row>59</xdr:row>
      <xdr:rowOff>60829</xdr:rowOff>
    </xdr:from>
    <xdr:to>
      <xdr:col>19</xdr:col>
      <xdr:colOff>4503964</xdr:colOff>
      <xdr:row>62</xdr:row>
      <xdr:rowOff>22412</xdr:rowOff>
    </xdr:to>
    <xdr:sp>
      <xdr:nvSpPr>
        <xdr:cNvPr id="177" name="Rectangle 83">
          <a:extLst>
            <a:ext uri="{FF2B5EF4-FFF2-40B4-BE49-F238E27FC236}">
              <a16:creationId xmlns:a16="http://schemas.microsoft.com/office/drawing/2014/main" id="{4D85D621-10EB-4B1F-A255-03F9EEC411FC}"/>
            </a:ext>
          </a:extLst>
        </xdr:cNvPr>
        <xdr:cNvSpPr/>
      </xdr:nvSpPr>
      <xdr:spPr>
        <a:xfrm>
          <a:off x="1257300" y="15544800"/>
          <a:ext cx="7439025" cy="762000"/>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FY</a:t>
          </a:r>
          <a:r>
            <a:rPr lang="en-GB" sz="1200" b="0" kern="1200" baseline="0">
              <a:solidFill>
                <a:srgbClr val="C00000"/>
              </a:solidFill>
            </a:rPr>
            <a:t> Budget and Latest Estimate (LE) updates are critical to the valuation process and must be updated on a timely basis</a:t>
          </a:r>
          <a:endParaRPr lang="en-GB" sz="1050" b="0" kern="1200">
            <a:solidFill>
              <a:srgbClr val="C00000"/>
            </a:solidFill>
          </a:endParaRPr>
        </a:p>
      </xdr:txBody>
    </xdr:sp>
    <xdr:clientData/>
  </xdr:twoCellAnchor>
  <xdr:twoCellAnchor>
    <xdr:from>
      <xdr:col>18</xdr:col>
      <xdr:colOff>224626</xdr:colOff>
      <xdr:row>141</xdr:row>
      <xdr:rowOff>40822</xdr:rowOff>
    </xdr:from>
    <xdr:to>
      <xdr:col>18</xdr:col>
      <xdr:colOff>498660</xdr:colOff>
      <xdr:row>141</xdr:row>
      <xdr:rowOff>355199</xdr:rowOff>
    </xdr:to>
    <xdr:pic>
      <xdr:nvPicPr>
        <xdr:cNvPr id="188" name="Picture 38">
          <a:extLst>
            <a:ext uri="{FF2B5EF4-FFF2-40B4-BE49-F238E27FC236}">
              <a16:creationId xmlns:a16="http://schemas.microsoft.com/office/drawing/2014/main" id="{FBF68509-05FF-0DE2-4492-72E4EB99C8CB}"/>
            </a:ext>
          </a:extLst>
        </xdr:cNvPr>
        <xdr:cNvPicPr preferRelativeResize="0">
          <a:picLocks noChangeAspect="1"/>
        </xdr:cNvPicPr>
      </xdr:nvPicPr>
      <xdr:blipFill>
        <a:blip r:embed="rId1">
          <a:extLst>
            <a:ext uri="{28A0092B-C50C-407E-A947-70E740481C1C}">
              <a14:useLocalDpi xmlns:a14="http://schemas.microsoft.com/office/drawing/2010/main"/>
            </a:ext>
          </a:extLst>
        </a:blip>
        <a:stretch>
          <a:fillRect/>
        </a:stretch>
      </xdr:blipFill>
      <xdr:spPr>
        <a:xfrm>
          <a:off x="1485900" y="37880925"/>
          <a:ext cx="276225" cy="314325"/>
        </a:xfrm>
        <a:prstGeom prst="rect"/>
      </xdr:spPr>
    </xdr:pic>
    <xdr:clientData/>
  </xdr:twoCellAnchor>
  <xdr:twoCellAnchor>
    <xdr:from>
      <xdr:col>18</xdr:col>
      <xdr:colOff>20710</xdr:colOff>
      <xdr:row>101</xdr:row>
      <xdr:rowOff>102060</xdr:rowOff>
    </xdr:from>
    <xdr:to>
      <xdr:col>18</xdr:col>
      <xdr:colOff>316586</xdr:colOff>
      <xdr:row>101</xdr:row>
      <xdr:rowOff>102060</xdr:rowOff>
    </xdr:to>
    <xdr:pic>
      <xdr:nvPicPr>
        <xdr:cNvPr id="43" name="Picture 87">
          <a:extLst>
            <a:ext uri="{FF2B5EF4-FFF2-40B4-BE49-F238E27FC236}">
              <a16:creationId xmlns:a16="http://schemas.microsoft.com/office/drawing/2014/main" id="{2AB27842-78C1-4E83-BD37-C1CF45AB87DE}"/>
            </a:ext>
          </a:extLst>
        </xdr:cNvPr>
        <xdr:cNvPicPr preferRelativeResize="0">
          <a:picLocks/>
        </xdr:cNvPicPr>
      </xdr:nvPicPr>
      <xdr:blipFill>
        <a:blip r:embed="rId2">
          <a:extLst>
            <a:ext uri="{28A0092B-C50C-407E-A947-70E740481C1C}">
              <a14:useLocalDpi xmlns:a14="http://schemas.microsoft.com/office/drawing/2010/main"/>
            </a:ext>
          </a:extLst>
        </a:blip>
        <a:stretch>
          <a:fillRect/>
        </a:stretch>
      </xdr:blipFill>
      <xdr:spPr>
        <a:xfrm>
          <a:off x="1276350" y="26765250"/>
          <a:ext cx="295275" cy="0"/>
        </a:xfrm>
        <a:prstGeom prst="rect"/>
      </xdr:spPr>
    </xdr:pic>
    <xdr:clientData/>
  </xdr:twoCellAnchor>
  <xdr:twoCellAnchor>
    <xdr:from>
      <xdr:col>18</xdr:col>
      <xdr:colOff>9527</xdr:colOff>
      <xdr:row>152</xdr:row>
      <xdr:rowOff>109463</xdr:rowOff>
    </xdr:from>
    <xdr:to>
      <xdr:col>18</xdr:col>
      <xdr:colOff>305403</xdr:colOff>
      <xdr:row>152</xdr:row>
      <xdr:rowOff>109463</xdr:rowOff>
    </xdr:to>
    <xdr:pic>
      <xdr:nvPicPr>
        <xdr:cNvPr id="30" name="Picture 38">
          <a:extLst>
            <a:ext uri="{FF2B5EF4-FFF2-40B4-BE49-F238E27FC236}">
              <a16:creationId xmlns:a16="http://schemas.microsoft.com/office/drawing/2014/main" id="{139D9F1B-6956-592F-EA0E-32883C1A84D6}"/>
            </a:ext>
          </a:extLst>
        </xdr:cNvPr>
        <xdr:cNvPicPr preferRelativeResize="0">
          <a:picLocks/>
        </xdr:cNvPicPr>
      </xdr:nvPicPr>
      <xdr:blipFill>
        <a:blip r:embed="rId1">
          <a:extLst>
            <a:ext uri="{28A0092B-C50C-407E-A947-70E740481C1C}">
              <a14:useLocalDpi xmlns:a14="http://schemas.microsoft.com/office/drawing/2010/main"/>
            </a:ext>
          </a:extLst>
        </a:blip>
        <a:stretch>
          <a:fillRect/>
        </a:stretch>
      </xdr:blipFill>
      <xdr:spPr>
        <a:xfrm>
          <a:off x="1266825" y="41805225"/>
          <a:ext cx="295275" cy="0"/>
        </a:xfrm>
        <a:prstGeom prst="rect"/>
      </xdr:spPr>
    </xdr:pic>
    <xdr:clientData/>
  </xdr:twoCellAnchor>
  <xdr:twoCellAnchor>
    <xdr:from>
      <xdr:col>18</xdr:col>
      <xdr:colOff>20710</xdr:colOff>
      <xdr:row>33</xdr:row>
      <xdr:rowOff>94789</xdr:rowOff>
    </xdr:from>
    <xdr:to>
      <xdr:col>18</xdr:col>
      <xdr:colOff>316586</xdr:colOff>
      <xdr:row>33</xdr:row>
      <xdr:rowOff>94789</xdr:rowOff>
    </xdr:to>
    <xdr:pic>
      <xdr:nvPicPr>
        <xdr:cNvPr id="47" name="Picture 38">
          <a:extLst>
            <a:ext uri="{FF2B5EF4-FFF2-40B4-BE49-F238E27FC236}">
              <a16:creationId xmlns:a16="http://schemas.microsoft.com/office/drawing/2014/main" id="{974AF9EA-3EB9-AB62-5585-47F851954A85}"/>
            </a:ext>
          </a:extLst>
        </xdr:cNvPr>
        <xdr:cNvPicPr preferRelativeResize="0">
          <a:picLocks/>
        </xdr:cNvPicPr>
      </xdr:nvPicPr>
      <xdr:blipFill>
        <a:blip r:embed="rId1">
          <a:extLst>
            <a:ext uri="{28A0092B-C50C-407E-A947-70E740481C1C}">
              <a14:useLocalDpi xmlns:a14="http://schemas.microsoft.com/office/drawing/2010/main"/>
            </a:ext>
          </a:extLst>
        </a:blip>
        <a:stretch>
          <a:fillRect/>
        </a:stretch>
      </xdr:blipFill>
      <xdr:spPr>
        <a:xfrm>
          <a:off x="1276350" y="8639175"/>
          <a:ext cx="295275" cy="0"/>
        </a:xfrm>
        <a:prstGeom prst="rect"/>
      </xdr:spPr>
    </xdr:pic>
    <xdr:clientData/>
  </xdr:twoCellAnchor>
  <xdr:twoCellAnchor>
    <xdr:from>
      <xdr:col>18</xdr:col>
      <xdr:colOff>100853</xdr:colOff>
      <xdr:row>59</xdr:row>
      <xdr:rowOff>246530</xdr:rowOff>
    </xdr:from>
    <xdr:to>
      <xdr:col>18</xdr:col>
      <xdr:colOff>433929</xdr:colOff>
      <xdr:row>61</xdr:row>
      <xdr:rowOff>92048</xdr:rowOff>
    </xdr:to>
    <xdr:pic>
      <xdr:nvPicPr>
        <xdr:cNvPr id="178" name="Picture 87">
          <a:extLst>
            <a:ext uri="{FF2B5EF4-FFF2-40B4-BE49-F238E27FC236}">
              <a16:creationId xmlns:a16="http://schemas.microsoft.com/office/drawing/2014/main" id="{CE5EF73E-15E5-4828-7CCA-39FF14735BE6}"/>
            </a:ext>
          </a:extLst>
        </xdr:cNvPr>
        <xdr:cNvPicPr preferRelativeResize="0">
          <a:picLocks noChangeAspect="1"/>
        </xdr:cNvPicPr>
      </xdr:nvPicPr>
      <xdr:blipFill>
        <a:blip r:embed="rId2">
          <a:extLst>
            <a:ext uri="{28A0092B-C50C-407E-A947-70E740481C1C}">
              <a14:useLocalDpi xmlns:a14="http://schemas.microsoft.com/office/drawing/2010/main"/>
            </a:ext>
          </a:extLst>
        </a:blip>
        <a:stretch>
          <a:fillRect/>
        </a:stretch>
      </xdr:blipFill>
      <xdr:spPr>
        <a:xfrm>
          <a:off x="1362075" y="15735300"/>
          <a:ext cx="333375" cy="381000"/>
        </a:xfrm>
        <a:prstGeom prst="rect"/>
      </xdr:spPr>
    </xdr:pic>
    <xdr:clientData/>
  </xdr:twoCellAnchor>
  <xdr:twoCellAnchor>
    <xdr:from>
      <xdr:col>18</xdr:col>
      <xdr:colOff>20710</xdr:colOff>
      <xdr:row>33</xdr:row>
      <xdr:rowOff>94789</xdr:rowOff>
    </xdr:from>
    <xdr:to>
      <xdr:col>18</xdr:col>
      <xdr:colOff>316586</xdr:colOff>
      <xdr:row>33</xdr:row>
      <xdr:rowOff>94789</xdr:rowOff>
    </xdr:to>
    <xdr:pic>
      <xdr:nvPicPr>
        <xdr:cNvPr id="13" name="Picture 38">
          <a:extLst>
            <a:ext uri="{FF2B5EF4-FFF2-40B4-BE49-F238E27FC236}">
              <a16:creationId xmlns:a16="http://schemas.microsoft.com/office/drawing/2014/main" id="{0924A4B4-9A95-CCD1-A40C-196A328E2862}"/>
            </a:ext>
          </a:extLst>
        </xdr:cNvPr>
        <xdr:cNvPicPr preferRelativeResize="0">
          <a:picLocks/>
        </xdr:cNvPicPr>
      </xdr:nvPicPr>
      <xdr:blipFill>
        <a:blip r:embed="rId1">
          <a:extLst>
            <a:ext uri="{28A0092B-C50C-407E-A947-70E740481C1C}">
              <a14:useLocalDpi xmlns:a14="http://schemas.microsoft.com/office/drawing/2010/main"/>
            </a:ext>
          </a:extLst>
        </a:blip>
        <a:stretch>
          <a:fillRect/>
        </a:stretch>
      </xdr:blipFill>
      <xdr:spPr>
        <a:xfrm>
          <a:off x="1276350" y="8639175"/>
          <a:ext cx="295275" cy="0"/>
        </a:xfrm>
        <a:prstGeom prst="rect"/>
      </xdr:spPr>
    </xdr:pic>
    <xdr:clientData/>
  </xdr:twoCellAnchor>
  <xdr:twoCellAnchor>
    <xdr:from>
      <xdr:col>18</xdr:col>
      <xdr:colOff>0</xdr:colOff>
      <xdr:row>195</xdr:row>
      <xdr:rowOff>0</xdr:rowOff>
    </xdr:from>
    <xdr:to>
      <xdr:col>20</xdr:col>
      <xdr:colOff>0</xdr:colOff>
      <xdr:row>199</xdr:row>
      <xdr:rowOff>0</xdr:rowOff>
    </xdr:to>
    <xdr:sp>
      <xdr:nvSpPr>
        <xdr:cNvPr id="236" name="TextBox 14">
          <a:extLst>
            <a:ext uri="{FF2B5EF4-FFF2-40B4-BE49-F238E27FC236}">
              <a16:creationId xmlns:a16="http://schemas.microsoft.com/office/drawing/2014/main" id="{A59D922B-FFF6-9E5D-F551-CF4403A24E97}"/>
            </a:ext>
          </a:extLst>
        </xdr:cNvPr>
        <xdr:cNvSpPr txBox="1"/>
      </xdr:nvSpPr>
      <xdr:spPr>
        <a:xfrm>
          <a:off x="1257300" y="54997350"/>
          <a:ext cx="7477125" cy="990600"/>
        </a:xfrm>
        <a:prstGeom prst="rect"/>
        <a:noFill/>
      </xdr:spPr>
      <xdr:txBody>
        <a:bodyPr lIns="0" tIns="0" rIns="0" bIns="0" vertOverflow="overflow" horzOverflow="overflow" wrap="square" rtlCol="0" anchor="t">
          <a:noAutofit/>
        </a:bodyPr>
        <a:lstStyle/>
        <a:p>
          <a:pPr algn="l"/>
          <a:r>
            <a:rPr lang="en-GB" sz="1400" b="1" dirty="0" err="1">
              <a:solidFill>
                <a:schemeClr val="bg2">
                  <a:lumMod val="25000"/>
                </a:schemeClr>
              </a:solidFill>
            </a:rPr>
            <a:t>Guideline for completing the</a:t>
          </a:r>
          <a:r>
            <a:rPr lang="en-GB" sz="1400" b="1" baseline="0" dirty="0" err="1">
              <a:solidFill>
                <a:schemeClr val="bg2">
                  <a:lumMod val="25000"/>
                </a:schemeClr>
              </a:solidFill>
            </a:rPr>
            <a:t> </a:t>
          </a:r>
          <a:r>
            <a:rPr lang="en-GB" sz="1400" b="1" dirty="0" err="1">
              <a:solidFill>
                <a:schemeClr val="bg2">
                  <a:lumMod val="25000"/>
                </a:schemeClr>
              </a:solidFill>
            </a:rPr>
            <a:t>row header area</a:t>
          </a:r>
          <a:r>
            <a:rPr lang="en-GB" sz="1400" b="1" baseline="0" dirty="0" err="1">
              <a:solidFill>
                <a:schemeClr val="bg2">
                  <a:lumMod val="25000"/>
                </a:schemeClr>
              </a:solidFill>
            </a:rPr>
            <a:t> </a:t>
          </a:r>
          <a:r>
            <a:rPr lang="en-GB" sz="1400" b="1" dirty="0" err="1">
              <a:solidFill>
                <a:schemeClr val="bg2">
                  <a:lumMod val="25000"/>
                </a:schemeClr>
              </a:solidFill>
            </a:rPr>
            <a:t>of the segmentation</a:t>
          </a:r>
          <a:r>
            <a:rPr lang="en-GB" sz="1400" b="1" baseline="0" dirty="0" err="1">
              <a:solidFill>
                <a:schemeClr val="bg2">
                  <a:lumMod val="25000"/>
                </a:schemeClr>
              </a:solidFill>
            </a:rPr>
            <a:t> section</a:t>
          </a:r>
          <a:endParaRPr lang="en-GB" sz="1400" b="1" dirty="0" err="1">
            <a:solidFill>
              <a:schemeClr val="bg2">
                <a:lumMod val="25000"/>
              </a:schemeClr>
            </a:solidFill>
          </a:endParaRPr>
        </a:p>
        <a:p>
          <a:pPr algn="l"/>
          <a:r>
            <a:rPr lang="en-GB" sz="1400" dirty="0" err="1">
              <a:solidFill>
                <a:schemeClr val="bg2">
                  <a:lumMod val="25000"/>
                </a:schemeClr>
              </a:solidFill>
            </a:rPr>
            <a:t>1. Select</a:t>
          </a:r>
          <a:r>
            <a:rPr lang="en-GB" sz="1400" baseline="0" dirty="0" err="1">
              <a:solidFill>
                <a:schemeClr val="bg2">
                  <a:lumMod val="25000"/>
                </a:schemeClr>
              </a:solidFill>
            </a:rPr>
            <a:t> scenario from dropdown</a:t>
          </a:r>
        </a:p>
        <a:p>
          <a:pPr algn="l"/>
          <a:r>
            <a:rPr lang="en-GB" sz="1400" baseline="0" dirty="0" err="1">
              <a:solidFill>
                <a:schemeClr val="bg2">
                  <a:lumMod val="25000"/>
                </a:schemeClr>
              </a:solidFill>
            </a:rPr>
            <a:t>2. Name segmentation method, e.g. By country</a:t>
          </a:r>
        </a:p>
        <a:p>
          <a:pPr algn="l"/>
          <a:r>
            <a:rPr lang="en-GB" sz="1400" baseline="0" dirty="0" err="1">
              <a:solidFill>
                <a:schemeClr val="bg2">
                  <a:lumMod val="25000"/>
                </a:schemeClr>
              </a:solidFill>
            </a:rPr>
            <a:t>3. Select a metric from dropdown</a:t>
          </a:r>
        </a:p>
        <a:p>
          <a:pPr algn="l"/>
          <a:r>
            <a:rPr lang="en-GB" sz="1400" baseline="0" dirty="0" err="1">
              <a:solidFill>
                <a:schemeClr val="bg2">
                  <a:lumMod val="25000"/>
                </a:schemeClr>
              </a:solidFill>
            </a:rPr>
            <a:t>4. Type in the first segment name</a:t>
          </a:r>
        </a:p>
        <a:p>
          <a:pPr algn="l"/>
          <a:r>
            <a:rPr lang="en-GB" sz="1400" baseline="0" dirty="0" err="1">
              <a:solidFill>
                <a:schemeClr val="bg2">
                  <a:lumMod val="25000"/>
                </a:schemeClr>
              </a:solidFill>
            </a:rPr>
            <a:t>5. Type in the second segment name</a:t>
          </a:r>
        </a:p>
        <a:p>
          <a:pPr algn="l"/>
          <a:r>
            <a:rPr lang="en-GB" sz="1400" baseline="0" dirty="0" err="1">
              <a:solidFill>
                <a:schemeClr val="bg2">
                  <a:lumMod val="25000"/>
                </a:schemeClr>
              </a:solidFill>
            </a:rPr>
            <a:t>6. Provide period data</a:t>
          </a:r>
        </a:p>
        <a:p>
          <a:pPr algn="l"/>
          <a:r>
            <a:rPr lang="en-GB" sz="1400" baseline="0" dirty="0" err="1">
              <a:solidFill>
                <a:schemeClr val="bg2">
                  <a:lumMod val="25000"/>
                </a:schemeClr>
              </a:solidFill>
            </a:rPr>
            <a:t>7. Check total equals to the referrenced data</a:t>
          </a:r>
          <a:endParaRPr lang="en-GB" sz="1400" dirty="0" err="1">
            <a:solidFill>
              <a:schemeClr val="bg2">
                <a:lumMod val="25000"/>
              </a:schemeClr>
            </a:solidFill>
          </a:endParaRPr>
        </a:p>
      </xdr:txBody>
    </xdr:sp>
    <xdr:clientData/>
  </xdr:twoCellAnchor>
  <xdr:twoCellAnchor>
    <xdr:from>
      <xdr:col>18</xdr:col>
      <xdr:colOff>9527</xdr:colOff>
      <xdr:row>158</xdr:row>
      <xdr:rowOff>53806</xdr:rowOff>
    </xdr:from>
    <xdr:to>
      <xdr:col>18</xdr:col>
      <xdr:colOff>305403</xdr:colOff>
      <xdr:row>158</xdr:row>
      <xdr:rowOff>53806</xdr:rowOff>
    </xdr:to>
    <xdr:pic>
      <xdr:nvPicPr>
        <xdr:cNvPr id="38" name="Picture 38">
          <a:extLst>
            <a:ext uri="{FF2B5EF4-FFF2-40B4-BE49-F238E27FC236}">
              <a16:creationId xmlns:a16="http://schemas.microsoft.com/office/drawing/2014/main" id="{D3CF33F5-01F7-4713-9354-B98ED75D58BB}"/>
            </a:ext>
          </a:extLst>
        </xdr:cNvPr>
        <xdr:cNvPicPr preferRelativeResize="0">
          <a:picLocks/>
        </xdr:cNvPicPr>
      </xdr:nvPicPr>
      <xdr:blipFill>
        <a:blip r:embed="rId1">
          <a:extLst>
            <a:ext uri="{28A0092B-C50C-407E-A947-70E740481C1C}">
              <a14:useLocalDpi xmlns:a14="http://schemas.microsoft.com/office/drawing/2010/main"/>
            </a:ext>
          </a:extLst>
        </a:blip>
        <a:stretch>
          <a:fillRect/>
        </a:stretch>
      </xdr:blipFill>
      <xdr:spPr>
        <a:xfrm>
          <a:off x="1266825" y="43205400"/>
          <a:ext cx="295275" cy="0"/>
        </a:xfrm>
        <a:prstGeom prst="rect"/>
      </xdr:spPr>
    </xdr:pic>
    <xdr:clientData/>
  </xdr:twoCellAnchor>
  <xdr:twoCellAnchor>
    <xdr:from>
      <xdr:col>18</xdr:col>
      <xdr:colOff>217715</xdr:colOff>
      <xdr:row>31</xdr:row>
      <xdr:rowOff>65971</xdr:rowOff>
    </xdr:from>
    <xdr:to>
      <xdr:col>18</xdr:col>
      <xdr:colOff>550791</xdr:colOff>
      <xdr:row>32</xdr:row>
      <xdr:rowOff>130469</xdr:rowOff>
    </xdr:to>
    <xdr:pic>
      <xdr:nvPicPr>
        <xdr:cNvPr id="172" name="Picture 87">
          <a:extLst>
            <a:ext uri="{FF2B5EF4-FFF2-40B4-BE49-F238E27FC236}">
              <a16:creationId xmlns:a16="http://schemas.microsoft.com/office/drawing/2014/main" id="{9EB153A8-EB6A-4DAC-905F-577CFB5F0A68}"/>
            </a:ext>
          </a:extLst>
        </xdr:cNvPr>
        <xdr:cNvPicPr preferRelativeResize="0">
          <a:picLocks noChangeAspect="1"/>
        </xdr:cNvPicPr>
      </xdr:nvPicPr>
      <xdr:blipFill>
        <a:blip r:embed="rId2">
          <a:extLst>
            <a:ext uri="{28A0092B-C50C-407E-A947-70E740481C1C}">
              <a14:useLocalDpi xmlns:a14="http://schemas.microsoft.com/office/drawing/2010/main"/>
            </a:ext>
          </a:extLst>
        </a:blip>
        <a:stretch>
          <a:fillRect/>
        </a:stretch>
      </xdr:blipFill>
      <xdr:spPr>
        <a:xfrm>
          <a:off x="1476375" y="8077200"/>
          <a:ext cx="333375" cy="333375"/>
        </a:xfrm>
        <a:prstGeom prst="rect"/>
      </xdr:spPr>
    </xdr:pic>
    <xdr:clientData/>
  </xdr:twoCellAnchor>
  <xdr:twoCellAnchor>
    <xdr:from>
      <xdr:col>18</xdr:col>
      <xdr:colOff>220437</xdr:colOff>
      <xdr:row>21</xdr:row>
      <xdr:rowOff>85501</xdr:rowOff>
    </xdr:from>
    <xdr:to>
      <xdr:col>18</xdr:col>
      <xdr:colOff>553513</xdr:colOff>
      <xdr:row>22</xdr:row>
      <xdr:rowOff>188898</xdr:rowOff>
    </xdr:to>
    <xdr:pic>
      <xdr:nvPicPr>
        <xdr:cNvPr id="163" name="Picture 87">
          <a:extLst>
            <a:ext uri="{FF2B5EF4-FFF2-40B4-BE49-F238E27FC236}">
              <a16:creationId xmlns:a16="http://schemas.microsoft.com/office/drawing/2014/main" id="{8F0A8826-05AB-49CB-B1A6-F9E4D4049997}"/>
            </a:ext>
          </a:extLst>
        </xdr:cNvPr>
        <xdr:cNvPicPr preferRelativeResize="0">
          <a:picLocks noChangeAspect="1"/>
        </xdr:cNvPicPr>
      </xdr:nvPicPr>
      <xdr:blipFill>
        <a:blip r:embed="rId2">
          <a:extLst>
            <a:ext uri="{28A0092B-C50C-407E-A947-70E740481C1C}">
              <a14:useLocalDpi xmlns:a14="http://schemas.microsoft.com/office/drawing/2010/main"/>
            </a:ext>
          </a:extLst>
        </a:blip>
        <a:stretch>
          <a:fillRect/>
        </a:stretch>
      </xdr:blipFill>
      <xdr:spPr>
        <a:xfrm>
          <a:off x="1476375" y="5429250"/>
          <a:ext cx="333375" cy="371475"/>
        </a:xfrm>
        <a:prstGeom prst="rect"/>
      </xdr:spPr>
    </xdr:pic>
    <xdr:clientData/>
  </xdr:twoCellAnchor>
  <xdr:twoCellAnchor>
    <xdr:from>
      <xdr:col>18</xdr:col>
      <xdr:colOff>150479</xdr:colOff>
      <xdr:row>86</xdr:row>
      <xdr:rowOff>122465</xdr:rowOff>
    </xdr:from>
    <xdr:to>
      <xdr:col>18</xdr:col>
      <xdr:colOff>483555</xdr:colOff>
      <xdr:row>87</xdr:row>
      <xdr:rowOff>204342</xdr:rowOff>
    </xdr:to>
    <xdr:pic>
      <xdr:nvPicPr>
        <xdr:cNvPr id="238" name="Picture 87">
          <a:extLst>
            <a:ext uri="{FF2B5EF4-FFF2-40B4-BE49-F238E27FC236}">
              <a16:creationId xmlns:a16="http://schemas.microsoft.com/office/drawing/2014/main" id="{B528C65B-2511-4657-875B-B5946AF95AC6}"/>
            </a:ext>
          </a:extLst>
        </xdr:cNvPr>
        <xdr:cNvPicPr preferRelativeResize="0">
          <a:picLocks noChangeAspect="1"/>
        </xdr:cNvPicPr>
      </xdr:nvPicPr>
      <xdr:blipFill>
        <a:blip r:embed="rId2">
          <a:extLst>
            <a:ext uri="{28A0092B-C50C-407E-A947-70E740481C1C}">
              <a14:useLocalDpi xmlns:a14="http://schemas.microsoft.com/office/drawing/2010/main"/>
            </a:ext>
          </a:extLst>
        </a:blip>
        <a:stretch>
          <a:fillRect/>
        </a:stretch>
      </xdr:blipFill>
      <xdr:spPr>
        <a:xfrm>
          <a:off x="1409700" y="22955250"/>
          <a:ext cx="333375" cy="352425"/>
        </a:xfrm>
        <a:prstGeom prst="rect"/>
      </xdr:spPr>
    </xdr:pic>
    <xdr:clientData/>
  </xdr:twoCellAnchor>
  <xdr:twoCellAnchor>
    <xdr:from>
      <xdr:col>18</xdr:col>
      <xdr:colOff>199749</xdr:colOff>
      <xdr:row>158</xdr:row>
      <xdr:rowOff>246173</xdr:rowOff>
    </xdr:from>
    <xdr:to>
      <xdr:col>18</xdr:col>
      <xdr:colOff>532825</xdr:colOff>
      <xdr:row>159</xdr:row>
      <xdr:rowOff>258536</xdr:rowOff>
    </xdr:to>
    <xdr:pic>
      <xdr:nvPicPr>
        <xdr:cNvPr id="240" name="Picture 87">
          <a:extLst>
            <a:ext uri="{FF2B5EF4-FFF2-40B4-BE49-F238E27FC236}">
              <a16:creationId xmlns:a16="http://schemas.microsoft.com/office/drawing/2014/main" id="{8C8E766C-E8E8-43EF-A404-85063E595744}"/>
            </a:ext>
          </a:extLst>
        </xdr:cNvPr>
        <xdr:cNvPicPr preferRelativeResize="0">
          <a:picLocks noChangeAspect="1"/>
        </xdr:cNvPicPr>
      </xdr:nvPicPr>
      <xdr:blipFill>
        <a:blip r:embed="rId2">
          <a:extLst>
            <a:ext uri="{28A0092B-C50C-407E-A947-70E740481C1C}">
              <a14:useLocalDpi xmlns:a14="http://schemas.microsoft.com/office/drawing/2010/main"/>
            </a:ext>
          </a:extLst>
        </a:blip>
        <a:stretch>
          <a:fillRect/>
        </a:stretch>
      </xdr:blipFill>
      <xdr:spPr>
        <a:xfrm>
          <a:off x="1457325" y="43395900"/>
          <a:ext cx="333375" cy="400050"/>
        </a:xfrm>
        <a:prstGeom prst="rect"/>
      </xdr:spPr>
    </xdr:pic>
    <xdr:clientData/>
  </xdr:twoCellAnchor>
  <xdr:twoCellAnchor>
    <xdr:from>
      <xdr:col>18</xdr:col>
      <xdr:colOff>159284</xdr:colOff>
      <xdr:row>162</xdr:row>
      <xdr:rowOff>188899</xdr:rowOff>
    </xdr:from>
    <xdr:to>
      <xdr:col>18</xdr:col>
      <xdr:colOff>492360</xdr:colOff>
      <xdr:row>163</xdr:row>
      <xdr:rowOff>1</xdr:rowOff>
    </xdr:to>
    <xdr:pic>
      <xdr:nvPicPr>
        <xdr:cNvPr id="242" name="Picture 87">
          <a:extLst>
            <a:ext uri="{FF2B5EF4-FFF2-40B4-BE49-F238E27FC236}">
              <a16:creationId xmlns:a16="http://schemas.microsoft.com/office/drawing/2014/main" id="{FDC878E5-A001-4DC3-8D05-9D5095004489}"/>
            </a:ext>
          </a:extLst>
        </xdr:cNvPr>
        <xdr:cNvPicPr preferRelativeResize="0">
          <a:picLocks noChangeAspect="1"/>
        </xdr:cNvPicPr>
      </xdr:nvPicPr>
      <xdr:blipFill>
        <a:blip r:embed="rId2">
          <a:extLst>
            <a:ext uri="{28A0092B-C50C-407E-A947-70E740481C1C}">
              <a14:useLocalDpi xmlns:a14="http://schemas.microsoft.com/office/drawing/2010/main"/>
            </a:ext>
          </a:extLst>
        </a:blip>
        <a:stretch>
          <a:fillRect/>
        </a:stretch>
      </xdr:blipFill>
      <xdr:spPr>
        <a:xfrm>
          <a:off x="1419225" y="44967525"/>
          <a:ext cx="333375" cy="390525"/>
        </a:xfrm>
        <a:prstGeom prst="rect"/>
      </xdr:spPr>
    </xdr:pic>
    <xdr:clientData/>
  </xdr:twoCellAnchor>
  <xdr:twoCellAnchor>
    <xdr:from>
      <xdr:col>18</xdr:col>
      <xdr:colOff>0</xdr:colOff>
      <xdr:row>71</xdr:row>
      <xdr:rowOff>1</xdr:rowOff>
    </xdr:from>
    <xdr:to>
      <xdr:col>20</xdr:col>
      <xdr:colOff>0</xdr:colOff>
      <xdr:row>73</xdr:row>
      <xdr:rowOff>1</xdr:rowOff>
    </xdr:to>
    <xdr:sp>
      <xdr:nvSpPr>
        <xdr:cNvPr id="2" name="Rectangle 78">
          <a:extLst>
            <a:ext uri="{FF2B5EF4-FFF2-40B4-BE49-F238E27FC236}">
              <a16:creationId xmlns:a16="http://schemas.microsoft.com/office/drawing/2014/main" id="{F8A20465-0C12-1191-54E3-010E3109DB9E}"/>
            </a:ext>
          </a:extLst>
        </xdr:cNvPr>
        <xdr:cNvSpPr/>
      </xdr:nvSpPr>
      <xdr:spPr>
        <a:xfrm>
          <a:off x="1257300" y="18583275"/>
          <a:ext cx="7477125" cy="53340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Budget </a:t>
          </a:r>
          <a:endParaRPr lang="en-GB" sz="1200" b="1" kern="1200">
            <a:solidFill>
              <a:srgbClr val="000000"/>
            </a:solidFill>
          </a:endParaRPr>
        </a:p>
      </xdr:txBody>
    </xdr:sp>
    <xdr:clientData/>
  </xdr:twoCellAnchor>
  <xdr:twoCellAnchor>
    <xdr:from>
      <xdr:col>18</xdr:col>
      <xdr:colOff>0</xdr:colOff>
      <xdr:row>42</xdr:row>
      <xdr:rowOff>0</xdr:rowOff>
    </xdr:from>
    <xdr:to>
      <xdr:col>20</xdr:col>
      <xdr:colOff>0</xdr:colOff>
      <xdr:row>44</xdr:row>
      <xdr:rowOff>0</xdr:rowOff>
    </xdr:to>
    <xdr:sp>
      <xdr:nvSpPr>
        <xdr:cNvPr id="6" name="Rectangle 2">
          <a:extLst>
            <a:ext uri="{FF2B5EF4-FFF2-40B4-BE49-F238E27FC236}">
              <a16:creationId xmlns:a16="http://schemas.microsoft.com/office/drawing/2014/main" id="{502622CE-DEC9-4401-9043-4871F6C22E07}"/>
            </a:ext>
          </a:extLst>
        </xdr:cNvPr>
        <xdr:cNvSpPr/>
      </xdr:nvSpPr>
      <xdr:spPr>
        <a:xfrm>
          <a:off x="1257300" y="10868025"/>
          <a:ext cx="7477125" cy="45720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3: Custom Metrics</a:t>
          </a:r>
          <a:endParaRPr lang="en-GB" sz="1200" b="1" kern="1200">
            <a:solidFill>
              <a:srgbClr val="000000"/>
            </a:solidFill>
          </a:endParaRPr>
        </a:p>
      </xdr:txBody>
    </xdr:sp>
    <xdr:clientData/>
  </xdr:twoCellAnchor>
  <xdr:twoCellAnchor>
    <xdr:from>
      <xdr:col>17</xdr:col>
      <xdr:colOff>119223</xdr:colOff>
      <xdr:row>43</xdr:row>
      <xdr:rowOff>201706</xdr:rowOff>
    </xdr:from>
    <xdr:to>
      <xdr:col>20</xdr:col>
      <xdr:colOff>0</xdr:colOff>
      <xdr:row>56</xdr:row>
      <xdr:rowOff>235323</xdr:rowOff>
    </xdr:to>
    <xdr:sp>
      <xdr:nvSpPr>
        <xdr:cNvPr id="7" name="Rectangle 79">
          <a:extLst>
            <a:ext uri="{FF2B5EF4-FFF2-40B4-BE49-F238E27FC236}">
              <a16:creationId xmlns:a16="http://schemas.microsoft.com/office/drawing/2014/main" id="{201CCA05-F511-0FDD-122D-BFF838B13D10}"/>
            </a:ext>
          </a:extLst>
        </xdr:cNvPr>
        <xdr:cNvSpPr/>
      </xdr:nvSpPr>
      <xdr:spPr>
        <a:xfrm>
          <a:off x="1257300" y="11296650"/>
          <a:ext cx="7477125" cy="3629025"/>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0" kern="1700" spc="0">
              <a:solidFill>
                <a:srgbClr val="000000"/>
              </a:solidFill>
            </a:rPr>
            <a:t>This new layout gives you full autonomy to define your own performance metrics, with complete transparency into how each calculation is derived.</a:t>
          </a:r>
        </a:p>
        <a:p>
          <a:pPr algn="l"/>
          <a:endParaRPr lang="en-GB" sz="1200" b="0" kern="1700" spc="0">
            <a:solidFill>
              <a:srgbClr val="000000"/>
            </a:solidFill>
            <a:latin typeface="+mn-lt"/>
            <a:ea typeface="+mn-ea"/>
            <a:cs typeface="+mn-cs"/>
          </a:endParaRPr>
        </a:p>
        <a:p>
          <a:pPr algn="l"/>
          <a:r>
            <a:rPr lang="en-GB" sz="1200" b="1" kern="1700" spc="0">
              <a:solidFill>
                <a:srgbClr val="000000"/>
              </a:solidFill>
              <a:latin typeface="+mn-lt"/>
              <a:ea typeface="+mn-ea"/>
              <a:cs typeface="+mn-cs"/>
            </a:rPr>
            <a:t>In lines 45 to 54, </a:t>
          </a:r>
          <a:r>
            <a:rPr lang="en-GB" sz="1200" b="0" kern="1700" spc="0">
              <a:solidFill>
                <a:srgbClr val="000000"/>
              </a:solidFill>
              <a:latin typeface="+mn-lt"/>
              <a:ea typeface="+mn-ea"/>
              <a:cs typeface="+mn-cs"/>
            </a:rPr>
            <a:t>you can input custom metrics that should be </a:t>
          </a:r>
          <a:r>
            <a:rPr lang="en-GB" sz="1200" b="1" kern="1700" spc="0">
              <a:solidFill>
                <a:srgbClr val="000000"/>
              </a:solidFill>
              <a:latin typeface="+mn-lt"/>
              <a:ea typeface="+mn-ea"/>
              <a:cs typeface="+mn-cs"/>
            </a:rPr>
            <a:t>reported exactly as entered</a:t>
          </a:r>
          <a:r>
            <a:rPr lang="en-GB" sz="1200" b="0" kern="1700" spc="0">
              <a:solidFill>
                <a:srgbClr val="000000"/>
              </a:solidFill>
              <a:latin typeface="+mn-lt"/>
              <a:ea typeface="+mn-ea"/>
              <a:cs typeface="+mn-cs"/>
            </a:rPr>
            <a:t>. Combined with the standard fields already available in the main P&amp;L statement, this section empowers you to build out tailored metrics that better reflect the nuances of your portfolio. In the section </a:t>
          </a:r>
          <a:r>
            <a:rPr lang="en-GB" sz="1200" b="1" kern="1700" spc="0">
              <a:solidFill>
                <a:srgbClr val="000000"/>
              </a:solidFill>
              <a:latin typeface="+mn-lt"/>
              <a:ea typeface="+mn-ea"/>
              <a:cs typeface="+mn-cs"/>
            </a:rPr>
            <a:t>from line 250 onwards</a:t>
          </a:r>
          <a:r>
            <a:rPr lang="en-GB" sz="1200" b="0" kern="1700" spc="0">
              <a:solidFill>
                <a:srgbClr val="000000"/>
              </a:solidFill>
              <a:latin typeface="+mn-lt"/>
              <a:ea typeface="+mn-ea"/>
              <a:cs typeface="+mn-cs"/>
            </a:rPr>
            <a:t>, you can configure derived metrics using three simple selectors:</a:t>
          </a:r>
        </a:p>
        <a:p>
          <a:pPr algn="l"/>
          <a:r>
            <a:rPr lang="en-GB" sz="1200" b="1" kern="1700" spc="0">
              <a:solidFill>
                <a:srgbClr val="000000"/>
              </a:solidFill>
              <a:latin typeface="+mn-lt"/>
              <a:ea typeface="+mn-ea"/>
              <a:cs typeface="+mn-cs"/>
            </a:rPr>
            <a:t>Sign / Scenario / Label</a:t>
          </a:r>
        </a:p>
        <a:p>
          <a:pPr algn="l"/>
          <a:endParaRPr lang="en-GB" sz="1200" b="1" kern="1700" spc="0">
            <a:solidFill>
              <a:srgbClr val="000000"/>
            </a:solidFill>
            <a:latin typeface="+mn-lt"/>
            <a:ea typeface="+mn-ea"/>
            <a:cs typeface="+mn-cs"/>
          </a:endParaRPr>
        </a:p>
        <a:p>
          <a:pPr algn="l"/>
          <a:r>
            <a:rPr lang="en-GB" sz="1200" b="0" kern="1700" spc="0">
              <a:solidFill>
                <a:srgbClr val="000000"/>
              </a:solidFill>
              <a:latin typeface="+mn-lt"/>
              <a:ea typeface="+mn-ea"/>
              <a:cs typeface="+mn-cs"/>
            </a:rPr>
            <a:t>Once selected, the template applies the calculation logic automatically, and the resulting values will populate </a:t>
          </a:r>
          <a:r>
            <a:rPr lang="en-GB" sz="1200" b="1" kern="1700" spc="0">
              <a:solidFill>
                <a:srgbClr val="000000"/>
              </a:solidFill>
              <a:latin typeface="+mn-lt"/>
              <a:ea typeface="+mn-ea"/>
              <a:cs typeface="+mn-cs"/>
            </a:rPr>
            <a:t>between lines 57 and 66</a:t>
          </a:r>
          <a:r>
            <a:rPr lang="en-GB" sz="1200" b="0" kern="1700" spc="0">
              <a:solidFill>
                <a:srgbClr val="000000"/>
              </a:solidFill>
              <a:latin typeface="+mn-lt"/>
              <a:ea typeface="+mn-ea"/>
              <a:cs typeface="+mn-cs"/>
            </a:rPr>
            <a:t>. (you</a:t>
          </a:r>
          <a:r>
            <a:rPr lang="en-GB" sz="1200" b="0" kern="1700" spc="0" baseline="0">
              <a:solidFill>
                <a:srgbClr val="000000"/>
              </a:solidFill>
              <a:latin typeface="+mn-lt"/>
              <a:ea typeface="+mn-ea"/>
              <a:cs typeface="+mn-cs"/>
            </a:rPr>
            <a:t> also have a hyperlink in column AA (Define) to take you to the definition.)</a:t>
          </a:r>
          <a:endParaRPr lang="en-GB" sz="1200" b="0" kern="1700" spc="0">
            <a:solidFill>
              <a:srgbClr val="000000"/>
            </a:solidFill>
            <a:latin typeface="+mn-lt"/>
            <a:ea typeface="+mn-ea"/>
            <a:cs typeface="+mn-cs"/>
          </a:endParaRPr>
        </a:p>
        <a:p>
          <a:pPr algn="l"/>
          <a:r>
            <a:rPr lang="en-GB" sz="1200" b="0" kern="1700" spc="0">
              <a:solidFill>
                <a:srgbClr val="000000"/>
              </a:solidFill>
              <a:latin typeface="+mn-lt"/>
              <a:ea typeface="+mn-ea"/>
              <a:cs typeface="+mn-cs"/>
            </a:rPr>
            <a:t> </a:t>
          </a:r>
        </a:p>
        <a:p>
          <a:pPr algn="l"/>
          <a:r>
            <a:rPr lang="en-GB" sz="1200" b="0" kern="1700" spc="0">
              <a:solidFill>
                <a:srgbClr val="000000"/>
              </a:solidFill>
              <a:latin typeface="+mn-lt"/>
              <a:ea typeface="+mn-ea"/>
              <a:cs typeface="+mn-cs"/>
            </a:rPr>
            <a:t>As with the rest of the template, the white cells are your action points. Use the Tab key to move through the inputs efficiently — it’s deliberately designed to guide your workflow and maintain consistency across the monthly pack.</a:t>
          </a:r>
        </a:p>
        <a:p>
          <a:pPr algn="l"/>
          <a:endParaRPr lang="en-GB" sz="1200" b="0" kern="1700" spc="0">
            <a:solidFill>
              <a:srgbClr val="000000"/>
            </a:solidFill>
            <a:latin typeface="+mn-lt"/>
            <a:ea typeface="+mn-ea"/>
            <a:cs typeface="+mn-cs"/>
          </a:endParaRPr>
        </a:p>
        <a:p>
          <a:pPr algn="l"/>
          <a:r>
            <a:rPr lang="en-GB" sz="1200" b="1" kern="1700" spc="0">
              <a:solidFill>
                <a:srgbClr val="000000"/>
              </a:solidFill>
              <a:latin typeface="+mn-lt"/>
              <a:ea typeface="+mn-ea"/>
              <a:cs typeface="+mn-cs"/>
            </a:rPr>
            <a:t>Double</a:t>
          </a:r>
          <a:r>
            <a:rPr lang="en-GB" sz="1200" b="1" kern="1700" spc="0" baseline="0">
              <a:solidFill>
                <a:srgbClr val="000000"/>
              </a:solidFill>
              <a:latin typeface="+mn-lt"/>
              <a:ea typeface="+mn-ea"/>
              <a:cs typeface="+mn-cs"/>
            </a:rPr>
            <a:t> check the annual summary </a:t>
          </a:r>
          <a:r>
            <a:rPr lang="en-GB" sz="1200" b="0" kern="1700" spc="0" baseline="0">
              <a:solidFill>
                <a:srgbClr val="000000"/>
              </a:solidFill>
              <a:latin typeface="+mn-lt"/>
              <a:ea typeface="+mn-ea"/>
              <a:cs typeface="+mn-cs"/>
            </a:rPr>
            <a:t>section when setting up for the first time. if any figure doesn't look right for example, aggregation logic cannot be simple summation, please contact us as soon as you can. </a:t>
          </a:r>
          <a:endParaRPr lang="en-GB" sz="1200" b="0" kern="1700" spc="0">
            <a:solidFill>
              <a:srgbClr val="000000"/>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18</xdr:col>
      <xdr:colOff>0</xdr:colOff>
      <xdr:row>24</xdr:row>
      <xdr:rowOff>0</xdr:rowOff>
    </xdr:from>
    <xdr:to>
      <xdr:col>20</xdr:col>
      <xdr:colOff>0</xdr:colOff>
      <xdr:row>26</xdr:row>
      <xdr:rowOff>0</xdr:rowOff>
    </xdr:to>
    <xdr:sp>
      <xdr:nvSpPr>
        <xdr:cNvPr id="16" name="Rectangle 85">
          <a:extLst>
            <a:ext uri="{FF2B5EF4-FFF2-40B4-BE49-F238E27FC236}">
              <a16:creationId xmlns:a16="http://schemas.microsoft.com/office/drawing/2014/main" id="{E00D3F2D-4F85-4539-80EB-AFA6E4E1053F}"/>
            </a:ext>
          </a:extLst>
        </xdr:cNvPr>
        <xdr:cNvSpPr/>
      </xdr:nvSpPr>
      <xdr:spPr>
        <a:xfrm>
          <a:off x="1314450" y="7058025"/>
          <a:ext cx="8591550" cy="533400"/>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050" b="0" kern="1200">
              <a:solidFill>
                <a:srgbClr val="C00000"/>
              </a:solidFill>
            </a:rPr>
            <a:t>Do not group multiple debt Items into a single line. Accurate liquidity and valuation analysis depend on the granularity of debt reporting.</a:t>
          </a:r>
        </a:p>
      </xdr:txBody>
    </xdr:sp>
    <xdr:clientData/>
  </xdr:twoCellAnchor>
  <xdr:twoCellAnchor>
    <xdr:from>
      <xdr:col>18</xdr:col>
      <xdr:colOff>0</xdr:colOff>
      <xdr:row>18</xdr:row>
      <xdr:rowOff>0</xdr:rowOff>
    </xdr:from>
    <xdr:to>
      <xdr:col>20</xdr:col>
      <xdr:colOff>0</xdr:colOff>
      <xdr:row>24</xdr:row>
      <xdr:rowOff>0</xdr:rowOff>
    </xdr:to>
    <xdr:sp>
      <xdr:nvSpPr>
        <xdr:cNvPr id="11" name="Rectangle 9">
          <a:extLst>
            <a:ext uri="{FF2B5EF4-FFF2-40B4-BE49-F238E27FC236}">
              <a16:creationId xmlns:a16="http://schemas.microsoft.com/office/drawing/2014/main" id="{47685F9B-DEAB-424F-A0A4-70918883D206}"/>
            </a:ext>
          </a:extLst>
        </xdr:cNvPr>
        <xdr:cNvSpPr/>
      </xdr:nvSpPr>
      <xdr:spPr>
        <a:xfrm>
          <a:off x="1314450" y="5419725"/>
          <a:ext cx="8591550" cy="1638300"/>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1" kern="1700" spc="0">
              <a:solidFill>
                <a:srgbClr val="000000"/>
              </a:solidFill>
            </a:rPr>
            <a:t>Task</a:t>
          </a:r>
          <a:r>
            <a:rPr lang="en-GB" sz="1200" b="0" kern="1700" spc="0">
              <a:solidFill>
                <a:srgbClr val="000000"/>
              </a:solidFill>
            </a:rPr>
            <a:t>: Please</a:t>
          </a:r>
          <a:r>
            <a:rPr lang="en-GB" sz="1200" b="0" kern="1700" spc="0" baseline="0">
              <a:solidFill>
                <a:srgbClr val="000000"/>
              </a:solidFill>
            </a:rPr>
            <a:t> provide the company's actual monthly balance sheet data for the last 36 months. Following the initial submission, you will only be required to add the most recent month's data and review historical data for potential typos. Acutal data should not be restated to reflect changes in perimeter.</a:t>
          </a:r>
        </a:p>
        <a:p>
          <a:pPr algn="l"/>
          <a:endParaRPr lang="en-GB" sz="1200" b="0" kern="1700" spc="0" baseline="0">
            <a:solidFill>
              <a:srgbClr val="000000"/>
            </a:solidFill>
          </a:endParaRPr>
        </a:p>
        <a:p>
          <a:pPr algn="l"/>
          <a:r>
            <a:rPr lang="en-GB" sz="1200" b="0" kern="1700" spc="0" baseline="0">
              <a:solidFill>
                <a:srgbClr val="000000"/>
              </a:solidFill>
            </a:rPr>
            <a:t>The goal is to build a clear view of the company's financial position over time.</a:t>
          </a:r>
        </a:p>
        <a:p>
          <a:pPr algn="l"/>
          <a:endParaRPr lang="en-GB" sz="1200" b="0" kern="1700" spc="0" baseline="0">
            <a:solidFill>
              <a:srgbClr val="000000"/>
            </a:solidFill>
          </a:endParaRPr>
        </a:p>
        <a:p>
          <a:pPr algn="l"/>
          <a:endParaRPr lang="en-GB" sz="1200" b="0" kern="1700" spc="0" baseline="0">
            <a:solidFill>
              <a:srgbClr val="000000"/>
            </a:solidFill>
          </a:endParaRPr>
        </a:p>
        <a:p>
          <a:pPr algn="l"/>
          <a:endParaRPr lang="en-GB" sz="1050" b="0" kern="1700" spc="0">
            <a:solidFill>
              <a:srgbClr val="000000"/>
            </a:solidFill>
          </a:endParaRPr>
        </a:p>
      </xdr:txBody>
    </xdr:sp>
    <xdr:clientData/>
  </xdr:twoCellAnchor>
  <xdr:twoCellAnchor editAs="oneCell">
    <xdr:from>
      <xdr:col>18</xdr:col>
      <xdr:colOff>165687</xdr:colOff>
      <xdr:row>24</xdr:row>
      <xdr:rowOff>89647</xdr:rowOff>
    </xdr:from>
    <xdr:to>
      <xdr:col>18</xdr:col>
      <xdr:colOff>439697</xdr:colOff>
      <xdr:row>25</xdr:row>
      <xdr:rowOff>169003</xdr:rowOff>
    </xdr:to>
    <xdr:pic>
      <xdr:nvPicPr>
        <xdr:cNvPr id="19" name="Picture 4">
          <a:extLst>
            <a:ext uri="{FF2B5EF4-FFF2-40B4-BE49-F238E27FC236}">
              <a16:creationId xmlns:a16="http://schemas.microsoft.com/office/drawing/2014/main" id="{B3A6D1F5-CB1C-4D0A-8F5D-EB74F272E33B}"/>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a:off x="1476375" y="7143750"/>
          <a:ext cx="276225" cy="342900"/>
        </a:xfrm>
        <a:prstGeom prst="rect"/>
      </xdr:spPr>
    </xdr:pic>
    <xdr:clientData/>
  </xdr:twoCellAnchor>
  <xdr:twoCellAnchor>
    <xdr:from>
      <xdr:col>18</xdr:col>
      <xdr:colOff>0</xdr:colOff>
      <xdr:row>15</xdr:row>
      <xdr:rowOff>201705</xdr:rowOff>
    </xdr:from>
    <xdr:to>
      <xdr:col>20</xdr:col>
      <xdr:colOff>0</xdr:colOff>
      <xdr:row>17</xdr:row>
      <xdr:rowOff>0</xdr:rowOff>
    </xdr:to>
    <xdr:sp>
      <xdr:nvSpPr>
        <xdr:cNvPr id="8" name="Rectangle 2">
          <a:extLst>
            <a:ext uri="{FF2B5EF4-FFF2-40B4-BE49-F238E27FC236}">
              <a16:creationId xmlns:a16="http://schemas.microsoft.com/office/drawing/2014/main" id="{9E274E36-DFF2-4CC8-B7FB-5454C0EC52D0}"/>
            </a:ext>
          </a:extLst>
        </xdr:cNvPr>
        <xdr:cNvSpPr/>
      </xdr:nvSpPr>
      <xdr:spPr>
        <a:xfrm>
          <a:off x="1314450" y="4733925"/>
          <a:ext cx="8591550" cy="42862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Map Company Accounts (REQUIRED)</a:t>
          </a:r>
        </a:p>
      </xdr:txBody>
    </xdr:sp>
    <xdr:clientData/>
  </xdr:twoCellAnchor>
  <xdr:twoCellAnchor>
    <xdr:from>
      <xdr:col>18</xdr:col>
      <xdr:colOff>0</xdr:colOff>
      <xdr:row>57</xdr:row>
      <xdr:rowOff>0</xdr:rowOff>
    </xdr:from>
    <xdr:to>
      <xdr:col>19</xdr:col>
      <xdr:colOff>5591736</xdr:colOff>
      <xdr:row>58</xdr:row>
      <xdr:rowOff>0</xdr:rowOff>
    </xdr:to>
    <xdr:sp>
      <xdr:nvSpPr>
        <xdr:cNvPr id="25" name="Rectangle 2">
          <a:extLst>
            <a:ext uri="{FF2B5EF4-FFF2-40B4-BE49-F238E27FC236}">
              <a16:creationId xmlns:a16="http://schemas.microsoft.com/office/drawing/2014/main" id="{C7F11881-A667-4BA3-9DEC-B1849F9663F7}"/>
            </a:ext>
          </a:extLst>
        </xdr:cNvPr>
        <xdr:cNvSpPr/>
      </xdr:nvSpPr>
      <xdr:spPr>
        <a:xfrm>
          <a:off x="1314450" y="15830550"/>
          <a:ext cx="8524875" cy="22860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Map Company Budget Cash Flow Data (REQUIRED)</a:t>
          </a:r>
        </a:p>
      </xdr:txBody>
    </xdr:sp>
    <xdr:clientData/>
  </xdr:twoCellAnchor>
  <xdr:twoCellAnchor>
    <xdr:from>
      <xdr:col>18</xdr:col>
      <xdr:colOff>0</xdr:colOff>
      <xdr:row>59</xdr:row>
      <xdr:rowOff>0</xdr:rowOff>
    </xdr:from>
    <xdr:to>
      <xdr:col>20</xdr:col>
      <xdr:colOff>0</xdr:colOff>
      <xdr:row>65</xdr:row>
      <xdr:rowOff>70114</xdr:rowOff>
    </xdr:to>
    <xdr:sp>
      <xdr:nvSpPr>
        <xdr:cNvPr id="26" name="Rectangle 9">
          <a:extLst>
            <a:ext uri="{FF2B5EF4-FFF2-40B4-BE49-F238E27FC236}">
              <a16:creationId xmlns:a16="http://schemas.microsoft.com/office/drawing/2014/main" id="{38BCFEFB-B5CB-4D7D-B950-EDCF0A8073C0}"/>
            </a:ext>
          </a:extLst>
        </xdr:cNvPr>
        <xdr:cNvSpPr/>
      </xdr:nvSpPr>
      <xdr:spPr>
        <a:xfrm>
          <a:off x="1314450" y="16287750"/>
          <a:ext cx="8591550" cy="1781175"/>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1" kern="1700" spc="0">
              <a:solidFill>
                <a:srgbClr val="000000"/>
              </a:solidFill>
            </a:rPr>
            <a:t>Task</a:t>
          </a:r>
          <a:r>
            <a:rPr lang="en-GB" sz="1200" b="0" kern="1700" spc="0">
              <a:solidFill>
                <a:srgbClr val="000000"/>
              </a:solidFill>
            </a:rPr>
            <a:t>: Please provide monthly budget data. Reported figures must remain consistent with the initial</a:t>
          </a:r>
          <a:r>
            <a:rPr lang="en-GB" sz="1200" b="0" kern="1700" spc="0" baseline="0">
              <a:solidFill>
                <a:srgbClr val="000000"/>
              </a:solidFill>
            </a:rPr>
            <a:t> budget and should not be restated retrospectively. </a:t>
          </a:r>
        </a:p>
        <a:p>
          <a:pPr algn="l"/>
          <a:endParaRPr lang="en-GB" sz="1200" b="0" kern="1700" spc="0" baseline="0">
            <a:solidFill>
              <a:srgbClr val="000000"/>
            </a:solidFill>
          </a:endParaRPr>
        </a:p>
        <a:p>
          <a:pPr algn="l"/>
          <a:r>
            <a:rPr lang="en-GB" sz="1200" b="0" kern="1700" spc="0" baseline="0">
              <a:solidFill>
                <a:srgbClr val="000000"/>
              </a:solidFill>
            </a:rPr>
            <a:t>In your first submission, include all monthly budget data from the beginning of the year to date. For subsequent submissions, provide only the latest month's data</a:t>
          </a:r>
        </a:p>
        <a:p>
          <a:pPr algn="l"/>
          <a:endParaRPr lang="en-GB" sz="1200" b="0" kern="1700" spc="0" baseline="0">
            <a:solidFill>
              <a:srgbClr val="000000"/>
            </a:solidFill>
          </a:endParaRPr>
        </a:p>
        <a:p>
          <a:pPr algn="l"/>
          <a:endParaRPr lang="en-GB" sz="1200" b="0" kern="1700" spc="0" baseline="0">
            <a:solidFill>
              <a:srgbClr val="000000"/>
            </a:solidFill>
          </a:endParaRPr>
        </a:p>
        <a:p>
          <a:pPr algn="l"/>
          <a:endParaRPr lang="en-GB" sz="1050" b="0" kern="1700" spc="0">
            <a:solidFill>
              <a:srgbClr val="000000"/>
            </a:solidFill>
          </a:endParaRP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18</xdr:col>
      <xdr:colOff>0</xdr:colOff>
      <xdr:row>19</xdr:row>
      <xdr:rowOff>0</xdr:rowOff>
    </xdr:from>
    <xdr:to>
      <xdr:col>20</xdr:col>
      <xdr:colOff>0</xdr:colOff>
      <xdr:row>26</xdr:row>
      <xdr:rowOff>87475</xdr:rowOff>
    </xdr:to>
    <xdr:sp>
      <xdr:nvSpPr>
        <xdr:cNvPr id="25" name="TextBox 1">
          <a:extLst>
            <a:ext uri="{FF2B5EF4-FFF2-40B4-BE49-F238E27FC236}">
              <a16:creationId xmlns:a16="http://schemas.microsoft.com/office/drawing/2014/main" id="{A192FA1C-FFC3-4DEE-9480-F88E905B98C2}"/>
            </a:ext>
          </a:extLst>
        </xdr:cNvPr>
        <xdr:cNvSpPr txBox="1"/>
      </xdr:nvSpPr>
      <xdr:spPr>
        <a:xfrm>
          <a:off x="20202525" y="5591175"/>
          <a:ext cx="9124950" cy="1943100"/>
        </a:xfrm>
        <a:prstGeom prst="rect"/>
        <a:noFill/>
      </xdr:spPr>
      <xdr:txBody>
        <a:bodyPr lIns="0" tIns="0" rIns="0" bIns="0" vertOverflow="overflow" horzOverflow="overflow" wrap="square" rtlCol="0" anchor="t">
          <a:noAutofit/>
        </a:bodyPr>
        <a:lstStyle/>
        <a:p>
          <a:pPr algn="l"/>
          <a:r>
            <a:rPr lang="en-GB" sz="1200" b="1" kern="1200" dirty="0" err="1">
              <a:solidFill>
                <a:schemeClr val="tx2"/>
              </a:solidFill>
            </a:rPr>
            <a:t>Task</a:t>
          </a:r>
          <a:r>
            <a:rPr lang="en-GB" sz="1200" kern="1200" dirty="0" err="1">
              <a:solidFill>
                <a:schemeClr val="tx2"/>
              </a:solidFill>
            </a:rPr>
            <a:t>:</a:t>
          </a:r>
          <a:r>
            <a:rPr lang="en-GB" sz="1200" kern="1200" baseline="0" dirty="0" err="1">
              <a:solidFill>
                <a:schemeClr val="tx2"/>
              </a:solidFill>
            </a:rPr>
            <a:t> </a:t>
          </a:r>
          <a:r>
            <a:rPr lang="en-GB" sz="1200" kern="1200" baseline="0" dirty="0" err="1"/>
            <a:t>Please provide the company's actual monthly cash flow data for the last 36 months. Following the initial submission, you will only be required to add the most recent month's data and review historical data for potential typos. ACtual data should not be restated to reflect changes in perimeter.</a:t>
          </a:r>
        </a:p>
        <a:p>
          <a:pPr algn="l"/>
          <a:endParaRPr lang="en-GB" sz="1200" kern="1200" baseline="0" dirty="0" err="1"/>
        </a:p>
        <a:p>
          <a:pPr algn="l"/>
          <a:r>
            <a:rPr lang="en-GB" sz="1200" b="1" kern="1200" baseline="0" dirty="0" err="1">
              <a:solidFill>
                <a:schemeClr val="tx2"/>
              </a:solidFill>
            </a:rPr>
            <a:t>Statement Structure</a:t>
          </a:r>
          <a:r>
            <a:rPr lang="en-GB" sz="1200" kern="1200" baseline="0" dirty="0" err="1">
              <a:solidFill>
                <a:schemeClr val="tx2"/>
              </a:solidFill>
            </a:rPr>
            <a:t>: </a:t>
          </a:r>
        </a:p>
        <a:p>
          <a:pPr algn="l"/>
          <a:r>
            <a:rPr lang="en-GB" sz="1200" kern="1200" baseline="0" dirty="0" err="1"/>
            <a:t>The Calculation begins with Reported Ebitda, using the value shown in the P&amp;L sheet as the baseline. From there, results must be aligned with CVC's definition of Unlevered Free Cash Flow(UFCF), which is determined as UFCF = EBITDA - NWC- Capex - Cash - Taxes - VCP and Exceptional Costs. It is important to note that UFCF is calculated before financing proceeds, principal repayments, cash interest expense, and M&amp;A related cash flows. </a:t>
          </a:r>
        </a:p>
        <a:p>
          <a:pPr algn="l"/>
          <a:endParaRPr lang="en-GB" sz="1200" kern="1200" baseline="0" dirty="0" err="1"/>
        </a:p>
        <a:p>
          <a:pPr algn="l"/>
          <a:r>
            <a:rPr lang="en-GB" sz="1200" kern="1200" baseline="0" dirty="0" err="1"/>
            <a:t>Key cash metrics automatically calculated:</a:t>
          </a:r>
        </a:p>
        <a:p>
          <a:pPr algn="l"/>
          <a:r>
            <a:rPr lang="en-GB" sz="1200" kern="1200" baseline="0" dirty="0" err="1"/>
            <a:t>-Operating Cash Flow</a:t>
          </a:r>
        </a:p>
        <a:p>
          <a:pPr algn="l"/>
          <a:r>
            <a:rPr lang="en-GB" sz="1200" kern="1200" baseline="0" dirty="0" err="1"/>
            <a:t>- Unlevered Free Cash Flow (UFCF)</a:t>
          </a:r>
        </a:p>
        <a:p>
          <a:pPr algn="l"/>
          <a:r>
            <a:rPr lang="en-GB" sz="1200" kern="1200" baseline="0" dirty="0" err="1"/>
            <a:t>- Levered Free Cash Flow (LFCF)</a:t>
          </a:r>
        </a:p>
        <a:p>
          <a:pPr algn="l"/>
          <a:r>
            <a:rPr lang="en-GB" sz="1200" kern="1200" baseline="0" dirty="0" err="1"/>
            <a:t>- Net Cash Flow</a:t>
          </a:r>
        </a:p>
        <a:p>
          <a:pPr algn="l"/>
          <a:endParaRPr lang="en-GB" sz="1200" kern="1200" baseline="0" dirty="0" err="1"/>
        </a:p>
        <a:p>
          <a:pPr algn="l"/>
          <a:r>
            <a:rPr lang="en-GB" sz="1200" kern="1200" baseline="0" dirty="0" err="1"/>
            <a:t>IMPORTANT: Please add the current full financial year budget( and latest full financial year forecast as the budget is updated through the year) in the rightmost columns. The budget should be refreshed on december submission for each year (e.g. December 2024, submit Budget for FY 2025)</a:t>
          </a:r>
          <a:endParaRPr lang="en-GB" sz="1200" kern="1200" dirty="0" err="1"/>
        </a:p>
      </xdr:txBody>
    </xdr:sp>
    <xdr:clientData/>
  </xdr:twoCellAnchor>
  <xdr:twoCellAnchor>
    <xdr:from>
      <xdr:col>18</xdr:col>
      <xdr:colOff>0</xdr:colOff>
      <xdr:row>16</xdr:row>
      <xdr:rowOff>4059</xdr:rowOff>
    </xdr:from>
    <xdr:to>
      <xdr:col>20</xdr:col>
      <xdr:colOff>0</xdr:colOff>
      <xdr:row>18</xdr:row>
      <xdr:rowOff>0</xdr:rowOff>
    </xdr:to>
    <xdr:sp>
      <xdr:nvSpPr>
        <xdr:cNvPr id="41" name="Rectangle 2">
          <a:extLst>
            <a:ext uri="{FF2B5EF4-FFF2-40B4-BE49-F238E27FC236}">
              <a16:creationId xmlns:a16="http://schemas.microsoft.com/office/drawing/2014/main" id="{D08B5C13-1BE7-43D2-B7BC-A5BBC53B7677}"/>
            </a:ext>
          </a:extLst>
        </xdr:cNvPr>
        <xdr:cNvSpPr/>
      </xdr:nvSpPr>
      <xdr:spPr>
        <a:xfrm>
          <a:off x="20202525" y="4857750"/>
          <a:ext cx="9124950" cy="38100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Map Company Actual Cash Flow Data (REQUIRED)</a:t>
          </a:r>
        </a:p>
      </xdr:txBody>
    </xdr:sp>
    <xdr:clientData/>
  </xdr:twoCellAnchor>
  <xdr:twoCellAnchor>
    <xdr:from>
      <xdr:col>18</xdr:col>
      <xdr:colOff>0</xdr:colOff>
      <xdr:row>37</xdr:row>
      <xdr:rowOff>0</xdr:rowOff>
    </xdr:from>
    <xdr:to>
      <xdr:col>20</xdr:col>
      <xdr:colOff>0</xdr:colOff>
      <xdr:row>39</xdr:row>
      <xdr:rowOff>0</xdr:rowOff>
    </xdr:to>
    <xdr:sp>
      <xdr:nvSpPr>
        <xdr:cNvPr id="45" name="Rectangle 85">
          <a:extLst>
            <a:ext uri="{FF2B5EF4-FFF2-40B4-BE49-F238E27FC236}">
              <a16:creationId xmlns:a16="http://schemas.microsoft.com/office/drawing/2014/main" id="{E3E58C3C-D058-4A19-87A7-24C290996B0C}"/>
            </a:ext>
          </a:extLst>
        </xdr:cNvPr>
        <xdr:cNvSpPr/>
      </xdr:nvSpPr>
      <xdr:spPr>
        <a:xfrm>
          <a:off x="20202525" y="10382250"/>
          <a:ext cx="9124950" cy="419100"/>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050" b="0" kern="1200">
              <a:solidFill>
                <a:srgbClr val="C00000"/>
              </a:solidFill>
            </a:rPr>
            <a:t>Any</a:t>
          </a:r>
          <a:r>
            <a:rPr lang="en-GB" sz="1050" b="0" kern="1200" baseline="0">
              <a:solidFill>
                <a:srgbClr val="C00000"/>
              </a:solidFill>
            </a:rPr>
            <a:t> unexplained variance between calculated cash movements and the actual change in cash on the balance sheet will be captured in the "Unreconciled Cash Flow" line and reported accordingly.</a:t>
          </a:r>
          <a:endParaRPr lang="en-GB" sz="1050" b="0" kern="1200">
            <a:solidFill>
              <a:srgbClr val="C00000"/>
            </a:solidFill>
          </a:endParaRPr>
        </a:p>
      </xdr:txBody>
    </xdr:sp>
    <xdr:clientData/>
  </xdr:twoCellAnchor>
  <xdr:twoCellAnchor editAs="oneCell">
    <xdr:from>
      <xdr:col>18</xdr:col>
      <xdr:colOff>193027</xdr:colOff>
      <xdr:row>37</xdr:row>
      <xdr:rowOff>74645</xdr:rowOff>
    </xdr:from>
    <xdr:to>
      <xdr:col>18</xdr:col>
      <xdr:colOff>487892</xdr:colOff>
      <xdr:row>38</xdr:row>
      <xdr:rowOff>161648</xdr:rowOff>
    </xdr:to>
    <xdr:pic>
      <xdr:nvPicPr>
        <xdr:cNvPr id="6" name="Picture 5">
          <a:extLst>
            <a:ext uri="{FF2B5EF4-FFF2-40B4-BE49-F238E27FC236}">
              <a16:creationId xmlns:a16="http://schemas.microsoft.com/office/drawing/2014/main" id="{FA8E1D33-6209-4EB8-9A1B-5A231F01D2CA}"/>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a:off x="20393025" y="10458450"/>
          <a:ext cx="295275" cy="276225"/>
        </a:xfrm>
        <a:prstGeom prst="rect"/>
      </xdr:spPr>
    </xdr:pic>
    <xdr:clientData/>
  </xdr:twoCellAnchor>
  <xdr:twoCellAnchor>
    <xdr:from>
      <xdr:col>18</xdr:col>
      <xdr:colOff>0</xdr:colOff>
      <xdr:row>8</xdr:row>
      <xdr:rowOff>0</xdr:rowOff>
    </xdr:from>
    <xdr:to>
      <xdr:col>20</xdr:col>
      <xdr:colOff>0</xdr:colOff>
      <xdr:row>10</xdr:row>
      <xdr:rowOff>0</xdr:rowOff>
    </xdr:to>
    <xdr:sp>
      <xdr:nvSpPr>
        <xdr:cNvPr id="43" name="Rectangle 2">
          <a:extLst>
            <a:ext uri="{FF2B5EF4-FFF2-40B4-BE49-F238E27FC236}">
              <a16:creationId xmlns:a16="http://schemas.microsoft.com/office/drawing/2014/main" id="{EC470245-AE62-4029-90AA-A2CDCAB15932}"/>
            </a:ext>
          </a:extLst>
        </xdr:cNvPr>
        <xdr:cNvSpPr/>
      </xdr:nvSpPr>
      <xdr:spPr>
        <a:xfrm>
          <a:off x="20202525" y="2638425"/>
          <a:ext cx="9124950" cy="6762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Section</a:t>
          </a:r>
          <a:r>
            <a:rPr lang="en-GB" sz="1600" b="1" kern="1200" baseline="0">
              <a:solidFill>
                <a:srgbClr val="000000"/>
              </a:solidFill>
            </a:rPr>
            <a:t> Guidance for Completion</a:t>
          </a:r>
          <a:endParaRPr lang="en-GB" sz="1600" b="1" kern="1200">
            <a:solidFill>
              <a:srgbClr val="000000"/>
            </a:solidFill>
          </a:endParaRPr>
        </a:p>
      </xdr:txBody>
    </xdr:sp>
    <xdr:clientData/>
  </xdr:twoCellAnchor>
  <xdr:twoCellAnchor>
    <xdr:from>
      <xdr:col>18</xdr:col>
      <xdr:colOff>0</xdr:colOff>
      <xdr:row>40</xdr:row>
      <xdr:rowOff>0</xdr:rowOff>
    </xdr:from>
    <xdr:to>
      <xdr:col>20</xdr:col>
      <xdr:colOff>0</xdr:colOff>
      <xdr:row>42</xdr:row>
      <xdr:rowOff>1</xdr:rowOff>
    </xdr:to>
    <xdr:sp>
      <xdr:nvSpPr>
        <xdr:cNvPr id="44" name="Rectangle 2">
          <a:extLst>
            <a:ext uri="{FF2B5EF4-FFF2-40B4-BE49-F238E27FC236}">
              <a16:creationId xmlns:a16="http://schemas.microsoft.com/office/drawing/2014/main" id="{9755F5CD-4C6A-4129-8864-F3AA8755829D}"/>
            </a:ext>
          </a:extLst>
        </xdr:cNvPr>
        <xdr:cNvSpPr/>
      </xdr:nvSpPr>
      <xdr:spPr>
        <a:xfrm>
          <a:off x="20202525" y="10991850"/>
          <a:ext cx="9124950" cy="60960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Map Company Budget Cash Flow Data (REQUIRED)</a:t>
          </a:r>
        </a:p>
      </xdr:txBody>
    </xdr:sp>
    <xdr:clientData/>
  </xdr:twoCellAnchor>
  <xdr:twoCellAnchor>
    <xdr:from>
      <xdr:col>18</xdr:col>
      <xdr:colOff>28575</xdr:colOff>
      <xdr:row>42</xdr:row>
      <xdr:rowOff>123825</xdr:rowOff>
    </xdr:from>
    <xdr:to>
      <xdr:col>19</xdr:col>
      <xdr:colOff>5600701</xdr:colOff>
      <xdr:row>46</xdr:row>
      <xdr:rowOff>0</xdr:rowOff>
    </xdr:to>
    <xdr:sp>
      <xdr:nvSpPr>
        <xdr:cNvPr id="11" name="TextBox 1">
          <a:extLst>
            <a:ext uri="{FF2B5EF4-FFF2-40B4-BE49-F238E27FC236}">
              <a16:creationId xmlns:a16="http://schemas.microsoft.com/office/drawing/2014/main" id="{8A53EE81-61C4-4AD0-9052-50DB76017854}"/>
            </a:ext>
          </a:extLst>
        </xdr:cNvPr>
        <xdr:cNvSpPr txBox="1"/>
      </xdr:nvSpPr>
      <xdr:spPr>
        <a:xfrm>
          <a:off x="20231100" y="11725275"/>
          <a:ext cx="9039225" cy="1114425"/>
        </a:xfrm>
        <a:prstGeom prst="rect"/>
        <a:noFill/>
      </xdr:spPr>
      <xdr:txBody>
        <a:bodyPr lIns="0" tIns="0" rIns="0" bIns="0" vertOverflow="overflow" horzOverflow="overflow" wrap="square" rtlCol="0" anchor="t">
          <a:noAutofit/>
        </a:bodyPr>
        <a:lstStyle/>
        <a:p>
          <a:pPr algn="l"/>
          <a:r>
            <a:rPr lang="en-GB" sz="1200" b="1" kern="1200" dirty="0" err="1"/>
            <a:t>Task</a:t>
          </a:r>
          <a:r>
            <a:rPr lang="en-GB" sz="1200" kern="1200" dirty="0" err="1"/>
            <a:t>:</a:t>
          </a:r>
          <a:r>
            <a:rPr lang="en-GB" sz="1200" kern="1200" baseline="0" dirty="0" err="1"/>
            <a:t> In your first submission please provide the historical budget for the current year from January to current month. Following the initial submission, you will only be required to add the most recent month's data and review historical data for potential typos. Reported figures must remain consistent with the initial budget and should not be restated retrospectively. In the event of a significant development requiring a reforecast, the revised budget should be applied prospectively only, beginning with the month in which the event occurs. </a:t>
          </a:r>
          <a:endParaRPr lang="en-GB" sz="1200" kern="1200" dirty="0" err="1"/>
        </a:p>
      </xdr:txBody>
    </xdr:sp>
    <xdr:clientData/>
  </xdr:twoCellAnchor>
  <xdr:twoCellAnchor>
    <xdr:from>
      <xdr:col>18</xdr:col>
      <xdr:colOff>0</xdr:colOff>
      <xdr:row>48</xdr:row>
      <xdr:rowOff>0</xdr:rowOff>
    </xdr:from>
    <xdr:to>
      <xdr:col>20</xdr:col>
      <xdr:colOff>0</xdr:colOff>
      <xdr:row>50</xdr:row>
      <xdr:rowOff>142875</xdr:rowOff>
    </xdr:to>
    <xdr:sp>
      <xdr:nvSpPr>
        <xdr:cNvPr id="17" name="Rectangle 85">
          <a:extLst>
            <a:ext uri="{FF2B5EF4-FFF2-40B4-BE49-F238E27FC236}">
              <a16:creationId xmlns:a16="http://schemas.microsoft.com/office/drawing/2014/main" id="{7C69398F-E43D-4FCB-876F-EAE254E92813}"/>
            </a:ext>
          </a:extLst>
        </xdr:cNvPr>
        <xdr:cNvSpPr/>
      </xdr:nvSpPr>
      <xdr:spPr>
        <a:xfrm>
          <a:off x="20202525" y="13373100"/>
          <a:ext cx="9124950" cy="676275"/>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050" b="0" kern="1200">
              <a:solidFill>
                <a:srgbClr val="C00000"/>
              </a:solidFill>
            </a:rPr>
            <a:t>Any missing line above Levered Free Cash Flow will lead to an inaccurate Liquidity Ratio calculation</a:t>
          </a:r>
        </a:p>
      </xdr:txBody>
    </xdr:sp>
    <xdr:clientData/>
  </xdr:twoCellAnchor>
  <xdr:twoCellAnchor editAs="oneCell">
    <xdr:from>
      <xdr:col>18</xdr:col>
      <xdr:colOff>196850</xdr:colOff>
      <xdr:row>48</xdr:row>
      <xdr:rowOff>197909</xdr:rowOff>
    </xdr:from>
    <xdr:to>
      <xdr:col>18</xdr:col>
      <xdr:colOff>485365</xdr:colOff>
      <xdr:row>49</xdr:row>
      <xdr:rowOff>247228</xdr:rowOff>
    </xdr:to>
    <xdr:pic>
      <xdr:nvPicPr>
        <xdr:cNvPr id="18" name="Picture 12">
          <a:extLst>
            <a:ext uri="{FF2B5EF4-FFF2-40B4-BE49-F238E27FC236}">
              <a16:creationId xmlns:a16="http://schemas.microsoft.com/office/drawing/2014/main" id="{4CB82B94-127D-4419-8BB4-574518B620EE}"/>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a:off x="20402550" y="13573125"/>
          <a:ext cx="285750" cy="314325"/>
        </a:xfrm>
        <a:prstGeom prst="rect"/>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19</xdr:col>
      <xdr:colOff>40821</xdr:colOff>
      <xdr:row>10</xdr:row>
      <xdr:rowOff>81646</xdr:rowOff>
    </xdr:from>
    <xdr:to>
      <xdr:col>21</xdr:col>
      <xdr:colOff>40821</xdr:colOff>
      <xdr:row>12</xdr:row>
      <xdr:rowOff>149680</xdr:rowOff>
    </xdr:to>
    <xdr:sp>
      <xdr:nvSpPr>
        <xdr:cNvPr id="1249" name="TextBox 2">
          <a:extLst>
            <a:ext uri="{FF2B5EF4-FFF2-40B4-BE49-F238E27FC236}">
              <a16:creationId xmlns:a16="http://schemas.microsoft.com/office/drawing/2014/main" id="{41FFBA4E-78AF-E15A-E689-837EF827905D}"/>
            </a:ext>
          </a:extLst>
        </xdr:cNvPr>
        <xdr:cNvSpPr txBox="1"/>
      </xdr:nvSpPr>
      <xdr:spPr>
        <a:xfrm>
          <a:off x="20802600" y="3267075"/>
          <a:ext cx="10439400" cy="695325"/>
        </a:xfrm>
        <a:prstGeom prst="rect"/>
        <a:noFill/>
      </xdr:spPr>
      <xdr:txBody>
        <a:bodyPr lIns="0" tIns="0" rIns="0" bIns="0" vertOverflow="overflow" horzOverflow="overflow" wrap="square" rtlCol="0" anchor="t">
          <a:noAutofit/>
        </a:bodyPr>
        <a:lstStyle/>
        <a:p>
          <a:pPr/>
          <a:r>
            <a:rPr lang="en-GB" sz="1200" baseline="0">
              <a:solidFill>
                <a:srgbClr val="000000"/>
              </a:solidFill>
              <a:effectLst/>
              <a:latin typeface="+mn-lt"/>
              <a:ea typeface="+mn-ea"/>
              <a:cs typeface="+mn-cs"/>
            </a:rPr>
            <a:t>The purpose of the KPI collection section includes but not limited to:</a:t>
          </a:r>
          <a:endParaRPr lang="en-GB" sz="1200">
            <a:solidFill>
              <a:srgbClr val="000000"/>
            </a:solidFill>
            <a:effectLst/>
          </a:endParaRPr>
        </a:p>
        <a:p>
          <a:r>
            <a:rPr lang="en-GB" sz="1200" baseline="0">
              <a:solidFill>
                <a:srgbClr val="000000"/>
              </a:solidFill>
              <a:effectLst/>
              <a:latin typeface="+mn-lt"/>
              <a:ea typeface="+mn-ea"/>
              <a:cs typeface="+mn-cs"/>
            </a:rPr>
            <a:t>• Tracking the operational and financial health of each portfolio company, </a:t>
          </a:r>
          <a:endParaRPr lang="en-GB" sz="1200">
            <a:solidFill>
              <a:srgbClr val="000000"/>
            </a:solidFill>
            <a:effectLst/>
          </a:endParaRPr>
        </a:p>
        <a:p>
          <a:r>
            <a:rPr lang="en-GB" sz="1200" baseline="0">
              <a:solidFill>
                <a:srgbClr val="000000"/>
              </a:solidFill>
              <a:effectLst/>
              <a:latin typeface="+mn-lt"/>
              <a:ea typeface="+mn-ea"/>
              <a:cs typeface="+mn-cs"/>
            </a:rPr>
            <a:t>• Identifying trends, risks, and opportunities (Value Creation Tracking)</a:t>
          </a:r>
          <a:endParaRPr lang="en-GB" sz="1200">
            <a:solidFill>
              <a:srgbClr val="000000"/>
            </a:solidFill>
            <a:effectLst/>
          </a:endParaRPr>
        </a:p>
        <a:p>
          <a:r>
            <a:rPr lang="en-GB" sz="1200" baseline="0">
              <a:solidFill>
                <a:srgbClr val="000000"/>
              </a:solidFill>
              <a:effectLst/>
              <a:latin typeface="+mn-lt"/>
              <a:ea typeface="+mn-ea"/>
              <a:cs typeface="+mn-cs"/>
            </a:rPr>
            <a:t>• Validating investmnet and valuation assumptions. </a:t>
          </a:r>
          <a:endParaRPr lang="en-GB" sz="1200">
            <a:solidFill>
              <a:srgbClr val="000000"/>
            </a:solidFill>
            <a:effectLst/>
          </a:endParaRPr>
        </a:p>
        <a:p>
          <a:endParaRPr lang="en-GB" sz="1200">
            <a:solidFill>
              <a:srgbClr val="000000"/>
            </a:solidFill>
            <a:effectLst/>
            <a:latin typeface="+mn-lt"/>
            <a:ea typeface="+mn-ea"/>
            <a:cs typeface="+mn-cs"/>
          </a:endParaRPr>
        </a:p>
        <a:p>
          <a:endParaRPr lang="en-GB" sz="1200">
            <a:solidFill>
              <a:srgbClr val="000000"/>
            </a:solidFill>
            <a:effectLst/>
            <a:latin typeface="+mn-lt"/>
            <a:ea typeface="+mn-ea"/>
            <a:cs typeface="+mn-cs"/>
          </a:endParaRPr>
        </a:p>
        <a:p>
          <a:pPr algn="l"/>
          <a:r>
            <a:rPr lang="en-GB" sz="1200" baseline="0" dirty="0" err="1">
              <a:latin typeface="+mn-lt"/>
              <a:ea typeface="+mn-ea"/>
              <a:cs typeface="+mn-cs"/>
            </a:rPr>
            <a:t>.</a:t>
          </a:r>
        </a:p>
        <a:p>
          <a:pPr algn="l"/>
          <a:endParaRPr lang="en-GB" sz="1200" baseline="0" dirty="0" err="1">
            <a:latin typeface="+mn-lt"/>
            <a:ea typeface="+mn-ea"/>
            <a:cs typeface="+mn-cs"/>
          </a:endParaRPr>
        </a:p>
        <a:p>
          <a:pPr algn="l"/>
          <a:endParaRPr lang="en-GB" sz="1200" baseline="0" dirty="0" err="1">
            <a:latin typeface="+mn-lt"/>
            <a:ea typeface="+mn-ea"/>
            <a:cs typeface="+mn-cs"/>
          </a:endParaRPr>
        </a:p>
      </xdr:txBody>
    </xdr:sp>
    <xdr:clientData/>
  </xdr:twoCellAnchor>
  <xdr:twoCellAnchor>
    <xdr:from>
      <xdr:col>19</xdr:col>
      <xdr:colOff>0</xdr:colOff>
      <xdr:row>34</xdr:row>
      <xdr:rowOff>0</xdr:rowOff>
    </xdr:from>
    <xdr:to>
      <xdr:col>21</xdr:col>
      <xdr:colOff>1</xdr:colOff>
      <xdr:row>40</xdr:row>
      <xdr:rowOff>244928</xdr:rowOff>
    </xdr:to>
    <xdr:sp>
      <xdr:nvSpPr>
        <xdr:cNvPr id="2" name="TextBox 2">
          <a:extLst>
            <a:ext uri="{FF2B5EF4-FFF2-40B4-BE49-F238E27FC236}">
              <a16:creationId xmlns:a16="http://schemas.microsoft.com/office/drawing/2014/main" id="{BB11F085-C3E9-CA15-A206-5BDB22AC84E4}"/>
            </a:ext>
          </a:extLst>
        </xdr:cNvPr>
        <xdr:cNvSpPr txBox="1"/>
      </xdr:nvSpPr>
      <xdr:spPr>
        <a:xfrm>
          <a:off x="20764500" y="8839200"/>
          <a:ext cx="10439400" cy="2762250"/>
        </a:xfrm>
        <a:prstGeom prst="rect"/>
        <a:noFill/>
      </xdr:spPr>
      <xdr:txBody>
        <a:bodyPr lIns="0" tIns="0" rIns="0" bIns="0" vertOverflow="overflow" horzOverflow="overflow" wrap="square" rtlCol="0" anchor="t">
          <a:noAutofit/>
        </a:bodyPr>
        <a:lstStyle/>
        <a:p>
          <a:endParaRPr lang="en-GB" sz="1200">
            <a:solidFill>
              <a:srgbClr val="000000"/>
            </a:solidFill>
            <a:effectLst/>
            <a:latin typeface="+mn-lt"/>
            <a:ea typeface="+mn-ea"/>
            <a:cs typeface="+mn-cs"/>
          </a:endParaRPr>
        </a:p>
        <a:p>
          <a:r>
            <a:rPr lang="en-GB" sz="1200" b="1">
              <a:solidFill>
                <a:schemeClr val="tx2"/>
              </a:solidFill>
              <a:effectLst/>
              <a:latin typeface="+mn-lt"/>
              <a:ea typeface="+mn-ea"/>
              <a:cs typeface="+mn-cs"/>
            </a:rPr>
            <a:t>KPI</a:t>
          </a:r>
          <a:r>
            <a:rPr lang="en-GB" sz="1200" b="1" baseline="0">
              <a:solidFill>
                <a:schemeClr val="tx2"/>
              </a:solidFill>
              <a:effectLst/>
              <a:latin typeface="+mn-lt"/>
              <a:ea typeface="+mn-ea"/>
              <a:cs typeface="+mn-cs"/>
            </a:rPr>
            <a:t> Cycles (Frequencies)</a:t>
          </a:r>
          <a:endParaRPr lang="en-GB" sz="1200" b="1">
            <a:solidFill>
              <a:schemeClr val="tx2"/>
            </a:solidFill>
            <a:effectLst/>
            <a:latin typeface="+mn-lt"/>
            <a:ea typeface="+mn-ea"/>
            <a:cs typeface="+mn-cs"/>
          </a:endParaRPr>
        </a:p>
        <a:p>
          <a:r>
            <a:rPr lang="en-GB" sz="1200">
              <a:solidFill>
                <a:srgbClr val="000000"/>
              </a:solidFill>
              <a:effectLst/>
              <a:latin typeface="+mn-lt"/>
              <a:ea typeface="+mn-ea"/>
              <a:cs typeface="+mn-cs"/>
            </a:rPr>
            <a:t>Despite assigned as</a:t>
          </a:r>
          <a:r>
            <a:rPr lang="en-GB" sz="1200" b="1">
              <a:solidFill>
                <a:srgbClr val="000000"/>
              </a:solidFill>
              <a:effectLst/>
              <a:latin typeface="+mn-lt"/>
              <a:ea typeface="+mn-ea"/>
              <a:cs typeface="+mn-cs"/>
            </a:rPr>
            <a:t> monthly</a:t>
          </a:r>
          <a:r>
            <a:rPr lang="en-GB" sz="1200" b="0" baseline="0">
              <a:solidFill>
                <a:srgbClr val="000000"/>
              </a:solidFill>
              <a:effectLst/>
              <a:latin typeface="+mn-lt"/>
              <a:ea typeface="+mn-ea"/>
              <a:cs typeface="+mn-cs"/>
            </a:rPr>
            <a:t> task, it can capture </a:t>
          </a:r>
          <a:r>
            <a:rPr lang="en-GB" sz="1200" b="1">
              <a:solidFill>
                <a:srgbClr val="000000"/>
              </a:solidFill>
              <a:effectLst/>
              <a:latin typeface="+mn-lt"/>
              <a:ea typeface="+mn-ea"/>
              <a:cs typeface="+mn-cs"/>
            </a:rPr>
            <a:t>quarterly and</a:t>
          </a:r>
          <a:r>
            <a:rPr lang="en-GB" sz="1200" b="1" baseline="0">
              <a:solidFill>
                <a:srgbClr val="000000"/>
              </a:solidFill>
              <a:effectLst/>
              <a:latin typeface="+mn-lt"/>
              <a:ea typeface="+mn-ea"/>
              <a:cs typeface="+mn-cs"/>
            </a:rPr>
            <a:t> </a:t>
          </a:r>
          <a:r>
            <a:rPr lang="en-GB" sz="1200" b="1">
              <a:solidFill>
                <a:srgbClr val="000000"/>
              </a:solidFill>
              <a:effectLst/>
              <a:latin typeface="+mn-lt"/>
              <a:ea typeface="+mn-ea"/>
              <a:cs typeface="+mn-cs"/>
            </a:rPr>
            <a:t>annual KPIs</a:t>
          </a:r>
          <a:r>
            <a:rPr lang="en-GB" sz="1200">
              <a:solidFill>
                <a:srgbClr val="000000"/>
              </a:solidFill>
              <a:effectLst/>
              <a:latin typeface="+mn-lt"/>
              <a:ea typeface="+mn-ea"/>
              <a:cs typeface="+mn-cs"/>
            </a:rPr>
            <a:t>, you may keep the  cell</a:t>
          </a:r>
          <a:r>
            <a:rPr lang="en-GB" sz="1200" baseline="0">
              <a:solidFill>
                <a:srgbClr val="000000"/>
              </a:solidFill>
              <a:effectLst/>
              <a:latin typeface="+mn-lt"/>
              <a:ea typeface="+mn-ea"/>
              <a:cs typeface="+mn-cs"/>
            </a:rPr>
            <a:t> blank (not zero) when</a:t>
          </a:r>
          <a:r>
            <a:rPr lang="en-GB" sz="1200">
              <a:solidFill>
                <a:srgbClr val="000000"/>
              </a:solidFill>
              <a:effectLst/>
              <a:latin typeface="+mn-lt"/>
              <a:ea typeface="+mn-ea"/>
              <a:cs typeface="+mn-cs"/>
            </a:rPr>
            <a:t> no data is reported.</a:t>
          </a:r>
        </a:p>
        <a:p>
          <a:endParaRPr lang="en-GB" sz="1200">
            <a:solidFill>
              <a:srgbClr val="000000"/>
            </a:solidFill>
            <a:effectLst/>
            <a:latin typeface="+mn-lt"/>
            <a:ea typeface="+mn-ea"/>
            <a:cs typeface="+mn-cs"/>
          </a:endParaRPr>
        </a:p>
        <a:p>
          <a:r>
            <a:rPr lang="en-GB" sz="1200" b="1">
              <a:solidFill>
                <a:schemeClr val="tx2"/>
              </a:solidFill>
              <a:effectLst/>
              <a:latin typeface="+mn-lt"/>
              <a:ea typeface="+mn-ea"/>
              <a:cs typeface="+mn-cs"/>
            </a:rPr>
            <a:t>Older Data</a:t>
          </a:r>
          <a:endParaRPr lang="en-GB" sz="1200" b="1">
            <a:solidFill>
              <a:schemeClr val="tx2"/>
            </a:solidFill>
            <a:effectLst/>
          </a:endParaRPr>
        </a:p>
        <a:p>
          <a:r>
            <a:rPr lang="en-GB" sz="1200">
              <a:solidFill>
                <a:srgbClr val="000000"/>
              </a:solidFill>
              <a:effectLst/>
              <a:latin typeface="+mn-lt"/>
              <a:ea typeface="+mn-ea"/>
              <a:cs typeface="+mn-cs"/>
            </a:rPr>
            <a:t>The main reporting timeline aligns wit</a:t>
          </a:r>
          <a:r>
            <a:rPr lang="en-GB" sz="1200" baseline="0">
              <a:solidFill>
                <a:srgbClr val="000000"/>
              </a:solidFill>
              <a:effectLst/>
              <a:latin typeface="+mn-lt"/>
              <a:ea typeface="+mn-ea"/>
              <a:cs typeface="+mn-cs"/>
            </a:rPr>
            <a:t>h other sheet for 37 months in total,</a:t>
          </a:r>
          <a:endParaRPr lang="en-GB" sz="1200">
            <a:solidFill>
              <a:srgbClr val="000000"/>
            </a:solidFill>
            <a:effectLst/>
          </a:endParaRPr>
        </a:p>
        <a:p>
          <a:r>
            <a:rPr lang="en-GB" sz="1200" b="1">
              <a:solidFill>
                <a:srgbClr val="000000"/>
              </a:solidFill>
              <a:effectLst/>
              <a:latin typeface="+mn-lt"/>
              <a:ea typeface="+mn-ea"/>
              <a:cs typeface="+mn-cs"/>
            </a:rPr>
            <a:t>Historical data prior to the start of the</a:t>
          </a:r>
          <a:r>
            <a:rPr lang="en-GB" sz="1200" b="1" baseline="0">
              <a:solidFill>
                <a:srgbClr val="000000"/>
              </a:solidFill>
              <a:effectLst/>
              <a:latin typeface="+mn-lt"/>
              <a:ea typeface="+mn-ea"/>
              <a:cs typeface="+mn-cs"/>
            </a:rPr>
            <a:t> current FY </a:t>
          </a:r>
          <a:r>
            <a:rPr lang="en-GB" sz="1200" b="1">
              <a:solidFill>
                <a:srgbClr val="000000"/>
              </a:solidFill>
              <a:effectLst/>
              <a:latin typeface="+mn-lt"/>
              <a:ea typeface="+mn-ea"/>
              <a:cs typeface="+mn-cs"/>
            </a:rPr>
            <a:t>is not required if not available</a:t>
          </a:r>
          <a:r>
            <a:rPr lang="en-GB" sz="1200">
              <a:solidFill>
                <a:srgbClr val="000000"/>
              </a:solidFill>
              <a:effectLst/>
              <a:latin typeface="+mn-lt"/>
              <a:ea typeface="+mn-ea"/>
              <a:cs typeface="+mn-cs"/>
            </a:rPr>
            <a:t>.</a:t>
          </a:r>
          <a:endParaRPr lang="en-GB" sz="1200">
            <a:solidFill>
              <a:srgbClr val="000000"/>
            </a:solidFill>
            <a:effectLst/>
          </a:endParaRPr>
        </a:p>
        <a:p>
          <a:r>
            <a:rPr lang="en-GB" sz="1200">
              <a:solidFill>
                <a:srgbClr val="000000"/>
              </a:solidFill>
              <a:effectLst/>
              <a:latin typeface="+mn-lt"/>
              <a:ea typeface="+mn-ea"/>
              <a:cs typeface="+mn-cs"/>
            </a:rPr>
            <a:t>For subsequent months, please update KPIs in line with the reporting headings provided.</a:t>
          </a:r>
        </a:p>
        <a:p>
          <a:endParaRPr lang="en-GB" sz="1200">
            <a:solidFill>
              <a:srgbClr val="000000"/>
            </a:solidFill>
            <a:effectLst/>
            <a:latin typeface="+mn-lt"/>
            <a:ea typeface="+mn-ea"/>
            <a:cs typeface="+mn-cs"/>
          </a:endParaRPr>
        </a:p>
        <a:p>
          <a:r>
            <a:rPr lang="en-GB" sz="1200" b="1">
              <a:solidFill>
                <a:schemeClr val="tx2"/>
              </a:solidFill>
              <a:effectLst/>
              <a:latin typeface="+mn-lt"/>
              <a:ea typeface="+mn-ea"/>
              <a:cs typeface="+mn-cs"/>
            </a:rPr>
            <a:t>Value Formatting</a:t>
          </a:r>
          <a:endParaRPr lang="en-GB" sz="1200">
            <a:solidFill>
              <a:srgbClr val="000000"/>
            </a:solidFill>
            <a:effectLst/>
          </a:endParaRPr>
        </a:p>
        <a:p>
          <a:r>
            <a:rPr lang="en-GB" sz="1200">
              <a:solidFill>
                <a:srgbClr val="000000"/>
              </a:solidFill>
              <a:effectLst/>
              <a:latin typeface="+mn-lt"/>
              <a:ea typeface="+mn-ea"/>
              <a:cs typeface="+mn-cs"/>
            </a:rPr>
            <a:t>Please</a:t>
          </a:r>
          <a:r>
            <a:rPr lang="en-GB" sz="1200" baseline="0">
              <a:solidFill>
                <a:srgbClr val="000000"/>
              </a:solidFill>
              <a:effectLst/>
              <a:latin typeface="+mn-lt"/>
              <a:ea typeface="+mn-ea"/>
              <a:cs typeface="+mn-cs"/>
            </a:rPr>
            <a:t> use the </a:t>
          </a:r>
          <a:r>
            <a:rPr lang="en-GB" sz="1200" b="1" baseline="0">
              <a:solidFill>
                <a:srgbClr val="000000"/>
              </a:solidFill>
              <a:effectLst/>
              <a:latin typeface="+mn-lt"/>
              <a:ea typeface="+mn-ea"/>
              <a:cs typeface="+mn-cs"/>
            </a:rPr>
            <a:t>dropdown</a:t>
          </a:r>
          <a:r>
            <a:rPr lang="en-GB" sz="1200" baseline="0">
              <a:solidFill>
                <a:srgbClr val="000000"/>
              </a:solidFill>
              <a:effectLst/>
              <a:latin typeface="+mn-lt"/>
              <a:ea typeface="+mn-ea"/>
              <a:cs typeface="+mn-cs"/>
            </a:rPr>
            <a:t> to provide the output format appropriate for the KPI. the data series will then be automatically formatted. (if you paste the data from another workbook, please make sure you Paste Special as Values </a:t>
          </a:r>
          <a:r>
            <a:rPr lang="en-GB" sz="1200" b="1" baseline="0">
              <a:solidFill>
                <a:srgbClr val="000000"/>
              </a:solidFill>
              <a:effectLst/>
              <a:latin typeface="+mn-lt"/>
              <a:ea typeface="+mn-ea"/>
              <a:cs typeface="+mn-cs"/>
            </a:rPr>
            <a:t>(Ctrl + Shift+V or Ctrl + Alt + V). </a:t>
          </a:r>
          <a:r>
            <a:rPr lang="en-GB" sz="1200" b="0" baseline="0">
              <a:solidFill>
                <a:srgbClr val="000000"/>
              </a:solidFill>
              <a:effectLst/>
              <a:latin typeface="+mn-lt"/>
              <a:ea typeface="+mn-ea"/>
              <a:cs typeface="+mn-cs"/>
            </a:rPr>
            <a:t>If you have any questions or suggestion, please come in touch. </a:t>
          </a:r>
          <a:endParaRPr lang="en-GB" sz="1200" b="0">
            <a:solidFill>
              <a:srgbClr val="000000"/>
            </a:solidFill>
            <a:effectLst/>
          </a:endParaRPr>
        </a:p>
        <a:p>
          <a:pPr algn="l"/>
          <a:endParaRPr lang="en-GB" sz="1200" baseline="0" dirty="0" err="1">
            <a:latin typeface="+mn-lt"/>
            <a:ea typeface="+mn-ea"/>
            <a:cs typeface="+mn-cs"/>
          </a:endParaRPr>
        </a:p>
      </xdr:txBody>
    </xdr:sp>
    <xdr:clientData/>
  </xdr:twoCellAnchor>
  <xdr:twoCellAnchor>
    <xdr:from>
      <xdr:col>19</xdr:col>
      <xdr:colOff>0</xdr:colOff>
      <xdr:row>19</xdr:row>
      <xdr:rowOff>0</xdr:rowOff>
    </xdr:from>
    <xdr:to>
      <xdr:col>21</xdr:col>
      <xdr:colOff>0</xdr:colOff>
      <xdr:row>29</xdr:row>
      <xdr:rowOff>0</xdr:rowOff>
    </xdr:to>
    <xdr:sp>
      <xdr:nvSpPr>
        <xdr:cNvPr id="3" name="TextBox 2">
          <a:extLst>
            <a:ext uri="{FF2B5EF4-FFF2-40B4-BE49-F238E27FC236}">
              <a16:creationId xmlns:a16="http://schemas.microsoft.com/office/drawing/2014/main" id="{80F73DDD-C4F0-C44D-FDE0-9246E22C643C}"/>
            </a:ext>
          </a:extLst>
        </xdr:cNvPr>
        <xdr:cNvSpPr txBox="1"/>
      </xdr:nvSpPr>
      <xdr:spPr>
        <a:xfrm>
          <a:off x="20764500" y="5410200"/>
          <a:ext cx="10439400" cy="2190750"/>
        </a:xfrm>
        <a:prstGeom prst="rect"/>
        <a:noFill/>
      </xdr:spPr>
      <xdr:txBody>
        <a:bodyPr lIns="0" tIns="0" rIns="0" bIns="0" vertOverflow="overflow" horzOverflow="overflow" wrap="square" rtlCol="0" anchor="t">
          <a:noAutofit/>
        </a:bodyPr>
        <a:lstStyle/>
        <a:p>
          <a:pPr/>
          <a:r>
            <a:rPr lang="en-GB" sz="1200">
              <a:solidFill>
                <a:srgbClr val="000000"/>
              </a:solidFill>
              <a:effectLst/>
              <a:latin typeface="+mn-lt"/>
              <a:ea typeface="+mn-ea"/>
              <a:cs typeface="+mn-cs"/>
            </a:rPr>
            <a:t>Our focus is primarily on </a:t>
          </a:r>
          <a:r>
            <a:rPr lang="en-GB" sz="1200" b="1">
              <a:solidFill>
                <a:srgbClr val="000000"/>
              </a:solidFill>
              <a:effectLst/>
              <a:latin typeface="+mn-lt"/>
              <a:ea typeface="+mn-ea"/>
              <a:cs typeface="+mn-cs"/>
            </a:rPr>
            <a:t>long-term business fundamentals</a:t>
          </a:r>
          <a:r>
            <a:rPr lang="en-GB" sz="1200">
              <a:solidFill>
                <a:srgbClr val="000000"/>
              </a:solidFill>
              <a:effectLst/>
              <a:latin typeface="+mn-lt"/>
              <a:ea typeface="+mn-ea"/>
              <a:cs typeface="+mn-cs"/>
            </a:rPr>
            <a:t> (e.g., revenue, margin, cash flow, leverage, recurring revenue) rather than detailed operational KPIs. Please apply your best judgment and share the </a:t>
          </a:r>
          <a:r>
            <a:rPr lang="en-GB" sz="1200" b="1">
              <a:solidFill>
                <a:srgbClr val="000000"/>
              </a:solidFill>
              <a:effectLst/>
              <a:latin typeface="+mn-lt"/>
              <a:ea typeface="+mn-ea"/>
              <a:cs typeface="+mn-cs"/>
            </a:rPr>
            <a:t>top KPIs that matter most to your business performance</a:t>
          </a:r>
          <a:r>
            <a:rPr lang="en-GB" sz="1200">
              <a:solidFill>
                <a:srgbClr val="000000"/>
              </a:solidFill>
              <a:effectLst/>
              <a:latin typeface="+mn-lt"/>
              <a:ea typeface="+mn-ea"/>
              <a:cs typeface="+mn-cs"/>
            </a:rPr>
            <a:t>.</a:t>
          </a:r>
          <a:endParaRPr lang="en-GB" sz="1200">
            <a:solidFill>
              <a:srgbClr val="000000"/>
            </a:solidFill>
            <a:effectLst/>
          </a:endParaRPr>
        </a:p>
        <a:p>
          <a:r>
            <a:rPr lang="en-GB" sz="1200">
              <a:solidFill>
                <a:srgbClr val="000000"/>
              </a:solidFill>
              <a:effectLst/>
              <a:latin typeface="+mn-lt"/>
              <a:ea typeface="+mn-ea"/>
              <a:cs typeface="+mn-cs"/>
            </a:rPr>
            <a:t>This is not intended to be a comprehensive operational dashboard.</a:t>
          </a:r>
          <a:endParaRPr lang="en-GB" sz="1200">
            <a:solidFill>
              <a:srgbClr val="000000"/>
            </a:solidFill>
            <a:effectLst/>
          </a:endParaRPr>
        </a:p>
        <a:p>
          <a:r>
            <a:rPr lang="en-GB" sz="1200">
              <a:solidFill>
                <a:srgbClr val="000000"/>
              </a:solidFill>
              <a:effectLst/>
              <a:latin typeface="+mn-lt"/>
              <a:ea typeface="+mn-ea"/>
              <a:cs typeface="+mn-cs"/>
            </a:rPr>
            <a:t>Include only the </a:t>
          </a:r>
          <a:r>
            <a:rPr lang="en-GB" sz="1200" b="1">
              <a:solidFill>
                <a:srgbClr val="000000"/>
              </a:solidFill>
              <a:effectLst/>
              <a:latin typeface="+mn-lt"/>
              <a:ea typeface="+mn-ea"/>
              <a:cs typeface="+mn-cs"/>
            </a:rPr>
            <a:t>most critical KPIs</a:t>
          </a:r>
          <a:r>
            <a:rPr lang="en-GB" sz="1200">
              <a:solidFill>
                <a:srgbClr val="000000"/>
              </a:solidFill>
              <a:effectLst/>
              <a:latin typeface="+mn-lt"/>
              <a:ea typeface="+mn-ea"/>
              <a:cs typeface="+mn-cs"/>
            </a:rPr>
            <a:t>, ideally those that are:</a:t>
          </a:r>
          <a:endParaRPr lang="en-GB" sz="1200">
            <a:solidFill>
              <a:srgbClr val="000000"/>
            </a:solidFill>
            <a:effectLst/>
          </a:endParaRPr>
        </a:p>
        <a:p>
          <a:r>
            <a:rPr lang="en-GB" sz="1200">
              <a:solidFill>
                <a:srgbClr val="000000"/>
              </a:solidFill>
              <a:effectLst/>
              <a:latin typeface="+mn-lt"/>
              <a:ea typeface="+mn-ea"/>
              <a:cs typeface="+mn-cs"/>
            </a:rPr>
            <a:t>1. Regularly reported (monthly where possible).</a:t>
          </a:r>
          <a:endParaRPr lang="en-GB" sz="1200">
            <a:solidFill>
              <a:srgbClr val="000000"/>
            </a:solidFill>
            <a:effectLst/>
          </a:endParaRPr>
        </a:p>
        <a:p>
          <a:r>
            <a:rPr lang="en-GB" sz="1200">
              <a:solidFill>
                <a:srgbClr val="000000"/>
              </a:solidFill>
              <a:effectLst/>
              <a:latin typeface="+mn-lt"/>
              <a:ea typeface="+mn-ea"/>
              <a:cs typeface="+mn-cs"/>
            </a:rPr>
            <a:t>2. Consistently calculated.</a:t>
          </a:r>
          <a:endParaRPr lang="en-GB" sz="1200">
            <a:solidFill>
              <a:srgbClr val="000000"/>
            </a:solidFill>
            <a:effectLst/>
          </a:endParaRPr>
        </a:p>
        <a:p>
          <a:r>
            <a:rPr lang="en-GB" sz="1200">
              <a:solidFill>
                <a:srgbClr val="000000"/>
              </a:solidFill>
              <a:effectLst/>
              <a:latin typeface="+mn-lt"/>
              <a:ea typeface="+mn-ea"/>
              <a:cs typeface="+mn-cs"/>
            </a:rPr>
            <a:t>3, Used internally to monitor business performance.</a:t>
          </a:r>
          <a:endParaRPr lang="en-GB" sz="1200">
            <a:solidFill>
              <a:srgbClr val="000000"/>
            </a:solidFill>
            <a:effectLst/>
          </a:endParaRPr>
        </a:p>
        <a:p>
          <a:r>
            <a:rPr lang="en-GB" sz="1200">
              <a:solidFill>
                <a:srgbClr val="000000"/>
              </a:solidFill>
              <a:effectLst/>
              <a:latin typeface="+mn-lt"/>
              <a:ea typeface="+mn-ea"/>
              <a:cs typeface="+mn-cs"/>
            </a:rPr>
            <a:t>There is no hard limit on the number of KPIs to share, but focus on quality and relevance over quantity.</a:t>
          </a:r>
          <a:endParaRPr lang="en-GB" sz="1200">
            <a:solidFill>
              <a:srgbClr val="000000"/>
            </a:solidFill>
            <a:effectLst/>
          </a:endParaRPr>
        </a:p>
        <a:p>
          <a:endParaRPr lang="en-GB" sz="1200">
            <a:solidFill>
              <a:srgbClr val="000000"/>
            </a:solidFill>
            <a:effectLst/>
            <a:latin typeface="+mn-lt"/>
            <a:ea typeface="+mn-ea"/>
            <a:cs typeface="+mn-cs"/>
          </a:endParaRPr>
        </a:p>
        <a:p>
          <a:r>
            <a:rPr lang="en-GB" sz="1200">
              <a:solidFill>
                <a:srgbClr val="000000"/>
              </a:solidFill>
              <a:effectLst/>
              <a:latin typeface="+mn-lt"/>
              <a:ea typeface="+mn-ea"/>
              <a:cs typeface="+mn-cs"/>
            </a:rPr>
            <a:t>Please fully utililse the Title Column to express the definition of the KPI. If a formula can express the meaniung more precisely, please include such information in ther title such as </a:t>
          </a:r>
        </a:p>
        <a:p>
          <a:r>
            <a:rPr lang="en-GB" sz="1200">
              <a:solidFill>
                <a:srgbClr val="000000"/>
              </a:solidFill>
              <a:effectLst/>
              <a:latin typeface="+mn-lt"/>
              <a:ea typeface="+mn-ea"/>
              <a:cs typeface="+mn-cs"/>
            </a:rPr>
            <a:t>Revenue per store (Revenue / Average number of Stores)</a:t>
          </a:r>
        </a:p>
        <a:p>
          <a:endParaRPr lang="en-GB" sz="1200">
            <a:solidFill>
              <a:srgbClr val="000000"/>
            </a:solidFill>
            <a:effectLst/>
            <a:latin typeface="+mn-lt"/>
            <a:ea typeface="+mn-ea"/>
            <a:cs typeface="+mn-cs"/>
          </a:endParaRPr>
        </a:p>
        <a:p>
          <a:pPr algn="l"/>
          <a:r>
            <a:rPr lang="en-GB" sz="1200" baseline="0" dirty="0" err="1">
              <a:latin typeface="+mn-lt"/>
              <a:ea typeface="+mn-ea"/>
              <a:cs typeface="+mn-cs"/>
            </a:rPr>
            <a:t>.</a:t>
          </a:r>
        </a:p>
        <a:p>
          <a:pPr algn="l"/>
          <a:endParaRPr lang="en-GB" sz="1200" baseline="0" dirty="0" err="1">
            <a:latin typeface="+mn-lt"/>
            <a:ea typeface="+mn-ea"/>
            <a:cs typeface="+mn-cs"/>
          </a:endParaRPr>
        </a:p>
      </xdr:txBody>
    </xdr:sp>
    <xdr:clientData/>
  </xdr:twoCellAnchor>
  <xdr:twoCellAnchor>
    <xdr:from>
      <xdr:col>19</xdr:col>
      <xdr:colOff>0</xdr:colOff>
      <xdr:row>42</xdr:row>
      <xdr:rowOff>27216</xdr:rowOff>
    </xdr:from>
    <xdr:to>
      <xdr:col>21</xdr:col>
      <xdr:colOff>0</xdr:colOff>
      <xdr:row>48</xdr:row>
      <xdr:rowOff>190500</xdr:rowOff>
    </xdr:to>
    <xdr:sp>
      <xdr:nvSpPr>
        <xdr:cNvPr id="4" name="TextBox 3">
          <a:extLst>
            <a:ext uri="{FF2B5EF4-FFF2-40B4-BE49-F238E27FC236}">
              <a16:creationId xmlns:a16="http://schemas.microsoft.com/office/drawing/2014/main" id="{146436B3-A707-2E61-D167-569B8C9FC520}"/>
            </a:ext>
          </a:extLst>
        </xdr:cNvPr>
        <xdr:cNvSpPr txBox="1"/>
      </xdr:nvSpPr>
      <xdr:spPr>
        <a:xfrm>
          <a:off x="20764500" y="12220575"/>
          <a:ext cx="10439400" cy="2676525"/>
        </a:xfrm>
        <a:prstGeom prst="rect"/>
        <a:noFill/>
      </xdr:spPr>
      <xdr:txBody>
        <a:bodyPr lIns="0" tIns="0" rIns="0" bIns="0" vertOverflow="overflow" horzOverflow="overflow" wrap="square" rtlCol="0" anchor="t">
          <a:noAutofit/>
        </a:bodyPr>
        <a:lstStyle/>
        <a:p>
          <a:pPr algn="l"/>
          <a:r>
            <a:rPr lang="en-GB" sz="1200" b="1" baseline="0" dirty="0" err="1">
              <a:solidFill>
                <a:schemeClr val="tx2"/>
              </a:solidFill>
              <a:latin typeface="+mn-lt"/>
              <a:ea typeface="+mn-ea"/>
              <a:cs typeface="+mn-cs"/>
            </a:rPr>
            <a:t>Comparison Period</a:t>
          </a:r>
          <a:endParaRPr lang="en-GB" sz="1200" baseline="0" dirty="0" err="1">
            <a:latin typeface="+mn-lt"/>
            <a:ea typeface="+mn-ea"/>
            <a:cs typeface="+mn-cs"/>
          </a:endParaRPr>
        </a:p>
        <a:p>
          <a:pPr algn="l"/>
          <a:r>
            <a:rPr lang="en-GB" sz="1200" baseline="0" dirty="0" err="1">
              <a:latin typeface="+mn-lt"/>
              <a:ea typeface="+mn-ea"/>
              <a:cs typeface="+mn-cs"/>
            </a:rPr>
            <a:t>Not all KPIs needs to have this information. This column is to provide additional perspective on how to evaluate the data. </a:t>
          </a:r>
        </a:p>
        <a:p>
          <a:pPr algn="l"/>
          <a:r>
            <a:rPr lang="en-GB" sz="1200" baseline="0" dirty="0" err="1">
              <a:latin typeface="+mn-lt"/>
              <a:ea typeface="+mn-ea"/>
              <a:cs typeface="+mn-cs"/>
            </a:rPr>
            <a:t>Some KPIs can be compared in many perspecitves, such as compare to same period last year or previous full financial year. Please select most useful choice in your point of view. </a:t>
          </a:r>
        </a:p>
        <a:p>
          <a:pPr algn="l"/>
          <a:endParaRPr lang="en-GB" sz="1200" baseline="0" dirty="0" err="1">
            <a:latin typeface="+mn-lt"/>
            <a:ea typeface="+mn-ea"/>
            <a:cs typeface="+mn-cs"/>
          </a:endParaRPr>
        </a:p>
        <a:p>
          <a:pPr algn="l"/>
          <a:r>
            <a:rPr lang="en-GB" sz="1200" baseline="0" dirty="0" err="1">
              <a:solidFill>
                <a:schemeClr val="tx2"/>
              </a:solidFill>
              <a:latin typeface="+mn-lt"/>
              <a:ea typeface="+mn-ea"/>
              <a:cs typeface="+mn-cs"/>
            </a:rPr>
            <a:t>Roll up Method</a:t>
          </a:r>
        </a:p>
        <a:p>
          <a:pPr algn="l" defTabSz="914400" fontAlgn="auto" indent="0" lvl="0" marL="0" marR="0" hangingPunct="1" eaLnBrk="1" latinLnBrk="0">
            <a:lnSpc>
              <a:spcPct val="100000"/>
            </a:lnSpc>
            <a:spcBef>
              <a:spcPts val="0"/>
            </a:spcBef>
            <a:spcAft>
              <a:spcPts val="0"/>
            </a:spcAft>
            <a:buClrTx/>
            <a:buSzTx/>
            <a:buFontTx/>
            <a:buNone/>
          </a:pPr>
          <a:r>
            <a:rPr lang="en-GB" sz="1100" baseline="0">
              <a:solidFill>
                <a:srgbClr val="000000"/>
              </a:solidFill>
              <a:effectLst/>
              <a:latin typeface="+mn-lt"/>
              <a:ea typeface="+mn-ea"/>
              <a:cs typeface="+mn-cs"/>
            </a:rPr>
            <a:t>The Roll up calculation (computation) should have already been completed in your BI process. The information to be collected here are purely for reporting. (which means most of the cases will use As of in the Time Period column. </a:t>
          </a:r>
          <a:br>
            <a:rPr lang="en-GB" sz="1100" baseline="0">
              <a:solidFill>
                <a:srgbClr val="000000"/>
              </a:solidFill>
              <a:effectLst/>
              <a:latin typeface="+mn-lt"/>
              <a:ea typeface="+mn-ea"/>
              <a:cs typeface="+mn-cs"/>
            </a:rPr>
            <a:t>
</a:t>
          </a:br>
          <a:r>
            <a:rPr lang="en-GB" sz="1100" baseline="0">
              <a:solidFill>
                <a:srgbClr val="000000"/>
              </a:solidFill>
              <a:effectLst/>
              <a:latin typeface="+mn-lt"/>
              <a:ea typeface="+mn-ea"/>
              <a:cs typeface="+mn-cs"/>
            </a:rPr>
            <a:t>The roll up method information nevertheless helps us better understand the data.</a:t>
          </a:r>
        </a:p>
        <a:p>
          <a:pPr algn="l" defTabSz="914400" fontAlgn="auto" indent="0" lvl="0" marL="0" marR="0" hangingPunct="1" eaLnBrk="1" latinLnBrk="0">
            <a:lnSpc>
              <a:spcPct val="100000"/>
            </a:lnSpc>
            <a:spcBef>
              <a:spcPts val="0"/>
            </a:spcBef>
            <a:spcAft>
              <a:spcPts val="0"/>
            </a:spcAft>
            <a:buClrTx/>
            <a:buSzTx/>
            <a:buFontTx/>
            <a:buNone/>
          </a:pPr>
          <a:endParaRPr lang="en-GB" sz="1200">
            <a:solidFill>
              <a:srgbClr val="000000"/>
            </a:solidFill>
            <a:effectLst/>
          </a:endParaRPr>
        </a:p>
        <a:p>
          <a:pPr algn="l"/>
          <a:r>
            <a:rPr lang="en-GB" sz="1100" b="1" baseline="0">
              <a:solidFill>
                <a:schemeClr val="tx2"/>
              </a:solidFill>
              <a:effectLst/>
              <a:latin typeface="+mn-lt"/>
              <a:ea typeface="+mn-ea"/>
              <a:cs typeface="+mn-cs"/>
            </a:rPr>
            <a:t>Reporting a Change </a:t>
          </a:r>
        </a:p>
        <a:p>
          <a:r>
            <a:rPr lang="en-GB" sz="1100" baseline="0">
              <a:solidFill>
                <a:srgbClr val="000000"/>
              </a:solidFill>
              <a:effectLst/>
              <a:latin typeface="+mn-lt"/>
              <a:ea typeface="+mn-ea"/>
              <a:cs typeface="+mn-cs"/>
            </a:rPr>
            <a:t>In case a KPI becomes no loner relevant or require adapting, the company decided to deprecate the old KPIs, please overwrite that KPI with new KPI defintion and updated values accordingly. </a:t>
          </a:r>
          <a:endParaRPr lang="en-GB" sz="1200">
            <a:solidFill>
              <a:srgbClr val="000000"/>
            </a:solidFill>
            <a:effectLst/>
          </a:endParaRPr>
        </a:p>
        <a:p>
          <a:r>
            <a:rPr lang="en-GB" sz="1100" baseline="0">
              <a:solidFill>
                <a:srgbClr val="000000"/>
              </a:solidFill>
              <a:effectLst/>
              <a:latin typeface="+mn-lt"/>
              <a:ea typeface="+mn-ea"/>
              <a:cs typeface="+mn-cs"/>
            </a:rPr>
            <a:t>We might need your help in understanding some changes you make..                             </a:t>
          </a:r>
          <a:endParaRPr lang="en-GB" sz="1200">
            <a:solidFill>
              <a:srgbClr val="000000"/>
            </a:solidFill>
            <a:effectLst/>
          </a:endParaRPr>
        </a:p>
        <a:p>
          <a:pPr algn="l"/>
          <a:endParaRPr lang="en-GB" sz="1200" baseline="0" dirty="0" err="1">
            <a:solidFill>
              <a:schemeClr val="tx2"/>
            </a:solidFill>
            <a:latin typeface="+mn-lt"/>
            <a:ea typeface="+mn-ea"/>
            <a:cs typeface="+mn-cs"/>
          </a:endParaRPr>
        </a:p>
      </xdr:txBody>
    </xdr:sp>
    <xdr:clientData/>
  </xdr:twoCellAnchor>
  <xdr:twoCellAnchor>
    <xdr:from>
      <xdr:col>19</xdr:col>
      <xdr:colOff>0</xdr:colOff>
      <xdr:row>62</xdr:row>
      <xdr:rowOff>1</xdr:rowOff>
    </xdr:from>
    <xdr:to>
      <xdr:col>21</xdr:col>
      <xdr:colOff>0</xdr:colOff>
      <xdr:row>70</xdr:row>
      <xdr:rowOff>0</xdr:rowOff>
    </xdr:to>
    <xdr:sp>
      <xdr:nvSpPr>
        <xdr:cNvPr id="6" name="TextBox 5">
          <a:extLst>
            <a:ext uri="{FF2B5EF4-FFF2-40B4-BE49-F238E27FC236}">
              <a16:creationId xmlns:a16="http://schemas.microsoft.com/office/drawing/2014/main" id="{16876DB8-50FF-AD55-D799-73BA198317FB}"/>
            </a:ext>
          </a:extLst>
        </xdr:cNvPr>
        <xdr:cNvSpPr txBox="1"/>
      </xdr:nvSpPr>
      <xdr:spPr>
        <a:xfrm>
          <a:off x="20764500" y="18630900"/>
          <a:ext cx="10439400" cy="2133600"/>
        </a:xfrm>
        <a:prstGeom prst="rect"/>
        <a:noFill/>
      </xdr:spPr>
      <xdr:txBody>
        <a:bodyPr lIns="0" tIns="0" rIns="0" bIns="0" vertOverflow="overflow" horzOverflow="overflow" wrap="square" rtlCol="0" anchor="t">
          <a:noAutofit/>
        </a:bodyPr>
        <a:lstStyle/>
        <a:p>
          <a:endParaRPr lang="en-GB" sz="1200" baseline="0">
            <a:solidFill>
              <a:srgbClr val="000000"/>
            </a:solidFill>
            <a:effectLst/>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26</xdr:col>
      <xdr:colOff>13854</xdr:colOff>
      <xdr:row>7</xdr:row>
      <xdr:rowOff>406112</xdr:rowOff>
    </xdr:from>
    <xdr:to>
      <xdr:col>28</xdr:col>
      <xdr:colOff>16451</xdr:colOff>
      <xdr:row>10</xdr:row>
      <xdr:rowOff>33770</xdr:rowOff>
    </xdr:to>
    <xdr:sp>
      <xdr:nvSpPr>
        <xdr:cNvPr id="3" name="Rectangle 2">
          <a:extLst>
            <a:ext uri="{FF2B5EF4-FFF2-40B4-BE49-F238E27FC236}">
              <a16:creationId xmlns:a16="http://schemas.microsoft.com/office/drawing/2014/main" id="{862BEB77-1FDA-459B-9759-0D514467721D}"/>
            </a:ext>
          </a:extLst>
        </xdr:cNvPr>
        <xdr:cNvSpPr/>
      </xdr:nvSpPr>
      <xdr:spPr>
        <a:xfrm>
          <a:off x="16506825" y="2838450"/>
          <a:ext cx="0" cy="5143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Section</a:t>
          </a:r>
          <a:r>
            <a:rPr lang="en-GB" sz="1600" b="1" kern="1200" baseline="0">
              <a:solidFill>
                <a:srgbClr val="000000"/>
              </a:solidFill>
            </a:rPr>
            <a:t> Guidance for Completion</a:t>
          </a:r>
          <a:endParaRPr lang="en-GB" sz="1600" b="1" kern="1200">
            <a:solidFill>
              <a:srgbClr val="000000"/>
            </a:solidFill>
          </a:endParaRPr>
        </a:p>
      </xdr:txBody>
    </xdr:sp>
    <xdr:clientData/>
  </xdr:twoCellAnchor>
  <xdr:twoCellAnchor>
    <xdr:from>
      <xdr:col>25</xdr:col>
      <xdr:colOff>166254</xdr:colOff>
      <xdr:row>14</xdr:row>
      <xdr:rowOff>108239</xdr:rowOff>
    </xdr:from>
    <xdr:to>
      <xdr:col>27</xdr:col>
      <xdr:colOff>5624079</xdr:colOff>
      <xdr:row>16</xdr:row>
      <xdr:rowOff>30307</xdr:rowOff>
    </xdr:to>
    <xdr:sp>
      <xdr:nvSpPr>
        <xdr:cNvPr id="4" name="Rectangle 3">
          <a:extLst>
            <a:ext uri="{FF2B5EF4-FFF2-40B4-BE49-F238E27FC236}">
              <a16:creationId xmlns:a16="http://schemas.microsoft.com/office/drawing/2014/main" id="{A30099BC-6D1A-43DF-B06C-D03A54421904}"/>
            </a:ext>
          </a:extLst>
        </xdr:cNvPr>
        <xdr:cNvSpPr/>
      </xdr:nvSpPr>
      <xdr:spPr>
        <a:xfrm>
          <a:off x="16506825" y="4276725"/>
          <a:ext cx="0" cy="5238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Collect Debt Maturities at OpCo Level</a:t>
          </a:r>
          <a:endParaRPr lang="en-GB" sz="1600" b="1" kern="1200">
            <a:solidFill>
              <a:srgbClr val="000000"/>
            </a:solidFill>
          </a:endParaRPr>
        </a:p>
      </xdr:txBody>
    </xdr:sp>
    <xdr:clientData/>
  </xdr:twoCellAnchor>
  <xdr:twoCellAnchor>
    <xdr:from>
      <xdr:col>26</xdr:col>
      <xdr:colOff>51954</xdr:colOff>
      <xdr:row>17</xdr:row>
      <xdr:rowOff>1</xdr:rowOff>
    </xdr:from>
    <xdr:to>
      <xdr:col>27</xdr:col>
      <xdr:colOff>5649057</xdr:colOff>
      <xdr:row>22</xdr:row>
      <xdr:rowOff>2542</xdr:rowOff>
    </xdr:to>
    <xdr:sp>
      <xdr:nvSpPr>
        <xdr:cNvPr id="6" name="TextBox 1">
          <a:extLst>
            <a:ext uri="{FF2B5EF4-FFF2-40B4-BE49-F238E27FC236}">
              <a16:creationId xmlns:a16="http://schemas.microsoft.com/office/drawing/2014/main" id="{4D4B215D-DA06-49D7-93BA-DD3D9E2C003F}"/>
            </a:ext>
          </a:extLst>
        </xdr:cNvPr>
        <xdr:cNvSpPr txBox="1"/>
      </xdr:nvSpPr>
      <xdr:spPr>
        <a:xfrm>
          <a:off x="16506825" y="5010150"/>
          <a:ext cx="0" cy="1447800"/>
        </a:xfrm>
        <a:prstGeom prst="rect"/>
        <a:noFill/>
      </xdr:spPr>
      <xdr:txBody>
        <a:bodyPr lIns="0" tIns="0" rIns="0" bIns="0" vertOverflow="overflow" horzOverflow="overflow" wrap="square" rtlCol="0" anchor="t">
          <a:noAutofit/>
        </a:bodyPr>
        <a:lstStyle/>
        <a:p>
          <a:pPr algn="l"/>
          <a:r>
            <a:rPr lang="en-GB" sz="1200" kern="1200" dirty="0" err="1"/>
            <a:t>Task:</a:t>
          </a:r>
          <a:r>
            <a:rPr lang="en-GB" sz="1200" kern="1200" baseline="0" dirty="0" err="1"/>
            <a:t> The OpCo debt outstanding amount will be retrieved automatically from the Balance Sheet collection. Please complete the repayment schedule for each debt item, specifying the amounts and repayment dates. The objective is to provide a clear overview of the debt maturity profile and the weighted average maturity of gross acquisition debt.</a:t>
          </a:r>
        </a:p>
        <a:p>
          <a:pPr algn="l"/>
          <a:endParaRPr lang="en-GB" sz="1200" kern="1200" baseline="0" dirty="0" err="1"/>
        </a:p>
        <a:p>
          <a:pPr algn="l"/>
          <a:r>
            <a:rPr lang="en-GB" sz="1200" kern="1200" baseline="0" dirty="0" err="1"/>
            <a:t>Note: Deal Teams to check if any amortisation applicable (Term Loan A or US Term Loan B). If amortisation applicable please put the amount due in that year. For the date relating to amortisation please use the yearly mid point (if multiple amortisation dates per year).           </a:t>
          </a:r>
        </a:p>
      </xdr:txBody>
    </xdr:sp>
    <xdr:clientData/>
  </xdr:twoCellAnchor>
  <xdr:twoCellAnchor>
    <xdr:from>
      <xdr:col>25</xdr:col>
      <xdr:colOff>138546</xdr:colOff>
      <xdr:row>118</xdr:row>
      <xdr:rowOff>0</xdr:rowOff>
    </xdr:from>
    <xdr:to>
      <xdr:col>28</xdr:col>
      <xdr:colOff>0</xdr:colOff>
      <xdr:row>119</xdr:row>
      <xdr:rowOff>0</xdr:rowOff>
    </xdr:to>
    <xdr:sp>
      <xdr:nvSpPr>
        <xdr:cNvPr id="7" name="Rectangle 6">
          <a:extLst>
            <a:ext uri="{FF2B5EF4-FFF2-40B4-BE49-F238E27FC236}">
              <a16:creationId xmlns:a16="http://schemas.microsoft.com/office/drawing/2014/main" id="{86601D28-11E3-47BE-8C31-0CE66D8C0AB1}"/>
            </a:ext>
          </a:extLst>
        </xdr:cNvPr>
        <xdr:cNvSpPr/>
      </xdr:nvSpPr>
      <xdr:spPr>
        <a:xfrm>
          <a:off x="16506825" y="33070800"/>
          <a:ext cx="0" cy="35242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Collect Hedging Maturities at OpCo Level</a:t>
          </a:r>
          <a:endParaRPr lang="en-GB" sz="1600" b="1" kern="1200">
            <a:solidFill>
              <a:srgbClr val="000000"/>
            </a:solidFill>
          </a:endParaRPr>
        </a:p>
      </xdr:txBody>
    </xdr:sp>
    <xdr:clientData/>
  </xdr:twoCellAnchor>
  <xdr:twoCellAnchor>
    <xdr:from>
      <xdr:col>26</xdr:col>
      <xdr:colOff>34504</xdr:colOff>
      <xdr:row>120</xdr:row>
      <xdr:rowOff>233265</xdr:rowOff>
    </xdr:from>
    <xdr:to>
      <xdr:col>28</xdr:col>
      <xdr:colOff>0</xdr:colOff>
      <xdr:row>124</xdr:row>
      <xdr:rowOff>0</xdr:rowOff>
    </xdr:to>
    <xdr:sp>
      <xdr:nvSpPr>
        <xdr:cNvPr id="8" name="TextBox 1">
          <a:extLst>
            <a:ext uri="{FF2B5EF4-FFF2-40B4-BE49-F238E27FC236}">
              <a16:creationId xmlns:a16="http://schemas.microsoft.com/office/drawing/2014/main" id="{684F07BC-F37E-4A5A-BAFB-A7B733534B68}"/>
            </a:ext>
          </a:extLst>
        </xdr:cNvPr>
        <xdr:cNvSpPr txBox="1"/>
      </xdr:nvSpPr>
      <xdr:spPr>
        <a:xfrm>
          <a:off x="16506825" y="33842325"/>
          <a:ext cx="0" cy="838200"/>
        </a:xfrm>
        <a:prstGeom prst="rect"/>
        <a:noFill/>
      </xdr:spPr>
      <xdr:txBody>
        <a:bodyPr lIns="0" tIns="0" rIns="0" bIns="0" vertOverflow="clip" horzOverflow="clip" wrap="square" rtlCol="0" anchor="t">
          <a:noAutofit/>
        </a:bodyPr>
        <a:lstStyle/>
        <a:p>
          <a:pPr algn="l"/>
          <a:r>
            <a:rPr lang="en-GB" sz="1100" b="1">
              <a:solidFill>
                <a:srgbClr val="000000"/>
              </a:solidFill>
              <a:effectLst/>
              <a:latin typeface="+mn-lt"/>
              <a:ea typeface="+mn-ea"/>
              <a:cs typeface="+mn-cs"/>
            </a:rPr>
            <a:t>Task: </a:t>
          </a:r>
          <a:r>
            <a:rPr lang="en-GB" sz="1200" kern="1200" dirty="0" err="1"/>
            <a:t>Please put in amount of hedge at final maturity date only. If company / Deal Team doesn’t have info then please contact the Cap Markets team to get the inputs.</a:t>
          </a:r>
          <a:endParaRPr lang="en-GB" sz="1200" kern="1200" baseline="0" dirty="0" err="1"/>
        </a:p>
      </xdr:txBody>
    </xdr:sp>
    <xdr:clientData/>
  </xdr:twoCellAnchor>
  <xdr:twoCellAnchor>
    <xdr:from>
      <xdr:col>26</xdr:col>
      <xdr:colOff>56030</xdr:colOff>
      <xdr:row>30</xdr:row>
      <xdr:rowOff>201706</xdr:rowOff>
    </xdr:from>
    <xdr:to>
      <xdr:col>27</xdr:col>
      <xdr:colOff>5580530</xdr:colOff>
      <xdr:row>32</xdr:row>
      <xdr:rowOff>67235</xdr:rowOff>
    </xdr:to>
    <xdr:sp>
      <xdr:nvSpPr>
        <xdr:cNvPr id="9" name="Rectangle 9">
          <a:extLst>
            <a:ext uri="{FF2B5EF4-FFF2-40B4-BE49-F238E27FC236}">
              <a16:creationId xmlns:a16="http://schemas.microsoft.com/office/drawing/2014/main" id="{55D83CF9-74F1-4B0E-9870-2A43DB248905}"/>
            </a:ext>
          </a:extLst>
        </xdr:cNvPr>
        <xdr:cNvSpPr/>
      </xdr:nvSpPr>
      <xdr:spPr>
        <a:xfrm>
          <a:off x="16506825" y="8705850"/>
          <a:ext cx="0" cy="419100"/>
        </a:xfrm>
        <a:prstGeom prst="rect"/>
        <a:solidFill>
          <a:srgbClr val="FFD9D9"/>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0" kern="1700" spc="0">
              <a:solidFill>
                <a:srgbClr val="FF0000"/>
              </a:solidFill>
            </a:rPr>
            <a:t>The debt outstanding for each item must match the residual amount shown in the repayment schedule</a:t>
          </a:r>
          <a:r>
            <a:rPr lang="en-GB" sz="1200" b="0" kern="1700" spc="0" baseline="0">
              <a:solidFill>
                <a:srgbClr val="FF0000"/>
              </a:solidFill>
            </a:rPr>
            <a:t>. </a:t>
          </a:r>
          <a:endParaRPr lang="en-GB" sz="1200" b="0" kern="1700" spc="0">
            <a:solidFill>
              <a:srgbClr val="343434"/>
            </a:solidFill>
          </a:endParaRPr>
        </a:p>
        <a:p>
          <a:pPr algn="l"/>
          <a:endParaRPr lang="en-GB" sz="1050" b="0" kern="1700" spc="0">
            <a:solidFill>
              <a:srgbClr val="343434"/>
            </a:solidFill>
          </a:endParaRPr>
        </a:p>
      </xdr:txBody>
    </xdr:sp>
    <xdr:clientData/>
  </xdr:twoCellAnchor>
  <xdr:twoCellAnchor>
    <xdr:from>
      <xdr:col>25</xdr:col>
      <xdr:colOff>130788</xdr:colOff>
      <xdr:row>138</xdr:row>
      <xdr:rowOff>42669</xdr:rowOff>
    </xdr:from>
    <xdr:to>
      <xdr:col>28</xdr:col>
      <xdr:colOff>0</xdr:colOff>
      <xdr:row>139</xdr:row>
      <xdr:rowOff>0</xdr:rowOff>
    </xdr:to>
    <xdr:sp>
      <xdr:nvSpPr>
        <xdr:cNvPr id="13" name="Rectangle 9">
          <a:extLst>
            <a:ext uri="{FF2B5EF4-FFF2-40B4-BE49-F238E27FC236}">
              <a16:creationId xmlns:a16="http://schemas.microsoft.com/office/drawing/2014/main" id="{4C796D57-B26B-4F8B-85E5-9CADD5C815E3}"/>
            </a:ext>
          </a:extLst>
        </xdr:cNvPr>
        <xdr:cNvSpPr/>
      </xdr:nvSpPr>
      <xdr:spPr>
        <a:xfrm>
          <a:off x="16506825" y="38661975"/>
          <a:ext cx="0" cy="3714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3: Collect Debt Maturities at HoldCo Level</a:t>
          </a:r>
          <a:endParaRPr lang="en-GB" sz="1600" b="1" kern="1200">
            <a:solidFill>
              <a:srgbClr val="000000"/>
            </a:solidFill>
          </a:endParaRPr>
        </a:p>
      </xdr:txBody>
    </xdr:sp>
    <xdr:clientData/>
  </xdr:twoCellAnchor>
  <xdr:twoCellAnchor>
    <xdr:from>
      <xdr:col>26</xdr:col>
      <xdr:colOff>0</xdr:colOff>
      <xdr:row>139</xdr:row>
      <xdr:rowOff>1</xdr:rowOff>
    </xdr:from>
    <xdr:to>
      <xdr:col>28</xdr:col>
      <xdr:colOff>0</xdr:colOff>
      <xdr:row>142</xdr:row>
      <xdr:rowOff>0</xdr:rowOff>
    </xdr:to>
    <xdr:sp>
      <xdr:nvSpPr>
        <xdr:cNvPr id="33" name="TextBox 1">
          <a:extLst>
            <a:ext uri="{FF2B5EF4-FFF2-40B4-BE49-F238E27FC236}">
              <a16:creationId xmlns:a16="http://schemas.microsoft.com/office/drawing/2014/main" id="{4AC34050-A0EF-4C57-A34C-F0BEF165BE01}"/>
            </a:ext>
          </a:extLst>
        </xdr:cNvPr>
        <xdr:cNvSpPr txBox="1"/>
      </xdr:nvSpPr>
      <xdr:spPr>
        <a:xfrm>
          <a:off x="16506825" y="39033450"/>
          <a:ext cx="0" cy="733425"/>
        </a:xfrm>
        <a:prstGeom prst="rect"/>
        <a:noFill/>
      </xdr:spPr>
      <xdr:txBody>
        <a:bodyPr lIns="0" tIns="0" rIns="0" bIns="0" vertOverflow="overflow" horzOverflow="overflow" wrap="square" rtlCol="0" anchor="t">
          <a:noAutofit/>
        </a:bodyPr>
        <a:lstStyle/>
        <a:p>
          <a:pPr algn="l">
            <a:lnSpc>
              <a:spcPts val="1500"/>
            </a:lnSpc>
          </a:pPr>
          <a:r>
            <a:rPr lang="en-GB" sz="1200" b="1" kern="1200" dirty="0" err="1"/>
            <a:t>Task: </a:t>
          </a:r>
          <a:r>
            <a:rPr lang="en-GB" sz="1200" kern="1200" dirty="0" err="1"/>
            <a:t>Please complete the repayment schedule for any debt at the HoldCo level, specifying the amounts and repayment dates. </a:t>
          </a:r>
        </a:p>
        <a:p>
          <a:pPr algn="l">
            <a:lnSpc>
              <a:spcPts val="1500"/>
            </a:lnSpc>
          </a:pPr>
          <a:r>
            <a:rPr lang="en-GB" sz="1200" kern="1200" dirty="0" err="1"/>
            <a:t>In addition, provide the name of the legal entity issuing the debt and indicate the see-through ownership at fund level, consistent with the assumptions used in your valuation template. </a:t>
          </a:r>
        </a:p>
        <a:p>
          <a:pPr algn="l">
            <a:lnSpc>
              <a:spcPts val="1500"/>
            </a:lnSpc>
          </a:pPr>
          <a:r>
            <a:rPr lang="en-GB" sz="1200" kern="1200" dirty="0" err="1"/>
            <a:t>The outstanding amount, multiplied by the see-through ownership, will automatically feed into your valuation</a:t>
          </a:r>
          <a:endParaRPr lang="en-GB" sz="1200" kern="1200" baseline="0" dirty="0" err="1"/>
        </a:p>
      </xdr:txBody>
    </xdr:sp>
    <xdr:clientData/>
  </xdr:twoCellAnchor>
  <xdr:twoCellAnchor>
    <xdr:from>
      <xdr:col>26</xdr:col>
      <xdr:colOff>11206</xdr:colOff>
      <xdr:row>158</xdr:row>
      <xdr:rowOff>201706</xdr:rowOff>
    </xdr:from>
    <xdr:to>
      <xdr:col>28</xdr:col>
      <xdr:colOff>11766</xdr:colOff>
      <xdr:row>159</xdr:row>
      <xdr:rowOff>324971</xdr:rowOff>
    </xdr:to>
    <xdr:sp>
      <xdr:nvSpPr>
        <xdr:cNvPr id="81" name="Rectangle 11">
          <a:extLst>
            <a:ext uri="{FF2B5EF4-FFF2-40B4-BE49-F238E27FC236}">
              <a16:creationId xmlns:a16="http://schemas.microsoft.com/office/drawing/2014/main" id="{3D3C6CEE-835C-4056-A36F-DEB26DA0B481}"/>
            </a:ext>
          </a:extLst>
        </xdr:cNvPr>
        <xdr:cNvSpPr/>
      </xdr:nvSpPr>
      <xdr:spPr>
        <a:xfrm>
          <a:off x="16506825" y="44510325"/>
          <a:ext cx="0" cy="3333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Collect RCF and Cash at HoldCo Level</a:t>
          </a:r>
          <a:endParaRPr lang="en-GB" sz="1600" b="1" kern="1200">
            <a:solidFill>
              <a:srgbClr val="000000"/>
            </a:solidFill>
          </a:endParaRPr>
        </a:p>
      </xdr:txBody>
    </xdr:sp>
    <xdr:clientData/>
  </xdr:twoCellAnchor>
  <xdr:twoCellAnchor>
    <xdr:from>
      <xdr:col>26</xdr:col>
      <xdr:colOff>0</xdr:colOff>
      <xdr:row>160</xdr:row>
      <xdr:rowOff>44823</xdr:rowOff>
    </xdr:from>
    <xdr:to>
      <xdr:col>27</xdr:col>
      <xdr:colOff>5631105</xdr:colOff>
      <xdr:row>210</xdr:row>
      <xdr:rowOff>155510</xdr:rowOff>
    </xdr:to>
    <xdr:sp>
      <xdr:nvSpPr>
        <xdr:cNvPr id="79" name="TextBox 1">
          <a:extLst>
            <a:ext uri="{FF2B5EF4-FFF2-40B4-BE49-F238E27FC236}">
              <a16:creationId xmlns:a16="http://schemas.microsoft.com/office/drawing/2014/main" id="{2EC929C3-B145-4E0A-93A3-9FE4B6C69362}"/>
            </a:ext>
          </a:extLst>
        </xdr:cNvPr>
        <xdr:cNvSpPr txBox="1"/>
      </xdr:nvSpPr>
      <xdr:spPr>
        <a:xfrm>
          <a:off x="16506825" y="44891325"/>
          <a:ext cx="0" cy="13363575"/>
        </a:xfrm>
        <a:prstGeom prst="rect"/>
        <a:noFill/>
      </xdr:spPr>
      <xdr:txBody>
        <a:bodyPr lIns="0" tIns="0" rIns="0" bIns="0" vertOverflow="overflow" horzOverflow="overflow" wrap="square" rtlCol="0" anchor="t">
          <a:noAutofit/>
        </a:bodyPr>
        <a:lstStyle/>
        <a:p>
          <a:pPr>
            <a:spcBef>
              <a:spcPts val="300"/>
            </a:spcBef>
          </a:pPr>
          <a:r>
            <a:rPr lang="en-GB" sz="1200" b="1" kern="1200" dirty="0" err="1"/>
            <a:t>Task: </a:t>
          </a:r>
          <a:r>
            <a:rPr lang="en-GB" sz="1200"/>
            <a:t>Please populate the </a:t>
          </a:r>
          <a:r>
            <a:rPr lang="en-GB" sz="1200" b="1"/>
            <a:t>HoldCo cash balance</a:t>
          </a:r>
          <a:r>
            <a:rPr lang="en-GB" sz="1200"/>
            <a:t> and the </a:t>
          </a:r>
          <a:r>
            <a:rPr lang="en-GB" sz="1200" b="1"/>
            <a:t>RCF amount</a:t>
          </a:r>
          <a:r>
            <a:rPr lang="en-GB" sz="1200"/>
            <a:t> that are currently sitting at the Holding Company level, i.e., above the operating company in the ownership structure. It is important that you complete </a:t>
          </a:r>
          <a:r>
            <a:rPr lang="en-GB" sz="1200" b="1"/>
            <a:t>all required fields</a:t>
          </a:r>
          <a:r>
            <a:rPr lang="en-GB" sz="1200"/>
            <a:t>.</a:t>
          </a:r>
          <a:endParaRPr lang="en-GB" sz="1200" b="1"/>
        </a:p>
        <a:p>
          <a:pPr>
            <a:spcBef>
              <a:spcPts val="300"/>
            </a:spcBef>
          </a:pPr>
          <a:r>
            <a:rPr lang="en-GB" sz="1200" b="1"/>
            <a:t>Reporting the RCF (Revolving Credit Facility)</a:t>
          </a:r>
        </a:p>
        <a:p>
          <a:pPr>
            <a:spcBef>
              <a:spcPts val="300"/>
            </a:spcBef>
          </a:pPr>
          <a:r>
            <a:rPr lang="en-GB" sz="1200" b="0"/>
            <a:t>For the Drawn RCF, please specify:</a:t>
          </a:r>
        </a:p>
        <a:p>
          <a:pPr lvl="1">
            <a:spcBef>
              <a:spcPts val="300"/>
            </a:spcBef>
          </a:pPr>
          <a:r>
            <a:rPr lang="en-GB" sz="1200" b="0"/>
            <a:t>Legal entity: Identify which legal entity signed the facility agreement.</a:t>
          </a:r>
        </a:p>
        <a:p>
          <a:pPr lvl="1">
            <a:spcBef>
              <a:spcPts val="300"/>
            </a:spcBef>
          </a:pPr>
          <a:r>
            <a:rPr lang="en-GB" sz="1200" b="0"/>
            <a:t>Currency: State the currency in which the RCF is drawn.</a:t>
          </a:r>
        </a:p>
        <a:p>
          <a:pPr lvl="1">
            <a:spcBef>
              <a:spcPts val="300"/>
            </a:spcBef>
          </a:pPr>
          <a:r>
            <a:rPr lang="en-GB" sz="1200" b="0"/>
            <a:t>Amount drawn: Indicate the exact drawn amount.</a:t>
          </a:r>
          <a:endParaRPr lang="en-GB" sz="1200" b="1"/>
        </a:p>
        <a:p>
          <a:pPr>
            <a:spcBef>
              <a:spcPts val="300"/>
            </a:spcBef>
          </a:pPr>
          <a:r>
            <a:rPr lang="en-GB" sz="1200" b="1"/>
            <a:t>Reporting Cash Information</a:t>
          </a:r>
        </a:p>
        <a:p>
          <a:pPr>
            <a:spcBef>
              <a:spcPts val="300"/>
            </a:spcBef>
          </a:pPr>
          <a:r>
            <a:rPr lang="en-GB" sz="1200" b="0"/>
            <a:t>For cash balances, you may:</a:t>
          </a:r>
        </a:p>
        <a:p>
          <a:pPr lvl="1">
            <a:spcBef>
              <a:spcPts val="300"/>
            </a:spcBef>
          </a:pPr>
          <a:r>
            <a:rPr lang="en-GB" sz="1200" b="0"/>
            <a:t>Report individual balances if a single entity holds multiple bank accounts, or</a:t>
          </a:r>
        </a:p>
        <a:p>
          <a:pPr lvl="1">
            <a:spcBef>
              <a:spcPts val="300"/>
            </a:spcBef>
          </a:pPr>
          <a:r>
            <a:rPr lang="en-GB" sz="1200" b="0"/>
            <a:t>Provide a consolidated amount for the entity.</a:t>
          </a:r>
        </a:p>
        <a:p>
          <a:pPr lvl="1">
            <a:spcBef>
              <a:spcPts val="300"/>
            </a:spcBef>
          </a:pPr>
          <a:r>
            <a:rPr lang="en-GB" sz="1200" b="0"/>
            <a:t>In either case, it is essential to clearly state the currency in which the cash balances are held.</a:t>
          </a:r>
          <a:endParaRPr lang="en-GB" sz="1200" b="1"/>
        </a:p>
        <a:p>
          <a:pPr>
            <a:spcBef>
              <a:spcPts val="300"/>
            </a:spcBef>
          </a:pPr>
          <a:r>
            <a:rPr lang="en-GB" sz="1200" b="1"/>
            <a:t>Ownership Transparency</a:t>
          </a:r>
        </a:p>
        <a:p>
          <a:pPr>
            <a:spcBef>
              <a:spcPts val="300"/>
            </a:spcBef>
          </a:pPr>
          <a:r>
            <a:rPr lang="en-GB" sz="1200" b="0"/>
            <a:t>For each line item (RCF or cash), please state the see-through ownership percentage of the Fund in the specific legal entity.</a:t>
          </a:r>
        </a:p>
        <a:p>
          <a:pPr>
            <a:spcBef>
              <a:spcPts val="300"/>
            </a:spcBef>
          </a:pPr>
          <a:r>
            <a:rPr lang="en-GB" sz="1200" b="0"/>
            <a:t>This information will be used to adjust the reported balances when they are incorporated into the Valuation Template.</a:t>
          </a:r>
          <a:endParaRPr lang="en-GB" sz="1200" b="1"/>
        </a:p>
        <a:p>
          <a:pPr>
            <a:spcBef>
              <a:spcPts val="300"/>
            </a:spcBef>
          </a:pPr>
          <a:r>
            <a:rPr lang="en-GB" sz="1200" b="1"/>
            <a:t>Application in Valuation</a:t>
          </a:r>
        </a:p>
        <a:p>
          <a:pPr>
            <a:spcBef>
              <a:spcPts val="300"/>
            </a:spcBef>
          </a:pPr>
          <a:r>
            <a:rPr lang="en-GB" sz="1200" b="0"/>
            <a:t>The see-through cash balance will be added to, or subtracted from, the Fair Value of the investment.</a:t>
          </a:r>
        </a:p>
        <a:p>
          <a:pPr>
            <a:spcBef>
              <a:spcPts val="300"/>
            </a:spcBef>
          </a:pPr>
          <a:r>
            <a:rPr lang="en-GB" sz="1200" b="0"/>
            <a:t>The see-through RCF balance will similarly be taken into account to ensure accurate valuation adjustments.</a:t>
          </a:r>
        </a:p>
        <a:p>
          <a:pPr defTabSz="914400" fontAlgn="auto" indent="0" lvl="0" marL="0" marR="0" hangingPunct="1" eaLnBrk="1" latinLnBrk="0">
            <a:lnSpc>
              <a:spcPct val="100000"/>
            </a:lnSpc>
            <a:spcBef>
              <a:spcPts val="300"/>
            </a:spcBef>
            <a:spcAft>
              <a:spcPts val="0"/>
            </a:spcAft>
            <a:buClrTx/>
            <a:buSzTx/>
            <a:buFontTx/>
            <a:buNone/>
          </a:pPr>
          <a:r>
            <a:rPr lang="en-GB" sz="1200" b="1">
              <a:solidFill>
                <a:srgbClr val="000000"/>
              </a:solidFill>
              <a:effectLst/>
              <a:latin typeface="+mn-lt"/>
              <a:ea typeface="+mn-ea"/>
              <a:cs typeface="+mn-cs"/>
            </a:rPr>
            <a:t>Task: </a:t>
          </a:r>
          <a:r>
            <a:rPr lang="en-GB" sz="1200">
              <a:solidFill>
                <a:srgbClr val="000000"/>
              </a:solidFill>
              <a:effectLst/>
              <a:latin typeface="+mn-lt"/>
              <a:ea typeface="+mn-ea"/>
              <a:cs typeface="+mn-cs"/>
            </a:rPr>
            <a:t>Please put in amount of hedge at final maturity date only. If company / Deal Team doesn’t have info then please contact the Cap Markets team to get the inputs.</a:t>
          </a:r>
          <a:endParaRPr lang="en-GB" sz="1200">
            <a:solidFill>
              <a:srgbClr val="000000"/>
            </a:solidFill>
            <a:effectLst/>
          </a:endParaRPr>
        </a:p>
        <a:p>
          <a:endParaRPr lang="en-GB" sz="1200" b="0"/>
        </a:p>
        <a:p>
          <a:endParaRPr lang="en-GB" sz="1200" b="0"/>
        </a:p>
        <a:p>
          <a:endParaRPr lang="en-GB" sz="1200" b="0"/>
        </a:p>
        <a:p>
          <a:endParaRPr lang="en-GB" sz="1200" b="0"/>
        </a:p>
        <a:p>
          <a:endParaRPr lang="en-GB" sz="1200" b="0"/>
        </a:p>
        <a:p>
          <a:endParaRPr lang="en-GB" sz="1200" b="0"/>
        </a:p>
        <a:p>
          <a:endParaRPr lang="en-GB" sz="1200" b="0"/>
        </a:p>
        <a:p>
          <a:pPr algn="l"/>
          <a:endParaRPr lang="en-GB" sz="1200" kern="1200" baseline="0" dirty="0" err="1"/>
        </a:p>
      </xdr:txBody>
    </xdr:sp>
    <xdr:clientData/>
  </xdr:twoCellAnchor>
  <xdr:twoCellAnchor>
    <xdr:from>
      <xdr:col>25</xdr:col>
      <xdr:colOff>194386</xdr:colOff>
      <xdr:row>211</xdr:row>
      <xdr:rowOff>0</xdr:rowOff>
    </xdr:from>
    <xdr:to>
      <xdr:col>27</xdr:col>
      <xdr:colOff>5646964</xdr:colOff>
      <xdr:row>213</xdr:row>
      <xdr:rowOff>0</xdr:rowOff>
    </xdr:to>
    <xdr:sp>
      <xdr:nvSpPr>
        <xdr:cNvPr id="34" name="Rectangle 16">
          <a:extLst>
            <a:ext uri="{FF2B5EF4-FFF2-40B4-BE49-F238E27FC236}">
              <a16:creationId xmlns:a16="http://schemas.microsoft.com/office/drawing/2014/main" id="{2B479ED1-3379-493E-934E-E6618C84F900}"/>
            </a:ext>
          </a:extLst>
        </xdr:cNvPr>
        <xdr:cNvSpPr/>
      </xdr:nvSpPr>
      <xdr:spPr>
        <a:xfrm>
          <a:off x="16506825" y="58312050"/>
          <a:ext cx="0" cy="4381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Collect RCF summary</a:t>
          </a:r>
          <a:endParaRPr lang="en-GB" sz="1600" b="1" kern="1200">
            <a:solidFill>
              <a:srgbClr val="000000"/>
            </a:solidFill>
          </a:endParaRPr>
        </a:p>
      </xdr:txBody>
    </xdr:sp>
    <xdr:clientData/>
  </xdr:twoCellAnchor>
  <xdr:twoCellAnchor>
    <xdr:from>
      <xdr:col>25</xdr:col>
      <xdr:colOff>194386</xdr:colOff>
      <xdr:row>214</xdr:row>
      <xdr:rowOff>0</xdr:rowOff>
    </xdr:from>
    <xdr:to>
      <xdr:col>28</xdr:col>
      <xdr:colOff>0</xdr:colOff>
      <xdr:row>216</xdr:row>
      <xdr:rowOff>0</xdr:rowOff>
    </xdr:to>
    <xdr:sp>
      <xdr:nvSpPr>
        <xdr:cNvPr id="38" name="TextBox 18">
          <a:extLst>
            <a:ext uri="{FF2B5EF4-FFF2-40B4-BE49-F238E27FC236}">
              <a16:creationId xmlns:a16="http://schemas.microsoft.com/office/drawing/2014/main" id="{88AB2349-B8FF-8115-FF7C-000E31AA43CC}"/>
            </a:ext>
          </a:extLst>
        </xdr:cNvPr>
        <xdr:cNvSpPr txBox="1"/>
      </xdr:nvSpPr>
      <xdr:spPr>
        <a:xfrm>
          <a:off x="16506825" y="58874025"/>
          <a:ext cx="0" cy="438150"/>
        </a:xfrm>
        <a:prstGeom prst="rect"/>
        <a:noFill/>
      </xdr:spPr>
      <xdr:txBody>
        <a:bodyPr lIns="0" tIns="0" rIns="0" bIns="0" vertOverflow="clip" horzOverflow="clip" wrap="square" rtlCol="0" anchor="t">
          <a:noAutofit/>
        </a:bodyPr>
        <a:lstStyle/>
        <a:p>
          <a:pPr algn="l"/>
          <a:r>
            <a:rPr lang="en-GB" sz="1200" b="1" kern="1200" dirty="0" err="1"/>
            <a:t>Task: </a:t>
          </a:r>
          <a:r>
            <a:rPr lang="en-GB" sz="1200" kern="1200" dirty="0" err="1"/>
            <a:t>Please add RCF committed amounts (not in drawn balance).</a:t>
          </a:r>
        </a:p>
        <a:p>
          <a:pPr algn="l"/>
          <a:r>
            <a:rPr lang="en-GB" sz="1200" kern="1200" dirty="0" err="1"/>
            <a:t>If CVC owns a minority or there is HoldCo debt, please discuss the maturity profile above with the Capital Markets team.</a:t>
          </a:r>
        </a:p>
      </xdr:txBody>
    </xdr:sp>
    <xdr:clientData/>
  </xdr:twoCellAnchor>
  <xdr:twoCellAnchor>
    <xdr:from>
      <xdr:col>33</xdr:col>
      <xdr:colOff>68035</xdr:colOff>
      <xdr:row>8</xdr:row>
      <xdr:rowOff>85725</xdr:rowOff>
    </xdr:from>
    <xdr:to>
      <xdr:col>42</xdr:col>
      <xdr:colOff>0</xdr:colOff>
      <xdr:row>15</xdr:row>
      <xdr:rowOff>108857</xdr:rowOff>
    </xdr:to>
    <xdr:sp>
      <xdr:nvSpPr>
        <xdr:cNvPr id="39" name="TextBox 38">
          <a:extLst>
            <a:ext uri="{FF2B5EF4-FFF2-40B4-BE49-F238E27FC236}">
              <a16:creationId xmlns:a16="http://schemas.microsoft.com/office/drawing/2014/main" id="{24FAAF14-B543-33DF-49AB-91868A15AFE7}"/>
            </a:ext>
          </a:extLst>
        </xdr:cNvPr>
        <xdr:cNvSpPr txBox="1"/>
      </xdr:nvSpPr>
      <xdr:spPr>
        <a:xfrm>
          <a:off x="17535525" y="2924175"/>
          <a:ext cx="12401550" cy="1543050"/>
        </a:xfrm>
        <a:prstGeom prst="rect"/>
        <a:noFill/>
      </xdr:spPr>
      <xdr:txBody>
        <a:bodyPr lIns="0" tIns="0" rIns="0" bIns="0" vertOverflow="clip" horzOverflow="clip" wrap="square" rtlCol="0" anchor="t">
          <a:noAutofit/>
        </a:bodyPr>
        <a:lstStyle/>
        <a:p>
          <a:pPr algn="l">
            <a:lnSpc>
              <a:spcPct val="150000"/>
            </a:lnSpc>
          </a:pPr>
          <a:r>
            <a:rPr lang="en-GB" sz="1400" dirty="0" err="1"/>
            <a:t>This collection will provide Capital Markets team with repayment schedules of all debt instruments across portfolio and holding companies, together with information on interest rate hedging and RCF usage, ensuring full visibility of maturity profiles and funding structures. </a:t>
          </a:r>
        </a:p>
        <a:p>
          <a:pPr algn="l">
            <a:lnSpc>
              <a:spcPct val="150000"/>
            </a:lnSpc>
          </a:pPr>
          <a:r>
            <a:rPr lang="en-GB" sz="1400" dirty="0" err="1"/>
            <a:t>This collection needs to be updated whenever there is a change in the capital structure. </a:t>
          </a:r>
        </a:p>
        <a:p>
          <a:pPr algn="l">
            <a:lnSpc>
              <a:spcPct val="150000"/>
            </a:lnSpc>
          </a:pPr>
          <a:r>
            <a:rPr lang="en-GB" sz="1400" dirty="0" err="1"/>
            <a:t>Importantly,</a:t>
          </a:r>
          <a:r>
            <a:rPr lang="en-GB" sz="1400" baseline="0" dirty="0" err="1"/>
            <a:t> Please choose the page display Uni </a:t>
          </a:r>
          <a:endParaRPr lang="en-GB" sz="1400" dirty="0" err="1"/>
        </a:p>
      </xdr:txBody>
    </xdr:sp>
    <xdr:clientData/>
  </xdr:twoCellAnchor>
  <xdr:twoCellAnchor>
    <xdr:from>
      <xdr:col>26</xdr:col>
      <xdr:colOff>13854</xdr:colOff>
      <xdr:row>7</xdr:row>
      <xdr:rowOff>406112</xdr:rowOff>
    </xdr:from>
    <xdr:to>
      <xdr:col>28</xdr:col>
      <xdr:colOff>16451</xdr:colOff>
      <xdr:row>10</xdr:row>
      <xdr:rowOff>33770</xdr:rowOff>
    </xdr:to>
    <xdr:sp>
      <xdr:nvSpPr>
        <xdr:cNvPr id="2" name="Rectangle 1">
          <a:extLst>
            <a:ext uri="{FF2B5EF4-FFF2-40B4-BE49-F238E27FC236}">
              <a16:creationId xmlns:a16="http://schemas.microsoft.com/office/drawing/2014/main" id="{7433D815-9DE4-4BC6-AB50-C0B2BADFD3B7}"/>
            </a:ext>
          </a:extLst>
        </xdr:cNvPr>
        <xdr:cNvSpPr/>
      </xdr:nvSpPr>
      <xdr:spPr>
        <a:xfrm>
          <a:off x="16506825" y="2838450"/>
          <a:ext cx="0" cy="5143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Section</a:t>
          </a:r>
          <a:r>
            <a:rPr lang="en-GB" sz="1600" b="1" kern="1200" baseline="0">
              <a:solidFill>
                <a:srgbClr val="000000"/>
              </a:solidFill>
            </a:rPr>
            <a:t> Guidance for Completion</a:t>
          </a:r>
          <a:endParaRPr lang="en-GB" sz="1600" b="1" kern="1200">
            <a:solidFill>
              <a:srgbClr val="000000"/>
            </a:solidFill>
          </a:endParaRPr>
        </a:p>
      </xdr:txBody>
    </xdr:sp>
    <xdr:clientData/>
  </xdr:twoCellAnchor>
  <xdr:twoCellAnchor>
    <xdr:from>
      <xdr:col>25</xdr:col>
      <xdr:colOff>166254</xdr:colOff>
      <xdr:row>14</xdr:row>
      <xdr:rowOff>108239</xdr:rowOff>
    </xdr:from>
    <xdr:to>
      <xdr:col>27</xdr:col>
      <xdr:colOff>5624079</xdr:colOff>
      <xdr:row>16</xdr:row>
      <xdr:rowOff>30307</xdr:rowOff>
    </xdr:to>
    <xdr:sp>
      <xdr:nvSpPr>
        <xdr:cNvPr id="5" name="Rectangle 4">
          <a:extLst>
            <a:ext uri="{FF2B5EF4-FFF2-40B4-BE49-F238E27FC236}">
              <a16:creationId xmlns:a16="http://schemas.microsoft.com/office/drawing/2014/main" id="{9713EB9B-F019-486E-A06A-F401F239E6CF}"/>
            </a:ext>
          </a:extLst>
        </xdr:cNvPr>
        <xdr:cNvSpPr/>
      </xdr:nvSpPr>
      <xdr:spPr>
        <a:xfrm>
          <a:off x="16506825" y="4276725"/>
          <a:ext cx="0" cy="5238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Collect Debt Maturities at OpCo Level</a:t>
          </a:r>
          <a:endParaRPr lang="en-GB" sz="1600" b="1" kern="1200">
            <a:solidFill>
              <a:srgbClr val="000000"/>
            </a:solidFill>
          </a:endParaRPr>
        </a:p>
      </xdr:txBody>
    </xdr:sp>
    <xdr:clientData/>
  </xdr:twoCellAnchor>
  <xdr:twoCellAnchor>
    <xdr:from>
      <xdr:col>26</xdr:col>
      <xdr:colOff>51954</xdr:colOff>
      <xdr:row>17</xdr:row>
      <xdr:rowOff>1</xdr:rowOff>
    </xdr:from>
    <xdr:to>
      <xdr:col>27</xdr:col>
      <xdr:colOff>5649057</xdr:colOff>
      <xdr:row>22</xdr:row>
      <xdr:rowOff>2542</xdr:rowOff>
    </xdr:to>
    <xdr:sp>
      <xdr:nvSpPr>
        <xdr:cNvPr id="10" name="TextBox 1">
          <a:extLst>
            <a:ext uri="{FF2B5EF4-FFF2-40B4-BE49-F238E27FC236}">
              <a16:creationId xmlns:a16="http://schemas.microsoft.com/office/drawing/2014/main" id="{1D99AFAD-2E99-4024-88C7-9E83AD42D1F7}"/>
            </a:ext>
          </a:extLst>
        </xdr:cNvPr>
        <xdr:cNvSpPr txBox="1"/>
      </xdr:nvSpPr>
      <xdr:spPr>
        <a:xfrm>
          <a:off x="16506825" y="5010150"/>
          <a:ext cx="0" cy="1447800"/>
        </a:xfrm>
        <a:prstGeom prst="rect"/>
        <a:noFill/>
      </xdr:spPr>
      <xdr:txBody>
        <a:bodyPr lIns="0" tIns="0" rIns="0" bIns="0" vertOverflow="overflow" horzOverflow="overflow" wrap="square" rtlCol="0" anchor="t">
          <a:noAutofit/>
        </a:bodyPr>
        <a:lstStyle/>
        <a:p>
          <a:pPr algn="l"/>
          <a:r>
            <a:rPr lang="en-GB" sz="1200" kern="1200" dirty="0" err="1"/>
            <a:t>Task:</a:t>
          </a:r>
          <a:r>
            <a:rPr lang="en-GB" sz="1200" kern="1200" baseline="0" dirty="0" err="1"/>
            <a:t> The OpCo debt outstanding amount will be retrieved automatically from the Balance Sheet collection. Please complete the repayment schedule for each debt item, specifying the amounts and repayment dates. The objective is to provide a clear overview of the debt maturity profile and the weighted average maturity of gross acquisition debt.</a:t>
          </a:r>
        </a:p>
        <a:p>
          <a:pPr algn="l"/>
          <a:endParaRPr lang="en-GB" sz="1200" kern="1200" baseline="0" dirty="0" err="1"/>
        </a:p>
        <a:p>
          <a:pPr algn="l"/>
          <a:r>
            <a:rPr lang="en-GB" sz="1200" kern="1200" baseline="0" dirty="0" err="1"/>
            <a:t>Note: Deal Teams to check if any amortisation applicable (Term Loan A or US Term Loan B). If amortisation applicable please put the amount due in that year. For the date relating to amortisation please use the yearly mid point (if multiple amortisation dates per year).           </a:t>
          </a:r>
        </a:p>
      </xdr:txBody>
    </xdr:sp>
    <xdr:clientData/>
  </xdr:twoCellAnchor>
  <xdr:twoCellAnchor>
    <xdr:from>
      <xdr:col>25</xdr:col>
      <xdr:colOff>138546</xdr:colOff>
      <xdr:row>118</xdr:row>
      <xdr:rowOff>0</xdr:rowOff>
    </xdr:from>
    <xdr:to>
      <xdr:col>28</xdr:col>
      <xdr:colOff>0</xdr:colOff>
      <xdr:row>119</xdr:row>
      <xdr:rowOff>0</xdr:rowOff>
    </xdr:to>
    <xdr:sp>
      <xdr:nvSpPr>
        <xdr:cNvPr id="11" name="Rectangle 10">
          <a:extLst>
            <a:ext uri="{FF2B5EF4-FFF2-40B4-BE49-F238E27FC236}">
              <a16:creationId xmlns:a16="http://schemas.microsoft.com/office/drawing/2014/main" id="{4AFD307B-C079-4D77-A36F-698E88CF4163}"/>
            </a:ext>
          </a:extLst>
        </xdr:cNvPr>
        <xdr:cNvSpPr/>
      </xdr:nvSpPr>
      <xdr:spPr>
        <a:xfrm>
          <a:off x="16506825" y="33070800"/>
          <a:ext cx="0" cy="35242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Collect Hedging Maturities at OpCo Level</a:t>
          </a:r>
          <a:endParaRPr lang="en-GB" sz="1600" b="1" kern="1200">
            <a:solidFill>
              <a:srgbClr val="000000"/>
            </a:solidFill>
          </a:endParaRPr>
        </a:p>
      </xdr:txBody>
    </xdr:sp>
    <xdr:clientData/>
  </xdr:twoCellAnchor>
  <xdr:twoCellAnchor>
    <xdr:from>
      <xdr:col>26</xdr:col>
      <xdr:colOff>34504</xdr:colOff>
      <xdr:row>120</xdr:row>
      <xdr:rowOff>233265</xdr:rowOff>
    </xdr:from>
    <xdr:to>
      <xdr:col>28</xdr:col>
      <xdr:colOff>0</xdr:colOff>
      <xdr:row>124</xdr:row>
      <xdr:rowOff>0</xdr:rowOff>
    </xdr:to>
    <xdr:sp>
      <xdr:nvSpPr>
        <xdr:cNvPr id="12" name="TextBox 1">
          <a:extLst>
            <a:ext uri="{FF2B5EF4-FFF2-40B4-BE49-F238E27FC236}">
              <a16:creationId xmlns:a16="http://schemas.microsoft.com/office/drawing/2014/main" id="{2CA5F6FF-5858-4401-AC3B-A0F17D0B1C1B}"/>
            </a:ext>
          </a:extLst>
        </xdr:cNvPr>
        <xdr:cNvSpPr txBox="1"/>
      </xdr:nvSpPr>
      <xdr:spPr>
        <a:xfrm>
          <a:off x="16506825" y="33842325"/>
          <a:ext cx="0" cy="838200"/>
        </a:xfrm>
        <a:prstGeom prst="rect"/>
        <a:noFill/>
      </xdr:spPr>
      <xdr:txBody>
        <a:bodyPr lIns="0" tIns="0" rIns="0" bIns="0" vertOverflow="clip" horzOverflow="clip" wrap="square" rtlCol="0" anchor="t">
          <a:noAutofit/>
        </a:bodyPr>
        <a:lstStyle/>
        <a:p>
          <a:pPr algn="l"/>
          <a:r>
            <a:rPr lang="en-GB" sz="1100" b="1">
              <a:solidFill>
                <a:srgbClr val="000000"/>
              </a:solidFill>
              <a:effectLst/>
              <a:latin typeface="+mn-lt"/>
              <a:ea typeface="+mn-ea"/>
              <a:cs typeface="+mn-cs"/>
            </a:rPr>
            <a:t>Task: </a:t>
          </a:r>
          <a:r>
            <a:rPr lang="en-GB" sz="1200" kern="1200" dirty="0" err="1"/>
            <a:t>Please put in amount of hedge at final maturity date only. If company / Deal Team doesn’t have info then please contact the Cap Markets team to get the inputs.</a:t>
          </a:r>
          <a:endParaRPr lang="en-GB" sz="1200" kern="1200" baseline="0" dirty="0" err="1"/>
        </a:p>
      </xdr:txBody>
    </xdr:sp>
    <xdr:clientData/>
  </xdr:twoCellAnchor>
  <xdr:twoCellAnchor>
    <xdr:from>
      <xdr:col>26</xdr:col>
      <xdr:colOff>56030</xdr:colOff>
      <xdr:row>30</xdr:row>
      <xdr:rowOff>201706</xdr:rowOff>
    </xdr:from>
    <xdr:to>
      <xdr:col>27</xdr:col>
      <xdr:colOff>5580530</xdr:colOff>
      <xdr:row>32</xdr:row>
      <xdr:rowOff>67235</xdr:rowOff>
    </xdr:to>
    <xdr:sp>
      <xdr:nvSpPr>
        <xdr:cNvPr id="14" name="Rectangle 9">
          <a:extLst>
            <a:ext uri="{FF2B5EF4-FFF2-40B4-BE49-F238E27FC236}">
              <a16:creationId xmlns:a16="http://schemas.microsoft.com/office/drawing/2014/main" id="{113A9834-A9DA-4107-8049-BAFC6BBE6E98}"/>
            </a:ext>
          </a:extLst>
        </xdr:cNvPr>
        <xdr:cNvSpPr/>
      </xdr:nvSpPr>
      <xdr:spPr>
        <a:xfrm>
          <a:off x="16506825" y="8705850"/>
          <a:ext cx="0" cy="419100"/>
        </a:xfrm>
        <a:prstGeom prst="rect"/>
        <a:solidFill>
          <a:srgbClr val="FFD9D9"/>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0" kern="1700" spc="0">
              <a:solidFill>
                <a:srgbClr val="FF0000"/>
              </a:solidFill>
            </a:rPr>
            <a:t>The debt outstanding for each item must match the residual amount shown in the repayment schedule</a:t>
          </a:r>
          <a:r>
            <a:rPr lang="en-GB" sz="1200" b="0" kern="1700" spc="0" baseline="0">
              <a:solidFill>
                <a:srgbClr val="FF0000"/>
              </a:solidFill>
            </a:rPr>
            <a:t>. </a:t>
          </a:r>
          <a:endParaRPr lang="en-GB" sz="1200" b="0" kern="1700" spc="0">
            <a:solidFill>
              <a:srgbClr val="343434"/>
            </a:solidFill>
          </a:endParaRPr>
        </a:p>
        <a:p>
          <a:pPr algn="l"/>
          <a:endParaRPr lang="en-GB" sz="1050" b="0" kern="1700" spc="0">
            <a:solidFill>
              <a:srgbClr val="343434"/>
            </a:solidFill>
          </a:endParaRPr>
        </a:p>
      </xdr:txBody>
    </xdr:sp>
    <xdr:clientData/>
  </xdr:twoCellAnchor>
  <xdr:twoCellAnchor>
    <xdr:from>
      <xdr:col>25</xdr:col>
      <xdr:colOff>130788</xdr:colOff>
      <xdr:row>138</xdr:row>
      <xdr:rowOff>42669</xdr:rowOff>
    </xdr:from>
    <xdr:to>
      <xdr:col>28</xdr:col>
      <xdr:colOff>0</xdr:colOff>
      <xdr:row>139</xdr:row>
      <xdr:rowOff>0</xdr:rowOff>
    </xdr:to>
    <xdr:sp>
      <xdr:nvSpPr>
        <xdr:cNvPr id="15" name="Rectangle 9">
          <a:extLst>
            <a:ext uri="{FF2B5EF4-FFF2-40B4-BE49-F238E27FC236}">
              <a16:creationId xmlns:a16="http://schemas.microsoft.com/office/drawing/2014/main" id="{9DF8A55B-35F2-424A-9C41-FF25C48696A7}"/>
            </a:ext>
          </a:extLst>
        </xdr:cNvPr>
        <xdr:cNvSpPr/>
      </xdr:nvSpPr>
      <xdr:spPr>
        <a:xfrm>
          <a:off x="16506825" y="38661975"/>
          <a:ext cx="0" cy="3714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3: Collect Debt Maturities at HoldCo Level</a:t>
          </a:r>
          <a:endParaRPr lang="en-GB" sz="1600" b="1" kern="1200">
            <a:solidFill>
              <a:srgbClr val="000000"/>
            </a:solidFill>
          </a:endParaRPr>
        </a:p>
      </xdr:txBody>
    </xdr:sp>
    <xdr:clientData/>
  </xdr:twoCellAnchor>
  <xdr:twoCellAnchor>
    <xdr:from>
      <xdr:col>26</xdr:col>
      <xdr:colOff>0</xdr:colOff>
      <xdr:row>139</xdr:row>
      <xdr:rowOff>1</xdr:rowOff>
    </xdr:from>
    <xdr:to>
      <xdr:col>28</xdr:col>
      <xdr:colOff>0</xdr:colOff>
      <xdr:row>142</xdr:row>
      <xdr:rowOff>0</xdr:rowOff>
    </xdr:to>
    <xdr:sp>
      <xdr:nvSpPr>
        <xdr:cNvPr id="16" name="TextBox 1">
          <a:extLst>
            <a:ext uri="{FF2B5EF4-FFF2-40B4-BE49-F238E27FC236}">
              <a16:creationId xmlns:a16="http://schemas.microsoft.com/office/drawing/2014/main" id="{ED447804-76C8-47AA-B1BD-4149D3F5577F}"/>
            </a:ext>
          </a:extLst>
        </xdr:cNvPr>
        <xdr:cNvSpPr txBox="1"/>
      </xdr:nvSpPr>
      <xdr:spPr>
        <a:xfrm>
          <a:off x="16506825" y="39033450"/>
          <a:ext cx="0" cy="733425"/>
        </a:xfrm>
        <a:prstGeom prst="rect"/>
        <a:noFill/>
      </xdr:spPr>
      <xdr:txBody>
        <a:bodyPr lIns="0" tIns="0" rIns="0" bIns="0" vertOverflow="overflow" horzOverflow="overflow" wrap="square" rtlCol="0" anchor="t">
          <a:noAutofit/>
        </a:bodyPr>
        <a:lstStyle/>
        <a:p>
          <a:pPr algn="l">
            <a:lnSpc>
              <a:spcPts val="1500"/>
            </a:lnSpc>
          </a:pPr>
          <a:r>
            <a:rPr lang="en-GB" sz="1200" b="1" kern="1200" dirty="0" err="1"/>
            <a:t>Task: </a:t>
          </a:r>
          <a:r>
            <a:rPr lang="en-GB" sz="1200" kern="1200" dirty="0" err="1"/>
            <a:t>Please complete the repayment schedule for any debt at the HoldCo level, specifying the amounts and repayment dates. </a:t>
          </a:r>
        </a:p>
        <a:p>
          <a:pPr algn="l">
            <a:lnSpc>
              <a:spcPts val="1500"/>
            </a:lnSpc>
          </a:pPr>
          <a:r>
            <a:rPr lang="en-GB" sz="1200" kern="1200" dirty="0" err="1"/>
            <a:t>In addition, provide the name of the legal entity issuing the debt and indicate the see-through ownership at fund level, consistent with the assumptions used in your valuation template. </a:t>
          </a:r>
        </a:p>
        <a:p>
          <a:pPr algn="l">
            <a:lnSpc>
              <a:spcPts val="1500"/>
            </a:lnSpc>
          </a:pPr>
          <a:r>
            <a:rPr lang="en-GB" sz="1200" kern="1200" dirty="0" err="1"/>
            <a:t>The outstanding amount, multiplied by the see-through ownership, will automatically feed into your valuation</a:t>
          </a:r>
          <a:endParaRPr lang="en-GB" sz="1200" kern="1200" baseline="0" dirty="0" err="1"/>
        </a:p>
      </xdr:txBody>
    </xdr:sp>
    <xdr:clientData/>
  </xdr:twoCellAnchor>
  <xdr:twoCellAnchor>
    <xdr:from>
      <xdr:col>26</xdr:col>
      <xdr:colOff>11206</xdr:colOff>
      <xdr:row>158</xdr:row>
      <xdr:rowOff>201706</xdr:rowOff>
    </xdr:from>
    <xdr:to>
      <xdr:col>28</xdr:col>
      <xdr:colOff>11766</xdr:colOff>
      <xdr:row>159</xdr:row>
      <xdr:rowOff>324971</xdr:rowOff>
    </xdr:to>
    <xdr:sp>
      <xdr:nvSpPr>
        <xdr:cNvPr id="17" name="Rectangle 11">
          <a:extLst>
            <a:ext uri="{FF2B5EF4-FFF2-40B4-BE49-F238E27FC236}">
              <a16:creationId xmlns:a16="http://schemas.microsoft.com/office/drawing/2014/main" id="{CEA6C2D0-40B5-476B-92A2-385991374B5F}"/>
            </a:ext>
          </a:extLst>
        </xdr:cNvPr>
        <xdr:cNvSpPr/>
      </xdr:nvSpPr>
      <xdr:spPr>
        <a:xfrm>
          <a:off x="16506825" y="44510325"/>
          <a:ext cx="0" cy="3333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Collect RCF and Cash at HoldCo Level</a:t>
          </a:r>
          <a:endParaRPr lang="en-GB" sz="1600" b="1" kern="1200">
            <a:solidFill>
              <a:srgbClr val="000000"/>
            </a:solidFill>
          </a:endParaRPr>
        </a:p>
      </xdr:txBody>
    </xdr:sp>
    <xdr:clientData/>
  </xdr:twoCellAnchor>
  <xdr:twoCellAnchor>
    <xdr:from>
      <xdr:col>26</xdr:col>
      <xdr:colOff>0</xdr:colOff>
      <xdr:row>160</xdr:row>
      <xdr:rowOff>44823</xdr:rowOff>
    </xdr:from>
    <xdr:to>
      <xdr:col>27</xdr:col>
      <xdr:colOff>5631105</xdr:colOff>
      <xdr:row>210</xdr:row>
      <xdr:rowOff>155510</xdr:rowOff>
    </xdr:to>
    <xdr:sp>
      <xdr:nvSpPr>
        <xdr:cNvPr id="18" name="TextBox 1">
          <a:extLst>
            <a:ext uri="{FF2B5EF4-FFF2-40B4-BE49-F238E27FC236}">
              <a16:creationId xmlns:a16="http://schemas.microsoft.com/office/drawing/2014/main" id="{80C3CF2C-7A60-432F-B0FD-7CCAE548AC23}"/>
            </a:ext>
          </a:extLst>
        </xdr:cNvPr>
        <xdr:cNvSpPr txBox="1"/>
      </xdr:nvSpPr>
      <xdr:spPr>
        <a:xfrm>
          <a:off x="16506825" y="44891325"/>
          <a:ext cx="0" cy="13363575"/>
        </a:xfrm>
        <a:prstGeom prst="rect"/>
        <a:noFill/>
      </xdr:spPr>
      <xdr:txBody>
        <a:bodyPr lIns="0" tIns="0" rIns="0" bIns="0" vertOverflow="overflow" horzOverflow="overflow" wrap="square" rtlCol="0" anchor="t">
          <a:noAutofit/>
        </a:bodyPr>
        <a:lstStyle/>
        <a:p>
          <a:pPr>
            <a:spcBef>
              <a:spcPts val="300"/>
            </a:spcBef>
          </a:pPr>
          <a:r>
            <a:rPr lang="en-GB" sz="1200" b="1" kern="1200" dirty="0" err="1"/>
            <a:t>Task: </a:t>
          </a:r>
          <a:r>
            <a:rPr lang="en-GB" sz="1200"/>
            <a:t>Please populate the </a:t>
          </a:r>
          <a:r>
            <a:rPr lang="en-GB" sz="1200" b="1"/>
            <a:t>HoldCo cash balance</a:t>
          </a:r>
          <a:r>
            <a:rPr lang="en-GB" sz="1200"/>
            <a:t> and the </a:t>
          </a:r>
          <a:r>
            <a:rPr lang="en-GB" sz="1200" b="1"/>
            <a:t>RCF amount</a:t>
          </a:r>
          <a:r>
            <a:rPr lang="en-GB" sz="1200"/>
            <a:t> that are currently sitting at the Holding Company level, i.e., above the operating company in the ownership structure. It is important that you complete </a:t>
          </a:r>
          <a:r>
            <a:rPr lang="en-GB" sz="1200" b="1"/>
            <a:t>all required fields</a:t>
          </a:r>
          <a:r>
            <a:rPr lang="en-GB" sz="1200"/>
            <a:t>.</a:t>
          </a:r>
          <a:endParaRPr lang="en-GB" sz="1200" b="1"/>
        </a:p>
        <a:p>
          <a:pPr>
            <a:spcBef>
              <a:spcPts val="300"/>
            </a:spcBef>
          </a:pPr>
          <a:r>
            <a:rPr lang="en-GB" sz="1200" b="1"/>
            <a:t>Reporting the RCF (Revolving Credit Facility)</a:t>
          </a:r>
        </a:p>
        <a:p>
          <a:pPr>
            <a:spcBef>
              <a:spcPts val="300"/>
            </a:spcBef>
          </a:pPr>
          <a:r>
            <a:rPr lang="en-GB" sz="1200" b="0"/>
            <a:t>For the Drawn RCF, please specify:</a:t>
          </a:r>
        </a:p>
        <a:p>
          <a:pPr lvl="1">
            <a:spcBef>
              <a:spcPts val="300"/>
            </a:spcBef>
          </a:pPr>
          <a:r>
            <a:rPr lang="en-GB" sz="1200" b="0"/>
            <a:t>Legal entity: Identify which legal entity signed the facility agreement.</a:t>
          </a:r>
        </a:p>
        <a:p>
          <a:pPr lvl="1">
            <a:spcBef>
              <a:spcPts val="300"/>
            </a:spcBef>
          </a:pPr>
          <a:r>
            <a:rPr lang="en-GB" sz="1200" b="0"/>
            <a:t>Currency: State the currency in which the RCF is drawn.</a:t>
          </a:r>
        </a:p>
        <a:p>
          <a:pPr lvl="1">
            <a:spcBef>
              <a:spcPts val="300"/>
            </a:spcBef>
          </a:pPr>
          <a:r>
            <a:rPr lang="en-GB" sz="1200" b="0"/>
            <a:t>Amount drawn: Indicate the exact drawn amount.</a:t>
          </a:r>
          <a:endParaRPr lang="en-GB" sz="1200" b="1"/>
        </a:p>
        <a:p>
          <a:pPr>
            <a:spcBef>
              <a:spcPts val="300"/>
            </a:spcBef>
          </a:pPr>
          <a:r>
            <a:rPr lang="en-GB" sz="1200" b="1"/>
            <a:t>Reporting Cash Information</a:t>
          </a:r>
        </a:p>
        <a:p>
          <a:pPr>
            <a:spcBef>
              <a:spcPts val="300"/>
            </a:spcBef>
          </a:pPr>
          <a:r>
            <a:rPr lang="en-GB" sz="1200" b="0"/>
            <a:t>For cash balances, you may:</a:t>
          </a:r>
        </a:p>
        <a:p>
          <a:pPr lvl="1">
            <a:spcBef>
              <a:spcPts val="300"/>
            </a:spcBef>
          </a:pPr>
          <a:r>
            <a:rPr lang="en-GB" sz="1200" b="0"/>
            <a:t>Report individual balances if a single entity holds multiple bank accounts, or</a:t>
          </a:r>
        </a:p>
        <a:p>
          <a:pPr lvl="1">
            <a:spcBef>
              <a:spcPts val="300"/>
            </a:spcBef>
          </a:pPr>
          <a:r>
            <a:rPr lang="en-GB" sz="1200" b="0"/>
            <a:t>Provide a consolidated amount for the entity.</a:t>
          </a:r>
        </a:p>
        <a:p>
          <a:pPr lvl="1">
            <a:spcBef>
              <a:spcPts val="300"/>
            </a:spcBef>
          </a:pPr>
          <a:r>
            <a:rPr lang="en-GB" sz="1200" b="0"/>
            <a:t>In either case, it is essential to clearly state the currency in which the cash balances are held.</a:t>
          </a:r>
          <a:endParaRPr lang="en-GB" sz="1200" b="1"/>
        </a:p>
        <a:p>
          <a:pPr>
            <a:spcBef>
              <a:spcPts val="300"/>
            </a:spcBef>
          </a:pPr>
          <a:r>
            <a:rPr lang="en-GB" sz="1200" b="1"/>
            <a:t>Ownership Transparency</a:t>
          </a:r>
        </a:p>
        <a:p>
          <a:pPr>
            <a:spcBef>
              <a:spcPts val="300"/>
            </a:spcBef>
          </a:pPr>
          <a:r>
            <a:rPr lang="en-GB" sz="1200" b="0"/>
            <a:t>For each line item (RCF or cash), please state the see-through ownership percentage of the Fund in the specific legal entity.</a:t>
          </a:r>
        </a:p>
        <a:p>
          <a:pPr>
            <a:spcBef>
              <a:spcPts val="300"/>
            </a:spcBef>
          </a:pPr>
          <a:r>
            <a:rPr lang="en-GB" sz="1200" b="0"/>
            <a:t>This information will be used to adjust the reported balances when they are incorporated into the Valuation Template.</a:t>
          </a:r>
          <a:endParaRPr lang="en-GB" sz="1200" b="1"/>
        </a:p>
        <a:p>
          <a:pPr>
            <a:spcBef>
              <a:spcPts val="300"/>
            </a:spcBef>
          </a:pPr>
          <a:r>
            <a:rPr lang="en-GB" sz="1200" b="1"/>
            <a:t>Application in Valuation</a:t>
          </a:r>
        </a:p>
        <a:p>
          <a:pPr>
            <a:spcBef>
              <a:spcPts val="300"/>
            </a:spcBef>
          </a:pPr>
          <a:r>
            <a:rPr lang="en-GB" sz="1200" b="0"/>
            <a:t>The see-through cash balance will be added to, or subtracted from, the Fair Value of the investment.</a:t>
          </a:r>
        </a:p>
        <a:p>
          <a:pPr>
            <a:spcBef>
              <a:spcPts val="300"/>
            </a:spcBef>
          </a:pPr>
          <a:r>
            <a:rPr lang="en-GB" sz="1200" b="0"/>
            <a:t>The see-through RCF balance will similarly be taken into account to ensure accurate valuation adjustments.</a:t>
          </a:r>
        </a:p>
        <a:p>
          <a:pPr defTabSz="914400" fontAlgn="auto" indent="0" lvl="0" marL="0" marR="0" hangingPunct="1" eaLnBrk="1" latinLnBrk="0">
            <a:lnSpc>
              <a:spcPct val="100000"/>
            </a:lnSpc>
            <a:spcBef>
              <a:spcPts val="300"/>
            </a:spcBef>
            <a:spcAft>
              <a:spcPts val="0"/>
            </a:spcAft>
            <a:buClrTx/>
            <a:buSzTx/>
            <a:buFontTx/>
            <a:buNone/>
          </a:pPr>
          <a:r>
            <a:rPr lang="en-GB" sz="1200" b="1">
              <a:solidFill>
                <a:srgbClr val="000000"/>
              </a:solidFill>
              <a:effectLst/>
              <a:latin typeface="+mn-lt"/>
              <a:ea typeface="+mn-ea"/>
              <a:cs typeface="+mn-cs"/>
            </a:rPr>
            <a:t>Task: </a:t>
          </a:r>
          <a:r>
            <a:rPr lang="en-GB" sz="1200">
              <a:solidFill>
                <a:srgbClr val="000000"/>
              </a:solidFill>
              <a:effectLst/>
              <a:latin typeface="+mn-lt"/>
              <a:ea typeface="+mn-ea"/>
              <a:cs typeface="+mn-cs"/>
            </a:rPr>
            <a:t>Please put in amount of hedge at final maturity date only. If company / Deal Team doesn’t have info then please contact the Cap Markets team to get the inputs.</a:t>
          </a:r>
          <a:endParaRPr lang="en-GB" sz="1200">
            <a:solidFill>
              <a:srgbClr val="000000"/>
            </a:solidFill>
            <a:effectLst/>
          </a:endParaRPr>
        </a:p>
        <a:p>
          <a:endParaRPr lang="en-GB" sz="1200" b="0"/>
        </a:p>
        <a:p>
          <a:endParaRPr lang="en-GB" sz="1200" b="0"/>
        </a:p>
        <a:p>
          <a:endParaRPr lang="en-GB" sz="1200" b="0"/>
        </a:p>
        <a:p>
          <a:endParaRPr lang="en-GB" sz="1200" b="0"/>
        </a:p>
        <a:p>
          <a:endParaRPr lang="en-GB" sz="1200" b="0"/>
        </a:p>
        <a:p>
          <a:endParaRPr lang="en-GB" sz="1200" b="0"/>
        </a:p>
        <a:p>
          <a:endParaRPr lang="en-GB" sz="1200" b="0"/>
        </a:p>
        <a:p>
          <a:pPr algn="l"/>
          <a:endParaRPr lang="en-GB" sz="1200" kern="1200" baseline="0" dirty="0" err="1"/>
        </a:p>
      </xdr:txBody>
    </xdr:sp>
    <xdr:clientData/>
  </xdr:twoCellAnchor>
  <xdr:twoCellAnchor>
    <xdr:from>
      <xdr:col>25</xdr:col>
      <xdr:colOff>194386</xdr:colOff>
      <xdr:row>211</xdr:row>
      <xdr:rowOff>0</xdr:rowOff>
    </xdr:from>
    <xdr:to>
      <xdr:col>27</xdr:col>
      <xdr:colOff>5646964</xdr:colOff>
      <xdr:row>213</xdr:row>
      <xdr:rowOff>0</xdr:rowOff>
    </xdr:to>
    <xdr:sp>
      <xdr:nvSpPr>
        <xdr:cNvPr id="19" name="Rectangle 16">
          <a:extLst>
            <a:ext uri="{FF2B5EF4-FFF2-40B4-BE49-F238E27FC236}">
              <a16:creationId xmlns:a16="http://schemas.microsoft.com/office/drawing/2014/main" id="{0B46391F-53BF-49C9-A3B4-78DD8C096372}"/>
            </a:ext>
          </a:extLst>
        </xdr:cNvPr>
        <xdr:cNvSpPr/>
      </xdr:nvSpPr>
      <xdr:spPr>
        <a:xfrm>
          <a:off x="16506825" y="58312050"/>
          <a:ext cx="0" cy="4381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Collect RCF summary</a:t>
          </a:r>
          <a:endParaRPr lang="en-GB" sz="1600" b="1" kern="1200">
            <a:solidFill>
              <a:srgbClr val="000000"/>
            </a:solidFill>
          </a:endParaRPr>
        </a:p>
      </xdr:txBody>
    </xdr:sp>
    <xdr:clientData/>
  </xdr:twoCellAnchor>
  <xdr:twoCellAnchor>
    <xdr:from>
      <xdr:col>25</xdr:col>
      <xdr:colOff>194386</xdr:colOff>
      <xdr:row>214</xdr:row>
      <xdr:rowOff>0</xdr:rowOff>
    </xdr:from>
    <xdr:to>
      <xdr:col>28</xdr:col>
      <xdr:colOff>0</xdr:colOff>
      <xdr:row>216</xdr:row>
      <xdr:rowOff>0</xdr:rowOff>
    </xdr:to>
    <xdr:sp>
      <xdr:nvSpPr>
        <xdr:cNvPr id="20" name="TextBox 18">
          <a:extLst>
            <a:ext uri="{FF2B5EF4-FFF2-40B4-BE49-F238E27FC236}">
              <a16:creationId xmlns:a16="http://schemas.microsoft.com/office/drawing/2014/main" id="{5598DCCF-D573-4398-9DA5-1442305E0BF1}"/>
            </a:ext>
          </a:extLst>
        </xdr:cNvPr>
        <xdr:cNvSpPr txBox="1"/>
      </xdr:nvSpPr>
      <xdr:spPr>
        <a:xfrm>
          <a:off x="16506825" y="58874025"/>
          <a:ext cx="0" cy="438150"/>
        </a:xfrm>
        <a:prstGeom prst="rect"/>
        <a:noFill/>
      </xdr:spPr>
      <xdr:txBody>
        <a:bodyPr lIns="0" tIns="0" rIns="0" bIns="0" vertOverflow="clip" horzOverflow="clip" wrap="square" rtlCol="0" anchor="t">
          <a:noAutofit/>
        </a:bodyPr>
        <a:lstStyle/>
        <a:p>
          <a:pPr algn="l"/>
          <a:r>
            <a:rPr lang="en-GB" sz="1200" b="1" kern="1200" dirty="0" err="1"/>
            <a:t>Task: </a:t>
          </a:r>
          <a:r>
            <a:rPr lang="en-GB" sz="1200" kern="1200" dirty="0" err="1"/>
            <a:t>Please add RCF committed amounts (not in drawn balance).</a:t>
          </a:r>
        </a:p>
        <a:p>
          <a:pPr algn="l"/>
          <a:r>
            <a:rPr lang="en-GB" sz="1200" kern="1200" dirty="0" err="1"/>
            <a:t>If CVC owns a minority or there is HoldCo debt, please discuss the maturity profile above with the Capital Markets team.</a:t>
          </a:r>
        </a:p>
      </xdr:txBody>
    </xdr:sp>
    <xdr:clientData/>
  </xdr:twoCellAnchor>
  <xdr:twoCellAnchor>
    <xdr:from>
      <xdr:col>33</xdr:col>
      <xdr:colOff>68035</xdr:colOff>
      <xdr:row>8</xdr:row>
      <xdr:rowOff>85725</xdr:rowOff>
    </xdr:from>
    <xdr:to>
      <xdr:col>42</xdr:col>
      <xdr:colOff>0</xdr:colOff>
      <xdr:row>15</xdr:row>
      <xdr:rowOff>108857</xdr:rowOff>
    </xdr:to>
    <xdr:sp>
      <xdr:nvSpPr>
        <xdr:cNvPr id="21" name="TextBox 20">
          <a:extLst>
            <a:ext uri="{FF2B5EF4-FFF2-40B4-BE49-F238E27FC236}">
              <a16:creationId xmlns:a16="http://schemas.microsoft.com/office/drawing/2014/main" id="{F3C8463B-EAF7-49F9-A491-9B12D52A98C2}"/>
            </a:ext>
          </a:extLst>
        </xdr:cNvPr>
        <xdr:cNvSpPr txBox="1"/>
      </xdr:nvSpPr>
      <xdr:spPr>
        <a:xfrm>
          <a:off x="17535525" y="2924175"/>
          <a:ext cx="12401550" cy="1543050"/>
        </a:xfrm>
        <a:prstGeom prst="rect"/>
        <a:noFill/>
      </xdr:spPr>
      <xdr:txBody>
        <a:bodyPr lIns="0" tIns="0" rIns="0" bIns="0" vertOverflow="clip" horzOverflow="clip" wrap="square" rtlCol="0" anchor="t">
          <a:noAutofit/>
        </a:bodyPr>
        <a:lstStyle/>
        <a:p>
          <a:pPr algn="l">
            <a:lnSpc>
              <a:spcPct val="150000"/>
            </a:lnSpc>
          </a:pPr>
          <a:r>
            <a:rPr lang="en-GB" sz="1400" dirty="0" err="1"/>
            <a:t>This collection will provide Capital Markets team with repayment schedules of all debt instruments across portfolio and holding companies, together with information on interest rate hedging and RCF usage, ensuring full visibility of maturity profiles and funding structures. </a:t>
          </a:r>
        </a:p>
        <a:p>
          <a:pPr algn="l">
            <a:lnSpc>
              <a:spcPct val="150000"/>
            </a:lnSpc>
          </a:pPr>
          <a:r>
            <a:rPr lang="en-GB" sz="1400" dirty="0" err="1"/>
            <a:t>This collection needs to be updated whenever there is a change in the capital structure. </a:t>
          </a:r>
        </a:p>
        <a:p>
          <a:pPr algn="l">
            <a:lnSpc>
              <a:spcPct val="150000"/>
            </a:lnSpc>
          </a:pPr>
          <a:r>
            <a:rPr lang="en-GB" sz="1400" dirty="0" err="1"/>
            <a:t>Importantly,</a:t>
          </a:r>
          <a:r>
            <a:rPr lang="en-GB" sz="1400" baseline="0" dirty="0" err="1"/>
            <a:t> Please choose the page display Uni </a:t>
          </a:r>
          <a:endParaRPr lang="en-GB" sz="1400" dirty="0" err="1"/>
        </a:p>
      </xdr:txBody>
    </xdr:sp>
    <xdr:clientData/>
  </xdr:twoCellAnchor>
  <xdr:twoCellAnchor>
    <xdr:from>
      <xdr:col>26</xdr:col>
      <xdr:colOff>13854</xdr:colOff>
      <xdr:row>7</xdr:row>
      <xdr:rowOff>406112</xdr:rowOff>
    </xdr:from>
    <xdr:to>
      <xdr:col>28</xdr:col>
      <xdr:colOff>16451</xdr:colOff>
      <xdr:row>10</xdr:row>
      <xdr:rowOff>33770</xdr:rowOff>
    </xdr:to>
    <xdr:sp>
      <xdr:nvSpPr>
        <xdr:cNvPr id="22" name="Rectangle 21">
          <a:extLst>
            <a:ext uri="{FF2B5EF4-FFF2-40B4-BE49-F238E27FC236}">
              <a16:creationId xmlns:a16="http://schemas.microsoft.com/office/drawing/2014/main" id="{3852C07C-D58F-4E9C-91EA-B6C4AB203F32}"/>
            </a:ext>
          </a:extLst>
        </xdr:cNvPr>
        <xdr:cNvSpPr/>
      </xdr:nvSpPr>
      <xdr:spPr>
        <a:xfrm>
          <a:off x="16506825" y="2838450"/>
          <a:ext cx="0" cy="5143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Section</a:t>
          </a:r>
          <a:r>
            <a:rPr lang="en-GB" sz="1600" b="1" kern="1200" baseline="0">
              <a:solidFill>
                <a:srgbClr val="000000"/>
              </a:solidFill>
            </a:rPr>
            <a:t> Guidance for Completion</a:t>
          </a:r>
          <a:endParaRPr lang="en-GB" sz="1600" b="1" kern="1200">
            <a:solidFill>
              <a:srgbClr val="000000"/>
            </a:solidFill>
          </a:endParaRPr>
        </a:p>
      </xdr:txBody>
    </xdr:sp>
    <xdr:clientData/>
  </xdr:twoCellAnchor>
  <xdr:twoCellAnchor>
    <xdr:from>
      <xdr:col>25</xdr:col>
      <xdr:colOff>166254</xdr:colOff>
      <xdr:row>14</xdr:row>
      <xdr:rowOff>108239</xdr:rowOff>
    </xdr:from>
    <xdr:to>
      <xdr:col>27</xdr:col>
      <xdr:colOff>5624079</xdr:colOff>
      <xdr:row>16</xdr:row>
      <xdr:rowOff>30307</xdr:rowOff>
    </xdr:to>
    <xdr:sp>
      <xdr:nvSpPr>
        <xdr:cNvPr id="23" name="Rectangle 22">
          <a:extLst>
            <a:ext uri="{FF2B5EF4-FFF2-40B4-BE49-F238E27FC236}">
              <a16:creationId xmlns:a16="http://schemas.microsoft.com/office/drawing/2014/main" id="{7397716B-2FE2-4E5E-A102-ECAF7C066D38}"/>
            </a:ext>
          </a:extLst>
        </xdr:cNvPr>
        <xdr:cNvSpPr/>
      </xdr:nvSpPr>
      <xdr:spPr>
        <a:xfrm>
          <a:off x="16506825" y="4276725"/>
          <a:ext cx="0" cy="5238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Collect Debt Maturities at OpCo Level</a:t>
          </a:r>
          <a:endParaRPr lang="en-GB" sz="1600" b="1" kern="1200">
            <a:solidFill>
              <a:srgbClr val="000000"/>
            </a:solidFill>
          </a:endParaRPr>
        </a:p>
      </xdr:txBody>
    </xdr:sp>
    <xdr:clientData/>
  </xdr:twoCellAnchor>
  <xdr:twoCellAnchor>
    <xdr:from>
      <xdr:col>26</xdr:col>
      <xdr:colOff>51954</xdr:colOff>
      <xdr:row>17</xdr:row>
      <xdr:rowOff>1</xdr:rowOff>
    </xdr:from>
    <xdr:to>
      <xdr:col>27</xdr:col>
      <xdr:colOff>5649057</xdr:colOff>
      <xdr:row>22</xdr:row>
      <xdr:rowOff>2542</xdr:rowOff>
    </xdr:to>
    <xdr:sp>
      <xdr:nvSpPr>
        <xdr:cNvPr id="24" name="TextBox 1">
          <a:extLst>
            <a:ext uri="{FF2B5EF4-FFF2-40B4-BE49-F238E27FC236}">
              <a16:creationId xmlns:a16="http://schemas.microsoft.com/office/drawing/2014/main" id="{DA049388-6066-42D0-BE17-DC0302E654A5}"/>
            </a:ext>
          </a:extLst>
        </xdr:cNvPr>
        <xdr:cNvSpPr txBox="1"/>
      </xdr:nvSpPr>
      <xdr:spPr>
        <a:xfrm>
          <a:off x="16506825" y="5010150"/>
          <a:ext cx="0" cy="1447800"/>
        </a:xfrm>
        <a:prstGeom prst="rect"/>
        <a:noFill/>
      </xdr:spPr>
      <xdr:txBody>
        <a:bodyPr lIns="0" tIns="0" rIns="0" bIns="0" vertOverflow="overflow" horzOverflow="overflow" wrap="square" rtlCol="0" anchor="t">
          <a:noAutofit/>
        </a:bodyPr>
        <a:lstStyle/>
        <a:p>
          <a:pPr algn="l"/>
          <a:r>
            <a:rPr lang="en-GB" sz="1200" kern="1200" dirty="0" err="1"/>
            <a:t>Task:</a:t>
          </a:r>
          <a:r>
            <a:rPr lang="en-GB" sz="1200" kern="1200" baseline="0" dirty="0" err="1"/>
            <a:t> The OpCo debt outstanding amount will be retrieved automatically from the Balance Sheet collection. Please complete the repayment schedule for each debt item, specifying the amounts and repayment dates. The objective is to provide a clear overview of the debt maturity profile and the weighted average maturity of gross acquisition debt.</a:t>
          </a:r>
        </a:p>
        <a:p>
          <a:pPr algn="l"/>
          <a:endParaRPr lang="en-GB" sz="1200" kern="1200" baseline="0" dirty="0" err="1"/>
        </a:p>
        <a:p>
          <a:pPr algn="l"/>
          <a:r>
            <a:rPr lang="en-GB" sz="1200" kern="1200" baseline="0" dirty="0" err="1"/>
            <a:t>Note: Deal Teams to check if any amortisation applicable (Term Loan A or US Term Loan B). If amortisation applicable please put the amount due in that year. For the date relating to amortisation please use the yearly mid point (if multiple amortisation dates per year).           </a:t>
          </a:r>
        </a:p>
      </xdr:txBody>
    </xdr:sp>
    <xdr:clientData/>
  </xdr:twoCellAnchor>
  <xdr:twoCellAnchor>
    <xdr:from>
      <xdr:col>25</xdr:col>
      <xdr:colOff>138546</xdr:colOff>
      <xdr:row>118</xdr:row>
      <xdr:rowOff>0</xdr:rowOff>
    </xdr:from>
    <xdr:to>
      <xdr:col>28</xdr:col>
      <xdr:colOff>0</xdr:colOff>
      <xdr:row>119</xdr:row>
      <xdr:rowOff>0</xdr:rowOff>
    </xdr:to>
    <xdr:sp>
      <xdr:nvSpPr>
        <xdr:cNvPr id="25" name="Rectangle 24">
          <a:extLst>
            <a:ext uri="{FF2B5EF4-FFF2-40B4-BE49-F238E27FC236}">
              <a16:creationId xmlns:a16="http://schemas.microsoft.com/office/drawing/2014/main" id="{AEEDAB29-5A8C-40C4-AB9B-B4044FF9DF7D}"/>
            </a:ext>
          </a:extLst>
        </xdr:cNvPr>
        <xdr:cNvSpPr/>
      </xdr:nvSpPr>
      <xdr:spPr>
        <a:xfrm>
          <a:off x="16506825" y="33070800"/>
          <a:ext cx="0" cy="35242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Collect Hedging Maturities at OpCo Level</a:t>
          </a:r>
          <a:endParaRPr lang="en-GB" sz="1600" b="1" kern="1200">
            <a:solidFill>
              <a:srgbClr val="000000"/>
            </a:solidFill>
          </a:endParaRPr>
        </a:p>
      </xdr:txBody>
    </xdr:sp>
    <xdr:clientData/>
  </xdr:twoCellAnchor>
  <xdr:twoCellAnchor>
    <xdr:from>
      <xdr:col>26</xdr:col>
      <xdr:colOff>34504</xdr:colOff>
      <xdr:row>120</xdr:row>
      <xdr:rowOff>233265</xdr:rowOff>
    </xdr:from>
    <xdr:to>
      <xdr:col>28</xdr:col>
      <xdr:colOff>0</xdr:colOff>
      <xdr:row>124</xdr:row>
      <xdr:rowOff>0</xdr:rowOff>
    </xdr:to>
    <xdr:sp>
      <xdr:nvSpPr>
        <xdr:cNvPr id="26" name="TextBox 1">
          <a:extLst>
            <a:ext uri="{FF2B5EF4-FFF2-40B4-BE49-F238E27FC236}">
              <a16:creationId xmlns:a16="http://schemas.microsoft.com/office/drawing/2014/main" id="{DC8E1142-347F-4D0D-BDFD-7192C6491E4B}"/>
            </a:ext>
          </a:extLst>
        </xdr:cNvPr>
        <xdr:cNvSpPr txBox="1"/>
      </xdr:nvSpPr>
      <xdr:spPr>
        <a:xfrm>
          <a:off x="16506825" y="33842325"/>
          <a:ext cx="0" cy="838200"/>
        </a:xfrm>
        <a:prstGeom prst="rect"/>
        <a:noFill/>
      </xdr:spPr>
      <xdr:txBody>
        <a:bodyPr lIns="0" tIns="0" rIns="0" bIns="0" vertOverflow="clip" horzOverflow="clip" wrap="square" rtlCol="0" anchor="t">
          <a:noAutofit/>
        </a:bodyPr>
        <a:lstStyle/>
        <a:p>
          <a:pPr algn="l"/>
          <a:r>
            <a:rPr lang="en-GB" sz="1100" b="1">
              <a:solidFill>
                <a:srgbClr val="000000"/>
              </a:solidFill>
              <a:effectLst/>
              <a:latin typeface="+mn-lt"/>
              <a:ea typeface="+mn-ea"/>
              <a:cs typeface="+mn-cs"/>
            </a:rPr>
            <a:t>Task: </a:t>
          </a:r>
          <a:r>
            <a:rPr lang="en-GB" sz="1200" kern="1200" dirty="0" err="1"/>
            <a:t>Please put in amount of hedge at final maturity date only. If company / Deal Team doesn’t have info then please contact the Cap Markets team to get the inputs.</a:t>
          </a:r>
          <a:endParaRPr lang="en-GB" sz="1200" kern="1200" baseline="0" dirty="0" err="1"/>
        </a:p>
      </xdr:txBody>
    </xdr:sp>
    <xdr:clientData/>
  </xdr:twoCellAnchor>
  <xdr:twoCellAnchor>
    <xdr:from>
      <xdr:col>26</xdr:col>
      <xdr:colOff>56030</xdr:colOff>
      <xdr:row>30</xdr:row>
      <xdr:rowOff>201706</xdr:rowOff>
    </xdr:from>
    <xdr:to>
      <xdr:col>27</xdr:col>
      <xdr:colOff>5580530</xdr:colOff>
      <xdr:row>32</xdr:row>
      <xdr:rowOff>67235</xdr:rowOff>
    </xdr:to>
    <xdr:sp>
      <xdr:nvSpPr>
        <xdr:cNvPr id="27" name="Rectangle 9">
          <a:extLst>
            <a:ext uri="{FF2B5EF4-FFF2-40B4-BE49-F238E27FC236}">
              <a16:creationId xmlns:a16="http://schemas.microsoft.com/office/drawing/2014/main" id="{E77F526F-DC72-4CFA-8A24-ADB88096AF79}"/>
            </a:ext>
          </a:extLst>
        </xdr:cNvPr>
        <xdr:cNvSpPr/>
      </xdr:nvSpPr>
      <xdr:spPr>
        <a:xfrm>
          <a:off x="16506825" y="8705850"/>
          <a:ext cx="0" cy="419100"/>
        </a:xfrm>
        <a:prstGeom prst="rect"/>
        <a:solidFill>
          <a:srgbClr val="FFD9D9"/>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0" kern="1700" spc="0">
              <a:solidFill>
                <a:srgbClr val="FF0000"/>
              </a:solidFill>
            </a:rPr>
            <a:t>The debt outstanding for each item must match the residual amount shown in the repayment schedule</a:t>
          </a:r>
          <a:r>
            <a:rPr lang="en-GB" sz="1200" b="0" kern="1700" spc="0" baseline="0">
              <a:solidFill>
                <a:srgbClr val="FF0000"/>
              </a:solidFill>
            </a:rPr>
            <a:t>. </a:t>
          </a:r>
          <a:endParaRPr lang="en-GB" sz="1200" b="0" kern="1700" spc="0">
            <a:solidFill>
              <a:srgbClr val="343434"/>
            </a:solidFill>
          </a:endParaRPr>
        </a:p>
        <a:p>
          <a:pPr algn="l"/>
          <a:endParaRPr lang="en-GB" sz="1050" b="0" kern="1700" spc="0">
            <a:solidFill>
              <a:srgbClr val="343434"/>
            </a:solidFill>
          </a:endParaRPr>
        </a:p>
      </xdr:txBody>
    </xdr:sp>
    <xdr:clientData/>
  </xdr:twoCellAnchor>
  <xdr:twoCellAnchor>
    <xdr:from>
      <xdr:col>25</xdr:col>
      <xdr:colOff>130788</xdr:colOff>
      <xdr:row>138</xdr:row>
      <xdr:rowOff>42669</xdr:rowOff>
    </xdr:from>
    <xdr:to>
      <xdr:col>28</xdr:col>
      <xdr:colOff>0</xdr:colOff>
      <xdr:row>139</xdr:row>
      <xdr:rowOff>0</xdr:rowOff>
    </xdr:to>
    <xdr:sp>
      <xdr:nvSpPr>
        <xdr:cNvPr id="28" name="Rectangle 9">
          <a:extLst>
            <a:ext uri="{FF2B5EF4-FFF2-40B4-BE49-F238E27FC236}">
              <a16:creationId xmlns:a16="http://schemas.microsoft.com/office/drawing/2014/main" id="{AEF1090F-8C17-4D9F-9034-D4182C5F3B82}"/>
            </a:ext>
          </a:extLst>
        </xdr:cNvPr>
        <xdr:cNvSpPr/>
      </xdr:nvSpPr>
      <xdr:spPr>
        <a:xfrm>
          <a:off x="16506825" y="38661975"/>
          <a:ext cx="0" cy="3714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3: Collect Debt Maturities at HoldCo Level</a:t>
          </a:r>
          <a:endParaRPr lang="en-GB" sz="1600" b="1" kern="1200">
            <a:solidFill>
              <a:srgbClr val="000000"/>
            </a:solidFill>
          </a:endParaRPr>
        </a:p>
      </xdr:txBody>
    </xdr:sp>
    <xdr:clientData/>
  </xdr:twoCellAnchor>
  <xdr:twoCellAnchor>
    <xdr:from>
      <xdr:col>26</xdr:col>
      <xdr:colOff>0</xdr:colOff>
      <xdr:row>139</xdr:row>
      <xdr:rowOff>1</xdr:rowOff>
    </xdr:from>
    <xdr:to>
      <xdr:col>28</xdr:col>
      <xdr:colOff>0</xdr:colOff>
      <xdr:row>142</xdr:row>
      <xdr:rowOff>0</xdr:rowOff>
    </xdr:to>
    <xdr:sp>
      <xdr:nvSpPr>
        <xdr:cNvPr id="29" name="TextBox 1">
          <a:extLst>
            <a:ext uri="{FF2B5EF4-FFF2-40B4-BE49-F238E27FC236}">
              <a16:creationId xmlns:a16="http://schemas.microsoft.com/office/drawing/2014/main" id="{E1354F51-A923-4BD5-A13B-0946DB888ACC}"/>
            </a:ext>
          </a:extLst>
        </xdr:cNvPr>
        <xdr:cNvSpPr txBox="1"/>
      </xdr:nvSpPr>
      <xdr:spPr>
        <a:xfrm>
          <a:off x="16506825" y="39033450"/>
          <a:ext cx="0" cy="733425"/>
        </a:xfrm>
        <a:prstGeom prst="rect"/>
        <a:noFill/>
      </xdr:spPr>
      <xdr:txBody>
        <a:bodyPr lIns="0" tIns="0" rIns="0" bIns="0" vertOverflow="overflow" horzOverflow="overflow" wrap="square" rtlCol="0" anchor="t">
          <a:noAutofit/>
        </a:bodyPr>
        <a:lstStyle/>
        <a:p>
          <a:pPr algn="l">
            <a:lnSpc>
              <a:spcPts val="1500"/>
            </a:lnSpc>
          </a:pPr>
          <a:r>
            <a:rPr lang="en-GB" sz="1200" b="1" kern="1200" dirty="0" err="1"/>
            <a:t>Task: </a:t>
          </a:r>
          <a:r>
            <a:rPr lang="en-GB" sz="1200" kern="1200" dirty="0" err="1"/>
            <a:t>Please complete the repayment schedule for any debt at the HoldCo level, specifying the amounts and repayment dates. </a:t>
          </a:r>
        </a:p>
        <a:p>
          <a:pPr algn="l">
            <a:lnSpc>
              <a:spcPts val="1500"/>
            </a:lnSpc>
          </a:pPr>
          <a:r>
            <a:rPr lang="en-GB" sz="1200" kern="1200" dirty="0" err="1"/>
            <a:t>In addition, provide the name of the legal entity issuing the debt and indicate the see-through ownership at fund level, consistent with the assumptions used in your valuation template. </a:t>
          </a:r>
        </a:p>
        <a:p>
          <a:pPr algn="l">
            <a:lnSpc>
              <a:spcPts val="1500"/>
            </a:lnSpc>
          </a:pPr>
          <a:r>
            <a:rPr lang="en-GB" sz="1200" kern="1200" dirty="0" err="1"/>
            <a:t>The outstanding amount, multiplied by the see-through ownership, will automatically feed into your valuation</a:t>
          </a:r>
          <a:endParaRPr lang="en-GB" sz="1200" kern="1200" baseline="0" dirty="0" err="1"/>
        </a:p>
      </xdr:txBody>
    </xdr:sp>
    <xdr:clientData/>
  </xdr:twoCellAnchor>
  <xdr:twoCellAnchor>
    <xdr:from>
      <xdr:col>26</xdr:col>
      <xdr:colOff>11206</xdr:colOff>
      <xdr:row>158</xdr:row>
      <xdr:rowOff>201706</xdr:rowOff>
    </xdr:from>
    <xdr:to>
      <xdr:col>28</xdr:col>
      <xdr:colOff>11766</xdr:colOff>
      <xdr:row>159</xdr:row>
      <xdr:rowOff>324971</xdr:rowOff>
    </xdr:to>
    <xdr:sp>
      <xdr:nvSpPr>
        <xdr:cNvPr id="30" name="Rectangle 11">
          <a:extLst>
            <a:ext uri="{FF2B5EF4-FFF2-40B4-BE49-F238E27FC236}">
              <a16:creationId xmlns:a16="http://schemas.microsoft.com/office/drawing/2014/main" id="{03867CBA-E9E0-472F-A401-3137C0DB92DD}"/>
            </a:ext>
          </a:extLst>
        </xdr:cNvPr>
        <xdr:cNvSpPr/>
      </xdr:nvSpPr>
      <xdr:spPr>
        <a:xfrm>
          <a:off x="16506825" y="44510325"/>
          <a:ext cx="0" cy="3333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Collect RCF and Cash at HoldCo Level</a:t>
          </a:r>
          <a:endParaRPr lang="en-GB" sz="1600" b="1" kern="1200">
            <a:solidFill>
              <a:srgbClr val="000000"/>
            </a:solidFill>
          </a:endParaRPr>
        </a:p>
      </xdr:txBody>
    </xdr:sp>
    <xdr:clientData/>
  </xdr:twoCellAnchor>
  <xdr:twoCellAnchor>
    <xdr:from>
      <xdr:col>26</xdr:col>
      <xdr:colOff>0</xdr:colOff>
      <xdr:row>160</xdr:row>
      <xdr:rowOff>44823</xdr:rowOff>
    </xdr:from>
    <xdr:to>
      <xdr:col>27</xdr:col>
      <xdr:colOff>5631105</xdr:colOff>
      <xdr:row>210</xdr:row>
      <xdr:rowOff>155510</xdr:rowOff>
    </xdr:to>
    <xdr:sp>
      <xdr:nvSpPr>
        <xdr:cNvPr id="31" name="TextBox 1">
          <a:extLst>
            <a:ext uri="{FF2B5EF4-FFF2-40B4-BE49-F238E27FC236}">
              <a16:creationId xmlns:a16="http://schemas.microsoft.com/office/drawing/2014/main" id="{695090FB-259E-48CE-953B-4F57D0C01514}"/>
            </a:ext>
          </a:extLst>
        </xdr:cNvPr>
        <xdr:cNvSpPr txBox="1"/>
      </xdr:nvSpPr>
      <xdr:spPr>
        <a:xfrm>
          <a:off x="16506825" y="44891325"/>
          <a:ext cx="0" cy="13363575"/>
        </a:xfrm>
        <a:prstGeom prst="rect"/>
        <a:noFill/>
      </xdr:spPr>
      <xdr:txBody>
        <a:bodyPr lIns="0" tIns="0" rIns="0" bIns="0" vertOverflow="overflow" horzOverflow="overflow" wrap="square" rtlCol="0" anchor="t">
          <a:noAutofit/>
        </a:bodyPr>
        <a:lstStyle/>
        <a:p>
          <a:pPr>
            <a:spcBef>
              <a:spcPts val="300"/>
            </a:spcBef>
          </a:pPr>
          <a:r>
            <a:rPr lang="en-GB" sz="1200" b="1" kern="1200" dirty="0" err="1"/>
            <a:t>Task: </a:t>
          </a:r>
          <a:r>
            <a:rPr lang="en-GB" sz="1200"/>
            <a:t>Please populate the </a:t>
          </a:r>
          <a:r>
            <a:rPr lang="en-GB" sz="1200" b="1"/>
            <a:t>HoldCo cash balance</a:t>
          </a:r>
          <a:r>
            <a:rPr lang="en-GB" sz="1200"/>
            <a:t> and the </a:t>
          </a:r>
          <a:r>
            <a:rPr lang="en-GB" sz="1200" b="1"/>
            <a:t>RCF amount</a:t>
          </a:r>
          <a:r>
            <a:rPr lang="en-GB" sz="1200"/>
            <a:t> that are currently sitting at the Holding Company level, i.e., above the operating company in the ownership structure. It is important that you complete </a:t>
          </a:r>
          <a:r>
            <a:rPr lang="en-GB" sz="1200" b="1"/>
            <a:t>all required fields</a:t>
          </a:r>
          <a:r>
            <a:rPr lang="en-GB" sz="1200"/>
            <a:t>.</a:t>
          </a:r>
          <a:endParaRPr lang="en-GB" sz="1200" b="1"/>
        </a:p>
        <a:p>
          <a:pPr>
            <a:spcBef>
              <a:spcPts val="300"/>
            </a:spcBef>
          </a:pPr>
          <a:r>
            <a:rPr lang="en-GB" sz="1200" b="1"/>
            <a:t>Reporting the RCF (Revolving Credit Facility)</a:t>
          </a:r>
        </a:p>
        <a:p>
          <a:pPr>
            <a:spcBef>
              <a:spcPts val="300"/>
            </a:spcBef>
          </a:pPr>
          <a:r>
            <a:rPr lang="en-GB" sz="1200" b="0"/>
            <a:t>For the Drawn RCF, please specify:</a:t>
          </a:r>
        </a:p>
        <a:p>
          <a:pPr lvl="1">
            <a:spcBef>
              <a:spcPts val="300"/>
            </a:spcBef>
          </a:pPr>
          <a:r>
            <a:rPr lang="en-GB" sz="1200" b="0"/>
            <a:t>Legal entity: Identify which legal entity signed the facility agreement.</a:t>
          </a:r>
        </a:p>
        <a:p>
          <a:pPr lvl="1">
            <a:spcBef>
              <a:spcPts val="300"/>
            </a:spcBef>
          </a:pPr>
          <a:r>
            <a:rPr lang="en-GB" sz="1200" b="0"/>
            <a:t>Currency: State the currency in which the RCF is drawn.</a:t>
          </a:r>
        </a:p>
        <a:p>
          <a:pPr lvl="1">
            <a:spcBef>
              <a:spcPts val="300"/>
            </a:spcBef>
          </a:pPr>
          <a:r>
            <a:rPr lang="en-GB" sz="1200" b="0"/>
            <a:t>Amount drawn: Indicate the exact drawn amount.</a:t>
          </a:r>
          <a:endParaRPr lang="en-GB" sz="1200" b="1"/>
        </a:p>
        <a:p>
          <a:pPr>
            <a:spcBef>
              <a:spcPts val="300"/>
            </a:spcBef>
          </a:pPr>
          <a:r>
            <a:rPr lang="en-GB" sz="1200" b="1"/>
            <a:t>Reporting Cash Information</a:t>
          </a:r>
        </a:p>
        <a:p>
          <a:pPr>
            <a:spcBef>
              <a:spcPts val="300"/>
            </a:spcBef>
          </a:pPr>
          <a:r>
            <a:rPr lang="en-GB" sz="1200" b="0"/>
            <a:t>For cash balances, you may:</a:t>
          </a:r>
        </a:p>
        <a:p>
          <a:pPr lvl="1">
            <a:spcBef>
              <a:spcPts val="300"/>
            </a:spcBef>
          </a:pPr>
          <a:r>
            <a:rPr lang="en-GB" sz="1200" b="0"/>
            <a:t>Report individual balances if a single entity holds multiple bank accounts, or</a:t>
          </a:r>
        </a:p>
        <a:p>
          <a:pPr lvl="1">
            <a:spcBef>
              <a:spcPts val="300"/>
            </a:spcBef>
          </a:pPr>
          <a:r>
            <a:rPr lang="en-GB" sz="1200" b="0"/>
            <a:t>Provide a consolidated amount for the entity.</a:t>
          </a:r>
        </a:p>
        <a:p>
          <a:pPr lvl="1">
            <a:spcBef>
              <a:spcPts val="300"/>
            </a:spcBef>
          </a:pPr>
          <a:r>
            <a:rPr lang="en-GB" sz="1200" b="0"/>
            <a:t>In either case, it is essential to clearly state the currency in which the cash balances are held.</a:t>
          </a:r>
          <a:endParaRPr lang="en-GB" sz="1200" b="1"/>
        </a:p>
        <a:p>
          <a:pPr>
            <a:spcBef>
              <a:spcPts val="300"/>
            </a:spcBef>
          </a:pPr>
          <a:r>
            <a:rPr lang="en-GB" sz="1200" b="1"/>
            <a:t>Ownership Transparency</a:t>
          </a:r>
        </a:p>
        <a:p>
          <a:pPr>
            <a:spcBef>
              <a:spcPts val="300"/>
            </a:spcBef>
          </a:pPr>
          <a:r>
            <a:rPr lang="en-GB" sz="1200" b="0"/>
            <a:t>For each line item (RCF or cash), please state the see-through ownership percentage of the Fund in the specific legal entity.</a:t>
          </a:r>
        </a:p>
        <a:p>
          <a:pPr>
            <a:spcBef>
              <a:spcPts val="300"/>
            </a:spcBef>
          </a:pPr>
          <a:r>
            <a:rPr lang="en-GB" sz="1200" b="0"/>
            <a:t>This information will be used to adjust the reported balances when they are incorporated into the Valuation Template.</a:t>
          </a:r>
          <a:endParaRPr lang="en-GB" sz="1200" b="1"/>
        </a:p>
        <a:p>
          <a:pPr>
            <a:spcBef>
              <a:spcPts val="300"/>
            </a:spcBef>
          </a:pPr>
          <a:r>
            <a:rPr lang="en-GB" sz="1200" b="1"/>
            <a:t>Application in Valuation</a:t>
          </a:r>
        </a:p>
        <a:p>
          <a:pPr>
            <a:spcBef>
              <a:spcPts val="300"/>
            </a:spcBef>
          </a:pPr>
          <a:r>
            <a:rPr lang="en-GB" sz="1200" b="0"/>
            <a:t>The see-through cash balance will be added to, or subtracted from, the Fair Value of the investment.</a:t>
          </a:r>
        </a:p>
        <a:p>
          <a:pPr>
            <a:spcBef>
              <a:spcPts val="300"/>
            </a:spcBef>
          </a:pPr>
          <a:r>
            <a:rPr lang="en-GB" sz="1200" b="0"/>
            <a:t>The see-through RCF balance will similarly be taken into account to ensure accurate valuation adjustments.</a:t>
          </a:r>
        </a:p>
        <a:p>
          <a:pPr defTabSz="914400" fontAlgn="auto" indent="0" lvl="0" marL="0" marR="0" hangingPunct="1" eaLnBrk="1" latinLnBrk="0">
            <a:lnSpc>
              <a:spcPct val="100000"/>
            </a:lnSpc>
            <a:spcBef>
              <a:spcPts val="300"/>
            </a:spcBef>
            <a:spcAft>
              <a:spcPts val="0"/>
            </a:spcAft>
            <a:buClrTx/>
            <a:buSzTx/>
            <a:buFontTx/>
            <a:buNone/>
          </a:pPr>
          <a:r>
            <a:rPr lang="en-GB" sz="1200" b="1">
              <a:solidFill>
                <a:srgbClr val="000000"/>
              </a:solidFill>
              <a:effectLst/>
              <a:latin typeface="+mn-lt"/>
              <a:ea typeface="+mn-ea"/>
              <a:cs typeface="+mn-cs"/>
            </a:rPr>
            <a:t>Task: </a:t>
          </a:r>
          <a:r>
            <a:rPr lang="en-GB" sz="1200">
              <a:solidFill>
                <a:srgbClr val="000000"/>
              </a:solidFill>
              <a:effectLst/>
              <a:latin typeface="+mn-lt"/>
              <a:ea typeface="+mn-ea"/>
              <a:cs typeface="+mn-cs"/>
            </a:rPr>
            <a:t>Please put in amount of hedge at final maturity date only. If company / Deal Team doesn’t have info then please contact the Cap Markets team to get the inputs.</a:t>
          </a:r>
          <a:endParaRPr lang="en-GB" sz="1200">
            <a:solidFill>
              <a:srgbClr val="000000"/>
            </a:solidFill>
            <a:effectLst/>
          </a:endParaRPr>
        </a:p>
        <a:p>
          <a:endParaRPr lang="en-GB" sz="1200" b="0"/>
        </a:p>
        <a:p>
          <a:endParaRPr lang="en-GB" sz="1200" b="0"/>
        </a:p>
        <a:p>
          <a:endParaRPr lang="en-GB" sz="1200" b="0"/>
        </a:p>
        <a:p>
          <a:endParaRPr lang="en-GB" sz="1200" b="0"/>
        </a:p>
        <a:p>
          <a:endParaRPr lang="en-GB" sz="1200" b="0"/>
        </a:p>
        <a:p>
          <a:endParaRPr lang="en-GB" sz="1200" b="0"/>
        </a:p>
        <a:p>
          <a:endParaRPr lang="en-GB" sz="1200" b="0"/>
        </a:p>
        <a:p>
          <a:pPr algn="l"/>
          <a:endParaRPr lang="en-GB" sz="1200" kern="1200" baseline="0" dirty="0" err="1"/>
        </a:p>
      </xdr:txBody>
    </xdr:sp>
    <xdr:clientData/>
  </xdr:twoCellAnchor>
  <xdr:twoCellAnchor>
    <xdr:from>
      <xdr:col>25</xdr:col>
      <xdr:colOff>194386</xdr:colOff>
      <xdr:row>211</xdr:row>
      <xdr:rowOff>0</xdr:rowOff>
    </xdr:from>
    <xdr:to>
      <xdr:col>27</xdr:col>
      <xdr:colOff>5646964</xdr:colOff>
      <xdr:row>213</xdr:row>
      <xdr:rowOff>0</xdr:rowOff>
    </xdr:to>
    <xdr:sp>
      <xdr:nvSpPr>
        <xdr:cNvPr id="32" name="Rectangle 16">
          <a:extLst>
            <a:ext uri="{FF2B5EF4-FFF2-40B4-BE49-F238E27FC236}">
              <a16:creationId xmlns:a16="http://schemas.microsoft.com/office/drawing/2014/main" id="{DAB422AB-C1A9-4CCE-B36C-C9F541533566}"/>
            </a:ext>
          </a:extLst>
        </xdr:cNvPr>
        <xdr:cNvSpPr/>
      </xdr:nvSpPr>
      <xdr:spPr>
        <a:xfrm>
          <a:off x="16506825" y="58312050"/>
          <a:ext cx="0" cy="4381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Collect RCF summary</a:t>
          </a:r>
          <a:endParaRPr lang="en-GB" sz="1600" b="1" kern="1200">
            <a:solidFill>
              <a:srgbClr val="000000"/>
            </a:solidFill>
          </a:endParaRPr>
        </a:p>
      </xdr:txBody>
    </xdr:sp>
    <xdr:clientData/>
  </xdr:twoCellAnchor>
  <xdr:twoCellAnchor>
    <xdr:from>
      <xdr:col>25</xdr:col>
      <xdr:colOff>194386</xdr:colOff>
      <xdr:row>214</xdr:row>
      <xdr:rowOff>0</xdr:rowOff>
    </xdr:from>
    <xdr:to>
      <xdr:col>28</xdr:col>
      <xdr:colOff>0</xdr:colOff>
      <xdr:row>216</xdr:row>
      <xdr:rowOff>0</xdr:rowOff>
    </xdr:to>
    <xdr:sp>
      <xdr:nvSpPr>
        <xdr:cNvPr id="35" name="TextBox 18">
          <a:extLst>
            <a:ext uri="{FF2B5EF4-FFF2-40B4-BE49-F238E27FC236}">
              <a16:creationId xmlns:a16="http://schemas.microsoft.com/office/drawing/2014/main" id="{38630EF6-E90D-438C-A69E-6708F6B37CD2}"/>
            </a:ext>
          </a:extLst>
        </xdr:cNvPr>
        <xdr:cNvSpPr txBox="1"/>
      </xdr:nvSpPr>
      <xdr:spPr>
        <a:xfrm>
          <a:off x="16506825" y="58874025"/>
          <a:ext cx="0" cy="438150"/>
        </a:xfrm>
        <a:prstGeom prst="rect"/>
        <a:noFill/>
      </xdr:spPr>
      <xdr:txBody>
        <a:bodyPr lIns="0" tIns="0" rIns="0" bIns="0" vertOverflow="clip" horzOverflow="clip" wrap="square" rtlCol="0" anchor="t">
          <a:noAutofit/>
        </a:bodyPr>
        <a:lstStyle/>
        <a:p>
          <a:pPr algn="l"/>
          <a:r>
            <a:rPr lang="en-GB" sz="1200" b="1" kern="1200" dirty="0" err="1"/>
            <a:t>Task: </a:t>
          </a:r>
          <a:r>
            <a:rPr lang="en-GB" sz="1200" kern="1200" dirty="0" err="1"/>
            <a:t>Please add RCF committed amounts (not in drawn balance).</a:t>
          </a:r>
        </a:p>
        <a:p>
          <a:pPr algn="l"/>
          <a:r>
            <a:rPr lang="en-GB" sz="1200" kern="1200" dirty="0" err="1"/>
            <a:t>If CVC owns a minority or there is HoldCo debt, please discuss the maturity profile above with the Capital Markets team.</a:t>
          </a:r>
        </a:p>
      </xdr:txBody>
    </xdr:sp>
    <xdr:clientData/>
  </xdr:twoCellAnchor>
  <xdr:twoCellAnchor editAs="oneCell">
    <xdr:from>
      <xdr:col>33</xdr:col>
      <xdr:colOff>68035</xdr:colOff>
      <xdr:row>8</xdr:row>
      <xdr:rowOff>85725</xdr:rowOff>
    </xdr:from>
    <xdr:to>
      <xdr:col>42</xdr:col>
      <xdr:colOff>0</xdr:colOff>
      <xdr:row>13</xdr:row>
      <xdr:rowOff>153362</xdr:rowOff>
    </xdr:to>
    <xdr:sp>
      <xdr:nvSpPr>
        <xdr:cNvPr id="36" name="TextBox 35">
          <a:extLst>
            <a:ext uri="{FF2B5EF4-FFF2-40B4-BE49-F238E27FC236}">
              <a16:creationId xmlns:a16="http://schemas.microsoft.com/office/drawing/2014/main" id="{3CF470D2-8637-4295-82D9-894390A8E20E}"/>
            </a:ext>
          </a:extLst>
        </xdr:cNvPr>
        <xdr:cNvSpPr txBox="1">
          <a:spLocks noChangeAspect="1"/>
        </xdr:cNvSpPr>
      </xdr:nvSpPr>
      <xdr:spPr>
        <a:xfrm>
          <a:off x="17535525" y="2924175"/>
          <a:ext cx="12401550" cy="1209675"/>
        </a:xfrm>
        <a:prstGeom prst="rect"/>
        <a:noFill/>
      </xdr:spPr>
      <xdr:txBody>
        <a:bodyPr lIns="0" tIns="0" rIns="0" bIns="0" vertOverflow="overflow" horzOverflow="overflow" wrap="square" rtlCol="0" anchor="t">
          <a:noAutofit/>
        </a:bodyPr>
        <a:lstStyle/>
        <a:p>
          <a:pPr algn="l">
            <a:lnSpc>
              <a:spcPct val="150000"/>
            </a:lnSpc>
          </a:pPr>
          <a:r>
            <a:rPr lang="en-GB" sz="1400" dirty="0" err="1"/>
            <a:t>This collection will provide Capital Markets team with repayment schedules of all debt instruments across portfolio and holding companies, together with information on interest rate hedging and RCF usage, ensuring full visibility of maturity profiles and funding structures. </a:t>
          </a:r>
        </a:p>
        <a:p>
          <a:pPr algn="l">
            <a:lnSpc>
              <a:spcPct val="150000"/>
            </a:lnSpc>
          </a:pPr>
          <a:r>
            <a:rPr lang="en-GB" sz="1400" dirty="0" err="1"/>
            <a:t>This collection needs to be updated whenever there is a change in the capital structure. </a:t>
          </a:r>
        </a:p>
        <a:p>
          <a:pPr algn="l">
            <a:lnSpc>
              <a:spcPct val="150000"/>
            </a:lnSpc>
          </a:pPr>
          <a:r>
            <a:rPr lang="en-GB" sz="1400" dirty="0" err="1"/>
            <a:t>Importantly,</a:t>
          </a:r>
          <a:r>
            <a:rPr lang="en-GB" sz="1400" baseline="0" dirty="0" err="1"/>
            <a:t> Please choose the page display Unit.</a:t>
          </a:r>
          <a:endParaRPr lang="en-GB" sz="1400" dirty="0" err="1"/>
        </a:p>
      </xdr:txBody>
    </xdr:sp>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13</xdr:col>
      <xdr:colOff>0</xdr:colOff>
      <xdr:row>8</xdr:row>
      <xdr:rowOff>0</xdr:rowOff>
    </xdr:from>
    <xdr:to>
      <xdr:col>15</xdr:col>
      <xdr:colOff>0</xdr:colOff>
      <xdr:row>9</xdr:row>
      <xdr:rowOff>0</xdr:rowOff>
    </xdr:to>
    <xdr:sp>
      <xdr:nvSpPr>
        <xdr:cNvPr id="3" name="Rectangle 2">
          <a:extLst>
            <a:ext uri="{FF2B5EF4-FFF2-40B4-BE49-F238E27FC236}">
              <a16:creationId xmlns:a16="http://schemas.microsoft.com/office/drawing/2014/main" id="{23A0F388-77A8-482D-8146-A9622B950E51}"/>
            </a:ext>
          </a:extLst>
        </xdr:cNvPr>
        <xdr:cNvSpPr/>
      </xdr:nvSpPr>
      <xdr:spPr>
        <a:xfrm>
          <a:off x="9067800" y="2124075"/>
          <a:ext cx="0" cy="4000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Leverage Analysis</a:t>
          </a:r>
          <a:endParaRPr lang="en-GB" sz="1600" b="1" kern="1200">
            <a:solidFill>
              <a:srgbClr val="000000"/>
            </a:solidFill>
          </a:endParaRPr>
        </a:p>
      </xdr:txBody>
    </xdr:sp>
    <xdr:clientData/>
  </xdr:twoCellAnchor>
  <xdr:twoCellAnchor>
    <xdr:from>
      <xdr:col>13</xdr:col>
      <xdr:colOff>0</xdr:colOff>
      <xdr:row>10</xdr:row>
      <xdr:rowOff>1</xdr:rowOff>
    </xdr:from>
    <xdr:to>
      <xdr:col>15</xdr:col>
      <xdr:colOff>0</xdr:colOff>
      <xdr:row>32</xdr:row>
      <xdr:rowOff>1</xdr:rowOff>
    </xdr:to>
    <xdr:sp>
      <xdr:nvSpPr>
        <xdr:cNvPr id="4" name="TextBox 1">
          <a:extLst>
            <a:ext uri="{FF2B5EF4-FFF2-40B4-BE49-F238E27FC236}">
              <a16:creationId xmlns:a16="http://schemas.microsoft.com/office/drawing/2014/main" id="{3A213883-B04B-4EA2-B8C5-7C6B1F25A96F}"/>
            </a:ext>
          </a:extLst>
        </xdr:cNvPr>
        <xdr:cNvSpPr txBox="1"/>
      </xdr:nvSpPr>
      <xdr:spPr>
        <a:xfrm>
          <a:off x="9067800" y="2714625"/>
          <a:ext cx="0" cy="4029075"/>
        </a:xfrm>
        <a:prstGeom prst="rect"/>
        <a:noFill/>
      </xdr:spPr>
      <xdr:txBody>
        <a:bodyPr lIns="0" tIns="0" rIns="0" bIns="0" vertOverflow="clip" horzOverflow="clip" wrap="square" rtlCol="0" anchor="t">
          <a:noAutofit/>
        </a:bodyPr>
        <a:lstStyle/>
        <a:p>
          <a:pPr algn="l"/>
          <a:r>
            <a:rPr lang="en-GB" sz="1400" b="1" kern="1200" baseline="0" dirty="0" err="1"/>
            <a:t>Task</a:t>
          </a:r>
          <a:r>
            <a:rPr lang="en-GB" sz="1400" kern="1200" baseline="0" dirty="0" err="1"/>
            <a:t>: </a:t>
          </a:r>
          <a:r>
            <a:rPr lang="en-GB" sz="1400"/>
            <a:t>The following section will automatically retrieve all relevant metrics for the leverage analysis directly from the balance sheet and profit and loss statement. Please adjust for covenant definitions where applicable (e.g., in cases of large discrepancies versus reported figures or when certain exclusions apply).</a:t>
          </a:r>
        </a:p>
        <a:p>
          <a:pPr algn="l"/>
          <a:endParaRPr lang="en-GB" sz="1400" kern="1200" baseline="0" dirty="0" err="1"/>
        </a:p>
        <a:p>
          <a:pPr algn="l"/>
          <a:r>
            <a:rPr lang="en-GB" sz="1400" b="1" kern="1200" baseline="0" dirty="0" err="1"/>
            <a:t>Guidance:</a:t>
          </a:r>
          <a:r>
            <a:rPr lang="en-GB" sz="1400" kern="1200" baseline="0" dirty="0" err="1"/>
            <a:t> </a:t>
          </a:r>
        </a:p>
        <a:p>
          <a:pPr algn="l"/>
          <a:endParaRPr lang="en-GB" sz="1400" kern="1200" baseline="0" dirty="0" err="1"/>
        </a:p>
        <a:p>
          <a:pPr algn="l"/>
          <a:r>
            <a:rPr lang="en-GB" sz="1400" kern="1200" baseline="0" dirty="0" err="1"/>
            <a:t>If CVC owns a minority or there is HoldCo debt or other more bespoke capital structure items, please discuss with Capital Markets (as lookthrough calculations on rows {XX}-{XX} may be more appropriate).Metrics should be calculated on covenant definitions / per facility agreements wherever possible. Only include to the extent relevant for covenant calcualtions.</a:t>
          </a:r>
        </a:p>
        <a:p>
          <a:pPr algn="l"/>
          <a:endParaRPr lang="en-GB" sz="1400" b="1" kern="1200" baseline="0" dirty="0" err="1"/>
        </a:p>
        <a:p>
          <a:pPr algn="l"/>
          <a:r>
            <a:rPr lang="en-GB" sz="1400" b="0" kern="1200" baseline="0" dirty="0" err="1"/>
            <a:t>Note: 1 Any accrued interest should be excluded from the leverage calculations opposite (unless PIK which is rolled up into the principal amounts or prescribed by the SFA).</a:t>
          </a:r>
        </a:p>
        <a:p>
          <a:pPr algn="l"/>
          <a:endParaRPr lang="en-GB" sz="1400" b="0" kern="1200" baseline="0" dirty="0" err="1"/>
        </a:p>
        <a:p>
          <a:pPr algn="l"/>
          <a:r>
            <a:rPr lang="en-GB" sz="1400" b="0" kern="1200" baseline="0" dirty="0" err="1"/>
            <a:t>Note 2 : Include IFRS-16 lease liabilities if reporting on that basis and part of the covenant calculations. Link to the Input sheet if liability reported separately.</a:t>
          </a:r>
        </a:p>
      </xdr:txBody>
    </xdr:sp>
    <xdr:clientData/>
  </xdr:twoCellAnchor>
  <xdr:twoCellAnchor>
    <xdr:from>
      <xdr:col>13</xdr:col>
      <xdr:colOff>1</xdr:colOff>
      <xdr:row>43</xdr:row>
      <xdr:rowOff>0</xdr:rowOff>
    </xdr:from>
    <xdr:to>
      <xdr:col>15</xdr:col>
      <xdr:colOff>0</xdr:colOff>
      <xdr:row>44</xdr:row>
      <xdr:rowOff>0</xdr:rowOff>
    </xdr:to>
    <xdr:sp>
      <xdr:nvSpPr>
        <xdr:cNvPr id="5" name="Rectangle 4">
          <a:extLst>
            <a:ext uri="{FF2B5EF4-FFF2-40B4-BE49-F238E27FC236}">
              <a16:creationId xmlns:a16="http://schemas.microsoft.com/office/drawing/2014/main" id="{1D7A2C70-60DA-4F73-9D29-2BDBD242F0D7}"/>
            </a:ext>
          </a:extLst>
        </xdr:cNvPr>
        <xdr:cNvSpPr/>
      </xdr:nvSpPr>
      <xdr:spPr>
        <a:xfrm>
          <a:off x="9067800" y="9134475"/>
          <a:ext cx="0" cy="4095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Liquidity Analysis</a:t>
          </a:r>
          <a:endParaRPr lang="en-GB" sz="1600" b="1" kern="1200">
            <a:solidFill>
              <a:srgbClr val="000000"/>
            </a:solidFill>
          </a:endParaRPr>
        </a:p>
      </xdr:txBody>
    </xdr:sp>
    <xdr:clientData/>
  </xdr:twoCellAnchor>
  <xdr:twoCellAnchor>
    <xdr:from>
      <xdr:col>13</xdr:col>
      <xdr:colOff>1</xdr:colOff>
      <xdr:row>45</xdr:row>
      <xdr:rowOff>1</xdr:rowOff>
    </xdr:from>
    <xdr:to>
      <xdr:col>15</xdr:col>
      <xdr:colOff>1</xdr:colOff>
      <xdr:row>88</xdr:row>
      <xdr:rowOff>104775</xdr:rowOff>
    </xdr:to>
    <xdr:sp>
      <xdr:nvSpPr>
        <xdr:cNvPr id="36" name="TextBox 1">
          <a:extLst>
            <a:ext uri="{FF2B5EF4-FFF2-40B4-BE49-F238E27FC236}">
              <a16:creationId xmlns:a16="http://schemas.microsoft.com/office/drawing/2014/main" id="{2A59B982-2E4F-490B-9753-45FE9E08745B}"/>
            </a:ext>
          </a:extLst>
        </xdr:cNvPr>
        <xdr:cNvSpPr txBox="1"/>
      </xdr:nvSpPr>
      <xdr:spPr>
        <a:xfrm>
          <a:off x="9067800" y="9782175"/>
          <a:ext cx="0" cy="9544050"/>
        </a:xfrm>
        <a:prstGeom prst="rect"/>
        <a:noFill/>
      </xdr:spPr>
      <xdr:txBody>
        <a:bodyPr lIns="0" tIns="0" rIns="0" bIns="0" vertOverflow="clip" horzOverflow="clip" wrap="square" rtlCol="0" anchor="t">
          <a:noAutofit/>
        </a:bodyPr>
        <a:lstStyle/>
        <a:p>
          <a:pPr algn="l"/>
          <a:r>
            <a:rPr lang="en-GB" sz="1400" b="1" kern="1200" baseline="0" dirty="0" err="1"/>
            <a:t>Task</a:t>
          </a:r>
          <a:r>
            <a:rPr lang="en-GB" sz="1400" kern="1200" baseline="0" dirty="0" err="1"/>
            <a:t>: </a:t>
          </a:r>
          <a:r>
            <a:rPr lang="en-GB" sz="1400"/>
            <a:t>The following section will automatically retrieve all relevant metrics for the liquidity analysis directly from the balance sheet and profit and loss statement. Please adjust for covenant definitions wherever</a:t>
          </a:r>
          <a:r>
            <a:rPr lang="en-GB" sz="1400" baseline="0"/>
            <a:t> possible.</a:t>
          </a:r>
          <a:endParaRPr lang="en-GB" sz="1400"/>
        </a:p>
        <a:p>
          <a:pPr algn="l"/>
          <a:endParaRPr lang="en-GB" sz="1400" kern="1200" baseline="0" dirty="0" err="1"/>
        </a:p>
        <a:p>
          <a:pPr algn="l"/>
          <a:r>
            <a:rPr lang="en-GB" sz="1400" kern="1200" baseline="0" dirty="0" err="1"/>
            <a:t>If CVC owns a minority or there is HoldCo debt or other more bespoke capital structure items, please discuss with Capital Markets. Metrics should be calculated on covenant definitions / per facility agreements wherever possible. </a:t>
          </a:r>
        </a:p>
        <a:p>
          <a:pPr algn="l"/>
          <a:endParaRPr lang="en-GB" sz="1400" b="1" kern="1200" baseline="0" dirty="0" err="1"/>
        </a:p>
        <a:p>
          <a:pPr algn="l"/>
          <a:r>
            <a:rPr lang="en-GB" sz="1400" b="0" kern="1200" baseline="0" dirty="0" err="1"/>
            <a:t>Guidance:</a:t>
          </a:r>
        </a:p>
        <a:p>
          <a:pPr algn="l"/>
          <a:endParaRPr lang="en-GB" sz="1400" b="0" kern="1200" baseline="0" dirty="0" err="1"/>
        </a:p>
        <a:p>
          <a:pPr algn="l"/>
          <a:r>
            <a:rPr lang="en-GB" sz="1400" b="1" kern="1200" baseline="0" dirty="0" err="1"/>
            <a:t>Interest Cover Ratio - LTM:</a:t>
          </a:r>
        </a:p>
        <a:p>
          <a:pPr algn="l"/>
          <a:r>
            <a:rPr lang="en-GB" sz="1400" b="0" kern="1200" baseline="0" dirty="0" err="1"/>
            <a:t>For new investments: Annualise the most recent interest expense if 12m acquisition debt interest is not available.</a:t>
          </a:r>
        </a:p>
        <a:p>
          <a:pPr algn="l"/>
          <a:endParaRPr lang="en-GB" sz="1400" b="0" kern="1200" baseline="0" dirty="0" err="1"/>
        </a:p>
        <a:p>
          <a:endParaRPr lang="en-GB" sz="1400">
            <a:solidFill>
              <a:srgbClr val="000000"/>
            </a:solidFill>
            <a:effectLst/>
          </a:endParaRPr>
        </a:p>
        <a:p>
          <a:pPr fontAlgn="auto" hangingPunct="1" eaLnBrk="1" latinLnBrk="0"/>
          <a:r>
            <a:rPr lang="en-GB" sz="1400" b="1" baseline="0">
              <a:solidFill>
                <a:srgbClr val="000000"/>
              </a:solidFill>
              <a:effectLst/>
              <a:latin typeface="+mn-lt"/>
              <a:ea typeface="+mn-ea"/>
              <a:cs typeface="+mn-cs"/>
            </a:rPr>
            <a:t>Interest Cover Ratio - Full Year Forecast: </a:t>
          </a:r>
          <a:endParaRPr lang="en-GB" sz="1800">
            <a:solidFill>
              <a:srgbClr val="000000"/>
            </a:solidFill>
            <a:effectLst/>
          </a:endParaRPr>
        </a:p>
        <a:p>
          <a:pPr fontAlgn="auto" hangingPunct="1" eaLnBrk="1" latinLnBrk="0"/>
          <a:r>
            <a:rPr lang="en-GB" sz="1400" b="0" baseline="0">
              <a:solidFill>
                <a:srgbClr val="000000"/>
              </a:solidFill>
              <a:effectLst/>
              <a:latin typeface="+mn-lt"/>
              <a:ea typeface="+mn-ea"/>
              <a:cs typeface="+mn-cs"/>
            </a:rPr>
            <a:t>Deal team / Cap markets to estimate based on hedging arrangements, base rate (relevant 1yr SWAP rate on unhedged portion) and current margin.</a:t>
          </a:r>
          <a:endParaRPr lang="en-GB" sz="1800">
            <a:solidFill>
              <a:srgbClr val="000000"/>
            </a:solidFill>
            <a:effectLst/>
          </a:endParaRPr>
        </a:p>
        <a:p>
          <a:pPr fontAlgn="auto" hangingPunct="1" eaLnBrk="1" latinLnBrk="0"/>
          <a:r>
            <a:rPr lang="en-GB" sz="1400" b="0" baseline="0">
              <a:solidFill>
                <a:srgbClr val="000000"/>
              </a:solidFill>
              <a:effectLst/>
              <a:latin typeface="+mn-lt"/>
              <a:ea typeface="+mn-ea"/>
              <a:cs typeface="+mn-cs"/>
            </a:rPr>
            <a:t>Please make adjustments for covenant definitions if possible (e.g. if a large discrepancy vs. adjusted).</a:t>
          </a:r>
          <a:endParaRPr lang="en-GB" sz="1800">
            <a:solidFill>
              <a:srgbClr val="000000"/>
            </a:solidFill>
            <a:effectLst/>
          </a:endParaRPr>
        </a:p>
        <a:p>
          <a:pPr algn="l"/>
          <a:endParaRPr lang="en-GB" sz="1400" b="0" kern="1200" baseline="0" dirty="0" err="1"/>
        </a:p>
        <a:p>
          <a:pPr algn="l"/>
          <a:endParaRPr lang="en-GB" sz="1400" b="0" kern="1200" baseline="0" dirty="0" err="1"/>
        </a:p>
        <a:p>
          <a:pPr algn="l"/>
          <a:r>
            <a:rPr lang="en-GB" sz="1400" b="1" kern="1200" baseline="0" dirty="0" err="1"/>
            <a:t>Interest Cover Ratio - L3M:</a:t>
          </a:r>
        </a:p>
        <a:p>
          <a:pPr algn="l"/>
          <a:r>
            <a:rPr lang="en-GB" sz="1400" b="0" kern="1200" baseline="0" dirty="0" err="1"/>
            <a:t>Please link to Input sheet and show as a positive number. Annualise the most recent interest expense if 3m acquisition debt interest is not available.</a:t>
          </a:r>
        </a:p>
        <a:p>
          <a:pPr algn="l"/>
          <a:r>
            <a:rPr lang="en-GB" sz="1400" b="0" kern="1200" baseline="0" dirty="0" err="1"/>
            <a:t>Adjusted EBITDA  is automatically annualised using latest 3months data</a:t>
          </a:r>
        </a:p>
        <a:p>
          <a:pPr algn="l"/>
          <a:endParaRPr lang="en-GB" sz="1400" b="0" kern="1200" baseline="0" dirty="0" err="1"/>
        </a:p>
        <a:p>
          <a:pPr algn="l"/>
          <a:endParaRPr lang="en-GB" sz="1400" b="0" kern="1200" baseline="0" dirty="0" err="1"/>
        </a:p>
        <a:p>
          <a:pPr algn="l"/>
          <a:endParaRPr lang="en-GB" sz="1400" b="0" kern="1200" baseline="0" dirty="0" err="1"/>
        </a:p>
        <a:p>
          <a:pPr algn="l"/>
          <a:endParaRPr lang="en-GB" sz="1400" b="0" kern="1200" baseline="0" dirty="0" err="1"/>
        </a:p>
        <a:p>
          <a:pPr algn="l"/>
          <a:endParaRPr lang="en-GB" sz="1400" b="1" kern="1200" baseline="0" dirty="0" err="1"/>
        </a:p>
        <a:p>
          <a:pPr algn="l"/>
          <a:r>
            <a:rPr lang="en-GB" sz="1400" b="1" kern="1200" baseline="0" dirty="0" err="1"/>
            <a:t>Debt Service Cover Ratio - Current FY Forecast: </a:t>
          </a:r>
        </a:p>
        <a:p>
          <a:pPr algn="l"/>
          <a:r>
            <a:rPr lang="en-GB" sz="1400" b="0" kern="1200" baseline="0" dirty="0" err="1"/>
            <a:t>Please add latest estimate / budgeted FCF for the current full year.  Please adjust FCF if exceptional levels of expansionary capex / VCP spend in FCF.</a:t>
          </a:r>
        </a:p>
        <a:p>
          <a:pPr algn="l"/>
          <a:r>
            <a:rPr lang="en-GB" sz="1400" b="0" kern="1200" baseline="0" dirty="0" err="1"/>
            <a:t>Formula retrieve latest estimate / budgeted (scheduled) Principle Repayments for the current full year.</a:t>
          </a:r>
        </a:p>
        <a:p>
          <a:pPr algn="l"/>
          <a:endParaRPr lang="en-GB" sz="1400" b="0" kern="1200" baseline="0" dirty="0" err="1"/>
        </a:p>
        <a:p>
          <a:pPr algn="l"/>
          <a:endParaRPr lang="en-GB" sz="1400" b="0" kern="1200" baseline="0" dirty="0" err="1"/>
        </a:p>
        <a:p>
          <a:pPr algn="l"/>
          <a:endParaRPr lang="en-GB" sz="1400" b="0" kern="1200" baseline="0" dirty="0" err="1"/>
        </a:p>
        <a:p>
          <a:pPr algn="l"/>
          <a:r>
            <a:rPr lang="en-GB" sz="1400" b="1" kern="1200" baseline="0" dirty="0" err="1"/>
            <a:t>Debt Service Cover Ratio - LTM:</a:t>
          </a:r>
        </a:p>
        <a:p>
          <a:pPr algn="l"/>
          <a:r>
            <a:rPr lang="en-GB" sz="1400" b="0" kern="1200" baseline="0" dirty="0" err="1"/>
            <a:t>Please see the definition of FCF (EBITDA - NWC - Capex - Cash Interest Expense - Cash Tax - VCP); Please adjust FCF if exceptional levels of expansionary capex / VCP spend.</a:t>
          </a:r>
        </a:p>
        <a:p>
          <a:pPr algn="l"/>
          <a:r>
            <a:rPr lang="en-GB" sz="1400" b="0" kern="1200" baseline="0" dirty="0" err="1"/>
            <a:t>For new investments: Annualise Cash Interest Expense and Principal repayments for the most recent periods if 12m not available.Please make adjustments for covenant definitions if possible (e.g. if a large discrepancy vs. reported).</a:t>
          </a:r>
        </a:p>
        <a:p>
          <a:pPr algn="l"/>
          <a:endParaRPr lang="en-GB" sz="1400" b="0" kern="1200" baseline="0" dirty="0" err="1"/>
        </a:p>
        <a:p>
          <a:pPr algn="l"/>
          <a:endParaRPr lang="en-GB" sz="1400" b="0" kern="1200" baseline="0" dirty="0" err="1"/>
        </a:p>
        <a:p>
          <a:pPr algn="l"/>
          <a:endParaRPr lang="en-GB" sz="1400" b="0" kern="1200" baseline="0" dirty="0" err="1"/>
        </a:p>
        <a:p>
          <a:pPr algn="l"/>
          <a:endParaRPr lang="en-GB" sz="1400" b="0" kern="1200" baseline="0" dirty="0" err="1"/>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xdr:txBody>
    </xdr:sp>
    <xdr:clientData/>
  </xdr:twoCellAnchor>
  <xdr:twoCellAnchor>
    <xdr:from>
      <xdr:col>12</xdr:col>
      <xdr:colOff>85725</xdr:colOff>
      <xdr:row>107</xdr:row>
      <xdr:rowOff>57150</xdr:rowOff>
    </xdr:from>
    <xdr:to>
      <xdr:col>14</xdr:col>
      <xdr:colOff>5314950</xdr:colOff>
      <xdr:row>114</xdr:row>
      <xdr:rowOff>28575</xdr:rowOff>
    </xdr:to>
    <xdr:sp>
      <xdr:nvSpPr>
        <xdr:cNvPr id="6" name="TextBox 5">
          <a:extLst>
            <a:ext uri="{FF2B5EF4-FFF2-40B4-BE49-F238E27FC236}">
              <a16:creationId xmlns:a16="http://schemas.microsoft.com/office/drawing/2014/main" id="{77BB9605-DC68-CAC3-9498-73C9D5C4EDAD}"/>
            </a:ext>
          </a:extLst>
        </xdr:cNvPr>
        <xdr:cNvSpPr txBox="1"/>
      </xdr:nvSpPr>
      <xdr:spPr>
        <a:xfrm>
          <a:off x="9067800" y="23269575"/>
          <a:ext cx="0" cy="1485900"/>
        </a:xfrm>
        <a:prstGeom prst="rect"/>
        <a:noFill/>
      </xdr:spPr>
      <xdr:txBody>
        <a:bodyPr lIns="0" tIns="0" rIns="0" bIns="0" vertOverflow="clip" horzOverflow="clip" wrap="square" rtlCol="0" anchor="t">
          <a:noAutofit/>
        </a:bodyPr>
        <a:lstStyle/>
        <a:p>
          <a:pPr fontAlgn="auto" hangingPunct="1" eaLnBrk="1" latinLnBrk="0"/>
          <a:endParaRPr lang="en-GB" sz="1800">
            <a:solidFill>
              <a:srgbClr val="000000"/>
            </a:solidFill>
            <a:effectLst/>
          </a:endParaRPr>
        </a:p>
        <a:p>
          <a:pPr fontAlgn="auto" hangingPunct="1" eaLnBrk="1" latinLnBrk="0"/>
          <a:r>
            <a:rPr lang="en-GB" sz="1600" b="1" baseline="0">
              <a:solidFill>
                <a:srgbClr val="000000"/>
              </a:solidFill>
              <a:effectLst/>
              <a:latin typeface="+mn-lt"/>
              <a:ea typeface="+mn-ea"/>
              <a:cs typeface="+mn-cs"/>
            </a:rPr>
            <a:t>Guidance</a:t>
          </a:r>
          <a:r>
            <a:rPr lang="en-GB" sz="1400" b="1" baseline="0">
              <a:solidFill>
                <a:srgbClr val="000000"/>
              </a:solidFill>
              <a:effectLst/>
              <a:latin typeface="+mn-lt"/>
              <a:ea typeface="+mn-ea"/>
              <a:cs typeface="+mn-cs"/>
            </a:rPr>
            <a:t>: </a:t>
          </a:r>
        </a:p>
        <a:p>
          <a:pPr fontAlgn="auto" hangingPunct="1" eaLnBrk="1" latinLnBrk="0"/>
          <a:r>
            <a:rPr lang="en-GB" sz="1600">
              <a:solidFill>
                <a:srgbClr val="000000"/>
              </a:solidFill>
              <a:effectLst/>
            </a:rPr>
            <a:t>Please</a:t>
          </a:r>
          <a:r>
            <a:rPr lang="en-GB" sz="1600" baseline="0">
              <a:solidFill>
                <a:srgbClr val="000000"/>
              </a:solidFill>
              <a:effectLst/>
            </a:rPr>
            <a:t> follow the instruction in the Conveant monitoring section. </a:t>
          </a:r>
        </a:p>
        <a:p>
          <a:pPr fontAlgn="auto" hangingPunct="1" eaLnBrk="1" latinLnBrk="0"/>
          <a:endParaRPr lang="en-GB" sz="1600" baseline="0">
            <a:solidFill>
              <a:srgbClr val="000000"/>
            </a:solidFill>
            <a:effectLst/>
          </a:endParaRPr>
        </a:p>
        <a:p>
          <a:pPr fontAlgn="auto" hangingPunct="1" eaLnBrk="1" latinLnBrk="0"/>
          <a:r>
            <a:rPr lang="en-GB" sz="1600" baseline="0">
              <a:solidFill>
                <a:srgbClr val="000000"/>
              </a:solidFill>
              <a:effectLst/>
            </a:rPr>
            <a:t>Please manually select what mantainance or springer covenant you have. </a:t>
          </a:r>
        </a:p>
        <a:p>
          <a:pPr fontAlgn="auto" hangingPunct="1" eaLnBrk="1" latinLnBrk="0"/>
          <a:endParaRPr lang="en-GB" sz="1600" baseline="0">
            <a:solidFill>
              <a:srgbClr val="000000"/>
            </a:solidFill>
            <a:effectLst/>
          </a:endParaRPr>
        </a:p>
        <a:p>
          <a:pPr fontAlgn="auto" hangingPunct="1" eaLnBrk="1" latinLnBrk="0"/>
          <a:endParaRPr lang="en-GB" sz="1600" baseline="0">
            <a:solidFill>
              <a:srgbClr val="000000"/>
            </a:solidFill>
            <a:effectLst/>
          </a:endParaRPr>
        </a:p>
        <a:p>
          <a:pPr fontAlgn="auto" hangingPunct="1" eaLnBrk="1" latinLnBrk="0"/>
          <a:endParaRPr lang="en-GB" sz="1600" baseline="0">
            <a:solidFill>
              <a:srgbClr val="000000"/>
            </a:solidFill>
            <a:effectLst/>
          </a:endParaRPr>
        </a:p>
        <a:p>
          <a:pPr fontAlgn="auto" hangingPunct="1" eaLnBrk="1" latinLnBrk="0"/>
          <a:endParaRPr lang="en-GB" sz="1600" baseline="0">
            <a:solidFill>
              <a:srgbClr val="000000"/>
            </a:solidFill>
            <a:effectLst/>
          </a:endParaRPr>
        </a:p>
        <a:p>
          <a:pPr fontAlgn="auto" hangingPunct="1" eaLnBrk="1" latinLnBrk="0"/>
          <a:endParaRPr lang="en-GB" sz="1600" baseline="0">
            <a:solidFill>
              <a:srgbClr val="000000"/>
            </a:solidFill>
            <a:effectLst/>
          </a:endParaRPr>
        </a:p>
        <a:p>
          <a:pPr fontAlgn="auto" hangingPunct="1" eaLnBrk="1" latinLnBrk="0"/>
          <a:endParaRPr lang="en-GB" sz="1600" baseline="0">
            <a:solidFill>
              <a:srgbClr val="000000"/>
            </a:solidFill>
            <a:effectLst/>
          </a:endParaRPr>
        </a:p>
        <a:p>
          <a:pPr fontAlgn="auto" hangingPunct="1" eaLnBrk="1" latinLnBrk="0"/>
          <a:endParaRPr lang="en-GB" sz="1600" baseline="0">
            <a:solidFill>
              <a:srgbClr val="000000"/>
            </a:solidFill>
            <a:effectLst/>
          </a:endParaRPr>
        </a:p>
        <a:p>
          <a:pPr algn="l"/>
          <a:endParaRPr lang="en-GB" sz="1400" kern="1200" dirty="0" err="1"/>
        </a:p>
      </xdr:txBody>
    </xdr:sp>
    <xdr:clientData/>
  </xdr:twoCellAnchor>
  <xdr:twoCellAnchor>
    <xdr:from>
      <xdr:col>13</xdr:col>
      <xdr:colOff>0</xdr:colOff>
      <xdr:row>106</xdr:row>
      <xdr:rowOff>0</xdr:rowOff>
    </xdr:from>
    <xdr:to>
      <xdr:col>14</xdr:col>
      <xdr:colOff>5648324</xdr:colOff>
      <xdr:row>107</xdr:row>
      <xdr:rowOff>0</xdr:rowOff>
    </xdr:to>
    <xdr:sp>
      <xdr:nvSpPr>
        <xdr:cNvPr id="7" name="Rectangle 6">
          <a:extLst>
            <a:ext uri="{FF2B5EF4-FFF2-40B4-BE49-F238E27FC236}">
              <a16:creationId xmlns:a16="http://schemas.microsoft.com/office/drawing/2014/main" id="{2C9D2CF1-737B-4DA4-9AC5-45F55ACF42D7}"/>
            </a:ext>
          </a:extLst>
        </xdr:cNvPr>
        <xdr:cNvSpPr/>
      </xdr:nvSpPr>
      <xdr:spPr>
        <a:xfrm>
          <a:off x="9067800" y="22802850"/>
          <a:ext cx="0" cy="4095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Convenants Monitoring</a:t>
          </a:r>
          <a:endParaRPr lang="en-GB" sz="1600" b="1" kern="1200">
            <a:solidFill>
              <a:srgbClr val="000000"/>
            </a:solidFill>
          </a:endParaRPr>
        </a:p>
      </xdr:txBody>
    </xdr:sp>
    <xdr:clientData/>
  </xdr:twoCellAnchor>
  <xdr:twoCellAnchor>
    <xdr:from>
      <xdr:col>13</xdr:col>
      <xdr:colOff>9525</xdr:colOff>
      <xdr:row>123</xdr:row>
      <xdr:rowOff>228600</xdr:rowOff>
    </xdr:from>
    <xdr:to>
      <xdr:col>14</xdr:col>
      <xdr:colOff>5429250</xdr:colOff>
      <xdr:row>188</xdr:row>
      <xdr:rowOff>0</xdr:rowOff>
    </xdr:to>
    <xdr:sp>
      <xdr:nvSpPr>
        <xdr:cNvPr id="8" name="TextBox 7">
          <a:extLst>
            <a:ext uri="{FF2B5EF4-FFF2-40B4-BE49-F238E27FC236}">
              <a16:creationId xmlns:a16="http://schemas.microsoft.com/office/drawing/2014/main" id="{E9625D33-8FE0-40C5-9F0B-AD91B4D1342F}"/>
            </a:ext>
          </a:extLst>
        </xdr:cNvPr>
        <xdr:cNvSpPr txBox="1"/>
      </xdr:nvSpPr>
      <xdr:spPr>
        <a:xfrm>
          <a:off x="9067800" y="27031950"/>
          <a:ext cx="0" cy="12763500"/>
        </a:xfrm>
        <a:prstGeom prst="rect"/>
        <a:noFill/>
      </xdr:spPr>
      <xdr:txBody>
        <a:bodyPr lIns="0" tIns="0" rIns="0" bIns="0" vertOverflow="clip" horzOverflow="clip" wrap="square" rtlCol="0" anchor="t">
          <a:noAutofit/>
        </a:bodyPr>
        <a:lstStyle/>
        <a:p>
          <a:pPr fontAlgn="auto" hangingPunct="1" eaLnBrk="1" latinLnBrk="0"/>
          <a:r>
            <a:rPr lang="en-GB" sz="1600" baseline="0">
              <a:solidFill>
                <a:srgbClr val="000000"/>
              </a:solidFill>
              <a:effectLst/>
            </a:rPr>
            <a:t>In the Covenant &amp; Headrooms section, you will find four blocks with the same structure.</a:t>
          </a:r>
        </a:p>
        <a:p>
          <a:pPr fontAlgn="auto" hangingPunct="1" eaLnBrk="1" latinLnBrk="0"/>
          <a:endParaRPr lang="en-GB" sz="1600" baseline="0">
            <a:solidFill>
              <a:srgbClr val="000000"/>
            </a:solidFill>
            <a:effectLst/>
          </a:endParaRPr>
        </a:p>
        <a:p>
          <a:pPr fontAlgn="auto" hangingPunct="1" eaLnBrk="1" latinLnBrk="0"/>
          <a:r>
            <a:rPr lang="en-GB" sz="1600" baseline="0">
              <a:solidFill>
                <a:srgbClr val="000000"/>
              </a:solidFill>
              <a:effectLst/>
            </a:rPr>
            <a:t>Each block should be completed in the white cells. The key data required are:</a:t>
          </a:r>
        </a:p>
        <a:p>
          <a:pPr fontAlgn="auto" hangingPunct="1" eaLnBrk="1" latinLnBrk="0"/>
          <a:r>
            <a:rPr lang="en-GB" sz="1600" baseline="0">
              <a:solidFill>
                <a:srgbClr val="000000"/>
              </a:solidFill>
              <a:effectLst/>
            </a:rPr>
            <a:t>- The name of the covenant ratio</a:t>
          </a:r>
        </a:p>
        <a:p>
          <a:pPr fontAlgn="auto" hangingPunct="1" eaLnBrk="1" latinLnBrk="0"/>
          <a:r>
            <a:rPr lang="en-GB" sz="1600" baseline="0">
              <a:solidFill>
                <a:srgbClr val="000000"/>
              </a:solidFill>
              <a:effectLst/>
            </a:rPr>
            <a:t>- The period in which the covenant is tested</a:t>
          </a:r>
        </a:p>
        <a:p>
          <a:pPr fontAlgn="auto" hangingPunct="1" eaLnBrk="1" latinLnBrk="0"/>
          <a:r>
            <a:rPr lang="en-GB" sz="1600" baseline="0">
              <a:solidFill>
                <a:srgbClr val="000000"/>
              </a:solidFill>
              <a:effectLst/>
            </a:rPr>
            <a:t>- The covenant level</a:t>
          </a:r>
        </a:p>
        <a:p>
          <a:pPr fontAlgn="auto" hangingPunct="1" eaLnBrk="1" latinLnBrk="0"/>
          <a:r>
            <a:rPr lang="en-GB" sz="1600" baseline="0">
              <a:solidFill>
                <a:srgbClr val="000000"/>
              </a:solidFill>
              <a:effectLst/>
            </a:rPr>
            <a:t>- The forward-looking covenant level (if it differs at the end of the period)</a:t>
          </a:r>
        </a:p>
        <a:p>
          <a:pPr fontAlgn="auto" hangingPunct="1" eaLnBrk="1" latinLnBrk="0"/>
          <a:endParaRPr lang="en-GB" sz="1600" baseline="0">
            <a:solidFill>
              <a:srgbClr val="000000"/>
            </a:solidFill>
            <a:effectLst/>
          </a:endParaRPr>
        </a:p>
        <a:p>
          <a:pPr fontAlgn="auto" hangingPunct="1" eaLnBrk="1" latinLnBrk="0"/>
          <a:r>
            <a:rPr lang="en-GB" sz="1600" baseline="0">
              <a:solidFill>
                <a:srgbClr val="000000"/>
              </a:solidFill>
              <a:effectLst/>
            </a:rPr>
            <a:t>Please link the appropriate adjusted value from the table above into the white cells under the column "current" .</a:t>
          </a:r>
        </a:p>
        <a:p>
          <a:pPr fontAlgn="auto" hangingPunct="1" eaLnBrk="1" latinLnBrk="0"/>
          <a:endParaRPr lang="en-GB" sz="1600" baseline="0">
            <a:solidFill>
              <a:srgbClr val="000000"/>
            </a:solidFill>
            <a:effectLst/>
          </a:endParaRPr>
        </a:p>
        <a:p>
          <a:pPr fontAlgn="auto" hangingPunct="1" eaLnBrk="1" latinLnBrk="0"/>
          <a:r>
            <a:rPr lang="en-GB" sz="1600" baseline="0">
              <a:solidFill>
                <a:srgbClr val="000000"/>
              </a:solidFill>
              <a:effectLst/>
            </a:rPr>
            <a:t>Please add any relevant comments at the bottom of the section and explain any adjustments or reconciling differences.</a:t>
          </a:r>
        </a:p>
        <a:p>
          <a:pPr algn="l"/>
          <a:endParaRPr lang="en-GB" sz="1400" kern="1200" dirty="0" err="1"/>
        </a:p>
      </xdr:txBody>
    </xdr:sp>
    <xdr:clientData/>
  </xdr:twoCellAnchor>
  <xdr:twoCellAnchor>
    <xdr:from>
      <xdr:col>13</xdr:col>
      <xdr:colOff>47625</xdr:colOff>
      <xdr:row>120</xdr:row>
      <xdr:rowOff>209550</xdr:rowOff>
    </xdr:from>
    <xdr:to>
      <xdr:col>15</xdr:col>
      <xdr:colOff>47624</xdr:colOff>
      <xdr:row>122</xdr:row>
      <xdr:rowOff>66675</xdr:rowOff>
    </xdr:to>
    <xdr:sp>
      <xdr:nvSpPr>
        <xdr:cNvPr id="9" name="Rectangle 8">
          <a:extLst>
            <a:ext uri="{FF2B5EF4-FFF2-40B4-BE49-F238E27FC236}">
              <a16:creationId xmlns:a16="http://schemas.microsoft.com/office/drawing/2014/main" id="{739B0379-88D1-407A-AB3D-D95B0A99D029}"/>
            </a:ext>
          </a:extLst>
        </xdr:cNvPr>
        <xdr:cNvSpPr/>
      </xdr:nvSpPr>
      <xdr:spPr>
        <a:xfrm>
          <a:off x="9067800" y="26374725"/>
          <a:ext cx="0" cy="38100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Convenant &amp; Headrooms</a:t>
          </a:r>
          <a:endParaRPr lang="en-GB" sz="1600" b="1" kern="1200">
            <a:solidFill>
              <a:srgbClr val="000000"/>
            </a:solidFill>
          </a:endParaRPr>
        </a:p>
      </xdr:txBody>
    </xdr:sp>
    <xdr:clientData/>
  </xdr:twoCellAnchor>
  <xdr:twoCellAnchor editAs="oneCell">
    <xdr:from>
      <xdr:col>32</xdr:col>
      <xdr:colOff>762000</xdr:colOff>
      <xdr:row>45</xdr:row>
      <xdr:rowOff>0</xdr:rowOff>
    </xdr:from>
    <xdr:to>
      <xdr:col>35</xdr:col>
      <xdr:colOff>78923</xdr:colOff>
      <xdr:row>71</xdr:row>
      <xdr:rowOff>55245</xdr:rowOff>
    </xdr:to>
    <xdr:grpSp>
      <xdr:nvGrpSpPr>
        <xdr:cNvPr id="18" name="Group 17">
          <a:extLst>
            <a:ext uri="{FF2B5EF4-FFF2-40B4-BE49-F238E27FC236}">
              <a16:creationId xmlns:a16="http://schemas.microsoft.com/office/drawing/2014/main" id="{B62A8654-25A9-973E-0FDC-ABDAFEC199FC}"/>
            </a:ext>
          </a:extLst>
        </xdr:cNvPr>
        <xdr:cNvGrpSpPr>
          <a:grpSpLocks noChangeAspect="1"/>
        </xdr:cNvGrpSpPr>
      </xdr:nvGrpSpPr>
      <xdr:grpSpPr>
        <a:xfrm>
          <a:off x="22545675" y="9782175"/>
          <a:ext cx="4352925" cy="5905500"/>
          <a:chOff x="22840950" y="10725150"/>
          <a:chExt cx="4362450" cy="5962650"/>
        </a:xfrm>
      </xdr:grpSpPr>
      <xdr:grpSp>
        <xdr:nvGrpSpPr>
          <xdr:cNvPr id="17" name="Group 16">
            <a:extLst>
              <a:ext uri="{FF2B5EF4-FFF2-40B4-BE49-F238E27FC236}">
                <a16:creationId xmlns:a16="http://schemas.microsoft.com/office/drawing/2014/main" id="{5EDE2F9C-02BE-6AB4-15A9-13BABBB08F7D}"/>
              </a:ext>
            </a:extLst>
          </xdr:cNvPr>
          <xdr:cNvGrpSpPr>
            <a:grpSpLocks/>
          </xdr:cNvGrpSpPr>
        </xdr:nvGrpSpPr>
        <xdr:grpSpPr>
          <a:xfrm>
            <a:off x="22840950" y="10725150"/>
            <a:ext cx="4362450" cy="5962650"/>
            <a:chOff x="22840950" y="10725150"/>
            <a:chExt cx="4362450" cy="5962650"/>
          </a:xfrm>
        </xdr:grpSpPr>
        <xdr:sp>
          <xdr:nvSpPr>
            <xdr:cNvPr id="2" name="Rectangle 1">
              <a:extLst>
                <a:ext uri="{FF2B5EF4-FFF2-40B4-BE49-F238E27FC236}">
                  <a16:creationId xmlns:a16="http://schemas.microsoft.com/office/drawing/2014/main" id="{A9B7337F-701C-0747-ABFC-BDFA8553199F}"/>
                </a:ext>
              </a:extLst>
            </xdr:cNvPr>
            <xdr:cNvSpPr/>
          </xdr:nvSpPr>
          <xdr:spPr>
            <a:xfrm>
              <a:off x="22840950" y="10725150"/>
              <a:ext cx="4362450" cy="5962650"/>
            </a:xfrm>
            <a:prstGeom prst="rect"/>
            <a:solidFill>
              <a:schemeClr val="accent3"/>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sp>
          <xdr:nvSpPr>
            <xdr:cNvPr id="10" name="TextBox 9">
              <a:extLst>
                <a:ext uri="{FF2B5EF4-FFF2-40B4-BE49-F238E27FC236}">
                  <a16:creationId xmlns:a16="http://schemas.microsoft.com/office/drawing/2014/main" id="{EB7BACF4-5C42-E985-A1C7-2619DFDAB058}"/>
                </a:ext>
              </a:extLst>
            </xdr:cNvPr>
            <xdr:cNvSpPr txBox="1"/>
          </xdr:nvSpPr>
          <xdr:spPr>
            <a:xfrm>
              <a:off x="23326725" y="11001374"/>
              <a:ext cx="3409950" cy="3267075"/>
            </a:xfrm>
            <a:prstGeom prst="rect"/>
            <a:noFill/>
          </xdr:spPr>
          <xdr:txBody>
            <a:bodyPr lIns="0" tIns="0" rIns="0" bIns="0" vertOverflow="clip" horzOverflow="clip" wrap="square" rtlCol="0" anchor="t">
              <a:noAutofit/>
            </a:bodyPr>
            <a:lstStyle/>
            <a:p>
              <a:pPr algn="l"/>
              <a:r>
                <a:rPr lang="en-GB" sz="2000" dirty="0" err="1">
                  <a:solidFill>
                    <a:schemeClr val="accent1"/>
                  </a:solidFill>
                  <a:latin typeface="Arial Nova Light" panose="020B0304020202020204" pitchFamily="34" charset="0"/>
                </a:rPr>
                <a:t>Note</a:t>
              </a:r>
              <a:r>
                <a:rPr lang="en-GB" sz="2000" baseline="0" dirty="0" err="1">
                  <a:solidFill>
                    <a:schemeClr val="accent1"/>
                  </a:solidFill>
                  <a:latin typeface="Arial Nova Light" panose="020B0304020202020204" pitchFamily="34" charset="0"/>
                </a:rPr>
                <a:t> on Number Signs.</a:t>
              </a:r>
            </a:p>
            <a:p>
              <a:pPr algn="l"/>
              <a:endParaRPr lang="en-GB" sz="1400" baseline="0" dirty="0" err="1"/>
            </a:p>
            <a:p>
              <a:pPr algn="l"/>
              <a:r>
                <a:rPr lang="en-GB" sz="1200" baseline="0" dirty="0" err="1">
                  <a:latin typeface="Arial Nova" panose="020B0504020202020204" pitchFamily="34" charset="0"/>
                </a:rPr>
                <a:t>Each item in the ratio calculation block retains its original sign as per its financial nature (e.g., cash interest expense is typically negative).</a:t>
              </a:r>
            </a:p>
            <a:p>
              <a:pPr algn="l"/>
              <a:endParaRPr lang="en-GB" sz="1200" baseline="0" dirty="0" err="1">
                <a:latin typeface="Arial Nova" panose="020B0504020202020204" pitchFamily="34" charset="0"/>
              </a:endParaRPr>
            </a:p>
            <a:p>
              <a:pPr algn="l"/>
              <a:r>
                <a:rPr lang="en-GB" sz="1200" baseline="0" dirty="0" err="1">
                  <a:latin typeface="Arial Nova" panose="020B0504020202020204" pitchFamily="34" charset="0"/>
                </a:rPr>
                <a:t>The original sign for each metric is shown beside the item for reference.</a:t>
              </a:r>
            </a:p>
            <a:p>
              <a:pPr algn="l"/>
              <a:endParaRPr lang="en-GB" sz="1200" baseline="0" dirty="0" err="1">
                <a:latin typeface="Arial Nova" panose="020B0504020202020204" pitchFamily="34" charset="0"/>
              </a:endParaRPr>
            </a:p>
            <a:p>
              <a:pPr algn="l"/>
              <a:r>
                <a:rPr lang="en-GB" sz="1200" baseline="0" dirty="0" err="1">
                  <a:latin typeface="Arial Nova" panose="020B0504020202020204" pitchFamily="34" charset="0"/>
                </a:rPr>
                <a:t>When entering adjustments, please follow the same sign convention.</a:t>
              </a:r>
            </a:p>
            <a:p>
              <a:pPr algn="l"/>
              <a:endParaRPr lang="en-GB" sz="1400" baseline="0" dirty="0" err="1"/>
            </a:p>
          </xdr:txBody>
        </xdr:sp>
        <xdr:grpSp>
          <xdr:nvGrpSpPr>
            <xdr:cNvPr id="16" name="Group 15">
              <a:extLst>
                <a:ext uri="{FF2B5EF4-FFF2-40B4-BE49-F238E27FC236}">
                  <a16:creationId xmlns:a16="http://schemas.microsoft.com/office/drawing/2014/main" id="{4DE1C068-029D-D0F7-6E69-1DE918F5A0B7}"/>
                </a:ext>
              </a:extLst>
            </xdr:cNvPr>
            <xdr:cNvGrpSpPr>
              <a:grpSpLocks/>
            </xdr:cNvGrpSpPr>
          </xdr:nvGrpSpPr>
          <xdr:grpSpPr>
            <a:xfrm>
              <a:off x="23469600" y="13496925"/>
              <a:ext cx="3219449" cy="1590675"/>
              <a:chOff x="23707725" y="13296900"/>
              <a:chExt cx="2343936" cy="1181100"/>
            </a:xfrm>
          </xdr:grpSpPr>
          <xdr:pic>
            <xdr:nvPicPr>
              <xdr:cNvPr id="11" name="Picture 10">
                <a:extLst>
                  <a:ext uri="{FF2B5EF4-FFF2-40B4-BE49-F238E27FC236}">
                    <a16:creationId xmlns:a16="http://schemas.microsoft.com/office/drawing/2014/main" id="{847E1D64-6D54-F08F-2C7B-2227095394CD}"/>
                  </a:ext>
                </a:extLst>
              </xdr:cNvPr>
              <xdr:cNvPicPr>
                <a:picLocks noChangeAspect="1"/>
              </xdr:cNvPicPr>
            </xdr:nvPicPr>
            <xdr:blipFill>
              <a:blip r:embed="rId1"/>
              <a:srcRect l="0" t="5924" r="0" b="2243"/>
              <a:stretch>
                <a:fillRect/>
              </a:stretch>
            </xdr:blipFill>
            <xdr:spPr>
              <a:xfrm>
                <a:off x="23707725" y="13296900"/>
                <a:ext cx="2343936" cy="1181100"/>
              </a:xfrm>
              <a:prstGeom prst="rect"/>
              <a:ln>
                <a:solidFill>
                  <a:schemeClr val="bg1">
                    <a:lumMod val="75000"/>
                  </a:schemeClr>
                </a:solidFill>
              </a:ln>
            </xdr:spPr>
          </xdr:pic>
          <xdr:pic>
            <xdr:nvPicPr>
              <xdr:cNvPr id="12" name="Picture 11">
                <a:extLst>
                  <a:ext uri="{FF2B5EF4-FFF2-40B4-BE49-F238E27FC236}">
                    <a16:creationId xmlns:a16="http://schemas.microsoft.com/office/drawing/2014/main" id="{08FC33E4-E646-DC2A-5677-5E3D5DE853A7}"/>
                  </a:ext>
                </a:extLst>
              </xdr:cNvPr>
              <xdr:cNvPicPr>
                <a:picLocks noChangeAspect="1"/>
              </xdr:cNvPicPr>
            </xdr:nvPicPr>
            <xdr:blipFill>
              <a:blip r:embed="rId2"/>
              <a:srcRect l="4052" t="0" r="4052" b="0"/>
              <a:stretch>
                <a:fillRect/>
              </a:stretch>
            </xdr:blipFill>
            <xdr:spPr>
              <a:xfrm>
                <a:off x="25330551" y="13743383"/>
                <a:ext cx="647790" cy="645409"/>
              </a:xfrm>
              <a:prstGeom prst="ellipse"/>
              <a:ln>
                <a:solidFill>
                  <a:schemeClr val="bg1">
                    <a:lumMod val="75000"/>
                    <a:alpha val="61000"/>
                  </a:schemeClr>
                </a:solidFill>
              </a:ln>
              <a:effectLst>
                <a:outerShdw blurRad="63500" sx="102000" sy="102000" algn="ctr" rotWithShape="0">
                  <a:prstClr val="black">
                    <a:alpha val="16000"/>
                  </a:prstClr>
                </a:outerShdw>
              </a:effectLst>
            </xdr:spPr>
          </xdr:pic>
        </xdr:grpSp>
      </xdr:grpSp>
      <xdr:pic>
        <xdr:nvPicPr>
          <xdr:cNvPr id="13" name="Picture 12">
            <a:extLst>
              <a:ext uri="{FF2B5EF4-FFF2-40B4-BE49-F238E27FC236}">
                <a16:creationId xmlns:a16="http://schemas.microsoft.com/office/drawing/2014/main" id="{6A328F41-CDF1-9A0A-5233-8F7F8C52E8ED}"/>
              </a:ext>
            </a:extLst>
          </xdr:cNvPr>
          <xdr:cNvPicPr>
            <a:picLocks noChangeAspect="1"/>
          </xdr:cNvPicPr>
        </xdr:nvPicPr>
        <xdr:blipFill>
          <a:blip r:embed="rId3"/>
          <a:stretch>
            <a:fillRect/>
          </a:stretch>
        </xdr:blipFill>
        <xdr:spPr>
          <a:xfrm>
            <a:off x="23469600" y="15215545"/>
            <a:ext cx="3219450" cy="1201595"/>
          </a:xfrm>
          <a:prstGeom prst="rect"/>
          <a:ln>
            <a:solidFill>
              <a:schemeClr val="bg1">
                <a:lumMod val="75000"/>
              </a:schemeClr>
            </a:solidFill>
          </a:ln>
        </xdr:spPr>
      </xdr:pic>
    </xdr:grpSp>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2</xdr:col>
      <xdr:colOff>247650</xdr:colOff>
      <xdr:row>7</xdr:row>
      <xdr:rowOff>466724</xdr:rowOff>
    </xdr:from>
    <xdr:to>
      <xdr:col>7</xdr:col>
      <xdr:colOff>3057525</xdr:colOff>
      <xdr:row>38</xdr:row>
      <xdr:rowOff>114300</xdr:rowOff>
    </xdr:to>
    <xdr:sp>
      <xdr:nvSpPr>
        <xdr:cNvPr id="4" name="TextBox 1">
          <a:extLst>
            <a:ext uri="{FF2B5EF4-FFF2-40B4-BE49-F238E27FC236}">
              <a16:creationId xmlns:a16="http://schemas.microsoft.com/office/drawing/2014/main" id="{58E00C9F-C247-153A-A92B-B42A48BFCAA4}"/>
            </a:ext>
          </a:extLst>
        </xdr:cNvPr>
        <xdr:cNvSpPr txBox="1"/>
      </xdr:nvSpPr>
      <xdr:spPr>
        <a:xfrm>
          <a:off x="1238250" y="1609725"/>
          <a:ext cx="17687925" cy="3714750"/>
        </a:xfrm>
        <a:prstGeom prst="rect"/>
        <a:noFill/>
      </xdr:spPr>
      <xdr:txBody>
        <a:bodyPr lIns="0" tIns="0" rIns="0" bIns="0" vertOverflow="clip" horzOverflow="clip" wrap="square" rtlCol="0" anchor="t">
          <a:noAutofit/>
        </a:bodyPr>
        <a:lstStyle/>
        <a:p>
          <a:pPr algn="l"/>
          <a:r>
            <a:rPr lang="en-GB" sz="1400" b="1" kern="1200" dirty="0" err="1">
              <a:solidFill>
                <a:schemeClr val="tx2"/>
              </a:solidFill>
            </a:rPr>
            <a:t>1 Reported EBITDA</a:t>
          </a:r>
        </a:p>
        <a:p>
          <a:pPr algn="l"/>
          <a:r>
            <a:rPr lang="en-GB" sz="1100" kern="1200" dirty="0" err="1"/>
            <a:t>Reported EBITDA, before any add backs (e.g. including exceptionals) should be shown on your Flash output sheet (LTM, YTD and L1M). This is irrespective of whether this is on a like-for-like (LFL) basis for any acquisitions.</a:t>
          </a:r>
        </a:p>
        <a:p>
          <a:pPr algn="l"/>
          <a:r>
            <a:rPr lang="en-GB" sz="1100" kern="1200" dirty="0" err="1"/>
            <a:t>This is so the Portfolio Committee can understand the extent of any add backs vs your Headline EBITDA (per below).</a:t>
          </a:r>
        </a:p>
        <a:p>
          <a:pPr algn="l"/>
          <a:r>
            <a:rPr lang="en-GB" sz="1100" kern="1200" dirty="0" err="1"/>
            <a:t>Please also ensure that your Flash report clearly states the basis of any EBITDA lines (e.g. Reported EBITDA, Adjusted EBITDA, PF Adj. EBITDA etc, and does not just label it “EBITDA”).</a:t>
          </a:r>
        </a:p>
        <a:p>
          <a:pPr algn="l"/>
          <a:r>
            <a:rPr lang="en-GB" sz="1100" kern="1200" dirty="0" err="1"/>
            <a:t>If you are not showing Reported EBITDA per the CVC definition, please email the PM team to agree the update required to your flash template.</a:t>
          </a:r>
        </a:p>
        <a:p>
          <a:pPr algn="l"/>
          <a:endParaRPr lang="en-GB" sz="1100" kern="1200" dirty="0" err="1"/>
        </a:p>
        <a:p>
          <a:pPr algn="l"/>
          <a:r>
            <a:rPr lang="en-GB" sz="1400" b="1" kern="1200" dirty="0" err="1">
              <a:solidFill>
                <a:schemeClr val="tx2"/>
              </a:solidFill>
              <a:latin typeface="+mn-lt"/>
              <a:ea typeface="+mn-ea"/>
              <a:cs typeface="+mn-cs"/>
            </a:rPr>
            <a:t>2 Organic Revenue and Organic Revenue Volume Growth</a:t>
          </a:r>
        </a:p>
        <a:p>
          <a:pPr algn="l"/>
          <a:r>
            <a:rPr lang="en-GB" sz="1100" kern="1200" dirty="0" err="1"/>
            <a:t>We separately need to track “Organic Revenue” and “Organic Revenue Volume growth” for the current month, financial YTD and LTM periods (vs Prior Year).</a:t>
          </a:r>
        </a:p>
        <a:p>
          <a:pPr algn="l"/>
          <a:r>
            <a:rPr lang="en-GB" sz="1100" kern="1200" dirty="0" err="1"/>
            <a:t>The definition of “Organic” will vary by investment, but should best reflect the way you look at and can track the business.</a:t>
          </a:r>
        </a:p>
        <a:p>
          <a:pPr algn="l"/>
          <a:r>
            <a:rPr lang="en-GB" sz="1100" kern="1200" dirty="0" err="1"/>
            <a:t>We would typically expect it to be relative to the FIR perimeter (thus non-organic revenue would typically be zero for initial flash reports unless it involves some immediate M&amp;A, for instance).</a:t>
          </a:r>
        </a:p>
        <a:p>
          <a:pPr algn="l"/>
          <a:r>
            <a:rPr lang="en-GB" sz="1100" kern="1200" dirty="0" err="1"/>
            <a:t>For older investments, if you have had significant M&amp;A older than 24 months, it is at your discretion if this is absorbed into the organic business (as long as historical periods are LFL).</a:t>
          </a:r>
        </a:p>
        <a:p>
          <a:pPr algn="l"/>
          <a:r>
            <a:rPr lang="en-GB" sz="1100" kern="1200" dirty="0" err="1"/>
            <a:t>Stepping back as an example, what we want to be able to say as an example is: Headline revenue grew 20%, of which 15% related to organic growth, of which 5% related to organic volume growth.</a:t>
          </a:r>
        </a:p>
        <a:p>
          <a:pPr algn="l"/>
          <a:r>
            <a:rPr lang="en-GB" sz="1100" kern="1200" dirty="0" err="1"/>
            <a:t>Rows are included at the top of the Input sheet to track these metrics.</a:t>
          </a:r>
        </a:p>
        <a:p>
          <a:pPr algn="l"/>
          <a:r>
            <a:rPr lang="en-GB" sz="1100" kern="1200" dirty="0" err="1"/>
            <a:t>The calculation of volume growth for the organic business may involve different volume units or divisions to be aggregated. For this reason we are only asking for the final volume % for each period to be reported and not the absolute underlying figures or workings.</a:t>
          </a:r>
        </a:p>
        <a:p>
          <a:pPr algn="l"/>
          <a:r>
            <a:rPr lang="en-GB" sz="1100" kern="1200" dirty="0" err="1"/>
            <a:t>However, if it is easier to add additional input rows to calculate the growth rates then that is OK but please flag this to the PM team who can advise on updating your template accordingly.</a:t>
          </a:r>
        </a:p>
        <a:p>
          <a:pPr algn="l"/>
          <a:r>
            <a:rPr lang="en-GB" sz="1100" kern="1200" dirty="0" err="1"/>
            <a:t>Some teams will report a volume metric as part of the KPI section of the Input sheet – if this is appropriate for organic revenue volume growth, then please inform the PM team and we will simply link the new rows to it for the month, YTD and LTM periods. </a:t>
          </a:r>
        </a:p>
        <a:p>
          <a:pPr algn="l"/>
          <a:r>
            <a:rPr lang="en-GB" sz="1100" kern="1200" dirty="0" err="1"/>
            <a:t>Management/deal team best estimates should be used to calculate these metrics if perfect information is not available.</a:t>
          </a:r>
        </a:p>
        <a:p>
          <a:pPr algn="l"/>
          <a:endParaRPr lang="en-GB" sz="1100" kern="1200" dirty="0" err="1"/>
        </a:p>
        <a:p>
          <a:pPr algn="l"/>
          <a:r>
            <a:rPr lang="en-GB" sz="1400" b="1" kern="1200" dirty="0" err="1">
              <a:solidFill>
                <a:schemeClr val="tx2"/>
              </a:solidFill>
              <a:latin typeface="+mn-lt"/>
              <a:ea typeface="+mn-ea"/>
              <a:cs typeface="+mn-cs"/>
            </a:rPr>
            <a:t>3 Unlevered Free Cash Flow (UFCF)</a:t>
          </a:r>
        </a:p>
        <a:p>
          <a:pPr algn="l"/>
          <a:r>
            <a:rPr lang="en-GB" sz="1100" kern="1200" dirty="0" err="1"/>
            <a:t>Please ensure that you align to the CVC definition of Unlevered Free Cash Flow (UFCF) = (EBITDA - NWC - Capex - Cash Tax - VCP and exceptional costs) e.g. UFCF is before Financing proceeds, Principal repayments, Cash Interest Expense, M&amp;A cash flows.</a:t>
          </a:r>
        </a:p>
        <a:p>
          <a:pPr algn="l"/>
          <a:r>
            <a:rPr lang="en-GB" sz="1100" kern="1200" dirty="0" err="1"/>
            <a:t>The Input sheet is set up to capture this definition appropriately.</a:t>
          </a:r>
        </a:p>
        <a:p>
          <a:pPr algn="l"/>
          <a:endParaRPr lang="en-GB" sz="1100" kern="1200" dirty="0" err="1"/>
        </a:p>
      </xdr:txBody>
    </xdr:sp>
    <xdr:clientData/>
  </xdr:twoCellAnchor>
  <xdr:twoCellAnchor editAs="oneCell">
    <xdr:from>
      <xdr:col>6</xdr:col>
      <xdr:colOff>3295650</xdr:colOff>
      <xdr:row>1</xdr:row>
      <xdr:rowOff>85725</xdr:rowOff>
    </xdr:from>
    <xdr:to>
      <xdr:col>6</xdr:col>
      <xdr:colOff>4210050</xdr:colOff>
      <xdr:row>6</xdr:row>
      <xdr:rowOff>47625</xdr:rowOff>
    </xdr:to>
    <xdr:pic>
      <xdr:nvPicPr>
        <xdr:cNvPr id="3" name="Graphic 2" descr="Back with solid fill">
          <a:hlinkClick r:id="rId3"/>
          <a:extLst>
            <a:ext uri="{FF2B5EF4-FFF2-40B4-BE49-F238E27FC236}">
              <a16:creationId xmlns:a16="http://schemas.microsoft.com/office/drawing/2014/main" id="{0B2A0331-24FC-441E-2A9C-7A2FD51323B7}"/>
            </a:ext>
          </a:extLst>
        </xdr:cNvPr>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15763875" y="85725"/>
          <a:ext cx="914400" cy="914400"/>
        </a:xfrm>
        <a:prstGeom prst="rect"/>
      </xdr:spPr>
    </xdr:pic>
    <xdr:clientData/>
  </xdr:twoCellAnchor>
  <xdr:twoCellAnchor>
    <xdr:from>
      <xdr:col>6</xdr:col>
      <xdr:colOff>1800225</xdr:colOff>
      <xdr:row>5</xdr:row>
      <xdr:rowOff>133350</xdr:rowOff>
    </xdr:from>
    <xdr:to>
      <xdr:col>6</xdr:col>
      <xdr:colOff>3152775</xdr:colOff>
      <xdr:row>7</xdr:row>
      <xdr:rowOff>19050</xdr:rowOff>
    </xdr:to>
    <xdr:sp>
      <xdr:nvSpPr>
        <xdr:cNvPr id="5" name="TextBox 4">
          <a:hlinkClick r:id="rId4"/>
          <a:extLst>
            <a:ext uri="{FF2B5EF4-FFF2-40B4-BE49-F238E27FC236}">
              <a16:creationId xmlns:a16="http://schemas.microsoft.com/office/drawing/2014/main" id="{092CFB85-3DBB-383B-BC29-AD6E9DE7D127}"/>
            </a:ext>
          </a:extLst>
        </xdr:cNvPr>
        <xdr:cNvSpPr txBox="1">
          <a:spLocks noChangeAspect="1"/>
        </xdr:cNvSpPr>
      </xdr:nvSpPr>
      <xdr:spPr>
        <a:xfrm>
          <a:off x="14268450" y="895350"/>
          <a:ext cx="1352550" cy="266700"/>
        </a:xfrm>
        <a:prstGeom prst="rect"/>
        <a:solidFill>
          <a:schemeClr val="accent2"/>
        </a:solidFill>
        <a:ln>
          <a:noFill/>
        </a:ln>
      </xdr:spPr>
      <xdr:txBody>
        <a:bodyPr lIns="0" tIns="0" rIns="0" bIns="0" vertOverflow="clip" horzOverflow="clip" wrap="square" rtlCol="0" anchor="ctr">
          <a:noAutofit/>
        </a:bodyPr>
        <a:lstStyle/>
        <a:p>
          <a:pPr algn="ctr"/>
          <a:r>
            <a:rPr lang="en-GB" sz="1200" dirty="0" err="1">
              <a:solidFill>
                <a:schemeClr val="tx2"/>
              </a:solidFill>
            </a:rPr>
            <a:t>Profit &amp; Loss</a:t>
          </a:r>
        </a:p>
      </xdr:txBody>
    </xdr:sp>
    <xdr:clientData/>
  </xdr:twoCellAnchor>
  <xdr:twoCellAnchor>
    <xdr:from>
      <xdr:col>6</xdr:col>
      <xdr:colOff>3171825</xdr:colOff>
      <xdr:row>5</xdr:row>
      <xdr:rowOff>133350</xdr:rowOff>
    </xdr:from>
    <xdr:to>
      <xdr:col>6</xdr:col>
      <xdr:colOff>4524375</xdr:colOff>
      <xdr:row>7</xdr:row>
      <xdr:rowOff>19050</xdr:rowOff>
    </xdr:to>
    <xdr:sp>
      <xdr:nvSpPr>
        <xdr:cNvPr id="6" name="TextBox 5">
          <a:hlinkClick r:id="rId5"/>
          <a:extLst>
            <a:ext uri="{FF2B5EF4-FFF2-40B4-BE49-F238E27FC236}">
              <a16:creationId xmlns:a16="http://schemas.microsoft.com/office/drawing/2014/main" id="{635C891A-30AE-91F5-6CFB-CB003F43CD29}"/>
            </a:ext>
          </a:extLst>
        </xdr:cNvPr>
        <xdr:cNvSpPr txBox="1">
          <a:spLocks noChangeAspect="1"/>
        </xdr:cNvSpPr>
      </xdr:nvSpPr>
      <xdr:spPr>
        <a:xfrm>
          <a:off x="15640050" y="895350"/>
          <a:ext cx="1352550" cy="266700"/>
        </a:xfrm>
        <a:prstGeom prst="rect"/>
        <a:solidFill>
          <a:schemeClr val="tx2"/>
        </a:solidFill>
        <a:ln>
          <a:noFill/>
        </a:ln>
      </xdr:spPr>
      <xdr:txBody>
        <a:bodyPr lIns="0" tIns="0" rIns="0" bIns="0" vertOverflow="clip" horzOverflow="clip" wrap="square" rtlCol="0" anchor="ctr">
          <a:noAutofit/>
        </a:bodyPr>
        <a:lstStyle/>
        <a:p>
          <a:pPr algn="ctr"/>
          <a:r>
            <a:rPr lang="en-GB" sz="1200" dirty="0" err="1">
              <a:solidFill>
                <a:schemeClr val="bg1"/>
              </a:solidFill>
            </a:rPr>
            <a:t>Balance Sheet</a:t>
          </a:r>
        </a:p>
      </xdr:txBody>
    </xdr:sp>
    <xdr:clientData/>
  </xdr:twoCellAnchor>
  <xdr:twoCellAnchor>
    <xdr:from>
      <xdr:col>6</xdr:col>
      <xdr:colOff>4543425</xdr:colOff>
      <xdr:row>5</xdr:row>
      <xdr:rowOff>133350</xdr:rowOff>
    </xdr:from>
    <xdr:to>
      <xdr:col>7</xdr:col>
      <xdr:colOff>9525</xdr:colOff>
      <xdr:row>7</xdr:row>
      <xdr:rowOff>19050</xdr:rowOff>
    </xdr:to>
    <xdr:sp>
      <xdr:nvSpPr>
        <xdr:cNvPr id="7" name="TextBox 6">
          <a:hlinkClick r:id="rId6"/>
          <a:extLst>
            <a:ext uri="{FF2B5EF4-FFF2-40B4-BE49-F238E27FC236}">
              <a16:creationId xmlns:a16="http://schemas.microsoft.com/office/drawing/2014/main" id="{1FE0F82E-2441-5070-CE29-0851C3A96AD8}"/>
            </a:ext>
          </a:extLst>
        </xdr:cNvPr>
        <xdr:cNvSpPr txBox="1"/>
      </xdr:nvSpPr>
      <xdr:spPr>
        <a:xfrm>
          <a:off x="17011650" y="895350"/>
          <a:ext cx="1352550" cy="266700"/>
        </a:xfrm>
        <a:prstGeom prst="rect"/>
        <a:solidFill>
          <a:schemeClr val="bg2">
            <a:lumMod val="25000"/>
          </a:schemeClr>
        </a:solidFill>
        <a:ln>
          <a:noFill/>
        </a:ln>
      </xdr:spPr>
      <xdr:txBody>
        <a:bodyPr lIns="0" tIns="0" rIns="0" bIns="0" vertOverflow="clip" horzOverflow="clip" wrap="square" rtlCol="0" anchor="ctr">
          <a:noAutofit/>
        </a:bodyPr>
        <a:lstStyle/>
        <a:p>
          <a:pPr algn="ctr"/>
          <a:r>
            <a:rPr lang="en-GB" sz="1200" dirty="0" err="1">
              <a:solidFill>
                <a:schemeClr val="bg1"/>
              </a:solidFill>
            </a:rPr>
            <a:t>Cash Flow</a:t>
          </a:r>
        </a:p>
      </xdr:txBody>
    </xdr:sp>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7</xdr:col>
      <xdr:colOff>5218579</xdr:colOff>
      <xdr:row>1</xdr:row>
      <xdr:rowOff>168089</xdr:rowOff>
    </xdr:from>
    <xdr:to>
      <xdr:col>8</xdr:col>
      <xdr:colOff>14567</xdr:colOff>
      <xdr:row>6</xdr:row>
      <xdr:rowOff>52966</xdr:rowOff>
    </xdr:to>
    <xdr:pic>
      <xdr:nvPicPr>
        <xdr:cNvPr id="2" name="Graphic 1" descr="Back with solid fill">
          <a:hlinkClick r:id="rId3"/>
          <a:extLst>
            <a:ext uri="{FF2B5EF4-FFF2-40B4-BE49-F238E27FC236}">
              <a16:creationId xmlns:a16="http://schemas.microsoft.com/office/drawing/2014/main" id="{B81C6473-D0F5-4C36-85FF-2928D6D74644}"/>
            </a:ext>
          </a:extLst>
        </xdr:cNvPr>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16068675" y="171450"/>
          <a:ext cx="762000" cy="838200"/>
        </a:xfrm>
        <a:prstGeom prst="rect"/>
      </xdr:spPr>
    </xdr:pic>
    <xdr:clientData/>
  </xdr:twoCellAnchor>
  <xdr:twoCellAnchor>
    <xdr:from>
      <xdr:col>2</xdr:col>
      <xdr:colOff>0</xdr:colOff>
      <xdr:row>9</xdr:row>
      <xdr:rowOff>133350</xdr:rowOff>
    </xdr:from>
    <xdr:to>
      <xdr:col>5</xdr:col>
      <xdr:colOff>0</xdr:colOff>
      <xdr:row>25</xdr:row>
      <xdr:rowOff>57150</xdr:rowOff>
    </xdr:to>
    <xdr:sp>
      <xdr:nvSpPr>
        <xdr:cNvPr id="8" name="TextBox 2">
          <a:extLst>
            <a:ext uri="{FF2B5EF4-FFF2-40B4-BE49-F238E27FC236}">
              <a16:creationId xmlns:a16="http://schemas.microsoft.com/office/drawing/2014/main" id="{5E1BC079-D409-EB82-5744-FF945601B9BE}"/>
            </a:ext>
          </a:extLst>
        </xdr:cNvPr>
        <xdr:cNvSpPr txBox="1"/>
      </xdr:nvSpPr>
      <xdr:spPr>
        <a:xfrm>
          <a:off x="1514475" y="1714500"/>
          <a:ext cx="6734175" cy="2971800"/>
        </a:xfrm>
        <a:prstGeom prst="rect"/>
        <a:noFill/>
      </xdr:spPr>
      <xdr:txBody>
        <a:bodyPr lIns="0" tIns="0" rIns="0" bIns="0" vertOverflow="clip" horzOverflow="clip" wrap="square" rtlCol="0" anchor="t">
          <a:noAutofit/>
        </a:bodyPr>
        <a:lstStyle/>
        <a:p>
          <a:pPr algn="l"/>
          <a:r>
            <a:rPr lang="en-GB" sz="1200" kern="1200" dirty="0" err="1"/>
            <a:t>The adjustments that are made to EBITDA can vary widely. Deal teams must assess whether adjustments are required.</a:t>
          </a:r>
          <a:r>
            <a:rPr lang="en-GB" sz="1200" kern="1200" baseline="0" dirty="0" err="1"/>
            <a:t> </a:t>
          </a:r>
        </a:p>
        <a:p>
          <a:pPr algn="l"/>
          <a:endParaRPr lang="en-GB" sz="1200" kern="1200" baseline="0" dirty="0" err="1"/>
        </a:p>
        <a:p>
          <a:pPr algn="l"/>
          <a:r>
            <a:rPr lang="en-GB" sz="1200" kern="1200" baseline="0" dirty="0" err="1"/>
            <a:t>We define three types of adjustments:</a:t>
          </a:r>
          <a:r>
            <a:rPr lang="en-GB" sz="1200" kern="1200" dirty="0" err="1"/>
            <a:t>	</a:t>
          </a:r>
        </a:p>
        <a:p>
          <a:pPr algn="l" indent="-171450" marL="171450">
            <a:buFont typeface="Arial" panose="020B0604020202020204" pitchFamily="34" charset="0"/>
            <a:buChar char="•"/>
          </a:pPr>
          <a:r>
            <a:rPr lang="en-GB" sz="1200" kern="1200" dirty="0" err="1"/>
            <a:t>Type</a:t>
          </a:r>
          <a:r>
            <a:rPr lang="en-GB" sz="1200" kern="1200" baseline="0" dirty="0" err="1"/>
            <a:t> I    </a:t>
          </a:r>
          <a:r>
            <a:rPr lang="en-GB" sz="1200" kern="1200" dirty="0" err="1"/>
            <a:t>Normalize for non-recurring or non-core items.</a:t>
          </a:r>
          <a:r>
            <a:rPr lang="en-GB" sz="1200" kern="1200" baseline="0" dirty="0" err="1"/>
            <a:t> Extraodinary items. With an objective to enable budget comparison.</a:t>
          </a:r>
          <a:endParaRPr lang="en-GB" sz="1200" kern="1200" dirty="0" err="1"/>
        </a:p>
        <a:p>
          <a:pPr algn="l" indent="-171450" marL="171450">
            <a:buFont typeface="Arial" panose="020B0604020202020204" pitchFamily="34" charset="0"/>
            <a:buChar char="•"/>
          </a:pPr>
          <a:r>
            <a:rPr lang="en-GB" sz="1200" kern="1200" dirty="0" err="1"/>
            <a:t>Type</a:t>
          </a:r>
          <a:r>
            <a:rPr lang="en-GB" sz="1200" kern="1200" baseline="0" dirty="0" err="1"/>
            <a:t> II   </a:t>
          </a:r>
          <a:r>
            <a:rPr lang="en-GB" sz="1200" kern="1200" dirty="0" err="1"/>
            <a:t>Like for Like: Ensure comparability across peers or time periods (focused</a:t>
          </a:r>
          <a:r>
            <a:rPr lang="en-GB" sz="1200" kern="1200" baseline="0" dirty="0" err="1"/>
            <a:t> on the historical results)</a:t>
          </a:r>
          <a:endParaRPr lang="en-GB" sz="1200" kern="1200" dirty="0" err="1"/>
        </a:p>
        <a:p>
          <a:pPr algn="l"/>
          <a:r>
            <a:rPr lang="en-GB" sz="1200" kern="1200" dirty="0" err="1">
              <a:latin typeface="+mn-lt"/>
              <a:ea typeface="+mn-ea"/>
              <a:cs typeface="+mn-cs"/>
            </a:rPr>
            <a:t>    (in case of M&amp;A, carve-outs, accounting policy change, volatile FX)	</a:t>
          </a:r>
        </a:p>
        <a:p>
          <a:pPr algn="l" indent="-171450" marL="171450">
            <a:buFont typeface="Arial" panose="020B0604020202020204" pitchFamily="34" charset="0"/>
            <a:buChar char="•"/>
          </a:pPr>
          <a:r>
            <a:rPr lang="en-GB" sz="1200" kern="1200" dirty="0" err="1">
              <a:latin typeface="+mn-lt"/>
              <a:ea typeface="+mn-ea"/>
              <a:cs typeface="+mn-cs"/>
            </a:rPr>
            <a:t>Type III </a:t>
          </a:r>
          <a:r>
            <a:rPr lang="en-GB" sz="1200" kern="1200" baseline="0" dirty="0" err="1">
              <a:latin typeface="+mn-lt"/>
              <a:ea typeface="+mn-ea"/>
              <a:cs typeface="+mn-cs"/>
            </a:rPr>
            <a:t> </a:t>
          </a:r>
          <a:r>
            <a:rPr lang="en-GB" sz="1200" kern="1200" dirty="0" err="1">
              <a:latin typeface="+mn-lt"/>
              <a:ea typeface="+mn-ea"/>
              <a:cs typeface="+mn-cs"/>
            </a:rPr>
            <a:t>Other Valuation related adjustments. For example, synergies: reflecting pro forma impact of </a:t>
          </a:r>
          <a:r>
            <a:rPr lang="en-GB" sz="1200" kern="1200">
              <a:latin typeface="+mn-lt"/>
              <a:ea typeface="+mn-ea"/>
              <a:cs typeface="+mn-cs"/>
            </a:rPr>
            <a:t>forward looking </a:t>
          </a:r>
          <a:r>
            <a:rPr lang="en-GB" sz="1200" kern="1200" dirty="0" err="1">
              <a:latin typeface="+mn-lt"/>
              <a:ea typeface="+mn-ea"/>
              <a:cs typeface="+mn-cs"/>
            </a:rPr>
            <a:t>synergies </a:t>
          </a:r>
          <a:r>
            <a:rPr lang="en-GB" sz="1200" kern="1200" dirty="0" err="1"/>
            <a:t>(focused</a:t>
          </a:r>
          <a:r>
            <a:rPr lang="en-GB" sz="1200" kern="1200" baseline="0" dirty="0" err="1"/>
            <a:t> on the future results)</a:t>
          </a:r>
          <a:endParaRPr lang="en-GB" sz="1200" kern="1200" dirty="0" err="1"/>
        </a:p>
        <a:p>
          <a:pPr algn="l"/>
          <a:r>
            <a:rPr lang="en-GB" sz="1200" kern="1200" dirty="0" err="1"/>
            <a:t>	</a:t>
          </a:r>
        </a:p>
        <a:p>
          <a:pPr algn="l"/>
          <a:r>
            <a:rPr lang="en-GB" sz="1200" kern="1200" dirty="0" err="1"/>
            <a:t>Please double check the following.	</a:t>
          </a:r>
        </a:p>
        <a:p>
          <a:pPr algn="l"/>
          <a:r>
            <a:rPr lang="en-GB" sz="1200" kern="1200" dirty="0" err="1"/>
            <a:t>1. Align parameters with the valuation approach (e.g., LTM vs NTM)	</a:t>
          </a:r>
        </a:p>
        <a:p>
          <a:pPr algn="l"/>
          <a:r>
            <a:rPr lang="en-GB" sz="1200" kern="1200" dirty="0" err="1"/>
            <a:t>2. Make sure your peer groups of companies are also consistently adjusted. 	</a:t>
          </a:r>
        </a:p>
        <a:p>
          <a:pPr algn="l"/>
          <a:r>
            <a:rPr lang="en-GB" sz="1200" kern="1200" dirty="0" err="1"/>
            <a:t>3. All adjustments must be clearly justified and documented for audit and review.	</a:t>
          </a:r>
        </a:p>
        <a:p>
          <a:pPr algn="l"/>
          <a:r>
            <a:rPr lang="en-GB" sz="1200" kern="1200" dirty="0" err="1"/>
            <a:t>	</a:t>
          </a:r>
        </a:p>
        <a:p>
          <a:pPr algn="l"/>
          <a:r>
            <a:rPr lang="en-GB" sz="1200" kern="1200" dirty="0" err="1"/>
            <a:t>	</a:t>
          </a:r>
        </a:p>
        <a:p>
          <a:pPr algn="l"/>
          <a:endParaRPr lang="en-GB" sz="1200" kern="1200" dirty="0" err="1"/>
        </a:p>
      </xdr:txBody>
    </xdr:sp>
    <xdr:clientData/>
  </xdr:twoCellAnchor>
  <xdr:twoCellAnchor>
    <xdr:from>
      <xdr:col>7</xdr:col>
      <xdr:colOff>200026</xdr:colOff>
      <xdr:row>9</xdr:row>
      <xdr:rowOff>85725</xdr:rowOff>
    </xdr:from>
    <xdr:to>
      <xdr:col>7</xdr:col>
      <xdr:colOff>5934075</xdr:colOff>
      <xdr:row>24</xdr:row>
      <xdr:rowOff>95250</xdr:rowOff>
    </xdr:to>
    <xdr:sp>
      <xdr:nvSpPr>
        <xdr:cNvPr id="10" name="TextBox 4">
          <a:extLst>
            <a:ext uri="{FF2B5EF4-FFF2-40B4-BE49-F238E27FC236}">
              <a16:creationId xmlns:a16="http://schemas.microsoft.com/office/drawing/2014/main" id="{579513A8-D02D-6208-4296-4B381609DF9C}"/>
            </a:ext>
          </a:extLst>
        </xdr:cNvPr>
        <xdr:cNvSpPr txBox="1"/>
      </xdr:nvSpPr>
      <xdr:spPr>
        <a:xfrm>
          <a:off x="11049000" y="1666875"/>
          <a:ext cx="5734050" cy="2867025"/>
        </a:xfrm>
        <a:prstGeom prst="rect"/>
        <a:noFill/>
      </xdr:spPr>
      <xdr:txBody>
        <a:bodyPr lIns="0" tIns="0" rIns="0" bIns="0" vertOverflow="clip" horzOverflow="clip" wrap="square" rtlCol="0" anchor="t">
          <a:noAutofit/>
        </a:bodyPr>
        <a:lstStyle/>
        <a:p>
          <a:pPr/>
          <a:r>
            <a:rPr lang="en-GB" sz="1200">
              <a:solidFill>
                <a:srgbClr val="000000"/>
              </a:solidFill>
              <a:effectLst/>
              <a:latin typeface="+mn-lt"/>
              <a:ea typeface="+mn-ea"/>
              <a:cs typeface="+mn-cs"/>
            </a:rPr>
            <a:t>Type I Adjustments,	</a:t>
          </a:r>
          <a:endParaRPr lang="en-GB" sz="1200">
            <a:solidFill>
              <a:srgbClr val="000000"/>
            </a:solidFill>
            <a:effectLst/>
          </a:endParaRPr>
        </a:p>
        <a:p>
          <a:r>
            <a:rPr lang="en-GB" sz="1200">
              <a:solidFill>
                <a:srgbClr val="000000"/>
              </a:solidFill>
              <a:effectLst/>
              <a:latin typeface="+mn-lt"/>
              <a:ea typeface="+mn-ea"/>
              <a:cs typeface="+mn-cs"/>
            </a:rPr>
            <a:t>This</a:t>
          </a:r>
          <a:r>
            <a:rPr lang="en-GB" sz="1200" baseline="0">
              <a:solidFill>
                <a:srgbClr val="000000"/>
              </a:solidFill>
              <a:effectLst/>
              <a:latin typeface="+mn-lt"/>
              <a:ea typeface="+mn-ea"/>
              <a:cs typeface="+mn-cs"/>
            </a:rPr>
            <a:t> type of adjustments will be entered into the Actual and the Budget section within the main P&amp;L sheet.</a:t>
          </a:r>
        </a:p>
        <a:p>
          <a:endParaRPr lang="en-GB" sz="1200">
            <a:solidFill>
              <a:srgbClr val="000000"/>
            </a:solidFill>
            <a:effectLst/>
            <a:latin typeface="+mn-lt"/>
            <a:ea typeface="+mn-ea"/>
            <a:cs typeface="+mn-cs"/>
          </a:endParaRPr>
        </a:p>
        <a:p>
          <a:r>
            <a:rPr lang="en-GB" sz="1200">
              <a:solidFill>
                <a:srgbClr val="000000"/>
              </a:solidFill>
              <a:effectLst/>
              <a:latin typeface="+mn-lt"/>
              <a:ea typeface="+mn-ea"/>
              <a:cs typeface="+mn-cs"/>
            </a:rPr>
            <a:t>Type</a:t>
          </a:r>
          <a:r>
            <a:rPr lang="en-GB" sz="1200" baseline="0">
              <a:solidFill>
                <a:srgbClr val="000000"/>
              </a:solidFill>
              <a:effectLst/>
              <a:latin typeface="+mn-lt"/>
              <a:ea typeface="+mn-ea"/>
              <a:cs typeface="+mn-cs"/>
            </a:rPr>
            <a:t> I adjustments</a:t>
          </a:r>
        </a:p>
        <a:p>
          <a:r>
            <a:rPr lang="en-GB" sz="1200" baseline="0">
              <a:solidFill>
                <a:srgbClr val="000000"/>
              </a:solidFill>
              <a:effectLst/>
              <a:latin typeface="+mn-lt"/>
              <a:ea typeface="+mn-ea"/>
              <a:cs typeface="+mn-cs"/>
            </a:rPr>
            <a:t>This type of adjustments will be collected at the custom metric section after the P&amp;L statement. (within the P&amp;L sheet)</a:t>
          </a:r>
          <a:endParaRPr lang="en-GB" sz="1200">
            <a:solidFill>
              <a:srgbClr val="000000"/>
            </a:solidFill>
            <a:effectLst/>
            <a:latin typeface="+mn-lt"/>
            <a:ea typeface="+mn-ea"/>
            <a:cs typeface="+mn-cs"/>
          </a:endParaRPr>
        </a:p>
        <a:p>
          <a:r>
            <a:rPr lang="en-GB" sz="1200">
              <a:solidFill>
                <a:srgbClr val="000000"/>
              </a:solidFill>
              <a:effectLst/>
              <a:latin typeface="+mn-lt"/>
              <a:ea typeface="+mn-ea"/>
              <a:cs typeface="+mn-cs"/>
            </a:rPr>
            <a:t>				</a:t>
          </a:r>
          <a:endParaRPr lang="en-GB" sz="1200">
            <a:solidFill>
              <a:srgbClr val="000000"/>
            </a:solidFill>
            <a:effectLst/>
          </a:endParaRPr>
        </a:p>
        <a:p>
          <a:r>
            <a:rPr lang="en-GB" sz="1200">
              <a:solidFill>
                <a:srgbClr val="000000"/>
              </a:solidFill>
              <a:effectLst/>
              <a:latin typeface="+mn-lt"/>
              <a:ea typeface="+mn-ea"/>
              <a:cs typeface="+mn-cs"/>
            </a:rPr>
            <a:t>Type III Adjustments, 	</a:t>
          </a:r>
          <a:endParaRPr lang="en-GB" sz="1200">
            <a:solidFill>
              <a:srgbClr val="000000"/>
            </a:solidFill>
            <a:effectLst/>
          </a:endParaRPr>
        </a:p>
        <a:p>
          <a:r>
            <a:rPr lang="en-GB" sz="1200">
              <a:solidFill>
                <a:srgbClr val="000000"/>
              </a:solidFill>
              <a:effectLst/>
              <a:latin typeface="+mn-lt"/>
              <a:ea typeface="+mn-ea"/>
              <a:cs typeface="+mn-cs"/>
            </a:rPr>
            <a:t>These adjustments</a:t>
          </a:r>
          <a:r>
            <a:rPr lang="en-GB" sz="1200" baseline="0">
              <a:solidFill>
                <a:srgbClr val="000000"/>
              </a:solidFill>
              <a:effectLst/>
              <a:latin typeface="+mn-lt"/>
              <a:ea typeface="+mn-ea"/>
              <a:cs typeface="+mn-cs"/>
            </a:rPr>
            <a:t> will be applied in the valuation workbook, please make sure your adjustments in this workbook doesn't include these, to avoid double counting. </a:t>
          </a:r>
          <a:endParaRPr lang="en-GB" sz="1200">
            <a:solidFill>
              <a:srgbClr val="000000"/>
            </a:solidFill>
            <a:effectLst/>
            <a:latin typeface="+mn-lt"/>
            <a:ea typeface="+mn-ea"/>
            <a:cs typeface="+mn-cs"/>
          </a:endParaRPr>
        </a:p>
        <a:p>
          <a:endParaRPr lang="en-GB" sz="1100">
            <a:solidFill>
              <a:srgbClr val="000000"/>
            </a:solidFill>
            <a:effectLst/>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2</xdr:col>
      <xdr:colOff>95249</xdr:colOff>
      <xdr:row>5</xdr:row>
      <xdr:rowOff>66635</xdr:rowOff>
    </xdr:from>
    <xdr:to>
      <xdr:col>9</xdr:col>
      <xdr:colOff>51434</xdr:colOff>
      <xdr:row>35</xdr:row>
      <xdr:rowOff>157650</xdr:rowOff>
    </xdr:to>
    <xdr:pic>
      <xdr:nvPicPr>
        <xdr:cNvPr id="36" name="Picture 2">
          <a:hlinkClick r:id="rId2"/>
          <a:extLst>
            <a:ext uri="{FF2B5EF4-FFF2-40B4-BE49-F238E27FC236}">
              <a16:creationId xmlns:a16="http://schemas.microsoft.com/office/drawing/2014/main" id="{4E1E179B-723C-4560-B2B8-E2E23059104C}"/>
            </a:ext>
          </a:extLst>
        </xdr:cNvPr>
        <xdr:cNvPicPr>
          <a:picLocks noChangeAspect="1"/>
        </xdr:cNvPicPr>
      </xdr:nvPicPr>
      <xdr:blipFill>
        <a:blip r:embed="rId1"/>
        <a:stretch>
          <a:fillRect/>
        </a:stretch>
      </xdr:blipFill>
      <xdr:spPr>
        <a:xfrm>
          <a:off x="1619250" y="1019175"/>
          <a:ext cx="5286375" cy="5867400"/>
        </a:xfrm>
        <a:prstGeom prst="rect"/>
      </xdr:spPr>
    </xdr:pic>
    <xdr:clientData fLocksWithSheet="0"/>
  </xdr:twoCellAnchor>
  <xdr:twoCellAnchor>
    <xdr:from>
      <xdr:col>16</xdr:col>
      <xdr:colOff>95251</xdr:colOff>
      <xdr:row>0</xdr:row>
      <xdr:rowOff>0</xdr:rowOff>
    </xdr:from>
    <xdr:to>
      <xdr:col>17</xdr:col>
      <xdr:colOff>95251</xdr:colOff>
      <xdr:row>3</xdr:row>
      <xdr:rowOff>0</xdr:rowOff>
    </xdr:to>
    <xdr:sp>
      <xdr:nvSpPr>
        <xdr:cNvPr id="3" name="Rectangle: Rounded Corners 2">
          <a:extLst>
            <a:ext uri="{FF2B5EF4-FFF2-40B4-BE49-F238E27FC236}">
              <a16:creationId xmlns:a16="http://schemas.microsoft.com/office/drawing/2014/main" id="{1DF8BC4B-51C6-4367-A1CB-D745444B8B1B}"/>
            </a:ext>
          </a:extLst>
        </xdr:cNvPr>
        <xdr:cNvSpPr/>
      </xdr:nvSpPr>
      <xdr:spPr>
        <a:xfrm>
          <a:off x="14954250" y="0"/>
          <a:ext cx="762000" cy="571500"/>
        </a:xfrm>
        <a:prstGeom prst="roundRect"/>
        <a:solidFill>
          <a:schemeClr val="bg1">
            <a:alpha val="0"/>
          </a:schemeClr>
        </a:solidFill>
        <a:ln w="12700" cap="flat" cmpd="sng" algn="ctr">
          <a:solidFill>
            <a:schemeClr val="bg1"/>
          </a:solidFill>
          <a:prstDash val="solid"/>
          <a:miter lim="800000"/>
        </a:ln>
        <a:effectLst/>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ctr"/>
        <a:lstStyle/>
        <a:p>
          <a:pPr algn="ctr"/>
          <a:r>
            <a:rPr lang="en-GB">
              <a:solidFill>
                <a:schemeClr val="bg1"/>
              </a:solidFill>
            </a:rPr>
            <a:t>   </a:t>
          </a:r>
        </a:p>
      </xdr:txBody>
    </xdr:sp>
    <xdr:clientData/>
  </xdr:twoCellAnchor>
  <xdr:twoCellAnchor>
    <xdr:from>
      <xdr:col>16</xdr:col>
      <xdr:colOff>134471</xdr:colOff>
      <xdr:row>0</xdr:row>
      <xdr:rowOff>22411</xdr:rowOff>
    </xdr:from>
    <xdr:to>
      <xdr:col>17</xdr:col>
      <xdr:colOff>112060</xdr:colOff>
      <xdr:row>2</xdr:row>
      <xdr:rowOff>123264</xdr:rowOff>
    </xdr:to>
    <xdr:sp>
      <xdr:nvSpPr>
        <xdr:cNvPr id="2" name="Rectangle: Rounded Corners 1">
          <a:extLst>
            <a:ext uri="{FF2B5EF4-FFF2-40B4-BE49-F238E27FC236}">
              <a16:creationId xmlns:a16="http://schemas.microsoft.com/office/drawing/2014/main" id="{BF12CDBD-A5D0-4C29-8757-D9A728BABEFD}"/>
            </a:ext>
          </a:extLst>
        </xdr:cNvPr>
        <xdr:cNvSpPr/>
      </xdr:nvSpPr>
      <xdr:spPr>
        <a:xfrm>
          <a:off x="14992350" y="19050"/>
          <a:ext cx="742950" cy="485775"/>
        </a:xfrm>
        <a:prstGeom prst="roundRect"/>
        <a:solidFill>
          <a:schemeClr val="bg1">
            <a:alpha val="0"/>
          </a:schemeClr>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ctr"/>
        <a:lstStyle/>
        <a:p>
          <a:pPr algn="ctr"/>
          <a:r>
            <a:rPr lang="en-GB">
              <a:solidFill>
                <a:schemeClr val="bg1">
                  <a:alpha val="0"/>
                </a:schemeClr>
              </a:solidFill>
            </a:rPr>
            <a:t>UP</a:t>
          </a:r>
        </a:p>
      </xdr:txBody>
    </xdr:sp>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3</xdr:col>
      <xdr:colOff>2446082</xdr:colOff>
      <xdr:row>0</xdr:row>
      <xdr:rowOff>96801</xdr:rowOff>
    </xdr:from>
    <xdr:to>
      <xdr:col>5</xdr:col>
      <xdr:colOff>448360</xdr:colOff>
      <xdr:row>0</xdr:row>
      <xdr:rowOff>859078</xdr:rowOff>
    </xdr:to>
    <xdr:sp>
      <xdr:nvSpPr>
        <xdr:cNvPr id="7" name="Rectangle: Rounded Corners 6">
          <a:extLst>
            <a:ext uri="{FF2B5EF4-FFF2-40B4-BE49-F238E27FC236}">
              <a16:creationId xmlns:a16="http://schemas.microsoft.com/office/drawing/2014/main" id="{4C196F69-D5EA-40EE-93CB-058A7F7479A2}"/>
            </a:ext>
          </a:extLst>
        </xdr:cNvPr>
        <xdr:cNvSpPr>
          <a:spLocks noChangeAspect="1"/>
        </xdr:cNvSpPr>
      </xdr:nvSpPr>
      <xdr:spPr>
        <a:xfrm>
          <a:off x="10439400" y="95250"/>
          <a:ext cx="2190750" cy="762000"/>
        </a:xfrm>
        <a:prstGeom prst="roundRect">
          <a:avLst>
            <a:gd name="adj" fmla="val 0"/>
          </a:avLst>
        </a:prstGeom>
        <a:solidFill>
          <a:schemeClr val="accent2"/>
        </a:solidFill>
        <a:ln w="12700" cap="flat" cmpd="sng" algn="ctr">
          <a:noFill/>
          <a:prstDash val="solid"/>
          <a:miter lim="800000"/>
        </a:ln>
        <a:effectLst/>
        <a:scene3d>
          <a:camera prst="orthographicFront"/>
          <a:lightRig rig="freezing" dir="t"/>
        </a:scene3d>
        <a:sp3d prstMaterial="dkEdge">
          <a:bevelT w="114300" prst="artDeco"/>
          <a:bevelB w="114300" prst="artDeco"/>
        </a:sp3d>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ctr"/>
        <a:lstStyle/>
        <a:p>
          <a:pPr algn="ctr"/>
          <a:r>
            <a:rPr lang="en-GB" sz="1600" b="1">
              <a:solidFill>
                <a:schemeClr val="bg1"/>
              </a:solidFill>
            </a:rPr>
            <a:t>Get Name Ranges</a:t>
          </a:r>
        </a:p>
      </xdr:txBody>
    </xdr:sp>
    <xdr:clientData/>
  </xdr:twoCellAnchor>
  <xdr:twoCellAnchor editAs="absolute">
    <xdr:from>
      <xdr:col>3</xdr:col>
      <xdr:colOff>235733</xdr:colOff>
      <xdr:row>0</xdr:row>
      <xdr:rowOff>96546</xdr:rowOff>
    </xdr:from>
    <xdr:to>
      <xdr:col>3</xdr:col>
      <xdr:colOff>2316096</xdr:colOff>
      <xdr:row>0</xdr:row>
      <xdr:rowOff>858262</xdr:rowOff>
    </xdr:to>
    <xdr:sp>
      <xdr:nvSpPr>
        <xdr:cNvPr id="9" name="Rectangle: Rounded Corners 8">
          <a:extLst>
            <a:ext uri="{FF2B5EF4-FFF2-40B4-BE49-F238E27FC236}">
              <a16:creationId xmlns:a16="http://schemas.microsoft.com/office/drawing/2014/main" id="{0F35645B-4396-C9F6-EF80-2B433735AA9E}"/>
            </a:ext>
          </a:extLst>
        </xdr:cNvPr>
        <xdr:cNvSpPr>
          <a:spLocks noChangeAspect="1"/>
        </xdr:cNvSpPr>
      </xdr:nvSpPr>
      <xdr:spPr>
        <a:xfrm>
          <a:off x="8229600" y="95250"/>
          <a:ext cx="2076450" cy="762000"/>
        </a:xfrm>
        <a:prstGeom prst="roundRect">
          <a:avLst>
            <a:gd name="adj" fmla="val 0"/>
          </a:avLst>
        </a:prstGeom>
        <a:solidFill>
          <a:schemeClr val="accent4"/>
        </a:solidFill>
        <a:ln w="12700" cap="flat" cmpd="sng" algn="ctr">
          <a:noFill/>
          <a:prstDash val="solid"/>
          <a:miter lim="800000"/>
        </a:ln>
        <a:effectLst/>
        <a:scene3d>
          <a:camera prst="orthographicFront"/>
          <a:lightRig rig="freezing" dir="t"/>
        </a:scene3d>
        <a:sp3d prstMaterial="dkEdge">
          <a:bevelT w="114300" prst="artDeco"/>
          <a:bevelB w="114300" prst="artDeco"/>
        </a:sp3d>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ctr"/>
        <a:lstStyle/>
        <a:p>
          <a:pPr algn="ctr"/>
          <a:r>
            <a:rPr lang="en-GB" sz="1600" b="1">
              <a:solidFill>
                <a:schemeClr val="bg1"/>
              </a:solidFill>
            </a:rPr>
            <a:t>Developer</a:t>
          </a:r>
          <a:r>
            <a:rPr lang="en-GB" sz="1600" b="1" baseline="0">
              <a:solidFill>
                <a:schemeClr val="bg1"/>
              </a:solidFill>
            </a:rPr>
            <a:t> Mode</a:t>
          </a:r>
          <a:endParaRPr lang="en-GB" sz="1600" b="1"/>
        </a:p>
      </xdr:txBody>
    </xdr:sp>
    <xdr:clientData/>
  </xdr:twoCellAnchor>
  <xdr:twoCellAnchor>
    <xdr:from>
      <xdr:col>0</xdr:col>
      <xdr:colOff>267660</xdr:colOff>
      <xdr:row>343</xdr:row>
      <xdr:rowOff>177053</xdr:rowOff>
    </xdr:from>
    <xdr:to>
      <xdr:col>4</xdr:col>
      <xdr:colOff>2383972</xdr:colOff>
      <xdr:row>380</xdr:row>
      <xdr:rowOff>43542</xdr:rowOff>
    </xdr:to>
    <xdr:sp>
      <xdr:nvSpPr>
        <xdr:cNvPr id="2" name="TextBox 1">
          <a:extLst>
            <a:ext uri="{FF2B5EF4-FFF2-40B4-BE49-F238E27FC236}">
              <a16:creationId xmlns:a16="http://schemas.microsoft.com/office/drawing/2014/main" id="{70766919-E64D-ADE3-1FBA-EDBE259F3B1C}"/>
            </a:ext>
          </a:extLst>
        </xdr:cNvPr>
        <xdr:cNvSpPr txBox="1"/>
      </xdr:nvSpPr>
      <xdr:spPr>
        <a:xfrm>
          <a:off x="266700" y="63712725"/>
          <a:ext cx="11915775" cy="6915150"/>
        </a:xfrm>
        <a:prstGeom prst="rect"/>
        <a:noFill/>
      </xdr:spPr>
      <xdr:txBody>
        <a:bodyPr lIns="0" tIns="0" rIns="0" bIns="0" vertOverflow="clip" horzOverflow="clip" wrap="square" rtlCol="0" anchor="t">
          <a:noAutofit/>
        </a:bodyPr>
        <a:lstStyle/>
        <a:p>
          <a:pPr algn="l"/>
          <a:r>
            <a:rPr lang="en-GB" sz="1400" dirty="0" err="1"/>
            <a:t>---------------------------------</a:t>
          </a:r>
        </a:p>
        <a:p>
          <a:pPr algn="l"/>
          <a:r>
            <a:rPr lang="en-GB" sz="1400" dirty="0" err="1"/>
            <a:t>JCVC</a:t>
          </a:r>
        </a:p>
        <a:p>
          <a:pPr algn="l"/>
          <a:r>
            <a:rPr lang="en-GB" sz="1400" dirty="0" err="1"/>
            <a:t>---------------------------------</a:t>
          </a:r>
        </a:p>
        <a:p>
          <a:pPr algn="l"/>
          <a:endParaRPr lang="en-GB" sz="1400" dirty="0" err="1"/>
        </a:p>
        <a:p>
          <a:pPr algn="l"/>
          <a:r>
            <a:rPr lang="en-GB" sz="1400" dirty="0" err="1"/>
            <a:t># Unlocking Guide</a:t>
          </a:r>
        </a:p>
        <a:p>
          <a:pPr algn="l"/>
          <a:endParaRPr lang="en-GB" sz="1400" dirty="0" err="1"/>
        </a:p>
        <a:p>
          <a:pPr algn="l"/>
          <a:r>
            <a:rPr lang="en-GB" sz="1400" dirty="0" err="1"/>
            <a:t>1. There are two levels of protection enabled, </a:t>
          </a:r>
        </a:p>
        <a:p>
          <a:pPr algn="l"/>
          <a:r>
            <a:rPr lang="en-GB" sz="1400" dirty="0" err="1"/>
            <a:t>- Workbook Protection, </a:t>
          </a:r>
        </a:p>
        <a:p>
          <a:pPr algn="l"/>
          <a:r>
            <a:rPr lang="en-GB" sz="1400" dirty="0" err="1"/>
            <a:t>  Under Review tab, you can find Protect Workbook in the Protect section in Excel Top Ribbons.</a:t>
          </a:r>
        </a:p>
        <a:p>
          <a:pPr algn="l"/>
          <a:r>
            <a:rPr lang="en-GB" sz="1400" dirty="0" err="1"/>
            <a:t>  With this enabled, you can't add / delete / hide / unhide worksheets</a:t>
          </a:r>
        </a:p>
        <a:p>
          <a:pPr algn="l"/>
          <a:endParaRPr lang="en-GB" sz="1400" dirty="0" err="1"/>
        </a:p>
        <a:p>
          <a:pPr algn="l"/>
          <a:r>
            <a:rPr lang="en-GB" sz="1400" dirty="0" err="1"/>
            <a:t>- Worksheet Protection</a:t>
          </a:r>
        </a:p>
        <a:p>
          <a:pPr algn="l"/>
          <a:r>
            <a:rPr lang="en-GB" sz="1400" dirty="0" err="1"/>
            <a:t>  This is set a sheet level, laborious to do manually, scripts are set up available in the Developer sheet </a:t>
          </a:r>
        </a:p>
        <a:p>
          <a:pPr algn="l"/>
          <a:endParaRPr lang="en-GB" sz="1400" dirty="0" err="1"/>
        </a:p>
        <a:p>
          <a:pPr algn="l"/>
          <a:r>
            <a:rPr lang="en-GB" sz="1400" dirty="0" err="1"/>
            <a:t>2. Step by Step</a:t>
          </a:r>
        </a:p>
        <a:p>
          <a:pPr algn="l"/>
          <a:endParaRPr lang="en-GB" sz="1400" dirty="0" err="1"/>
        </a:p>
        <a:p>
          <a:pPr algn="l"/>
          <a:r>
            <a:rPr lang="en-GB" sz="1400" dirty="0" err="1"/>
            <a:t>  1. disable Workbook Protection (with password)</a:t>
          </a:r>
        </a:p>
        <a:p>
          <a:pPr algn="l"/>
          <a:r>
            <a:rPr lang="en-GB" sz="1400" dirty="0" err="1"/>
            <a:t>  2. Unhide Developer tab - right click on the worksheet tab at the bottom of the screen</a:t>
          </a:r>
        </a:p>
        <a:p>
          <a:pPr algn="l"/>
          <a:r>
            <a:rPr lang="en-GB" sz="1400" dirty="0" err="1"/>
            <a:t>  3. Find square buttons at the bottom of the sheet (Unprotect), Left click and Copy paste the password in the window and wait for a few seconds</a:t>
          </a:r>
        </a:p>
        <a:p>
          <a:pPr algn="l"/>
          <a:endParaRPr lang="en-GB" sz="1400" dirty="0" err="1"/>
        </a:p>
        <a:p>
          <a:pPr algn="l"/>
          <a:endParaRPr lang="en-GB" sz="1400" dirty="0" err="1"/>
        </a:p>
        <a:p>
          <a:pPr algn="l"/>
          <a:endParaRPr lang="en-GB" sz="1400" dirty="0" err="1"/>
        </a:p>
        <a:p>
          <a:pPr algn="l"/>
          <a:r>
            <a:rPr lang="en-GB" sz="1400" dirty="0" err="1"/>
            <a:t># Locking Guide</a:t>
          </a:r>
        </a:p>
        <a:p>
          <a:pPr algn="l"/>
          <a:endParaRPr lang="en-GB" sz="1400" dirty="0" err="1"/>
        </a:p>
        <a:p>
          <a:pPr algn="l"/>
          <a:r>
            <a:rPr lang="en-GB" sz="1400" dirty="0" err="1"/>
            <a:t>1. Preparation. </a:t>
          </a:r>
        </a:p>
        <a:p>
          <a:pPr algn="l"/>
          <a:r>
            <a:rPr lang="en-GB" sz="1400" dirty="0" err="1"/>
            <a:t>- Unlink the CX formula</a:t>
          </a:r>
        </a:p>
        <a:p>
          <a:pPr algn="l"/>
          <a:r>
            <a:rPr lang="en-GB" sz="1400" dirty="0" err="1"/>
            <a:t>- Check company selected (on developer tab), check As of date (On PL tab)</a:t>
          </a:r>
        </a:p>
        <a:p>
          <a:pPr algn="l"/>
          <a:r>
            <a:rPr lang="en-GB" sz="1400" dirty="0" err="1"/>
            <a:t>- Check PL, CF, BS, KPI, Debt Overview and Debt Ratio page left hand dark pane has been Hidden (not folded, because folding invites unintended unfolding action).</a:t>
          </a:r>
        </a:p>
        <a:p>
          <a:pPr algn="l"/>
          <a:endParaRPr lang="en-GB" sz="1400" dirty="0" err="1"/>
        </a:p>
        <a:p>
          <a:pPr algn="l"/>
          <a:r>
            <a:rPr lang="en-GB" sz="1400" dirty="0" err="1"/>
            <a:t>2. Find the square button at hte Developer tab, Protect, left click, type in password and wait. </a:t>
          </a:r>
        </a:p>
        <a:p>
          <a:pPr algn="l"/>
          <a:endParaRPr lang="en-GB" sz="1400" dirty="0" err="1"/>
        </a:p>
        <a:p>
          <a:pPr algn="l"/>
          <a:r>
            <a:rPr lang="en-GB" sz="1400" dirty="0" err="1"/>
            <a:t>3. Flip sheets to check whether all looks fine. </a:t>
          </a:r>
        </a:p>
        <a:p>
          <a:pPr algn="l"/>
          <a:endParaRPr lang="en-GB" sz="1400" dirty="0" err="1"/>
        </a:p>
        <a:p>
          <a:pPr algn="l"/>
          <a:endParaRPr lang="en-GB" sz="1400" dirty="0" err="1"/>
        </a:p>
      </xdr:txBody>
    </xdr:sp>
    <xdr:clientData/>
  </xdr:twoCellAnchor>
  <xdr:twoCellAnchor>
    <xdr:from>
      <xdr:col>1</xdr:col>
      <xdr:colOff>2277036</xdr:colOff>
      <xdr:row>0</xdr:row>
      <xdr:rowOff>113739</xdr:rowOff>
    </xdr:from>
    <xdr:to>
      <xdr:col>3</xdr:col>
      <xdr:colOff>178755</xdr:colOff>
      <xdr:row>0</xdr:row>
      <xdr:rowOff>833739</xdr:rowOff>
    </xdr:to>
    <xdr:sp>
      <xdr:nvSpPr>
        <xdr:cNvPr id="4" name="Rectangle: Rounded Corners 3">
          <a:extLst>
            <a:ext uri="{FF2B5EF4-FFF2-40B4-BE49-F238E27FC236}">
              <a16:creationId xmlns:a16="http://schemas.microsoft.com/office/drawing/2014/main" id="{DF4B71C6-08D5-4ADA-8C96-98C752498AA8}"/>
            </a:ext>
          </a:extLst>
        </xdr:cNvPr>
        <xdr:cNvSpPr/>
      </xdr:nvSpPr>
      <xdr:spPr>
        <a:xfrm>
          <a:off x="4848225" y="114300"/>
          <a:ext cx="3324225" cy="723900"/>
        </a:xfrm>
        <a:prstGeom prst="roundRect">
          <a:avLst>
            <a:gd name="adj" fmla="val 0"/>
          </a:avLst>
        </a:prstGeom>
        <a:solidFill>
          <a:schemeClr val="accent1"/>
        </a:solidFill>
        <a:ln>
          <a:solidFill>
            <a:schemeClr val="accent1"/>
          </a:solidFill>
        </a:ln>
        <a:scene3d>
          <a:camera prst="orthographicFront"/>
          <a:lightRig rig="freezing" dir="t"/>
        </a:scene3d>
        <a:sp3d>
          <a:bevelT w="114300" prst="artDeco"/>
          <a:bevelB prst="relaxedInset"/>
        </a:sp3d>
      </xdr:spPr>
      <xdr:style>
        <a:lnRef idx="0">
          <a:srgbClr val="000000"/>
        </a:lnRef>
        <a:fillRef idx="0">
          <a:srgbClr val="000000"/>
        </a:fillRef>
        <a:effectRef idx="0">
          <a:srgbClr val="000000"/>
        </a:effectRef>
        <a:fontRef idx="minor">
          <a:schemeClr val="bg1"/>
        </a:fontRef>
      </xdr:style>
      <xdr:txBody>
        <a:bodyPr vertOverflow="clip" horzOverflow="clip" rtlCol="0" anchor="ctr"/>
        <a:lstStyle/>
        <a:p>
          <a:pPr algn="ctr"/>
          <a:r>
            <a:rPr lang="en-GB">
              <a:solidFill>
                <a:schemeClr val="bg1"/>
              </a:solidFill>
            </a:rPr>
            <a:t> </a:t>
          </a:r>
          <a:r>
            <a:rPr lang="en-GB" sz="1600" b="1">
              <a:solidFill>
                <a:schemeClr val="bg1"/>
              </a:solidFill>
            </a:rPr>
            <a:t>Protect</a:t>
          </a:r>
          <a:r>
            <a:rPr lang="en-GB" sz="1600" b="1" baseline="0">
              <a:solidFill>
                <a:schemeClr val="bg1"/>
              </a:solidFill>
            </a:rPr>
            <a:t> Workbook</a:t>
          </a:r>
          <a:endParaRPr lang="en-GB" sz="1600" b="1"/>
        </a:p>
      </xdr:txBody>
    </xdr:sp>
    <xdr:clientData/>
  </xdr:twoCellAnchor>
  <xdr:twoCellAnchor>
    <xdr:from>
      <xdr:col>1</xdr:col>
      <xdr:colOff>2224368</xdr:colOff>
      <xdr:row>0</xdr:row>
      <xdr:rowOff>44822</xdr:rowOff>
    </xdr:from>
    <xdr:to>
      <xdr:col>3</xdr:col>
      <xdr:colOff>302559</xdr:colOff>
      <xdr:row>0</xdr:row>
      <xdr:rowOff>907675</xdr:rowOff>
    </xdr:to>
    <xdr:sp>
      <xdr:nvSpPr>
        <xdr:cNvPr id="3" name="Rectangle: Rounded Corners 2">
          <a:extLst>
            <a:ext uri="{FF2B5EF4-FFF2-40B4-BE49-F238E27FC236}">
              <a16:creationId xmlns:a16="http://schemas.microsoft.com/office/drawing/2014/main" id="{0FBD70D8-76AA-4386-AA52-103CEE760072}"/>
            </a:ext>
          </a:extLst>
        </xdr:cNvPr>
        <xdr:cNvSpPr/>
      </xdr:nvSpPr>
      <xdr:spPr>
        <a:xfrm>
          <a:off x="4800600" y="47625"/>
          <a:ext cx="3495675" cy="866775"/>
        </a:xfrm>
        <a:prstGeom prst="roundRect"/>
        <a:solidFill>
          <a:schemeClr val="bg1">
            <a:alpha val="0"/>
          </a:schemeClr>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ctr"/>
        <a:lstStyle/>
        <a:p>
          <a:pPr algn="ctr"/>
          <a:r>
            <a:rPr lang="en-GB">
              <a:solidFill>
                <a:schemeClr val="bg1">
                  <a:alpha val="0"/>
                </a:schemeClr>
              </a:solidFill>
            </a:rPr>
            <a:t>Run Sheet Protection 3</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refreshOnLoad="1">
  <queryTableRefresh nextId="20" unboundColumnsRight="1">
    <queryTableFields count="5">
      <queryTableField id="3" name="COMPANY_NAME" tableColumnId="3"/>
      <queryTableField id="2" name="COMPANY_ENTITY_ID" tableColumnId="2"/>
      <queryTableField id="4" name="COMPANY_FISCAL_YEAR_END" tableColumnId="4"/>
      <queryTableField id="17" name="COMPANY_LOGO_URL" tableColumnId="16"/>
      <queryTableField id="19" dataBound="0" tableColumnId="18"/>
    </queryTableFields>
  </queryTableRefresh>
</queryTable>
</file>

<file path=xl/queryTables/queryTable2.xml><?xml version="1.0" encoding="utf-8"?>
<queryTable xmlns="http://schemas.openxmlformats.org/spreadsheetml/2006/main" name="ExternalData_2" connectionId="2" autoFormatId="16" applyNumberFormats="0" applyBorderFormats="0" applyFontFormats="0" applyPatternFormats="0" applyAlignmentFormats="0" applyWidthHeightFormats="0" refreshOnLoad="1">
  <queryTableRefresh nextId="4">
    <queryTableFields count="3">
      <queryTableField id="1" name="DateTime" tableColumnId="1"/>
      <queryTableField id="2" name="Time" tableColumnId="2"/>
      <queryTableField id="3" name="Date" tableColumnId="3"/>
    </queryTableFields>
  </queryTableRefresh>
</queryTable>
</file>

<file path=xl/richData/_rels/rdRichValueWebImage.xml.rels><?xml version="1.0" encoding="UTF-8" standalone="yes"?><Relationships xmlns="http://schemas.openxmlformats.org/package/2006/relationships"><Relationship Id="rId32" Type="http://schemas.openxmlformats.org/officeDocument/2006/relationships/image" Target="../media/image30.png" /><Relationship Id="rId24" Type="http://schemas.openxmlformats.org/officeDocument/2006/relationships/image" Target="../media/image13.png" /><Relationship Id="rId7" Type="http://schemas.openxmlformats.org/officeDocument/2006/relationships/hyperlink" Target="https://img.icons8.com/fluency/48/thumb-up.png" TargetMode="External" /><Relationship Id="rId13" Type="http://schemas.openxmlformats.org/officeDocument/2006/relationships/hyperlink" Target="https://img.icons8.com/ios-glyphs/90/circled-up-2.png" TargetMode="External" /><Relationship Id="rId5" Type="http://schemas.openxmlformats.org/officeDocument/2006/relationships/hyperlink" Target="https://img.icons8.com/ios-glyphs/90/lock--v1.png" TargetMode="External" /><Relationship Id="rId36" Type="http://schemas.openxmlformats.org/officeDocument/2006/relationships/image" Target="../media/image14.png" /><Relationship Id="rId14" Type="http://schemas.openxmlformats.org/officeDocument/2006/relationships/image" Target="../media/image15.png" /><Relationship Id="rId28" Type="http://schemas.openxmlformats.org/officeDocument/2006/relationships/image" Target="../media/image16.png" /><Relationship Id="rId8" Type="http://schemas.openxmlformats.org/officeDocument/2006/relationships/image" Target="../media/image5.png" /><Relationship Id="rId31" Type="http://schemas.openxmlformats.org/officeDocument/2006/relationships/hyperlink" Target="https://img.icons8.com/ios-glyphs/90/info--v1.png" TargetMode="External" /><Relationship Id="rId3" Type="http://schemas.openxmlformats.org/officeDocument/2006/relationships/hyperlink" Target="https://img.icons8.com/ios/50/search--v1.png" TargetMode="External" /><Relationship Id="rId16" Type="http://schemas.openxmlformats.org/officeDocument/2006/relationships/image" Target="../media/image18.png" /><Relationship Id="rId33" Type="http://schemas.openxmlformats.org/officeDocument/2006/relationships/hyperlink" Target="https://img.icons8.com/ios-glyphs/90/ok--v1.png" TargetMode="External" /><Relationship Id="rId19" Type="http://schemas.openxmlformats.org/officeDocument/2006/relationships/hyperlink" Target="https://img.icons8.com/ios-glyphs/90/add--v1.png" TargetMode="External" /><Relationship Id="rId23" Type="http://schemas.openxmlformats.org/officeDocument/2006/relationships/hyperlink" Target="https://img.icons8.com/ios-glyphs/90/link--v1.png" TargetMode="External" /><Relationship Id="rId22" Type="http://schemas.openxmlformats.org/officeDocument/2006/relationships/image" Target="../media/image21.png" /><Relationship Id="rId26" Type="http://schemas.openxmlformats.org/officeDocument/2006/relationships/image" Target="../media/image22.png" /><Relationship Id="rId35" Type="http://schemas.openxmlformats.org/officeDocument/2006/relationships/hyperlink" Target="https://img.icons8.com/ios/50/expand-arrow--v2.png" TargetMode="External" /><Relationship Id="rId10" Type="http://schemas.openxmlformats.org/officeDocument/2006/relationships/image" Target="../media/image23.png" /><Relationship Id="rId12" Type="http://schemas.openxmlformats.org/officeDocument/2006/relationships/image" Target="../media/image24.png" /><Relationship Id="rId1" Type="http://schemas.openxmlformats.org/officeDocument/2006/relationships/hyperlink" Target="https://img.icons8.com/ios-glyphs/90/unlock.png" TargetMode="External" /><Relationship Id="rId34" Type="http://schemas.openxmlformats.org/officeDocument/2006/relationships/image" Target="../media/image20.png" /><Relationship Id="rId15" Type="http://schemas.openxmlformats.org/officeDocument/2006/relationships/hyperlink" Target="https://img.icons8.com/ios-glyphs/90/circled-down-2.png" TargetMode="External" /><Relationship Id="rId37" Type="http://schemas.openxmlformats.org/officeDocument/2006/relationships/hyperlink" Target="https://www.cvc.com/media/w5tlvw0e/blue-logo.png" TargetMode="External" /><Relationship Id="rId17" Type="http://schemas.openxmlformats.org/officeDocument/2006/relationships/hyperlink" Target="https://img.icons8.com/ios-glyphs/90/circled-left.png" TargetMode="External" /><Relationship Id="rId9" Type="http://schemas.openxmlformats.org/officeDocument/2006/relationships/hyperlink" Target="https://img.icons8.com/ios-filled/50/quote-right.png" TargetMode="External" /><Relationship Id="rId39" Type="http://schemas.openxmlformats.org/officeDocument/2006/relationships/hyperlink" Target="https://img.icons8.com/ios-glyphs/30/view-file.png" TargetMode="External" /><Relationship Id="rId30" Type="http://schemas.openxmlformats.org/officeDocument/2006/relationships/image" Target="../media/image25.png" /><Relationship Id="rId2" Type="http://schemas.openxmlformats.org/officeDocument/2006/relationships/image" Target="../media/image26.png" /><Relationship Id="rId21" Type="http://schemas.openxmlformats.org/officeDocument/2006/relationships/hyperlink" Target="https://img.icons8.com/ios-glyphs/90/error--v1.png" TargetMode="External" /><Relationship Id="rId38" Type="http://schemas.openxmlformats.org/officeDocument/2006/relationships/image" Target="../media/image19.png" /><Relationship Id="rId29" Type="http://schemas.openxmlformats.org/officeDocument/2006/relationships/hyperlink" Target="https://img.icons8.com/ios-glyphs/90/help.png" TargetMode="External" /><Relationship Id="rId27" Type="http://schemas.openxmlformats.org/officeDocument/2006/relationships/hyperlink" Target="https://img.icons8.com/ios-glyphs/90/edit--v1.png" TargetMode="External" /><Relationship Id="rId18" Type="http://schemas.openxmlformats.org/officeDocument/2006/relationships/image" Target="../media/image27.png" /><Relationship Id="rId4" Type="http://schemas.openxmlformats.org/officeDocument/2006/relationships/image" Target="../media/image28.png" /><Relationship Id="rId20" Type="http://schemas.openxmlformats.org/officeDocument/2006/relationships/image" Target="../media/image29.png" /><Relationship Id="rId6" Type="http://schemas.openxmlformats.org/officeDocument/2006/relationships/image" Target="../media/image17.png" /><Relationship Id="rId40" Type="http://schemas.openxmlformats.org/officeDocument/2006/relationships/image" Target="../media/image3.png" /><Relationship Id="rId25" Type="http://schemas.openxmlformats.org/officeDocument/2006/relationships/hyperlink" Target="https://img.icons8.com/ios-glyphs/90/settings--v1.png" TargetMode="External" /><Relationship Id="rId11" Type="http://schemas.openxmlformats.org/officeDocument/2006/relationships/hyperlink" Target="https://img.icons8.com/ios-glyphs/30/circled-right.png" TargetMode="External" /></Relationships>
</file>

<file path=xl/richData/_rels/richValueRel.xml.rels><?xml version="1.0" encoding="UTF-8" standalone="yes"?><Relationships xmlns="http://schemas.openxmlformats.org/package/2006/relationships"><Relationship Id="rId2" Type="http://schemas.openxmlformats.org/officeDocument/2006/relationships/image" Target="../media/image1.png" /><Relationship Id="rId6" Type="http://schemas.openxmlformats.org/officeDocument/2006/relationships/image" Target="../media/image2.png" /><Relationship Id="rId11" Type="http://schemas.openxmlformats.org/officeDocument/2006/relationships/image" Target="../media/image3.png" /><Relationship Id="rId5" Type="http://schemas.openxmlformats.org/officeDocument/2006/relationships/image" Target="../media/image4.png" /><Relationship Id="rId8" Type="http://schemas.openxmlformats.org/officeDocument/2006/relationships/image" Target="../media/image5.png" /><Relationship Id="rId12" Type="http://schemas.openxmlformats.org/officeDocument/2006/relationships/image" Target="../media/image6.png" /><Relationship Id="rId1" Type="http://schemas.openxmlformats.org/officeDocument/2006/relationships/image" Target="../media/image7.png" /><Relationship Id="rId4" Type="http://schemas.openxmlformats.org/officeDocument/2006/relationships/image" Target="../media/image8.png" /><Relationship Id="rId7" Type="http://schemas.openxmlformats.org/officeDocument/2006/relationships/image" Target="../media/image9.png" /><Relationship Id="rId10" Type="http://schemas.openxmlformats.org/officeDocument/2006/relationships/image" Target="../media/image10.png" /><Relationship Id="rId9" Type="http://schemas.openxmlformats.org/officeDocument/2006/relationships/image" Target="../media/image11.png" /><Relationship Id="rId3" Type="http://schemas.openxmlformats.org/officeDocument/2006/relationships/image" Target="../media/image12.png" /></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rd>
    <address r:id="rId11"/>
    <blip r:id="rId12"/>
  </webImageSrd>
  <webImageSrd>
    <address r:id="rId13"/>
    <blip r:id="rId14"/>
  </webImageSrd>
  <webImageSrd>
    <address r:id="rId15"/>
    <blip r:id="rId16"/>
  </webImageSrd>
  <webImageSrd>
    <address r:id="rId17"/>
    <blip r:id="rId18"/>
  </webImageSrd>
  <webImageSrd>
    <address r:id="rId19"/>
    <blip r:id="rId20"/>
  </webImageSrd>
  <webImageSrd>
    <address r:id="rId21"/>
    <blip r:id="rId22"/>
  </webImageSrd>
  <webImageSrd>
    <address r:id="rId23"/>
    <blip r:id="rId24"/>
  </webImageSrd>
  <webImageSrd>
    <address r:id="rId25"/>
    <blip r:id="rId26"/>
  </webImageSrd>
  <webImageSrd>
    <address r:id="rId27"/>
    <blip r:id="rId28"/>
  </webImageSrd>
  <webImageSrd>
    <address r:id="rId29"/>
    <blip r:id="rId30"/>
  </webImageSrd>
  <webImageSrd>
    <address r:id="rId31"/>
    <blip r:id="rId32"/>
  </webImageSrd>
  <webImageSrd>
    <address r:id="rId33"/>
    <blip r:id="rId34"/>
  </webImageSrd>
  <webImageSrd>
    <address r:id="rId35"/>
    <blip r:id="rId36"/>
  </webImageSrd>
  <webImageSrd>
    <address r:id="rId37"/>
    <blip r:id="rId38"/>
  </webImageSrd>
  <webImageSrd>
    <address r:id="rId39"/>
    <blip r:id="rId40"/>
  </webImageSrd>
</webImagesSrd>
</file>

<file path=xl/richData/rdrichvalue.xml><?xml version="1.0" encoding="utf-8"?>
<rvData xmlns="http://schemas.microsoft.com/office/spreadsheetml/2017/richdata" count="44">
  <rv s="0">
    <v>10</v>
    <v>12</v>
  </rv>
  <rv s="1">
    <v>0</v>
    <v>4</v>
    <v>0</v>
    <v>0</v>
  </rv>
  <rv s="2">
    <v>0</v>
    <v>5</v>
  </rv>
  <rv s="2">
    <v>1</v>
    <v>4</v>
  </rv>
  <rv s="1">
    <v>1</v>
    <v>4</v>
    <v>0</v>
    <v>0</v>
  </rv>
  <rv s="2">
    <v>2</v>
    <v>4</v>
  </rv>
  <rv s="2">
    <v>3</v>
    <v>5</v>
  </rv>
  <rv s="2">
    <v>0</v>
    <v>4</v>
  </rv>
  <rv s="1">
    <v>2</v>
    <v>4</v>
    <v>0</v>
    <v>0</v>
  </rv>
  <rv s="0">
    <v>13</v>
    <v>3</v>
  </rv>
  <rv s="2">
    <v>4</v>
    <v>5</v>
  </rv>
  <rv s="3">
    <v>0</v>
    <v>8</v>
    <v>2</v>
    <v>1</v>
  </rv>
  <rv s="2">
    <v>5</v>
    <v>4</v>
  </rv>
  <rv s="2">
    <v>6</v>
    <v>5</v>
  </rv>
  <rv s="1">
    <v>1</v>
    <v>1</v>
    <v>0</v>
    <v>0</v>
  </rv>
  <rv s="1">
    <v>3</v>
    <v>1</v>
    <v>0</v>
    <v>0</v>
  </rv>
  <rv s="2">
    <v>7</v>
    <v>5</v>
  </rv>
  <rv s="1">
    <v>4</v>
    <v>1</v>
    <v>0</v>
    <v>0</v>
  </rv>
  <rv s="2">
    <v>8</v>
    <v>5</v>
  </rv>
  <rv s="1">
    <v>5</v>
    <v>1</v>
    <v>0</v>
    <v>0</v>
  </rv>
  <rv s="2">
    <v>2</v>
    <v>5</v>
  </rv>
  <rv s="1">
    <v>6</v>
    <v>1</v>
    <v>0</v>
    <v>0</v>
  </rv>
  <rv s="1">
    <v>7</v>
    <v>1</v>
    <v>0</v>
    <v>0</v>
  </rv>
  <rv s="1">
    <v>8</v>
    <v>1</v>
    <v>0</v>
    <v>0</v>
  </rv>
  <rv s="1">
    <v>9</v>
    <v>1</v>
    <v>0</v>
    <v>0</v>
  </rv>
  <rv s="1">
    <v>10</v>
    <v>1</v>
    <v>0</v>
    <v>0</v>
  </rv>
  <rv s="2">
    <v>9</v>
    <v>5</v>
  </rv>
  <rv s="1">
    <v>11</v>
    <v>1</v>
    <v>0</v>
    <v>0</v>
  </rv>
  <rv s="1">
    <v>12</v>
    <v>1</v>
    <v>0</v>
    <v>0</v>
  </rv>
  <rv s="1">
    <v>13</v>
    <v>1</v>
    <v>0</v>
    <v>0</v>
  </rv>
  <rv s="1">
    <v>14</v>
    <v>1</v>
    <v>0</v>
    <v>0</v>
  </rv>
  <rv s="1">
    <v>15</v>
    <v>1</v>
    <v>0</v>
    <v>0</v>
  </rv>
  <rv s="1">
    <v>16</v>
    <v>1</v>
    <v>0</v>
    <v>0</v>
  </rv>
  <rv s="1">
    <v>2</v>
    <v>1</v>
    <v>0</v>
    <v>0</v>
  </rv>
  <rv s="1">
    <v>0</v>
    <v>1</v>
    <v>0</v>
    <v>0</v>
  </rv>
  <rv s="1">
    <v>17</v>
    <v>1</v>
    <v>0</v>
    <v>0</v>
  </rv>
  <rv s="2">
    <v>1</v>
    <v>5</v>
  </rv>
  <rv s="1">
    <v>18</v>
    <v>1</v>
    <v>0</v>
    <v>0</v>
  </rv>
  <rv s="2">
    <v>5</v>
    <v>5</v>
  </rv>
  <rv s="1">
    <v>19</v>
    <v>1</v>
    <v>0</v>
    <v>0</v>
  </rv>
  <rv s="2">
    <v>10</v>
    <v>5</v>
  </rv>
  <rv s="3">
    <v>0</v>
    <v>8</v>
    <v>69</v>
    <v>1</v>
  </rv>
  <rv s="3">
    <v>0</v>
    <v>8</v>
    <v>220</v>
    <v>1</v>
  </rv>
  <rv s="4">
    <v>11</v>
    <v>5</v>
    <v>Demo Logo Design Vector Geometric Creative Stock Vector (Royalty Free ...</v>
  </rv>
</rvData>
</file>

<file path=xl/richData/rdrichvaluestructure.xml><?xml version="1.0" encoding="utf-8"?>
<rvStructures xmlns="http://schemas.microsoft.com/office/spreadsheetml/2017/richdata" count="5">
  <s t="_error">
    <k n="errorType" t="i"/>
    <k n="subType" t="i"/>
  </s>
  <s t="_webimage">
    <k n="WebImageIdentifier" t="i"/>
    <k n="CalcOrigin" t="i"/>
    <k n="ComputedImage" t="b"/>
    <k n="ImageSizing" t="i"/>
  </s>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ichValueRels>
</file>

<file path=xl/tables/_rels/table9.xml.rels><?xml version="1.0" encoding="UTF-8" standalone="yes"?><Relationships xmlns="http://schemas.openxmlformats.org/package/2006/relationships"><Relationship Id="rId1" Type="http://schemas.openxmlformats.org/officeDocument/2006/relationships/queryTable" Target="../queryTables/queryTable1.xml" /></Relationships>
</file>

<file path=xl/tables/_rels/table10.xml.rels><?xml version="1.0" encoding="UTF-8" standalone="yes"?><Relationships xmlns="http://schemas.openxmlformats.org/package/2006/relationships"><Relationship Id="rId1" Type="http://schemas.openxmlformats.org/officeDocument/2006/relationships/queryTable" Target="../queryTables/queryTable2.xml" /></Relationships>
</file>

<file path=xl/tables/table1.xml><?xml version="1.0" encoding="utf-8"?>
<table xmlns="http://schemas.openxmlformats.org/spreadsheetml/2006/main" id="1" name="tbl_period_debt" displayName="tbl_period_debt" ref="AS38:AU42" totalsRowShown="0" headerRowDxfId="4226" dataDxfId="4225">
  <autoFilter ref="AS38:AU42">
    <filterColumn colId="0" hiddenButton="1"/>
    <filterColumn colId="1" hiddenButton="1"/>
    <filterColumn colId="2" hiddenButton="1"/>
  </autoFilter>
  <tableColumns count="3">
    <tableColumn id="1" name="Period_display" dataDxfId="4224"/>
    <tableColumn id="2" name="CX Period" dataDxfId="4223"/>
    <tableColumn id="3" name="CX Scenario" dataDxfId="4222"/>
  </tableColumns>
  <tableStyleInfo name="TableStyleLight11 2 2" showFirstColumn="0" showLastColumn="0" showRowStripes="1" showColumnStripes="0"/>
</table>
</file>

<file path=xl/tables/table2.xml><?xml version="1.0" encoding="utf-8"?>
<table xmlns="http://schemas.openxmlformats.org/spreadsheetml/2006/main" id="17" name="tbl_acctDef" displayName="tbl_acctDef" ref="C47:G129" totalsRowShown="0" headerRowDxfId="4221" dataDxfId="4219" tableBorderDxfId="4218" headerRowBorderDxfId="4220" totalsRowBorderDxfId="4217">
  <autoFilter ref="C47:G129">
    <filterColumn colId="0" hiddenButton="1"/>
    <filterColumn colId="1" hiddenButton="1"/>
    <filterColumn colId="2" hiddenButton="1"/>
    <filterColumn colId="3" hiddenButton="1"/>
    <filterColumn colId="4" hiddenButton="1"/>
  </autoFilter>
  <tableColumns count="5">
    <tableColumn id="2" name="Order" dataDxfId="4216"/>
    <tableColumn id="1" name="Term" dataDxfId="4215"/>
    <tableColumn id="3" name="Statement" dataDxfId="4214"/>
    <tableColumn id="4" name="Definition" dataDxfId="4213"/>
    <tableColumn id="5" name="Notes (If you have any questions, please leave them here)" dataDxfId="4212"/>
  </tableColumns>
  <tableStyleInfo name="TableStyleLight11 2 2" showFirstColumn="0" showLastColumn="0" showRowStripes="1" showColumnStripes="0"/>
</table>
</file>

<file path=xl/tables/table3.xml><?xml version="1.0" encoding="utf-8"?>
<table xmlns="http://schemas.openxmlformats.org/spreadsheetml/2006/main" id="14" name="tbl_adjExample" displayName="tbl_adjExample" ref="C27:H48" totalsRowShown="0" headerRowDxfId="4211" dataDxfId="4210" tableBorderDxfId="4209">
  <autoFilter ref="C27:H48">
    <filterColumn colId="0" hiddenButton="1"/>
    <filterColumn colId="1" hiddenButton="1"/>
    <filterColumn colId="2" hiddenButton="1"/>
    <filterColumn colId="3" hiddenButton="1"/>
    <filterColumn colId="4" hiddenButton="1"/>
    <filterColumn colId="5" hiddenButton="1"/>
  </autoFilter>
  <sortState ref="C28:H46">
    <sortCondition sortBy="value" ref="F28:F46"/>
  </sortState>
  <tableColumns count="6">
    <tableColumn id="2" name="No." dataDxfId="4208"/>
    <tableColumn id="4" name="Category" dataDxfId="4207"/>
    <tableColumn id="1" name="Items" dataDxfId="4206"/>
    <tableColumn id="3" name="Type" dataDxfId="4205"/>
    <tableColumn id="6" name="Type Name" dataDxfId="4204"/>
    <tableColumn id="5" name="Descriptions / Examples" dataDxfId="4203"/>
  </tableColumns>
  <tableStyleInfo name="TableStyleLight11 2 2" showFirstColumn="1" showLastColumn="0" showRowStripes="1" showColumnStripes="0"/>
</table>
</file>

<file path=xl/tables/table4.xml><?xml version="1.0" encoding="utf-8"?>
<table xmlns="http://schemas.openxmlformats.org/spreadsheetml/2006/main" id="5" name="tbl_scenarioPicker" displayName="tbl_scenarioPicker" ref="B104:D108" totalsRowShown="0" headerRowDxfId="4134" dataDxfId="4133">
  <autoFilter ref="B104:D108">
    <filterColumn colId="0" hiddenButton="1"/>
    <filterColumn colId="1" hiddenButton="1"/>
    <filterColumn colId="2" hiddenButton="1"/>
  </autoFilter>
  <tableColumns count="3">
    <tableColumn id="1" name="Live Data" dataDxfId="4132"/>
    <tableColumn id="2" name="POC" dataDxfId="4131"/>
    <tableColumn id="3" name="Display" dataDxfId="4130"/>
  </tableColumns>
  <tableStyleInfo name="TableStyleLight11 2 2" showFirstColumn="0" showLastColumn="0" showRowStripes="1" showColumnStripes="0"/>
</table>
</file>

<file path=xl/tables/table5.xml><?xml version="1.0" encoding="utf-8"?>
<table xmlns="http://schemas.openxmlformats.org/spreadsheetml/2006/main" id="9" name="tbl_currency" displayName="tbl_currency" ref="B114:E119" totalsRowShown="0" headerRowDxfId="4129">
  <autoFilter ref="B114:E119"/>
  <tableColumns count="4">
    <tableColumn id="1" name="Currency"/>
    <tableColumn id="2" name="Currency name"/>
    <tableColumn id="3" name="Symbol"/>
    <tableColumn id="4" name="Format string"/>
  </tableColumns>
  <tableStyleInfo name="TableStyleLight11 2 2" showFirstColumn="0" showLastColumn="0" showRowStripes="1" showColumnStripes="0"/>
</table>
</file>

<file path=xl/tables/table6.xml><?xml version="1.0" encoding="utf-8"?>
<table xmlns="http://schemas.openxmlformats.org/spreadsheetml/2006/main" id="15" name="tbl_icon" displayName="tbl_icon" ref="B139:E159" totalsRowShown="0" headerRowDxfId="4128">
  <autoFilter ref="B139:E159"/>
  <tableColumns count="4">
    <tableColumn id="1" name="Icon name"/>
    <tableColumn id="2" name="SRC"/>
    <tableColumn id="3" name="Image" dataDxfId="4127">
      <calculatedColumnFormula>_xlfn.IMAGE(C140)</calculatedColumnFormula>
    </tableColumn>
    <tableColumn id="4" name="local"/>
  </tableColumns>
  <tableStyleInfo name="TableStyleLight11 2 2" showFirstColumn="0" showLastColumn="0" showRowStripes="1" showColumnStripes="0"/>
</table>
</file>

<file path=xl/tables/table7.xml><?xml version="1.0" encoding="utf-8"?>
<table xmlns="http://schemas.openxmlformats.org/spreadsheetml/2006/main" id="3" name="tbl_displayUnit" displayName="tbl_displayUnit" ref="B51:C55" totalsRowShown="0" headerRowDxfId="4126">
  <autoFilter ref="B51:C55"/>
  <tableColumns count="2">
    <tableColumn id="1" name="UnitName"/>
    <tableColumn id="2" name="Number" dataDxfId="4125" dataCellStyle="Comma"/>
  </tableColumns>
  <tableStyleInfo name="GreenTable 2" showFirstColumn="0" showLastColumn="0" showRowStripes="1" showColumnStripes="0"/>
</table>
</file>

<file path=xl/tables/table8.xml><?xml version="1.0" encoding="utf-8"?>
<table xmlns="http://schemas.openxmlformats.org/spreadsheetml/2006/main" id="19" name="Table19" displayName="Table19" ref="B247:F277" totalsRowShown="0" headerRowDxfId="4124">
  <autoFilter ref="B247:F277"/>
  <tableColumns count="5">
    <tableColumn id="1" name="Type"/>
    <tableColumn id="2" name="Title"/>
    <tableColumn id="3" name="Function with Values"/>
    <tableColumn id="4" name="Source"/>
    <tableColumn id="5" name="Specify Field"/>
  </tableColumns>
  <tableStyleInfo name="TableStyleLight11 2 2" showFirstColumn="0" showLastColumn="0" showRowStripes="0" showColumnStripes="0"/>
</table>
</file>

<file path=xl/tables/table9.xml><?xml version="1.0" encoding="utf-8"?>
<table xmlns="http://schemas.openxmlformats.org/spreadsheetml/2006/main" id="6" name="PM_Support" displayName="PM_Support" ref="A419:E635" tableType="queryTable" totalsRowShown="0">
  <autoFilter ref="A419:E635"/>
  <tableColumns count="5">
    <tableColumn id="3" uniqueName="3" name="COMPANY_NAME" queryTableFieldId="3" dataDxfId="4123"/>
    <tableColumn id="2" uniqueName="2" name="COMPANY_ENTITY_ID" queryTableFieldId="2" dataDxfId="4122"/>
    <tableColumn id="4" uniqueName="4" name="COMPANY_FISCAL_YEAR_END" queryTableFieldId="4" dataDxfId="4121"/>
    <tableColumn id="16" uniqueName="16" name="COMPANY_LOGO_URL" queryTableFieldId="17" dataDxfId="4120"/>
    <tableColumn id="18" uniqueName="18" name="Graphics test" queryTableFieldId="19" dataDxfId="4119"/>
  </tableColumns>
  <tableStyleInfo name="GreenTable 2" showFirstColumn="0" showLastColumn="0" showRowStripes="1" showColumnStripes="0"/>
</table>
</file>

<file path=xl/tables/table10.xml><?xml version="1.0" encoding="utf-8"?>
<table xmlns="http://schemas.openxmlformats.org/spreadsheetml/2006/main" id="4" name="pquery_today" displayName="pquery_today" ref="D30:F31" tableType="queryTable" totalsRowShown="0">
  <autoFilter ref="D30:F31"/>
  <tableColumns count="3">
    <tableColumn id="1" uniqueName="1" name="DateTime" queryTableFieldId="1" dataDxfId="4118"/>
    <tableColumn id="2" uniqueName="2" name="Time" queryTableFieldId="2" dataDxfId="4117"/>
    <tableColumn id="3" uniqueName="3" name="Date" queryTableFieldId="3" dataDxfId="4116"/>
  </tableColumns>
  <tableStyleInfo name="TableStyleLight11 2 2" showFirstColumn="0" showLastColumn="0" showRowStripes="1" showColumnStripes="0"/>
</table>
</file>

<file path=xl/tables/table11.xml><?xml version="1.0" encoding="utf-8"?>
<table xmlns="http://schemas.openxmlformats.org/spreadsheetml/2006/main" id="2" name="tbl_added_com" displayName="tbl_added_com" ref="A410:D415" totalsRowShown="0" headerRowDxfId="4115" tableBorderDxfId="4114">
  <autoFilter ref="A410:D415"/>
  <tableColumns count="4">
    <tableColumn id="1" name="COMPANY_NAME"/>
    <tableColumn id="2" name="COMPANY_ENTITY_ID"/>
    <tableColumn id="3" name="COMPANY_FISCAL_YEAR_END" dataDxfId="4113">
      <calculatedColumnFormula array="1">_xldudf_CX_GET(tbl_added_com[[#This Row],[COMPANY_ENTITY_ID]],"fiscal_year_end")</calculatedColumnFormula>
    </tableColumn>
    <tableColumn id="4" name="COMPANY_LOGO_URL"/>
  </tableColumns>
  <tableStyleInfo name="GreenTable 2" showFirstColumn="0" showLastColumn="0" showRowStripes="1" showColumnStripes="0"/>
</table>
</file>

<file path=xl/theme/theme1.xml><?xml version="1.0" encoding="utf-8"?>
<a:theme xmlns:a="http://schemas.openxmlformats.org/drawingml/2006/main" name="CVC Template 2024 ">
  <a:themeElements>
    <a:clrScheme name="Custom 1">
      <a:dk1>
        <a:srgbClr val="343434"/>
      </a:dk1>
      <a:lt1>
        <a:sysClr val="window" lastClr="FFFFFF"/>
      </a:lt1>
      <a:dk2>
        <a:srgbClr val="0C4F88"/>
      </a:dk2>
      <a:lt2>
        <a:srgbClr val="E1E1E1"/>
      </a:lt2>
      <a:accent1>
        <a:srgbClr val="0C4F88"/>
      </a:accent1>
      <a:accent2>
        <a:srgbClr val="B6CADB"/>
      </a:accent2>
      <a:accent3>
        <a:srgbClr val="DBE5ED"/>
      </a:accent3>
      <a:accent4>
        <a:srgbClr val="009174"/>
      </a:accent4>
      <a:accent5>
        <a:srgbClr val="00738B"/>
      </a:accent5>
      <a:accent6>
        <a:srgbClr val="E2A800"/>
      </a:accent6>
      <a:hlink>
        <a:srgbClr val="0066FF"/>
      </a:hlink>
      <a:folHlink>
        <a:srgbClr val="0066FF"/>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tx2"/>
        </a:solidFill>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lnDef>
      <a:spPr>
        <a:ln w="6350">
          <a:solidFill>
            <a:schemeClr val="tx2"/>
          </a:solidFill>
          <a:prstDash val="solid"/>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noAutofit/>
      </a:bodyPr>
      <a:lstStyle>
        <a:defPPr algn="l">
          <a:defRPr sz="1400" dirty="0" err="1" smtClean="0"/>
        </a:defPPr>
      </a:lstStyle>
    </a:txDef>
  </a:objectDefaults>
  <a:extraClrSchemeLst/>
  <a:custClrLst>
    <a:custClr name="Custom Color 1">
      <a:srgbClr val="304FFE"/>
    </a:custClr>
    <a:custClr name="Custom Color 2">
      <a:srgbClr val="A4D866"/>
    </a:custClr>
    <a:custClr name="Custom Color 3">
      <a:srgbClr val="959595"/>
    </a:custClr>
    <a:custClr name="Custom Color 4">
      <a:srgbClr val="AC7CF7"/>
    </a:custClr>
    <a:custClr name="Custom Color 5">
      <a:srgbClr val="D95960"/>
    </a:custClr>
  </a:custClrLst>
  <a:extLst>
    <a:ext uri="{05A4C25C-085E-4340-85A3-A5531E510DB2}">
      <thm15:themeFamily xmlns:thm15="http://schemas.microsoft.com/office/thememl/2012/main" name="CVC PowerPoint Template - Master.potx" id="{06F2CF4E-C662-4C74-B264-B1C0587A86B0}" vid="{066B1E69-4534-4CC5-83B3-2ED3BD226774}"/>
    </a:ext>
  </a:extLst>
</a:theme>
</file>

<file path=xl/webextensions/_rels/taskpanes.xml.rels><?xml version="1.0" encoding="UTF-8" standalone="yes"?><Relationships xmlns="http://schemas.openxmlformats.org/package/2006/relationships"><Relationship Id="rId2" Type="http://schemas.microsoft.com/office/2011/relationships/webextension" Target="webextension2.xml" /><Relationship Id="rId3" Type="http://schemas.microsoft.com/office/2011/relationships/webextension" Target="webextension3.xml" /><Relationship Id="rId1" Type="http://schemas.microsoft.com/office/2011/relationships/webextension" Target="webextension1.xml" /></Relationships>
</file>

<file path=xl/webextensions/taskpanes.xml><?xml version="1.0" encoding="utf-8"?>
<wetp:taskpanes xmlns:wetp="http://schemas.microsoft.com/office/webextensions/taskpanes/2010/11" xmlns:r="http://schemas.openxmlformats.org/officeDocument/2006/relationships">
  <wetp:taskpane dockstate="right" visibility="1" width="350" row="2">
    <wetp:webextensionref r:id="rId1"/>
  </wetp:taskpane>
  <wetp:taskpane dockstate="right" visibility="0" width="350" row="8">
    <wetp:webextensionref r:id="rId2"/>
  </wetp:taskpane>
  <wetp:taskpane dockstate="right" visibility="0" width="350" row="4">
    <wetp:webextensionref r:id="rId3"/>
  </wetp:taskpane>
</wetp:taskpanes>
</file>

<file path=xl/webextensions/webextension1.xml><?xml version="1.0" encoding="utf-8"?>
<we:webextension xmlns:we="http://schemas.microsoft.com/office/webextensions/webextension/2010/11" xmlns:r="http://schemas.openxmlformats.org/officeDocument/2006/relationships" id="{E5DF3DB2-4A43-4075-8001-51B38040B913}">
  <we:reference id="e25b05b0-0bbb-11ee-87a7-05703d39c408" version="2.0.2.0" store="EXCatalog" storeType="ExCatalog"/>
  <we:alternateReferences>
    <we:reference id="WA200006423" version="2.0.2.0" store="en-GB" storeType="OMEX"/>
  </we:alternateReferences>
  <we:properties/>
  <we:bindings/>
  <we:snapshot/>
</we:webextension>
</file>

<file path=xl/webextensions/webextension2.xml><?xml version="1.0" encoding="utf-8"?>
<we:webextension xmlns:we="http://schemas.microsoft.com/office/webextensions/webextension/2010/11" xmlns:r="http://schemas.openxmlformats.org/officeDocument/2006/relationships" id="{BAA932EC-883E-47C0-9A89-EC57554D07D2}">
  <we:reference id="f4acfcb3-12f2-4078-b1c2-47e931a25f84" version="2.0.0.1" store="EXCatalog" storeType="ExCatalog"/>
  <we:alternateReferences>
    <we:reference id="WA200007293" version="2.0.0.1" store="en-GB" storeType="OMEX"/>
  </we:alternateReferences>
  <we:properties/>
  <we:bindings/>
  <we:snapshot/>
</we:webextension>
</file>

<file path=xl/webextensions/webextension3.xml><?xml version="1.0" encoding="utf-8"?>
<we:webextension xmlns:we="http://schemas.microsoft.com/office/webextensions/webextension/2010/11" xmlns:r="http://schemas.openxmlformats.org/officeDocument/2006/relationships" id="{D8E354C4-C11E-4E13-ACFC-8A7009C315FB}">
  <we:reference id="wa200003696" version="1.3.0.0" store="en-US" storeType="OMEX"/>
  <we:alternateReferences>
    <we:reference id="WA200003696" version="1.3.0.0" store="" storeType="OMEX"/>
  </we:alternateReferences>
  <we:properties/>
  <we:bindings/>
  <we:snapshot/>
</we:webextension>
</file>

<file path=xl/worksheets/_rels/sheet2.xml.rels><?xml version="1.0" encoding="UTF-8" standalone="yes"?><Relationships xmlns="http://schemas.openxmlformats.org/package/2006/relationships"><Relationship Id="rId2" Type="http://schemas.openxmlformats.org/officeDocument/2006/relationships/image" Target="../media/image51.png" /><Relationship Id="rId3" Type="http://schemas.openxmlformats.org/officeDocument/2006/relationships/printerSettings" Target="../printerSettings/printerSettings1.bin" /><Relationship Id="rId1" Type="http://schemas.openxmlformats.org/officeDocument/2006/relationships/drawing" Target="../drawings/drawing1.xml" /></Relationships>
</file>

<file path=xl/worksheets/_rels/sheet3.xml.rels><?xml version="1.0" encoding="UTF-8" standalone="yes"?><Relationships xmlns="http://schemas.openxmlformats.org/package/2006/relationships"><Relationship Id="rId2" Type="http://schemas.openxmlformats.org/officeDocument/2006/relationships/image" Target="../media/image52.png" /><Relationship Id="rId3" Type="http://schemas.openxmlformats.org/officeDocument/2006/relationships/printerSettings" Target="../printerSettings/printerSettings2.bin" /><Relationship Id="rId1" Type="http://schemas.openxmlformats.org/officeDocument/2006/relationships/drawing" Target="../drawings/drawing2.xml" /></Relationships>
</file>

<file path=xl/worksheets/_rels/sheet4.xml.rels><?xml version="1.0" encoding="UTF-8" standalone="yes"?><Relationships xmlns="http://schemas.openxmlformats.org/package/2006/relationships"><Relationship Id="rId2" Type="http://schemas.openxmlformats.org/officeDocument/2006/relationships/image" Target="../media/image53.png" /><Relationship Id="rId3" Type="http://schemas.openxmlformats.org/officeDocument/2006/relationships/printerSettings" Target="../printerSettings/printerSettings3.bin" /><Relationship Id="rId1" Type="http://schemas.openxmlformats.org/officeDocument/2006/relationships/drawing" Target="../drawings/drawing3.xml" /></Relationships>
</file>

<file path=xl/worksheets/_rels/sheet5.xml.rels><?xml version="1.0" encoding="UTF-8" standalone="yes"?><Relationships xmlns="http://schemas.openxmlformats.org/package/2006/relationships"><Relationship Id="rId2" Type="http://schemas.openxmlformats.org/officeDocument/2006/relationships/image" Target="../media/image54.png" /><Relationship Id="rId3" Type="http://schemas.openxmlformats.org/officeDocument/2006/relationships/printerSettings" Target="../printerSettings/printerSettings4.bin" /><Relationship Id="rId1" Type="http://schemas.openxmlformats.org/officeDocument/2006/relationships/drawing" Target="../drawings/drawing4.xml" /></Relationships>
</file>

<file path=xl/worksheets/_rels/sheet6.xml.rels><?xml version="1.0" encoding="UTF-8" standalone="yes"?><Relationships xmlns="http://schemas.openxmlformats.org/package/2006/relationships"><Relationship Id="rId2" Type="http://schemas.openxmlformats.org/officeDocument/2006/relationships/image" Target="../media/image55.png" /><Relationship Id="rId3" Type="http://schemas.openxmlformats.org/officeDocument/2006/relationships/printerSettings" Target="../printerSettings/printerSettings5.bin" /><Relationship Id="rId1" Type="http://schemas.openxmlformats.org/officeDocument/2006/relationships/drawing" Target="../drawings/drawing5.xml" /></Relationships>
</file>

<file path=xl/worksheets/_rels/sheet7.xml.rels><?xml version="1.0" encoding="UTF-8" standalone="yes"?><Relationships xmlns="http://schemas.openxmlformats.org/package/2006/relationships"><Relationship Id="rId2" Type="http://schemas.openxmlformats.org/officeDocument/2006/relationships/image" Target="../media/image56.png" /><Relationship Id="rId3" Type="http://schemas.openxmlformats.org/officeDocument/2006/relationships/printerSettings" Target="../printerSettings/printerSettings6.bin" /><Relationship Id="rId1" Type="http://schemas.openxmlformats.org/officeDocument/2006/relationships/drawing" Target="../drawings/drawing6.xml" /></Relationships>
</file>

<file path=xl/worksheets/_rels/sheet8.xml.rels><?xml version="1.0" encoding="UTF-8" standalone="yes"?><Relationships xmlns="http://schemas.openxmlformats.org/package/2006/relationships"><Relationship Id="rId2" Type="http://schemas.openxmlformats.org/officeDocument/2006/relationships/image" Target="../media/image57.png" /><Relationship Id="rId3" Type="http://schemas.openxmlformats.org/officeDocument/2006/relationships/printerSettings" Target="../printerSettings/printerSettings7.bin" /><Relationship Id="rId1" Type="http://schemas.openxmlformats.org/officeDocument/2006/relationships/drawing" Target="../drawings/drawing7.xml" /></Relationships>
</file>

<file path=xl/worksheets/_rels/sheet9.xml.rels><?xml version="1.0" encoding="UTF-8" standalone="yes"?><Relationships xmlns="http://schemas.openxmlformats.org/package/2006/relationships"><Relationship Id="rId4" Type="http://schemas.openxmlformats.org/officeDocument/2006/relationships/printerSettings" Target="../printerSettings/printerSettings8.bin" /><Relationship Id="rId2" Type="http://schemas.openxmlformats.org/officeDocument/2006/relationships/drawing" Target="../drawings/drawing8.xml" /><Relationship Id="rId3" Type="http://schemas.openxmlformats.org/officeDocument/2006/relationships/image" Target="../media/image58.png" /><Relationship Id="rId1" Type="http://schemas.openxmlformats.org/officeDocument/2006/relationships/table" Target="../tables/table1.xml" /></Relationships>
</file>

<file path=xl/worksheets/_rels/sheet10.xml.rels><?xml version="1.0" encoding="UTF-8" standalone="yes"?><Relationships xmlns="http://schemas.openxmlformats.org/package/2006/relationships"><Relationship Id="rId4" Type="http://schemas.openxmlformats.org/officeDocument/2006/relationships/printerSettings" Target="../printerSettings/printerSettings9.bin" /><Relationship Id="rId2" Type="http://schemas.openxmlformats.org/officeDocument/2006/relationships/drawing" Target="../drawings/drawing9.xml" /><Relationship Id="rId3" Type="http://schemas.openxmlformats.org/officeDocument/2006/relationships/image" Target="../media/image59.png" /><Relationship Id="rId1" Type="http://schemas.openxmlformats.org/officeDocument/2006/relationships/table" Target="../tables/table2.xml" /></Relationships>
</file>

<file path=xl/worksheets/_rels/sheet11.xml.rels><?xml version="1.0" encoding="UTF-8" standalone="yes"?><Relationships xmlns="http://schemas.openxmlformats.org/package/2006/relationships"><Relationship Id="rId4" Type="http://schemas.openxmlformats.org/officeDocument/2006/relationships/printerSettings" Target="../printerSettings/printerSettings10.bin" /><Relationship Id="rId2" Type="http://schemas.openxmlformats.org/officeDocument/2006/relationships/drawing" Target="../drawings/drawing10.xml" /><Relationship Id="rId3" Type="http://schemas.openxmlformats.org/officeDocument/2006/relationships/image" Target="../media/image60.png" /><Relationship Id="rId1" Type="http://schemas.openxmlformats.org/officeDocument/2006/relationships/table" Target="../tables/table3.xml" /></Relationships>
</file>

<file path=xl/worksheets/_rels/sheet12.xml.rels><?xml version="1.0" encoding="UTF-8" standalone="yes"?><Relationships xmlns="http://schemas.openxmlformats.org/package/2006/relationships"><Relationship Id="rId4" Type="http://schemas.openxmlformats.org/officeDocument/2006/relationships/printerSettings" Target="../printerSettings/printerSettings11.bin" /><Relationship Id="rId2" Type="http://schemas.openxmlformats.org/officeDocument/2006/relationships/hyperlink" Target="https://forms.office.com/e/3H3SF4mRFH" TargetMode="External" /><Relationship Id="rId3" Type="http://schemas.openxmlformats.org/officeDocument/2006/relationships/drawing" Target="../drawings/drawing11.xml" /><Relationship Id="rId1" Type="http://schemas.openxmlformats.org/officeDocument/2006/relationships/hyperlink" Target="https://forms.office.com/e/3H3SF4mRFH" TargetMode="External" /></Relationships>
</file>

<file path=xl/worksheets/_rels/sheet13.xml.rels><?xml version="1.0" encoding="UTF-8" standalone="yes"?><Relationships xmlns="http://schemas.openxmlformats.org/package/2006/relationships"><Relationship Id="rId2" Type="http://schemas.openxmlformats.org/officeDocument/2006/relationships/printerSettings" Target="../printerSettings/printerSettings12.bin" /><Relationship Id="rId1" Type="http://schemas.openxmlformats.org/officeDocument/2006/relationships/image" Target="../media/image61.png" /></Relationships>
</file>

<file path=xl/worksheets/_rels/sheet14.xml.rels><?xml version="1.0" encoding="UTF-8" standalone="yes"?><Relationships xmlns="http://schemas.openxmlformats.org/package/2006/relationships"><Relationship Id="rId2" Type="http://schemas.openxmlformats.org/officeDocument/2006/relationships/printerSettings" Target="../printerSettings/printerSettings13.bin" /><Relationship Id="rId1" Type="http://schemas.openxmlformats.org/officeDocument/2006/relationships/image" Target="../media/image62.png" /></Relationships>
</file>

<file path=xl/worksheets/_rels/sheet15.xml.rels><?xml version="1.0" encoding="UTF-8" standalone="yes"?><Relationships xmlns="http://schemas.openxmlformats.org/package/2006/relationships"><Relationship Id="rId2" Type="http://schemas.openxmlformats.org/officeDocument/2006/relationships/printerSettings" Target="../printerSettings/printerSettings14.bin" /><Relationship Id="rId1" Type="http://schemas.openxmlformats.org/officeDocument/2006/relationships/image" Target="../media/image63.png" /></Relationships>
</file>

<file path=xl/worksheets/_rels/sheet16.xml.rels><?xml version="1.0" encoding="UTF-8" standalone="yes"?><Relationships xmlns="http://schemas.openxmlformats.org/package/2006/relationships"><Relationship Id="rId13" Type="http://schemas.openxmlformats.org/officeDocument/2006/relationships/hyperlink" Target="https://mgroupltd.com/media/bkrdhmsi/mgroup_primarylogo_gradient_bluetext_rgb.png?width=100&amp;v=1db70b6fddcdaf0" TargetMode="External" /><Relationship Id="rId6" Type="http://schemas.openxmlformats.org/officeDocument/2006/relationships/hyperlink" Target="https://img.icons8.com/ios-filled/50/quote-right.png" TargetMode="External" /><Relationship Id="rId23" Type="http://schemas.openxmlformats.org/officeDocument/2006/relationships/drawing" Target="../drawings/drawing12.xml" /><Relationship Id="rId2" Type="http://schemas.openxmlformats.org/officeDocument/2006/relationships/hyperlink" Target="https://www.enelnorthamerica.com/content/dam/enel-na/newsroom/media-resources/grispertise_logo.png.resize.384.280.center.center.png" TargetMode="External" /><Relationship Id="rId17" Type="http://schemas.openxmlformats.org/officeDocument/2006/relationships/table" Target="../tables/table6.xml" /><Relationship Id="rId22" Type="http://schemas.openxmlformats.org/officeDocument/2006/relationships/table" Target="../tables/table11.xml" /><Relationship Id="rId12" Type="http://schemas.openxmlformats.org/officeDocument/2006/relationships/hyperlink" Target="https://chronograph-documents-cvc.s3-accelerate.amazonaws.com/production/images/examworks-1677248360143.png?X-Amz-Algorithm=AWS4-HMAC-SHA256&amp;X-Amz-Credential=AKIAYPPVAWWRC5O7O24L%2F20251103%2Feu-west-2%2Fs3%2Faws4_request&amp;X-Amz-Date=20251103T152242Z&amp;X-Amz-Expires=604800&amp;X-Amz-Signature=4fa4b1f63e1173d46f32c322146e4558a1ab0af28f3717a74404c5859cb05028&amp;X-Amz-SignedHeaders=host" TargetMode="External" /><Relationship Id="rId10" Type="http://schemas.openxmlformats.org/officeDocument/2006/relationships/hyperlink" Target="https://img.icons8.com/ios-glyphs/90/circled-left.png" TargetMode="External" /><Relationship Id="rId15" Type="http://schemas.openxmlformats.org/officeDocument/2006/relationships/table" Target="../tables/table4.xml" /><Relationship Id="rId19" Type="http://schemas.openxmlformats.org/officeDocument/2006/relationships/table" Target="../tables/table8.xml" /><Relationship Id="rId3" Type="http://schemas.openxmlformats.org/officeDocument/2006/relationships/hyperlink" Target="https://upload.wikimedia.org/wikipedia/commons/5/59/Epicor_Logo_Teal_RGB_%281%29.png" TargetMode="External" /><Relationship Id="rId14" Type="http://schemas.openxmlformats.org/officeDocument/2006/relationships/hyperlink" Target="https://img.icons8.com/ios-glyphs/30/view-file.png" TargetMode="External" /><Relationship Id="rId18" Type="http://schemas.openxmlformats.org/officeDocument/2006/relationships/table" Target="../tables/table7.xml" /><Relationship Id="rId4" Type="http://schemas.openxmlformats.org/officeDocument/2006/relationships/hyperlink" Target="https://img.icons8.com/ios/50/search--v1.png" TargetMode="External" /><Relationship Id="rId7" Type="http://schemas.openxmlformats.org/officeDocument/2006/relationships/hyperlink" Target="https://img.icons8.com/ios-glyphs/30/circled-right.png" TargetMode="External" /><Relationship Id="rId21" Type="http://schemas.openxmlformats.org/officeDocument/2006/relationships/table" Target="../tables/table10.xml" /><Relationship Id="rId8" Type="http://schemas.openxmlformats.org/officeDocument/2006/relationships/hyperlink" Target="https://img.icons8.com/ios-glyphs/90/circled-up-2.png" TargetMode="External" /><Relationship Id="rId24" Type="http://schemas.openxmlformats.org/officeDocument/2006/relationships/printerSettings" Target="../printerSettings/printerSettings15.bin" /><Relationship Id="rId11" Type="http://schemas.openxmlformats.org/officeDocument/2006/relationships/hyperlink" Target="https://www.cvc.com/media/w5tlvw0e/blue-logo.png" TargetMode="External" /><Relationship Id="rId9" Type="http://schemas.openxmlformats.org/officeDocument/2006/relationships/hyperlink" Target="https://img.icons8.com/ios-glyphs/90/circled-down-2.png" TargetMode="External" /><Relationship Id="rId1" Type="http://schemas.openxmlformats.org/officeDocument/2006/relationships/hyperlink" Target="https://portal.veritextllc.com/assets/images/veritext-partner-portal-logo-min.png" TargetMode="External" /><Relationship Id="rId16" Type="http://schemas.openxmlformats.org/officeDocument/2006/relationships/table" Target="../tables/table5.xml" /><Relationship Id="rId5" Type="http://schemas.openxmlformats.org/officeDocument/2006/relationships/hyperlink" Target="https://img.icons8.com/fluency/48/thumb-up.png" TargetMode="External" /><Relationship Id="rId20" Type="http://schemas.openxmlformats.org/officeDocument/2006/relationships/table" Target="../tables/table9.xml" /></Relationships>
</file>

<file path=xl/worksheets/_rels/sheet17.xml.rels><?xml version="1.0" encoding="UTF-8" standalone="yes"?><Relationships xmlns="http://schemas.openxmlformats.org/package/2006/relationships"><Relationship Id="rId1" Type="http://schemas.openxmlformats.org/officeDocument/2006/relationships/printerSettings" Target="../printerSettings/printerSettings16.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41816F-FE1B-4F66-B3C5-043C40C3BAA5}">
  <dimension ref="B1:E14"/>
  <sheetViews>
    <sheetView workbookViewId="0" topLeftCell="A1"/>
  </sheetViews>
  <sheetFormatPr defaultRowHeight="15"/>
  <cols>
    <col min="2" max="2" width="14.7777777777778" customWidth="1"/>
    <col min="3" max="3" width="70.7777777777778" customWidth="1"/>
    <col min="5" max="5" width="8.77777777777778" customWidth="1"/>
  </cols>
  <sheetData>
    <row r="1" spans="2:2" ht="15">
      <c r="B1" t="s">
        <v>2204</v>
      </c>
    </row>
    <row r="2" spans="2:2" ht="15">
      <c r="B2" t="s">
        <v>2205</v>
      </c>
    </row>
    <row r="4" spans="2:5" ht="15">
      <c r="B4" s="3475" t="s">
        <v>2206</v>
      </c>
      <c r="C4" t="s">
        <v>2207</v>
      </c>
      <c r="E4">
        <v>5826</v>
      </c>
    </row>
    <row r="5" spans="2:5" ht="15">
      <c r="B5" s="3476" t="s">
        <v>2208</v>
      </c>
      <c r="C5" t="s">
        <v>2209</v>
      </c>
      <c r="E5">
        <v>90</v>
      </c>
    </row>
    <row r="6" spans="2:5" ht="15">
      <c r="B6" s="3276" t="s">
        <v>2210</v>
      </c>
      <c r="C6" t="s">
        <v>2211</v>
      </c>
      <c r="E6">
        <v>2158</v>
      </c>
    </row>
    <row r="7" spans="2:5" ht="15">
      <c r="B7" s="3477" t="s">
        <v>2212</v>
      </c>
      <c r="C7" t="s">
        <v>2213</v>
      </c>
      <c r="E7">
        <v>5</v>
      </c>
    </row>
    <row r="8" spans="2:5" ht="15">
      <c r="B8" s="3478" t="s">
        <v>2214</v>
      </c>
      <c r="C8" t="s">
        <v>2215</v>
      </c>
      <c r="E8">
        <v>0</v>
      </c>
    </row>
    <row r="9" spans="2:5" ht="15">
      <c r="B9" s="3378" t="s">
        <v>2216</v>
      </c>
      <c r="C9" t="s">
        <v>2217</v>
      </c>
      <c r="E9">
        <v>1201</v>
      </c>
    </row>
    <row r="10" spans="2:5" ht="15">
      <c r="B10" s="3479" t="s">
        <v>2218</v>
      </c>
      <c r="C10" t="s">
        <v>2219</v>
      </c>
      <c r="E10">
        <v>53</v>
      </c>
    </row>
    <row r="11" spans="2:5" ht="15">
      <c r="B11" s="3307" t="s">
        <v>2220</v>
      </c>
      <c r="C11" t="s">
        <v>2221</v>
      </c>
      <c r="E11">
        <v>1138</v>
      </c>
    </row>
    <row r="13" spans="2:2" ht="15">
      <c r="B13" t="s">
        <v>2222</v>
      </c>
    </row>
    <row r="14" spans="2:2" ht="15">
      <c r="B14" t="s">
        <v>2223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A7BA640-84C0-4F1A-A296-7173831D3837}">
  <sheetPr codeName="Sheet4">
    <tabColor theme="3"/>
  </sheetPr>
  <dimension ref="A1:V65"/>
  <sheetViews>
    <sheetView zoomScale="55" zoomScaleNormal="55" workbookViewId="0" topLeftCell="A2">
      <selection pane="topLeft" activeCell="B12" sqref="B12"/>
    </sheetView>
  </sheetViews>
  <sheetFormatPr defaultRowHeight="15.5"/>
  <cols>
    <col min="1" max="4" width="14" style="225" customWidth="1"/>
    <col min="5" max="5" width="8.88888888888889" style="211" customWidth="1"/>
    <col min="6" max="6" width="8.88888888888889" customWidth="1"/>
    <col min="7" max="7" width="11.7777777777778" customWidth="1"/>
    <col min="8" max="22" width="8.88888888888889" customWidth="1"/>
    <col min="23" max="23" width="4.66666666666667" customWidth="1"/>
    <col min="24" max="25" width="8.88888888888889" customWidth="1"/>
  </cols>
  <sheetData>
    <row r="1" spans="1:5" ht="15.5" hidden="1">
      <c r="A1" s="2047" t="s">
        <v>1857</v>
      </c>
      <c r="B1" s="2046" t="s">
        <v>1856</v>
      </c>
      <c r="E1" s="225"/>
    </row>
    <row r="2" spans="1:22" ht="15.5" collapsed="1">
      <c r="A2" s="2047"/>
      <c r="B2" s="2047"/>
      <c r="E2" s="14"/>
      <c r="F2" s="15"/>
      <c r="G2" s="15"/>
      <c r="H2" s="15"/>
      <c r="I2" s="15"/>
      <c r="J2" s="15"/>
      <c r="K2" s="15"/>
      <c r="L2" s="15"/>
      <c r="M2" s="15"/>
      <c r="N2" s="15"/>
      <c r="O2" s="15"/>
      <c r="P2" s="15"/>
      <c r="Q2" s="15"/>
      <c r="R2" s="15"/>
      <c r="S2" s="15"/>
      <c r="T2" s="15"/>
      <c r="U2" s="15"/>
      <c r="V2" s="38"/>
    </row>
    <row r="3" spans="1:22" ht="45" customHeight="1">
      <c r="A3" s="2047"/>
      <c r="B3" s="2047"/>
      <c r="E3" s="16"/>
      <c r="F3" s="101"/>
      <c r="G3" s="101" t="e" vm="1">
        <f ca="1">_xlfn.IMAGE(INDEX(PM_Support[COMPANY_LOGO_URL],MATCH(val_company,PM_Support[COMPANY_NAME],0)))</f>
        <v>#VALUE!</v>
      </c>
      <c r="H3" s="101"/>
      <c r="I3" s="101"/>
      <c r="J3" s="101"/>
      <c r="K3" s="101"/>
      <c r="L3" s="101"/>
      <c r="M3" s="101"/>
      <c r="N3" s="101"/>
      <c r="O3" s="101"/>
      <c r="P3" s="101"/>
      <c r="Q3" s="101"/>
      <c r="R3" s="101"/>
      <c r="S3" s="101"/>
      <c r="T3" s="101"/>
      <c r="U3" s="101"/>
      <c r="V3" s="39"/>
    </row>
    <row r="4" spans="1:22" ht="15.5">
      <c r="A4" s="2047"/>
      <c r="B4" s="2047"/>
      <c r="E4" s="16"/>
      <c r="F4" s="101"/>
      <c r="G4" s="101"/>
      <c r="H4" s="101"/>
      <c r="I4" s="101"/>
      <c r="J4" s="101"/>
      <c r="K4" s="101"/>
      <c r="L4" s="101"/>
      <c r="M4" s="101"/>
      <c r="N4" s="101"/>
      <c r="O4" s="101"/>
      <c r="P4" s="101"/>
      <c r="Q4" s="101"/>
      <c r="R4" s="101"/>
      <c r="S4" s="101"/>
      <c r="T4" s="101"/>
      <c r="U4" s="101"/>
      <c r="V4" s="39"/>
    </row>
    <row r="5" spans="5:22" ht="15.5">
      <c r="E5" s="16"/>
      <c r="F5" s="101"/>
      <c r="G5" s="101"/>
      <c r="H5" s="101"/>
      <c r="I5" s="101"/>
      <c r="J5" s="101"/>
      <c r="K5" s="101"/>
      <c r="L5" s="101"/>
      <c r="M5" s="101"/>
      <c r="N5" s="101"/>
      <c r="O5" s="101"/>
      <c r="P5" s="101"/>
      <c r="Q5" s="101"/>
      <c r="R5" s="101"/>
      <c r="S5" s="101"/>
      <c r="T5" s="101"/>
      <c r="U5" s="101"/>
      <c r="V5" s="39"/>
    </row>
    <row r="6" spans="5:22" ht="44.5">
      <c r="E6" s="16"/>
      <c r="F6" s="101"/>
      <c r="G6" s="734" t="s">
        <v>0</v>
      </c>
      <c r="H6" s="101"/>
      <c r="I6" s="101"/>
      <c r="J6" s="101"/>
      <c r="K6" s="101"/>
      <c r="L6" s="101"/>
      <c r="M6" s="101"/>
      <c r="N6" s="101"/>
      <c r="O6" s="101"/>
      <c r="P6" s="101"/>
      <c r="Q6" s="101"/>
      <c r="R6" s="101"/>
      <c r="S6" s="101"/>
      <c r="T6" s="101"/>
      <c r="U6" s="101"/>
      <c r="V6" s="39"/>
    </row>
    <row r="7" spans="5:22" ht="15.5">
      <c r="E7" s="17"/>
      <c r="F7" s="18"/>
      <c r="G7" s="18"/>
      <c r="H7" s="18"/>
      <c r="I7" s="18"/>
      <c r="J7" s="18"/>
      <c r="K7" s="18"/>
      <c r="L7" s="18"/>
      <c r="M7" s="18"/>
      <c r="N7" s="18"/>
      <c r="O7" s="18"/>
      <c r="P7" s="18"/>
      <c r="Q7" s="18"/>
      <c r="R7" s="18"/>
      <c r="S7" s="18"/>
      <c r="T7" s="18"/>
      <c r="U7" s="18"/>
      <c r="V7" s="36"/>
    </row>
    <row r="8" spans="5:22" ht="15.5">
      <c r="E8" s="226"/>
      <c r="F8" s="19"/>
      <c r="G8" s="19"/>
      <c r="H8" s="19"/>
      <c r="I8" s="19"/>
      <c r="J8" s="19"/>
      <c r="K8" s="19"/>
      <c r="L8" s="19"/>
      <c r="M8" s="19"/>
      <c r="N8" s="19"/>
      <c r="O8" s="19"/>
      <c r="P8" s="19"/>
      <c r="Q8" s="19"/>
      <c r="R8" s="19"/>
      <c r="S8" s="19"/>
      <c r="T8" s="19"/>
      <c r="U8" s="19"/>
      <c r="V8" s="227"/>
    </row>
    <row r="9" spans="5:22" ht="15.5">
      <c r="E9" s="228"/>
      <c r="F9" s="88"/>
      <c r="G9" s="88"/>
      <c r="H9" s="88"/>
      <c r="I9" s="88"/>
      <c r="J9" s="88"/>
      <c r="K9" s="88"/>
      <c r="L9" s="88"/>
      <c r="M9" s="88"/>
      <c r="N9" s="88"/>
      <c r="O9" s="88"/>
      <c r="P9" s="88"/>
      <c r="Q9" s="88"/>
      <c r="R9" s="88"/>
      <c r="S9" s="88"/>
      <c r="T9" s="88"/>
      <c r="U9" s="88"/>
      <c r="V9" s="34"/>
    </row>
    <row r="10" spans="1:22" s="235" customFormat="1" ht="25">
      <c r="A10" s="231"/>
      <c r="B10" s="231"/>
      <c r="C10" s="231"/>
      <c r="D10" s="231"/>
      <c r="E10" s="232"/>
      <c r="F10" s="233"/>
      <c r="G10" s="242" t="s">
        <v>1</v>
      </c>
      <c r="H10" s="242"/>
      <c r="I10" s="242"/>
      <c r="J10" s="242"/>
      <c r="K10" s="242"/>
      <c r="L10" s="242"/>
      <c r="M10" s="242"/>
      <c r="N10" s="242"/>
      <c r="O10" s="242"/>
      <c r="P10" s="242"/>
      <c r="Q10" s="242"/>
      <c r="R10" s="242"/>
      <c r="S10" s="242"/>
      <c r="T10" s="242"/>
      <c r="U10" s="233"/>
      <c r="V10" s="234"/>
    </row>
    <row r="11" spans="5:22" ht="19.5" customHeight="1">
      <c r="E11" s="228"/>
      <c r="F11" s="88"/>
      <c r="G11" s="88"/>
      <c r="H11" s="88"/>
      <c r="I11" s="88"/>
      <c r="J11" s="88"/>
      <c r="K11" s="88"/>
      <c r="L11" s="88"/>
      <c r="M11" s="88"/>
      <c r="N11" s="88"/>
      <c r="O11" s="88"/>
      <c r="P11" s="88"/>
      <c r="Q11" s="88"/>
      <c r="R11" s="88"/>
      <c r="S11" s="88"/>
      <c r="T11" s="88"/>
      <c r="U11" s="88"/>
      <c r="V11" s="34"/>
    </row>
    <row r="12" spans="5:22" ht="59.25" customHeight="1">
      <c r="E12" s="228"/>
      <c r="F12" s="87"/>
      <c r="G12" s="88"/>
      <c r="H12" s="88"/>
      <c r="I12" s="88"/>
      <c r="J12" s="88"/>
      <c r="K12" s="88"/>
      <c r="L12" s="88"/>
      <c r="M12" s="88"/>
      <c r="N12" s="88"/>
      <c r="O12" s="88"/>
      <c r="P12" s="88"/>
      <c r="Q12" s="88"/>
      <c r="R12" s="88"/>
      <c r="S12" s="88"/>
      <c r="T12" s="88"/>
      <c r="U12" s="88"/>
      <c r="V12" s="34"/>
    </row>
    <row r="13" spans="5:22" ht="59.25" customHeight="1">
      <c r="E13" s="228"/>
      <c r="F13" s="87"/>
      <c r="G13" s="88"/>
      <c r="H13" s="88"/>
      <c r="I13" s="88"/>
      <c r="J13" s="88"/>
      <c r="K13" s="88"/>
      <c r="L13" s="88"/>
      <c r="M13" s="88"/>
      <c r="N13" s="88"/>
      <c r="O13" s="88"/>
      <c r="P13" s="88"/>
      <c r="Q13" s="88"/>
      <c r="R13" s="88"/>
      <c r="S13" s="88"/>
      <c r="T13" s="88"/>
      <c r="U13" s="88"/>
      <c r="V13" s="34"/>
    </row>
    <row r="14" spans="5:22" ht="59.25" customHeight="1">
      <c r="E14" s="228"/>
      <c r="F14" s="87"/>
      <c r="G14" s="88"/>
      <c r="H14" s="88"/>
      <c r="I14" s="88"/>
      <c r="J14" s="88"/>
      <c r="K14" s="88"/>
      <c r="L14" s="88"/>
      <c r="M14" s="88"/>
      <c r="N14" s="88"/>
      <c r="O14" s="88"/>
      <c r="P14" s="88"/>
      <c r="Q14" s="88"/>
      <c r="R14" s="88"/>
      <c r="S14" s="88"/>
      <c r="T14" s="88"/>
      <c r="U14" s="88"/>
      <c r="V14" s="34"/>
    </row>
    <row r="15" spans="5:22" ht="36.75" customHeight="1">
      <c r="E15" s="228"/>
      <c r="F15" s="87"/>
      <c r="G15" s="88"/>
      <c r="H15" s="88"/>
      <c r="I15" s="88"/>
      <c r="J15" s="88"/>
      <c r="K15" s="88"/>
      <c r="L15" s="88"/>
      <c r="M15" s="88"/>
      <c r="N15" s="88"/>
      <c r="O15" s="88"/>
      <c r="P15" s="88"/>
      <c r="Q15" s="88"/>
      <c r="R15" s="88"/>
      <c r="S15" s="88"/>
      <c r="T15" s="88"/>
      <c r="U15" s="88"/>
      <c r="V15" s="34"/>
    </row>
    <row r="16" spans="5:22" ht="19.5" customHeight="1">
      <c r="E16" s="228"/>
      <c r="F16" s="87"/>
      <c r="G16" s="88"/>
      <c r="H16" s="88"/>
      <c r="I16" s="88"/>
      <c r="J16" s="88"/>
      <c r="K16" s="88"/>
      <c r="L16" s="88"/>
      <c r="M16" s="88"/>
      <c r="N16" s="88"/>
      <c r="O16" s="88"/>
      <c r="P16" s="88"/>
      <c r="Q16" s="88"/>
      <c r="R16" s="88"/>
      <c r="S16" s="88"/>
      <c r="T16" s="88"/>
      <c r="U16" s="88"/>
      <c r="V16" s="34"/>
    </row>
    <row r="17" spans="5:22" ht="15.5">
      <c r="E17" s="228"/>
      <c r="F17" s="88"/>
      <c r="G17" s="88"/>
      <c r="H17" s="88"/>
      <c r="I17" s="88"/>
      <c r="J17" s="88"/>
      <c r="K17" s="88"/>
      <c r="L17" s="88"/>
      <c r="M17" s="88"/>
      <c r="N17" s="88"/>
      <c r="O17" s="88"/>
      <c r="P17" s="88"/>
      <c r="Q17" s="88"/>
      <c r="R17" s="88"/>
      <c r="S17" s="88"/>
      <c r="T17" s="88"/>
      <c r="U17" s="88"/>
      <c r="V17" s="34"/>
    </row>
    <row r="18" spans="5:22" ht="15.5">
      <c r="E18" s="228"/>
      <c r="F18" s="88"/>
      <c r="G18" s="88"/>
      <c r="H18" s="88"/>
      <c r="I18" s="88"/>
      <c r="J18" s="88"/>
      <c r="K18" s="88"/>
      <c r="L18" s="88"/>
      <c r="M18" s="88"/>
      <c r="N18" s="88"/>
      <c r="O18" s="88"/>
      <c r="P18" s="88"/>
      <c r="Q18" s="88"/>
      <c r="R18" s="88"/>
      <c r="S18" s="88"/>
      <c r="T18" s="88"/>
      <c r="U18" s="88"/>
      <c r="V18" s="34"/>
    </row>
    <row r="19" spans="1:22" s="235" customFormat="1" ht="25">
      <c r="A19" s="231"/>
      <c r="B19" s="231"/>
      <c r="C19" s="231"/>
      <c r="D19" s="231"/>
      <c r="E19" s="232"/>
      <c r="F19" s="233"/>
      <c r="G19" s="242" t="s">
        <v>2</v>
      </c>
      <c r="H19" s="242"/>
      <c r="I19" s="242"/>
      <c r="J19" s="242"/>
      <c r="K19" s="242"/>
      <c r="L19" s="242"/>
      <c r="M19" s="242"/>
      <c r="N19" s="242"/>
      <c r="O19" s="242"/>
      <c r="P19" s="242"/>
      <c r="Q19" s="242"/>
      <c r="R19" s="242"/>
      <c r="S19" s="242"/>
      <c r="T19" s="242"/>
      <c r="U19" s="233"/>
      <c r="V19" s="234"/>
    </row>
    <row r="20" spans="5:22" ht="27.75" customHeight="1">
      <c r="E20" s="228"/>
      <c r="F20" s="88"/>
      <c r="G20" s="88"/>
      <c r="H20" s="88"/>
      <c r="I20" s="88"/>
      <c r="J20" s="88"/>
      <c r="K20" s="88"/>
      <c r="L20" s="88"/>
      <c r="M20" s="88"/>
      <c r="N20" s="88"/>
      <c r="O20" s="88"/>
      <c r="P20" s="88"/>
      <c r="Q20" s="88"/>
      <c r="R20" s="88"/>
      <c r="S20" s="88"/>
      <c r="T20" s="88"/>
      <c r="U20" s="88"/>
      <c r="V20" s="34"/>
    </row>
    <row r="21" spans="5:22" ht="27.75" customHeight="1">
      <c r="E21" s="228"/>
      <c r="F21" s="88"/>
      <c r="G21" s="88"/>
      <c r="H21" s="88"/>
      <c r="I21" s="88"/>
      <c r="J21" s="88"/>
      <c r="K21" s="88"/>
      <c r="L21" s="88"/>
      <c r="M21" s="88"/>
      <c r="N21" s="88"/>
      <c r="O21" s="88"/>
      <c r="P21" s="88"/>
      <c r="Q21" s="88"/>
      <c r="R21" s="88"/>
      <c r="S21" s="88"/>
      <c r="T21" s="88"/>
      <c r="U21" s="88"/>
      <c r="V21" s="34"/>
    </row>
    <row r="22" spans="5:22" ht="27.75" customHeight="1">
      <c r="E22" s="228"/>
      <c r="F22" s="87"/>
      <c r="G22" s="88"/>
      <c r="H22" s="88"/>
      <c r="I22" s="88"/>
      <c r="J22" s="88"/>
      <c r="K22" s="88"/>
      <c r="L22" s="88"/>
      <c r="M22" s="88"/>
      <c r="N22" s="88"/>
      <c r="O22" s="88"/>
      <c r="P22" s="88"/>
      <c r="Q22" s="88"/>
      <c r="R22" s="88"/>
      <c r="S22" s="88"/>
      <c r="T22" s="88"/>
      <c r="U22" s="88"/>
      <c r="V22" s="34"/>
    </row>
    <row r="23" spans="5:22" ht="15.5">
      <c r="E23" s="228"/>
      <c r="F23" s="87"/>
      <c r="G23" s="229"/>
      <c r="H23" s="88"/>
      <c r="I23" s="88"/>
      <c r="J23" s="88"/>
      <c r="K23" s="88"/>
      <c r="L23" s="88"/>
      <c r="M23" s="88"/>
      <c r="N23" s="88"/>
      <c r="O23" s="88"/>
      <c r="P23" s="88"/>
      <c r="Q23" s="88"/>
      <c r="R23" s="88"/>
      <c r="S23" s="88"/>
      <c r="T23" s="88"/>
      <c r="U23" s="88"/>
      <c r="V23" s="34"/>
    </row>
    <row r="24" spans="5:22" ht="15.5">
      <c r="E24" s="228"/>
      <c r="F24" s="87"/>
      <c r="G24" s="88"/>
      <c r="H24" s="88"/>
      <c r="I24" s="88"/>
      <c r="J24" s="88"/>
      <c r="K24" s="88"/>
      <c r="L24" s="88"/>
      <c r="M24" s="88"/>
      <c r="N24" s="88"/>
      <c r="O24" s="88"/>
      <c r="P24" s="88"/>
      <c r="Q24" s="88"/>
      <c r="R24" s="88"/>
      <c r="S24" s="88"/>
      <c r="T24" s="88"/>
      <c r="U24" s="88"/>
      <c r="V24" s="34"/>
    </row>
    <row r="25" spans="5:22" ht="15.5">
      <c r="E25" s="228"/>
      <c r="F25" s="87"/>
      <c r="G25" s="229"/>
      <c r="H25" s="88"/>
      <c r="I25" s="88"/>
      <c r="J25" s="88"/>
      <c r="K25" s="88"/>
      <c r="L25" s="88"/>
      <c r="M25" s="88"/>
      <c r="N25" s="88"/>
      <c r="O25" s="88"/>
      <c r="P25" s="88"/>
      <c r="Q25" s="88"/>
      <c r="R25" s="88"/>
      <c r="S25" s="88"/>
      <c r="T25" s="88"/>
      <c r="U25" s="88"/>
      <c r="V25" s="34"/>
    </row>
    <row r="26" spans="5:22" ht="15.5">
      <c r="E26" s="228"/>
      <c r="F26" s="87"/>
      <c r="G26" s="88"/>
      <c r="H26" s="88"/>
      <c r="I26" s="88"/>
      <c r="J26" s="88"/>
      <c r="K26" s="88"/>
      <c r="L26" s="88"/>
      <c r="M26" s="88"/>
      <c r="N26" s="88"/>
      <c r="O26" s="88"/>
      <c r="P26" s="88"/>
      <c r="Q26" s="88"/>
      <c r="R26" s="88"/>
      <c r="S26" s="88"/>
      <c r="T26" s="88"/>
      <c r="U26" s="88"/>
      <c r="V26" s="34"/>
    </row>
    <row r="27" spans="5:22" ht="15.5">
      <c r="E27" s="228"/>
      <c r="F27" s="87"/>
      <c r="G27" s="229"/>
      <c r="H27" s="88"/>
      <c r="I27" s="88"/>
      <c r="J27" s="88"/>
      <c r="K27" s="88"/>
      <c r="L27" s="88"/>
      <c r="M27" s="88"/>
      <c r="N27" s="88"/>
      <c r="O27" s="88"/>
      <c r="P27" s="88"/>
      <c r="Q27" s="88"/>
      <c r="R27" s="88"/>
      <c r="S27" s="88"/>
      <c r="T27" s="88"/>
      <c r="U27" s="88"/>
      <c r="V27" s="34"/>
    </row>
    <row r="28" spans="5:22" ht="15.5">
      <c r="E28" s="228"/>
      <c r="F28" s="87"/>
      <c r="G28" s="88"/>
      <c r="H28" s="88"/>
      <c r="I28" s="88"/>
      <c r="J28" s="88"/>
      <c r="K28" s="88"/>
      <c r="L28" s="88"/>
      <c r="M28" s="88"/>
      <c r="N28" s="88"/>
      <c r="O28" s="88"/>
      <c r="P28" s="88"/>
      <c r="Q28" s="88"/>
      <c r="R28" s="88"/>
      <c r="S28" s="88"/>
      <c r="T28" s="88"/>
      <c r="U28" s="88"/>
      <c r="V28" s="34"/>
    </row>
    <row r="29" spans="5:22" ht="15.5">
      <c r="E29" s="228"/>
      <c r="F29" s="87"/>
      <c r="G29" s="88"/>
      <c r="H29" s="88"/>
      <c r="I29" s="88"/>
      <c r="J29" s="88"/>
      <c r="K29" s="88"/>
      <c r="L29" s="88"/>
      <c r="M29" s="88"/>
      <c r="N29" s="88"/>
      <c r="O29" s="88"/>
      <c r="P29" s="88"/>
      <c r="Q29" s="88"/>
      <c r="R29" s="88"/>
      <c r="S29" s="88"/>
      <c r="T29" s="88"/>
      <c r="U29" s="88"/>
      <c r="V29" s="34"/>
    </row>
    <row r="30" spans="5:22" ht="15.5">
      <c r="E30" s="228"/>
      <c r="F30" s="87"/>
      <c r="G30" s="88"/>
      <c r="H30" s="88"/>
      <c r="I30" s="88"/>
      <c r="J30" s="88"/>
      <c r="K30" s="88"/>
      <c r="L30" s="88"/>
      <c r="M30" s="88"/>
      <c r="N30" s="88"/>
      <c r="O30" s="88"/>
      <c r="P30" s="88"/>
      <c r="Q30" s="88"/>
      <c r="R30" s="88"/>
      <c r="S30" s="88"/>
      <c r="T30" s="88"/>
      <c r="U30" s="88"/>
      <c r="V30" s="34"/>
    </row>
    <row r="31" spans="5:22" ht="15.5">
      <c r="E31" s="228"/>
      <c r="F31" s="87"/>
      <c r="G31" s="88"/>
      <c r="H31" s="88"/>
      <c r="I31" s="88"/>
      <c r="J31" s="88"/>
      <c r="K31" s="88"/>
      <c r="L31" s="88"/>
      <c r="M31" s="88"/>
      <c r="N31" s="88"/>
      <c r="O31" s="88"/>
      <c r="P31" s="88"/>
      <c r="Q31" s="88"/>
      <c r="R31" s="88"/>
      <c r="S31" s="88"/>
      <c r="T31" s="88"/>
      <c r="U31" s="88"/>
      <c r="V31" s="34"/>
    </row>
    <row r="32" spans="5:22" ht="15.5">
      <c r="E32" s="228"/>
      <c r="F32" s="87"/>
      <c r="G32" s="88"/>
      <c r="H32" s="88"/>
      <c r="I32" s="88"/>
      <c r="J32" s="88"/>
      <c r="K32" s="88"/>
      <c r="L32" s="88"/>
      <c r="M32" s="88"/>
      <c r="N32" s="88"/>
      <c r="O32" s="88"/>
      <c r="P32" s="88"/>
      <c r="Q32" s="88"/>
      <c r="R32" s="88"/>
      <c r="S32" s="88"/>
      <c r="T32" s="88"/>
      <c r="U32" s="88"/>
      <c r="V32" s="34"/>
    </row>
    <row r="33" spans="5:22" ht="15.5">
      <c r="E33" s="228"/>
      <c r="F33" s="87"/>
      <c r="G33" s="88"/>
      <c r="H33" s="88"/>
      <c r="I33" s="88"/>
      <c r="J33" s="88"/>
      <c r="K33" s="88"/>
      <c r="L33" s="88"/>
      <c r="M33" s="88"/>
      <c r="N33" s="88"/>
      <c r="O33" s="88"/>
      <c r="P33" s="88"/>
      <c r="Q33" s="88"/>
      <c r="R33" s="88"/>
      <c r="S33" s="88"/>
      <c r="T33" s="88"/>
      <c r="U33" s="88"/>
      <c r="V33" s="34"/>
    </row>
    <row r="34" spans="5:22" ht="21" customHeight="1">
      <c r="E34" s="228"/>
      <c r="F34" s="87"/>
      <c r="G34" s="88"/>
      <c r="H34" s="88"/>
      <c r="I34" s="88"/>
      <c r="J34" s="88"/>
      <c r="K34" s="88"/>
      <c r="L34" s="88"/>
      <c r="M34" s="88"/>
      <c r="N34" s="88"/>
      <c r="O34" s="88"/>
      <c r="P34" s="88"/>
      <c r="Q34" s="88"/>
      <c r="R34" s="88"/>
      <c r="S34" s="88"/>
      <c r="T34" s="88"/>
      <c r="U34" s="88"/>
      <c r="V34" s="34"/>
    </row>
    <row r="35" spans="5:22" ht="21" customHeight="1">
      <c r="E35" s="228"/>
      <c r="F35" s="87"/>
      <c r="G35" s="88"/>
      <c r="H35" s="88"/>
      <c r="I35" s="88"/>
      <c r="J35" s="88"/>
      <c r="K35" s="88"/>
      <c r="L35" s="88"/>
      <c r="M35" s="88"/>
      <c r="N35" s="88"/>
      <c r="O35" s="88"/>
      <c r="P35" s="88"/>
      <c r="Q35" s="88"/>
      <c r="R35" s="88"/>
      <c r="S35" s="88"/>
      <c r="T35" s="88"/>
      <c r="U35" s="88"/>
      <c r="V35" s="34"/>
    </row>
    <row r="36" spans="5:22" ht="15.5">
      <c r="E36" s="228"/>
      <c r="F36" s="87"/>
      <c r="G36" s="88"/>
      <c r="H36" s="88"/>
      <c r="I36" s="88"/>
      <c r="J36" s="88"/>
      <c r="K36" s="88"/>
      <c r="L36" s="88"/>
      <c r="M36" s="88"/>
      <c r="N36" s="88"/>
      <c r="O36" s="88"/>
      <c r="P36" s="88"/>
      <c r="Q36" s="88"/>
      <c r="R36" s="88"/>
      <c r="S36" s="88"/>
      <c r="T36" s="88"/>
      <c r="U36" s="88"/>
      <c r="V36" s="34"/>
    </row>
    <row r="37" spans="5:22" ht="15.5">
      <c r="E37" s="228"/>
      <c r="F37" s="87"/>
      <c r="G37" s="88"/>
      <c r="H37" s="88"/>
      <c r="I37" s="88"/>
      <c r="J37" s="88"/>
      <c r="K37" s="88"/>
      <c r="L37" s="88"/>
      <c r="M37" s="88"/>
      <c r="N37" s="88"/>
      <c r="O37" s="88"/>
      <c r="P37" s="88"/>
      <c r="Q37" s="88"/>
      <c r="R37" s="88"/>
      <c r="S37" s="88"/>
      <c r="T37" s="88"/>
      <c r="U37" s="88"/>
      <c r="V37" s="34"/>
    </row>
    <row r="38" spans="5:22" ht="15.5">
      <c r="E38" s="228"/>
      <c r="F38" s="87"/>
      <c r="G38" s="88"/>
      <c r="H38" s="88"/>
      <c r="I38" s="88"/>
      <c r="J38" s="88"/>
      <c r="K38" s="88"/>
      <c r="L38" s="88"/>
      <c r="M38" s="88"/>
      <c r="N38" s="88"/>
      <c r="O38" s="88"/>
      <c r="P38" s="88"/>
      <c r="Q38" s="88"/>
      <c r="R38" s="88"/>
      <c r="S38" s="88"/>
      <c r="T38" s="88"/>
      <c r="U38" s="88"/>
      <c r="V38" s="34"/>
    </row>
    <row r="39" spans="5:22" ht="15.5">
      <c r="E39" s="228"/>
      <c r="F39" s="88"/>
      <c r="G39" s="88"/>
      <c r="H39" s="88"/>
      <c r="I39" s="88"/>
      <c r="J39" s="88"/>
      <c r="K39" s="88"/>
      <c r="L39" s="88"/>
      <c r="M39" s="88"/>
      <c r="N39" s="88"/>
      <c r="O39" s="88"/>
      <c r="P39" s="88"/>
      <c r="Q39" s="88"/>
      <c r="R39" s="88"/>
      <c r="S39" s="88"/>
      <c r="T39" s="88"/>
      <c r="U39" s="88"/>
      <c r="V39" s="34"/>
    </row>
    <row r="40" spans="1:22" s="241" customFormat="1" ht="25">
      <c r="A40" s="237"/>
      <c r="B40" s="237"/>
      <c r="C40" s="237"/>
      <c r="D40" s="237"/>
      <c r="E40" s="238"/>
      <c r="F40" s="236"/>
      <c r="G40" s="236"/>
      <c r="H40" s="236"/>
      <c r="I40" s="236"/>
      <c r="J40" s="236"/>
      <c r="K40" s="236"/>
      <c r="L40" s="236"/>
      <c r="M40" s="236"/>
      <c r="N40" s="236"/>
      <c r="O40" s="236"/>
      <c r="P40" s="236"/>
      <c r="Q40" s="236"/>
      <c r="R40" s="236"/>
      <c r="S40" s="236"/>
      <c r="T40" s="236"/>
      <c r="U40" s="236"/>
      <c r="V40" s="240"/>
    </row>
    <row r="41" spans="5:22" ht="15.5">
      <c r="E41" s="228"/>
      <c r="F41" s="88"/>
      <c r="G41" s="88"/>
      <c r="H41" s="88"/>
      <c r="I41" s="88"/>
      <c r="J41" s="88"/>
      <c r="K41" s="88"/>
      <c r="L41" s="88"/>
      <c r="M41" s="88"/>
      <c r="N41" s="88"/>
      <c r="O41" s="88"/>
      <c r="P41" s="88"/>
      <c r="Q41" s="88"/>
      <c r="R41" s="88"/>
      <c r="S41" s="88"/>
      <c r="T41" s="88"/>
      <c r="U41" s="88"/>
      <c r="V41" s="34"/>
    </row>
    <row r="42" spans="5:22" ht="26.25" customHeight="1">
      <c r="E42" s="228"/>
      <c r="F42" s="88"/>
      <c r="G42" s="243" t="s">
        <v>3</v>
      </c>
      <c r="H42" s="243"/>
      <c r="I42" s="243"/>
      <c r="J42" s="243"/>
      <c r="K42" s="243"/>
      <c r="L42" s="243"/>
      <c r="M42" s="243"/>
      <c r="N42" s="243"/>
      <c r="O42" s="243"/>
      <c r="P42" s="243"/>
      <c r="Q42" s="243"/>
      <c r="R42" s="243"/>
      <c r="S42" s="243"/>
      <c r="T42" s="243"/>
      <c r="U42" s="88"/>
      <c r="V42" s="34"/>
    </row>
    <row r="43" spans="5:22" ht="15.5">
      <c r="E43" s="228"/>
      <c r="F43" s="88"/>
      <c r="G43" s="88"/>
      <c r="H43" s="88"/>
      <c r="I43" s="88"/>
      <c r="J43" s="88"/>
      <c r="K43" s="88"/>
      <c r="L43" s="88"/>
      <c r="M43" s="88"/>
      <c r="N43" s="88"/>
      <c r="O43" s="88"/>
      <c r="P43" s="88"/>
      <c r="Q43" s="88"/>
      <c r="R43" s="88"/>
      <c r="S43" s="88"/>
      <c r="T43" s="88"/>
      <c r="U43" s="88"/>
      <c r="V43" s="34"/>
    </row>
    <row r="44" spans="5:22" ht="15.5">
      <c r="E44" s="228"/>
      <c r="F44" s="87"/>
      <c r="G44" s="88"/>
      <c r="H44" s="88"/>
      <c r="I44" s="88"/>
      <c r="J44" s="88"/>
      <c r="K44" s="88"/>
      <c r="L44" s="88"/>
      <c r="M44" s="88"/>
      <c r="N44" s="88"/>
      <c r="O44" s="88"/>
      <c r="P44" s="88"/>
      <c r="Q44" s="88"/>
      <c r="R44" s="88"/>
      <c r="S44" s="88"/>
      <c r="T44" s="88"/>
      <c r="U44" s="88"/>
      <c r="V44" s="34"/>
    </row>
    <row r="45" spans="5:22" ht="15.5">
      <c r="E45" s="228"/>
      <c r="F45" s="87"/>
      <c r="G45" s="88"/>
      <c r="H45" s="88"/>
      <c r="I45" s="88"/>
      <c r="J45" s="88"/>
      <c r="K45" s="88"/>
      <c r="L45" s="88"/>
      <c r="M45" s="88"/>
      <c r="N45" s="88"/>
      <c r="O45" s="88"/>
      <c r="P45" s="88"/>
      <c r="Q45" s="88"/>
      <c r="R45" s="88"/>
      <c r="S45" s="88"/>
      <c r="T45" s="88"/>
      <c r="U45" s="88"/>
      <c r="V45" s="34"/>
    </row>
    <row r="46" spans="5:22" ht="15.5">
      <c r="E46" s="228"/>
      <c r="F46" s="87"/>
      <c r="G46" s="88"/>
      <c r="H46" s="88"/>
      <c r="I46" s="88"/>
      <c r="J46" s="88"/>
      <c r="K46" s="88"/>
      <c r="L46" s="88"/>
      <c r="M46" s="88"/>
      <c r="N46" s="88"/>
      <c r="O46" s="88"/>
      <c r="P46" s="88"/>
      <c r="Q46" s="88"/>
      <c r="R46" s="88"/>
      <c r="S46" s="88"/>
      <c r="T46" s="88"/>
      <c r="U46" s="88"/>
      <c r="V46" s="34"/>
    </row>
    <row r="47" spans="5:22" ht="15.5">
      <c r="E47" s="228"/>
      <c r="F47" s="87"/>
      <c r="G47" s="88"/>
      <c r="H47" s="88"/>
      <c r="I47" s="88"/>
      <c r="J47" s="88"/>
      <c r="K47" s="88"/>
      <c r="L47" s="88"/>
      <c r="M47" s="88"/>
      <c r="N47" s="88"/>
      <c r="O47" s="88"/>
      <c r="P47" s="88"/>
      <c r="Q47" s="88"/>
      <c r="R47" s="88"/>
      <c r="S47" s="88"/>
      <c r="T47" s="88"/>
      <c r="U47" s="88"/>
      <c r="V47" s="34"/>
    </row>
    <row r="48" spans="5:22" ht="15.5">
      <c r="E48" s="228"/>
      <c r="F48" s="87"/>
      <c r="G48" s="88"/>
      <c r="H48" s="88"/>
      <c r="I48" s="88"/>
      <c r="J48" s="88"/>
      <c r="K48" s="88"/>
      <c r="L48" s="88"/>
      <c r="M48" s="88"/>
      <c r="N48" s="88"/>
      <c r="O48" s="88"/>
      <c r="P48" s="88"/>
      <c r="Q48" s="88"/>
      <c r="R48" s="88"/>
      <c r="S48" s="88"/>
      <c r="T48" s="88"/>
      <c r="U48" s="88"/>
      <c r="V48" s="34"/>
    </row>
    <row r="49" spans="1:22" s="241" customFormat="1" ht="25">
      <c r="A49" s="237"/>
      <c r="B49" s="237"/>
      <c r="C49" s="237"/>
      <c r="D49" s="237"/>
      <c r="E49" s="238"/>
      <c r="F49" s="236"/>
      <c r="G49" s="239" t="s">
        <v>4</v>
      </c>
      <c r="H49" s="239"/>
      <c r="I49" s="239"/>
      <c r="J49" s="239"/>
      <c r="K49" s="239"/>
      <c r="L49" s="239"/>
      <c r="M49" s="239"/>
      <c r="N49" s="239"/>
      <c r="O49" s="239"/>
      <c r="P49" s="239"/>
      <c r="Q49" s="239"/>
      <c r="R49" s="239"/>
      <c r="S49" s="239"/>
      <c r="T49" s="243"/>
      <c r="U49" s="236"/>
      <c r="V49" s="240"/>
    </row>
    <row r="50" spans="5:22" ht="15.5">
      <c r="E50" s="228"/>
      <c r="F50" s="88"/>
      <c r="G50" s="88"/>
      <c r="H50" s="88"/>
      <c r="I50" s="88"/>
      <c r="J50" s="88"/>
      <c r="K50" s="88"/>
      <c r="L50" s="88"/>
      <c r="M50" s="88"/>
      <c r="N50" s="88"/>
      <c r="O50" s="88"/>
      <c r="P50" s="88"/>
      <c r="Q50" s="88"/>
      <c r="R50" s="88"/>
      <c r="S50" s="88"/>
      <c r="T50" s="88"/>
      <c r="U50" s="88"/>
      <c r="V50" s="34"/>
    </row>
    <row r="51" spans="5:22" ht="15.5">
      <c r="E51" s="228"/>
      <c r="F51" s="88"/>
      <c r="G51" s="88"/>
      <c r="H51" s="88"/>
      <c r="I51" s="88"/>
      <c r="J51" s="88"/>
      <c r="K51" s="88"/>
      <c r="L51" s="88"/>
      <c r="M51" s="88"/>
      <c r="N51" s="88"/>
      <c r="O51" s="88"/>
      <c r="P51" s="88"/>
      <c r="Q51" s="88"/>
      <c r="R51" s="88"/>
      <c r="S51" s="88"/>
      <c r="T51" s="88"/>
      <c r="U51" s="88"/>
      <c r="V51" s="34"/>
    </row>
    <row r="52" spans="5:22" ht="15.5">
      <c r="E52" s="228"/>
      <c r="F52" s="87"/>
      <c r="G52" s="88"/>
      <c r="H52" s="88"/>
      <c r="I52" s="88"/>
      <c r="J52" s="88"/>
      <c r="K52" s="88"/>
      <c r="L52" s="88"/>
      <c r="M52" s="88"/>
      <c r="N52" s="88"/>
      <c r="O52" s="88"/>
      <c r="P52" s="88"/>
      <c r="Q52" s="88"/>
      <c r="R52" s="88"/>
      <c r="S52" s="88"/>
      <c r="T52" s="88"/>
      <c r="U52" s="88"/>
      <c r="V52" s="34"/>
    </row>
    <row r="53" spans="5:22" ht="15.5">
      <c r="E53" s="228"/>
      <c r="F53" s="87"/>
      <c r="G53" s="88"/>
      <c r="H53" s="88"/>
      <c r="I53" s="88"/>
      <c r="J53" s="88"/>
      <c r="K53" s="88"/>
      <c r="L53" s="88"/>
      <c r="M53" s="88"/>
      <c r="N53" s="88"/>
      <c r="O53" s="88"/>
      <c r="P53" s="88"/>
      <c r="Q53" s="88"/>
      <c r="R53" s="88"/>
      <c r="S53" s="88"/>
      <c r="T53" s="88"/>
      <c r="U53" s="88"/>
      <c r="V53" s="34"/>
    </row>
    <row r="54" spans="5:22" ht="15.5">
      <c r="E54" s="228"/>
      <c r="F54" s="87"/>
      <c r="G54" s="88"/>
      <c r="H54" s="88"/>
      <c r="I54" s="88"/>
      <c r="J54" s="88"/>
      <c r="K54" s="88"/>
      <c r="L54" s="88"/>
      <c r="M54" s="88"/>
      <c r="N54" s="88"/>
      <c r="O54" s="88"/>
      <c r="P54" s="88"/>
      <c r="Q54" s="88"/>
      <c r="R54" s="88"/>
      <c r="S54" s="88"/>
      <c r="T54" s="88"/>
      <c r="U54" s="88"/>
      <c r="V54" s="34"/>
    </row>
    <row r="55" spans="5:22" ht="15.5">
      <c r="E55" s="228"/>
      <c r="F55" s="87"/>
      <c r="G55" s="230"/>
      <c r="H55" s="88"/>
      <c r="I55" s="88"/>
      <c r="J55" s="88"/>
      <c r="K55" s="88"/>
      <c r="L55" s="88"/>
      <c r="M55" s="88"/>
      <c r="N55" s="88"/>
      <c r="O55" s="88"/>
      <c r="P55" s="88"/>
      <c r="Q55" s="88"/>
      <c r="R55" s="88"/>
      <c r="S55" s="88"/>
      <c r="T55" s="88"/>
      <c r="U55" s="88"/>
      <c r="V55" s="34"/>
    </row>
    <row r="56" spans="5:22" ht="15.5">
      <c r="E56" s="228"/>
      <c r="F56" s="87"/>
      <c r="G56" s="88"/>
      <c r="H56" s="88"/>
      <c r="I56" s="88"/>
      <c r="J56" s="88"/>
      <c r="K56" s="88"/>
      <c r="L56" s="88"/>
      <c r="M56" s="88"/>
      <c r="N56" s="88"/>
      <c r="O56" s="88"/>
      <c r="P56" s="88"/>
      <c r="Q56" s="88"/>
      <c r="R56" s="88"/>
      <c r="S56" s="88"/>
      <c r="T56" s="88"/>
      <c r="U56" s="88"/>
      <c r="V56" s="34"/>
    </row>
    <row r="57" spans="5:22" ht="15.5">
      <c r="E57" s="228"/>
      <c r="F57" s="87"/>
      <c r="G57" s="230"/>
      <c r="H57" s="88"/>
      <c r="I57" s="88"/>
      <c r="J57" s="88"/>
      <c r="K57" s="88"/>
      <c r="L57" s="88"/>
      <c r="M57" s="88"/>
      <c r="N57" s="88"/>
      <c r="O57" s="88"/>
      <c r="P57" s="88"/>
      <c r="Q57" s="88"/>
      <c r="R57" s="88"/>
      <c r="S57" s="88"/>
      <c r="T57" s="88"/>
      <c r="U57" s="88"/>
      <c r="V57" s="34"/>
    </row>
    <row r="58" spans="5:22" ht="15.5">
      <c r="E58" s="228"/>
      <c r="F58" s="87"/>
      <c r="G58" s="88"/>
      <c r="H58" s="88"/>
      <c r="I58" s="88"/>
      <c r="J58" s="88"/>
      <c r="K58" s="88"/>
      <c r="L58" s="88"/>
      <c r="M58" s="88"/>
      <c r="N58" s="88"/>
      <c r="O58" s="88"/>
      <c r="P58" s="88"/>
      <c r="Q58" s="88"/>
      <c r="R58" s="88"/>
      <c r="S58" s="88"/>
      <c r="T58" s="88"/>
      <c r="U58" s="88"/>
      <c r="V58" s="34"/>
    </row>
    <row r="59" spans="5:22" ht="15.5">
      <c r="E59" s="228"/>
      <c r="F59" s="88"/>
      <c r="G59" s="88"/>
      <c r="H59" s="88"/>
      <c r="I59" s="88"/>
      <c r="J59" s="88"/>
      <c r="K59" s="88"/>
      <c r="L59" s="88"/>
      <c r="M59" s="88"/>
      <c r="N59" s="88"/>
      <c r="O59" s="88"/>
      <c r="P59" s="88"/>
      <c r="Q59" s="88"/>
      <c r="R59" s="88"/>
      <c r="S59" s="88"/>
      <c r="T59" s="88"/>
      <c r="U59" s="88"/>
      <c r="V59" s="34"/>
    </row>
    <row r="60" spans="5:22" ht="5.25" customHeight="1">
      <c r="E60" s="228"/>
      <c r="F60" s="88"/>
      <c r="G60" s="88"/>
      <c r="H60" s="88"/>
      <c r="I60" s="88"/>
      <c r="J60" s="88"/>
      <c r="K60" s="88"/>
      <c r="L60" s="88"/>
      <c r="M60" s="88"/>
      <c r="N60" s="88"/>
      <c r="O60" s="88"/>
      <c r="P60" s="88"/>
      <c r="Q60" s="88"/>
      <c r="R60" s="88"/>
      <c r="S60" s="88"/>
      <c r="T60" s="88"/>
      <c r="U60" s="88"/>
      <c r="V60" s="34"/>
    </row>
    <row r="61" spans="5:22" ht="5.25" customHeight="1">
      <c r="E61" s="228"/>
      <c r="F61" s="88"/>
      <c r="G61" s="88"/>
      <c r="H61" s="88"/>
      <c r="I61" s="88"/>
      <c r="J61" s="88"/>
      <c r="K61" s="88"/>
      <c r="L61" s="88"/>
      <c r="M61" s="88"/>
      <c r="N61" s="88"/>
      <c r="O61" s="88"/>
      <c r="P61" s="88"/>
      <c r="Q61" s="88"/>
      <c r="R61" s="88"/>
      <c r="S61" s="88"/>
      <c r="T61" s="88"/>
      <c r="U61" s="88"/>
      <c r="V61" s="34"/>
    </row>
    <row r="62" spans="5:22" ht="5.25" customHeight="1">
      <c r="E62" s="228"/>
      <c r="F62" s="88"/>
      <c r="G62" s="88"/>
      <c r="H62" s="88"/>
      <c r="I62" s="88"/>
      <c r="J62" s="88"/>
      <c r="K62" s="88"/>
      <c r="L62" s="88"/>
      <c r="M62" s="88"/>
      <c r="N62" s="88"/>
      <c r="O62" s="88"/>
      <c r="P62" s="88"/>
      <c r="Q62" s="88"/>
      <c r="R62" s="88"/>
      <c r="S62" s="88"/>
      <c r="T62" s="88"/>
      <c r="U62" s="88"/>
      <c r="V62" s="34"/>
    </row>
    <row r="63" spans="5:22" ht="5.25" customHeight="1">
      <c r="E63" s="228"/>
      <c r="F63" s="88"/>
      <c r="G63" s="88"/>
      <c r="H63" s="88"/>
      <c r="I63" s="88"/>
      <c r="J63" s="88"/>
      <c r="K63" s="88"/>
      <c r="L63" s="88"/>
      <c r="M63" s="88"/>
      <c r="N63" s="88"/>
      <c r="O63" s="88"/>
      <c r="P63" s="88"/>
      <c r="Q63" s="88"/>
      <c r="R63" s="88"/>
      <c r="S63" s="88"/>
      <c r="T63" s="88"/>
      <c r="U63" s="88"/>
      <c r="V63" s="34"/>
    </row>
    <row r="64" spans="5:22" ht="5.25" customHeight="1">
      <c r="E64" s="228"/>
      <c r="F64" s="88"/>
      <c r="G64" s="88"/>
      <c r="H64" s="88"/>
      <c r="I64" s="88"/>
      <c r="J64" s="88"/>
      <c r="K64" s="88"/>
      <c r="L64" s="88"/>
      <c r="M64" s="88"/>
      <c r="N64" s="88"/>
      <c r="O64" s="88"/>
      <c r="P64" s="88"/>
      <c r="Q64" s="88"/>
      <c r="R64" s="88"/>
      <c r="S64" s="88"/>
      <c r="T64" s="88"/>
      <c r="U64" s="88"/>
      <c r="V64" s="34"/>
    </row>
    <row r="65" spans="5:22" ht="5.25" customHeight="1">
      <c r="E65" s="228"/>
      <c r="F65" s="88"/>
      <c r="G65" s="88"/>
      <c r="H65" s="88"/>
      <c r="I65" s="88"/>
      <c r="J65" s="88"/>
      <c r="K65" s="88"/>
      <c r="L65" s="88"/>
      <c r="M65" s="88"/>
      <c r="N65" s="88"/>
      <c r="O65" s="88"/>
      <c r="P65" s="88"/>
      <c r="Q65" s="88"/>
      <c r="R65" s="88"/>
      <c r="S65" s="88"/>
      <c r="T65" s="88"/>
      <c r="U65" s="88"/>
      <c r="V65" s="34"/>
    </row>
  </sheetData>
  <sheetProtection formatColumns="0" formatRows="0" autoFilter="0" pivotTables="0"/>
  <pageMargins left="0.25" right="0.25" top="0.75" bottom="0.75" header="0.3" footer="0.3"/>
  <pageSetup fitToHeight="0" orientation="portrait" paperSize="8" r:id="rId3"/>
  <drawing r:id="rId1"/>
  <picture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B9AA90-5E93-4605-B69E-BEC188F4EEF2}">
  <sheetPr codeName="Sheet17">
    <tabColor theme="3"/>
  </sheetPr>
  <dimension ref="A1:AU105"/>
  <sheetViews>
    <sheetView tabSelected="1" zoomScale="55" zoomScaleNormal="55" workbookViewId="0" topLeftCell="A2">
      <selection pane="topLeft" activeCell="AS19" sqref="AS19"/>
    </sheetView>
  </sheetViews>
  <sheetFormatPr defaultRowHeight="15.5" outlineLevelCol="1"/>
  <cols>
    <col min="1" max="1" width="12.8888888888889" customWidth="1"/>
    <col min="2" max="4" width="14" customWidth="1"/>
    <col min="7" max="12" width="10.4444444444444" customWidth="1"/>
    <col min="13" max="13" width="11.8888888888889" bestFit="1" customWidth="1"/>
    <col min="14" max="15" width="10.4444444444444" customWidth="1"/>
    <col min="16" max="16" width="5.44444444444444" customWidth="1"/>
    <col min="17" max="18" width="10.4444444444444" customWidth="1"/>
    <col min="19" max="20" width="4.44444444444444" customWidth="1"/>
    <col min="21" max="21" width="11.8888888888889" customWidth="1"/>
    <col min="22" max="22" width="10.2222222222222" customWidth="1"/>
    <col min="23" max="23" width="2.66666666666667" customWidth="1"/>
    <col min="24" max="26" width="12" customWidth="1"/>
    <col min="28" max="28" width="9.44444444444444" bestFit="1" customWidth="1"/>
    <col min="29" max="29" width="14" customWidth="1"/>
    <col min="31" max="31" width="19.5555555555556" customWidth="1"/>
    <col min="36" max="37" width="18.2222222222222" customWidth="1"/>
    <col min="38" max="38" width="18.2222222222222" customWidth="1" outlineLevel="1"/>
    <col min="39" max="42" width="8.77777777777778" outlineLevel="1"/>
    <col min="43" max="43" width="22.5555555555556" bestFit="1" customWidth="1" outlineLevel="1"/>
    <col min="44" max="44" width="11.4444444444444" bestFit="1" customWidth="1" outlineLevel="1"/>
    <col min="45" max="47" width="9.77777777777778" bestFit="1" customWidth="1" outlineLevel="1"/>
  </cols>
  <sheetData>
    <row r="1" spans="1:4" ht="15.5" hidden="1">
      <c r="A1" s="2046" t="s">
        <v>1857</v>
      </c>
      <c r="B1" s="2046" t="s">
        <v>1856</v>
      </c>
      <c r="C1" s="2046"/>
      <c r="D1" s="2046"/>
    </row>
    <row r="2" spans="1:33" ht="15.5" collapsed="1">
      <c r="A2" s="2046"/>
      <c r="B2" s="2046"/>
      <c r="C2" s="2046"/>
      <c r="D2" s="2046"/>
      <c r="E2" s="14"/>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38"/>
    </row>
    <row r="3" spans="1:33" ht="15.75" customHeight="1">
      <c r="A3" s="2046"/>
      <c r="B3" s="2046"/>
      <c r="C3" s="2046"/>
      <c r="D3" s="2046"/>
      <c r="E3" s="16"/>
      <c r="F3" s="101"/>
      <c r="G3" s="101"/>
      <c r="H3" s="101"/>
      <c r="I3" s="101"/>
      <c r="J3" s="101"/>
      <c r="K3" s="3012" t="s">
        <v>5</v>
      </c>
      <c r="L3" s="3012"/>
      <c r="M3" s="3012"/>
      <c r="N3" s="3012"/>
      <c r="O3" s="101"/>
      <c r="P3" s="101"/>
      <c r="Q3" s="101"/>
      <c r="R3" s="101"/>
      <c r="S3" s="101"/>
      <c r="T3" s="101"/>
      <c r="U3" s="101"/>
      <c r="V3" s="101"/>
      <c r="W3" s="101"/>
      <c r="X3" s="101"/>
      <c r="Y3" s="101"/>
      <c r="Z3" s="101"/>
      <c r="AA3" s="101"/>
      <c r="AB3" s="101"/>
      <c r="AC3" s="101"/>
      <c r="AD3" s="101"/>
      <c r="AE3" s="101"/>
      <c r="AF3" s="101"/>
      <c r="AG3" s="39"/>
    </row>
    <row r="4" spans="1:33" ht="44.5">
      <c r="A4" s="2046"/>
      <c r="B4" s="2046"/>
      <c r="C4" s="2046"/>
      <c r="D4" s="2046"/>
      <c r="E4" s="698"/>
      <c r="F4" s="1871" t="s">
        <v>6</v>
      </c>
      <c r="G4" s="101"/>
      <c r="H4" s="101"/>
      <c r="I4" s="101"/>
      <c r="J4" s="101"/>
      <c r="K4" s="3012"/>
      <c r="L4" s="3012"/>
      <c r="M4" s="3012"/>
      <c r="N4" s="3012"/>
      <c r="O4" s="101"/>
      <c r="P4" s="101"/>
      <c r="Q4" s="101"/>
      <c r="R4" s="101"/>
      <c r="S4" s="101"/>
      <c r="T4" s="101"/>
      <c r="U4" s="101"/>
      <c r="V4" s="101"/>
      <c r="W4" s="101"/>
      <c r="X4" s="101"/>
      <c r="Y4" s="101"/>
      <c r="Z4" s="101"/>
      <c r="AA4" s="101"/>
      <c r="AB4" s="101"/>
      <c r="AC4" s="101"/>
      <c r="AD4" s="101"/>
      <c r="AE4" s="101"/>
      <c r="AF4" s="101"/>
      <c r="AG4" s="39"/>
    </row>
    <row r="5" spans="5:33" ht="22.5">
      <c r="E5" s="1143"/>
      <c r="F5" s="1191" t="s">
        <v>7</v>
      </c>
      <c r="G5" s="101"/>
      <c r="H5" s="101"/>
      <c r="I5" s="101"/>
      <c r="J5" s="101"/>
      <c r="K5" s="3012"/>
      <c r="L5" s="3012"/>
      <c r="M5" s="3012"/>
      <c r="N5" s="3012"/>
      <c r="O5" s="101"/>
      <c r="P5" s="101"/>
      <c r="Q5" s="101"/>
      <c r="R5" s="101"/>
      <c r="S5" s="101"/>
      <c r="T5" s="101"/>
      <c r="U5" s="101"/>
      <c r="V5" s="101"/>
      <c r="W5" s="101"/>
      <c r="X5" s="101"/>
      <c r="Y5" s="101"/>
      <c r="Z5" s="101"/>
      <c r="AA5" s="101"/>
      <c r="AB5" s="101"/>
      <c r="AC5" s="101"/>
      <c r="AD5" s="101"/>
      <c r="AE5" s="101"/>
      <c r="AF5" s="101"/>
      <c r="AG5" s="39"/>
    </row>
    <row r="6" spans="5:33" ht="15.5">
      <c r="E6" s="17"/>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36"/>
    </row>
    <row r="7" spans="5:33" ht="15.5">
      <c r="E7" s="301"/>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227"/>
    </row>
    <row r="8" spans="5:33" ht="15" customHeight="1">
      <c r="E8" s="33"/>
      <c r="F8" s="1189"/>
      <c r="G8" s="1190"/>
      <c r="H8" s="1190"/>
      <c r="I8" s="1190"/>
      <c r="J8" s="1190"/>
      <c r="K8" s="1190"/>
      <c r="L8" s="1190"/>
      <c r="M8" s="1190"/>
      <c r="N8" s="1190"/>
      <c r="O8" s="1190"/>
      <c r="P8" s="1190"/>
      <c r="Q8" s="1190"/>
      <c r="R8" s="1190"/>
      <c r="S8" s="1190"/>
      <c r="T8" s="1190"/>
      <c r="U8" s="1190"/>
      <c r="V8" s="1190"/>
      <c r="W8" s="1190"/>
      <c r="X8" s="1190"/>
      <c r="Y8" s="1190"/>
      <c r="Z8" s="88"/>
      <c r="AA8" s="88"/>
      <c r="AB8" s="88"/>
      <c r="AC8" s="88"/>
      <c r="AD8" s="88"/>
      <c r="AE8" s="88"/>
      <c r="AF8" s="88"/>
      <c r="AG8" s="34"/>
    </row>
    <row r="9" spans="5:33" ht="18" customHeight="1">
      <c r="E9" s="33"/>
      <c r="F9" s="3011" t="s">
        <v>8</v>
      </c>
      <c r="G9" s="3011"/>
      <c r="H9" s="3011"/>
      <c r="I9" s="3011"/>
      <c r="J9" s="3011"/>
      <c r="K9" s="3011"/>
      <c r="L9" s="3011"/>
      <c r="M9" s="3011"/>
      <c r="N9" s="3011"/>
      <c r="O9" s="3011"/>
      <c r="P9" s="3011"/>
      <c r="Q9" s="2340"/>
      <c r="R9" s="1190"/>
      <c r="S9" s="1190"/>
      <c r="T9" s="1190"/>
      <c r="U9" s="1190"/>
      <c r="V9" s="1190"/>
      <c r="W9" s="1190"/>
      <c r="X9" s="1190"/>
      <c r="Y9" s="1190"/>
      <c r="Z9" s="88"/>
      <c r="AA9" s="88"/>
      <c r="AB9" s="88"/>
      <c r="AC9" s="88"/>
      <c r="AD9" s="88"/>
      <c r="AE9" s="88"/>
      <c r="AF9" s="88"/>
      <c r="AG9" s="34"/>
    </row>
    <row r="10" spans="5:33" ht="18" customHeight="1">
      <c r="E10" s="33"/>
      <c r="F10" s="3011"/>
      <c r="G10" s="3011"/>
      <c r="H10" s="3011"/>
      <c r="I10" s="3011"/>
      <c r="J10" s="3011"/>
      <c r="K10" s="3011"/>
      <c r="L10" s="3011"/>
      <c r="M10" s="3011"/>
      <c r="N10" s="3011"/>
      <c r="O10" s="3011"/>
      <c r="P10" s="3011"/>
      <c r="Q10" s="2340"/>
      <c r="R10" s="1190"/>
      <c r="S10" s="1190"/>
      <c r="T10" s="1190"/>
      <c r="U10" s="1190"/>
      <c r="V10" s="1190"/>
      <c r="W10" s="1190"/>
      <c r="X10" s="1190"/>
      <c r="Y10" s="1190"/>
      <c r="Z10" s="88"/>
      <c r="AA10" s="88"/>
      <c r="AB10" s="88"/>
      <c r="AC10" s="88"/>
      <c r="AD10" s="88"/>
      <c r="AE10" s="88"/>
      <c r="AF10" s="88"/>
      <c r="AG10" s="34"/>
    </row>
    <row r="11" spans="5:33" ht="15" customHeight="1">
      <c r="E11" s="33"/>
      <c r="F11" s="3011"/>
      <c r="G11" s="3011"/>
      <c r="H11" s="3011"/>
      <c r="I11" s="3011"/>
      <c r="J11" s="3011"/>
      <c r="K11" s="3011"/>
      <c r="L11" s="3011"/>
      <c r="M11" s="3011"/>
      <c r="N11" s="3011"/>
      <c r="O11" s="3011"/>
      <c r="P11" s="3011"/>
      <c r="Q11" s="2340"/>
      <c r="R11" s="1190"/>
      <c r="S11" s="1190"/>
      <c r="T11" s="3010"/>
      <c r="U11" s="3010"/>
      <c r="V11" s="3010"/>
      <c r="W11" s="3010"/>
      <c r="X11" s="3010"/>
      <c r="Y11" s="3010"/>
      <c r="Z11" s="88"/>
      <c r="AA11" s="88"/>
      <c r="AB11" s="88"/>
      <c r="AC11" s="88"/>
      <c r="AD11" s="88"/>
      <c r="AE11" s="88"/>
      <c r="AF11" s="88"/>
      <c r="AG11" s="34"/>
    </row>
    <row r="12" spans="5:33" ht="15" customHeight="1">
      <c r="E12" s="33"/>
      <c r="F12" s="3011"/>
      <c r="G12" s="3011"/>
      <c r="H12" s="3011"/>
      <c r="I12" s="3011"/>
      <c r="J12" s="3011"/>
      <c r="K12" s="3011"/>
      <c r="L12" s="3011"/>
      <c r="M12" s="3011"/>
      <c r="N12" s="3011"/>
      <c r="O12" s="3011"/>
      <c r="P12" s="3011"/>
      <c r="Q12" s="2340"/>
      <c r="R12" s="1190"/>
      <c r="S12" s="1190"/>
      <c r="T12" s="1190"/>
      <c r="U12" s="1190"/>
      <c r="V12" s="1190"/>
      <c r="W12" s="1190"/>
      <c r="X12" s="1190"/>
      <c r="Y12" s="1190"/>
      <c r="Z12" s="88"/>
      <c r="AA12" s="88"/>
      <c r="AB12" s="88"/>
      <c r="AC12" s="88"/>
      <c r="AD12" s="88"/>
      <c r="AE12" s="88"/>
      <c r="AF12" s="88"/>
      <c r="AG12" s="34"/>
    </row>
    <row r="13" spans="5:33" ht="15" customHeight="1">
      <c r="E13" s="33"/>
      <c r="F13" s="3011"/>
      <c r="G13" s="3011"/>
      <c r="H13" s="3011"/>
      <c r="I13" s="3011"/>
      <c r="J13" s="3011"/>
      <c r="K13" s="3011"/>
      <c r="L13" s="3011"/>
      <c r="M13" s="3011"/>
      <c r="N13" s="3011"/>
      <c r="O13" s="3011"/>
      <c r="P13" s="3011"/>
      <c r="Q13" s="2340"/>
      <c r="R13" s="1190"/>
      <c r="S13" s="1190"/>
      <c r="T13" s="1190"/>
      <c r="U13" s="1190"/>
      <c r="V13" s="1190"/>
      <c r="W13" s="1190"/>
      <c r="X13" s="1190"/>
      <c r="Y13" s="1190"/>
      <c r="Z13" s="88"/>
      <c r="AA13" s="88"/>
      <c r="AB13" s="88"/>
      <c r="AC13" s="88"/>
      <c r="AD13" s="88"/>
      <c r="AE13" s="88"/>
      <c r="AF13" s="88"/>
      <c r="AG13" s="34"/>
    </row>
    <row r="14" spans="5:33" ht="15" customHeight="1">
      <c r="E14" s="33"/>
      <c r="F14" s="2341"/>
      <c r="G14" s="2341"/>
      <c r="H14" s="2341"/>
      <c r="I14" s="2341"/>
      <c r="J14" s="2341"/>
      <c r="K14" s="2341"/>
      <c r="L14" s="2341"/>
      <c r="M14" s="2341"/>
      <c r="N14" s="2341"/>
      <c r="O14" s="2341"/>
      <c r="P14" s="2341"/>
      <c r="Q14" s="2340"/>
      <c r="R14" s="1190"/>
      <c r="S14" s="1190"/>
      <c r="T14" s="1190"/>
      <c r="U14" s="1190"/>
      <c r="V14" s="1190"/>
      <c r="W14" s="1190"/>
      <c r="X14" s="1190"/>
      <c r="Y14" s="1190"/>
      <c r="Z14" s="88"/>
      <c r="AA14" s="88"/>
      <c r="AB14" s="88"/>
      <c r="AC14" s="88"/>
      <c r="AD14" s="88"/>
      <c r="AE14" s="88"/>
      <c r="AF14" s="88"/>
      <c r="AG14" s="34"/>
    </row>
    <row r="15" spans="5:33" ht="15" customHeight="1">
      <c r="E15" s="33"/>
      <c r="F15" s="3011" t="s">
        <v>9</v>
      </c>
      <c r="G15" s="3011"/>
      <c r="H15" s="3011"/>
      <c r="I15" s="3011"/>
      <c r="J15" s="3011"/>
      <c r="K15" s="3011"/>
      <c r="L15" s="3011"/>
      <c r="M15" s="3011"/>
      <c r="N15" s="3011"/>
      <c r="O15" s="3011"/>
      <c r="P15" s="3011"/>
      <c r="Q15" s="2340"/>
      <c r="R15" s="1190"/>
      <c r="S15" s="1190"/>
      <c r="T15" s="1190"/>
      <c r="U15" s="1190"/>
      <c r="V15" s="1190"/>
      <c r="W15" s="1190"/>
      <c r="X15" s="1190"/>
      <c r="Y15" s="1190"/>
      <c r="Z15" s="88"/>
      <c r="AA15" s="88"/>
      <c r="AB15" s="88"/>
      <c r="AC15" s="88"/>
      <c r="AD15" s="88"/>
      <c r="AE15" s="88"/>
      <c r="AF15" s="88"/>
      <c r="AG15" s="34"/>
    </row>
    <row r="16" spans="5:33" ht="15" customHeight="1">
      <c r="E16" s="33"/>
      <c r="F16" s="3011"/>
      <c r="G16" s="3011"/>
      <c r="H16" s="3011"/>
      <c r="I16" s="3011"/>
      <c r="J16" s="3011"/>
      <c r="K16" s="3011"/>
      <c r="L16" s="3011"/>
      <c r="M16" s="3011"/>
      <c r="N16" s="3011"/>
      <c r="O16" s="3011"/>
      <c r="P16" s="3011"/>
      <c r="Q16" s="2340"/>
      <c r="R16" s="1190"/>
      <c r="S16" s="1190"/>
      <c r="T16" s="1190"/>
      <c r="U16" s="1190"/>
      <c r="V16" s="1190"/>
      <c r="W16" s="1190"/>
      <c r="X16" s="1190"/>
      <c r="Y16" s="1190"/>
      <c r="Z16" s="88"/>
      <c r="AA16" s="88"/>
      <c r="AB16" s="88"/>
      <c r="AC16" s="88"/>
      <c r="AD16" s="88"/>
      <c r="AE16" s="88"/>
      <c r="AF16" s="88"/>
      <c r="AG16" s="34"/>
    </row>
    <row r="17" spans="5:33" ht="15" customHeight="1">
      <c r="E17" s="33"/>
      <c r="F17" s="3011"/>
      <c r="G17" s="3011"/>
      <c r="H17" s="3011"/>
      <c r="I17" s="3011"/>
      <c r="J17" s="3011"/>
      <c r="K17" s="3011"/>
      <c r="L17" s="3011"/>
      <c r="M17" s="3011"/>
      <c r="N17" s="3011"/>
      <c r="O17" s="3011"/>
      <c r="P17" s="3011"/>
      <c r="Q17" s="2340"/>
      <c r="R17" s="1190"/>
      <c r="S17" s="1190"/>
      <c r="T17" s="1190"/>
      <c r="U17" s="1190"/>
      <c r="V17" s="1190"/>
      <c r="W17" s="1190"/>
      <c r="X17" s="1190"/>
      <c r="Y17" s="1190"/>
      <c r="Z17" s="88"/>
      <c r="AA17" s="88"/>
      <c r="AB17" s="88"/>
      <c r="AC17" s="88"/>
      <c r="AD17" s="88"/>
      <c r="AE17" s="88"/>
      <c r="AF17" s="88"/>
      <c r="AG17" s="34"/>
    </row>
    <row r="18" spans="5:33" ht="18" customHeight="1">
      <c r="E18" s="33"/>
      <c r="F18" s="2341"/>
      <c r="G18" s="2341"/>
      <c r="H18" s="2341"/>
      <c r="I18" s="2341"/>
      <c r="J18" s="2341"/>
      <c r="K18" s="2341"/>
      <c r="L18" s="2341"/>
      <c r="M18" s="2341"/>
      <c r="N18" s="2341"/>
      <c r="O18" s="2341"/>
      <c r="P18" s="2341"/>
      <c r="Q18" s="2340"/>
      <c r="R18" s="1190"/>
      <c r="S18" s="1190"/>
      <c r="T18" s="1190"/>
      <c r="U18" s="1190"/>
      <c r="V18" s="1190"/>
      <c r="W18" s="1190"/>
      <c r="X18" s="1190"/>
      <c r="Y18" s="1190"/>
      <c r="Z18" s="88"/>
      <c r="AA18" s="88"/>
      <c r="AB18" s="88"/>
      <c r="AC18" s="88"/>
      <c r="AD18" s="88"/>
      <c r="AE18" s="88"/>
      <c r="AF18" s="88"/>
      <c r="AG18" s="34"/>
    </row>
    <row r="19" spans="5:47" ht="15" customHeight="1">
      <c r="E19" s="33"/>
      <c r="F19" s="2341"/>
      <c r="G19" s="2341"/>
      <c r="H19" s="2341"/>
      <c r="I19" s="2341"/>
      <c r="J19" s="2341"/>
      <c r="K19" s="2341"/>
      <c r="L19" s="2341"/>
      <c r="M19" s="2341"/>
      <c r="N19" s="2341"/>
      <c r="O19" s="2341"/>
      <c r="P19" s="2341"/>
      <c r="Q19" s="2340"/>
      <c r="R19" s="88"/>
      <c r="S19" s="88"/>
      <c r="T19" s="88"/>
      <c r="U19" s="88"/>
      <c r="V19" s="88"/>
      <c r="W19" s="88"/>
      <c r="X19" s="88"/>
      <c r="Y19" s="88"/>
      <c r="Z19" s="88"/>
      <c r="AA19" s="88"/>
      <c r="AB19" s="88"/>
      <c r="AC19" s="88"/>
      <c r="AD19" s="88"/>
      <c r="AE19" s="88"/>
      <c r="AF19" s="88"/>
      <c r="AG19" s="34"/>
      <c r="AR19" s="88" t="s">
        <v>10</v>
      </c>
      <c r="AS19" s="1193" t="e">
        <f ca="1">AU19-1</f>
        <v>#NAME?</v>
      </c>
      <c r="AT19" s="88"/>
      <c r="AU19" s="1193" t="e">
        <f ca="1">YEAR(AU20)</f>
        <v>#NAME?</v>
      </c>
    </row>
    <row r="20" spans="5:47" ht="15" customHeight="1">
      <c r="E20" s="33"/>
      <c r="F20" s="2341"/>
      <c r="G20" s="2341"/>
      <c r="H20" s="2341"/>
      <c r="I20" s="2341"/>
      <c r="J20" s="2341"/>
      <c r="K20" s="2341"/>
      <c r="L20" s="2341"/>
      <c r="M20" s="2341"/>
      <c r="N20" s="2341"/>
      <c r="O20" s="2341"/>
      <c r="P20" s="2341"/>
      <c r="Q20" s="88"/>
      <c r="R20" s="88"/>
      <c r="S20" s="88"/>
      <c r="T20" s="88"/>
      <c r="U20" s="88"/>
      <c r="V20" s="88"/>
      <c r="W20" s="88"/>
      <c r="X20" s="88"/>
      <c r="Y20" s="88"/>
      <c r="Z20" s="88"/>
      <c r="AA20" s="88"/>
      <c r="AB20" s="88"/>
      <c r="AC20" s="88"/>
      <c r="AD20" s="88"/>
      <c r="AE20" s="88"/>
      <c r="AF20" s="88"/>
      <c r="AG20" s="34"/>
      <c r="AR20" s="1169" t="s">
        <v>11</v>
      </c>
      <c r="AS20" s="1192" t="e" cm="1">
        <f t="array" ca="1" aca="1" ref="AS20">EOMONTH(val_currentFYE,-12)</f>
        <v>#NAME?</v>
      </c>
      <c r="AT20" s="88"/>
      <c r="AU20" s="1192" t="e" cm="1">
        <f t="array" ca="1" aca="1" ref="AU20">val_currentFYE</f>
        <v>#NAME?</v>
      </c>
    </row>
    <row r="21" spans="5:47" ht="15" customHeight="1">
      <c r="E21" s="33"/>
      <c r="F21" s="2341"/>
      <c r="G21" s="2341"/>
      <c r="H21" s="2341"/>
      <c r="I21" s="2341"/>
      <c r="J21" s="2341"/>
      <c r="K21" s="2341"/>
      <c r="L21" s="2341"/>
      <c r="M21" s="2341"/>
      <c r="N21" s="2341"/>
      <c r="O21" s="2341"/>
      <c r="P21" s="2341"/>
      <c r="Q21" s="88"/>
      <c r="R21" s="88"/>
      <c r="S21" s="88"/>
      <c r="T21" s="88"/>
      <c r="U21" s="88"/>
      <c r="V21" s="88"/>
      <c r="W21" s="88"/>
      <c r="X21" s="1144"/>
      <c r="Y21" s="88"/>
      <c r="Z21" s="88"/>
      <c r="AA21" s="88"/>
      <c r="AB21" s="88"/>
      <c r="AC21" s="88"/>
      <c r="AD21" s="88"/>
      <c r="AE21" s="88"/>
      <c r="AF21" s="88"/>
      <c r="AG21" s="34"/>
      <c r="AR21" s="1169" t="s">
        <v>12</v>
      </c>
      <c r="AS21" s="1192" t="e">
        <f ca="1">EOMONTH(AS20,-12)+1</f>
        <v>#NAME?</v>
      </c>
      <c r="AT21" s="88"/>
      <c r="AU21" s="1192" t="e">
        <f ca="1">EOMONTH(AU20,-12)+1</f>
        <v>#NAME?</v>
      </c>
    </row>
    <row r="22" spans="5:33" ht="15.5">
      <c r="E22" s="33"/>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34"/>
    </row>
    <row r="23" spans="5:33" ht="15.5">
      <c r="E23" s="33"/>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34"/>
    </row>
    <row r="24" spans="5:33" ht="15.5">
      <c r="E24" s="33"/>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34"/>
    </row>
    <row r="25" spans="5:33" ht="15.5">
      <c r="E25" s="33"/>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34"/>
    </row>
    <row r="26" spans="5:33" ht="15.5">
      <c r="E26" s="33"/>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34"/>
    </row>
    <row r="27" spans="5:33" ht="15.5">
      <c r="E27" s="33"/>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34"/>
    </row>
    <row r="28" spans="5:33" ht="15.5">
      <c r="E28" s="33"/>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34"/>
    </row>
    <row r="29" spans="5:33" ht="15.5">
      <c r="E29" s="33"/>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34"/>
    </row>
    <row r="30" spans="5:33" ht="15.5">
      <c r="E30" s="33"/>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34"/>
    </row>
    <row r="31" spans="5:33" ht="15.5">
      <c r="E31" s="33"/>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34"/>
    </row>
    <row r="32" spans="5:47" ht="15.5">
      <c r="E32" s="33"/>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34"/>
      <c r="AQ32" s="1474" t="e">
        <f ca="1">"AS OF "&amp;UPPER(TEXT(val_asOfDate,"mmm-yy"))&amp;" ("&amp;val_reportingCurrency&amp;" M)"</f>
        <v>#NAME?</v>
      </c>
      <c r="AR32" s="1474"/>
      <c r="AS32" s="1474"/>
      <c r="AT32" s="1474"/>
      <c r="AU32" s="1474"/>
    </row>
    <row r="33" spans="5:47" ht="15.5">
      <c r="E33" s="33"/>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34"/>
      <c r="AQ33" s="1475" t="s">
        <v>13</v>
      </c>
      <c r="AR33" s="1475" t="s">
        <v>14</v>
      </c>
      <c r="AS33" s="1475" t="e">
        <f ca="1">PL!$CE$12</f>
        <v>#NAME?</v>
      </c>
      <c r="AT33" s="1475" t="e">
        <f ca="1">PL!CN12</f>
        <v>#NAME?</v>
      </c>
      <c r="AU33" s="1475" t="e">
        <f ca="1">PL!CQ12</f>
        <v>#NAME?</v>
      </c>
    </row>
    <row r="34" spans="5:47" ht="15.5">
      <c r="E34" s="33"/>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34"/>
      <c r="AQ34" s="1863" t="s">
        <v>15</v>
      </c>
      <c r="AR34" s="1863" t="s">
        <v>16</v>
      </c>
      <c r="AS34" s="1864"/>
      <c r="AT34" s="3171" cm="1">
        <f t="array" ref="AT34">_xlfn.LET(_xlpm.Res,IFBLANK(PL!$CN$148,PL!$CM$148),IF(_xlpm.Res="","-",_xlpm.Res*fxVal_normal/1000000))</f>
        <v>1</v>
      </c>
      <c r="AU34" s="3171" cm="1">
        <f t="array" ref="AU34">_xlfn.LET(_xlpm.Res,IFBLANK(PL!$CQ$148,PL!$CP$148),IF(_xlpm.Res="","-",_xlpm.Res*fxVal_normal/1000000))</f>
        <v>1</v>
      </c>
    </row>
    <row r="35" spans="5:47" ht="15.5">
      <c r="E35" s="33"/>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34"/>
      <c r="AQ35" s="88" t="s">
        <v>15</v>
      </c>
      <c r="AR35" s="88" t="s">
        <v>17</v>
      </c>
      <c r="AS35" s="1866"/>
      <c r="AT35" s="3172" cm="1">
        <f t="array" ref="AT35">_xlfn.LET(_xlpm.Res,IFBLANK(PL!$CN$162,PL!$CM$162),IF(_xlpm.Res="","-",_xlpm.Res*fxVal_normal/1000000))</f>
        <v>1</v>
      </c>
      <c r="AU35" s="3172" cm="1">
        <f t="array" ref="AU35">_xlfn.LET(_xlpm.Res,IFBLANK(PL!$CQ$162,PL!$CP$162),IF(_xlpm.Res="","-",_xlpm.Res*fxVal_normal/1000000))</f>
        <v>1</v>
      </c>
    </row>
    <row r="36" spans="5:47" ht="15.5">
      <c r="E36" s="33"/>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34"/>
      <c r="AQ36" s="88" t="s">
        <v>15</v>
      </c>
      <c r="AR36" s="88" t="s">
        <v>18</v>
      </c>
      <c r="AS36" s="1866"/>
      <c r="AT36" s="3172" cm="1">
        <f t="array" ref="AT36">_xlfn.LET(_xlpm.Res,IFBLANK(PL!$CN$176,PL!$CM$176),IF(_xlpm.Res="","-",_xlpm.Res*fxVal_normal/1000000))</f>
        <v>1</v>
      </c>
      <c r="AU36" s="3172" cm="1">
        <f t="array" ref="AU36">_xlfn.LET(_xlpm.Res,IFBLANK(PL!$CQ$176,PL!$CP$176),IF(_xlpm.Res="","-",_xlpm.Res*fxVal_normal/1000000))</f>
        <v>1</v>
      </c>
    </row>
    <row r="37" spans="5:47" ht="15.5">
      <c r="E37" s="33"/>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34"/>
      <c r="AQ37" s="88" t="s">
        <v>19</v>
      </c>
      <c r="AR37" s="88" t="s">
        <v>16</v>
      </c>
      <c r="AS37" s="1867" t="e" cm="1">
        <f t="array" ca="1" aca="1" ref="AS37">IF(OR(_xlfn.VSTACK(PL!$CE$154,PL!$CE$147)=""),"-",IFERROR((PL!$CE$154-PL!$CE$147)*fxVal_normal/1000000,"-"))</f>
        <v>#NAME?</v>
      </c>
      <c r="AT37" s="3172" cm="1">
        <f t="array" ref="AT37">_xlfn.LET(_xlpm.Res,IFBLANK(PL!$CN$149,PL!$CM$149),IF(_xlpm.Res="","-",_xlpm.Res*fxVal_normal/1000000))</f>
        <v>1</v>
      </c>
      <c r="AU37" s="3172" cm="1">
        <f t="array" ref="AU37">_xlfn.LET(_xlpm.Res,IFBLANK(PL!$CQ$149,PL!$CP$149),IF(_xlpm.Res="","-",_xlpm.Res*fxVal_normal/1000000))</f>
        <v>1</v>
      </c>
    </row>
    <row r="38" spans="5:47" ht="15.5">
      <c r="E38" s="33"/>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34"/>
      <c r="AQ38" s="88" t="s">
        <v>19</v>
      </c>
      <c r="AR38" s="88" t="s">
        <v>17</v>
      </c>
      <c r="AS38" s="1867" t="e" cm="1">
        <f t="array" ca="1" aca="1" ref="AS38">IF(OR(_xlfn.VSTACK(PL!$CE$168,PL!$CE$161)=""),"-",IFERROR((PL!$CE$168-PL!$CE$161)*fxVal_normal/1000000,"-"))</f>
        <v>#NAME?</v>
      </c>
      <c r="AT38" s="3172" cm="1">
        <f t="array" ref="AT38">_xlfn.LET(_xlpm.Res,IFBLANK(PL!$CN$163,PL!$CM$163),IF(_xlpm.Res="","-",_xlpm.Res*fxVal_normal/1000000))</f>
        <v>1</v>
      </c>
      <c r="AU38" s="3172" cm="1">
        <f t="array" ref="AU38">_xlfn.LET(_xlpm.Res,IFBLANK(PL!$CQ$163,PL!$CP$163),IF(_xlpm.Res="","-",_xlpm.Res*fxVal_normal/1000000))</f>
        <v>1</v>
      </c>
    </row>
    <row r="39" spans="5:47" ht="15.5">
      <c r="E39" s="33"/>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34"/>
      <c r="AQ39" s="1868" t="s">
        <v>19</v>
      </c>
      <c r="AR39" s="1868" t="s">
        <v>18</v>
      </c>
      <c r="AS39" s="1869" t="e" cm="1">
        <f t="array" ca="1" aca="1" ref="AS39">IF(OR(_xlfn.VSTACK(PL!$CE$182,PL!$CE$175)=""),"-",(PL!$CE$182-PL!$CE$175)*fxVal_normal/1000000)</f>
        <v>#NAME?</v>
      </c>
      <c r="AT39" s="3173" cm="1">
        <f t="array" ref="AT39">_xlfn.LET(_xlpm.Res,IFBLANK(PL!$CN$177,PL!$CM$177),IF(_xlpm.Res="","-",_xlpm.Res*fxVal_normal/1000000))</f>
        <v>1</v>
      </c>
      <c r="AU39" s="3173" cm="1">
        <f t="array" ref="AU39">_xlfn.LET(_xlpm.Res,IFBLANK(PL!$CQ$177,PL!$CP$177),IF(_xlpm.Res="","-",_xlpm.Res*fxVal_normal/1000000))</f>
        <v>1</v>
      </c>
    </row>
    <row r="40" spans="5:47" ht="15.5">
      <c r="E40" s="33"/>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34"/>
      <c r="AS40" s="1476"/>
      <c r="AT40" s="1476"/>
      <c r="AU40" s="1476"/>
    </row>
    <row r="41" spans="5:33" ht="15.5">
      <c r="E41" s="33"/>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34"/>
    </row>
    <row r="42" spans="5:33" ht="15.5">
      <c r="E42" s="33"/>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34"/>
    </row>
    <row r="43" spans="5:33" ht="15.5">
      <c r="E43" s="33"/>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34"/>
    </row>
    <row r="44" spans="5:33" ht="15.5">
      <c r="E44" s="33"/>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34"/>
    </row>
    <row r="45" spans="5:33" ht="15.5">
      <c r="E45" s="33"/>
      <c r="F45" s="88"/>
      <c r="G45" s="88"/>
      <c r="H45" s="88"/>
      <c r="I45" s="88"/>
      <c r="J45" s="88"/>
      <c r="K45" s="88"/>
      <c r="L45" s="88"/>
      <c r="M45" s="88"/>
      <c r="N45" s="88"/>
      <c r="O45" s="88"/>
      <c r="P45" s="88"/>
      <c r="Q45" s="88"/>
      <c r="R45" s="88"/>
      <c r="S45" s="88"/>
      <c r="T45" s="88"/>
      <c r="U45" s="88"/>
      <c r="V45" s="88"/>
      <c r="W45" s="88"/>
      <c r="X45" s="88"/>
      <c r="Y45" s="88"/>
      <c r="Z45" s="34"/>
      <c r="AA45" s="88"/>
      <c r="AB45" s="88"/>
      <c r="AC45" s="88"/>
      <c r="AD45" s="88"/>
      <c r="AE45" s="88"/>
      <c r="AF45" s="88"/>
      <c r="AG45" s="34"/>
    </row>
    <row r="46" spans="5:33" ht="15.5">
      <c r="E46" s="33"/>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34"/>
    </row>
    <row r="47" spans="5:33" ht="15.5">
      <c r="E47" s="33"/>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34"/>
    </row>
    <row r="48" spans="5:33" ht="15.5">
      <c r="E48" s="33"/>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34"/>
    </row>
    <row r="49" spans="5:33" ht="15.5">
      <c r="E49" s="33"/>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34"/>
    </row>
    <row r="50" spans="5:33" ht="15.5">
      <c r="E50" s="33"/>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34"/>
    </row>
    <row r="51" spans="5:33" ht="15.5">
      <c r="E51" s="33"/>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34"/>
    </row>
    <row r="52" spans="5:33" ht="23">
      <c r="E52" s="33"/>
      <c r="F52" s="1872" t="s">
        <v>20</v>
      </c>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34"/>
    </row>
    <row r="53" spans="5:33" ht="15.5">
      <c r="E53" s="33"/>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34"/>
    </row>
    <row r="54" spans="5:33" ht="15.5">
      <c r="E54" s="33"/>
      <c r="F54" s="136"/>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34"/>
    </row>
    <row r="55" spans="5:33" ht="15.5">
      <c r="E55" s="33"/>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34"/>
    </row>
    <row r="56" spans="5:33" ht="15.5">
      <c r="E56" s="33"/>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34"/>
    </row>
    <row r="57" spans="5:33" ht="15.5">
      <c r="E57" s="33"/>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34"/>
    </row>
    <row r="58" spans="5:33" ht="15.5">
      <c r="E58" s="33"/>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34"/>
    </row>
    <row r="59" spans="5:33" ht="15.5">
      <c r="E59" s="33"/>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34"/>
    </row>
    <row r="60" spans="5:33" ht="15.5">
      <c r="E60" s="33"/>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34"/>
    </row>
    <row r="61" spans="5:33" ht="15.5">
      <c r="E61" s="33"/>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34"/>
    </row>
    <row r="62" spans="5:33" ht="15.5">
      <c r="E62" s="33"/>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34"/>
    </row>
    <row r="63" spans="5:33" ht="15.5">
      <c r="E63" s="33"/>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34"/>
    </row>
    <row r="64" spans="5:33" ht="15.5">
      <c r="E64" s="33"/>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34"/>
    </row>
    <row r="65" spans="5:33" ht="15.5">
      <c r="E65" s="33"/>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34"/>
    </row>
    <row r="66" spans="5:33" ht="15.5">
      <c r="E66" s="33"/>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34"/>
    </row>
    <row r="67" spans="5:33" ht="15.5">
      <c r="E67" s="33"/>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34"/>
    </row>
    <row r="68" spans="5:33" ht="15.5">
      <c r="E68" s="33"/>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34"/>
    </row>
    <row r="69" spans="5:33" ht="15.5">
      <c r="E69" s="33"/>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34"/>
    </row>
    <row r="70" spans="5:33" ht="15.5">
      <c r="E70" s="33"/>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34"/>
    </row>
    <row r="71" spans="5:33" ht="15.5">
      <c r="E71" s="33"/>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34"/>
    </row>
    <row r="72" spans="5:33" ht="15.5">
      <c r="E72" s="33"/>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34"/>
    </row>
    <row r="73" spans="5:33" ht="15.5">
      <c r="E73" s="33"/>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34"/>
    </row>
    <row r="74" spans="5:33" ht="15.5">
      <c r="E74" s="33"/>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34"/>
    </row>
    <row r="75" spans="5:33" ht="15.5">
      <c r="E75" s="33"/>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34"/>
    </row>
    <row r="76" spans="5:33" ht="15.5">
      <c r="E76" s="33"/>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34"/>
    </row>
    <row r="77" spans="5:33" ht="15.5">
      <c r="E77" s="33"/>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34"/>
    </row>
    <row r="78" spans="5:33" ht="15.5">
      <c r="E78" s="33"/>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34"/>
    </row>
    <row r="79" spans="5:33" ht="15.5">
      <c r="E79" s="33"/>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34"/>
    </row>
    <row r="80" spans="5:33" ht="15.5">
      <c r="E80" s="33"/>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34"/>
    </row>
    <row r="81" spans="5:33" ht="15.5">
      <c r="E81" s="33"/>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34"/>
    </row>
    <row r="82" spans="5:33" ht="15.5">
      <c r="E82" s="33"/>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34"/>
    </row>
    <row r="83" spans="5:33" ht="15.5">
      <c r="E83" s="33"/>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34"/>
    </row>
    <row r="84" spans="5:33" ht="15.5">
      <c r="E84" s="33"/>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34"/>
    </row>
    <row r="85" spans="5:33" ht="15.5">
      <c r="E85" s="33"/>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34"/>
    </row>
    <row r="86" spans="5:33" ht="30.75" customHeight="1">
      <c r="E86" s="33"/>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34"/>
    </row>
    <row r="87" spans="5:33" ht="15.5">
      <c r="E87" s="33"/>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34"/>
    </row>
    <row r="88" spans="5:33" ht="15.5">
      <c r="E88" s="33"/>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34"/>
    </row>
    <row r="89" spans="5:33" ht="23">
      <c r="E89" s="33"/>
      <c r="F89" s="1872" t="s">
        <v>21</v>
      </c>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34"/>
    </row>
    <row r="90" spans="5:33" ht="22.5">
      <c r="E90" s="33"/>
      <c r="F90" s="233"/>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34"/>
    </row>
    <row r="91" spans="5:33" ht="23">
      <c r="E91" s="33"/>
      <c r="F91" s="1872"/>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34"/>
    </row>
    <row r="92" spans="5:33" ht="15.5">
      <c r="E92" s="33"/>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34"/>
    </row>
    <row r="93" spans="5:33" ht="15.5">
      <c r="E93" s="33"/>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34"/>
    </row>
    <row r="94" spans="5:33" ht="15.5">
      <c r="E94" s="33"/>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34"/>
    </row>
    <row r="95" spans="5:33" ht="15.5">
      <c r="E95" s="33"/>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34"/>
    </row>
    <row r="96" spans="5:33" ht="15.5">
      <c r="E96" s="33"/>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34"/>
    </row>
    <row r="97" spans="5:33" ht="15.5">
      <c r="E97" s="33"/>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34"/>
    </row>
    <row r="98" spans="5:33" ht="15.5">
      <c r="E98" s="33"/>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34"/>
    </row>
    <row r="99" spans="5:33" ht="15.5">
      <c r="E99" s="33"/>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34"/>
    </row>
    <row r="100" spans="5:33" ht="15.5">
      <c r="E100" s="33"/>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34"/>
    </row>
    <row r="101" spans="5:33" ht="15.5">
      <c r="E101" s="33"/>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34"/>
    </row>
    <row r="102" spans="5:33" ht="15.5">
      <c r="E102" s="33"/>
      <c r="F102" s="88"/>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34"/>
    </row>
    <row r="103" spans="5:33" ht="15.5">
      <c r="E103" s="33"/>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34"/>
    </row>
    <row r="104" spans="5:33" ht="15.5">
      <c r="E104" s="33"/>
      <c r="F104" s="88"/>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34"/>
    </row>
    <row r="105" spans="5:33" ht="15.5">
      <c r="E105" s="40"/>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41"/>
    </row>
  </sheetData>
  <sheetProtection formatColumns="0" formatRows="0" autoFilter="0" pivotTables="0"/>
  <mergeCells count="4">
    <mergeCell ref="T11:Y11"/>
    <mergeCell ref="F9:P13"/>
    <mergeCell ref="F15:P17"/>
    <mergeCell ref="K3:N5"/>
  </mergeCells>
  <conditionalFormatting sqref="AS19 AU19">
    <cfRule type="expression" priority="9275" dxfId="4112">
      <formula>#REF!=2</formula>
    </cfRule>
    <cfRule type="expression" priority="9276" dxfId="4111">
      <formula>#REF!=1</formula>
    </cfRule>
  </conditionalFormatting>
  <pageMargins left="0.7" right="0.7" top="0.75" bottom="0.75" header="0.3" footer="0.3"/>
  <pageSetup orientation="portrait" paperSize="9" r:id="rId3"/>
  <drawing r:id="rId1"/>
  <picture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48E5F7-78A8-E246-9753-32B16CA5579A}">
  <sheetPr codeName="Sheet5">
    <tabColor rgb="FF92D050"/>
  </sheetPr>
  <dimension ref="A1:FB339"/>
  <sheetViews>
    <sheetView zoomScale="70" zoomScaleNormal="70" workbookViewId="0" topLeftCell="AM1">
      <selection pane="topLeft" activeCell="CP236" activeCellId="1" sqref="CM236:CN241 CP236:CQ241"/>
    </sheetView>
  </sheetViews>
  <sheetFormatPr defaultColWidth="8.99777777777778" defaultRowHeight="15.5" outlineLevelCol="1"/>
  <cols>
    <col min="1" max="1" width="48.7777777777778" hidden="1" customWidth="1" outlineLevel="1"/>
    <col min="2" max="2" width="56.6666666666667" hidden="1" customWidth="1" outlineLevel="1"/>
    <col min="3" max="3" width="46.7777777777778" hidden="1" customWidth="1" outlineLevel="1"/>
    <col min="4" max="4" width="30.8888888888889" hidden="1" customWidth="1" outlineLevel="1"/>
    <col min="5" max="5" width="42.4444444444444" style="37" hidden="1" customWidth="1" outlineLevel="1"/>
    <col min="6" max="6" width="29.8888888888889" style="37" hidden="1" customWidth="1" outlineLevel="1"/>
    <col min="7" max="7" width="24.2222222222222" style="37" hidden="1" customWidth="1" outlineLevel="1"/>
    <col min="8" max="8" width="11.2222222222222" hidden="1" customWidth="1" outlineLevel="1" collapsed="1"/>
    <col min="9" max="9" width="13.2222222222222" hidden="1" customWidth="1" outlineLevel="1"/>
    <col min="10" max="10" width="12.6666666666667" hidden="1" customWidth="1" outlineLevel="1"/>
    <col min="11" max="11" width="15.4444444444444" hidden="1" customWidth="1" outlineLevel="1"/>
    <col min="12" max="13" width="2" hidden="1" customWidth="1" outlineLevel="1"/>
    <col min="14" max="14" width="6.44444444444444" customWidth="1" collapsed="1"/>
    <col min="15" max="15" width="1.44444444444444" customWidth="1" outlineLevel="1"/>
    <col min="16" max="17" width="2.66666666666667" customWidth="1" outlineLevel="1"/>
    <col min="18" max="18" width="1.44444444444444" customWidth="1" outlineLevel="1"/>
    <col min="19" max="19" width="34.2222222222222" customWidth="1" outlineLevel="1"/>
    <col min="20" max="20" width="53" customWidth="1" outlineLevel="1"/>
    <col min="21" max="21" width="1.44444444444444" customWidth="1" outlineLevel="1"/>
    <col min="22" max="22" width="1.66666666666667" customWidth="1"/>
    <col min="23" max="23" width="14.2222222222222" customWidth="1"/>
    <col min="24" max="24" width="4.44444444444444" customWidth="1"/>
    <col min="25" max="25" width="44.6666666666667" customWidth="1"/>
    <col min="26" max="26" width="4.88888888888889" customWidth="1"/>
    <col min="27" max="27" width="6.55555555555556" customWidth="1"/>
    <col min="28" max="28" width="44.6666666666667" customWidth="1"/>
    <col min="29" max="29" width="12.7777777777778" customWidth="1"/>
    <col min="30" max="35" width="17.8888888888889" customWidth="1"/>
    <col min="36" max="36" width="17.8888888888889" customWidth="1" collapsed="1"/>
    <col min="37" max="53" width="17.8888888888889" customWidth="1"/>
    <col min="54" max="54" width="17.8888888888889" customWidth="1" collapsed="1"/>
    <col min="55" max="66" width="17.8888888888889" customWidth="1"/>
    <col min="67" max="78" width="4.44444444444444" customWidth="1" outlineLevel="1"/>
    <col min="79" max="79" width="4" customWidth="1"/>
    <col min="80" max="81" width="1.44444444444444" customWidth="1"/>
    <col min="82" max="83" width="17.8888888888889" customWidth="1"/>
    <col min="84" max="84" width="1.44444444444444" customWidth="1"/>
    <col min="85" max="86" width="17.8888888888889" customWidth="1"/>
    <col min="87" max="87" width="1.44444444444444" customWidth="1"/>
    <col min="88" max="89" width="17.8888888888889" customWidth="1"/>
    <col min="90" max="90" width="1.44444444444444" customWidth="1"/>
    <col min="91" max="91" width="19.5555555555556" customWidth="1"/>
    <col min="92" max="92" width="17.8888888888889" customWidth="1"/>
    <col min="93" max="93" width="1.44444444444444" customWidth="1"/>
    <col min="94" max="95" width="17.8888888888889" customWidth="1"/>
    <col min="96" max="96" width="1.44444444444444" customWidth="1"/>
    <col min="97" max="97" width="16.8888888888889" customWidth="1"/>
    <col min="98" max="98" width="23.4444444444444" customWidth="1" outlineLevel="1"/>
    <col min="99" max="99" width="17.1111111111111" customWidth="1" outlineLevel="1"/>
    <col min="100" max="100" width="16.2222222222222" customWidth="1" outlineLevel="1"/>
    <col min="101" max="101" width="14.8888888888889" customWidth="1" outlineLevel="1"/>
    <col min="102" max="102" width="4" style="115" customWidth="1" outlineLevel="1"/>
    <col min="103" max="106" width="14.8888888888889" customWidth="1" outlineLevel="1"/>
    <col min="107" max="107" width="4" style="115" customWidth="1" outlineLevel="1"/>
    <col min="108" max="144" width="14.8888888888889" customWidth="1" outlineLevel="1"/>
    <col min="145" max="146" width="9" customWidth="1" outlineLevel="1"/>
    <col min="147" max="147" width="9" customWidth="1"/>
  </cols>
  <sheetData>
    <row r="1" spans="1:29 87:87" ht="5.5" customHeight="1">
      <c r="A1" s="2378" t="s">
        <v>1857</v>
      </c>
      <c r="B1" t="s">
        <v>1856</v>
      </c>
      <c r="C1" s="2379"/>
      <c r="H1" s="37"/>
      <c r="I1" s="37"/>
      <c r="J1" s="37"/>
      <c r="K1" s="37"/>
      <c r="N1" s="115"/>
      <c r="W1" s="37"/>
      <c r="X1" s="880"/>
      <c r="Z1" s="765"/>
      <c r="AC1" s="37"/>
      <c r="CI1" s="108"/>
    </row>
    <row r="2" spans="1:29 87:87" ht="9" customHeight="1" hidden="1">
      <c r="A2" s="2378"/>
      <c r="B2" s="2379"/>
      <c r="C2" s="2379"/>
      <c r="H2" s="37"/>
      <c r="I2" s="37"/>
      <c r="J2" s="37"/>
      <c r="K2" s="37"/>
      <c r="N2" s="115"/>
      <c r="W2" s="37"/>
      <c r="X2" s="880"/>
      <c r="Z2" s="765"/>
      <c r="AC2" s="37"/>
      <c r="CI2" s="108"/>
    </row>
    <row r="3" spans="1:96" ht="4.15" customHeight="1" collapsed="1">
      <c r="A3" s="2380"/>
      <c r="B3" s="2617"/>
      <c r="C3" s="2379"/>
      <c r="D3" s="2381"/>
      <c r="G3" s="2382"/>
      <c r="H3" s="37"/>
      <c r="I3" s="37"/>
      <c r="J3" s="37"/>
      <c r="K3" s="37"/>
      <c r="N3" s="3043" t="s">
        <v>23</v>
      </c>
      <c r="O3" s="15"/>
      <c r="P3" s="15"/>
      <c r="Q3" s="15"/>
      <c r="R3" s="15"/>
      <c r="S3" s="15"/>
      <c r="T3" s="152"/>
      <c r="U3" s="38"/>
      <c r="W3" s="142"/>
      <c r="X3" s="881"/>
      <c r="Y3" s="143"/>
      <c r="Z3" s="766"/>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15"/>
      <c r="CP3" s="15"/>
      <c r="CQ3" s="15"/>
      <c r="CR3" s="38"/>
    </row>
    <row r="4" spans="5:96" ht="30.65" customHeight="1">
      <c r="E4" s="147"/>
      <c r="H4" s="37"/>
      <c r="I4" s="37"/>
      <c r="J4" s="37"/>
      <c r="K4" s="37"/>
      <c r="L4" s="37"/>
      <c r="N4" s="3044"/>
      <c r="O4" s="3008" t="e" vm="2" cm="1">
        <f t="array" ref="O4">IF(LEFT($A$1,3)="unp",icon_unlock,icon_lock)</f>
        <v>#VALUE!</v>
      </c>
      <c r="P4" s="3008"/>
      <c r="Q4" s="3008"/>
      <c r="R4" s="153"/>
      <c r="S4" s="153" t="e" vm="3">
        <v>#VALUE!</v>
      </c>
      <c r="T4" s="153"/>
      <c r="U4" s="39"/>
      <c r="W4" s="767"/>
      <c r="X4" s="882"/>
      <c r="Y4" s="1358" t="e" vm="1">
        <f ca="1">_xlfn.IMAGE(INDEX(PM_Support[COMPANY_LOGO_URL],MATCH(val_company,PM_Support[COMPANY_NAME],0)))</f>
        <v>#VALUE!</v>
      </c>
      <c r="Z4" s="768"/>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101"/>
      <c r="CP4" s="2383"/>
      <c r="CQ4" s="2383"/>
      <c r="CR4" s="39"/>
    </row>
    <row r="5" spans="3:108" ht="25.15" customHeight="1">
      <c r="C5" s="2379"/>
      <c r="H5" s="37"/>
      <c r="I5" s="37"/>
      <c r="J5" s="37"/>
      <c r="K5" s="37"/>
      <c r="N5" s="3044"/>
      <c r="O5" s="101"/>
      <c r="P5" s="153"/>
      <c r="Q5" s="101"/>
      <c r="R5" s="153"/>
      <c r="S5" s="1605" t="s">
        <v>25</v>
      </c>
      <c r="T5" s="1605"/>
      <c r="U5" s="39"/>
      <c r="W5" s="767"/>
      <c r="X5" s="996"/>
      <c r="Y5" s="264" t="s">
        <v>26</v>
      </c>
      <c r="Z5" s="989"/>
      <c r="AA5" s="551"/>
      <c r="AB5" s="560"/>
      <c r="AC5" s="126"/>
      <c r="AD5" s="126"/>
      <c r="AE5" s="35" t="str">
        <f>CX_ENTITY</f>
        <v>W06f9Irq7</v>
      </c>
      <c r="AF5" s="101"/>
      <c r="AG5" s="35" t="s">
        <v>27</v>
      </c>
      <c r="AH5" s="2"/>
      <c r="AI5" s="101"/>
      <c r="AJ5" s="35" t="s">
        <v>28</v>
      </c>
      <c r="AK5" s="35" t="s">
        <v>29</v>
      </c>
      <c r="AL5" s="35" t="s">
        <v>30</v>
      </c>
      <c r="AM5" s="35" t="s">
        <v>31</v>
      </c>
      <c r="AN5" s="101"/>
      <c r="AO5" s="2384"/>
      <c r="AP5" s="2384"/>
      <c r="AQ5" s="2384"/>
      <c r="AR5" s="2384"/>
      <c r="AS5" s="2384"/>
      <c r="AT5" s="2384"/>
      <c r="AU5" s="2384"/>
      <c r="AV5" s="2384"/>
      <c r="AW5" s="2384"/>
      <c r="AX5" s="2384"/>
      <c r="AY5" s="2384"/>
      <c r="AZ5" s="2384"/>
      <c r="BA5" s="2384"/>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986"/>
      <c r="CE5" s="986"/>
      <c r="CF5" s="169"/>
      <c r="CG5" s="101"/>
      <c r="CH5" s="101"/>
      <c r="CI5" s="101"/>
      <c r="CJ5" s="210"/>
      <c r="CK5" s="210"/>
      <c r="CL5" s="101"/>
      <c r="CM5" s="210"/>
      <c r="CN5" s="210"/>
      <c r="CO5" s="101"/>
      <c r="CP5" s="210"/>
      <c r="CQ5" s="210"/>
      <c r="CR5" s="39"/>
      <c r="DB5" s="4"/>
      <c r="DD5" s="2385" t="str">
        <f>HYPERLINK(DD6,"Check CX")</f>
        <v>Check CX</v>
      </c>
    </row>
    <row r="6" spans="1:108" ht="28.15" customHeight="1">
      <c r="A6" s="2386"/>
      <c r="B6" s="2387"/>
      <c r="C6" s="2387"/>
      <c r="D6" s="1075"/>
      <c r="E6" s="586"/>
      <c r="F6" s="586"/>
      <c r="G6" s="586"/>
      <c r="H6" s="510"/>
      <c r="I6" s="510"/>
      <c r="J6" s="30"/>
      <c r="K6" s="30"/>
      <c r="N6" s="3044"/>
      <c r="O6" s="101"/>
      <c r="P6" s="153"/>
      <c r="Q6" s="153"/>
      <c r="R6" s="153"/>
      <c r="S6" s="2283" t="s">
        <v>32</v>
      </c>
      <c r="T6" s="1605"/>
      <c r="U6" s="39"/>
      <c r="W6" s="767"/>
      <c r="X6" s="996"/>
      <c r="Y6" s="264"/>
      <c r="Z6" s="989"/>
      <c r="AA6" s="551"/>
      <c r="AB6" s="560"/>
      <c r="AC6" s="126"/>
      <c r="AD6" s="126"/>
      <c r="AE6" s="1829" t="str">
        <f>_PL!AE6</f>
        <v>Therme Horizon</v>
      </c>
      <c r="AF6" s="101"/>
      <c r="AG6" s="3455">
        <v>46022</v>
      </c>
      <c r="AH6" s="2"/>
      <c r="AI6" s="101"/>
      <c r="AJ6" s="2388" t="e">
        <f ca="1">_PL!AJ6</f>
        <v>#NAME?</v>
      </c>
      <c r="AK6" s="2388" t="e" cm="1">
        <f t="array" ca="1" aca="1" ref="AK6">val_currentFYE</f>
        <v>#NAME?</v>
      </c>
      <c r="AL6" s="3456" t="s">
        <v>33</v>
      </c>
      <c r="AM6" s="1156" t="e">
        <f ca="1">val_reportingCurrency</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101"/>
      <c r="CP6" s="101"/>
      <c r="CQ6" s="101"/>
      <c r="CR6" s="39"/>
      <c r="DD6" t="str">
        <f>"https://cvc.chronograph.pe/company-show/"&amp;CX_ENTITY&amp;"/analytics"</f>
        <v>https://cvc.chronograph.pe/company-show/W06f9Irq7/analytics</v>
      </c>
    </row>
    <row r="7" spans="1:96" ht="21" customHeight="1">
      <c r="A7" s="2389"/>
      <c r="B7" s="2390"/>
      <c r="C7" s="2390"/>
      <c r="D7" s="585"/>
      <c r="E7" s="585"/>
      <c r="F7" s="731"/>
      <c r="G7" s="731"/>
      <c r="H7" s="2391"/>
      <c r="I7" s="2392"/>
      <c r="J7" s="32"/>
      <c r="K7" s="32"/>
      <c r="N7" s="3044"/>
      <c r="O7" s="101"/>
      <c r="P7" s="126"/>
      <c r="Q7" s="126"/>
      <c r="R7" s="126"/>
      <c r="S7" s="101"/>
      <c r="T7" s="154"/>
      <c r="U7" s="39"/>
      <c r="W7" s="94"/>
      <c r="X7" s="997"/>
      <c r="Y7" s="264"/>
      <c r="Z7" s="989"/>
      <c r="AA7" s="264"/>
      <c r="AB7" s="560"/>
      <c r="AC7" s="123"/>
      <c r="AD7" s="264"/>
      <c r="AE7" s="264"/>
      <c r="AF7" s="101"/>
      <c r="AG7" s="101"/>
      <c r="AH7" s="101"/>
      <c r="AI7" s="101"/>
      <c r="AJ7" s="148"/>
      <c r="AK7" s="1157">
        <v>46022</v>
      </c>
      <c r="AL7" s="2393"/>
      <c r="AM7" s="93"/>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2394" t="s">
        <v>34</v>
      </c>
      <c r="CE7" s="772"/>
      <c r="CF7" s="773"/>
      <c r="CG7" s="774"/>
      <c r="CH7" s="774"/>
      <c r="CI7" s="774"/>
      <c r="CJ7" s="775"/>
      <c r="CK7" s="776"/>
      <c r="CL7" s="101"/>
      <c r="CM7" s="2395" t="s">
        <v>35</v>
      </c>
      <c r="CN7" s="1207"/>
      <c r="CO7" s="1207"/>
      <c r="CP7" s="1207"/>
      <c r="CQ7" s="1208"/>
      <c r="CR7" s="39"/>
    </row>
    <row r="8" spans="1:96" ht="18">
      <c r="A8" s="2389"/>
      <c r="B8" s="2396"/>
      <c r="C8" s="2396"/>
      <c r="D8" s="697"/>
      <c r="E8" s="697"/>
      <c r="F8" s="697"/>
      <c r="G8" s="697"/>
      <c r="H8" s="2397"/>
      <c r="I8" s="2392"/>
      <c r="J8" s="572"/>
      <c r="K8" s="572"/>
      <c r="N8" s="3044"/>
      <c r="O8" s="101"/>
      <c r="P8" s="18"/>
      <c r="Q8" s="18"/>
      <c r="R8" s="101"/>
      <c r="S8" s="101"/>
      <c r="T8" s="101"/>
      <c r="U8" s="39"/>
      <c r="W8" s="767"/>
      <c r="X8" s="882"/>
      <c r="Y8" s="101"/>
      <c r="Z8" s="768"/>
      <c r="AA8" s="101"/>
      <c r="AB8" s="101"/>
      <c r="AC8" s="126"/>
      <c r="AD8" s="101"/>
      <c r="AE8" s="101"/>
      <c r="AF8" s="101"/>
      <c r="AG8" s="101"/>
      <c r="AH8" s="2398"/>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101"/>
      <c r="BW8" s="101"/>
      <c r="BX8" s="101"/>
      <c r="BY8" s="101"/>
      <c r="BZ8" s="101"/>
      <c r="CA8" s="39"/>
      <c r="CC8" s="17"/>
      <c r="CD8" s="18"/>
      <c r="CE8" s="18"/>
      <c r="CF8" s="18"/>
      <c r="CG8" s="18"/>
      <c r="CH8" s="18"/>
      <c r="CI8" s="18"/>
      <c r="CJ8" s="18"/>
      <c r="CK8" s="18"/>
      <c r="CL8" s="18"/>
      <c r="CM8" s="18"/>
      <c r="CN8" s="18"/>
      <c r="CO8" s="18"/>
      <c r="CP8" s="18"/>
      <c r="CQ8" s="18"/>
      <c r="CR8" s="36"/>
    </row>
    <row r="9" spans="1:96" ht="29.5">
      <c r="A9" s="2389"/>
      <c r="B9" s="2396"/>
      <c r="C9" s="3058"/>
      <c r="D9" s="3058"/>
      <c r="E9" s="697" t="s">
        <v>268</v>
      </c>
      <c r="F9" s="697" t="s">
        <v>2005</v>
      </c>
      <c r="G9" s="731"/>
      <c r="H9" s="572"/>
      <c r="I9" s="2392"/>
      <c r="J9" s="32"/>
      <c r="K9" s="32"/>
      <c r="N9" s="3044"/>
      <c r="O9" s="101"/>
      <c r="P9" s="373"/>
      <c r="Q9" s="373"/>
      <c r="R9" s="101"/>
      <c r="S9" s="3047"/>
      <c r="T9" s="3009"/>
      <c r="U9" s="39"/>
      <c r="W9" s="376"/>
      <c r="X9" s="883"/>
      <c r="Y9" s="2399" t="str">
        <f>IF(SUBTOTAL(103,W16:W124)=2,"Reported Actual &amp; Budget","")</f>
        <v/>
      </c>
      <c r="Z9" s="778"/>
      <c r="AA9" s="281"/>
      <c r="AB9" s="281"/>
      <c r="AC9" s="378"/>
      <c r="AD9" s="379"/>
      <c r="AE9" s="379"/>
      <c r="AF9" s="2400"/>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19"/>
      <c r="CJ9" s="3324" cm="1">
        <f t="array" ref="CJ9">DATEDIFF(PL!CJ$11,val_asOfDate,"M")</f>
        <v>1</v>
      </c>
      <c r="CK9" s="19" cm="1">
        <f t="array" ref="CK9">DATEDIFF(PL!CK$11,val_asOfDate,"M")</f>
        <v>0</v>
      </c>
      <c r="CL9" s="19"/>
      <c r="CM9" s="19"/>
      <c r="CN9" s="19"/>
      <c r="CO9" s="19"/>
      <c r="CP9" s="19"/>
      <c r="CQ9" s="19"/>
      <c r="CR9" s="227"/>
    </row>
    <row r="10" spans="1:96" ht="32.5">
      <c r="A10" s="2401"/>
      <c r="B10" s="2402" t="s">
        <v>36</v>
      </c>
      <c r="C10" s="3056" t="s">
        <v>24</v>
      </c>
      <c r="D10" s="3057"/>
      <c r="E10" s="2975">
        <f>val_asOfDate</f>
        <v>46022</v>
      </c>
      <c r="F10" s="2645" t="e" cm="1">
        <f t="array" ca="1" aca="1" ref="F10">_xldudf_CX_PUSH(pqToday,CX_ENTITY,"Flash Latest Version Date",val_asOfDate,"As of",W20)</f>
        <v>#NAME?</v>
      </c>
      <c r="G10" s="1073"/>
      <c r="H10" s="1309" t="s">
        <v>37</v>
      </c>
      <c r="I10" s="1309" t="s">
        <v>38</v>
      </c>
      <c r="J10" s="1309" t="s">
        <v>39</v>
      </c>
      <c r="K10" s="2404" t="s">
        <v>40</v>
      </c>
      <c r="N10" s="372"/>
      <c r="O10" s="101"/>
      <c r="P10" s="373"/>
      <c r="Q10" s="373"/>
      <c r="R10" s="101"/>
      <c r="S10" s="3009"/>
      <c r="T10" s="3009"/>
      <c r="U10" s="39"/>
      <c r="W10" s="808"/>
      <c r="X10" s="382"/>
      <c r="Y10" s="23"/>
      <c r="Z10" s="990"/>
      <c r="AA10" s="185"/>
      <c r="AB10" s="95"/>
      <c r="AC10" s="382"/>
      <c r="AD10" s="1209"/>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8" t="s">
        <v>41</v>
      </c>
      <c r="CE10" s="3029"/>
      <c r="CF10" s="1468"/>
      <c r="CG10" s="3030" t="s">
        <v>42</v>
      </c>
      <c r="CH10" s="3031"/>
      <c r="CI10" s="1325"/>
      <c r="CJ10" s="3032" t="s">
        <v>43</v>
      </c>
      <c r="CK10" s="3033"/>
      <c r="CL10" s="1469"/>
      <c r="CM10" s="3015" t="s">
        <v>44</v>
      </c>
      <c r="CN10" s="3016"/>
      <c r="CO10" s="1470"/>
      <c r="CP10" s="3015" t="s">
        <v>45</v>
      </c>
      <c r="CQ10" s="3016"/>
      <c r="CR10" s="34"/>
    </row>
    <row r="11" spans="1:108" s="10" customFormat="1" ht="35.25" customHeight="1">
      <c r="A11" s="1624"/>
      <c r="B11" s="2405" t="s">
        <v>46</v>
      </c>
      <c r="C11" s="3056" t="s">
        <v>2006</v>
      </c>
      <c r="D11" s="3057"/>
      <c r="E11" s="2976">
        <f>EOMONTH(val_asOfDate,1)</f>
        <v>46053</v>
      </c>
      <c r="F11" s="2645" t="e" cm="1">
        <f t="array" ca="1" aca="1" ref="F11">_xldudf_CX_PUSH(pqToday,CX_ENTITY,"Flash Task Date",EOMONTH(val_asOfDate,1),"As of",W20)</f>
        <v>#NAME?</v>
      </c>
      <c r="G11" s="1896"/>
      <c r="H11" s="849"/>
      <c r="I11" s="849"/>
      <c r="J11" s="2343"/>
      <c r="K11" s="2343"/>
      <c r="L11" s="2344"/>
      <c r="M11" s="2344"/>
      <c r="N11" s="2408"/>
      <c r="O11" s="2345"/>
      <c r="P11" s="2346"/>
      <c r="Q11" s="2346"/>
      <c r="R11" s="2346"/>
      <c r="S11" s="2347"/>
      <c r="T11" s="2347"/>
      <c r="U11" s="2348"/>
      <c r="V11" s="2344"/>
      <c r="W11" s="1930"/>
      <c r="X11" s="1931" t="str">
        <f>IF(SUBTOTAL(103,$W$12:$W$14)&gt;0,"Assistance","Summary")</f>
        <v>Assistance</v>
      </c>
      <c r="Y11" s="1932"/>
      <c r="Z11" s="1931" t="str">
        <f>IF(SUBTOTAL(103,$W$12:$W$14)&gt;0,"Completion","Requirement")</f>
        <v>Completion</v>
      </c>
      <c r="AA11" s="1932"/>
      <c r="AB11" s="1933" t="s">
        <v>47</v>
      </c>
      <c r="AC11" s="976"/>
      <c r="AD11" s="2358" cm="1">
        <f t="array" ref="AD11:BN11">array_timeline</f>
        <v>44926</v>
      </c>
      <c r="AE11" s="2358">
        <v>44957</v>
      </c>
      <c r="AF11" s="2358">
        <v>44985</v>
      </c>
      <c r="AG11" s="2358">
        <v>45016</v>
      </c>
      <c r="AH11" s="2358">
        <v>45046</v>
      </c>
      <c r="AI11" s="2358">
        <v>45077</v>
      </c>
      <c r="AJ11" s="2358">
        <v>45107</v>
      </c>
      <c r="AK11" s="2358">
        <v>45138</v>
      </c>
      <c r="AL11" s="2358">
        <v>45169</v>
      </c>
      <c r="AM11" s="2358">
        <v>45199</v>
      </c>
      <c r="AN11" s="2358">
        <v>45230</v>
      </c>
      <c r="AO11" s="2358">
        <v>45260</v>
      </c>
      <c r="AP11" s="2358">
        <v>45291</v>
      </c>
      <c r="AQ11" s="2358">
        <v>45322</v>
      </c>
      <c r="AR11" s="2358">
        <v>45351</v>
      </c>
      <c r="AS11" s="2358">
        <v>45382</v>
      </c>
      <c r="AT11" s="2358">
        <v>45412</v>
      </c>
      <c r="AU11" s="2358">
        <v>45443</v>
      </c>
      <c r="AV11" s="2358">
        <v>45473</v>
      </c>
      <c r="AW11" s="2358">
        <v>45504</v>
      </c>
      <c r="AX11" s="2358">
        <v>45535</v>
      </c>
      <c r="AY11" s="2358">
        <v>45565</v>
      </c>
      <c r="AZ11" s="2358">
        <v>45596</v>
      </c>
      <c r="BA11" s="2358">
        <v>45626</v>
      </c>
      <c r="BB11" s="2358">
        <v>45657</v>
      </c>
      <c r="BC11" s="2358">
        <v>45688</v>
      </c>
      <c r="BD11" s="2358">
        <v>45716</v>
      </c>
      <c r="BE11" s="2358">
        <v>45747</v>
      </c>
      <c r="BF11" s="2358">
        <v>45777</v>
      </c>
      <c r="BG11" s="2358">
        <v>45808</v>
      </c>
      <c r="BH11" s="2358">
        <v>45838</v>
      </c>
      <c r="BI11" s="2358">
        <v>45869</v>
      </c>
      <c r="BJ11" s="2358">
        <v>45900</v>
      </c>
      <c r="BK11" s="2358">
        <v>45930</v>
      </c>
      <c r="BL11" s="2358">
        <v>45961</v>
      </c>
      <c r="BM11" s="2358">
        <v>45991</v>
      </c>
      <c r="BN11" s="2359">
        <v>46022</v>
      </c>
      <c r="BO11" s="2360"/>
      <c r="BP11" s="2360"/>
      <c r="BQ11" s="2360"/>
      <c r="BR11" s="2360"/>
      <c r="BS11" s="2360"/>
      <c r="BT11" s="2360"/>
      <c r="BU11" s="2360"/>
      <c r="BV11" s="2360"/>
      <c r="BW11" s="2360"/>
      <c r="BX11" s="2360"/>
      <c r="BY11" s="2360"/>
      <c r="BZ11" s="2360"/>
      <c r="CA11" s="1936"/>
      <c r="CB11" s="2344"/>
      <c r="CC11" s="2349"/>
      <c r="CD11" s="1937" t="e" cm="1">
        <f t="array" ca="1" aca="1" ref="CD11">EOMONTH(val_currentFYE,-24)</f>
        <v>#NAME?</v>
      </c>
      <c r="CE11" s="1938" t="e" cm="1">
        <f t="array" ca="1" aca="1" ref="CE11">EOMONTH(val_currentFYE,-12)</f>
        <v>#NAME?</v>
      </c>
      <c r="CF11" s="1939"/>
      <c r="CG11" s="1940">
        <f>EOMONTH(val_asOfDate,-1)</f>
        <v>45991</v>
      </c>
      <c r="CH11" s="1941">
        <f>EOMONTH(val_asOfDate,0)</f>
        <v>46022</v>
      </c>
      <c r="CI11" s="2350"/>
      <c r="CJ11" s="1942">
        <f>EOMONTH(val_asOfDate,-1)</f>
        <v>45991</v>
      </c>
      <c r="CK11" s="1943">
        <f>EOMONTH(val_asOfDate,0)</f>
        <v>46022</v>
      </c>
      <c r="CL11" s="2351"/>
      <c r="CM11" s="1944" t="e" cm="1">
        <f t="array" ca="1" aca="1" ref="CM11">val_currentFYE</f>
        <v>#NAME?</v>
      </c>
      <c r="CN11" s="1945" t="e" cm="1">
        <f t="array" ca="1" aca="1" ref="CN11">val_currentFYE</f>
        <v>#NAME?</v>
      </c>
      <c r="CO11" s="1470"/>
      <c r="CP11" s="1944" t="e" cm="1">
        <f t="array" ca="1" aca="1" ref="CP11">EOMONTH(val_currentFYE,12)</f>
        <v>#NAME?</v>
      </c>
      <c r="CQ11" s="1945" t="e" cm="1">
        <f t="array" ca="1" aca="1" ref="CQ11">EOMONTH(val_currentFYE,12)</f>
        <v>#NAME?</v>
      </c>
      <c r="CR11" s="2352"/>
      <c r="CS11" s="2344"/>
      <c r="CT11" s="2344"/>
      <c r="CU11" s="2344"/>
      <c r="CV11" s="2344"/>
      <c r="CW11" s="2344"/>
      <c r="CX11" s="2409"/>
      <c r="CY11" s="2344"/>
      <c r="CZ11" s="2344"/>
      <c r="DA11" s="2344"/>
      <c r="DB11" s="2344"/>
      <c r="DC11" s="2409"/>
      <c r="DD11" s="2344"/>
    </row>
    <row r="12" spans="1:96" ht="20.25" customHeight="1">
      <c r="A12" s="1624"/>
      <c r="B12" s="2410" t="s">
        <v>48</v>
      </c>
      <c r="C12" s="2410"/>
      <c r="D12" s="2411"/>
      <c r="E12" s="2410"/>
      <c r="F12" s="1898"/>
      <c r="G12" s="1896"/>
      <c r="H12" s="849"/>
      <c r="I12" s="849"/>
      <c r="J12" s="573"/>
      <c r="K12" s="573"/>
      <c r="N12" s="372"/>
      <c r="O12" s="101"/>
      <c r="P12" s="52"/>
      <c r="Q12" s="101"/>
      <c r="R12" s="126"/>
      <c r="S12" s="818" t="s">
        <v>49</v>
      </c>
      <c r="T12" s="818" t="s">
        <v>50</v>
      </c>
      <c r="U12" s="39"/>
      <c r="W12" s="1195" t="s">
        <v>51</v>
      </c>
      <c r="X12" s="2079" t="e" vm="4" cm="1">
        <f t="array" ref="X12">fx_getIcon("select")</f>
        <v>#VALUE!</v>
      </c>
      <c r="Y12" s="860" t="s">
        <v>52</v>
      </c>
      <c r="Z12" s="3301" cm="1">
        <f t="array" ref="Z12">_xlfn.SWITCH(TRUE,_BS!$L31=TRUE,1,_BS!$L31=FALSE,-1,_BS!$L31=-1,0,"")</f>
        <v>1</v>
      </c>
      <c r="AA12" s="95"/>
      <c r="AB12" s="867" t="s">
        <v>53</v>
      </c>
      <c r="AC12" s="868"/>
      <c r="AD12" s="2412" t="e">
        <f ca="1">EOMONTH(AD11,12-MONTH(val_currentFYE))</f>
        <v>#NAME?</v>
      </c>
      <c r="AE12" s="2412" t="e" cm="1">
        <f t="array" ca="1" aca="1" ref="AE12">EOMONTH(AE11,12-MONTH(val_currentFYE))</f>
        <v>#NAME?</v>
      </c>
      <c r="AF12" s="2412" t="e" cm="1">
        <f t="array" ca="1" aca="1" ref="AF12">EOMONTH(AF11,12-MONTH(val_currentFYE))</f>
        <v>#NAME?</v>
      </c>
      <c r="AG12" s="2412" t="e" cm="1">
        <f t="array" ca="1" aca="1" ref="AG12">EOMONTH(AG11,12-MONTH(val_currentFYE))</f>
        <v>#NAME?</v>
      </c>
      <c r="AH12" s="2412" t="e" cm="1">
        <f t="array" ca="1" aca="1" ref="AH12">EOMONTH(AH11,12-MONTH(val_currentFYE))</f>
        <v>#NAME?</v>
      </c>
      <c r="AI12" s="2412" t="e" cm="1">
        <f t="array" ca="1" aca="1" ref="AI12">EOMONTH(AI11,12-MONTH(val_currentFYE))</f>
        <v>#NAME?</v>
      </c>
      <c r="AJ12" s="2412" t="e" cm="1">
        <f t="array" ca="1" aca="1" ref="AJ12">EOMONTH(AJ11,12-MONTH(val_currentFYE))</f>
        <v>#NAME?</v>
      </c>
      <c r="AK12" s="2412" t="e" cm="1">
        <f t="array" ca="1" aca="1" ref="AK12">EOMONTH(AK11,12-MONTH(val_currentFYE))</f>
        <v>#NAME?</v>
      </c>
      <c r="AL12" s="2412" t="e" cm="1">
        <f t="array" ca="1" aca="1" ref="AL12">EOMONTH(AL11,12-MONTH(val_currentFYE))</f>
        <v>#NAME?</v>
      </c>
      <c r="AM12" s="2412" t="e" cm="1">
        <f t="array" ca="1" aca="1" ref="AM12">EOMONTH(AM11,12-MONTH(val_currentFYE))</f>
        <v>#NAME?</v>
      </c>
      <c r="AN12" s="2412" t="e" cm="1">
        <f t="array" ca="1" aca="1" ref="AN12">EOMONTH(AN11,12-MONTH(val_currentFYE))</f>
        <v>#NAME?</v>
      </c>
      <c r="AO12" s="2412" t="e" cm="1">
        <f t="array" ca="1" aca="1" ref="AO12">EOMONTH(AO11,12-MONTH(val_currentFYE))</f>
        <v>#NAME?</v>
      </c>
      <c r="AP12" s="2412" t="e" cm="1">
        <f t="array" ca="1" aca="1" ref="AP12">EOMONTH(AP11,12-MONTH(val_currentFYE))</f>
        <v>#NAME?</v>
      </c>
      <c r="AQ12" s="2412" t="e" cm="1">
        <f t="array" ca="1" aca="1" ref="AQ12">EOMONTH(AQ11,12-MONTH(val_currentFYE))</f>
        <v>#NAME?</v>
      </c>
      <c r="AR12" s="2412" t="e" cm="1">
        <f t="array" ca="1" aca="1" ref="AR12">EOMONTH(AR11,12-MONTH(val_currentFYE))</f>
        <v>#NAME?</v>
      </c>
      <c r="AS12" s="2412" t="e" cm="1">
        <f t="array" ca="1" aca="1" ref="AS12">EOMONTH(AS11,12-MONTH(val_currentFYE))</f>
        <v>#NAME?</v>
      </c>
      <c r="AT12" s="2412" t="e" cm="1">
        <f t="array" ca="1" aca="1" ref="AT12">EOMONTH(AT11,12-MONTH(val_currentFYE))</f>
        <v>#NAME?</v>
      </c>
      <c r="AU12" s="2412" t="e" cm="1">
        <f t="array" ca="1" aca="1" ref="AU12">EOMONTH(AU11,12-MONTH(val_currentFYE))</f>
        <v>#NAME?</v>
      </c>
      <c r="AV12" s="2412" t="e" cm="1">
        <f t="array" ca="1" aca="1" ref="AV12">EOMONTH(AV11,12-MONTH(val_currentFYE))</f>
        <v>#NAME?</v>
      </c>
      <c r="AW12" s="2412" t="e" cm="1">
        <f t="array" ca="1" aca="1" ref="AW12">EOMONTH(AW11,12-MONTH(val_currentFYE))</f>
        <v>#NAME?</v>
      </c>
      <c r="AX12" s="2412" t="e" cm="1">
        <f t="array" ca="1" aca="1" ref="AX12">EOMONTH(AX11,12-MONTH(val_currentFYE))</f>
        <v>#NAME?</v>
      </c>
      <c r="AY12" s="2412" t="e" cm="1">
        <f t="array" ca="1" aca="1" ref="AY12">EOMONTH(AY11,12-MONTH(val_currentFYE))</f>
        <v>#NAME?</v>
      </c>
      <c r="AZ12" s="2412" t="e" cm="1">
        <f t="array" ca="1" aca="1" ref="AZ12">EOMONTH(AZ11,12-MONTH(val_currentFYE))</f>
        <v>#NAME?</v>
      </c>
      <c r="BA12" s="2412" t="e" cm="1">
        <f t="array" ca="1" aca="1" ref="BA12">EOMONTH(BA11,12-MONTH(val_currentFYE))</f>
        <v>#NAME?</v>
      </c>
      <c r="BB12" s="2412" t="e" cm="1">
        <f t="array" ca="1" aca="1" ref="BB12">EOMONTH(BB11,12-MONTH(val_currentFYE))</f>
        <v>#NAME?</v>
      </c>
      <c r="BC12" s="2412" t="e" cm="1">
        <f t="array" ca="1" aca="1" ref="BC12">EOMONTH(BC11,12-MONTH(val_currentFYE))</f>
        <v>#NAME?</v>
      </c>
      <c r="BD12" s="2412" t="e" cm="1">
        <f t="array" ca="1" aca="1" ref="BD12">EOMONTH(BD11,12-MONTH(val_currentFYE))</f>
        <v>#NAME?</v>
      </c>
      <c r="BE12" s="2412" t="e" cm="1">
        <f t="array" ca="1" aca="1" ref="BE12">EOMONTH(BE11,12-MONTH(val_currentFYE))</f>
        <v>#NAME?</v>
      </c>
      <c r="BF12" s="2412" t="e" cm="1">
        <f t="array" ca="1" aca="1" ref="BF12">EOMONTH(BF11,12-MONTH(val_currentFYE))</f>
        <v>#NAME?</v>
      </c>
      <c r="BG12" s="2412" t="e" cm="1">
        <f t="array" ca="1" aca="1" ref="BG12">EOMONTH(BG11,12-MONTH(val_currentFYE))</f>
        <v>#NAME?</v>
      </c>
      <c r="BH12" s="2412" t="e" cm="1">
        <f t="array" ca="1" aca="1" ref="BH12">EOMONTH(BH11,12-MONTH(val_currentFYE))</f>
        <v>#NAME?</v>
      </c>
      <c r="BI12" s="2412" t="e" cm="1">
        <f t="array" ca="1" aca="1" ref="BI12">EOMONTH(BI11,12-MONTH(val_currentFYE))</f>
        <v>#NAME?</v>
      </c>
      <c r="BJ12" s="2412" t="e" cm="1">
        <f t="array" ca="1" aca="1" ref="BJ12">EOMONTH(BJ11,12-MONTH(val_currentFYE))</f>
        <v>#NAME?</v>
      </c>
      <c r="BK12" s="2412" t="e" cm="1">
        <f t="array" ca="1" aca="1" ref="BK12">EOMONTH(BK11,12-MONTH(val_currentFYE))</f>
        <v>#NAME?</v>
      </c>
      <c r="BL12" s="2412" t="e" cm="1">
        <f t="array" ca="1" aca="1" ref="BL12">EOMONTH(BL11,12-MONTH(val_currentFYE))</f>
        <v>#NAME?</v>
      </c>
      <c r="BM12" s="2412" t="e" cm="1">
        <f t="array" ca="1" aca="1" ref="BM12">EOMONTH(BM11,12-MONTH(val_currentFYE))</f>
        <v>#NAME?</v>
      </c>
      <c r="BN12" s="2413" t="e" cm="1">
        <f t="array" ca="1" aca="1" ref="BN12">EOMONTH(BN11,12-MONTH(val_currentFYE))</f>
        <v>#NAME?</v>
      </c>
      <c r="BO12" s="2414"/>
      <c r="BP12" s="2414"/>
      <c r="BQ12" s="2414"/>
      <c r="BR12" s="2414"/>
      <c r="BS12" s="2414"/>
      <c r="BT12" s="2414"/>
      <c r="BU12" s="2414"/>
      <c r="BV12" s="2414"/>
      <c r="BW12" s="2414"/>
      <c r="BX12" s="2414"/>
      <c r="BY12" s="2414"/>
      <c r="BZ12" s="2414"/>
      <c r="CA12" s="384"/>
      <c r="CC12" s="33"/>
      <c r="CD12" s="1753" t="e" cm="1">
        <f t="array" ca="1" aca="1" ref="CD12">YEAR(val_currentFYE)-2</f>
        <v>#NAME?</v>
      </c>
      <c r="CE12" s="1754" t="e" cm="1">
        <f t="array" ca="1" aca="1" ref="CE12">YEAR(val_currentFYE)-1</f>
        <v>#NAME?</v>
      </c>
      <c r="CF12" s="128"/>
      <c r="CG12" s="205" t="e">
        <f ca="1">YEAR(EOMONTH(CG$11,12-MONTH(val_currentFYE)))</f>
        <v>#NAME?</v>
      </c>
      <c r="CH12" s="206" t="e">
        <f ca="1">YEAR(EOMONTH(CH$11,12-MONTH(val_currentFYE)))</f>
        <v>#NAME?</v>
      </c>
      <c r="CI12" s="207"/>
      <c r="CJ12" s="1759" t="s">
        <v>54</v>
      </c>
      <c r="CK12" s="1760" t="s">
        <v>54</v>
      </c>
      <c r="CL12" s="128"/>
      <c r="CM12" s="1761" t="e" cm="1">
        <f t="array" ca="1" aca="1" ref="CM12">YEAR(val_currentFYE)</f>
        <v>#NAME?</v>
      </c>
      <c r="CN12" s="1762" t="e" cm="1">
        <f t="array" ca="1" aca="1" ref="CN12">YEAR(val_currentFYE)</f>
        <v>#NAME?</v>
      </c>
      <c r="CO12" s="1470"/>
      <c r="CP12" s="1761" t="e" cm="1">
        <f t="array" ca="1" aca="1" ref="CP12">YEAR(val_currentFYE)+1</f>
        <v>#NAME?</v>
      </c>
      <c r="CQ12" s="1762" t="e" cm="1">
        <f t="array" ca="1" aca="1" ref="CQ12">YEAR(val_currentFYE)+1</f>
        <v>#NAME?</v>
      </c>
      <c r="CR12" s="200"/>
    </row>
    <row r="13" spans="1:96" ht="20.25" customHeight="1">
      <c r="A13" s="1624"/>
      <c r="B13" s="2415" t="s">
        <v>55</v>
      </c>
      <c r="C13" s="2403"/>
      <c r="D13" s="2411"/>
      <c r="E13" s="1899"/>
      <c r="F13" s="1898"/>
      <c r="G13" s="1896"/>
      <c r="H13" s="846" t="s">
        <v>56</v>
      </c>
      <c r="I13" s="846" t="s">
        <v>57</v>
      </c>
      <c r="J13" s="577" t="s">
        <v>58</v>
      </c>
      <c r="K13" s="573"/>
      <c r="N13" s="372"/>
      <c r="O13" s="101"/>
      <c r="P13" s="52"/>
      <c r="Q13" s="101"/>
      <c r="R13" s="2416"/>
      <c r="S13" s="819" t="s">
        <v>59</v>
      </c>
      <c r="T13" s="819" t="s">
        <v>60</v>
      </c>
      <c r="U13" s="39"/>
      <c r="W13" s="2417" t="s">
        <v>61</v>
      </c>
      <c r="X13" s="2080" t="s">
        <v>62</v>
      </c>
      <c r="Y13" s="861" t="s">
        <v>63</v>
      </c>
      <c r="Z13" s="3457">
        <v>-1</v>
      </c>
      <c r="AA13" s="95"/>
      <c r="AB13" s="869" t="s">
        <v>64</v>
      </c>
      <c r="AC13" s="870"/>
      <c r="AD13" s="2418" cm="1">
        <f t="array" ref="AD13:BN13">_xlfn.SEQUENCE(1,37,-36,1)</f>
        <v>-36</v>
      </c>
      <c r="AE13" s="2418">
        <v>-35</v>
      </c>
      <c r="AF13" s="2418">
        <v>-34</v>
      </c>
      <c r="AG13" s="2418">
        <v>-33</v>
      </c>
      <c r="AH13" s="2418">
        <v>-32</v>
      </c>
      <c r="AI13" s="2418">
        <v>-31</v>
      </c>
      <c r="AJ13" s="2418">
        <v>-30</v>
      </c>
      <c r="AK13" s="2418">
        <v>-29</v>
      </c>
      <c r="AL13" s="2418">
        <v>-28</v>
      </c>
      <c r="AM13" s="2418">
        <v>-27</v>
      </c>
      <c r="AN13" s="2418">
        <v>-26</v>
      </c>
      <c r="AO13" s="2418">
        <v>-25</v>
      </c>
      <c r="AP13" s="2418">
        <v>-24</v>
      </c>
      <c r="AQ13" s="2418">
        <v>-23</v>
      </c>
      <c r="AR13" s="2418">
        <v>-22</v>
      </c>
      <c r="AS13" s="2418">
        <v>-21</v>
      </c>
      <c r="AT13" s="2418">
        <v>-20</v>
      </c>
      <c r="AU13" s="2418">
        <v>-19</v>
      </c>
      <c r="AV13" s="2418">
        <v>-18</v>
      </c>
      <c r="AW13" s="2418">
        <v>-17</v>
      </c>
      <c r="AX13" s="2418">
        <v>-16</v>
      </c>
      <c r="AY13" s="2418">
        <v>-15</v>
      </c>
      <c r="AZ13" s="2418">
        <v>-14</v>
      </c>
      <c r="BA13" s="2418">
        <v>-13</v>
      </c>
      <c r="BB13" s="2418">
        <v>-12</v>
      </c>
      <c r="BC13" s="2418">
        <v>-11</v>
      </c>
      <c r="BD13" s="2418">
        <v>-10</v>
      </c>
      <c r="BE13" s="2418">
        <v>-9</v>
      </c>
      <c r="BF13" s="2418">
        <v>-8</v>
      </c>
      <c r="BG13" s="2418">
        <v>-7</v>
      </c>
      <c r="BH13" s="2418">
        <v>-6</v>
      </c>
      <c r="BI13" s="2418">
        <v>-5</v>
      </c>
      <c r="BJ13" s="2418">
        <v>-4</v>
      </c>
      <c r="BK13" s="2418">
        <v>-3</v>
      </c>
      <c r="BL13" s="2418">
        <v>-2</v>
      </c>
      <c r="BM13" s="2418">
        <v>-1</v>
      </c>
      <c r="BN13" s="2419">
        <v>0</v>
      </c>
      <c r="BO13" s="2419"/>
      <c r="BP13" s="2419"/>
      <c r="BQ13" s="2419"/>
      <c r="BR13" s="2419"/>
      <c r="BS13" s="2419"/>
      <c r="BT13" s="2419"/>
      <c r="BU13" s="2419"/>
      <c r="BV13" s="2419"/>
      <c r="BW13" s="2419"/>
      <c r="BX13" s="2419"/>
      <c r="BY13" s="2419"/>
      <c r="BZ13" s="2419"/>
      <c r="CA13" s="384"/>
      <c r="CC13" s="33"/>
      <c r="CD13" s="1341"/>
      <c r="CE13" s="1342"/>
      <c r="CF13" s="88"/>
      <c r="CG13" s="1744"/>
      <c r="CH13" s="1745"/>
      <c r="CI13" s="170"/>
      <c r="CJ13" s="1748"/>
      <c r="CK13" s="1749"/>
      <c r="CL13" s="88"/>
      <c r="CM13" s="1763"/>
      <c r="CN13" s="1764"/>
      <c r="CO13" s="1470"/>
      <c r="CP13" s="1763"/>
      <c r="CQ13" s="1764"/>
      <c r="CR13" s="34"/>
    </row>
    <row r="14" spans="1:96" ht="20.25" customHeight="1">
      <c r="A14" s="2420" t="b">
        <v>0</v>
      </c>
      <c r="B14" s="1331" t="s">
        <v>66</v>
      </c>
      <c r="C14" s="2421"/>
      <c r="D14" s="2422" t="s">
        <v>67</v>
      </c>
      <c r="E14" s="1899"/>
      <c r="F14" s="1898"/>
      <c r="G14" s="1896"/>
      <c r="H14" s="846"/>
      <c r="I14" s="846" t="s">
        <v>68</v>
      </c>
      <c r="J14" s="577" t="s">
        <v>69</v>
      </c>
      <c r="K14" s="573"/>
      <c r="N14" s="372"/>
      <c r="O14" s="101"/>
      <c r="P14" s="52"/>
      <c r="Q14" s="101"/>
      <c r="R14" s="140"/>
      <c r="S14" s="590" t="s">
        <v>70</v>
      </c>
      <c r="T14" s="590" t="s">
        <v>71</v>
      </c>
      <c r="U14" s="39"/>
      <c r="W14" s="2417" t="s">
        <v>72</v>
      </c>
      <c r="X14" s="2080">
        <v>0</v>
      </c>
      <c r="Y14" s="2423" t="s">
        <v>73</v>
      </c>
      <c r="Z14" s="128">
        <v>0</v>
      </c>
      <c r="AA14" s="95"/>
      <c r="AB14" s="869" t="s">
        <v>74</v>
      </c>
      <c r="AC14" s="870"/>
      <c r="AD14" s="873" t="s">
        <v>75</v>
      </c>
      <c r="AE14" s="874" t="str">
        <f t="shared" si="0" ref="AE14:BN14">$AD$14</f>
        <v>Month</v>
      </c>
      <c r="AF14" s="874" t="str">
        <f t="shared" si="0"/>
        <v>Month</v>
      </c>
      <c r="AG14" s="874" t="str">
        <f t="shared" si="0"/>
        <v>Month</v>
      </c>
      <c r="AH14" s="874" t="str">
        <f t="shared" si="0"/>
        <v>Month</v>
      </c>
      <c r="AI14" s="874" t="str">
        <f t="shared" si="0"/>
        <v>Month</v>
      </c>
      <c r="AJ14" s="874" t="str">
        <f t="shared" si="0"/>
        <v>Month</v>
      </c>
      <c r="AK14" s="874" t="str">
        <f t="shared" si="0"/>
        <v>Month</v>
      </c>
      <c r="AL14" s="874" t="str">
        <f t="shared" si="0"/>
        <v>Month</v>
      </c>
      <c r="AM14" s="874" t="str">
        <f t="shared" si="0"/>
        <v>Month</v>
      </c>
      <c r="AN14" s="874" t="str">
        <f t="shared" si="0"/>
        <v>Month</v>
      </c>
      <c r="AO14" s="874" t="str">
        <f t="shared" si="0"/>
        <v>Month</v>
      </c>
      <c r="AP14" s="874" t="str">
        <f t="shared" si="0"/>
        <v>Month</v>
      </c>
      <c r="AQ14" s="874" t="str">
        <f t="shared" si="0"/>
        <v>Month</v>
      </c>
      <c r="AR14" s="874" t="str">
        <f t="shared" si="0"/>
        <v>Month</v>
      </c>
      <c r="AS14" s="874" t="str">
        <f t="shared" si="0"/>
        <v>Month</v>
      </c>
      <c r="AT14" s="874" t="str">
        <f t="shared" si="0"/>
        <v>Month</v>
      </c>
      <c r="AU14" s="874" t="str">
        <f t="shared" si="0"/>
        <v>Month</v>
      </c>
      <c r="AV14" s="874" t="str">
        <f t="shared" si="0"/>
        <v>Month</v>
      </c>
      <c r="AW14" s="874" t="str">
        <f t="shared" si="0"/>
        <v>Month</v>
      </c>
      <c r="AX14" s="874" t="str">
        <f t="shared" si="0"/>
        <v>Month</v>
      </c>
      <c r="AY14" s="874" t="str">
        <f t="shared" si="0"/>
        <v>Month</v>
      </c>
      <c r="AZ14" s="874" t="str">
        <f t="shared" si="0"/>
        <v>Month</v>
      </c>
      <c r="BA14" s="874" t="str">
        <f t="shared" si="0"/>
        <v>Month</v>
      </c>
      <c r="BB14" s="874" t="str">
        <f t="shared" si="0"/>
        <v>Month</v>
      </c>
      <c r="BC14" s="874" t="str">
        <f t="shared" si="0"/>
        <v>Month</v>
      </c>
      <c r="BD14" s="874" t="str">
        <f t="shared" si="0"/>
        <v>Month</v>
      </c>
      <c r="BE14" s="874" t="str">
        <f t="shared" si="0"/>
        <v>Month</v>
      </c>
      <c r="BF14" s="874" t="str">
        <f t="shared" si="0"/>
        <v>Month</v>
      </c>
      <c r="BG14" s="874" t="str">
        <f t="shared" si="0"/>
        <v>Month</v>
      </c>
      <c r="BH14" s="874" t="str">
        <f t="shared" si="0"/>
        <v>Month</v>
      </c>
      <c r="BI14" s="874" t="str">
        <f t="shared" si="0"/>
        <v>Month</v>
      </c>
      <c r="BJ14" s="874" t="str">
        <f t="shared" si="0"/>
        <v>Month</v>
      </c>
      <c r="BK14" s="874" t="str">
        <f t="shared" si="0"/>
        <v>Month</v>
      </c>
      <c r="BL14" s="874" t="str">
        <f t="shared" si="0"/>
        <v>Month</v>
      </c>
      <c r="BM14" s="874" t="str">
        <f t="shared" si="0"/>
        <v>Month</v>
      </c>
      <c r="BN14" s="875" t="str">
        <f t="shared" si="0"/>
        <v>Month</v>
      </c>
      <c r="BO14" s="2092"/>
      <c r="BP14" s="2092"/>
      <c r="BQ14" s="2092"/>
      <c r="BR14" s="2092"/>
      <c r="BS14" s="2092"/>
      <c r="BT14" s="2092"/>
      <c r="BU14" s="2092"/>
      <c r="BV14" s="2092"/>
      <c r="BW14" s="2092"/>
      <c r="BX14" s="2092"/>
      <c r="BY14" s="2092"/>
      <c r="BZ14" s="2092"/>
      <c r="CA14" s="384"/>
      <c r="CC14" s="33"/>
      <c r="CD14" s="1755" t="s">
        <v>65</v>
      </c>
      <c r="CE14" s="1756" t="s">
        <v>65</v>
      </c>
      <c r="CF14" s="88"/>
      <c r="CG14" s="1744" t="s">
        <v>76</v>
      </c>
      <c r="CH14" s="1745" t="s">
        <v>76</v>
      </c>
      <c r="CI14" s="173"/>
      <c r="CJ14" s="1757" t="s">
        <v>54</v>
      </c>
      <c r="CK14" s="1758" t="s">
        <v>54</v>
      </c>
      <c r="CL14" s="869"/>
      <c r="CM14" s="1765" t="s">
        <v>54</v>
      </c>
      <c r="CN14" s="1766" t="s">
        <v>54</v>
      </c>
      <c r="CO14" s="1470"/>
      <c r="CP14" s="1765" t="s">
        <v>54</v>
      </c>
      <c r="CQ14" s="1766" t="s">
        <v>54</v>
      </c>
      <c r="CR14" s="34"/>
    </row>
    <row r="15" spans="1:96" ht="18" customHeight="1" hidden="1">
      <c r="A15" s="1624"/>
      <c r="B15" s="2403"/>
      <c r="C15" s="2403"/>
      <c r="D15" s="574" t="s">
        <v>77</v>
      </c>
      <c r="E15" s="1899"/>
      <c r="F15" s="1896"/>
      <c r="G15" s="1896"/>
      <c r="H15" s="846"/>
      <c r="I15" s="846" t="s">
        <v>78</v>
      </c>
      <c r="J15" s="573"/>
      <c r="K15" s="573"/>
      <c r="N15" s="372"/>
      <c r="O15" s="101"/>
      <c r="P15" s="52"/>
      <c r="Q15" s="101"/>
      <c r="R15" s="126"/>
      <c r="S15" s="820" t="e" vm="5" cm="1">
        <f t="array" ref="S15">fx_getIcon("find")</f>
        <v>#VALUE!</v>
      </c>
      <c r="T15" s="818" t="s">
        <v>79</v>
      </c>
      <c r="U15" s="39"/>
      <c r="W15" s="999"/>
      <c r="X15" s="1001"/>
      <c r="Y15" s="1001"/>
      <c r="Z15" s="1002"/>
      <c r="AA15" s="185"/>
      <c r="AB15" s="1005" t="s">
        <v>80</v>
      </c>
      <c r="AC15" s="1000"/>
      <c r="AD15" s="1003" t="e" cm="1">
        <f t="array" ca="1" aca="1" ref="AD15">IF(MONTH(AD11)=MONTH(val_currentFYE),1,IF(MOD(MONTH(AD$11)-MONTH(val_currentFYE),3)=0,2,0))</f>
        <v>#NAME?</v>
      </c>
      <c r="AE15" s="1003" t="e" cm="1">
        <f t="array" ca="1" aca="1" ref="AE15">IF(MONTH(AE11)=MONTH(val_currentFYE),1,IF(MOD(MONTH(AE$11)-MONTH(val_currentFYE),3)=0,2,0))</f>
        <v>#NAME?</v>
      </c>
      <c r="AF15" s="1003" t="e" cm="1">
        <f t="array" ca="1" aca="1" ref="AF15">IF(MONTH(AF11)=MONTH(val_currentFYE),1,IF(MOD(MONTH(AF$11)-MONTH(val_currentFYE),3)=0,2,0))</f>
        <v>#NAME?</v>
      </c>
      <c r="AG15" s="1003" t="e" cm="1">
        <f t="array" ca="1" aca="1" ref="AG15">IF(MONTH(AG11)=MONTH(val_currentFYE),1,IF(MOD(MONTH(AG$11)-MONTH(val_currentFYE),3)=0,2,0))</f>
        <v>#NAME?</v>
      </c>
      <c r="AH15" s="1003" t="e" cm="1">
        <f t="array" ca="1" aca="1" ref="AH15">IF(MONTH(AH11)=MONTH(val_currentFYE),1,IF(MOD(MONTH(AH$11)-MONTH(val_currentFYE),3)=0,2,0))</f>
        <v>#NAME?</v>
      </c>
      <c r="AI15" s="1003" t="e" cm="1">
        <f t="array" ca="1" aca="1" ref="AI15">IF(MONTH(AI11)=MONTH(val_currentFYE),1,IF(MOD(MONTH(AI$11)-MONTH(val_currentFYE),3)=0,2,0))</f>
        <v>#NAME?</v>
      </c>
      <c r="AJ15" s="1003" t="e" cm="1">
        <f t="array" ca="1" aca="1" ref="AJ15">IF(MONTH(AJ11)=MONTH(val_currentFYE),1,IF(MOD(MONTH(AJ$11)-MONTH(val_currentFYE),3)=0,2,0))</f>
        <v>#NAME?</v>
      </c>
      <c r="AK15" s="1003" t="e" cm="1">
        <f t="array" ca="1" aca="1" ref="AK15">IF(MONTH(AK11)=MONTH(val_currentFYE),1,IF(MOD(MONTH(AK$11)-MONTH(val_currentFYE),3)=0,2,0))</f>
        <v>#NAME?</v>
      </c>
      <c r="AL15" s="1003" t="e" cm="1">
        <f t="array" ca="1" aca="1" ref="AL15">IF(MONTH(AL11)=MONTH(val_currentFYE),1,IF(MOD(MONTH(AL$11)-MONTH(val_currentFYE),3)=0,2,0))</f>
        <v>#NAME?</v>
      </c>
      <c r="AM15" s="1003" t="e" cm="1">
        <f t="array" ca="1" aca="1" ref="AM15">IF(MONTH(AM11)=MONTH(val_currentFYE),1,IF(MOD(MONTH(AM$11)-MONTH(val_currentFYE),3)=0,2,0))</f>
        <v>#NAME?</v>
      </c>
      <c r="AN15" s="1003" t="e" cm="1">
        <f t="array" ca="1" aca="1" ref="AN15">IF(MONTH(AN11)=MONTH(val_currentFYE),1,IF(MOD(MONTH(AN$11)-MONTH(val_currentFYE),3)=0,2,0))</f>
        <v>#NAME?</v>
      </c>
      <c r="AO15" s="1003" t="e" cm="1">
        <f t="array" ca="1" aca="1" ref="AO15">IF(MONTH(AO11)=MONTH(val_currentFYE),1,IF(MOD(MONTH(AO$11)-MONTH(val_currentFYE),3)=0,2,0))</f>
        <v>#NAME?</v>
      </c>
      <c r="AP15" s="1003" t="e" cm="1">
        <f t="array" ca="1" aca="1" ref="AP15">IF(MONTH(AP11)=MONTH(val_currentFYE),1,IF(MOD(MONTH(AP$11)-MONTH(val_currentFYE),3)=0,2,0))</f>
        <v>#NAME?</v>
      </c>
      <c r="AQ15" s="1003" t="e" cm="1">
        <f t="array" ca="1" aca="1" ref="AQ15">IF(MONTH(AQ11)=MONTH(val_currentFYE),1,IF(MOD(MONTH(AQ$11)-MONTH(val_currentFYE),3)=0,2,0))</f>
        <v>#NAME?</v>
      </c>
      <c r="AR15" s="1003" t="e" cm="1">
        <f t="array" ca="1" aca="1" ref="AR15">IF(MONTH(AR11)=MONTH(val_currentFYE),1,IF(MOD(MONTH(AR$11)-MONTH(val_currentFYE),3)=0,2,0))</f>
        <v>#NAME?</v>
      </c>
      <c r="AS15" s="1003" t="e" cm="1">
        <f t="array" ca="1" aca="1" ref="AS15">IF(MONTH(AS11)=MONTH(val_currentFYE),1,IF(MOD(MONTH(AS$11)-MONTH(val_currentFYE),3)=0,2,0))</f>
        <v>#NAME?</v>
      </c>
      <c r="AT15" s="1003" t="e" cm="1">
        <f t="array" ca="1" aca="1" ref="AT15">IF(MONTH(AT11)=MONTH(val_currentFYE),1,IF(MOD(MONTH(AT$11)-MONTH(val_currentFYE),3)=0,2,0))</f>
        <v>#NAME?</v>
      </c>
      <c r="AU15" s="1003" t="e" cm="1">
        <f t="array" ca="1" aca="1" ref="AU15">IF(MONTH(AU11)=MONTH(val_currentFYE),1,IF(MOD(MONTH(AU$11)-MONTH(val_currentFYE),3)=0,2,0))</f>
        <v>#NAME?</v>
      </c>
      <c r="AV15" s="1003" t="e" cm="1">
        <f t="array" ca="1" aca="1" ref="AV15">IF(MONTH(AV11)=MONTH(val_currentFYE),1,IF(MOD(MONTH(AV$11)-MONTH(val_currentFYE),3)=0,2,0))</f>
        <v>#NAME?</v>
      </c>
      <c r="AW15" s="1003" t="e" cm="1">
        <f t="array" ca="1" aca="1" ref="AW15">IF(MONTH(AW11)=MONTH(val_currentFYE),1,IF(MOD(MONTH(AW$11)-MONTH(val_currentFYE),3)=0,2,0))</f>
        <v>#NAME?</v>
      </c>
      <c r="AX15" s="1003" t="e" cm="1">
        <f t="array" ca="1" aca="1" ref="AX15">IF(MONTH(AX11)=MONTH(val_currentFYE),1,IF(MOD(MONTH(AX$11)-MONTH(val_currentFYE),3)=0,2,0))</f>
        <v>#NAME?</v>
      </c>
      <c r="AY15" s="1003" t="e" cm="1">
        <f t="array" ca="1" aca="1" ref="AY15">IF(MONTH(AY11)=MONTH(val_currentFYE),1,IF(MOD(MONTH(AY$11)-MONTH(val_currentFYE),3)=0,2,0))</f>
        <v>#NAME?</v>
      </c>
      <c r="AZ15" s="1003" t="e" cm="1">
        <f t="array" ca="1" aca="1" ref="AZ15">IF(MONTH(AZ11)=MONTH(val_currentFYE),1,IF(MOD(MONTH(AZ$11)-MONTH(val_currentFYE),3)=0,2,0))</f>
        <v>#NAME?</v>
      </c>
      <c r="BA15" s="1003" t="e" cm="1">
        <f t="array" ca="1" aca="1" ref="BA15">IF(MONTH(BA11)=MONTH(val_currentFYE),1,IF(MOD(MONTH(BA$11)-MONTH(val_currentFYE),3)=0,2,0))</f>
        <v>#NAME?</v>
      </c>
      <c r="BB15" s="1003" t="e" cm="1">
        <f t="array" ca="1" aca="1" ref="BB15">IF(MONTH(BB11)=MONTH(val_currentFYE),1,IF(MOD(MONTH(BB$11)-MONTH(val_currentFYE),3)=0,2,0))</f>
        <v>#NAME?</v>
      </c>
      <c r="BC15" s="1003" t="e" cm="1">
        <f t="array" ca="1" aca="1" ref="BC15">IF(MONTH(BC11)=MONTH(val_currentFYE),1,IF(MOD(MONTH(BC$11)-MONTH(val_currentFYE),3)=0,2,0))</f>
        <v>#NAME?</v>
      </c>
      <c r="BD15" s="1003" t="e" cm="1">
        <f t="array" ca="1" aca="1" ref="BD15">IF(MONTH(BD11)=MONTH(val_currentFYE),1,IF(MOD(MONTH(BD$11)-MONTH(val_currentFYE),3)=0,2,0))</f>
        <v>#NAME?</v>
      </c>
      <c r="BE15" s="1003" t="e" cm="1">
        <f t="array" ca="1" aca="1" ref="BE15">IF(MONTH(BE11)=MONTH(val_currentFYE),1,IF(MOD(MONTH(BE$11)-MONTH(val_currentFYE),3)=0,2,0))</f>
        <v>#NAME?</v>
      </c>
      <c r="BF15" s="1003" t="e" cm="1">
        <f t="array" ca="1" aca="1" ref="BF15">IF(MONTH(BF11)=MONTH(val_currentFYE),1,IF(MOD(MONTH(BF$11)-MONTH(val_currentFYE),3)=0,2,0))</f>
        <v>#NAME?</v>
      </c>
      <c r="BG15" s="1003" t="e" cm="1">
        <f t="array" ca="1" aca="1" ref="BG15">IF(MONTH(BG11)=MONTH(val_currentFYE),1,IF(MOD(MONTH(BG$11)-MONTH(val_currentFYE),3)=0,2,0))</f>
        <v>#NAME?</v>
      </c>
      <c r="BH15" s="1003" t="e" cm="1">
        <f t="array" ca="1" aca="1" ref="BH15">IF(MONTH(BH11)=MONTH(val_currentFYE),1,IF(MOD(MONTH(BH$11)-MONTH(val_currentFYE),3)=0,2,0))</f>
        <v>#NAME?</v>
      </c>
      <c r="BI15" s="1003" t="e" cm="1">
        <f t="array" ca="1" aca="1" ref="BI15">IF(MONTH(BI11)=MONTH(val_currentFYE),1,IF(MOD(MONTH(BI$11)-MONTH(val_currentFYE),3)=0,2,0))</f>
        <v>#NAME?</v>
      </c>
      <c r="BJ15" s="1003" t="e" cm="1">
        <f t="array" ca="1" aca="1" ref="BJ15">IF(MONTH(BJ11)=MONTH(val_currentFYE),1,IF(MOD(MONTH(BJ$11)-MONTH(val_currentFYE),3)=0,2,0))</f>
        <v>#NAME?</v>
      </c>
      <c r="BK15" s="1003" t="e" cm="1">
        <f t="array" ca="1" aca="1" ref="BK15">IF(MONTH(BK11)=MONTH(val_currentFYE),1,IF(MOD(MONTH(BK$11)-MONTH(val_currentFYE),3)=0,2,0))</f>
        <v>#NAME?</v>
      </c>
      <c r="BL15" s="1003" t="e" cm="1">
        <f t="array" ca="1" aca="1" ref="BL15">IF(MONTH(BL11)=MONTH(val_currentFYE),1,IF(MOD(MONTH(BL$11)-MONTH(val_currentFYE),3)=0,2,0))</f>
        <v>#NAME?</v>
      </c>
      <c r="BM15" s="1003" t="e" cm="1">
        <f t="array" ca="1" aca="1" ref="BM15">IF(MONTH(BM11)=MONTH(val_currentFYE),1,IF(MOD(MONTH(BM$11)-MONTH(val_currentFYE),3)=0,2,0))</f>
        <v>#NAME?</v>
      </c>
      <c r="BN15" s="1004" t="e" cm="1">
        <f t="array" ca="1" aca="1" ref="BN15">IF(MONTH(BN11)=MONTH(val_currentFYE),1,IF(MOD(MONTH(BN$11)-MONTH(val_currentFYE),3)=0,2,0))</f>
        <v>#NAME?</v>
      </c>
      <c r="BO15" s="388"/>
      <c r="BP15" s="388"/>
      <c r="BQ15" s="388"/>
      <c r="BR15" s="388"/>
      <c r="BS15" s="388"/>
      <c r="BT15" s="388"/>
      <c r="BU15" s="388"/>
      <c r="BV15" s="388"/>
      <c r="BW15" s="388"/>
      <c r="BX15" s="388"/>
      <c r="BY15" s="388"/>
      <c r="BZ15" s="388"/>
      <c r="CA15" s="384"/>
      <c r="CC15" s="33"/>
      <c r="CD15" s="1341"/>
      <c r="CE15" s="1342"/>
      <c r="CF15" s="88"/>
      <c r="CG15" s="1744"/>
      <c r="CH15" s="1745"/>
      <c r="CI15" s="170"/>
      <c r="CJ15" s="1748"/>
      <c r="CK15" s="1752"/>
      <c r="CL15" s="88"/>
      <c r="CM15" s="1763"/>
      <c r="CN15" s="1767"/>
      <c r="CO15" s="1470"/>
      <c r="CP15" s="1763"/>
      <c r="CQ15" s="1767"/>
      <c r="CR15" s="34"/>
    </row>
    <row r="16" spans="1:102" ht="22.5">
      <c r="A16" s="1625"/>
      <c r="B16" s="2424"/>
      <c r="C16" s="2424"/>
      <c r="D16" s="577"/>
      <c r="E16" s="1899"/>
      <c r="F16" s="1896"/>
      <c r="G16" s="401"/>
      <c r="H16" s="401"/>
      <c r="I16" s="401"/>
      <c r="J16" s="573"/>
      <c r="K16" s="573"/>
      <c r="N16" s="158"/>
      <c r="O16" s="101"/>
      <c r="P16" s="101"/>
      <c r="Q16" s="101"/>
      <c r="R16" s="101"/>
      <c r="S16" s="101"/>
      <c r="T16" s="101"/>
      <c r="U16" s="39"/>
      <c r="W16" s="198"/>
      <c r="X16" s="88"/>
      <c r="Y16" s="88"/>
      <c r="Z16" s="543"/>
      <c r="AA16" s="97"/>
      <c r="AB16" s="869"/>
      <c r="AC16" s="128"/>
      <c r="AD16" s="2425"/>
      <c r="AE16" s="1211"/>
      <c r="AF16" s="1211"/>
      <c r="AG16" s="1211"/>
      <c r="AH16" s="998"/>
      <c r="AI16" s="998"/>
      <c r="AJ16" s="998"/>
      <c r="AK16" s="998"/>
      <c r="AL16" s="998"/>
      <c r="AM16" s="998"/>
      <c r="AN16" s="998"/>
      <c r="AO16" s="998"/>
      <c r="AP16" s="998"/>
      <c r="AQ16" s="998"/>
      <c r="AR16" s="998"/>
      <c r="AS16" s="998"/>
      <c r="AT16" s="998"/>
      <c r="AU16" s="998"/>
      <c r="AV16" s="998"/>
      <c r="AW16" s="998"/>
      <c r="AX16" s="998"/>
      <c r="AY16" s="998"/>
      <c r="AZ16" s="998"/>
      <c r="BA16" s="998"/>
      <c r="BB16" s="998"/>
      <c r="BC16" s="998"/>
      <c r="BD16" s="998"/>
      <c r="BE16" s="998"/>
      <c r="BF16" s="998"/>
      <c r="BG16" s="998"/>
      <c r="BH16" s="998"/>
      <c r="BI16" s="998"/>
      <c r="BJ16" s="998"/>
      <c r="BK16" s="998"/>
      <c r="BL16" s="998"/>
      <c r="BM16" s="998"/>
      <c r="BN16" s="1212"/>
      <c r="BO16" s="1212"/>
      <c r="BP16" s="1212"/>
      <c r="BQ16" s="1212"/>
      <c r="BR16" s="1212"/>
      <c r="BS16" s="1212"/>
      <c r="BT16" s="1212"/>
      <c r="BU16" s="1212"/>
      <c r="BV16" s="1212"/>
      <c r="BW16" s="1212"/>
      <c r="BX16" s="1212"/>
      <c r="BY16" s="1212"/>
      <c r="BZ16" s="1212"/>
      <c r="CA16" s="34"/>
      <c r="CC16" s="181"/>
      <c r="CD16" s="1742"/>
      <c r="CE16" s="1743"/>
      <c r="CF16" s="296"/>
      <c r="CG16" s="1746"/>
      <c r="CH16" s="1747"/>
      <c r="CI16" s="296"/>
      <c r="CJ16" s="1750"/>
      <c r="CK16" s="1751"/>
      <c r="CL16" s="88"/>
      <c r="CM16" s="1770"/>
      <c r="CN16" s="1771"/>
      <c r="CO16" s="1470"/>
      <c r="CP16" s="1770"/>
      <c r="CQ16" s="1771"/>
      <c r="CR16" s="34"/>
      <c r="CT16" s="1895"/>
      <c r="CU16" s="1895"/>
      <c r="CV16" s="1895"/>
      <c r="CW16" s="1895"/>
      <c r="CX16" s="2426"/>
    </row>
    <row r="17" spans="1:99" ht="20.25" customHeight="1">
      <c r="A17" s="2427"/>
      <c r="B17" s="2428"/>
      <c r="C17" s="2428"/>
      <c r="D17" s="722"/>
      <c r="E17" s="2429"/>
      <c r="F17" s="2429"/>
      <c r="G17" s="401"/>
      <c r="H17" s="578"/>
      <c r="I17" s="578"/>
      <c r="J17" s="573"/>
      <c r="K17" s="573"/>
      <c r="N17" s="158"/>
      <c r="O17" s="101"/>
      <c r="P17" s="151"/>
      <c r="Q17" s="151"/>
      <c r="R17" s="101"/>
      <c r="S17" s="291"/>
      <c r="T17" s="291"/>
      <c r="U17" s="39"/>
      <c r="W17" s="3045" t="str">
        <f>_PL!W17</f>
        <v>Actual</v>
      </c>
      <c r="X17" s="1247"/>
      <c r="Y17" s="3040" t="s">
        <v>81</v>
      </c>
      <c r="Z17" s="1248" t="s">
        <v>82</v>
      </c>
      <c r="AA17" s="1249"/>
      <c r="AB17" s="1630" t="s">
        <v>83</v>
      </c>
      <c r="AC17" s="1273"/>
      <c r="AD17" s="859" cm="1">
        <f t="array" ca="1" aca="1" ref="AD17:AD18">fx_checkComp(AD20:AD41)</f>
        <v>100</v>
      </c>
      <c r="AE17" s="859" cm="1">
        <f t="array" ca="1" aca="1" ref="AE17:AE18">fx_checkComp(AE20:AE41)</f>
        <v>100</v>
      </c>
      <c r="AF17" s="859" cm="1">
        <f t="array" ca="1" aca="1" ref="AF17:AF18">fx_checkComp(AF20:AF41)</f>
        <v>100</v>
      </c>
      <c r="AG17" s="859" cm="1">
        <f t="array" ca="1" aca="1" ref="AG17:AG18">fx_checkComp(AG20:AG41)</f>
        <v>100</v>
      </c>
      <c r="AH17" s="859" cm="1">
        <f t="array" ca="1" aca="1" ref="AH17:AH18">fx_checkComp(AH20:AH41)</f>
        <v>100</v>
      </c>
      <c r="AI17" s="859" cm="1">
        <f t="array" ca="1" aca="1" ref="AI17:AI18">fx_checkComp(AI20:AI41)</f>
        <v>100</v>
      </c>
      <c r="AJ17" s="859" cm="1">
        <f t="array" ca="1" aca="1" ref="AJ17:AJ18">fx_checkComp(AJ20:AJ41)</f>
        <v>100</v>
      </c>
      <c r="AK17" s="859" cm="1">
        <f t="array" ca="1" aca="1" ref="AK17:AK18">fx_checkComp(AK20:AK41)</f>
        <v>100</v>
      </c>
      <c r="AL17" s="859" cm="1">
        <f t="array" ca="1" aca="1" ref="AL17:AL18">fx_checkComp(AL20:AL41)</f>
        <v>100</v>
      </c>
      <c r="AM17" s="859" cm="1">
        <f t="array" ca="1" aca="1" ref="AM17:AM18">fx_checkComp(AM20:AM41)</f>
        <v>100</v>
      </c>
      <c r="AN17" s="859" cm="1">
        <f t="array" ca="1" aca="1" ref="AN17:AN18">fx_checkComp(AN20:AN41)</f>
        <v>100</v>
      </c>
      <c r="AO17" s="859" cm="1">
        <f t="array" ca="1" aca="1" ref="AO17:AO18">fx_checkComp(AO20:AO41)</f>
        <v>100</v>
      </c>
      <c r="AP17" s="859" cm="1">
        <f t="array" ca="1" aca="1" ref="AP17:AP18">fx_checkComp(AP20:AP41)</f>
        <v>100</v>
      </c>
      <c r="AQ17" s="859" cm="1">
        <f t="array" ca="1" aca="1" ref="AQ17:AQ18">fx_checkComp(AQ20:AQ41)</f>
        <v>100</v>
      </c>
      <c r="AR17" s="859" cm="1">
        <f t="array" ca="1" aca="1" ref="AR17:AR18">fx_checkComp(AR20:AR41)</f>
        <v>100</v>
      </c>
      <c r="AS17" s="859" cm="1">
        <f t="array" ca="1" aca="1" ref="AS17:AS18">fx_checkComp(AS20:AS41)</f>
        <v>100</v>
      </c>
      <c r="AT17" s="859" cm="1">
        <f t="array" ca="1" aca="1" ref="AT17:AT18">fx_checkComp(AT20:AT41)</f>
        <v>100</v>
      </c>
      <c r="AU17" s="859" cm="1">
        <f t="array" ca="1" aca="1" ref="AU17:AU18">fx_checkComp(AU20:AU41)</f>
        <v>100</v>
      </c>
      <c r="AV17" s="859" cm="1">
        <f t="array" ca="1" aca="1" ref="AV17:AV18">fx_checkComp(AV20:AV41)</f>
        <v>100</v>
      </c>
      <c r="AW17" s="859" cm="1">
        <f t="array" ca="1" aca="1" ref="AW17:AW18">fx_checkComp(AW20:AW41)</f>
        <v>100</v>
      </c>
      <c r="AX17" s="859" cm="1">
        <f t="array" ca="1" aca="1" ref="AX17:AX18">fx_checkComp(AX20:AX41)</f>
        <v>100</v>
      </c>
      <c r="AY17" s="859" cm="1">
        <f t="array" ca="1" aca="1" ref="AY17:AY18">fx_checkComp(AY20:AY41)</f>
        <v>100</v>
      </c>
      <c r="AZ17" s="859" cm="1">
        <f t="array" ca="1" aca="1" ref="AZ17:AZ18">fx_checkComp(AZ20:AZ41)</f>
        <v>100</v>
      </c>
      <c r="BA17" s="859" cm="1">
        <f t="array" ca="1" aca="1" ref="BA17:BA18">fx_checkComp(BA20:BA41)</f>
        <v>100</v>
      </c>
      <c r="BB17" s="859" cm="1">
        <f t="array" ca="1" aca="1" ref="BB17:BB18">fx_checkComp(BB20:BB41)</f>
        <v>100</v>
      </c>
      <c r="BC17" s="859" cm="1">
        <f t="array" ca="1" aca="1" ref="BC17:BC18">fx_checkComp(BC20:BC41)</f>
        <v>100</v>
      </c>
      <c r="BD17" s="859" cm="1">
        <f t="array" ca="1" aca="1" ref="BD17:BD18">fx_checkComp(BD20:BD41)</f>
        <v>100</v>
      </c>
      <c r="BE17" s="859" cm="1">
        <f t="array" ca="1" aca="1" ref="BE17:BE18">fx_checkComp(BE20:BE41)</f>
        <v>100</v>
      </c>
      <c r="BF17" s="859" cm="1">
        <f t="array" ca="1" aca="1" ref="BF17:BF18">fx_checkComp(BF20:BF41)</f>
        <v>100</v>
      </c>
      <c r="BG17" s="859" cm="1">
        <f t="array" ca="1" aca="1" ref="BG17:BG18">fx_checkComp(BG20:BG41)</f>
        <v>100</v>
      </c>
      <c r="BH17" s="859" cm="1">
        <f t="array" ca="1" aca="1" ref="BH17:BH18">fx_checkComp(BH20:BH41)</f>
        <v>100</v>
      </c>
      <c r="BI17" s="859" cm="1">
        <f t="array" ca="1" aca="1" ref="BI17:BI18">fx_checkComp(BI20:BI41)</f>
        <v>100</v>
      </c>
      <c r="BJ17" s="859" cm="1">
        <f t="array" ca="1" aca="1" ref="BJ17:BJ18">fx_checkComp(BJ20:BJ41)</f>
        <v>100</v>
      </c>
      <c r="BK17" s="859" cm="1">
        <f t="array" ca="1" aca="1" ref="BK17:BK18">fx_checkComp(BK20:BK41)</f>
        <v>100</v>
      </c>
      <c r="BL17" s="859" cm="1">
        <f t="array" ca="1" aca="1" ref="BL17:BL18">fx_checkComp(BL20:BL41)</f>
        <v>100</v>
      </c>
      <c r="BM17" s="859" cm="1">
        <f t="array" ca="1" aca="1" ref="BM17:BM18">fx_checkComp(BM20:BM41)</f>
        <v>100</v>
      </c>
      <c r="BN17" s="1215" cm="1">
        <f t="array" ca="1" aca="1" ref="BN17:BN18">fx_checkComp(BN20:BN41)</f>
        <v>100</v>
      </c>
      <c r="BO17" s="1804"/>
      <c r="BP17" s="1804"/>
      <c r="BQ17" s="1804"/>
      <c r="BR17" s="1804"/>
      <c r="BS17" s="1804"/>
      <c r="BT17" s="1804"/>
      <c r="BU17" s="1804"/>
      <c r="BV17" s="1804"/>
      <c r="BW17" s="1804"/>
      <c r="BX17" s="1804"/>
      <c r="BY17" s="1804"/>
      <c r="BZ17" s="1804"/>
      <c r="CA17" s="34"/>
      <c r="CC17" s="33"/>
      <c r="CD17" s="1341"/>
      <c r="CE17" s="1342"/>
      <c r="CF17" s="88"/>
      <c r="CG17" s="1744"/>
      <c r="CH17" s="1745"/>
      <c r="CI17" s="170"/>
      <c r="CJ17" s="1748"/>
      <c r="CK17" s="1752"/>
      <c r="CL17" s="88"/>
      <c r="CM17" s="1664" cm="1">
        <f t="array" ca="1" aca="1" ref="CM17:CM18">fx_checkComp(CM20:CM41)</f>
        <v>100</v>
      </c>
      <c r="CN17" s="1665" cm="1">
        <f t="array" ca="1" aca="1" ref="CN17:CN18">fx_checkComp(CN20:CN41)</f>
        <v>100</v>
      </c>
      <c r="CO17" s="1470"/>
      <c r="CP17" s="1664" cm="1">
        <f t="array" ca="1" aca="1" ref="CP17:CP18">fx_checkComp(CP20:CP41)</f>
        <v>100</v>
      </c>
      <c r="CQ17" s="1665" cm="1">
        <f t="array" ca="1" aca="1" ref="CQ17:CQ18">fx_checkComp(CQ20:CQ41)</f>
        <v>100</v>
      </c>
      <c r="CR17" s="34"/>
      <c r="CU17" s="4"/>
    </row>
    <row r="18" spans="1:144" ht="20.25" customHeight="1">
      <c r="A18" s="2427"/>
      <c r="B18" s="2428"/>
      <c r="C18" s="2428"/>
      <c r="D18" s="722"/>
      <c r="E18" s="697"/>
      <c r="F18" s="1900"/>
      <c r="G18" s="401"/>
      <c r="H18" s="578"/>
      <c r="I18" s="578"/>
      <c r="J18" s="578"/>
      <c r="K18" s="578"/>
      <c r="N18" s="158"/>
      <c r="O18" s="101"/>
      <c r="P18" s="151"/>
      <c r="Q18" s="151"/>
      <c r="R18" s="101"/>
      <c r="S18" s="289"/>
      <c r="T18" s="289"/>
      <c r="U18" s="39"/>
      <c r="W18" s="3046"/>
      <c r="X18" s="1250"/>
      <c r="Y18" s="3041"/>
      <c r="Z18" s="1251"/>
      <c r="AA18" s="1252"/>
      <c r="AB18" s="1631" t="s">
        <v>84</v>
      </c>
      <c r="AC18" s="1162"/>
      <c r="AD18" s="2430" t="str">
        <f ca="1"/>
        <v>O: 6 / 6</v>
      </c>
      <c r="AE18" s="2430" t="str">
        <f ca="1"/>
        <v>O: 6 / 6</v>
      </c>
      <c r="AF18" s="2430" t="str">
        <f ca="1"/>
        <v>O: 6 / 6</v>
      </c>
      <c r="AG18" s="2430" t="str">
        <f ca="1"/>
        <v>O: 6 / 6</v>
      </c>
      <c r="AH18" s="2430" t="str">
        <f ca="1"/>
        <v>O: 6 / 6</v>
      </c>
      <c r="AI18" s="2430" t="str">
        <f ca="1"/>
        <v>O: 6 / 6</v>
      </c>
      <c r="AJ18" s="2430" t="str">
        <f ca="1"/>
        <v>O: 6 / 6</v>
      </c>
      <c r="AK18" s="2430" t="str">
        <f ca="1"/>
        <v>O: 6 / 6</v>
      </c>
      <c r="AL18" s="2430" t="str">
        <f ca="1"/>
        <v>O: 6 / 6</v>
      </c>
      <c r="AM18" s="2430" t="str">
        <f ca="1"/>
        <v>O: 6 / 6</v>
      </c>
      <c r="AN18" s="2430" t="str">
        <f ca="1"/>
        <v>O: 6 / 6</v>
      </c>
      <c r="AO18" s="2430" t="str">
        <f ca="1"/>
        <v>O: 6 / 6</v>
      </c>
      <c r="AP18" s="2430" t="str">
        <f ca="1"/>
        <v>O: 6 / 6</v>
      </c>
      <c r="AQ18" s="2430" t="str">
        <f ca="1"/>
        <v>O: 6 / 6</v>
      </c>
      <c r="AR18" s="2430" t="str">
        <f ca="1"/>
        <v>O: 6 / 6</v>
      </c>
      <c r="AS18" s="2430" t="str">
        <f ca="1"/>
        <v>O: 6 / 6</v>
      </c>
      <c r="AT18" s="2430" t="str">
        <f ca="1"/>
        <v>O: 6 / 6</v>
      </c>
      <c r="AU18" s="2430" t="str">
        <f ca="1"/>
        <v>O: 6 / 6</v>
      </c>
      <c r="AV18" s="2430" t="str">
        <f ca="1"/>
        <v>O: 6 / 6</v>
      </c>
      <c r="AW18" s="2430" t="str">
        <f ca="1"/>
        <v>O: 6 / 6</v>
      </c>
      <c r="AX18" s="2430" t="str">
        <f ca="1"/>
        <v>O: 6 / 6</v>
      </c>
      <c r="AY18" s="2430" t="str">
        <f ca="1"/>
        <v>O: 6 / 6</v>
      </c>
      <c r="AZ18" s="2430" t="str">
        <f ca="1"/>
        <v>O: 6 / 6</v>
      </c>
      <c r="BA18" s="2430" t="str">
        <f ca="1"/>
        <v>O: 6 / 6</v>
      </c>
      <c r="BB18" s="2430" t="str">
        <f ca="1"/>
        <v>O: 6 / 6</v>
      </c>
      <c r="BC18" s="2430" t="str">
        <f ca="1"/>
        <v>O: 6 / 6</v>
      </c>
      <c r="BD18" s="2430" t="str">
        <f ca="1"/>
        <v>O: 6 / 6</v>
      </c>
      <c r="BE18" s="2430" t="str">
        <f ca="1"/>
        <v>O: 6 / 6</v>
      </c>
      <c r="BF18" s="2430" t="str">
        <f ca="1"/>
        <v>O: 6 / 6</v>
      </c>
      <c r="BG18" s="2430" t="str">
        <f ca="1"/>
        <v>O: 6 / 6</v>
      </c>
      <c r="BH18" s="2430" t="str">
        <f ca="1"/>
        <v>O: 6 / 6</v>
      </c>
      <c r="BI18" s="2430" t="str">
        <f ca="1"/>
        <v>O: 6 / 6</v>
      </c>
      <c r="BJ18" s="2430" t="str">
        <f ca="1"/>
        <v>O: 6 / 6</v>
      </c>
      <c r="BK18" s="2430" t="str">
        <f ca="1"/>
        <v>O: 6 / 6</v>
      </c>
      <c r="BL18" s="2430" t="str">
        <f ca="1"/>
        <v>O: 6 / 6</v>
      </c>
      <c r="BM18" s="2430" t="str">
        <f ca="1"/>
        <v>O: 6 / 6</v>
      </c>
      <c r="BN18" s="2431" t="str">
        <f ca="1"/>
        <v>O: 6 / 6</v>
      </c>
      <c r="BO18" s="2432"/>
      <c r="BP18" s="2432"/>
      <c r="BQ18" s="2432"/>
      <c r="BR18" s="2432"/>
      <c r="BS18" s="2432"/>
      <c r="BT18" s="2432"/>
      <c r="BU18" s="2432"/>
      <c r="BV18" s="2432"/>
      <c r="BW18" s="2432"/>
      <c r="BX18" s="2432"/>
      <c r="BY18" s="2432"/>
      <c r="BZ18" s="2432"/>
      <c r="CA18" s="34"/>
      <c r="CC18" s="33"/>
      <c r="CD18" s="1341"/>
      <c r="CE18" s="1342"/>
      <c r="CF18" s="88"/>
      <c r="CG18" s="1744"/>
      <c r="CH18" s="1745"/>
      <c r="CI18" s="170"/>
      <c r="CJ18" s="1748"/>
      <c r="CK18" s="1752"/>
      <c r="CL18" s="88"/>
      <c r="CM18" s="1768" t="str">
        <f ca="1"/>
        <v>O: 6 / 6</v>
      </c>
      <c r="CN18" s="1769" t="str">
        <f ca="1"/>
        <v>O: 6 / 6</v>
      </c>
      <c r="CO18" s="1470"/>
      <c r="CP18" s="1768" t="str">
        <f ca="1"/>
        <v>O: 6 / 6</v>
      </c>
      <c r="CQ18" s="1769" t="str">
        <f ca="1"/>
        <v>O: 6 / 6</v>
      </c>
      <c r="CR18" s="3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row>
    <row r="19" spans="1:144" ht="27.75" customHeight="1">
      <c r="A19" s="2433"/>
      <c r="B19" s="1332" t="s">
        <v>85</v>
      </c>
      <c r="C19" s="2434" t="s">
        <v>86</v>
      </c>
      <c r="D19" s="575" t="s">
        <v>87</v>
      </c>
      <c r="E19" s="2435" t="s">
        <v>88</v>
      </c>
      <c r="F19" s="1875" t="s">
        <v>89</v>
      </c>
      <c r="G19" s="1875" t="s">
        <v>90</v>
      </c>
      <c r="H19" s="1955" t="s">
        <v>91</v>
      </c>
      <c r="I19" s="1955" t="s">
        <v>92</v>
      </c>
      <c r="J19" s="1955" t="s">
        <v>52</v>
      </c>
      <c r="K19" s="1955" t="s">
        <v>93</v>
      </c>
      <c r="N19" s="158"/>
      <c r="O19" s="101"/>
      <c r="P19" s="101"/>
      <c r="Q19" s="101"/>
      <c r="R19" s="101"/>
      <c r="S19" s="101"/>
      <c r="T19" s="101"/>
      <c r="U19" s="39"/>
      <c r="W19" s="1225" t="s">
        <v>94</v>
      </c>
      <c r="X19" s="1232" t="str">
        <f>_PL!X19</f>
        <v>a</v>
      </c>
      <c r="Y19" s="1233" t="str">
        <f>val_company&amp;" P&amp;L Accounts"</f>
        <v>Therme Horizon P&amp;L Accounts</v>
      </c>
      <c r="Z19" s="1227"/>
      <c r="AA19" s="1227"/>
      <c r="AB19" s="1226" t="s">
        <v>95</v>
      </c>
      <c r="AC19" s="1227"/>
      <c r="AD19" s="1227" t="str">
        <f>$W$17</f>
        <v>Actual</v>
      </c>
      <c r="AE19" s="1227" t="str">
        <f t="shared" si="1" ref="AE19:BN19">$W$17</f>
        <v>Actual</v>
      </c>
      <c r="AF19" s="1227" t="str">
        <f t="shared" si="1"/>
        <v>Actual</v>
      </c>
      <c r="AG19" s="1227" t="str">
        <f t="shared" si="1"/>
        <v>Actual</v>
      </c>
      <c r="AH19" s="1227" t="str">
        <f t="shared" si="1"/>
        <v>Actual</v>
      </c>
      <c r="AI19" s="1227" t="str">
        <f t="shared" si="1"/>
        <v>Actual</v>
      </c>
      <c r="AJ19" s="1227" t="str">
        <f t="shared" si="1"/>
        <v>Actual</v>
      </c>
      <c r="AK19" s="1227" t="str">
        <f t="shared" si="1"/>
        <v>Actual</v>
      </c>
      <c r="AL19" s="1227" t="str">
        <f t="shared" si="1"/>
        <v>Actual</v>
      </c>
      <c r="AM19" s="1227" t="str">
        <f t="shared" si="1"/>
        <v>Actual</v>
      </c>
      <c r="AN19" s="1227" t="str">
        <f t="shared" si="1"/>
        <v>Actual</v>
      </c>
      <c r="AO19" s="1227" t="str">
        <f t="shared" si="1"/>
        <v>Actual</v>
      </c>
      <c r="AP19" s="1227" t="str">
        <f t="shared" si="1"/>
        <v>Actual</v>
      </c>
      <c r="AQ19" s="1227" t="str">
        <f t="shared" si="1"/>
        <v>Actual</v>
      </c>
      <c r="AR19" s="1227" t="str">
        <f t="shared" si="1"/>
        <v>Actual</v>
      </c>
      <c r="AS19" s="1227" t="str">
        <f t="shared" si="1"/>
        <v>Actual</v>
      </c>
      <c r="AT19" s="1227" t="str">
        <f t="shared" si="1"/>
        <v>Actual</v>
      </c>
      <c r="AU19" s="1227" t="str">
        <f t="shared" si="1"/>
        <v>Actual</v>
      </c>
      <c r="AV19" s="1227" t="str">
        <f t="shared" si="1"/>
        <v>Actual</v>
      </c>
      <c r="AW19" s="1227" t="str">
        <f t="shared" si="1"/>
        <v>Actual</v>
      </c>
      <c r="AX19" s="1227" t="str">
        <f t="shared" si="1"/>
        <v>Actual</v>
      </c>
      <c r="AY19" s="1227" t="str">
        <f t="shared" si="1"/>
        <v>Actual</v>
      </c>
      <c r="AZ19" s="1227" t="str">
        <f t="shared" si="1"/>
        <v>Actual</v>
      </c>
      <c r="BA19" s="1227" t="str">
        <f t="shared" si="1"/>
        <v>Actual</v>
      </c>
      <c r="BB19" s="1227" t="str">
        <f t="shared" si="1"/>
        <v>Actual</v>
      </c>
      <c r="BC19" s="1227" t="str">
        <f t="shared" si="1"/>
        <v>Actual</v>
      </c>
      <c r="BD19" s="1227" t="str">
        <f t="shared" si="1"/>
        <v>Actual</v>
      </c>
      <c r="BE19" s="1227" t="str">
        <f t="shared" si="1"/>
        <v>Actual</v>
      </c>
      <c r="BF19" s="1227" t="str">
        <f t="shared" si="1"/>
        <v>Actual</v>
      </c>
      <c r="BG19" s="1227" t="str">
        <f t="shared" si="1"/>
        <v>Actual</v>
      </c>
      <c r="BH19" s="1227" t="str">
        <f t="shared" si="1"/>
        <v>Actual</v>
      </c>
      <c r="BI19" s="1227" t="str">
        <f t="shared" si="1"/>
        <v>Actual</v>
      </c>
      <c r="BJ19" s="1227" t="str">
        <f t="shared" si="1"/>
        <v>Actual</v>
      </c>
      <c r="BK19" s="1227" t="str">
        <f t="shared" si="1"/>
        <v>Actual</v>
      </c>
      <c r="BL19" s="1227" t="str">
        <f t="shared" si="1"/>
        <v>Actual</v>
      </c>
      <c r="BM19" s="1227" t="str">
        <f t="shared" si="1"/>
        <v>Actual</v>
      </c>
      <c r="BN19" s="1227" t="str">
        <f t="shared" si="1"/>
        <v>Actual</v>
      </c>
      <c r="BO19" s="2094"/>
      <c r="BP19" s="2094"/>
      <c r="BQ19" s="2094"/>
      <c r="BR19" s="2094"/>
      <c r="BS19" s="2094"/>
      <c r="BT19" s="2094"/>
      <c r="BU19" s="2094"/>
      <c r="BV19" s="2094"/>
      <c r="BW19" s="2094"/>
      <c r="BX19" s="2094"/>
      <c r="BY19" s="2094"/>
      <c r="BZ19" s="2094"/>
      <c r="CA19" s="34"/>
      <c r="CC19" s="33"/>
      <c r="CD19" s="1720" t="str">
        <f t="shared" si="2" ref="CD19:CE19">$W$17</f>
        <v>Actual</v>
      </c>
      <c r="CE19" s="1721" t="str">
        <f t="shared" si="2"/>
        <v>Actual</v>
      </c>
      <c r="CF19" s="128"/>
      <c r="CG19" s="1734" t="str" cm="1">
        <f t="array" ref="CG19">fx_scenarioConverter($W17)</f>
        <v>Actual</v>
      </c>
      <c r="CH19" s="1735" t="str" cm="1">
        <f t="array" ref="CH19">fx_scenarioConverter($W17)</f>
        <v>Actual</v>
      </c>
      <c r="CI19" s="207"/>
      <c r="CJ19" s="1724" t="str" cm="1">
        <f t="array" ref="CJ19">fx_scenarioConverter($W17)</f>
        <v>Actual</v>
      </c>
      <c r="CK19" s="1725" t="str" cm="1">
        <f t="array" ref="CK19">fx_scenarioConverter($W17)</f>
        <v>Actual</v>
      </c>
      <c r="CL19" s="869"/>
      <c r="CM19" s="1198" t="str" cm="1">
        <f t="array" ref="CM19">fx_scenarioConverter("Original Budget")</f>
        <v>Original Budget</v>
      </c>
      <c r="CN19" s="1199" t="str" cm="1">
        <f t="array" ref="CN19">fx_scenarioConverter("LE")</f>
        <v>LE</v>
      </c>
      <c r="CO19" s="1205"/>
      <c r="CP19" s="1198" t="str" cm="1">
        <f t="array" ref="CP19">fx_scenarioConverter("Original Budget")</f>
        <v>Original Budget</v>
      </c>
      <c r="CQ19" s="1199" t="str" cm="1">
        <f t="array" ref="CQ19">fx_scenarioConverter("LE")</f>
        <v>LE</v>
      </c>
      <c r="CR19" s="34"/>
      <c r="CT19" s="2089" t="str" cm="1">
        <f t="array" ca="1" aca="1" ref="CT19">RIGHT(CELL("filename",A1),LEN(CELL("filename",A1))-FIND("]",CELL("filename",A1)))&amp;" "&amp;"Label PUSH"&amp;TEXT(val_asOfDate," MMm-YY")</f>
        <v>PL Label PUSH Dec-25</v>
      </c>
      <c r="CU19" s="2089" t="str" cm="1">
        <f t="array" ca="1" aca="1" ref="CU19">RIGHT(CELL("filename",A1),LEN(CELL("filename",A1))-FIND("]",CELL("filename",A1)))&amp;" "&amp;"Label PUSH"&amp;TEXT(EOMONTH(val_asOfDate,1)," MMMM-YY")</f>
        <v>PL Label PUSH January-26</v>
      </c>
      <c r="CV19" s="2089" t="str" cm="1">
        <f t="array" ca="1" aca="1" ref="CV19">RIGHT(CELL("filename",B1),LEN(CELL("filename",B1))-FIND("]",CELL("filename",B1)))&amp;" "&amp;"Label PUSH"&amp;TEXT(EOMONTH(val_asOfDate,2)," MMMM-YY")</f>
        <v>PL Label PUSH February-26</v>
      </c>
      <c r="CW19" s="2089" t="str" cm="1">
        <f t="array" ca="1" aca="1" ref="CW19">RIGHT(CELL("filename",B1),LEN(CELL("filename",B1))-FIND("]",CELL("filename",B1)))&amp;" "&amp;"Label PUSH"&amp;TEXT(EOMONTH(val_asOfDate,2)," MMMM-YY")</f>
        <v>PL Label PUSH February-26</v>
      </c>
      <c r="CX19" s="2436"/>
      <c r="CY19" s="2437" t="str" cm="1">
        <f t="array" ca="1" aca="1" ref="CY19">RIGHT(CELL("filename",A1),LEN(CELL("filename",A1))-FIND("]",CELL("filename",A1)))&amp;" "&amp;$CM$10&amp;" PUSH"</f>
        <v>PL Current FY PUSH</v>
      </c>
      <c r="CZ19" s="2437" t="str" cm="1">
        <f t="array" ca="1" aca="1" ref="CZ19">RIGHT(CELL("filename",A1),LEN(CELL("filename",A1))-FIND("]",CELL("filename",A1)))&amp;" "&amp;$CM$10&amp;" PUSH"</f>
        <v>PL Current FY PUSH</v>
      </c>
      <c r="DA19" s="2437" t="str" cm="1">
        <f t="array" ca="1" aca="1" ref="DA19">RIGHT(CELL("filename",C1),LEN(CELL("filename",C1))-FIND("]",CELL("filename",C1)))&amp;" "&amp;$CP$10&amp;" PUSH"</f>
        <v>PL Next FY PUSH</v>
      </c>
      <c r="DB19" s="2437" t="str" cm="1">
        <f t="array" ca="1" aca="1" ref="DB19">RIGHT(CELL("filename",C1),LEN(CELL("filename",C1))-FIND("]",CELL("filename",C1)))&amp;" "&amp;$CP$10&amp;" PUSH"</f>
        <v>PL Next FY PUSH</v>
      </c>
      <c r="DC19" s="2436"/>
      <c r="DD19" s="2438" t="str" cm="1">
        <f t="array" ca="1" aca="1" ref="DD19">RIGHT(CELL("filename",$A$1),LEN(CELL("filename",$A$1))-FIND("]",CELL("filename",$A$1)))&amp;" PUSH"</f>
        <v>PL PUSH</v>
      </c>
      <c r="DE19" s="2438" t="str" cm="1">
        <f t="array" ca="1" aca="1" ref="DE19">RIGHT(CELL("filename",$A$1),LEN(CELL("filename",$A$1))-FIND("]",CELL("filename",$A$1)))&amp;" PUSH"</f>
        <v>PL PUSH</v>
      </c>
      <c r="DF19" s="2438" t="str" cm="1">
        <f t="array" ca="1" aca="1" ref="DF19">RIGHT(CELL("filename",$A$1),LEN(CELL("filename",$A$1))-FIND("]",CELL("filename",$A$1)))&amp;" PUSH"</f>
        <v>PL PUSH</v>
      </c>
      <c r="DG19" s="2438" t="str" cm="1">
        <f t="array" ca="1" aca="1" ref="DG19">RIGHT(CELL("filename",$A$1),LEN(CELL("filename",$A$1))-FIND("]",CELL("filename",$A$1)))&amp;" PUSH"</f>
        <v>PL PUSH</v>
      </c>
      <c r="DH19" s="2438" t="str" cm="1">
        <f t="array" ca="1" aca="1" ref="DH19">RIGHT(CELL("filename",$A$1),LEN(CELL("filename",$A$1))-FIND("]",CELL("filename",$A$1)))&amp;" PUSH"</f>
        <v>PL PUSH</v>
      </c>
      <c r="DI19" s="2438" t="str" cm="1">
        <f t="array" ca="1" aca="1" ref="DI19">RIGHT(CELL("filename",$A$1),LEN(CELL("filename",$A$1))-FIND("]",CELL("filename",$A$1)))&amp;" PUSH"</f>
        <v>PL PUSH</v>
      </c>
      <c r="DJ19" s="2438" t="str" cm="1">
        <f t="array" ca="1" aca="1" ref="DJ19">RIGHT(CELL("filename",$A$1),LEN(CELL("filename",$A$1))-FIND("]",CELL("filename",$A$1)))&amp;" PUSH"</f>
        <v>PL PUSH</v>
      </c>
      <c r="DK19" s="2438" t="str" cm="1">
        <f t="array" ca="1" aca="1" ref="DK19">RIGHT(CELL("filename",$A$1),LEN(CELL("filename",$A$1))-FIND("]",CELL("filename",$A$1)))&amp;" PUSH"</f>
        <v>PL PUSH</v>
      </c>
      <c r="DL19" s="2438" t="str" cm="1">
        <f t="array" ca="1" aca="1" ref="DL19">RIGHT(CELL("filename",$A$1),LEN(CELL("filename",$A$1))-FIND("]",CELL("filename",$A$1)))&amp;" PUSH"</f>
        <v>PL PUSH</v>
      </c>
      <c r="DM19" s="2438" t="str" cm="1">
        <f t="array" ca="1" aca="1" ref="DM19">RIGHT(CELL("filename",$A$1),LEN(CELL("filename",$A$1))-FIND("]",CELL("filename",$A$1)))&amp;" PUSH"</f>
        <v>PL PUSH</v>
      </c>
      <c r="DN19" s="2438" t="str" cm="1">
        <f t="array" ca="1" aca="1" ref="DN19">RIGHT(CELL("filename",$A$1),LEN(CELL("filename",$A$1))-FIND("]",CELL("filename",$A$1)))&amp;" PUSH"</f>
        <v>PL PUSH</v>
      </c>
      <c r="DO19" s="2438" t="str" cm="1">
        <f t="array" ca="1" aca="1" ref="DO19">RIGHT(CELL("filename",$A$1),LEN(CELL("filename",$A$1))-FIND("]",CELL("filename",$A$1)))&amp;" PUSH"</f>
        <v>PL PUSH</v>
      </c>
      <c r="DP19" s="2438" t="str" cm="1">
        <f t="array" ca="1" aca="1" ref="DP19">RIGHT(CELL("filename",$A$1),LEN(CELL("filename",$A$1))-FIND("]",CELL("filename",$A$1)))&amp;" PUSH"</f>
        <v>PL PUSH</v>
      </c>
      <c r="DQ19" s="2438" t="str" cm="1">
        <f t="array" ca="1" aca="1" ref="DQ19">RIGHT(CELL("filename",$A$1),LEN(CELL("filename",$A$1))-FIND("]",CELL("filename",$A$1)))&amp;" PUSH"</f>
        <v>PL PUSH</v>
      </c>
      <c r="DR19" s="2438" t="str" cm="1">
        <f t="array" ca="1" aca="1" ref="DR19">RIGHT(CELL("filename",$A$1),LEN(CELL("filename",$A$1))-FIND("]",CELL("filename",$A$1)))&amp;" PUSH"</f>
        <v>PL PUSH</v>
      </c>
      <c r="DS19" s="2438" t="str" cm="1">
        <f t="array" ca="1" aca="1" ref="DS19">RIGHT(CELL("filename",$A$1),LEN(CELL("filename",$A$1))-FIND("]",CELL("filename",$A$1)))&amp;" PUSH"</f>
        <v>PL PUSH</v>
      </c>
      <c r="DT19" s="2438" t="str" cm="1">
        <f t="array" ca="1" aca="1" ref="DT19">RIGHT(CELL("filename",$A$1),LEN(CELL("filename",$A$1))-FIND("]",CELL("filename",$A$1)))&amp;" PUSH"</f>
        <v>PL PUSH</v>
      </c>
      <c r="DU19" s="2438" t="str" cm="1">
        <f t="array" ca="1" aca="1" ref="DU19">RIGHT(CELL("filename",$A$1),LEN(CELL("filename",$A$1))-FIND("]",CELL("filename",$A$1)))&amp;" PUSH"</f>
        <v>PL PUSH</v>
      </c>
      <c r="DV19" s="2438" t="str" cm="1">
        <f t="array" ca="1" aca="1" ref="DV19">RIGHT(CELL("filename",$A$1),LEN(CELL("filename",$A$1))-FIND("]",CELL("filename",$A$1)))&amp;" PUSH"</f>
        <v>PL PUSH</v>
      </c>
      <c r="DW19" s="2438" t="str" cm="1">
        <f t="array" ca="1" aca="1" ref="DW19">RIGHT(CELL("filename",$A$1),LEN(CELL("filename",$A$1))-FIND("]",CELL("filename",$A$1)))&amp;" PUSH"</f>
        <v>PL PUSH</v>
      </c>
      <c r="DX19" s="2438" t="str" cm="1">
        <f t="array" ca="1" aca="1" ref="DX19">RIGHT(CELL("filename",$A$1),LEN(CELL("filename",$A$1))-FIND("]",CELL("filename",$A$1)))&amp;" PUSH"</f>
        <v>PL PUSH</v>
      </c>
      <c r="DY19" s="2438" t="str" cm="1">
        <f t="array" ca="1" aca="1" ref="DY19">RIGHT(CELL("filename",$A$1),LEN(CELL("filename",$A$1))-FIND("]",CELL("filename",$A$1)))&amp;" PUSH"</f>
        <v>PL PUSH</v>
      </c>
      <c r="DZ19" s="2438" t="str" cm="1">
        <f t="array" ca="1" aca="1" ref="DZ19">RIGHT(CELL("filename",$A$1),LEN(CELL("filename",$A$1))-FIND("]",CELL("filename",$A$1)))&amp;" PUSH"</f>
        <v>PL PUSH</v>
      </c>
      <c r="EA19" s="2438" t="str" cm="1">
        <f t="array" ca="1" aca="1" ref="EA19">RIGHT(CELL("filename",$A$1),LEN(CELL("filename",$A$1))-FIND("]",CELL("filename",$A$1)))&amp;" PUSH"</f>
        <v>PL PUSH</v>
      </c>
      <c r="EB19" s="2438" t="str" cm="1">
        <f t="array" ca="1" aca="1" ref="EB19">RIGHT(CELL("filename",$A$1),LEN(CELL("filename",$A$1))-FIND("]",CELL("filename",$A$1)))&amp;" PUSH"</f>
        <v>PL PUSH</v>
      </c>
      <c r="EC19" s="2438" t="str" cm="1">
        <f t="array" ca="1" aca="1" ref="EC19">RIGHT(CELL("filename",$A$1),LEN(CELL("filename",$A$1))-FIND("]",CELL("filename",$A$1)))&amp;" PUSH"</f>
        <v>PL PUSH</v>
      </c>
      <c r="ED19" s="2438" t="str" cm="1">
        <f t="array" ca="1" aca="1" ref="ED19">RIGHT(CELL("filename",$A$1),LEN(CELL("filename",$A$1))-FIND("]",CELL("filename",$A$1)))&amp;" PUSH"</f>
        <v>PL PUSH</v>
      </c>
      <c r="EE19" s="2438" t="str" cm="1">
        <f t="array" ca="1" aca="1" ref="EE19">RIGHT(CELL("filename",$A$1),LEN(CELL("filename",$A$1))-FIND("]",CELL("filename",$A$1)))&amp;" PUSH"</f>
        <v>PL PUSH</v>
      </c>
      <c r="EF19" s="2438" t="str" cm="1">
        <f t="array" ca="1" aca="1" ref="EF19">RIGHT(CELL("filename",$A$1),LEN(CELL("filename",$A$1))-FIND("]",CELL("filename",$A$1)))&amp;" PUSH"</f>
        <v>PL PUSH</v>
      </c>
      <c r="EG19" s="2438" t="str" cm="1">
        <f t="array" ca="1" aca="1" ref="EG19">RIGHT(CELL("filename",$A$1),LEN(CELL("filename",$A$1))-FIND("]",CELL("filename",$A$1)))&amp;" PUSH"</f>
        <v>PL PUSH</v>
      </c>
      <c r="EH19" s="2438" t="str" cm="1">
        <f t="array" ca="1" aca="1" ref="EH19">RIGHT(CELL("filename",$A$1),LEN(CELL("filename",$A$1))-FIND("]",CELL("filename",$A$1)))&amp;" PUSH"</f>
        <v>PL PUSH</v>
      </c>
      <c r="EI19" s="2438" t="str" cm="1">
        <f t="array" ca="1" aca="1" ref="EI19">RIGHT(CELL("filename",$A$1),LEN(CELL("filename",$A$1))-FIND("]",CELL("filename",$A$1)))&amp;" PUSH"</f>
        <v>PL PUSH</v>
      </c>
      <c r="EJ19" s="2438" t="str" cm="1">
        <f t="array" ca="1" aca="1" ref="EJ19">RIGHT(CELL("filename",$A$1),LEN(CELL("filename",$A$1))-FIND("]",CELL("filename",$A$1)))&amp;" PUSH"</f>
        <v>PL PUSH</v>
      </c>
      <c r="EK19" s="2438" t="str" cm="1">
        <f t="array" ca="1" aca="1" ref="EK19">RIGHT(CELL("filename",$A$1),LEN(CELL("filename",$A$1))-FIND("]",CELL("filename",$A$1)))&amp;" PUSH"</f>
        <v>PL PUSH</v>
      </c>
      <c r="EL19" s="2438" t="str" cm="1">
        <f t="array" ca="1" aca="1" ref="EL19">RIGHT(CELL("filename",$A$1),LEN(CELL("filename",$A$1))-FIND("]",CELL("filename",$A$1)))&amp;" PUSH"</f>
        <v>PL PUSH</v>
      </c>
      <c r="EM19" s="2438" t="str" cm="1">
        <f t="array" ca="1" aca="1" ref="EM19">RIGHT(CELL("filename",$A$1),LEN(CELL("filename",$A$1))-FIND("]",CELL("filename",$A$1)))&amp;" PUSH"</f>
        <v>PL PUSH</v>
      </c>
      <c r="EN19" s="2438" t="str" cm="1">
        <f t="array" ca="1" aca="1" ref="EN19">RIGHT(CELL("filename",$A$1),LEN(CELL("filename",$A$1))-FIND("]",CELL("filename",$A$1)))&amp;" PUSH"</f>
        <v>PL PUSH</v>
      </c>
    </row>
    <row r="20" spans="1:144" ht="21" customHeight="1">
      <c r="A20" s="1625" t="s">
        <v>96</v>
      </c>
      <c r="B20" s="2439" t="str">
        <f>_xlfn.LET(_xlpm.IsNotAttrDynamic,D20="",_xlpm.Attr,_PL!F20,_xlpm.NotInUse,Y20=D20,_xlpm.RESULT,IF(_xlpm.IsNotAttrDynamic,_xlpm.Attr,IF(_xlpm.NotInUse,"",Y20)),IF(_xlpm.RESULT="","",_xlpm.RESULT))</f>
        <v>Net Revenue</v>
      </c>
      <c r="C20" s="2439" t="str" cm="1">
        <f t="array" ref="C20">IFBLANK(_PL!C20,"")</f>
        <v>Net Revenue (Company View)</v>
      </c>
      <c r="D20" s="1548"/>
      <c r="E20" s="2440" t="e" cm="1">
        <f t="array" ca="1" aca="1" ref="E2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CQ20,Z20)</f>
        <v>#NAME?</v>
      </c>
      <c r="F20" s="1897"/>
      <c r="G20" s="1897"/>
      <c r="H20" s="578">
        <v>0</v>
      </c>
      <c r="I20" s="3284">
        <v>1</v>
      </c>
      <c r="J20" s="3284">
        <f>IF(OR(ISNUMBER(SEARCH("required",Z20)),ISNUMBER(SEARCH("optional",Z20))),"",Z20)</f>
        <v>1</v>
      </c>
      <c r="K20" s="578" t="str">
        <f t="shared" si="3" ref="K20:K55">IFERROR(IF(LEN(AB20)=0,"No",IF(LEN(J20)&gt;0,"Yes","No")),"")</f>
        <v>Yes</v>
      </c>
      <c r="L20" s="37"/>
      <c r="N20" s="158"/>
      <c r="O20" s="101"/>
      <c r="P20" s="52"/>
      <c r="Q20" s="101"/>
      <c r="R20" s="126"/>
      <c r="S20" s="101"/>
      <c r="T20" s="101"/>
      <c r="U20" s="39"/>
      <c r="V20" s="37"/>
      <c r="W20" s="3458" t="str" cm="1">
        <f t="array" ref="W20">fx_scenarioConverter($W$17)</f>
        <v>Actual</v>
      </c>
      <c r="X20" s="3338">
        <f>_PL!X20</f>
        <v>1</v>
      </c>
      <c r="Y20" s="3174">
        <v>2</v>
      </c>
      <c r="Z20" s="3286" cm="1">
        <f t="array" ref="Z20">_xlfn.SWITCH(TRUE,_PL!$L20=TRUE,1,_PL!$L20=FALSE,-1,_PL!$L20=-1,0,"")</f>
        <v>1</v>
      </c>
      <c r="AA20" s="200"/>
      <c r="AB20" s="33" t="str">
        <f>_PL!AB20</f>
        <v>Net Revenue</v>
      </c>
      <c r="AC20" s="275" t="e" vm="5" cm="1">
        <f t="array" ca="1" aca="1" ref="AC20">_xlfn.LET(_xlpm._termname,$AB20,_xlpm._iconname,"find",_xlpm._icon,fx_getIcon(_xlpm._iconname),_xlpm._location,_xlfn.XLOOKUP(LOWER(_xlpm._termname),LOWER(tbl_acctDef[Term]),tbl_acctDef[Term]),_xlpm._hyperlink,HYPERLINK("#"&amp;CELL("address",_xlpm._location),_xlpm._icon),IFERROR(_xlpm._hyperlink,""))</f>
        <v>#VALUE!</v>
      </c>
      <c r="AD20" s="3175">
        <v>1</v>
      </c>
      <c r="AE20" s="3175">
        <v>1</v>
      </c>
      <c r="AF20" s="3175">
        <v>1</v>
      </c>
      <c r="AG20" s="3175">
        <v>1</v>
      </c>
      <c r="AH20" s="3175">
        <v>1</v>
      </c>
      <c r="AI20" s="3175">
        <v>1</v>
      </c>
      <c r="AJ20" s="3175">
        <v>1</v>
      </c>
      <c r="AK20" s="3175">
        <v>1</v>
      </c>
      <c r="AL20" s="3175">
        <v>1</v>
      </c>
      <c r="AM20" s="3175">
        <v>1</v>
      </c>
      <c r="AN20" s="3175">
        <v>1</v>
      </c>
      <c r="AO20" s="3175">
        <v>1</v>
      </c>
      <c r="AP20" s="3175">
        <v>1</v>
      </c>
      <c r="AQ20" s="3175">
        <v>1</v>
      </c>
      <c r="AR20" s="3175">
        <v>1</v>
      </c>
      <c r="AS20" s="3175">
        <v>1</v>
      </c>
      <c r="AT20" s="3175">
        <v>1</v>
      </c>
      <c r="AU20" s="3175">
        <v>1</v>
      </c>
      <c r="AV20" s="3175">
        <v>1</v>
      </c>
      <c r="AW20" s="3175">
        <v>1</v>
      </c>
      <c r="AX20" s="3175">
        <v>1</v>
      </c>
      <c r="AY20" s="3175">
        <v>1</v>
      </c>
      <c r="AZ20" s="3175">
        <v>1</v>
      </c>
      <c r="BA20" s="3175">
        <v>1</v>
      </c>
      <c r="BB20" s="3175">
        <v>1</v>
      </c>
      <c r="BC20" s="3175">
        <v>1</v>
      </c>
      <c r="BD20" s="3175">
        <v>1</v>
      </c>
      <c r="BE20" s="3175">
        <v>1</v>
      </c>
      <c r="BF20" s="3175">
        <v>1</v>
      </c>
      <c r="BG20" s="3175">
        <v>1</v>
      </c>
      <c r="BH20" s="3175">
        <v>1</v>
      </c>
      <c r="BI20" s="3175">
        <v>1</v>
      </c>
      <c r="BJ20" s="3175">
        <v>1</v>
      </c>
      <c r="BK20" s="3175">
        <v>1</v>
      </c>
      <c r="BL20" s="3175">
        <v>1</v>
      </c>
      <c r="BM20" s="3175">
        <v>1</v>
      </c>
      <c r="BN20" s="3175">
        <v>1</v>
      </c>
      <c r="BO20" s="2442"/>
      <c r="BP20" s="2442"/>
      <c r="BQ20" s="2442"/>
      <c r="BR20" s="2442"/>
      <c r="BS20" s="2442"/>
      <c r="BT20" s="2442"/>
      <c r="BU20" s="2442"/>
      <c r="BV20" s="2442"/>
      <c r="BW20" s="2442"/>
      <c r="BX20" s="2442"/>
      <c r="BY20" s="2442"/>
      <c r="BZ20" s="2442"/>
      <c r="CA20" s="34"/>
      <c r="CC20" s="33"/>
      <c r="CD20" s="1772" t="e" cm="1">
        <f t="array" ca="1" aca="1" ref="CD20">_xlfn.LET(_xlpm.CheckBlank,SUM(PL!$AD20:$BN20)=0,IF(_xlpm.CheckBlank,"",SUM(_xlfn._xlws.FILTER(PL!$AD20:$BN20,(YEAR(PL!$AD$12:$BN$12)=PL!CD$12)*(array_timeline&lt;=PL!CD$11)))))</f>
        <v>#NAME?</v>
      </c>
      <c r="CE20" s="1772" t="e" cm="1">
        <f t="array" ca="1" aca="1" ref="CE20">_xlfn.LET(_xlpm.CheckBlank,SUM(PL!$AD20:$BN20)=0,IF(_xlpm.CheckBlank,"",SUM(_xlfn._xlws.FILTER(PL!$AD20:$BN20,(YEAR(PL!$AD$12:$BN$12)=PL!CE$12)*(array_timeline&lt;=PL!CE$11)))))</f>
        <v>#NAME?</v>
      </c>
      <c r="CF20" s="88"/>
      <c r="CG20" s="1461" t="str" cm="1">
        <f t="array" ca="1" aca="1" ref="CG20">IFERROR(_xlfn.LET(_xlpm.CheckBlank,SUM(PL!$AD20:$BN20)=0,IF(_xlpm.CheckBlank,"",SUM(_xlfn._xlws.FILTER(PL!$AD20:$BN20,(YEAR(PL!$AD$12:$BN$12)=PL!CG$12)*(array_timeline&lt;=PL!CG$11))))),"n/a")</f>
        <v>n/a</v>
      </c>
      <c r="CH20" s="1461" t="e" cm="1">
        <f t="array" ca="1" aca="1" ref="CH20">_xlfn.LET(_xlpm.CheckBlank,SUM(PL!$AD20:$BN20)=0,IF(_xlpm.CheckBlank,"",SUM(_xlfn._xlws.FILTER(PL!$AD20:$BN20,(YEAR(PL!$AD$12:$BN$12)=PL!CH$12)*(array_timeline&lt;=PL!CH$11)))))</f>
        <v>#NAME?</v>
      </c>
      <c r="CI20" s="88"/>
      <c r="CJ20" s="1461" cm="1">
        <f t="array" ref="CJ20">_xlfn.LET(_xlpm.CheckBlank,SUM(PL!$AD20:$BN20)=0,IF(_xlpm.CheckBlank,"",SUM(_xlfn.TAKE(_xlfn.DROP(PL!$AD20:$BN20,,-DATEDIFF(PL!CJ$11,val_asOfDate,"M")),1,-12))))</f>
        <v>12</v>
      </c>
      <c r="CK20" s="1461" cm="1">
        <f t="array" ref="CK20">_xlfn.LET(_xlpm.CheckBlank,SUM(PL!$AD20:$BN20)=0,IF(_xlpm.CheckBlank,"",SUM(_xlfn.TAKE(_xlfn.DROP(PL!$AD20:$BN20,,-DATEDIFF(PL!CK$11,val_asOfDate,"M")),1,-12))))</f>
        <v>12</v>
      </c>
      <c r="CL20" s="88"/>
      <c r="CM20" s="3175">
        <v>1</v>
      </c>
      <c r="CN20" s="3175">
        <v>1</v>
      </c>
      <c r="CO20" s="1169"/>
      <c r="CP20" s="3175">
        <v>1</v>
      </c>
      <c r="CQ20" s="3175">
        <v>1</v>
      </c>
      <c r="CR20" s="34"/>
      <c r="CS20" s="2056"/>
      <c r="CT20" s="2085" t="e" cm="1">
        <f t="array" ca="1" aca="1" ref="CT20">IF(K20&lt;&gt;"Yes","",IF(OR(Y20="Select,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III"),"",IF(OR(Y20&lt;&gt;AB20,AND(LEN(B20)=0,NOT(OR(Y20="Select,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III")))),_xldudf_CX_PUSH(Y20,CX_ENTITY,C20,EOMONTH(val_asOfDate,0)),"")))</f>
        <v>#NAME?</v>
      </c>
      <c r="CU20" s="2085" t="e" cm="1">
        <f t="array" ca="1" aca="1" ref="CU20">IF(K20&lt;&gt;"Yes","",IF(OR(Y20="Select,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III"),"",IF(OR(Y20&lt;&gt;AB20,AND(LEN(B20)=0,NOT(OR(Y20="Select,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III")))),_xldudf_CX_PUSH(Y20,CX_ENTITY,C20,EOMONTH(val_asOfDate,1)),"")))</f>
        <v>#NAME?</v>
      </c>
      <c r="CV20" s="2085" t="e" cm="1">
        <f t="array" ca="1" aca="1" ref="CV20">IF(K20&lt;&gt;"Yes","",IF(OR(Y20="Select,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III"),"",IF(OR(Y20&lt;&gt;AB20,AND(LEN(B20)=0,NOT(OR(Y20="Select,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III")))),_xldudf_CX_PUSH(Y20,CX_ENTITY,C20,EOMONTH(val_asOfDate,2)),"")))</f>
        <v>#NAME?</v>
      </c>
      <c r="CW20" s="2085" t="e" cm="1">
        <f t="array" ca="1" aca="1" ref="CW20">IF(K20&lt;&gt;"Yes","",IF(OR(Y20="Select,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III"),"",IF(OR(Y20&lt;&gt;AB20,AND(LEN(B20)=0,NOT(OR(Y20="Select,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III")))),_xldudf_CX_PUSH(Y20,CX_ENTITY,C20,EOMONTH(val_asOfDate,3)),"")))</f>
        <v>#NAME?</v>
      </c>
      <c r="CX20" s="2443"/>
      <c r="CY20" s="2444" t="str" cm="1">
        <f t="array" ca="1" aca="1" ref="CY20">IFERROR(IF(CM20*fxVal_normal=_PL!CM20,"",IF(OR($CM20="",$CM20=0,NOT(ISNUMBER($CM20)),ISERROR($CM20),$B20=""),"",IF($I20=1,IFBLANK(_xldudf_CX_PUSH($CM20*fxVal_normal,CX_ENTITY,$B20,$CM$11,$CM$14,$CM$19,),""),IF($I20=2,IFBLANK(_xldudf_CX_PUSH($CM20,CX_ENTITY,$B20,$CM$11,$CM$14,$CM$19,),""),IF($I20=3,"",IFBLANK(_xldudf_CX_PUSH($CM20,CX_ENTITY,$B20,$CM$11,$CM$14,$CM$19,),"")))))),"")</f>
        <v/>
      </c>
      <c r="CZ20" s="2444" t="str" cm="1">
        <f t="array" ca="1" aca="1" ref="CZ20">IFERROR(IF(CN20*fxVal_normal=_PL!CN20,"",IF(OR($CN20="",$CN20=0,NOT(ISNUMBER($CN20)),ISERROR($CN20),$B20=""),"",IF($I20=1,IFBLANK(_xldudf_CX_PUSH($CN20*fxVal_normal,CX_ENTITY,$B20,$CN$11,$CN$14,$CN$19,),""),IF($I20=2,IFBLANK(_xldudf_CX_PUSH($CN20,CX_ENTITY,$B20,$CN$11,$CN$14,$CN$19,),""),IF($I20=3,"",IFBLANK(_xldudf_CX_PUSH($CN20,CX_ENTITY,$B20,$CN$11,$CN$14,$CN$19,),"")))))),"")</f>
        <v/>
      </c>
      <c r="DA20" s="2444" t="str" cm="1">
        <f t="array" ca="1" aca="1" ref="DA20">IFERROR(IF(CP20*fxVal_normal=_PL!CP20,"",IF(OR($CP20="",$CP20=0,NOT(ISNUMBER($CP20)),ISERROR($CP20),$B20=""),"",IF($I20=1,IFBLANK(_xldudf_CX_PUSH($CP20*fxVal_normal,CX_ENTITY,$B20,$CP$11,$CP$14,$CP$19,),""),IF($I20=2,IFBLANK(_xldudf_CX_PUSH($CP20,CX_ENTITY,$B20,$CP$11,$CP$14,$CP$19,),""),IF($I20=3,"",IFBLANK(_xldudf_CX_PUSH($CP20,CX_ENTITY,$B20,$CP$11,$CP$14,$CP$19,),"")))))),"")</f>
        <v/>
      </c>
      <c r="DB20" s="2444" t="str" cm="1">
        <f t="array" ca="1" aca="1" ref="DB20">IFERROR(IF(CQ20*fxVal_normal=_PL!CQ20,"",IF(OR($CQ20="",$CQ20=0,NOT(ISNUMBER($CQ20)),ISERROR($CQ20),$B20=""),"",IF($I20=1,IFBLANK(_xldudf_CX_PUSH($CQ20*fxVal_normal,CX_ENTITY,$B20,$CQ$11,$CQ$14,$CQ$19,),""),IF($I20=2,IFBLANK(_xldudf_CX_PUSH($CQ20,CX_ENTITY,$B20,$CQ$11,$CQ$14,$CQ$19,),""),IF($I20=3,"",IFBLANK(_xldudf_CX_PUSH($CQ20,CX_ENTITY,$B20,$CQ$11,$CQ$14,$CQ$19,),"")))))),"")</f>
        <v/>
      </c>
      <c r="DC20" s="2443"/>
      <c r="DD20" s="2445" t="str" cm="1">
        <f t="array" ca="1" aca="1" ref="DD20">IFERROR(IF(AD20*fxVal_normal=_PL!AD20,"",IF(OR(AD20="",NOT(ISNUMBER(AD20)),ISERROR(AD20),$B20=""),"",IF($I20=1,IFBLANK(_xldudf_CX_PUSH(AD20*fxVal_normal,CX_ENTITY,$B20,AD$11,AD$14,AD$19,),""),IF($I20=2,IFBLANK(_xldudf_CX_PUSH(AD20,CX_ENTITY,$B20,AD$11,AD$14,AD$19,),""),IF($I20=3,"",IFBLANK(_xldudf_CX_PUSH(AD20,CX_ENTITY,$B20,AD$11,AD$14,AD$19,),"")))))),"")</f>
        <v/>
      </c>
      <c r="DE20" s="2445" t="str" cm="1">
        <f t="array" ca="1" aca="1" ref="DE20">IFERROR(IF(AE20*fxVal_normal=_PL!AE20,"",IF(OR(AE20="",NOT(ISNUMBER(AE20)),ISERROR(AE20),$B20=""),"",IF($I20=1,IFBLANK(_xldudf_CX_PUSH(AE20*fxVal_normal,CX_ENTITY,$B20,AE$11,AE$14,AE$19,),""),IF($I20=2,IFBLANK(_xldudf_CX_PUSH(AE20,CX_ENTITY,$B20,AE$11,AE$14,AE$19,),""),IF($I20=3,"",IFBLANK(_xldudf_CX_PUSH(AE20,CX_ENTITY,$B20,AE$11,AE$14,AE$19,),"")))))),"")</f>
        <v/>
      </c>
      <c r="DF20" s="2445" t="str" cm="1">
        <f t="array" ca="1" aca="1" ref="DF20">IFERROR(IF(AF20*fxVal_normal=_PL!AF20,"",IF(OR(AF20="",NOT(ISNUMBER(AF20)),ISERROR(AF20),$B20=""),"",IF($I20=1,IFBLANK(_xldudf_CX_PUSH(AF20*fxVal_normal,CX_ENTITY,$B20,AF$11,AF$14,AF$19,),""),IF($I20=2,IFBLANK(_xldudf_CX_PUSH(AF20,CX_ENTITY,$B20,AF$11,AF$14,AF$19,),""),IF($I20=3,"",IFBLANK(_xldudf_CX_PUSH(AF20,CX_ENTITY,$B20,AF$11,AF$14,AF$19,),"")))))),"")</f>
        <v/>
      </c>
      <c r="DG20" s="2445" t="str" cm="1">
        <f t="array" ca="1" aca="1" ref="DG20">IFERROR(IF(AG20*fxVal_normal=_PL!AG20,"",IF(OR(AG20="",NOT(ISNUMBER(AG20)),ISERROR(AG20),$B20=""),"",IF($I20=1,IFBLANK(_xldudf_CX_PUSH(AG20*fxVal_normal,CX_ENTITY,$B20,AG$11,AG$14,AG$19,),""),IF($I20=2,IFBLANK(_xldudf_CX_PUSH(AG20,CX_ENTITY,$B20,AG$11,AG$14,AG$19,),""),IF($I20=3,"",IFBLANK(_xldudf_CX_PUSH(AG20,CX_ENTITY,$B20,AG$11,AG$14,AG$19,),"")))))),"")</f>
        <v/>
      </c>
      <c r="DH20" s="2445" t="str" cm="1">
        <f t="array" ca="1" aca="1" ref="DH20">IFERROR(IF(AH20*fxVal_normal=_PL!AH20,"",IF(OR(AH20="",NOT(ISNUMBER(AH20)),ISERROR(AH20),$B20=""),"",IF($I20=1,IFBLANK(_xldudf_CX_PUSH(AH20*fxVal_normal,CX_ENTITY,$B20,AH$11,AH$14,AH$19,),""),IF($I20=2,IFBLANK(_xldudf_CX_PUSH(AH20,CX_ENTITY,$B20,AH$11,AH$14,AH$19,),""),IF($I20=3,"",IFBLANK(_xldudf_CX_PUSH(AH20,CX_ENTITY,$B20,AH$11,AH$14,AH$19,),"")))))),"")</f>
        <v/>
      </c>
      <c r="DI20" s="2445" t="str" cm="1">
        <f t="array" ca="1" aca="1" ref="DI20">IFERROR(IF(AI20*fxVal_normal=_PL!AI20,"",IF(OR(AI20="",NOT(ISNUMBER(AI20)),ISERROR(AI20),$B20=""),"",IF($I20=1,IFBLANK(_xldudf_CX_PUSH(AI20*fxVal_normal,CX_ENTITY,$B20,AI$11,AI$14,AI$19,),""),IF($I20=2,IFBLANK(_xldudf_CX_PUSH(AI20,CX_ENTITY,$B20,AI$11,AI$14,AI$19,),""),IF($I20=3,"",IFBLANK(_xldudf_CX_PUSH(AI20,CX_ENTITY,$B20,AI$11,AI$14,AI$19,),"")))))),"")</f>
        <v/>
      </c>
      <c r="DJ20" s="2445" t="str" cm="1">
        <f t="array" ca="1" aca="1" ref="DJ20">IFERROR(IF(AJ20*fxVal_normal=_PL!AJ20,"",IF(OR(AJ20="",NOT(ISNUMBER(AJ20)),ISERROR(AJ20),$B20=""),"",IF($I20=1,IFBLANK(_xldudf_CX_PUSH(AJ20*fxVal_normal,CX_ENTITY,$B20,AJ$11,AJ$14,AJ$19,),""),IF($I20=2,IFBLANK(_xldudf_CX_PUSH(AJ20,CX_ENTITY,$B20,AJ$11,AJ$14,AJ$19,),""),IF($I20=3,"",IFBLANK(_xldudf_CX_PUSH(AJ20,CX_ENTITY,$B20,AJ$11,AJ$14,AJ$19,),"")))))),"")</f>
        <v/>
      </c>
      <c r="DK20" s="2445" t="str" cm="1">
        <f t="array" ca="1" aca="1" ref="DK20">IFERROR(IF(AK20*fxVal_normal=_PL!AK20,"",IF(OR(AK20="",NOT(ISNUMBER(AK20)),ISERROR(AK20),$B20=""),"",IF($I20=1,IFBLANK(_xldudf_CX_PUSH(AK20*fxVal_normal,CX_ENTITY,$B20,AK$11,AK$14,AK$19,),""),IF($I20=2,IFBLANK(_xldudf_CX_PUSH(AK20,CX_ENTITY,$B20,AK$11,AK$14,AK$19,),""),IF($I20=3,"",IFBLANK(_xldudf_CX_PUSH(AK20,CX_ENTITY,$B20,AK$11,AK$14,AK$19,),"")))))),"")</f>
        <v/>
      </c>
      <c r="DL20" s="2445" t="str" cm="1">
        <f t="array" ca="1" aca="1" ref="DL20">IFERROR(IF(AL20*fxVal_normal=_PL!AL20,"",IF(OR(AL20="",NOT(ISNUMBER(AL20)),ISERROR(AL20),$B20=""),"",IF($I20=1,IFBLANK(_xldudf_CX_PUSH(AL20*fxVal_normal,CX_ENTITY,$B20,AL$11,AL$14,AL$19,),""),IF($I20=2,IFBLANK(_xldudf_CX_PUSH(AL20,CX_ENTITY,$B20,AL$11,AL$14,AL$19,),""),IF($I20=3,"",IFBLANK(_xldudf_CX_PUSH(AL20,CX_ENTITY,$B20,AL$11,AL$14,AL$19,),"")))))),"")</f>
        <v/>
      </c>
      <c r="DM20" s="2445" t="str" cm="1">
        <f t="array" ca="1" aca="1" ref="DM20">IFERROR(IF(AM20*fxVal_normal=_PL!AM20,"",IF(OR(AM20="",NOT(ISNUMBER(AM20)),ISERROR(AM20),$B20=""),"",IF($I20=1,IFBLANK(_xldudf_CX_PUSH(AM20*fxVal_normal,CX_ENTITY,$B20,AM$11,AM$14,AM$19,),""),IF($I20=2,IFBLANK(_xldudf_CX_PUSH(AM20,CX_ENTITY,$B20,AM$11,AM$14,AM$19,),""),IF($I20=3,"",IFBLANK(_xldudf_CX_PUSH(AM20,CX_ENTITY,$B20,AM$11,AM$14,AM$19,),"")))))),"")</f>
        <v/>
      </c>
      <c r="DN20" s="2445" t="str" cm="1">
        <f t="array" ca="1" aca="1" ref="DN20">IFERROR(IF(AN20*fxVal_normal=_PL!AN20,"",IF(OR(AN20="",NOT(ISNUMBER(AN20)),ISERROR(AN20),$B20=""),"",IF($I20=1,IFBLANK(_xldudf_CX_PUSH(AN20*fxVal_normal,CX_ENTITY,$B20,AN$11,AN$14,AN$19,),""),IF($I20=2,IFBLANK(_xldudf_CX_PUSH(AN20,CX_ENTITY,$B20,AN$11,AN$14,AN$19,),""),IF($I20=3,"",IFBLANK(_xldudf_CX_PUSH(AN20,CX_ENTITY,$B20,AN$11,AN$14,AN$19,),"")))))),"")</f>
        <v/>
      </c>
      <c r="DO20" s="2445" t="str" cm="1">
        <f t="array" ca="1" aca="1" ref="DO20">IFERROR(IF(AO20*fxVal_normal=_PL!AO20,"",IF(OR(AO20="",NOT(ISNUMBER(AO20)),ISERROR(AO20),$B20=""),"",IF($I20=1,IFBLANK(_xldudf_CX_PUSH(AO20*fxVal_normal,CX_ENTITY,$B20,AO$11,AO$14,AO$19,),""),IF($I20=2,IFBLANK(_xldudf_CX_PUSH(AO20,CX_ENTITY,$B20,AO$11,AO$14,AO$19,),""),IF($I20=3,"",IFBLANK(_xldudf_CX_PUSH(AO20,CX_ENTITY,$B20,AO$11,AO$14,AO$19,),"")))))),"")</f>
        <v/>
      </c>
      <c r="DP20" s="2445" t="str" cm="1">
        <f t="array" ca="1" aca="1" ref="DP20">IFERROR(IF(AP20*fxVal_normal=_PL!AP20,"",IF(OR(AP20="",NOT(ISNUMBER(AP20)),ISERROR(AP20),$B20=""),"",IF($I20=1,IFBLANK(_xldudf_CX_PUSH(AP20*fxVal_normal,CX_ENTITY,$B20,AP$11,AP$14,AP$19,),""),IF($I20=2,IFBLANK(_xldudf_CX_PUSH(AP20,CX_ENTITY,$B20,AP$11,AP$14,AP$19,),""),IF($I20=3,"",IFBLANK(_xldudf_CX_PUSH(AP20,CX_ENTITY,$B20,AP$11,AP$14,AP$19,),"")))))),"")</f>
        <v/>
      </c>
      <c r="DQ20" s="2445" t="str" cm="1">
        <f t="array" ca="1" aca="1" ref="DQ20">IFERROR(IF(AQ20*fxVal_normal=_PL!AQ20,"",IF(OR(AQ20="",NOT(ISNUMBER(AQ20)),ISERROR(AQ20),$B20=""),"",IF($I20=1,IFBLANK(_xldudf_CX_PUSH(AQ20*fxVal_normal,CX_ENTITY,$B20,AQ$11,AQ$14,AQ$19,),""),IF($I20=2,IFBLANK(_xldudf_CX_PUSH(AQ20,CX_ENTITY,$B20,AQ$11,AQ$14,AQ$19,),""),IF($I20=3,"",IFBLANK(_xldudf_CX_PUSH(AQ20,CX_ENTITY,$B20,AQ$11,AQ$14,AQ$19,),"")))))),"")</f>
        <v/>
      </c>
      <c r="DR20" s="2445" t="str" cm="1">
        <f t="array" ca="1" aca="1" ref="DR20">IFERROR(IF(AR20*fxVal_normal=_PL!AR20,"",IF(OR(AR20="",NOT(ISNUMBER(AR20)),ISERROR(AR20),$B20=""),"",IF($I20=1,IFBLANK(_xldudf_CX_PUSH(AR20*fxVal_normal,CX_ENTITY,$B20,AR$11,AR$14,AR$19,),""),IF($I20=2,IFBLANK(_xldudf_CX_PUSH(AR20,CX_ENTITY,$B20,AR$11,AR$14,AR$19,),""),IF($I20=3,"",IFBLANK(_xldudf_CX_PUSH(AR20,CX_ENTITY,$B20,AR$11,AR$14,AR$19,),"")))))),"")</f>
        <v/>
      </c>
      <c r="DS20" s="2445" t="str" cm="1">
        <f t="array" ca="1" aca="1" ref="DS20">IFERROR(IF(AS20*fxVal_normal=_PL!AS20,"",IF(OR(AS20="",NOT(ISNUMBER(AS20)),ISERROR(AS20),$B20=""),"",IF($I20=1,IFBLANK(_xldudf_CX_PUSH(AS20*fxVal_normal,CX_ENTITY,$B20,AS$11,AS$14,AS$19,),""),IF($I20=2,IFBLANK(_xldudf_CX_PUSH(AS20,CX_ENTITY,$B20,AS$11,AS$14,AS$19,),""),IF($I20=3,"",IFBLANK(_xldudf_CX_PUSH(AS20,CX_ENTITY,$B20,AS$11,AS$14,AS$19,),"")))))),"")</f>
        <v/>
      </c>
      <c r="DT20" s="2445" t="str" cm="1">
        <f t="array" ca="1" aca="1" ref="DT20">IFERROR(IF(AT20*fxVal_normal=_PL!AT20,"",IF(OR(AT20="",NOT(ISNUMBER(AT20)),ISERROR(AT20),$B20=""),"",IF($I20=1,IFBLANK(_xldudf_CX_PUSH(AT20*fxVal_normal,CX_ENTITY,$B20,AT$11,AT$14,AT$19,),""),IF($I20=2,IFBLANK(_xldudf_CX_PUSH(AT20,CX_ENTITY,$B20,AT$11,AT$14,AT$19,),""),IF($I20=3,"",IFBLANK(_xldudf_CX_PUSH(AT20,CX_ENTITY,$B20,AT$11,AT$14,AT$19,),"")))))),"")</f>
        <v/>
      </c>
      <c r="DU20" s="2445" t="str" cm="1">
        <f t="array" ca="1" aca="1" ref="DU20">IFERROR(IF(AU20*fxVal_normal=_PL!AU20,"",IF(OR(AU20="",NOT(ISNUMBER(AU20)),ISERROR(AU20),$B20=""),"",IF($I20=1,IFBLANK(_xldudf_CX_PUSH(AU20*fxVal_normal,CX_ENTITY,$B20,AU$11,AU$14,AU$19,),""),IF($I20=2,IFBLANK(_xldudf_CX_PUSH(AU20,CX_ENTITY,$B20,AU$11,AU$14,AU$19,),""),IF($I20=3,"",IFBLANK(_xldudf_CX_PUSH(AU20,CX_ENTITY,$B20,AU$11,AU$14,AU$19,),"")))))),"")</f>
        <v/>
      </c>
      <c r="DV20" s="2445" t="str" cm="1">
        <f t="array" ca="1" aca="1" ref="DV20">IFERROR(IF(AV20*fxVal_normal=_PL!AV20,"",IF(OR(AV20="",NOT(ISNUMBER(AV20)),ISERROR(AV20),$B20=""),"",IF($I20=1,IFBLANK(_xldudf_CX_PUSH(AV20*fxVal_normal,CX_ENTITY,$B20,AV$11,AV$14,AV$19,),""),IF($I20=2,IFBLANK(_xldudf_CX_PUSH(AV20,CX_ENTITY,$B20,AV$11,AV$14,AV$19,),""),IF($I20=3,"",IFBLANK(_xldudf_CX_PUSH(AV20,CX_ENTITY,$B20,AV$11,AV$14,AV$19,),"")))))),"")</f>
        <v/>
      </c>
      <c r="DW20" s="2445" t="str" cm="1">
        <f t="array" ca="1" aca="1" ref="DW20">IFERROR(IF(AW20*fxVal_normal=_PL!AW20,"",IF(OR(AW20="",NOT(ISNUMBER(AW20)),ISERROR(AW20),$B20=""),"",IF($I20=1,IFBLANK(_xldudf_CX_PUSH(AW20*fxVal_normal,CX_ENTITY,$B20,AW$11,AW$14,AW$19,),""),IF($I20=2,IFBLANK(_xldudf_CX_PUSH(AW20,CX_ENTITY,$B20,AW$11,AW$14,AW$19,),""),IF($I20=3,"",IFBLANK(_xldudf_CX_PUSH(AW20,CX_ENTITY,$B20,AW$11,AW$14,AW$19,),"")))))),"")</f>
        <v/>
      </c>
      <c r="DX20" s="2445" t="str" cm="1">
        <f t="array" ca="1" aca="1" ref="DX20">IFERROR(IF(AX20*fxVal_normal=_PL!AX20,"",IF(OR(AX20="",NOT(ISNUMBER(AX20)),ISERROR(AX20),$B20=""),"",IF($I20=1,IFBLANK(_xldudf_CX_PUSH(AX20*fxVal_normal,CX_ENTITY,$B20,AX$11,AX$14,AX$19,),""),IF($I20=2,IFBLANK(_xldudf_CX_PUSH(AX20,CX_ENTITY,$B20,AX$11,AX$14,AX$19,),""),IF($I20=3,"",IFBLANK(_xldudf_CX_PUSH(AX20,CX_ENTITY,$B20,AX$11,AX$14,AX$19,),"")))))),"")</f>
        <v/>
      </c>
      <c r="DY20" s="2445" t="str" cm="1">
        <f t="array" ca="1" aca="1" ref="DY20">IFERROR(IF(AY20*fxVal_normal=_PL!AY20,"",IF(OR(AY20="",NOT(ISNUMBER(AY20)),ISERROR(AY20),$B20=""),"",IF($I20=1,IFBLANK(_xldudf_CX_PUSH(AY20*fxVal_normal,CX_ENTITY,$B20,AY$11,AY$14,AY$19,),""),IF($I20=2,IFBLANK(_xldudf_CX_PUSH(AY20,CX_ENTITY,$B20,AY$11,AY$14,AY$19,),""),IF($I20=3,"",IFBLANK(_xldudf_CX_PUSH(AY20,CX_ENTITY,$B20,AY$11,AY$14,AY$19,),"")))))),"")</f>
        <v/>
      </c>
      <c r="DZ20" s="2445" t="str" cm="1">
        <f t="array" ca="1" aca="1" ref="DZ20">IFERROR(IF(AZ20*fxVal_normal=_PL!AZ20,"",IF(OR(AZ20="",NOT(ISNUMBER(AZ20)),ISERROR(AZ20),$B20=""),"",IF($I20=1,IFBLANK(_xldudf_CX_PUSH(AZ20*fxVal_normal,CX_ENTITY,$B20,AZ$11,AZ$14,AZ$19,),""),IF($I20=2,IFBLANK(_xldudf_CX_PUSH(AZ20,CX_ENTITY,$B20,AZ$11,AZ$14,AZ$19,),""),IF($I20=3,"",IFBLANK(_xldudf_CX_PUSH(AZ20,CX_ENTITY,$B20,AZ$11,AZ$14,AZ$19,),"")))))),"")</f>
        <v/>
      </c>
      <c r="EA20" s="2445" t="str" cm="1">
        <f t="array" ca="1" aca="1" ref="EA20">IFERROR(IF(BA20*fxVal_normal=_PL!BA20,"",IF(OR(BA20="",NOT(ISNUMBER(BA20)),ISERROR(BA20),$B20=""),"",IF($I20=1,IFBLANK(_xldudf_CX_PUSH(BA20*fxVal_normal,CX_ENTITY,$B20,BA$11,BA$14,BA$19,),""),IF($I20=2,IFBLANK(_xldudf_CX_PUSH(BA20,CX_ENTITY,$B20,BA$11,BA$14,BA$19,),""),IF($I20=3,"",IFBLANK(_xldudf_CX_PUSH(BA20,CX_ENTITY,$B20,BA$11,BA$14,BA$19,),"")))))),"")</f>
        <v/>
      </c>
      <c r="EB20" s="2445" t="str" cm="1">
        <f t="array" ca="1" aca="1" ref="EB20">IFERROR(IF(BB20*fxVal_normal=_PL!BB20,"",IF(OR(BB20="",NOT(ISNUMBER(BB20)),ISERROR(BB20),$B20=""),"",IF($I20=1,IFBLANK(_xldudf_CX_PUSH(BB20*fxVal_normal,CX_ENTITY,$B20,BB$11,BB$14,BB$19,),""),IF($I20=2,IFBLANK(_xldudf_CX_PUSH(BB20,CX_ENTITY,$B20,BB$11,BB$14,BB$19,),""),IF($I20=3,"",IFBLANK(_xldudf_CX_PUSH(BB20,CX_ENTITY,$B20,BB$11,BB$14,BB$19,),"")))))),"")</f>
        <v/>
      </c>
      <c r="EC20" s="2445" t="str" cm="1">
        <f t="array" ca="1" aca="1" ref="EC20">IFERROR(IF(BC20*fxVal_normal=_PL!BC20,"",IF(OR(BC20="",NOT(ISNUMBER(BC20)),ISERROR(BC20),$B20=""),"",IF($I20=1,IFBLANK(_xldudf_CX_PUSH(BC20*fxVal_normal,CX_ENTITY,$B20,BC$11,BC$14,BC$19,),""),IF($I20=2,IFBLANK(_xldudf_CX_PUSH(BC20,CX_ENTITY,$B20,BC$11,BC$14,BC$19,),""),IF($I20=3,"",IFBLANK(_xldudf_CX_PUSH(BC20,CX_ENTITY,$B20,BC$11,BC$14,BC$19,),"")))))),"")</f>
        <v/>
      </c>
      <c r="ED20" s="2445" t="str" cm="1">
        <f t="array" ca="1" aca="1" ref="ED20">IFERROR(IF(BD20*fxVal_normal=_PL!BD20,"",IF(OR(BD20="",NOT(ISNUMBER(BD20)),ISERROR(BD20),$B20=""),"",IF($I20=1,IFBLANK(_xldudf_CX_PUSH(BD20*fxVal_normal,CX_ENTITY,$B20,BD$11,BD$14,BD$19,),""),IF($I20=2,IFBLANK(_xldudf_CX_PUSH(BD20,CX_ENTITY,$B20,BD$11,BD$14,BD$19,),""),IF($I20=3,"",IFBLANK(_xldudf_CX_PUSH(BD20,CX_ENTITY,$B20,BD$11,BD$14,BD$19,),"")))))),"")</f>
        <v/>
      </c>
      <c r="EE20" s="2445" t="str" cm="1">
        <f t="array" ca="1" aca="1" ref="EE20">IFERROR(IF(BE20*fxVal_normal=_PL!BE20,"",IF(OR(BE20="",NOT(ISNUMBER(BE20)),ISERROR(BE20),$B20=""),"",IF($I20=1,IFBLANK(_xldudf_CX_PUSH(BE20*fxVal_normal,CX_ENTITY,$B20,BE$11,BE$14,BE$19,),""),IF($I20=2,IFBLANK(_xldudf_CX_PUSH(BE20,CX_ENTITY,$B20,BE$11,BE$14,BE$19,),""),IF($I20=3,"",IFBLANK(_xldudf_CX_PUSH(BE20,CX_ENTITY,$B20,BE$11,BE$14,BE$19,),"")))))),"")</f>
        <v/>
      </c>
      <c r="EF20" s="2445" t="str" cm="1">
        <f t="array" ca="1" aca="1" ref="EF20">IFERROR(IF(BF20*fxVal_normal=_PL!BF20,"",IF(OR(BF20="",NOT(ISNUMBER(BF20)),ISERROR(BF20),$B20=""),"",IF($I20=1,IFBLANK(_xldudf_CX_PUSH(BF20*fxVal_normal,CX_ENTITY,$B20,BF$11,BF$14,BF$19,),""),IF($I20=2,IFBLANK(_xldudf_CX_PUSH(BF20,CX_ENTITY,$B20,BF$11,BF$14,BF$19,),""),IF($I20=3,"",IFBLANK(_xldudf_CX_PUSH(BF20,CX_ENTITY,$B20,BF$11,BF$14,BF$19,),"")))))),"")</f>
        <v/>
      </c>
      <c r="EG20" s="2445" t="str" cm="1">
        <f t="array" ca="1" aca="1" ref="EG20">IFERROR(IF(BG20*fxVal_normal=_PL!BG20,"",IF(OR(BG20="",NOT(ISNUMBER(BG20)),ISERROR(BG20),$B20=""),"",IF($I20=1,IFBLANK(_xldudf_CX_PUSH(BG20*fxVal_normal,CX_ENTITY,$B20,BG$11,BG$14,BG$19,),""),IF($I20=2,IFBLANK(_xldudf_CX_PUSH(BG20,CX_ENTITY,$B20,BG$11,BG$14,BG$19,),""),IF($I20=3,"",IFBLANK(_xldudf_CX_PUSH(BG20,CX_ENTITY,$B20,BG$11,BG$14,BG$19,),"")))))),"")</f>
        <v/>
      </c>
      <c r="EH20" s="2445" t="str" cm="1">
        <f t="array" ca="1" aca="1" ref="EH20">IFERROR(IF(BH20*fxVal_normal=_PL!BH20,"",IF(OR(BH20="",NOT(ISNUMBER(BH20)),ISERROR(BH20),$B20=""),"",IF($I20=1,IFBLANK(_xldudf_CX_PUSH(BH20*fxVal_normal,CX_ENTITY,$B20,BH$11,BH$14,BH$19,),""),IF($I20=2,IFBLANK(_xldudf_CX_PUSH(BH20,CX_ENTITY,$B20,BH$11,BH$14,BH$19,),""),IF($I20=3,"",IFBLANK(_xldudf_CX_PUSH(BH20,CX_ENTITY,$B20,BH$11,BH$14,BH$19,),"")))))),"")</f>
        <v/>
      </c>
      <c r="EI20" s="2445" t="str" cm="1">
        <f t="array" ca="1" aca="1" ref="EI20">IFERROR(IF(BI20*fxVal_normal=_PL!BI20,"",IF(OR(BI20="",NOT(ISNUMBER(BI20)),ISERROR(BI20),$B20=""),"",IF($I20=1,IFBLANK(_xldudf_CX_PUSH(BI20*fxVal_normal,CX_ENTITY,$B20,BI$11,BI$14,BI$19,),""),IF($I20=2,IFBLANK(_xldudf_CX_PUSH(BI20,CX_ENTITY,$B20,BI$11,BI$14,BI$19,),""),IF($I20=3,"",IFBLANK(_xldudf_CX_PUSH(BI20,CX_ENTITY,$B20,BI$11,BI$14,BI$19,),"")))))),"")</f>
        <v/>
      </c>
      <c r="EJ20" s="2445" t="str" cm="1">
        <f t="array" ca="1" aca="1" ref="EJ20">IFERROR(IF(BJ20*fxVal_normal=_PL!BJ20,"",IF(OR(BJ20="",NOT(ISNUMBER(BJ20)),ISERROR(BJ20),$B20=""),"",IF($I20=1,IFBLANK(_xldudf_CX_PUSH(BJ20*fxVal_normal,CX_ENTITY,$B20,BJ$11,BJ$14,BJ$19,),""),IF($I20=2,IFBLANK(_xldudf_CX_PUSH(BJ20,CX_ENTITY,$B20,BJ$11,BJ$14,BJ$19,),""),IF($I20=3,"",IFBLANK(_xldudf_CX_PUSH(BJ20,CX_ENTITY,$B20,BJ$11,BJ$14,BJ$19,),"")))))),"")</f>
        <v/>
      </c>
      <c r="EK20" s="2445" t="str" cm="1">
        <f t="array" ca="1" aca="1" ref="EK20">IFERROR(IF(BK20*fxVal_normal=_PL!BK20,"",IF(OR(BK20="",NOT(ISNUMBER(BK20)),ISERROR(BK20),$B20=""),"",IF($I20=1,IFBLANK(_xldudf_CX_PUSH(BK20*fxVal_normal,CX_ENTITY,$B20,BK$11,BK$14,BK$19,),""),IF($I20=2,IFBLANK(_xldudf_CX_PUSH(BK20,CX_ENTITY,$B20,BK$11,BK$14,BK$19,),""),IF($I20=3,"",IFBLANK(_xldudf_CX_PUSH(BK20,CX_ENTITY,$B20,BK$11,BK$14,BK$19,),"")))))),"")</f>
        <v/>
      </c>
      <c r="EL20" s="2445" t="str" cm="1">
        <f t="array" ca="1" aca="1" ref="EL20">IFERROR(IF(BL20*fxVal_normal=_PL!BL20,"",IF(OR(BL20="",NOT(ISNUMBER(BL20)),ISERROR(BL20),$B20=""),"",IF($I20=1,IFBLANK(_xldudf_CX_PUSH(BL20*fxVal_normal,CX_ENTITY,$B20,BL$11,BL$14,BL$19,),""),IF($I20=2,IFBLANK(_xldudf_CX_PUSH(BL20,CX_ENTITY,$B20,BL$11,BL$14,BL$19,),""),IF($I20=3,"",IFBLANK(_xldudf_CX_PUSH(BL20,CX_ENTITY,$B20,BL$11,BL$14,BL$19,),"")))))),"")</f>
        <v/>
      </c>
      <c r="EM20" s="2445" t="str" cm="1">
        <f t="array" ca="1" aca="1" ref="EM20">IFERROR(IF(BM20*fxVal_normal=_PL!BM20,"",IF(OR(BM20="",NOT(ISNUMBER(BM20)),ISERROR(BM20),$B20=""),"",IF($I20=1,IFBLANK(_xldudf_CX_PUSH(BM20*fxVal_normal,CX_ENTITY,$B20,BM$11,BM$14,BM$19,),""),IF($I20=2,IFBLANK(_xldudf_CX_PUSH(BM20,CX_ENTITY,$B20,BM$11,BM$14,BM$19,),""),IF($I20=3,"",IFBLANK(_xldudf_CX_PUSH(BM20,CX_ENTITY,$B20,BM$11,BM$14,BM$19,),"")))))),"")</f>
        <v/>
      </c>
      <c r="EN20" s="2445" t="str" cm="1">
        <f t="array" ca="1" aca="1" ref="EN20">IFERROR(IF(BN20*fxVal_normal=_PL!BN20,"",IF(OR(BN20="",NOT(ISNUMBER(BN20)),ISERROR(BN20),$B20=""),"",IF($I20=1,IFBLANK(_xldudf_CX_PUSH(BN20*fxVal_normal,CX_ENTITY,$B20,BN$11,BN$14,BN$19,),""),IF($I20=2,IFBLANK(_xldudf_CX_PUSH(BN20,CX_ENTITY,$B20,BN$11,BN$14,BN$19,),""),IF($I20=3,"",IFBLANK(_xldudf_CX_PUSH(BN20,CX_ENTITY,$B20,BN$11,BN$14,BN$19,),"")))))),"")</f>
        <v/>
      </c>
    </row>
    <row r="21" spans="1:144" ht="21" customHeight="1">
      <c r="A21" s="1625"/>
      <c r="B21" s="2439" t="str">
        <f>_xlfn.LET(_xlpm.IsNotAttrDynamic,D21="",_xlpm.Attr,_PL!F21,_xlpm.NotInUse,Y21=D21,_xlpm.RESULT,IF(_xlpm.IsNotAttrDynamic,_xlpm.Attr,IF(_xlpm.NotInUse,"",Y21)),IF(_xlpm.RESULT="","",_xlpm.RESULT))</f>
        <v>Cost of Sales</v>
      </c>
      <c r="C21" s="2439" t="str" cm="1">
        <f t="array" ref="C21">IFBLANK(_PL!C21,"")</f>
        <v>Cost of Sales (Company View)</v>
      </c>
      <c r="D21" s="1548"/>
      <c r="E21" s="2440" t="e" cm="1">
        <f t="array" ca="1" aca="1" ref="E2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21:$CQ21,Z21)</f>
        <v>#NAME?</v>
      </c>
      <c r="F21" s="1897"/>
      <c r="G21" s="1897"/>
      <c r="H21" s="578">
        <v>0</v>
      </c>
      <c r="I21" s="3279">
        <v>1</v>
      </c>
      <c r="J21" s="3280" cm="1">
        <f t="array" ref="J21">IFBLANK(Z21,"")</f>
        <v>1</v>
      </c>
      <c r="K21" s="578" t="str">
        <f t="shared" si="3"/>
        <v>Yes</v>
      </c>
      <c r="L21" s="37"/>
      <c r="N21" s="158"/>
      <c r="O21" s="101"/>
      <c r="P21" s="52"/>
      <c r="Q21" s="101"/>
      <c r="R21" s="126"/>
      <c r="S21" s="101"/>
      <c r="T21" s="101"/>
      <c r="U21" s="39"/>
      <c r="V21" s="37"/>
      <c r="W21" s="91" t="str">
        <f>$W$20</f>
        <v>Actual</v>
      </c>
      <c r="X21" s="2081">
        <f>_PL!X21</f>
        <v>-1</v>
      </c>
      <c r="Y21" s="3176">
        <v>2</v>
      </c>
      <c r="Z21" s="3291" cm="1">
        <f t="array" ref="Z21">_xlfn.SWITCH(TRUE,_PL!$L21=TRUE,1,_PL!$L21=FALSE,-1,_PL!$L21=-1,0,"")</f>
        <v>1</v>
      </c>
      <c r="AA21" s="200"/>
      <c r="AB21" s="301" t="str">
        <f>_PL!AB21</f>
        <v>Cost of Sales</v>
      </c>
      <c r="AC21" s="275" t="e" vm="5" cm="1">
        <f t="array" ca="1" aca="1" ref="AC21">_xlfn.LET(_xlpm._termname,$AB21,_xlpm._iconname,"find",_xlpm._icon,fx_getIcon(_xlpm._iconname),_xlpm._location,_xlfn.XLOOKUP(LOWER(_xlpm._termname),LOWER(tbl_acctDef[Term]),tbl_acctDef[Term]),_xlpm._hyperlink,HYPERLINK("#"&amp;CELL("address",_xlpm._location),_xlpm._icon),IFERROR(_xlpm._hyperlink,""))</f>
        <v>#VALUE!</v>
      </c>
      <c r="AD21" s="3177">
        <v>1</v>
      </c>
      <c r="AE21" s="3177">
        <v>1</v>
      </c>
      <c r="AF21" s="3177">
        <v>1</v>
      </c>
      <c r="AG21" s="3177">
        <v>1</v>
      </c>
      <c r="AH21" s="3177">
        <v>1</v>
      </c>
      <c r="AI21" s="3177">
        <v>1</v>
      </c>
      <c r="AJ21" s="3177">
        <v>1</v>
      </c>
      <c r="AK21" s="3177">
        <v>1</v>
      </c>
      <c r="AL21" s="3177">
        <v>1</v>
      </c>
      <c r="AM21" s="3177">
        <v>1</v>
      </c>
      <c r="AN21" s="3177">
        <v>1</v>
      </c>
      <c r="AO21" s="3177">
        <v>1</v>
      </c>
      <c r="AP21" s="3177">
        <v>1</v>
      </c>
      <c r="AQ21" s="3177">
        <v>1</v>
      </c>
      <c r="AR21" s="3177">
        <v>1</v>
      </c>
      <c r="AS21" s="3177">
        <v>1</v>
      </c>
      <c r="AT21" s="3177">
        <v>1</v>
      </c>
      <c r="AU21" s="3177">
        <v>1</v>
      </c>
      <c r="AV21" s="3177">
        <v>1</v>
      </c>
      <c r="AW21" s="3177">
        <v>1</v>
      </c>
      <c r="AX21" s="3177">
        <v>1</v>
      </c>
      <c r="AY21" s="3177">
        <v>1</v>
      </c>
      <c r="AZ21" s="3177">
        <v>1</v>
      </c>
      <c r="BA21" s="3177">
        <v>1</v>
      </c>
      <c r="BB21" s="3177">
        <v>1</v>
      </c>
      <c r="BC21" s="3177">
        <v>1</v>
      </c>
      <c r="BD21" s="3177">
        <v>1</v>
      </c>
      <c r="BE21" s="3177">
        <v>1</v>
      </c>
      <c r="BF21" s="3177">
        <v>1</v>
      </c>
      <c r="BG21" s="3177">
        <v>1</v>
      </c>
      <c r="BH21" s="3177">
        <v>1</v>
      </c>
      <c r="BI21" s="3177">
        <v>1</v>
      </c>
      <c r="BJ21" s="3177">
        <v>1</v>
      </c>
      <c r="BK21" s="3177">
        <v>1</v>
      </c>
      <c r="BL21" s="3177">
        <v>1</v>
      </c>
      <c r="BM21" s="3177">
        <v>1</v>
      </c>
      <c r="BN21" s="3177">
        <v>1</v>
      </c>
      <c r="BO21" s="2442"/>
      <c r="BP21" s="2442"/>
      <c r="BQ21" s="2442"/>
      <c r="BR21" s="2442"/>
      <c r="BS21" s="2442"/>
      <c r="BT21" s="2442"/>
      <c r="BU21" s="2442"/>
      <c r="BV21" s="2442"/>
      <c r="BW21" s="2442"/>
      <c r="BX21" s="2442"/>
      <c r="BY21" s="2442"/>
      <c r="BZ21" s="2442"/>
      <c r="CA21" s="34"/>
      <c r="CC21" s="33"/>
      <c r="CD21" s="1772" t="e" cm="1">
        <f t="array" ca="1" aca="1" ref="CD21">_xlfn.LET(_xlpm.CheckBlank,SUM(PL!$AD21:$BN21)=0,IF(_xlpm.CheckBlank,"",SUM(_xlfn._xlws.FILTER(PL!$AD21:$BN21,(YEAR(PL!$AD$12:$BN$12)=PL!CD$12)*(array_timeline&lt;=PL!CD$11)))))</f>
        <v>#NAME?</v>
      </c>
      <c r="CE21" s="1772" t="e" cm="1">
        <f t="array" ca="1" aca="1" ref="CE21">_xlfn.LET(_xlpm.CheckBlank,SUM(PL!$AD21:$BN21)=0,IF(_xlpm.CheckBlank,"",SUM(_xlfn._xlws.FILTER(PL!$AD21:$BN21,(YEAR(PL!$AD$12:$BN$12)=PL!CE$12)*(array_timeline&lt;=PL!CE$11)))))</f>
        <v>#NAME?</v>
      </c>
      <c r="CF21" s="88"/>
      <c r="CG21" s="1461" t="str" cm="1">
        <f t="array" ca="1" aca="1" ref="CG21">IFERROR(_xlfn.LET(_xlpm.CheckBlank,SUM(PL!$AD21:$BN21)=0,IF(_xlpm.CheckBlank,"",SUM(_xlfn._xlws.FILTER(PL!$AD21:$BN21,(YEAR(PL!$AD$12:$BN$12)=PL!CG$12)*(array_timeline&lt;=PL!CG$11))))),"n/a")</f>
        <v>n/a</v>
      </c>
      <c r="CH21" s="1461" t="e" cm="1">
        <f t="array" ca="1" aca="1" ref="CH21">_xlfn.LET(_xlpm.CheckBlank,SUM(PL!$AD21:$BN21)=0,IF(_xlpm.CheckBlank,"",SUM(_xlfn._xlws.FILTER(PL!$AD21:$BN21,(YEAR(PL!$AD$12:$BN$12)=PL!CH$12)*(array_timeline&lt;=PL!CH$11)))))</f>
        <v>#NAME?</v>
      </c>
      <c r="CI21" s="88"/>
      <c r="CJ21" s="1461" cm="1">
        <f t="array" ref="CJ21">_xlfn.LET(_xlpm.CheckBlank,SUM(PL!$AD21:$BN21)=0,IF(_xlpm.CheckBlank,"",SUM(_xlfn.TAKE(_xlfn.DROP(PL!$AD21:$BN21,,-DATEDIFF(PL!CJ$11,val_asOfDate,"M")),1,-12))))</f>
        <v>12</v>
      </c>
      <c r="CK21" s="1461" cm="1">
        <f t="array" ref="CK21">_xlfn.LET(_xlpm.CheckBlank,SUM(PL!$AD21:$BN21)=0,IF(_xlpm.CheckBlank,"",SUM(_xlfn.TAKE(_xlfn.DROP(PL!$AD21:$BN21,,-DATEDIFF(PL!CK$11,val_asOfDate,"M")),1,-12))))</f>
        <v>12</v>
      </c>
      <c r="CL21" s="88"/>
      <c r="CM21" s="3177">
        <v>1</v>
      </c>
      <c r="CN21" s="3177">
        <v>1</v>
      </c>
      <c r="CO21" s="1169"/>
      <c r="CP21" s="3177">
        <v>1</v>
      </c>
      <c r="CQ21" s="3177">
        <v>1</v>
      </c>
      <c r="CR21" s="34"/>
      <c r="CS21" s="2056"/>
      <c r="CT21" s="2085" t="e" cm="1">
        <f t="array" ca="1" aca="1" ref="CT21">IF(K21&lt;&gt;"Yes","",IF(OR(Y21="Select,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III"),"",IF(OR(Y21&lt;&gt;AB21,AND(LEN(B21)=0,NOT(OR(Y21="Select,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III")))),_xldudf_CX_PUSH(Y21,CX_ENTITY,C21,EOMONTH(val_asOfDate,0)),"")))</f>
        <v>#NAME?</v>
      </c>
      <c r="CU21" s="2085" t="e" cm="1">
        <f t="array" ca="1" aca="1" ref="CU21">IF(K21&lt;&gt;"Yes","",IF(OR(Y21="Select,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III"),"",IF(OR(Y21&lt;&gt;AB21,AND(LEN(B21)=0,NOT(OR(Y21="Select,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III")))),_xldudf_CX_PUSH(Y21,CX_ENTITY,C21,EOMONTH(val_asOfDate,1)),"")))</f>
        <v>#NAME?</v>
      </c>
      <c r="CV21" s="2085" t="e" cm="1">
        <f t="array" ca="1" aca="1" ref="CV21">IF(K21&lt;&gt;"Yes","",IF(OR(Y21="Select,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III"),"",IF(OR(Y21&lt;&gt;AB21,AND(LEN(B21)=0,NOT(OR(Y21="Select,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III")))),_xldudf_CX_PUSH(Y21,CX_ENTITY,C21,EOMONTH(val_asOfDate,2)),"")))</f>
        <v>#NAME?</v>
      </c>
      <c r="CW21" s="2085" t="e" cm="1">
        <f t="array" ca="1" aca="1" ref="CW21">IF(K21&lt;&gt;"Yes","",IF(OR(Y21="Select,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III"),"",IF(OR(Y21&lt;&gt;AB21,AND(LEN(B21)=0,NOT(OR(Y21="Select,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III")))),_xldudf_CX_PUSH(Y21,CX_ENTITY,C21,EOMONTH(val_asOfDate,3)),"")))</f>
        <v>#NAME?</v>
      </c>
      <c r="CX21" s="2443"/>
      <c r="CY21" s="2444" t="str" cm="1">
        <f t="array" ca="1" aca="1" ref="CY21">IFERROR(IF(CM21*fxVal_normal=_PL!CM21,"",IF(OR($CM21="",$CM21=0,NOT(ISNUMBER($CM21)),ISERROR($CM21),$B21=""),"",IF($I21=1,IFBLANK(_xldudf_CX_PUSH($CM21*fxVal_normal,CX_ENTITY,$B21,$CM$11,$CM$14,$CM$19,),""),IF($I21=2,IFBLANK(_xldudf_CX_PUSH($CM21,CX_ENTITY,$B21,$CM$11,$CM$14,$CM$19,),""),IF($I21=3,"",IFBLANK(_xldudf_CX_PUSH($CM21,CX_ENTITY,$B21,$CM$11,$CM$14,$CM$19,),"")))))),"")</f>
        <v/>
      </c>
      <c r="CZ21" s="2444" t="str" cm="1">
        <f t="array" ca="1" aca="1" ref="CZ21">IFERROR(IF(CN21*fxVal_normal=_PL!CN21,"",IF(OR($CN21="",$CN21=0,NOT(ISNUMBER($CN21)),ISERROR($CN21),$B21=""),"",IF($I21=1,IFBLANK(_xldudf_CX_PUSH($CN21*fxVal_normal,CX_ENTITY,$B21,$CN$11,$CN$14,$CN$19,),""),IF($I21=2,IFBLANK(_xldudf_CX_PUSH($CN21,CX_ENTITY,$B21,$CN$11,$CN$14,$CN$19,),""),IF($I21=3,"",IFBLANK(_xldudf_CX_PUSH($CN21,CX_ENTITY,$B21,$CN$11,$CN$14,$CN$19,),"")))))),"")</f>
        <v/>
      </c>
      <c r="DA21" s="2444" t="str" cm="1">
        <f t="array" ca="1" aca="1" ref="DA21">IFERROR(IF(CP21*fxVal_normal=_PL!CP21,"",IF(OR($CP21="",$CP21=0,NOT(ISNUMBER($CP21)),ISERROR($CP21),$B21=""),"",IF($I21=1,IFBLANK(_xldudf_CX_PUSH($CP21*fxVal_normal,CX_ENTITY,$B21,$CP$11,$CP$14,$CP$19,),""),IF($I21=2,IFBLANK(_xldudf_CX_PUSH($CP21,CX_ENTITY,$B21,$CP$11,$CP$14,$CP$19,),""),IF($I21=3,"",IFBLANK(_xldudf_CX_PUSH($CP21,CX_ENTITY,$B21,$CP$11,$CP$14,$CP$19,),"")))))),"")</f>
        <v/>
      </c>
      <c r="DB21" s="2444" t="str" cm="1">
        <f t="array" ca="1" aca="1" ref="DB21">IFERROR(IF(CQ21*fxVal_normal=_PL!CQ21,"",IF(OR($CQ21="",$CQ21=0,NOT(ISNUMBER($CQ21)),ISERROR($CQ21),$B21=""),"",IF($I21=1,IFBLANK(_xldudf_CX_PUSH($CQ21*fxVal_normal,CX_ENTITY,$B21,$CQ$11,$CQ$14,$CQ$19,),""),IF($I21=2,IFBLANK(_xldudf_CX_PUSH($CQ21,CX_ENTITY,$B21,$CQ$11,$CQ$14,$CQ$19,),""),IF($I21=3,"",IFBLANK(_xldudf_CX_PUSH($CQ21,CX_ENTITY,$B21,$CQ$11,$CQ$14,$CQ$19,),"")))))),"")</f>
        <v/>
      </c>
      <c r="DC21" s="2443"/>
      <c r="DD21" s="2445" t="str" cm="1">
        <f t="array" ca="1" aca="1" ref="DD21">IFERROR(IF(AD21*fxVal_normal=_PL!AD21,"",IF(OR(AD21="",NOT(ISNUMBER(AD21)),ISERROR(AD21),$B21=""),"",IF($I21=1,IFBLANK(_xldudf_CX_PUSH(AD21*fxVal_normal,CX_ENTITY,$B21,AD$11,AD$14,AD$19,),""),IF($I21=2,IFBLANK(_xldudf_CX_PUSH(AD21,CX_ENTITY,$B21,AD$11,AD$14,AD$19,),""),IF($I21=3,"",IFBLANK(_xldudf_CX_PUSH(AD21,CX_ENTITY,$B21,AD$11,AD$14,AD$19,),"")))))),"")</f>
        <v/>
      </c>
      <c r="DE21" s="2445" t="str" cm="1">
        <f t="array" ca="1" aca="1" ref="DE21">IFERROR(IF(AE21*fxVal_normal=_PL!AE21,"",IF(OR(AE21="",NOT(ISNUMBER(AE21)),ISERROR(AE21),$B21=""),"",IF($I21=1,IFBLANK(_xldudf_CX_PUSH(AE21*fxVal_normal,CX_ENTITY,$B21,AE$11,AE$14,AE$19,),""),IF($I21=2,IFBLANK(_xldudf_CX_PUSH(AE21,CX_ENTITY,$B21,AE$11,AE$14,AE$19,),""),IF($I21=3,"",IFBLANK(_xldudf_CX_PUSH(AE21,CX_ENTITY,$B21,AE$11,AE$14,AE$19,),"")))))),"")</f>
        <v/>
      </c>
      <c r="DF21" s="2445" t="str" cm="1">
        <f t="array" ca="1" aca="1" ref="DF21">IFERROR(IF(AF21*fxVal_normal=_PL!AF21,"",IF(OR(AF21="",NOT(ISNUMBER(AF21)),ISERROR(AF21),$B21=""),"",IF($I21=1,IFBLANK(_xldudf_CX_PUSH(AF21*fxVal_normal,CX_ENTITY,$B21,AF$11,AF$14,AF$19,),""),IF($I21=2,IFBLANK(_xldudf_CX_PUSH(AF21,CX_ENTITY,$B21,AF$11,AF$14,AF$19,),""),IF($I21=3,"",IFBLANK(_xldudf_CX_PUSH(AF21,CX_ENTITY,$B21,AF$11,AF$14,AF$19,),"")))))),"")</f>
        <v/>
      </c>
      <c r="DG21" s="2445" t="str" cm="1">
        <f t="array" ca="1" aca="1" ref="DG21">IFERROR(IF(AG21*fxVal_normal=_PL!AG21,"",IF(OR(AG21="",NOT(ISNUMBER(AG21)),ISERROR(AG21),$B21=""),"",IF($I21=1,IFBLANK(_xldudf_CX_PUSH(AG21*fxVal_normal,CX_ENTITY,$B21,AG$11,AG$14,AG$19,),""),IF($I21=2,IFBLANK(_xldudf_CX_PUSH(AG21,CX_ENTITY,$B21,AG$11,AG$14,AG$19,),""),IF($I21=3,"",IFBLANK(_xldudf_CX_PUSH(AG21,CX_ENTITY,$B21,AG$11,AG$14,AG$19,),"")))))),"")</f>
        <v/>
      </c>
      <c r="DH21" s="2445" t="str" cm="1">
        <f t="array" ca="1" aca="1" ref="DH21">IFERROR(IF(AH21*fxVal_normal=_PL!AH21,"",IF(OR(AH21="",NOT(ISNUMBER(AH21)),ISERROR(AH21),$B21=""),"",IF($I21=1,IFBLANK(_xldudf_CX_PUSH(AH21*fxVal_normal,CX_ENTITY,$B21,AH$11,AH$14,AH$19,),""),IF($I21=2,IFBLANK(_xldudf_CX_PUSH(AH21,CX_ENTITY,$B21,AH$11,AH$14,AH$19,),""),IF($I21=3,"",IFBLANK(_xldudf_CX_PUSH(AH21,CX_ENTITY,$B21,AH$11,AH$14,AH$19,),"")))))),"")</f>
        <v/>
      </c>
      <c r="DI21" s="2445" t="str" cm="1">
        <f t="array" ca="1" aca="1" ref="DI21">IFERROR(IF(AI21*fxVal_normal=_PL!AI21,"",IF(OR(AI21="",NOT(ISNUMBER(AI21)),ISERROR(AI21),$B21=""),"",IF($I21=1,IFBLANK(_xldudf_CX_PUSH(AI21*fxVal_normal,CX_ENTITY,$B21,AI$11,AI$14,AI$19,),""),IF($I21=2,IFBLANK(_xldudf_CX_PUSH(AI21,CX_ENTITY,$B21,AI$11,AI$14,AI$19,),""),IF($I21=3,"",IFBLANK(_xldudf_CX_PUSH(AI21,CX_ENTITY,$B21,AI$11,AI$14,AI$19,),"")))))),"")</f>
        <v/>
      </c>
      <c r="DJ21" s="2445" t="str" cm="1">
        <f t="array" ca="1" aca="1" ref="DJ21">IFERROR(IF(AJ21*fxVal_normal=_PL!AJ21,"",IF(OR(AJ21="",NOT(ISNUMBER(AJ21)),ISERROR(AJ21),$B21=""),"",IF($I21=1,IFBLANK(_xldudf_CX_PUSH(AJ21*fxVal_normal,CX_ENTITY,$B21,AJ$11,AJ$14,AJ$19,),""),IF($I21=2,IFBLANK(_xldudf_CX_PUSH(AJ21,CX_ENTITY,$B21,AJ$11,AJ$14,AJ$19,),""),IF($I21=3,"",IFBLANK(_xldudf_CX_PUSH(AJ21,CX_ENTITY,$B21,AJ$11,AJ$14,AJ$19,),"")))))),"")</f>
        <v/>
      </c>
      <c r="DK21" s="2445" t="str" cm="1">
        <f t="array" ca="1" aca="1" ref="DK21">IFERROR(IF(AK21*fxVal_normal=_PL!AK21,"",IF(OR(AK21="",NOT(ISNUMBER(AK21)),ISERROR(AK21),$B21=""),"",IF($I21=1,IFBLANK(_xldudf_CX_PUSH(AK21*fxVal_normal,CX_ENTITY,$B21,AK$11,AK$14,AK$19,),""),IF($I21=2,IFBLANK(_xldudf_CX_PUSH(AK21,CX_ENTITY,$B21,AK$11,AK$14,AK$19,),""),IF($I21=3,"",IFBLANK(_xldudf_CX_PUSH(AK21,CX_ENTITY,$B21,AK$11,AK$14,AK$19,),"")))))),"")</f>
        <v/>
      </c>
      <c r="DL21" s="2445" t="str" cm="1">
        <f t="array" ca="1" aca="1" ref="DL21">IFERROR(IF(AL21*fxVal_normal=_PL!AL21,"",IF(OR(AL21="",NOT(ISNUMBER(AL21)),ISERROR(AL21),$B21=""),"",IF($I21=1,IFBLANK(_xldudf_CX_PUSH(AL21*fxVal_normal,CX_ENTITY,$B21,AL$11,AL$14,AL$19,),""),IF($I21=2,IFBLANK(_xldudf_CX_PUSH(AL21,CX_ENTITY,$B21,AL$11,AL$14,AL$19,),""),IF($I21=3,"",IFBLANK(_xldudf_CX_PUSH(AL21,CX_ENTITY,$B21,AL$11,AL$14,AL$19,),"")))))),"")</f>
        <v/>
      </c>
      <c r="DM21" s="2445" t="str" cm="1">
        <f t="array" ca="1" aca="1" ref="DM21">IFERROR(IF(AM21*fxVal_normal=_PL!AM21,"",IF(OR(AM21="",NOT(ISNUMBER(AM21)),ISERROR(AM21),$B21=""),"",IF($I21=1,IFBLANK(_xldudf_CX_PUSH(AM21*fxVal_normal,CX_ENTITY,$B21,AM$11,AM$14,AM$19,),""),IF($I21=2,IFBLANK(_xldudf_CX_PUSH(AM21,CX_ENTITY,$B21,AM$11,AM$14,AM$19,),""),IF($I21=3,"",IFBLANK(_xldudf_CX_PUSH(AM21,CX_ENTITY,$B21,AM$11,AM$14,AM$19,),"")))))),"")</f>
        <v/>
      </c>
      <c r="DN21" s="2445" t="str" cm="1">
        <f t="array" ca="1" aca="1" ref="DN21">IFERROR(IF(AN21*fxVal_normal=_PL!AN21,"",IF(OR(AN21="",NOT(ISNUMBER(AN21)),ISERROR(AN21),$B21=""),"",IF($I21=1,IFBLANK(_xldudf_CX_PUSH(AN21*fxVal_normal,CX_ENTITY,$B21,AN$11,AN$14,AN$19,),""),IF($I21=2,IFBLANK(_xldudf_CX_PUSH(AN21,CX_ENTITY,$B21,AN$11,AN$14,AN$19,),""),IF($I21=3,"",IFBLANK(_xldudf_CX_PUSH(AN21,CX_ENTITY,$B21,AN$11,AN$14,AN$19,),"")))))),"")</f>
        <v/>
      </c>
      <c r="DO21" s="2445" t="str" cm="1">
        <f t="array" ca="1" aca="1" ref="DO21">IFERROR(IF(AO21*fxVal_normal=_PL!AO21,"",IF(OR(AO21="",NOT(ISNUMBER(AO21)),ISERROR(AO21),$B21=""),"",IF($I21=1,IFBLANK(_xldudf_CX_PUSH(AO21*fxVal_normal,CX_ENTITY,$B21,AO$11,AO$14,AO$19,),""),IF($I21=2,IFBLANK(_xldudf_CX_PUSH(AO21,CX_ENTITY,$B21,AO$11,AO$14,AO$19,),""),IF($I21=3,"",IFBLANK(_xldudf_CX_PUSH(AO21,CX_ENTITY,$B21,AO$11,AO$14,AO$19,),"")))))),"")</f>
        <v/>
      </c>
      <c r="DP21" s="2445" t="str" cm="1">
        <f t="array" ca="1" aca="1" ref="DP21">IFERROR(IF(AP21*fxVal_normal=_PL!AP21,"",IF(OR(AP21="",NOT(ISNUMBER(AP21)),ISERROR(AP21),$B21=""),"",IF($I21=1,IFBLANK(_xldudf_CX_PUSH(AP21*fxVal_normal,CX_ENTITY,$B21,AP$11,AP$14,AP$19,),""),IF($I21=2,IFBLANK(_xldudf_CX_PUSH(AP21,CX_ENTITY,$B21,AP$11,AP$14,AP$19,),""),IF($I21=3,"",IFBLANK(_xldudf_CX_PUSH(AP21,CX_ENTITY,$B21,AP$11,AP$14,AP$19,),"")))))),"")</f>
        <v/>
      </c>
      <c r="DQ21" s="2445" t="str" cm="1">
        <f t="array" ca="1" aca="1" ref="DQ21">IFERROR(IF(AQ21*fxVal_normal=_PL!AQ21,"",IF(OR(AQ21="",NOT(ISNUMBER(AQ21)),ISERROR(AQ21),$B21=""),"",IF($I21=1,IFBLANK(_xldudf_CX_PUSH(AQ21*fxVal_normal,CX_ENTITY,$B21,AQ$11,AQ$14,AQ$19,),""),IF($I21=2,IFBLANK(_xldudf_CX_PUSH(AQ21,CX_ENTITY,$B21,AQ$11,AQ$14,AQ$19,),""),IF($I21=3,"",IFBLANK(_xldudf_CX_PUSH(AQ21,CX_ENTITY,$B21,AQ$11,AQ$14,AQ$19,),"")))))),"")</f>
        <v/>
      </c>
      <c r="DR21" s="2445" t="str" cm="1">
        <f t="array" ca="1" aca="1" ref="DR21">IFERROR(IF(AR21*fxVal_normal=_PL!AR21,"",IF(OR(AR21="",NOT(ISNUMBER(AR21)),ISERROR(AR21),$B21=""),"",IF($I21=1,IFBLANK(_xldudf_CX_PUSH(AR21*fxVal_normal,CX_ENTITY,$B21,AR$11,AR$14,AR$19,),""),IF($I21=2,IFBLANK(_xldudf_CX_PUSH(AR21,CX_ENTITY,$B21,AR$11,AR$14,AR$19,),""),IF($I21=3,"",IFBLANK(_xldudf_CX_PUSH(AR21,CX_ENTITY,$B21,AR$11,AR$14,AR$19,),"")))))),"")</f>
        <v/>
      </c>
      <c r="DS21" s="2445" t="str" cm="1">
        <f t="array" ca="1" aca="1" ref="DS21">IFERROR(IF(AS21*fxVal_normal=_PL!AS21,"",IF(OR(AS21="",NOT(ISNUMBER(AS21)),ISERROR(AS21),$B21=""),"",IF($I21=1,IFBLANK(_xldudf_CX_PUSH(AS21*fxVal_normal,CX_ENTITY,$B21,AS$11,AS$14,AS$19,),""),IF($I21=2,IFBLANK(_xldudf_CX_PUSH(AS21,CX_ENTITY,$B21,AS$11,AS$14,AS$19,),""),IF($I21=3,"",IFBLANK(_xldudf_CX_PUSH(AS21,CX_ENTITY,$B21,AS$11,AS$14,AS$19,),"")))))),"")</f>
        <v/>
      </c>
      <c r="DT21" s="2445" t="str" cm="1">
        <f t="array" ca="1" aca="1" ref="DT21">IFERROR(IF(AT21*fxVal_normal=_PL!AT21,"",IF(OR(AT21="",NOT(ISNUMBER(AT21)),ISERROR(AT21),$B21=""),"",IF($I21=1,IFBLANK(_xldudf_CX_PUSH(AT21*fxVal_normal,CX_ENTITY,$B21,AT$11,AT$14,AT$19,),""),IF($I21=2,IFBLANK(_xldudf_CX_PUSH(AT21,CX_ENTITY,$B21,AT$11,AT$14,AT$19,),""),IF($I21=3,"",IFBLANK(_xldudf_CX_PUSH(AT21,CX_ENTITY,$B21,AT$11,AT$14,AT$19,),"")))))),"")</f>
        <v/>
      </c>
      <c r="DU21" s="2445" t="str" cm="1">
        <f t="array" ca="1" aca="1" ref="DU21">IFERROR(IF(AU21*fxVal_normal=_PL!AU21,"",IF(OR(AU21="",NOT(ISNUMBER(AU21)),ISERROR(AU21),$B21=""),"",IF($I21=1,IFBLANK(_xldudf_CX_PUSH(AU21*fxVal_normal,CX_ENTITY,$B21,AU$11,AU$14,AU$19,),""),IF($I21=2,IFBLANK(_xldudf_CX_PUSH(AU21,CX_ENTITY,$B21,AU$11,AU$14,AU$19,),""),IF($I21=3,"",IFBLANK(_xldudf_CX_PUSH(AU21,CX_ENTITY,$B21,AU$11,AU$14,AU$19,),"")))))),"")</f>
        <v/>
      </c>
      <c r="DV21" s="2445" t="str" cm="1">
        <f t="array" ca="1" aca="1" ref="DV21">IFERROR(IF(AV21*fxVal_normal=_PL!AV21,"",IF(OR(AV21="",NOT(ISNUMBER(AV21)),ISERROR(AV21),$B21=""),"",IF($I21=1,IFBLANK(_xldudf_CX_PUSH(AV21*fxVal_normal,CX_ENTITY,$B21,AV$11,AV$14,AV$19,),""),IF($I21=2,IFBLANK(_xldudf_CX_PUSH(AV21,CX_ENTITY,$B21,AV$11,AV$14,AV$19,),""),IF($I21=3,"",IFBLANK(_xldudf_CX_PUSH(AV21,CX_ENTITY,$B21,AV$11,AV$14,AV$19,),"")))))),"")</f>
        <v/>
      </c>
      <c r="DW21" s="2445" t="str" cm="1">
        <f t="array" ca="1" aca="1" ref="DW21">IFERROR(IF(AW21*fxVal_normal=_PL!AW21,"",IF(OR(AW21="",NOT(ISNUMBER(AW21)),ISERROR(AW21),$B21=""),"",IF($I21=1,IFBLANK(_xldudf_CX_PUSH(AW21*fxVal_normal,CX_ENTITY,$B21,AW$11,AW$14,AW$19,),""),IF($I21=2,IFBLANK(_xldudf_CX_PUSH(AW21,CX_ENTITY,$B21,AW$11,AW$14,AW$19,),""),IF($I21=3,"",IFBLANK(_xldudf_CX_PUSH(AW21,CX_ENTITY,$B21,AW$11,AW$14,AW$19,),"")))))),"")</f>
        <v/>
      </c>
      <c r="DX21" s="2445" t="str" cm="1">
        <f t="array" ca="1" aca="1" ref="DX21">IFERROR(IF(AX21*fxVal_normal=_PL!AX21,"",IF(OR(AX21="",NOT(ISNUMBER(AX21)),ISERROR(AX21),$B21=""),"",IF($I21=1,IFBLANK(_xldudf_CX_PUSH(AX21*fxVal_normal,CX_ENTITY,$B21,AX$11,AX$14,AX$19,),""),IF($I21=2,IFBLANK(_xldudf_CX_PUSH(AX21,CX_ENTITY,$B21,AX$11,AX$14,AX$19,),""),IF($I21=3,"",IFBLANK(_xldudf_CX_PUSH(AX21,CX_ENTITY,$B21,AX$11,AX$14,AX$19,),"")))))),"")</f>
        <v/>
      </c>
      <c r="DY21" s="2445" t="str" cm="1">
        <f t="array" ca="1" aca="1" ref="DY21">IFERROR(IF(AY21*fxVal_normal=_PL!AY21,"",IF(OR(AY21="",NOT(ISNUMBER(AY21)),ISERROR(AY21),$B21=""),"",IF($I21=1,IFBLANK(_xldudf_CX_PUSH(AY21*fxVal_normal,CX_ENTITY,$B21,AY$11,AY$14,AY$19,),""),IF($I21=2,IFBLANK(_xldudf_CX_PUSH(AY21,CX_ENTITY,$B21,AY$11,AY$14,AY$19,),""),IF($I21=3,"",IFBLANK(_xldudf_CX_PUSH(AY21,CX_ENTITY,$B21,AY$11,AY$14,AY$19,),"")))))),"")</f>
        <v/>
      </c>
      <c r="DZ21" s="2445" t="str" cm="1">
        <f t="array" ca="1" aca="1" ref="DZ21">IFERROR(IF(AZ21*fxVal_normal=_PL!AZ21,"",IF(OR(AZ21="",NOT(ISNUMBER(AZ21)),ISERROR(AZ21),$B21=""),"",IF($I21=1,IFBLANK(_xldudf_CX_PUSH(AZ21*fxVal_normal,CX_ENTITY,$B21,AZ$11,AZ$14,AZ$19,),""),IF($I21=2,IFBLANK(_xldudf_CX_PUSH(AZ21,CX_ENTITY,$B21,AZ$11,AZ$14,AZ$19,),""),IF($I21=3,"",IFBLANK(_xldudf_CX_PUSH(AZ21,CX_ENTITY,$B21,AZ$11,AZ$14,AZ$19,),"")))))),"")</f>
        <v/>
      </c>
      <c r="EA21" s="2445" t="str" cm="1">
        <f t="array" ca="1" aca="1" ref="EA21">IFERROR(IF(BA21*fxVal_normal=_PL!BA21,"",IF(OR(BA21="",NOT(ISNUMBER(BA21)),ISERROR(BA21),$B21=""),"",IF($I21=1,IFBLANK(_xldudf_CX_PUSH(BA21*fxVal_normal,CX_ENTITY,$B21,BA$11,BA$14,BA$19,),""),IF($I21=2,IFBLANK(_xldudf_CX_PUSH(BA21,CX_ENTITY,$B21,BA$11,BA$14,BA$19,),""),IF($I21=3,"",IFBLANK(_xldudf_CX_PUSH(BA21,CX_ENTITY,$B21,BA$11,BA$14,BA$19,),"")))))),"")</f>
        <v/>
      </c>
      <c r="EB21" s="2445" t="str" cm="1">
        <f t="array" ca="1" aca="1" ref="EB21">IFERROR(IF(BB21*fxVal_normal=_PL!BB21,"",IF(OR(BB21="",NOT(ISNUMBER(BB21)),ISERROR(BB21),$B21=""),"",IF($I21=1,IFBLANK(_xldudf_CX_PUSH(BB21*fxVal_normal,CX_ENTITY,$B21,BB$11,BB$14,BB$19,),""),IF($I21=2,IFBLANK(_xldudf_CX_PUSH(BB21,CX_ENTITY,$B21,BB$11,BB$14,BB$19,),""),IF($I21=3,"",IFBLANK(_xldudf_CX_PUSH(BB21,CX_ENTITY,$B21,BB$11,BB$14,BB$19,),"")))))),"")</f>
        <v/>
      </c>
      <c r="EC21" s="2445" t="str" cm="1">
        <f t="array" ca="1" aca="1" ref="EC21">IFERROR(IF(BC21*fxVal_normal=_PL!BC21,"",IF(OR(BC21="",NOT(ISNUMBER(BC21)),ISERROR(BC21),$B21=""),"",IF($I21=1,IFBLANK(_xldudf_CX_PUSH(BC21*fxVal_normal,CX_ENTITY,$B21,BC$11,BC$14,BC$19,),""),IF($I21=2,IFBLANK(_xldudf_CX_PUSH(BC21,CX_ENTITY,$B21,BC$11,BC$14,BC$19,),""),IF($I21=3,"",IFBLANK(_xldudf_CX_PUSH(BC21,CX_ENTITY,$B21,BC$11,BC$14,BC$19,),"")))))),"")</f>
        <v/>
      </c>
      <c r="ED21" s="2445" t="str" cm="1">
        <f t="array" ca="1" aca="1" ref="ED21">IFERROR(IF(BD21*fxVal_normal=_PL!BD21,"",IF(OR(BD21="",NOT(ISNUMBER(BD21)),ISERROR(BD21),$B21=""),"",IF($I21=1,IFBLANK(_xldudf_CX_PUSH(BD21*fxVal_normal,CX_ENTITY,$B21,BD$11,BD$14,BD$19,),""),IF($I21=2,IFBLANK(_xldudf_CX_PUSH(BD21,CX_ENTITY,$B21,BD$11,BD$14,BD$19,),""),IF($I21=3,"",IFBLANK(_xldudf_CX_PUSH(BD21,CX_ENTITY,$B21,BD$11,BD$14,BD$19,),"")))))),"")</f>
        <v/>
      </c>
      <c r="EE21" s="2445" t="str" cm="1">
        <f t="array" ca="1" aca="1" ref="EE21">IFERROR(IF(BE21*fxVal_normal=_PL!BE21,"",IF(OR(BE21="",NOT(ISNUMBER(BE21)),ISERROR(BE21),$B21=""),"",IF($I21=1,IFBLANK(_xldudf_CX_PUSH(BE21*fxVal_normal,CX_ENTITY,$B21,BE$11,BE$14,BE$19,),""),IF($I21=2,IFBLANK(_xldudf_CX_PUSH(BE21,CX_ENTITY,$B21,BE$11,BE$14,BE$19,),""),IF($I21=3,"",IFBLANK(_xldudf_CX_PUSH(BE21,CX_ENTITY,$B21,BE$11,BE$14,BE$19,),"")))))),"")</f>
        <v/>
      </c>
      <c r="EF21" s="2445" t="str" cm="1">
        <f t="array" ca="1" aca="1" ref="EF21">IFERROR(IF(BF21*fxVal_normal=_PL!BF21,"",IF(OR(BF21="",NOT(ISNUMBER(BF21)),ISERROR(BF21),$B21=""),"",IF($I21=1,IFBLANK(_xldudf_CX_PUSH(BF21*fxVal_normal,CX_ENTITY,$B21,BF$11,BF$14,BF$19,),""),IF($I21=2,IFBLANK(_xldudf_CX_PUSH(BF21,CX_ENTITY,$B21,BF$11,BF$14,BF$19,),""),IF($I21=3,"",IFBLANK(_xldudf_CX_PUSH(BF21,CX_ENTITY,$B21,BF$11,BF$14,BF$19,),"")))))),"")</f>
        <v/>
      </c>
      <c r="EG21" s="2445" t="str" cm="1">
        <f t="array" ca="1" aca="1" ref="EG21">IFERROR(IF(BG21*fxVal_normal=_PL!BG21,"",IF(OR(BG21="",NOT(ISNUMBER(BG21)),ISERROR(BG21),$B21=""),"",IF($I21=1,IFBLANK(_xldudf_CX_PUSH(BG21*fxVal_normal,CX_ENTITY,$B21,BG$11,BG$14,BG$19,),""),IF($I21=2,IFBLANK(_xldudf_CX_PUSH(BG21,CX_ENTITY,$B21,BG$11,BG$14,BG$19,),""),IF($I21=3,"",IFBLANK(_xldudf_CX_PUSH(BG21,CX_ENTITY,$B21,BG$11,BG$14,BG$19,),"")))))),"")</f>
        <v/>
      </c>
      <c r="EH21" s="2445" t="str" cm="1">
        <f t="array" ca="1" aca="1" ref="EH21">IFERROR(IF(BH21*fxVal_normal=_PL!BH21,"",IF(OR(BH21="",NOT(ISNUMBER(BH21)),ISERROR(BH21),$B21=""),"",IF($I21=1,IFBLANK(_xldudf_CX_PUSH(BH21*fxVal_normal,CX_ENTITY,$B21,BH$11,BH$14,BH$19,),""),IF($I21=2,IFBLANK(_xldudf_CX_PUSH(BH21,CX_ENTITY,$B21,BH$11,BH$14,BH$19,),""),IF($I21=3,"",IFBLANK(_xldudf_CX_PUSH(BH21,CX_ENTITY,$B21,BH$11,BH$14,BH$19,),"")))))),"")</f>
        <v/>
      </c>
      <c r="EI21" s="2445" t="str" cm="1">
        <f t="array" ca="1" aca="1" ref="EI21">IFERROR(IF(BI21*fxVal_normal=_PL!BI21,"",IF(OR(BI21="",NOT(ISNUMBER(BI21)),ISERROR(BI21),$B21=""),"",IF($I21=1,IFBLANK(_xldudf_CX_PUSH(BI21*fxVal_normal,CX_ENTITY,$B21,BI$11,BI$14,BI$19,),""),IF($I21=2,IFBLANK(_xldudf_CX_PUSH(BI21,CX_ENTITY,$B21,BI$11,BI$14,BI$19,),""),IF($I21=3,"",IFBLANK(_xldudf_CX_PUSH(BI21,CX_ENTITY,$B21,BI$11,BI$14,BI$19,),"")))))),"")</f>
        <v/>
      </c>
      <c r="EJ21" s="2445" t="str" cm="1">
        <f t="array" ca="1" aca="1" ref="EJ21">IFERROR(IF(BJ21*fxVal_normal=_PL!BJ21,"",IF(OR(BJ21="",NOT(ISNUMBER(BJ21)),ISERROR(BJ21),$B21=""),"",IF($I21=1,IFBLANK(_xldudf_CX_PUSH(BJ21*fxVal_normal,CX_ENTITY,$B21,BJ$11,BJ$14,BJ$19,),""),IF($I21=2,IFBLANK(_xldudf_CX_PUSH(BJ21,CX_ENTITY,$B21,BJ$11,BJ$14,BJ$19,),""),IF($I21=3,"",IFBLANK(_xldudf_CX_PUSH(BJ21,CX_ENTITY,$B21,BJ$11,BJ$14,BJ$19,),"")))))),"")</f>
        <v/>
      </c>
      <c r="EK21" s="2445" t="str" cm="1">
        <f t="array" ca="1" aca="1" ref="EK21">IFERROR(IF(BK21*fxVal_normal=_PL!BK21,"",IF(OR(BK21="",NOT(ISNUMBER(BK21)),ISERROR(BK21),$B21=""),"",IF($I21=1,IFBLANK(_xldudf_CX_PUSH(BK21*fxVal_normal,CX_ENTITY,$B21,BK$11,BK$14,BK$19,),""),IF($I21=2,IFBLANK(_xldudf_CX_PUSH(BK21,CX_ENTITY,$B21,BK$11,BK$14,BK$19,),""),IF($I21=3,"",IFBLANK(_xldudf_CX_PUSH(BK21,CX_ENTITY,$B21,BK$11,BK$14,BK$19,),"")))))),"")</f>
        <v/>
      </c>
      <c r="EL21" s="2445" t="str" cm="1">
        <f t="array" ca="1" aca="1" ref="EL21">IFERROR(IF(BL21*fxVal_normal=_PL!BL21,"",IF(OR(BL21="",NOT(ISNUMBER(BL21)),ISERROR(BL21),$B21=""),"",IF($I21=1,IFBLANK(_xldudf_CX_PUSH(BL21*fxVal_normal,CX_ENTITY,$B21,BL$11,BL$14,BL$19,),""),IF($I21=2,IFBLANK(_xldudf_CX_PUSH(BL21,CX_ENTITY,$B21,BL$11,BL$14,BL$19,),""),IF($I21=3,"",IFBLANK(_xldudf_CX_PUSH(BL21,CX_ENTITY,$B21,BL$11,BL$14,BL$19,),"")))))),"")</f>
        <v/>
      </c>
      <c r="EM21" s="2445" t="str" cm="1">
        <f t="array" ca="1" aca="1" ref="EM21">IFERROR(IF(BM21*fxVal_normal=_PL!BM21,"",IF(OR(BM21="",NOT(ISNUMBER(BM21)),ISERROR(BM21),$B21=""),"",IF($I21=1,IFBLANK(_xldudf_CX_PUSH(BM21*fxVal_normal,CX_ENTITY,$B21,BM$11,BM$14,BM$19,),""),IF($I21=2,IFBLANK(_xldudf_CX_PUSH(BM21,CX_ENTITY,$B21,BM$11,BM$14,BM$19,),""),IF($I21=3,"",IFBLANK(_xldudf_CX_PUSH(BM21,CX_ENTITY,$B21,BM$11,BM$14,BM$19,),"")))))),"")</f>
        <v/>
      </c>
      <c r="EN21" s="2445" t="str" cm="1">
        <f t="array" ca="1" aca="1" ref="EN21">IFERROR(IF(BN21*fxVal_normal=_PL!BN21,"",IF(OR(BN21="",NOT(ISNUMBER(BN21)),ISERROR(BN21),$B21=""),"",IF($I21=1,IFBLANK(_xldudf_CX_PUSH(BN21*fxVal_normal,CX_ENTITY,$B21,BN$11,BN$14,BN$19,),""),IF($I21=2,IFBLANK(_xldudf_CX_PUSH(BN21,CX_ENTITY,$B21,BN$11,BN$14,BN$19,),""),IF($I21=3,"",IFBLANK(_xldudf_CX_PUSH(BN21,CX_ENTITY,$B21,BN$11,BN$14,BN$19,),"")))))),"")</f>
        <v/>
      </c>
    </row>
    <row r="22" spans="1:144" ht="21" customHeight="1">
      <c r="A22" s="1625"/>
      <c r="B22" s="2439" t="str">
        <f ca="1">_xlfn.LET(_xlpm.IsNotAttrDynamic,D22="",_xlpm.Attr,_PL!F22,_xlpm.NotInUse,Y22=D22,_xlpm.RESULT,IF(_xlpm.IsNotAttrDynamic,_xlpm.Attr,IF(_xlpm.NotInUse,"",Y22)),IF(_xlpm.RESULT="","",_xlpm.RESULT))</f>
        <v>Gross Profit</v>
      </c>
      <c r="C22" s="2439" t="str" cm="1">
        <f t="array" ref="C22">IFBLANK(_PL!C22,"")</f>
        <v>Gross Profit (Company View)</v>
      </c>
      <c r="D22" s="1548"/>
      <c r="E22" s="2440" t="e" cm="1">
        <f t="array" ca="1" aca="1" ref="E2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CQ22,Z22)</f>
        <v>#NAME?</v>
      </c>
      <c r="F22" s="1897"/>
      <c r="G22" s="1897"/>
      <c r="H22" s="3279">
        <v>2</v>
      </c>
      <c r="I22" s="3279">
        <v>1</v>
      </c>
      <c r="J22" s="401" cm="1">
        <f t="array" ref="J22">IFBLANK(Z22,"")</f>
        <v>0</v>
      </c>
      <c r="K22" s="578" t="str">
        <f t="shared" si="3"/>
        <v>Yes</v>
      </c>
      <c r="L22" s="37"/>
      <c r="N22" s="158"/>
      <c r="O22" s="101"/>
      <c r="P22" s="52"/>
      <c r="Q22" s="101"/>
      <c r="R22" s="126"/>
      <c r="S22" s="101"/>
      <c r="T22" s="101"/>
      <c r="U22" s="39"/>
      <c r="V22" s="37"/>
      <c r="W22" s="91" t="str">
        <f t="shared" si="4" ref="W22:W41">$W$20</f>
        <v>Actual</v>
      </c>
      <c r="X22" s="2081">
        <f>_PL!X22</f>
        <v>0</v>
      </c>
      <c r="Y22" s="1196" t="e">
        <f ca="1">IF(_PL!Y22="Error","",_PL!Y22)</f>
        <v>#NAME?</v>
      </c>
      <c r="Z22" s="198" cm="1">
        <f t="array" ref="Z22">_xlfn.SWITCH(TRUE,_PL!$L22=TRUE,1,_PL!$L22=FALSE,-1,_PL!$L22=-1,0,"")</f>
        <v>0</v>
      </c>
      <c r="AA22" s="200"/>
      <c r="AB22" s="301" t="str">
        <f>_PL!AB22</f>
        <v>Gross Profit</v>
      </c>
      <c r="AC22" s="275" t="e" vm="5" cm="1">
        <f t="array" ca="1" aca="1" ref="AC22">_xlfn.LET(_xlpm._termname,$AB22,_xlpm._iconname,"find",_xlpm._icon,fx_getIcon(_xlpm._iconname),_xlpm._location,_xlfn.XLOOKUP(LOWER(_xlpm._termname),LOWER(tbl_acctDef[Term]),tbl_acctDef[Term]),_xlpm._hyperlink,HYPERLINK("#"&amp;CELL("address",_xlpm._location),_xlpm._icon),IFERROR(_xlpm._hyperlink,""))</f>
        <v>#VALUE!</v>
      </c>
      <c r="AD22" s="3178">
        <f t="shared" si="5" ref="AD22:BN22">SUBTOTAL(9,AD20:AD21)</f>
        <v>2</v>
      </c>
      <c r="AE22" s="3179">
        <f t="shared" si="5"/>
        <v>2</v>
      </c>
      <c r="AF22" s="3179">
        <f t="shared" si="5"/>
        <v>2</v>
      </c>
      <c r="AG22" s="3179">
        <f t="shared" si="5"/>
        <v>2</v>
      </c>
      <c r="AH22" s="3179">
        <f t="shared" si="5"/>
        <v>2</v>
      </c>
      <c r="AI22" s="3179">
        <f t="shared" si="5"/>
        <v>2</v>
      </c>
      <c r="AJ22" s="3179">
        <f t="shared" si="5"/>
        <v>2</v>
      </c>
      <c r="AK22" s="3179">
        <f t="shared" si="5"/>
        <v>2</v>
      </c>
      <c r="AL22" s="3179">
        <f t="shared" si="5"/>
        <v>2</v>
      </c>
      <c r="AM22" s="3179">
        <f t="shared" si="5"/>
        <v>2</v>
      </c>
      <c r="AN22" s="3179">
        <f t="shared" si="5"/>
        <v>2</v>
      </c>
      <c r="AO22" s="3179">
        <f t="shared" si="5"/>
        <v>2</v>
      </c>
      <c r="AP22" s="3179">
        <f t="shared" si="5"/>
        <v>2</v>
      </c>
      <c r="AQ22" s="3179">
        <f t="shared" si="5"/>
        <v>2</v>
      </c>
      <c r="AR22" s="3179">
        <f t="shared" si="5"/>
        <v>2</v>
      </c>
      <c r="AS22" s="3179">
        <f t="shared" si="5"/>
        <v>2</v>
      </c>
      <c r="AT22" s="3179">
        <f t="shared" si="5"/>
        <v>2</v>
      </c>
      <c r="AU22" s="3179">
        <f t="shared" si="5"/>
        <v>2</v>
      </c>
      <c r="AV22" s="3179">
        <f t="shared" si="5"/>
        <v>2</v>
      </c>
      <c r="AW22" s="3179">
        <f t="shared" si="5"/>
        <v>2</v>
      </c>
      <c r="AX22" s="3179">
        <f t="shared" si="5"/>
        <v>2</v>
      </c>
      <c r="AY22" s="3179">
        <f t="shared" si="5"/>
        <v>2</v>
      </c>
      <c r="AZ22" s="3179">
        <f t="shared" si="5"/>
        <v>2</v>
      </c>
      <c r="BA22" s="3179">
        <f t="shared" si="5"/>
        <v>2</v>
      </c>
      <c r="BB22" s="3179">
        <f t="shared" si="5"/>
        <v>2</v>
      </c>
      <c r="BC22" s="3179">
        <f t="shared" si="5"/>
        <v>2</v>
      </c>
      <c r="BD22" s="3179">
        <f t="shared" si="5"/>
        <v>2</v>
      </c>
      <c r="BE22" s="3179">
        <f t="shared" si="5"/>
        <v>2</v>
      </c>
      <c r="BF22" s="3179">
        <f t="shared" si="5"/>
        <v>2</v>
      </c>
      <c r="BG22" s="3179">
        <f t="shared" si="5"/>
        <v>2</v>
      </c>
      <c r="BH22" s="3179">
        <f t="shared" si="5"/>
        <v>2</v>
      </c>
      <c r="BI22" s="3179">
        <f t="shared" si="5"/>
        <v>2</v>
      </c>
      <c r="BJ22" s="3179">
        <f t="shared" si="5"/>
        <v>2</v>
      </c>
      <c r="BK22" s="3179">
        <f t="shared" si="5"/>
        <v>2</v>
      </c>
      <c r="BL22" s="3179">
        <f t="shared" si="5"/>
        <v>2</v>
      </c>
      <c r="BM22" s="3179">
        <f t="shared" si="5"/>
        <v>2</v>
      </c>
      <c r="BN22" s="3179">
        <f t="shared" si="5"/>
        <v>2</v>
      </c>
      <c r="BO22" s="2096"/>
      <c r="BP22" s="2096"/>
      <c r="BQ22" s="2096"/>
      <c r="BR22" s="2096"/>
      <c r="BS22" s="2096"/>
      <c r="BT22" s="2096"/>
      <c r="BU22" s="2096"/>
      <c r="BV22" s="2096"/>
      <c r="BW22" s="2096"/>
      <c r="BX22" s="2096"/>
      <c r="BY22" s="2096"/>
      <c r="BZ22" s="2096"/>
      <c r="CA22" s="34"/>
      <c r="CC22" s="33"/>
      <c r="CD22" s="1772" t="e" cm="1">
        <f t="array" ca="1" aca="1" ref="CD22">_xlfn.LET(_xlpm.CheckBlank,SUM(PL!$AD22:$BN22)=0,IF(_xlpm.CheckBlank,"",SUM(_xlfn._xlws.FILTER(PL!$AD22:$BN22,(YEAR(PL!$AD$12:$BN$12)=PL!CD$12)*(array_timeline&lt;=PL!CD$11)))))</f>
        <v>#NAME?</v>
      </c>
      <c r="CE22" s="1772" t="e" cm="1">
        <f t="array" ca="1" aca="1" ref="CE22">_xlfn.LET(_xlpm.CheckBlank,SUM(PL!$AD22:$BN22)=0,IF(_xlpm.CheckBlank,"",SUM(_xlfn._xlws.FILTER(PL!$AD22:$BN22,(YEAR(PL!$AD$12:$BN$12)=PL!CE$12)*(array_timeline&lt;=PL!CE$11)))))</f>
        <v>#NAME?</v>
      </c>
      <c r="CF22" s="1169"/>
      <c r="CG22" s="1461" t="str" cm="1">
        <f t="array" ca="1" aca="1" ref="CG22">IFERROR(_xlfn.LET(_xlpm.CheckBlank,SUM(PL!$AD22:$BN22)=0,IF(_xlpm.CheckBlank,"",SUM(_xlfn._xlws.FILTER(PL!$AD22:$BN22,(YEAR(PL!$AD$12:$BN$12)=PL!CG$12)*(array_timeline&lt;=PL!CG$11))))),"n/a")</f>
        <v>n/a</v>
      </c>
      <c r="CH22" s="1461" t="e" cm="1">
        <f t="array" ca="1" aca="1" ref="CH22">_xlfn.LET(_xlpm.CheckBlank,SUM(PL!$AD22:$BN22)=0,IF(_xlpm.CheckBlank,"",SUM(_xlfn._xlws.FILTER(PL!$AD22:$BN22,(YEAR(PL!$AD$12:$BN$12)=PL!CH$12)*(array_timeline&lt;=PL!CH$11)))))</f>
        <v>#NAME?</v>
      </c>
      <c r="CI22" s="1169"/>
      <c r="CJ22" s="1461" cm="1">
        <f t="array" ref="CJ22">_xlfn.LET(_xlpm.CheckBlank,SUM(PL!$AD22:$BN22)=0,IF(_xlpm.CheckBlank,"",SUM(_xlfn.TAKE(_xlfn.DROP(PL!$AD22:$BN22,,-DATEDIFF(PL!CJ$11,val_asOfDate,"M")),1,-12))))</f>
        <v>24</v>
      </c>
      <c r="CK22" s="1461" cm="1">
        <f t="array" ref="CK22">_xlfn.LET(_xlpm.CheckBlank,SUM(PL!$AD22:$BN22)=0,IF(_xlpm.CheckBlank,"",SUM(_xlfn.TAKE(_xlfn.DROP(PL!$AD22:$BN22,,-DATEDIFF(PL!CK$11,val_asOfDate,"M")),1,-12))))</f>
        <v>24</v>
      </c>
      <c r="CL22" s="1169"/>
      <c r="CM22" s="3180">
        <f>SUBTOTAL(9,CM20:CM21)</f>
        <v>2</v>
      </c>
      <c r="CN22" s="3180">
        <f>SUBTOTAL(9,CN20:CN21)</f>
        <v>2</v>
      </c>
      <c r="CO22" s="1169"/>
      <c r="CP22" s="3180">
        <f>SUBTOTAL(9,CP20:CP21)</f>
        <v>2</v>
      </c>
      <c r="CQ22" s="3180">
        <f>SUBTOTAL(9,CQ20:CQ21)</f>
        <v>2</v>
      </c>
      <c r="CR22" s="34"/>
      <c r="CS22" s="2056"/>
      <c r="CT22" s="2085" t="e" cm="1">
        <f t="array" ca="1" aca="1" ref="CT22">IF(K22&lt;&gt;"Yes","",IF(OR(Y22="Select,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III"),"",IF(OR(Y22&lt;&gt;AB22,AND(LEN(B22)=0,NOT(OR(Y22="Select,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III")))),_xldudf_CX_PUSH(Y22,CX_ENTITY,C22,EOMONTH(val_asOfDate,0)),"")))</f>
        <v>#NAME?</v>
      </c>
      <c r="CU22" s="2085" t="e" cm="1">
        <f t="array" ca="1" aca="1" ref="CU22">IF(K22&lt;&gt;"Yes","",IF(OR(Y22="Select,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III"),"",IF(OR(Y22&lt;&gt;AB22,AND(LEN(B22)=0,NOT(OR(Y22="Select,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III")))),_xldudf_CX_PUSH(Y22,CX_ENTITY,C22,EOMONTH(val_asOfDate,1)),"")))</f>
        <v>#NAME?</v>
      </c>
      <c r="CV22" s="2085" t="e" cm="1">
        <f t="array" ca="1" aca="1" ref="CV22">IF(K22&lt;&gt;"Yes","",IF(OR(Y22="Select,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III"),"",IF(OR(Y22&lt;&gt;AB22,AND(LEN(B22)=0,NOT(OR(Y22="Select,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III")))),_xldudf_CX_PUSH(Y22,CX_ENTITY,C22,EOMONTH(val_asOfDate,2)),"")))</f>
        <v>#NAME?</v>
      </c>
      <c r="CW22" s="2085" t="e" cm="1">
        <f t="array" ca="1" aca="1" ref="CW22">IF(K22&lt;&gt;"Yes","",IF(OR(Y22="Select,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III"),"",IF(OR(Y22&lt;&gt;AB22,AND(LEN(B22)=0,NOT(OR(Y22="Select,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III")))),_xldudf_CX_PUSH(Y22,CX_ENTITY,C22,EOMONTH(val_asOfDate,3)),"")))</f>
        <v>#NAME?</v>
      </c>
      <c r="CX22" s="2443"/>
      <c r="CY22" s="2444" t="str" cm="1">
        <f t="array" ca="1" aca="1" ref="CY22">IFERROR(IF(CM22*fxVal_normal=_PL!CM22,"",IF(OR($CM22="",$CM22=0,NOT(ISNUMBER($CM22)),ISERROR($CM22),$B22=""),"",IF($I22=1,IFBLANK(_xldudf_CX_PUSH($CM22*fxVal_normal,CX_ENTITY,$B22,$CM$11,$CM$14,$CM$19,),""),IF($I22=2,IFBLANK(_xldudf_CX_PUSH($CM22,CX_ENTITY,$B22,$CM$11,$CM$14,$CM$19,),""),IF($I22=3,"",IFBLANK(_xldudf_CX_PUSH($CM22,CX_ENTITY,$B22,$CM$11,$CM$14,$CM$19,),"")))))),"")</f>
        <v/>
      </c>
      <c r="CZ22" s="2444" t="str" cm="1">
        <f t="array" ca="1" aca="1" ref="CZ22">IFERROR(IF(CN22*fxVal_normal=_PL!CN22,"",IF(OR($CN22="",$CN22=0,NOT(ISNUMBER($CN22)),ISERROR($CN22),$B22=""),"",IF($I22=1,IFBLANK(_xldudf_CX_PUSH($CN22*fxVal_normal,CX_ENTITY,$B22,$CN$11,$CN$14,$CN$19,),""),IF($I22=2,IFBLANK(_xldudf_CX_PUSH($CN22,CX_ENTITY,$B22,$CN$11,$CN$14,$CN$19,),""),IF($I22=3,"",IFBLANK(_xldudf_CX_PUSH($CN22,CX_ENTITY,$B22,$CN$11,$CN$14,$CN$19,),"")))))),"")</f>
        <v/>
      </c>
      <c r="DA22" s="2444" t="str" cm="1">
        <f t="array" ca="1" aca="1" ref="DA22">IFERROR(IF(CP22*fxVal_normal=_PL!CP22,"",IF(OR($CP22="",$CP22=0,NOT(ISNUMBER($CP22)),ISERROR($CP22),$B22=""),"",IF($I22=1,IFBLANK(_xldudf_CX_PUSH($CP22*fxVal_normal,CX_ENTITY,$B22,$CP$11,$CP$14,$CP$19,),""),IF($I22=2,IFBLANK(_xldudf_CX_PUSH($CP22,CX_ENTITY,$B22,$CP$11,$CP$14,$CP$19,),""),IF($I22=3,"",IFBLANK(_xldudf_CX_PUSH($CP22,CX_ENTITY,$B22,$CP$11,$CP$14,$CP$19,),"")))))),"")</f>
        <v/>
      </c>
      <c r="DB22" s="2444" t="str" cm="1">
        <f t="array" ca="1" aca="1" ref="DB22">IFERROR(IF(CQ22*fxVal_normal=_PL!CQ22,"",IF(OR($CQ22="",$CQ22=0,NOT(ISNUMBER($CQ22)),ISERROR($CQ22),$B22=""),"",IF($I22=1,IFBLANK(_xldudf_CX_PUSH($CQ22*fxVal_normal,CX_ENTITY,$B22,$CQ$11,$CQ$14,$CQ$19,),""),IF($I22=2,IFBLANK(_xldudf_CX_PUSH($CQ22,CX_ENTITY,$B22,$CQ$11,$CQ$14,$CQ$19,),""),IF($I22=3,"",IFBLANK(_xldudf_CX_PUSH($CQ22,CX_ENTITY,$B22,$CQ$11,$CQ$14,$CQ$19,),"")))))),"")</f>
        <v/>
      </c>
      <c r="DC22" s="2443"/>
      <c r="DD22" s="2445" t="str" cm="1">
        <f t="array" ca="1" aca="1" ref="DD22">IFERROR(IF(AD22*fxVal_normal=_PL!AD22,"",IF(OR(AD22="",NOT(ISNUMBER(AD22)),ISERROR(AD22),$B22=""),"",IF($I22=1,IFBLANK(_xldudf_CX_PUSH(AD22*fxVal_normal,CX_ENTITY,$B22,AD$11,AD$14,AD$19,),""),IF($I22=2,IFBLANK(_xldudf_CX_PUSH(AD22,CX_ENTITY,$B22,AD$11,AD$14,AD$19,),""),IF($I22=3,"",IFBLANK(_xldudf_CX_PUSH(AD22,CX_ENTITY,$B22,AD$11,AD$14,AD$19,),"")))))),"")</f>
        <v/>
      </c>
      <c r="DE22" s="2445" t="str" cm="1">
        <f t="array" ca="1" aca="1" ref="DE22">IFERROR(IF(AE22*fxVal_normal=_PL!AE22,"",IF(OR(AE22="",NOT(ISNUMBER(AE22)),ISERROR(AE22),$B22=""),"",IF($I22=1,IFBLANK(_xldudf_CX_PUSH(AE22*fxVal_normal,CX_ENTITY,$B22,AE$11,AE$14,AE$19,),""),IF($I22=2,IFBLANK(_xldudf_CX_PUSH(AE22,CX_ENTITY,$B22,AE$11,AE$14,AE$19,),""),IF($I22=3,"",IFBLANK(_xldudf_CX_PUSH(AE22,CX_ENTITY,$B22,AE$11,AE$14,AE$19,),"")))))),"")</f>
        <v/>
      </c>
      <c r="DF22" s="2445" t="str" cm="1">
        <f t="array" ca="1" aca="1" ref="DF22">IFERROR(IF(AF22*fxVal_normal=_PL!AF22,"",IF(OR(AF22="",NOT(ISNUMBER(AF22)),ISERROR(AF22),$B22=""),"",IF($I22=1,IFBLANK(_xldudf_CX_PUSH(AF22*fxVal_normal,CX_ENTITY,$B22,AF$11,AF$14,AF$19,),""),IF($I22=2,IFBLANK(_xldudf_CX_PUSH(AF22,CX_ENTITY,$B22,AF$11,AF$14,AF$19,),""),IF($I22=3,"",IFBLANK(_xldudf_CX_PUSH(AF22,CX_ENTITY,$B22,AF$11,AF$14,AF$19,),"")))))),"")</f>
        <v/>
      </c>
      <c r="DG22" s="2445" t="str" cm="1">
        <f t="array" ca="1" aca="1" ref="DG22">IFERROR(IF(AG22*fxVal_normal=_PL!AG22,"",IF(OR(AG22="",NOT(ISNUMBER(AG22)),ISERROR(AG22),$B22=""),"",IF($I22=1,IFBLANK(_xldudf_CX_PUSH(AG22*fxVal_normal,CX_ENTITY,$B22,AG$11,AG$14,AG$19,),""),IF($I22=2,IFBLANK(_xldudf_CX_PUSH(AG22,CX_ENTITY,$B22,AG$11,AG$14,AG$19,),""),IF($I22=3,"",IFBLANK(_xldudf_CX_PUSH(AG22,CX_ENTITY,$B22,AG$11,AG$14,AG$19,),"")))))),"")</f>
        <v/>
      </c>
      <c r="DH22" s="2445" t="str" cm="1">
        <f t="array" ca="1" aca="1" ref="DH22">IFERROR(IF(AH22*fxVal_normal=_PL!AH22,"",IF(OR(AH22="",NOT(ISNUMBER(AH22)),ISERROR(AH22),$B22=""),"",IF($I22=1,IFBLANK(_xldudf_CX_PUSH(AH22*fxVal_normal,CX_ENTITY,$B22,AH$11,AH$14,AH$19,),""),IF($I22=2,IFBLANK(_xldudf_CX_PUSH(AH22,CX_ENTITY,$B22,AH$11,AH$14,AH$19,),""),IF($I22=3,"",IFBLANK(_xldudf_CX_PUSH(AH22,CX_ENTITY,$B22,AH$11,AH$14,AH$19,),"")))))),"")</f>
        <v/>
      </c>
      <c r="DI22" s="2445" t="str" cm="1">
        <f t="array" ca="1" aca="1" ref="DI22">IFERROR(IF(AI22*fxVal_normal=_PL!AI22,"",IF(OR(AI22="",NOT(ISNUMBER(AI22)),ISERROR(AI22),$B22=""),"",IF($I22=1,IFBLANK(_xldudf_CX_PUSH(AI22*fxVal_normal,CX_ENTITY,$B22,AI$11,AI$14,AI$19,),""),IF($I22=2,IFBLANK(_xldudf_CX_PUSH(AI22,CX_ENTITY,$B22,AI$11,AI$14,AI$19,),""),IF($I22=3,"",IFBLANK(_xldudf_CX_PUSH(AI22,CX_ENTITY,$B22,AI$11,AI$14,AI$19,),"")))))),"")</f>
        <v/>
      </c>
      <c r="DJ22" s="2445" t="str" cm="1">
        <f t="array" ca="1" aca="1" ref="DJ22">IFERROR(IF(AJ22*fxVal_normal=_PL!AJ22,"",IF(OR(AJ22="",NOT(ISNUMBER(AJ22)),ISERROR(AJ22),$B22=""),"",IF($I22=1,IFBLANK(_xldudf_CX_PUSH(AJ22*fxVal_normal,CX_ENTITY,$B22,AJ$11,AJ$14,AJ$19,),""),IF($I22=2,IFBLANK(_xldudf_CX_PUSH(AJ22,CX_ENTITY,$B22,AJ$11,AJ$14,AJ$19,),""),IF($I22=3,"",IFBLANK(_xldudf_CX_PUSH(AJ22,CX_ENTITY,$B22,AJ$11,AJ$14,AJ$19,),"")))))),"")</f>
        <v/>
      </c>
      <c r="DK22" s="2445" t="str" cm="1">
        <f t="array" ca="1" aca="1" ref="DK22">IFERROR(IF(AK22*fxVal_normal=_PL!AK22,"",IF(OR(AK22="",NOT(ISNUMBER(AK22)),ISERROR(AK22),$B22=""),"",IF($I22=1,IFBLANK(_xldudf_CX_PUSH(AK22*fxVal_normal,CX_ENTITY,$B22,AK$11,AK$14,AK$19,),""),IF($I22=2,IFBLANK(_xldudf_CX_PUSH(AK22,CX_ENTITY,$B22,AK$11,AK$14,AK$19,),""),IF($I22=3,"",IFBLANK(_xldudf_CX_PUSH(AK22,CX_ENTITY,$B22,AK$11,AK$14,AK$19,),"")))))),"")</f>
        <v/>
      </c>
      <c r="DL22" s="2445" t="str" cm="1">
        <f t="array" ca="1" aca="1" ref="DL22">IFERROR(IF(AL22*fxVal_normal=_PL!AL22,"",IF(OR(AL22="",NOT(ISNUMBER(AL22)),ISERROR(AL22),$B22=""),"",IF($I22=1,IFBLANK(_xldudf_CX_PUSH(AL22*fxVal_normal,CX_ENTITY,$B22,AL$11,AL$14,AL$19,),""),IF($I22=2,IFBLANK(_xldudf_CX_PUSH(AL22,CX_ENTITY,$B22,AL$11,AL$14,AL$19,),""),IF($I22=3,"",IFBLANK(_xldudf_CX_PUSH(AL22,CX_ENTITY,$B22,AL$11,AL$14,AL$19,),"")))))),"")</f>
        <v/>
      </c>
      <c r="DM22" s="2445" t="str" cm="1">
        <f t="array" ca="1" aca="1" ref="DM22">IFERROR(IF(AM22*fxVal_normal=_PL!AM22,"",IF(OR(AM22="",NOT(ISNUMBER(AM22)),ISERROR(AM22),$B22=""),"",IF($I22=1,IFBLANK(_xldudf_CX_PUSH(AM22*fxVal_normal,CX_ENTITY,$B22,AM$11,AM$14,AM$19,),""),IF($I22=2,IFBLANK(_xldudf_CX_PUSH(AM22,CX_ENTITY,$B22,AM$11,AM$14,AM$19,),""),IF($I22=3,"",IFBLANK(_xldudf_CX_PUSH(AM22,CX_ENTITY,$B22,AM$11,AM$14,AM$19,),"")))))),"")</f>
        <v/>
      </c>
      <c r="DN22" s="2445" t="str" cm="1">
        <f t="array" ca="1" aca="1" ref="DN22">IFERROR(IF(AN22*fxVal_normal=_PL!AN22,"",IF(OR(AN22="",NOT(ISNUMBER(AN22)),ISERROR(AN22),$B22=""),"",IF($I22=1,IFBLANK(_xldudf_CX_PUSH(AN22*fxVal_normal,CX_ENTITY,$B22,AN$11,AN$14,AN$19,),""),IF($I22=2,IFBLANK(_xldudf_CX_PUSH(AN22,CX_ENTITY,$B22,AN$11,AN$14,AN$19,),""),IF($I22=3,"",IFBLANK(_xldudf_CX_PUSH(AN22,CX_ENTITY,$B22,AN$11,AN$14,AN$19,),"")))))),"")</f>
        <v/>
      </c>
      <c r="DO22" s="2445" t="str" cm="1">
        <f t="array" ca="1" aca="1" ref="DO22">IFERROR(IF(AO22*fxVal_normal=_PL!AO22,"",IF(OR(AO22="",NOT(ISNUMBER(AO22)),ISERROR(AO22),$B22=""),"",IF($I22=1,IFBLANK(_xldudf_CX_PUSH(AO22*fxVal_normal,CX_ENTITY,$B22,AO$11,AO$14,AO$19,),""),IF($I22=2,IFBLANK(_xldudf_CX_PUSH(AO22,CX_ENTITY,$B22,AO$11,AO$14,AO$19,),""),IF($I22=3,"",IFBLANK(_xldudf_CX_PUSH(AO22,CX_ENTITY,$B22,AO$11,AO$14,AO$19,),"")))))),"")</f>
        <v/>
      </c>
      <c r="DP22" s="2445" t="str" cm="1">
        <f t="array" ca="1" aca="1" ref="DP22">IFERROR(IF(AP22*fxVal_normal=_PL!AP22,"",IF(OR(AP22="",NOT(ISNUMBER(AP22)),ISERROR(AP22),$B22=""),"",IF($I22=1,IFBLANK(_xldudf_CX_PUSH(AP22*fxVal_normal,CX_ENTITY,$B22,AP$11,AP$14,AP$19,),""),IF($I22=2,IFBLANK(_xldudf_CX_PUSH(AP22,CX_ENTITY,$B22,AP$11,AP$14,AP$19,),""),IF($I22=3,"",IFBLANK(_xldudf_CX_PUSH(AP22,CX_ENTITY,$B22,AP$11,AP$14,AP$19,),"")))))),"")</f>
        <v/>
      </c>
      <c r="DQ22" s="2445" t="str" cm="1">
        <f t="array" ca="1" aca="1" ref="DQ22">IFERROR(IF(AQ22*fxVal_normal=_PL!AQ22,"",IF(OR(AQ22="",NOT(ISNUMBER(AQ22)),ISERROR(AQ22),$B22=""),"",IF($I22=1,IFBLANK(_xldudf_CX_PUSH(AQ22*fxVal_normal,CX_ENTITY,$B22,AQ$11,AQ$14,AQ$19,),""),IF($I22=2,IFBLANK(_xldudf_CX_PUSH(AQ22,CX_ENTITY,$B22,AQ$11,AQ$14,AQ$19,),""),IF($I22=3,"",IFBLANK(_xldudf_CX_PUSH(AQ22,CX_ENTITY,$B22,AQ$11,AQ$14,AQ$19,),"")))))),"")</f>
        <v/>
      </c>
      <c r="DR22" s="2445" t="str" cm="1">
        <f t="array" ca="1" aca="1" ref="DR22">IFERROR(IF(AR22*fxVal_normal=_PL!AR22,"",IF(OR(AR22="",NOT(ISNUMBER(AR22)),ISERROR(AR22),$B22=""),"",IF($I22=1,IFBLANK(_xldudf_CX_PUSH(AR22*fxVal_normal,CX_ENTITY,$B22,AR$11,AR$14,AR$19,),""),IF($I22=2,IFBLANK(_xldudf_CX_PUSH(AR22,CX_ENTITY,$B22,AR$11,AR$14,AR$19,),""),IF($I22=3,"",IFBLANK(_xldudf_CX_PUSH(AR22,CX_ENTITY,$B22,AR$11,AR$14,AR$19,),"")))))),"")</f>
        <v/>
      </c>
      <c r="DS22" s="2445" t="str" cm="1">
        <f t="array" ca="1" aca="1" ref="DS22">IFERROR(IF(AS22*fxVal_normal=_PL!AS22,"",IF(OR(AS22="",NOT(ISNUMBER(AS22)),ISERROR(AS22),$B22=""),"",IF($I22=1,IFBLANK(_xldudf_CX_PUSH(AS22*fxVal_normal,CX_ENTITY,$B22,AS$11,AS$14,AS$19,),""),IF($I22=2,IFBLANK(_xldudf_CX_PUSH(AS22,CX_ENTITY,$B22,AS$11,AS$14,AS$19,),""),IF($I22=3,"",IFBLANK(_xldudf_CX_PUSH(AS22,CX_ENTITY,$B22,AS$11,AS$14,AS$19,),"")))))),"")</f>
        <v/>
      </c>
      <c r="DT22" s="2445" t="str" cm="1">
        <f t="array" ca="1" aca="1" ref="DT22">IFERROR(IF(AT22*fxVal_normal=_PL!AT22,"",IF(OR(AT22="",NOT(ISNUMBER(AT22)),ISERROR(AT22),$B22=""),"",IF($I22=1,IFBLANK(_xldudf_CX_PUSH(AT22*fxVal_normal,CX_ENTITY,$B22,AT$11,AT$14,AT$19,),""),IF($I22=2,IFBLANK(_xldudf_CX_PUSH(AT22,CX_ENTITY,$B22,AT$11,AT$14,AT$19,),""),IF($I22=3,"",IFBLANK(_xldudf_CX_PUSH(AT22,CX_ENTITY,$B22,AT$11,AT$14,AT$19,),"")))))),"")</f>
        <v/>
      </c>
      <c r="DU22" s="2445" t="str" cm="1">
        <f t="array" ca="1" aca="1" ref="DU22">IFERROR(IF(AU22*fxVal_normal=_PL!AU22,"",IF(OR(AU22="",NOT(ISNUMBER(AU22)),ISERROR(AU22),$B22=""),"",IF($I22=1,IFBLANK(_xldudf_CX_PUSH(AU22*fxVal_normal,CX_ENTITY,$B22,AU$11,AU$14,AU$19,),""),IF($I22=2,IFBLANK(_xldudf_CX_PUSH(AU22,CX_ENTITY,$B22,AU$11,AU$14,AU$19,),""),IF($I22=3,"",IFBLANK(_xldudf_CX_PUSH(AU22,CX_ENTITY,$B22,AU$11,AU$14,AU$19,),"")))))),"")</f>
        <v/>
      </c>
      <c r="DV22" s="2445" t="str" cm="1">
        <f t="array" ca="1" aca="1" ref="DV22">IFERROR(IF(AV22*fxVal_normal=_PL!AV22,"",IF(OR(AV22="",NOT(ISNUMBER(AV22)),ISERROR(AV22),$B22=""),"",IF($I22=1,IFBLANK(_xldudf_CX_PUSH(AV22*fxVal_normal,CX_ENTITY,$B22,AV$11,AV$14,AV$19,),""),IF($I22=2,IFBLANK(_xldudf_CX_PUSH(AV22,CX_ENTITY,$B22,AV$11,AV$14,AV$19,),""),IF($I22=3,"",IFBLANK(_xldudf_CX_PUSH(AV22,CX_ENTITY,$B22,AV$11,AV$14,AV$19,),"")))))),"")</f>
        <v/>
      </c>
      <c r="DW22" s="2445" t="str" cm="1">
        <f t="array" ca="1" aca="1" ref="DW22">IFERROR(IF(AW22*fxVal_normal=_PL!AW22,"",IF(OR(AW22="",NOT(ISNUMBER(AW22)),ISERROR(AW22),$B22=""),"",IF($I22=1,IFBLANK(_xldudf_CX_PUSH(AW22*fxVal_normal,CX_ENTITY,$B22,AW$11,AW$14,AW$19,),""),IF($I22=2,IFBLANK(_xldudf_CX_PUSH(AW22,CX_ENTITY,$B22,AW$11,AW$14,AW$19,),""),IF($I22=3,"",IFBLANK(_xldudf_CX_PUSH(AW22,CX_ENTITY,$B22,AW$11,AW$14,AW$19,),"")))))),"")</f>
        <v/>
      </c>
      <c r="DX22" s="2445" t="str" cm="1">
        <f t="array" ca="1" aca="1" ref="DX22">IFERROR(IF(AX22*fxVal_normal=_PL!AX22,"",IF(OR(AX22="",NOT(ISNUMBER(AX22)),ISERROR(AX22),$B22=""),"",IF($I22=1,IFBLANK(_xldudf_CX_PUSH(AX22*fxVal_normal,CX_ENTITY,$B22,AX$11,AX$14,AX$19,),""),IF($I22=2,IFBLANK(_xldudf_CX_PUSH(AX22,CX_ENTITY,$B22,AX$11,AX$14,AX$19,),""),IF($I22=3,"",IFBLANK(_xldudf_CX_PUSH(AX22,CX_ENTITY,$B22,AX$11,AX$14,AX$19,),"")))))),"")</f>
        <v/>
      </c>
      <c r="DY22" s="2445" t="str" cm="1">
        <f t="array" ca="1" aca="1" ref="DY22">IFERROR(IF(AY22*fxVal_normal=_PL!AY22,"",IF(OR(AY22="",NOT(ISNUMBER(AY22)),ISERROR(AY22),$B22=""),"",IF($I22=1,IFBLANK(_xldudf_CX_PUSH(AY22*fxVal_normal,CX_ENTITY,$B22,AY$11,AY$14,AY$19,),""),IF($I22=2,IFBLANK(_xldudf_CX_PUSH(AY22,CX_ENTITY,$B22,AY$11,AY$14,AY$19,),""),IF($I22=3,"",IFBLANK(_xldudf_CX_PUSH(AY22,CX_ENTITY,$B22,AY$11,AY$14,AY$19,),"")))))),"")</f>
        <v/>
      </c>
      <c r="DZ22" s="2445" t="str" cm="1">
        <f t="array" ca="1" aca="1" ref="DZ22">IFERROR(IF(AZ22*fxVal_normal=_PL!AZ22,"",IF(OR(AZ22="",NOT(ISNUMBER(AZ22)),ISERROR(AZ22),$B22=""),"",IF($I22=1,IFBLANK(_xldudf_CX_PUSH(AZ22*fxVal_normal,CX_ENTITY,$B22,AZ$11,AZ$14,AZ$19,),""),IF($I22=2,IFBLANK(_xldudf_CX_PUSH(AZ22,CX_ENTITY,$B22,AZ$11,AZ$14,AZ$19,),""),IF($I22=3,"",IFBLANK(_xldudf_CX_PUSH(AZ22,CX_ENTITY,$B22,AZ$11,AZ$14,AZ$19,),"")))))),"")</f>
        <v/>
      </c>
      <c r="EA22" s="2445" t="str" cm="1">
        <f t="array" ca="1" aca="1" ref="EA22">IFERROR(IF(BA22*fxVal_normal=_PL!BA22,"",IF(OR(BA22="",NOT(ISNUMBER(BA22)),ISERROR(BA22),$B22=""),"",IF($I22=1,IFBLANK(_xldudf_CX_PUSH(BA22*fxVal_normal,CX_ENTITY,$B22,BA$11,BA$14,BA$19,),""),IF($I22=2,IFBLANK(_xldudf_CX_PUSH(BA22,CX_ENTITY,$B22,BA$11,BA$14,BA$19,),""),IF($I22=3,"",IFBLANK(_xldudf_CX_PUSH(BA22,CX_ENTITY,$B22,BA$11,BA$14,BA$19,),"")))))),"")</f>
        <v/>
      </c>
      <c r="EB22" s="2445" t="str" cm="1">
        <f t="array" ca="1" aca="1" ref="EB22">IFERROR(IF(BB22*fxVal_normal=_PL!BB22,"",IF(OR(BB22="",NOT(ISNUMBER(BB22)),ISERROR(BB22),$B22=""),"",IF($I22=1,IFBLANK(_xldudf_CX_PUSH(BB22*fxVal_normal,CX_ENTITY,$B22,BB$11,BB$14,BB$19,),""),IF($I22=2,IFBLANK(_xldudf_CX_PUSH(BB22,CX_ENTITY,$B22,BB$11,BB$14,BB$19,),""),IF($I22=3,"",IFBLANK(_xldudf_CX_PUSH(BB22,CX_ENTITY,$B22,BB$11,BB$14,BB$19,),"")))))),"")</f>
        <v/>
      </c>
      <c r="EC22" s="2445" t="str" cm="1">
        <f t="array" ca="1" aca="1" ref="EC22">IFERROR(IF(BC22*fxVal_normal=_PL!BC22,"",IF(OR(BC22="",NOT(ISNUMBER(BC22)),ISERROR(BC22),$B22=""),"",IF($I22=1,IFBLANK(_xldudf_CX_PUSH(BC22*fxVal_normal,CX_ENTITY,$B22,BC$11,BC$14,BC$19,),""),IF($I22=2,IFBLANK(_xldudf_CX_PUSH(BC22,CX_ENTITY,$B22,BC$11,BC$14,BC$19,),""),IF($I22=3,"",IFBLANK(_xldudf_CX_PUSH(BC22,CX_ENTITY,$B22,BC$11,BC$14,BC$19,),"")))))),"")</f>
        <v/>
      </c>
      <c r="ED22" s="2445" t="str" cm="1">
        <f t="array" ca="1" aca="1" ref="ED22">IFERROR(IF(BD22*fxVal_normal=_PL!BD22,"",IF(OR(BD22="",NOT(ISNUMBER(BD22)),ISERROR(BD22),$B22=""),"",IF($I22=1,IFBLANK(_xldudf_CX_PUSH(BD22*fxVal_normal,CX_ENTITY,$B22,BD$11,BD$14,BD$19,),""),IF($I22=2,IFBLANK(_xldudf_CX_PUSH(BD22,CX_ENTITY,$B22,BD$11,BD$14,BD$19,),""),IF($I22=3,"",IFBLANK(_xldudf_CX_PUSH(BD22,CX_ENTITY,$B22,BD$11,BD$14,BD$19,),"")))))),"")</f>
        <v/>
      </c>
      <c r="EE22" s="2445" t="str" cm="1">
        <f t="array" ca="1" aca="1" ref="EE22">IFERROR(IF(BE22*fxVal_normal=_PL!BE22,"",IF(OR(BE22="",NOT(ISNUMBER(BE22)),ISERROR(BE22),$B22=""),"",IF($I22=1,IFBLANK(_xldudf_CX_PUSH(BE22*fxVal_normal,CX_ENTITY,$B22,BE$11,BE$14,BE$19,),""),IF($I22=2,IFBLANK(_xldudf_CX_PUSH(BE22,CX_ENTITY,$B22,BE$11,BE$14,BE$19,),""),IF($I22=3,"",IFBLANK(_xldudf_CX_PUSH(BE22,CX_ENTITY,$B22,BE$11,BE$14,BE$19,),"")))))),"")</f>
        <v/>
      </c>
      <c r="EF22" s="2445" t="str" cm="1">
        <f t="array" ca="1" aca="1" ref="EF22">IFERROR(IF(BF22*fxVal_normal=_PL!BF22,"",IF(OR(BF22="",NOT(ISNUMBER(BF22)),ISERROR(BF22),$B22=""),"",IF($I22=1,IFBLANK(_xldudf_CX_PUSH(BF22*fxVal_normal,CX_ENTITY,$B22,BF$11,BF$14,BF$19,),""),IF($I22=2,IFBLANK(_xldudf_CX_PUSH(BF22,CX_ENTITY,$B22,BF$11,BF$14,BF$19,),""),IF($I22=3,"",IFBLANK(_xldudf_CX_PUSH(BF22,CX_ENTITY,$B22,BF$11,BF$14,BF$19,),"")))))),"")</f>
        <v/>
      </c>
      <c r="EG22" s="2445" t="str" cm="1">
        <f t="array" ca="1" aca="1" ref="EG22">IFERROR(IF(BG22*fxVal_normal=_PL!BG22,"",IF(OR(BG22="",NOT(ISNUMBER(BG22)),ISERROR(BG22),$B22=""),"",IF($I22=1,IFBLANK(_xldudf_CX_PUSH(BG22*fxVal_normal,CX_ENTITY,$B22,BG$11,BG$14,BG$19,),""),IF($I22=2,IFBLANK(_xldudf_CX_PUSH(BG22,CX_ENTITY,$B22,BG$11,BG$14,BG$19,),""),IF($I22=3,"",IFBLANK(_xldudf_CX_PUSH(BG22,CX_ENTITY,$B22,BG$11,BG$14,BG$19,),"")))))),"")</f>
        <v/>
      </c>
      <c r="EH22" s="2445" t="str" cm="1">
        <f t="array" ca="1" aca="1" ref="EH22">IFERROR(IF(BH22*fxVal_normal=_PL!BH22,"",IF(OR(BH22="",NOT(ISNUMBER(BH22)),ISERROR(BH22),$B22=""),"",IF($I22=1,IFBLANK(_xldudf_CX_PUSH(BH22*fxVal_normal,CX_ENTITY,$B22,BH$11,BH$14,BH$19,),""),IF($I22=2,IFBLANK(_xldudf_CX_PUSH(BH22,CX_ENTITY,$B22,BH$11,BH$14,BH$19,),""),IF($I22=3,"",IFBLANK(_xldudf_CX_PUSH(BH22,CX_ENTITY,$B22,BH$11,BH$14,BH$19,),"")))))),"")</f>
        <v/>
      </c>
      <c r="EI22" s="2445" t="str" cm="1">
        <f t="array" ca="1" aca="1" ref="EI22">IFERROR(IF(BI22*fxVal_normal=_PL!BI22,"",IF(OR(BI22="",NOT(ISNUMBER(BI22)),ISERROR(BI22),$B22=""),"",IF($I22=1,IFBLANK(_xldudf_CX_PUSH(BI22*fxVal_normal,CX_ENTITY,$B22,BI$11,BI$14,BI$19,),""),IF($I22=2,IFBLANK(_xldudf_CX_PUSH(BI22,CX_ENTITY,$B22,BI$11,BI$14,BI$19,),""),IF($I22=3,"",IFBLANK(_xldudf_CX_PUSH(BI22,CX_ENTITY,$B22,BI$11,BI$14,BI$19,),"")))))),"")</f>
        <v/>
      </c>
      <c r="EJ22" s="2445" t="str" cm="1">
        <f t="array" ca="1" aca="1" ref="EJ22">IFERROR(IF(BJ22*fxVal_normal=_PL!BJ22,"",IF(OR(BJ22="",NOT(ISNUMBER(BJ22)),ISERROR(BJ22),$B22=""),"",IF($I22=1,IFBLANK(_xldudf_CX_PUSH(BJ22*fxVal_normal,CX_ENTITY,$B22,BJ$11,BJ$14,BJ$19,),""),IF($I22=2,IFBLANK(_xldudf_CX_PUSH(BJ22,CX_ENTITY,$B22,BJ$11,BJ$14,BJ$19,),""),IF($I22=3,"",IFBLANK(_xldudf_CX_PUSH(BJ22,CX_ENTITY,$B22,BJ$11,BJ$14,BJ$19,),"")))))),"")</f>
        <v/>
      </c>
      <c r="EK22" s="2445" t="str" cm="1">
        <f t="array" ca="1" aca="1" ref="EK22">IFERROR(IF(BK22*fxVal_normal=_PL!BK22,"",IF(OR(BK22="",NOT(ISNUMBER(BK22)),ISERROR(BK22),$B22=""),"",IF($I22=1,IFBLANK(_xldudf_CX_PUSH(BK22*fxVal_normal,CX_ENTITY,$B22,BK$11,BK$14,BK$19,),""),IF($I22=2,IFBLANK(_xldudf_CX_PUSH(BK22,CX_ENTITY,$B22,BK$11,BK$14,BK$19,),""),IF($I22=3,"",IFBLANK(_xldudf_CX_PUSH(BK22,CX_ENTITY,$B22,BK$11,BK$14,BK$19,),"")))))),"")</f>
        <v/>
      </c>
      <c r="EL22" s="2445" t="str" cm="1">
        <f t="array" ca="1" aca="1" ref="EL22">IFERROR(IF(BL22*fxVal_normal=_PL!BL22,"",IF(OR(BL22="",NOT(ISNUMBER(BL22)),ISERROR(BL22),$B22=""),"",IF($I22=1,IFBLANK(_xldudf_CX_PUSH(BL22*fxVal_normal,CX_ENTITY,$B22,BL$11,BL$14,BL$19,),""),IF($I22=2,IFBLANK(_xldudf_CX_PUSH(BL22,CX_ENTITY,$B22,BL$11,BL$14,BL$19,),""),IF($I22=3,"",IFBLANK(_xldudf_CX_PUSH(BL22,CX_ENTITY,$B22,BL$11,BL$14,BL$19,),"")))))),"")</f>
        <v/>
      </c>
      <c r="EM22" s="2445" t="str" cm="1">
        <f t="array" ca="1" aca="1" ref="EM22">IFERROR(IF(BM22*fxVal_normal=_PL!BM22,"",IF(OR(BM22="",NOT(ISNUMBER(BM22)),ISERROR(BM22),$B22=""),"",IF($I22=1,IFBLANK(_xldudf_CX_PUSH(BM22*fxVal_normal,CX_ENTITY,$B22,BM$11,BM$14,BM$19,),""),IF($I22=2,IFBLANK(_xldudf_CX_PUSH(BM22,CX_ENTITY,$B22,BM$11,BM$14,BM$19,),""),IF($I22=3,"",IFBLANK(_xldudf_CX_PUSH(BM22,CX_ENTITY,$B22,BM$11,BM$14,BM$19,),"")))))),"")</f>
        <v/>
      </c>
      <c r="EN22" s="2445" t="str" cm="1">
        <f t="array" ca="1" aca="1" ref="EN22">IFERROR(IF(BN22*fxVal_normal=_PL!BN22,"",IF(OR(BN22="",NOT(ISNUMBER(BN22)),ISERROR(BN22),$B22=""),"",IF($I22=1,IFBLANK(_xldudf_CX_PUSH(BN22*fxVal_normal,CX_ENTITY,$B22,BN$11,BN$14,BN$19,),""),IF($I22=2,IFBLANK(_xldudf_CX_PUSH(BN22,CX_ENTITY,$B22,BN$11,BN$14,BN$19,),""),IF($I22=3,"",IFBLANK(_xldudf_CX_PUSH(BN22,CX_ENTITY,$B22,BN$11,BN$14,BN$19,),"")))))),"")</f>
        <v/>
      </c>
    </row>
    <row r="23" spans="1:144" ht="21" customHeight="1">
      <c r="A23" s="1625"/>
      <c r="B23" s="2439" t="str">
        <f ca="1">_xlfn.LET(_xlpm.IsNotAttrDynamic,D23="",_xlpm.Attr,_PL!F23,_xlpm.NotInUse,Y23=D23,_xlpm.RESULT,IF(_xlpm.IsNotAttrDynamic,_xlpm.Attr,IF(_xlpm.NotInUse,"",Y23)),IF(_xlpm.RESULT="","",_xlpm.RESULT))</f>
        <v>Gross Margin %</v>
      </c>
      <c r="C23" s="2439" t="str" cm="1">
        <f t="array" ref="C23">IFBLANK(_PL!C23,"")</f>
        <v>Gross Margin % (Company View)</v>
      </c>
      <c r="D23" s="1548"/>
      <c r="E23" s="2440" t="e" cm="1">
        <f t="array" ca="1" aca="1" ref="E2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CQ23,Z23)</f>
        <v>#NAME?</v>
      </c>
      <c r="F23" s="1897"/>
      <c r="G23" s="1897"/>
      <c r="H23" s="3279">
        <v>2</v>
      </c>
      <c r="I23" s="3279">
        <v>2</v>
      </c>
      <c r="J23" s="401" cm="1">
        <f t="array" ref="J23">IFBLANK(Z23,"")</f>
        <v>0</v>
      </c>
      <c r="K23" s="578" t="str">
        <f t="shared" si="3"/>
        <v>Yes</v>
      </c>
      <c r="L23" s="37"/>
      <c r="N23" s="158"/>
      <c r="O23" s="101"/>
      <c r="P23" s="52"/>
      <c r="Q23" s="101"/>
      <c r="R23" s="126"/>
      <c r="S23" s="101"/>
      <c r="T23" s="101"/>
      <c r="U23" s="39"/>
      <c r="V23" s="37"/>
      <c r="W23" s="91" t="str">
        <f t="shared" si="4"/>
        <v>Actual</v>
      </c>
      <c r="X23" s="2081">
        <f>_PL!X23</f>
        <v>0</v>
      </c>
      <c r="Y23" s="1196" t="e">
        <f ca="1">IF(_PL!Y23="Error","",_PL!Y23)</f>
        <v>#NAME?</v>
      </c>
      <c r="Z23" s="198" cm="1">
        <f t="array" ref="Z23">_xlfn.SWITCH(TRUE,_PL!$L23=TRUE,1,_PL!$L23=FALSE,-1,_PL!$L23=-1,0,"")</f>
        <v>0</v>
      </c>
      <c r="AA23" s="200"/>
      <c r="AB23" s="301" t="str">
        <f>_PL!AB23</f>
        <v>Gross Margin %</v>
      </c>
      <c r="AC23" s="275" t="str" cm="1">
        <f t="array" ca="1" aca="1" ref="AC23">_xlfn.LET(_xlpm._termname,$AB23,_xlpm._iconname,"find",_xlpm._icon,fx_getIcon(_xlpm._iconname),_xlpm._location,_xlfn.XLOOKUP(LOWER(_xlpm._termname),LOWER(tbl_acctDef[Term]),tbl_acctDef[Term]),_xlpm._hyperlink,HYPERLINK("#"&amp;CELL("address",_xlpm._location),_xlpm._icon),IFERROR(_xlpm._hyperlink,""))</f>
        <v/>
      </c>
      <c r="AD23" s="3178">
        <f t="shared" si="6" ref="AD23:BN23">IF(N(AD20)&lt;&gt;0,N(AD22)/N(AD20),"n/a")</f>
        <v>2</v>
      </c>
      <c r="AE23" s="3179">
        <f t="shared" si="6"/>
        <v>2</v>
      </c>
      <c r="AF23" s="3179">
        <f t="shared" si="6"/>
        <v>2</v>
      </c>
      <c r="AG23" s="3179">
        <f t="shared" si="6"/>
        <v>2</v>
      </c>
      <c r="AH23" s="3179">
        <f t="shared" si="6"/>
        <v>2</v>
      </c>
      <c r="AI23" s="3179">
        <f t="shared" si="6"/>
        <v>2</v>
      </c>
      <c r="AJ23" s="3179">
        <f t="shared" si="6"/>
        <v>2</v>
      </c>
      <c r="AK23" s="3179">
        <f t="shared" si="6"/>
        <v>2</v>
      </c>
      <c r="AL23" s="3179">
        <f t="shared" si="6"/>
        <v>2</v>
      </c>
      <c r="AM23" s="3179">
        <f t="shared" si="6"/>
        <v>2</v>
      </c>
      <c r="AN23" s="3179">
        <f t="shared" si="6"/>
        <v>2</v>
      </c>
      <c r="AO23" s="3179">
        <f t="shared" si="6"/>
        <v>2</v>
      </c>
      <c r="AP23" s="3179">
        <f t="shared" si="6"/>
        <v>2</v>
      </c>
      <c r="AQ23" s="3179">
        <f t="shared" si="6"/>
        <v>2</v>
      </c>
      <c r="AR23" s="3179">
        <f t="shared" si="6"/>
        <v>2</v>
      </c>
      <c r="AS23" s="3179">
        <f t="shared" si="6"/>
        <v>2</v>
      </c>
      <c r="AT23" s="3179">
        <f t="shared" si="6"/>
        <v>2</v>
      </c>
      <c r="AU23" s="3179">
        <f t="shared" si="6"/>
        <v>2</v>
      </c>
      <c r="AV23" s="3179">
        <f t="shared" si="6"/>
        <v>2</v>
      </c>
      <c r="AW23" s="3179">
        <f t="shared" si="6"/>
        <v>2</v>
      </c>
      <c r="AX23" s="3179">
        <f t="shared" si="6"/>
        <v>2</v>
      </c>
      <c r="AY23" s="3179">
        <f t="shared" si="6"/>
        <v>2</v>
      </c>
      <c r="AZ23" s="3179">
        <f t="shared" si="6"/>
        <v>2</v>
      </c>
      <c r="BA23" s="3179">
        <f t="shared" si="6"/>
        <v>2</v>
      </c>
      <c r="BB23" s="3179">
        <f t="shared" si="6"/>
        <v>2</v>
      </c>
      <c r="BC23" s="3179">
        <f t="shared" si="6"/>
        <v>2</v>
      </c>
      <c r="BD23" s="3179">
        <f t="shared" si="6"/>
        <v>2</v>
      </c>
      <c r="BE23" s="3179">
        <f t="shared" si="6"/>
        <v>2</v>
      </c>
      <c r="BF23" s="3179">
        <f t="shared" si="6"/>
        <v>2</v>
      </c>
      <c r="BG23" s="3179">
        <f t="shared" si="6"/>
        <v>2</v>
      </c>
      <c r="BH23" s="3179">
        <f t="shared" si="6"/>
        <v>2</v>
      </c>
      <c r="BI23" s="3179">
        <f t="shared" si="6"/>
        <v>2</v>
      </c>
      <c r="BJ23" s="3179">
        <f t="shared" si="6"/>
        <v>2</v>
      </c>
      <c r="BK23" s="3179">
        <f t="shared" si="6"/>
        <v>2</v>
      </c>
      <c r="BL23" s="3179">
        <f t="shared" si="6"/>
        <v>2</v>
      </c>
      <c r="BM23" s="3179">
        <f t="shared" si="6"/>
        <v>2</v>
      </c>
      <c r="BN23" s="3179">
        <f t="shared" si="6"/>
        <v>2</v>
      </c>
      <c r="BO23" s="2096"/>
      <c r="BP23" s="2096"/>
      <c r="BQ23" s="2096"/>
      <c r="BR23" s="2096"/>
      <c r="BS23" s="2096"/>
      <c r="BT23" s="2096"/>
      <c r="BU23" s="2096"/>
      <c r="BV23" s="2096"/>
      <c r="BW23" s="2096"/>
      <c r="BX23" s="2096"/>
      <c r="BY23" s="2096"/>
      <c r="BZ23" s="2096"/>
      <c r="CA23" s="34"/>
      <c r="CC23" s="33"/>
      <c r="CD23" s="1210" t="e">
        <f ca="1">IF(N(CD20)&lt;&gt;0,N(CD22)/N(CD20),"n/a")</f>
        <v>#NAME?</v>
      </c>
      <c r="CE23" s="1210" t="e">
        <f ca="1">IF(N(CE20)&lt;&gt;0,N(CE22)/N(CE20),"n/a")</f>
        <v>#NAME?</v>
      </c>
      <c r="CF23" s="1169"/>
      <c r="CG23" s="1210" t="str">
        <f ca="1">IF(N(CG20)&lt;&gt;0,N(CG22)/N(CG20),"n/a")</f>
        <v>n/a</v>
      </c>
      <c r="CH23" s="1210" t="e">
        <f ca="1">IF(N(CH20)&lt;&gt;0,N(CH22)/N(CH20),"n/a")</f>
        <v>#NAME?</v>
      </c>
      <c r="CI23" s="1169"/>
      <c r="CJ23" s="3181">
        <f>IF(N(CJ20)&lt;&gt;0,N(CJ22)/N(CJ20),"n/a")</f>
        <v>2</v>
      </c>
      <c r="CK23" s="3179">
        <f>IF(N(CK20)&lt;&gt;0,N(CK22)/N(CK20),"n/a")</f>
        <v>2</v>
      </c>
      <c r="CL23" s="1169"/>
      <c r="CM23" s="3180">
        <f>IF(N(CM20)&lt;&gt;0,N(CM22)/N(CM20),"n/a")</f>
        <v>2</v>
      </c>
      <c r="CN23" s="3180">
        <f>IF(N(CN20)&lt;&gt;0,N(CN22)/N(CN20),"n/a")</f>
        <v>2</v>
      </c>
      <c r="CO23" s="1169"/>
      <c r="CP23" s="3180">
        <f>IF(N(CP20)&lt;&gt;0,N(CP22)/N(CP20),"n/a")</f>
        <v>2</v>
      </c>
      <c r="CQ23" s="3180">
        <f>IF(N(CQ20)&lt;&gt;0,N(CQ22)/N(CQ20),"n/a")</f>
        <v>2</v>
      </c>
      <c r="CR23" s="34"/>
      <c r="CS23" s="2056"/>
      <c r="CT23" s="2085" t="e" cm="1">
        <f t="array" ca="1" aca="1" ref="CT23">IF(K23&lt;&gt;"Yes","",IF(OR(Y23="Select,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III"),"",IF(OR(Y23&lt;&gt;AB23,AND(LEN(B23)=0,NOT(OR(Y23="Select,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III")))),_xldudf_CX_PUSH(Y23,CX_ENTITY,C23,EOMONTH(val_asOfDate,0)),"")))</f>
        <v>#NAME?</v>
      </c>
      <c r="CU23" s="2085" t="e" cm="1">
        <f t="array" ca="1" aca="1" ref="CU23">IF(K23&lt;&gt;"Yes","",IF(OR(Y23="Select,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III"),"",IF(OR(Y23&lt;&gt;AB23,AND(LEN(B23)=0,NOT(OR(Y23="Select,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III")))),_xldudf_CX_PUSH(Y23,CX_ENTITY,C23,EOMONTH(val_asOfDate,1)),"")))</f>
        <v>#NAME?</v>
      </c>
      <c r="CV23" s="2085" t="e" cm="1">
        <f t="array" ca="1" aca="1" ref="CV23">IF(K23&lt;&gt;"Yes","",IF(OR(Y23="Select,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III"),"",IF(OR(Y23&lt;&gt;AB23,AND(LEN(B23)=0,NOT(OR(Y23="Select,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III")))),_xldudf_CX_PUSH(Y23,CX_ENTITY,C23,EOMONTH(val_asOfDate,2)),"")))</f>
        <v>#NAME?</v>
      </c>
      <c r="CW23" s="2085" t="e" cm="1">
        <f t="array" ca="1" aca="1" ref="CW23">IF(K23&lt;&gt;"Yes","",IF(OR(Y23="Select,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III"),"",IF(OR(Y23&lt;&gt;AB23,AND(LEN(B23)=0,NOT(OR(Y23="Select,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III")))),_xldudf_CX_PUSH(Y23,CX_ENTITY,C23,EOMONTH(val_asOfDate,3)),"")))</f>
        <v>#NAME?</v>
      </c>
      <c r="CX23" s="2443"/>
      <c r="CY23" s="2447" t="e" cm="1">
        <f t="array" ca="1" aca="1" ref="CY23">IF(CM23=_PL!CM23,"",IF(OR($CM23="",$CM23=0,NOT(ISNUMBER($CM23)),ISERROR($CM23),$B23=""),"",IF($I23=1,IFBLANK(_xldudf_CX_PUSH($CM23*fxVal_normal,CX_ENTITY,$B23,$CM$11,$CM$14,$CM$19,),""),IF($I23=2,IFBLANK(_xldudf_CX_PUSH($CM23,CX_ENTITY,$B23,$CM$11,$CM$14,$CM$19,),""),IF($I23=3,"",IFBLANK(_xldudf_CX_PUSH($CM23,CX_ENTITY,$B23,$CM$11,$CM$14,$CM$19,),""))))))</f>
        <v>#NAME?</v>
      </c>
      <c r="CZ23" s="2447" t="e" cm="1">
        <f t="array" ca="1" aca="1" ref="CZ23">IF(CN23=_PL!CN23,"",IF(OR($CN23="",$CN23=0,NOT(ISNUMBER($CN23)),ISERROR($CN23),$B23=""),"",IF($I23=1,IFBLANK(_xldudf_CX_PUSH($CN23*fxVal_normal,CX_ENTITY,$B23,$CN$11,$CN$14,$CN$19,),""),IF($I23=2,IFBLANK(_xldudf_CX_PUSH($CN23,CX_ENTITY,$B23,$CN$11,$CN$14,$CN$19,),""),IF($I23=3,"",IFBLANK(_xldudf_CX_PUSH($CN23,CX_ENTITY,$B23,$CN$11,$CN$14,$CN$19,),""))))))</f>
        <v>#NAME?</v>
      </c>
      <c r="DA23" s="2447" t="e" cm="1">
        <f t="array" ca="1" aca="1" ref="DA23">IF(CP23=_PL!CP23,"",IF(OR($CP23="",$CP23=0,NOT(ISNUMBER($CP23)),ISERROR($CP23),$B23=""),"",IF($I23=1,IFBLANK(_xldudf_CX_PUSH($CP23*fxVal_normal,CX_ENTITY,$B23,$CP$11,$CP$14,$CP$19,),""),IF($I23=2,IFBLANK(_xldudf_CX_PUSH($CP23,CX_ENTITY,$B23,$CP$11,$CP$14,$CP$19,),""),IF($I23=3,"",IFBLANK(_xldudf_CX_PUSH($CP23,CX_ENTITY,$B23,$CP$11,$CP$14,$CP$19,),""))))))</f>
        <v>#NAME?</v>
      </c>
      <c r="DB23" s="2447" t="e" cm="1">
        <f t="array" ca="1" aca="1" ref="DB23">IF(CQ23=_PL!CQ23,"",IF(OR($CQ23="",$CQ23=0,NOT(ISNUMBER($CQ23)),ISERROR($CQ23),$B23=""),"",IF($I23=1,IFBLANK(_xldudf_CX_PUSH($CQ23*fxVal_normal,CX_ENTITY,$B23,$CQ$11,$CQ$14,$CQ$19,),""),IF($I23=2,IFBLANK(_xldudf_CX_PUSH($CQ23,CX_ENTITY,$B23,$CQ$11,$CQ$14,$CQ$19,),""),IF($I23=3,"",IFBLANK(_xldudf_CX_PUSH($CQ23,CX_ENTITY,$B23,$CQ$11,$CQ$14,$CQ$19,),""))))))</f>
        <v>#NAME?</v>
      </c>
      <c r="DC23" s="2443"/>
      <c r="DD23" s="2447" t="str" cm="1">
        <f t="array" ca="1" aca="1" ref="DD23">IFERROR(IF(AD23=_PL!AD23,"",IF(OR(AD23="",NOT(ISNUMBER(AD23)),ISERROR(AD23),$B23=""),"",IF($I23=1,IFBLANK(_xldudf_CX_PUSH(AD23*fxVal_normal,CX_ENTITY,$B23,AD$11,AD$14,AD$19,),""),IF($I23=2,IFBLANK(_xldudf_CX_PUSH(AD23,CX_ENTITY,$B23,AD$11,AD$14,AD$19,),""),IF($I23=3,"",IFBLANK(_xldudf_CX_PUSH(AD23,CX_ENTITY,$B23,AD$11,AD$14,AD$19,),"")))))),"")</f>
        <v/>
      </c>
      <c r="DE23" s="2447" t="str" cm="1">
        <f t="array" ca="1" aca="1" ref="DE23">IFERROR(IF(AE23=_PL!AE23,"",IF(OR(AE23="",NOT(ISNUMBER(AE23)),ISERROR(AE23),$B23=""),"",IF($I23=1,IFBLANK(_xldudf_CX_PUSH(AE23*fxVal_normal,CX_ENTITY,$B23,AE$11,AE$14,AE$19,),""),IF($I23=2,IFBLANK(_xldudf_CX_PUSH(AE23,CX_ENTITY,$B23,AE$11,AE$14,AE$19,),""),IF($I23=3,"",IFBLANK(_xldudf_CX_PUSH(AE23,CX_ENTITY,$B23,AE$11,AE$14,AE$19,),"")))))),"")</f>
        <v/>
      </c>
      <c r="DF23" s="2447" t="str" cm="1">
        <f t="array" ca="1" aca="1" ref="DF23">IFERROR(IF(AF23=_PL!AF23,"",IF(OR(AF23="",NOT(ISNUMBER(AF23)),ISERROR(AF23),$B23=""),"",IF($I23=1,IFBLANK(_xldudf_CX_PUSH(AF23*fxVal_normal,CX_ENTITY,$B23,AF$11,AF$14,AF$19,),""),IF($I23=2,IFBLANK(_xldudf_CX_PUSH(AF23,CX_ENTITY,$B23,AF$11,AF$14,AF$19,),""),IF($I23=3,"",IFBLANK(_xldudf_CX_PUSH(AF23,CX_ENTITY,$B23,AF$11,AF$14,AF$19,),"")))))),"")</f>
        <v/>
      </c>
      <c r="DG23" s="2447" t="str" cm="1">
        <f t="array" ca="1" aca="1" ref="DG23">IFERROR(IF(AG23=_PL!AG23,"",IF(OR(AG23="",NOT(ISNUMBER(AG23)),ISERROR(AG23),$B23=""),"",IF($I23=1,IFBLANK(_xldudf_CX_PUSH(AG23*fxVal_normal,CX_ENTITY,$B23,AG$11,AG$14,AG$19,),""),IF($I23=2,IFBLANK(_xldudf_CX_PUSH(AG23,CX_ENTITY,$B23,AG$11,AG$14,AG$19,),""),IF($I23=3,"",IFBLANK(_xldudf_CX_PUSH(AG23,CX_ENTITY,$B23,AG$11,AG$14,AG$19,),"")))))),"")</f>
        <v/>
      </c>
      <c r="DH23" s="2447" t="str" cm="1">
        <f t="array" ca="1" aca="1" ref="DH23">IFERROR(IF(AH23=_PL!AH23,"",IF(OR(AH23="",NOT(ISNUMBER(AH23)),ISERROR(AH23),$B23=""),"",IF($I23=1,IFBLANK(_xldudf_CX_PUSH(AH23*fxVal_normal,CX_ENTITY,$B23,AH$11,AH$14,AH$19,),""),IF($I23=2,IFBLANK(_xldudf_CX_PUSH(AH23,CX_ENTITY,$B23,AH$11,AH$14,AH$19,),""),IF($I23=3,"",IFBLANK(_xldudf_CX_PUSH(AH23,CX_ENTITY,$B23,AH$11,AH$14,AH$19,),"")))))),"")</f>
        <v/>
      </c>
      <c r="DI23" s="2447" t="str" cm="1">
        <f t="array" ca="1" aca="1" ref="DI23">IFERROR(IF(AI23=_PL!AI23,"",IF(OR(AI23="",NOT(ISNUMBER(AI23)),ISERROR(AI23),$B23=""),"",IF($I23=1,IFBLANK(_xldudf_CX_PUSH(AI23*fxVal_normal,CX_ENTITY,$B23,AI$11,AI$14,AI$19,),""),IF($I23=2,IFBLANK(_xldudf_CX_PUSH(AI23,CX_ENTITY,$B23,AI$11,AI$14,AI$19,),""),IF($I23=3,"",IFBLANK(_xldudf_CX_PUSH(AI23,CX_ENTITY,$B23,AI$11,AI$14,AI$19,),"")))))),"")</f>
        <v/>
      </c>
      <c r="DJ23" s="2447" t="str" cm="1">
        <f t="array" ca="1" aca="1" ref="DJ23">IFERROR(IF(AJ23=_PL!AJ23,"",IF(OR(AJ23="",NOT(ISNUMBER(AJ23)),ISERROR(AJ23),$B23=""),"",IF($I23=1,IFBLANK(_xldudf_CX_PUSH(AJ23*fxVal_normal,CX_ENTITY,$B23,AJ$11,AJ$14,AJ$19,),""),IF($I23=2,IFBLANK(_xldudf_CX_PUSH(AJ23,CX_ENTITY,$B23,AJ$11,AJ$14,AJ$19,),""),IF($I23=3,"",IFBLANK(_xldudf_CX_PUSH(AJ23,CX_ENTITY,$B23,AJ$11,AJ$14,AJ$19,),"")))))),"")</f>
        <v/>
      </c>
      <c r="DK23" s="2447" t="str" cm="1">
        <f t="array" ca="1" aca="1" ref="DK23">IFERROR(IF(AK23=_PL!AK23,"",IF(OR(AK23="",NOT(ISNUMBER(AK23)),ISERROR(AK23),$B23=""),"",IF($I23=1,IFBLANK(_xldudf_CX_PUSH(AK23*fxVal_normal,CX_ENTITY,$B23,AK$11,AK$14,AK$19,),""),IF($I23=2,IFBLANK(_xldudf_CX_PUSH(AK23,CX_ENTITY,$B23,AK$11,AK$14,AK$19,),""),IF($I23=3,"",IFBLANK(_xldudf_CX_PUSH(AK23,CX_ENTITY,$B23,AK$11,AK$14,AK$19,),"")))))),"")</f>
        <v/>
      </c>
      <c r="DL23" s="2447" t="str" cm="1">
        <f t="array" ca="1" aca="1" ref="DL23">IFERROR(IF(AL23=_PL!AL23,"",IF(OR(AL23="",NOT(ISNUMBER(AL23)),ISERROR(AL23),$B23=""),"",IF($I23=1,IFBLANK(_xldudf_CX_PUSH(AL23*fxVal_normal,CX_ENTITY,$B23,AL$11,AL$14,AL$19,),""),IF($I23=2,IFBLANK(_xldudf_CX_PUSH(AL23,CX_ENTITY,$B23,AL$11,AL$14,AL$19,),""),IF($I23=3,"",IFBLANK(_xldudf_CX_PUSH(AL23,CX_ENTITY,$B23,AL$11,AL$14,AL$19,),"")))))),"")</f>
        <v/>
      </c>
      <c r="DM23" s="2447" t="str" cm="1">
        <f t="array" ca="1" aca="1" ref="DM23">IFERROR(IF(AM23=_PL!AM23,"",IF(OR(AM23="",NOT(ISNUMBER(AM23)),ISERROR(AM23),$B23=""),"",IF($I23=1,IFBLANK(_xldudf_CX_PUSH(AM23*fxVal_normal,CX_ENTITY,$B23,AM$11,AM$14,AM$19,),""),IF($I23=2,IFBLANK(_xldudf_CX_PUSH(AM23,CX_ENTITY,$B23,AM$11,AM$14,AM$19,),""),IF($I23=3,"",IFBLANK(_xldudf_CX_PUSH(AM23,CX_ENTITY,$B23,AM$11,AM$14,AM$19,),"")))))),"")</f>
        <v/>
      </c>
      <c r="DN23" s="2447" t="str" cm="1">
        <f t="array" ca="1" aca="1" ref="DN23">IFERROR(IF(AN23=_PL!AN23,"",IF(OR(AN23="",NOT(ISNUMBER(AN23)),ISERROR(AN23),$B23=""),"",IF($I23=1,IFBLANK(_xldudf_CX_PUSH(AN23*fxVal_normal,CX_ENTITY,$B23,AN$11,AN$14,AN$19,),""),IF($I23=2,IFBLANK(_xldudf_CX_PUSH(AN23,CX_ENTITY,$B23,AN$11,AN$14,AN$19,),""),IF($I23=3,"",IFBLANK(_xldudf_CX_PUSH(AN23,CX_ENTITY,$B23,AN$11,AN$14,AN$19,),"")))))),"")</f>
        <v/>
      </c>
      <c r="DO23" s="2447" t="str" cm="1">
        <f t="array" ca="1" aca="1" ref="DO23">IFERROR(IF(AO23=_PL!AO23,"",IF(OR(AO23="",NOT(ISNUMBER(AO23)),ISERROR(AO23),$B23=""),"",IF($I23=1,IFBLANK(_xldudf_CX_PUSH(AO23*fxVal_normal,CX_ENTITY,$B23,AO$11,AO$14,AO$19,),""),IF($I23=2,IFBLANK(_xldudf_CX_PUSH(AO23,CX_ENTITY,$B23,AO$11,AO$14,AO$19,),""),IF($I23=3,"",IFBLANK(_xldudf_CX_PUSH(AO23,CX_ENTITY,$B23,AO$11,AO$14,AO$19,),"")))))),"")</f>
        <v/>
      </c>
      <c r="DP23" s="2447" t="str" cm="1">
        <f t="array" ca="1" aca="1" ref="DP23">IFERROR(IF(AP23=_PL!AP23,"",IF(OR(AP23="",NOT(ISNUMBER(AP23)),ISERROR(AP23),$B23=""),"",IF($I23=1,IFBLANK(_xldudf_CX_PUSH(AP23*fxVal_normal,CX_ENTITY,$B23,AP$11,AP$14,AP$19,),""),IF($I23=2,IFBLANK(_xldudf_CX_PUSH(AP23,CX_ENTITY,$B23,AP$11,AP$14,AP$19,),""),IF($I23=3,"",IFBLANK(_xldudf_CX_PUSH(AP23,CX_ENTITY,$B23,AP$11,AP$14,AP$19,),"")))))),"")</f>
        <v/>
      </c>
      <c r="DQ23" s="2447" t="str" cm="1">
        <f t="array" ca="1" aca="1" ref="DQ23">IFERROR(IF(AQ23=_PL!AQ23,"",IF(OR(AQ23="",NOT(ISNUMBER(AQ23)),ISERROR(AQ23),$B23=""),"",IF($I23=1,IFBLANK(_xldudf_CX_PUSH(AQ23*fxVal_normal,CX_ENTITY,$B23,AQ$11,AQ$14,AQ$19,),""),IF($I23=2,IFBLANK(_xldudf_CX_PUSH(AQ23,CX_ENTITY,$B23,AQ$11,AQ$14,AQ$19,),""),IF($I23=3,"",IFBLANK(_xldudf_CX_PUSH(AQ23,CX_ENTITY,$B23,AQ$11,AQ$14,AQ$19,),"")))))),"")</f>
        <v/>
      </c>
      <c r="DR23" s="2447" t="str" cm="1">
        <f t="array" ca="1" aca="1" ref="DR23">IFERROR(IF(AR23=_PL!AR23,"",IF(OR(AR23="",NOT(ISNUMBER(AR23)),ISERROR(AR23),$B23=""),"",IF($I23=1,IFBLANK(_xldudf_CX_PUSH(AR23*fxVal_normal,CX_ENTITY,$B23,AR$11,AR$14,AR$19,),""),IF($I23=2,IFBLANK(_xldudf_CX_PUSH(AR23,CX_ENTITY,$B23,AR$11,AR$14,AR$19,),""),IF($I23=3,"",IFBLANK(_xldudf_CX_PUSH(AR23,CX_ENTITY,$B23,AR$11,AR$14,AR$19,),"")))))),"")</f>
        <v/>
      </c>
      <c r="DS23" s="2447" t="str" cm="1">
        <f t="array" ca="1" aca="1" ref="DS23">IFERROR(IF(AS23=_PL!AS23,"",IF(OR(AS23="",NOT(ISNUMBER(AS23)),ISERROR(AS23),$B23=""),"",IF($I23=1,IFBLANK(_xldudf_CX_PUSH(AS23*fxVal_normal,CX_ENTITY,$B23,AS$11,AS$14,AS$19,),""),IF($I23=2,IFBLANK(_xldudf_CX_PUSH(AS23,CX_ENTITY,$B23,AS$11,AS$14,AS$19,),""),IF($I23=3,"",IFBLANK(_xldudf_CX_PUSH(AS23,CX_ENTITY,$B23,AS$11,AS$14,AS$19,),"")))))),"")</f>
        <v/>
      </c>
      <c r="DT23" s="2447" t="str" cm="1">
        <f t="array" ca="1" aca="1" ref="DT23">IFERROR(IF(AT23=_PL!AT23,"",IF(OR(AT23="",NOT(ISNUMBER(AT23)),ISERROR(AT23),$B23=""),"",IF($I23=1,IFBLANK(_xldudf_CX_PUSH(AT23*fxVal_normal,CX_ENTITY,$B23,AT$11,AT$14,AT$19,),""),IF($I23=2,IFBLANK(_xldudf_CX_PUSH(AT23,CX_ENTITY,$B23,AT$11,AT$14,AT$19,),""),IF($I23=3,"",IFBLANK(_xldudf_CX_PUSH(AT23,CX_ENTITY,$B23,AT$11,AT$14,AT$19,),"")))))),"")</f>
        <v/>
      </c>
      <c r="DU23" s="2447" t="str" cm="1">
        <f t="array" ca="1" aca="1" ref="DU23">IFERROR(IF(AU23=_PL!AU23,"",IF(OR(AU23="",NOT(ISNUMBER(AU23)),ISERROR(AU23),$B23=""),"",IF($I23=1,IFBLANK(_xldudf_CX_PUSH(AU23*fxVal_normal,CX_ENTITY,$B23,AU$11,AU$14,AU$19,),""),IF($I23=2,IFBLANK(_xldudf_CX_PUSH(AU23,CX_ENTITY,$B23,AU$11,AU$14,AU$19,),""),IF($I23=3,"",IFBLANK(_xldudf_CX_PUSH(AU23,CX_ENTITY,$B23,AU$11,AU$14,AU$19,),"")))))),"")</f>
        <v/>
      </c>
      <c r="DV23" s="2447" t="str" cm="1">
        <f t="array" ca="1" aca="1" ref="DV23">IFERROR(IF(AV23=_PL!AV23,"",IF(OR(AV23="",NOT(ISNUMBER(AV23)),ISERROR(AV23),$B23=""),"",IF($I23=1,IFBLANK(_xldudf_CX_PUSH(AV23*fxVal_normal,CX_ENTITY,$B23,AV$11,AV$14,AV$19,),""),IF($I23=2,IFBLANK(_xldudf_CX_PUSH(AV23,CX_ENTITY,$B23,AV$11,AV$14,AV$19,),""),IF($I23=3,"",IFBLANK(_xldudf_CX_PUSH(AV23,CX_ENTITY,$B23,AV$11,AV$14,AV$19,),"")))))),"")</f>
        <v/>
      </c>
      <c r="DW23" s="2447" t="str" cm="1">
        <f t="array" ca="1" aca="1" ref="DW23">IFERROR(IF(AW23=_PL!AW23,"",IF(OR(AW23="",NOT(ISNUMBER(AW23)),ISERROR(AW23),$B23=""),"",IF($I23=1,IFBLANK(_xldudf_CX_PUSH(AW23*fxVal_normal,CX_ENTITY,$B23,AW$11,AW$14,AW$19,),""),IF($I23=2,IFBLANK(_xldudf_CX_PUSH(AW23,CX_ENTITY,$B23,AW$11,AW$14,AW$19,),""),IF($I23=3,"",IFBLANK(_xldudf_CX_PUSH(AW23,CX_ENTITY,$B23,AW$11,AW$14,AW$19,),"")))))),"")</f>
        <v/>
      </c>
      <c r="DX23" s="2447" t="str" cm="1">
        <f t="array" ca="1" aca="1" ref="DX23">IFERROR(IF(AX23=_PL!AX23,"",IF(OR(AX23="",NOT(ISNUMBER(AX23)),ISERROR(AX23),$B23=""),"",IF($I23=1,IFBLANK(_xldudf_CX_PUSH(AX23*fxVal_normal,CX_ENTITY,$B23,AX$11,AX$14,AX$19,),""),IF($I23=2,IFBLANK(_xldudf_CX_PUSH(AX23,CX_ENTITY,$B23,AX$11,AX$14,AX$19,),""),IF($I23=3,"",IFBLANK(_xldudf_CX_PUSH(AX23,CX_ENTITY,$B23,AX$11,AX$14,AX$19,),"")))))),"")</f>
        <v/>
      </c>
      <c r="DY23" s="2447" t="str" cm="1">
        <f t="array" ca="1" aca="1" ref="DY23">IFERROR(IF(AY23=_PL!AY23,"",IF(OR(AY23="",NOT(ISNUMBER(AY23)),ISERROR(AY23),$B23=""),"",IF($I23=1,IFBLANK(_xldudf_CX_PUSH(AY23*fxVal_normal,CX_ENTITY,$B23,AY$11,AY$14,AY$19,),""),IF($I23=2,IFBLANK(_xldudf_CX_PUSH(AY23,CX_ENTITY,$B23,AY$11,AY$14,AY$19,),""),IF($I23=3,"",IFBLANK(_xldudf_CX_PUSH(AY23,CX_ENTITY,$B23,AY$11,AY$14,AY$19,),"")))))),"")</f>
        <v/>
      </c>
      <c r="DZ23" s="2447" t="str" cm="1">
        <f t="array" ca="1" aca="1" ref="DZ23">IFERROR(IF(AZ23=_PL!AZ23,"",IF(OR(AZ23="",NOT(ISNUMBER(AZ23)),ISERROR(AZ23),$B23=""),"",IF($I23=1,IFBLANK(_xldudf_CX_PUSH(AZ23*fxVal_normal,CX_ENTITY,$B23,AZ$11,AZ$14,AZ$19,),""),IF($I23=2,IFBLANK(_xldudf_CX_PUSH(AZ23,CX_ENTITY,$B23,AZ$11,AZ$14,AZ$19,),""),IF($I23=3,"",IFBLANK(_xldudf_CX_PUSH(AZ23,CX_ENTITY,$B23,AZ$11,AZ$14,AZ$19,),"")))))),"")</f>
        <v/>
      </c>
      <c r="EA23" s="2447" t="str" cm="1">
        <f t="array" ca="1" aca="1" ref="EA23">IFERROR(IF(BA23=_PL!BA23,"",IF(OR(BA23="",NOT(ISNUMBER(BA23)),ISERROR(BA23),$B23=""),"",IF($I23=1,IFBLANK(_xldudf_CX_PUSH(BA23*fxVal_normal,CX_ENTITY,$B23,BA$11,BA$14,BA$19,),""),IF($I23=2,IFBLANK(_xldudf_CX_PUSH(BA23,CX_ENTITY,$B23,BA$11,BA$14,BA$19,),""),IF($I23=3,"",IFBLANK(_xldudf_CX_PUSH(BA23,CX_ENTITY,$B23,BA$11,BA$14,BA$19,),"")))))),"")</f>
        <v/>
      </c>
      <c r="EB23" s="2447" t="str" cm="1">
        <f t="array" ca="1" aca="1" ref="EB23">IFERROR(IF(BB23=_PL!BB23,"",IF(OR(BB23="",NOT(ISNUMBER(BB23)),ISERROR(BB23),$B23=""),"",IF($I23=1,IFBLANK(_xldudf_CX_PUSH(BB23*fxVal_normal,CX_ENTITY,$B23,BB$11,BB$14,BB$19,),""),IF($I23=2,IFBLANK(_xldudf_CX_PUSH(BB23,CX_ENTITY,$B23,BB$11,BB$14,BB$19,),""),IF($I23=3,"",IFBLANK(_xldudf_CX_PUSH(BB23,CX_ENTITY,$B23,BB$11,BB$14,BB$19,),"")))))),"")</f>
        <v/>
      </c>
      <c r="EC23" s="2447" t="str" cm="1">
        <f t="array" ca="1" aca="1" ref="EC23">IFERROR(IF(BC23=_PL!BC23,"",IF(OR(BC23="",NOT(ISNUMBER(BC23)),ISERROR(BC23),$B23=""),"",IF($I23=1,IFBLANK(_xldudf_CX_PUSH(BC23*fxVal_normal,CX_ENTITY,$B23,BC$11,BC$14,BC$19,),""),IF($I23=2,IFBLANK(_xldudf_CX_PUSH(BC23,CX_ENTITY,$B23,BC$11,BC$14,BC$19,),""),IF($I23=3,"",IFBLANK(_xldudf_CX_PUSH(BC23,CX_ENTITY,$B23,BC$11,BC$14,BC$19,),"")))))),"")</f>
        <v/>
      </c>
      <c r="ED23" s="2447" t="str" cm="1">
        <f t="array" ca="1" aca="1" ref="ED23">IFERROR(IF(BD23=_PL!BD23,"",IF(OR(BD23="",NOT(ISNUMBER(BD23)),ISERROR(BD23),$B23=""),"",IF($I23=1,IFBLANK(_xldudf_CX_PUSH(BD23*fxVal_normal,CX_ENTITY,$B23,BD$11,BD$14,BD$19,),""),IF($I23=2,IFBLANK(_xldudf_CX_PUSH(BD23,CX_ENTITY,$B23,BD$11,BD$14,BD$19,),""),IF($I23=3,"",IFBLANK(_xldudf_CX_PUSH(BD23,CX_ENTITY,$B23,BD$11,BD$14,BD$19,),"")))))),"")</f>
        <v/>
      </c>
      <c r="EE23" s="2447" t="str" cm="1">
        <f t="array" ca="1" aca="1" ref="EE23">IFERROR(IF(BE23=_PL!BE23,"",IF(OR(BE23="",NOT(ISNUMBER(BE23)),ISERROR(BE23),$B23=""),"",IF($I23=1,IFBLANK(_xldudf_CX_PUSH(BE23*fxVal_normal,CX_ENTITY,$B23,BE$11,BE$14,BE$19,),""),IF($I23=2,IFBLANK(_xldudf_CX_PUSH(BE23,CX_ENTITY,$B23,BE$11,BE$14,BE$19,),""),IF($I23=3,"",IFBLANK(_xldudf_CX_PUSH(BE23,CX_ENTITY,$B23,BE$11,BE$14,BE$19,),"")))))),"")</f>
        <v/>
      </c>
      <c r="EF23" s="2447" t="str" cm="1">
        <f t="array" ca="1" aca="1" ref="EF23">IFERROR(IF(BF23=_PL!BF23,"",IF(OR(BF23="",NOT(ISNUMBER(BF23)),ISERROR(BF23),$B23=""),"",IF($I23=1,IFBLANK(_xldudf_CX_PUSH(BF23*fxVal_normal,CX_ENTITY,$B23,BF$11,BF$14,BF$19,),""),IF($I23=2,IFBLANK(_xldudf_CX_PUSH(BF23,CX_ENTITY,$B23,BF$11,BF$14,BF$19,),""),IF($I23=3,"",IFBLANK(_xldudf_CX_PUSH(BF23,CX_ENTITY,$B23,BF$11,BF$14,BF$19,),"")))))),"")</f>
        <v/>
      </c>
      <c r="EG23" s="2447" t="str" cm="1">
        <f t="array" ca="1" aca="1" ref="EG23">IFERROR(IF(BG23=_PL!BG23,"",IF(OR(BG23="",NOT(ISNUMBER(BG23)),ISERROR(BG23),$B23=""),"",IF($I23=1,IFBLANK(_xldudf_CX_PUSH(BG23*fxVal_normal,CX_ENTITY,$B23,BG$11,BG$14,BG$19,),""),IF($I23=2,IFBLANK(_xldudf_CX_PUSH(BG23,CX_ENTITY,$B23,BG$11,BG$14,BG$19,),""),IF($I23=3,"",IFBLANK(_xldudf_CX_PUSH(BG23,CX_ENTITY,$B23,BG$11,BG$14,BG$19,),"")))))),"")</f>
        <v/>
      </c>
      <c r="EH23" s="2447" t="str" cm="1">
        <f t="array" ca="1" aca="1" ref="EH23">IFERROR(IF(BH23=_PL!BH23,"",IF(OR(BH23="",NOT(ISNUMBER(BH23)),ISERROR(BH23),$B23=""),"",IF($I23=1,IFBLANK(_xldudf_CX_PUSH(BH23*fxVal_normal,CX_ENTITY,$B23,BH$11,BH$14,BH$19,),""),IF($I23=2,IFBLANK(_xldudf_CX_PUSH(BH23,CX_ENTITY,$B23,BH$11,BH$14,BH$19,),""),IF($I23=3,"",IFBLANK(_xldudf_CX_PUSH(BH23,CX_ENTITY,$B23,BH$11,BH$14,BH$19,),"")))))),"")</f>
        <v/>
      </c>
      <c r="EI23" s="2447" t="str" cm="1">
        <f t="array" ca="1" aca="1" ref="EI23">IFERROR(IF(BI23=_PL!BI23,"",IF(OR(BI23="",NOT(ISNUMBER(BI23)),ISERROR(BI23),$B23=""),"",IF($I23=1,IFBLANK(_xldudf_CX_PUSH(BI23*fxVal_normal,CX_ENTITY,$B23,BI$11,BI$14,BI$19,),""),IF($I23=2,IFBLANK(_xldudf_CX_PUSH(BI23,CX_ENTITY,$B23,BI$11,BI$14,BI$19,),""),IF($I23=3,"",IFBLANK(_xldudf_CX_PUSH(BI23,CX_ENTITY,$B23,BI$11,BI$14,BI$19,),"")))))),"")</f>
        <v/>
      </c>
      <c r="EJ23" s="2447" t="str" cm="1">
        <f t="array" ca="1" aca="1" ref="EJ23">IFERROR(IF(BJ23=_PL!BJ23,"",IF(OR(BJ23="",NOT(ISNUMBER(BJ23)),ISERROR(BJ23),$B23=""),"",IF($I23=1,IFBLANK(_xldudf_CX_PUSH(BJ23*fxVal_normal,CX_ENTITY,$B23,BJ$11,BJ$14,BJ$19,),""),IF($I23=2,IFBLANK(_xldudf_CX_PUSH(BJ23,CX_ENTITY,$B23,BJ$11,BJ$14,BJ$19,),""),IF($I23=3,"",IFBLANK(_xldudf_CX_PUSH(BJ23,CX_ENTITY,$B23,BJ$11,BJ$14,BJ$19,),"")))))),"")</f>
        <v/>
      </c>
      <c r="EK23" s="2447" t="str" cm="1">
        <f t="array" ca="1" aca="1" ref="EK23">IFERROR(IF(BK23=_PL!BK23,"",IF(OR(BK23="",NOT(ISNUMBER(BK23)),ISERROR(BK23),$B23=""),"",IF($I23=1,IFBLANK(_xldudf_CX_PUSH(BK23*fxVal_normal,CX_ENTITY,$B23,BK$11,BK$14,BK$19,),""),IF($I23=2,IFBLANK(_xldudf_CX_PUSH(BK23,CX_ENTITY,$B23,BK$11,BK$14,BK$19,),""),IF($I23=3,"",IFBLANK(_xldudf_CX_PUSH(BK23,CX_ENTITY,$B23,BK$11,BK$14,BK$19,),"")))))),"")</f>
        <v/>
      </c>
      <c r="EL23" s="2447" t="str" cm="1">
        <f t="array" ca="1" aca="1" ref="EL23">IFERROR(IF(BL23=_PL!BL23,"",IF(OR(BL23="",NOT(ISNUMBER(BL23)),ISERROR(BL23),$B23=""),"",IF($I23=1,IFBLANK(_xldudf_CX_PUSH(BL23*fxVal_normal,CX_ENTITY,$B23,BL$11,BL$14,BL$19,),""),IF($I23=2,IFBLANK(_xldudf_CX_PUSH(BL23,CX_ENTITY,$B23,BL$11,BL$14,BL$19,),""),IF($I23=3,"",IFBLANK(_xldudf_CX_PUSH(BL23,CX_ENTITY,$B23,BL$11,BL$14,BL$19,),"")))))),"")</f>
        <v/>
      </c>
      <c r="EM23" s="2447" t="str" cm="1">
        <f t="array" ca="1" aca="1" ref="EM23">IFERROR(IF(BM23=_PL!BM23,"",IF(OR(BM23="",NOT(ISNUMBER(BM23)),ISERROR(BM23),$B23=""),"",IF($I23=1,IFBLANK(_xldudf_CX_PUSH(BM23*fxVal_normal,CX_ENTITY,$B23,BM$11,BM$14,BM$19,),""),IF($I23=2,IFBLANK(_xldudf_CX_PUSH(BM23,CX_ENTITY,$B23,BM$11,BM$14,BM$19,),""),IF($I23=3,"",IFBLANK(_xldudf_CX_PUSH(BM23,CX_ENTITY,$B23,BM$11,BM$14,BM$19,),"")))))),"")</f>
        <v/>
      </c>
      <c r="EN23" s="2447" t="str" cm="1">
        <f t="array" ca="1" aca="1" ref="EN23">IFERROR(IF(BN23=_PL!BN23,"",IF(OR(BN23="",NOT(ISNUMBER(BN23)),ISERROR(BN23),$B23=""),"",IF($I23=1,IFBLANK(_xldudf_CX_PUSH(BN23*fxVal_normal,CX_ENTITY,$B23,BN$11,BN$14,BN$19,),""),IF($I23=2,IFBLANK(_xldudf_CX_PUSH(BN23,CX_ENTITY,$B23,BN$11,BN$14,BN$19,),""),IF($I23=3,"",IFBLANK(_xldudf_CX_PUSH(BN23,CX_ENTITY,$B23,BN$11,BN$14,BN$19,),"")))))),"")</f>
        <v/>
      </c>
    </row>
    <row r="24" spans="1:144" ht="21" customHeight="1">
      <c r="A24" s="1625"/>
      <c r="B24" s="2439" t="str">
        <f>_xlfn.LET(_xlpm.IsNotAttrDynamic,D24="",_xlpm.Attr,_PL!F24,_xlpm.NotInUse,Y24=D24,_xlpm.RESULT,IF(_xlpm.IsNotAttrDynamic,_xlpm.Attr,IF(_xlpm.NotInUse,"",Y24)),IF(_xlpm.RESULT="","",_xlpm.RESULT))</f>
        <v>Operating Costs</v>
      </c>
      <c r="C24" s="2439" t="str" cm="1">
        <f t="array" ref="C24">IFBLANK(_PL!C24,"")</f>
        <v>Operating Costs (Company View)</v>
      </c>
      <c r="D24" s="1548"/>
      <c r="E24" s="2440" t="e" cm="1">
        <f t="array" ca="1" aca="1" ref="E2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24:$CQ24,Z24)</f>
        <v>#NAME?</v>
      </c>
      <c r="F24" s="1897"/>
      <c r="G24" s="1897"/>
      <c r="H24" s="578">
        <v>0</v>
      </c>
      <c r="I24" s="3279">
        <v>1</v>
      </c>
      <c r="J24" s="3280" cm="1">
        <f t="array" ref="J24">IFBLANK(Z24,"")</f>
        <v>1</v>
      </c>
      <c r="K24" s="578" t="str">
        <f t="shared" si="3"/>
        <v>Yes</v>
      </c>
      <c r="L24" s="37"/>
      <c r="N24" s="158"/>
      <c r="O24" s="101"/>
      <c r="P24" s="52"/>
      <c r="Q24" s="101"/>
      <c r="R24" s="126"/>
      <c r="S24" s="101"/>
      <c r="T24" s="101"/>
      <c r="U24" s="39"/>
      <c r="V24" s="37"/>
      <c r="W24" s="91" t="str">
        <f t="shared" si="4"/>
        <v>Actual</v>
      </c>
      <c r="X24" s="2081">
        <f>_PL!X24</f>
        <v>-1</v>
      </c>
      <c r="Y24" s="3176">
        <v>2</v>
      </c>
      <c r="Z24" s="3291" cm="1">
        <f t="array" ref="Z24">_xlfn.SWITCH(TRUE,_PL!$L24=TRUE,1,_PL!$L24=FALSE,-1,_PL!$L24=-1,0,"")</f>
        <v>1</v>
      </c>
      <c r="AA24" s="200"/>
      <c r="AB24" s="301" t="str">
        <f>_PL!AB24</f>
        <v>Operating Costs</v>
      </c>
      <c r="AC24" s="275" t="str" cm="1">
        <f t="array" ca="1" aca="1" ref="AC24">_xlfn.LET(_xlpm._termname,$AB24,_xlpm._iconname,"find",_xlpm._icon,fx_getIcon(_xlpm._iconname),_xlpm._location,_xlfn.XLOOKUP(LOWER(_xlpm._termname),LOWER(tbl_acctDef[Term]),tbl_acctDef[Term]),_xlpm._hyperlink,HYPERLINK("#"&amp;CELL("address",_xlpm._location),_xlpm._icon),IFERROR(_xlpm._hyperlink,""))</f>
        <v/>
      </c>
      <c r="AD24" s="3177">
        <v>1</v>
      </c>
      <c r="AE24" s="3177">
        <v>1</v>
      </c>
      <c r="AF24" s="3177">
        <v>1</v>
      </c>
      <c r="AG24" s="3177">
        <v>1</v>
      </c>
      <c r="AH24" s="3177">
        <v>1</v>
      </c>
      <c r="AI24" s="3177">
        <v>1</v>
      </c>
      <c r="AJ24" s="3177">
        <v>1</v>
      </c>
      <c r="AK24" s="3177">
        <v>1</v>
      </c>
      <c r="AL24" s="3177">
        <v>1</v>
      </c>
      <c r="AM24" s="3177">
        <v>1</v>
      </c>
      <c r="AN24" s="3177">
        <v>1</v>
      </c>
      <c r="AO24" s="3177">
        <v>1</v>
      </c>
      <c r="AP24" s="3177">
        <v>1</v>
      </c>
      <c r="AQ24" s="3177">
        <v>1</v>
      </c>
      <c r="AR24" s="3177">
        <v>1</v>
      </c>
      <c r="AS24" s="3177">
        <v>1</v>
      </c>
      <c r="AT24" s="3177">
        <v>1</v>
      </c>
      <c r="AU24" s="3177">
        <v>1</v>
      </c>
      <c r="AV24" s="3177">
        <v>1</v>
      </c>
      <c r="AW24" s="3177">
        <v>1</v>
      </c>
      <c r="AX24" s="3177">
        <v>1</v>
      </c>
      <c r="AY24" s="3177">
        <v>1</v>
      </c>
      <c r="AZ24" s="3177">
        <v>1</v>
      </c>
      <c r="BA24" s="3177">
        <v>1</v>
      </c>
      <c r="BB24" s="3177">
        <v>1</v>
      </c>
      <c r="BC24" s="3177">
        <v>1</v>
      </c>
      <c r="BD24" s="3177">
        <v>1</v>
      </c>
      <c r="BE24" s="3177">
        <v>1</v>
      </c>
      <c r="BF24" s="3177">
        <v>1</v>
      </c>
      <c r="BG24" s="3177">
        <v>1</v>
      </c>
      <c r="BH24" s="3177">
        <v>1</v>
      </c>
      <c r="BI24" s="3177">
        <v>1</v>
      </c>
      <c r="BJ24" s="3177">
        <v>1</v>
      </c>
      <c r="BK24" s="3177">
        <v>1</v>
      </c>
      <c r="BL24" s="3177">
        <v>1</v>
      </c>
      <c r="BM24" s="3177">
        <v>1</v>
      </c>
      <c r="BN24" s="3177">
        <v>1</v>
      </c>
      <c r="BO24" s="2442"/>
      <c r="BP24" s="2442"/>
      <c r="BQ24" s="2442"/>
      <c r="BR24" s="2442"/>
      <c r="BS24" s="2442"/>
      <c r="BT24" s="2442"/>
      <c r="BU24" s="2442"/>
      <c r="BV24" s="2442"/>
      <c r="BW24" s="2442"/>
      <c r="BX24" s="2442"/>
      <c r="BY24" s="2442"/>
      <c r="BZ24" s="2442"/>
      <c r="CA24" s="34"/>
      <c r="CC24" s="33"/>
      <c r="CD24" s="1772" t="e" cm="1">
        <f t="array" ca="1" aca="1" ref="CD24">_xlfn.LET(_xlpm.CheckBlank,SUM(PL!$AD24:$BN24)=0,IF(_xlpm.CheckBlank,"",SUM(_xlfn._xlws.FILTER(PL!$AD24:$BN24,(YEAR(PL!$AD$12:$BN$12)=PL!CD$12)*(array_timeline&lt;=PL!CD$11)))))</f>
        <v>#NAME?</v>
      </c>
      <c r="CE24" s="1772" t="e" cm="1">
        <f t="array" ca="1" aca="1" ref="CE24">_xlfn.LET(_xlpm.CheckBlank,SUM(PL!$AD24:$BN24)=0,IF(_xlpm.CheckBlank,"",SUM(_xlfn._xlws.FILTER(PL!$AD24:$BN24,(YEAR(PL!$AD$12:$BN$12)=PL!CE$12)*(array_timeline&lt;=PL!CE$11)))))</f>
        <v>#NAME?</v>
      </c>
      <c r="CF24" s="88"/>
      <c r="CG24" s="1461" t="str" cm="1">
        <f t="array" ca="1" aca="1" ref="CG24">IFERROR(_xlfn.LET(_xlpm.CheckBlank,SUM(PL!$AD24:$BN24)=0,IF(_xlpm.CheckBlank,"",SUM(_xlfn._xlws.FILTER(PL!$AD24:$BN24,(YEAR(PL!$AD$12:$BN$12)=PL!CG$12)*(array_timeline&lt;=PL!CG$11))))),"n/a")</f>
        <v>n/a</v>
      </c>
      <c r="CH24" s="1461" t="e" cm="1">
        <f t="array" ca="1" aca="1" ref="CH24">_xlfn.LET(_xlpm.CheckBlank,SUM(PL!$AD24:$BN24)=0,IF(_xlpm.CheckBlank,"",SUM(_xlfn._xlws.FILTER(PL!$AD24:$BN24,(YEAR(PL!$AD$12:$BN$12)=PL!CH$12)*(array_timeline&lt;=PL!CH$11)))))</f>
        <v>#NAME?</v>
      </c>
      <c r="CI24" s="88"/>
      <c r="CJ24" s="1461" cm="1">
        <f t="array" ref="CJ24">_xlfn.LET(_xlpm.CheckBlank,SUM(PL!$AD24:$BN24)=0,IF(_xlpm.CheckBlank,"",SUM(_xlfn.TAKE(_xlfn.DROP(PL!$AD24:$BN24,,-DATEDIFF(PL!CJ$11,val_asOfDate,"M")),1,-12))))</f>
        <v>12</v>
      </c>
      <c r="CK24" s="1461" cm="1">
        <f t="array" ref="CK24">_xlfn.LET(_xlpm.CheckBlank,SUM(PL!$AD24:$BN24)=0,IF(_xlpm.CheckBlank,"",SUM(_xlfn.TAKE(_xlfn.DROP(PL!$AD24:$BN24,,-DATEDIFF(PL!CK$11,val_asOfDate,"M")),1,-12))))</f>
        <v>12</v>
      </c>
      <c r="CL24" s="88"/>
      <c r="CM24" s="3175">
        <v>1</v>
      </c>
      <c r="CN24" s="3175">
        <v>1</v>
      </c>
      <c r="CO24" s="1169"/>
      <c r="CP24" s="3175">
        <v>1</v>
      </c>
      <c r="CQ24" s="3175">
        <v>1</v>
      </c>
      <c r="CR24" s="34"/>
      <c r="CS24" s="2056"/>
      <c r="CT24" s="2085" t="e" cm="1">
        <f t="array" ca="1" aca="1" ref="CT24">IF(K24&lt;&gt;"Yes","",IF(OR(Y24="Select,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III"),"",IF(OR(Y24&lt;&gt;AB24,AND(LEN(B24)=0,NOT(OR(Y24="Select,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III")))),_xldudf_CX_PUSH(Y24,CX_ENTITY,C24,EOMONTH(val_asOfDate,0)),"")))</f>
        <v>#NAME?</v>
      </c>
      <c r="CU24" s="2085" t="e" cm="1">
        <f t="array" ca="1" aca="1" ref="CU24">IF(K24&lt;&gt;"Yes","",IF(OR(Y24="Select,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III"),"",IF(OR(Y24&lt;&gt;AB24,AND(LEN(B24)=0,NOT(OR(Y24="Select,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III")))),_xldudf_CX_PUSH(Y24,CX_ENTITY,C24,EOMONTH(val_asOfDate,1)),"")))</f>
        <v>#NAME?</v>
      </c>
      <c r="CV24" s="2085" t="e" cm="1">
        <f t="array" ca="1" aca="1" ref="CV24">IF(K24&lt;&gt;"Yes","",IF(OR(Y24="Select,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III"),"",IF(OR(Y24&lt;&gt;AB24,AND(LEN(B24)=0,NOT(OR(Y24="Select,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III")))),_xldudf_CX_PUSH(Y24,CX_ENTITY,C24,EOMONTH(val_asOfDate,2)),"")))</f>
        <v>#NAME?</v>
      </c>
      <c r="CW24" s="2085" t="e" cm="1">
        <f t="array" ca="1" aca="1" ref="CW24">IF(K24&lt;&gt;"Yes","",IF(OR(Y24="Select,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III"),"",IF(OR(Y24&lt;&gt;AB24,AND(LEN(B24)=0,NOT(OR(Y24="Select,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III")))),_xldudf_CX_PUSH(Y24,CX_ENTITY,C24,EOMONTH(val_asOfDate,3)),"")))</f>
        <v>#NAME?</v>
      </c>
      <c r="CX24" s="2443"/>
      <c r="CY24" s="2444" t="str" cm="1">
        <f t="array" ca="1" aca="1" ref="CY24">IFERROR(IF(CM24*fxVal_normal=_PL!CM24,"",IF(OR($CM24="",$CM24=0,NOT(ISNUMBER($CM24)),ISERROR($CM24),$B24=""),"",IF($I24=1,IFBLANK(_xldudf_CX_PUSH($CM24*fxVal_normal,CX_ENTITY,$B24,$CM$11,$CM$14,$CM$19,),""),IF($I24=2,IFBLANK(_xldudf_CX_PUSH($CM24,CX_ENTITY,$B24,$CM$11,$CM$14,$CM$19,),""),IF($I24=3,"",IFBLANK(_xldudf_CX_PUSH($CM24,CX_ENTITY,$B24,$CM$11,$CM$14,$CM$19,),"")))))),"")</f>
        <v/>
      </c>
      <c r="CZ24" s="2444" t="str" cm="1">
        <f t="array" ca="1" aca="1" ref="CZ24">IFERROR(IF(CN24*fxVal_normal=_PL!CN24,"",IF(OR($CN24="",$CN24=0,NOT(ISNUMBER($CN24)),ISERROR($CN24),$B24=""),"",IF($I24=1,IFBLANK(_xldudf_CX_PUSH($CN24*fxVal_normal,CX_ENTITY,$B24,$CN$11,$CN$14,$CN$19,),""),IF($I24=2,IFBLANK(_xldudf_CX_PUSH($CN24,CX_ENTITY,$B24,$CN$11,$CN$14,$CN$19,),""),IF($I24=3,"",IFBLANK(_xldudf_CX_PUSH($CN24,CX_ENTITY,$B24,$CN$11,$CN$14,$CN$19,),"")))))),"")</f>
        <v/>
      </c>
      <c r="DA24" s="2444" t="str" cm="1">
        <f t="array" ca="1" aca="1" ref="DA24">IFERROR(IF(CP24*fxVal_normal=_PL!CP24,"",IF(OR($CP24="",$CP24=0,NOT(ISNUMBER($CP24)),ISERROR($CP24),$B24=""),"",IF($I24=1,IFBLANK(_xldudf_CX_PUSH($CP24*fxVal_normal,CX_ENTITY,$B24,$CP$11,$CP$14,$CP$19,),""),IF($I24=2,IFBLANK(_xldudf_CX_PUSH($CP24,CX_ENTITY,$B24,$CP$11,$CP$14,$CP$19,),""),IF($I24=3,"",IFBLANK(_xldudf_CX_PUSH($CP24,CX_ENTITY,$B24,$CP$11,$CP$14,$CP$19,),"")))))),"")</f>
        <v/>
      </c>
      <c r="DB24" s="2444" t="str" cm="1">
        <f t="array" ca="1" aca="1" ref="DB24">IFERROR(IF(CQ24*fxVal_normal=_PL!CQ24,"",IF(OR($CQ24="",$CQ24=0,NOT(ISNUMBER($CQ24)),ISERROR($CQ24),$B24=""),"",IF($I24=1,IFBLANK(_xldudf_CX_PUSH($CQ24*fxVal_normal,CX_ENTITY,$B24,$CQ$11,$CQ$14,$CQ$19,),""),IF($I24=2,IFBLANK(_xldudf_CX_PUSH($CQ24,CX_ENTITY,$B24,$CQ$11,$CQ$14,$CQ$19,),""),IF($I24=3,"",IFBLANK(_xldudf_CX_PUSH($CQ24,CX_ENTITY,$B24,$CQ$11,$CQ$14,$CQ$19,),"")))))),"")</f>
        <v/>
      </c>
      <c r="DC24" s="2443"/>
      <c r="DD24" s="2445" t="str" cm="1">
        <f t="array" ca="1" aca="1" ref="DD24">IFERROR(IF(AD24*fxVal_normal=_PL!AD24,"",IF(OR(AD24="",NOT(ISNUMBER(AD24)),ISERROR(AD24),$B24=""),"",IF($I24=1,IFBLANK(_xldudf_CX_PUSH(AD24*fxVal_normal,CX_ENTITY,$B24,AD$11,AD$14,AD$19,),""),IF($I24=2,IFBLANK(_xldudf_CX_PUSH(AD24,CX_ENTITY,$B24,AD$11,AD$14,AD$19,),""),IF($I24=3,"",IFBLANK(_xldudf_CX_PUSH(AD24,CX_ENTITY,$B24,AD$11,AD$14,AD$19,),"")))))),"")</f>
        <v/>
      </c>
      <c r="DE24" s="2445" t="str" cm="1">
        <f t="array" ca="1" aca="1" ref="DE24">IFERROR(IF(AE24*fxVal_normal=_PL!AE24,"",IF(OR(AE24="",NOT(ISNUMBER(AE24)),ISERROR(AE24),$B24=""),"",IF($I24=1,IFBLANK(_xldudf_CX_PUSH(AE24*fxVal_normal,CX_ENTITY,$B24,AE$11,AE$14,AE$19,),""),IF($I24=2,IFBLANK(_xldudf_CX_PUSH(AE24,CX_ENTITY,$B24,AE$11,AE$14,AE$19,),""),IF($I24=3,"",IFBLANK(_xldudf_CX_PUSH(AE24,CX_ENTITY,$B24,AE$11,AE$14,AE$19,),"")))))),"")</f>
        <v/>
      </c>
      <c r="DF24" s="2445" t="str" cm="1">
        <f t="array" ca="1" aca="1" ref="DF24">IFERROR(IF(AF24*fxVal_normal=_PL!AF24,"",IF(OR(AF24="",NOT(ISNUMBER(AF24)),ISERROR(AF24),$B24=""),"",IF($I24=1,IFBLANK(_xldudf_CX_PUSH(AF24*fxVal_normal,CX_ENTITY,$B24,AF$11,AF$14,AF$19,),""),IF($I24=2,IFBLANK(_xldudf_CX_PUSH(AF24,CX_ENTITY,$B24,AF$11,AF$14,AF$19,),""),IF($I24=3,"",IFBLANK(_xldudf_CX_PUSH(AF24,CX_ENTITY,$B24,AF$11,AF$14,AF$19,),"")))))),"")</f>
        <v/>
      </c>
      <c r="DG24" s="2445" t="str" cm="1">
        <f t="array" ca="1" aca="1" ref="DG24">IFERROR(IF(AG24*fxVal_normal=_PL!AG24,"",IF(OR(AG24="",NOT(ISNUMBER(AG24)),ISERROR(AG24),$B24=""),"",IF($I24=1,IFBLANK(_xldudf_CX_PUSH(AG24*fxVal_normal,CX_ENTITY,$B24,AG$11,AG$14,AG$19,),""),IF($I24=2,IFBLANK(_xldudf_CX_PUSH(AG24,CX_ENTITY,$B24,AG$11,AG$14,AG$19,),""),IF($I24=3,"",IFBLANK(_xldudf_CX_PUSH(AG24,CX_ENTITY,$B24,AG$11,AG$14,AG$19,),"")))))),"")</f>
        <v/>
      </c>
      <c r="DH24" s="2445" t="str" cm="1">
        <f t="array" ca="1" aca="1" ref="DH24">IFERROR(IF(AH24*fxVal_normal=_PL!AH24,"",IF(OR(AH24="",NOT(ISNUMBER(AH24)),ISERROR(AH24),$B24=""),"",IF($I24=1,IFBLANK(_xldudf_CX_PUSH(AH24*fxVal_normal,CX_ENTITY,$B24,AH$11,AH$14,AH$19,),""),IF($I24=2,IFBLANK(_xldudf_CX_PUSH(AH24,CX_ENTITY,$B24,AH$11,AH$14,AH$19,),""),IF($I24=3,"",IFBLANK(_xldudf_CX_PUSH(AH24,CX_ENTITY,$B24,AH$11,AH$14,AH$19,),"")))))),"")</f>
        <v/>
      </c>
      <c r="DI24" s="2445" t="str" cm="1">
        <f t="array" ca="1" aca="1" ref="DI24">IFERROR(IF(AI24*fxVal_normal=_PL!AI24,"",IF(OR(AI24="",NOT(ISNUMBER(AI24)),ISERROR(AI24),$B24=""),"",IF($I24=1,IFBLANK(_xldudf_CX_PUSH(AI24*fxVal_normal,CX_ENTITY,$B24,AI$11,AI$14,AI$19,),""),IF($I24=2,IFBLANK(_xldudf_CX_PUSH(AI24,CX_ENTITY,$B24,AI$11,AI$14,AI$19,),""),IF($I24=3,"",IFBLANK(_xldudf_CX_PUSH(AI24,CX_ENTITY,$B24,AI$11,AI$14,AI$19,),"")))))),"")</f>
        <v/>
      </c>
      <c r="DJ24" s="2445" t="str" cm="1">
        <f t="array" ca="1" aca="1" ref="DJ24">IFERROR(IF(AJ24*fxVal_normal=_PL!AJ24,"",IF(OR(AJ24="",NOT(ISNUMBER(AJ24)),ISERROR(AJ24),$B24=""),"",IF($I24=1,IFBLANK(_xldudf_CX_PUSH(AJ24*fxVal_normal,CX_ENTITY,$B24,AJ$11,AJ$14,AJ$19,),""),IF($I24=2,IFBLANK(_xldudf_CX_PUSH(AJ24,CX_ENTITY,$B24,AJ$11,AJ$14,AJ$19,),""),IF($I24=3,"",IFBLANK(_xldudf_CX_PUSH(AJ24,CX_ENTITY,$B24,AJ$11,AJ$14,AJ$19,),"")))))),"")</f>
        <v/>
      </c>
      <c r="DK24" s="2445" t="str" cm="1">
        <f t="array" ca="1" aca="1" ref="DK24">IFERROR(IF(AK24*fxVal_normal=_PL!AK24,"",IF(OR(AK24="",NOT(ISNUMBER(AK24)),ISERROR(AK24),$B24=""),"",IF($I24=1,IFBLANK(_xldudf_CX_PUSH(AK24*fxVal_normal,CX_ENTITY,$B24,AK$11,AK$14,AK$19,),""),IF($I24=2,IFBLANK(_xldudf_CX_PUSH(AK24,CX_ENTITY,$B24,AK$11,AK$14,AK$19,),""),IF($I24=3,"",IFBLANK(_xldudf_CX_PUSH(AK24,CX_ENTITY,$B24,AK$11,AK$14,AK$19,),"")))))),"")</f>
        <v/>
      </c>
      <c r="DL24" s="2445" t="str" cm="1">
        <f t="array" ca="1" aca="1" ref="DL24">IFERROR(IF(AL24*fxVal_normal=_PL!AL24,"",IF(OR(AL24="",NOT(ISNUMBER(AL24)),ISERROR(AL24),$B24=""),"",IF($I24=1,IFBLANK(_xldudf_CX_PUSH(AL24*fxVal_normal,CX_ENTITY,$B24,AL$11,AL$14,AL$19,),""),IF($I24=2,IFBLANK(_xldudf_CX_PUSH(AL24,CX_ENTITY,$B24,AL$11,AL$14,AL$19,),""),IF($I24=3,"",IFBLANK(_xldudf_CX_PUSH(AL24,CX_ENTITY,$B24,AL$11,AL$14,AL$19,),"")))))),"")</f>
        <v/>
      </c>
      <c r="DM24" s="2445" t="str" cm="1">
        <f t="array" ca="1" aca="1" ref="DM24">IFERROR(IF(AM24*fxVal_normal=_PL!AM24,"",IF(OR(AM24="",NOT(ISNUMBER(AM24)),ISERROR(AM24),$B24=""),"",IF($I24=1,IFBLANK(_xldudf_CX_PUSH(AM24*fxVal_normal,CX_ENTITY,$B24,AM$11,AM$14,AM$19,),""),IF($I24=2,IFBLANK(_xldudf_CX_PUSH(AM24,CX_ENTITY,$B24,AM$11,AM$14,AM$19,),""),IF($I24=3,"",IFBLANK(_xldudf_CX_PUSH(AM24,CX_ENTITY,$B24,AM$11,AM$14,AM$19,),"")))))),"")</f>
        <v/>
      </c>
      <c r="DN24" s="2445" t="str" cm="1">
        <f t="array" ca="1" aca="1" ref="DN24">IFERROR(IF(AN24*fxVal_normal=_PL!AN24,"",IF(OR(AN24="",NOT(ISNUMBER(AN24)),ISERROR(AN24),$B24=""),"",IF($I24=1,IFBLANK(_xldudf_CX_PUSH(AN24*fxVal_normal,CX_ENTITY,$B24,AN$11,AN$14,AN$19,),""),IF($I24=2,IFBLANK(_xldudf_CX_PUSH(AN24,CX_ENTITY,$B24,AN$11,AN$14,AN$19,),""),IF($I24=3,"",IFBLANK(_xldudf_CX_PUSH(AN24,CX_ENTITY,$B24,AN$11,AN$14,AN$19,),"")))))),"")</f>
        <v/>
      </c>
      <c r="DO24" s="2445" t="str" cm="1">
        <f t="array" ca="1" aca="1" ref="DO24">IFERROR(IF(AO24*fxVal_normal=_PL!AO24,"",IF(OR(AO24="",NOT(ISNUMBER(AO24)),ISERROR(AO24),$B24=""),"",IF($I24=1,IFBLANK(_xldudf_CX_PUSH(AO24*fxVal_normal,CX_ENTITY,$B24,AO$11,AO$14,AO$19,),""),IF($I24=2,IFBLANK(_xldudf_CX_PUSH(AO24,CX_ENTITY,$B24,AO$11,AO$14,AO$19,),""),IF($I24=3,"",IFBLANK(_xldudf_CX_PUSH(AO24,CX_ENTITY,$B24,AO$11,AO$14,AO$19,),"")))))),"")</f>
        <v/>
      </c>
      <c r="DP24" s="2445" t="str" cm="1">
        <f t="array" ca="1" aca="1" ref="DP24">IFERROR(IF(AP24*fxVal_normal=_PL!AP24,"",IF(OR(AP24="",NOT(ISNUMBER(AP24)),ISERROR(AP24),$B24=""),"",IF($I24=1,IFBLANK(_xldudf_CX_PUSH(AP24*fxVal_normal,CX_ENTITY,$B24,AP$11,AP$14,AP$19,),""),IF($I24=2,IFBLANK(_xldudf_CX_PUSH(AP24,CX_ENTITY,$B24,AP$11,AP$14,AP$19,),""),IF($I24=3,"",IFBLANK(_xldudf_CX_PUSH(AP24,CX_ENTITY,$B24,AP$11,AP$14,AP$19,),"")))))),"")</f>
        <v/>
      </c>
      <c r="DQ24" s="2445" t="str" cm="1">
        <f t="array" ca="1" aca="1" ref="DQ24">IFERROR(IF(AQ24*fxVal_normal=_PL!AQ24,"",IF(OR(AQ24="",NOT(ISNUMBER(AQ24)),ISERROR(AQ24),$B24=""),"",IF($I24=1,IFBLANK(_xldudf_CX_PUSH(AQ24*fxVal_normal,CX_ENTITY,$B24,AQ$11,AQ$14,AQ$19,),""),IF($I24=2,IFBLANK(_xldudf_CX_PUSH(AQ24,CX_ENTITY,$B24,AQ$11,AQ$14,AQ$19,),""),IF($I24=3,"",IFBLANK(_xldudf_CX_PUSH(AQ24,CX_ENTITY,$B24,AQ$11,AQ$14,AQ$19,),"")))))),"")</f>
        <v/>
      </c>
      <c r="DR24" s="2445" t="str" cm="1">
        <f t="array" ca="1" aca="1" ref="DR24">IFERROR(IF(AR24*fxVal_normal=_PL!AR24,"",IF(OR(AR24="",NOT(ISNUMBER(AR24)),ISERROR(AR24),$B24=""),"",IF($I24=1,IFBLANK(_xldudf_CX_PUSH(AR24*fxVal_normal,CX_ENTITY,$B24,AR$11,AR$14,AR$19,),""),IF($I24=2,IFBLANK(_xldudf_CX_PUSH(AR24,CX_ENTITY,$B24,AR$11,AR$14,AR$19,),""),IF($I24=3,"",IFBLANK(_xldudf_CX_PUSH(AR24,CX_ENTITY,$B24,AR$11,AR$14,AR$19,),"")))))),"")</f>
        <v/>
      </c>
      <c r="DS24" s="2445" t="str" cm="1">
        <f t="array" ca="1" aca="1" ref="DS24">IFERROR(IF(AS24*fxVal_normal=_PL!AS24,"",IF(OR(AS24="",NOT(ISNUMBER(AS24)),ISERROR(AS24),$B24=""),"",IF($I24=1,IFBLANK(_xldudf_CX_PUSH(AS24*fxVal_normal,CX_ENTITY,$B24,AS$11,AS$14,AS$19,),""),IF($I24=2,IFBLANK(_xldudf_CX_PUSH(AS24,CX_ENTITY,$B24,AS$11,AS$14,AS$19,),""),IF($I24=3,"",IFBLANK(_xldudf_CX_PUSH(AS24,CX_ENTITY,$B24,AS$11,AS$14,AS$19,),"")))))),"")</f>
        <v/>
      </c>
      <c r="DT24" s="2445" t="str" cm="1">
        <f t="array" ca="1" aca="1" ref="DT24">IFERROR(IF(AT24*fxVal_normal=_PL!AT24,"",IF(OR(AT24="",NOT(ISNUMBER(AT24)),ISERROR(AT24),$B24=""),"",IF($I24=1,IFBLANK(_xldudf_CX_PUSH(AT24*fxVal_normal,CX_ENTITY,$B24,AT$11,AT$14,AT$19,),""),IF($I24=2,IFBLANK(_xldudf_CX_PUSH(AT24,CX_ENTITY,$B24,AT$11,AT$14,AT$19,),""),IF($I24=3,"",IFBLANK(_xldudf_CX_PUSH(AT24,CX_ENTITY,$B24,AT$11,AT$14,AT$19,),"")))))),"")</f>
        <v/>
      </c>
      <c r="DU24" s="2445" t="str" cm="1">
        <f t="array" ca="1" aca="1" ref="DU24">IFERROR(IF(AU24*fxVal_normal=_PL!AU24,"",IF(OR(AU24="",NOT(ISNUMBER(AU24)),ISERROR(AU24),$B24=""),"",IF($I24=1,IFBLANK(_xldudf_CX_PUSH(AU24*fxVal_normal,CX_ENTITY,$B24,AU$11,AU$14,AU$19,),""),IF($I24=2,IFBLANK(_xldudf_CX_PUSH(AU24,CX_ENTITY,$B24,AU$11,AU$14,AU$19,),""),IF($I24=3,"",IFBLANK(_xldudf_CX_PUSH(AU24,CX_ENTITY,$B24,AU$11,AU$14,AU$19,),"")))))),"")</f>
        <v/>
      </c>
      <c r="DV24" s="2445" t="str" cm="1">
        <f t="array" ca="1" aca="1" ref="DV24">IFERROR(IF(AV24*fxVal_normal=_PL!AV24,"",IF(OR(AV24="",NOT(ISNUMBER(AV24)),ISERROR(AV24),$B24=""),"",IF($I24=1,IFBLANK(_xldudf_CX_PUSH(AV24*fxVal_normal,CX_ENTITY,$B24,AV$11,AV$14,AV$19,),""),IF($I24=2,IFBLANK(_xldudf_CX_PUSH(AV24,CX_ENTITY,$B24,AV$11,AV$14,AV$19,),""),IF($I24=3,"",IFBLANK(_xldudf_CX_PUSH(AV24,CX_ENTITY,$B24,AV$11,AV$14,AV$19,),"")))))),"")</f>
        <v/>
      </c>
      <c r="DW24" s="2445" t="str" cm="1">
        <f t="array" ca="1" aca="1" ref="DW24">IFERROR(IF(AW24*fxVal_normal=_PL!AW24,"",IF(OR(AW24="",NOT(ISNUMBER(AW24)),ISERROR(AW24),$B24=""),"",IF($I24=1,IFBLANK(_xldudf_CX_PUSH(AW24*fxVal_normal,CX_ENTITY,$B24,AW$11,AW$14,AW$19,),""),IF($I24=2,IFBLANK(_xldudf_CX_PUSH(AW24,CX_ENTITY,$B24,AW$11,AW$14,AW$19,),""),IF($I24=3,"",IFBLANK(_xldudf_CX_PUSH(AW24,CX_ENTITY,$B24,AW$11,AW$14,AW$19,),"")))))),"")</f>
        <v/>
      </c>
      <c r="DX24" s="2445" t="str" cm="1">
        <f t="array" ca="1" aca="1" ref="DX24">IFERROR(IF(AX24*fxVal_normal=_PL!AX24,"",IF(OR(AX24="",NOT(ISNUMBER(AX24)),ISERROR(AX24),$B24=""),"",IF($I24=1,IFBLANK(_xldudf_CX_PUSH(AX24*fxVal_normal,CX_ENTITY,$B24,AX$11,AX$14,AX$19,),""),IF($I24=2,IFBLANK(_xldudf_CX_PUSH(AX24,CX_ENTITY,$B24,AX$11,AX$14,AX$19,),""),IF($I24=3,"",IFBLANK(_xldudf_CX_PUSH(AX24,CX_ENTITY,$B24,AX$11,AX$14,AX$19,),"")))))),"")</f>
        <v/>
      </c>
      <c r="DY24" s="2445" t="str" cm="1">
        <f t="array" ca="1" aca="1" ref="DY24">IFERROR(IF(AY24*fxVal_normal=_PL!AY24,"",IF(OR(AY24="",NOT(ISNUMBER(AY24)),ISERROR(AY24),$B24=""),"",IF($I24=1,IFBLANK(_xldudf_CX_PUSH(AY24*fxVal_normal,CX_ENTITY,$B24,AY$11,AY$14,AY$19,),""),IF($I24=2,IFBLANK(_xldudf_CX_PUSH(AY24,CX_ENTITY,$B24,AY$11,AY$14,AY$19,),""),IF($I24=3,"",IFBLANK(_xldudf_CX_PUSH(AY24,CX_ENTITY,$B24,AY$11,AY$14,AY$19,),"")))))),"")</f>
        <v/>
      </c>
      <c r="DZ24" s="2445" t="str" cm="1">
        <f t="array" ca="1" aca="1" ref="DZ24">IFERROR(IF(AZ24*fxVal_normal=_PL!AZ24,"",IF(OR(AZ24="",NOT(ISNUMBER(AZ24)),ISERROR(AZ24),$B24=""),"",IF($I24=1,IFBLANK(_xldudf_CX_PUSH(AZ24*fxVal_normal,CX_ENTITY,$B24,AZ$11,AZ$14,AZ$19,),""),IF($I24=2,IFBLANK(_xldudf_CX_PUSH(AZ24,CX_ENTITY,$B24,AZ$11,AZ$14,AZ$19,),""),IF($I24=3,"",IFBLANK(_xldudf_CX_PUSH(AZ24,CX_ENTITY,$B24,AZ$11,AZ$14,AZ$19,),"")))))),"")</f>
        <v/>
      </c>
      <c r="EA24" s="2445" t="str" cm="1">
        <f t="array" ca="1" aca="1" ref="EA24">IFERROR(IF(BA24*fxVal_normal=_PL!BA24,"",IF(OR(BA24="",NOT(ISNUMBER(BA24)),ISERROR(BA24),$B24=""),"",IF($I24=1,IFBLANK(_xldudf_CX_PUSH(BA24*fxVal_normal,CX_ENTITY,$B24,BA$11,BA$14,BA$19,),""),IF($I24=2,IFBLANK(_xldudf_CX_PUSH(BA24,CX_ENTITY,$B24,BA$11,BA$14,BA$19,),""),IF($I24=3,"",IFBLANK(_xldudf_CX_PUSH(BA24,CX_ENTITY,$B24,BA$11,BA$14,BA$19,),"")))))),"")</f>
        <v/>
      </c>
      <c r="EB24" s="2445" t="str" cm="1">
        <f t="array" ca="1" aca="1" ref="EB24">IFERROR(IF(BB24*fxVal_normal=_PL!BB24,"",IF(OR(BB24="",NOT(ISNUMBER(BB24)),ISERROR(BB24),$B24=""),"",IF($I24=1,IFBLANK(_xldudf_CX_PUSH(BB24*fxVal_normal,CX_ENTITY,$B24,BB$11,BB$14,BB$19,),""),IF($I24=2,IFBLANK(_xldudf_CX_PUSH(BB24,CX_ENTITY,$B24,BB$11,BB$14,BB$19,),""),IF($I24=3,"",IFBLANK(_xldudf_CX_PUSH(BB24,CX_ENTITY,$B24,BB$11,BB$14,BB$19,),"")))))),"")</f>
        <v/>
      </c>
      <c r="EC24" s="2445" t="str" cm="1">
        <f t="array" ca="1" aca="1" ref="EC24">IFERROR(IF(BC24*fxVal_normal=_PL!BC24,"",IF(OR(BC24="",NOT(ISNUMBER(BC24)),ISERROR(BC24),$B24=""),"",IF($I24=1,IFBLANK(_xldudf_CX_PUSH(BC24*fxVal_normal,CX_ENTITY,$B24,BC$11,BC$14,BC$19,),""),IF($I24=2,IFBLANK(_xldudf_CX_PUSH(BC24,CX_ENTITY,$B24,BC$11,BC$14,BC$19,),""),IF($I24=3,"",IFBLANK(_xldudf_CX_PUSH(BC24,CX_ENTITY,$B24,BC$11,BC$14,BC$19,),"")))))),"")</f>
        <v/>
      </c>
      <c r="ED24" s="2445" t="str" cm="1">
        <f t="array" ca="1" aca="1" ref="ED24">IFERROR(IF(BD24*fxVal_normal=_PL!BD24,"",IF(OR(BD24="",NOT(ISNUMBER(BD24)),ISERROR(BD24),$B24=""),"",IF($I24=1,IFBLANK(_xldudf_CX_PUSH(BD24*fxVal_normal,CX_ENTITY,$B24,BD$11,BD$14,BD$19,),""),IF($I24=2,IFBLANK(_xldudf_CX_PUSH(BD24,CX_ENTITY,$B24,BD$11,BD$14,BD$19,),""),IF($I24=3,"",IFBLANK(_xldudf_CX_PUSH(BD24,CX_ENTITY,$B24,BD$11,BD$14,BD$19,),"")))))),"")</f>
        <v/>
      </c>
      <c r="EE24" s="2445" t="str" cm="1">
        <f t="array" ca="1" aca="1" ref="EE24">IFERROR(IF(BE24*fxVal_normal=_PL!BE24,"",IF(OR(BE24="",NOT(ISNUMBER(BE24)),ISERROR(BE24),$B24=""),"",IF($I24=1,IFBLANK(_xldudf_CX_PUSH(BE24*fxVal_normal,CX_ENTITY,$B24,BE$11,BE$14,BE$19,),""),IF($I24=2,IFBLANK(_xldudf_CX_PUSH(BE24,CX_ENTITY,$B24,BE$11,BE$14,BE$19,),""),IF($I24=3,"",IFBLANK(_xldudf_CX_PUSH(BE24,CX_ENTITY,$B24,BE$11,BE$14,BE$19,),"")))))),"")</f>
        <v/>
      </c>
      <c r="EF24" s="2445" t="str" cm="1">
        <f t="array" ca="1" aca="1" ref="EF24">IFERROR(IF(BF24*fxVal_normal=_PL!BF24,"",IF(OR(BF24="",NOT(ISNUMBER(BF24)),ISERROR(BF24),$B24=""),"",IF($I24=1,IFBLANK(_xldudf_CX_PUSH(BF24*fxVal_normal,CX_ENTITY,$B24,BF$11,BF$14,BF$19,),""),IF($I24=2,IFBLANK(_xldudf_CX_PUSH(BF24,CX_ENTITY,$B24,BF$11,BF$14,BF$19,),""),IF($I24=3,"",IFBLANK(_xldudf_CX_PUSH(BF24,CX_ENTITY,$B24,BF$11,BF$14,BF$19,),"")))))),"")</f>
        <v/>
      </c>
      <c r="EG24" s="2445" t="str" cm="1">
        <f t="array" ca="1" aca="1" ref="EG24">IFERROR(IF(BG24*fxVal_normal=_PL!BG24,"",IF(OR(BG24="",NOT(ISNUMBER(BG24)),ISERROR(BG24),$B24=""),"",IF($I24=1,IFBLANK(_xldudf_CX_PUSH(BG24*fxVal_normal,CX_ENTITY,$B24,BG$11,BG$14,BG$19,),""),IF($I24=2,IFBLANK(_xldudf_CX_PUSH(BG24,CX_ENTITY,$B24,BG$11,BG$14,BG$19,),""),IF($I24=3,"",IFBLANK(_xldudf_CX_PUSH(BG24,CX_ENTITY,$B24,BG$11,BG$14,BG$19,),"")))))),"")</f>
        <v/>
      </c>
      <c r="EH24" s="2445" t="str" cm="1">
        <f t="array" ca="1" aca="1" ref="EH24">IFERROR(IF(BH24*fxVal_normal=_PL!BH24,"",IF(OR(BH24="",NOT(ISNUMBER(BH24)),ISERROR(BH24),$B24=""),"",IF($I24=1,IFBLANK(_xldudf_CX_PUSH(BH24*fxVal_normal,CX_ENTITY,$B24,BH$11,BH$14,BH$19,),""),IF($I24=2,IFBLANK(_xldudf_CX_PUSH(BH24,CX_ENTITY,$B24,BH$11,BH$14,BH$19,),""),IF($I24=3,"",IFBLANK(_xldudf_CX_PUSH(BH24,CX_ENTITY,$B24,BH$11,BH$14,BH$19,),"")))))),"")</f>
        <v/>
      </c>
      <c r="EI24" s="2445" t="str" cm="1">
        <f t="array" ca="1" aca="1" ref="EI24">IFERROR(IF(BI24*fxVal_normal=_PL!BI24,"",IF(OR(BI24="",NOT(ISNUMBER(BI24)),ISERROR(BI24),$B24=""),"",IF($I24=1,IFBLANK(_xldudf_CX_PUSH(BI24*fxVal_normal,CX_ENTITY,$B24,BI$11,BI$14,BI$19,),""),IF($I24=2,IFBLANK(_xldudf_CX_PUSH(BI24,CX_ENTITY,$B24,BI$11,BI$14,BI$19,),""),IF($I24=3,"",IFBLANK(_xldudf_CX_PUSH(BI24,CX_ENTITY,$B24,BI$11,BI$14,BI$19,),"")))))),"")</f>
        <v/>
      </c>
      <c r="EJ24" s="2445" t="str" cm="1">
        <f t="array" ca="1" aca="1" ref="EJ24">IFERROR(IF(BJ24*fxVal_normal=_PL!BJ24,"",IF(OR(BJ24="",NOT(ISNUMBER(BJ24)),ISERROR(BJ24),$B24=""),"",IF($I24=1,IFBLANK(_xldudf_CX_PUSH(BJ24*fxVal_normal,CX_ENTITY,$B24,BJ$11,BJ$14,BJ$19,),""),IF($I24=2,IFBLANK(_xldudf_CX_PUSH(BJ24,CX_ENTITY,$B24,BJ$11,BJ$14,BJ$19,),""),IF($I24=3,"",IFBLANK(_xldudf_CX_PUSH(BJ24,CX_ENTITY,$B24,BJ$11,BJ$14,BJ$19,),"")))))),"")</f>
        <v/>
      </c>
      <c r="EK24" s="2445" t="str" cm="1">
        <f t="array" ca="1" aca="1" ref="EK24">IFERROR(IF(BK24*fxVal_normal=_PL!BK24,"",IF(OR(BK24="",NOT(ISNUMBER(BK24)),ISERROR(BK24),$B24=""),"",IF($I24=1,IFBLANK(_xldudf_CX_PUSH(BK24*fxVal_normal,CX_ENTITY,$B24,BK$11,BK$14,BK$19,),""),IF($I24=2,IFBLANK(_xldudf_CX_PUSH(BK24,CX_ENTITY,$B24,BK$11,BK$14,BK$19,),""),IF($I24=3,"",IFBLANK(_xldudf_CX_PUSH(BK24,CX_ENTITY,$B24,BK$11,BK$14,BK$19,),"")))))),"")</f>
        <v/>
      </c>
      <c r="EL24" s="2445" t="str" cm="1">
        <f t="array" ca="1" aca="1" ref="EL24">IFERROR(IF(BL24*fxVal_normal=_PL!BL24,"",IF(OR(BL24="",NOT(ISNUMBER(BL24)),ISERROR(BL24),$B24=""),"",IF($I24=1,IFBLANK(_xldudf_CX_PUSH(BL24*fxVal_normal,CX_ENTITY,$B24,BL$11,BL$14,BL$19,),""),IF($I24=2,IFBLANK(_xldudf_CX_PUSH(BL24,CX_ENTITY,$B24,BL$11,BL$14,BL$19,),""),IF($I24=3,"",IFBLANK(_xldudf_CX_PUSH(BL24,CX_ENTITY,$B24,BL$11,BL$14,BL$19,),"")))))),"")</f>
        <v/>
      </c>
      <c r="EM24" s="2445" t="str" cm="1">
        <f t="array" ca="1" aca="1" ref="EM24">IFERROR(IF(BM24*fxVal_normal=_PL!BM24,"",IF(OR(BM24="",NOT(ISNUMBER(BM24)),ISERROR(BM24),$B24=""),"",IF($I24=1,IFBLANK(_xldudf_CX_PUSH(BM24*fxVal_normal,CX_ENTITY,$B24,BM$11,BM$14,BM$19,),""),IF($I24=2,IFBLANK(_xldudf_CX_PUSH(BM24,CX_ENTITY,$B24,BM$11,BM$14,BM$19,),""),IF($I24=3,"",IFBLANK(_xldudf_CX_PUSH(BM24,CX_ENTITY,$B24,BM$11,BM$14,BM$19,),"")))))),"")</f>
        <v/>
      </c>
      <c r="EN24" s="2445" t="str" cm="1">
        <f t="array" ca="1" aca="1" ref="EN24">IFERROR(IF(BN24*fxVal_normal=_PL!BN24,"",IF(OR(BN24="",NOT(ISNUMBER(BN24)),ISERROR(BN24),$B24=""),"",IF($I24=1,IFBLANK(_xldudf_CX_PUSH(BN24*fxVal_normal,CX_ENTITY,$B24,BN$11,BN$14,BN$19,),""),IF($I24=2,IFBLANK(_xldudf_CX_PUSH(BN24,CX_ENTITY,$B24,BN$11,BN$14,BN$19,),""),IF($I24=3,"",IFBLANK(_xldudf_CX_PUSH(BN24,CX_ENTITY,$B24,BN$11,BN$14,BN$19,),"")))))),"")</f>
        <v/>
      </c>
    </row>
    <row r="25" spans="1:144" ht="21" customHeight="1">
      <c r="A25" s="1625"/>
      <c r="B25" s="2439" t="str">
        <f ca="1">_xlfn.LET(_xlpm.IsNotAttrDynamic,D25="",_xlpm.Attr,_PL!F25,_xlpm.NotInUse,Y25=D25,_xlpm.RESULT,IF(_xlpm.IsNotAttrDynamic,_xlpm.Attr,IF(_xlpm.NotInUse,"",Y25)),IF(_xlpm.RESULT="","",_xlpm.RESULT))</f>
        <v>Reported EBITDA</v>
      </c>
      <c r="C25" s="2439" t="str" cm="1">
        <f t="array" ref="C25">IFBLANK(_PL!C25,"")</f>
        <v>Reported EBITDA (Company View)</v>
      </c>
      <c r="D25" s="1548"/>
      <c r="E25" s="2440" t="e" cm="1">
        <f t="array" ca="1" aca="1" ref="E2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25:$CQ25,Z25)</f>
        <v>#NAME?</v>
      </c>
      <c r="F25" s="1897"/>
      <c r="G25" s="1897"/>
      <c r="H25" s="3279">
        <v>2</v>
      </c>
      <c r="I25" s="3279">
        <v>1</v>
      </c>
      <c r="J25" s="401" cm="1">
        <f t="array" ref="J25">IFBLANK(Z25,"")</f>
        <v>0</v>
      </c>
      <c r="K25" s="578" t="str">
        <f t="shared" si="3"/>
        <v>Yes</v>
      </c>
      <c r="L25" s="37"/>
      <c r="N25" s="158"/>
      <c r="O25" s="101"/>
      <c r="P25" s="52"/>
      <c r="Q25" s="101"/>
      <c r="R25" s="126"/>
      <c r="S25" s="101"/>
      <c r="T25" s="101"/>
      <c r="U25" s="39"/>
      <c r="V25" s="37"/>
      <c r="W25" s="91" t="str">
        <f t="shared" si="4"/>
        <v>Actual</v>
      </c>
      <c r="X25" s="2081">
        <f>_PL!X25</f>
        <v>0</v>
      </c>
      <c r="Y25" s="1196" t="e">
        <f ca="1">IF(_PL!Y25="Error","",_PL!Y25)</f>
        <v>#NAME?</v>
      </c>
      <c r="Z25" s="198" cm="1">
        <f t="array" ref="Z25">_xlfn.SWITCH(TRUE,_PL!$L25=TRUE,1,_PL!$L25=FALSE,-1,_PL!$L25=-1,0,"")</f>
        <v>0</v>
      </c>
      <c r="AA25" s="200"/>
      <c r="AB25" s="301" t="str">
        <f>_PL!AB25</f>
        <v>Reported EBITDA</v>
      </c>
      <c r="AC25" s="275" t="e" vm="5" cm="1">
        <f t="array" ca="1" aca="1" ref="AC25">_xlfn.LET(_xlpm._termname,$AB25,_xlpm._iconname,"find",_xlpm._icon,fx_getIcon(_xlpm._iconname),_xlpm._location,_xlfn.XLOOKUP(LOWER(_xlpm._termname),LOWER(tbl_acctDef[Term]),tbl_acctDef[Term]),_xlpm._hyperlink,HYPERLINK("#"&amp;CELL("address",_xlpm._location),_xlpm._icon),IFERROR(_xlpm._hyperlink,""))</f>
        <v>#VALUE!</v>
      </c>
      <c r="AD25" s="1210">
        <f t="shared" si="7" ref="AD25:BN25">SUBTOTAL(9,AD20:AD24)-N(AD23)</f>
        <v>3</v>
      </c>
      <c r="AE25" s="1210">
        <f t="shared" si="7"/>
        <v>3</v>
      </c>
      <c r="AF25" s="1210">
        <f t="shared" si="7"/>
        <v>3</v>
      </c>
      <c r="AG25" s="1210">
        <f t="shared" si="7"/>
        <v>3</v>
      </c>
      <c r="AH25" s="1210">
        <f t="shared" si="7"/>
        <v>3</v>
      </c>
      <c r="AI25" s="1210">
        <f t="shared" si="7"/>
        <v>3</v>
      </c>
      <c r="AJ25" s="1210">
        <f t="shared" si="7"/>
        <v>3</v>
      </c>
      <c r="AK25" s="1210">
        <f t="shared" si="7"/>
        <v>3</v>
      </c>
      <c r="AL25" s="1210">
        <f t="shared" si="7"/>
        <v>3</v>
      </c>
      <c r="AM25" s="1210">
        <f t="shared" si="7"/>
        <v>3</v>
      </c>
      <c r="AN25" s="1210">
        <f t="shared" si="7"/>
        <v>3</v>
      </c>
      <c r="AO25" s="1210">
        <f t="shared" si="7"/>
        <v>3</v>
      </c>
      <c r="AP25" s="1210">
        <f t="shared" si="7"/>
        <v>3</v>
      </c>
      <c r="AQ25" s="1210">
        <f t="shared" si="7"/>
        <v>3</v>
      </c>
      <c r="AR25" s="1210">
        <f t="shared" si="7"/>
        <v>3</v>
      </c>
      <c r="AS25" s="1210">
        <f t="shared" si="7"/>
        <v>3</v>
      </c>
      <c r="AT25" s="1210">
        <f t="shared" si="7"/>
        <v>3</v>
      </c>
      <c r="AU25" s="1210">
        <f t="shared" si="7"/>
        <v>3</v>
      </c>
      <c r="AV25" s="1210">
        <f t="shared" si="7"/>
        <v>3</v>
      </c>
      <c r="AW25" s="1210">
        <f t="shared" si="7"/>
        <v>3</v>
      </c>
      <c r="AX25" s="1210">
        <f t="shared" si="7"/>
        <v>3</v>
      </c>
      <c r="AY25" s="1210">
        <f t="shared" si="7"/>
        <v>3</v>
      </c>
      <c r="AZ25" s="1210">
        <f t="shared" si="7"/>
        <v>3</v>
      </c>
      <c r="BA25" s="1210">
        <f t="shared" si="7"/>
        <v>3</v>
      </c>
      <c r="BB25" s="1210">
        <f t="shared" si="7"/>
        <v>3</v>
      </c>
      <c r="BC25" s="1210">
        <f t="shared" si="7"/>
        <v>3</v>
      </c>
      <c r="BD25" s="1210">
        <f t="shared" si="7"/>
        <v>3</v>
      </c>
      <c r="BE25" s="1210">
        <f t="shared" si="7"/>
        <v>3</v>
      </c>
      <c r="BF25" s="1210">
        <f t="shared" si="7"/>
        <v>3</v>
      </c>
      <c r="BG25" s="1210">
        <f t="shared" si="7"/>
        <v>3</v>
      </c>
      <c r="BH25" s="1210">
        <f t="shared" si="7"/>
        <v>3</v>
      </c>
      <c r="BI25" s="1210">
        <f t="shared" si="7"/>
        <v>3</v>
      </c>
      <c r="BJ25" s="1210">
        <f t="shared" si="7"/>
        <v>3</v>
      </c>
      <c r="BK25" s="1210">
        <f t="shared" si="7"/>
        <v>3</v>
      </c>
      <c r="BL25" s="1210">
        <f t="shared" si="7"/>
        <v>3</v>
      </c>
      <c r="BM25" s="1210">
        <f t="shared" si="7"/>
        <v>3</v>
      </c>
      <c r="BN25" s="1210">
        <f t="shared" si="7"/>
        <v>3</v>
      </c>
      <c r="BO25" s="2096"/>
      <c r="BP25" s="2096"/>
      <c r="BQ25" s="2096"/>
      <c r="BR25" s="2096"/>
      <c r="BS25" s="2096"/>
      <c r="BT25" s="2096"/>
      <c r="BU25" s="2096"/>
      <c r="BV25" s="2096"/>
      <c r="BW25" s="2096"/>
      <c r="BX25" s="2096"/>
      <c r="BY25" s="2096"/>
      <c r="BZ25" s="2096"/>
      <c r="CA25" s="34"/>
      <c r="CC25" s="33"/>
      <c r="CD25" s="1772" t="e" cm="1">
        <f t="array" ca="1" aca="1" ref="CD25">_xlfn.LET(_xlpm.CheckBlank,SUM(PL!$AD25:PL!$BN25)=0,IF(_xlpm.CheckBlank,"",SUM(_xlfn._xlws.FILTER(PL!$AD25:$BN25,(YEAR(PL!$AD$12:$BN$12)=PL!CD$12)*(array_timeline&lt;=PL!CD$11)))))</f>
        <v>#NAME?</v>
      </c>
      <c r="CE25" s="1772" t="e" cm="1">
        <f t="array" ca="1" aca="1" ref="CE25">_xlfn.LET(_xlpm.CheckBlank,SUM(PL!$AD25:PL!$BN25)=0,IF(_xlpm.CheckBlank,"",SUM(_xlfn._xlws.FILTER(PL!$AD25:$BN25,(YEAR(PL!$AD$12:$BN$12)=PL!CE$12)*(array_timeline&lt;=PL!CE$11)))))</f>
        <v>#NAME?</v>
      </c>
      <c r="CF25" s="88"/>
      <c r="CG25" s="1461" t="str" cm="1">
        <f t="array" ca="1" aca="1" ref="CG25">IFERROR(_xlfn.LET(_xlpm.CheckBlank,SUM(PL!$AD25:$BN25)=0,IF(_xlpm.CheckBlank,"",SUM(_xlfn._xlws.FILTER(PL!$AD25:$BN25,(YEAR(PL!$AD$12:$BN$12)=PL!CG$12)*(array_timeline&lt;=PL!CG$11))))),"n/a")</f>
        <v>n/a</v>
      </c>
      <c r="CH25" s="1461" t="e" cm="1">
        <f t="array" ca="1" aca="1" ref="CH25">_xlfn.LET(_xlpm.CheckBlank,SUM(PL!$AD25:$BN25)=0,IF(_xlpm.CheckBlank,"",SUM(_xlfn._xlws.FILTER(PL!$AD25:$BN25,(YEAR(PL!$AD$12:$BN$12)=PL!CH$12)*(array_timeline&lt;=PL!CH$11)))))</f>
        <v>#NAME?</v>
      </c>
      <c r="CI25" s="88"/>
      <c r="CJ25" s="1461" cm="1">
        <f t="array" ref="CJ25">_xlfn.LET(_xlpm.CheckBlank,SUM(PL!$AD25:$BN25)=0,IF(_xlpm.CheckBlank,"",SUM(_xlfn.TAKE(_xlfn.DROP(PL!$AD25:$BN25,,-DATEDIFF(PL!CJ$11,val_asOfDate,"M")),1,-12))))</f>
        <v>36</v>
      </c>
      <c r="CK25" s="1461" cm="1">
        <f t="array" ref="CK25">_xlfn.LET(_xlpm.CheckBlank,SUM(PL!$AD25:$BN25)=0,IF(_xlpm.CheckBlank,"",SUM(_xlfn.TAKE(_xlfn.DROP(PL!$AD25:$BN25,,-DATEDIFF(PL!CK$11,val_asOfDate,"M")),1,-12))))</f>
        <v>36</v>
      </c>
      <c r="CL25" s="88"/>
      <c r="CM25" s="2446">
        <f>SUBTOTAL(9,CM20:CM24)-N(CM23)</f>
        <v>3</v>
      </c>
      <c r="CN25" s="2446">
        <f>SUBTOTAL(9,CN20:CN24)-N(CN23)</f>
        <v>3</v>
      </c>
      <c r="CO25" s="1169"/>
      <c r="CP25" s="2446">
        <f>SUBTOTAL(9,CP20:CP24)-N(CP23)</f>
        <v>3</v>
      </c>
      <c r="CQ25" s="2446">
        <f>SUBTOTAL(9,CQ20:CQ24)-N(CQ23)</f>
        <v>3</v>
      </c>
      <c r="CR25" s="34"/>
      <c r="CS25" s="2056"/>
      <c r="CT25" s="2085" t="e" cm="1">
        <f t="array" ca="1" aca="1" ref="CT25">IF(K25&lt;&gt;"Yes","",IF(OR(Y25="Select,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III"),"",IF(OR(Y25&lt;&gt;AB25,AND(LEN(B25)=0,NOT(OR(Y25="Select,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III")))),_xldudf_CX_PUSH(Y25,CX_ENTITY,C25,EOMONTH(val_asOfDate,0)),"")))</f>
        <v>#NAME?</v>
      </c>
      <c r="CU25" s="2085" t="e" cm="1">
        <f t="array" ca="1" aca="1" ref="CU25">IF(K25&lt;&gt;"Yes","",IF(OR(Y25="Select,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III"),"",IF(OR(Y25&lt;&gt;AB25,AND(LEN(B25)=0,NOT(OR(Y25="Select,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III")))),_xldudf_CX_PUSH(Y25,CX_ENTITY,C25,EOMONTH(val_asOfDate,1)),"")))</f>
        <v>#NAME?</v>
      </c>
      <c r="CV25" s="2085" t="e" cm="1">
        <f t="array" ca="1" aca="1" ref="CV25">IF(K25&lt;&gt;"Yes","",IF(OR(Y25="Select,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III"),"",IF(OR(Y25&lt;&gt;AB25,AND(LEN(B25)=0,NOT(OR(Y25="Select,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III")))),_xldudf_CX_PUSH(Y25,CX_ENTITY,C25,EOMONTH(val_asOfDate,2)),"")))</f>
        <v>#NAME?</v>
      </c>
      <c r="CW25" s="2085" t="e" cm="1">
        <f t="array" ca="1" aca="1" ref="CW25">IF(K25&lt;&gt;"Yes","",IF(OR(Y25="Select,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III"),"",IF(OR(Y25&lt;&gt;AB25,AND(LEN(B25)=0,NOT(OR(Y25="Select,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III")))),_xldudf_CX_PUSH(Y25,CX_ENTITY,C25,EOMONTH(val_asOfDate,3)),"")))</f>
        <v>#NAME?</v>
      </c>
      <c r="CX25" s="2443"/>
      <c r="CY25" s="2444" t="str" cm="1">
        <f t="array" ca="1" aca="1" ref="CY25">IFERROR(IF(CM25*fxVal_normal=_PL!CM25,"",IF(OR($CM25="",$CM25=0,NOT(ISNUMBER($CM25)),ISERROR($CM25),$B25=""),"",IF($I25=1,IFBLANK(_xldudf_CX_PUSH($CM25*fxVal_normal,CX_ENTITY,$B25,$CM$11,$CM$14,$CM$19,),""),IF($I25=2,IFBLANK(_xldudf_CX_PUSH($CM25,CX_ENTITY,$B25,$CM$11,$CM$14,$CM$19,),""),IF($I25=3,"",IFBLANK(_xldudf_CX_PUSH($CM25,CX_ENTITY,$B25,$CM$11,$CM$14,$CM$19,),"")))))),"")</f>
        <v/>
      </c>
      <c r="CZ25" s="2444" t="str" cm="1">
        <f t="array" ca="1" aca="1" ref="CZ25">IFERROR(IF(CN25*fxVal_normal=_PL!CN25,"",IF(OR($CN25="",$CN25=0,NOT(ISNUMBER($CN25)),ISERROR($CN25),$B25=""),"",IF($I25=1,IFBLANK(_xldudf_CX_PUSH($CN25*fxVal_normal,CX_ENTITY,$B25,$CN$11,$CN$14,$CN$19,),""),IF($I25=2,IFBLANK(_xldudf_CX_PUSH($CN25,CX_ENTITY,$B25,$CN$11,$CN$14,$CN$19,),""),IF($I25=3,"",IFBLANK(_xldudf_CX_PUSH($CN25,CX_ENTITY,$B25,$CN$11,$CN$14,$CN$19,),"")))))),"")</f>
        <v/>
      </c>
      <c r="DA25" s="2444" t="str" cm="1">
        <f t="array" ca="1" aca="1" ref="DA25">IFERROR(IF(CP25*fxVal_normal=_PL!CP25,"",IF(OR($CP25="",$CP25=0,NOT(ISNUMBER($CP25)),ISERROR($CP25),$B25=""),"",IF($I25=1,IFBLANK(_xldudf_CX_PUSH($CP25*fxVal_normal,CX_ENTITY,$B25,$CP$11,$CP$14,$CP$19,),""),IF($I25=2,IFBLANK(_xldudf_CX_PUSH($CP25,CX_ENTITY,$B25,$CP$11,$CP$14,$CP$19,),""),IF($I25=3,"",IFBLANK(_xldudf_CX_PUSH($CP25,CX_ENTITY,$B25,$CP$11,$CP$14,$CP$19,),"")))))),"")</f>
        <v/>
      </c>
      <c r="DB25" s="2444" t="str" cm="1">
        <f t="array" ca="1" aca="1" ref="DB25">IFERROR(IF(CQ25*fxVal_normal=_PL!CQ25,"",IF(OR($CQ25="",$CQ25=0,NOT(ISNUMBER($CQ25)),ISERROR($CQ25),$B25=""),"",IF($I25=1,IFBLANK(_xldudf_CX_PUSH($CQ25*fxVal_normal,CX_ENTITY,$B25,$CQ$11,$CQ$14,$CQ$19,),""),IF($I25=2,IFBLANK(_xldudf_CX_PUSH($CQ25,CX_ENTITY,$B25,$CQ$11,$CQ$14,$CQ$19,),""),IF($I25=3,"",IFBLANK(_xldudf_CX_PUSH($CQ25,CX_ENTITY,$B25,$CQ$11,$CQ$14,$CQ$19,),"")))))),"")</f>
        <v/>
      </c>
      <c r="DC25" s="2443"/>
      <c r="DD25" s="2445" t="str" cm="1">
        <f t="array" ca="1" aca="1" ref="DD25">IFERROR(IF(AD25*fxVal_normal=_PL!AD25,"",IF(OR(AD25="",NOT(ISNUMBER(AD25)),ISERROR(AD25),$B25=""),"",IF($I25=1,IFBLANK(_xldudf_CX_PUSH(AD25*fxVal_normal,CX_ENTITY,$B25,AD$11,AD$14,AD$19,),""),IF($I25=2,IFBLANK(_xldudf_CX_PUSH(AD25,CX_ENTITY,$B25,AD$11,AD$14,AD$19,),""),IF($I25=3,"",IFBLANK(_xldudf_CX_PUSH(AD25,CX_ENTITY,$B25,AD$11,AD$14,AD$19,),"")))))),"")</f>
        <v/>
      </c>
      <c r="DE25" s="2445" t="str" cm="1">
        <f t="array" ca="1" aca="1" ref="DE25">IFERROR(IF(AE25*fxVal_normal=_PL!AE25,"",IF(OR(AE25="",NOT(ISNUMBER(AE25)),ISERROR(AE25),$B25=""),"",IF($I25=1,IFBLANK(_xldudf_CX_PUSH(AE25*fxVal_normal,CX_ENTITY,$B25,AE$11,AE$14,AE$19,),""),IF($I25=2,IFBLANK(_xldudf_CX_PUSH(AE25,CX_ENTITY,$B25,AE$11,AE$14,AE$19,),""),IF($I25=3,"",IFBLANK(_xldudf_CX_PUSH(AE25,CX_ENTITY,$B25,AE$11,AE$14,AE$19,),"")))))),"")</f>
        <v/>
      </c>
      <c r="DF25" s="2445" t="str" cm="1">
        <f t="array" ca="1" aca="1" ref="DF25">IFERROR(IF(AF25*fxVal_normal=_PL!AF25,"",IF(OR(AF25="",NOT(ISNUMBER(AF25)),ISERROR(AF25),$B25=""),"",IF($I25=1,IFBLANK(_xldudf_CX_PUSH(AF25*fxVal_normal,CX_ENTITY,$B25,AF$11,AF$14,AF$19,),""),IF($I25=2,IFBLANK(_xldudf_CX_PUSH(AF25,CX_ENTITY,$B25,AF$11,AF$14,AF$19,),""),IF($I25=3,"",IFBLANK(_xldudf_CX_PUSH(AF25,CX_ENTITY,$B25,AF$11,AF$14,AF$19,),"")))))),"")</f>
        <v/>
      </c>
      <c r="DG25" s="2445" t="str" cm="1">
        <f t="array" ca="1" aca="1" ref="DG25">IFERROR(IF(AG25*fxVal_normal=_PL!AG25,"",IF(OR(AG25="",NOT(ISNUMBER(AG25)),ISERROR(AG25),$B25=""),"",IF($I25=1,IFBLANK(_xldudf_CX_PUSH(AG25*fxVal_normal,CX_ENTITY,$B25,AG$11,AG$14,AG$19,),""),IF($I25=2,IFBLANK(_xldudf_CX_PUSH(AG25,CX_ENTITY,$B25,AG$11,AG$14,AG$19,),""),IF($I25=3,"",IFBLANK(_xldudf_CX_PUSH(AG25,CX_ENTITY,$B25,AG$11,AG$14,AG$19,),"")))))),"")</f>
        <v/>
      </c>
      <c r="DH25" s="2445" t="str" cm="1">
        <f t="array" ca="1" aca="1" ref="DH25">IFERROR(IF(AH25*fxVal_normal=_PL!AH25,"",IF(OR(AH25="",NOT(ISNUMBER(AH25)),ISERROR(AH25),$B25=""),"",IF($I25=1,IFBLANK(_xldudf_CX_PUSH(AH25*fxVal_normal,CX_ENTITY,$B25,AH$11,AH$14,AH$19,),""),IF($I25=2,IFBLANK(_xldudf_CX_PUSH(AH25,CX_ENTITY,$B25,AH$11,AH$14,AH$19,),""),IF($I25=3,"",IFBLANK(_xldudf_CX_PUSH(AH25,CX_ENTITY,$B25,AH$11,AH$14,AH$19,),"")))))),"")</f>
        <v/>
      </c>
      <c r="DI25" s="2445" t="str" cm="1">
        <f t="array" ca="1" aca="1" ref="DI25">IFERROR(IF(AI25*fxVal_normal=_PL!AI25,"",IF(OR(AI25="",NOT(ISNUMBER(AI25)),ISERROR(AI25),$B25=""),"",IF($I25=1,IFBLANK(_xldudf_CX_PUSH(AI25*fxVal_normal,CX_ENTITY,$B25,AI$11,AI$14,AI$19,),""),IF($I25=2,IFBLANK(_xldudf_CX_PUSH(AI25,CX_ENTITY,$B25,AI$11,AI$14,AI$19,),""),IF($I25=3,"",IFBLANK(_xldudf_CX_PUSH(AI25,CX_ENTITY,$B25,AI$11,AI$14,AI$19,),"")))))),"")</f>
        <v/>
      </c>
      <c r="DJ25" s="2445" t="str" cm="1">
        <f t="array" ca="1" aca="1" ref="DJ25">IFERROR(IF(AJ25*fxVal_normal=_PL!AJ25,"",IF(OR(AJ25="",NOT(ISNUMBER(AJ25)),ISERROR(AJ25),$B25=""),"",IF($I25=1,IFBLANK(_xldudf_CX_PUSH(AJ25*fxVal_normal,CX_ENTITY,$B25,AJ$11,AJ$14,AJ$19,),""),IF($I25=2,IFBLANK(_xldudf_CX_PUSH(AJ25,CX_ENTITY,$B25,AJ$11,AJ$14,AJ$19,),""),IF($I25=3,"",IFBLANK(_xldudf_CX_PUSH(AJ25,CX_ENTITY,$B25,AJ$11,AJ$14,AJ$19,),"")))))),"")</f>
        <v/>
      </c>
      <c r="DK25" s="2445" t="str" cm="1">
        <f t="array" ca="1" aca="1" ref="DK25">IFERROR(IF(AK25*fxVal_normal=_PL!AK25,"",IF(OR(AK25="",NOT(ISNUMBER(AK25)),ISERROR(AK25),$B25=""),"",IF($I25=1,IFBLANK(_xldudf_CX_PUSH(AK25*fxVal_normal,CX_ENTITY,$B25,AK$11,AK$14,AK$19,),""),IF($I25=2,IFBLANK(_xldudf_CX_PUSH(AK25,CX_ENTITY,$B25,AK$11,AK$14,AK$19,),""),IF($I25=3,"",IFBLANK(_xldudf_CX_PUSH(AK25,CX_ENTITY,$B25,AK$11,AK$14,AK$19,),"")))))),"")</f>
        <v/>
      </c>
      <c r="DL25" s="2445" t="str" cm="1">
        <f t="array" ca="1" aca="1" ref="DL25">IFERROR(IF(AL25*fxVal_normal=_PL!AL25,"",IF(OR(AL25="",NOT(ISNUMBER(AL25)),ISERROR(AL25),$B25=""),"",IF($I25=1,IFBLANK(_xldudf_CX_PUSH(AL25*fxVal_normal,CX_ENTITY,$B25,AL$11,AL$14,AL$19,),""),IF($I25=2,IFBLANK(_xldudf_CX_PUSH(AL25,CX_ENTITY,$B25,AL$11,AL$14,AL$19,),""),IF($I25=3,"",IFBLANK(_xldudf_CX_PUSH(AL25,CX_ENTITY,$B25,AL$11,AL$14,AL$19,),"")))))),"")</f>
        <v/>
      </c>
      <c r="DM25" s="2445" t="str" cm="1">
        <f t="array" ca="1" aca="1" ref="DM25">IFERROR(IF(AM25*fxVal_normal=_PL!AM25,"",IF(OR(AM25="",NOT(ISNUMBER(AM25)),ISERROR(AM25),$B25=""),"",IF($I25=1,IFBLANK(_xldudf_CX_PUSH(AM25*fxVal_normal,CX_ENTITY,$B25,AM$11,AM$14,AM$19,),""),IF($I25=2,IFBLANK(_xldudf_CX_PUSH(AM25,CX_ENTITY,$B25,AM$11,AM$14,AM$19,),""),IF($I25=3,"",IFBLANK(_xldudf_CX_PUSH(AM25,CX_ENTITY,$B25,AM$11,AM$14,AM$19,),"")))))),"")</f>
        <v/>
      </c>
      <c r="DN25" s="2445" t="str" cm="1">
        <f t="array" ca="1" aca="1" ref="DN25">IFERROR(IF(AN25*fxVal_normal=_PL!AN25,"",IF(OR(AN25="",NOT(ISNUMBER(AN25)),ISERROR(AN25),$B25=""),"",IF($I25=1,IFBLANK(_xldudf_CX_PUSH(AN25*fxVal_normal,CX_ENTITY,$B25,AN$11,AN$14,AN$19,),""),IF($I25=2,IFBLANK(_xldudf_CX_PUSH(AN25,CX_ENTITY,$B25,AN$11,AN$14,AN$19,),""),IF($I25=3,"",IFBLANK(_xldudf_CX_PUSH(AN25,CX_ENTITY,$B25,AN$11,AN$14,AN$19,),"")))))),"")</f>
        <v/>
      </c>
      <c r="DO25" s="2445" t="str" cm="1">
        <f t="array" ca="1" aca="1" ref="DO25">IFERROR(IF(AO25*fxVal_normal=_PL!AO25,"",IF(OR(AO25="",NOT(ISNUMBER(AO25)),ISERROR(AO25),$B25=""),"",IF($I25=1,IFBLANK(_xldudf_CX_PUSH(AO25*fxVal_normal,CX_ENTITY,$B25,AO$11,AO$14,AO$19,),""),IF($I25=2,IFBLANK(_xldudf_CX_PUSH(AO25,CX_ENTITY,$B25,AO$11,AO$14,AO$19,),""),IF($I25=3,"",IFBLANK(_xldudf_CX_PUSH(AO25,CX_ENTITY,$B25,AO$11,AO$14,AO$19,),"")))))),"")</f>
        <v/>
      </c>
      <c r="DP25" s="2445" t="str" cm="1">
        <f t="array" ca="1" aca="1" ref="DP25">IFERROR(IF(AP25*fxVal_normal=_PL!AP25,"",IF(OR(AP25="",NOT(ISNUMBER(AP25)),ISERROR(AP25),$B25=""),"",IF($I25=1,IFBLANK(_xldudf_CX_PUSH(AP25*fxVal_normal,CX_ENTITY,$B25,AP$11,AP$14,AP$19,),""),IF($I25=2,IFBLANK(_xldudf_CX_PUSH(AP25,CX_ENTITY,$B25,AP$11,AP$14,AP$19,),""),IF($I25=3,"",IFBLANK(_xldudf_CX_PUSH(AP25,CX_ENTITY,$B25,AP$11,AP$14,AP$19,),"")))))),"")</f>
        <v/>
      </c>
      <c r="DQ25" s="2445" t="str" cm="1">
        <f t="array" ca="1" aca="1" ref="DQ25">IFERROR(IF(AQ25*fxVal_normal=_PL!AQ25,"",IF(OR(AQ25="",NOT(ISNUMBER(AQ25)),ISERROR(AQ25),$B25=""),"",IF($I25=1,IFBLANK(_xldudf_CX_PUSH(AQ25*fxVal_normal,CX_ENTITY,$B25,AQ$11,AQ$14,AQ$19,),""),IF($I25=2,IFBLANK(_xldudf_CX_PUSH(AQ25,CX_ENTITY,$B25,AQ$11,AQ$14,AQ$19,),""),IF($I25=3,"",IFBLANK(_xldudf_CX_PUSH(AQ25,CX_ENTITY,$B25,AQ$11,AQ$14,AQ$19,),"")))))),"")</f>
        <v/>
      </c>
      <c r="DR25" s="2445" t="str" cm="1">
        <f t="array" ca="1" aca="1" ref="DR25">IFERROR(IF(AR25*fxVal_normal=_PL!AR25,"",IF(OR(AR25="",NOT(ISNUMBER(AR25)),ISERROR(AR25),$B25=""),"",IF($I25=1,IFBLANK(_xldudf_CX_PUSH(AR25*fxVal_normal,CX_ENTITY,$B25,AR$11,AR$14,AR$19,),""),IF($I25=2,IFBLANK(_xldudf_CX_PUSH(AR25,CX_ENTITY,$B25,AR$11,AR$14,AR$19,),""),IF($I25=3,"",IFBLANK(_xldudf_CX_PUSH(AR25,CX_ENTITY,$B25,AR$11,AR$14,AR$19,),"")))))),"")</f>
        <v/>
      </c>
      <c r="DS25" s="2445" t="str" cm="1">
        <f t="array" ca="1" aca="1" ref="DS25">IFERROR(IF(AS25*fxVal_normal=_PL!AS25,"",IF(OR(AS25="",NOT(ISNUMBER(AS25)),ISERROR(AS25),$B25=""),"",IF($I25=1,IFBLANK(_xldudf_CX_PUSH(AS25*fxVal_normal,CX_ENTITY,$B25,AS$11,AS$14,AS$19,),""),IF($I25=2,IFBLANK(_xldudf_CX_PUSH(AS25,CX_ENTITY,$B25,AS$11,AS$14,AS$19,),""),IF($I25=3,"",IFBLANK(_xldudf_CX_PUSH(AS25,CX_ENTITY,$B25,AS$11,AS$14,AS$19,),"")))))),"")</f>
        <v/>
      </c>
      <c r="DT25" s="2445" t="str" cm="1">
        <f t="array" ca="1" aca="1" ref="DT25">IFERROR(IF(AT25*fxVal_normal=_PL!AT25,"",IF(OR(AT25="",NOT(ISNUMBER(AT25)),ISERROR(AT25),$B25=""),"",IF($I25=1,IFBLANK(_xldudf_CX_PUSH(AT25*fxVal_normal,CX_ENTITY,$B25,AT$11,AT$14,AT$19,),""),IF($I25=2,IFBLANK(_xldudf_CX_PUSH(AT25,CX_ENTITY,$B25,AT$11,AT$14,AT$19,),""),IF($I25=3,"",IFBLANK(_xldudf_CX_PUSH(AT25,CX_ENTITY,$B25,AT$11,AT$14,AT$19,),"")))))),"")</f>
        <v/>
      </c>
      <c r="DU25" s="2445" t="str" cm="1">
        <f t="array" ca="1" aca="1" ref="DU25">IFERROR(IF(AU25*fxVal_normal=_PL!AU25,"",IF(OR(AU25="",NOT(ISNUMBER(AU25)),ISERROR(AU25),$B25=""),"",IF($I25=1,IFBLANK(_xldudf_CX_PUSH(AU25*fxVal_normal,CX_ENTITY,$B25,AU$11,AU$14,AU$19,),""),IF($I25=2,IFBLANK(_xldudf_CX_PUSH(AU25,CX_ENTITY,$B25,AU$11,AU$14,AU$19,),""),IF($I25=3,"",IFBLANK(_xldudf_CX_PUSH(AU25,CX_ENTITY,$B25,AU$11,AU$14,AU$19,),"")))))),"")</f>
        <v/>
      </c>
      <c r="DV25" s="2445" t="str" cm="1">
        <f t="array" ca="1" aca="1" ref="DV25">IFERROR(IF(AV25*fxVal_normal=_PL!AV25,"",IF(OR(AV25="",NOT(ISNUMBER(AV25)),ISERROR(AV25),$B25=""),"",IF($I25=1,IFBLANK(_xldudf_CX_PUSH(AV25*fxVal_normal,CX_ENTITY,$B25,AV$11,AV$14,AV$19,),""),IF($I25=2,IFBLANK(_xldudf_CX_PUSH(AV25,CX_ENTITY,$B25,AV$11,AV$14,AV$19,),""),IF($I25=3,"",IFBLANK(_xldudf_CX_PUSH(AV25,CX_ENTITY,$B25,AV$11,AV$14,AV$19,),"")))))),"")</f>
        <v/>
      </c>
      <c r="DW25" s="2445" t="str" cm="1">
        <f t="array" ca="1" aca="1" ref="DW25">IFERROR(IF(AW25*fxVal_normal=_PL!AW25,"",IF(OR(AW25="",NOT(ISNUMBER(AW25)),ISERROR(AW25),$B25=""),"",IF($I25=1,IFBLANK(_xldudf_CX_PUSH(AW25*fxVal_normal,CX_ENTITY,$B25,AW$11,AW$14,AW$19,),""),IF($I25=2,IFBLANK(_xldudf_CX_PUSH(AW25,CX_ENTITY,$B25,AW$11,AW$14,AW$19,),""),IF($I25=3,"",IFBLANK(_xldudf_CX_PUSH(AW25,CX_ENTITY,$B25,AW$11,AW$14,AW$19,),"")))))),"")</f>
        <v/>
      </c>
      <c r="DX25" s="2445" t="str" cm="1">
        <f t="array" ca="1" aca="1" ref="DX25">IFERROR(IF(AX25*fxVal_normal=_PL!AX25,"",IF(OR(AX25="",NOT(ISNUMBER(AX25)),ISERROR(AX25),$B25=""),"",IF($I25=1,IFBLANK(_xldudf_CX_PUSH(AX25*fxVal_normal,CX_ENTITY,$B25,AX$11,AX$14,AX$19,),""),IF($I25=2,IFBLANK(_xldudf_CX_PUSH(AX25,CX_ENTITY,$B25,AX$11,AX$14,AX$19,),""),IF($I25=3,"",IFBLANK(_xldudf_CX_PUSH(AX25,CX_ENTITY,$B25,AX$11,AX$14,AX$19,),"")))))),"")</f>
        <v/>
      </c>
      <c r="DY25" s="2445" t="str" cm="1">
        <f t="array" ca="1" aca="1" ref="DY25">IFERROR(IF(AY25*fxVal_normal=_PL!AY25,"",IF(OR(AY25="",NOT(ISNUMBER(AY25)),ISERROR(AY25),$B25=""),"",IF($I25=1,IFBLANK(_xldudf_CX_PUSH(AY25*fxVal_normal,CX_ENTITY,$B25,AY$11,AY$14,AY$19,),""),IF($I25=2,IFBLANK(_xldudf_CX_PUSH(AY25,CX_ENTITY,$B25,AY$11,AY$14,AY$19,),""),IF($I25=3,"",IFBLANK(_xldudf_CX_PUSH(AY25,CX_ENTITY,$B25,AY$11,AY$14,AY$19,),"")))))),"")</f>
        <v/>
      </c>
      <c r="DZ25" s="2445" t="str" cm="1">
        <f t="array" ca="1" aca="1" ref="DZ25">IFERROR(IF(AZ25*fxVal_normal=_PL!AZ25,"",IF(OR(AZ25="",NOT(ISNUMBER(AZ25)),ISERROR(AZ25),$B25=""),"",IF($I25=1,IFBLANK(_xldudf_CX_PUSH(AZ25*fxVal_normal,CX_ENTITY,$B25,AZ$11,AZ$14,AZ$19,),""),IF($I25=2,IFBLANK(_xldudf_CX_PUSH(AZ25,CX_ENTITY,$B25,AZ$11,AZ$14,AZ$19,),""),IF($I25=3,"",IFBLANK(_xldudf_CX_PUSH(AZ25,CX_ENTITY,$B25,AZ$11,AZ$14,AZ$19,),"")))))),"")</f>
        <v/>
      </c>
      <c r="EA25" s="2445" t="str" cm="1">
        <f t="array" ca="1" aca="1" ref="EA25">IFERROR(IF(BA25*fxVal_normal=_PL!BA25,"",IF(OR(BA25="",NOT(ISNUMBER(BA25)),ISERROR(BA25),$B25=""),"",IF($I25=1,IFBLANK(_xldudf_CX_PUSH(BA25*fxVal_normal,CX_ENTITY,$B25,BA$11,BA$14,BA$19,),""),IF($I25=2,IFBLANK(_xldudf_CX_PUSH(BA25,CX_ENTITY,$B25,BA$11,BA$14,BA$19,),""),IF($I25=3,"",IFBLANK(_xldudf_CX_PUSH(BA25,CX_ENTITY,$B25,BA$11,BA$14,BA$19,),"")))))),"")</f>
        <v/>
      </c>
      <c r="EB25" s="2445" t="str" cm="1">
        <f t="array" ca="1" aca="1" ref="EB25">IFERROR(IF(BB25*fxVal_normal=_PL!BB25,"",IF(OR(BB25="",NOT(ISNUMBER(BB25)),ISERROR(BB25),$B25=""),"",IF($I25=1,IFBLANK(_xldudf_CX_PUSH(BB25*fxVal_normal,CX_ENTITY,$B25,BB$11,BB$14,BB$19,),""),IF($I25=2,IFBLANK(_xldudf_CX_PUSH(BB25,CX_ENTITY,$B25,BB$11,BB$14,BB$19,),""),IF($I25=3,"",IFBLANK(_xldudf_CX_PUSH(BB25,CX_ENTITY,$B25,BB$11,BB$14,BB$19,),"")))))),"")</f>
        <v/>
      </c>
      <c r="EC25" s="2445" t="str" cm="1">
        <f t="array" ca="1" aca="1" ref="EC25">IFERROR(IF(BC25*fxVal_normal=_PL!BC25,"",IF(OR(BC25="",NOT(ISNUMBER(BC25)),ISERROR(BC25),$B25=""),"",IF($I25=1,IFBLANK(_xldudf_CX_PUSH(BC25*fxVal_normal,CX_ENTITY,$B25,BC$11,BC$14,BC$19,),""),IF($I25=2,IFBLANK(_xldudf_CX_PUSH(BC25,CX_ENTITY,$B25,BC$11,BC$14,BC$19,),""),IF($I25=3,"",IFBLANK(_xldudf_CX_PUSH(BC25,CX_ENTITY,$B25,BC$11,BC$14,BC$19,),"")))))),"")</f>
        <v/>
      </c>
      <c r="ED25" s="2445" t="str" cm="1">
        <f t="array" ca="1" aca="1" ref="ED25">IFERROR(IF(BD25*fxVal_normal=_PL!BD25,"",IF(OR(BD25="",NOT(ISNUMBER(BD25)),ISERROR(BD25),$B25=""),"",IF($I25=1,IFBLANK(_xldudf_CX_PUSH(BD25*fxVal_normal,CX_ENTITY,$B25,BD$11,BD$14,BD$19,),""),IF($I25=2,IFBLANK(_xldudf_CX_PUSH(BD25,CX_ENTITY,$B25,BD$11,BD$14,BD$19,),""),IF($I25=3,"",IFBLANK(_xldudf_CX_PUSH(BD25,CX_ENTITY,$B25,BD$11,BD$14,BD$19,),"")))))),"")</f>
        <v/>
      </c>
      <c r="EE25" s="2445" t="str" cm="1">
        <f t="array" ca="1" aca="1" ref="EE25">IFERROR(IF(BE25*fxVal_normal=_PL!BE25,"",IF(OR(BE25="",NOT(ISNUMBER(BE25)),ISERROR(BE25),$B25=""),"",IF($I25=1,IFBLANK(_xldudf_CX_PUSH(BE25*fxVal_normal,CX_ENTITY,$B25,BE$11,BE$14,BE$19,),""),IF($I25=2,IFBLANK(_xldudf_CX_PUSH(BE25,CX_ENTITY,$B25,BE$11,BE$14,BE$19,),""),IF($I25=3,"",IFBLANK(_xldudf_CX_PUSH(BE25,CX_ENTITY,$B25,BE$11,BE$14,BE$19,),"")))))),"")</f>
        <v/>
      </c>
      <c r="EF25" s="2445" t="str" cm="1">
        <f t="array" ca="1" aca="1" ref="EF25">IFERROR(IF(BF25*fxVal_normal=_PL!BF25,"",IF(OR(BF25="",NOT(ISNUMBER(BF25)),ISERROR(BF25),$B25=""),"",IF($I25=1,IFBLANK(_xldudf_CX_PUSH(BF25*fxVal_normal,CX_ENTITY,$B25,BF$11,BF$14,BF$19,),""),IF($I25=2,IFBLANK(_xldudf_CX_PUSH(BF25,CX_ENTITY,$B25,BF$11,BF$14,BF$19,),""),IF($I25=3,"",IFBLANK(_xldudf_CX_PUSH(BF25,CX_ENTITY,$B25,BF$11,BF$14,BF$19,),"")))))),"")</f>
        <v/>
      </c>
      <c r="EG25" s="2445" t="str" cm="1">
        <f t="array" ca="1" aca="1" ref="EG25">IFERROR(IF(BG25*fxVal_normal=_PL!BG25,"",IF(OR(BG25="",NOT(ISNUMBER(BG25)),ISERROR(BG25),$B25=""),"",IF($I25=1,IFBLANK(_xldudf_CX_PUSH(BG25*fxVal_normal,CX_ENTITY,$B25,BG$11,BG$14,BG$19,),""),IF($I25=2,IFBLANK(_xldudf_CX_PUSH(BG25,CX_ENTITY,$B25,BG$11,BG$14,BG$19,),""),IF($I25=3,"",IFBLANK(_xldudf_CX_PUSH(BG25,CX_ENTITY,$B25,BG$11,BG$14,BG$19,),"")))))),"")</f>
        <v/>
      </c>
      <c r="EH25" s="2445" t="str" cm="1">
        <f t="array" ca="1" aca="1" ref="EH25">IFERROR(IF(BH25*fxVal_normal=_PL!BH25,"",IF(OR(BH25="",NOT(ISNUMBER(BH25)),ISERROR(BH25),$B25=""),"",IF($I25=1,IFBLANK(_xldudf_CX_PUSH(BH25*fxVal_normal,CX_ENTITY,$B25,BH$11,BH$14,BH$19,),""),IF($I25=2,IFBLANK(_xldudf_CX_PUSH(BH25,CX_ENTITY,$B25,BH$11,BH$14,BH$19,),""),IF($I25=3,"",IFBLANK(_xldudf_CX_PUSH(BH25,CX_ENTITY,$B25,BH$11,BH$14,BH$19,),"")))))),"")</f>
        <v/>
      </c>
      <c r="EI25" s="2445" t="str" cm="1">
        <f t="array" ca="1" aca="1" ref="EI25">IFERROR(IF(BI25*fxVal_normal=_PL!BI25,"",IF(OR(BI25="",NOT(ISNUMBER(BI25)),ISERROR(BI25),$B25=""),"",IF($I25=1,IFBLANK(_xldudf_CX_PUSH(BI25*fxVal_normal,CX_ENTITY,$B25,BI$11,BI$14,BI$19,),""),IF($I25=2,IFBLANK(_xldudf_CX_PUSH(BI25,CX_ENTITY,$B25,BI$11,BI$14,BI$19,),""),IF($I25=3,"",IFBLANK(_xldudf_CX_PUSH(BI25,CX_ENTITY,$B25,BI$11,BI$14,BI$19,),"")))))),"")</f>
        <v/>
      </c>
      <c r="EJ25" s="2445" t="str" cm="1">
        <f t="array" ca="1" aca="1" ref="EJ25">IFERROR(IF(BJ25*fxVal_normal=_PL!BJ25,"",IF(OR(BJ25="",NOT(ISNUMBER(BJ25)),ISERROR(BJ25),$B25=""),"",IF($I25=1,IFBLANK(_xldudf_CX_PUSH(BJ25*fxVal_normal,CX_ENTITY,$B25,BJ$11,BJ$14,BJ$19,),""),IF($I25=2,IFBLANK(_xldudf_CX_PUSH(BJ25,CX_ENTITY,$B25,BJ$11,BJ$14,BJ$19,),""),IF($I25=3,"",IFBLANK(_xldudf_CX_PUSH(BJ25,CX_ENTITY,$B25,BJ$11,BJ$14,BJ$19,),"")))))),"")</f>
        <v/>
      </c>
      <c r="EK25" s="2445" t="str" cm="1">
        <f t="array" ca="1" aca="1" ref="EK25">IFERROR(IF(BK25*fxVal_normal=_PL!BK25,"",IF(OR(BK25="",NOT(ISNUMBER(BK25)),ISERROR(BK25),$B25=""),"",IF($I25=1,IFBLANK(_xldudf_CX_PUSH(BK25*fxVal_normal,CX_ENTITY,$B25,BK$11,BK$14,BK$19,),""),IF($I25=2,IFBLANK(_xldudf_CX_PUSH(BK25,CX_ENTITY,$B25,BK$11,BK$14,BK$19,),""),IF($I25=3,"",IFBLANK(_xldudf_CX_PUSH(BK25,CX_ENTITY,$B25,BK$11,BK$14,BK$19,),"")))))),"")</f>
        <v/>
      </c>
      <c r="EL25" s="2445" t="str" cm="1">
        <f t="array" ca="1" aca="1" ref="EL25">IFERROR(IF(BL25*fxVal_normal=_PL!BL25,"",IF(OR(BL25="",NOT(ISNUMBER(BL25)),ISERROR(BL25),$B25=""),"",IF($I25=1,IFBLANK(_xldudf_CX_PUSH(BL25*fxVal_normal,CX_ENTITY,$B25,BL$11,BL$14,BL$19,),""),IF($I25=2,IFBLANK(_xldudf_CX_PUSH(BL25,CX_ENTITY,$B25,BL$11,BL$14,BL$19,),""),IF($I25=3,"",IFBLANK(_xldudf_CX_PUSH(BL25,CX_ENTITY,$B25,BL$11,BL$14,BL$19,),"")))))),"")</f>
        <v/>
      </c>
      <c r="EM25" s="2445" t="str" cm="1">
        <f t="array" ca="1" aca="1" ref="EM25">IFERROR(IF(BM25*fxVal_normal=_PL!BM25,"",IF(OR(BM25="",NOT(ISNUMBER(BM25)),ISERROR(BM25),$B25=""),"",IF($I25=1,IFBLANK(_xldudf_CX_PUSH(BM25*fxVal_normal,CX_ENTITY,$B25,BM$11,BM$14,BM$19,),""),IF($I25=2,IFBLANK(_xldudf_CX_PUSH(BM25,CX_ENTITY,$B25,BM$11,BM$14,BM$19,),""),IF($I25=3,"",IFBLANK(_xldudf_CX_PUSH(BM25,CX_ENTITY,$B25,BM$11,BM$14,BM$19,),"")))))),"")</f>
        <v/>
      </c>
      <c r="EN25" s="2445" t="str" cm="1">
        <f t="array" ca="1" aca="1" ref="EN25">IFERROR(IF(BN25*fxVal_normal=_PL!BN25,"",IF(OR(BN25="",NOT(ISNUMBER(BN25)),ISERROR(BN25),$B25=""),"",IF($I25=1,IFBLANK(_xldudf_CX_PUSH(BN25*fxVal_normal,CX_ENTITY,$B25,BN$11,BN$14,BN$19,),""),IF($I25=2,IFBLANK(_xldudf_CX_PUSH(BN25,CX_ENTITY,$B25,BN$11,BN$14,BN$19,),""),IF($I25=3,"",IFBLANK(_xldudf_CX_PUSH(BN25,CX_ENTITY,$B25,BN$11,BN$14,BN$19,),"")))))),"")</f>
        <v/>
      </c>
    </row>
    <row r="26" spans="1:144" ht="21" customHeight="1">
      <c r="A26" s="1625"/>
      <c r="B26" s="3182">
        <f>_xlfn.LET(_xlpm.IsNotAttrDynamic,D26="",_xlpm.Attr,_PL!F26,_xlpm.NotInUse,Y26=D26,_xlpm.RESULT,IF(_xlpm.IsNotAttrDynamic,_xlpm.Attr,IF(_xlpm.NotInUse,"",Y26)),IF(_xlpm.RESULT="","",_xlpm.RESULT))</f>
        <v>2</v>
      </c>
      <c r="C26" s="3459" t="str" cm="1">
        <f t="array" ref="C26">IFBLANK(_PL!C26,"")</f>
        <v>EBITDA Adjustment Type I - Label 1</v>
      </c>
      <c r="D26" s="1548" t="s">
        <v>97</v>
      </c>
      <c r="E26" s="2440" t="e" cm="1">
        <f t="array" ca="1" aca="1" ref="E2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26:$CQ26,Z26)</f>
        <v>#NAME?</v>
      </c>
      <c r="F26" s="1897"/>
      <c r="G26" s="1897"/>
      <c r="H26" s="578">
        <v>0</v>
      </c>
      <c r="I26" s="3279">
        <v>1</v>
      </c>
      <c r="J26" s="401" cm="1">
        <f t="array" ref="J26">IFBLANK(Z26,"")</f>
        <v>-1</v>
      </c>
      <c r="K26" s="578" t="str">
        <f t="shared" si="8" ref="K26:K31">IFERROR(IF(LEN(AB26)=0,"No",IF(LEN(J26)&gt;0,"Yes","No")),"")</f>
        <v>Yes</v>
      </c>
      <c r="L26" s="3283">
        <v>1</v>
      </c>
      <c r="N26" s="158"/>
      <c r="O26" s="101"/>
      <c r="P26" s="52"/>
      <c r="Q26" s="101"/>
      <c r="R26" s="126"/>
      <c r="S26" s="101"/>
      <c r="T26" s="101"/>
      <c r="U26" s="39"/>
      <c r="V26" s="37"/>
      <c r="W26" s="91" t="str">
        <f t="shared" si="4"/>
        <v>Actual</v>
      </c>
      <c r="X26" s="2081" t="str">
        <f>_PL!X26</f>
        <v>a</v>
      </c>
      <c r="Y26" s="3183">
        <v>2</v>
      </c>
      <c r="Z26" s="198" cm="1">
        <f t="array" ref="Z26">_xlfn.SWITCH(TRUE,_PL!$L26=TRUE,1,_PL!$L26=FALSE,-1,_PL!$L26=-1,0,"")</f>
        <v>-1</v>
      </c>
      <c r="AA26" s="200"/>
      <c r="AB26" s="3184">
        <f t="shared" si="9" ref="AB26:AB31">Y26</f>
        <v>2</v>
      </c>
      <c r="AC26" s="2448" t="str" cm="1">
        <f t="array" ca="1" aca="1" ref="AC26">_xlfn.LET(_xlpm._termname,$AB26,_xlpm._iconname,"find",_xlpm._icon,fx_getIcon(_xlpm._iconname),_xlpm._location,_xlfn.XLOOKUP(LOWER(_xlpm._termname),LOWER(tbl_acctDef[Term]),tbl_acctDef[Term]),_xlpm._hyperlink,HYPERLINK("#"&amp;CELL("address",_xlpm._location),_xlpm._icon),IFERROR(_xlpm._hyperlink,""))</f>
        <v/>
      </c>
      <c r="AD26" s="3177">
        <v>1</v>
      </c>
      <c r="AE26" s="3177">
        <v>1</v>
      </c>
      <c r="AF26" s="3177">
        <v>1</v>
      </c>
      <c r="AG26" s="3177">
        <v>1</v>
      </c>
      <c r="AH26" s="3177">
        <v>1</v>
      </c>
      <c r="AI26" s="3177">
        <v>1</v>
      </c>
      <c r="AJ26" s="3177">
        <v>1</v>
      </c>
      <c r="AK26" s="3177">
        <v>1</v>
      </c>
      <c r="AL26" s="3177">
        <v>1</v>
      </c>
      <c r="AM26" s="3177">
        <v>1</v>
      </c>
      <c r="AN26" s="3177">
        <v>1</v>
      </c>
      <c r="AO26" s="3177">
        <v>1</v>
      </c>
      <c r="AP26" s="3177">
        <v>1</v>
      </c>
      <c r="AQ26" s="3177">
        <v>1</v>
      </c>
      <c r="AR26" s="3177">
        <v>1</v>
      </c>
      <c r="AS26" s="3177">
        <v>1</v>
      </c>
      <c r="AT26" s="3177">
        <v>1</v>
      </c>
      <c r="AU26" s="3177">
        <v>1</v>
      </c>
      <c r="AV26" s="3177">
        <v>1</v>
      </c>
      <c r="AW26" s="3177">
        <v>1</v>
      </c>
      <c r="AX26" s="3177">
        <v>1</v>
      </c>
      <c r="AY26" s="3177">
        <v>1</v>
      </c>
      <c r="AZ26" s="3177">
        <v>1</v>
      </c>
      <c r="BA26" s="3177">
        <v>1</v>
      </c>
      <c r="BB26" s="3177">
        <v>1</v>
      </c>
      <c r="BC26" s="3177">
        <v>1</v>
      </c>
      <c r="BD26" s="3177">
        <v>1</v>
      </c>
      <c r="BE26" s="3177">
        <v>1</v>
      </c>
      <c r="BF26" s="3177">
        <v>1</v>
      </c>
      <c r="BG26" s="3177">
        <v>1</v>
      </c>
      <c r="BH26" s="3177">
        <v>1</v>
      </c>
      <c r="BI26" s="3177">
        <v>1</v>
      </c>
      <c r="BJ26" s="3177">
        <v>1</v>
      </c>
      <c r="BK26" s="3177">
        <v>1</v>
      </c>
      <c r="BL26" s="3177">
        <v>1</v>
      </c>
      <c r="BM26" s="3177">
        <v>1</v>
      </c>
      <c r="BN26" s="3177">
        <v>1</v>
      </c>
      <c r="BO26" s="2442"/>
      <c r="BP26" s="2442"/>
      <c r="BQ26" s="2442"/>
      <c r="BR26" s="2442"/>
      <c r="BS26" s="2442"/>
      <c r="BT26" s="2442"/>
      <c r="BU26" s="2442"/>
      <c r="BV26" s="2442"/>
      <c r="BW26" s="2442"/>
      <c r="BX26" s="2442"/>
      <c r="BY26" s="2442"/>
      <c r="BZ26" s="2442"/>
      <c r="CA26" s="34"/>
      <c r="CC26" s="33"/>
      <c r="CD26" s="1772" t="e" cm="1">
        <f t="array" ca="1" aca="1" ref="CD26">_xlfn.LET(_xlpm.CheckBlank,SUM(PL!$AD26:PL!$BN26)=0,IF(_xlpm.CheckBlank,"",SUM(_xlfn._xlws.FILTER(PL!$AD26:$BN26,(YEAR(PL!$AD$12:$BN$12)=PL!CD$12)*(array_timeline&lt;=PL!CD$11)))))</f>
        <v>#NAME?</v>
      </c>
      <c r="CE26" s="1772" t="e" cm="1">
        <f t="array" ca="1" aca="1" ref="CE26">_xlfn.LET(_xlpm.CheckBlank,SUM(PL!$AD26:PL!$BN26)=0,IF(_xlpm.CheckBlank,"",SUM(_xlfn._xlws.FILTER(PL!$AD26:$BN26,(YEAR(PL!$AD$12:$BN$12)=PL!CE$12)*(array_timeline&lt;=PL!CE$11)))))</f>
        <v>#NAME?</v>
      </c>
      <c r="CF26" s="88"/>
      <c r="CG26" s="1461" t="str" cm="1">
        <f t="array" ca="1" aca="1" ref="CG26">IFERROR(_xlfn.LET(_xlpm.CheckBlank,SUM(PL!$AD26:$BN26)=0,IF(_xlpm.CheckBlank,"",SUM(_xlfn._xlws.FILTER(PL!$AD26:$BN26,(YEAR(PL!$AD$12:$BN$12)=PL!CG$12)*(array_timeline&lt;=PL!CG$11))))),"n/a")</f>
        <v>n/a</v>
      </c>
      <c r="CH26" s="1461" t="e" cm="1">
        <f t="array" ca="1" aca="1" ref="CH26">_xlfn.LET(_xlpm.CheckBlank,SUM(PL!$AD26:$BN26)=0,IF(_xlpm.CheckBlank,"",SUM(_xlfn._xlws.FILTER(PL!$AD26:$BN26,(YEAR(PL!$AD$12:$BN$12)=PL!CH$12)*(array_timeline&lt;=PL!CH$11)))))</f>
        <v>#NAME?</v>
      </c>
      <c r="CI26" s="88"/>
      <c r="CJ26" s="1461" cm="1">
        <f t="array" ref="CJ26">_xlfn.LET(_xlpm.CheckBlank,SUM(PL!$AD26:$BN26)=0,IF(_xlpm.CheckBlank,"",SUM(_xlfn.TAKE(_xlfn.DROP(PL!$AD26:$BN26,,-DATEDIFF(PL!CJ$11,val_asOfDate,"M")),1,-12))))</f>
        <v>12</v>
      </c>
      <c r="CK26" s="1461" cm="1">
        <f t="array" ref="CK26">_xlfn.LET(_xlpm.CheckBlank,SUM(PL!$AD26:$BN26)=0,IF(_xlpm.CheckBlank,"",SUM(_xlfn.TAKE(_xlfn.DROP(PL!$AD26:$BN26,,-DATEDIFF(PL!CK$11,val_asOfDate,"M")),1,-12))))</f>
        <v>12</v>
      </c>
      <c r="CL26" s="88"/>
      <c r="CM26" s="3175">
        <v>1</v>
      </c>
      <c r="CN26" s="3175">
        <v>1</v>
      </c>
      <c r="CO26" s="1169"/>
      <c r="CP26" s="3175">
        <v>1</v>
      </c>
      <c r="CQ26" s="3175">
        <v>1</v>
      </c>
      <c r="CR26" s="34"/>
      <c r="CS26" s="2056"/>
      <c r="CT26" s="2447" t="e" cm="1">
        <f t="array" ca="1" aca="1" ref="CT26">IF(ISNUMBER(SEARCH("Select",$Y26)),"",_xldudf_CX_PUSH($Y26,CX_ENTITY,C26,val_asOfDate))</f>
        <v>#NAME?</v>
      </c>
      <c r="CU26" s="2447" t="e" cm="1">
        <f t="array" ca="1" aca="1" ref="CU26">IF(ISNUMBER(SEARCH("Select",$Y26)),"",_xldudf_CX_PUSH($Y26,CX_ENTITY,C26,EOMONTH(val_asOfDate,1)))</f>
        <v>#NAME?</v>
      </c>
      <c r="CV26" s="2447" t="e" cm="1">
        <f t="array" ca="1" aca="1" ref="CV26">IF(ISNUMBER(SEARCH("Select",$Y26)),"",_xldudf_CX_PUSH($Y26,CX_ENTITY,C26,EOMONTH(val_asOfDate,2)))</f>
        <v>#NAME?</v>
      </c>
      <c r="CW26" s="2447" t="e" cm="1">
        <f t="array" ca="1" aca="1" ref="CW26">IF(ISNUMBER(SEARCH("Select",$Y26)),"",_xldudf_CX_PUSH($Y26,CX_ENTITY,C26,EOMONTH(val_asOfDate,3)))</f>
        <v>#NAME?</v>
      </c>
      <c r="CX26" s="2443"/>
      <c r="CY26" s="2444" t="str" cm="1">
        <f t="array" ca="1" aca="1" ref="CY26">IFERROR(IF(CM26*fxVal_normal=_PL!CM26,"",IF(OR($CM26="",$CM26=0,NOT(ISNUMBER($CM26)),ISERROR($CM26),$B26=""),"",IF($I26=1,IFBLANK(_xldudf_CX_PUSH($CM26*fxVal_normal,CX_ENTITY,$B26,$CM$11,$CM$14,$CM$19,),""),IF($I26=2,IFBLANK(_xldudf_CX_PUSH($CM26,CX_ENTITY,$B26,$CM$11,$CM$14,$CM$19,),""),IF($I26=3,"",IFBLANK(_xldudf_CX_PUSH($CM26,CX_ENTITY,$B26,$CM$11,$CM$14,$CM$19,),"")))))),"")</f>
        <v/>
      </c>
      <c r="CZ26" s="2444" t="str" cm="1">
        <f t="array" ca="1" aca="1" ref="CZ26">IFERROR(IF(CN26*fxVal_normal=_PL!CN26,"",IF(OR($CN26="",$CN26=0,NOT(ISNUMBER($CN26)),ISERROR($CN26),$B26=""),"",IF($I26=1,IFBLANK(_xldudf_CX_PUSH($CN26*fxVal_normal,CX_ENTITY,$B26,$CN$11,$CN$14,$CN$19,),""),IF($I26=2,IFBLANK(_xldudf_CX_PUSH($CN26,CX_ENTITY,$B26,$CN$11,$CN$14,$CN$19,),""),IF($I26=3,"",IFBLANK(_xldudf_CX_PUSH($CN26,CX_ENTITY,$B26,$CN$11,$CN$14,$CN$19,),"")))))),"")</f>
        <v/>
      </c>
      <c r="DA26" s="2444" t="str" cm="1">
        <f t="array" ca="1" aca="1" ref="DA26">IFERROR(IF(CP26*fxVal_normal=_PL!CP26,"",IF(OR($CP26="",$CP26=0,NOT(ISNUMBER($CP26)),ISERROR($CP26),$B26=""),"",IF($I26=1,IFBLANK(_xldudf_CX_PUSH($CP26*fxVal_normal,CX_ENTITY,$B26,$CP$11,$CP$14,$CP$19,),""),IF($I26=2,IFBLANK(_xldudf_CX_PUSH($CP26,CX_ENTITY,$B26,$CP$11,$CP$14,$CP$19,),""),IF($I26=3,"",IFBLANK(_xldudf_CX_PUSH($CP26,CX_ENTITY,$B26,$CP$11,$CP$14,$CP$19,),"")))))),"")</f>
        <v/>
      </c>
      <c r="DB26" s="2444" t="str" cm="1">
        <f t="array" ca="1" aca="1" ref="DB26">IFERROR(IF(CQ26*fxVal_normal=_PL!CQ26,"",IF(OR($CQ26="",$CQ26=0,NOT(ISNUMBER($CQ26)),ISERROR($CQ26),$B26=""),"",IF($I26=1,IFBLANK(_xldudf_CX_PUSH($CQ26*fxVal_normal,CX_ENTITY,$B26,$CQ$11,$CQ$14,$CQ$19,),""),IF($I26=2,IFBLANK(_xldudf_CX_PUSH($CQ26,CX_ENTITY,$B26,$CQ$11,$CQ$14,$CQ$19,),""),IF($I26=3,"",IFBLANK(_xldudf_CX_PUSH($CQ26,CX_ENTITY,$B26,$CQ$11,$CQ$14,$CQ$19,),"")))))),"")</f>
        <v/>
      </c>
      <c r="DC26" s="2443"/>
      <c r="DD26" s="2445" t="str" cm="1">
        <f t="array" ca="1" aca="1" ref="DD26">IFERROR(IF(AD26*fxVal_normal=_PL!AD26,"",IF(OR(AD26="",NOT(ISNUMBER(AD26)),ISERROR(AD26),$B26=""),"",IF($I26=1,IFBLANK(_xldudf_CX_PUSH(AD26*fxVal_normal,CX_ENTITY,$B26,AD$11,AD$14,AD$19,),""),IF($I26=2,IFBLANK(_xldudf_CX_PUSH(AD26,CX_ENTITY,$B26,AD$11,AD$14,AD$19,),""),IF($I26=3,"",IFBLANK(_xldudf_CX_PUSH(AD26,CX_ENTITY,$B26,AD$11,AD$14,AD$19,),"")))))),"")</f>
        <v/>
      </c>
      <c r="DE26" s="2445" t="str" cm="1">
        <f t="array" ca="1" aca="1" ref="DE26">IFERROR(IF(AE26*fxVal_normal=_PL!AE26,"",IF(OR(AE26="",NOT(ISNUMBER(AE26)),ISERROR(AE26),$B26=""),"",IF($I26=1,IFBLANK(_xldudf_CX_PUSH(AE26*fxVal_normal,CX_ENTITY,$B26,AE$11,AE$14,AE$19,),""),IF($I26=2,IFBLANK(_xldudf_CX_PUSH(AE26,CX_ENTITY,$B26,AE$11,AE$14,AE$19,),""),IF($I26=3,"",IFBLANK(_xldudf_CX_PUSH(AE26,CX_ENTITY,$B26,AE$11,AE$14,AE$19,),"")))))),"")</f>
        <v/>
      </c>
      <c r="DF26" s="2445" t="str" cm="1">
        <f t="array" ca="1" aca="1" ref="DF26">IFERROR(IF(AF26*fxVal_normal=_PL!AF26,"",IF(OR(AF26="",NOT(ISNUMBER(AF26)),ISERROR(AF26),$B26=""),"",IF($I26=1,IFBLANK(_xldudf_CX_PUSH(AF26*fxVal_normal,CX_ENTITY,$B26,AF$11,AF$14,AF$19,),""),IF($I26=2,IFBLANK(_xldudf_CX_PUSH(AF26,CX_ENTITY,$B26,AF$11,AF$14,AF$19,),""),IF($I26=3,"",IFBLANK(_xldudf_CX_PUSH(AF26,CX_ENTITY,$B26,AF$11,AF$14,AF$19,),"")))))),"")</f>
        <v/>
      </c>
      <c r="DG26" s="2445" t="str" cm="1">
        <f t="array" ca="1" aca="1" ref="DG26">IFERROR(IF(AG26*fxVal_normal=_PL!AG26,"",IF(OR(AG26="",NOT(ISNUMBER(AG26)),ISERROR(AG26),$B26=""),"",IF($I26=1,IFBLANK(_xldudf_CX_PUSH(AG26*fxVal_normal,CX_ENTITY,$B26,AG$11,AG$14,AG$19,),""),IF($I26=2,IFBLANK(_xldudf_CX_PUSH(AG26,CX_ENTITY,$B26,AG$11,AG$14,AG$19,),""),IF($I26=3,"",IFBLANK(_xldudf_CX_PUSH(AG26,CX_ENTITY,$B26,AG$11,AG$14,AG$19,),"")))))),"")</f>
        <v/>
      </c>
      <c r="DH26" s="2445" t="str" cm="1">
        <f t="array" ca="1" aca="1" ref="DH26">IFERROR(IF(AH26*fxVal_normal=_PL!AH26,"",IF(OR(AH26="",NOT(ISNUMBER(AH26)),ISERROR(AH26),$B26=""),"",IF($I26=1,IFBLANK(_xldudf_CX_PUSH(AH26*fxVal_normal,CX_ENTITY,$B26,AH$11,AH$14,AH$19,),""),IF($I26=2,IFBLANK(_xldudf_CX_PUSH(AH26,CX_ENTITY,$B26,AH$11,AH$14,AH$19,),""),IF($I26=3,"",IFBLANK(_xldudf_CX_PUSH(AH26,CX_ENTITY,$B26,AH$11,AH$14,AH$19,),"")))))),"")</f>
        <v/>
      </c>
      <c r="DI26" s="2445" t="str" cm="1">
        <f t="array" ca="1" aca="1" ref="DI26">IFERROR(IF(AI26*fxVal_normal=_PL!AI26,"",IF(OR(AI26="",NOT(ISNUMBER(AI26)),ISERROR(AI26),$B26=""),"",IF($I26=1,IFBLANK(_xldudf_CX_PUSH(AI26*fxVal_normal,CX_ENTITY,$B26,AI$11,AI$14,AI$19,),""),IF($I26=2,IFBLANK(_xldudf_CX_PUSH(AI26,CX_ENTITY,$B26,AI$11,AI$14,AI$19,),""),IF($I26=3,"",IFBLANK(_xldudf_CX_PUSH(AI26,CX_ENTITY,$B26,AI$11,AI$14,AI$19,),"")))))),"")</f>
        <v/>
      </c>
      <c r="DJ26" s="2445" t="str" cm="1">
        <f t="array" ca="1" aca="1" ref="DJ26">IFERROR(IF(AJ26*fxVal_normal=_PL!AJ26,"",IF(OR(AJ26="",NOT(ISNUMBER(AJ26)),ISERROR(AJ26),$B26=""),"",IF($I26=1,IFBLANK(_xldudf_CX_PUSH(AJ26*fxVal_normal,CX_ENTITY,$B26,AJ$11,AJ$14,AJ$19,),""),IF($I26=2,IFBLANK(_xldudf_CX_PUSH(AJ26,CX_ENTITY,$B26,AJ$11,AJ$14,AJ$19,),""),IF($I26=3,"",IFBLANK(_xldudf_CX_PUSH(AJ26,CX_ENTITY,$B26,AJ$11,AJ$14,AJ$19,),"")))))),"")</f>
        <v/>
      </c>
      <c r="DK26" s="2445" t="str" cm="1">
        <f t="array" ca="1" aca="1" ref="DK26">IFERROR(IF(AK26*fxVal_normal=_PL!AK26,"",IF(OR(AK26="",NOT(ISNUMBER(AK26)),ISERROR(AK26),$B26=""),"",IF($I26=1,IFBLANK(_xldudf_CX_PUSH(AK26*fxVal_normal,CX_ENTITY,$B26,AK$11,AK$14,AK$19,),""),IF($I26=2,IFBLANK(_xldudf_CX_PUSH(AK26,CX_ENTITY,$B26,AK$11,AK$14,AK$19,),""),IF($I26=3,"",IFBLANK(_xldudf_CX_PUSH(AK26,CX_ENTITY,$B26,AK$11,AK$14,AK$19,),"")))))),"")</f>
        <v/>
      </c>
      <c r="DL26" s="2445" t="str" cm="1">
        <f t="array" ca="1" aca="1" ref="DL26">IFERROR(IF(AL26*fxVal_normal=_PL!AL26,"",IF(OR(AL26="",NOT(ISNUMBER(AL26)),ISERROR(AL26),$B26=""),"",IF($I26=1,IFBLANK(_xldudf_CX_PUSH(AL26*fxVal_normal,CX_ENTITY,$B26,AL$11,AL$14,AL$19,),""),IF($I26=2,IFBLANK(_xldudf_CX_PUSH(AL26,CX_ENTITY,$B26,AL$11,AL$14,AL$19,),""),IF($I26=3,"",IFBLANK(_xldudf_CX_PUSH(AL26,CX_ENTITY,$B26,AL$11,AL$14,AL$19,),"")))))),"")</f>
        <v/>
      </c>
      <c r="DM26" s="2445" t="str" cm="1">
        <f t="array" ca="1" aca="1" ref="DM26">IFERROR(IF(AM26*fxVal_normal=_PL!AM26,"",IF(OR(AM26="",NOT(ISNUMBER(AM26)),ISERROR(AM26),$B26=""),"",IF($I26=1,IFBLANK(_xldudf_CX_PUSH(AM26*fxVal_normal,CX_ENTITY,$B26,AM$11,AM$14,AM$19,),""),IF($I26=2,IFBLANK(_xldudf_CX_PUSH(AM26,CX_ENTITY,$B26,AM$11,AM$14,AM$19,),""),IF($I26=3,"",IFBLANK(_xldudf_CX_PUSH(AM26,CX_ENTITY,$B26,AM$11,AM$14,AM$19,),"")))))),"")</f>
        <v/>
      </c>
      <c r="DN26" s="2445" t="str" cm="1">
        <f t="array" ca="1" aca="1" ref="DN26">IFERROR(IF(AN26*fxVal_normal=_PL!AN26,"",IF(OR(AN26="",NOT(ISNUMBER(AN26)),ISERROR(AN26),$B26=""),"",IF($I26=1,IFBLANK(_xldudf_CX_PUSH(AN26*fxVal_normal,CX_ENTITY,$B26,AN$11,AN$14,AN$19,),""),IF($I26=2,IFBLANK(_xldudf_CX_PUSH(AN26,CX_ENTITY,$B26,AN$11,AN$14,AN$19,),""),IF($I26=3,"",IFBLANK(_xldudf_CX_PUSH(AN26,CX_ENTITY,$B26,AN$11,AN$14,AN$19,),"")))))),"")</f>
        <v/>
      </c>
      <c r="DO26" s="2445" t="str" cm="1">
        <f t="array" ca="1" aca="1" ref="DO26">IFERROR(IF(AO26*fxVal_normal=_PL!AO26,"",IF(OR(AO26="",NOT(ISNUMBER(AO26)),ISERROR(AO26),$B26=""),"",IF($I26=1,IFBLANK(_xldudf_CX_PUSH(AO26*fxVal_normal,CX_ENTITY,$B26,AO$11,AO$14,AO$19,),""),IF($I26=2,IFBLANK(_xldudf_CX_PUSH(AO26,CX_ENTITY,$B26,AO$11,AO$14,AO$19,),""),IF($I26=3,"",IFBLANK(_xldudf_CX_PUSH(AO26,CX_ENTITY,$B26,AO$11,AO$14,AO$19,),"")))))),"")</f>
        <v/>
      </c>
      <c r="DP26" s="2445" t="str" cm="1">
        <f t="array" ca="1" aca="1" ref="DP26">IFERROR(IF(AP26*fxVal_normal=_PL!AP26,"",IF(OR(AP26="",NOT(ISNUMBER(AP26)),ISERROR(AP26),$B26=""),"",IF($I26=1,IFBLANK(_xldudf_CX_PUSH(AP26*fxVal_normal,CX_ENTITY,$B26,AP$11,AP$14,AP$19,),""),IF($I26=2,IFBLANK(_xldudf_CX_PUSH(AP26,CX_ENTITY,$B26,AP$11,AP$14,AP$19,),""),IF($I26=3,"",IFBLANK(_xldudf_CX_PUSH(AP26,CX_ENTITY,$B26,AP$11,AP$14,AP$19,),"")))))),"")</f>
        <v/>
      </c>
      <c r="DQ26" s="2445" t="str" cm="1">
        <f t="array" ca="1" aca="1" ref="DQ26">IFERROR(IF(AQ26*fxVal_normal=_PL!AQ26,"",IF(OR(AQ26="",NOT(ISNUMBER(AQ26)),ISERROR(AQ26),$B26=""),"",IF($I26=1,IFBLANK(_xldudf_CX_PUSH(AQ26*fxVal_normal,CX_ENTITY,$B26,AQ$11,AQ$14,AQ$19,),""),IF($I26=2,IFBLANK(_xldudf_CX_PUSH(AQ26,CX_ENTITY,$B26,AQ$11,AQ$14,AQ$19,),""),IF($I26=3,"",IFBLANK(_xldudf_CX_PUSH(AQ26,CX_ENTITY,$B26,AQ$11,AQ$14,AQ$19,),"")))))),"")</f>
        <v/>
      </c>
      <c r="DR26" s="2445" t="str" cm="1">
        <f t="array" ca="1" aca="1" ref="DR26">IFERROR(IF(AR26*fxVal_normal=_PL!AR26,"",IF(OR(AR26="",NOT(ISNUMBER(AR26)),ISERROR(AR26),$B26=""),"",IF($I26=1,IFBLANK(_xldudf_CX_PUSH(AR26*fxVal_normal,CX_ENTITY,$B26,AR$11,AR$14,AR$19,),""),IF($I26=2,IFBLANK(_xldudf_CX_PUSH(AR26,CX_ENTITY,$B26,AR$11,AR$14,AR$19,),""),IF($I26=3,"",IFBLANK(_xldudf_CX_PUSH(AR26,CX_ENTITY,$B26,AR$11,AR$14,AR$19,),"")))))),"")</f>
        <v/>
      </c>
      <c r="DS26" s="2445" t="str" cm="1">
        <f t="array" ca="1" aca="1" ref="DS26">IFERROR(IF(AS26*fxVal_normal=_PL!AS26,"",IF(OR(AS26="",NOT(ISNUMBER(AS26)),ISERROR(AS26),$B26=""),"",IF($I26=1,IFBLANK(_xldudf_CX_PUSH(AS26*fxVal_normal,CX_ENTITY,$B26,AS$11,AS$14,AS$19,),""),IF($I26=2,IFBLANK(_xldudf_CX_PUSH(AS26,CX_ENTITY,$B26,AS$11,AS$14,AS$19,),""),IF($I26=3,"",IFBLANK(_xldudf_CX_PUSH(AS26,CX_ENTITY,$B26,AS$11,AS$14,AS$19,),"")))))),"")</f>
        <v/>
      </c>
      <c r="DT26" s="2445" t="str" cm="1">
        <f t="array" ca="1" aca="1" ref="DT26">IFERROR(IF(AT26*fxVal_normal=_PL!AT26,"",IF(OR(AT26="",NOT(ISNUMBER(AT26)),ISERROR(AT26),$B26=""),"",IF($I26=1,IFBLANK(_xldudf_CX_PUSH(AT26*fxVal_normal,CX_ENTITY,$B26,AT$11,AT$14,AT$19,),""),IF($I26=2,IFBLANK(_xldudf_CX_PUSH(AT26,CX_ENTITY,$B26,AT$11,AT$14,AT$19,),""),IF($I26=3,"",IFBLANK(_xldudf_CX_PUSH(AT26,CX_ENTITY,$B26,AT$11,AT$14,AT$19,),"")))))),"")</f>
        <v/>
      </c>
      <c r="DU26" s="2445" t="str" cm="1">
        <f t="array" ca="1" aca="1" ref="DU26">IFERROR(IF(AU26*fxVal_normal=_PL!AU26,"",IF(OR(AU26="",NOT(ISNUMBER(AU26)),ISERROR(AU26),$B26=""),"",IF($I26=1,IFBLANK(_xldudf_CX_PUSH(AU26*fxVal_normal,CX_ENTITY,$B26,AU$11,AU$14,AU$19,),""),IF($I26=2,IFBLANK(_xldudf_CX_PUSH(AU26,CX_ENTITY,$B26,AU$11,AU$14,AU$19,),""),IF($I26=3,"",IFBLANK(_xldudf_CX_PUSH(AU26,CX_ENTITY,$B26,AU$11,AU$14,AU$19,),"")))))),"")</f>
        <v/>
      </c>
      <c r="DV26" s="2445" t="str" cm="1">
        <f t="array" ca="1" aca="1" ref="DV26">IFERROR(IF(AV26*fxVal_normal=_PL!AV26,"",IF(OR(AV26="",NOT(ISNUMBER(AV26)),ISERROR(AV26),$B26=""),"",IF($I26=1,IFBLANK(_xldudf_CX_PUSH(AV26*fxVal_normal,CX_ENTITY,$B26,AV$11,AV$14,AV$19,),""),IF($I26=2,IFBLANK(_xldudf_CX_PUSH(AV26,CX_ENTITY,$B26,AV$11,AV$14,AV$19,),""),IF($I26=3,"",IFBLANK(_xldudf_CX_PUSH(AV26,CX_ENTITY,$B26,AV$11,AV$14,AV$19,),"")))))),"")</f>
        <v/>
      </c>
      <c r="DW26" s="2445" t="str" cm="1">
        <f t="array" ca="1" aca="1" ref="DW26">IFERROR(IF(AW26*fxVal_normal=_PL!AW26,"",IF(OR(AW26="",NOT(ISNUMBER(AW26)),ISERROR(AW26),$B26=""),"",IF($I26=1,IFBLANK(_xldudf_CX_PUSH(AW26*fxVal_normal,CX_ENTITY,$B26,AW$11,AW$14,AW$19,),""),IF($I26=2,IFBLANK(_xldudf_CX_PUSH(AW26,CX_ENTITY,$B26,AW$11,AW$14,AW$19,),""),IF($I26=3,"",IFBLANK(_xldudf_CX_PUSH(AW26,CX_ENTITY,$B26,AW$11,AW$14,AW$19,),"")))))),"")</f>
        <v/>
      </c>
      <c r="DX26" s="2445" t="str" cm="1">
        <f t="array" ca="1" aca="1" ref="DX26">IFERROR(IF(AX26*fxVal_normal=_PL!AX26,"",IF(OR(AX26="",NOT(ISNUMBER(AX26)),ISERROR(AX26),$B26=""),"",IF($I26=1,IFBLANK(_xldudf_CX_PUSH(AX26*fxVal_normal,CX_ENTITY,$B26,AX$11,AX$14,AX$19,),""),IF($I26=2,IFBLANK(_xldudf_CX_PUSH(AX26,CX_ENTITY,$B26,AX$11,AX$14,AX$19,),""),IF($I26=3,"",IFBLANK(_xldudf_CX_PUSH(AX26,CX_ENTITY,$B26,AX$11,AX$14,AX$19,),"")))))),"")</f>
        <v/>
      </c>
      <c r="DY26" s="2445" t="str" cm="1">
        <f t="array" ca="1" aca="1" ref="DY26">IFERROR(IF(AY26*fxVal_normal=_PL!AY26,"",IF(OR(AY26="",NOT(ISNUMBER(AY26)),ISERROR(AY26),$B26=""),"",IF($I26=1,IFBLANK(_xldudf_CX_PUSH(AY26*fxVal_normal,CX_ENTITY,$B26,AY$11,AY$14,AY$19,),""),IF($I26=2,IFBLANK(_xldudf_CX_PUSH(AY26,CX_ENTITY,$B26,AY$11,AY$14,AY$19,),""),IF($I26=3,"",IFBLANK(_xldudf_CX_PUSH(AY26,CX_ENTITY,$B26,AY$11,AY$14,AY$19,),"")))))),"")</f>
        <v/>
      </c>
      <c r="DZ26" s="2445" t="str" cm="1">
        <f t="array" ca="1" aca="1" ref="DZ26">IFERROR(IF(AZ26*fxVal_normal=_PL!AZ26,"",IF(OR(AZ26="",NOT(ISNUMBER(AZ26)),ISERROR(AZ26),$B26=""),"",IF($I26=1,IFBLANK(_xldudf_CX_PUSH(AZ26*fxVal_normal,CX_ENTITY,$B26,AZ$11,AZ$14,AZ$19,),""),IF($I26=2,IFBLANK(_xldudf_CX_PUSH(AZ26,CX_ENTITY,$B26,AZ$11,AZ$14,AZ$19,),""),IF($I26=3,"",IFBLANK(_xldudf_CX_PUSH(AZ26,CX_ENTITY,$B26,AZ$11,AZ$14,AZ$19,),"")))))),"")</f>
        <v/>
      </c>
      <c r="EA26" s="2445" t="str" cm="1">
        <f t="array" ca="1" aca="1" ref="EA26">IFERROR(IF(BA26*fxVal_normal=_PL!BA26,"",IF(OR(BA26="",NOT(ISNUMBER(BA26)),ISERROR(BA26),$B26=""),"",IF($I26=1,IFBLANK(_xldudf_CX_PUSH(BA26*fxVal_normal,CX_ENTITY,$B26,BA$11,BA$14,BA$19,),""),IF($I26=2,IFBLANK(_xldudf_CX_PUSH(BA26,CX_ENTITY,$B26,BA$11,BA$14,BA$19,),""),IF($I26=3,"",IFBLANK(_xldudf_CX_PUSH(BA26,CX_ENTITY,$B26,BA$11,BA$14,BA$19,),"")))))),"")</f>
        <v/>
      </c>
      <c r="EB26" s="2445" t="str" cm="1">
        <f t="array" ca="1" aca="1" ref="EB26">IFERROR(IF(BB26*fxVal_normal=_PL!BB26,"",IF(OR(BB26="",NOT(ISNUMBER(BB26)),ISERROR(BB26),$B26=""),"",IF($I26=1,IFBLANK(_xldudf_CX_PUSH(BB26*fxVal_normal,CX_ENTITY,$B26,BB$11,BB$14,BB$19,),""),IF($I26=2,IFBLANK(_xldudf_CX_PUSH(BB26,CX_ENTITY,$B26,BB$11,BB$14,BB$19,),""),IF($I26=3,"",IFBLANK(_xldudf_CX_PUSH(BB26,CX_ENTITY,$B26,BB$11,BB$14,BB$19,),"")))))),"")</f>
        <v/>
      </c>
      <c r="EC26" s="2445" t="str" cm="1">
        <f t="array" ca="1" aca="1" ref="EC26">IFERROR(IF(BC26*fxVal_normal=_PL!BC26,"",IF(OR(BC26="",NOT(ISNUMBER(BC26)),ISERROR(BC26),$B26=""),"",IF($I26=1,IFBLANK(_xldudf_CX_PUSH(BC26*fxVal_normal,CX_ENTITY,$B26,BC$11,BC$14,BC$19,),""),IF($I26=2,IFBLANK(_xldudf_CX_PUSH(BC26,CX_ENTITY,$B26,BC$11,BC$14,BC$19,),""),IF($I26=3,"",IFBLANK(_xldudf_CX_PUSH(BC26,CX_ENTITY,$B26,BC$11,BC$14,BC$19,),"")))))),"")</f>
        <v/>
      </c>
      <c r="ED26" s="2445" t="str" cm="1">
        <f t="array" ca="1" aca="1" ref="ED26">IFERROR(IF(BD26*fxVal_normal=_PL!BD26,"",IF(OR(BD26="",NOT(ISNUMBER(BD26)),ISERROR(BD26),$B26=""),"",IF($I26=1,IFBLANK(_xldudf_CX_PUSH(BD26*fxVal_normal,CX_ENTITY,$B26,BD$11,BD$14,BD$19,),""),IF($I26=2,IFBLANK(_xldudf_CX_PUSH(BD26,CX_ENTITY,$B26,BD$11,BD$14,BD$19,),""),IF($I26=3,"",IFBLANK(_xldudf_CX_PUSH(BD26,CX_ENTITY,$B26,BD$11,BD$14,BD$19,),"")))))),"")</f>
        <v/>
      </c>
      <c r="EE26" s="2445" t="str" cm="1">
        <f t="array" ca="1" aca="1" ref="EE26">IFERROR(IF(BE26*fxVal_normal=_PL!BE26,"",IF(OR(BE26="",NOT(ISNUMBER(BE26)),ISERROR(BE26),$B26=""),"",IF($I26=1,IFBLANK(_xldudf_CX_PUSH(BE26*fxVal_normal,CX_ENTITY,$B26,BE$11,BE$14,BE$19,),""),IF($I26=2,IFBLANK(_xldudf_CX_PUSH(BE26,CX_ENTITY,$B26,BE$11,BE$14,BE$19,),""),IF($I26=3,"",IFBLANK(_xldudf_CX_PUSH(BE26,CX_ENTITY,$B26,BE$11,BE$14,BE$19,),"")))))),"")</f>
        <v/>
      </c>
      <c r="EF26" s="2445" t="str" cm="1">
        <f t="array" ca="1" aca="1" ref="EF26">IFERROR(IF(BF26*fxVal_normal=_PL!BF26,"",IF(OR(BF26="",NOT(ISNUMBER(BF26)),ISERROR(BF26),$B26=""),"",IF($I26=1,IFBLANK(_xldudf_CX_PUSH(BF26*fxVal_normal,CX_ENTITY,$B26,BF$11,BF$14,BF$19,),""),IF($I26=2,IFBLANK(_xldudf_CX_PUSH(BF26,CX_ENTITY,$B26,BF$11,BF$14,BF$19,),""),IF($I26=3,"",IFBLANK(_xldudf_CX_PUSH(BF26,CX_ENTITY,$B26,BF$11,BF$14,BF$19,),"")))))),"")</f>
        <v/>
      </c>
      <c r="EG26" s="2445" t="str" cm="1">
        <f t="array" ca="1" aca="1" ref="EG26">IFERROR(IF(BG26*fxVal_normal=_PL!BG26,"",IF(OR(BG26="",NOT(ISNUMBER(BG26)),ISERROR(BG26),$B26=""),"",IF($I26=1,IFBLANK(_xldudf_CX_PUSH(BG26*fxVal_normal,CX_ENTITY,$B26,BG$11,BG$14,BG$19,),""),IF($I26=2,IFBLANK(_xldudf_CX_PUSH(BG26,CX_ENTITY,$B26,BG$11,BG$14,BG$19,),""),IF($I26=3,"",IFBLANK(_xldudf_CX_PUSH(BG26,CX_ENTITY,$B26,BG$11,BG$14,BG$19,),"")))))),"")</f>
        <v/>
      </c>
      <c r="EH26" s="2445" t="str" cm="1">
        <f t="array" ca="1" aca="1" ref="EH26">IFERROR(IF(BH26*fxVal_normal=_PL!BH26,"",IF(OR(BH26="",NOT(ISNUMBER(BH26)),ISERROR(BH26),$B26=""),"",IF($I26=1,IFBLANK(_xldudf_CX_PUSH(BH26*fxVal_normal,CX_ENTITY,$B26,BH$11,BH$14,BH$19,),""),IF($I26=2,IFBLANK(_xldudf_CX_PUSH(BH26,CX_ENTITY,$B26,BH$11,BH$14,BH$19,),""),IF($I26=3,"",IFBLANK(_xldudf_CX_PUSH(BH26,CX_ENTITY,$B26,BH$11,BH$14,BH$19,),"")))))),"")</f>
        <v/>
      </c>
      <c r="EI26" s="2445" t="str" cm="1">
        <f t="array" ca="1" aca="1" ref="EI26">IFERROR(IF(BI26*fxVal_normal=_PL!BI26,"",IF(OR(BI26="",NOT(ISNUMBER(BI26)),ISERROR(BI26),$B26=""),"",IF($I26=1,IFBLANK(_xldudf_CX_PUSH(BI26*fxVal_normal,CX_ENTITY,$B26,BI$11,BI$14,BI$19,),""),IF($I26=2,IFBLANK(_xldudf_CX_PUSH(BI26,CX_ENTITY,$B26,BI$11,BI$14,BI$19,),""),IF($I26=3,"",IFBLANK(_xldudf_CX_PUSH(BI26,CX_ENTITY,$B26,BI$11,BI$14,BI$19,),"")))))),"")</f>
        <v/>
      </c>
      <c r="EJ26" s="2445" t="str" cm="1">
        <f t="array" ca="1" aca="1" ref="EJ26">IFERROR(IF(BJ26*fxVal_normal=_PL!BJ26,"",IF(OR(BJ26="",NOT(ISNUMBER(BJ26)),ISERROR(BJ26),$B26=""),"",IF($I26=1,IFBLANK(_xldudf_CX_PUSH(BJ26*fxVal_normal,CX_ENTITY,$B26,BJ$11,BJ$14,BJ$19,),""),IF($I26=2,IFBLANK(_xldudf_CX_PUSH(BJ26,CX_ENTITY,$B26,BJ$11,BJ$14,BJ$19,),""),IF($I26=3,"",IFBLANK(_xldudf_CX_PUSH(BJ26,CX_ENTITY,$B26,BJ$11,BJ$14,BJ$19,),"")))))),"")</f>
        <v/>
      </c>
      <c r="EK26" s="2445" t="str" cm="1">
        <f t="array" ca="1" aca="1" ref="EK26">IFERROR(IF(BK26*fxVal_normal=_PL!BK26,"",IF(OR(BK26="",NOT(ISNUMBER(BK26)),ISERROR(BK26),$B26=""),"",IF($I26=1,IFBLANK(_xldudf_CX_PUSH(BK26*fxVal_normal,CX_ENTITY,$B26,BK$11,BK$14,BK$19,),""),IF($I26=2,IFBLANK(_xldudf_CX_PUSH(BK26,CX_ENTITY,$B26,BK$11,BK$14,BK$19,),""),IF($I26=3,"",IFBLANK(_xldudf_CX_PUSH(BK26,CX_ENTITY,$B26,BK$11,BK$14,BK$19,),"")))))),"")</f>
        <v/>
      </c>
      <c r="EL26" s="2445" t="str" cm="1">
        <f t="array" ca="1" aca="1" ref="EL26">IFERROR(IF(BL26*fxVal_normal=_PL!BL26,"",IF(OR(BL26="",NOT(ISNUMBER(BL26)),ISERROR(BL26),$B26=""),"",IF($I26=1,IFBLANK(_xldudf_CX_PUSH(BL26*fxVal_normal,CX_ENTITY,$B26,BL$11,BL$14,BL$19,),""),IF($I26=2,IFBLANK(_xldudf_CX_PUSH(BL26,CX_ENTITY,$B26,BL$11,BL$14,BL$19,),""),IF($I26=3,"",IFBLANK(_xldudf_CX_PUSH(BL26,CX_ENTITY,$B26,BL$11,BL$14,BL$19,),"")))))),"")</f>
        <v/>
      </c>
      <c r="EM26" s="2445" t="str" cm="1">
        <f t="array" ca="1" aca="1" ref="EM26">IFERROR(IF(BM26*fxVal_normal=_PL!BM26,"",IF(OR(BM26="",NOT(ISNUMBER(BM26)),ISERROR(BM26),$B26=""),"",IF($I26=1,IFBLANK(_xldudf_CX_PUSH(BM26*fxVal_normal,CX_ENTITY,$B26,BM$11,BM$14,BM$19,),""),IF($I26=2,IFBLANK(_xldudf_CX_PUSH(BM26,CX_ENTITY,$B26,BM$11,BM$14,BM$19,),""),IF($I26=3,"",IFBLANK(_xldudf_CX_PUSH(BM26,CX_ENTITY,$B26,BM$11,BM$14,BM$19,),"")))))),"")</f>
        <v/>
      </c>
      <c r="EN26" s="2445" t="str" cm="1">
        <f t="array" ca="1" aca="1" ref="EN26">IFERROR(IF(BN26*fxVal_normal=_PL!BN26,"",IF(OR(BN26="",NOT(ISNUMBER(BN26)),ISERROR(BN26),$B26=""),"",IF($I26=1,IFBLANK(_xldudf_CX_PUSH(BN26*fxVal_normal,CX_ENTITY,$B26,BN$11,BN$14,BN$19,),""),IF($I26=2,IFBLANK(_xldudf_CX_PUSH(BN26,CX_ENTITY,$B26,BN$11,BN$14,BN$19,),""),IF($I26=3,"",IFBLANK(_xldudf_CX_PUSH(BN26,CX_ENTITY,$B26,BN$11,BN$14,BN$19,),"")))))),"")</f>
        <v/>
      </c>
    </row>
    <row r="27" spans="1:144" ht="21" customHeight="1">
      <c r="A27" s="1625"/>
      <c r="B27" s="3182">
        <f>_xlfn.LET(_xlpm.IsNotAttrDynamic,D27="",_xlpm.Attr,_PL!F27,_xlpm.NotInUse,Y27=D27,_xlpm.RESULT,IF(_xlpm.IsNotAttrDynamic,_xlpm.Attr,IF(_xlpm.NotInUse,"",Y27)),IF(_xlpm.RESULT="","",_xlpm.RESULT))</f>
        <v>2</v>
      </c>
      <c r="C27" s="2439" t="str" cm="1">
        <f t="array" ref="C27">IFBLANK(_PL!C27,"")</f>
        <v>EBITDA Adjustment Type I - Label 2</v>
      </c>
      <c r="D27" s="1548" t="s">
        <v>98</v>
      </c>
      <c r="E27" s="2440" t="e" cm="1">
        <f t="array" ca="1" aca="1" ref="E2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27:$CQ27,Z27)</f>
        <v>#NAME?</v>
      </c>
      <c r="F27" s="1897"/>
      <c r="G27" s="1897"/>
      <c r="H27" s="578">
        <v>0</v>
      </c>
      <c r="I27" s="3279">
        <v>1</v>
      </c>
      <c r="J27" s="401" cm="1">
        <f t="array" ref="J27">IFBLANK(Z27,"")</f>
        <v>-1</v>
      </c>
      <c r="K27" s="578" t="str">
        <f t="shared" si="8"/>
        <v>Yes</v>
      </c>
      <c r="L27" s="3283">
        <v>2</v>
      </c>
      <c r="N27" s="158"/>
      <c r="O27" s="101"/>
      <c r="P27" s="52"/>
      <c r="Q27" s="101"/>
      <c r="R27" s="126"/>
      <c r="S27" s="101"/>
      <c r="T27" s="101"/>
      <c r="U27" s="39"/>
      <c r="V27" s="37"/>
      <c r="W27" s="91" t="str">
        <f t="shared" si="4"/>
        <v>Actual</v>
      </c>
      <c r="X27" s="2081" t="str">
        <f>_PL!X27</f>
        <v>a</v>
      </c>
      <c r="Y27" s="3176">
        <v>2</v>
      </c>
      <c r="Z27" s="198" cm="1">
        <f t="array" ref="Z27">_xlfn.SWITCH(TRUE,_PL!$L27=TRUE,1,_PL!$L27=FALSE,-1,_PL!$L27=-1,0,"")</f>
        <v>-1</v>
      </c>
      <c r="AA27" s="200"/>
      <c r="AB27" s="3184">
        <f t="shared" si="9"/>
        <v>2</v>
      </c>
      <c r="AC27" s="2448" t="str" cm="1">
        <f t="array" ca="1" aca="1" ref="AC27">_xlfn.LET(_xlpm._termname,$AB27,_xlpm._iconname,"find",_xlpm._icon,fx_getIcon(_xlpm._iconname),_xlpm._location,_xlfn.XLOOKUP(LOWER(_xlpm._termname),LOWER(tbl_acctDef[Term]),tbl_acctDef[Term]),_xlpm._hyperlink,HYPERLINK("#"&amp;CELL("address",_xlpm._location),_xlpm._icon),IFERROR(_xlpm._hyperlink,""))</f>
        <v/>
      </c>
      <c r="AD27" s="3185">
        <v>1</v>
      </c>
      <c r="AE27" s="3185">
        <v>1</v>
      </c>
      <c r="AF27" s="3185">
        <v>1</v>
      </c>
      <c r="AG27" s="3185">
        <v>1</v>
      </c>
      <c r="AH27" s="3185">
        <v>1</v>
      </c>
      <c r="AI27" s="3185">
        <v>1</v>
      </c>
      <c r="AJ27" s="3185">
        <v>1</v>
      </c>
      <c r="AK27" s="3185">
        <v>1</v>
      </c>
      <c r="AL27" s="3185">
        <v>1</v>
      </c>
      <c r="AM27" s="3185">
        <v>1</v>
      </c>
      <c r="AN27" s="3185">
        <v>1</v>
      </c>
      <c r="AO27" s="3185">
        <v>1</v>
      </c>
      <c r="AP27" s="3185">
        <v>1</v>
      </c>
      <c r="AQ27" s="3185">
        <v>1</v>
      </c>
      <c r="AR27" s="3185">
        <v>1</v>
      </c>
      <c r="AS27" s="3185">
        <v>1</v>
      </c>
      <c r="AT27" s="3185">
        <v>1</v>
      </c>
      <c r="AU27" s="3185">
        <v>1</v>
      </c>
      <c r="AV27" s="3185">
        <v>1</v>
      </c>
      <c r="AW27" s="3185">
        <v>1</v>
      </c>
      <c r="AX27" s="3185">
        <v>1</v>
      </c>
      <c r="AY27" s="3185">
        <v>1</v>
      </c>
      <c r="AZ27" s="3185">
        <v>1</v>
      </c>
      <c r="BA27" s="3185">
        <v>1</v>
      </c>
      <c r="BB27" s="3185">
        <v>1</v>
      </c>
      <c r="BC27" s="3185">
        <v>1</v>
      </c>
      <c r="BD27" s="3185">
        <v>1</v>
      </c>
      <c r="BE27" s="3185">
        <v>1</v>
      </c>
      <c r="BF27" s="3185">
        <v>1</v>
      </c>
      <c r="BG27" s="3185">
        <v>1</v>
      </c>
      <c r="BH27" s="3185">
        <v>1</v>
      </c>
      <c r="BI27" s="3185">
        <v>1</v>
      </c>
      <c r="BJ27" s="3185">
        <v>1</v>
      </c>
      <c r="BK27" s="3185">
        <v>1</v>
      </c>
      <c r="BL27" s="3185">
        <v>1</v>
      </c>
      <c r="BM27" s="3185">
        <v>1</v>
      </c>
      <c r="BN27" s="3185">
        <v>1</v>
      </c>
      <c r="BO27" s="2442"/>
      <c r="BP27" s="2442"/>
      <c r="BQ27" s="2442"/>
      <c r="BR27" s="2442"/>
      <c r="BS27" s="2442"/>
      <c r="BT27" s="2442"/>
      <c r="BU27" s="2442"/>
      <c r="BV27" s="2442"/>
      <c r="BW27" s="2442"/>
      <c r="BX27" s="2442"/>
      <c r="BY27" s="2442"/>
      <c r="BZ27" s="2442"/>
      <c r="CA27" s="34"/>
      <c r="CC27" s="33"/>
      <c r="CD27" s="1772" t="e" cm="1">
        <f t="array" ca="1" aca="1" ref="CD27">_xlfn.LET(_xlpm.CheckBlank,SUM(PL!$AD27:PL!$BN27)=0,IF(_xlpm.CheckBlank,"",SUM(_xlfn._xlws.FILTER(PL!$AD27:$BN27,(YEAR(PL!$AD$12:$BN$12)=PL!CD$12)*(array_timeline&lt;=PL!CD$11)))))</f>
        <v>#NAME?</v>
      </c>
      <c r="CE27" s="1772" t="e" cm="1">
        <f t="array" ca="1" aca="1" ref="CE27">_xlfn.LET(_xlpm.CheckBlank,SUM(PL!$AD27:PL!$BN27)=0,IF(_xlpm.CheckBlank,"",SUM(_xlfn._xlws.FILTER(PL!$AD27:$BN27,(YEAR(PL!$AD$12:$BN$12)=PL!CE$12)*(array_timeline&lt;=PL!CE$11)))))</f>
        <v>#NAME?</v>
      </c>
      <c r="CF27" s="88"/>
      <c r="CG27" s="1461" t="str" cm="1">
        <f t="array" ca="1" aca="1" ref="CG27">IFERROR(_xlfn.LET(_xlpm.CheckBlank,SUM(PL!$AD27:$BN27)=0,IF(_xlpm.CheckBlank,"",SUM(_xlfn._xlws.FILTER(PL!$AD27:$BN27,(YEAR(PL!$AD$12:$BN$12)=PL!CG$12)*(array_timeline&lt;=PL!CG$11))))),"n/a")</f>
        <v>n/a</v>
      </c>
      <c r="CH27" s="1461" t="e" cm="1">
        <f t="array" ca="1" aca="1" ref="CH27">_xlfn.LET(_xlpm.CheckBlank,SUM(PL!$AD27:$BN27)=0,IF(_xlpm.CheckBlank,"",SUM(_xlfn._xlws.FILTER(PL!$AD27:$BN27,(YEAR(PL!$AD$12:$BN$12)=PL!CH$12)*(array_timeline&lt;=PL!CH$11)))))</f>
        <v>#NAME?</v>
      </c>
      <c r="CI27" s="88"/>
      <c r="CJ27" s="1461" cm="1">
        <f t="array" ref="CJ27">_xlfn.LET(_xlpm.CheckBlank,SUM(PL!$AD27:$BN27)=0,IF(_xlpm.CheckBlank,"",SUM(_xlfn.TAKE(_xlfn.DROP(PL!$AD27:$BN27,,-DATEDIFF(PL!CJ$11,val_asOfDate,"M")),1,-12))))</f>
        <v>12</v>
      </c>
      <c r="CK27" s="1461" cm="1">
        <f t="array" ref="CK27">_xlfn.LET(_xlpm.CheckBlank,SUM(PL!$AD27:$BN27)=0,IF(_xlpm.CheckBlank,"",SUM(_xlfn.TAKE(_xlfn.DROP(PL!$AD27:$BN27,,-DATEDIFF(PL!CK$11,val_asOfDate,"M")),1,-12))))</f>
        <v>12</v>
      </c>
      <c r="CL27" s="88"/>
      <c r="CM27" s="3185">
        <v>1</v>
      </c>
      <c r="CN27" s="3185">
        <v>1</v>
      </c>
      <c r="CO27" s="1169"/>
      <c r="CP27" s="3185">
        <v>1</v>
      </c>
      <c r="CQ27" s="3185">
        <v>1</v>
      </c>
      <c r="CR27" s="34"/>
      <c r="CS27" s="2056"/>
      <c r="CT27" s="2447" t="e" cm="1">
        <f t="array" ca="1" aca="1" ref="CT27">IF(ISNUMBER(SEARCH("Select",$Y27)),"",_xldudf_CX_PUSH($Y27,CX_ENTITY,C27,val_asOfDate))</f>
        <v>#NAME?</v>
      </c>
      <c r="CU27" s="2447" t="e" cm="1">
        <f t="array" ca="1" aca="1" ref="CU27">IF(ISNUMBER(SEARCH("Select",$Y27)),"",_xldudf_CX_PUSH($Y27,CX_ENTITY,C27,EOMONTH(val_asOfDate,1)))</f>
        <v>#NAME?</v>
      </c>
      <c r="CV27" s="2447" t="e" cm="1">
        <f t="array" ca="1" aca="1" ref="CV27">IF(ISNUMBER(SEARCH("Select",$Y27)),"",_xldudf_CX_PUSH($Y27,CX_ENTITY,C27,EOMONTH(val_asOfDate,2)))</f>
        <v>#NAME?</v>
      </c>
      <c r="CW27" s="2447" t="e" cm="1">
        <f t="array" ca="1" aca="1" ref="CW27">IF(ISNUMBER(SEARCH("Select",$Y27)),"",_xldudf_CX_PUSH($Y27,CX_ENTITY,C27,EOMONTH(val_asOfDate,3)))</f>
        <v>#NAME?</v>
      </c>
      <c r="CX27" s="2443"/>
      <c r="CY27" s="2444" t="str" cm="1">
        <f t="array" ca="1" aca="1" ref="CY27">IFERROR(IF(CM27*fxVal_normal=_PL!CM27,"",IF(OR($CM27="",$CM27=0,NOT(ISNUMBER($CM27)),ISERROR($CM27),$B27=""),"",IF($I27=1,IFBLANK(_xldudf_CX_PUSH($CM27*fxVal_normal,CX_ENTITY,$B27,$CM$11,$CM$14,$CM$19,),""),IF($I27=2,IFBLANK(_xldudf_CX_PUSH($CM27,CX_ENTITY,$B27,$CM$11,$CM$14,$CM$19,),""),IF($I27=3,"",IFBLANK(_xldudf_CX_PUSH($CM27,CX_ENTITY,$B27,$CM$11,$CM$14,$CM$19,),"")))))),"")</f>
        <v/>
      </c>
      <c r="CZ27" s="2444" t="str" cm="1">
        <f t="array" ca="1" aca="1" ref="CZ27">IFERROR(IF(CN27*fxVal_normal=_PL!CN27,"",IF(OR($CN27="",$CN27=0,NOT(ISNUMBER($CN27)),ISERROR($CN27),$B27=""),"",IF($I27=1,IFBLANK(_xldudf_CX_PUSH($CN27*fxVal_normal,CX_ENTITY,$B27,$CN$11,$CN$14,$CN$19,),""),IF($I27=2,IFBLANK(_xldudf_CX_PUSH($CN27,CX_ENTITY,$B27,$CN$11,$CN$14,$CN$19,),""),IF($I27=3,"",IFBLANK(_xldudf_CX_PUSH($CN27,CX_ENTITY,$B27,$CN$11,$CN$14,$CN$19,),"")))))),"")</f>
        <v/>
      </c>
      <c r="DA27" s="2444" t="str" cm="1">
        <f t="array" ca="1" aca="1" ref="DA27">IFERROR(IF(CP27*fxVal_normal=_PL!CP27,"",IF(OR($CP27="",$CP27=0,NOT(ISNUMBER($CP27)),ISERROR($CP27),$B27=""),"",IF($I27=1,IFBLANK(_xldudf_CX_PUSH($CP27*fxVal_normal,CX_ENTITY,$B27,$CP$11,$CP$14,$CP$19,),""),IF($I27=2,IFBLANK(_xldudf_CX_PUSH($CP27,CX_ENTITY,$B27,$CP$11,$CP$14,$CP$19,),""),IF($I27=3,"",IFBLANK(_xldudf_CX_PUSH($CP27,CX_ENTITY,$B27,$CP$11,$CP$14,$CP$19,),"")))))),"")</f>
        <v/>
      </c>
      <c r="DB27" s="2444" t="str" cm="1">
        <f t="array" ca="1" aca="1" ref="DB27">IFERROR(IF(CQ27*fxVal_normal=_PL!CQ27,"",IF(OR($CQ27="",$CQ27=0,NOT(ISNUMBER($CQ27)),ISERROR($CQ27),$B27=""),"",IF($I27=1,IFBLANK(_xldudf_CX_PUSH($CQ27*fxVal_normal,CX_ENTITY,$B27,$CQ$11,$CQ$14,$CQ$19,),""),IF($I27=2,IFBLANK(_xldudf_CX_PUSH($CQ27,CX_ENTITY,$B27,$CQ$11,$CQ$14,$CQ$19,),""),IF($I27=3,"",IFBLANK(_xldudf_CX_PUSH($CQ27,CX_ENTITY,$B27,$CQ$11,$CQ$14,$CQ$19,),"")))))),"")</f>
        <v/>
      </c>
      <c r="DC27" s="2443"/>
      <c r="DD27" s="2445" t="str" cm="1">
        <f t="array" ca="1" aca="1" ref="DD27">IFERROR(IF(AD27*fxVal_normal=_PL!AD27,"",IF(OR(AD27="",NOT(ISNUMBER(AD27)),ISERROR(AD27),$B27=""),"",IF($I27=1,IFBLANK(_xldudf_CX_PUSH(AD27*fxVal_normal,CX_ENTITY,$B27,AD$11,AD$14,AD$19,),""),IF($I27=2,IFBLANK(_xldudf_CX_PUSH(AD27,CX_ENTITY,$B27,AD$11,AD$14,AD$19,),""),IF($I27=3,"",IFBLANK(_xldudf_CX_PUSH(AD27,CX_ENTITY,$B27,AD$11,AD$14,AD$19,),"")))))),"")</f>
        <v/>
      </c>
      <c r="DE27" s="2445" t="str" cm="1">
        <f t="array" ca="1" aca="1" ref="DE27">IFERROR(IF(AE27*fxVal_normal=_PL!AE27,"",IF(OR(AE27="",NOT(ISNUMBER(AE27)),ISERROR(AE27),$B27=""),"",IF($I27=1,IFBLANK(_xldudf_CX_PUSH(AE27*fxVal_normal,CX_ENTITY,$B27,AE$11,AE$14,AE$19,),""),IF($I27=2,IFBLANK(_xldudf_CX_PUSH(AE27,CX_ENTITY,$B27,AE$11,AE$14,AE$19,),""),IF($I27=3,"",IFBLANK(_xldudf_CX_PUSH(AE27,CX_ENTITY,$B27,AE$11,AE$14,AE$19,),"")))))),"")</f>
        <v/>
      </c>
      <c r="DF27" s="2445" t="str" cm="1">
        <f t="array" ca="1" aca="1" ref="DF27">IFERROR(IF(AF27*fxVal_normal=_PL!AF27,"",IF(OR(AF27="",NOT(ISNUMBER(AF27)),ISERROR(AF27),$B27=""),"",IF($I27=1,IFBLANK(_xldudf_CX_PUSH(AF27*fxVal_normal,CX_ENTITY,$B27,AF$11,AF$14,AF$19,),""),IF($I27=2,IFBLANK(_xldudf_CX_PUSH(AF27,CX_ENTITY,$B27,AF$11,AF$14,AF$19,),""),IF($I27=3,"",IFBLANK(_xldudf_CX_PUSH(AF27,CX_ENTITY,$B27,AF$11,AF$14,AF$19,),"")))))),"")</f>
        <v/>
      </c>
      <c r="DG27" s="2445" t="str" cm="1">
        <f t="array" ca="1" aca="1" ref="DG27">IFERROR(IF(AG27*fxVal_normal=_PL!AG27,"",IF(OR(AG27="",NOT(ISNUMBER(AG27)),ISERROR(AG27),$B27=""),"",IF($I27=1,IFBLANK(_xldudf_CX_PUSH(AG27*fxVal_normal,CX_ENTITY,$B27,AG$11,AG$14,AG$19,),""),IF($I27=2,IFBLANK(_xldudf_CX_PUSH(AG27,CX_ENTITY,$B27,AG$11,AG$14,AG$19,),""),IF($I27=3,"",IFBLANK(_xldudf_CX_PUSH(AG27,CX_ENTITY,$B27,AG$11,AG$14,AG$19,),"")))))),"")</f>
        <v/>
      </c>
      <c r="DH27" s="2445" t="str" cm="1">
        <f t="array" ca="1" aca="1" ref="DH27">IFERROR(IF(AH27*fxVal_normal=_PL!AH27,"",IF(OR(AH27="",NOT(ISNUMBER(AH27)),ISERROR(AH27),$B27=""),"",IF($I27=1,IFBLANK(_xldudf_CX_PUSH(AH27*fxVal_normal,CX_ENTITY,$B27,AH$11,AH$14,AH$19,),""),IF($I27=2,IFBLANK(_xldudf_CX_PUSH(AH27,CX_ENTITY,$B27,AH$11,AH$14,AH$19,),""),IF($I27=3,"",IFBLANK(_xldudf_CX_PUSH(AH27,CX_ENTITY,$B27,AH$11,AH$14,AH$19,),"")))))),"")</f>
        <v/>
      </c>
      <c r="DI27" s="2445" t="str" cm="1">
        <f t="array" ca="1" aca="1" ref="DI27">IFERROR(IF(AI27*fxVal_normal=_PL!AI27,"",IF(OR(AI27="",NOT(ISNUMBER(AI27)),ISERROR(AI27),$B27=""),"",IF($I27=1,IFBLANK(_xldudf_CX_PUSH(AI27*fxVal_normal,CX_ENTITY,$B27,AI$11,AI$14,AI$19,),""),IF($I27=2,IFBLANK(_xldudf_CX_PUSH(AI27,CX_ENTITY,$B27,AI$11,AI$14,AI$19,),""),IF($I27=3,"",IFBLANK(_xldudf_CX_PUSH(AI27,CX_ENTITY,$B27,AI$11,AI$14,AI$19,),"")))))),"")</f>
        <v/>
      </c>
      <c r="DJ27" s="2445" t="str" cm="1">
        <f t="array" ca="1" aca="1" ref="DJ27">IFERROR(IF(AJ27*fxVal_normal=_PL!AJ27,"",IF(OR(AJ27="",NOT(ISNUMBER(AJ27)),ISERROR(AJ27),$B27=""),"",IF($I27=1,IFBLANK(_xldudf_CX_PUSH(AJ27*fxVal_normal,CX_ENTITY,$B27,AJ$11,AJ$14,AJ$19,),""),IF($I27=2,IFBLANK(_xldudf_CX_PUSH(AJ27,CX_ENTITY,$B27,AJ$11,AJ$14,AJ$19,),""),IF($I27=3,"",IFBLANK(_xldudf_CX_PUSH(AJ27,CX_ENTITY,$B27,AJ$11,AJ$14,AJ$19,),"")))))),"")</f>
        <v/>
      </c>
      <c r="DK27" s="2445" t="str" cm="1">
        <f t="array" ca="1" aca="1" ref="DK27">IFERROR(IF(AK27*fxVal_normal=_PL!AK27,"",IF(OR(AK27="",NOT(ISNUMBER(AK27)),ISERROR(AK27),$B27=""),"",IF($I27=1,IFBLANK(_xldudf_CX_PUSH(AK27*fxVal_normal,CX_ENTITY,$B27,AK$11,AK$14,AK$19,),""),IF($I27=2,IFBLANK(_xldudf_CX_PUSH(AK27,CX_ENTITY,$B27,AK$11,AK$14,AK$19,),""),IF($I27=3,"",IFBLANK(_xldudf_CX_PUSH(AK27,CX_ENTITY,$B27,AK$11,AK$14,AK$19,),"")))))),"")</f>
        <v/>
      </c>
      <c r="DL27" s="2445" t="str" cm="1">
        <f t="array" ca="1" aca="1" ref="DL27">IFERROR(IF(AL27*fxVal_normal=_PL!AL27,"",IF(OR(AL27="",NOT(ISNUMBER(AL27)),ISERROR(AL27),$B27=""),"",IF($I27=1,IFBLANK(_xldudf_CX_PUSH(AL27*fxVal_normal,CX_ENTITY,$B27,AL$11,AL$14,AL$19,),""),IF($I27=2,IFBLANK(_xldudf_CX_PUSH(AL27,CX_ENTITY,$B27,AL$11,AL$14,AL$19,),""),IF($I27=3,"",IFBLANK(_xldudf_CX_PUSH(AL27,CX_ENTITY,$B27,AL$11,AL$14,AL$19,),"")))))),"")</f>
        <v/>
      </c>
      <c r="DM27" s="2445" t="str" cm="1">
        <f t="array" ca="1" aca="1" ref="DM27">IFERROR(IF(AM27*fxVal_normal=_PL!AM27,"",IF(OR(AM27="",NOT(ISNUMBER(AM27)),ISERROR(AM27),$B27=""),"",IF($I27=1,IFBLANK(_xldudf_CX_PUSH(AM27*fxVal_normal,CX_ENTITY,$B27,AM$11,AM$14,AM$19,),""),IF($I27=2,IFBLANK(_xldudf_CX_PUSH(AM27,CX_ENTITY,$B27,AM$11,AM$14,AM$19,),""),IF($I27=3,"",IFBLANK(_xldudf_CX_PUSH(AM27,CX_ENTITY,$B27,AM$11,AM$14,AM$19,),"")))))),"")</f>
        <v/>
      </c>
      <c r="DN27" s="2445" t="str" cm="1">
        <f t="array" ca="1" aca="1" ref="DN27">IFERROR(IF(AN27*fxVal_normal=_PL!AN27,"",IF(OR(AN27="",NOT(ISNUMBER(AN27)),ISERROR(AN27),$B27=""),"",IF($I27=1,IFBLANK(_xldudf_CX_PUSH(AN27*fxVal_normal,CX_ENTITY,$B27,AN$11,AN$14,AN$19,),""),IF($I27=2,IFBLANK(_xldudf_CX_PUSH(AN27,CX_ENTITY,$B27,AN$11,AN$14,AN$19,),""),IF($I27=3,"",IFBLANK(_xldudf_CX_PUSH(AN27,CX_ENTITY,$B27,AN$11,AN$14,AN$19,),"")))))),"")</f>
        <v/>
      </c>
      <c r="DO27" s="2445" t="str" cm="1">
        <f t="array" ca="1" aca="1" ref="DO27">IFERROR(IF(AO27*fxVal_normal=_PL!AO27,"",IF(OR(AO27="",NOT(ISNUMBER(AO27)),ISERROR(AO27),$B27=""),"",IF($I27=1,IFBLANK(_xldudf_CX_PUSH(AO27*fxVal_normal,CX_ENTITY,$B27,AO$11,AO$14,AO$19,),""),IF($I27=2,IFBLANK(_xldudf_CX_PUSH(AO27,CX_ENTITY,$B27,AO$11,AO$14,AO$19,),""),IF($I27=3,"",IFBLANK(_xldudf_CX_PUSH(AO27,CX_ENTITY,$B27,AO$11,AO$14,AO$19,),"")))))),"")</f>
        <v/>
      </c>
      <c r="DP27" s="2445" t="str" cm="1">
        <f t="array" ca="1" aca="1" ref="DP27">IFERROR(IF(AP27*fxVal_normal=_PL!AP27,"",IF(OR(AP27="",NOT(ISNUMBER(AP27)),ISERROR(AP27),$B27=""),"",IF($I27=1,IFBLANK(_xldudf_CX_PUSH(AP27*fxVal_normal,CX_ENTITY,$B27,AP$11,AP$14,AP$19,),""),IF($I27=2,IFBLANK(_xldudf_CX_PUSH(AP27,CX_ENTITY,$B27,AP$11,AP$14,AP$19,),""),IF($I27=3,"",IFBLANK(_xldudf_CX_PUSH(AP27,CX_ENTITY,$B27,AP$11,AP$14,AP$19,),"")))))),"")</f>
        <v/>
      </c>
      <c r="DQ27" s="2445" t="str" cm="1">
        <f t="array" ca="1" aca="1" ref="DQ27">IFERROR(IF(AQ27*fxVal_normal=_PL!AQ27,"",IF(OR(AQ27="",NOT(ISNUMBER(AQ27)),ISERROR(AQ27),$B27=""),"",IF($I27=1,IFBLANK(_xldudf_CX_PUSH(AQ27*fxVal_normal,CX_ENTITY,$B27,AQ$11,AQ$14,AQ$19,),""),IF($I27=2,IFBLANK(_xldudf_CX_PUSH(AQ27,CX_ENTITY,$B27,AQ$11,AQ$14,AQ$19,),""),IF($I27=3,"",IFBLANK(_xldudf_CX_PUSH(AQ27,CX_ENTITY,$B27,AQ$11,AQ$14,AQ$19,),"")))))),"")</f>
        <v/>
      </c>
      <c r="DR27" s="2445" t="str" cm="1">
        <f t="array" ca="1" aca="1" ref="DR27">IFERROR(IF(AR27*fxVal_normal=_PL!AR27,"",IF(OR(AR27="",NOT(ISNUMBER(AR27)),ISERROR(AR27),$B27=""),"",IF($I27=1,IFBLANK(_xldudf_CX_PUSH(AR27*fxVal_normal,CX_ENTITY,$B27,AR$11,AR$14,AR$19,),""),IF($I27=2,IFBLANK(_xldudf_CX_PUSH(AR27,CX_ENTITY,$B27,AR$11,AR$14,AR$19,),""),IF($I27=3,"",IFBLANK(_xldudf_CX_PUSH(AR27,CX_ENTITY,$B27,AR$11,AR$14,AR$19,),"")))))),"")</f>
        <v/>
      </c>
      <c r="DS27" s="2445" t="str" cm="1">
        <f t="array" ca="1" aca="1" ref="DS27">IFERROR(IF(AS27*fxVal_normal=_PL!AS27,"",IF(OR(AS27="",NOT(ISNUMBER(AS27)),ISERROR(AS27),$B27=""),"",IF($I27=1,IFBLANK(_xldudf_CX_PUSH(AS27*fxVal_normal,CX_ENTITY,$B27,AS$11,AS$14,AS$19,),""),IF($I27=2,IFBLANK(_xldudf_CX_PUSH(AS27,CX_ENTITY,$B27,AS$11,AS$14,AS$19,),""),IF($I27=3,"",IFBLANK(_xldudf_CX_PUSH(AS27,CX_ENTITY,$B27,AS$11,AS$14,AS$19,),"")))))),"")</f>
        <v/>
      </c>
      <c r="DT27" s="2445" t="str" cm="1">
        <f t="array" ca="1" aca="1" ref="DT27">IFERROR(IF(AT27*fxVal_normal=_PL!AT27,"",IF(OR(AT27="",NOT(ISNUMBER(AT27)),ISERROR(AT27),$B27=""),"",IF($I27=1,IFBLANK(_xldudf_CX_PUSH(AT27*fxVal_normal,CX_ENTITY,$B27,AT$11,AT$14,AT$19,),""),IF($I27=2,IFBLANK(_xldudf_CX_PUSH(AT27,CX_ENTITY,$B27,AT$11,AT$14,AT$19,),""),IF($I27=3,"",IFBLANK(_xldudf_CX_PUSH(AT27,CX_ENTITY,$B27,AT$11,AT$14,AT$19,),"")))))),"")</f>
        <v/>
      </c>
      <c r="DU27" s="2445" t="str" cm="1">
        <f t="array" ca="1" aca="1" ref="DU27">IFERROR(IF(AU27*fxVal_normal=_PL!AU27,"",IF(OR(AU27="",NOT(ISNUMBER(AU27)),ISERROR(AU27),$B27=""),"",IF($I27=1,IFBLANK(_xldudf_CX_PUSH(AU27*fxVal_normal,CX_ENTITY,$B27,AU$11,AU$14,AU$19,),""),IF($I27=2,IFBLANK(_xldudf_CX_PUSH(AU27,CX_ENTITY,$B27,AU$11,AU$14,AU$19,),""),IF($I27=3,"",IFBLANK(_xldudf_CX_PUSH(AU27,CX_ENTITY,$B27,AU$11,AU$14,AU$19,),"")))))),"")</f>
        <v/>
      </c>
      <c r="DV27" s="2445" t="str" cm="1">
        <f t="array" ca="1" aca="1" ref="DV27">IFERROR(IF(AV27*fxVal_normal=_PL!AV27,"",IF(OR(AV27="",NOT(ISNUMBER(AV27)),ISERROR(AV27),$B27=""),"",IF($I27=1,IFBLANK(_xldudf_CX_PUSH(AV27*fxVal_normal,CX_ENTITY,$B27,AV$11,AV$14,AV$19,),""),IF($I27=2,IFBLANK(_xldudf_CX_PUSH(AV27,CX_ENTITY,$B27,AV$11,AV$14,AV$19,),""),IF($I27=3,"",IFBLANK(_xldudf_CX_PUSH(AV27,CX_ENTITY,$B27,AV$11,AV$14,AV$19,),"")))))),"")</f>
        <v/>
      </c>
      <c r="DW27" s="2445" t="str" cm="1">
        <f t="array" ca="1" aca="1" ref="DW27">IFERROR(IF(AW27*fxVal_normal=_PL!AW27,"",IF(OR(AW27="",NOT(ISNUMBER(AW27)),ISERROR(AW27),$B27=""),"",IF($I27=1,IFBLANK(_xldudf_CX_PUSH(AW27*fxVal_normal,CX_ENTITY,$B27,AW$11,AW$14,AW$19,),""),IF($I27=2,IFBLANK(_xldudf_CX_PUSH(AW27,CX_ENTITY,$B27,AW$11,AW$14,AW$19,),""),IF($I27=3,"",IFBLANK(_xldudf_CX_PUSH(AW27,CX_ENTITY,$B27,AW$11,AW$14,AW$19,),"")))))),"")</f>
        <v/>
      </c>
      <c r="DX27" s="2445" t="str" cm="1">
        <f t="array" ca="1" aca="1" ref="DX27">IFERROR(IF(AX27*fxVal_normal=_PL!AX27,"",IF(OR(AX27="",NOT(ISNUMBER(AX27)),ISERROR(AX27),$B27=""),"",IF($I27=1,IFBLANK(_xldudf_CX_PUSH(AX27*fxVal_normal,CX_ENTITY,$B27,AX$11,AX$14,AX$19,),""),IF($I27=2,IFBLANK(_xldudf_CX_PUSH(AX27,CX_ENTITY,$B27,AX$11,AX$14,AX$19,),""),IF($I27=3,"",IFBLANK(_xldudf_CX_PUSH(AX27,CX_ENTITY,$B27,AX$11,AX$14,AX$19,),"")))))),"")</f>
        <v/>
      </c>
      <c r="DY27" s="2445" t="str" cm="1">
        <f t="array" ca="1" aca="1" ref="DY27">IFERROR(IF(AY27*fxVal_normal=_PL!AY27,"",IF(OR(AY27="",NOT(ISNUMBER(AY27)),ISERROR(AY27),$B27=""),"",IF($I27=1,IFBLANK(_xldudf_CX_PUSH(AY27*fxVal_normal,CX_ENTITY,$B27,AY$11,AY$14,AY$19,),""),IF($I27=2,IFBLANK(_xldudf_CX_PUSH(AY27,CX_ENTITY,$B27,AY$11,AY$14,AY$19,),""),IF($I27=3,"",IFBLANK(_xldudf_CX_PUSH(AY27,CX_ENTITY,$B27,AY$11,AY$14,AY$19,),"")))))),"")</f>
        <v/>
      </c>
      <c r="DZ27" s="2445" t="str" cm="1">
        <f t="array" ca="1" aca="1" ref="DZ27">IFERROR(IF(AZ27*fxVal_normal=_PL!AZ27,"",IF(OR(AZ27="",NOT(ISNUMBER(AZ27)),ISERROR(AZ27),$B27=""),"",IF($I27=1,IFBLANK(_xldudf_CX_PUSH(AZ27*fxVal_normal,CX_ENTITY,$B27,AZ$11,AZ$14,AZ$19,),""),IF($I27=2,IFBLANK(_xldudf_CX_PUSH(AZ27,CX_ENTITY,$B27,AZ$11,AZ$14,AZ$19,),""),IF($I27=3,"",IFBLANK(_xldudf_CX_PUSH(AZ27,CX_ENTITY,$B27,AZ$11,AZ$14,AZ$19,),"")))))),"")</f>
        <v/>
      </c>
      <c r="EA27" s="2445" t="str" cm="1">
        <f t="array" ca="1" aca="1" ref="EA27">IFERROR(IF(BA27*fxVal_normal=_PL!BA27,"",IF(OR(BA27="",NOT(ISNUMBER(BA27)),ISERROR(BA27),$B27=""),"",IF($I27=1,IFBLANK(_xldudf_CX_PUSH(BA27*fxVal_normal,CX_ENTITY,$B27,BA$11,BA$14,BA$19,),""),IF($I27=2,IFBLANK(_xldudf_CX_PUSH(BA27,CX_ENTITY,$B27,BA$11,BA$14,BA$19,),""),IF($I27=3,"",IFBLANK(_xldudf_CX_PUSH(BA27,CX_ENTITY,$B27,BA$11,BA$14,BA$19,),"")))))),"")</f>
        <v/>
      </c>
      <c r="EB27" s="2445" t="str" cm="1">
        <f t="array" ca="1" aca="1" ref="EB27">IFERROR(IF(BB27*fxVal_normal=_PL!BB27,"",IF(OR(BB27="",NOT(ISNUMBER(BB27)),ISERROR(BB27),$B27=""),"",IF($I27=1,IFBLANK(_xldudf_CX_PUSH(BB27*fxVal_normal,CX_ENTITY,$B27,BB$11,BB$14,BB$19,),""),IF($I27=2,IFBLANK(_xldudf_CX_PUSH(BB27,CX_ENTITY,$B27,BB$11,BB$14,BB$19,),""),IF($I27=3,"",IFBLANK(_xldudf_CX_PUSH(BB27,CX_ENTITY,$B27,BB$11,BB$14,BB$19,),"")))))),"")</f>
        <v/>
      </c>
      <c r="EC27" s="2445" t="str" cm="1">
        <f t="array" ca="1" aca="1" ref="EC27">IFERROR(IF(BC27*fxVal_normal=_PL!BC27,"",IF(OR(BC27="",NOT(ISNUMBER(BC27)),ISERROR(BC27),$B27=""),"",IF($I27=1,IFBLANK(_xldudf_CX_PUSH(BC27*fxVal_normal,CX_ENTITY,$B27,BC$11,BC$14,BC$19,),""),IF($I27=2,IFBLANK(_xldudf_CX_PUSH(BC27,CX_ENTITY,$B27,BC$11,BC$14,BC$19,),""),IF($I27=3,"",IFBLANK(_xldudf_CX_PUSH(BC27,CX_ENTITY,$B27,BC$11,BC$14,BC$19,),"")))))),"")</f>
        <v/>
      </c>
      <c r="ED27" s="2445" t="str" cm="1">
        <f t="array" ca="1" aca="1" ref="ED27">IFERROR(IF(BD27*fxVal_normal=_PL!BD27,"",IF(OR(BD27="",NOT(ISNUMBER(BD27)),ISERROR(BD27),$B27=""),"",IF($I27=1,IFBLANK(_xldudf_CX_PUSH(BD27*fxVal_normal,CX_ENTITY,$B27,BD$11,BD$14,BD$19,),""),IF($I27=2,IFBLANK(_xldudf_CX_PUSH(BD27,CX_ENTITY,$B27,BD$11,BD$14,BD$19,),""),IF($I27=3,"",IFBLANK(_xldudf_CX_PUSH(BD27,CX_ENTITY,$B27,BD$11,BD$14,BD$19,),"")))))),"")</f>
        <v/>
      </c>
      <c r="EE27" s="2445" t="str" cm="1">
        <f t="array" ca="1" aca="1" ref="EE27">IFERROR(IF(BE27*fxVal_normal=_PL!BE27,"",IF(OR(BE27="",NOT(ISNUMBER(BE27)),ISERROR(BE27),$B27=""),"",IF($I27=1,IFBLANK(_xldudf_CX_PUSH(BE27*fxVal_normal,CX_ENTITY,$B27,BE$11,BE$14,BE$19,),""),IF($I27=2,IFBLANK(_xldudf_CX_PUSH(BE27,CX_ENTITY,$B27,BE$11,BE$14,BE$19,),""),IF($I27=3,"",IFBLANK(_xldudf_CX_PUSH(BE27,CX_ENTITY,$B27,BE$11,BE$14,BE$19,),"")))))),"")</f>
        <v/>
      </c>
      <c r="EF27" s="2445" t="str" cm="1">
        <f t="array" ca="1" aca="1" ref="EF27">IFERROR(IF(BF27*fxVal_normal=_PL!BF27,"",IF(OR(BF27="",NOT(ISNUMBER(BF27)),ISERROR(BF27),$B27=""),"",IF($I27=1,IFBLANK(_xldudf_CX_PUSH(BF27*fxVal_normal,CX_ENTITY,$B27,BF$11,BF$14,BF$19,),""),IF($I27=2,IFBLANK(_xldudf_CX_PUSH(BF27,CX_ENTITY,$B27,BF$11,BF$14,BF$19,),""),IF($I27=3,"",IFBLANK(_xldudf_CX_PUSH(BF27,CX_ENTITY,$B27,BF$11,BF$14,BF$19,),"")))))),"")</f>
        <v/>
      </c>
      <c r="EG27" s="2445" t="str" cm="1">
        <f t="array" ca="1" aca="1" ref="EG27">IFERROR(IF(BG27*fxVal_normal=_PL!BG27,"",IF(OR(BG27="",NOT(ISNUMBER(BG27)),ISERROR(BG27),$B27=""),"",IF($I27=1,IFBLANK(_xldudf_CX_PUSH(BG27*fxVal_normal,CX_ENTITY,$B27,BG$11,BG$14,BG$19,),""),IF($I27=2,IFBLANK(_xldudf_CX_PUSH(BG27,CX_ENTITY,$B27,BG$11,BG$14,BG$19,),""),IF($I27=3,"",IFBLANK(_xldudf_CX_PUSH(BG27,CX_ENTITY,$B27,BG$11,BG$14,BG$19,),"")))))),"")</f>
        <v/>
      </c>
      <c r="EH27" s="2445" t="str" cm="1">
        <f t="array" ca="1" aca="1" ref="EH27">IFERROR(IF(BH27*fxVal_normal=_PL!BH27,"",IF(OR(BH27="",NOT(ISNUMBER(BH27)),ISERROR(BH27),$B27=""),"",IF($I27=1,IFBLANK(_xldudf_CX_PUSH(BH27*fxVal_normal,CX_ENTITY,$B27,BH$11,BH$14,BH$19,),""),IF($I27=2,IFBLANK(_xldudf_CX_PUSH(BH27,CX_ENTITY,$B27,BH$11,BH$14,BH$19,),""),IF($I27=3,"",IFBLANK(_xldudf_CX_PUSH(BH27,CX_ENTITY,$B27,BH$11,BH$14,BH$19,),"")))))),"")</f>
        <v/>
      </c>
      <c r="EI27" s="2445" t="str" cm="1">
        <f t="array" ca="1" aca="1" ref="EI27">IFERROR(IF(BI27*fxVal_normal=_PL!BI27,"",IF(OR(BI27="",NOT(ISNUMBER(BI27)),ISERROR(BI27),$B27=""),"",IF($I27=1,IFBLANK(_xldudf_CX_PUSH(BI27*fxVal_normal,CX_ENTITY,$B27,BI$11,BI$14,BI$19,),""),IF($I27=2,IFBLANK(_xldudf_CX_PUSH(BI27,CX_ENTITY,$B27,BI$11,BI$14,BI$19,),""),IF($I27=3,"",IFBLANK(_xldudf_CX_PUSH(BI27,CX_ENTITY,$B27,BI$11,BI$14,BI$19,),"")))))),"")</f>
        <v/>
      </c>
      <c r="EJ27" s="2445" t="str" cm="1">
        <f t="array" ca="1" aca="1" ref="EJ27">IFERROR(IF(BJ27*fxVal_normal=_PL!BJ27,"",IF(OR(BJ27="",NOT(ISNUMBER(BJ27)),ISERROR(BJ27),$B27=""),"",IF($I27=1,IFBLANK(_xldudf_CX_PUSH(BJ27*fxVal_normal,CX_ENTITY,$B27,BJ$11,BJ$14,BJ$19,),""),IF($I27=2,IFBLANK(_xldudf_CX_PUSH(BJ27,CX_ENTITY,$B27,BJ$11,BJ$14,BJ$19,),""),IF($I27=3,"",IFBLANK(_xldudf_CX_PUSH(BJ27,CX_ENTITY,$B27,BJ$11,BJ$14,BJ$19,),"")))))),"")</f>
        <v/>
      </c>
      <c r="EK27" s="2445" t="str" cm="1">
        <f t="array" ca="1" aca="1" ref="EK27">IFERROR(IF(BK27*fxVal_normal=_PL!BK27,"",IF(OR(BK27="",NOT(ISNUMBER(BK27)),ISERROR(BK27),$B27=""),"",IF($I27=1,IFBLANK(_xldudf_CX_PUSH(BK27*fxVal_normal,CX_ENTITY,$B27,BK$11,BK$14,BK$19,),""),IF($I27=2,IFBLANK(_xldudf_CX_PUSH(BK27,CX_ENTITY,$B27,BK$11,BK$14,BK$19,),""),IF($I27=3,"",IFBLANK(_xldudf_CX_PUSH(BK27,CX_ENTITY,$B27,BK$11,BK$14,BK$19,),"")))))),"")</f>
        <v/>
      </c>
      <c r="EL27" s="2445" t="str" cm="1">
        <f t="array" ca="1" aca="1" ref="EL27">IFERROR(IF(BL27*fxVal_normal=_PL!BL27,"",IF(OR(BL27="",NOT(ISNUMBER(BL27)),ISERROR(BL27),$B27=""),"",IF($I27=1,IFBLANK(_xldudf_CX_PUSH(BL27*fxVal_normal,CX_ENTITY,$B27,BL$11,BL$14,BL$19,),""),IF($I27=2,IFBLANK(_xldudf_CX_PUSH(BL27,CX_ENTITY,$B27,BL$11,BL$14,BL$19,),""),IF($I27=3,"",IFBLANK(_xldudf_CX_PUSH(BL27,CX_ENTITY,$B27,BL$11,BL$14,BL$19,),"")))))),"")</f>
        <v/>
      </c>
      <c r="EM27" s="2445" t="str" cm="1">
        <f t="array" ca="1" aca="1" ref="EM27">IFERROR(IF(BM27*fxVal_normal=_PL!BM27,"",IF(OR(BM27="",NOT(ISNUMBER(BM27)),ISERROR(BM27),$B27=""),"",IF($I27=1,IFBLANK(_xldudf_CX_PUSH(BM27*fxVal_normal,CX_ENTITY,$B27,BM$11,BM$14,BM$19,),""),IF($I27=2,IFBLANK(_xldudf_CX_PUSH(BM27,CX_ENTITY,$B27,BM$11,BM$14,BM$19,),""),IF($I27=3,"",IFBLANK(_xldudf_CX_PUSH(BM27,CX_ENTITY,$B27,BM$11,BM$14,BM$19,),"")))))),"")</f>
        <v/>
      </c>
      <c r="EN27" s="2445" t="str" cm="1">
        <f t="array" ca="1" aca="1" ref="EN27">IFERROR(IF(BN27*fxVal_normal=_PL!BN27,"",IF(OR(BN27="",NOT(ISNUMBER(BN27)),ISERROR(BN27),$B27=""),"",IF($I27=1,IFBLANK(_xldudf_CX_PUSH(BN27*fxVal_normal,CX_ENTITY,$B27,BN$11,BN$14,BN$19,),""),IF($I27=2,IFBLANK(_xldudf_CX_PUSH(BN27,CX_ENTITY,$B27,BN$11,BN$14,BN$19,),""),IF($I27=3,"",IFBLANK(_xldudf_CX_PUSH(BN27,CX_ENTITY,$B27,BN$11,BN$14,BN$19,),"")))))),"")</f>
        <v/>
      </c>
    </row>
    <row r="28" spans="1:144" ht="21" customHeight="1">
      <c r="A28" s="1625"/>
      <c r="B28" s="3182">
        <f>_xlfn.LET(_xlpm.IsNotAttrDynamic,D28="",_xlpm.Attr,_PL!F28,_xlpm.NotInUse,Y28=D28,_xlpm.RESULT,IF(_xlpm.IsNotAttrDynamic,_xlpm.Attr,IF(_xlpm.NotInUse,"",Y28)),IF(_xlpm.RESULT="","",_xlpm.RESULT))</f>
        <v>2</v>
      </c>
      <c r="C28" s="2439" t="str" cm="1">
        <f t="array" ref="C28">IFBLANK(_PL!C28,"")</f>
        <v>EBITDA Adjustment Type I - Label 3</v>
      </c>
      <c r="D28" s="1548" t="s">
        <v>99</v>
      </c>
      <c r="E28" s="2440" t="e" cm="1">
        <f t="array" ca="1" aca="1" ref="E2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28:$CQ28,Z28)</f>
        <v>#NAME?</v>
      </c>
      <c r="F28" s="1897"/>
      <c r="G28" s="1897"/>
      <c r="H28" s="578">
        <v>0</v>
      </c>
      <c r="I28" s="3279">
        <v>1</v>
      </c>
      <c r="J28" s="401" cm="1">
        <f t="array" ref="J28">IFBLANK(Z28,"")</f>
        <v>-1</v>
      </c>
      <c r="K28" s="578" t="str">
        <f t="shared" si="8"/>
        <v>Yes</v>
      </c>
      <c r="L28" s="37">
        <v>3</v>
      </c>
      <c r="N28" s="158"/>
      <c r="O28" s="101"/>
      <c r="P28" s="52"/>
      <c r="Q28" s="101"/>
      <c r="R28" s="126"/>
      <c r="S28" s="101"/>
      <c r="T28" s="101"/>
      <c r="U28" s="39"/>
      <c r="V28" s="37"/>
      <c r="W28" s="91" t="str">
        <f t="shared" si="4"/>
        <v>Actual</v>
      </c>
      <c r="X28" s="2081" t="str">
        <f>_PL!X28</f>
        <v>a</v>
      </c>
      <c r="Y28" s="3176">
        <v>2</v>
      </c>
      <c r="Z28" s="198" cm="1">
        <f t="array" ref="Z28">_xlfn.SWITCH(TRUE,_PL!$L28=TRUE,1,_PL!$L28=FALSE,-1,_PL!$L28=-1,0,"")</f>
        <v>-1</v>
      </c>
      <c r="AA28" s="200"/>
      <c r="AB28" s="3184">
        <f t="shared" si="9"/>
        <v>2</v>
      </c>
      <c r="AC28" s="2448" t="str" cm="1">
        <f t="array" ca="1" aca="1" ref="AC28">_xlfn.LET(_xlpm._termname,$AB28,_xlpm._iconname,"find",_xlpm._icon,fx_getIcon(_xlpm._iconname),_xlpm._location,_xlfn.XLOOKUP(LOWER(_xlpm._termname),LOWER(tbl_acctDef[Term]),tbl_acctDef[Term]),_xlpm._hyperlink,HYPERLINK("#"&amp;CELL("address",_xlpm._location),_xlpm._icon),IFERROR(_xlpm._hyperlink,""))</f>
        <v/>
      </c>
      <c r="AD28" s="3185">
        <v>1</v>
      </c>
      <c r="AE28" s="3185">
        <v>1</v>
      </c>
      <c r="AF28" s="3185">
        <v>1</v>
      </c>
      <c r="AG28" s="3185">
        <v>1</v>
      </c>
      <c r="AH28" s="3185">
        <v>1</v>
      </c>
      <c r="AI28" s="3185">
        <v>1</v>
      </c>
      <c r="AJ28" s="3185">
        <v>1</v>
      </c>
      <c r="AK28" s="3185">
        <v>1</v>
      </c>
      <c r="AL28" s="3185">
        <v>1</v>
      </c>
      <c r="AM28" s="3185">
        <v>1</v>
      </c>
      <c r="AN28" s="3185">
        <v>1</v>
      </c>
      <c r="AO28" s="3185">
        <v>1</v>
      </c>
      <c r="AP28" s="3185">
        <v>1</v>
      </c>
      <c r="AQ28" s="3185">
        <v>1</v>
      </c>
      <c r="AR28" s="3185">
        <v>1</v>
      </c>
      <c r="AS28" s="3185">
        <v>1</v>
      </c>
      <c r="AT28" s="3185">
        <v>1</v>
      </c>
      <c r="AU28" s="3185">
        <v>1</v>
      </c>
      <c r="AV28" s="3185">
        <v>1</v>
      </c>
      <c r="AW28" s="3185">
        <v>1</v>
      </c>
      <c r="AX28" s="3185">
        <v>1</v>
      </c>
      <c r="AY28" s="3185">
        <v>1</v>
      </c>
      <c r="AZ28" s="3185">
        <v>1</v>
      </c>
      <c r="BA28" s="3185">
        <v>1</v>
      </c>
      <c r="BB28" s="3185">
        <v>1</v>
      </c>
      <c r="BC28" s="3185">
        <v>1</v>
      </c>
      <c r="BD28" s="3185">
        <v>1</v>
      </c>
      <c r="BE28" s="3185">
        <v>1</v>
      </c>
      <c r="BF28" s="3185">
        <v>1</v>
      </c>
      <c r="BG28" s="3185">
        <v>1</v>
      </c>
      <c r="BH28" s="3185">
        <v>1</v>
      </c>
      <c r="BI28" s="3185">
        <v>1</v>
      </c>
      <c r="BJ28" s="3185">
        <v>1</v>
      </c>
      <c r="BK28" s="3185">
        <v>1</v>
      </c>
      <c r="BL28" s="3185">
        <v>1</v>
      </c>
      <c r="BM28" s="3185">
        <v>1</v>
      </c>
      <c r="BN28" s="3185">
        <v>1</v>
      </c>
      <c r="BO28" s="2442"/>
      <c r="BP28" s="2442"/>
      <c r="BQ28" s="2442"/>
      <c r="BR28" s="2442"/>
      <c r="BS28" s="2442"/>
      <c r="BT28" s="2442"/>
      <c r="BU28" s="2442"/>
      <c r="BV28" s="2442"/>
      <c r="BW28" s="2442"/>
      <c r="BX28" s="2442"/>
      <c r="BY28" s="2442"/>
      <c r="BZ28" s="2442"/>
      <c r="CA28" s="34"/>
      <c r="CC28" s="33"/>
      <c r="CD28" s="1772" t="e" cm="1">
        <f t="array" ca="1" aca="1" ref="CD28">_xlfn.LET(_xlpm.CheckBlank,SUM(PL!$AD28:PL!$BN28)=0,IF(_xlpm.CheckBlank,"",SUM(_xlfn._xlws.FILTER(PL!$AD28:$BN28,(YEAR(PL!$AD$12:$BN$12)=PL!CD$12)*(array_timeline&lt;=PL!CD$11)))))</f>
        <v>#NAME?</v>
      </c>
      <c r="CE28" s="1772" t="e" cm="1">
        <f t="array" ca="1" aca="1" ref="CE28">_xlfn.LET(_xlpm.CheckBlank,SUM(PL!$AD28:PL!$BN28)=0,IF(_xlpm.CheckBlank,"",SUM(_xlfn._xlws.FILTER(PL!$AD28:$BN28,(YEAR(PL!$AD$12:$BN$12)=PL!CE$12)*(array_timeline&lt;=PL!CE$11)))))</f>
        <v>#NAME?</v>
      </c>
      <c r="CF28" s="88"/>
      <c r="CG28" s="1461" t="str" cm="1">
        <f t="array" ca="1" aca="1" ref="CG28">IFERROR(_xlfn.LET(_xlpm.CheckBlank,SUM(PL!$AD28:$BN28)=0,IF(_xlpm.CheckBlank,"",SUM(_xlfn._xlws.FILTER(PL!$AD28:$BN28,(YEAR(PL!$AD$12:$BN$12)=PL!CG$12)*(array_timeline&lt;=PL!CG$11))))),"n/a")</f>
        <v>n/a</v>
      </c>
      <c r="CH28" s="1461" t="e" cm="1">
        <f t="array" ca="1" aca="1" ref="CH28">_xlfn.LET(_xlpm.CheckBlank,SUM(PL!$AD28:$BN28)=0,IF(_xlpm.CheckBlank,"",SUM(_xlfn._xlws.FILTER(PL!$AD28:$BN28,(YEAR(PL!$AD$12:$BN$12)=PL!CH$12)*(array_timeline&lt;=PL!CH$11)))))</f>
        <v>#NAME?</v>
      </c>
      <c r="CI28" s="88"/>
      <c r="CJ28" s="1461" cm="1">
        <f t="array" ref="CJ28">_xlfn.LET(_xlpm.CheckBlank,SUM(PL!$AD28:$BN28)=0,IF(_xlpm.CheckBlank,"",SUM(_xlfn.TAKE(_xlfn.DROP(PL!$AD28:$BN28,,-DATEDIFF(PL!CJ$11,val_asOfDate,"M")),1,-12))))</f>
        <v>12</v>
      </c>
      <c r="CK28" s="1461" cm="1">
        <f t="array" ref="CK28">_xlfn.LET(_xlpm.CheckBlank,SUM(PL!$AD28:$BN28)=0,IF(_xlpm.CheckBlank,"",SUM(_xlfn.TAKE(_xlfn.DROP(PL!$AD28:$BN28,,-DATEDIFF(PL!CK$11,val_asOfDate,"M")),1,-12))))</f>
        <v>12</v>
      </c>
      <c r="CL28" s="88"/>
      <c r="CM28" s="3185">
        <v>1</v>
      </c>
      <c r="CN28" s="3185">
        <v>1</v>
      </c>
      <c r="CO28" s="1169"/>
      <c r="CP28" s="3185">
        <v>1</v>
      </c>
      <c r="CQ28" s="3185">
        <v>1</v>
      </c>
      <c r="CR28" s="34"/>
      <c r="CS28" s="2056"/>
      <c r="CT28" s="2447" t="e" cm="1">
        <f t="array" ca="1" aca="1" ref="CT28">IF(ISNUMBER(SEARCH("Select",$Y28)),"",_xldudf_CX_PUSH($Y28,CX_ENTITY,C28,val_asOfDate))</f>
        <v>#NAME?</v>
      </c>
      <c r="CU28" s="2447" t="e" cm="1">
        <f t="array" ca="1" aca="1" ref="CU28">IF(ISNUMBER(SEARCH("Select",$Y28)),"",_xldudf_CX_PUSH($Y28,CX_ENTITY,C28,EOMONTH(val_asOfDate,1)))</f>
        <v>#NAME?</v>
      </c>
      <c r="CV28" s="2447" t="e" cm="1">
        <f t="array" ca="1" aca="1" ref="CV28">IF(ISNUMBER(SEARCH("Select",$Y28)),"",_xldudf_CX_PUSH($Y28,CX_ENTITY,C28,EOMONTH(val_asOfDate,2)))</f>
        <v>#NAME?</v>
      </c>
      <c r="CW28" s="2447" t="e" cm="1">
        <f t="array" ca="1" aca="1" ref="CW28">IF(ISNUMBER(SEARCH("Select",$Y28)),"",_xldudf_CX_PUSH($Y28,CX_ENTITY,C28,EOMONTH(val_asOfDate,3)))</f>
        <v>#NAME?</v>
      </c>
      <c r="CX28" s="2443"/>
      <c r="CY28" s="2444" t="str" cm="1">
        <f t="array" ca="1" aca="1" ref="CY28">IFERROR(IF(CM28*fxVal_normal=_PL!CM28,"",IF(OR($CM28="",$CM28=0,NOT(ISNUMBER($CM28)),ISERROR($CM28),$B28=""),"",IF($I28=1,IFBLANK(_xldudf_CX_PUSH($CM28*fxVal_normal,CX_ENTITY,$B28,$CM$11,$CM$14,$CM$19,),""),IF($I28=2,IFBLANK(_xldudf_CX_PUSH($CM28,CX_ENTITY,$B28,$CM$11,$CM$14,$CM$19,),""),IF($I28=3,"",IFBLANK(_xldudf_CX_PUSH($CM28,CX_ENTITY,$B28,$CM$11,$CM$14,$CM$19,),"")))))),"")</f>
        <v/>
      </c>
      <c r="CZ28" s="2444" t="str" cm="1">
        <f t="array" ca="1" aca="1" ref="CZ28">IFERROR(IF(CN28*fxVal_normal=_PL!CN28,"",IF(OR($CN28="",$CN28=0,NOT(ISNUMBER($CN28)),ISERROR($CN28),$B28=""),"",IF($I28=1,IFBLANK(_xldudf_CX_PUSH($CN28*fxVal_normal,CX_ENTITY,$B28,$CN$11,$CN$14,$CN$19,),""),IF($I28=2,IFBLANK(_xldudf_CX_PUSH($CN28,CX_ENTITY,$B28,$CN$11,$CN$14,$CN$19,),""),IF($I28=3,"",IFBLANK(_xldudf_CX_PUSH($CN28,CX_ENTITY,$B28,$CN$11,$CN$14,$CN$19,),"")))))),"")</f>
        <v/>
      </c>
      <c r="DA28" s="2444" t="str" cm="1">
        <f t="array" ca="1" aca="1" ref="DA28">IFERROR(IF(CP28*fxVal_normal=_PL!CP28,"",IF(OR($CP28="",$CP28=0,NOT(ISNUMBER($CP28)),ISERROR($CP28),$B28=""),"",IF($I28=1,IFBLANK(_xldudf_CX_PUSH($CP28*fxVal_normal,CX_ENTITY,$B28,$CP$11,$CP$14,$CP$19,),""),IF($I28=2,IFBLANK(_xldudf_CX_PUSH($CP28,CX_ENTITY,$B28,$CP$11,$CP$14,$CP$19,),""),IF($I28=3,"",IFBLANK(_xldudf_CX_PUSH($CP28,CX_ENTITY,$B28,$CP$11,$CP$14,$CP$19,),"")))))),"")</f>
        <v/>
      </c>
      <c r="DB28" s="2444" t="str" cm="1">
        <f t="array" ca="1" aca="1" ref="DB28">IFERROR(IF(CQ28*fxVal_normal=_PL!CQ28,"",IF(OR($CQ28="",$CQ28=0,NOT(ISNUMBER($CQ28)),ISERROR($CQ28),$B28=""),"",IF($I28=1,IFBLANK(_xldudf_CX_PUSH($CQ28*fxVal_normal,CX_ENTITY,$B28,$CQ$11,$CQ$14,$CQ$19,),""),IF($I28=2,IFBLANK(_xldudf_CX_PUSH($CQ28,CX_ENTITY,$B28,$CQ$11,$CQ$14,$CQ$19,),""),IF($I28=3,"",IFBLANK(_xldudf_CX_PUSH($CQ28,CX_ENTITY,$B28,$CQ$11,$CQ$14,$CQ$19,),"")))))),"")</f>
        <v/>
      </c>
      <c r="DC28" s="2443"/>
      <c r="DD28" s="2445" t="str" cm="1">
        <f t="array" ca="1" aca="1" ref="DD28">IFERROR(IF(AD28*fxVal_normal=_PL!AD28,"",IF(OR(AD28="",NOT(ISNUMBER(AD28)),ISERROR(AD28),$B28=""),"",IF($I28=1,IFBLANK(_xldudf_CX_PUSH(AD28*fxVal_normal,CX_ENTITY,$B28,AD$11,AD$14,AD$19,),""),IF($I28=2,IFBLANK(_xldudf_CX_PUSH(AD28,CX_ENTITY,$B28,AD$11,AD$14,AD$19,),""),IF($I28=3,"",IFBLANK(_xldudf_CX_PUSH(AD28,CX_ENTITY,$B28,AD$11,AD$14,AD$19,),"")))))),"")</f>
        <v/>
      </c>
      <c r="DE28" s="2445" t="str" cm="1">
        <f t="array" ca="1" aca="1" ref="DE28">IFERROR(IF(AE28*fxVal_normal=_PL!AE28,"",IF(OR(AE28="",NOT(ISNUMBER(AE28)),ISERROR(AE28),$B28=""),"",IF($I28=1,IFBLANK(_xldudf_CX_PUSH(AE28*fxVal_normal,CX_ENTITY,$B28,AE$11,AE$14,AE$19,),""),IF($I28=2,IFBLANK(_xldudf_CX_PUSH(AE28,CX_ENTITY,$B28,AE$11,AE$14,AE$19,),""),IF($I28=3,"",IFBLANK(_xldudf_CX_PUSH(AE28,CX_ENTITY,$B28,AE$11,AE$14,AE$19,),"")))))),"")</f>
        <v/>
      </c>
      <c r="DF28" s="2445" t="str" cm="1">
        <f t="array" ca="1" aca="1" ref="DF28">IFERROR(IF(AF28*fxVal_normal=_PL!AF28,"",IF(OR(AF28="",NOT(ISNUMBER(AF28)),ISERROR(AF28),$B28=""),"",IF($I28=1,IFBLANK(_xldudf_CX_PUSH(AF28*fxVal_normal,CX_ENTITY,$B28,AF$11,AF$14,AF$19,),""),IF($I28=2,IFBLANK(_xldudf_CX_PUSH(AF28,CX_ENTITY,$B28,AF$11,AF$14,AF$19,),""),IF($I28=3,"",IFBLANK(_xldudf_CX_PUSH(AF28,CX_ENTITY,$B28,AF$11,AF$14,AF$19,),"")))))),"")</f>
        <v/>
      </c>
      <c r="DG28" s="2445" t="str" cm="1">
        <f t="array" ca="1" aca="1" ref="DG28">IFERROR(IF(AG28*fxVal_normal=_PL!AG28,"",IF(OR(AG28="",NOT(ISNUMBER(AG28)),ISERROR(AG28),$B28=""),"",IF($I28=1,IFBLANK(_xldudf_CX_PUSH(AG28*fxVal_normal,CX_ENTITY,$B28,AG$11,AG$14,AG$19,),""),IF($I28=2,IFBLANK(_xldudf_CX_PUSH(AG28,CX_ENTITY,$B28,AG$11,AG$14,AG$19,),""),IF($I28=3,"",IFBLANK(_xldudf_CX_PUSH(AG28,CX_ENTITY,$B28,AG$11,AG$14,AG$19,),"")))))),"")</f>
        <v/>
      </c>
      <c r="DH28" s="2445" t="str" cm="1">
        <f t="array" ca="1" aca="1" ref="DH28">IFERROR(IF(AH28*fxVal_normal=_PL!AH28,"",IF(OR(AH28="",NOT(ISNUMBER(AH28)),ISERROR(AH28),$B28=""),"",IF($I28=1,IFBLANK(_xldudf_CX_PUSH(AH28*fxVal_normal,CX_ENTITY,$B28,AH$11,AH$14,AH$19,),""),IF($I28=2,IFBLANK(_xldudf_CX_PUSH(AH28,CX_ENTITY,$B28,AH$11,AH$14,AH$19,),""),IF($I28=3,"",IFBLANK(_xldudf_CX_PUSH(AH28,CX_ENTITY,$B28,AH$11,AH$14,AH$19,),"")))))),"")</f>
        <v/>
      </c>
      <c r="DI28" s="2445" t="str" cm="1">
        <f t="array" ca="1" aca="1" ref="DI28">IFERROR(IF(AI28*fxVal_normal=_PL!AI28,"",IF(OR(AI28="",NOT(ISNUMBER(AI28)),ISERROR(AI28),$B28=""),"",IF($I28=1,IFBLANK(_xldudf_CX_PUSH(AI28*fxVal_normal,CX_ENTITY,$B28,AI$11,AI$14,AI$19,),""),IF($I28=2,IFBLANK(_xldudf_CX_PUSH(AI28,CX_ENTITY,$B28,AI$11,AI$14,AI$19,),""),IF($I28=3,"",IFBLANK(_xldudf_CX_PUSH(AI28,CX_ENTITY,$B28,AI$11,AI$14,AI$19,),"")))))),"")</f>
        <v/>
      </c>
      <c r="DJ28" s="2445" t="str" cm="1">
        <f t="array" ca="1" aca="1" ref="DJ28">IFERROR(IF(AJ28*fxVal_normal=_PL!AJ28,"",IF(OR(AJ28="",NOT(ISNUMBER(AJ28)),ISERROR(AJ28),$B28=""),"",IF($I28=1,IFBLANK(_xldudf_CX_PUSH(AJ28*fxVal_normal,CX_ENTITY,$B28,AJ$11,AJ$14,AJ$19,),""),IF($I28=2,IFBLANK(_xldudf_CX_PUSH(AJ28,CX_ENTITY,$B28,AJ$11,AJ$14,AJ$19,),""),IF($I28=3,"",IFBLANK(_xldudf_CX_PUSH(AJ28,CX_ENTITY,$B28,AJ$11,AJ$14,AJ$19,),"")))))),"")</f>
        <v/>
      </c>
      <c r="DK28" s="2445" t="str" cm="1">
        <f t="array" ca="1" aca="1" ref="DK28">IFERROR(IF(AK28*fxVal_normal=_PL!AK28,"",IF(OR(AK28="",NOT(ISNUMBER(AK28)),ISERROR(AK28),$B28=""),"",IF($I28=1,IFBLANK(_xldudf_CX_PUSH(AK28*fxVal_normal,CX_ENTITY,$B28,AK$11,AK$14,AK$19,),""),IF($I28=2,IFBLANK(_xldudf_CX_PUSH(AK28,CX_ENTITY,$B28,AK$11,AK$14,AK$19,),""),IF($I28=3,"",IFBLANK(_xldudf_CX_PUSH(AK28,CX_ENTITY,$B28,AK$11,AK$14,AK$19,),"")))))),"")</f>
        <v/>
      </c>
      <c r="DL28" s="2445" t="str" cm="1">
        <f t="array" ca="1" aca="1" ref="DL28">IFERROR(IF(AL28*fxVal_normal=_PL!AL28,"",IF(OR(AL28="",NOT(ISNUMBER(AL28)),ISERROR(AL28),$B28=""),"",IF($I28=1,IFBLANK(_xldudf_CX_PUSH(AL28*fxVal_normal,CX_ENTITY,$B28,AL$11,AL$14,AL$19,),""),IF($I28=2,IFBLANK(_xldudf_CX_PUSH(AL28,CX_ENTITY,$B28,AL$11,AL$14,AL$19,),""),IF($I28=3,"",IFBLANK(_xldudf_CX_PUSH(AL28,CX_ENTITY,$B28,AL$11,AL$14,AL$19,),"")))))),"")</f>
        <v/>
      </c>
      <c r="DM28" s="2445" t="str" cm="1">
        <f t="array" ca="1" aca="1" ref="DM28">IFERROR(IF(AM28*fxVal_normal=_PL!AM28,"",IF(OR(AM28="",NOT(ISNUMBER(AM28)),ISERROR(AM28),$B28=""),"",IF($I28=1,IFBLANK(_xldudf_CX_PUSH(AM28*fxVal_normal,CX_ENTITY,$B28,AM$11,AM$14,AM$19,),""),IF($I28=2,IFBLANK(_xldudf_CX_PUSH(AM28,CX_ENTITY,$B28,AM$11,AM$14,AM$19,),""),IF($I28=3,"",IFBLANK(_xldudf_CX_PUSH(AM28,CX_ENTITY,$B28,AM$11,AM$14,AM$19,),"")))))),"")</f>
        <v/>
      </c>
      <c r="DN28" s="2445" t="str" cm="1">
        <f t="array" ca="1" aca="1" ref="DN28">IFERROR(IF(AN28*fxVal_normal=_PL!AN28,"",IF(OR(AN28="",NOT(ISNUMBER(AN28)),ISERROR(AN28),$B28=""),"",IF($I28=1,IFBLANK(_xldudf_CX_PUSH(AN28*fxVal_normal,CX_ENTITY,$B28,AN$11,AN$14,AN$19,),""),IF($I28=2,IFBLANK(_xldudf_CX_PUSH(AN28,CX_ENTITY,$B28,AN$11,AN$14,AN$19,),""),IF($I28=3,"",IFBLANK(_xldudf_CX_PUSH(AN28,CX_ENTITY,$B28,AN$11,AN$14,AN$19,),"")))))),"")</f>
        <v/>
      </c>
      <c r="DO28" s="2445" t="str" cm="1">
        <f t="array" ca="1" aca="1" ref="DO28">IFERROR(IF(AO28*fxVal_normal=_PL!AO28,"",IF(OR(AO28="",NOT(ISNUMBER(AO28)),ISERROR(AO28),$B28=""),"",IF($I28=1,IFBLANK(_xldudf_CX_PUSH(AO28*fxVal_normal,CX_ENTITY,$B28,AO$11,AO$14,AO$19,),""),IF($I28=2,IFBLANK(_xldudf_CX_PUSH(AO28,CX_ENTITY,$B28,AO$11,AO$14,AO$19,),""),IF($I28=3,"",IFBLANK(_xldudf_CX_PUSH(AO28,CX_ENTITY,$B28,AO$11,AO$14,AO$19,),"")))))),"")</f>
        <v/>
      </c>
      <c r="DP28" s="2445" t="str" cm="1">
        <f t="array" ca="1" aca="1" ref="DP28">IFERROR(IF(AP28*fxVal_normal=_PL!AP28,"",IF(OR(AP28="",NOT(ISNUMBER(AP28)),ISERROR(AP28),$B28=""),"",IF($I28=1,IFBLANK(_xldudf_CX_PUSH(AP28*fxVal_normal,CX_ENTITY,$B28,AP$11,AP$14,AP$19,),""),IF($I28=2,IFBLANK(_xldudf_CX_PUSH(AP28,CX_ENTITY,$B28,AP$11,AP$14,AP$19,),""),IF($I28=3,"",IFBLANK(_xldudf_CX_PUSH(AP28,CX_ENTITY,$B28,AP$11,AP$14,AP$19,),"")))))),"")</f>
        <v/>
      </c>
      <c r="DQ28" s="2445" t="str" cm="1">
        <f t="array" ca="1" aca="1" ref="DQ28">IFERROR(IF(AQ28*fxVal_normal=_PL!AQ28,"",IF(OR(AQ28="",NOT(ISNUMBER(AQ28)),ISERROR(AQ28),$B28=""),"",IF($I28=1,IFBLANK(_xldudf_CX_PUSH(AQ28*fxVal_normal,CX_ENTITY,$B28,AQ$11,AQ$14,AQ$19,),""),IF($I28=2,IFBLANK(_xldudf_CX_PUSH(AQ28,CX_ENTITY,$B28,AQ$11,AQ$14,AQ$19,),""),IF($I28=3,"",IFBLANK(_xldudf_CX_PUSH(AQ28,CX_ENTITY,$B28,AQ$11,AQ$14,AQ$19,),"")))))),"")</f>
        <v/>
      </c>
      <c r="DR28" s="2445" t="str" cm="1">
        <f t="array" ca="1" aca="1" ref="DR28">IFERROR(IF(AR28*fxVal_normal=_PL!AR28,"",IF(OR(AR28="",NOT(ISNUMBER(AR28)),ISERROR(AR28),$B28=""),"",IF($I28=1,IFBLANK(_xldudf_CX_PUSH(AR28*fxVal_normal,CX_ENTITY,$B28,AR$11,AR$14,AR$19,),""),IF($I28=2,IFBLANK(_xldudf_CX_PUSH(AR28,CX_ENTITY,$B28,AR$11,AR$14,AR$19,),""),IF($I28=3,"",IFBLANK(_xldudf_CX_PUSH(AR28,CX_ENTITY,$B28,AR$11,AR$14,AR$19,),"")))))),"")</f>
        <v/>
      </c>
      <c r="DS28" s="2445" t="str" cm="1">
        <f t="array" ca="1" aca="1" ref="DS28">IFERROR(IF(AS28*fxVal_normal=_PL!AS28,"",IF(OR(AS28="",NOT(ISNUMBER(AS28)),ISERROR(AS28),$B28=""),"",IF($I28=1,IFBLANK(_xldudf_CX_PUSH(AS28*fxVal_normal,CX_ENTITY,$B28,AS$11,AS$14,AS$19,),""),IF($I28=2,IFBLANK(_xldudf_CX_PUSH(AS28,CX_ENTITY,$B28,AS$11,AS$14,AS$19,),""),IF($I28=3,"",IFBLANK(_xldudf_CX_PUSH(AS28,CX_ENTITY,$B28,AS$11,AS$14,AS$19,),"")))))),"")</f>
        <v/>
      </c>
      <c r="DT28" s="2445" t="str" cm="1">
        <f t="array" ca="1" aca="1" ref="DT28">IFERROR(IF(AT28*fxVal_normal=_PL!AT28,"",IF(OR(AT28="",NOT(ISNUMBER(AT28)),ISERROR(AT28),$B28=""),"",IF($I28=1,IFBLANK(_xldudf_CX_PUSH(AT28*fxVal_normal,CX_ENTITY,$B28,AT$11,AT$14,AT$19,),""),IF($I28=2,IFBLANK(_xldudf_CX_PUSH(AT28,CX_ENTITY,$B28,AT$11,AT$14,AT$19,),""),IF($I28=3,"",IFBLANK(_xldudf_CX_PUSH(AT28,CX_ENTITY,$B28,AT$11,AT$14,AT$19,),"")))))),"")</f>
        <v/>
      </c>
      <c r="DU28" s="2445" t="str" cm="1">
        <f t="array" ca="1" aca="1" ref="DU28">IFERROR(IF(AU28*fxVal_normal=_PL!AU28,"",IF(OR(AU28="",NOT(ISNUMBER(AU28)),ISERROR(AU28),$B28=""),"",IF($I28=1,IFBLANK(_xldudf_CX_PUSH(AU28*fxVal_normal,CX_ENTITY,$B28,AU$11,AU$14,AU$19,),""),IF($I28=2,IFBLANK(_xldudf_CX_PUSH(AU28,CX_ENTITY,$B28,AU$11,AU$14,AU$19,),""),IF($I28=3,"",IFBLANK(_xldudf_CX_PUSH(AU28,CX_ENTITY,$B28,AU$11,AU$14,AU$19,),"")))))),"")</f>
        <v/>
      </c>
      <c r="DV28" s="2445" t="str" cm="1">
        <f t="array" ca="1" aca="1" ref="DV28">IFERROR(IF(AV28*fxVal_normal=_PL!AV28,"",IF(OR(AV28="",NOT(ISNUMBER(AV28)),ISERROR(AV28),$B28=""),"",IF($I28=1,IFBLANK(_xldudf_CX_PUSH(AV28*fxVal_normal,CX_ENTITY,$B28,AV$11,AV$14,AV$19,),""),IF($I28=2,IFBLANK(_xldudf_CX_PUSH(AV28,CX_ENTITY,$B28,AV$11,AV$14,AV$19,),""),IF($I28=3,"",IFBLANK(_xldudf_CX_PUSH(AV28,CX_ENTITY,$B28,AV$11,AV$14,AV$19,),"")))))),"")</f>
        <v/>
      </c>
      <c r="DW28" s="2445" t="str" cm="1">
        <f t="array" ca="1" aca="1" ref="DW28">IFERROR(IF(AW28*fxVal_normal=_PL!AW28,"",IF(OR(AW28="",NOT(ISNUMBER(AW28)),ISERROR(AW28),$B28=""),"",IF($I28=1,IFBLANK(_xldudf_CX_PUSH(AW28*fxVal_normal,CX_ENTITY,$B28,AW$11,AW$14,AW$19,),""),IF($I28=2,IFBLANK(_xldudf_CX_PUSH(AW28,CX_ENTITY,$B28,AW$11,AW$14,AW$19,),""),IF($I28=3,"",IFBLANK(_xldudf_CX_PUSH(AW28,CX_ENTITY,$B28,AW$11,AW$14,AW$19,),"")))))),"")</f>
        <v/>
      </c>
      <c r="DX28" s="2445" t="str" cm="1">
        <f t="array" ca="1" aca="1" ref="DX28">IFERROR(IF(AX28*fxVal_normal=_PL!AX28,"",IF(OR(AX28="",NOT(ISNUMBER(AX28)),ISERROR(AX28),$B28=""),"",IF($I28=1,IFBLANK(_xldudf_CX_PUSH(AX28*fxVal_normal,CX_ENTITY,$B28,AX$11,AX$14,AX$19,),""),IF($I28=2,IFBLANK(_xldudf_CX_PUSH(AX28,CX_ENTITY,$B28,AX$11,AX$14,AX$19,),""),IF($I28=3,"",IFBLANK(_xldudf_CX_PUSH(AX28,CX_ENTITY,$B28,AX$11,AX$14,AX$19,),"")))))),"")</f>
        <v/>
      </c>
      <c r="DY28" s="2445" t="str" cm="1">
        <f t="array" ca="1" aca="1" ref="DY28">IFERROR(IF(AY28*fxVal_normal=_PL!AY28,"",IF(OR(AY28="",NOT(ISNUMBER(AY28)),ISERROR(AY28),$B28=""),"",IF($I28=1,IFBLANK(_xldudf_CX_PUSH(AY28*fxVal_normal,CX_ENTITY,$B28,AY$11,AY$14,AY$19,),""),IF($I28=2,IFBLANK(_xldudf_CX_PUSH(AY28,CX_ENTITY,$B28,AY$11,AY$14,AY$19,),""),IF($I28=3,"",IFBLANK(_xldudf_CX_PUSH(AY28,CX_ENTITY,$B28,AY$11,AY$14,AY$19,),"")))))),"")</f>
        <v/>
      </c>
      <c r="DZ28" s="2445" t="str" cm="1">
        <f t="array" ca="1" aca="1" ref="DZ28">IFERROR(IF(AZ28*fxVal_normal=_PL!AZ28,"",IF(OR(AZ28="",NOT(ISNUMBER(AZ28)),ISERROR(AZ28),$B28=""),"",IF($I28=1,IFBLANK(_xldudf_CX_PUSH(AZ28*fxVal_normal,CX_ENTITY,$B28,AZ$11,AZ$14,AZ$19,),""),IF($I28=2,IFBLANK(_xldudf_CX_PUSH(AZ28,CX_ENTITY,$B28,AZ$11,AZ$14,AZ$19,),""),IF($I28=3,"",IFBLANK(_xldudf_CX_PUSH(AZ28,CX_ENTITY,$B28,AZ$11,AZ$14,AZ$19,),"")))))),"")</f>
        <v/>
      </c>
      <c r="EA28" s="2445" t="str" cm="1">
        <f t="array" ca="1" aca="1" ref="EA28">IFERROR(IF(BA28*fxVal_normal=_PL!BA28,"",IF(OR(BA28="",NOT(ISNUMBER(BA28)),ISERROR(BA28),$B28=""),"",IF($I28=1,IFBLANK(_xldudf_CX_PUSH(BA28*fxVal_normal,CX_ENTITY,$B28,BA$11,BA$14,BA$19,),""),IF($I28=2,IFBLANK(_xldudf_CX_PUSH(BA28,CX_ENTITY,$B28,BA$11,BA$14,BA$19,),""),IF($I28=3,"",IFBLANK(_xldudf_CX_PUSH(BA28,CX_ENTITY,$B28,BA$11,BA$14,BA$19,),"")))))),"")</f>
        <v/>
      </c>
      <c r="EB28" s="2445" t="str" cm="1">
        <f t="array" ca="1" aca="1" ref="EB28">IFERROR(IF(BB28*fxVal_normal=_PL!BB28,"",IF(OR(BB28="",NOT(ISNUMBER(BB28)),ISERROR(BB28),$B28=""),"",IF($I28=1,IFBLANK(_xldudf_CX_PUSH(BB28*fxVal_normal,CX_ENTITY,$B28,BB$11,BB$14,BB$19,),""),IF($I28=2,IFBLANK(_xldudf_CX_PUSH(BB28,CX_ENTITY,$B28,BB$11,BB$14,BB$19,),""),IF($I28=3,"",IFBLANK(_xldudf_CX_PUSH(BB28,CX_ENTITY,$B28,BB$11,BB$14,BB$19,),"")))))),"")</f>
        <v/>
      </c>
      <c r="EC28" s="2445" t="str" cm="1">
        <f t="array" ca="1" aca="1" ref="EC28">IFERROR(IF(BC28*fxVal_normal=_PL!BC28,"",IF(OR(BC28="",NOT(ISNUMBER(BC28)),ISERROR(BC28),$B28=""),"",IF($I28=1,IFBLANK(_xldudf_CX_PUSH(BC28*fxVal_normal,CX_ENTITY,$B28,BC$11,BC$14,BC$19,),""),IF($I28=2,IFBLANK(_xldudf_CX_PUSH(BC28,CX_ENTITY,$B28,BC$11,BC$14,BC$19,),""),IF($I28=3,"",IFBLANK(_xldudf_CX_PUSH(BC28,CX_ENTITY,$B28,BC$11,BC$14,BC$19,),"")))))),"")</f>
        <v/>
      </c>
      <c r="ED28" s="2445" t="str" cm="1">
        <f t="array" ca="1" aca="1" ref="ED28">IFERROR(IF(BD28*fxVal_normal=_PL!BD28,"",IF(OR(BD28="",NOT(ISNUMBER(BD28)),ISERROR(BD28),$B28=""),"",IF($I28=1,IFBLANK(_xldudf_CX_PUSH(BD28*fxVal_normal,CX_ENTITY,$B28,BD$11,BD$14,BD$19,),""),IF($I28=2,IFBLANK(_xldudf_CX_PUSH(BD28,CX_ENTITY,$B28,BD$11,BD$14,BD$19,),""),IF($I28=3,"",IFBLANK(_xldudf_CX_PUSH(BD28,CX_ENTITY,$B28,BD$11,BD$14,BD$19,),"")))))),"")</f>
        <v/>
      </c>
      <c r="EE28" s="2445" t="str" cm="1">
        <f t="array" ca="1" aca="1" ref="EE28">IFERROR(IF(BE28*fxVal_normal=_PL!BE28,"",IF(OR(BE28="",NOT(ISNUMBER(BE28)),ISERROR(BE28),$B28=""),"",IF($I28=1,IFBLANK(_xldudf_CX_PUSH(BE28*fxVal_normal,CX_ENTITY,$B28,BE$11,BE$14,BE$19,),""),IF($I28=2,IFBLANK(_xldudf_CX_PUSH(BE28,CX_ENTITY,$B28,BE$11,BE$14,BE$19,),""),IF($I28=3,"",IFBLANK(_xldudf_CX_PUSH(BE28,CX_ENTITY,$B28,BE$11,BE$14,BE$19,),"")))))),"")</f>
        <v/>
      </c>
      <c r="EF28" s="2445" t="str" cm="1">
        <f t="array" ca="1" aca="1" ref="EF28">IFERROR(IF(BF28*fxVal_normal=_PL!BF28,"",IF(OR(BF28="",NOT(ISNUMBER(BF28)),ISERROR(BF28),$B28=""),"",IF($I28=1,IFBLANK(_xldudf_CX_PUSH(BF28*fxVal_normal,CX_ENTITY,$B28,BF$11,BF$14,BF$19,),""),IF($I28=2,IFBLANK(_xldudf_CX_PUSH(BF28,CX_ENTITY,$B28,BF$11,BF$14,BF$19,),""),IF($I28=3,"",IFBLANK(_xldudf_CX_PUSH(BF28,CX_ENTITY,$B28,BF$11,BF$14,BF$19,),"")))))),"")</f>
        <v/>
      </c>
      <c r="EG28" s="2445" t="str" cm="1">
        <f t="array" ca="1" aca="1" ref="EG28">IFERROR(IF(BG28*fxVal_normal=_PL!BG28,"",IF(OR(BG28="",NOT(ISNUMBER(BG28)),ISERROR(BG28),$B28=""),"",IF($I28=1,IFBLANK(_xldudf_CX_PUSH(BG28*fxVal_normal,CX_ENTITY,$B28,BG$11,BG$14,BG$19,),""),IF($I28=2,IFBLANK(_xldudf_CX_PUSH(BG28,CX_ENTITY,$B28,BG$11,BG$14,BG$19,),""),IF($I28=3,"",IFBLANK(_xldudf_CX_PUSH(BG28,CX_ENTITY,$B28,BG$11,BG$14,BG$19,),"")))))),"")</f>
        <v/>
      </c>
      <c r="EH28" s="2445" t="str" cm="1">
        <f t="array" ca="1" aca="1" ref="EH28">IFERROR(IF(BH28*fxVal_normal=_PL!BH28,"",IF(OR(BH28="",NOT(ISNUMBER(BH28)),ISERROR(BH28),$B28=""),"",IF($I28=1,IFBLANK(_xldudf_CX_PUSH(BH28*fxVal_normal,CX_ENTITY,$B28,BH$11,BH$14,BH$19,),""),IF($I28=2,IFBLANK(_xldudf_CX_PUSH(BH28,CX_ENTITY,$B28,BH$11,BH$14,BH$19,),""),IF($I28=3,"",IFBLANK(_xldudf_CX_PUSH(BH28,CX_ENTITY,$B28,BH$11,BH$14,BH$19,),"")))))),"")</f>
        <v/>
      </c>
      <c r="EI28" s="2445" t="str" cm="1">
        <f t="array" ca="1" aca="1" ref="EI28">IFERROR(IF(BI28*fxVal_normal=_PL!BI28,"",IF(OR(BI28="",NOT(ISNUMBER(BI28)),ISERROR(BI28),$B28=""),"",IF($I28=1,IFBLANK(_xldudf_CX_PUSH(BI28*fxVal_normal,CX_ENTITY,$B28,BI$11,BI$14,BI$19,),""),IF($I28=2,IFBLANK(_xldudf_CX_PUSH(BI28,CX_ENTITY,$B28,BI$11,BI$14,BI$19,),""),IF($I28=3,"",IFBLANK(_xldudf_CX_PUSH(BI28,CX_ENTITY,$B28,BI$11,BI$14,BI$19,),"")))))),"")</f>
        <v/>
      </c>
      <c r="EJ28" s="2445" t="str" cm="1">
        <f t="array" ca="1" aca="1" ref="EJ28">IFERROR(IF(BJ28*fxVal_normal=_PL!BJ28,"",IF(OR(BJ28="",NOT(ISNUMBER(BJ28)),ISERROR(BJ28),$B28=""),"",IF($I28=1,IFBLANK(_xldudf_CX_PUSH(BJ28*fxVal_normal,CX_ENTITY,$B28,BJ$11,BJ$14,BJ$19,),""),IF($I28=2,IFBLANK(_xldudf_CX_PUSH(BJ28,CX_ENTITY,$B28,BJ$11,BJ$14,BJ$19,),""),IF($I28=3,"",IFBLANK(_xldudf_CX_PUSH(BJ28,CX_ENTITY,$B28,BJ$11,BJ$14,BJ$19,),"")))))),"")</f>
        <v/>
      </c>
      <c r="EK28" s="2445" t="str" cm="1">
        <f t="array" ca="1" aca="1" ref="EK28">IFERROR(IF(BK28*fxVal_normal=_PL!BK28,"",IF(OR(BK28="",NOT(ISNUMBER(BK28)),ISERROR(BK28),$B28=""),"",IF($I28=1,IFBLANK(_xldudf_CX_PUSH(BK28*fxVal_normal,CX_ENTITY,$B28,BK$11,BK$14,BK$19,),""),IF($I28=2,IFBLANK(_xldudf_CX_PUSH(BK28,CX_ENTITY,$B28,BK$11,BK$14,BK$19,),""),IF($I28=3,"",IFBLANK(_xldudf_CX_PUSH(BK28,CX_ENTITY,$B28,BK$11,BK$14,BK$19,),"")))))),"")</f>
        <v/>
      </c>
      <c r="EL28" s="2445" t="str" cm="1">
        <f t="array" ca="1" aca="1" ref="EL28">IFERROR(IF(BL28*fxVal_normal=_PL!BL28,"",IF(OR(BL28="",NOT(ISNUMBER(BL28)),ISERROR(BL28),$B28=""),"",IF($I28=1,IFBLANK(_xldudf_CX_PUSH(BL28*fxVal_normal,CX_ENTITY,$B28,BL$11,BL$14,BL$19,),""),IF($I28=2,IFBLANK(_xldudf_CX_PUSH(BL28,CX_ENTITY,$B28,BL$11,BL$14,BL$19,),""),IF($I28=3,"",IFBLANK(_xldudf_CX_PUSH(BL28,CX_ENTITY,$B28,BL$11,BL$14,BL$19,),"")))))),"")</f>
        <v/>
      </c>
      <c r="EM28" s="2445" t="str" cm="1">
        <f t="array" ca="1" aca="1" ref="EM28">IFERROR(IF(BM28*fxVal_normal=_PL!BM28,"",IF(OR(BM28="",NOT(ISNUMBER(BM28)),ISERROR(BM28),$B28=""),"",IF($I28=1,IFBLANK(_xldudf_CX_PUSH(BM28*fxVal_normal,CX_ENTITY,$B28,BM$11,BM$14,BM$19,),""),IF($I28=2,IFBLANK(_xldudf_CX_PUSH(BM28,CX_ENTITY,$B28,BM$11,BM$14,BM$19,),""),IF($I28=3,"",IFBLANK(_xldudf_CX_PUSH(BM28,CX_ENTITY,$B28,BM$11,BM$14,BM$19,),"")))))),"")</f>
        <v/>
      </c>
      <c r="EN28" s="2445" t="str" cm="1">
        <f t="array" ca="1" aca="1" ref="EN28">IFERROR(IF(BN28*fxVal_normal=_PL!BN28,"",IF(OR(BN28="",NOT(ISNUMBER(BN28)),ISERROR(BN28),$B28=""),"",IF($I28=1,IFBLANK(_xldudf_CX_PUSH(BN28*fxVal_normal,CX_ENTITY,$B28,BN$11,BN$14,BN$19,),""),IF($I28=2,IFBLANK(_xldudf_CX_PUSH(BN28,CX_ENTITY,$B28,BN$11,BN$14,BN$19,),""),IF($I28=3,"",IFBLANK(_xldudf_CX_PUSH(BN28,CX_ENTITY,$B28,BN$11,BN$14,BN$19,),"")))))),"")</f>
        <v/>
      </c>
    </row>
    <row r="29" spans="1:144" ht="21" customHeight="1">
      <c r="A29" s="1625"/>
      <c r="B29" s="3182">
        <f>_xlfn.LET(_xlpm.IsNotAttrDynamic,D29="",_xlpm.Attr,_PL!F29,_xlpm.NotInUse,Y29=D29,_xlpm.RESULT,IF(_xlpm.IsNotAttrDynamic,_xlpm.Attr,IF(_xlpm.NotInUse,"",Y29)),IF(_xlpm.RESULT="","",_xlpm.RESULT))</f>
        <v>2</v>
      </c>
      <c r="C29" s="2439" t="str" cm="1">
        <f t="array" ref="C29">IFBLANK(_PL!C29,"")</f>
        <v>EBITDA Adjustment Type I - Label 4</v>
      </c>
      <c r="D29" s="1548" t="s">
        <v>100</v>
      </c>
      <c r="E29" s="2440" t="e" cm="1">
        <f t="array" ca="1" aca="1" ref="E2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29:$CQ29,Z29)</f>
        <v>#NAME?</v>
      </c>
      <c r="F29" s="1897"/>
      <c r="G29" s="1897"/>
      <c r="H29" s="578">
        <v>0</v>
      </c>
      <c r="I29" s="3279">
        <v>1</v>
      </c>
      <c r="J29" s="401" cm="1">
        <f t="array" ref="J29">IFBLANK(Z29,"")</f>
        <v>-1</v>
      </c>
      <c r="K29" s="578" t="str">
        <f t="shared" si="8"/>
        <v>Yes</v>
      </c>
      <c r="L29" s="37">
        <v>4</v>
      </c>
      <c r="N29" s="158"/>
      <c r="O29" s="101"/>
      <c r="P29" s="52"/>
      <c r="Q29" s="101"/>
      <c r="R29" s="126"/>
      <c r="S29" s="101"/>
      <c r="T29" s="101"/>
      <c r="U29" s="39"/>
      <c r="V29" s="37"/>
      <c r="W29" s="91" t="str">
        <f t="shared" si="4"/>
        <v>Actual</v>
      </c>
      <c r="X29" s="2081" t="str">
        <f>_PL!X29</f>
        <v>a</v>
      </c>
      <c r="Y29" s="3176">
        <v>2</v>
      </c>
      <c r="Z29" s="198" cm="1">
        <f t="array" ref="Z29">_xlfn.SWITCH(TRUE,_PL!$L29=TRUE,1,_PL!$L29=FALSE,-1,_PL!$L29=-1,0,"")</f>
        <v>-1</v>
      </c>
      <c r="AA29" s="200"/>
      <c r="AB29" s="3184">
        <f t="shared" si="9"/>
        <v>2</v>
      </c>
      <c r="AC29" s="2448" t="str" cm="1">
        <f t="array" ca="1" aca="1" ref="AC29">_xlfn.LET(_xlpm._termname,$AB29,_xlpm._iconname,"find",_xlpm._icon,fx_getIcon(_xlpm._iconname),_xlpm._location,_xlfn.XLOOKUP(LOWER(_xlpm._termname),LOWER(tbl_acctDef[Term]),tbl_acctDef[Term]),_xlpm._hyperlink,HYPERLINK("#"&amp;CELL("address",_xlpm._location),_xlpm._icon),IFERROR(_xlpm._hyperlink,""))</f>
        <v/>
      </c>
      <c r="AD29" s="3185">
        <v>1</v>
      </c>
      <c r="AE29" s="3185">
        <v>1</v>
      </c>
      <c r="AF29" s="3185">
        <v>1</v>
      </c>
      <c r="AG29" s="3185">
        <v>1</v>
      </c>
      <c r="AH29" s="3185">
        <v>1</v>
      </c>
      <c r="AI29" s="3185">
        <v>1</v>
      </c>
      <c r="AJ29" s="3185">
        <v>1</v>
      </c>
      <c r="AK29" s="3185">
        <v>1</v>
      </c>
      <c r="AL29" s="3185">
        <v>1</v>
      </c>
      <c r="AM29" s="3185">
        <v>1</v>
      </c>
      <c r="AN29" s="3185">
        <v>1</v>
      </c>
      <c r="AO29" s="3185">
        <v>1</v>
      </c>
      <c r="AP29" s="3185">
        <v>1</v>
      </c>
      <c r="AQ29" s="3185">
        <v>1</v>
      </c>
      <c r="AR29" s="3185">
        <v>1</v>
      </c>
      <c r="AS29" s="3185">
        <v>1</v>
      </c>
      <c r="AT29" s="3185">
        <v>1</v>
      </c>
      <c r="AU29" s="3185">
        <v>1</v>
      </c>
      <c r="AV29" s="3185">
        <v>1</v>
      </c>
      <c r="AW29" s="3185">
        <v>1</v>
      </c>
      <c r="AX29" s="3185">
        <v>1</v>
      </c>
      <c r="AY29" s="3185">
        <v>1</v>
      </c>
      <c r="AZ29" s="3185">
        <v>1</v>
      </c>
      <c r="BA29" s="3185">
        <v>1</v>
      </c>
      <c r="BB29" s="3185">
        <v>1</v>
      </c>
      <c r="BC29" s="3185">
        <v>1</v>
      </c>
      <c r="BD29" s="3185">
        <v>1</v>
      </c>
      <c r="BE29" s="3185">
        <v>1</v>
      </c>
      <c r="BF29" s="3185">
        <v>1</v>
      </c>
      <c r="BG29" s="3185">
        <v>1</v>
      </c>
      <c r="BH29" s="3185">
        <v>1</v>
      </c>
      <c r="BI29" s="3185">
        <v>1</v>
      </c>
      <c r="BJ29" s="3185">
        <v>1</v>
      </c>
      <c r="BK29" s="3185">
        <v>1</v>
      </c>
      <c r="BL29" s="3185">
        <v>1</v>
      </c>
      <c r="BM29" s="3185">
        <v>1</v>
      </c>
      <c r="BN29" s="3185">
        <v>1</v>
      </c>
      <c r="BO29" s="2442"/>
      <c r="BP29" s="2442"/>
      <c r="BQ29" s="2442"/>
      <c r="BR29" s="2442"/>
      <c r="BS29" s="2442"/>
      <c r="BT29" s="2442"/>
      <c r="BU29" s="2442"/>
      <c r="BV29" s="2442"/>
      <c r="BW29" s="2442"/>
      <c r="BX29" s="2442"/>
      <c r="BY29" s="2442"/>
      <c r="BZ29" s="2442"/>
      <c r="CA29" s="34"/>
      <c r="CC29" s="33"/>
      <c r="CD29" s="1772" t="e" cm="1">
        <f t="array" ca="1" aca="1" ref="CD29">_xlfn.LET(_xlpm.CheckBlank,SUM(PL!$AD29:PL!$BN29)=0,IF(_xlpm.CheckBlank,"",SUM(_xlfn._xlws.FILTER(PL!$AD29:$BN29,(YEAR(PL!$AD$12:$BN$12)=PL!CD$12)*(array_timeline&lt;=PL!CD$11)))))</f>
        <v>#NAME?</v>
      </c>
      <c r="CE29" s="1772" t="e" cm="1">
        <f t="array" ca="1" aca="1" ref="CE29">_xlfn.LET(_xlpm.CheckBlank,SUM(PL!$AD29:PL!$BN29)=0,IF(_xlpm.CheckBlank,"",SUM(_xlfn._xlws.FILTER(PL!$AD29:$BN29,(YEAR(PL!$AD$12:$BN$12)=PL!CE$12)*(array_timeline&lt;=PL!CE$11)))))</f>
        <v>#NAME?</v>
      </c>
      <c r="CF29" s="88"/>
      <c r="CG29" s="1461" t="str" cm="1">
        <f t="array" ca="1" aca="1" ref="CG29">IFERROR(_xlfn.LET(_xlpm.CheckBlank,SUM(PL!$AD29:$BN29)=0,IF(_xlpm.CheckBlank,"",SUM(_xlfn._xlws.FILTER(PL!$AD29:$BN29,(YEAR(PL!$AD$12:$BN$12)=PL!CG$12)*(array_timeline&lt;=PL!CG$11))))),"n/a")</f>
        <v>n/a</v>
      </c>
      <c r="CH29" s="1461" t="e" cm="1">
        <f t="array" ca="1" aca="1" ref="CH29">_xlfn.LET(_xlpm.CheckBlank,SUM(PL!$AD29:$BN29)=0,IF(_xlpm.CheckBlank,"",SUM(_xlfn._xlws.FILTER(PL!$AD29:$BN29,(YEAR(PL!$AD$12:$BN$12)=PL!CH$12)*(array_timeline&lt;=PL!CH$11)))))</f>
        <v>#NAME?</v>
      </c>
      <c r="CI29" s="88"/>
      <c r="CJ29" s="1461" cm="1">
        <f t="array" ref="CJ29">_xlfn.LET(_xlpm.CheckBlank,SUM(PL!$AD29:$BN29)=0,IF(_xlpm.CheckBlank,"",SUM(_xlfn.TAKE(_xlfn.DROP(PL!$AD29:$BN29,,-DATEDIFF(PL!CJ$11,val_asOfDate,"M")),1,-12))))</f>
        <v>12</v>
      </c>
      <c r="CK29" s="1461" cm="1">
        <f t="array" ref="CK29">_xlfn.LET(_xlpm.CheckBlank,SUM(PL!$AD29:$BN29)=0,IF(_xlpm.CheckBlank,"",SUM(_xlfn.TAKE(_xlfn.DROP(PL!$AD29:$BN29,,-DATEDIFF(PL!CK$11,val_asOfDate,"M")),1,-12))))</f>
        <v>12</v>
      </c>
      <c r="CL29" s="88"/>
      <c r="CM29" s="3185">
        <v>1</v>
      </c>
      <c r="CN29" s="3185">
        <v>1</v>
      </c>
      <c r="CO29" s="1169"/>
      <c r="CP29" s="3185">
        <v>1</v>
      </c>
      <c r="CQ29" s="3185">
        <v>1</v>
      </c>
      <c r="CR29" s="34"/>
      <c r="CS29" s="2056"/>
      <c r="CT29" s="2447" t="e" cm="1">
        <f t="array" ca="1" aca="1" ref="CT29">IF(ISNUMBER(SEARCH("Select",$Y29)),"",_xldudf_CX_PUSH($Y29,CX_ENTITY,C29,val_asOfDate))</f>
        <v>#NAME?</v>
      </c>
      <c r="CU29" s="2447" t="e" cm="1">
        <f t="array" ca="1" aca="1" ref="CU29">IF(ISNUMBER(SEARCH("Select",$Y29)),"",_xldudf_CX_PUSH($Y29,CX_ENTITY,C29,EOMONTH(val_asOfDate,1)))</f>
        <v>#NAME?</v>
      </c>
      <c r="CV29" s="2447" t="e" cm="1">
        <f t="array" ca="1" aca="1" ref="CV29">IF(ISNUMBER(SEARCH("Select",$Y29)),"",_xldudf_CX_PUSH($Y29,CX_ENTITY,C29,EOMONTH(val_asOfDate,2)))</f>
        <v>#NAME?</v>
      </c>
      <c r="CW29" s="2447" t="e" cm="1">
        <f t="array" ca="1" aca="1" ref="CW29">IF(ISNUMBER(SEARCH("Select",$Y29)),"",_xldudf_CX_PUSH($Y29,CX_ENTITY,C29,EOMONTH(val_asOfDate,3)))</f>
        <v>#NAME?</v>
      </c>
      <c r="CX29" s="2443"/>
      <c r="CY29" s="2444" t="str" cm="1">
        <f t="array" ca="1" aca="1" ref="CY29">IFERROR(IF(CM29*fxVal_normal=_PL!CM29,"",IF(OR($CM29="",$CM29=0,NOT(ISNUMBER($CM29)),ISERROR($CM29),$B29=""),"",IF($I29=1,IFBLANK(_xldudf_CX_PUSH($CM29*fxVal_normal,CX_ENTITY,$B29,$CM$11,$CM$14,$CM$19,),""),IF($I29=2,IFBLANK(_xldudf_CX_PUSH($CM29,CX_ENTITY,$B29,$CM$11,$CM$14,$CM$19,),""),IF($I29=3,"",IFBLANK(_xldudf_CX_PUSH($CM29,CX_ENTITY,$B29,$CM$11,$CM$14,$CM$19,),"")))))),"")</f>
        <v/>
      </c>
      <c r="CZ29" s="2444" t="str" cm="1">
        <f t="array" ca="1" aca="1" ref="CZ29">IFERROR(IF(CN29*fxVal_normal=_PL!CN29,"",IF(OR($CN29="",$CN29=0,NOT(ISNUMBER($CN29)),ISERROR($CN29),$B29=""),"",IF($I29=1,IFBLANK(_xldudf_CX_PUSH($CN29*fxVal_normal,CX_ENTITY,$B29,$CN$11,$CN$14,$CN$19,),""),IF($I29=2,IFBLANK(_xldudf_CX_PUSH($CN29,CX_ENTITY,$B29,$CN$11,$CN$14,$CN$19,),""),IF($I29=3,"",IFBLANK(_xldudf_CX_PUSH($CN29,CX_ENTITY,$B29,$CN$11,$CN$14,$CN$19,),"")))))),"")</f>
        <v/>
      </c>
      <c r="DA29" s="2444" t="str" cm="1">
        <f t="array" ca="1" aca="1" ref="DA29">IFERROR(IF(CP29*fxVal_normal=_PL!CP29,"",IF(OR($CP29="",$CP29=0,NOT(ISNUMBER($CP29)),ISERROR($CP29),$B29=""),"",IF($I29=1,IFBLANK(_xldudf_CX_PUSH($CP29*fxVal_normal,CX_ENTITY,$B29,$CP$11,$CP$14,$CP$19,),""),IF($I29=2,IFBLANK(_xldudf_CX_PUSH($CP29,CX_ENTITY,$B29,$CP$11,$CP$14,$CP$19,),""),IF($I29=3,"",IFBLANK(_xldudf_CX_PUSH($CP29,CX_ENTITY,$B29,$CP$11,$CP$14,$CP$19,),"")))))),"")</f>
        <v/>
      </c>
      <c r="DB29" s="2444" t="str" cm="1">
        <f t="array" ca="1" aca="1" ref="DB29">IFERROR(IF(CQ29*fxVal_normal=_PL!CQ29,"",IF(OR($CQ29="",$CQ29=0,NOT(ISNUMBER($CQ29)),ISERROR($CQ29),$B29=""),"",IF($I29=1,IFBLANK(_xldudf_CX_PUSH($CQ29*fxVal_normal,CX_ENTITY,$B29,$CQ$11,$CQ$14,$CQ$19,),""),IF($I29=2,IFBLANK(_xldudf_CX_PUSH($CQ29,CX_ENTITY,$B29,$CQ$11,$CQ$14,$CQ$19,),""),IF($I29=3,"",IFBLANK(_xldudf_CX_PUSH($CQ29,CX_ENTITY,$B29,$CQ$11,$CQ$14,$CQ$19,),"")))))),"")</f>
        <v/>
      </c>
      <c r="DC29" s="2443"/>
      <c r="DD29" s="2445" t="str" cm="1">
        <f t="array" ca="1" aca="1" ref="DD29">IFERROR(IF(AD29*fxVal_normal=_PL!AD29,"",IF(OR(AD29="",NOT(ISNUMBER(AD29)),ISERROR(AD29),$B29=""),"",IF($I29=1,IFBLANK(_xldudf_CX_PUSH(AD29*fxVal_normal,CX_ENTITY,$B29,AD$11,AD$14,AD$19,),""),IF($I29=2,IFBLANK(_xldudf_CX_PUSH(AD29,CX_ENTITY,$B29,AD$11,AD$14,AD$19,),""),IF($I29=3,"",IFBLANK(_xldudf_CX_PUSH(AD29,CX_ENTITY,$B29,AD$11,AD$14,AD$19,),"")))))),"")</f>
        <v/>
      </c>
      <c r="DE29" s="2445" t="str" cm="1">
        <f t="array" ca="1" aca="1" ref="DE29">IFERROR(IF(AE29*fxVal_normal=_PL!AE29,"",IF(OR(AE29="",NOT(ISNUMBER(AE29)),ISERROR(AE29),$B29=""),"",IF($I29=1,IFBLANK(_xldudf_CX_PUSH(AE29*fxVal_normal,CX_ENTITY,$B29,AE$11,AE$14,AE$19,),""),IF($I29=2,IFBLANK(_xldudf_CX_PUSH(AE29,CX_ENTITY,$B29,AE$11,AE$14,AE$19,),""),IF($I29=3,"",IFBLANK(_xldudf_CX_PUSH(AE29,CX_ENTITY,$B29,AE$11,AE$14,AE$19,),"")))))),"")</f>
        <v/>
      </c>
      <c r="DF29" s="2445" t="str" cm="1">
        <f t="array" ca="1" aca="1" ref="DF29">IFERROR(IF(AF29*fxVal_normal=_PL!AF29,"",IF(OR(AF29="",NOT(ISNUMBER(AF29)),ISERROR(AF29),$B29=""),"",IF($I29=1,IFBLANK(_xldudf_CX_PUSH(AF29*fxVal_normal,CX_ENTITY,$B29,AF$11,AF$14,AF$19,),""),IF($I29=2,IFBLANK(_xldudf_CX_PUSH(AF29,CX_ENTITY,$B29,AF$11,AF$14,AF$19,),""),IF($I29=3,"",IFBLANK(_xldudf_CX_PUSH(AF29,CX_ENTITY,$B29,AF$11,AF$14,AF$19,),"")))))),"")</f>
        <v/>
      </c>
      <c r="DG29" s="2445" t="str" cm="1">
        <f t="array" ca="1" aca="1" ref="DG29">IFERROR(IF(AG29*fxVal_normal=_PL!AG29,"",IF(OR(AG29="",NOT(ISNUMBER(AG29)),ISERROR(AG29),$B29=""),"",IF($I29=1,IFBLANK(_xldudf_CX_PUSH(AG29*fxVal_normal,CX_ENTITY,$B29,AG$11,AG$14,AG$19,),""),IF($I29=2,IFBLANK(_xldudf_CX_PUSH(AG29,CX_ENTITY,$B29,AG$11,AG$14,AG$19,),""),IF($I29=3,"",IFBLANK(_xldudf_CX_PUSH(AG29,CX_ENTITY,$B29,AG$11,AG$14,AG$19,),"")))))),"")</f>
        <v/>
      </c>
      <c r="DH29" s="2445" t="str" cm="1">
        <f t="array" ca="1" aca="1" ref="DH29">IFERROR(IF(AH29*fxVal_normal=_PL!AH29,"",IF(OR(AH29="",NOT(ISNUMBER(AH29)),ISERROR(AH29),$B29=""),"",IF($I29=1,IFBLANK(_xldudf_CX_PUSH(AH29*fxVal_normal,CX_ENTITY,$B29,AH$11,AH$14,AH$19,),""),IF($I29=2,IFBLANK(_xldudf_CX_PUSH(AH29,CX_ENTITY,$B29,AH$11,AH$14,AH$19,),""),IF($I29=3,"",IFBLANK(_xldudf_CX_PUSH(AH29,CX_ENTITY,$B29,AH$11,AH$14,AH$19,),"")))))),"")</f>
        <v/>
      </c>
      <c r="DI29" s="2445" t="str" cm="1">
        <f t="array" ca="1" aca="1" ref="DI29">IFERROR(IF(AI29*fxVal_normal=_PL!AI29,"",IF(OR(AI29="",NOT(ISNUMBER(AI29)),ISERROR(AI29),$B29=""),"",IF($I29=1,IFBLANK(_xldudf_CX_PUSH(AI29*fxVal_normal,CX_ENTITY,$B29,AI$11,AI$14,AI$19,),""),IF($I29=2,IFBLANK(_xldudf_CX_PUSH(AI29,CX_ENTITY,$B29,AI$11,AI$14,AI$19,),""),IF($I29=3,"",IFBLANK(_xldudf_CX_PUSH(AI29,CX_ENTITY,$B29,AI$11,AI$14,AI$19,),"")))))),"")</f>
        <v/>
      </c>
      <c r="DJ29" s="2445" t="str" cm="1">
        <f t="array" ca="1" aca="1" ref="DJ29">IFERROR(IF(AJ29*fxVal_normal=_PL!AJ29,"",IF(OR(AJ29="",NOT(ISNUMBER(AJ29)),ISERROR(AJ29),$B29=""),"",IF($I29=1,IFBLANK(_xldudf_CX_PUSH(AJ29*fxVal_normal,CX_ENTITY,$B29,AJ$11,AJ$14,AJ$19,),""),IF($I29=2,IFBLANK(_xldudf_CX_PUSH(AJ29,CX_ENTITY,$B29,AJ$11,AJ$14,AJ$19,),""),IF($I29=3,"",IFBLANK(_xldudf_CX_PUSH(AJ29,CX_ENTITY,$B29,AJ$11,AJ$14,AJ$19,),"")))))),"")</f>
        <v/>
      </c>
      <c r="DK29" s="2445" t="str" cm="1">
        <f t="array" ca="1" aca="1" ref="DK29">IFERROR(IF(AK29*fxVal_normal=_PL!AK29,"",IF(OR(AK29="",NOT(ISNUMBER(AK29)),ISERROR(AK29),$B29=""),"",IF($I29=1,IFBLANK(_xldudf_CX_PUSH(AK29*fxVal_normal,CX_ENTITY,$B29,AK$11,AK$14,AK$19,),""),IF($I29=2,IFBLANK(_xldudf_CX_PUSH(AK29,CX_ENTITY,$B29,AK$11,AK$14,AK$19,),""),IF($I29=3,"",IFBLANK(_xldudf_CX_PUSH(AK29,CX_ENTITY,$B29,AK$11,AK$14,AK$19,),"")))))),"")</f>
        <v/>
      </c>
      <c r="DL29" s="2445" t="str" cm="1">
        <f t="array" ca="1" aca="1" ref="DL29">IFERROR(IF(AL29*fxVal_normal=_PL!AL29,"",IF(OR(AL29="",NOT(ISNUMBER(AL29)),ISERROR(AL29),$B29=""),"",IF($I29=1,IFBLANK(_xldudf_CX_PUSH(AL29*fxVal_normal,CX_ENTITY,$B29,AL$11,AL$14,AL$19,),""),IF($I29=2,IFBLANK(_xldudf_CX_PUSH(AL29,CX_ENTITY,$B29,AL$11,AL$14,AL$19,),""),IF($I29=3,"",IFBLANK(_xldudf_CX_PUSH(AL29,CX_ENTITY,$B29,AL$11,AL$14,AL$19,),"")))))),"")</f>
        <v/>
      </c>
      <c r="DM29" s="2445" t="str" cm="1">
        <f t="array" ca="1" aca="1" ref="DM29">IFERROR(IF(AM29*fxVal_normal=_PL!AM29,"",IF(OR(AM29="",NOT(ISNUMBER(AM29)),ISERROR(AM29),$B29=""),"",IF($I29=1,IFBLANK(_xldudf_CX_PUSH(AM29*fxVal_normal,CX_ENTITY,$B29,AM$11,AM$14,AM$19,),""),IF($I29=2,IFBLANK(_xldudf_CX_PUSH(AM29,CX_ENTITY,$B29,AM$11,AM$14,AM$19,),""),IF($I29=3,"",IFBLANK(_xldudf_CX_PUSH(AM29,CX_ENTITY,$B29,AM$11,AM$14,AM$19,),"")))))),"")</f>
        <v/>
      </c>
      <c r="DN29" s="2445" t="str" cm="1">
        <f t="array" ca="1" aca="1" ref="DN29">IFERROR(IF(AN29*fxVal_normal=_PL!AN29,"",IF(OR(AN29="",NOT(ISNUMBER(AN29)),ISERROR(AN29),$B29=""),"",IF($I29=1,IFBLANK(_xldudf_CX_PUSH(AN29*fxVal_normal,CX_ENTITY,$B29,AN$11,AN$14,AN$19,),""),IF($I29=2,IFBLANK(_xldudf_CX_PUSH(AN29,CX_ENTITY,$B29,AN$11,AN$14,AN$19,),""),IF($I29=3,"",IFBLANK(_xldudf_CX_PUSH(AN29,CX_ENTITY,$B29,AN$11,AN$14,AN$19,),"")))))),"")</f>
        <v/>
      </c>
      <c r="DO29" s="2445" t="str" cm="1">
        <f t="array" ca="1" aca="1" ref="DO29">IFERROR(IF(AO29*fxVal_normal=_PL!AO29,"",IF(OR(AO29="",NOT(ISNUMBER(AO29)),ISERROR(AO29),$B29=""),"",IF($I29=1,IFBLANK(_xldudf_CX_PUSH(AO29*fxVal_normal,CX_ENTITY,$B29,AO$11,AO$14,AO$19,),""),IF($I29=2,IFBLANK(_xldudf_CX_PUSH(AO29,CX_ENTITY,$B29,AO$11,AO$14,AO$19,),""),IF($I29=3,"",IFBLANK(_xldudf_CX_PUSH(AO29,CX_ENTITY,$B29,AO$11,AO$14,AO$19,),"")))))),"")</f>
        <v/>
      </c>
      <c r="DP29" s="2445" t="str" cm="1">
        <f t="array" ca="1" aca="1" ref="DP29">IFERROR(IF(AP29*fxVal_normal=_PL!AP29,"",IF(OR(AP29="",NOT(ISNUMBER(AP29)),ISERROR(AP29),$B29=""),"",IF($I29=1,IFBLANK(_xldudf_CX_PUSH(AP29*fxVal_normal,CX_ENTITY,$B29,AP$11,AP$14,AP$19,),""),IF($I29=2,IFBLANK(_xldudf_CX_PUSH(AP29,CX_ENTITY,$B29,AP$11,AP$14,AP$19,),""),IF($I29=3,"",IFBLANK(_xldudf_CX_PUSH(AP29,CX_ENTITY,$B29,AP$11,AP$14,AP$19,),"")))))),"")</f>
        <v/>
      </c>
      <c r="DQ29" s="2445" t="str" cm="1">
        <f t="array" ca="1" aca="1" ref="DQ29">IFERROR(IF(AQ29*fxVal_normal=_PL!AQ29,"",IF(OR(AQ29="",NOT(ISNUMBER(AQ29)),ISERROR(AQ29),$B29=""),"",IF($I29=1,IFBLANK(_xldudf_CX_PUSH(AQ29*fxVal_normal,CX_ENTITY,$B29,AQ$11,AQ$14,AQ$19,),""),IF($I29=2,IFBLANK(_xldudf_CX_PUSH(AQ29,CX_ENTITY,$B29,AQ$11,AQ$14,AQ$19,),""),IF($I29=3,"",IFBLANK(_xldudf_CX_PUSH(AQ29,CX_ENTITY,$B29,AQ$11,AQ$14,AQ$19,),"")))))),"")</f>
        <v/>
      </c>
      <c r="DR29" s="2445" t="str" cm="1">
        <f t="array" ca="1" aca="1" ref="DR29">IFERROR(IF(AR29*fxVal_normal=_PL!AR29,"",IF(OR(AR29="",NOT(ISNUMBER(AR29)),ISERROR(AR29),$B29=""),"",IF($I29=1,IFBLANK(_xldudf_CX_PUSH(AR29*fxVal_normal,CX_ENTITY,$B29,AR$11,AR$14,AR$19,),""),IF($I29=2,IFBLANK(_xldudf_CX_PUSH(AR29,CX_ENTITY,$B29,AR$11,AR$14,AR$19,),""),IF($I29=3,"",IFBLANK(_xldudf_CX_PUSH(AR29,CX_ENTITY,$B29,AR$11,AR$14,AR$19,),"")))))),"")</f>
        <v/>
      </c>
      <c r="DS29" s="2445" t="str" cm="1">
        <f t="array" ca="1" aca="1" ref="DS29">IFERROR(IF(AS29*fxVal_normal=_PL!AS29,"",IF(OR(AS29="",NOT(ISNUMBER(AS29)),ISERROR(AS29),$B29=""),"",IF($I29=1,IFBLANK(_xldudf_CX_PUSH(AS29*fxVal_normal,CX_ENTITY,$B29,AS$11,AS$14,AS$19,),""),IF($I29=2,IFBLANK(_xldudf_CX_PUSH(AS29,CX_ENTITY,$B29,AS$11,AS$14,AS$19,),""),IF($I29=3,"",IFBLANK(_xldudf_CX_PUSH(AS29,CX_ENTITY,$B29,AS$11,AS$14,AS$19,),"")))))),"")</f>
        <v/>
      </c>
      <c r="DT29" s="2445" t="str" cm="1">
        <f t="array" ca="1" aca="1" ref="DT29">IFERROR(IF(AT29*fxVal_normal=_PL!AT29,"",IF(OR(AT29="",NOT(ISNUMBER(AT29)),ISERROR(AT29),$B29=""),"",IF($I29=1,IFBLANK(_xldudf_CX_PUSH(AT29*fxVal_normal,CX_ENTITY,$B29,AT$11,AT$14,AT$19,),""),IF($I29=2,IFBLANK(_xldudf_CX_PUSH(AT29,CX_ENTITY,$B29,AT$11,AT$14,AT$19,),""),IF($I29=3,"",IFBLANK(_xldudf_CX_PUSH(AT29,CX_ENTITY,$B29,AT$11,AT$14,AT$19,),"")))))),"")</f>
        <v/>
      </c>
      <c r="DU29" s="2445" t="str" cm="1">
        <f t="array" ca="1" aca="1" ref="DU29">IFERROR(IF(AU29*fxVal_normal=_PL!AU29,"",IF(OR(AU29="",NOT(ISNUMBER(AU29)),ISERROR(AU29),$B29=""),"",IF($I29=1,IFBLANK(_xldudf_CX_PUSH(AU29*fxVal_normal,CX_ENTITY,$B29,AU$11,AU$14,AU$19,),""),IF($I29=2,IFBLANK(_xldudf_CX_PUSH(AU29,CX_ENTITY,$B29,AU$11,AU$14,AU$19,),""),IF($I29=3,"",IFBLANK(_xldudf_CX_PUSH(AU29,CX_ENTITY,$B29,AU$11,AU$14,AU$19,),"")))))),"")</f>
        <v/>
      </c>
      <c r="DV29" s="2445" t="str" cm="1">
        <f t="array" ca="1" aca="1" ref="DV29">IFERROR(IF(AV29*fxVal_normal=_PL!AV29,"",IF(OR(AV29="",NOT(ISNUMBER(AV29)),ISERROR(AV29),$B29=""),"",IF($I29=1,IFBLANK(_xldudf_CX_PUSH(AV29*fxVal_normal,CX_ENTITY,$B29,AV$11,AV$14,AV$19,),""),IF($I29=2,IFBLANK(_xldudf_CX_PUSH(AV29,CX_ENTITY,$B29,AV$11,AV$14,AV$19,),""),IF($I29=3,"",IFBLANK(_xldudf_CX_PUSH(AV29,CX_ENTITY,$B29,AV$11,AV$14,AV$19,),"")))))),"")</f>
        <v/>
      </c>
      <c r="DW29" s="2445" t="str" cm="1">
        <f t="array" ca="1" aca="1" ref="DW29">IFERROR(IF(AW29*fxVal_normal=_PL!AW29,"",IF(OR(AW29="",NOT(ISNUMBER(AW29)),ISERROR(AW29),$B29=""),"",IF($I29=1,IFBLANK(_xldudf_CX_PUSH(AW29*fxVal_normal,CX_ENTITY,$B29,AW$11,AW$14,AW$19,),""),IF($I29=2,IFBLANK(_xldudf_CX_PUSH(AW29,CX_ENTITY,$B29,AW$11,AW$14,AW$19,),""),IF($I29=3,"",IFBLANK(_xldudf_CX_PUSH(AW29,CX_ENTITY,$B29,AW$11,AW$14,AW$19,),"")))))),"")</f>
        <v/>
      </c>
      <c r="DX29" s="2445" t="str" cm="1">
        <f t="array" ca="1" aca="1" ref="DX29">IFERROR(IF(AX29*fxVal_normal=_PL!AX29,"",IF(OR(AX29="",NOT(ISNUMBER(AX29)),ISERROR(AX29),$B29=""),"",IF($I29=1,IFBLANK(_xldudf_CX_PUSH(AX29*fxVal_normal,CX_ENTITY,$B29,AX$11,AX$14,AX$19,),""),IF($I29=2,IFBLANK(_xldudf_CX_PUSH(AX29,CX_ENTITY,$B29,AX$11,AX$14,AX$19,),""),IF($I29=3,"",IFBLANK(_xldudf_CX_PUSH(AX29,CX_ENTITY,$B29,AX$11,AX$14,AX$19,),"")))))),"")</f>
        <v/>
      </c>
      <c r="DY29" s="2445" t="str" cm="1">
        <f t="array" ca="1" aca="1" ref="DY29">IFERROR(IF(AY29*fxVal_normal=_PL!AY29,"",IF(OR(AY29="",NOT(ISNUMBER(AY29)),ISERROR(AY29),$B29=""),"",IF($I29=1,IFBLANK(_xldudf_CX_PUSH(AY29*fxVal_normal,CX_ENTITY,$B29,AY$11,AY$14,AY$19,),""),IF($I29=2,IFBLANK(_xldudf_CX_PUSH(AY29,CX_ENTITY,$B29,AY$11,AY$14,AY$19,),""),IF($I29=3,"",IFBLANK(_xldudf_CX_PUSH(AY29,CX_ENTITY,$B29,AY$11,AY$14,AY$19,),"")))))),"")</f>
        <v/>
      </c>
      <c r="DZ29" s="2445" t="str" cm="1">
        <f t="array" ca="1" aca="1" ref="DZ29">IFERROR(IF(AZ29*fxVal_normal=_PL!AZ29,"",IF(OR(AZ29="",NOT(ISNUMBER(AZ29)),ISERROR(AZ29),$B29=""),"",IF($I29=1,IFBLANK(_xldudf_CX_PUSH(AZ29*fxVal_normal,CX_ENTITY,$B29,AZ$11,AZ$14,AZ$19,),""),IF($I29=2,IFBLANK(_xldudf_CX_PUSH(AZ29,CX_ENTITY,$B29,AZ$11,AZ$14,AZ$19,),""),IF($I29=3,"",IFBLANK(_xldudf_CX_PUSH(AZ29,CX_ENTITY,$B29,AZ$11,AZ$14,AZ$19,),"")))))),"")</f>
        <v/>
      </c>
      <c r="EA29" s="2445" t="str" cm="1">
        <f t="array" ca="1" aca="1" ref="EA29">IFERROR(IF(BA29*fxVal_normal=_PL!BA29,"",IF(OR(BA29="",NOT(ISNUMBER(BA29)),ISERROR(BA29),$B29=""),"",IF($I29=1,IFBLANK(_xldudf_CX_PUSH(BA29*fxVal_normal,CX_ENTITY,$B29,BA$11,BA$14,BA$19,),""),IF($I29=2,IFBLANK(_xldudf_CX_PUSH(BA29,CX_ENTITY,$B29,BA$11,BA$14,BA$19,),""),IF($I29=3,"",IFBLANK(_xldudf_CX_PUSH(BA29,CX_ENTITY,$B29,BA$11,BA$14,BA$19,),"")))))),"")</f>
        <v/>
      </c>
      <c r="EB29" s="2445" t="str" cm="1">
        <f t="array" ca="1" aca="1" ref="EB29">IFERROR(IF(BB29*fxVal_normal=_PL!BB29,"",IF(OR(BB29="",NOT(ISNUMBER(BB29)),ISERROR(BB29),$B29=""),"",IF($I29=1,IFBLANK(_xldudf_CX_PUSH(BB29*fxVal_normal,CX_ENTITY,$B29,BB$11,BB$14,BB$19,),""),IF($I29=2,IFBLANK(_xldudf_CX_PUSH(BB29,CX_ENTITY,$B29,BB$11,BB$14,BB$19,),""),IF($I29=3,"",IFBLANK(_xldudf_CX_PUSH(BB29,CX_ENTITY,$B29,BB$11,BB$14,BB$19,),"")))))),"")</f>
        <v/>
      </c>
      <c r="EC29" s="2445" t="str" cm="1">
        <f t="array" ca="1" aca="1" ref="EC29">IFERROR(IF(BC29*fxVal_normal=_PL!BC29,"",IF(OR(BC29="",NOT(ISNUMBER(BC29)),ISERROR(BC29),$B29=""),"",IF($I29=1,IFBLANK(_xldudf_CX_PUSH(BC29*fxVal_normal,CX_ENTITY,$B29,BC$11,BC$14,BC$19,),""),IF($I29=2,IFBLANK(_xldudf_CX_PUSH(BC29,CX_ENTITY,$B29,BC$11,BC$14,BC$19,),""),IF($I29=3,"",IFBLANK(_xldudf_CX_PUSH(BC29,CX_ENTITY,$B29,BC$11,BC$14,BC$19,),"")))))),"")</f>
        <v/>
      </c>
      <c r="ED29" s="2445" t="str" cm="1">
        <f t="array" ca="1" aca="1" ref="ED29">IFERROR(IF(BD29*fxVal_normal=_PL!BD29,"",IF(OR(BD29="",NOT(ISNUMBER(BD29)),ISERROR(BD29),$B29=""),"",IF($I29=1,IFBLANK(_xldudf_CX_PUSH(BD29*fxVal_normal,CX_ENTITY,$B29,BD$11,BD$14,BD$19,),""),IF($I29=2,IFBLANK(_xldudf_CX_PUSH(BD29,CX_ENTITY,$B29,BD$11,BD$14,BD$19,),""),IF($I29=3,"",IFBLANK(_xldudf_CX_PUSH(BD29,CX_ENTITY,$B29,BD$11,BD$14,BD$19,),"")))))),"")</f>
        <v/>
      </c>
      <c r="EE29" s="2445" t="str" cm="1">
        <f t="array" ca="1" aca="1" ref="EE29">IFERROR(IF(BE29*fxVal_normal=_PL!BE29,"",IF(OR(BE29="",NOT(ISNUMBER(BE29)),ISERROR(BE29),$B29=""),"",IF($I29=1,IFBLANK(_xldudf_CX_PUSH(BE29*fxVal_normal,CX_ENTITY,$B29,BE$11,BE$14,BE$19,),""),IF($I29=2,IFBLANK(_xldudf_CX_PUSH(BE29,CX_ENTITY,$B29,BE$11,BE$14,BE$19,),""),IF($I29=3,"",IFBLANK(_xldudf_CX_PUSH(BE29,CX_ENTITY,$B29,BE$11,BE$14,BE$19,),"")))))),"")</f>
        <v/>
      </c>
      <c r="EF29" s="2445" t="str" cm="1">
        <f t="array" ca="1" aca="1" ref="EF29">IFERROR(IF(BF29*fxVal_normal=_PL!BF29,"",IF(OR(BF29="",NOT(ISNUMBER(BF29)),ISERROR(BF29),$B29=""),"",IF($I29=1,IFBLANK(_xldudf_CX_PUSH(BF29*fxVal_normal,CX_ENTITY,$B29,BF$11,BF$14,BF$19,),""),IF($I29=2,IFBLANK(_xldudf_CX_PUSH(BF29,CX_ENTITY,$B29,BF$11,BF$14,BF$19,),""),IF($I29=3,"",IFBLANK(_xldudf_CX_PUSH(BF29,CX_ENTITY,$B29,BF$11,BF$14,BF$19,),"")))))),"")</f>
        <v/>
      </c>
      <c r="EG29" s="2445" t="str" cm="1">
        <f t="array" ca="1" aca="1" ref="EG29">IFERROR(IF(BG29*fxVal_normal=_PL!BG29,"",IF(OR(BG29="",NOT(ISNUMBER(BG29)),ISERROR(BG29),$B29=""),"",IF($I29=1,IFBLANK(_xldudf_CX_PUSH(BG29*fxVal_normal,CX_ENTITY,$B29,BG$11,BG$14,BG$19,),""),IF($I29=2,IFBLANK(_xldudf_CX_PUSH(BG29,CX_ENTITY,$B29,BG$11,BG$14,BG$19,),""),IF($I29=3,"",IFBLANK(_xldudf_CX_PUSH(BG29,CX_ENTITY,$B29,BG$11,BG$14,BG$19,),"")))))),"")</f>
        <v/>
      </c>
      <c r="EH29" s="2445" t="str" cm="1">
        <f t="array" ca="1" aca="1" ref="EH29">IFERROR(IF(BH29*fxVal_normal=_PL!BH29,"",IF(OR(BH29="",NOT(ISNUMBER(BH29)),ISERROR(BH29),$B29=""),"",IF($I29=1,IFBLANK(_xldudf_CX_PUSH(BH29*fxVal_normal,CX_ENTITY,$B29,BH$11,BH$14,BH$19,),""),IF($I29=2,IFBLANK(_xldudf_CX_PUSH(BH29,CX_ENTITY,$B29,BH$11,BH$14,BH$19,),""),IF($I29=3,"",IFBLANK(_xldudf_CX_PUSH(BH29,CX_ENTITY,$B29,BH$11,BH$14,BH$19,),"")))))),"")</f>
        <v/>
      </c>
      <c r="EI29" s="2445" t="str" cm="1">
        <f t="array" ca="1" aca="1" ref="EI29">IFERROR(IF(BI29*fxVal_normal=_PL!BI29,"",IF(OR(BI29="",NOT(ISNUMBER(BI29)),ISERROR(BI29),$B29=""),"",IF($I29=1,IFBLANK(_xldudf_CX_PUSH(BI29*fxVal_normal,CX_ENTITY,$B29,BI$11,BI$14,BI$19,),""),IF($I29=2,IFBLANK(_xldudf_CX_PUSH(BI29,CX_ENTITY,$B29,BI$11,BI$14,BI$19,),""),IF($I29=3,"",IFBLANK(_xldudf_CX_PUSH(BI29,CX_ENTITY,$B29,BI$11,BI$14,BI$19,),"")))))),"")</f>
        <v/>
      </c>
      <c r="EJ29" s="2445" t="str" cm="1">
        <f t="array" ca="1" aca="1" ref="EJ29">IFERROR(IF(BJ29*fxVal_normal=_PL!BJ29,"",IF(OR(BJ29="",NOT(ISNUMBER(BJ29)),ISERROR(BJ29),$B29=""),"",IF($I29=1,IFBLANK(_xldudf_CX_PUSH(BJ29*fxVal_normal,CX_ENTITY,$B29,BJ$11,BJ$14,BJ$19,),""),IF($I29=2,IFBLANK(_xldudf_CX_PUSH(BJ29,CX_ENTITY,$B29,BJ$11,BJ$14,BJ$19,),""),IF($I29=3,"",IFBLANK(_xldudf_CX_PUSH(BJ29,CX_ENTITY,$B29,BJ$11,BJ$14,BJ$19,),"")))))),"")</f>
        <v/>
      </c>
      <c r="EK29" s="2445" t="str" cm="1">
        <f t="array" ca="1" aca="1" ref="EK29">IFERROR(IF(BK29*fxVal_normal=_PL!BK29,"",IF(OR(BK29="",NOT(ISNUMBER(BK29)),ISERROR(BK29),$B29=""),"",IF($I29=1,IFBLANK(_xldudf_CX_PUSH(BK29*fxVal_normal,CX_ENTITY,$B29,BK$11,BK$14,BK$19,),""),IF($I29=2,IFBLANK(_xldudf_CX_PUSH(BK29,CX_ENTITY,$B29,BK$11,BK$14,BK$19,),""),IF($I29=3,"",IFBLANK(_xldudf_CX_PUSH(BK29,CX_ENTITY,$B29,BK$11,BK$14,BK$19,),"")))))),"")</f>
        <v/>
      </c>
      <c r="EL29" s="2445" t="str" cm="1">
        <f t="array" ca="1" aca="1" ref="EL29">IFERROR(IF(BL29*fxVal_normal=_PL!BL29,"",IF(OR(BL29="",NOT(ISNUMBER(BL29)),ISERROR(BL29),$B29=""),"",IF($I29=1,IFBLANK(_xldudf_CX_PUSH(BL29*fxVal_normal,CX_ENTITY,$B29,BL$11,BL$14,BL$19,),""),IF($I29=2,IFBLANK(_xldudf_CX_PUSH(BL29,CX_ENTITY,$B29,BL$11,BL$14,BL$19,),""),IF($I29=3,"",IFBLANK(_xldudf_CX_PUSH(BL29,CX_ENTITY,$B29,BL$11,BL$14,BL$19,),"")))))),"")</f>
        <v/>
      </c>
      <c r="EM29" s="2445" t="str" cm="1">
        <f t="array" ca="1" aca="1" ref="EM29">IFERROR(IF(BM29*fxVal_normal=_PL!BM29,"",IF(OR(BM29="",NOT(ISNUMBER(BM29)),ISERROR(BM29),$B29=""),"",IF($I29=1,IFBLANK(_xldudf_CX_PUSH(BM29*fxVal_normal,CX_ENTITY,$B29,BM$11,BM$14,BM$19,),""),IF($I29=2,IFBLANK(_xldudf_CX_PUSH(BM29,CX_ENTITY,$B29,BM$11,BM$14,BM$19,),""),IF($I29=3,"",IFBLANK(_xldudf_CX_PUSH(BM29,CX_ENTITY,$B29,BM$11,BM$14,BM$19,),"")))))),"")</f>
        <v/>
      </c>
      <c r="EN29" s="2445" t="str" cm="1">
        <f t="array" ca="1" aca="1" ref="EN29">IFERROR(IF(BN29*fxVal_normal=_PL!BN29,"",IF(OR(BN29="",NOT(ISNUMBER(BN29)),ISERROR(BN29),$B29=""),"",IF($I29=1,IFBLANK(_xldudf_CX_PUSH(BN29*fxVal_normal,CX_ENTITY,$B29,BN$11,BN$14,BN$19,),""),IF($I29=2,IFBLANK(_xldudf_CX_PUSH(BN29,CX_ENTITY,$B29,BN$11,BN$14,BN$19,),""),IF($I29=3,"",IFBLANK(_xldudf_CX_PUSH(BN29,CX_ENTITY,$B29,BN$11,BN$14,BN$19,),"")))))),"")</f>
        <v/>
      </c>
    </row>
    <row r="30" spans="1:144" ht="21" customHeight="1">
      <c r="A30" s="1625"/>
      <c r="B30" s="3182">
        <f>_xlfn.LET(_xlpm.IsNotAttrDynamic,D30="",_xlpm.Attr,_PL!F30,_xlpm.NotInUse,Y30=D30,_xlpm.RESULT,IF(_xlpm.IsNotAttrDynamic,_xlpm.Attr,IF(_xlpm.NotInUse,"",Y30)),IF(_xlpm.RESULT="","",_xlpm.RESULT))</f>
        <v>2</v>
      </c>
      <c r="C30" s="2439" t="str" cm="1">
        <f t="array" ref="C30">IFBLANK(_PL!C30,"")</f>
        <v>EBITDA Adjustment Type I - Label 5</v>
      </c>
      <c r="D30" s="1548" t="s">
        <v>101</v>
      </c>
      <c r="E30" s="2440" t="e" cm="1">
        <f t="array" ca="1" aca="1" ref="E3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30:$CQ30,Z30)</f>
        <v>#NAME?</v>
      </c>
      <c r="F30" s="1897"/>
      <c r="G30" s="1897"/>
      <c r="H30" s="578">
        <v>0</v>
      </c>
      <c r="I30" s="3279">
        <v>1</v>
      </c>
      <c r="J30" s="401" cm="1">
        <f t="array" ref="J30">IFBLANK(Z30,"")</f>
        <v>-1</v>
      </c>
      <c r="K30" s="578" t="str">
        <f t="shared" si="8"/>
        <v>Yes</v>
      </c>
      <c r="L30" s="37">
        <v>5</v>
      </c>
      <c r="N30" s="158"/>
      <c r="O30" s="101"/>
      <c r="P30" s="52"/>
      <c r="Q30" s="101"/>
      <c r="R30" s="126"/>
      <c r="S30" s="101"/>
      <c r="T30" s="101"/>
      <c r="U30" s="39"/>
      <c r="V30" s="37"/>
      <c r="W30" s="91" t="str">
        <f t="shared" si="4"/>
        <v>Actual</v>
      </c>
      <c r="X30" s="2081" t="str">
        <f>_PL!X30</f>
        <v>a</v>
      </c>
      <c r="Y30" s="3176">
        <v>2</v>
      </c>
      <c r="Z30" s="198" cm="1">
        <f t="array" ref="Z30">_xlfn.SWITCH(TRUE,_PL!$L30=TRUE,1,_PL!$L30=FALSE,-1,_PL!$L30=-1,0,"")</f>
        <v>-1</v>
      </c>
      <c r="AA30" s="200"/>
      <c r="AB30" s="3184">
        <f t="shared" si="9"/>
        <v>2</v>
      </c>
      <c r="AC30" s="2448" t="str" cm="1">
        <f t="array" ca="1" aca="1" ref="AC30">_xlfn.LET(_xlpm._termname,$AB30,_xlpm._iconname,"find",_xlpm._icon,fx_getIcon(_xlpm._iconname),_xlpm._location,_xlfn.XLOOKUP(LOWER(_xlpm._termname),LOWER(tbl_acctDef[Term]),tbl_acctDef[Term]),_xlpm._hyperlink,HYPERLINK("#"&amp;CELL("address",_xlpm._location),_xlpm._icon),IFERROR(_xlpm._hyperlink,""))</f>
        <v/>
      </c>
      <c r="AD30" s="3185">
        <v>1</v>
      </c>
      <c r="AE30" s="3185">
        <v>1</v>
      </c>
      <c r="AF30" s="3185">
        <v>1</v>
      </c>
      <c r="AG30" s="3185">
        <v>1</v>
      </c>
      <c r="AH30" s="3185">
        <v>1</v>
      </c>
      <c r="AI30" s="3185">
        <v>1</v>
      </c>
      <c r="AJ30" s="3185">
        <v>1</v>
      </c>
      <c r="AK30" s="3185">
        <v>1</v>
      </c>
      <c r="AL30" s="3185">
        <v>1</v>
      </c>
      <c r="AM30" s="3185">
        <v>1</v>
      </c>
      <c r="AN30" s="3185">
        <v>1</v>
      </c>
      <c r="AO30" s="3185">
        <v>1</v>
      </c>
      <c r="AP30" s="3185">
        <v>1</v>
      </c>
      <c r="AQ30" s="3185">
        <v>1</v>
      </c>
      <c r="AR30" s="3185">
        <v>1</v>
      </c>
      <c r="AS30" s="3185">
        <v>1</v>
      </c>
      <c r="AT30" s="3185">
        <v>1</v>
      </c>
      <c r="AU30" s="3185">
        <v>1</v>
      </c>
      <c r="AV30" s="3185">
        <v>1</v>
      </c>
      <c r="AW30" s="3185">
        <v>1</v>
      </c>
      <c r="AX30" s="3185">
        <v>1</v>
      </c>
      <c r="AY30" s="3185">
        <v>1</v>
      </c>
      <c r="AZ30" s="3185">
        <v>1</v>
      </c>
      <c r="BA30" s="3185">
        <v>1</v>
      </c>
      <c r="BB30" s="3185">
        <v>1</v>
      </c>
      <c r="BC30" s="3185">
        <v>1</v>
      </c>
      <c r="BD30" s="3185">
        <v>1</v>
      </c>
      <c r="BE30" s="3185">
        <v>1</v>
      </c>
      <c r="BF30" s="3185">
        <v>1</v>
      </c>
      <c r="BG30" s="3185">
        <v>1</v>
      </c>
      <c r="BH30" s="3185">
        <v>1</v>
      </c>
      <c r="BI30" s="3185">
        <v>1</v>
      </c>
      <c r="BJ30" s="3185">
        <v>1</v>
      </c>
      <c r="BK30" s="3185">
        <v>1</v>
      </c>
      <c r="BL30" s="3185">
        <v>1</v>
      </c>
      <c r="BM30" s="3185">
        <v>1</v>
      </c>
      <c r="BN30" s="3185">
        <v>1</v>
      </c>
      <c r="BO30" s="2442"/>
      <c r="BP30" s="2442"/>
      <c r="BQ30" s="2442"/>
      <c r="BR30" s="2442"/>
      <c r="BS30" s="2442"/>
      <c r="BT30" s="2442"/>
      <c r="BU30" s="2442"/>
      <c r="BV30" s="2442"/>
      <c r="BW30" s="2442"/>
      <c r="BX30" s="2442"/>
      <c r="BY30" s="2442"/>
      <c r="BZ30" s="2442"/>
      <c r="CA30" s="34"/>
      <c r="CC30" s="33"/>
      <c r="CD30" s="1772" t="e" cm="1">
        <f t="array" ca="1" aca="1" ref="CD30">_xlfn.LET(_xlpm.CheckBlank,SUM(PL!$AD30:PL!$BN30)=0,IF(_xlpm.CheckBlank,"",SUM(_xlfn._xlws.FILTER(PL!$AD30:$BN30,(YEAR(PL!$AD$12:$BN$12)=PL!CD$12)*(array_timeline&lt;=PL!CD$11)))))</f>
        <v>#NAME?</v>
      </c>
      <c r="CE30" s="1772" t="e" cm="1">
        <f t="array" ca="1" aca="1" ref="CE30">_xlfn.LET(_xlpm.CheckBlank,SUM(PL!$AD30:PL!$BN30)=0,IF(_xlpm.CheckBlank,"",SUM(_xlfn._xlws.FILTER(PL!$AD30:$BN30,(YEAR(PL!$AD$12:$BN$12)=PL!CE$12)*(array_timeline&lt;=PL!CE$11)))))</f>
        <v>#NAME?</v>
      </c>
      <c r="CF30" s="88"/>
      <c r="CG30" s="1461" t="str" cm="1">
        <f t="array" ca="1" aca="1" ref="CG30">IFERROR(_xlfn.LET(_xlpm.CheckBlank,SUM(PL!$AD30:$BN30)=0,IF(_xlpm.CheckBlank,"",SUM(_xlfn._xlws.FILTER(PL!$AD30:$BN30,(YEAR(PL!$AD$12:$BN$12)=PL!CG$12)*(array_timeline&lt;=PL!CG$11))))),"n/a")</f>
        <v>n/a</v>
      </c>
      <c r="CH30" s="1461" t="e" cm="1">
        <f t="array" ca="1" aca="1" ref="CH30">_xlfn.LET(_xlpm.CheckBlank,SUM(PL!$AD30:$BN30)=0,IF(_xlpm.CheckBlank,"",SUM(_xlfn._xlws.FILTER(PL!$AD30:$BN30,(YEAR(PL!$AD$12:$BN$12)=PL!CH$12)*(array_timeline&lt;=PL!CH$11)))))</f>
        <v>#NAME?</v>
      </c>
      <c r="CI30" s="88"/>
      <c r="CJ30" s="1461" cm="1">
        <f t="array" ref="CJ30">_xlfn.LET(_xlpm.CheckBlank,SUM(PL!$AD30:$BN30)=0,IF(_xlpm.CheckBlank,"",SUM(_xlfn.TAKE(_xlfn.DROP(PL!$AD30:$BN30,,-DATEDIFF(PL!CJ$11,val_asOfDate,"M")),1,-12))))</f>
        <v>12</v>
      </c>
      <c r="CK30" s="1461" cm="1">
        <f t="array" ref="CK30">_xlfn.LET(_xlpm.CheckBlank,SUM(PL!$AD30:$BN30)=0,IF(_xlpm.CheckBlank,"",SUM(_xlfn.TAKE(_xlfn.DROP(PL!$AD30:$BN30,,-DATEDIFF(PL!CK$11,val_asOfDate,"M")),1,-12))))</f>
        <v>12</v>
      </c>
      <c r="CL30" s="88"/>
      <c r="CM30" s="3185">
        <v>1</v>
      </c>
      <c r="CN30" s="3185">
        <v>1</v>
      </c>
      <c r="CO30" s="1169"/>
      <c r="CP30" s="3185">
        <v>1</v>
      </c>
      <c r="CQ30" s="3185">
        <v>1</v>
      </c>
      <c r="CR30" s="34"/>
      <c r="CS30" s="2056"/>
      <c r="CT30" s="2447" t="e" cm="1">
        <f t="array" ca="1" aca="1" ref="CT30">IF(ISNUMBER(SEARCH("Select",$Y30)),"",_xldudf_CX_PUSH($Y30,CX_ENTITY,C30,val_asOfDate))</f>
        <v>#NAME?</v>
      </c>
      <c r="CU30" s="2447" t="e" cm="1">
        <f t="array" ca="1" aca="1" ref="CU30">IF(ISNUMBER(SEARCH("Select",$Y30)),"",_xldudf_CX_PUSH($Y30,CX_ENTITY,C30,EOMONTH(val_asOfDate,1)))</f>
        <v>#NAME?</v>
      </c>
      <c r="CV30" s="2447" t="e" cm="1">
        <f t="array" ca="1" aca="1" ref="CV30">IF(ISNUMBER(SEARCH("Select",$Y30)),"",_xldudf_CX_PUSH($Y30,CX_ENTITY,C30,EOMONTH(val_asOfDate,2)))</f>
        <v>#NAME?</v>
      </c>
      <c r="CW30" s="2447" t="e" cm="1">
        <f t="array" ca="1" aca="1" ref="CW30">IF(ISNUMBER(SEARCH("Select",$Y30)),"",_xldudf_CX_PUSH($Y30,CX_ENTITY,C30,EOMONTH(val_asOfDate,3)))</f>
        <v>#NAME?</v>
      </c>
      <c r="CX30" s="2443"/>
      <c r="CY30" s="2444" t="str" cm="1">
        <f t="array" ca="1" aca="1" ref="CY30">IFERROR(IF(CM30*fxVal_normal=_PL!CM30,"",IF(OR($CM30="",$CM30=0,NOT(ISNUMBER($CM30)),ISERROR($CM30),$B30=""),"",IF($I30=1,IFBLANK(_xldudf_CX_PUSH($CM30*fxVal_normal,CX_ENTITY,$B30,$CM$11,$CM$14,$CM$19,),""),IF($I30=2,IFBLANK(_xldudf_CX_PUSH($CM30,CX_ENTITY,$B30,$CM$11,$CM$14,$CM$19,),""),IF($I30=3,"",IFBLANK(_xldudf_CX_PUSH($CM30,CX_ENTITY,$B30,$CM$11,$CM$14,$CM$19,),"")))))),"")</f>
        <v/>
      </c>
      <c r="CZ30" s="2444" t="str" cm="1">
        <f t="array" ca="1" aca="1" ref="CZ30">IFERROR(IF(CN30*fxVal_normal=_PL!CN30,"",IF(OR($CN30="",$CN30=0,NOT(ISNUMBER($CN30)),ISERROR($CN30),$B30=""),"",IF($I30=1,IFBLANK(_xldudf_CX_PUSH($CN30*fxVal_normal,CX_ENTITY,$B30,$CN$11,$CN$14,$CN$19,),""),IF($I30=2,IFBLANK(_xldudf_CX_PUSH($CN30,CX_ENTITY,$B30,$CN$11,$CN$14,$CN$19,),""),IF($I30=3,"",IFBLANK(_xldudf_CX_PUSH($CN30,CX_ENTITY,$B30,$CN$11,$CN$14,$CN$19,),"")))))),"")</f>
        <v/>
      </c>
      <c r="DA30" s="2444" t="str" cm="1">
        <f t="array" ca="1" aca="1" ref="DA30">IFERROR(IF(CP30*fxVal_normal=_PL!CP30,"",IF(OR($CP30="",$CP30=0,NOT(ISNUMBER($CP30)),ISERROR($CP30),$B30=""),"",IF($I30=1,IFBLANK(_xldudf_CX_PUSH($CP30*fxVal_normal,CX_ENTITY,$B30,$CP$11,$CP$14,$CP$19,),""),IF($I30=2,IFBLANK(_xldudf_CX_PUSH($CP30,CX_ENTITY,$B30,$CP$11,$CP$14,$CP$19,),""),IF($I30=3,"",IFBLANK(_xldudf_CX_PUSH($CP30,CX_ENTITY,$B30,$CP$11,$CP$14,$CP$19,),"")))))),"")</f>
        <v/>
      </c>
      <c r="DB30" s="2444" t="str" cm="1">
        <f t="array" ca="1" aca="1" ref="DB30">IFERROR(IF(CQ30*fxVal_normal=_PL!CQ30,"",IF(OR($CQ30="",$CQ30=0,NOT(ISNUMBER($CQ30)),ISERROR($CQ30),$B30=""),"",IF($I30=1,IFBLANK(_xldudf_CX_PUSH($CQ30*fxVal_normal,CX_ENTITY,$B30,$CQ$11,$CQ$14,$CQ$19,),""),IF($I30=2,IFBLANK(_xldudf_CX_PUSH($CQ30,CX_ENTITY,$B30,$CQ$11,$CQ$14,$CQ$19,),""),IF($I30=3,"",IFBLANK(_xldudf_CX_PUSH($CQ30,CX_ENTITY,$B30,$CQ$11,$CQ$14,$CQ$19,),"")))))),"")</f>
        <v/>
      </c>
      <c r="DC30" s="2443"/>
      <c r="DD30" s="2445" t="str" cm="1">
        <f t="array" ca="1" aca="1" ref="DD30">IFERROR(IF(AD30*fxVal_normal=_PL!AD30,"",IF(OR(AD30="",NOT(ISNUMBER(AD30)),ISERROR(AD30),$B30=""),"",IF($I30=1,IFBLANK(_xldudf_CX_PUSH(AD30*fxVal_normal,CX_ENTITY,$B30,AD$11,AD$14,AD$19,),""),IF($I30=2,IFBLANK(_xldudf_CX_PUSH(AD30,CX_ENTITY,$B30,AD$11,AD$14,AD$19,),""),IF($I30=3,"",IFBLANK(_xldudf_CX_PUSH(AD30,CX_ENTITY,$B30,AD$11,AD$14,AD$19,),"")))))),"")</f>
        <v/>
      </c>
      <c r="DE30" s="2445" t="str" cm="1">
        <f t="array" ca="1" aca="1" ref="DE30">IFERROR(IF(AE30*fxVal_normal=_PL!AE30,"",IF(OR(AE30="",NOT(ISNUMBER(AE30)),ISERROR(AE30),$B30=""),"",IF($I30=1,IFBLANK(_xldudf_CX_PUSH(AE30*fxVal_normal,CX_ENTITY,$B30,AE$11,AE$14,AE$19,),""),IF($I30=2,IFBLANK(_xldudf_CX_PUSH(AE30,CX_ENTITY,$B30,AE$11,AE$14,AE$19,),""),IF($I30=3,"",IFBLANK(_xldudf_CX_PUSH(AE30,CX_ENTITY,$B30,AE$11,AE$14,AE$19,),"")))))),"")</f>
        <v/>
      </c>
      <c r="DF30" s="2445" t="str" cm="1">
        <f t="array" ca="1" aca="1" ref="DF30">IFERROR(IF(AF30*fxVal_normal=_PL!AF30,"",IF(OR(AF30="",NOT(ISNUMBER(AF30)),ISERROR(AF30),$B30=""),"",IF($I30=1,IFBLANK(_xldudf_CX_PUSH(AF30*fxVal_normal,CX_ENTITY,$B30,AF$11,AF$14,AF$19,),""),IF($I30=2,IFBLANK(_xldudf_CX_PUSH(AF30,CX_ENTITY,$B30,AF$11,AF$14,AF$19,),""),IF($I30=3,"",IFBLANK(_xldudf_CX_PUSH(AF30,CX_ENTITY,$B30,AF$11,AF$14,AF$19,),"")))))),"")</f>
        <v/>
      </c>
      <c r="DG30" s="2445" t="str" cm="1">
        <f t="array" ca="1" aca="1" ref="DG30">IFERROR(IF(AG30*fxVal_normal=_PL!AG30,"",IF(OR(AG30="",NOT(ISNUMBER(AG30)),ISERROR(AG30),$B30=""),"",IF($I30=1,IFBLANK(_xldudf_CX_PUSH(AG30*fxVal_normal,CX_ENTITY,$B30,AG$11,AG$14,AG$19,),""),IF($I30=2,IFBLANK(_xldudf_CX_PUSH(AG30,CX_ENTITY,$B30,AG$11,AG$14,AG$19,),""),IF($I30=3,"",IFBLANK(_xldudf_CX_PUSH(AG30,CX_ENTITY,$B30,AG$11,AG$14,AG$19,),"")))))),"")</f>
        <v/>
      </c>
      <c r="DH30" s="2445" t="str" cm="1">
        <f t="array" ca="1" aca="1" ref="DH30">IFERROR(IF(AH30*fxVal_normal=_PL!AH30,"",IF(OR(AH30="",NOT(ISNUMBER(AH30)),ISERROR(AH30),$B30=""),"",IF($I30=1,IFBLANK(_xldudf_CX_PUSH(AH30*fxVal_normal,CX_ENTITY,$B30,AH$11,AH$14,AH$19,),""),IF($I30=2,IFBLANK(_xldudf_CX_PUSH(AH30,CX_ENTITY,$B30,AH$11,AH$14,AH$19,),""),IF($I30=3,"",IFBLANK(_xldudf_CX_PUSH(AH30,CX_ENTITY,$B30,AH$11,AH$14,AH$19,),"")))))),"")</f>
        <v/>
      </c>
      <c r="DI30" s="2445" t="str" cm="1">
        <f t="array" ca="1" aca="1" ref="DI30">IFERROR(IF(AI30*fxVal_normal=_PL!AI30,"",IF(OR(AI30="",NOT(ISNUMBER(AI30)),ISERROR(AI30),$B30=""),"",IF($I30=1,IFBLANK(_xldudf_CX_PUSH(AI30*fxVal_normal,CX_ENTITY,$B30,AI$11,AI$14,AI$19,),""),IF($I30=2,IFBLANK(_xldudf_CX_PUSH(AI30,CX_ENTITY,$B30,AI$11,AI$14,AI$19,),""),IF($I30=3,"",IFBLANK(_xldudf_CX_PUSH(AI30,CX_ENTITY,$B30,AI$11,AI$14,AI$19,),"")))))),"")</f>
        <v/>
      </c>
      <c r="DJ30" s="2445" t="str" cm="1">
        <f t="array" ca="1" aca="1" ref="DJ30">IFERROR(IF(AJ30*fxVal_normal=_PL!AJ30,"",IF(OR(AJ30="",NOT(ISNUMBER(AJ30)),ISERROR(AJ30),$B30=""),"",IF($I30=1,IFBLANK(_xldudf_CX_PUSH(AJ30*fxVal_normal,CX_ENTITY,$B30,AJ$11,AJ$14,AJ$19,),""),IF($I30=2,IFBLANK(_xldudf_CX_PUSH(AJ30,CX_ENTITY,$B30,AJ$11,AJ$14,AJ$19,),""),IF($I30=3,"",IFBLANK(_xldudf_CX_PUSH(AJ30,CX_ENTITY,$B30,AJ$11,AJ$14,AJ$19,),"")))))),"")</f>
        <v/>
      </c>
      <c r="DK30" s="2445" t="str" cm="1">
        <f t="array" ca="1" aca="1" ref="DK30">IFERROR(IF(AK30*fxVal_normal=_PL!AK30,"",IF(OR(AK30="",NOT(ISNUMBER(AK30)),ISERROR(AK30),$B30=""),"",IF($I30=1,IFBLANK(_xldudf_CX_PUSH(AK30*fxVal_normal,CX_ENTITY,$B30,AK$11,AK$14,AK$19,),""),IF($I30=2,IFBLANK(_xldudf_CX_PUSH(AK30,CX_ENTITY,$B30,AK$11,AK$14,AK$19,),""),IF($I30=3,"",IFBLANK(_xldudf_CX_PUSH(AK30,CX_ENTITY,$B30,AK$11,AK$14,AK$19,),"")))))),"")</f>
        <v/>
      </c>
      <c r="DL30" s="2445" t="str" cm="1">
        <f t="array" ca="1" aca="1" ref="DL30">IFERROR(IF(AL30*fxVal_normal=_PL!AL30,"",IF(OR(AL30="",NOT(ISNUMBER(AL30)),ISERROR(AL30),$B30=""),"",IF($I30=1,IFBLANK(_xldudf_CX_PUSH(AL30*fxVal_normal,CX_ENTITY,$B30,AL$11,AL$14,AL$19,),""),IF($I30=2,IFBLANK(_xldudf_CX_PUSH(AL30,CX_ENTITY,$B30,AL$11,AL$14,AL$19,),""),IF($I30=3,"",IFBLANK(_xldudf_CX_PUSH(AL30,CX_ENTITY,$B30,AL$11,AL$14,AL$19,),"")))))),"")</f>
        <v/>
      </c>
      <c r="DM30" s="2445" t="str" cm="1">
        <f t="array" ca="1" aca="1" ref="DM30">IFERROR(IF(AM30*fxVal_normal=_PL!AM30,"",IF(OR(AM30="",NOT(ISNUMBER(AM30)),ISERROR(AM30),$B30=""),"",IF($I30=1,IFBLANK(_xldudf_CX_PUSH(AM30*fxVal_normal,CX_ENTITY,$B30,AM$11,AM$14,AM$19,),""),IF($I30=2,IFBLANK(_xldudf_CX_PUSH(AM30,CX_ENTITY,$B30,AM$11,AM$14,AM$19,),""),IF($I30=3,"",IFBLANK(_xldudf_CX_PUSH(AM30,CX_ENTITY,$B30,AM$11,AM$14,AM$19,),"")))))),"")</f>
        <v/>
      </c>
      <c r="DN30" s="2445" t="str" cm="1">
        <f t="array" ca="1" aca="1" ref="DN30">IFERROR(IF(AN30*fxVal_normal=_PL!AN30,"",IF(OR(AN30="",NOT(ISNUMBER(AN30)),ISERROR(AN30),$B30=""),"",IF($I30=1,IFBLANK(_xldudf_CX_PUSH(AN30*fxVal_normal,CX_ENTITY,$B30,AN$11,AN$14,AN$19,),""),IF($I30=2,IFBLANK(_xldudf_CX_PUSH(AN30,CX_ENTITY,$B30,AN$11,AN$14,AN$19,),""),IF($I30=3,"",IFBLANK(_xldudf_CX_PUSH(AN30,CX_ENTITY,$B30,AN$11,AN$14,AN$19,),"")))))),"")</f>
        <v/>
      </c>
      <c r="DO30" s="2445" t="str" cm="1">
        <f t="array" ca="1" aca="1" ref="DO30">IFERROR(IF(AO30*fxVal_normal=_PL!AO30,"",IF(OR(AO30="",NOT(ISNUMBER(AO30)),ISERROR(AO30),$B30=""),"",IF($I30=1,IFBLANK(_xldudf_CX_PUSH(AO30*fxVal_normal,CX_ENTITY,$B30,AO$11,AO$14,AO$19,),""),IF($I30=2,IFBLANK(_xldudf_CX_PUSH(AO30,CX_ENTITY,$B30,AO$11,AO$14,AO$19,),""),IF($I30=3,"",IFBLANK(_xldudf_CX_PUSH(AO30,CX_ENTITY,$B30,AO$11,AO$14,AO$19,),"")))))),"")</f>
        <v/>
      </c>
      <c r="DP30" s="2445" t="str" cm="1">
        <f t="array" ca="1" aca="1" ref="DP30">IFERROR(IF(AP30*fxVal_normal=_PL!AP30,"",IF(OR(AP30="",NOT(ISNUMBER(AP30)),ISERROR(AP30),$B30=""),"",IF($I30=1,IFBLANK(_xldudf_CX_PUSH(AP30*fxVal_normal,CX_ENTITY,$B30,AP$11,AP$14,AP$19,),""),IF($I30=2,IFBLANK(_xldudf_CX_PUSH(AP30,CX_ENTITY,$B30,AP$11,AP$14,AP$19,),""),IF($I30=3,"",IFBLANK(_xldudf_CX_PUSH(AP30,CX_ENTITY,$B30,AP$11,AP$14,AP$19,),"")))))),"")</f>
        <v/>
      </c>
      <c r="DQ30" s="2445" t="str" cm="1">
        <f t="array" ca="1" aca="1" ref="DQ30">IFERROR(IF(AQ30*fxVal_normal=_PL!AQ30,"",IF(OR(AQ30="",NOT(ISNUMBER(AQ30)),ISERROR(AQ30),$B30=""),"",IF($I30=1,IFBLANK(_xldudf_CX_PUSH(AQ30*fxVal_normal,CX_ENTITY,$B30,AQ$11,AQ$14,AQ$19,),""),IF($I30=2,IFBLANK(_xldudf_CX_PUSH(AQ30,CX_ENTITY,$B30,AQ$11,AQ$14,AQ$19,),""),IF($I30=3,"",IFBLANK(_xldudf_CX_PUSH(AQ30,CX_ENTITY,$B30,AQ$11,AQ$14,AQ$19,),"")))))),"")</f>
        <v/>
      </c>
      <c r="DR30" s="2445" t="str" cm="1">
        <f t="array" ca="1" aca="1" ref="DR30">IFERROR(IF(AR30*fxVal_normal=_PL!AR30,"",IF(OR(AR30="",NOT(ISNUMBER(AR30)),ISERROR(AR30),$B30=""),"",IF($I30=1,IFBLANK(_xldudf_CX_PUSH(AR30*fxVal_normal,CX_ENTITY,$B30,AR$11,AR$14,AR$19,),""),IF($I30=2,IFBLANK(_xldudf_CX_PUSH(AR30,CX_ENTITY,$B30,AR$11,AR$14,AR$19,),""),IF($I30=3,"",IFBLANK(_xldudf_CX_PUSH(AR30,CX_ENTITY,$B30,AR$11,AR$14,AR$19,),"")))))),"")</f>
        <v/>
      </c>
      <c r="DS30" s="2445" t="str" cm="1">
        <f t="array" ca="1" aca="1" ref="DS30">IFERROR(IF(AS30*fxVal_normal=_PL!AS30,"",IF(OR(AS30="",NOT(ISNUMBER(AS30)),ISERROR(AS30),$B30=""),"",IF($I30=1,IFBLANK(_xldudf_CX_PUSH(AS30*fxVal_normal,CX_ENTITY,$B30,AS$11,AS$14,AS$19,),""),IF($I30=2,IFBLANK(_xldudf_CX_PUSH(AS30,CX_ENTITY,$B30,AS$11,AS$14,AS$19,),""),IF($I30=3,"",IFBLANK(_xldudf_CX_PUSH(AS30,CX_ENTITY,$B30,AS$11,AS$14,AS$19,),"")))))),"")</f>
        <v/>
      </c>
      <c r="DT30" s="2445" t="str" cm="1">
        <f t="array" ca="1" aca="1" ref="DT30">IFERROR(IF(AT30*fxVal_normal=_PL!AT30,"",IF(OR(AT30="",NOT(ISNUMBER(AT30)),ISERROR(AT30),$B30=""),"",IF($I30=1,IFBLANK(_xldudf_CX_PUSH(AT30*fxVal_normal,CX_ENTITY,$B30,AT$11,AT$14,AT$19,),""),IF($I30=2,IFBLANK(_xldudf_CX_PUSH(AT30,CX_ENTITY,$B30,AT$11,AT$14,AT$19,),""),IF($I30=3,"",IFBLANK(_xldudf_CX_PUSH(AT30,CX_ENTITY,$B30,AT$11,AT$14,AT$19,),"")))))),"")</f>
        <v/>
      </c>
      <c r="DU30" s="2445" t="str" cm="1">
        <f t="array" ca="1" aca="1" ref="DU30">IFERROR(IF(AU30*fxVal_normal=_PL!AU30,"",IF(OR(AU30="",NOT(ISNUMBER(AU30)),ISERROR(AU30),$B30=""),"",IF($I30=1,IFBLANK(_xldudf_CX_PUSH(AU30*fxVal_normal,CX_ENTITY,$B30,AU$11,AU$14,AU$19,),""),IF($I30=2,IFBLANK(_xldudf_CX_PUSH(AU30,CX_ENTITY,$B30,AU$11,AU$14,AU$19,),""),IF($I30=3,"",IFBLANK(_xldudf_CX_PUSH(AU30,CX_ENTITY,$B30,AU$11,AU$14,AU$19,),"")))))),"")</f>
        <v/>
      </c>
      <c r="DV30" s="2445" t="str" cm="1">
        <f t="array" ca="1" aca="1" ref="DV30">IFERROR(IF(AV30*fxVal_normal=_PL!AV30,"",IF(OR(AV30="",NOT(ISNUMBER(AV30)),ISERROR(AV30),$B30=""),"",IF($I30=1,IFBLANK(_xldudf_CX_PUSH(AV30*fxVal_normal,CX_ENTITY,$B30,AV$11,AV$14,AV$19,),""),IF($I30=2,IFBLANK(_xldudf_CX_PUSH(AV30,CX_ENTITY,$B30,AV$11,AV$14,AV$19,),""),IF($I30=3,"",IFBLANK(_xldudf_CX_PUSH(AV30,CX_ENTITY,$B30,AV$11,AV$14,AV$19,),"")))))),"")</f>
        <v/>
      </c>
      <c r="DW30" s="2445" t="str" cm="1">
        <f t="array" ca="1" aca="1" ref="DW30">IFERROR(IF(AW30*fxVal_normal=_PL!AW30,"",IF(OR(AW30="",NOT(ISNUMBER(AW30)),ISERROR(AW30),$B30=""),"",IF($I30=1,IFBLANK(_xldudf_CX_PUSH(AW30*fxVal_normal,CX_ENTITY,$B30,AW$11,AW$14,AW$19,),""),IF($I30=2,IFBLANK(_xldudf_CX_PUSH(AW30,CX_ENTITY,$B30,AW$11,AW$14,AW$19,),""),IF($I30=3,"",IFBLANK(_xldudf_CX_PUSH(AW30,CX_ENTITY,$B30,AW$11,AW$14,AW$19,),"")))))),"")</f>
        <v/>
      </c>
      <c r="DX30" s="2445" t="str" cm="1">
        <f t="array" ca="1" aca="1" ref="DX30">IFERROR(IF(AX30*fxVal_normal=_PL!AX30,"",IF(OR(AX30="",NOT(ISNUMBER(AX30)),ISERROR(AX30),$B30=""),"",IF($I30=1,IFBLANK(_xldudf_CX_PUSH(AX30*fxVal_normal,CX_ENTITY,$B30,AX$11,AX$14,AX$19,),""),IF($I30=2,IFBLANK(_xldudf_CX_PUSH(AX30,CX_ENTITY,$B30,AX$11,AX$14,AX$19,),""),IF($I30=3,"",IFBLANK(_xldudf_CX_PUSH(AX30,CX_ENTITY,$B30,AX$11,AX$14,AX$19,),"")))))),"")</f>
        <v/>
      </c>
      <c r="DY30" s="2445" t="str" cm="1">
        <f t="array" ca="1" aca="1" ref="DY30">IFERROR(IF(AY30*fxVal_normal=_PL!AY30,"",IF(OR(AY30="",NOT(ISNUMBER(AY30)),ISERROR(AY30),$B30=""),"",IF($I30=1,IFBLANK(_xldudf_CX_PUSH(AY30*fxVal_normal,CX_ENTITY,$B30,AY$11,AY$14,AY$19,),""),IF($I30=2,IFBLANK(_xldudf_CX_PUSH(AY30,CX_ENTITY,$B30,AY$11,AY$14,AY$19,),""),IF($I30=3,"",IFBLANK(_xldudf_CX_PUSH(AY30,CX_ENTITY,$B30,AY$11,AY$14,AY$19,),"")))))),"")</f>
        <v/>
      </c>
      <c r="DZ30" s="2445" t="str" cm="1">
        <f t="array" ca="1" aca="1" ref="DZ30">IFERROR(IF(AZ30*fxVal_normal=_PL!AZ30,"",IF(OR(AZ30="",NOT(ISNUMBER(AZ30)),ISERROR(AZ30),$B30=""),"",IF($I30=1,IFBLANK(_xldudf_CX_PUSH(AZ30*fxVal_normal,CX_ENTITY,$B30,AZ$11,AZ$14,AZ$19,),""),IF($I30=2,IFBLANK(_xldudf_CX_PUSH(AZ30,CX_ENTITY,$B30,AZ$11,AZ$14,AZ$19,),""),IF($I30=3,"",IFBLANK(_xldudf_CX_PUSH(AZ30,CX_ENTITY,$B30,AZ$11,AZ$14,AZ$19,),"")))))),"")</f>
        <v/>
      </c>
      <c r="EA30" s="2445" t="str" cm="1">
        <f t="array" ca="1" aca="1" ref="EA30">IFERROR(IF(BA30*fxVal_normal=_PL!BA30,"",IF(OR(BA30="",NOT(ISNUMBER(BA30)),ISERROR(BA30),$B30=""),"",IF($I30=1,IFBLANK(_xldudf_CX_PUSH(BA30*fxVal_normal,CX_ENTITY,$B30,BA$11,BA$14,BA$19,),""),IF($I30=2,IFBLANK(_xldudf_CX_PUSH(BA30,CX_ENTITY,$B30,BA$11,BA$14,BA$19,),""),IF($I30=3,"",IFBLANK(_xldudf_CX_PUSH(BA30,CX_ENTITY,$B30,BA$11,BA$14,BA$19,),"")))))),"")</f>
        <v/>
      </c>
      <c r="EB30" s="2445" t="str" cm="1">
        <f t="array" ca="1" aca="1" ref="EB30">IFERROR(IF(BB30*fxVal_normal=_PL!BB30,"",IF(OR(BB30="",NOT(ISNUMBER(BB30)),ISERROR(BB30),$B30=""),"",IF($I30=1,IFBLANK(_xldudf_CX_PUSH(BB30*fxVal_normal,CX_ENTITY,$B30,BB$11,BB$14,BB$19,),""),IF($I30=2,IFBLANK(_xldudf_CX_PUSH(BB30,CX_ENTITY,$B30,BB$11,BB$14,BB$19,),""),IF($I30=3,"",IFBLANK(_xldudf_CX_PUSH(BB30,CX_ENTITY,$B30,BB$11,BB$14,BB$19,),"")))))),"")</f>
        <v/>
      </c>
      <c r="EC30" s="2445" t="str" cm="1">
        <f t="array" ca="1" aca="1" ref="EC30">IFERROR(IF(BC30*fxVal_normal=_PL!BC30,"",IF(OR(BC30="",NOT(ISNUMBER(BC30)),ISERROR(BC30),$B30=""),"",IF($I30=1,IFBLANK(_xldudf_CX_PUSH(BC30*fxVal_normal,CX_ENTITY,$B30,BC$11,BC$14,BC$19,),""),IF($I30=2,IFBLANK(_xldudf_CX_PUSH(BC30,CX_ENTITY,$B30,BC$11,BC$14,BC$19,),""),IF($I30=3,"",IFBLANK(_xldudf_CX_PUSH(BC30,CX_ENTITY,$B30,BC$11,BC$14,BC$19,),"")))))),"")</f>
        <v/>
      </c>
      <c r="ED30" s="2445" t="str" cm="1">
        <f t="array" ca="1" aca="1" ref="ED30">IFERROR(IF(BD30*fxVal_normal=_PL!BD30,"",IF(OR(BD30="",NOT(ISNUMBER(BD30)),ISERROR(BD30),$B30=""),"",IF($I30=1,IFBLANK(_xldudf_CX_PUSH(BD30*fxVal_normal,CX_ENTITY,$B30,BD$11,BD$14,BD$19,),""),IF($I30=2,IFBLANK(_xldudf_CX_PUSH(BD30,CX_ENTITY,$B30,BD$11,BD$14,BD$19,),""),IF($I30=3,"",IFBLANK(_xldudf_CX_PUSH(BD30,CX_ENTITY,$B30,BD$11,BD$14,BD$19,),"")))))),"")</f>
        <v/>
      </c>
      <c r="EE30" s="2445" t="str" cm="1">
        <f t="array" ca="1" aca="1" ref="EE30">IFERROR(IF(BE30*fxVal_normal=_PL!BE30,"",IF(OR(BE30="",NOT(ISNUMBER(BE30)),ISERROR(BE30),$B30=""),"",IF($I30=1,IFBLANK(_xldudf_CX_PUSH(BE30*fxVal_normal,CX_ENTITY,$B30,BE$11,BE$14,BE$19,),""),IF($I30=2,IFBLANK(_xldudf_CX_PUSH(BE30,CX_ENTITY,$B30,BE$11,BE$14,BE$19,),""),IF($I30=3,"",IFBLANK(_xldudf_CX_PUSH(BE30,CX_ENTITY,$B30,BE$11,BE$14,BE$19,),"")))))),"")</f>
        <v/>
      </c>
      <c r="EF30" s="2445" t="str" cm="1">
        <f t="array" ca="1" aca="1" ref="EF30">IFERROR(IF(BF30*fxVal_normal=_PL!BF30,"",IF(OR(BF30="",NOT(ISNUMBER(BF30)),ISERROR(BF30),$B30=""),"",IF($I30=1,IFBLANK(_xldudf_CX_PUSH(BF30*fxVal_normal,CX_ENTITY,$B30,BF$11,BF$14,BF$19,),""),IF($I30=2,IFBLANK(_xldudf_CX_PUSH(BF30,CX_ENTITY,$B30,BF$11,BF$14,BF$19,),""),IF($I30=3,"",IFBLANK(_xldudf_CX_PUSH(BF30,CX_ENTITY,$B30,BF$11,BF$14,BF$19,),"")))))),"")</f>
        <v/>
      </c>
      <c r="EG30" s="2445" t="str" cm="1">
        <f t="array" ca="1" aca="1" ref="EG30">IFERROR(IF(BG30*fxVal_normal=_PL!BG30,"",IF(OR(BG30="",NOT(ISNUMBER(BG30)),ISERROR(BG30),$B30=""),"",IF($I30=1,IFBLANK(_xldudf_CX_PUSH(BG30*fxVal_normal,CX_ENTITY,$B30,BG$11,BG$14,BG$19,),""),IF($I30=2,IFBLANK(_xldudf_CX_PUSH(BG30,CX_ENTITY,$B30,BG$11,BG$14,BG$19,),""),IF($I30=3,"",IFBLANK(_xldudf_CX_PUSH(BG30,CX_ENTITY,$B30,BG$11,BG$14,BG$19,),"")))))),"")</f>
        <v/>
      </c>
      <c r="EH30" s="2445" t="str" cm="1">
        <f t="array" ca="1" aca="1" ref="EH30">IFERROR(IF(BH30*fxVal_normal=_PL!BH30,"",IF(OR(BH30="",NOT(ISNUMBER(BH30)),ISERROR(BH30),$B30=""),"",IF($I30=1,IFBLANK(_xldudf_CX_PUSH(BH30*fxVal_normal,CX_ENTITY,$B30,BH$11,BH$14,BH$19,),""),IF($I30=2,IFBLANK(_xldudf_CX_PUSH(BH30,CX_ENTITY,$B30,BH$11,BH$14,BH$19,),""),IF($I30=3,"",IFBLANK(_xldudf_CX_PUSH(BH30,CX_ENTITY,$B30,BH$11,BH$14,BH$19,),"")))))),"")</f>
        <v/>
      </c>
      <c r="EI30" s="2445" t="str" cm="1">
        <f t="array" ca="1" aca="1" ref="EI30">IFERROR(IF(BI30*fxVal_normal=_PL!BI30,"",IF(OR(BI30="",NOT(ISNUMBER(BI30)),ISERROR(BI30),$B30=""),"",IF($I30=1,IFBLANK(_xldudf_CX_PUSH(BI30*fxVal_normal,CX_ENTITY,$B30,BI$11,BI$14,BI$19,),""),IF($I30=2,IFBLANK(_xldudf_CX_PUSH(BI30,CX_ENTITY,$B30,BI$11,BI$14,BI$19,),""),IF($I30=3,"",IFBLANK(_xldudf_CX_PUSH(BI30,CX_ENTITY,$B30,BI$11,BI$14,BI$19,),"")))))),"")</f>
        <v/>
      </c>
      <c r="EJ30" s="2445" t="str" cm="1">
        <f t="array" ca="1" aca="1" ref="EJ30">IFERROR(IF(BJ30*fxVal_normal=_PL!BJ30,"",IF(OR(BJ30="",NOT(ISNUMBER(BJ30)),ISERROR(BJ30),$B30=""),"",IF($I30=1,IFBLANK(_xldudf_CX_PUSH(BJ30*fxVal_normal,CX_ENTITY,$B30,BJ$11,BJ$14,BJ$19,),""),IF($I30=2,IFBLANK(_xldudf_CX_PUSH(BJ30,CX_ENTITY,$B30,BJ$11,BJ$14,BJ$19,),""),IF($I30=3,"",IFBLANK(_xldudf_CX_PUSH(BJ30,CX_ENTITY,$B30,BJ$11,BJ$14,BJ$19,),"")))))),"")</f>
        <v/>
      </c>
      <c r="EK30" s="2445" t="str" cm="1">
        <f t="array" ca="1" aca="1" ref="EK30">IFERROR(IF(BK30*fxVal_normal=_PL!BK30,"",IF(OR(BK30="",NOT(ISNUMBER(BK30)),ISERROR(BK30),$B30=""),"",IF($I30=1,IFBLANK(_xldudf_CX_PUSH(BK30*fxVal_normal,CX_ENTITY,$B30,BK$11,BK$14,BK$19,),""),IF($I30=2,IFBLANK(_xldudf_CX_PUSH(BK30,CX_ENTITY,$B30,BK$11,BK$14,BK$19,),""),IF($I30=3,"",IFBLANK(_xldudf_CX_PUSH(BK30,CX_ENTITY,$B30,BK$11,BK$14,BK$19,),"")))))),"")</f>
        <v/>
      </c>
      <c r="EL30" s="2445" t="str" cm="1">
        <f t="array" ca="1" aca="1" ref="EL30">IFERROR(IF(BL30*fxVal_normal=_PL!BL30,"",IF(OR(BL30="",NOT(ISNUMBER(BL30)),ISERROR(BL30),$B30=""),"",IF($I30=1,IFBLANK(_xldudf_CX_PUSH(BL30*fxVal_normal,CX_ENTITY,$B30,BL$11,BL$14,BL$19,),""),IF($I30=2,IFBLANK(_xldudf_CX_PUSH(BL30,CX_ENTITY,$B30,BL$11,BL$14,BL$19,),""),IF($I30=3,"",IFBLANK(_xldudf_CX_PUSH(BL30,CX_ENTITY,$B30,BL$11,BL$14,BL$19,),"")))))),"")</f>
        <v/>
      </c>
      <c r="EM30" s="2445" t="str" cm="1">
        <f t="array" ca="1" aca="1" ref="EM30">IFERROR(IF(BM30*fxVal_normal=_PL!BM30,"",IF(OR(BM30="",NOT(ISNUMBER(BM30)),ISERROR(BM30),$B30=""),"",IF($I30=1,IFBLANK(_xldudf_CX_PUSH(BM30*fxVal_normal,CX_ENTITY,$B30,BM$11,BM$14,BM$19,),""),IF($I30=2,IFBLANK(_xldudf_CX_PUSH(BM30,CX_ENTITY,$B30,BM$11,BM$14,BM$19,),""),IF($I30=3,"",IFBLANK(_xldudf_CX_PUSH(BM30,CX_ENTITY,$B30,BM$11,BM$14,BM$19,),"")))))),"")</f>
        <v/>
      </c>
      <c r="EN30" s="2445" t="str" cm="1">
        <f t="array" ca="1" aca="1" ref="EN30">IFERROR(IF(BN30*fxVal_normal=_PL!BN30,"",IF(OR(BN30="",NOT(ISNUMBER(BN30)),ISERROR(BN30),$B30=""),"",IF($I30=1,IFBLANK(_xldudf_CX_PUSH(BN30*fxVal_normal,CX_ENTITY,$B30,BN$11,BN$14,BN$19,),""),IF($I30=2,IFBLANK(_xldudf_CX_PUSH(BN30,CX_ENTITY,$B30,BN$11,BN$14,BN$19,),""),IF($I30=3,"",IFBLANK(_xldudf_CX_PUSH(BN30,CX_ENTITY,$B30,BN$11,BN$14,BN$19,),"")))))),"")</f>
        <v/>
      </c>
    </row>
    <row r="31" spans="1:144" ht="21" customHeight="1">
      <c r="A31" s="1625"/>
      <c r="B31" s="3182">
        <f>_xlfn.LET(_xlpm.IsNotAttrDynamic,D31="",_xlpm.Attr,_PL!F31,_xlpm.NotInUse,Y31=D31,_xlpm.RESULT,IF(_xlpm.IsNotAttrDynamic,_xlpm.Attr,IF(_xlpm.NotInUse,"",Y31)),IF(_xlpm.RESULT="","",_xlpm.RESULT))</f>
        <v>2</v>
      </c>
      <c r="C31" s="2439" t="str" cm="1">
        <f t="array" ref="C31">IFBLANK(_PL!C31,"")</f>
        <v>EBITDA Adjustment Type I - Label 6</v>
      </c>
      <c r="D31" s="1548" t="s">
        <v>102</v>
      </c>
      <c r="E31" s="2440" t="e" cm="1">
        <f t="array" ca="1" aca="1" ref="E3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31:$CQ31,Z31)</f>
        <v>#NAME?</v>
      </c>
      <c r="F31" s="1897"/>
      <c r="G31" s="1897"/>
      <c r="H31" s="578">
        <v>0</v>
      </c>
      <c r="I31" s="3279">
        <v>1</v>
      </c>
      <c r="J31" s="401" cm="1">
        <f t="array" ref="J31">IFBLANK(Z31,"")</f>
        <v>-1</v>
      </c>
      <c r="K31" s="578" t="str">
        <f t="shared" si="8"/>
        <v>Yes</v>
      </c>
      <c r="L31" s="37">
        <v>6</v>
      </c>
      <c r="N31" s="158"/>
      <c r="O31" s="101"/>
      <c r="P31" s="52"/>
      <c r="Q31" s="101"/>
      <c r="R31" s="126"/>
      <c r="S31" s="101"/>
      <c r="T31" s="101"/>
      <c r="U31" s="39"/>
      <c r="V31" s="37"/>
      <c r="W31" s="91" t="str">
        <f t="shared" si="4"/>
        <v>Actual</v>
      </c>
      <c r="X31" s="2081" t="str">
        <f>_PL!X31</f>
        <v>a</v>
      </c>
      <c r="Y31" s="3176">
        <v>2</v>
      </c>
      <c r="Z31" s="198" cm="1">
        <f t="array" ref="Z31">_xlfn.SWITCH(TRUE,_PL!$L31=TRUE,1,_PL!$L31=FALSE,-1,_PL!$L31=-1,0,"")</f>
        <v>-1</v>
      </c>
      <c r="AA31" s="200"/>
      <c r="AB31" s="3184">
        <f t="shared" si="9"/>
        <v>2</v>
      </c>
      <c r="AC31" s="2448" t="str" cm="1">
        <f t="array" ca="1" aca="1" ref="AC31">_xlfn.LET(_xlpm._termname,$AB31,_xlpm._iconname,"find",_xlpm._icon,fx_getIcon(_xlpm._iconname),_xlpm._location,_xlfn.XLOOKUP(LOWER(_xlpm._termname),LOWER(tbl_acctDef[Term]),tbl_acctDef[Term]),_xlpm._hyperlink,HYPERLINK("#"&amp;CELL("address",_xlpm._location),_xlpm._icon),IFERROR(_xlpm._hyperlink,""))</f>
        <v/>
      </c>
      <c r="AD31" s="3185">
        <v>1</v>
      </c>
      <c r="AE31" s="3185">
        <v>1</v>
      </c>
      <c r="AF31" s="3185">
        <v>1</v>
      </c>
      <c r="AG31" s="3185">
        <v>1</v>
      </c>
      <c r="AH31" s="3185">
        <v>1</v>
      </c>
      <c r="AI31" s="3185">
        <v>1</v>
      </c>
      <c r="AJ31" s="3185">
        <v>1</v>
      </c>
      <c r="AK31" s="3185">
        <v>1</v>
      </c>
      <c r="AL31" s="3185">
        <v>1</v>
      </c>
      <c r="AM31" s="3185">
        <v>1</v>
      </c>
      <c r="AN31" s="3185">
        <v>1</v>
      </c>
      <c r="AO31" s="3185">
        <v>1</v>
      </c>
      <c r="AP31" s="3185">
        <v>1</v>
      </c>
      <c r="AQ31" s="3185">
        <v>1</v>
      </c>
      <c r="AR31" s="3185">
        <v>1</v>
      </c>
      <c r="AS31" s="3185">
        <v>1</v>
      </c>
      <c r="AT31" s="3185">
        <v>1</v>
      </c>
      <c r="AU31" s="3185">
        <v>1</v>
      </c>
      <c r="AV31" s="3185">
        <v>1</v>
      </c>
      <c r="AW31" s="3185">
        <v>1</v>
      </c>
      <c r="AX31" s="3185">
        <v>1</v>
      </c>
      <c r="AY31" s="3185">
        <v>1</v>
      </c>
      <c r="AZ31" s="3185">
        <v>1</v>
      </c>
      <c r="BA31" s="3185">
        <v>1</v>
      </c>
      <c r="BB31" s="3185">
        <v>1</v>
      </c>
      <c r="BC31" s="3185">
        <v>1</v>
      </c>
      <c r="BD31" s="3185">
        <v>1</v>
      </c>
      <c r="BE31" s="3185">
        <v>1</v>
      </c>
      <c r="BF31" s="3185">
        <v>1</v>
      </c>
      <c r="BG31" s="3185">
        <v>1</v>
      </c>
      <c r="BH31" s="3185">
        <v>1</v>
      </c>
      <c r="BI31" s="3185">
        <v>1</v>
      </c>
      <c r="BJ31" s="3185">
        <v>1</v>
      </c>
      <c r="BK31" s="3185">
        <v>1</v>
      </c>
      <c r="BL31" s="3185">
        <v>1</v>
      </c>
      <c r="BM31" s="3185">
        <v>1</v>
      </c>
      <c r="BN31" s="3185">
        <v>1</v>
      </c>
      <c r="BO31" s="2442"/>
      <c r="BP31" s="2442"/>
      <c r="BQ31" s="2442"/>
      <c r="BR31" s="2442"/>
      <c r="BS31" s="2442"/>
      <c r="BT31" s="2442"/>
      <c r="BU31" s="2442"/>
      <c r="BV31" s="2442"/>
      <c r="BW31" s="2442"/>
      <c r="BX31" s="2442"/>
      <c r="BY31" s="2442"/>
      <c r="BZ31" s="2442"/>
      <c r="CA31" s="34"/>
      <c r="CC31" s="33"/>
      <c r="CD31" s="1772" t="e" cm="1">
        <f t="array" ca="1" aca="1" ref="CD31">_xlfn.LET(_xlpm.CheckBlank,SUM(PL!$AD31:PL!$BN31)=0,IF(_xlpm.CheckBlank,"",SUM(_xlfn._xlws.FILTER(PL!$AD31:$BN31,(YEAR(PL!$AD$12:$BN$12)=PL!CD$12)*(array_timeline&lt;=PL!CD$11)))))</f>
        <v>#NAME?</v>
      </c>
      <c r="CE31" s="1772" t="e" cm="1">
        <f t="array" ca="1" aca="1" ref="CE31">_xlfn.LET(_xlpm.CheckBlank,SUM(PL!$AD31:PL!$BN31)=0,IF(_xlpm.CheckBlank,"",SUM(_xlfn._xlws.FILTER(PL!$AD31:$BN31,(YEAR(PL!$AD$12:$BN$12)=PL!CE$12)*(array_timeline&lt;=PL!CE$11)))))</f>
        <v>#NAME?</v>
      </c>
      <c r="CF31" s="88"/>
      <c r="CG31" s="1461" t="str" cm="1">
        <f t="array" ca="1" aca="1" ref="CG31">IFERROR(_xlfn.LET(_xlpm.CheckBlank,SUM(PL!$AD31:$BN31)=0,IF(_xlpm.CheckBlank,"",SUM(_xlfn._xlws.FILTER(PL!$AD31:$BN31,(YEAR(PL!$AD$12:$BN$12)=PL!CG$12)*(array_timeline&lt;=PL!CG$11))))),"n/a")</f>
        <v>n/a</v>
      </c>
      <c r="CH31" s="1461" t="e" cm="1">
        <f t="array" ca="1" aca="1" ref="CH31">_xlfn.LET(_xlpm.CheckBlank,SUM(PL!$AD31:$BN31)=0,IF(_xlpm.CheckBlank,"",SUM(_xlfn._xlws.FILTER(PL!$AD31:$BN31,(YEAR(PL!$AD$12:$BN$12)=PL!CH$12)*(array_timeline&lt;=PL!CH$11)))))</f>
        <v>#NAME?</v>
      </c>
      <c r="CI31" s="88"/>
      <c r="CJ31" s="1461" cm="1">
        <f t="array" ref="CJ31">_xlfn.LET(_xlpm.CheckBlank,SUM(PL!$AD31:$BN31)=0,IF(_xlpm.CheckBlank,"",SUM(_xlfn.TAKE(_xlfn.DROP(PL!$AD31:$BN31,,-DATEDIFF(PL!CJ$11,val_asOfDate,"M")),1,-12))))</f>
        <v>12</v>
      </c>
      <c r="CK31" s="1461" cm="1">
        <f t="array" ref="CK31">_xlfn.LET(_xlpm.CheckBlank,SUM(PL!$AD31:$BN31)=0,IF(_xlpm.CheckBlank,"",SUM(_xlfn.TAKE(_xlfn.DROP(PL!$AD31:$BN31,,-DATEDIFF(PL!CK$11,val_asOfDate,"M")),1,-12))))</f>
        <v>12</v>
      </c>
      <c r="CL31" s="88"/>
      <c r="CM31" s="3185">
        <v>1</v>
      </c>
      <c r="CN31" s="3185">
        <v>1</v>
      </c>
      <c r="CO31" s="1169"/>
      <c r="CP31" s="3185">
        <v>1</v>
      </c>
      <c r="CQ31" s="3185">
        <v>1</v>
      </c>
      <c r="CR31" s="34"/>
      <c r="CS31" s="2056"/>
      <c r="CT31" s="2447" t="e" cm="1">
        <f t="array" ca="1" aca="1" ref="CT31">IF(ISNUMBER(SEARCH("Select",$Y31)),"",_xldudf_CX_PUSH($Y31,CX_ENTITY,C31,val_asOfDate))</f>
        <v>#NAME?</v>
      </c>
      <c r="CU31" s="2447" t="e" cm="1">
        <f t="array" ca="1" aca="1" ref="CU31">IF(ISNUMBER(SEARCH("Select",$Y31)),"",_xldudf_CX_PUSH($Y31,CX_ENTITY,C31,EOMONTH(val_asOfDate,1)))</f>
        <v>#NAME?</v>
      </c>
      <c r="CV31" s="2447" t="e" cm="1">
        <f t="array" ca="1" aca="1" ref="CV31">IF(ISNUMBER(SEARCH("Select",$Y31)),"",_xldudf_CX_PUSH($Y31,CX_ENTITY,C31,EOMONTH(val_asOfDate,2)))</f>
        <v>#NAME?</v>
      </c>
      <c r="CW31" s="2447" t="e" cm="1">
        <f t="array" ca="1" aca="1" ref="CW31">IF(ISNUMBER(SEARCH("Select",$Y31)),"",_xldudf_CX_PUSH($Y31,CX_ENTITY,C31,EOMONTH(val_asOfDate,3)))</f>
        <v>#NAME?</v>
      </c>
      <c r="CX31" s="2443"/>
      <c r="CY31" s="2444" t="str" cm="1">
        <f t="array" ca="1" aca="1" ref="CY31">IFERROR(IF(CM31*fxVal_normal=_PL!CM31,"",IF(OR($CM31="",$CM31=0,NOT(ISNUMBER($CM31)),ISERROR($CM31),$B31=""),"",IF($I31=1,IFBLANK(_xldudf_CX_PUSH($CM31*fxVal_normal,CX_ENTITY,$B31,$CM$11,$CM$14,$CM$19,),""),IF($I31=2,IFBLANK(_xldudf_CX_PUSH($CM31,CX_ENTITY,$B31,$CM$11,$CM$14,$CM$19,),""),IF($I31=3,"",IFBLANK(_xldudf_CX_PUSH($CM31,CX_ENTITY,$B31,$CM$11,$CM$14,$CM$19,),"")))))),"")</f>
        <v/>
      </c>
      <c r="CZ31" s="2444" t="str" cm="1">
        <f t="array" ca="1" aca="1" ref="CZ31">IFERROR(IF(CN31*fxVal_normal=_PL!CN31,"",IF(OR($CN31="",$CN31=0,NOT(ISNUMBER($CN31)),ISERROR($CN31),$B31=""),"",IF($I31=1,IFBLANK(_xldudf_CX_PUSH($CN31*fxVal_normal,CX_ENTITY,$B31,$CN$11,$CN$14,$CN$19,),""),IF($I31=2,IFBLANK(_xldudf_CX_PUSH($CN31,CX_ENTITY,$B31,$CN$11,$CN$14,$CN$19,),""),IF($I31=3,"",IFBLANK(_xldudf_CX_PUSH($CN31,CX_ENTITY,$B31,$CN$11,$CN$14,$CN$19,),"")))))),"")</f>
        <v/>
      </c>
      <c r="DA31" s="2444" t="str" cm="1">
        <f t="array" ca="1" aca="1" ref="DA31">IFERROR(IF(CP31*fxVal_normal=_PL!CP31,"",IF(OR($CP31="",$CP31=0,NOT(ISNUMBER($CP31)),ISERROR($CP31),$B31=""),"",IF($I31=1,IFBLANK(_xldudf_CX_PUSH($CP31*fxVal_normal,CX_ENTITY,$B31,$CP$11,$CP$14,$CP$19,),""),IF($I31=2,IFBLANK(_xldudf_CX_PUSH($CP31,CX_ENTITY,$B31,$CP$11,$CP$14,$CP$19,),""),IF($I31=3,"",IFBLANK(_xldudf_CX_PUSH($CP31,CX_ENTITY,$B31,$CP$11,$CP$14,$CP$19,),"")))))),"")</f>
        <v/>
      </c>
      <c r="DB31" s="2444" t="str" cm="1">
        <f t="array" ca="1" aca="1" ref="DB31">IFERROR(IF(CQ31*fxVal_normal=_PL!CQ31,"",IF(OR($CQ31="",$CQ31=0,NOT(ISNUMBER($CQ31)),ISERROR($CQ31),$B31=""),"",IF($I31=1,IFBLANK(_xldudf_CX_PUSH($CQ31*fxVal_normal,CX_ENTITY,$B31,$CQ$11,$CQ$14,$CQ$19,),""),IF($I31=2,IFBLANK(_xldudf_CX_PUSH($CQ31,CX_ENTITY,$B31,$CQ$11,$CQ$14,$CQ$19,),""),IF($I31=3,"",IFBLANK(_xldudf_CX_PUSH($CQ31,CX_ENTITY,$B31,$CQ$11,$CQ$14,$CQ$19,),"")))))),"")</f>
        <v/>
      </c>
      <c r="DC31" s="2443"/>
      <c r="DD31" s="2445" t="str" cm="1">
        <f t="array" ca="1" aca="1" ref="DD31">IFERROR(IF(AD31*fxVal_normal=_PL!AD31,"",IF(OR(AD31="",NOT(ISNUMBER(AD31)),ISERROR(AD31),$B31=""),"",IF($I31=1,IFBLANK(_xldudf_CX_PUSH(AD31*fxVal_normal,CX_ENTITY,$B31,AD$11,AD$14,AD$19,),""),IF($I31=2,IFBLANK(_xldudf_CX_PUSH(AD31,CX_ENTITY,$B31,AD$11,AD$14,AD$19,),""),IF($I31=3,"",IFBLANK(_xldudf_CX_PUSH(AD31,CX_ENTITY,$B31,AD$11,AD$14,AD$19,),"")))))),"")</f>
        <v/>
      </c>
      <c r="DE31" s="2445" t="str" cm="1">
        <f t="array" ca="1" aca="1" ref="DE31">IFERROR(IF(AE31*fxVal_normal=_PL!AE31,"",IF(OR(AE31="",NOT(ISNUMBER(AE31)),ISERROR(AE31),$B31=""),"",IF($I31=1,IFBLANK(_xldudf_CX_PUSH(AE31*fxVal_normal,CX_ENTITY,$B31,AE$11,AE$14,AE$19,),""),IF($I31=2,IFBLANK(_xldudf_CX_PUSH(AE31,CX_ENTITY,$B31,AE$11,AE$14,AE$19,),""),IF($I31=3,"",IFBLANK(_xldudf_CX_PUSH(AE31,CX_ENTITY,$B31,AE$11,AE$14,AE$19,),"")))))),"")</f>
        <v/>
      </c>
      <c r="DF31" s="2445" t="str" cm="1">
        <f t="array" ca="1" aca="1" ref="DF31">IFERROR(IF(AF31*fxVal_normal=_PL!AF31,"",IF(OR(AF31="",NOT(ISNUMBER(AF31)),ISERROR(AF31),$B31=""),"",IF($I31=1,IFBLANK(_xldudf_CX_PUSH(AF31*fxVal_normal,CX_ENTITY,$B31,AF$11,AF$14,AF$19,),""),IF($I31=2,IFBLANK(_xldudf_CX_PUSH(AF31,CX_ENTITY,$B31,AF$11,AF$14,AF$19,),""),IF($I31=3,"",IFBLANK(_xldudf_CX_PUSH(AF31,CX_ENTITY,$B31,AF$11,AF$14,AF$19,),"")))))),"")</f>
        <v/>
      </c>
      <c r="DG31" s="2445" t="str" cm="1">
        <f t="array" ca="1" aca="1" ref="DG31">IFERROR(IF(AG31*fxVal_normal=_PL!AG31,"",IF(OR(AG31="",NOT(ISNUMBER(AG31)),ISERROR(AG31),$B31=""),"",IF($I31=1,IFBLANK(_xldudf_CX_PUSH(AG31*fxVal_normal,CX_ENTITY,$B31,AG$11,AG$14,AG$19,),""),IF($I31=2,IFBLANK(_xldudf_CX_PUSH(AG31,CX_ENTITY,$B31,AG$11,AG$14,AG$19,),""),IF($I31=3,"",IFBLANK(_xldudf_CX_PUSH(AG31,CX_ENTITY,$B31,AG$11,AG$14,AG$19,),"")))))),"")</f>
        <v/>
      </c>
      <c r="DH31" s="2445" t="str" cm="1">
        <f t="array" ca="1" aca="1" ref="DH31">IFERROR(IF(AH31*fxVal_normal=_PL!AH31,"",IF(OR(AH31="",NOT(ISNUMBER(AH31)),ISERROR(AH31),$B31=""),"",IF($I31=1,IFBLANK(_xldudf_CX_PUSH(AH31*fxVal_normal,CX_ENTITY,$B31,AH$11,AH$14,AH$19,),""),IF($I31=2,IFBLANK(_xldudf_CX_PUSH(AH31,CX_ENTITY,$B31,AH$11,AH$14,AH$19,),""),IF($I31=3,"",IFBLANK(_xldudf_CX_PUSH(AH31,CX_ENTITY,$B31,AH$11,AH$14,AH$19,),"")))))),"")</f>
        <v/>
      </c>
      <c r="DI31" s="2445" t="str" cm="1">
        <f t="array" ca="1" aca="1" ref="DI31">IFERROR(IF(AI31*fxVal_normal=_PL!AI31,"",IF(OR(AI31="",NOT(ISNUMBER(AI31)),ISERROR(AI31),$B31=""),"",IF($I31=1,IFBLANK(_xldudf_CX_PUSH(AI31*fxVal_normal,CX_ENTITY,$B31,AI$11,AI$14,AI$19,),""),IF($I31=2,IFBLANK(_xldudf_CX_PUSH(AI31,CX_ENTITY,$B31,AI$11,AI$14,AI$19,),""),IF($I31=3,"",IFBLANK(_xldudf_CX_PUSH(AI31,CX_ENTITY,$B31,AI$11,AI$14,AI$19,),"")))))),"")</f>
        <v/>
      </c>
      <c r="DJ31" s="2445" t="str" cm="1">
        <f t="array" ca="1" aca="1" ref="DJ31">IFERROR(IF(AJ31*fxVal_normal=_PL!AJ31,"",IF(OR(AJ31="",NOT(ISNUMBER(AJ31)),ISERROR(AJ31),$B31=""),"",IF($I31=1,IFBLANK(_xldudf_CX_PUSH(AJ31*fxVal_normal,CX_ENTITY,$B31,AJ$11,AJ$14,AJ$19,),""),IF($I31=2,IFBLANK(_xldudf_CX_PUSH(AJ31,CX_ENTITY,$B31,AJ$11,AJ$14,AJ$19,),""),IF($I31=3,"",IFBLANK(_xldudf_CX_PUSH(AJ31,CX_ENTITY,$B31,AJ$11,AJ$14,AJ$19,),"")))))),"")</f>
        <v/>
      </c>
      <c r="DK31" s="2445" t="str" cm="1">
        <f t="array" ca="1" aca="1" ref="DK31">IFERROR(IF(AK31*fxVal_normal=_PL!AK31,"",IF(OR(AK31="",NOT(ISNUMBER(AK31)),ISERROR(AK31),$B31=""),"",IF($I31=1,IFBLANK(_xldudf_CX_PUSH(AK31*fxVal_normal,CX_ENTITY,$B31,AK$11,AK$14,AK$19,),""),IF($I31=2,IFBLANK(_xldudf_CX_PUSH(AK31,CX_ENTITY,$B31,AK$11,AK$14,AK$19,),""),IF($I31=3,"",IFBLANK(_xldudf_CX_PUSH(AK31,CX_ENTITY,$B31,AK$11,AK$14,AK$19,),"")))))),"")</f>
        <v/>
      </c>
      <c r="DL31" s="2445" t="str" cm="1">
        <f t="array" ca="1" aca="1" ref="DL31">IFERROR(IF(AL31*fxVal_normal=_PL!AL31,"",IF(OR(AL31="",NOT(ISNUMBER(AL31)),ISERROR(AL31),$B31=""),"",IF($I31=1,IFBLANK(_xldudf_CX_PUSH(AL31*fxVal_normal,CX_ENTITY,$B31,AL$11,AL$14,AL$19,),""),IF($I31=2,IFBLANK(_xldudf_CX_PUSH(AL31,CX_ENTITY,$B31,AL$11,AL$14,AL$19,),""),IF($I31=3,"",IFBLANK(_xldudf_CX_PUSH(AL31,CX_ENTITY,$B31,AL$11,AL$14,AL$19,),"")))))),"")</f>
        <v/>
      </c>
      <c r="DM31" s="2445" t="str" cm="1">
        <f t="array" ca="1" aca="1" ref="DM31">IFERROR(IF(AM31*fxVal_normal=_PL!AM31,"",IF(OR(AM31="",NOT(ISNUMBER(AM31)),ISERROR(AM31),$B31=""),"",IF($I31=1,IFBLANK(_xldudf_CX_PUSH(AM31*fxVal_normal,CX_ENTITY,$B31,AM$11,AM$14,AM$19,),""),IF($I31=2,IFBLANK(_xldudf_CX_PUSH(AM31,CX_ENTITY,$B31,AM$11,AM$14,AM$19,),""),IF($I31=3,"",IFBLANK(_xldudf_CX_PUSH(AM31,CX_ENTITY,$B31,AM$11,AM$14,AM$19,),"")))))),"")</f>
        <v/>
      </c>
      <c r="DN31" s="2445" t="str" cm="1">
        <f t="array" ca="1" aca="1" ref="DN31">IFERROR(IF(AN31*fxVal_normal=_PL!AN31,"",IF(OR(AN31="",NOT(ISNUMBER(AN31)),ISERROR(AN31),$B31=""),"",IF($I31=1,IFBLANK(_xldudf_CX_PUSH(AN31*fxVal_normal,CX_ENTITY,$B31,AN$11,AN$14,AN$19,),""),IF($I31=2,IFBLANK(_xldudf_CX_PUSH(AN31,CX_ENTITY,$B31,AN$11,AN$14,AN$19,),""),IF($I31=3,"",IFBLANK(_xldudf_CX_PUSH(AN31,CX_ENTITY,$B31,AN$11,AN$14,AN$19,),"")))))),"")</f>
        <v/>
      </c>
      <c r="DO31" s="2445" t="str" cm="1">
        <f t="array" ca="1" aca="1" ref="DO31">IFERROR(IF(AO31*fxVal_normal=_PL!AO31,"",IF(OR(AO31="",NOT(ISNUMBER(AO31)),ISERROR(AO31),$B31=""),"",IF($I31=1,IFBLANK(_xldudf_CX_PUSH(AO31*fxVal_normal,CX_ENTITY,$B31,AO$11,AO$14,AO$19,),""),IF($I31=2,IFBLANK(_xldudf_CX_PUSH(AO31,CX_ENTITY,$B31,AO$11,AO$14,AO$19,),""),IF($I31=3,"",IFBLANK(_xldudf_CX_PUSH(AO31,CX_ENTITY,$B31,AO$11,AO$14,AO$19,),"")))))),"")</f>
        <v/>
      </c>
      <c r="DP31" s="2445" t="str" cm="1">
        <f t="array" ca="1" aca="1" ref="DP31">IFERROR(IF(AP31*fxVal_normal=_PL!AP31,"",IF(OR(AP31="",NOT(ISNUMBER(AP31)),ISERROR(AP31),$B31=""),"",IF($I31=1,IFBLANK(_xldudf_CX_PUSH(AP31*fxVal_normal,CX_ENTITY,$B31,AP$11,AP$14,AP$19,),""),IF($I31=2,IFBLANK(_xldudf_CX_PUSH(AP31,CX_ENTITY,$B31,AP$11,AP$14,AP$19,),""),IF($I31=3,"",IFBLANK(_xldudf_CX_PUSH(AP31,CX_ENTITY,$B31,AP$11,AP$14,AP$19,),"")))))),"")</f>
        <v/>
      </c>
      <c r="DQ31" s="2445" t="str" cm="1">
        <f t="array" ca="1" aca="1" ref="DQ31">IFERROR(IF(AQ31*fxVal_normal=_PL!AQ31,"",IF(OR(AQ31="",NOT(ISNUMBER(AQ31)),ISERROR(AQ31),$B31=""),"",IF($I31=1,IFBLANK(_xldudf_CX_PUSH(AQ31*fxVal_normal,CX_ENTITY,$B31,AQ$11,AQ$14,AQ$19,),""),IF($I31=2,IFBLANK(_xldudf_CX_PUSH(AQ31,CX_ENTITY,$B31,AQ$11,AQ$14,AQ$19,),""),IF($I31=3,"",IFBLANK(_xldudf_CX_PUSH(AQ31,CX_ENTITY,$B31,AQ$11,AQ$14,AQ$19,),"")))))),"")</f>
        <v/>
      </c>
      <c r="DR31" s="2445" t="str" cm="1">
        <f t="array" ca="1" aca="1" ref="DR31">IFERROR(IF(AR31*fxVal_normal=_PL!AR31,"",IF(OR(AR31="",NOT(ISNUMBER(AR31)),ISERROR(AR31),$B31=""),"",IF($I31=1,IFBLANK(_xldudf_CX_PUSH(AR31*fxVal_normal,CX_ENTITY,$B31,AR$11,AR$14,AR$19,),""),IF($I31=2,IFBLANK(_xldudf_CX_PUSH(AR31,CX_ENTITY,$B31,AR$11,AR$14,AR$19,),""),IF($I31=3,"",IFBLANK(_xldudf_CX_PUSH(AR31,CX_ENTITY,$B31,AR$11,AR$14,AR$19,),"")))))),"")</f>
        <v/>
      </c>
      <c r="DS31" s="2445" t="str" cm="1">
        <f t="array" ca="1" aca="1" ref="DS31">IFERROR(IF(AS31*fxVal_normal=_PL!AS31,"",IF(OR(AS31="",NOT(ISNUMBER(AS31)),ISERROR(AS31),$B31=""),"",IF($I31=1,IFBLANK(_xldudf_CX_PUSH(AS31*fxVal_normal,CX_ENTITY,$B31,AS$11,AS$14,AS$19,),""),IF($I31=2,IFBLANK(_xldudf_CX_PUSH(AS31,CX_ENTITY,$B31,AS$11,AS$14,AS$19,),""),IF($I31=3,"",IFBLANK(_xldudf_CX_PUSH(AS31,CX_ENTITY,$B31,AS$11,AS$14,AS$19,),"")))))),"")</f>
        <v/>
      </c>
      <c r="DT31" s="2445" t="str" cm="1">
        <f t="array" ca="1" aca="1" ref="DT31">IFERROR(IF(AT31*fxVal_normal=_PL!AT31,"",IF(OR(AT31="",NOT(ISNUMBER(AT31)),ISERROR(AT31),$B31=""),"",IF($I31=1,IFBLANK(_xldudf_CX_PUSH(AT31*fxVal_normal,CX_ENTITY,$B31,AT$11,AT$14,AT$19,),""),IF($I31=2,IFBLANK(_xldudf_CX_PUSH(AT31,CX_ENTITY,$B31,AT$11,AT$14,AT$19,),""),IF($I31=3,"",IFBLANK(_xldudf_CX_PUSH(AT31,CX_ENTITY,$B31,AT$11,AT$14,AT$19,),"")))))),"")</f>
        <v/>
      </c>
      <c r="DU31" s="2445" t="str" cm="1">
        <f t="array" ca="1" aca="1" ref="DU31">IFERROR(IF(AU31*fxVal_normal=_PL!AU31,"",IF(OR(AU31="",NOT(ISNUMBER(AU31)),ISERROR(AU31),$B31=""),"",IF($I31=1,IFBLANK(_xldudf_CX_PUSH(AU31*fxVal_normal,CX_ENTITY,$B31,AU$11,AU$14,AU$19,),""),IF($I31=2,IFBLANK(_xldudf_CX_PUSH(AU31,CX_ENTITY,$B31,AU$11,AU$14,AU$19,),""),IF($I31=3,"",IFBLANK(_xldudf_CX_PUSH(AU31,CX_ENTITY,$B31,AU$11,AU$14,AU$19,),"")))))),"")</f>
        <v/>
      </c>
      <c r="DV31" s="2445" t="str" cm="1">
        <f t="array" ca="1" aca="1" ref="DV31">IFERROR(IF(AV31*fxVal_normal=_PL!AV31,"",IF(OR(AV31="",NOT(ISNUMBER(AV31)),ISERROR(AV31),$B31=""),"",IF($I31=1,IFBLANK(_xldudf_CX_PUSH(AV31*fxVal_normal,CX_ENTITY,$B31,AV$11,AV$14,AV$19,),""),IF($I31=2,IFBLANK(_xldudf_CX_PUSH(AV31,CX_ENTITY,$B31,AV$11,AV$14,AV$19,),""),IF($I31=3,"",IFBLANK(_xldudf_CX_PUSH(AV31,CX_ENTITY,$B31,AV$11,AV$14,AV$19,),"")))))),"")</f>
        <v/>
      </c>
      <c r="DW31" s="2445" t="str" cm="1">
        <f t="array" ca="1" aca="1" ref="DW31">IFERROR(IF(AW31*fxVal_normal=_PL!AW31,"",IF(OR(AW31="",NOT(ISNUMBER(AW31)),ISERROR(AW31),$B31=""),"",IF($I31=1,IFBLANK(_xldudf_CX_PUSH(AW31*fxVal_normal,CX_ENTITY,$B31,AW$11,AW$14,AW$19,),""),IF($I31=2,IFBLANK(_xldudf_CX_PUSH(AW31,CX_ENTITY,$B31,AW$11,AW$14,AW$19,),""),IF($I31=3,"",IFBLANK(_xldudf_CX_PUSH(AW31,CX_ENTITY,$B31,AW$11,AW$14,AW$19,),"")))))),"")</f>
        <v/>
      </c>
      <c r="DX31" s="2445" t="str" cm="1">
        <f t="array" ca="1" aca="1" ref="DX31">IFERROR(IF(AX31*fxVal_normal=_PL!AX31,"",IF(OR(AX31="",NOT(ISNUMBER(AX31)),ISERROR(AX31),$B31=""),"",IF($I31=1,IFBLANK(_xldudf_CX_PUSH(AX31*fxVal_normal,CX_ENTITY,$B31,AX$11,AX$14,AX$19,),""),IF($I31=2,IFBLANK(_xldudf_CX_PUSH(AX31,CX_ENTITY,$B31,AX$11,AX$14,AX$19,),""),IF($I31=3,"",IFBLANK(_xldudf_CX_PUSH(AX31,CX_ENTITY,$B31,AX$11,AX$14,AX$19,),"")))))),"")</f>
        <v/>
      </c>
      <c r="DY31" s="2445" t="str" cm="1">
        <f t="array" ca="1" aca="1" ref="DY31">IFERROR(IF(AY31*fxVal_normal=_PL!AY31,"",IF(OR(AY31="",NOT(ISNUMBER(AY31)),ISERROR(AY31),$B31=""),"",IF($I31=1,IFBLANK(_xldudf_CX_PUSH(AY31*fxVal_normal,CX_ENTITY,$B31,AY$11,AY$14,AY$19,),""),IF($I31=2,IFBLANK(_xldudf_CX_PUSH(AY31,CX_ENTITY,$B31,AY$11,AY$14,AY$19,),""),IF($I31=3,"",IFBLANK(_xldudf_CX_PUSH(AY31,CX_ENTITY,$B31,AY$11,AY$14,AY$19,),"")))))),"")</f>
        <v/>
      </c>
      <c r="DZ31" s="2445" t="str" cm="1">
        <f t="array" ca="1" aca="1" ref="DZ31">IFERROR(IF(AZ31*fxVal_normal=_PL!AZ31,"",IF(OR(AZ31="",NOT(ISNUMBER(AZ31)),ISERROR(AZ31),$B31=""),"",IF($I31=1,IFBLANK(_xldudf_CX_PUSH(AZ31*fxVal_normal,CX_ENTITY,$B31,AZ$11,AZ$14,AZ$19,),""),IF($I31=2,IFBLANK(_xldudf_CX_PUSH(AZ31,CX_ENTITY,$B31,AZ$11,AZ$14,AZ$19,),""),IF($I31=3,"",IFBLANK(_xldudf_CX_PUSH(AZ31,CX_ENTITY,$B31,AZ$11,AZ$14,AZ$19,),"")))))),"")</f>
        <v/>
      </c>
      <c r="EA31" s="2445" t="str" cm="1">
        <f t="array" ca="1" aca="1" ref="EA31">IFERROR(IF(BA31*fxVal_normal=_PL!BA31,"",IF(OR(BA31="",NOT(ISNUMBER(BA31)),ISERROR(BA31),$B31=""),"",IF($I31=1,IFBLANK(_xldudf_CX_PUSH(BA31*fxVal_normal,CX_ENTITY,$B31,BA$11,BA$14,BA$19,),""),IF($I31=2,IFBLANK(_xldudf_CX_PUSH(BA31,CX_ENTITY,$B31,BA$11,BA$14,BA$19,),""),IF($I31=3,"",IFBLANK(_xldudf_CX_PUSH(BA31,CX_ENTITY,$B31,BA$11,BA$14,BA$19,),"")))))),"")</f>
        <v/>
      </c>
      <c r="EB31" s="2445" t="str" cm="1">
        <f t="array" ca="1" aca="1" ref="EB31">IFERROR(IF(BB31*fxVal_normal=_PL!BB31,"",IF(OR(BB31="",NOT(ISNUMBER(BB31)),ISERROR(BB31),$B31=""),"",IF($I31=1,IFBLANK(_xldudf_CX_PUSH(BB31*fxVal_normal,CX_ENTITY,$B31,BB$11,BB$14,BB$19,),""),IF($I31=2,IFBLANK(_xldudf_CX_PUSH(BB31,CX_ENTITY,$B31,BB$11,BB$14,BB$19,),""),IF($I31=3,"",IFBLANK(_xldudf_CX_PUSH(BB31,CX_ENTITY,$B31,BB$11,BB$14,BB$19,),"")))))),"")</f>
        <v/>
      </c>
      <c r="EC31" s="2445" t="str" cm="1">
        <f t="array" ca="1" aca="1" ref="EC31">IFERROR(IF(BC31*fxVal_normal=_PL!BC31,"",IF(OR(BC31="",NOT(ISNUMBER(BC31)),ISERROR(BC31),$B31=""),"",IF($I31=1,IFBLANK(_xldudf_CX_PUSH(BC31*fxVal_normal,CX_ENTITY,$B31,BC$11,BC$14,BC$19,),""),IF($I31=2,IFBLANK(_xldudf_CX_PUSH(BC31,CX_ENTITY,$B31,BC$11,BC$14,BC$19,),""),IF($I31=3,"",IFBLANK(_xldudf_CX_PUSH(BC31,CX_ENTITY,$B31,BC$11,BC$14,BC$19,),"")))))),"")</f>
        <v/>
      </c>
      <c r="ED31" s="2445" t="str" cm="1">
        <f t="array" ca="1" aca="1" ref="ED31">IFERROR(IF(BD31*fxVal_normal=_PL!BD31,"",IF(OR(BD31="",NOT(ISNUMBER(BD31)),ISERROR(BD31),$B31=""),"",IF($I31=1,IFBLANK(_xldudf_CX_PUSH(BD31*fxVal_normal,CX_ENTITY,$B31,BD$11,BD$14,BD$19,),""),IF($I31=2,IFBLANK(_xldudf_CX_PUSH(BD31,CX_ENTITY,$B31,BD$11,BD$14,BD$19,),""),IF($I31=3,"",IFBLANK(_xldudf_CX_PUSH(BD31,CX_ENTITY,$B31,BD$11,BD$14,BD$19,),"")))))),"")</f>
        <v/>
      </c>
      <c r="EE31" s="2445" t="str" cm="1">
        <f t="array" ca="1" aca="1" ref="EE31">IFERROR(IF(BE31*fxVal_normal=_PL!BE31,"",IF(OR(BE31="",NOT(ISNUMBER(BE31)),ISERROR(BE31),$B31=""),"",IF($I31=1,IFBLANK(_xldudf_CX_PUSH(BE31*fxVal_normal,CX_ENTITY,$B31,BE$11,BE$14,BE$19,),""),IF($I31=2,IFBLANK(_xldudf_CX_PUSH(BE31,CX_ENTITY,$B31,BE$11,BE$14,BE$19,),""),IF($I31=3,"",IFBLANK(_xldudf_CX_PUSH(BE31,CX_ENTITY,$B31,BE$11,BE$14,BE$19,),"")))))),"")</f>
        <v/>
      </c>
      <c r="EF31" s="2445" t="str" cm="1">
        <f t="array" ca="1" aca="1" ref="EF31">IFERROR(IF(BF31*fxVal_normal=_PL!BF31,"",IF(OR(BF31="",NOT(ISNUMBER(BF31)),ISERROR(BF31),$B31=""),"",IF($I31=1,IFBLANK(_xldudf_CX_PUSH(BF31*fxVal_normal,CX_ENTITY,$B31,BF$11,BF$14,BF$19,),""),IF($I31=2,IFBLANK(_xldudf_CX_PUSH(BF31,CX_ENTITY,$B31,BF$11,BF$14,BF$19,),""),IF($I31=3,"",IFBLANK(_xldudf_CX_PUSH(BF31,CX_ENTITY,$B31,BF$11,BF$14,BF$19,),"")))))),"")</f>
        <v/>
      </c>
      <c r="EG31" s="2445" t="str" cm="1">
        <f t="array" ca="1" aca="1" ref="EG31">IFERROR(IF(BG31*fxVal_normal=_PL!BG31,"",IF(OR(BG31="",NOT(ISNUMBER(BG31)),ISERROR(BG31),$B31=""),"",IF($I31=1,IFBLANK(_xldudf_CX_PUSH(BG31*fxVal_normal,CX_ENTITY,$B31,BG$11,BG$14,BG$19,),""),IF($I31=2,IFBLANK(_xldudf_CX_PUSH(BG31,CX_ENTITY,$B31,BG$11,BG$14,BG$19,),""),IF($I31=3,"",IFBLANK(_xldudf_CX_PUSH(BG31,CX_ENTITY,$B31,BG$11,BG$14,BG$19,),"")))))),"")</f>
        <v/>
      </c>
      <c r="EH31" s="2445" t="str" cm="1">
        <f t="array" ca="1" aca="1" ref="EH31">IFERROR(IF(BH31*fxVal_normal=_PL!BH31,"",IF(OR(BH31="",NOT(ISNUMBER(BH31)),ISERROR(BH31),$B31=""),"",IF($I31=1,IFBLANK(_xldudf_CX_PUSH(BH31*fxVal_normal,CX_ENTITY,$B31,BH$11,BH$14,BH$19,),""),IF($I31=2,IFBLANK(_xldudf_CX_PUSH(BH31,CX_ENTITY,$B31,BH$11,BH$14,BH$19,),""),IF($I31=3,"",IFBLANK(_xldudf_CX_PUSH(BH31,CX_ENTITY,$B31,BH$11,BH$14,BH$19,),"")))))),"")</f>
        <v/>
      </c>
      <c r="EI31" s="2445" t="str" cm="1">
        <f t="array" ca="1" aca="1" ref="EI31">IFERROR(IF(BI31*fxVal_normal=_PL!BI31,"",IF(OR(BI31="",NOT(ISNUMBER(BI31)),ISERROR(BI31),$B31=""),"",IF($I31=1,IFBLANK(_xldudf_CX_PUSH(BI31*fxVal_normal,CX_ENTITY,$B31,BI$11,BI$14,BI$19,),""),IF($I31=2,IFBLANK(_xldudf_CX_PUSH(BI31,CX_ENTITY,$B31,BI$11,BI$14,BI$19,),""),IF($I31=3,"",IFBLANK(_xldudf_CX_PUSH(BI31,CX_ENTITY,$B31,BI$11,BI$14,BI$19,),"")))))),"")</f>
        <v/>
      </c>
      <c r="EJ31" s="2445" t="str" cm="1">
        <f t="array" ca="1" aca="1" ref="EJ31">IFERROR(IF(BJ31*fxVal_normal=_PL!BJ31,"",IF(OR(BJ31="",NOT(ISNUMBER(BJ31)),ISERROR(BJ31),$B31=""),"",IF($I31=1,IFBLANK(_xldudf_CX_PUSH(BJ31*fxVal_normal,CX_ENTITY,$B31,BJ$11,BJ$14,BJ$19,),""),IF($I31=2,IFBLANK(_xldudf_CX_PUSH(BJ31,CX_ENTITY,$B31,BJ$11,BJ$14,BJ$19,),""),IF($I31=3,"",IFBLANK(_xldudf_CX_PUSH(BJ31,CX_ENTITY,$B31,BJ$11,BJ$14,BJ$19,),"")))))),"")</f>
        <v/>
      </c>
      <c r="EK31" s="2445" t="str" cm="1">
        <f t="array" ca="1" aca="1" ref="EK31">IFERROR(IF(BK31*fxVal_normal=_PL!BK31,"",IF(OR(BK31="",NOT(ISNUMBER(BK31)),ISERROR(BK31),$B31=""),"",IF($I31=1,IFBLANK(_xldudf_CX_PUSH(BK31*fxVal_normal,CX_ENTITY,$B31,BK$11,BK$14,BK$19,),""),IF($I31=2,IFBLANK(_xldudf_CX_PUSH(BK31,CX_ENTITY,$B31,BK$11,BK$14,BK$19,),""),IF($I31=3,"",IFBLANK(_xldudf_CX_PUSH(BK31,CX_ENTITY,$B31,BK$11,BK$14,BK$19,),"")))))),"")</f>
        <v/>
      </c>
      <c r="EL31" s="2445" t="str" cm="1">
        <f t="array" ca="1" aca="1" ref="EL31">IFERROR(IF(BL31*fxVal_normal=_PL!BL31,"",IF(OR(BL31="",NOT(ISNUMBER(BL31)),ISERROR(BL31),$B31=""),"",IF($I31=1,IFBLANK(_xldudf_CX_PUSH(BL31*fxVal_normal,CX_ENTITY,$B31,BL$11,BL$14,BL$19,),""),IF($I31=2,IFBLANK(_xldudf_CX_PUSH(BL31,CX_ENTITY,$B31,BL$11,BL$14,BL$19,),""),IF($I31=3,"",IFBLANK(_xldudf_CX_PUSH(BL31,CX_ENTITY,$B31,BL$11,BL$14,BL$19,),"")))))),"")</f>
        <v/>
      </c>
      <c r="EM31" s="2445" t="str" cm="1">
        <f t="array" ca="1" aca="1" ref="EM31">IFERROR(IF(BM31*fxVal_normal=_PL!BM31,"",IF(OR(BM31="",NOT(ISNUMBER(BM31)),ISERROR(BM31),$B31=""),"",IF($I31=1,IFBLANK(_xldudf_CX_PUSH(BM31*fxVal_normal,CX_ENTITY,$B31,BM$11,BM$14,BM$19,),""),IF($I31=2,IFBLANK(_xldudf_CX_PUSH(BM31,CX_ENTITY,$B31,BM$11,BM$14,BM$19,),""),IF($I31=3,"",IFBLANK(_xldudf_CX_PUSH(BM31,CX_ENTITY,$B31,BM$11,BM$14,BM$19,),"")))))),"")</f>
        <v/>
      </c>
      <c r="EN31" s="2445" t="str" cm="1">
        <f t="array" ca="1" aca="1" ref="EN31">IFERROR(IF(BN31*fxVal_normal=_PL!BN31,"",IF(OR(BN31="",NOT(ISNUMBER(BN31)),ISERROR(BN31),$B31=""),"",IF($I31=1,IFBLANK(_xldudf_CX_PUSH(BN31*fxVal_normal,CX_ENTITY,$B31,BN$11,BN$14,BN$19,),""),IF($I31=2,IFBLANK(_xldudf_CX_PUSH(BN31,CX_ENTITY,$B31,BN$11,BN$14,BN$19,),""),IF($I31=3,"",IFBLANK(_xldudf_CX_PUSH(BN31,CX_ENTITY,$B31,BN$11,BN$14,BN$19,),"")))))),"")</f>
        <v/>
      </c>
    </row>
    <row r="32" spans="1:144" ht="21" customHeight="1">
      <c r="A32" s="1625"/>
      <c r="B32" s="2439" t="str">
        <f ca="1">_xlfn.LET(_xlpm.IsNotAttrDynamic,D32="",_xlpm.Attr,_PL!F32,_xlpm.NotInUse,Y32=D32,_xlpm.RESULT,IF(_xlpm.IsNotAttrDynamic,_xlpm.Attr,IF(_xlpm.NotInUse,"",Y32)),IF(_xlpm.RESULT="","",_xlpm.RESULT))</f>
        <v>Adjusted EBITDA</v>
      </c>
      <c r="C32" s="2439" t="str" cm="1">
        <f t="array" ref="C32">IFBLANK(_PL!C32,"")</f>
        <v>Adjusted EBITDA (Company View)</v>
      </c>
      <c r="D32" s="1548"/>
      <c r="E32" s="2440" t="e" cm="1">
        <f t="array" ca="1" aca="1" ref="E3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32:$CQ32,Z32)</f>
        <v>#NAME?</v>
      </c>
      <c r="F32" s="1897"/>
      <c r="G32" s="1897"/>
      <c r="H32" s="3280">
        <v>2</v>
      </c>
      <c r="I32" s="3280">
        <v>1</v>
      </c>
      <c r="J32" s="401" cm="1">
        <f t="array" ref="J32">IFBLANK(Z32,"")</f>
        <v>0</v>
      </c>
      <c r="K32" s="578" t="str">
        <f t="shared" si="3"/>
        <v>Yes</v>
      </c>
      <c r="L32" s="37"/>
      <c r="N32" s="158"/>
      <c r="O32" s="101"/>
      <c r="P32" s="52"/>
      <c r="Q32" s="101"/>
      <c r="R32" s="126"/>
      <c r="S32" s="101"/>
      <c r="T32" s="101"/>
      <c r="U32" s="39"/>
      <c r="V32" s="37"/>
      <c r="W32" s="91" t="str">
        <f t="shared" si="4"/>
        <v>Actual</v>
      </c>
      <c r="X32" s="2081">
        <f>_PL!X32</f>
        <v>0</v>
      </c>
      <c r="Y32" s="1196" t="e">
        <f ca="1">IF(_PL!Y32="Error","",_PL!Y32)</f>
        <v>#NAME?</v>
      </c>
      <c r="Z32" s="198" cm="1">
        <f t="array" ref="Z32">_xlfn.SWITCH(TRUE,_PL!$L32=TRUE,1,_PL!$L32=FALSE,-1,_PL!$L32=-1,0,"")</f>
        <v>0</v>
      </c>
      <c r="AA32" s="200"/>
      <c r="AB32" s="301" t="str">
        <f>_PL!AB32</f>
        <v>Adjusted EBITDA</v>
      </c>
      <c r="AC32" s="275" t="e" vm="5" cm="1">
        <f t="array" ca="1" aca="1" ref="AC32">_xlfn.LET(_xlpm._termname,$AB32,_xlpm._iconname,"find",_xlpm._icon,fx_getIcon(_xlpm._iconname),_xlpm._location,_xlfn.XLOOKUP(LOWER(_xlpm._termname),LOWER(tbl_acctDef[Term]),tbl_acctDef[Term]),_xlpm._hyperlink,HYPERLINK("#"&amp;CELL("address",_xlpm._location),_xlpm._icon),IFERROR(_xlpm._hyperlink,""))</f>
        <v>#VALUE!</v>
      </c>
      <c r="AD32" s="1210">
        <f t="shared" si="10" ref="AD32:BN32">SUBTOTAL(9,AD20:AD31)-N(AD23)</f>
        <v>9</v>
      </c>
      <c r="AE32" s="1210">
        <f t="shared" si="10"/>
        <v>9</v>
      </c>
      <c r="AF32" s="1210">
        <f t="shared" si="10"/>
        <v>9</v>
      </c>
      <c r="AG32" s="1210">
        <f t="shared" si="10"/>
        <v>9</v>
      </c>
      <c r="AH32" s="1210">
        <f t="shared" si="10"/>
        <v>9</v>
      </c>
      <c r="AI32" s="1210">
        <f t="shared" si="10"/>
        <v>9</v>
      </c>
      <c r="AJ32" s="1210">
        <f t="shared" si="10"/>
        <v>9</v>
      </c>
      <c r="AK32" s="1210">
        <f t="shared" si="10"/>
        <v>9</v>
      </c>
      <c r="AL32" s="1210">
        <f t="shared" si="10"/>
        <v>9</v>
      </c>
      <c r="AM32" s="1210">
        <f t="shared" si="10"/>
        <v>9</v>
      </c>
      <c r="AN32" s="1210">
        <f t="shared" si="10"/>
        <v>9</v>
      </c>
      <c r="AO32" s="1210">
        <f t="shared" si="10"/>
        <v>9</v>
      </c>
      <c r="AP32" s="1210">
        <f t="shared" si="10"/>
        <v>9</v>
      </c>
      <c r="AQ32" s="1210">
        <f t="shared" si="10"/>
        <v>9</v>
      </c>
      <c r="AR32" s="1210">
        <f t="shared" si="10"/>
        <v>9</v>
      </c>
      <c r="AS32" s="1210">
        <f t="shared" si="10"/>
        <v>9</v>
      </c>
      <c r="AT32" s="1210">
        <f t="shared" si="10"/>
        <v>9</v>
      </c>
      <c r="AU32" s="1210">
        <f t="shared" si="10"/>
        <v>9</v>
      </c>
      <c r="AV32" s="1210">
        <f t="shared" si="10"/>
        <v>9</v>
      </c>
      <c r="AW32" s="1210">
        <f t="shared" si="10"/>
        <v>9</v>
      </c>
      <c r="AX32" s="1210">
        <f t="shared" si="10"/>
        <v>9</v>
      </c>
      <c r="AY32" s="1210">
        <f t="shared" si="10"/>
        <v>9</v>
      </c>
      <c r="AZ32" s="1210">
        <f t="shared" si="10"/>
        <v>9</v>
      </c>
      <c r="BA32" s="1210">
        <f t="shared" si="10"/>
        <v>9</v>
      </c>
      <c r="BB32" s="1210">
        <f t="shared" si="10"/>
        <v>9</v>
      </c>
      <c r="BC32" s="1210">
        <f t="shared" si="10"/>
        <v>9</v>
      </c>
      <c r="BD32" s="1210">
        <f t="shared" si="10"/>
        <v>9</v>
      </c>
      <c r="BE32" s="1210">
        <f t="shared" si="10"/>
        <v>9</v>
      </c>
      <c r="BF32" s="1210">
        <f t="shared" si="10"/>
        <v>9</v>
      </c>
      <c r="BG32" s="1210">
        <f t="shared" si="10"/>
        <v>9</v>
      </c>
      <c r="BH32" s="1210">
        <f t="shared" si="10"/>
        <v>9</v>
      </c>
      <c r="BI32" s="1210">
        <f t="shared" si="10"/>
        <v>9</v>
      </c>
      <c r="BJ32" s="1210">
        <f t="shared" si="10"/>
        <v>9</v>
      </c>
      <c r="BK32" s="1210">
        <f t="shared" si="10"/>
        <v>9</v>
      </c>
      <c r="BL32" s="1210">
        <f t="shared" si="10"/>
        <v>9</v>
      </c>
      <c r="BM32" s="1210">
        <f t="shared" si="10"/>
        <v>9</v>
      </c>
      <c r="BN32" s="1210">
        <f t="shared" si="10"/>
        <v>9</v>
      </c>
      <c r="BO32" s="2096"/>
      <c r="BP32" s="2096"/>
      <c r="BQ32" s="2096"/>
      <c r="BR32" s="2096"/>
      <c r="BS32" s="2096"/>
      <c r="BT32" s="2096"/>
      <c r="BU32" s="2096"/>
      <c r="BV32" s="2096"/>
      <c r="BW32" s="2096"/>
      <c r="BX32" s="2096"/>
      <c r="BY32" s="2096"/>
      <c r="BZ32" s="2096"/>
      <c r="CA32" s="34"/>
      <c r="CC32" s="33"/>
      <c r="CD32" s="1772" t="e" cm="1">
        <f t="array" ca="1" aca="1" ref="CD32">_xlfn.LET(_xlpm.CheckBlank,SUM(PL!$AD32:PL!$BN32)=0,IF(_xlpm.CheckBlank,"",SUM(_xlfn._xlws.FILTER(PL!$AD32:$BN32,(YEAR(PL!$AD$12:$BN$12)=PL!CD$12)*(array_timeline&lt;=PL!CD$11)))))</f>
        <v>#NAME?</v>
      </c>
      <c r="CE32" s="1772" t="e" cm="1">
        <f t="array" ca="1" aca="1" ref="CE32">_xlfn.LET(_xlpm.CheckBlank,SUM(PL!$AD32:PL!$BN32)=0,IF(_xlpm.CheckBlank,"",SUM(_xlfn._xlws.FILTER(PL!$AD32:$BN32,(YEAR(PL!$AD$12:$BN$12)=PL!CE$12)*(array_timeline&lt;=PL!CE$11)))))</f>
        <v>#NAME?</v>
      </c>
      <c r="CF32" s="88"/>
      <c r="CG32" s="1461" t="str" cm="1">
        <f t="array" ca="1" aca="1" ref="CG32">IFERROR(_xlfn.LET(_xlpm.CheckBlank,SUM(PL!$AD32:$BN32)=0,IF(_xlpm.CheckBlank,"",SUM(_xlfn._xlws.FILTER(PL!$AD32:$BN32,(YEAR(PL!$AD$12:$BN$12)=PL!CG$12)*(array_timeline&lt;=PL!CG$11))))),"n/a")</f>
        <v>n/a</v>
      </c>
      <c r="CH32" s="1461" t="e" cm="1">
        <f t="array" ca="1" aca="1" ref="CH32">_xlfn.LET(_xlpm.CheckBlank,SUM(PL!$AD32:$BN32)=0,IF(_xlpm.CheckBlank,"",SUM(_xlfn._xlws.FILTER(PL!$AD32:$BN32,(YEAR(PL!$AD$12:$BN$12)=PL!CH$12)*(array_timeline&lt;=PL!CH$11)))))</f>
        <v>#NAME?</v>
      </c>
      <c r="CI32" s="88"/>
      <c r="CJ32" s="1461" cm="1">
        <f t="array" ref="CJ32">_xlfn.LET(_xlpm.CheckBlank,SUM(PL!$AD32:$BN32)=0,IF(_xlpm.CheckBlank,"",SUM(_xlfn.TAKE(_xlfn.DROP(PL!$AD32:$BN32,,-DATEDIFF(PL!CJ$11,val_asOfDate,"M")),1,-12))))</f>
        <v>108</v>
      </c>
      <c r="CK32" s="1461" cm="1">
        <f t="array" ref="CK32">_xlfn.LET(_xlpm.CheckBlank,SUM(PL!$AD32:$BN32)=0,IF(_xlpm.CheckBlank,"",SUM(_xlfn.TAKE(_xlfn.DROP(PL!$AD32:$BN32,,-DATEDIFF(PL!CK$11,val_asOfDate,"M")),1,-12))))</f>
        <v>108</v>
      </c>
      <c r="CL32" s="88"/>
      <c r="CM32" s="2446">
        <f>SUBTOTAL(9,CM20:CM31)-N(CM23)</f>
        <v>9</v>
      </c>
      <c r="CN32" s="2446">
        <f>SUBTOTAL(9,CN20:CN31)-N(CN23)</f>
        <v>9</v>
      </c>
      <c r="CO32" s="1169"/>
      <c r="CP32" s="2446">
        <f>SUBTOTAL(9,CP20:CP31)-N(CP23)</f>
        <v>9</v>
      </c>
      <c r="CQ32" s="2446">
        <f>SUBTOTAL(9,CQ20:CQ31)-N(CQ23)</f>
        <v>9</v>
      </c>
      <c r="CR32" s="34"/>
      <c r="CS32" s="2056"/>
      <c r="CT32" s="2085" t="e" cm="1">
        <f t="array" ca="1" aca="1" ref="CT32">IF(K32&lt;&gt;"Yes","",IF(OR(Y32="Select,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III"),"",IF(OR(Y32&lt;&gt;AB32,AND(LEN(B32)=0,NOT(OR(Y32="Select,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III")))),_xldudf_CX_PUSH(Y32,CX_ENTITY,C32,EOMONTH(val_asOfDate,0)),"")))</f>
        <v>#NAME?</v>
      </c>
      <c r="CU32" s="2085" t="e" cm="1">
        <f t="array" ca="1" aca="1" ref="CU32">IF(K32&lt;&gt;"Yes","",IF(OR(Y32="Select,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III"),"",IF(OR(Y32&lt;&gt;AB32,AND(LEN(B32)=0,NOT(OR(Y32="Select,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III")))),_xldudf_CX_PUSH(Y32,CX_ENTITY,C32,EOMONTH(val_asOfDate,1)),"")))</f>
        <v>#NAME?</v>
      </c>
      <c r="CV32" s="2085" t="e" cm="1">
        <f t="array" ca="1" aca="1" ref="CV32">IF(K32&lt;&gt;"Yes","",IF(OR(Y32="Select,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III"),"",IF(OR(Y32&lt;&gt;AB32,AND(LEN(B32)=0,NOT(OR(Y32="Select,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III")))),_xldudf_CX_PUSH(Y32,CX_ENTITY,C32,EOMONTH(val_asOfDate,2)),"")))</f>
        <v>#NAME?</v>
      </c>
      <c r="CW32" s="2085" t="e" cm="1">
        <f t="array" ca="1" aca="1" ref="CW32">IF(K32&lt;&gt;"Yes","",IF(OR(Y32="Select,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III"),"",IF(OR(Y32&lt;&gt;AB32,AND(LEN(B32)=0,NOT(OR(Y32="Select,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III")))),_xldudf_CX_PUSH(Y32,CX_ENTITY,C32,EOMONTH(val_asOfDate,3)),"")))</f>
        <v>#NAME?</v>
      </c>
      <c r="CX32" s="2443"/>
      <c r="CY32" s="2444" t="str" cm="1">
        <f t="array" ca="1" aca="1" ref="CY32">IFERROR(IF(CM32*fxVal_normal=_PL!CM32,"",IF(OR($CM32="",$CM32=0,NOT(ISNUMBER($CM32)),ISERROR($CM32),$B32=""),"",IF($I32=1,IFBLANK(_xldudf_CX_PUSH($CM32*fxVal_normal,CX_ENTITY,$B32,$CM$11,$CM$14,$CM$19,),""),IF($I32=2,IFBLANK(_xldudf_CX_PUSH($CM32,CX_ENTITY,$B32,$CM$11,$CM$14,$CM$19,),""),IF($I32=3,"",IFBLANK(_xldudf_CX_PUSH($CM32,CX_ENTITY,$B32,$CM$11,$CM$14,$CM$19,),"")))))),"")</f>
        <v/>
      </c>
      <c r="CZ32" s="2444" t="str" cm="1">
        <f t="array" ca="1" aca="1" ref="CZ32">IFERROR(IF(CN32*fxVal_normal=_PL!CN32,"",IF(OR($CN32="",$CN32=0,NOT(ISNUMBER($CN32)),ISERROR($CN32),$B32=""),"",IF($I32=1,IFBLANK(_xldudf_CX_PUSH($CN32*fxVal_normal,CX_ENTITY,$B32,$CN$11,$CN$14,$CN$19,),""),IF($I32=2,IFBLANK(_xldudf_CX_PUSH($CN32,CX_ENTITY,$B32,$CN$11,$CN$14,$CN$19,),""),IF($I32=3,"",IFBLANK(_xldudf_CX_PUSH($CN32,CX_ENTITY,$B32,$CN$11,$CN$14,$CN$19,),"")))))),"")</f>
        <v/>
      </c>
      <c r="DA32" s="2444" t="str" cm="1">
        <f t="array" ca="1" aca="1" ref="DA32">IFERROR(IF(CP32*fxVal_normal=_PL!CP32,"",IF(OR($CP32="",$CP32=0,NOT(ISNUMBER($CP32)),ISERROR($CP32),$B32=""),"",IF($I32=1,IFBLANK(_xldudf_CX_PUSH($CP32*fxVal_normal,CX_ENTITY,$B32,$CP$11,$CP$14,$CP$19,),""),IF($I32=2,IFBLANK(_xldudf_CX_PUSH($CP32,CX_ENTITY,$B32,$CP$11,$CP$14,$CP$19,),""),IF($I32=3,"",IFBLANK(_xldudf_CX_PUSH($CP32,CX_ENTITY,$B32,$CP$11,$CP$14,$CP$19,),"")))))),"")</f>
        <v/>
      </c>
      <c r="DB32" s="2444" t="str" cm="1">
        <f t="array" ca="1" aca="1" ref="DB32">IFERROR(IF(CQ32*fxVal_normal=_PL!CQ32,"",IF(OR($CQ32="",$CQ32=0,NOT(ISNUMBER($CQ32)),ISERROR($CQ32),$B32=""),"",IF($I32=1,IFBLANK(_xldudf_CX_PUSH($CQ32*fxVal_normal,CX_ENTITY,$B32,$CQ$11,$CQ$14,$CQ$19,),""),IF($I32=2,IFBLANK(_xldudf_CX_PUSH($CQ32,CX_ENTITY,$B32,$CQ$11,$CQ$14,$CQ$19,),""),IF($I32=3,"",IFBLANK(_xldudf_CX_PUSH($CQ32,CX_ENTITY,$B32,$CQ$11,$CQ$14,$CQ$19,),"")))))),"")</f>
        <v/>
      </c>
      <c r="DC32" s="2443"/>
      <c r="DD32" s="2445" t="str" cm="1">
        <f t="array" ca="1" aca="1" ref="DD32">IFERROR(IF(AD32*fxVal_normal=_PL!AD32,"",IF(OR(AD32="",NOT(ISNUMBER(AD32)),ISERROR(AD32),$B32=""),"",IF($I32=1,IFBLANK(_xldudf_CX_PUSH(AD32*fxVal_normal,CX_ENTITY,$B32,AD$11,AD$14,AD$19,),""),IF($I32=2,IFBLANK(_xldudf_CX_PUSH(AD32,CX_ENTITY,$B32,AD$11,AD$14,AD$19,),""),IF($I32=3,"",IFBLANK(_xldudf_CX_PUSH(AD32,CX_ENTITY,$B32,AD$11,AD$14,AD$19,),"")))))),"")</f>
        <v/>
      </c>
      <c r="DE32" s="2445" t="str" cm="1">
        <f t="array" ca="1" aca="1" ref="DE32">IFERROR(IF(AE32*fxVal_normal=_PL!AE32,"",IF(OR(AE32="",NOT(ISNUMBER(AE32)),ISERROR(AE32),$B32=""),"",IF($I32=1,IFBLANK(_xldudf_CX_PUSH(AE32*fxVal_normal,CX_ENTITY,$B32,AE$11,AE$14,AE$19,),""),IF($I32=2,IFBLANK(_xldudf_CX_PUSH(AE32,CX_ENTITY,$B32,AE$11,AE$14,AE$19,),""),IF($I32=3,"",IFBLANK(_xldudf_CX_PUSH(AE32,CX_ENTITY,$B32,AE$11,AE$14,AE$19,),"")))))),"")</f>
        <v/>
      </c>
      <c r="DF32" s="2445" t="str" cm="1">
        <f t="array" ca="1" aca="1" ref="DF32">IFERROR(IF(AF32*fxVal_normal=_PL!AF32,"",IF(OR(AF32="",NOT(ISNUMBER(AF32)),ISERROR(AF32),$B32=""),"",IF($I32=1,IFBLANK(_xldudf_CX_PUSH(AF32*fxVal_normal,CX_ENTITY,$B32,AF$11,AF$14,AF$19,),""),IF($I32=2,IFBLANK(_xldudf_CX_PUSH(AF32,CX_ENTITY,$B32,AF$11,AF$14,AF$19,),""),IF($I32=3,"",IFBLANK(_xldudf_CX_PUSH(AF32,CX_ENTITY,$B32,AF$11,AF$14,AF$19,),"")))))),"")</f>
        <v/>
      </c>
      <c r="DG32" s="2445" t="str" cm="1">
        <f t="array" ca="1" aca="1" ref="DG32">IFERROR(IF(AG32*fxVal_normal=_PL!AG32,"",IF(OR(AG32="",NOT(ISNUMBER(AG32)),ISERROR(AG32),$B32=""),"",IF($I32=1,IFBLANK(_xldudf_CX_PUSH(AG32*fxVal_normal,CX_ENTITY,$B32,AG$11,AG$14,AG$19,),""),IF($I32=2,IFBLANK(_xldudf_CX_PUSH(AG32,CX_ENTITY,$B32,AG$11,AG$14,AG$19,),""),IF($I32=3,"",IFBLANK(_xldudf_CX_PUSH(AG32,CX_ENTITY,$B32,AG$11,AG$14,AG$19,),"")))))),"")</f>
        <v/>
      </c>
      <c r="DH32" s="2445" t="str" cm="1">
        <f t="array" ca="1" aca="1" ref="DH32">IFERROR(IF(AH32*fxVal_normal=_PL!AH32,"",IF(OR(AH32="",NOT(ISNUMBER(AH32)),ISERROR(AH32),$B32=""),"",IF($I32=1,IFBLANK(_xldudf_CX_PUSH(AH32*fxVal_normal,CX_ENTITY,$B32,AH$11,AH$14,AH$19,),""),IF($I32=2,IFBLANK(_xldudf_CX_PUSH(AH32,CX_ENTITY,$B32,AH$11,AH$14,AH$19,),""),IF($I32=3,"",IFBLANK(_xldudf_CX_PUSH(AH32,CX_ENTITY,$B32,AH$11,AH$14,AH$19,),"")))))),"")</f>
        <v/>
      </c>
      <c r="DI32" s="2445" t="str" cm="1">
        <f t="array" ca="1" aca="1" ref="DI32">IFERROR(IF(AI32*fxVal_normal=_PL!AI32,"",IF(OR(AI32="",NOT(ISNUMBER(AI32)),ISERROR(AI32),$B32=""),"",IF($I32=1,IFBLANK(_xldudf_CX_PUSH(AI32*fxVal_normal,CX_ENTITY,$B32,AI$11,AI$14,AI$19,),""),IF($I32=2,IFBLANK(_xldudf_CX_PUSH(AI32,CX_ENTITY,$B32,AI$11,AI$14,AI$19,),""),IF($I32=3,"",IFBLANK(_xldudf_CX_PUSH(AI32,CX_ENTITY,$B32,AI$11,AI$14,AI$19,),"")))))),"")</f>
        <v/>
      </c>
      <c r="DJ32" s="2445" t="str" cm="1">
        <f t="array" ca="1" aca="1" ref="DJ32">IFERROR(IF(AJ32*fxVal_normal=_PL!AJ32,"",IF(OR(AJ32="",NOT(ISNUMBER(AJ32)),ISERROR(AJ32),$B32=""),"",IF($I32=1,IFBLANK(_xldudf_CX_PUSH(AJ32*fxVal_normal,CX_ENTITY,$B32,AJ$11,AJ$14,AJ$19,),""),IF($I32=2,IFBLANK(_xldudf_CX_PUSH(AJ32,CX_ENTITY,$B32,AJ$11,AJ$14,AJ$19,),""),IF($I32=3,"",IFBLANK(_xldudf_CX_PUSH(AJ32,CX_ENTITY,$B32,AJ$11,AJ$14,AJ$19,),"")))))),"")</f>
        <v/>
      </c>
      <c r="DK32" s="2445" t="str" cm="1">
        <f t="array" ca="1" aca="1" ref="DK32">IFERROR(IF(AK32*fxVal_normal=_PL!AK32,"",IF(OR(AK32="",NOT(ISNUMBER(AK32)),ISERROR(AK32),$B32=""),"",IF($I32=1,IFBLANK(_xldudf_CX_PUSH(AK32*fxVal_normal,CX_ENTITY,$B32,AK$11,AK$14,AK$19,),""),IF($I32=2,IFBLANK(_xldudf_CX_PUSH(AK32,CX_ENTITY,$B32,AK$11,AK$14,AK$19,),""),IF($I32=3,"",IFBLANK(_xldudf_CX_PUSH(AK32,CX_ENTITY,$B32,AK$11,AK$14,AK$19,),"")))))),"")</f>
        <v/>
      </c>
      <c r="DL32" s="2445" t="str" cm="1">
        <f t="array" ca="1" aca="1" ref="DL32">IFERROR(IF(AL32*fxVal_normal=_PL!AL32,"",IF(OR(AL32="",NOT(ISNUMBER(AL32)),ISERROR(AL32),$B32=""),"",IF($I32=1,IFBLANK(_xldudf_CX_PUSH(AL32*fxVal_normal,CX_ENTITY,$B32,AL$11,AL$14,AL$19,),""),IF($I32=2,IFBLANK(_xldudf_CX_PUSH(AL32,CX_ENTITY,$B32,AL$11,AL$14,AL$19,),""),IF($I32=3,"",IFBLANK(_xldudf_CX_PUSH(AL32,CX_ENTITY,$B32,AL$11,AL$14,AL$19,),"")))))),"")</f>
        <v/>
      </c>
      <c r="DM32" s="2445" t="str" cm="1">
        <f t="array" ca="1" aca="1" ref="DM32">IFERROR(IF(AM32*fxVal_normal=_PL!AM32,"",IF(OR(AM32="",NOT(ISNUMBER(AM32)),ISERROR(AM32),$B32=""),"",IF($I32=1,IFBLANK(_xldudf_CX_PUSH(AM32*fxVal_normal,CX_ENTITY,$B32,AM$11,AM$14,AM$19,),""),IF($I32=2,IFBLANK(_xldudf_CX_PUSH(AM32,CX_ENTITY,$B32,AM$11,AM$14,AM$19,),""),IF($I32=3,"",IFBLANK(_xldudf_CX_PUSH(AM32,CX_ENTITY,$B32,AM$11,AM$14,AM$19,),"")))))),"")</f>
        <v/>
      </c>
      <c r="DN32" s="2445" t="str" cm="1">
        <f t="array" ca="1" aca="1" ref="DN32">IFERROR(IF(AN32*fxVal_normal=_PL!AN32,"",IF(OR(AN32="",NOT(ISNUMBER(AN32)),ISERROR(AN32),$B32=""),"",IF($I32=1,IFBLANK(_xldudf_CX_PUSH(AN32*fxVal_normal,CX_ENTITY,$B32,AN$11,AN$14,AN$19,),""),IF($I32=2,IFBLANK(_xldudf_CX_PUSH(AN32,CX_ENTITY,$B32,AN$11,AN$14,AN$19,),""),IF($I32=3,"",IFBLANK(_xldudf_CX_PUSH(AN32,CX_ENTITY,$B32,AN$11,AN$14,AN$19,),"")))))),"")</f>
        <v/>
      </c>
      <c r="DO32" s="2445" t="str" cm="1">
        <f t="array" ca="1" aca="1" ref="DO32">IFERROR(IF(AO32*fxVal_normal=_PL!AO32,"",IF(OR(AO32="",NOT(ISNUMBER(AO32)),ISERROR(AO32),$B32=""),"",IF($I32=1,IFBLANK(_xldudf_CX_PUSH(AO32*fxVal_normal,CX_ENTITY,$B32,AO$11,AO$14,AO$19,),""),IF($I32=2,IFBLANK(_xldudf_CX_PUSH(AO32,CX_ENTITY,$B32,AO$11,AO$14,AO$19,),""),IF($I32=3,"",IFBLANK(_xldudf_CX_PUSH(AO32,CX_ENTITY,$B32,AO$11,AO$14,AO$19,),"")))))),"")</f>
        <v/>
      </c>
      <c r="DP32" s="2445" t="str" cm="1">
        <f t="array" ca="1" aca="1" ref="DP32">IFERROR(IF(AP32*fxVal_normal=_PL!AP32,"",IF(OR(AP32="",NOT(ISNUMBER(AP32)),ISERROR(AP32),$B32=""),"",IF($I32=1,IFBLANK(_xldudf_CX_PUSH(AP32*fxVal_normal,CX_ENTITY,$B32,AP$11,AP$14,AP$19,),""),IF($I32=2,IFBLANK(_xldudf_CX_PUSH(AP32,CX_ENTITY,$B32,AP$11,AP$14,AP$19,),""),IF($I32=3,"",IFBLANK(_xldudf_CX_PUSH(AP32,CX_ENTITY,$B32,AP$11,AP$14,AP$19,),"")))))),"")</f>
        <v/>
      </c>
      <c r="DQ32" s="2445" t="str" cm="1">
        <f t="array" ca="1" aca="1" ref="DQ32">IFERROR(IF(AQ32*fxVal_normal=_PL!AQ32,"",IF(OR(AQ32="",NOT(ISNUMBER(AQ32)),ISERROR(AQ32),$B32=""),"",IF($I32=1,IFBLANK(_xldudf_CX_PUSH(AQ32*fxVal_normal,CX_ENTITY,$B32,AQ$11,AQ$14,AQ$19,),""),IF($I32=2,IFBLANK(_xldudf_CX_PUSH(AQ32,CX_ENTITY,$B32,AQ$11,AQ$14,AQ$19,),""),IF($I32=3,"",IFBLANK(_xldudf_CX_PUSH(AQ32,CX_ENTITY,$B32,AQ$11,AQ$14,AQ$19,),"")))))),"")</f>
        <v/>
      </c>
      <c r="DR32" s="2445" t="str" cm="1">
        <f t="array" ca="1" aca="1" ref="DR32">IFERROR(IF(AR32*fxVal_normal=_PL!AR32,"",IF(OR(AR32="",NOT(ISNUMBER(AR32)),ISERROR(AR32),$B32=""),"",IF($I32=1,IFBLANK(_xldudf_CX_PUSH(AR32*fxVal_normal,CX_ENTITY,$B32,AR$11,AR$14,AR$19,),""),IF($I32=2,IFBLANK(_xldudf_CX_PUSH(AR32,CX_ENTITY,$B32,AR$11,AR$14,AR$19,),""),IF($I32=3,"",IFBLANK(_xldudf_CX_PUSH(AR32,CX_ENTITY,$B32,AR$11,AR$14,AR$19,),"")))))),"")</f>
        <v/>
      </c>
      <c r="DS32" s="2445" t="str" cm="1">
        <f t="array" ca="1" aca="1" ref="DS32">IFERROR(IF(AS32*fxVal_normal=_PL!AS32,"",IF(OR(AS32="",NOT(ISNUMBER(AS32)),ISERROR(AS32),$B32=""),"",IF($I32=1,IFBLANK(_xldudf_CX_PUSH(AS32*fxVal_normal,CX_ENTITY,$B32,AS$11,AS$14,AS$19,),""),IF($I32=2,IFBLANK(_xldudf_CX_PUSH(AS32,CX_ENTITY,$B32,AS$11,AS$14,AS$19,),""),IF($I32=3,"",IFBLANK(_xldudf_CX_PUSH(AS32,CX_ENTITY,$B32,AS$11,AS$14,AS$19,),"")))))),"")</f>
        <v/>
      </c>
      <c r="DT32" s="2445" t="str" cm="1">
        <f t="array" ca="1" aca="1" ref="DT32">IFERROR(IF(AT32*fxVal_normal=_PL!AT32,"",IF(OR(AT32="",NOT(ISNUMBER(AT32)),ISERROR(AT32),$B32=""),"",IF($I32=1,IFBLANK(_xldudf_CX_PUSH(AT32*fxVal_normal,CX_ENTITY,$B32,AT$11,AT$14,AT$19,),""),IF($I32=2,IFBLANK(_xldudf_CX_PUSH(AT32,CX_ENTITY,$B32,AT$11,AT$14,AT$19,),""),IF($I32=3,"",IFBLANK(_xldudf_CX_PUSH(AT32,CX_ENTITY,$B32,AT$11,AT$14,AT$19,),"")))))),"")</f>
        <v/>
      </c>
      <c r="DU32" s="2445" t="str" cm="1">
        <f t="array" ca="1" aca="1" ref="DU32">IFERROR(IF(AU32*fxVal_normal=_PL!AU32,"",IF(OR(AU32="",NOT(ISNUMBER(AU32)),ISERROR(AU32),$B32=""),"",IF($I32=1,IFBLANK(_xldudf_CX_PUSH(AU32*fxVal_normal,CX_ENTITY,$B32,AU$11,AU$14,AU$19,),""),IF($I32=2,IFBLANK(_xldudf_CX_PUSH(AU32,CX_ENTITY,$B32,AU$11,AU$14,AU$19,),""),IF($I32=3,"",IFBLANK(_xldudf_CX_PUSH(AU32,CX_ENTITY,$B32,AU$11,AU$14,AU$19,),"")))))),"")</f>
        <v/>
      </c>
      <c r="DV32" s="2445" t="str" cm="1">
        <f t="array" ca="1" aca="1" ref="DV32">IFERROR(IF(AV32*fxVal_normal=_PL!AV32,"",IF(OR(AV32="",NOT(ISNUMBER(AV32)),ISERROR(AV32),$B32=""),"",IF($I32=1,IFBLANK(_xldudf_CX_PUSH(AV32*fxVal_normal,CX_ENTITY,$B32,AV$11,AV$14,AV$19,),""),IF($I32=2,IFBLANK(_xldudf_CX_PUSH(AV32,CX_ENTITY,$B32,AV$11,AV$14,AV$19,),""),IF($I32=3,"",IFBLANK(_xldudf_CX_PUSH(AV32,CX_ENTITY,$B32,AV$11,AV$14,AV$19,),"")))))),"")</f>
        <v/>
      </c>
      <c r="DW32" s="2445" t="str" cm="1">
        <f t="array" ca="1" aca="1" ref="DW32">IFERROR(IF(AW32*fxVal_normal=_PL!AW32,"",IF(OR(AW32="",NOT(ISNUMBER(AW32)),ISERROR(AW32),$B32=""),"",IF($I32=1,IFBLANK(_xldudf_CX_PUSH(AW32*fxVal_normal,CX_ENTITY,$B32,AW$11,AW$14,AW$19,),""),IF($I32=2,IFBLANK(_xldudf_CX_PUSH(AW32,CX_ENTITY,$B32,AW$11,AW$14,AW$19,),""),IF($I32=3,"",IFBLANK(_xldudf_CX_PUSH(AW32,CX_ENTITY,$B32,AW$11,AW$14,AW$19,),"")))))),"")</f>
        <v/>
      </c>
      <c r="DX32" s="2445" t="str" cm="1">
        <f t="array" ca="1" aca="1" ref="DX32">IFERROR(IF(AX32*fxVal_normal=_PL!AX32,"",IF(OR(AX32="",NOT(ISNUMBER(AX32)),ISERROR(AX32),$B32=""),"",IF($I32=1,IFBLANK(_xldudf_CX_PUSH(AX32*fxVal_normal,CX_ENTITY,$B32,AX$11,AX$14,AX$19,),""),IF($I32=2,IFBLANK(_xldudf_CX_PUSH(AX32,CX_ENTITY,$B32,AX$11,AX$14,AX$19,),""),IF($I32=3,"",IFBLANK(_xldudf_CX_PUSH(AX32,CX_ENTITY,$B32,AX$11,AX$14,AX$19,),"")))))),"")</f>
        <v/>
      </c>
      <c r="DY32" s="2445" t="str" cm="1">
        <f t="array" ca="1" aca="1" ref="DY32">IFERROR(IF(AY32*fxVal_normal=_PL!AY32,"",IF(OR(AY32="",NOT(ISNUMBER(AY32)),ISERROR(AY32),$B32=""),"",IF($I32=1,IFBLANK(_xldudf_CX_PUSH(AY32*fxVal_normal,CX_ENTITY,$B32,AY$11,AY$14,AY$19,),""),IF($I32=2,IFBLANK(_xldudf_CX_PUSH(AY32,CX_ENTITY,$B32,AY$11,AY$14,AY$19,),""),IF($I32=3,"",IFBLANK(_xldudf_CX_PUSH(AY32,CX_ENTITY,$B32,AY$11,AY$14,AY$19,),"")))))),"")</f>
        <v/>
      </c>
      <c r="DZ32" s="2445" t="str" cm="1">
        <f t="array" ca="1" aca="1" ref="DZ32">IFERROR(IF(AZ32*fxVal_normal=_PL!AZ32,"",IF(OR(AZ32="",NOT(ISNUMBER(AZ32)),ISERROR(AZ32),$B32=""),"",IF($I32=1,IFBLANK(_xldudf_CX_PUSH(AZ32*fxVal_normal,CX_ENTITY,$B32,AZ$11,AZ$14,AZ$19,),""),IF($I32=2,IFBLANK(_xldudf_CX_PUSH(AZ32,CX_ENTITY,$B32,AZ$11,AZ$14,AZ$19,),""),IF($I32=3,"",IFBLANK(_xldudf_CX_PUSH(AZ32,CX_ENTITY,$B32,AZ$11,AZ$14,AZ$19,),"")))))),"")</f>
        <v/>
      </c>
      <c r="EA32" s="2445" t="str" cm="1">
        <f t="array" ca="1" aca="1" ref="EA32">IFERROR(IF(BA32*fxVal_normal=_PL!BA32,"",IF(OR(BA32="",NOT(ISNUMBER(BA32)),ISERROR(BA32),$B32=""),"",IF($I32=1,IFBLANK(_xldudf_CX_PUSH(BA32*fxVal_normal,CX_ENTITY,$B32,BA$11,BA$14,BA$19,),""),IF($I32=2,IFBLANK(_xldudf_CX_PUSH(BA32,CX_ENTITY,$B32,BA$11,BA$14,BA$19,),""),IF($I32=3,"",IFBLANK(_xldudf_CX_PUSH(BA32,CX_ENTITY,$B32,BA$11,BA$14,BA$19,),"")))))),"")</f>
        <v/>
      </c>
      <c r="EB32" s="2445" t="str" cm="1">
        <f t="array" ca="1" aca="1" ref="EB32">IFERROR(IF(BB32*fxVal_normal=_PL!BB32,"",IF(OR(BB32="",NOT(ISNUMBER(BB32)),ISERROR(BB32),$B32=""),"",IF($I32=1,IFBLANK(_xldudf_CX_PUSH(BB32*fxVal_normal,CX_ENTITY,$B32,BB$11,BB$14,BB$19,),""),IF($I32=2,IFBLANK(_xldudf_CX_PUSH(BB32,CX_ENTITY,$B32,BB$11,BB$14,BB$19,),""),IF($I32=3,"",IFBLANK(_xldudf_CX_PUSH(BB32,CX_ENTITY,$B32,BB$11,BB$14,BB$19,),"")))))),"")</f>
        <v/>
      </c>
      <c r="EC32" s="2445" t="str" cm="1">
        <f t="array" ca="1" aca="1" ref="EC32">IFERROR(IF(BC32*fxVal_normal=_PL!BC32,"",IF(OR(BC32="",NOT(ISNUMBER(BC32)),ISERROR(BC32),$B32=""),"",IF($I32=1,IFBLANK(_xldudf_CX_PUSH(BC32*fxVal_normal,CX_ENTITY,$B32,BC$11,BC$14,BC$19,),""),IF($I32=2,IFBLANK(_xldudf_CX_PUSH(BC32,CX_ENTITY,$B32,BC$11,BC$14,BC$19,),""),IF($I32=3,"",IFBLANK(_xldudf_CX_PUSH(BC32,CX_ENTITY,$B32,BC$11,BC$14,BC$19,),"")))))),"")</f>
        <v/>
      </c>
      <c r="ED32" s="2445" t="str" cm="1">
        <f t="array" ca="1" aca="1" ref="ED32">IFERROR(IF(BD32*fxVal_normal=_PL!BD32,"",IF(OR(BD32="",NOT(ISNUMBER(BD32)),ISERROR(BD32),$B32=""),"",IF($I32=1,IFBLANK(_xldudf_CX_PUSH(BD32*fxVal_normal,CX_ENTITY,$B32,BD$11,BD$14,BD$19,),""),IF($I32=2,IFBLANK(_xldudf_CX_PUSH(BD32,CX_ENTITY,$B32,BD$11,BD$14,BD$19,),""),IF($I32=3,"",IFBLANK(_xldudf_CX_PUSH(BD32,CX_ENTITY,$B32,BD$11,BD$14,BD$19,),"")))))),"")</f>
        <v/>
      </c>
      <c r="EE32" s="2445" t="str" cm="1">
        <f t="array" ca="1" aca="1" ref="EE32">IFERROR(IF(BE32*fxVal_normal=_PL!BE32,"",IF(OR(BE32="",NOT(ISNUMBER(BE32)),ISERROR(BE32),$B32=""),"",IF($I32=1,IFBLANK(_xldudf_CX_PUSH(BE32*fxVal_normal,CX_ENTITY,$B32,BE$11,BE$14,BE$19,),""),IF($I32=2,IFBLANK(_xldudf_CX_PUSH(BE32,CX_ENTITY,$B32,BE$11,BE$14,BE$19,),""),IF($I32=3,"",IFBLANK(_xldudf_CX_PUSH(BE32,CX_ENTITY,$B32,BE$11,BE$14,BE$19,),"")))))),"")</f>
        <v/>
      </c>
      <c r="EF32" s="2445" t="str" cm="1">
        <f t="array" ca="1" aca="1" ref="EF32">IFERROR(IF(BF32*fxVal_normal=_PL!BF32,"",IF(OR(BF32="",NOT(ISNUMBER(BF32)),ISERROR(BF32),$B32=""),"",IF($I32=1,IFBLANK(_xldudf_CX_PUSH(BF32*fxVal_normal,CX_ENTITY,$B32,BF$11,BF$14,BF$19,),""),IF($I32=2,IFBLANK(_xldudf_CX_PUSH(BF32,CX_ENTITY,$B32,BF$11,BF$14,BF$19,),""),IF($I32=3,"",IFBLANK(_xldudf_CX_PUSH(BF32,CX_ENTITY,$B32,BF$11,BF$14,BF$19,),"")))))),"")</f>
        <v/>
      </c>
      <c r="EG32" s="2445" t="str" cm="1">
        <f t="array" ca="1" aca="1" ref="EG32">IFERROR(IF(BG32*fxVal_normal=_PL!BG32,"",IF(OR(BG32="",NOT(ISNUMBER(BG32)),ISERROR(BG32),$B32=""),"",IF($I32=1,IFBLANK(_xldudf_CX_PUSH(BG32*fxVal_normal,CX_ENTITY,$B32,BG$11,BG$14,BG$19,),""),IF($I32=2,IFBLANK(_xldudf_CX_PUSH(BG32,CX_ENTITY,$B32,BG$11,BG$14,BG$19,),""),IF($I32=3,"",IFBLANK(_xldudf_CX_PUSH(BG32,CX_ENTITY,$B32,BG$11,BG$14,BG$19,),"")))))),"")</f>
        <v/>
      </c>
      <c r="EH32" s="2445" t="str" cm="1">
        <f t="array" ca="1" aca="1" ref="EH32">IFERROR(IF(BH32*fxVal_normal=_PL!BH32,"",IF(OR(BH32="",NOT(ISNUMBER(BH32)),ISERROR(BH32),$B32=""),"",IF($I32=1,IFBLANK(_xldudf_CX_PUSH(BH32*fxVal_normal,CX_ENTITY,$B32,BH$11,BH$14,BH$19,),""),IF($I32=2,IFBLANK(_xldudf_CX_PUSH(BH32,CX_ENTITY,$B32,BH$11,BH$14,BH$19,),""),IF($I32=3,"",IFBLANK(_xldudf_CX_PUSH(BH32,CX_ENTITY,$B32,BH$11,BH$14,BH$19,),"")))))),"")</f>
        <v/>
      </c>
      <c r="EI32" s="2445" t="str" cm="1">
        <f t="array" ca="1" aca="1" ref="EI32">IFERROR(IF(BI32*fxVal_normal=_PL!BI32,"",IF(OR(BI32="",NOT(ISNUMBER(BI32)),ISERROR(BI32),$B32=""),"",IF($I32=1,IFBLANK(_xldudf_CX_PUSH(BI32*fxVal_normal,CX_ENTITY,$B32,BI$11,BI$14,BI$19,),""),IF($I32=2,IFBLANK(_xldudf_CX_PUSH(BI32,CX_ENTITY,$B32,BI$11,BI$14,BI$19,),""),IF($I32=3,"",IFBLANK(_xldudf_CX_PUSH(BI32,CX_ENTITY,$B32,BI$11,BI$14,BI$19,),"")))))),"")</f>
        <v/>
      </c>
      <c r="EJ32" s="2445" t="str" cm="1">
        <f t="array" ca="1" aca="1" ref="EJ32">IFERROR(IF(BJ32*fxVal_normal=_PL!BJ32,"",IF(OR(BJ32="",NOT(ISNUMBER(BJ32)),ISERROR(BJ32),$B32=""),"",IF($I32=1,IFBLANK(_xldudf_CX_PUSH(BJ32*fxVal_normal,CX_ENTITY,$B32,BJ$11,BJ$14,BJ$19,),""),IF($I32=2,IFBLANK(_xldudf_CX_PUSH(BJ32,CX_ENTITY,$B32,BJ$11,BJ$14,BJ$19,),""),IF($I32=3,"",IFBLANK(_xldudf_CX_PUSH(BJ32,CX_ENTITY,$B32,BJ$11,BJ$14,BJ$19,),"")))))),"")</f>
        <v/>
      </c>
      <c r="EK32" s="2445" t="str" cm="1">
        <f t="array" ca="1" aca="1" ref="EK32">IFERROR(IF(BK32*fxVal_normal=_PL!BK32,"",IF(OR(BK32="",NOT(ISNUMBER(BK32)),ISERROR(BK32),$B32=""),"",IF($I32=1,IFBLANK(_xldudf_CX_PUSH(BK32*fxVal_normal,CX_ENTITY,$B32,BK$11,BK$14,BK$19,),""),IF($I32=2,IFBLANK(_xldudf_CX_PUSH(BK32,CX_ENTITY,$B32,BK$11,BK$14,BK$19,),""),IF($I32=3,"",IFBLANK(_xldudf_CX_PUSH(BK32,CX_ENTITY,$B32,BK$11,BK$14,BK$19,),"")))))),"")</f>
        <v/>
      </c>
      <c r="EL32" s="2445" t="str" cm="1">
        <f t="array" ca="1" aca="1" ref="EL32">IFERROR(IF(BL32*fxVal_normal=_PL!BL32,"",IF(OR(BL32="",NOT(ISNUMBER(BL32)),ISERROR(BL32),$B32=""),"",IF($I32=1,IFBLANK(_xldudf_CX_PUSH(BL32*fxVal_normal,CX_ENTITY,$B32,BL$11,BL$14,BL$19,),""),IF($I32=2,IFBLANK(_xldudf_CX_PUSH(BL32,CX_ENTITY,$B32,BL$11,BL$14,BL$19,),""),IF($I32=3,"",IFBLANK(_xldudf_CX_PUSH(BL32,CX_ENTITY,$B32,BL$11,BL$14,BL$19,),"")))))),"")</f>
        <v/>
      </c>
      <c r="EM32" s="2445" t="str" cm="1">
        <f t="array" ca="1" aca="1" ref="EM32">IFERROR(IF(BM32*fxVal_normal=_PL!BM32,"",IF(OR(BM32="",NOT(ISNUMBER(BM32)),ISERROR(BM32),$B32=""),"",IF($I32=1,IFBLANK(_xldudf_CX_PUSH(BM32*fxVal_normal,CX_ENTITY,$B32,BM$11,BM$14,BM$19,),""),IF($I32=2,IFBLANK(_xldudf_CX_PUSH(BM32,CX_ENTITY,$B32,BM$11,BM$14,BM$19,),""),IF($I32=3,"",IFBLANK(_xldudf_CX_PUSH(BM32,CX_ENTITY,$B32,BM$11,BM$14,BM$19,),"")))))),"")</f>
        <v/>
      </c>
      <c r="EN32" s="2445" t="str" cm="1">
        <f t="array" ca="1" aca="1" ref="EN32">IFERROR(IF(BN32*fxVal_normal=_PL!BN32,"",IF(OR(BN32="",NOT(ISNUMBER(BN32)),ISERROR(BN32),$B32=""),"",IF($I32=1,IFBLANK(_xldudf_CX_PUSH(BN32*fxVal_normal,CX_ENTITY,$B32,BN$11,BN$14,BN$19,),""),IF($I32=2,IFBLANK(_xldudf_CX_PUSH(BN32,CX_ENTITY,$B32,BN$11,BN$14,BN$19,),""),IF($I32=3,"",IFBLANK(_xldudf_CX_PUSH(BN32,CX_ENTITY,$B32,BN$11,BN$14,BN$19,),"")))))),"")</f>
        <v/>
      </c>
    </row>
    <row r="33" spans="1:144" ht="21" customHeight="1">
      <c r="A33" s="1625"/>
      <c r="B33" s="2439" t="str">
        <f>_xlfn.LET(_xlpm.IsNotAttrDynamic,D33="",_xlpm.Attr,_PL!F33,_xlpm.NotInUse,Y33=D33,_xlpm.RESULT,IF(_xlpm.IsNotAttrDynamic,_xlpm.Attr,IF(_xlpm.NotInUse,"",Y33)),IF(_xlpm.RESULT="","",_xlpm.RESULT))</f>
        <v>Depreciation</v>
      </c>
      <c r="C33" s="2439" t="str" cm="1">
        <f t="array" ref="C33">IFBLANK(_PL!C33,"")</f>
        <v>Depreciation (Company View)</v>
      </c>
      <c r="D33" s="1548"/>
      <c r="E33" s="2440" t="e" cm="1">
        <f t="array" ca="1" aca="1" ref="E3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33:$CQ33,Z33)</f>
        <v>#NAME?</v>
      </c>
      <c r="F33" s="1897"/>
      <c r="G33" s="1897"/>
      <c r="H33" s="401">
        <v>0</v>
      </c>
      <c r="I33" s="3280">
        <v>1</v>
      </c>
      <c r="J33" s="3280" cm="1">
        <f t="array" ref="J33">IFBLANK(Z33,"")</f>
        <v>1</v>
      </c>
      <c r="K33" s="578" t="str">
        <f t="shared" si="3"/>
        <v>Yes</v>
      </c>
      <c r="L33" s="37"/>
      <c r="N33" s="158"/>
      <c r="O33" s="101"/>
      <c r="P33" s="52"/>
      <c r="Q33" s="101"/>
      <c r="R33" s="126"/>
      <c r="S33" s="101"/>
      <c r="T33" s="101"/>
      <c r="U33" s="39"/>
      <c r="V33" s="37"/>
      <c r="W33" s="91" t="str">
        <f t="shared" si="4"/>
        <v>Actual</v>
      </c>
      <c r="X33" s="2081">
        <f>_PL!X33</f>
        <v>-1</v>
      </c>
      <c r="Y33" s="3176">
        <v>2</v>
      </c>
      <c r="Z33" s="3291" cm="1">
        <f t="array" ref="Z33">_xlfn.SWITCH(TRUE,_PL!$L33=TRUE,1,_PL!$L33=FALSE,-1,_PL!$L33=-1,0,"")</f>
        <v>1</v>
      </c>
      <c r="AA33" s="200"/>
      <c r="AB33" s="301" t="str">
        <f>_PL!AB33</f>
        <v>Depreciation</v>
      </c>
      <c r="AC33" s="275" t="e" vm="5" cm="1">
        <f t="array" ca="1" aca="1" ref="AC33">_xlfn.LET(_xlpm._termname,$AB33,_xlpm._iconname,"find",_xlpm._icon,fx_getIcon(_xlpm._iconname),_xlpm._location,_xlfn.XLOOKUP(LOWER(_xlpm._termname),LOWER(tbl_acctDef[Term]),tbl_acctDef[Term]),_xlpm._hyperlink,HYPERLINK("#"&amp;CELL("address",_xlpm._location),_xlpm._icon),IFERROR(_xlpm._hyperlink,""))</f>
        <v>#VALUE!</v>
      </c>
      <c r="AD33" s="3177">
        <v>1</v>
      </c>
      <c r="AE33" s="3177">
        <v>1</v>
      </c>
      <c r="AF33" s="3177">
        <v>1</v>
      </c>
      <c r="AG33" s="3177">
        <v>1</v>
      </c>
      <c r="AH33" s="3177">
        <v>1</v>
      </c>
      <c r="AI33" s="3177">
        <v>1</v>
      </c>
      <c r="AJ33" s="3177">
        <v>1</v>
      </c>
      <c r="AK33" s="3177">
        <v>1</v>
      </c>
      <c r="AL33" s="3177">
        <v>1</v>
      </c>
      <c r="AM33" s="3177">
        <v>1</v>
      </c>
      <c r="AN33" s="3177">
        <v>1</v>
      </c>
      <c r="AO33" s="3177">
        <v>1</v>
      </c>
      <c r="AP33" s="3177">
        <v>1</v>
      </c>
      <c r="AQ33" s="3177">
        <v>1</v>
      </c>
      <c r="AR33" s="3177">
        <v>1</v>
      </c>
      <c r="AS33" s="3177">
        <v>1</v>
      </c>
      <c r="AT33" s="3177">
        <v>1</v>
      </c>
      <c r="AU33" s="3177">
        <v>1</v>
      </c>
      <c r="AV33" s="3177">
        <v>1</v>
      </c>
      <c r="AW33" s="3177">
        <v>1</v>
      </c>
      <c r="AX33" s="3177">
        <v>1</v>
      </c>
      <c r="AY33" s="3177">
        <v>1</v>
      </c>
      <c r="AZ33" s="3177">
        <v>1</v>
      </c>
      <c r="BA33" s="3177">
        <v>1</v>
      </c>
      <c r="BB33" s="3177">
        <v>1</v>
      </c>
      <c r="BC33" s="3177">
        <v>1</v>
      </c>
      <c r="BD33" s="3177">
        <v>1</v>
      </c>
      <c r="BE33" s="3177">
        <v>1</v>
      </c>
      <c r="BF33" s="3177">
        <v>1</v>
      </c>
      <c r="BG33" s="3177">
        <v>1</v>
      </c>
      <c r="BH33" s="3177">
        <v>1</v>
      </c>
      <c r="BI33" s="3177">
        <v>1</v>
      </c>
      <c r="BJ33" s="3177">
        <v>1</v>
      </c>
      <c r="BK33" s="3177">
        <v>1</v>
      </c>
      <c r="BL33" s="3177">
        <v>1</v>
      </c>
      <c r="BM33" s="3177">
        <v>1</v>
      </c>
      <c r="BN33" s="3177">
        <v>1</v>
      </c>
      <c r="BO33" s="2442"/>
      <c r="BP33" s="2442"/>
      <c r="BQ33" s="2442"/>
      <c r="BR33" s="2442"/>
      <c r="BS33" s="2442"/>
      <c r="BT33" s="2442"/>
      <c r="BU33" s="2442"/>
      <c r="BV33" s="2442"/>
      <c r="BW33" s="2442"/>
      <c r="BX33" s="2442"/>
      <c r="BY33" s="2442"/>
      <c r="BZ33" s="2442"/>
      <c r="CA33" s="34"/>
      <c r="CC33" s="33"/>
      <c r="CD33" s="1772" t="e" cm="1">
        <f t="array" ca="1" aca="1" ref="CD33">_xlfn.LET(_xlpm.CheckBlank,SUM(PL!$AD33:PL!$BN33)=0,IF(_xlpm.CheckBlank,"",SUM(_xlfn._xlws.FILTER(PL!$AD33:$BN33,(YEAR(PL!$AD$12:$BN$12)=PL!CD$12)*(array_timeline&lt;=PL!CD$11)))))</f>
        <v>#NAME?</v>
      </c>
      <c r="CE33" s="1772" t="e" cm="1">
        <f t="array" ca="1" aca="1" ref="CE33">_xlfn.LET(_xlpm.CheckBlank,SUM(PL!$AD33:PL!$BN33)=0,IF(_xlpm.CheckBlank,"",SUM(_xlfn._xlws.FILTER(PL!$AD33:$BN33,(YEAR(PL!$AD$12:$BN$12)=PL!CE$12)*(array_timeline&lt;=PL!CE$11)))))</f>
        <v>#NAME?</v>
      </c>
      <c r="CF33" s="88"/>
      <c r="CG33" s="1461" t="str" cm="1">
        <f t="array" ca="1" aca="1" ref="CG33">IFERROR(_xlfn.LET(_xlpm.CheckBlank,SUM(PL!$AD33:$BN33)=0,IF(_xlpm.CheckBlank,"",SUM(_xlfn._xlws.FILTER(PL!$AD33:$BN33,(YEAR(PL!$AD$12:$BN$12)=PL!CG$12)*(array_timeline&lt;=PL!CG$11))))),"n/a")</f>
        <v>n/a</v>
      </c>
      <c r="CH33" s="1461" t="e" cm="1">
        <f t="array" ca="1" aca="1" ref="CH33">_xlfn.LET(_xlpm.CheckBlank,SUM(PL!$AD33:$BN33)=0,IF(_xlpm.CheckBlank,"",SUM(_xlfn._xlws.FILTER(PL!$AD33:$BN33,(YEAR(PL!$AD$12:$BN$12)=PL!CH$12)*(array_timeline&lt;=PL!CH$11)))))</f>
        <v>#NAME?</v>
      </c>
      <c r="CI33" s="88"/>
      <c r="CJ33" s="1461" cm="1">
        <f t="array" ref="CJ33">_xlfn.LET(_xlpm.CheckBlank,SUM(PL!$AD33:$BN33)=0,IF(_xlpm.CheckBlank,"",SUM(_xlfn.TAKE(_xlfn.DROP(PL!$AD33:$BN33,,-DATEDIFF(PL!CJ$11,val_asOfDate,"M")),1,-12))))</f>
        <v>12</v>
      </c>
      <c r="CK33" s="1461" cm="1">
        <f t="array" ref="CK33">_xlfn.LET(_xlpm.CheckBlank,SUM(PL!$AD33:$BN33)=0,IF(_xlpm.CheckBlank,"",SUM(_xlfn.TAKE(_xlfn.DROP(PL!$AD33:$BN33,,-DATEDIFF(PL!CK$11,val_asOfDate,"M")),1,-12))))</f>
        <v>12</v>
      </c>
      <c r="CL33" s="88"/>
      <c r="CM33" s="3175">
        <v>1</v>
      </c>
      <c r="CN33" s="3175">
        <v>1</v>
      </c>
      <c r="CO33" s="1169"/>
      <c r="CP33" s="3175">
        <v>1</v>
      </c>
      <c r="CQ33" s="3175">
        <v>1</v>
      </c>
      <c r="CR33" s="34"/>
      <c r="CS33" s="2056"/>
      <c r="CT33" s="2085" t="e" cm="1">
        <f t="array" ca="1" aca="1" ref="CT33">IF(K33&lt;&gt;"Yes","",IF(OR(Y33="Select,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III"),"",IF(OR(Y33&lt;&gt;AB33,AND(LEN(B33)=0,NOT(OR(Y33="Select,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III")))),_xldudf_CX_PUSH(Y33,CX_ENTITY,C33,EOMONTH(val_asOfDate,0)),"")))</f>
        <v>#NAME?</v>
      </c>
      <c r="CU33" s="2085" t="e" cm="1">
        <f t="array" ca="1" aca="1" ref="CU33">IF(K33&lt;&gt;"Yes","",IF(OR(Y33="Select,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III"),"",IF(OR(Y33&lt;&gt;AB33,AND(LEN(B33)=0,NOT(OR(Y33="Select,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III")))),_xldudf_CX_PUSH(Y33,CX_ENTITY,C33,EOMONTH(val_asOfDate,1)),"")))</f>
        <v>#NAME?</v>
      </c>
      <c r="CV33" s="2085" t="e" cm="1">
        <f t="array" ca="1" aca="1" ref="CV33">IF(K33&lt;&gt;"Yes","",IF(OR(Y33="Select,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III"),"",IF(OR(Y33&lt;&gt;AB33,AND(LEN(B33)=0,NOT(OR(Y33="Select,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III")))),_xldudf_CX_PUSH(Y33,CX_ENTITY,C33,EOMONTH(val_asOfDate,2)),"")))</f>
        <v>#NAME?</v>
      </c>
      <c r="CW33" s="2085" t="e" cm="1">
        <f t="array" ca="1" aca="1" ref="CW33">IF(K33&lt;&gt;"Yes","",IF(OR(Y33="Select,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III"),"",IF(OR(Y33&lt;&gt;AB33,AND(LEN(B33)=0,NOT(OR(Y33="Select,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III")))),_xldudf_CX_PUSH(Y33,CX_ENTITY,C33,EOMONTH(val_asOfDate,3)),"")))</f>
        <v>#NAME?</v>
      </c>
      <c r="CX33" s="2443"/>
      <c r="CY33" s="2444" t="str" cm="1">
        <f t="array" ca="1" aca="1" ref="CY33">IFERROR(IF(CM33*fxVal_normal=_PL!CM33,"",IF(OR($CM33="",$CM33=0,NOT(ISNUMBER($CM33)),ISERROR($CM33),$B33=""),"",IF($I33=1,IFBLANK(_xldudf_CX_PUSH($CM33*fxVal_normal,CX_ENTITY,$B33,$CM$11,$CM$14,$CM$19,),""),IF($I33=2,IFBLANK(_xldudf_CX_PUSH($CM33,CX_ENTITY,$B33,$CM$11,$CM$14,$CM$19,),""),IF($I33=3,"",IFBLANK(_xldudf_CX_PUSH($CM33,CX_ENTITY,$B33,$CM$11,$CM$14,$CM$19,),"")))))),"")</f>
        <v/>
      </c>
      <c r="CZ33" s="2444" t="str" cm="1">
        <f t="array" ca="1" aca="1" ref="CZ33">IFERROR(IF(CN33*fxVal_normal=_PL!CN33,"",IF(OR($CN33="",$CN33=0,NOT(ISNUMBER($CN33)),ISERROR($CN33),$B33=""),"",IF($I33=1,IFBLANK(_xldudf_CX_PUSH($CN33*fxVal_normal,CX_ENTITY,$B33,$CN$11,$CN$14,$CN$19,),""),IF($I33=2,IFBLANK(_xldudf_CX_PUSH($CN33,CX_ENTITY,$B33,$CN$11,$CN$14,$CN$19,),""),IF($I33=3,"",IFBLANK(_xldudf_CX_PUSH($CN33,CX_ENTITY,$B33,$CN$11,$CN$14,$CN$19,),"")))))),"")</f>
        <v/>
      </c>
      <c r="DA33" s="2444" t="str" cm="1">
        <f t="array" ca="1" aca="1" ref="DA33">IFERROR(IF(CP33*fxVal_normal=_PL!CP33,"",IF(OR($CP33="",$CP33=0,NOT(ISNUMBER($CP33)),ISERROR($CP33),$B33=""),"",IF($I33=1,IFBLANK(_xldudf_CX_PUSH($CP33*fxVal_normal,CX_ENTITY,$B33,$CP$11,$CP$14,$CP$19,),""),IF($I33=2,IFBLANK(_xldudf_CX_PUSH($CP33,CX_ENTITY,$B33,$CP$11,$CP$14,$CP$19,),""),IF($I33=3,"",IFBLANK(_xldudf_CX_PUSH($CP33,CX_ENTITY,$B33,$CP$11,$CP$14,$CP$19,),"")))))),"")</f>
        <v/>
      </c>
      <c r="DB33" s="2444" t="str" cm="1">
        <f t="array" ca="1" aca="1" ref="DB33">IFERROR(IF(CQ33*fxVal_normal=_PL!CQ33,"",IF(OR($CQ33="",$CQ33=0,NOT(ISNUMBER($CQ33)),ISERROR($CQ33),$B33=""),"",IF($I33=1,IFBLANK(_xldudf_CX_PUSH($CQ33*fxVal_normal,CX_ENTITY,$B33,$CQ$11,$CQ$14,$CQ$19,),""),IF($I33=2,IFBLANK(_xldudf_CX_PUSH($CQ33,CX_ENTITY,$B33,$CQ$11,$CQ$14,$CQ$19,),""),IF($I33=3,"",IFBLANK(_xldudf_CX_PUSH($CQ33,CX_ENTITY,$B33,$CQ$11,$CQ$14,$CQ$19,),"")))))),"")</f>
        <v/>
      </c>
      <c r="DC33" s="2443"/>
      <c r="DD33" s="2445" t="str" cm="1">
        <f t="array" ca="1" aca="1" ref="DD33">IFERROR(IF(AD33*fxVal_normal=_PL!AD33,"",IF(OR(AD33="",NOT(ISNUMBER(AD33)),ISERROR(AD33),$B33=""),"",IF($I33=1,IFBLANK(_xldudf_CX_PUSH(AD33*fxVal_normal,CX_ENTITY,$B33,AD$11,AD$14,AD$19,),""),IF($I33=2,IFBLANK(_xldudf_CX_PUSH(AD33,CX_ENTITY,$B33,AD$11,AD$14,AD$19,),""),IF($I33=3,"",IFBLANK(_xldudf_CX_PUSH(AD33,CX_ENTITY,$B33,AD$11,AD$14,AD$19,),"")))))),"")</f>
        <v/>
      </c>
      <c r="DE33" s="2445" t="str" cm="1">
        <f t="array" ca="1" aca="1" ref="DE33">IFERROR(IF(AE33*fxVal_normal=_PL!AE33,"",IF(OR(AE33="",NOT(ISNUMBER(AE33)),ISERROR(AE33),$B33=""),"",IF($I33=1,IFBLANK(_xldudf_CX_PUSH(AE33*fxVal_normal,CX_ENTITY,$B33,AE$11,AE$14,AE$19,),""),IF($I33=2,IFBLANK(_xldudf_CX_PUSH(AE33,CX_ENTITY,$B33,AE$11,AE$14,AE$19,),""),IF($I33=3,"",IFBLANK(_xldudf_CX_PUSH(AE33,CX_ENTITY,$B33,AE$11,AE$14,AE$19,),"")))))),"")</f>
        <v/>
      </c>
      <c r="DF33" s="2445" t="str" cm="1">
        <f t="array" ca="1" aca="1" ref="DF33">IFERROR(IF(AF33*fxVal_normal=_PL!AF33,"",IF(OR(AF33="",NOT(ISNUMBER(AF33)),ISERROR(AF33),$B33=""),"",IF($I33=1,IFBLANK(_xldudf_CX_PUSH(AF33*fxVal_normal,CX_ENTITY,$B33,AF$11,AF$14,AF$19,),""),IF($I33=2,IFBLANK(_xldudf_CX_PUSH(AF33,CX_ENTITY,$B33,AF$11,AF$14,AF$19,),""),IF($I33=3,"",IFBLANK(_xldudf_CX_PUSH(AF33,CX_ENTITY,$B33,AF$11,AF$14,AF$19,),"")))))),"")</f>
        <v/>
      </c>
      <c r="DG33" s="2445" t="str" cm="1">
        <f t="array" ca="1" aca="1" ref="DG33">IFERROR(IF(AG33*fxVal_normal=_PL!AG33,"",IF(OR(AG33="",NOT(ISNUMBER(AG33)),ISERROR(AG33),$B33=""),"",IF($I33=1,IFBLANK(_xldudf_CX_PUSH(AG33*fxVal_normal,CX_ENTITY,$B33,AG$11,AG$14,AG$19,),""),IF($I33=2,IFBLANK(_xldudf_CX_PUSH(AG33,CX_ENTITY,$B33,AG$11,AG$14,AG$19,),""),IF($I33=3,"",IFBLANK(_xldudf_CX_PUSH(AG33,CX_ENTITY,$B33,AG$11,AG$14,AG$19,),"")))))),"")</f>
        <v/>
      </c>
      <c r="DH33" s="2445" t="str" cm="1">
        <f t="array" ca="1" aca="1" ref="DH33">IFERROR(IF(AH33*fxVal_normal=_PL!AH33,"",IF(OR(AH33="",NOT(ISNUMBER(AH33)),ISERROR(AH33),$B33=""),"",IF($I33=1,IFBLANK(_xldudf_CX_PUSH(AH33*fxVal_normal,CX_ENTITY,$B33,AH$11,AH$14,AH$19,),""),IF($I33=2,IFBLANK(_xldudf_CX_PUSH(AH33,CX_ENTITY,$B33,AH$11,AH$14,AH$19,),""),IF($I33=3,"",IFBLANK(_xldudf_CX_PUSH(AH33,CX_ENTITY,$B33,AH$11,AH$14,AH$19,),"")))))),"")</f>
        <v/>
      </c>
      <c r="DI33" s="2445" t="str" cm="1">
        <f t="array" ca="1" aca="1" ref="DI33">IFERROR(IF(AI33*fxVal_normal=_PL!AI33,"",IF(OR(AI33="",NOT(ISNUMBER(AI33)),ISERROR(AI33),$B33=""),"",IF($I33=1,IFBLANK(_xldudf_CX_PUSH(AI33*fxVal_normal,CX_ENTITY,$B33,AI$11,AI$14,AI$19,),""),IF($I33=2,IFBLANK(_xldudf_CX_PUSH(AI33,CX_ENTITY,$B33,AI$11,AI$14,AI$19,),""),IF($I33=3,"",IFBLANK(_xldudf_CX_PUSH(AI33,CX_ENTITY,$B33,AI$11,AI$14,AI$19,),"")))))),"")</f>
        <v/>
      </c>
      <c r="DJ33" s="2445" t="str" cm="1">
        <f t="array" ca="1" aca="1" ref="DJ33">IFERROR(IF(AJ33*fxVal_normal=_PL!AJ33,"",IF(OR(AJ33="",NOT(ISNUMBER(AJ33)),ISERROR(AJ33),$B33=""),"",IF($I33=1,IFBLANK(_xldudf_CX_PUSH(AJ33*fxVal_normal,CX_ENTITY,$B33,AJ$11,AJ$14,AJ$19,),""),IF($I33=2,IFBLANK(_xldudf_CX_PUSH(AJ33,CX_ENTITY,$B33,AJ$11,AJ$14,AJ$19,),""),IF($I33=3,"",IFBLANK(_xldudf_CX_PUSH(AJ33,CX_ENTITY,$B33,AJ$11,AJ$14,AJ$19,),"")))))),"")</f>
        <v/>
      </c>
      <c r="DK33" s="2445" t="str" cm="1">
        <f t="array" ca="1" aca="1" ref="DK33">IFERROR(IF(AK33*fxVal_normal=_PL!AK33,"",IF(OR(AK33="",NOT(ISNUMBER(AK33)),ISERROR(AK33),$B33=""),"",IF($I33=1,IFBLANK(_xldudf_CX_PUSH(AK33*fxVal_normal,CX_ENTITY,$B33,AK$11,AK$14,AK$19,),""),IF($I33=2,IFBLANK(_xldudf_CX_PUSH(AK33,CX_ENTITY,$B33,AK$11,AK$14,AK$19,),""),IF($I33=3,"",IFBLANK(_xldudf_CX_PUSH(AK33,CX_ENTITY,$B33,AK$11,AK$14,AK$19,),"")))))),"")</f>
        <v/>
      </c>
      <c r="DL33" s="2445" t="str" cm="1">
        <f t="array" ca="1" aca="1" ref="DL33">IFERROR(IF(AL33*fxVal_normal=_PL!AL33,"",IF(OR(AL33="",NOT(ISNUMBER(AL33)),ISERROR(AL33),$B33=""),"",IF($I33=1,IFBLANK(_xldudf_CX_PUSH(AL33*fxVal_normal,CX_ENTITY,$B33,AL$11,AL$14,AL$19,),""),IF($I33=2,IFBLANK(_xldudf_CX_PUSH(AL33,CX_ENTITY,$B33,AL$11,AL$14,AL$19,),""),IF($I33=3,"",IFBLANK(_xldudf_CX_PUSH(AL33,CX_ENTITY,$B33,AL$11,AL$14,AL$19,),"")))))),"")</f>
        <v/>
      </c>
      <c r="DM33" s="2445" t="str" cm="1">
        <f t="array" ca="1" aca="1" ref="DM33">IFERROR(IF(AM33*fxVal_normal=_PL!AM33,"",IF(OR(AM33="",NOT(ISNUMBER(AM33)),ISERROR(AM33),$B33=""),"",IF($I33=1,IFBLANK(_xldudf_CX_PUSH(AM33*fxVal_normal,CX_ENTITY,$B33,AM$11,AM$14,AM$19,),""),IF($I33=2,IFBLANK(_xldudf_CX_PUSH(AM33,CX_ENTITY,$B33,AM$11,AM$14,AM$19,),""),IF($I33=3,"",IFBLANK(_xldudf_CX_PUSH(AM33,CX_ENTITY,$B33,AM$11,AM$14,AM$19,),"")))))),"")</f>
        <v/>
      </c>
      <c r="DN33" s="2445" t="str" cm="1">
        <f t="array" ca="1" aca="1" ref="DN33">IFERROR(IF(AN33*fxVal_normal=_PL!AN33,"",IF(OR(AN33="",NOT(ISNUMBER(AN33)),ISERROR(AN33),$B33=""),"",IF($I33=1,IFBLANK(_xldudf_CX_PUSH(AN33*fxVal_normal,CX_ENTITY,$B33,AN$11,AN$14,AN$19,),""),IF($I33=2,IFBLANK(_xldudf_CX_PUSH(AN33,CX_ENTITY,$B33,AN$11,AN$14,AN$19,),""),IF($I33=3,"",IFBLANK(_xldudf_CX_PUSH(AN33,CX_ENTITY,$B33,AN$11,AN$14,AN$19,),"")))))),"")</f>
        <v/>
      </c>
      <c r="DO33" s="2445" t="str" cm="1">
        <f t="array" ca="1" aca="1" ref="DO33">IFERROR(IF(AO33*fxVal_normal=_PL!AO33,"",IF(OR(AO33="",NOT(ISNUMBER(AO33)),ISERROR(AO33),$B33=""),"",IF($I33=1,IFBLANK(_xldudf_CX_PUSH(AO33*fxVal_normal,CX_ENTITY,$B33,AO$11,AO$14,AO$19,),""),IF($I33=2,IFBLANK(_xldudf_CX_PUSH(AO33,CX_ENTITY,$B33,AO$11,AO$14,AO$19,),""),IF($I33=3,"",IFBLANK(_xldudf_CX_PUSH(AO33,CX_ENTITY,$B33,AO$11,AO$14,AO$19,),"")))))),"")</f>
        <v/>
      </c>
      <c r="DP33" s="2445" t="str" cm="1">
        <f t="array" ca="1" aca="1" ref="DP33">IFERROR(IF(AP33*fxVal_normal=_PL!AP33,"",IF(OR(AP33="",NOT(ISNUMBER(AP33)),ISERROR(AP33),$B33=""),"",IF($I33=1,IFBLANK(_xldudf_CX_PUSH(AP33*fxVal_normal,CX_ENTITY,$B33,AP$11,AP$14,AP$19,),""),IF($I33=2,IFBLANK(_xldudf_CX_PUSH(AP33,CX_ENTITY,$B33,AP$11,AP$14,AP$19,),""),IF($I33=3,"",IFBLANK(_xldudf_CX_PUSH(AP33,CX_ENTITY,$B33,AP$11,AP$14,AP$19,),"")))))),"")</f>
        <v/>
      </c>
      <c r="DQ33" s="2445" t="str" cm="1">
        <f t="array" ca="1" aca="1" ref="DQ33">IFERROR(IF(AQ33*fxVal_normal=_PL!AQ33,"",IF(OR(AQ33="",NOT(ISNUMBER(AQ33)),ISERROR(AQ33),$B33=""),"",IF($I33=1,IFBLANK(_xldudf_CX_PUSH(AQ33*fxVal_normal,CX_ENTITY,$B33,AQ$11,AQ$14,AQ$19,),""),IF($I33=2,IFBLANK(_xldudf_CX_PUSH(AQ33,CX_ENTITY,$B33,AQ$11,AQ$14,AQ$19,),""),IF($I33=3,"",IFBLANK(_xldudf_CX_PUSH(AQ33,CX_ENTITY,$B33,AQ$11,AQ$14,AQ$19,),"")))))),"")</f>
        <v/>
      </c>
      <c r="DR33" s="2445" t="str" cm="1">
        <f t="array" ca="1" aca="1" ref="DR33">IFERROR(IF(AR33*fxVal_normal=_PL!AR33,"",IF(OR(AR33="",NOT(ISNUMBER(AR33)),ISERROR(AR33),$B33=""),"",IF($I33=1,IFBLANK(_xldudf_CX_PUSH(AR33*fxVal_normal,CX_ENTITY,$B33,AR$11,AR$14,AR$19,),""),IF($I33=2,IFBLANK(_xldudf_CX_PUSH(AR33,CX_ENTITY,$B33,AR$11,AR$14,AR$19,),""),IF($I33=3,"",IFBLANK(_xldudf_CX_PUSH(AR33,CX_ENTITY,$B33,AR$11,AR$14,AR$19,),"")))))),"")</f>
        <v/>
      </c>
      <c r="DS33" s="2445" t="str" cm="1">
        <f t="array" ca="1" aca="1" ref="DS33">IFERROR(IF(AS33*fxVal_normal=_PL!AS33,"",IF(OR(AS33="",NOT(ISNUMBER(AS33)),ISERROR(AS33),$B33=""),"",IF($I33=1,IFBLANK(_xldudf_CX_PUSH(AS33*fxVal_normal,CX_ENTITY,$B33,AS$11,AS$14,AS$19,),""),IF($I33=2,IFBLANK(_xldudf_CX_PUSH(AS33,CX_ENTITY,$B33,AS$11,AS$14,AS$19,),""),IF($I33=3,"",IFBLANK(_xldudf_CX_PUSH(AS33,CX_ENTITY,$B33,AS$11,AS$14,AS$19,),"")))))),"")</f>
        <v/>
      </c>
      <c r="DT33" s="2445" t="str" cm="1">
        <f t="array" ca="1" aca="1" ref="DT33">IFERROR(IF(AT33*fxVal_normal=_PL!AT33,"",IF(OR(AT33="",NOT(ISNUMBER(AT33)),ISERROR(AT33),$B33=""),"",IF($I33=1,IFBLANK(_xldudf_CX_PUSH(AT33*fxVal_normal,CX_ENTITY,$B33,AT$11,AT$14,AT$19,),""),IF($I33=2,IFBLANK(_xldudf_CX_PUSH(AT33,CX_ENTITY,$B33,AT$11,AT$14,AT$19,),""),IF($I33=3,"",IFBLANK(_xldudf_CX_PUSH(AT33,CX_ENTITY,$B33,AT$11,AT$14,AT$19,),"")))))),"")</f>
        <v/>
      </c>
      <c r="DU33" s="2445" t="str" cm="1">
        <f t="array" ca="1" aca="1" ref="DU33">IFERROR(IF(AU33*fxVal_normal=_PL!AU33,"",IF(OR(AU33="",NOT(ISNUMBER(AU33)),ISERROR(AU33),$B33=""),"",IF($I33=1,IFBLANK(_xldudf_CX_PUSH(AU33*fxVal_normal,CX_ENTITY,$B33,AU$11,AU$14,AU$19,),""),IF($I33=2,IFBLANK(_xldudf_CX_PUSH(AU33,CX_ENTITY,$B33,AU$11,AU$14,AU$19,),""),IF($I33=3,"",IFBLANK(_xldudf_CX_PUSH(AU33,CX_ENTITY,$B33,AU$11,AU$14,AU$19,),"")))))),"")</f>
        <v/>
      </c>
      <c r="DV33" s="2445" t="str" cm="1">
        <f t="array" ca="1" aca="1" ref="DV33">IFERROR(IF(AV33*fxVal_normal=_PL!AV33,"",IF(OR(AV33="",NOT(ISNUMBER(AV33)),ISERROR(AV33),$B33=""),"",IF($I33=1,IFBLANK(_xldudf_CX_PUSH(AV33*fxVal_normal,CX_ENTITY,$B33,AV$11,AV$14,AV$19,),""),IF($I33=2,IFBLANK(_xldudf_CX_PUSH(AV33,CX_ENTITY,$B33,AV$11,AV$14,AV$19,),""),IF($I33=3,"",IFBLANK(_xldudf_CX_PUSH(AV33,CX_ENTITY,$B33,AV$11,AV$14,AV$19,),"")))))),"")</f>
        <v/>
      </c>
      <c r="DW33" s="2445" t="str" cm="1">
        <f t="array" ca="1" aca="1" ref="DW33">IFERROR(IF(AW33*fxVal_normal=_PL!AW33,"",IF(OR(AW33="",NOT(ISNUMBER(AW33)),ISERROR(AW33),$B33=""),"",IF($I33=1,IFBLANK(_xldudf_CX_PUSH(AW33*fxVal_normal,CX_ENTITY,$B33,AW$11,AW$14,AW$19,),""),IF($I33=2,IFBLANK(_xldudf_CX_PUSH(AW33,CX_ENTITY,$B33,AW$11,AW$14,AW$19,),""),IF($I33=3,"",IFBLANK(_xldudf_CX_PUSH(AW33,CX_ENTITY,$B33,AW$11,AW$14,AW$19,),"")))))),"")</f>
        <v/>
      </c>
      <c r="DX33" s="2445" t="str" cm="1">
        <f t="array" ca="1" aca="1" ref="DX33">IFERROR(IF(AX33*fxVal_normal=_PL!AX33,"",IF(OR(AX33="",NOT(ISNUMBER(AX33)),ISERROR(AX33),$B33=""),"",IF($I33=1,IFBLANK(_xldudf_CX_PUSH(AX33*fxVal_normal,CX_ENTITY,$B33,AX$11,AX$14,AX$19,),""),IF($I33=2,IFBLANK(_xldudf_CX_PUSH(AX33,CX_ENTITY,$B33,AX$11,AX$14,AX$19,),""),IF($I33=3,"",IFBLANK(_xldudf_CX_PUSH(AX33,CX_ENTITY,$B33,AX$11,AX$14,AX$19,),"")))))),"")</f>
        <v/>
      </c>
      <c r="DY33" s="2445" t="str" cm="1">
        <f t="array" ca="1" aca="1" ref="DY33">IFERROR(IF(AY33*fxVal_normal=_PL!AY33,"",IF(OR(AY33="",NOT(ISNUMBER(AY33)),ISERROR(AY33),$B33=""),"",IF($I33=1,IFBLANK(_xldudf_CX_PUSH(AY33*fxVal_normal,CX_ENTITY,$B33,AY$11,AY$14,AY$19,),""),IF($I33=2,IFBLANK(_xldudf_CX_PUSH(AY33,CX_ENTITY,$B33,AY$11,AY$14,AY$19,),""),IF($I33=3,"",IFBLANK(_xldudf_CX_PUSH(AY33,CX_ENTITY,$B33,AY$11,AY$14,AY$19,),"")))))),"")</f>
        <v/>
      </c>
      <c r="DZ33" s="2445" t="str" cm="1">
        <f t="array" ca="1" aca="1" ref="DZ33">IFERROR(IF(AZ33*fxVal_normal=_PL!AZ33,"",IF(OR(AZ33="",NOT(ISNUMBER(AZ33)),ISERROR(AZ33),$B33=""),"",IF($I33=1,IFBLANK(_xldudf_CX_PUSH(AZ33*fxVal_normal,CX_ENTITY,$B33,AZ$11,AZ$14,AZ$19,),""),IF($I33=2,IFBLANK(_xldudf_CX_PUSH(AZ33,CX_ENTITY,$B33,AZ$11,AZ$14,AZ$19,),""),IF($I33=3,"",IFBLANK(_xldudf_CX_PUSH(AZ33,CX_ENTITY,$B33,AZ$11,AZ$14,AZ$19,),"")))))),"")</f>
        <v/>
      </c>
      <c r="EA33" s="2445" t="str" cm="1">
        <f t="array" ca="1" aca="1" ref="EA33">IFERROR(IF(BA33*fxVal_normal=_PL!BA33,"",IF(OR(BA33="",NOT(ISNUMBER(BA33)),ISERROR(BA33),$B33=""),"",IF($I33=1,IFBLANK(_xldudf_CX_PUSH(BA33*fxVal_normal,CX_ENTITY,$B33,BA$11,BA$14,BA$19,),""),IF($I33=2,IFBLANK(_xldudf_CX_PUSH(BA33,CX_ENTITY,$B33,BA$11,BA$14,BA$19,),""),IF($I33=3,"",IFBLANK(_xldudf_CX_PUSH(BA33,CX_ENTITY,$B33,BA$11,BA$14,BA$19,),"")))))),"")</f>
        <v/>
      </c>
      <c r="EB33" s="2445" t="str" cm="1">
        <f t="array" ca="1" aca="1" ref="EB33">IFERROR(IF(BB33*fxVal_normal=_PL!BB33,"",IF(OR(BB33="",NOT(ISNUMBER(BB33)),ISERROR(BB33),$B33=""),"",IF($I33=1,IFBLANK(_xldudf_CX_PUSH(BB33*fxVal_normal,CX_ENTITY,$B33,BB$11,BB$14,BB$19,),""),IF($I33=2,IFBLANK(_xldudf_CX_PUSH(BB33,CX_ENTITY,$B33,BB$11,BB$14,BB$19,),""),IF($I33=3,"",IFBLANK(_xldudf_CX_PUSH(BB33,CX_ENTITY,$B33,BB$11,BB$14,BB$19,),"")))))),"")</f>
        <v/>
      </c>
      <c r="EC33" s="2445" t="str" cm="1">
        <f t="array" ca="1" aca="1" ref="EC33">IFERROR(IF(BC33*fxVal_normal=_PL!BC33,"",IF(OR(BC33="",NOT(ISNUMBER(BC33)),ISERROR(BC33),$B33=""),"",IF($I33=1,IFBLANK(_xldudf_CX_PUSH(BC33*fxVal_normal,CX_ENTITY,$B33,BC$11,BC$14,BC$19,),""),IF($I33=2,IFBLANK(_xldudf_CX_PUSH(BC33,CX_ENTITY,$B33,BC$11,BC$14,BC$19,),""),IF($I33=3,"",IFBLANK(_xldudf_CX_PUSH(BC33,CX_ENTITY,$B33,BC$11,BC$14,BC$19,),"")))))),"")</f>
        <v/>
      </c>
      <c r="ED33" s="2445" t="str" cm="1">
        <f t="array" ca="1" aca="1" ref="ED33">IFERROR(IF(BD33*fxVal_normal=_PL!BD33,"",IF(OR(BD33="",NOT(ISNUMBER(BD33)),ISERROR(BD33),$B33=""),"",IF($I33=1,IFBLANK(_xldudf_CX_PUSH(BD33*fxVal_normal,CX_ENTITY,$B33,BD$11,BD$14,BD$19,),""),IF($I33=2,IFBLANK(_xldudf_CX_PUSH(BD33,CX_ENTITY,$B33,BD$11,BD$14,BD$19,),""),IF($I33=3,"",IFBLANK(_xldudf_CX_PUSH(BD33,CX_ENTITY,$B33,BD$11,BD$14,BD$19,),"")))))),"")</f>
        <v/>
      </c>
      <c r="EE33" s="2445" t="str" cm="1">
        <f t="array" ca="1" aca="1" ref="EE33">IFERROR(IF(BE33*fxVal_normal=_PL!BE33,"",IF(OR(BE33="",NOT(ISNUMBER(BE33)),ISERROR(BE33),$B33=""),"",IF($I33=1,IFBLANK(_xldudf_CX_PUSH(BE33*fxVal_normal,CX_ENTITY,$B33,BE$11,BE$14,BE$19,),""),IF($I33=2,IFBLANK(_xldudf_CX_PUSH(BE33,CX_ENTITY,$B33,BE$11,BE$14,BE$19,),""),IF($I33=3,"",IFBLANK(_xldudf_CX_PUSH(BE33,CX_ENTITY,$B33,BE$11,BE$14,BE$19,),"")))))),"")</f>
        <v/>
      </c>
      <c r="EF33" s="2445" t="str" cm="1">
        <f t="array" ca="1" aca="1" ref="EF33">IFERROR(IF(BF33*fxVal_normal=_PL!BF33,"",IF(OR(BF33="",NOT(ISNUMBER(BF33)),ISERROR(BF33),$B33=""),"",IF($I33=1,IFBLANK(_xldudf_CX_PUSH(BF33*fxVal_normal,CX_ENTITY,$B33,BF$11,BF$14,BF$19,),""),IF($I33=2,IFBLANK(_xldudf_CX_PUSH(BF33,CX_ENTITY,$B33,BF$11,BF$14,BF$19,),""),IF($I33=3,"",IFBLANK(_xldudf_CX_PUSH(BF33,CX_ENTITY,$B33,BF$11,BF$14,BF$19,),"")))))),"")</f>
        <v/>
      </c>
      <c r="EG33" s="2445" t="str" cm="1">
        <f t="array" ca="1" aca="1" ref="EG33">IFERROR(IF(BG33*fxVal_normal=_PL!BG33,"",IF(OR(BG33="",NOT(ISNUMBER(BG33)),ISERROR(BG33),$B33=""),"",IF($I33=1,IFBLANK(_xldudf_CX_PUSH(BG33*fxVal_normal,CX_ENTITY,$B33,BG$11,BG$14,BG$19,),""),IF($I33=2,IFBLANK(_xldudf_CX_PUSH(BG33,CX_ENTITY,$B33,BG$11,BG$14,BG$19,),""),IF($I33=3,"",IFBLANK(_xldudf_CX_PUSH(BG33,CX_ENTITY,$B33,BG$11,BG$14,BG$19,),"")))))),"")</f>
        <v/>
      </c>
      <c r="EH33" s="2445" t="str" cm="1">
        <f t="array" ca="1" aca="1" ref="EH33">IFERROR(IF(BH33*fxVal_normal=_PL!BH33,"",IF(OR(BH33="",NOT(ISNUMBER(BH33)),ISERROR(BH33),$B33=""),"",IF($I33=1,IFBLANK(_xldudf_CX_PUSH(BH33*fxVal_normal,CX_ENTITY,$B33,BH$11,BH$14,BH$19,),""),IF($I33=2,IFBLANK(_xldudf_CX_PUSH(BH33,CX_ENTITY,$B33,BH$11,BH$14,BH$19,),""),IF($I33=3,"",IFBLANK(_xldudf_CX_PUSH(BH33,CX_ENTITY,$B33,BH$11,BH$14,BH$19,),"")))))),"")</f>
        <v/>
      </c>
      <c r="EI33" s="2445" t="str" cm="1">
        <f t="array" ca="1" aca="1" ref="EI33">IFERROR(IF(BI33*fxVal_normal=_PL!BI33,"",IF(OR(BI33="",NOT(ISNUMBER(BI33)),ISERROR(BI33),$B33=""),"",IF($I33=1,IFBLANK(_xldudf_CX_PUSH(BI33*fxVal_normal,CX_ENTITY,$B33,BI$11,BI$14,BI$19,),""),IF($I33=2,IFBLANK(_xldudf_CX_PUSH(BI33,CX_ENTITY,$B33,BI$11,BI$14,BI$19,),""),IF($I33=3,"",IFBLANK(_xldudf_CX_PUSH(BI33,CX_ENTITY,$B33,BI$11,BI$14,BI$19,),"")))))),"")</f>
        <v/>
      </c>
      <c r="EJ33" s="2445" t="str" cm="1">
        <f t="array" ca="1" aca="1" ref="EJ33">IFERROR(IF(BJ33*fxVal_normal=_PL!BJ33,"",IF(OR(BJ33="",NOT(ISNUMBER(BJ33)),ISERROR(BJ33),$B33=""),"",IF($I33=1,IFBLANK(_xldudf_CX_PUSH(BJ33*fxVal_normal,CX_ENTITY,$B33,BJ$11,BJ$14,BJ$19,),""),IF($I33=2,IFBLANK(_xldudf_CX_PUSH(BJ33,CX_ENTITY,$B33,BJ$11,BJ$14,BJ$19,),""),IF($I33=3,"",IFBLANK(_xldudf_CX_PUSH(BJ33,CX_ENTITY,$B33,BJ$11,BJ$14,BJ$19,),"")))))),"")</f>
        <v/>
      </c>
      <c r="EK33" s="2445" t="str" cm="1">
        <f t="array" ca="1" aca="1" ref="EK33">IFERROR(IF(BK33*fxVal_normal=_PL!BK33,"",IF(OR(BK33="",NOT(ISNUMBER(BK33)),ISERROR(BK33),$B33=""),"",IF($I33=1,IFBLANK(_xldudf_CX_PUSH(BK33*fxVal_normal,CX_ENTITY,$B33,BK$11,BK$14,BK$19,),""),IF($I33=2,IFBLANK(_xldudf_CX_PUSH(BK33,CX_ENTITY,$B33,BK$11,BK$14,BK$19,),""),IF($I33=3,"",IFBLANK(_xldudf_CX_PUSH(BK33,CX_ENTITY,$B33,BK$11,BK$14,BK$19,),"")))))),"")</f>
        <v/>
      </c>
      <c r="EL33" s="2445" t="str" cm="1">
        <f t="array" ca="1" aca="1" ref="EL33">IFERROR(IF(BL33*fxVal_normal=_PL!BL33,"",IF(OR(BL33="",NOT(ISNUMBER(BL33)),ISERROR(BL33),$B33=""),"",IF($I33=1,IFBLANK(_xldudf_CX_PUSH(BL33*fxVal_normal,CX_ENTITY,$B33,BL$11,BL$14,BL$19,),""),IF($I33=2,IFBLANK(_xldudf_CX_PUSH(BL33,CX_ENTITY,$B33,BL$11,BL$14,BL$19,),""),IF($I33=3,"",IFBLANK(_xldudf_CX_PUSH(BL33,CX_ENTITY,$B33,BL$11,BL$14,BL$19,),"")))))),"")</f>
        <v/>
      </c>
      <c r="EM33" s="2445" t="str" cm="1">
        <f t="array" ca="1" aca="1" ref="EM33">IFERROR(IF(BM33*fxVal_normal=_PL!BM33,"",IF(OR(BM33="",NOT(ISNUMBER(BM33)),ISERROR(BM33),$B33=""),"",IF($I33=1,IFBLANK(_xldudf_CX_PUSH(BM33*fxVal_normal,CX_ENTITY,$B33,BM$11,BM$14,BM$19,),""),IF($I33=2,IFBLANK(_xldudf_CX_PUSH(BM33,CX_ENTITY,$B33,BM$11,BM$14,BM$19,),""),IF($I33=3,"",IFBLANK(_xldudf_CX_PUSH(BM33,CX_ENTITY,$B33,BM$11,BM$14,BM$19,),"")))))),"")</f>
        <v/>
      </c>
      <c r="EN33" s="2445" t="str" cm="1">
        <f t="array" ca="1" aca="1" ref="EN33">IFERROR(IF(BN33*fxVal_normal=_PL!BN33,"",IF(OR(BN33="",NOT(ISNUMBER(BN33)),ISERROR(BN33),$B33=""),"",IF($I33=1,IFBLANK(_xldudf_CX_PUSH(BN33*fxVal_normal,CX_ENTITY,$B33,BN$11,BN$14,BN$19,),""),IF($I33=2,IFBLANK(_xldudf_CX_PUSH(BN33,CX_ENTITY,$B33,BN$11,BN$14,BN$19,),""),IF($I33=3,"",IFBLANK(_xldudf_CX_PUSH(BN33,CX_ENTITY,$B33,BN$11,BN$14,BN$19,),"")))))),"")</f>
        <v/>
      </c>
    </row>
    <row r="34" spans="1:144" ht="21" customHeight="1">
      <c r="A34" s="1625"/>
      <c r="B34" s="2439" t="str">
        <f ca="1">_xlfn.LET(_xlpm.IsNotAttrDynamic,D34="",_xlpm.Attr,_PL!F34,_xlpm.NotInUse,Y34=D34,_xlpm.RESULT,IF(_xlpm.IsNotAttrDynamic,_xlpm.Attr,IF(_xlpm.NotInUse,"",Y34)),IF(_xlpm.RESULT="","",_xlpm.RESULT))</f>
        <v>Reported EBITA</v>
      </c>
      <c r="C34" s="2439" t="str" cm="1">
        <f t="array" ref="C34">IFBLANK(_PL!C34,"")</f>
        <v>Reported EBITA (Company View)</v>
      </c>
      <c r="D34" s="1548"/>
      <c r="E34" s="2440" t="e" cm="1">
        <f t="array" ca="1" aca="1" ref="E3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34:$CQ34,Z34)</f>
        <v>#NAME?</v>
      </c>
      <c r="F34" s="1897"/>
      <c r="G34" s="1897"/>
      <c r="H34" s="3280">
        <v>2</v>
      </c>
      <c r="I34" s="3280">
        <v>1</v>
      </c>
      <c r="J34" s="401" cm="1">
        <f t="array" ref="J34">IFBLANK(Z34,"")</f>
        <v>0</v>
      </c>
      <c r="K34" s="578" t="str">
        <f t="shared" si="3"/>
        <v>Yes</v>
      </c>
      <c r="L34" s="37"/>
      <c r="N34" s="158"/>
      <c r="O34" s="101"/>
      <c r="P34" s="52"/>
      <c r="Q34" s="101"/>
      <c r="R34" s="126"/>
      <c r="S34" s="101"/>
      <c r="T34" s="101"/>
      <c r="U34" s="39"/>
      <c r="V34" s="37"/>
      <c r="W34" s="91" t="str">
        <f t="shared" si="4"/>
        <v>Actual</v>
      </c>
      <c r="X34" s="2081">
        <f>_PL!X34</f>
        <v>0</v>
      </c>
      <c r="Y34" s="1196" t="e">
        <f ca="1">IF(_PL!Y34="Error","",_PL!Y34)</f>
        <v>#NAME?</v>
      </c>
      <c r="Z34" s="198" cm="1">
        <f t="array" ref="Z34">_xlfn.SWITCH(TRUE,_PL!$L34=TRUE,1,_PL!$L34=FALSE,-1,_PL!$L34=-1,0,"")</f>
        <v>0</v>
      </c>
      <c r="AA34" s="200"/>
      <c r="AB34" s="301" t="str">
        <f>_PL!AB34</f>
        <v>Reported EBITA</v>
      </c>
      <c r="AC34" s="275" t="str" cm="1">
        <f t="array" ca="1" aca="1" ref="AC34">_xlfn.LET(_xlpm._termname,$AB34,_xlpm._iconname,"find",_xlpm._icon,fx_getIcon(_xlpm._iconname),_xlpm._location,_xlfn.XLOOKUP(LOWER(_xlpm._termname),LOWER(tbl_acctDef[Term]),tbl_acctDef[Term]),_xlpm._hyperlink,HYPERLINK("#"&amp;CELL("address",_xlpm._location),_xlpm._icon),IFERROR(_xlpm._hyperlink,""))</f>
        <v/>
      </c>
      <c r="AD34" s="1210">
        <f t="shared" si="11" ref="AD34:BN34">SUBTOTAL(9,AD20:AD33)-SUBTOTAL(9,AD26:AD31)-N(AD23)</f>
        <v>4</v>
      </c>
      <c r="AE34" s="1210">
        <f t="shared" si="11"/>
        <v>4</v>
      </c>
      <c r="AF34" s="1210">
        <f t="shared" si="11"/>
        <v>4</v>
      </c>
      <c r="AG34" s="1210">
        <f t="shared" si="11"/>
        <v>4</v>
      </c>
      <c r="AH34" s="1210">
        <f t="shared" si="11"/>
        <v>4</v>
      </c>
      <c r="AI34" s="1210">
        <f t="shared" si="11"/>
        <v>4</v>
      </c>
      <c r="AJ34" s="1210">
        <f t="shared" si="11"/>
        <v>4</v>
      </c>
      <c r="AK34" s="1210">
        <f t="shared" si="11"/>
        <v>4</v>
      </c>
      <c r="AL34" s="1210">
        <f t="shared" si="11"/>
        <v>4</v>
      </c>
      <c r="AM34" s="1210">
        <f t="shared" si="11"/>
        <v>4</v>
      </c>
      <c r="AN34" s="1210">
        <f t="shared" si="11"/>
        <v>4</v>
      </c>
      <c r="AO34" s="1210">
        <f t="shared" si="11"/>
        <v>4</v>
      </c>
      <c r="AP34" s="1210">
        <f t="shared" si="11"/>
        <v>4</v>
      </c>
      <c r="AQ34" s="1210">
        <f t="shared" si="11"/>
        <v>4</v>
      </c>
      <c r="AR34" s="1210">
        <f t="shared" si="11"/>
        <v>4</v>
      </c>
      <c r="AS34" s="1210">
        <f t="shared" si="11"/>
        <v>4</v>
      </c>
      <c r="AT34" s="1210">
        <f t="shared" si="11"/>
        <v>4</v>
      </c>
      <c r="AU34" s="1210">
        <f t="shared" si="11"/>
        <v>4</v>
      </c>
      <c r="AV34" s="1210">
        <f t="shared" si="11"/>
        <v>4</v>
      </c>
      <c r="AW34" s="1210">
        <f t="shared" si="11"/>
        <v>4</v>
      </c>
      <c r="AX34" s="1210">
        <f t="shared" si="11"/>
        <v>4</v>
      </c>
      <c r="AY34" s="1210">
        <f t="shared" si="11"/>
        <v>4</v>
      </c>
      <c r="AZ34" s="1210">
        <f t="shared" si="11"/>
        <v>4</v>
      </c>
      <c r="BA34" s="1210">
        <f t="shared" si="11"/>
        <v>4</v>
      </c>
      <c r="BB34" s="1210">
        <f t="shared" si="11"/>
        <v>4</v>
      </c>
      <c r="BC34" s="1210">
        <f t="shared" si="11"/>
        <v>4</v>
      </c>
      <c r="BD34" s="1210">
        <f t="shared" si="11"/>
        <v>4</v>
      </c>
      <c r="BE34" s="1210">
        <f t="shared" si="11"/>
        <v>4</v>
      </c>
      <c r="BF34" s="1210">
        <f t="shared" si="11"/>
        <v>4</v>
      </c>
      <c r="BG34" s="1210">
        <f t="shared" si="11"/>
        <v>4</v>
      </c>
      <c r="BH34" s="1210">
        <f t="shared" si="11"/>
        <v>4</v>
      </c>
      <c r="BI34" s="1210">
        <f t="shared" si="11"/>
        <v>4</v>
      </c>
      <c r="BJ34" s="1210">
        <f t="shared" si="11"/>
        <v>4</v>
      </c>
      <c r="BK34" s="1210">
        <f t="shared" si="11"/>
        <v>4</v>
      </c>
      <c r="BL34" s="1210">
        <f t="shared" si="11"/>
        <v>4</v>
      </c>
      <c r="BM34" s="1210">
        <f t="shared" si="11"/>
        <v>4</v>
      </c>
      <c r="BN34" s="1210">
        <f t="shared" si="11"/>
        <v>4</v>
      </c>
      <c r="BO34" s="2096"/>
      <c r="BP34" s="2096"/>
      <c r="BQ34" s="2096"/>
      <c r="BR34" s="2096"/>
      <c r="BS34" s="2096"/>
      <c r="BT34" s="2096"/>
      <c r="BU34" s="2096"/>
      <c r="BV34" s="2096"/>
      <c r="BW34" s="2096"/>
      <c r="BX34" s="2096"/>
      <c r="BY34" s="2096"/>
      <c r="BZ34" s="2096"/>
      <c r="CA34" s="34"/>
      <c r="CC34" s="33"/>
      <c r="CD34" s="1772" t="e" cm="1">
        <f t="array" ca="1" aca="1" ref="CD34">_xlfn.LET(_xlpm.CheckBlank,SUM(PL!$AD34:PL!$BN34)=0,IF(_xlpm.CheckBlank,"",SUM(_xlfn._xlws.FILTER(PL!$AD34:$BN34,(YEAR(PL!$AD$12:$BN$12)=PL!CD$12)*(array_timeline&lt;=PL!CD$11)))))</f>
        <v>#NAME?</v>
      </c>
      <c r="CE34" s="1772" t="e" cm="1">
        <f t="array" ca="1" aca="1" ref="CE34">_xlfn.LET(_xlpm.CheckBlank,SUM(PL!$AD34:PL!$BN34)=0,IF(_xlpm.CheckBlank,"",SUM(_xlfn._xlws.FILTER(PL!$AD34:$BN34,(YEAR(PL!$AD$12:$BN$12)=PL!CE$12)*(array_timeline&lt;=PL!CE$11)))))</f>
        <v>#NAME?</v>
      </c>
      <c r="CF34" s="88"/>
      <c r="CG34" s="1461" t="str" cm="1">
        <f t="array" ca="1" aca="1" ref="CG34">IFERROR(_xlfn.LET(_xlpm.CheckBlank,SUM(PL!$AD34:$BN34)=0,IF(_xlpm.CheckBlank,"",SUM(_xlfn._xlws.FILTER(PL!$AD34:$BN34,(YEAR(PL!$AD$12:$BN$12)=PL!CG$12)*(array_timeline&lt;=PL!CG$11))))),"n/a")</f>
        <v>n/a</v>
      </c>
      <c r="CH34" s="1461" t="e" cm="1">
        <f t="array" ca="1" aca="1" ref="CH34">_xlfn.LET(_xlpm.CheckBlank,SUM(PL!$AD34:$BN34)=0,IF(_xlpm.CheckBlank,"",SUM(_xlfn._xlws.FILTER(PL!$AD34:$BN34,(YEAR(PL!$AD$12:$BN$12)=PL!CH$12)*(array_timeline&lt;=PL!CH$11)))))</f>
        <v>#NAME?</v>
      </c>
      <c r="CI34" s="88"/>
      <c r="CJ34" s="1461" cm="1">
        <f t="array" ref="CJ34">_xlfn.LET(_xlpm.CheckBlank,SUM(PL!$AD34:$BN34)=0,IF(_xlpm.CheckBlank,"",SUM(_xlfn.TAKE(_xlfn.DROP(PL!$AD34:$BN34,,-DATEDIFF(PL!CJ$11,val_asOfDate,"M")),1,-12))))</f>
        <v>48</v>
      </c>
      <c r="CK34" s="1461" cm="1">
        <f t="array" ref="CK34">_xlfn.LET(_xlpm.CheckBlank,SUM(PL!$AD34:$BN34)=0,IF(_xlpm.CheckBlank,"",SUM(_xlfn.TAKE(_xlfn.DROP(PL!$AD34:$BN34,,-DATEDIFF(PL!CK$11,val_asOfDate,"M")),1,-12))))</f>
        <v>48</v>
      </c>
      <c r="CL34" s="88"/>
      <c r="CM34" s="2446">
        <f>SUBTOTAL(9,CM20:CM33)-SUBTOTAL(9,CM26:CM31)-N(CM23)</f>
        <v>4</v>
      </c>
      <c r="CN34" s="2446">
        <f>SUBTOTAL(9,CN20:CN33)-SUBTOTAL(9,CN26:CN31)-N(CN23)</f>
        <v>4</v>
      </c>
      <c r="CO34" s="1169"/>
      <c r="CP34" s="2446">
        <f>SUBTOTAL(9,CP20:CP33)-SUBTOTAL(9,CP26:CP31)-N(CP23)</f>
        <v>4</v>
      </c>
      <c r="CQ34" s="2446">
        <f>SUBTOTAL(9,CQ20:CQ33)-SUBTOTAL(9,CQ26:CQ31)-N(CQ23)</f>
        <v>4</v>
      </c>
      <c r="CR34" s="34"/>
      <c r="CS34" s="2056"/>
      <c r="CT34" s="2085" t="e" cm="1">
        <f t="array" ca="1" aca="1" ref="CT34">IF(K34&lt;&gt;"Yes","",IF(OR(Y34="Select,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III"),"",IF(OR(Y34&lt;&gt;AB34,AND(LEN(B34)=0,NOT(OR(Y34="Select,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III")))),_xldudf_CX_PUSH(Y34,CX_ENTITY,C34,EOMONTH(val_asOfDate,0)),"")))</f>
        <v>#NAME?</v>
      </c>
      <c r="CU34" s="2085" t="e" cm="1">
        <f t="array" ca="1" aca="1" ref="CU34">IF(K34&lt;&gt;"Yes","",IF(OR(Y34="Select,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III"),"",IF(OR(Y34&lt;&gt;AB34,AND(LEN(B34)=0,NOT(OR(Y34="Select,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III")))),_xldudf_CX_PUSH(Y34,CX_ENTITY,C34,EOMONTH(val_asOfDate,1)),"")))</f>
        <v>#NAME?</v>
      </c>
      <c r="CV34" s="2085" t="e" cm="1">
        <f t="array" ca="1" aca="1" ref="CV34">IF(K34&lt;&gt;"Yes","",IF(OR(Y34="Select,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III"),"",IF(OR(Y34&lt;&gt;AB34,AND(LEN(B34)=0,NOT(OR(Y34="Select,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III")))),_xldudf_CX_PUSH(Y34,CX_ENTITY,C34,EOMONTH(val_asOfDate,2)),"")))</f>
        <v>#NAME?</v>
      </c>
      <c r="CW34" s="2085" t="e" cm="1">
        <f t="array" ca="1" aca="1" ref="CW34">IF(K34&lt;&gt;"Yes","",IF(OR(Y34="Select,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III"),"",IF(OR(Y34&lt;&gt;AB34,AND(LEN(B34)=0,NOT(OR(Y34="Select,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III")))),_xldudf_CX_PUSH(Y34,CX_ENTITY,C34,EOMONTH(val_asOfDate,3)),"")))</f>
        <v>#NAME?</v>
      </c>
      <c r="CX34" s="2443"/>
      <c r="CY34" s="2444" t="str" cm="1">
        <f t="array" ca="1" aca="1" ref="CY34">IFERROR(IF(CM34*fxVal_normal=_PL!CM34,"",IF(OR($CM34="",$CM34=0,NOT(ISNUMBER($CM34)),ISERROR($CM34),$B34=""),"",IF($I34=1,IFBLANK(_xldudf_CX_PUSH($CM34*fxVal_normal,CX_ENTITY,$B34,$CM$11,$CM$14,$CM$19,),""),IF($I34=2,IFBLANK(_xldudf_CX_PUSH($CM34,CX_ENTITY,$B34,$CM$11,$CM$14,$CM$19,),""),IF($I34=3,"",IFBLANK(_xldudf_CX_PUSH($CM34,CX_ENTITY,$B34,$CM$11,$CM$14,$CM$19,),"")))))),"")</f>
        <v/>
      </c>
      <c r="CZ34" s="2444" t="str" cm="1">
        <f t="array" ca="1" aca="1" ref="CZ34">IFERROR(IF(CN34*fxVal_normal=_PL!CN34,"",IF(OR($CN34="",$CN34=0,NOT(ISNUMBER($CN34)),ISERROR($CN34),$B34=""),"",IF($I34=1,IFBLANK(_xldudf_CX_PUSH($CN34*fxVal_normal,CX_ENTITY,$B34,$CN$11,$CN$14,$CN$19,),""),IF($I34=2,IFBLANK(_xldudf_CX_PUSH($CN34,CX_ENTITY,$B34,$CN$11,$CN$14,$CN$19,),""),IF($I34=3,"",IFBLANK(_xldudf_CX_PUSH($CN34,CX_ENTITY,$B34,$CN$11,$CN$14,$CN$19,),"")))))),"")</f>
        <v/>
      </c>
      <c r="DA34" s="2444" t="str" cm="1">
        <f t="array" ca="1" aca="1" ref="DA34">IFERROR(IF(CP34*fxVal_normal=_PL!CP34,"",IF(OR($CP34="",$CP34=0,NOT(ISNUMBER($CP34)),ISERROR($CP34),$B34=""),"",IF($I34=1,IFBLANK(_xldudf_CX_PUSH($CP34*fxVal_normal,CX_ENTITY,$B34,$CP$11,$CP$14,$CP$19,),""),IF($I34=2,IFBLANK(_xldudf_CX_PUSH($CP34,CX_ENTITY,$B34,$CP$11,$CP$14,$CP$19,),""),IF($I34=3,"",IFBLANK(_xldudf_CX_PUSH($CP34,CX_ENTITY,$B34,$CP$11,$CP$14,$CP$19,),"")))))),"")</f>
        <v/>
      </c>
      <c r="DB34" s="2444" t="str" cm="1">
        <f t="array" ca="1" aca="1" ref="DB34">IFERROR(IF(CQ34*fxVal_normal=_PL!CQ34,"",IF(OR($CQ34="",$CQ34=0,NOT(ISNUMBER($CQ34)),ISERROR($CQ34),$B34=""),"",IF($I34=1,IFBLANK(_xldudf_CX_PUSH($CQ34*fxVal_normal,CX_ENTITY,$B34,$CQ$11,$CQ$14,$CQ$19,),""),IF($I34=2,IFBLANK(_xldudf_CX_PUSH($CQ34,CX_ENTITY,$B34,$CQ$11,$CQ$14,$CQ$19,),""),IF($I34=3,"",IFBLANK(_xldudf_CX_PUSH($CQ34,CX_ENTITY,$B34,$CQ$11,$CQ$14,$CQ$19,),"")))))),"")</f>
        <v/>
      </c>
      <c r="DC34" s="2443"/>
      <c r="DD34" s="2445" t="str" cm="1">
        <f t="array" ca="1" aca="1" ref="DD34">IFERROR(IF(AD34*fxVal_normal=_PL!AD34,"",IF(OR(AD34="",NOT(ISNUMBER(AD34)),ISERROR(AD34),$B34=""),"",IF($I34=1,IFBLANK(_xldudf_CX_PUSH(AD34*fxVal_normal,CX_ENTITY,$B34,AD$11,AD$14,AD$19,),""),IF($I34=2,IFBLANK(_xldudf_CX_PUSH(AD34,CX_ENTITY,$B34,AD$11,AD$14,AD$19,),""),IF($I34=3,"",IFBLANK(_xldudf_CX_PUSH(AD34,CX_ENTITY,$B34,AD$11,AD$14,AD$19,),"")))))),"")</f>
        <v/>
      </c>
      <c r="DE34" s="2445" t="str" cm="1">
        <f t="array" ca="1" aca="1" ref="DE34">IFERROR(IF(AE34*fxVal_normal=_PL!AE34,"",IF(OR(AE34="",NOT(ISNUMBER(AE34)),ISERROR(AE34),$B34=""),"",IF($I34=1,IFBLANK(_xldudf_CX_PUSH(AE34*fxVal_normal,CX_ENTITY,$B34,AE$11,AE$14,AE$19,),""),IF($I34=2,IFBLANK(_xldudf_CX_PUSH(AE34,CX_ENTITY,$B34,AE$11,AE$14,AE$19,),""),IF($I34=3,"",IFBLANK(_xldudf_CX_PUSH(AE34,CX_ENTITY,$B34,AE$11,AE$14,AE$19,),"")))))),"")</f>
        <v/>
      </c>
      <c r="DF34" s="2445" t="str" cm="1">
        <f t="array" ca="1" aca="1" ref="DF34">IFERROR(IF(AF34*fxVal_normal=_PL!AF34,"",IF(OR(AF34="",NOT(ISNUMBER(AF34)),ISERROR(AF34),$B34=""),"",IF($I34=1,IFBLANK(_xldudf_CX_PUSH(AF34*fxVal_normal,CX_ENTITY,$B34,AF$11,AF$14,AF$19,),""),IF($I34=2,IFBLANK(_xldudf_CX_PUSH(AF34,CX_ENTITY,$B34,AF$11,AF$14,AF$19,),""),IF($I34=3,"",IFBLANK(_xldudf_CX_PUSH(AF34,CX_ENTITY,$B34,AF$11,AF$14,AF$19,),"")))))),"")</f>
        <v/>
      </c>
      <c r="DG34" s="2445" t="str" cm="1">
        <f t="array" ca="1" aca="1" ref="DG34">IFERROR(IF(AG34*fxVal_normal=_PL!AG34,"",IF(OR(AG34="",NOT(ISNUMBER(AG34)),ISERROR(AG34),$B34=""),"",IF($I34=1,IFBLANK(_xldudf_CX_PUSH(AG34*fxVal_normal,CX_ENTITY,$B34,AG$11,AG$14,AG$19,),""),IF($I34=2,IFBLANK(_xldudf_CX_PUSH(AG34,CX_ENTITY,$B34,AG$11,AG$14,AG$19,),""),IF($I34=3,"",IFBLANK(_xldudf_CX_PUSH(AG34,CX_ENTITY,$B34,AG$11,AG$14,AG$19,),"")))))),"")</f>
        <v/>
      </c>
      <c r="DH34" s="2445" t="str" cm="1">
        <f t="array" ca="1" aca="1" ref="DH34">IFERROR(IF(AH34*fxVal_normal=_PL!AH34,"",IF(OR(AH34="",NOT(ISNUMBER(AH34)),ISERROR(AH34),$B34=""),"",IF($I34=1,IFBLANK(_xldudf_CX_PUSH(AH34*fxVal_normal,CX_ENTITY,$B34,AH$11,AH$14,AH$19,),""),IF($I34=2,IFBLANK(_xldudf_CX_PUSH(AH34,CX_ENTITY,$B34,AH$11,AH$14,AH$19,),""),IF($I34=3,"",IFBLANK(_xldudf_CX_PUSH(AH34,CX_ENTITY,$B34,AH$11,AH$14,AH$19,),"")))))),"")</f>
        <v/>
      </c>
      <c r="DI34" s="2445" t="str" cm="1">
        <f t="array" ca="1" aca="1" ref="DI34">IFERROR(IF(AI34*fxVal_normal=_PL!AI34,"",IF(OR(AI34="",NOT(ISNUMBER(AI34)),ISERROR(AI34),$B34=""),"",IF($I34=1,IFBLANK(_xldudf_CX_PUSH(AI34*fxVal_normal,CX_ENTITY,$B34,AI$11,AI$14,AI$19,),""),IF($I34=2,IFBLANK(_xldudf_CX_PUSH(AI34,CX_ENTITY,$B34,AI$11,AI$14,AI$19,),""),IF($I34=3,"",IFBLANK(_xldudf_CX_PUSH(AI34,CX_ENTITY,$B34,AI$11,AI$14,AI$19,),"")))))),"")</f>
        <v/>
      </c>
      <c r="DJ34" s="2445" t="str" cm="1">
        <f t="array" ca="1" aca="1" ref="DJ34">IFERROR(IF(AJ34*fxVal_normal=_PL!AJ34,"",IF(OR(AJ34="",NOT(ISNUMBER(AJ34)),ISERROR(AJ34),$B34=""),"",IF($I34=1,IFBLANK(_xldudf_CX_PUSH(AJ34*fxVal_normal,CX_ENTITY,$B34,AJ$11,AJ$14,AJ$19,),""),IF($I34=2,IFBLANK(_xldudf_CX_PUSH(AJ34,CX_ENTITY,$B34,AJ$11,AJ$14,AJ$19,),""),IF($I34=3,"",IFBLANK(_xldudf_CX_PUSH(AJ34,CX_ENTITY,$B34,AJ$11,AJ$14,AJ$19,),"")))))),"")</f>
        <v/>
      </c>
      <c r="DK34" s="2445" t="str" cm="1">
        <f t="array" ca="1" aca="1" ref="DK34">IFERROR(IF(AK34*fxVal_normal=_PL!AK34,"",IF(OR(AK34="",NOT(ISNUMBER(AK34)),ISERROR(AK34),$B34=""),"",IF($I34=1,IFBLANK(_xldudf_CX_PUSH(AK34*fxVal_normal,CX_ENTITY,$B34,AK$11,AK$14,AK$19,),""),IF($I34=2,IFBLANK(_xldudf_CX_PUSH(AK34,CX_ENTITY,$B34,AK$11,AK$14,AK$19,),""),IF($I34=3,"",IFBLANK(_xldudf_CX_PUSH(AK34,CX_ENTITY,$B34,AK$11,AK$14,AK$19,),"")))))),"")</f>
        <v/>
      </c>
      <c r="DL34" s="2445" t="str" cm="1">
        <f t="array" ca="1" aca="1" ref="DL34">IFERROR(IF(AL34*fxVal_normal=_PL!AL34,"",IF(OR(AL34="",NOT(ISNUMBER(AL34)),ISERROR(AL34),$B34=""),"",IF($I34=1,IFBLANK(_xldudf_CX_PUSH(AL34*fxVal_normal,CX_ENTITY,$B34,AL$11,AL$14,AL$19,),""),IF($I34=2,IFBLANK(_xldudf_CX_PUSH(AL34,CX_ENTITY,$B34,AL$11,AL$14,AL$19,),""),IF($I34=3,"",IFBLANK(_xldudf_CX_PUSH(AL34,CX_ENTITY,$B34,AL$11,AL$14,AL$19,),"")))))),"")</f>
        <v/>
      </c>
      <c r="DM34" s="2445" t="str" cm="1">
        <f t="array" ca="1" aca="1" ref="DM34">IFERROR(IF(AM34*fxVal_normal=_PL!AM34,"",IF(OR(AM34="",NOT(ISNUMBER(AM34)),ISERROR(AM34),$B34=""),"",IF($I34=1,IFBLANK(_xldudf_CX_PUSH(AM34*fxVal_normal,CX_ENTITY,$B34,AM$11,AM$14,AM$19,),""),IF($I34=2,IFBLANK(_xldudf_CX_PUSH(AM34,CX_ENTITY,$B34,AM$11,AM$14,AM$19,),""),IF($I34=3,"",IFBLANK(_xldudf_CX_PUSH(AM34,CX_ENTITY,$B34,AM$11,AM$14,AM$19,),"")))))),"")</f>
        <v/>
      </c>
      <c r="DN34" s="2445" t="str" cm="1">
        <f t="array" ca="1" aca="1" ref="DN34">IFERROR(IF(AN34*fxVal_normal=_PL!AN34,"",IF(OR(AN34="",NOT(ISNUMBER(AN34)),ISERROR(AN34),$B34=""),"",IF($I34=1,IFBLANK(_xldudf_CX_PUSH(AN34*fxVal_normal,CX_ENTITY,$B34,AN$11,AN$14,AN$19,),""),IF($I34=2,IFBLANK(_xldudf_CX_PUSH(AN34,CX_ENTITY,$B34,AN$11,AN$14,AN$19,),""),IF($I34=3,"",IFBLANK(_xldudf_CX_PUSH(AN34,CX_ENTITY,$B34,AN$11,AN$14,AN$19,),"")))))),"")</f>
        <v/>
      </c>
      <c r="DO34" s="2445" t="str" cm="1">
        <f t="array" ca="1" aca="1" ref="DO34">IFERROR(IF(AO34*fxVal_normal=_PL!AO34,"",IF(OR(AO34="",NOT(ISNUMBER(AO34)),ISERROR(AO34),$B34=""),"",IF($I34=1,IFBLANK(_xldudf_CX_PUSH(AO34*fxVal_normal,CX_ENTITY,$B34,AO$11,AO$14,AO$19,),""),IF($I34=2,IFBLANK(_xldudf_CX_PUSH(AO34,CX_ENTITY,$B34,AO$11,AO$14,AO$19,),""),IF($I34=3,"",IFBLANK(_xldudf_CX_PUSH(AO34,CX_ENTITY,$B34,AO$11,AO$14,AO$19,),"")))))),"")</f>
        <v/>
      </c>
      <c r="DP34" s="2445" t="str" cm="1">
        <f t="array" ca="1" aca="1" ref="DP34">IFERROR(IF(AP34*fxVal_normal=_PL!AP34,"",IF(OR(AP34="",NOT(ISNUMBER(AP34)),ISERROR(AP34),$B34=""),"",IF($I34=1,IFBLANK(_xldudf_CX_PUSH(AP34*fxVal_normal,CX_ENTITY,$B34,AP$11,AP$14,AP$19,),""),IF($I34=2,IFBLANK(_xldudf_CX_PUSH(AP34,CX_ENTITY,$B34,AP$11,AP$14,AP$19,),""),IF($I34=3,"",IFBLANK(_xldudf_CX_PUSH(AP34,CX_ENTITY,$B34,AP$11,AP$14,AP$19,),"")))))),"")</f>
        <v/>
      </c>
      <c r="DQ34" s="2445" t="str" cm="1">
        <f t="array" ca="1" aca="1" ref="DQ34">IFERROR(IF(AQ34*fxVal_normal=_PL!AQ34,"",IF(OR(AQ34="",NOT(ISNUMBER(AQ34)),ISERROR(AQ34),$B34=""),"",IF($I34=1,IFBLANK(_xldudf_CX_PUSH(AQ34*fxVal_normal,CX_ENTITY,$B34,AQ$11,AQ$14,AQ$19,),""),IF($I34=2,IFBLANK(_xldudf_CX_PUSH(AQ34,CX_ENTITY,$B34,AQ$11,AQ$14,AQ$19,),""),IF($I34=3,"",IFBLANK(_xldudf_CX_PUSH(AQ34,CX_ENTITY,$B34,AQ$11,AQ$14,AQ$19,),"")))))),"")</f>
        <v/>
      </c>
      <c r="DR34" s="2445" t="str" cm="1">
        <f t="array" ca="1" aca="1" ref="DR34">IFERROR(IF(AR34*fxVal_normal=_PL!AR34,"",IF(OR(AR34="",NOT(ISNUMBER(AR34)),ISERROR(AR34),$B34=""),"",IF($I34=1,IFBLANK(_xldudf_CX_PUSH(AR34*fxVal_normal,CX_ENTITY,$B34,AR$11,AR$14,AR$19,),""),IF($I34=2,IFBLANK(_xldudf_CX_PUSH(AR34,CX_ENTITY,$B34,AR$11,AR$14,AR$19,),""),IF($I34=3,"",IFBLANK(_xldudf_CX_PUSH(AR34,CX_ENTITY,$B34,AR$11,AR$14,AR$19,),"")))))),"")</f>
        <v/>
      </c>
      <c r="DS34" s="2445" t="str" cm="1">
        <f t="array" ca="1" aca="1" ref="DS34">IFERROR(IF(AS34*fxVal_normal=_PL!AS34,"",IF(OR(AS34="",NOT(ISNUMBER(AS34)),ISERROR(AS34),$B34=""),"",IF($I34=1,IFBLANK(_xldudf_CX_PUSH(AS34*fxVal_normal,CX_ENTITY,$B34,AS$11,AS$14,AS$19,),""),IF($I34=2,IFBLANK(_xldudf_CX_PUSH(AS34,CX_ENTITY,$B34,AS$11,AS$14,AS$19,),""),IF($I34=3,"",IFBLANK(_xldudf_CX_PUSH(AS34,CX_ENTITY,$B34,AS$11,AS$14,AS$19,),"")))))),"")</f>
        <v/>
      </c>
      <c r="DT34" s="2445" t="str" cm="1">
        <f t="array" ca="1" aca="1" ref="DT34">IFERROR(IF(AT34*fxVal_normal=_PL!AT34,"",IF(OR(AT34="",NOT(ISNUMBER(AT34)),ISERROR(AT34),$B34=""),"",IF($I34=1,IFBLANK(_xldudf_CX_PUSH(AT34*fxVal_normal,CX_ENTITY,$B34,AT$11,AT$14,AT$19,),""),IF($I34=2,IFBLANK(_xldudf_CX_PUSH(AT34,CX_ENTITY,$B34,AT$11,AT$14,AT$19,),""),IF($I34=3,"",IFBLANK(_xldudf_CX_PUSH(AT34,CX_ENTITY,$B34,AT$11,AT$14,AT$19,),"")))))),"")</f>
        <v/>
      </c>
      <c r="DU34" s="2445" t="str" cm="1">
        <f t="array" ca="1" aca="1" ref="DU34">IFERROR(IF(AU34*fxVal_normal=_PL!AU34,"",IF(OR(AU34="",NOT(ISNUMBER(AU34)),ISERROR(AU34),$B34=""),"",IF($I34=1,IFBLANK(_xldudf_CX_PUSH(AU34*fxVal_normal,CX_ENTITY,$B34,AU$11,AU$14,AU$19,),""),IF($I34=2,IFBLANK(_xldudf_CX_PUSH(AU34,CX_ENTITY,$B34,AU$11,AU$14,AU$19,),""),IF($I34=3,"",IFBLANK(_xldudf_CX_PUSH(AU34,CX_ENTITY,$B34,AU$11,AU$14,AU$19,),"")))))),"")</f>
        <v/>
      </c>
      <c r="DV34" s="2445" t="str" cm="1">
        <f t="array" ca="1" aca="1" ref="DV34">IFERROR(IF(AV34*fxVal_normal=_PL!AV34,"",IF(OR(AV34="",NOT(ISNUMBER(AV34)),ISERROR(AV34),$B34=""),"",IF($I34=1,IFBLANK(_xldudf_CX_PUSH(AV34*fxVal_normal,CX_ENTITY,$B34,AV$11,AV$14,AV$19,),""),IF($I34=2,IFBLANK(_xldudf_CX_PUSH(AV34,CX_ENTITY,$B34,AV$11,AV$14,AV$19,),""),IF($I34=3,"",IFBLANK(_xldudf_CX_PUSH(AV34,CX_ENTITY,$B34,AV$11,AV$14,AV$19,),"")))))),"")</f>
        <v/>
      </c>
      <c r="DW34" s="2445" t="str" cm="1">
        <f t="array" ca="1" aca="1" ref="DW34">IFERROR(IF(AW34*fxVal_normal=_PL!AW34,"",IF(OR(AW34="",NOT(ISNUMBER(AW34)),ISERROR(AW34),$B34=""),"",IF($I34=1,IFBLANK(_xldudf_CX_PUSH(AW34*fxVal_normal,CX_ENTITY,$B34,AW$11,AW$14,AW$19,),""),IF($I34=2,IFBLANK(_xldudf_CX_PUSH(AW34,CX_ENTITY,$B34,AW$11,AW$14,AW$19,),""),IF($I34=3,"",IFBLANK(_xldudf_CX_PUSH(AW34,CX_ENTITY,$B34,AW$11,AW$14,AW$19,),"")))))),"")</f>
        <v/>
      </c>
      <c r="DX34" s="2445" t="str" cm="1">
        <f t="array" ca="1" aca="1" ref="DX34">IFERROR(IF(AX34*fxVal_normal=_PL!AX34,"",IF(OR(AX34="",NOT(ISNUMBER(AX34)),ISERROR(AX34),$B34=""),"",IF($I34=1,IFBLANK(_xldudf_CX_PUSH(AX34*fxVal_normal,CX_ENTITY,$B34,AX$11,AX$14,AX$19,),""),IF($I34=2,IFBLANK(_xldudf_CX_PUSH(AX34,CX_ENTITY,$B34,AX$11,AX$14,AX$19,),""),IF($I34=3,"",IFBLANK(_xldudf_CX_PUSH(AX34,CX_ENTITY,$B34,AX$11,AX$14,AX$19,),"")))))),"")</f>
        <v/>
      </c>
      <c r="DY34" s="2445" t="str" cm="1">
        <f t="array" ca="1" aca="1" ref="DY34">IFERROR(IF(AY34*fxVal_normal=_PL!AY34,"",IF(OR(AY34="",NOT(ISNUMBER(AY34)),ISERROR(AY34),$B34=""),"",IF($I34=1,IFBLANK(_xldudf_CX_PUSH(AY34*fxVal_normal,CX_ENTITY,$B34,AY$11,AY$14,AY$19,),""),IF($I34=2,IFBLANK(_xldudf_CX_PUSH(AY34,CX_ENTITY,$B34,AY$11,AY$14,AY$19,),""),IF($I34=3,"",IFBLANK(_xldudf_CX_PUSH(AY34,CX_ENTITY,$B34,AY$11,AY$14,AY$19,),"")))))),"")</f>
        <v/>
      </c>
      <c r="DZ34" s="2445" t="str" cm="1">
        <f t="array" ca="1" aca="1" ref="DZ34">IFERROR(IF(AZ34*fxVal_normal=_PL!AZ34,"",IF(OR(AZ34="",NOT(ISNUMBER(AZ34)),ISERROR(AZ34),$B34=""),"",IF($I34=1,IFBLANK(_xldudf_CX_PUSH(AZ34*fxVal_normal,CX_ENTITY,$B34,AZ$11,AZ$14,AZ$19,),""),IF($I34=2,IFBLANK(_xldudf_CX_PUSH(AZ34,CX_ENTITY,$B34,AZ$11,AZ$14,AZ$19,),""),IF($I34=3,"",IFBLANK(_xldudf_CX_PUSH(AZ34,CX_ENTITY,$B34,AZ$11,AZ$14,AZ$19,),"")))))),"")</f>
        <v/>
      </c>
      <c r="EA34" s="2445" t="str" cm="1">
        <f t="array" ca="1" aca="1" ref="EA34">IFERROR(IF(BA34*fxVal_normal=_PL!BA34,"",IF(OR(BA34="",NOT(ISNUMBER(BA34)),ISERROR(BA34),$B34=""),"",IF($I34=1,IFBLANK(_xldudf_CX_PUSH(BA34*fxVal_normal,CX_ENTITY,$B34,BA$11,BA$14,BA$19,),""),IF($I34=2,IFBLANK(_xldudf_CX_PUSH(BA34,CX_ENTITY,$B34,BA$11,BA$14,BA$19,),""),IF($I34=3,"",IFBLANK(_xldudf_CX_PUSH(BA34,CX_ENTITY,$B34,BA$11,BA$14,BA$19,),"")))))),"")</f>
        <v/>
      </c>
      <c r="EB34" s="2445" t="str" cm="1">
        <f t="array" ca="1" aca="1" ref="EB34">IFERROR(IF(BB34*fxVal_normal=_PL!BB34,"",IF(OR(BB34="",NOT(ISNUMBER(BB34)),ISERROR(BB34),$B34=""),"",IF($I34=1,IFBLANK(_xldudf_CX_PUSH(BB34*fxVal_normal,CX_ENTITY,$B34,BB$11,BB$14,BB$19,),""),IF($I34=2,IFBLANK(_xldudf_CX_PUSH(BB34,CX_ENTITY,$B34,BB$11,BB$14,BB$19,),""),IF($I34=3,"",IFBLANK(_xldudf_CX_PUSH(BB34,CX_ENTITY,$B34,BB$11,BB$14,BB$19,),"")))))),"")</f>
        <v/>
      </c>
      <c r="EC34" s="2445" t="str" cm="1">
        <f t="array" ca="1" aca="1" ref="EC34">IFERROR(IF(BC34*fxVal_normal=_PL!BC34,"",IF(OR(BC34="",NOT(ISNUMBER(BC34)),ISERROR(BC34),$B34=""),"",IF($I34=1,IFBLANK(_xldudf_CX_PUSH(BC34*fxVal_normal,CX_ENTITY,$B34,BC$11,BC$14,BC$19,),""),IF($I34=2,IFBLANK(_xldudf_CX_PUSH(BC34,CX_ENTITY,$B34,BC$11,BC$14,BC$19,),""),IF($I34=3,"",IFBLANK(_xldudf_CX_PUSH(BC34,CX_ENTITY,$B34,BC$11,BC$14,BC$19,),"")))))),"")</f>
        <v/>
      </c>
      <c r="ED34" s="2445" t="str" cm="1">
        <f t="array" ca="1" aca="1" ref="ED34">IFERROR(IF(BD34*fxVal_normal=_PL!BD34,"",IF(OR(BD34="",NOT(ISNUMBER(BD34)),ISERROR(BD34),$B34=""),"",IF($I34=1,IFBLANK(_xldudf_CX_PUSH(BD34*fxVal_normal,CX_ENTITY,$B34,BD$11,BD$14,BD$19,),""),IF($I34=2,IFBLANK(_xldudf_CX_PUSH(BD34,CX_ENTITY,$B34,BD$11,BD$14,BD$19,),""),IF($I34=3,"",IFBLANK(_xldudf_CX_PUSH(BD34,CX_ENTITY,$B34,BD$11,BD$14,BD$19,),"")))))),"")</f>
        <v/>
      </c>
      <c r="EE34" s="2445" t="str" cm="1">
        <f t="array" ca="1" aca="1" ref="EE34">IFERROR(IF(BE34*fxVal_normal=_PL!BE34,"",IF(OR(BE34="",NOT(ISNUMBER(BE34)),ISERROR(BE34),$B34=""),"",IF($I34=1,IFBLANK(_xldudf_CX_PUSH(BE34*fxVal_normal,CX_ENTITY,$B34,BE$11,BE$14,BE$19,),""),IF($I34=2,IFBLANK(_xldudf_CX_PUSH(BE34,CX_ENTITY,$B34,BE$11,BE$14,BE$19,),""),IF($I34=3,"",IFBLANK(_xldudf_CX_PUSH(BE34,CX_ENTITY,$B34,BE$11,BE$14,BE$19,),"")))))),"")</f>
        <v/>
      </c>
      <c r="EF34" s="2445" t="str" cm="1">
        <f t="array" ca="1" aca="1" ref="EF34">IFERROR(IF(BF34*fxVal_normal=_PL!BF34,"",IF(OR(BF34="",NOT(ISNUMBER(BF34)),ISERROR(BF34),$B34=""),"",IF($I34=1,IFBLANK(_xldudf_CX_PUSH(BF34*fxVal_normal,CX_ENTITY,$B34,BF$11,BF$14,BF$19,),""),IF($I34=2,IFBLANK(_xldudf_CX_PUSH(BF34,CX_ENTITY,$B34,BF$11,BF$14,BF$19,),""),IF($I34=3,"",IFBLANK(_xldudf_CX_PUSH(BF34,CX_ENTITY,$B34,BF$11,BF$14,BF$19,),"")))))),"")</f>
        <v/>
      </c>
      <c r="EG34" s="2445" t="str" cm="1">
        <f t="array" ca="1" aca="1" ref="EG34">IFERROR(IF(BG34*fxVal_normal=_PL!BG34,"",IF(OR(BG34="",NOT(ISNUMBER(BG34)),ISERROR(BG34),$B34=""),"",IF($I34=1,IFBLANK(_xldudf_CX_PUSH(BG34*fxVal_normal,CX_ENTITY,$B34,BG$11,BG$14,BG$19,),""),IF($I34=2,IFBLANK(_xldudf_CX_PUSH(BG34,CX_ENTITY,$B34,BG$11,BG$14,BG$19,),""),IF($I34=3,"",IFBLANK(_xldudf_CX_PUSH(BG34,CX_ENTITY,$B34,BG$11,BG$14,BG$19,),"")))))),"")</f>
        <v/>
      </c>
      <c r="EH34" s="2445" t="str" cm="1">
        <f t="array" ca="1" aca="1" ref="EH34">IFERROR(IF(BH34*fxVal_normal=_PL!BH34,"",IF(OR(BH34="",NOT(ISNUMBER(BH34)),ISERROR(BH34),$B34=""),"",IF($I34=1,IFBLANK(_xldudf_CX_PUSH(BH34*fxVal_normal,CX_ENTITY,$B34,BH$11,BH$14,BH$19,),""),IF($I34=2,IFBLANK(_xldudf_CX_PUSH(BH34,CX_ENTITY,$B34,BH$11,BH$14,BH$19,),""),IF($I34=3,"",IFBLANK(_xldudf_CX_PUSH(BH34,CX_ENTITY,$B34,BH$11,BH$14,BH$19,),"")))))),"")</f>
        <v/>
      </c>
      <c r="EI34" s="2445" t="str" cm="1">
        <f t="array" ca="1" aca="1" ref="EI34">IFERROR(IF(BI34*fxVal_normal=_PL!BI34,"",IF(OR(BI34="",NOT(ISNUMBER(BI34)),ISERROR(BI34),$B34=""),"",IF($I34=1,IFBLANK(_xldudf_CX_PUSH(BI34*fxVal_normal,CX_ENTITY,$B34,BI$11,BI$14,BI$19,),""),IF($I34=2,IFBLANK(_xldudf_CX_PUSH(BI34,CX_ENTITY,$B34,BI$11,BI$14,BI$19,),""),IF($I34=3,"",IFBLANK(_xldudf_CX_PUSH(BI34,CX_ENTITY,$B34,BI$11,BI$14,BI$19,),"")))))),"")</f>
        <v/>
      </c>
      <c r="EJ34" s="2445" t="str" cm="1">
        <f t="array" ca="1" aca="1" ref="EJ34">IFERROR(IF(BJ34*fxVal_normal=_PL!BJ34,"",IF(OR(BJ34="",NOT(ISNUMBER(BJ34)),ISERROR(BJ34),$B34=""),"",IF($I34=1,IFBLANK(_xldudf_CX_PUSH(BJ34*fxVal_normal,CX_ENTITY,$B34,BJ$11,BJ$14,BJ$19,),""),IF($I34=2,IFBLANK(_xldudf_CX_PUSH(BJ34,CX_ENTITY,$B34,BJ$11,BJ$14,BJ$19,),""),IF($I34=3,"",IFBLANK(_xldudf_CX_PUSH(BJ34,CX_ENTITY,$B34,BJ$11,BJ$14,BJ$19,),"")))))),"")</f>
        <v/>
      </c>
      <c r="EK34" s="2445" t="str" cm="1">
        <f t="array" ca="1" aca="1" ref="EK34">IFERROR(IF(BK34*fxVal_normal=_PL!BK34,"",IF(OR(BK34="",NOT(ISNUMBER(BK34)),ISERROR(BK34),$B34=""),"",IF($I34=1,IFBLANK(_xldudf_CX_PUSH(BK34*fxVal_normal,CX_ENTITY,$B34,BK$11,BK$14,BK$19,),""),IF($I34=2,IFBLANK(_xldudf_CX_PUSH(BK34,CX_ENTITY,$B34,BK$11,BK$14,BK$19,),""),IF($I34=3,"",IFBLANK(_xldudf_CX_PUSH(BK34,CX_ENTITY,$B34,BK$11,BK$14,BK$19,),"")))))),"")</f>
        <v/>
      </c>
      <c r="EL34" s="2445" t="str" cm="1">
        <f t="array" ca="1" aca="1" ref="EL34">IFERROR(IF(BL34*fxVal_normal=_PL!BL34,"",IF(OR(BL34="",NOT(ISNUMBER(BL34)),ISERROR(BL34),$B34=""),"",IF($I34=1,IFBLANK(_xldudf_CX_PUSH(BL34*fxVal_normal,CX_ENTITY,$B34,BL$11,BL$14,BL$19,),""),IF($I34=2,IFBLANK(_xldudf_CX_PUSH(BL34,CX_ENTITY,$B34,BL$11,BL$14,BL$19,),""),IF($I34=3,"",IFBLANK(_xldudf_CX_PUSH(BL34,CX_ENTITY,$B34,BL$11,BL$14,BL$19,),"")))))),"")</f>
        <v/>
      </c>
      <c r="EM34" s="2445" t="str" cm="1">
        <f t="array" ca="1" aca="1" ref="EM34">IFERROR(IF(BM34*fxVal_normal=_PL!BM34,"",IF(OR(BM34="",NOT(ISNUMBER(BM34)),ISERROR(BM34),$B34=""),"",IF($I34=1,IFBLANK(_xldudf_CX_PUSH(BM34*fxVal_normal,CX_ENTITY,$B34,BM$11,BM$14,BM$19,),""),IF($I34=2,IFBLANK(_xldudf_CX_PUSH(BM34,CX_ENTITY,$B34,BM$11,BM$14,BM$19,),""),IF($I34=3,"",IFBLANK(_xldudf_CX_PUSH(BM34,CX_ENTITY,$B34,BM$11,BM$14,BM$19,),"")))))),"")</f>
        <v/>
      </c>
      <c r="EN34" s="2445" t="str" cm="1">
        <f t="array" ca="1" aca="1" ref="EN34">IFERROR(IF(BN34*fxVal_normal=_PL!BN34,"",IF(OR(BN34="",NOT(ISNUMBER(BN34)),ISERROR(BN34),$B34=""),"",IF($I34=1,IFBLANK(_xldudf_CX_PUSH(BN34*fxVal_normal,CX_ENTITY,$B34,BN$11,BN$14,BN$19,),""),IF($I34=2,IFBLANK(_xldudf_CX_PUSH(BN34,CX_ENTITY,$B34,BN$11,BN$14,BN$19,),""),IF($I34=3,"",IFBLANK(_xldudf_CX_PUSH(BN34,CX_ENTITY,$B34,BN$11,BN$14,BN$19,),"")))))),"")</f>
        <v/>
      </c>
    </row>
    <row r="35" spans="1:144" ht="21" customHeight="1">
      <c r="A35" s="1625"/>
      <c r="B35" s="2439" t="str">
        <f>_xlfn.LET(_xlpm.IsNotAttrDynamic,D35="",_xlpm.Attr,_PL!F35,_xlpm.NotInUse,Y35=D35,_xlpm.RESULT,IF(_xlpm.IsNotAttrDynamic,_xlpm.Attr,IF(_xlpm.NotInUse,"",Y35)),IF(_xlpm.RESULT="","",_xlpm.RESULT))</f>
        <v>Amortization</v>
      </c>
      <c r="C35" s="2439" t="str" cm="1">
        <f t="array" ref="C35">IFBLANK(_PL!C35,"")</f>
        <v>Amortization (Company View)</v>
      </c>
      <c r="D35" s="1548"/>
      <c r="E35" s="2440" t="e" cm="1">
        <f t="array" ca="1" aca="1" ref="E3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35:$CQ35,Z35)</f>
        <v>#NAME?</v>
      </c>
      <c r="F35" s="1897"/>
      <c r="G35" s="1897"/>
      <c r="H35" s="401">
        <v>0</v>
      </c>
      <c r="I35" s="3280">
        <v>1</v>
      </c>
      <c r="J35" s="3280" cm="1">
        <f t="array" ref="J35">IFBLANK(Z35,"")</f>
        <v>1</v>
      </c>
      <c r="K35" s="578" t="str">
        <f t="shared" si="3"/>
        <v>Yes</v>
      </c>
      <c r="L35" s="37"/>
      <c r="N35" s="158"/>
      <c r="O35" s="101"/>
      <c r="P35" s="52"/>
      <c r="Q35" s="101"/>
      <c r="R35" s="126"/>
      <c r="S35" s="101"/>
      <c r="T35" s="101"/>
      <c r="U35" s="39"/>
      <c r="V35" s="37"/>
      <c r="W35" s="91" t="str">
        <f t="shared" si="4"/>
        <v>Actual</v>
      </c>
      <c r="X35" s="2081">
        <f>_PL!X35</f>
        <v>-1</v>
      </c>
      <c r="Y35" s="3176">
        <v>2</v>
      </c>
      <c r="Z35" s="3291" cm="1">
        <f t="array" ref="Z35">_xlfn.SWITCH(TRUE,_PL!$L35=TRUE,1,_PL!$L35=FALSE,-1,_PL!$L35=-1,0,"")</f>
        <v>1</v>
      </c>
      <c r="AA35" s="200"/>
      <c r="AB35" s="301" t="str">
        <f>_PL!AB35</f>
        <v>Amortization</v>
      </c>
      <c r="AC35" s="275" t="e" vm="5" cm="1">
        <f t="array" ca="1" aca="1" ref="AC35">_xlfn.LET(_xlpm._termname,$AB35,_xlpm._iconname,"find",_xlpm._icon,fx_getIcon(_xlpm._iconname),_xlpm._location,_xlfn.XLOOKUP(LOWER(_xlpm._termname),LOWER(tbl_acctDef[Term]),tbl_acctDef[Term]),_xlpm._hyperlink,HYPERLINK("#"&amp;CELL("address",_xlpm._location),_xlpm._icon),IFERROR(_xlpm._hyperlink,""))</f>
        <v>#VALUE!</v>
      </c>
      <c r="AD35" s="3177">
        <v>1</v>
      </c>
      <c r="AE35" s="3177">
        <v>1</v>
      </c>
      <c r="AF35" s="3177">
        <v>1</v>
      </c>
      <c r="AG35" s="3177">
        <v>1</v>
      </c>
      <c r="AH35" s="3177">
        <v>1</v>
      </c>
      <c r="AI35" s="3177">
        <v>1</v>
      </c>
      <c r="AJ35" s="3177">
        <v>1</v>
      </c>
      <c r="AK35" s="3177">
        <v>1</v>
      </c>
      <c r="AL35" s="3177">
        <v>1</v>
      </c>
      <c r="AM35" s="3177">
        <v>1</v>
      </c>
      <c r="AN35" s="3177">
        <v>1</v>
      </c>
      <c r="AO35" s="3177">
        <v>1</v>
      </c>
      <c r="AP35" s="3177">
        <v>1</v>
      </c>
      <c r="AQ35" s="3177">
        <v>1</v>
      </c>
      <c r="AR35" s="3177">
        <v>1</v>
      </c>
      <c r="AS35" s="3177">
        <v>1</v>
      </c>
      <c r="AT35" s="3177">
        <v>1</v>
      </c>
      <c r="AU35" s="3177">
        <v>1</v>
      </c>
      <c r="AV35" s="3177">
        <v>1</v>
      </c>
      <c r="AW35" s="3177">
        <v>1</v>
      </c>
      <c r="AX35" s="3177">
        <v>1</v>
      </c>
      <c r="AY35" s="3177">
        <v>1</v>
      </c>
      <c r="AZ35" s="3177">
        <v>1</v>
      </c>
      <c r="BA35" s="3177">
        <v>1</v>
      </c>
      <c r="BB35" s="3177">
        <v>1</v>
      </c>
      <c r="BC35" s="3177">
        <v>1</v>
      </c>
      <c r="BD35" s="3177">
        <v>1</v>
      </c>
      <c r="BE35" s="3177">
        <v>1</v>
      </c>
      <c r="BF35" s="3177">
        <v>1</v>
      </c>
      <c r="BG35" s="3177">
        <v>1</v>
      </c>
      <c r="BH35" s="3177">
        <v>1</v>
      </c>
      <c r="BI35" s="3177">
        <v>1</v>
      </c>
      <c r="BJ35" s="3177">
        <v>1</v>
      </c>
      <c r="BK35" s="3177">
        <v>1</v>
      </c>
      <c r="BL35" s="3177">
        <v>1</v>
      </c>
      <c r="BM35" s="3177">
        <v>1</v>
      </c>
      <c r="BN35" s="3177">
        <v>1</v>
      </c>
      <c r="BO35" s="2442"/>
      <c r="BP35" s="2442"/>
      <c r="BQ35" s="2442"/>
      <c r="BR35" s="2442"/>
      <c r="BS35" s="2442"/>
      <c r="BT35" s="2442"/>
      <c r="BU35" s="2442"/>
      <c r="BV35" s="2442"/>
      <c r="BW35" s="2442"/>
      <c r="BX35" s="2442"/>
      <c r="BY35" s="2442"/>
      <c r="BZ35" s="2442"/>
      <c r="CA35" s="34"/>
      <c r="CC35" s="33"/>
      <c r="CD35" s="1772" t="e" cm="1">
        <f t="array" ca="1" aca="1" ref="CD35">_xlfn.LET(_xlpm.CheckBlank,SUM(PL!$AD35:PL!$BN35)=0,IF(_xlpm.CheckBlank,"",SUM(_xlfn._xlws.FILTER(PL!$AD35:$BN35,(YEAR(PL!$AD$12:$BN$12)=PL!CD$12)*(array_timeline&lt;=PL!CD$11)))))</f>
        <v>#NAME?</v>
      </c>
      <c r="CE35" s="1772" t="e" cm="1">
        <f t="array" ca="1" aca="1" ref="CE35">_xlfn.LET(_xlpm.CheckBlank,SUM(PL!$AD35:PL!$BN35)=0,IF(_xlpm.CheckBlank,"",SUM(_xlfn._xlws.FILTER(PL!$AD35:$BN35,(YEAR(PL!$AD$12:$BN$12)=PL!CE$12)*(array_timeline&lt;=PL!CE$11)))))</f>
        <v>#NAME?</v>
      </c>
      <c r="CF35" s="88"/>
      <c r="CG35" s="1461" t="str" cm="1">
        <f t="array" ca="1" aca="1" ref="CG35">IFERROR(_xlfn.LET(_xlpm.CheckBlank,SUM(PL!$AD35:$BN35)=0,IF(_xlpm.CheckBlank,"",SUM(_xlfn._xlws.FILTER(PL!$AD35:$BN35,(YEAR(PL!$AD$12:$BN$12)=PL!CG$12)*(array_timeline&lt;=PL!CG$11))))),"n/a")</f>
        <v>n/a</v>
      </c>
      <c r="CH35" s="1461" t="e" cm="1">
        <f t="array" ca="1" aca="1" ref="CH35">_xlfn.LET(_xlpm.CheckBlank,SUM(PL!$AD35:$BN35)=0,IF(_xlpm.CheckBlank,"",SUM(_xlfn._xlws.FILTER(PL!$AD35:$BN35,(YEAR(PL!$AD$12:$BN$12)=PL!CH$12)*(array_timeline&lt;=PL!CH$11)))))</f>
        <v>#NAME?</v>
      </c>
      <c r="CI35" s="88"/>
      <c r="CJ35" s="1461" cm="1">
        <f t="array" ref="CJ35">_xlfn.LET(_xlpm.CheckBlank,SUM(PL!$AD35:$BN35)=0,IF(_xlpm.CheckBlank,"",SUM(_xlfn.TAKE(_xlfn.DROP(PL!$AD35:$BN35,,-DATEDIFF(PL!CJ$11,val_asOfDate,"M")),1,-12))))</f>
        <v>12</v>
      </c>
      <c r="CK35" s="1461" cm="1">
        <f t="array" ref="CK35">_xlfn.LET(_xlpm.CheckBlank,SUM(PL!$AD35:$BN35)=0,IF(_xlpm.CheckBlank,"",SUM(_xlfn.TAKE(_xlfn.DROP(PL!$AD35:$BN35,,-DATEDIFF(PL!CK$11,val_asOfDate,"M")),1,-12))))</f>
        <v>12</v>
      </c>
      <c r="CL35" s="88"/>
      <c r="CM35" s="3175">
        <v>1</v>
      </c>
      <c r="CN35" s="3175">
        <v>1</v>
      </c>
      <c r="CO35" s="1169"/>
      <c r="CP35" s="3175">
        <v>1</v>
      </c>
      <c r="CQ35" s="3175">
        <v>1</v>
      </c>
      <c r="CR35" s="34"/>
      <c r="CS35" s="2056"/>
      <c r="CT35" s="2085" t="e" cm="1">
        <f t="array" ca="1" aca="1" ref="CT35">IF(K35&lt;&gt;"Yes","",IF(OR(Y35="Select,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III"),"",IF(OR(Y35&lt;&gt;AB35,AND(LEN(B35)=0,NOT(OR(Y35="Select,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III")))),_xldudf_CX_PUSH(Y35,CX_ENTITY,C35,EOMONTH(val_asOfDate,0)),"")))</f>
        <v>#NAME?</v>
      </c>
      <c r="CU35" s="2085" t="e" cm="1">
        <f t="array" ca="1" aca="1" ref="CU35">IF(K35&lt;&gt;"Yes","",IF(OR(Y35="Select,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III"),"",IF(OR(Y35&lt;&gt;AB35,AND(LEN(B35)=0,NOT(OR(Y35="Select,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III")))),_xldudf_CX_PUSH(Y35,CX_ENTITY,C35,EOMONTH(val_asOfDate,1)),"")))</f>
        <v>#NAME?</v>
      </c>
      <c r="CV35" s="2085" t="e" cm="1">
        <f t="array" ca="1" aca="1" ref="CV35">IF(K35&lt;&gt;"Yes","",IF(OR(Y35="Select,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III"),"",IF(OR(Y35&lt;&gt;AB35,AND(LEN(B35)=0,NOT(OR(Y35="Select,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III")))),_xldudf_CX_PUSH(Y35,CX_ENTITY,C35,EOMONTH(val_asOfDate,2)),"")))</f>
        <v>#NAME?</v>
      </c>
      <c r="CW35" s="2085" t="e" cm="1">
        <f t="array" ca="1" aca="1" ref="CW35">IF(K35&lt;&gt;"Yes","",IF(OR(Y35="Select,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III"),"",IF(OR(Y35&lt;&gt;AB35,AND(LEN(B35)=0,NOT(OR(Y35="Select,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III")))),_xldudf_CX_PUSH(Y35,CX_ENTITY,C35,EOMONTH(val_asOfDate,3)),"")))</f>
        <v>#NAME?</v>
      </c>
      <c r="CX35" s="2443"/>
      <c r="CY35" s="2444" t="str" cm="1">
        <f t="array" ca="1" aca="1" ref="CY35">IFERROR(IF(CM35*fxVal_normal=_PL!CM35,"",IF(OR($CM35="",$CM35=0,NOT(ISNUMBER($CM35)),ISERROR($CM35),$B35=""),"",IF($I35=1,IFBLANK(_xldudf_CX_PUSH($CM35*fxVal_normal,CX_ENTITY,$B35,$CM$11,$CM$14,$CM$19,),""),IF($I35=2,IFBLANK(_xldudf_CX_PUSH($CM35,CX_ENTITY,$B35,$CM$11,$CM$14,$CM$19,),""),IF($I35=3,"",IFBLANK(_xldudf_CX_PUSH($CM35,CX_ENTITY,$B35,$CM$11,$CM$14,$CM$19,),"")))))),"")</f>
        <v/>
      </c>
      <c r="CZ35" s="2444" t="str" cm="1">
        <f t="array" ca="1" aca="1" ref="CZ35">IFERROR(IF(CN35*fxVal_normal=_PL!CN35,"",IF(OR($CN35="",$CN35=0,NOT(ISNUMBER($CN35)),ISERROR($CN35),$B35=""),"",IF($I35=1,IFBLANK(_xldudf_CX_PUSH($CN35*fxVal_normal,CX_ENTITY,$B35,$CN$11,$CN$14,$CN$19,),""),IF($I35=2,IFBLANK(_xldudf_CX_PUSH($CN35,CX_ENTITY,$B35,$CN$11,$CN$14,$CN$19,),""),IF($I35=3,"",IFBLANK(_xldudf_CX_PUSH($CN35,CX_ENTITY,$B35,$CN$11,$CN$14,$CN$19,),"")))))),"")</f>
        <v/>
      </c>
      <c r="DA35" s="2444" t="str" cm="1">
        <f t="array" ca="1" aca="1" ref="DA35">IFERROR(IF(CP35*fxVal_normal=_PL!CP35,"",IF(OR($CP35="",$CP35=0,NOT(ISNUMBER($CP35)),ISERROR($CP35),$B35=""),"",IF($I35=1,IFBLANK(_xldudf_CX_PUSH($CP35*fxVal_normal,CX_ENTITY,$B35,$CP$11,$CP$14,$CP$19,),""),IF($I35=2,IFBLANK(_xldudf_CX_PUSH($CP35,CX_ENTITY,$B35,$CP$11,$CP$14,$CP$19,),""),IF($I35=3,"",IFBLANK(_xldudf_CX_PUSH($CP35,CX_ENTITY,$B35,$CP$11,$CP$14,$CP$19,),"")))))),"")</f>
        <v/>
      </c>
      <c r="DB35" s="2444" t="str" cm="1">
        <f t="array" ca="1" aca="1" ref="DB35">IFERROR(IF(CQ35*fxVal_normal=_PL!CQ35,"",IF(OR($CQ35="",$CQ35=0,NOT(ISNUMBER($CQ35)),ISERROR($CQ35),$B35=""),"",IF($I35=1,IFBLANK(_xldudf_CX_PUSH($CQ35*fxVal_normal,CX_ENTITY,$B35,$CQ$11,$CQ$14,$CQ$19,),""),IF($I35=2,IFBLANK(_xldudf_CX_PUSH($CQ35,CX_ENTITY,$B35,$CQ$11,$CQ$14,$CQ$19,),""),IF($I35=3,"",IFBLANK(_xldudf_CX_PUSH($CQ35,CX_ENTITY,$B35,$CQ$11,$CQ$14,$CQ$19,),"")))))),"")</f>
        <v/>
      </c>
      <c r="DC35" s="2443"/>
      <c r="DD35" s="2445" t="str" cm="1">
        <f t="array" ca="1" aca="1" ref="DD35">IFERROR(IF(AD35*fxVal_normal=_PL!AD35,"",IF(OR(AD35="",NOT(ISNUMBER(AD35)),ISERROR(AD35),$B35=""),"",IF($I35=1,IFBLANK(_xldudf_CX_PUSH(AD35*fxVal_normal,CX_ENTITY,$B35,AD$11,AD$14,AD$19,),""),IF($I35=2,IFBLANK(_xldudf_CX_PUSH(AD35,CX_ENTITY,$B35,AD$11,AD$14,AD$19,),""),IF($I35=3,"",IFBLANK(_xldudf_CX_PUSH(AD35,CX_ENTITY,$B35,AD$11,AD$14,AD$19,),"")))))),"")</f>
        <v/>
      </c>
      <c r="DE35" s="2445" t="str" cm="1">
        <f t="array" ca="1" aca="1" ref="DE35">IFERROR(IF(AE35*fxVal_normal=_PL!AE35,"",IF(OR(AE35="",NOT(ISNUMBER(AE35)),ISERROR(AE35),$B35=""),"",IF($I35=1,IFBLANK(_xldudf_CX_PUSH(AE35*fxVal_normal,CX_ENTITY,$B35,AE$11,AE$14,AE$19,),""),IF($I35=2,IFBLANK(_xldudf_CX_PUSH(AE35,CX_ENTITY,$B35,AE$11,AE$14,AE$19,),""),IF($I35=3,"",IFBLANK(_xldudf_CX_PUSH(AE35,CX_ENTITY,$B35,AE$11,AE$14,AE$19,),"")))))),"")</f>
        <v/>
      </c>
      <c r="DF35" s="2445" t="str" cm="1">
        <f t="array" ca="1" aca="1" ref="DF35">IFERROR(IF(AF35*fxVal_normal=_PL!AF35,"",IF(OR(AF35="",NOT(ISNUMBER(AF35)),ISERROR(AF35),$B35=""),"",IF($I35=1,IFBLANK(_xldudf_CX_PUSH(AF35*fxVal_normal,CX_ENTITY,$B35,AF$11,AF$14,AF$19,),""),IF($I35=2,IFBLANK(_xldudf_CX_PUSH(AF35,CX_ENTITY,$B35,AF$11,AF$14,AF$19,),""),IF($I35=3,"",IFBLANK(_xldudf_CX_PUSH(AF35,CX_ENTITY,$B35,AF$11,AF$14,AF$19,),"")))))),"")</f>
        <v/>
      </c>
      <c r="DG35" s="2445" t="str" cm="1">
        <f t="array" ca="1" aca="1" ref="DG35">IFERROR(IF(AG35*fxVal_normal=_PL!AG35,"",IF(OR(AG35="",NOT(ISNUMBER(AG35)),ISERROR(AG35),$B35=""),"",IF($I35=1,IFBLANK(_xldudf_CX_PUSH(AG35*fxVal_normal,CX_ENTITY,$B35,AG$11,AG$14,AG$19,),""),IF($I35=2,IFBLANK(_xldudf_CX_PUSH(AG35,CX_ENTITY,$B35,AG$11,AG$14,AG$19,),""),IF($I35=3,"",IFBLANK(_xldudf_CX_PUSH(AG35,CX_ENTITY,$B35,AG$11,AG$14,AG$19,),"")))))),"")</f>
        <v/>
      </c>
      <c r="DH35" s="2445" t="str" cm="1">
        <f t="array" ca="1" aca="1" ref="DH35">IFERROR(IF(AH35*fxVal_normal=_PL!AH35,"",IF(OR(AH35="",NOT(ISNUMBER(AH35)),ISERROR(AH35),$B35=""),"",IF($I35=1,IFBLANK(_xldudf_CX_PUSH(AH35*fxVal_normal,CX_ENTITY,$B35,AH$11,AH$14,AH$19,),""),IF($I35=2,IFBLANK(_xldudf_CX_PUSH(AH35,CX_ENTITY,$B35,AH$11,AH$14,AH$19,),""),IF($I35=3,"",IFBLANK(_xldudf_CX_PUSH(AH35,CX_ENTITY,$B35,AH$11,AH$14,AH$19,),"")))))),"")</f>
        <v/>
      </c>
      <c r="DI35" s="2445" t="str" cm="1">
        <f t="array" ca="1" aca="1" ref="DI35">IFERROR(IF(AI35*fxVal_normal=_PL!AI35,"",IF(OR(AI35="",NOT(ISNUMBER(AI35)),ISERROR(AI35),$B35=""),"",IF($I35=1,IFBLANK(_xldudf_CX_PUSH(AI35*fxVal_normal,CX_ENTITY,$B35,AI$11,AI$14,AI$19,),""),IF($I35=2,IFBLANK(_xldudf_CX_PUSH(AI35,CX_ENTITY,$B35,AI$11,AI$14,AI$19,),""),IF($I35=3,"",IFBLANK(_xldudf_CX_PUSH(AI35,CX_ENTITY,$B35,AI$11,AI$14,AI$19,),"")))))),"")</f>
        <v/>
      </c>
      <c r="DJ35" s="2445" t="str" cm="1">
        <f t="array" ca="1" aca="1" ref="DJ35">IFERROR(IF(AJ35*fxVal_normal=_PL!AJ35,"",IF(OR(AJ35="",NOT(ISNUMBER(AJ35)),ISERROR(AJ35),$B35=""),"",IF($I35=1,IFBLANK(_xldudf_CX_PUSH(AJ35*fxVal_normal,CX_ENTITY,$B35,AJ$11,AJ$14,AJ$19,),""),IF($I35=2,IFBLANK(_xldudf_CX_PUSH(AJ35,CX_ENTITY,$B35,AJ$11,AJ$14,AJ$19,),""),IF($I35=3,"",IFBLANK(_xldudf_CX_PUSH(AJ35,CX_ENTITY,$B35,AJ$11,AJ$14,AJ$19,),"")))))),"")</f>
        <v/>
      </c>
      <c r="DK35" s="2445" t="str" cm="1">
        <f t="array" ca="1" aca="1" ref="DK35">IFERROR(IF(AK35*fxVal_normal=_PL!AK35,"",IF(OR(AK35="",NOT(ISNUMBER(AK35)),ISERROR(AK35),$B35=""),"",IF($I35=1,IFBLANK(_xldudf_CX_PUSH(AK35*fxVal_normal,CX_ENTITY,$B35,AK$11,AK$14,AK$19,),""),IF($I35=2,IFBLANK(_xldudf_CX_PUSH(AK35,CX_ENTITY,$B35,AK$11,AK$14,AK$19,),""),IF($I35=3,"",IFBLANK(_xldudf_CX_PUSH(AK35,CX_ENTITY,$B35,AK$11,AK$14,AK$19,),"")))))),"")</f>
        <v/>
      </c>
      <c r="DL35" s="2445" t="str" cm="1">
        <f t="array" ca="1" aca="1" ref="DL35">IFERROR(IF(AL35*fxVal_normal=_PL!AL35,"",IF(OR(AL35="",NOT(ISNUMBER(AL35)),ISERROR(AL35),$B35=""),"",IF($I35=1,IFBLANK(_xldudf_CX_PUSH(AL35*fxVal_normal,CX_ENTITY,$B35,AL$11,AL$14,AL$19,),""),IF($I35=2,IFBLANK(_xldudf_CX_PUSH(AL35,CX_ENTITY,$B35,AL$11,AL$14,AL$19,),""),IF($I35=3,"",IFBLANK(_xldudf_CX_PUSH(AL35,CX_ENTITY,$B35,AL$11,AL$14,AL$19,),"")))))),"")</f>
        <v/>
      </c>
      <c r="DM35" s="2445" t="str" cm="1">
        <f t="array" ca="1" aca="1" ref="DM35">IFERROR(IF(AM35*fxVal_normal=_PL!AM35,"",IF(OR(AM35="",NOT(ISNUMBER(AM35)),ISERROR(AM35),$B35=""),"",IF($I35=1,IFBLANK(_xldudf_CX_PUSH(AM35*fxVal_normal,CX_ENTITY,$B35,AM$11,AM$14,AM$19,),""),IF($I35=2,IFBLANK(_xldudf_CX_PUSH(AM35,CX_ENTITY,$B35,AM$11,AM$14,AM$19,),""),IF($I35=3,"",IFBLANK(_xldudf_CX_PUSH(AM35,CX_ENTITY,$B35,AM$11,AM$14,AM$19,),"")))))),"")</f>
        <v/>
      </c>
      <c r="DN35" s="2445" t="str" cm="1">
        <f t="array" ca="1" aca="1" ref="DN35">IFERROR(IF(AN35*fxVal_normal=_PL!AN35,"",IF(OR(AN35="",NOT(ISNUMBER(AN35)),ISERROR(AN35),$B35=""),"",IF($I35=1,IFBLANK(_xldudf_CX_PUSH(AN35*fxVal_normal,CX_ENTITY,$B35,AN$11,AN$14,AN$19,),""),IF($I35=2,IFBLANK(_xldudf_CX_PUSH(AN35,CX_ENTITY,$B35,AN$11,AN$14,AN$19,),""),IF($I35=3,"",IFBLANK(_xldudf_CX_PUSH(AN35,CX_ENTITY,$B35,AN$11,AN$14,AN$19,),"")))))),"")</f>
        <v/>
      </c>
      <c r="DO35" s="2445" t="str" cm="1">
        <f t="array" ca="1" aca="1" ref="DO35">IFERROR(IF(AO35*fxVal_normal=_PL!AO35,"",IF(OR(AO35="",NOT(ISNUMBER(AO35)),ISERROR(AO35),$B35=""),"",IF($I35=1,IFBLANK(_xldudf_CX_PUSH(AO35*fxVal_normal,CX_ENTITY,$B35,AO$11,AO$14,AO$19,),""),IF($I35=2,IFBLANK(_xldudf_CX_PUSH(AO35,CX_ENTITY,$B35,AO$11,AO$14,AO$19,),""),IF($I35=3,"",IFBLANK(_xldudf_CX_PUSH(AO35,CX_ENTITY,$B35,AO$11,AO$14,AO$19,),"")))))),"")</f>
        <v/>
      </c>
      <c r="DP35" s="2445" t="str" cm="1">
        <f t="array" ca="1" aca="1" ref="DP35">IFERROR(IF(AP35*fxVal_normal=_PL!AP35,"",IF(OR(AP35="",NOT(ISNUMBER(AP35)),ISERROR(AP35),$B35=""),"",IF($I35=1,IFBLANK(_xldudf_CX_PUSH(AP35*fxVal_normal,CX_ENTITY,$B35,AP$11,AP$14,AP$19,),""),IF($I35=2,IFBLANK(_xldudf_CX_PUSH(AP35,CX_ENTITY,$B35,AP$11,AP$14,AP$19,),""),IF($I35=3,"",IFBLANK(_xldudf_CX_PUSH(AP35,CX_ENTITY,$B35,AP$11,AP$14,AP$19,),"")))))),"")</f>
        <v/>
      </c>
      <c r="DQ35" s="2445" t="str" cm="1">
        <f t="array" ca="1" aca="1" ref="DQ35">IFERROR(IF(AQ35*fxVal_normal=_PL!AQ35,"",IF(OR(AQ35="",NOT(ISNUMBER(AQ35)),ISERROR(AQ35),$B35=""),"",IF($I35=1,IFBLANK(_xldudf_CX_PUSH(AQ35*fxVal_normal,CX_ENTITY,$B35,AQ$11,AQ$14,AQ$19,),""),IF($I35=2,IFBLANK(_xldudf_CX_PUSH(AQ35,CX_ENTITY,$B35,AQ$11,AQ$14,AQ$19,),""),IF($I35=3,"",IFBLANK(_xldudf_CX_PUSH(AQ35,CX_ENTITY,$B35,AQ$11,AQ$14,AQ$19,),"")))))),"")</f>
        <v/>
      </c>
      <c r="DR35" s="2445" t="str" cm="1">
        <f t="array" ca="1" aca="1" ref="DR35">IFERROR(IF(AR35*fxVal_normal=_PL!AR35,"",IF(OR(AR35="",NOT(ISNUMBER(AR35)),ISERROR(AR35),$B35=""),"",IF($I35=1,IFBLANK(_xldudf_CX_PUSH(AR35*fxVal_normal,CX_ENTITY,$B35,AR$11,AR$14,AR$19,),""),IF($I35=2,IFBLANK(_xldudf_CX_PUSH(AR35,CX_ENTITY,$B35,AR$11,AR$14,AR$19,),""),IF($I35=3,"",IFBLANK(_xldudf_CX_PUSH(AR35,CX_ENTITY,$B35,AR$11,AR$14,AR$19,),"")))))),"")</f>
        <v/>
      </c>
      <c r="DS35" s="2445" t="str" cm="1">
        <f t="array" ca="1" aca="1" ref="DS35">IFERROR(IF(AS35*fxVal_normal=_PL!AS35,"",IF(OR(AS35="",NOT(ISNUMBER(AS35)),ISERROR(AS35),$B35=""),"",IF($I35=1,IFBLANK(_xldudf_CX_PUSH(AS35*fxVal_normal,CX_ENTITY,$B35,AS$11,AS$14,AS$19,),""),IF($I35=2,IFBLANK(_xldudf_CX_PUSH(AS35,CX_ENTITY,$B35,AS$11,AS$14,AS$19,),""),IF($I35=3,"",IFBLANK(_xldudf_CX_PUSH(AS35,CX_ENTITY,$B35,AS$11,AS$14,AS$19,),"")))))),"")</f>
        <v/>
      </c>
      <c r="DT35" s="2445" t="str" cm="1">
        <f t="array" ca="1" aca="1" ref="DT35">IFERROR(IF(AT35*fxVal_normal=_PL!AT35,"",IF(OR(AT35="",NOT(ISNUMBER(AT35)),ISERROR(AT35),$B35=""),"",IF($I35=1,IFBLANK(_xldudf_CX_PUSH(AT35*fxVal_normal,CX_ENTITY,$B35,AT$11,AT$14,AT$19,),""),IF($I35=2,IFBLANK(_xldudf_CX_PUSH(AT35,CX_ENTITY,$B35,AT$11,AT$14,AT$19,),""),IF($I35=3,"",IFBLANK(_xldudf_CX_PUSH(AT35,CX_ENTITY,$B35,AT$11,AT$14,AT$19,),"")))))),"")</f>
        <v/>
      </c>
      <c r="DU35" s="2445" t="str" cm="1">
        <f t="array" ca="1" aca="1" ref="DU35">IFERROR(IF(AU35*fxVal_normal=_PL!AU35,"",IF(OR(AU35="",NOT(ISNUMBER(AU35)),ISERROR(AU35),$B35=""),"",IF($I35=1,IFBLANK(_xldudf_CX_PUSH(AU35*fxVal_normal,CX_ENTITY,$B35,AU$11,AU$14,AU$19,),""),IF($I35=2,IFBLANK(_xldudf_CX_PUSH(AU35,CX_ENTITY,$B35,AU$11,AU$14,AU$19,),""),IF($I35=3,"",IFBLANK(_xldudf_CX_PUSH(AU35,CX_ENTITY,$B35,AU$11,AU$14,AU$19,),"")))))),"")</f>
        <v/>
      </c>
      <c r="DV35" s="2445" t="str" cm="1">
        <f t="array" ca="1" aca="1" ref="DV35">IFERROR(IF(AV35*fxVal_normal=_PL!AV35,"",IF(OR(AV35="",NOT(ISNUMBER(AV35)),ISERROR(AV35),$B35=""),"",IF($I35=1,IFBLANK(_xldudf_CX_PUSH(AV35*fxVal_normal,CX_ENTITY,$B35,AV$11,AV$14,AV$19,),""),IF($I35=2,IFBLANK(_xldudf_CX_PUSH(AV35,CX_ENTITY,$B35,AV$11,AV$14,AV$19,),""),IF($I35=3,"",IFBLANK(_xldudf_CX_PUSH(AV35,CX_ENTITY,$B35,AV$11,AV$14,AV$19,),"")))))),"")</f>
        <v/>
      </c>
      <c r="DW35" s="2445" t="str" cm="1">
        <f t="array" ca="1" aca="1" ref="DW35">IFERROR(IF(AW35*fxVal_normal=_PL!AW35,"",IF(OR(AW35="",NOT(ISNUMBER(AW35)),ISERROR(AW35),$B35=""),"",IF($I35=1,IFBLANK(_xldudf_CX_PUSH(AW35*fxVal_normal,CX_ENTITY,$B35,AW$11,AW$14,AW$19,),""),IF($I35=2,IFBLANK(_xldudf_CX_PUSH(AW35,CX_ENTITY,$B35,AW$11,AW$14,AW$19,),""),IF($I35=3,"",IFBLANK(_xldudf_CX_PUSH(AW35,CX_ENTITY,$B35,AW$11,AW$14,AW$19,),"")))))),"")</f>
        <v/>
      </c>
      <c r="DX35" s="2445" t="str" cm="1">
        <f t="array" ca="1" aca="1" ref="DX35">IFERROR(IF(AX35*fxVal_normal=_PL!AX35,"",IF(OR(AX35="",NOT(ISNUMBER(AX35)),ISERROR(AX35),$B35=""),"",IF($I35=1,IFBLANK(_xldudf_CX_PUSH(AX35*fxVal_normal,CX_ENTITY,$B35,AX$11,AX$14,AX$19,),""),IF($I35=2,IFBLANK(_xldudf_CX_PUSH(AX35,CX_ENTITY,$B35,AX$11,AX$14,AX$19,),""),IF($I35=3,"",IFBLANK(_xldudf_CX_PUSH(AX35,CX_ENTITY,$B35,AX$11,AX$14,AX$19,),"")))))),"")</f>
        <v/>
      </c>
      <c r="DY35" s="2445" t="str" cm="1">
        <f t="array" ca="1" aca="1" ref="DY35">IFERROR(IF(AY35*fxVal_normal=_PL!AY35,"",IF(OR(AY35="",NOT(ISNUMBER(AY35)),ISERROR(AY35),$B35=""),"",IF($I35=1,IFBLANK(_xldudf_CX_PUSH(AY35*fxVal_normal,CX_ENTITY,$B35,AY$11,AY$14,AY$19,),""),IF($I35=2,IFBLANK(_xldudf_CX_PUSH(AY35,CX_ENTITY,$B35,AY$11,AY$14,AY$19,),""),IF($I35=3,"",IFBLANK(_xldudf_CX_PUSH(AY35,CX_ENTITY,$B35,AY$11,AY$14,AY$19,),"")))))),"")</f>
        <v/>
      </c>
      <c r="DZ35" s="2445" t="str" cm="1">
        <f t="array" ca="1" aca="1" ref="DZ35">IFERROR(IF(AZ35*fxVal_normal=_PL!AZ35,"",IF(OR(AZ35="",NOT(ISNUMBER(AZ35)),ISERROR(AZ35),$B35=""),"",IF($I35=1,IFBLANK(_xldudf_CX_PUSH(AZ35*fxVal_normal,CX_ENTITY,$B35,AZ$11,AZ$14,AZ$19,),""),IF($I35=2,IFBLANK(_xldudf_CX_PUSH(AZ35,CX_ENTITY,$B35,AZ$11,AZ$14,AZ$19,),""),IF($I35=3,"",IFBLANK(_xldudf_CX_PUSH(AZ35,CX_ENTITY,$B35,AZ$11,AZ$14,AZ$19,),"")))))),"")</f>
        <v/>
      </c>
      <c r="EA35" s="2445" t="str" cm="1">
        <f t="array" ca="1" aca="1" ref="EA35">IFERROR(IF(BA35*fxVal_normal=_PL!BA35,"",IF(OR(BA35="",NOT(ISNUMBER(BA35)),ISERROR(BA35),$B35=""),"",IF($I35=1,IFBLANK(_xldudf_CX_PUSH(BA35*fxVal_normal,CX_ENTITY,$B35,BA$11,BA$14,BA$19,),""),IF($I35=2,IFBLANK(_xldudf_CX_PUSH(BA35,CX_ENTITY,$B35,BA$11,BA$14,BA$19,),""),IF($I35=3,"",IFBLANK(_xldudf_CX_PUSH(BA35,CX_ENTITY,$B35,BA$11,BA$14,BA$19,),"")))))),"")</f>
        <v/>
      </c>
      <c r="EB35" s="2445" t="str" cm="1">
        <f t="array" ca="1" aca="1" ref="EB35">IFERROR(IF(BB35*fxVal_normal=_PL!BB35,"",IF(OR(BB35="",NOT(ISNUMBER(BB35)),ISERROR(BB35),$B35=""),"",IF($I35=1,IFBLANK(_xldudf_CX_PUSH(BB35*fxVal_normal,CX_ENTITY,$B35,BB$11,BB$14,BB$19,),""),IF($I35=2,IFBLANK(_xldudf_CX_PUSH(BB35,CX_ENTITY,$B35,BB$11,BB$14,BB$19,),""),IF($I35=3,"",IFBLANK(_xldudf_CX_PUSH(BB35,CX_ENTITY,$B35,BB$11,BB$14,BB$19,),"")))))),"")</f>
        <v/>
      </c>
      <c r="EC35" s="2445" t="str" cm="1">
        <f t="array" ca="1" aca="1" ref="EC35">IFERROR(IF(BC35*fxVal_normal=_PL!BC35,"",IF(OR(BC35="",NOT(ISNUMBER(BC35)),ISERROR(BC35),$B35=""),"",IF($I35=1,IFBLANK(_xldudf_CX_PUSH(BC35*fxVal_normal,CX_ENTITY,$B35,BC$11,BC$14,BC$19,),""),IF($I35=2,IFBLANK(_xldudf_CX_PUSH(BC35,CX_ENTITY,$B35,BC$11,BC$14,BC$19,),""),IF($I35=3,"",IFBLANK(_xldudf_CX_PUSH(BC35,CX_ENTITY,$B35,BC$11,BC$14,BC$19,),"")))))),"")</f>
        <v/>
      </c>
      <c r="ED35" s="2445" t="str" cm="1">
        <f t="array" ca="1" aca="1" ref="ED35">IFERROR(IF(BD35*fxVal_normal=_PL!BD35,"",IF(OR(BD35="",NOT(ISNUMBER(BD35)),ISERROR(BD35),$B35=""),"",IF($I35=1,IFBLANK(_xldudf_CX_PUSH(BD35*fxVal_normal,CX_ENTITY,$B35,BD$11,BD$14,BD$19,),""),IF($I35=2,IFBLANK(_xldudf_CX_PUSH(BD35,CX_ENTITY,$B35,BD$11,BD$14,BD$19,),""),IF($I35=3,"",IFBLANK(_xldudf_CX_PUSH(BD35,CX_ENTITY,$B35,BD$11,BD$14,BD$19,),"")))))),"")</f>
        <v/>
      </c>
      <c r="EE35" s="2445" t="str" cm="1">
        <f t="array" ca="1" aca="1" ref="EE35">IFERROR(IF(BE35*fxVal_normal=_PL!BE35,"",IF(OR(BE35="",NOT(ISNUMBER(BE35)),ISERROR(BE35),$B35=""),"",IF($I35=1,IFBLANK(_xldudf_CX_PUSH(BE35*fxVal_normal,CX_ENTITY,$B35,BE$11,BE$14,BE$19,),""),IF($I35=2,IFBLANK(_xldudf_CX_PUSH(BE35,CX_ENTITY,$B35,BE$11,BE$14,BE$19,),""),IF($I35=3,"",IFBLANK(_xldudf_CX_PUSH(BE35,CX_ENTITY,$B35,BE$11,BE$14,BE$19,),"")))))),"")</f>
        <v/>
      </c>
      <c r="EF35" s="2445" t="str" cm="1">
        <f t="array" ca="1" aca="1" ref="EF35">IFERROR(IF(BF35*fxVal_normal=_PL!BF35,"",IF(OR(BF35="",NOT(ISNUMBER(BF35)),ISERROR(BF35),$B35=""),"",IF($I35=1,IFBLANK(_xldudf_CX_PUSH(BF35*fxVal_normal,CX_ENTITY,$B35,BF$11,BF$14,BF$19,),""),IF($I35=2,IFBLANK(_xldudf_CX_PUSH(BF35,CX_ENTITY,$B35,BF$11,BF$14,BF$19,),""),IF($I35=3,"",IFBLANK(_xldudf_CX_PUSH(BF35,CX_ENTITY,$B35,BF$11,BF$14,BF$19,),"")))))),"")</f>
        <v/>
      </c>
      <c r="EG35" s="2445" t="str" cm="1">
        <f t="array" ca="1" aca="1" ref="EG35">IFERROR(IF(BG35*fxVal_normal=_PL!BG35,"",IF(OR(BG35="",NOT(ISNUMBER(BG35)),ISERROR(BG35),$B35=""),"",IF($I35=1,IFBLANK(_xldudf_CX_PUSH(BG35*fxVal_normal,CX_ENTITY,$B35,BG$11,BG$14,BG$19,),""),IF($I35=2,IFBLANK(_xldudf_CX_PUSH(BG35,CX_ENTITY,$B35,BG$11,BG$14,BG$19,),""),IF($I35=3,"",IFBLANK(_xldudf_CX_PUSH(BG35,CX_ENTITY,$B35,BG$11,BG$14,BG$19,),"")))))),"")</f>
        <v/>
      </c>
      <c r="EH35" s="2445" t="str" cm="1">
        <f t="array" ca="1" aca="1" ref="EH35">IFERROR(IF(BH35*fxVal_normal=_PL!BH35,"",IF(OR(BH35="",NOT(ISNUMBER(BH35)),ISERROR(BH35),$B35=""),"",IF($I35=1,IFBLANK(_xldudf_CX_PUSH(BH35*fxVal_normal,CX_ENTITY,$B35,BH$11,BH$14,BH$19,),""),IF($I35=2,IFBLANK(_xldudf_CX_PUSH(BH35,CX_ENTITY,$B35,BH$11,BH$14,BH$19,),""),IF($I35=3,"",IFBLANK(_xldudf_CX_PUSH(BH35,CX_ENTITY,$B35,BH$11,BH$14,BH$19,),"")))))),"")</f>
        <v/>
      </c>
      <c r="EI35" s="2445" t="str" cm="1">
        <f t="array" ca="1" aca="1" ref="EI35">IFERROR(IF(BI35*fxVal_normal=_PL!BI35,"",IF(OR(BI35="",NOT(ISNUMBER(BI35)),ISERROR(BI35),$B35=""),"",IF($I35=1,IFBLANK(_xldudf_CX_PUSH(BI35*fxVal_normal,CX_ENTITY,$B35,BI$11,BI$14,BI$19,),""),IF($I35=2,IFBLANK(_xldudf_CX_PUSH(BI35,CX_ENTITY,$B35,BI$11,BI$14,BI$19,),""),IF($I35=3,"",IFBLANK(_xldudf_CX_PUSH(BI35,CX_ENTITY,$B35,BI$11,BI$14,BI$19,),"")))))),"")</f>
        <v/>
      </c>
      <c r="EJ35" s="2445" t="str" cm="1">
        <f t="array" ca="1" aca="1" ref="EJ35">IFERROR(IF(BJ35*fxVal_normal=_PL!BJ35,"",IF(OR(BJ35="",NOT(ISNUMBER(BJ35)),ISERROR(BJ35),$B35=""),"",IF($I35=1,IFBLANK(_xldudf_CX_PUSH(BJ35*fxVal_normal,CX_ENTITY,$B35,BJ$11,BJ$14,BJ$19,),""),IF($I35=2,IFBLANK(_xldudf_CX_PUSH(BJ35,CX_ENTITY,$B35,BJ$11,BJ$14,BJ$19,),""),IF($I35=3,"",IFBLANK(_xldudf_CX_PUSH(BJ35,CX_ENTITY,$B35,BJ$11,BJ$14,BJ$19,),"")))))),"")</f>
        <v/>
      </c>
      <c r="EK35" s="2445" t="str" cm="1">
        <f t="array" ca="1" aca="1" ref="EK35">IFERROR(IF(BK35*fxVal_normal=_PL!BK35,"",IF(OR(BK35="",NOT(ISNUMBER(BK35)),ISERROR(BK35),$B35=""),"",IF($I35=1,IFBLANK(_xldudf_CX_PUSH(BK35*fxVal_normal,CX_ENTITY,$B35,BK$11,BK$14,BK$19,),""),IF($I35=2,IFBLANK(_xldudf_CX_PUSH(BK35,CX_ENTITY,$B35,BK$11,BK$14,BK$19,),""),IF($I35=3,"",IFBLANK(_xldudf_CX_PUSH(BK35,CX_ENTITY,$B35,BK$11,BK$14,BK$19,),"")))))),"")</f>
        <v/>
      </c>
      <c r="EL35" s="2445" t="str" cm="1">
        <f t="array" ca="1" aca="1" ref="EL35">IFERROR(IF(BL35*fxVal_normal=_PL!BL35,"",IF(OR(BL35="",NOT(ISNUMBER(BL35)),ISERROR(BL35),$B35=""),"",IF($I35=1,IFBLANK(_xldudf_CX_PUSH(BL35*fxVal_normal,CX_ENTITY,$B35,BL$11,BL$14,BL$19,),""),IF($I35=2,IFBLANK(_xldudf_CX_PUSH(BL35,CX_ENTITY,$B35,BL$11,BL$14,BL$19,),""),IF($I35=3,"",IFBLANK(_xldudf_CX_PUSH(BL35,CX_ENTITY,$B35,BL$11,BL$14,BL$19,),"")))))),"")</f>
        <v/>
      </c>
      <c r="EM35" s="2445" t="str" cm="1">
        <f t="array" ca="1" aca="1" ref="EM35">IFERROR(IF(BM35*fxVal_normal=_PL!BM35,"",IF(OR(BM35="",NOT(ISNUMBER(BM35)),ISERROR(BM35),$B35=""),"",IF($I35=1,IFBLANK(_xldudf_CX_PUSH(BM35*fxVal_normal,CX_ENTITY,$B35,BM$11,BM$14,BM$19,),""),IF($I35=2,IFBLANK(_xldudf_CX_PUSH(BM35,CX_ENTITY,$B35,BM$11,BM$14,BM$19,),""),IF($I35=3,"",IFBLANK(_xldudf_CX_PUSH(BM35,CX_ENTITY,$B35,BM$11,BM$14,BM$19,),"")))))),"")</f>
        <v/>
      </c>
      <c r="EN35" s="2445" t="str" cm="1">
        <f t="array" ca="1" aca="1" ref="EN35">IFERROR(IF(BN35*fxVal_normal=_PL!BN35,"",IF(OR(BN35="",NOT(ISNUMBER(BN35)),ISERROR(BN35),$B35=""),"",IF($I35=1,IFBLANK(_xldudf_CX_PUSH(BN35*fxVal_normal,CX_ENTITY,$B35,BN$11,BN$14,BN$19,),""),IF($I35=2,IFBLANK(_xldudf_CX_PUSH(BN35,CX_ENTITY,$B35,BN$11,BN$14,BN$19,),""),IF($I35=3,"",IFBLANK(_xldudf_CX_PUSH(BN35,CX_ENTITY,$B35,BN$11,BN$14,BN$19,),"")))))),"")</f>
        <v/>
      </c>
    </row>
    <row r="36" spans="1:144" ht="21" customHeight="1">
      <c r="A36" s="1625"/>
      <c r="B36" s="2439" t="str">
        <f ca="1">_xlfn.LET(_xlpm.IsNotAttrDynamic,D36="",_xlpm.Attr,_PL!F36,_xlpm.NotInUse,Y36=D36,_xlpm.RESULT,IF(_xlpm.IsNotAttrDynamic,_xlpm.Attr,IF(_xlpm.NotInUse,"",Y36)),IF(_xlpm.RESULT="","",_xlpm.RESULT))</f>
        <v>Reported EBIT</v>
      </c>
      <c r="C36" s="2439" t="str" cm="1">
        <f t="array" ref="C36">IFBLANK(_PL!C36,"")</f>
        <v>Reported EBIT (Company View)</v>
      </c>
      <c r="D36" s="1548"/>
      <c r="E36" s="2440" t="e" cm="1">
        <f t="array" ca="1" aca="1" ref="E3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36:$CQ36,Z36)</f>
        <v>#NAME?</v>
      </c>
      <c r="F36" s="1897"/>
      <c r="G36" s="1897"/>
      <c r="H36" s="3280">
        <v>2</v>
      </c>
      <c r="I36" s="3280">
        <v>1</v>
      </c>
      <c r="J36" s="401" cm="1">
        <f t="array" ref="J36">IFBLANK(Z36,"")</f>
        <v>0</v>
      </c>
      <c r="K36" s="578" t="str">
        <f t="shared" si="3"/>
        <v>Yes</v>
      </c>
      <c r="L36" s="37"/>
      <c r="N36" s="158"/>
      <c r="O36" s="101"/>
      <c r="P36" s="52"/>
      <c r="Q36" s="101"/>
      <c r="R36" s="126"/>
      <c r="S36" s="101"/>
      <c r="T36" s="101"/>
      <c r="U36" s="39"/>
      <c r="V36" s="37"/>
      <c r="W36" s="91" t="str">
        <f t="shared" si="4"/>
        <v>Actual</v>
      </c>
      <c r="X36" s="2081">
        <f>_PL!X36</f>
        <v>0</v>
      </c>
      <c r="Y36" s="1196" t="e">
        <f ca="1">IF(_PL!Y36="Error","",_PL!Y36)</f>
        <v>#NAME?</v>
      </c>
      <c r="Z36" s="198" cm="1">
        <f t="array" ref="Z36">_xlfn.SWITCH(TRUE,_PL!$L36=TRUE,1,_PL!$L36=FALSE,-1,_PL!$L36=-1,0,"")</f>
        <v>0</v>
      </c>
      <c r="AA36" s="200"/>
      <c r="AB36" s="301" t="str">
        <f>_PL!AB36</f>
        <v>Reported EBIT</v>
      </c>
      <c r="AC36" s="275" t="str" cm="1">
        <f t="array" ca="1" aca="1" ref="AC36">_xlfn.LET(_xlpm._termname,$AB36,_xlpm._iconname,"find",_xlpm._icon,fx_getIcon(_xlpm._iconname),_xlpm._location,_xlfn.XLOOKUP(LOWER(_xlpm._termname),LOWER(tbl_acctDef[Term]),tbl_acctDef[Term]),_xlpm._hyperlink,HYPERLINK("#"&amp;CELL("address",_xlpm._location),_xlpm._icon),IFERROR(_xlpm._hyperlink,""))</f>
        <v/>
      </c>
      <c r="AD36" s="1210">
        <f t="shared" si="12" ref="AD36:BN36">SUBTOTAL(9,AD20:AD35)-SUBTOTAL(9,AD26:AD31)-N(AD23)</f>
        <v>5</v>
      </c>
      <c r="AE36" s="1210">
        <f t="shared" si="12"/>
        <v>5</v>
      </c>
      <c r="AF36" s="1210">
        <f t="shared" si="12"/>
        <v>5</v>
      </c>
      <c r="AG36" s="1210">
        <f t="shared" si="12"/>
        <v>5</v>
      </c>
      <c r="AH36" s="1210">
        <f t="shared" si="12"/>
        <v>5</v>
      </c>
      <c r="AI36" s="1210">
        <f t="shared" si="12"/>
        <v>5</v>
      </c>
      <c r="AJ36" s="1210">
        <f t="shared" si="12"/>
        <v>5</v>
      </c>
      <c r="AK36" s="1210">
        <f t="shared" si="12"/>
        <v>5</v>
      </c>
      <c r="AL36" s="1210">
        <f t="shared" si="12"/>
        <v>5</v>
      </c>
      <c r="AM36" s="1210">
        <f t="shared" si="12"/>
        <v>5</v>
      </c>
      <c r="AN36" s="1210">
        <f t="shared" si="12"/>
        <v>5</v>
      </c>
      <c r="AO36" s="1210">
        <f t="shared" si="12"/>
        <v>5</v>
      </c>
      <c r="AP36" s="1210">
        <f t="shared" si="12"/>
        <v>5</v>
      </c>
      <c r="AQ36" s="1210">
        <f t="shared" si="12"/>
        <v>5</v>
      </c>
      <c r="AR36" s="1210">
        <f t="shared" si="12"/>
        <v>5</v>
      </c>
      <c r="AS36" s="1210">
        <f t="shared" si="12"/>
        <v>5</v>
      </c>
      <c r="AT36" s="1210">
        <f t="shared" si="12"/>
        <v>5</v>
      </c>
      <c r="AU36" s="1210">
        <f t="shared" si="12"/>
        <v>5</v>
      </c>
      <c r="AV36" s="1210">
        <f t="shared" si="12"/>
        <v>5</v>
      </c>
      <c r="AW36" s="1210">
        <f t="shared" si="12"/>
        <v>5</v>
      </c>
      <c r="AX36" s="1210">
        <f t="shared" si="12"/>
        <v>5</v>
      </c>
      <c r="AY36" s="1210">
        <f t="shared" si="12"/>
        <v>5</v>
      </c>
      <c r="AZ36" s="1210">
        <f t="shared" si="12"/>
        <v>5</v>
      </c>
      <c r="BA36" s="1210">
        <f t="shared" si="12"/>
        <v>5</v>
      </c>
      <c r="BB36" s="1210">
        <f t="shared" si="12"/>
        <v>5</v>
      </c>
      <c r="BC36" s="1210">
        <f t="shared" si="12"/>
        <v>5</v>
      </c>
      <c r="BD36" s="1210">
        <f t="shared" si="12"/>
        <v>5</v>
      </c>
      <c r="BE36" s="1210">
        <f t="shared" si="12"/>
        <v>5</v>
      </c>
      <c r="BF36" s="1210">
        <f t="shared" si="12"/>
        <v>5</v>
      </c>
      <c r="BG36" s="1210">
        <f t="shared" si="12"/>
        <v>5</v>
      </c>
      <c r="BH36" s="1210">
        <f t="shared" si="12"/>
        <v>5</v>
      </c>
      <c r="BI36" s="1210">
        <f t="shared" si="12"/>
        <v>5</v>
      </c>
      <c r="BJ36" s="1210">
        <f t="shared" si="12"/>
        <v>5</v>
      </c>
      <c r="BK36" s="1210">
        <f t="shared" si="12"/>
        <v>5</v>
      </c>
      <c r="BL36" s="1210">
        <f t="shared" si="12"/>
        <v>5</v>
      </c>
      <c r="BM36" s="1210">
        <f t="shared" si="12"/>
        <v>5</v>
      </c>
      <c r="BN36" s="1210">
        <f t="shared" si="12"/>
        <v>5</v>
      </c>
      <c r="BO36" s="2096"/>
      <c r="BP36" s="2096"/>
      <c r="BQ36" s="2096"/>
      <c r="BR36" s="2096"/>
      <c r="BS36" s="2096"/>
      <c r="BT36" s="2096"/>
      <c r="BU36" s="2096"/>
      <c r="BV36" s="2096"/>
      <c r="BW36" s="2096"/>
      <c r="BX36" s="2096"/>
      <c r="BY36" s="2096"/>
      <c r="BZ36" s="2096"/>
      <c r="CA36" s="34"/>
      <c r="CC36" s="33"/>
      <c r="CD36" s="1772" t="e" cm="1">
        <f t="array" ca="1" aca="1" ref="CD36">_xlfn.LET(_xlpm.CheckBlank,SUM(PL!$AD36:PL!$BN36)=0,IF(_xlpm.CheckBlank,"",SUM(_xlfn._xlws.FILTER(PL!$AD36:$BN36,(YEAR(PL!$AD$12:$BN$12)=PL!CD$12)*(array_timeline&lt;=PL!CD$11)))))</f>
        <v>#NAME?</v>
      </c>
      <c r="CE36" s="1772" t="e" cm="1">
        <f t="array" ca="1" aca="1" ref="CE36">_xlfn.LET(_xlpm.CheckBlank,SUM(PL!$AD36:PL!$BN36)=0,IF(_xlpm.CheckBlank,"",SUM(_xlfn._xlws.FILTER(PL!$AD36:$BN36,(YEAR(PL!$AD$12:$BN$12)=PL!CE$12)*(array_timeline&lt;=PL!CE$11)))))</f>
        <v>#NAME?</v>
      </c>
      <c r="CF36" s="88"/>
      <c r="CG36" s="1461" t="str" cm="1">
        <f t="array" ca="1" aca="1" ref="CG36">IFERROR(_xlfn.LET(_xlpm.CheckBlank,SUM(PL!$AD36:$BN36)=0,IF(_xlpm.CheckBlank,"",SUM(_xlfn._xlws.FILTER(PL!$AD36:$BN36,(YEAR(PL!$AD$12:$BN$12)=PL!CG$12)*(array_timeline&lt;=PL!CG$11))))),"n/a")</f>
        <v>n/a</v>
      </c>
      <c r="CH36" s="1461" t="e" cm="1">
        <f t="array" ca="1" aca="1" ref="CH36">_xlfn.LET(_xlpm.CheckBlank,SUM(PL!$AD36:$BN36)=0,IF(_xlpm.CheckBlank,"",SUM(_xlfn._xlws.FILTER(PL!$AD36:$BN36,(YEAR(PL!$AD$12:$BN$12)=PL!CH$12)*(array_timeline&lt;=PL!CH$11)))))</f>
        <v>#NAME?</v>
      </c>
      <c r="CI36" s="88"/>
      <c r="CJ36" s="1461" cm="1">
        <f t="array" ref="CJ36">_xlfn.LET(_xlpm.CheckBlank,SUM(PL!$AD36:$BN36)=0,IF(_xlpm.CheckBlank,"",SUM(_xlfn.TAKE(_xlfn.DROP(PL!$AD36:$BN36,,-DATEDIFF(PL!CJ$11,val_asOfDate,"M")),1,-12))))</f>
        <v>60</v>
      </c>
      <c r="CK36" s="1461" cm="1">
        <f t="array" ref="CK36">_xlfn.LET(_xlpm.CheckBlank,SUM(PL!$AD36:$BN36)=0,IF(_xlpm.CheckBlank,"",SUM(_xlfn.TAKE(_xlfn.DROP(PL!$AD36:$BN36,,-DATEDIFF(PL!CK$11,val_asOfDate,"M")),1,-12))))</f>
        <v>60</v>
      </c>
      <c r="CL36" s="88"/>
      <c r="CM36" s="2446">
        <f>SUBTOTAL(9,CM20:CM35)-SUBTOTAL(9,CM26:CM31)-N(CM23)</f>
        <v>5</v>
      </c>
      <c r="CN36" s="2446">
        <f>SUBTOTAL(9,CN20:CN35)-SUBTOTAL(9,CN26:CN31)-N(CN23)</f>
        <v>5</v>
      </c>
      <c r="CO36" s="1169"/>
      <c r="CP36" s="2446">
        <f>SUBTOTAL(9,CP20:CP35)-SUBTOTAL(9,CP26:CP31)-N(CP23)</f>
        <v>5</v>
      </c>
      <c r="CQ36" s="2446">
        <f>SUBTOTAL(9,CQ20:CQ35)-SUBTOTAL(9,CQ26:CQ31)-N(CQ23)</f>
        <v>5</v>
      </c>
      <c r="CR36" s="34"/>
      <c r="CS36" s="2056"/>
      <c r="CT36" s="2085" t="e" cm="1">
        <f t="array" ca="1" aca="1" ref="CT36">IF(K36&lt;&gt;"Yes","",IF(OR(Y36="Select,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III"),"",IF(OR(Y36&lt;&gt;AB36,AND(LEN(B36)=0,NOT(OR(Y36="Select,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III")))),_xldudf_CX_PUSH(Y36,CX_ENTITY,C36,EOMONTH(val_asOfDate,0)),"")))</f>
        <v>#NAME?</v>
      </c>
      <c r="CU36" s="2085" t="e" cm="1">
        <f t="array" ca="1" aca="1" ref="CU36">IF(K36&lt;&gt;"Yes","",IF(OR(Y36="Select,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III"),"",IF(OR(Y36&lt;&gt;AB36,AND(LEN(B36)=0,NOT(OR(Y36="Select,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III")))),_xldudf_CX_PUSH(Y36,CX_ENTITY,C36,EOMONTH(val_asOfDate,1)),"")))</f>
        <v>#NAME?</v>
      </c>
      <c r="CV36" s="2085" t="e" cm="1">
        <f t="array" ca="1" aca="1" ref="CV36">IF(K36&lt;&gt;"Yes","",IF(OR(Y36="Select,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III"),"",IF(OR(Y36&lt;&gt;AB36,AND(LEN(B36)=0,NOT(OR(Y36="Select,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III")))),_xldudf_CX_PUSH(Y36,CX_ENTITY,C36,EOMONTH(val_asOfDate,2)),"")))</f>
        <v>#NAME?</v>
      </c>
      <c r="CW36" s="2085" t="e" cm="1">
        <f t="array" ca="1" aca="1" ref="CW36">IF(K36&lt;&gt;"Yes","",IF(OR(Y36="Select,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III"),"",IF(OR(Y36&lt;&gt;AB36,AND(LEN(B36)=0,NOT(OR(Y36="Select,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III")))),_xldudf_CX_PUSH(Y36,CX_ENTITY,C36,EOMONTH(val_asOfDate,3)),"")))</f>
        <v>#NAME?</v>
      </c>
      <c r="CX36" s="2443"/>
      <c r="CY36" s="2444" t="str" cm="1">
        <f t="array" ca="1" aca="1" ref="CY36">IFERROR(IF(CM36*fxVal_normal=_PL!CM36,"",IF(OR($CM36="",$CM36=0,NOT(ISNUMBER($CM36)),ISERROR($CM36),$B36=""),"",IF($I36=1,IFBLANK(_xldudf_CX_PUSH($CM36*fxVal_normal,CX_ENTITY,$B36,$CM$11,$CM$14,$CM$19,),""),IF($I36=2,IFBLANK(_xldudf_CX_PUSH($CM36,CX_ENTITY,$B36,$CM$11,$CM$14,$CM$19,),""),IF($I36=3,"",IFBLANK(_xldudf_CX_PUSH($CM36,CX_ENTITY,$B36,$CM$11,$CM$14,$CM$19,),"")))))),"")</f>
        <v/>
      </c>
      <c r="CZ36" s="2444" t="str" cm="1">
        <f t="array" ca="1" aca="1" ref="CZ36">IFERROR(IF(CN36*fxVal_normal=_PL!CN36,"",IF(OR($CN36="",$CN36=0,NOT(ISNUMBER($CN36)),ISERROR($CN36),$B36=""),"",IF($I36=1,IFBLANK(_xldudf_CX_PUSH($CN36*fxVal_normal,CX_ENTITY,$B36,$CN$11,$CN$14,$CN$19,),""),IF($I36=2,IFBLANK(_xldudf_CX_PUSH($CN36,CX_ENTITY,$B36,$CN$11,$CN$14,$CN$19,),""),IF($I36=3,"",IFBLANK(_xldudf_CX_PUSH($CN36,CX_ENTITY,$B36,$CN$11,$CN$14,$CN$19,),"")))))),"")</f>
        <v/>
      </c>
      <c r="DA36" s="2444" t="str" cm="1">
        <f t="array" ca="1" aca="1" ref="DA36">IFERROR(IF(CP36*fxVal_normal=_PL!CP36,"",IF(OR($CP36="",$CP36=0,NOT(ISNUMBER($CP36)),ISERROR($CP36),$B36=""),"",IF($I36=1,IFBLANK(_xldudf_CX_PUSH($CP36*fxVal_normal,CX_ENTITY,$B36,$CP$11,$CP$14,$CP$19,),""),IF($I36=2,IFBLANK(_xldudf_CX_PUSH($CP36,CX_ENTITY,$B36,$CP$11,$CP$14,$CP$19,),""),IF($I36=3,"",IFBLANK(_xldudf_CX_PUSH($CP36,CX_ENTITY,$B36,$CP$11,$CP$14,$CP$19,),"")))))),"")</f>
        <v/>
      </c>
      <c r="DB36" s="2444" t="str" cm="1">
        <f t="array" ca="1" aca="1" ref="DB36">IFERROR(IF(CQ36*fxVal_normal=_PL!CQ36,"",IF(OR($CQ36="",$CQ36=0,NOT(ISNUMBER($CQ36)),ISERROR($CQ36),$B36=""),"",IF($I36=1,IFBLANK(_xldudf_CX_PUSH($CQ36*fxVal_normal,CX_ENTITY,$B36,$CQ$11,$CQ$14,$CQ$19,),""),IF($I36=2,IFBLANK(_xldudf_CX_PUSH($CQ36,CX_ENTITY,$B36,$CQ$11,$CQ$14,$CQ$19,),""),IF($I36=3,"",IFBLANK(_xldudf_CX_PUSH($CQ36,CX_ENTITY,$B36,$CQ$11,$CQ$14,$CQ$19,),"")))))),"")</f>
        <v/>
      </c>
      <c r="DC36" s="2443"/>
      <c r="DD36" s="2445" t="str" cm="1">
        <f t="array" ca="1" aca="1" ref="DD36">IFERROR(IF(AD36*fxVal_normal=_PL!AD36,"",IF(OR(AD36="",NOT(ISNUMBER(AD36)),ISERROR(AD36),$B36=""),"",IF($I36=1,IFBLANK(_xldudf_CX_PUSH(AD36*fxVal_normal,CX_ENTITY,$B36,AD$11,AD$14,AD$19,),""),IF($I36=2,IFBLANK(_xldudf_CX_PUSH(AD36,CX_ENTITY,$B36,AD$11,AD$14,AD$19,),""),IF($I36=3,"",IFBLANK(_xldudf_CX_PUSH(AD36,CX_ENTITY,$B36,AD$11,AD$14,AD$19,),"")))))),"")</f>
        <v/>
      </c>
      <c r="DE36" s="2445" t="str" cm="1">
        <f t="array" ca="1" aca="1" ref="DE36">IFERROR(IF(AE36*fxVal_normal=_PL!AE36,"",IF(OR(AE36="",NOT(ISNUMBER(AE36)),ISERROR(AE36),$B36=""),"",IF($I36=1,IFBLANK(_xldudf_CX_PUSH(AE36*fxVal_normal,CX_ENTITY,$B36,AE$11,AE$14,AE$19,),""),IF($I36=2,IFBLANK(_xldudf_CX_PUSH(AE36,CX_ENTITY,$B36,AE$11,AE$14,AE$19,),""),IF($I36=3,"",IFBLANK(_xldudf_CX_PUSH(AE36,CX_ENTITY,$B36,AE$11,AE$14,AE$19,),"")))))),"")</f>
        <v/>
      </c>
      <c r="DF36" s="2445" t="str" cm="1">
        <f t="array" ca="1" aca="1" ref="DF36">IFERROR(IF(AF36*fxVal_normal=_PL!AF36,"",IF(OR(AF36="",NOT(ISNUMBER(AF36)),ISERROR(AF36),$B36=""),"",IF($I36=1,IFBLANK(_xldudf_CX_PUSH(AF36*fxVal_normal,CX_ENTITY,$B36,AF$11,AF$14,AF$19,),""),IF($I36=2,IFBLANK(_xldudf_CX_PUSH(AF36,CX_ENTITY,$B36,AF$11,AF$14,AF$19,),""),IF($I36=3,"",IFBLANK(_xldudf_CX_PUSH(AF36,CX_ENTITY,$B36,AF$11,AF$14,AF$19,),"")))))),"")</f>
        <v/>
      </c>
      <c r="DG36" s="2445" t="str" cm="1">
        <f t="array" ca="1" aca="1" ref="DG36">IFERROR(IF(AG36*fxVal_normal=_PL!AG36,"",IF(OR(AG36="",NOT(ISNUMBER(AG36)),ISERROR(AG36),$B36=""),"",IF($I36=1,IFBLANK(_xldudf_CX_PUSH(AG36*fxVal_normal,CX_ENTITY,$B36,AG$11,AG$14,AG$19,),""),IF($I36=2,IFBLANK(_xldudf_CX_PUSH(AG36,CX_ENTITY,$B36,AG$11,AG$14,AG$19,),""),IF($I36=3,"",IFBLANK(_xldudf_CX_PUSH(AG36,CX_ENTITY,$B36,AG$11,AG$14,AG$19,),"")))))),"")</f>
        <v/>
      </c>
      <c r="DH36" s="2445" t="str" cm="1">
        <f t="array" ca="1" aca="1" ref="DH36">IFERROR(IF(AH36*fxVal_normal=_PL!AH36,"",IF(OR(AH36="",NOT(ISNUMBER(AH36)),ISERROR(AH36),$B36=""),"",IF($I36=1,IFBLANK(_xldudf_CX_PUSH(AH36*fxVal_normal,CX_ENTITY,$B36,AH$11,AH$14,AH$19,),""),IF($I36=2,IFBLANK(_xldudf_CX_PUSH(AH36,CX_ENTITY,$B36,AH$11,AH$14,AH$19,),""),IF($I36=3,"",IFBLANK(_xldudf_CX_PUSH(AH36,CX_ENTITY,$B36,AH$11,AH$14,AH$19,),"")))))),"")</f>
        <v/>
      </c>
      <c r="DI36" s="2445" t="str" cm="1">
        <f t="array" ca="1" aca="1" ref="DI36">IFERROR(IF(AI36*fxVal_normal=_PL!AI36,"",IF(OR(AI36="",NOT(ISNUMBER(AI36)),ISERROR(AI36),$B36=""),"",IF($I36=1,IFBLANK(_xldudf_CX_PUSH(AI36*fxVal_normal,CX_ENTITY,$B36,AI$11,AI$14,AI$19,),""),IF($I36=2,IFBLANK(_xldudf_CX_PUSH(AI36,CX_ENTITY,$B36,AI$11,AI$14,AI$19,),""),IF($I36=3,"",IFBLANK(_xldudf_CX_PUSH(AI36,CX_ENTITY,$B36,AI$11,AI$14,AI$19,),"")))))),"")</f>
        <v/>
      </c>
      <c r="DJ36" s="2445" t="str" cm="1">
        <f t="array" ca="1" aca="1" ref="DJ36">IFERROR(IF(AJ36*fxVal_normal=_PL!AJ36,"",IF(OR(AJ36="",NOT(ISNUMBER(AJ36)),ISERROR(AJ36),$B36=""),"",IF($I36=1,IFBLANK(_xldudf_CX_PUSH(AJ36*fxVal_normal,CX_ENTITY,$B36,AJ$11,AJ$14,AJ$19,),""),IF($I36=2,IFBLANK(_xldudf_CX_PUSH(AJ36,CX_ENTITY,$B36,AJ$11,AJ$14,AJ$19,),""),IF($I36=3,"",IFBLANK(_xldudf_CX_PUSH(AJ36,CX_ENTITY,$B36,AJ$11,AJ$14,AJ$19,),"")))))),"")</f>
        <v/>
      </c>
      <c r="DK36" s="2445" t="str" cm="1">
        <f t="array" ca="1" aca="1" ref="DK36">IFERROR(IF(AK36*fxVal_normal=_PL!AK36,"",IF(OR(AK36="",NOT(ISNUMBER(AK36)),ISERROR(AK36),$B36=""),"",IF($I36=1,IFBLANK(_xldudf_CX_PUSH(AK36*fxVal_normal,CX_ENTITY,$B36,AK$11,AK$14,AK$19,),""),IF($I36=2,IFBLANK(_xldudf_CX_PUSH(AK36,CX_ENTITY,$B36,AK$11,AK$14,AK$19,),""),IF($I36=3,"",IFBLANK(_xldudf_CX_PUSH(AK36,CX_ENTITY,$B36,AK$11,AK$14,AK$19,),"")))))),"")</f>
        <v/>
      </c>
      <c r="DL36" s="2445" t="str" cm="1">
        <f t="array" ca="1" aca="1" ref="DL36">IFERROR(IF(AL36*fxVal_normal=_PL!AL36,"",IF(OR(AL36="",NOT(ISNUMBER(AL36)),ISERROR(AL36),$B36=""),"",IF($I36=1,IFBLANK(_xldudf_CX_PUSH(AL36*fxVal_normal,CX_ENTITY,$B36,AL$11,AL$14,AL$19,),""),IF($I36=2,IFBLANK(_xldudf_CX_PUSH(AL36,CX_ENTITY,$B36,AL$11,AL$14,AL$19,),""),IF($I36=3,"",IFBLANK(_xldudf_CX_PUSH(AL36,CX_ENTITY,$B36,AL$11,AL$14,AL$19,),"")))))),"")</f>
        <v/>
      </c>
      <c r="DM36" s="2445" t="str" cm="1">
        <f t="array" ca="1" aca="1" ref="DM36">IFERROR(IF(AM36*fxVal_normal=_PL!AM36,"",IF(OR(AM36="",NOT(ISNUMBER(AM36)),ISERROR(AM36),$B36=""),"",IF($I36=1,IFBLANK(_xldudf_CX_PUSH(AM36*fxVal_normal,CX_ENTITY,$B36,AM$11,AM$14,AM$19,),""),IF($I36=2,IFBLANK(_xldudf_CX_PUSH(AM36,CX_ENTITY,$B36,AM$11,AM$14,AM$19,),""),IF($I36=3,"",IFBLANK(_xldudf_CX_PUSH(AM36,CX_ENTITY,$B36,AM$11,AM$14,AM$19,),"")))))),"")</f>
        <v/>
      </c>
      <c r="DN36" s="2445" t="str" cm="1">
        <f t="array" ca="1" aca="1" ref="DN36">IFERROR(IF(AN36*fxVal_normal=_PL!AN36,"",IF(OR(AN36="",NOT(ISNUMBER(AN36)),ISERROR(AN36),$B36=""),"",IF($I36=1,IFBLANK(_xldudf_CX_PUSH(AN36*fxVal_normal,CX_ENTITY,$B36,AN$11,AN$14,AN$19,),""),IF($I36=2,IFBLANK(_xldudf_CX_PUSH(AN36,CX_ENTITY,$B36,AN$11,AN$14,AN$19,),""),IF($I36=3,"",IFBLANK(_xldudf_CX_PUSH(AN36,CX_ENTITY,$B36,AN$11,AN$14,AN$19,),"")))))),"")</f>
        <v/>
      </c>
      <c r="DO36" s="2445" t="str" cm="1">
        <f t="array" ca="1" aca="1" ref="DO36">IFERROR(IF(AO36*fxVal_normal=_PL!AO36,"",IF(OR(AO36="",NOT(ISNUMBER(AO36)),ISERROR(AO36),$B36=""),"",IF($I36=1,IFBLANK(_xldudf_CX_PUSH(AO36*fxVal_normal,CX_ENTITY,$B36,AO$11,AO$14,AO$19,),""),IF($I36=2,IFBLANK(_xldudf_CX_PUSH(AO36,CX_ENTITY,$B36,AO$11,AO$14,AO$19,),""),IF($I36=3,"",IFBLANK(_xldudf_CX_PUSH(AO36,CX_ENTITY,$B36,AO$11,AO$14,AO$19,),"")))))),"")</f>
        <v/>
      </c>
      <c r="DP36" s="2445" t="str" cm="1">
        <f t="array" ca="1" aca="1" ref="DP36">IFERROR(IF(AP36*fxVal_normal=_PL!AP36,"",IF(OR(AP36="",NOT(ISNUMBER(AP36)),ISERROR(AP36),$B36=""),"",IF($I36=1,IFBLANK(_xldudf_CX_PUSH(AP36*fxVal_normal,CX_ENTITY,$B36,AP$11,AP$14,AP$19,),""),IF($I36=2,IFBLANK(_xldudf_CX_PUSH(AP36,CX_ENTITY,$B36,AP$11,AP$14,AP$19,),""),IF($I36=3,"",IFBLANK(_xldudf_CX_PUSH(AP36,CX_ENTITY,$B36,AP$11,AP$14,AP$19,),"")))))),"")</f>
        <v/>
      </c>
      <c r="DQ36" s="2445" t="str" cm="1">
        <f t="array" ca="1" aca="1" ref="DQ36">IFERROR(IF(AQ36*fxVal_normal=_PL!AQ36,"",IF(OR(AQ36="",NOT(ISNUMBER(AQ36)),ISERROR(AQ36),$B36=""),"",IF($I36=1,IFBLANK(_xldudf_CX_PUSH(AQ36*fxVal_normal,CX_ENTITY,$B36,AQ$11,AQ$14,AQ$19,),""),IF($I36=2,IFBLANK(_xldudf_CX_PUSH(AQ36,CX_ENTITY,$B36,AQ$11,AQ$14,AQ$19,),""),IF($I36=3,"",IFBLANK(_xldudf_CX_PUSH(AQ36,CX_ENTITY,$B36,AQ$11,AQ$14,AQ$19,),"")))))),"")</f>
        <v/>
      </c>
      <c r="DR36" s="2445" t="str" cm="1">
        <f t="array" ca="1" aca="1" ref="DR36">IFERROR(IF(AR36*fxVal_normal=_PL!AR36,"",IF(OR(AR36="",NOT(ISNUMBER(AR36)),ISERROR(AR36),$B36=""),"",IF($I36=1,IFBLANK(_xldudf_CX_PUSH(AR36*fxVal_normal,CX_ENTITY,$B36,AR$11,AR$14,AR$19,),""),IF($I36=2,IFBLANK(_xldudf_CX_PUSH(AR36,CX_ENTITY,$B36,AR$11,AR$14,AR$19,),""),IF($I36=3,"",IFBLANK(_xldudf_CX_PUSH(AR36,CX_ENTITY,$B36,AR$11,AR$14,AR$19,),"")))))),"")</f>
        <v/>
      </c>
      <c r="DS36" s="2445" t="str" cm="1">
        <f t="array" ca="1" aca="1" ref="DS36">IFERROR(IF(AS36*fxVal_normal=_PL!AS36,"",IF(OR(AS36="",NOT(ISNUMBER(AS36)),ISERROR(AS36),$B36=""),"",IF($I36=1,IFBLANK(_xldudf_CX_PUSH(AS36*fxVal_normal,CX_ENTITY,$B36,AS$11,AS$14,AS$19,),""),IF($I36=2,IFBLANK(_xldudf_CX_PUSH(AS36,CX_ENTITY,$B36,AS$11,AS$14,AS$19,),""),IF($I36=3,"",IFBLANK(_xldudf_CX_PUSH(AS36,CX_ENTITY,$B36,AS$11,AS$14,AS$19,),"")))))),"")</f>
        <v/>
      </c>
      <c r="DT36" s="2445" t="str" cm="1">
        <f t="array" ca="1" aca="1" ref="DT36">IFERROR(IF(AT36*fxVal_normal=_PL!AT36,"",IF(OR(AT36="",NOT(ISNUMBER(AT36)),ISERROR(AT36),$B36=""),"",IF($I36=1,IFBLANK(_xldudf_CX_PUSH(AT36*fxVal_normal,CX_ENTITY,$B36,AT$11,AT$14,AT$19,),""),IF($I36=2,IFBLANK(_xldudf_CX_PUSH(AT36,CX_ENTITY,$B36,AT$11,AT$14,AT$19,),""),IF($I36=3,"",IFBLANK(_xldudf_CX_PUSH(AT36,CX_ENTITY,$B36,AT$11,AT$14,AT$19,),"")))))),"")</f>
        <v/>
      </c>
      <c r="DU36" s="2445" t="str" cm="1">
        <f t="array" ca="1" aca="1" ref="DU36">IFERROR(IF(AU36*fxVal_normal=_PL!AU36,"",IF(OR(AU36="",NOT(ISNUMBER(AU36)),ISERROR(AU36),$B36=""),"",IF($I36=1,IFBLANK(_xldudf_CX_PUSH(AU36*fxVal_normal,CX_ENTITY,$B36,AU$11,AU$14,AU$19,),""),IF($I36=2,IFBLANK(_xldudf_CX_PUSH(AU36,CX_ENTITY,$B36,AU$11,AU$14,AU$19,),""),IF($I36=3,"",IFBLANK(_xldudf_CX_PUSH(AU36,CX_ENTITY,$B36,AU$11,AU$14,AU$19,),"")))))),"")</f>
        <v/>
      </c>
      <c r="DV36" s="2445" t="str" cm="1">
        <f t="array" ca="1" aca="1" ref="DV36">IFERROR(IF(AV36*fxVal_normal=_PL!AV36,"",IF(OR(AV36="",NOT(ISNUMBER(AV36)),ISERROR(AV36),$B36=""),"",IF($I36=1,IFBLANK(_xldudf_CX_PUSH(AV36*fxVal_normal,CX_ENTITY,$B36,AV$11,AV$14,AV$19,),""),IF($I36=2,IFBLANK(_xldudf_CX_PUSH(AV36,CX_ENTITY,$B36,AV$11,AV$14,AV$19,),""),IF($I36=3,"",IFBLANK(_xldudf_CX_PUSH(AV36,CX_ENTITY,$B36,AV$11,AV$14,AV$19,),"")))))),"")</f>
        <v/>
      </c>
      <c r="DW36" s="2445" t="str" cm="1">
        <f t="array" ca="1" aca="1" ref="DW36">IFERROR(IF(AW36*fxVal_normal=_PL!AW36,"",IF(OR(AW36="",NOT(ISNUMBER(AW36)),ISERROR(AW36),$B36=""),"",IF($I36=1,IFBLANK(_xldudf_CX_PUSH(AW36*fxVal_normal,CX_ENTITY,$B36,AW$11,AW$14,AW$19,),""),IF($I36=2,IFBLANK(_xldudf_CX_PUSH(AW36,CX_ENTITY,$B36,AW$11,AW$14,AW$19,),""),IF($I36=3,"",IFBLANK(_xldudf_CX_PUSH(AW36,CX_ENTITY,$B36,AW$11,AW$14,AW$19,),"")))))),"")</f>
        <v/>
      </c>
      <c r="DX36" s="2445" t="str" cm="1">
        <f t="array" ca="1" aca="1" ref="DX36">IFERROR(IF(AX36*fxVal_normal=_PL!AX36,"",IF(OR(AX36="",NOT(ISNUMBER(AX36)),ISERROR(AX36),$B36=""),"",IF($I36=1,IFBLANK(_xldudf_CX_PUSH(AX36*fxVal_normal,CX_ENTITY,$B36,AX$11,AX$14,AX$19,),""),IF($I36=2,IFBLANK(_xldudf_CX_PUSH(AX36,CX_ENTITY,$B36,AX$11,AX$14,AX$19,),""),IF($I36=3,"",IFBLANK(_xldudf_CX_PUSH(AX36,CX_ENTITY,$B36,AX$11,AX$14,AX$19,),"")))))),"")</f>
        <v/>
      </c>
      <c r="DY36" s="2445" t="str" cm="1">
        <f t="array" ca="1" aca="1" ref="DY36">IFERROR(IF(AY36*fxVal_normal=_PL!AY36,"",IF(OR(AY36="",NOT(ISNUMBER(AY36)),ISERROR(AY36),$B36=""),"",IF($I36=1,IFBLANK(_xldudf_CX_PUSH(AY36*fxVal_normal,CX_ENTITY,$B36,AY$11,AY$14,AY$19,),""),IF($I36=2,IFBLANK(_xldudf_CX_PUSH(AY36,CX_ENTITY,$B36,AY$11,AY$14,AY$19,),""),IF($I36=3,"",IFBLANK(_xldudf_CX_PUSH(AY36,CX_ENTITY,$B36,AY$11,AY$14,AY$19,),"")))))),"")</f>
        <v/>
      </c>
      <c r="DZ36" s="2445" t="str" cm="1">
        <f t="array" ca="1" aca="1" ref="DZ36">IFERROR(IF(AZ36*fxVal_normal=_PL!AZ36,"",IF(OR(AZ36="",NOT(ISNUMBER(AZ36)),ISERROR(AZ36),$B36=""),"",IF($I36=1,IFBLANK(_xldudf_CX_PUSH(AZ36*fxVal_normal,CX_ENTITY,$B36,AZ$11,AZ$14,AZ$19,),""),IF($I36=2,IFBLANK(_xldudf_CX_PUSH(AZ36,CX_ENTITY,$B36,AZ$11,AZ$14,AZ$19,),""),IF($I36=3,"",IFBLANK(_xldudf_CX_PUSH(AZ36,CX_ENTITY,$B36,AZ$11,AZ$14,AZ$19,),"")))))),"")</f>
        <v/>
      </c>
      <c r="EA36" s="2445" t="str" cm="1">
        <f t="array" ca="1" aca="1" ref="EA36">IFERROR(IF(BA36*fxVal_normal=_PL!BA36,"",IF(OR(BA36="",NOT(ISNUMBER(BA36)),ISERROR(BA36),$B36=""),"",IF($I36=1,IFBLANK(_xldudf_CX_PUSH(BA36*fxVal_normal,CX_ENTITY,$B36,BA$11,BA$14,BA$19,),""),IF($I36=2,IFBLANK(_xldudf_CX_PUSH(BA36,CX_ENTITY,$B36,BA$11,BA$14,BA$19,),""),IF($I36=3,"",IFBLANK(_xldudf_CX_PUSH(BA36,CX_ENTITY,$B36,BA$11,BA$14,BA$19,),"")))))),"")</f>
        <v/>
      </c>
      <c r="EB36" s="2445" t="str" cm="1">
        <f t="array" ca="1" aca="1" ref="EB36">IFERROR(IF(BB36*fxVal_normal=_PL!BB36,"",IF(OR(BB36="",NOT(ISNUMBER(BB36)),ISERROR(BB36),$B36=""),"",IF($I36=1,IFBLANK(_xldudf_CX_PUSH(BB36*fxVal_normal,CX_ENTITY,$B36,BB$11,BB$14,BB$19,),""),IF($I36=2,IFBLANK(_xldudf_CX_PUSH(BB36,CX_ENTITY,$B36,BB$11,BB$14,BB$19,),""),IF($I36=3,"",IFBLANK(_xldudf_CX_PUSH(BB36,CX_ENTITY,$B36,BB$11,BB$14,BB$19,),"")))))),"")</f>
        <v/>
      </c>
      <c r="EC36" s="2445" t="str" cm="1">
        <f t="array" ca="1" aca="1" ref="EC36">IFERROR(IF(BC36*fxVal_normal=_PL!BC36,"",IF(OR(BC36="",NOT(ISNUMBER(BC36)),ISERROR(BC36),$B36=""),"",IF($I36=1,IFBLANK(_xldudf_CX_PUSH(BC36*fxVal_normal,CX_ENTITY,$B36,BC$11,BC$14,BC$19,),""),IF($I36=2,IFBLANK(_xldudf_CX_PUSH(BC36,CX_ENTITY,$B36,BC$11,BC$14,BC$19,),""),IF($I36=3,"",IFBLANK(_xldudf_CX_PUSH(BC36,CX_ENTITY,$B36,BC$11,BC$14,BC$19,),"")))))),"")</f>
        <v/>
      </c>
      <c r="ED36" s="2445" t="str" cm="1">
        <f t="array" ca="1" aca="1" ref="ED36">IFERROR(IF(BD36*fxVal_normal=_PL!BD36,"",IF(OR(BD36="",NOT(ISNUMBER(BD36)),ISERROR(BD36),$B36=""),"",IF($I36=1,IFBLANK(_xldudf_CX_PUSH(BD36*fxVal_normal,CX_ENTITY,$B36,BD$11,BD$14,BD$19,),""),IF($I36=2,IFBLANK(_xldudf_CX_PUSH(BD36,CX_ENTITY,$B36,BD$11,BD$14,BD$19,),""),IF($I36=3,"",IFBLANK(_xldudf_CX_PUSH(BD36,CX_ENTITY,$B36,BD$11,BD$14,BD$19,),"")))))),"")</f>
        <v/>
      </c>
      <c r="EE36" s="2445" t="str" cm="1">
        <f t="array" ca="1" aca="1" ref="EE36">IFERROR(IF(BE36*fxVal_normal=_PL!BE36,"",IF(OR(BE36="",NOT(ISNUMBER(BE36)),ISERROR(BE36),$B36=""),"",IF($I36=1,IFBLANK(_xldudf_CX_PUSH(BE36*fxVal_normal,CX_ENTITY,$B36,BE$11,BE$14,BE$19,),""),IF($I36=2,IFBLANK(_xldudf_CX_PUSH(BE36,CX_ENTITY,$B36,BE$11,BE$14,BE$19,),""),IF($I36=3,"",IFBLANK(_xldudf_CX_PUSH(BE36,CX_ENTITY,$B36,BE$11,BE$14,BE$19,),"")))))),"")</f>
        <v/>
      </c>
      <c r="EF36" s="2445" t="str" cm="1">
        <f t="array" ca="1" aca="1" ref="EF36">IFERROR(IF(BF36*fxVal_normal=_PL!BF36,"",IF(OR(BF36="",NOT(ISNUMBER(BF36)),ISERROR(BF36),$B36=""),"",IF($I36=1,IFBLANK(_xldudf_CX_PUSH(BF36*fxVal_normal,CX_ENTITY,$B36,BF$11,BF$14,BF$19,),""),IF($I36=2,IFBLANK(_xldudf_CX_PUSH(BF36,CX_ENTITY,$B36,BF$11,BF$14,BF$19,),""),IF($I36=3,"",IFBLANK(_xldudf_CX_PUSH(BF36,CX_ENTITY,$B36,BF$11,BF$14,BF$19,),"")))))),"")</f>
        <v/>
      </c>
      <c r="EG36" s="2445" t="str" cm="1">
        <f t="array" ca="1" aca="1" ref="EG36">IFERROR(IF(BG36*fxVal_normal=_PL!BG36,"",IF(OR(BG36="",NOT(ISNUMBER(BG36)),ISERROR(BG36),$B36=""),"",IF($I36=1,IFBLANK(_xldudf_CX_PUSH(BG36*fxVal_normal,CX_ENTITY,$B36,BG$11,BG$14,BG$19,),""),IF($I36=2,IFBLANK(_xldudf_CX_PUSH(BG36,CX_ENTITY,$B36,BG$11,BG$14,BG$19,),""),IF($I36=3,"",IFBLANK(_xldudf_CX_PUSH(BG36,CX_ENTITY,$B36,BG$11,BG$14,BG$19,),"")))))),"")</f>
        <v/>
      </c>
      <c r="EH36" s="2445" t="str" cm="1">
        <f t="array" ca="1" aca="1" ref="EH36">IFERROR(IF(BH36*fxVal_normal=_PL!BH36,"",IF(OR(BH36="",NOT(ISNUMBER(BH36)),ISERROR(BH36),$B36=""),"",IF($I36=1,IFBLANK(_xldudf_CX_PUSH(BH36*fxVal_normal,CX_ENTITY,$B36,BH$11,BH$14,BH$19,),""),IF($I36=2,IFBLANK(_xldudf_CX_PUSH(BH36,CX_ENTITY,$B36,BH$11,BH$14,BH$19,),""),IF($I36=3,"",IFBLANK(_xldudf_CX_PUSH(BH36,CX_ENTITY,$B36,BH$11,BH$14,BH$19,),"")))))),"")</f>
        <v/>
      </c>
      <c r="EI36" s="2445" t="str" cm="1">
        <f t="array" ca="1" aca="1" ref="EI36">IFERROR(IF(BI36*fxVal_normal=_PL!BI36,"",IF(OR(BI36="",NOT(ISNUMBER(BI36)),ISERROR(BI36),$B36=""),"",IF($I36=1,IFBLANK(_xldudf_CX_PUSH(BI36*fxVal_normal,CX_ENTITY,$B36,BI$11,BI$14,BI$19,),""),IF($I36=2,IFBLANK(_xldudf_CX_PUSH(BI36,CX_ENTITY,$B36,BI$11,BI$14,BI$19,),""),IF($I36=3,"",IFBLANK(_xldudf_CX_PUSH(BI36,CX_ENTITY,$B36,BI$11,BI$14,BI$19,),"")))))),"")</f>
        <v/>
      </c>
      <c r="EJ36" s="2445" t="str" cm="1">
        <f t="array" ca="1" aca="1" ref="EJ36">IFERROR(IF(BJ36*fxVal_normal=_PL!BJ36,"",IF(OR(BJ36="",NOT(ISNUMBER(BJ36)),ISERROR(BJ36),$B36=""),"",IF($I36=1,IFBLANK(_xldudf_CX_PUSH(BJ36*fxVal_normal,CX_ENTITY,$B36,BJ$11,BJ$14,BJ$19,),""),IF($I36=2,IFBLANK(_xldudf_CX_PUSH(BJ36,CX_ENTITY,$B36,BJ$11,BJ$14,BJ$19,),""),IF($I36=3,"",IFBLANK(_xldudf_CX_PUSH(BJ36,CX_ENTITY,$B36,BJ$11,BJ$14,BJ$19,),"")))))),"")</f>
        <v/>
      </c>
      <c r="EK36" s="2445" t="str" cm="1">
        <f t="array" ca="1" aca="1" ref="EK36">IFERROR(IF(BK36*fxVal_normal=_PL!BK36,"",IF(OR(BK36="",NOT(ISNUMBER(BK36)),ISERROR(BK36),$B36=""),"",IF($I36=1,IFBLANK(_xldudf_CX_PUSH(BK36*fxVal_normal,CX_ENTITY,$B36,BK$11,BK$14,BK$19,),""),IF($I36=2,IFBLANK(_xldudf_CX_PUSH(BK36,CX_ENTITY,$B36,BK$11,BK$14,BK$19,),""),IF($I36=3,"",IFBLANK(_xldudf_CX_PUSH(BK36,CX_ENTITY,$B36,BK$11,BK$14,BK$19,),"")))))),"")</f>
        <v/>
      </c>
      <c r="EL36" s="2445" t="str" cm="1">
        <f t="array" ca="1" aca="1" ref="EL36">IFERROR(IF(BL36*fxVal_normal=_PL!BL36,"",IF(OR(BL36="",NOT(ISNUMBER(BL36)),ISERROR(BL36),$B36=""),"",IF($I36=1,IFBLANK(_xldudf_CX_PUSH(BL36*fxVal_normal,CX_ENTITY,$B36,BL$11,BL$14,BL$19,),""),IF($I36=2,IFBLANK(_xldudf_CX_PUSH(BL36,CX_ENTITY,$B36,BL$11,BL$14,BL$19,),""),IF($I36=3,"",IFBLANK(_xldudf_CX_PUSH(BL36,CX_ENTITY,$B36,BL$11,BL$14,BL$19,),"")))))),"")</f>
        <v/>
      </c>
      <c r="EM36" s="2445" t="str" cm="1">
        <f t="array" ca="1" aca="1" ref="EM36">IFERROR(IF(BM36*fxVal_normal=_PL!BM36,"",IF(OR(BM36="",NOT(ISNUMBER(BM36)),ISERROR(BM36),$B36=""),"",IF($I36=1,IFBLANK(_xldudf_CX_PUSH(BM36*fxVal_normal,CX_ENTITY,$B36,BM$11,BM$14,BM$19,),""),IF($I36=2,IFBLANK(_xldudf_CX_PUSH(BM36,CX_ENTITY,$B36,BM$11,BM$14,BM$19,),""),IF($I36=3,"",IFBLANK(_xldudf_CX_PUSH(BM36,CX_ENTITY,$B36,BM$11,BM$14,BM$19,),"")))))),"")</f>
        <v/>
      </c>
      <c r="EN36" s="2445" t="str" cm="1">
        <f t="array" ca="1" aca="1" ref="EN36">IFERROR(IF(BN36*fxVal_normal=_PL!BN36,"",IF(OR(BN36="",NOT(ISNUMBER(BN36)),ISERROR(BN36),$B36=""),"",IF($I36=1,IFBLANK(_xldudf_CX_PUSH(BN36*fxVal_normal,CX_ENTITY,$B36,BN$11,BN$14,BN$19,),""),IF($I36=2,IFBLANK(_xldudf_CX_PUSH(BN36,CX_ENTITY,$B36,BN$11,BN$14,BN$19,),""),IF($I36=3,"",IFBLANK(_xldudf_CX_PUSH(BN36,CX_ENTITY,$B36,BN$11,BN$14,BN$19,),"")))))),"")</f>
        <v/>
      </c>
    </row>
    <row r="37" spans="1:144" ht="21" customHeight="1">
      <c r="A37" s="1625"/>
      <c r="B37" s="2439" t="str">
        <f>_xlfn.LET(_xlpm.IsNotAttrDynamic,D37="",_xlpm.Attr,_PL!F37,_xlpm.NotInUse,Y37=D37,_xlpm.RESULT,IF(_xlpm.IsNotAttrDynamic,_xlpm.Attr,IF(_xlpm.NotInUse,"",Y37)),IF(_xlpm.RESULT="","",_xlpm.RESULT))</f>
        <v>Interest Expense</v>
      </c>
      <c r="C37" s="2439" t="str" cm="1">
        <f t="array" ref="C37">IFBLANK(_PL!C37,"")</f>
        <v>Interest Expense (Company View)</v>
      </c>
      <c r="D37" s="1548"/>
      <c r="E37" s="2440" t="e" cm="1">
        <f t="array" ca="1" aca="1" ref="E3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37:$CQ37,Z37)</f>
        <v>#NAME?</v>
      </c>
      <c r="F37" s="1897"/>
      <c r="G37" s="1897"/>
      <c r="H37" s="401">
        <v>0</v>
      </c>
      <c r="I37" s="3280">
        <v>1</v>
      </c>
      <c r="J37" s="3280" cm="1">
        <f t="array" ref="J37">IFBLANK(Z37,"")</f>
        <v>1</v>
      </c>
      <c r="K37" s="578" t="str">
        <f t="shared" si="3"/>
        <v>Yes</v>
      </c>
      <c r="L37" s="37"/>
      <c r="N37" s="158"/>
      <c r="O37" s="101"/>
      <c r="P37" s="52"/>
      <c r="Q37" s="101"/>
      <c r="R37" s="126"/>
      <c r="S37" s="101"/>
      <c r="T37" s="101"/>
      <c r="U37" s="39"/>
      <c r="V37" s="37"/>
      <c r="W37" s="91" t="str">
        <f t="shared" si="4"/>
        <v>Actual</v>
      </c>
      <c r="X37" s="2081">
        <f>_PL!X37</f>
        <v>-1</v>
      </c>
      <c r="Y37" s="3176">
        <v>2</v>
      </c>
      <c r="Z37" s="3291" cm="1">
        <f t="array" ref="Z37">_xlfn.SWITCH(TRUE,_PL!$L37=TRUE,1,_PL!$L37=FALSE,-1,_PL!$L37=-1,0,"")</f>
        <v>1</v>
      </c>
      <c r="AA37" s="200"/>
      <c r="AB37" s="301" t="str">
        <f>_PL!AB37</f>
        <v>Interest Expense</v>
      </c>
      <c r="AC37" s="275" t="str" cm="1">
        <f t="array" ca="1" aca="1" ref="AC37">_xlfn.LET(_xlpm._termname,$AB37,_xlpm._iconname,"find",_xlpm._icon,fx_getIcon(_xlpm._iconname),_xlpm._location,_xlfn.XLOOKUP(LOWER(_xlpm._termname),LOWER(tbl_acctDef[Term]),tbl_acctDef[Term]),_xlpm._hyperlink,HYPERLINK("#"&amp;CELL("address",_xlpm._location),_xlpm._icon),IFERROR(_xlpm._hyperlink,""))</f>
        <v/>
      </c>
      <c r="AD37" s="3177">
        <v>1</v>
      </c>
      <c r="AE37" s="3177">
        <v>1</v>
      </c>
      <c r="AF37" s="3177">
        <v>1</v>
      </c>
      <c r="AG37" s="3177">
        <v>1</v>
      </c>
      <c r="AH37" s="3177">
        <v>1</v>
      </c>
      <c r="AI37" s="3177">
        <v>1</v>
      </c>
      <c r="AJ37" s="3177">
        <v>1</v>
      </c>
      <c r="AK37" s="3177">
        <v>1</v>
      </c>
      <c r="AL37" s="3177">
        <v>1</v>
      </c>
      <c r="AM37" s="3177">
        <v>1</v>
      </c>
      <c r="AN37" s="3177">
        <v>1</v>
      </c>
      <c r="AO37" s="3177">
        <v>1</v>
      </c>
      <c r="AP37" s="3177">
        <v>1</v>
      </c>
      <c r="AQ37" s="3177">
        <v>1</v>
      </c>
      <c r="AR37" s="3177">
        <v>1</v>
      </c>
      <c r="AS37" s="3177">
        <v>1</v>
      </c>
      <c r="AT37" s="3177">
        <v>1</v>
      </c>
      <c r="AU37" s="3177">
        <v>1</v>
      </c>
      <c r="AV37" s="3177">
        <v>1</v>
      </c>
      <c r="AW37" s="3177">
        <v>1</v>
      </c>
      <c r="AX37" s="3177">
        <v>1</v>
      </c>
      <c r="AY37" s="3177">
        <v>1</v>
      </c>
      <c r="AZ37" s="3177">
        <v>1</v>
      </c>
      <c r="BA37" s="3177">
        <v>1</v>
      </c>
      <c r="BB37" s="3177">
        <v>1</v>
      </c>
      <c r="BC37" s="3177">
        <v>1</v>
      </c>
      <c r="BD37" s="3177">
        <v>1</v>
      </c>
      <c r="BE37" s="3177">
        <v>1</v>
      </c>
      <c r="BF37" s="3177">
        <v>1</v>
      </c>
      <c r="BG37" s="3177">
        <v>1</v>
      </c>
      <c r="BH37" s="3177">
        <v>1</v>
      </c>
      <c r="BI37" s="3177">
        <v>1</v>
      </c>
      <c r="BJ37" s="3177">
        <v>1</v>
      </c>
      <c r="BK37" s="3177">
        <v>1</v>
      </c>
      <c r="BL37" s="3177">
        <v>1</v>
      </c>
      <c r="BM37" s="3177">
        <v>1</v>
      </c>
      <c r="BN37" s="3177">
        <v>1</v>
      </c>
      <c r="BO37" s="2442"/>
      <c r="BP37" s="2442"/>
      <c r="BQ37" s="2442"/>
      <c r="BR37" s="2442"/>
      <c r="BS37" s="2442"/>
      <c r="BT37" s="2442"/>
      <c r="BU37" s="2442"/>
      <c r="BV37" s="2442"/>
      <c r="BW37" s="2442"/>
      <c r="BX37" s="2442"/>
      <c r="BY37" s="2442"/>
      <c r="BZ37" s="2442"/>
      <c r="CA37" s="34"/>
      <c r="CC37" s="33"/>
      <c r="CD37" s="1772" t="e" cm="1">
        <f t="array" ca="1" aca="1" ref="CD37">_xlfn.LET(_xlpm.CheckBlank,SUM(PL!$AD37:PL!$BN37)=0,IF(_xlpm.CheckBlank,"",SUM(_xlfn._xlws.FILTER(PL!$AD37:$BN37,(YEAR(PL!$AD$12:$BN$12)=PL!CD$12)*(array_timeline&lt;=PL!CD$11)))))</f>
        <v>#NAME?</v>
      </c>
      <c r="CE37" s="1772" t="e" cm="1">
        <f t="array" ca="1" aca="1" ref="CE37">_xlfn.LET(_xlpm.CheckBlank,SUM(PL!$AD37:PL!$BN37)=0,IF(_xlpm.CheckBlank,"",SUM(_xlfn._xlws.FILTER(PL!$AD37:$BN37,(YEAR(PL!$AD$12:$BN$12)=PL!CE$12)*(array_timeline&lt;=PL!CE$11)))))</f>
        <v>#NAME?</v>
      </c>
      <c r="CF37" s="88"/>
      <c r="CG37" s="1461" t="str" cm="1">
        <f t="array" ca="1" aca="1" ref="CG37">IFERROR(_xlfn.LET(_xlpm.CheckBlank,SUM(PL!$AD37:$BN37)=0,IF(_xlpm.CheckBlank,"",SUM(_xlfn._xlws.FILTER(PL!$AD37:$BN37,(YEAR(PL!$AD$12:$BN$12)=PL!CG$12)*(array_timeline&lt;=PL!CG$11))))),"n/a")</f>
        <v>n/a</v>
      </c>
      <c r="CH37" s="1461" t="e" cm="1">
        <f t="array" ca="1" aca="1" ref="CH37">_xlfn.LET(_xlpm.CheckBlank,SUM(PL!$AD37:$BN37)=0,IF(_xlpm.CheckBlank,"",SUM(_xlfn._xlws.FILTER(PL!$AD37:$BN37,(YEAR(PL!$AD$12:$BN$12)=PL!CH$12)*(array_timeline&lt;=PL!CH$11)))))</f>
        <v>#NAME?</v>
      </c>
      <c r="CI37" s="88"/>
      <c r="CJ37" s="1461" cm="1">
        <f t="array" ref="CJ37">_xlfn.LET(_xlpm.CheckBlank,SUM(PL!$AD37:$BN37)=0,IF(_xlpm.CheckBlank,"",SUM(_xlfn.TAKE(_xlfn.DROP(PL!$AD37:$BN37,,-DATEDIFF(PL!CJ$11,val_asOfDate,"M")),1,-12))))</f>
        <v>12</v>
      </c>
      <c r="CK37" s="1461" cm="1">
        <f t="array" ref="CK37">_xlfn.LET(_xlpm.CheckBlank,SUM(PL!$AD37:$BN37)=0,IF(_xlpm.CheckBlank,"",SUM(_xlfn.TAKE(_xlfn.DROP(PL!$AD37:$BN37,,-DATEDIFF(PL!CK$11,val_asOfDate,"M")),1,-12))))</f>
        <v>12</v>
      </c>
      <c r="CL37" s="88"/>
      <c r="CM37" s="3175">
        <v>1</v>
      </c>
      <c r="CN37" s="3175">
        <v>1</v>
      </c>
      <c r="CO37" s="1169"/>
      <c r="CP37" s="3175">
        <v>1</v>
      </c>
      <c r="CQ37" s="3175">
        <v>1</v>
      </c>
      <c r="CR37" s="34"/>
      <c r="CS37" s="2056"/>
      <c r="CT37" s="2085" t="e" cm="1">
        <f t="array" ca="1" aca="1" ref="CT37">IF(K37&lt;&gt;"Yes","",IF(OR(Y37="Select,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III"),"",IF(OR(Y37&lt;&gt;AB37,AND(LEN(B37)=0,NOT(OR(Y37="Select,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III")))),_xldudf_CX_PUSH(Y37,CX_ENTITY,C37,EOMONTH(val_asOfDate,0)),"")))</f>
        <v>#NAME?</v>
      </c>
      <c r="CU37" s="2085" t="e" cm="1">
        <f t="array" ca="1" aca="1" ref="CU37">IF(K37&lt;&gt;"Yes","",IF(OR(Y37="Select,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III"),"",IF(OR(Y37&lt;&gt;AB37,AND(LEN(B37)=0,NOT(OR(Y37="Select,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III")))),_xldudf_CX_PUSH(Y37,CX_ENTITY,C37,EOMONTH(val_asOfDate,1)),"")))</f>
        <v>#NAME?</v>
      </c>
      <c r="CV37" s="2085" t="e" cm="1">
        <f t="array" ca="1" aca="1" ref="CV37">IF(K37&lt;&gt;"Yes","",IF(OR(Y37="Select,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III"),"",IF(OR(Y37&lt;&gt;AB37,AND(LEN(B37)=0,NOT(OR(Y37="Select,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III")))),_xldudf_CX_PUSH(Y37,CX_ENTITY,C37,EOMONTH(val_asOfDate,2)),"")))</f>
        <v>#NAME?</v>
      </c>
      <c r="CW37" s="2085" t="e" cm="1">
        <f t="array" ca="1" aca="1" ref="CW37">IF(K37&lt;&gt;"Yes","",IF(OR(Y37="Select,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III"),"",IF(OR(Y37&lt;&gt;AB37,AND(LEN(B37)=0,NOT(OR(Y37="Select,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III")))),_xldudf_CX_PUSH(Y37,CX_ENTITY,C37,EOMONTH(val_asOfDate,3)),"")))</f>
        <v>#NAME?</v>
      </c>
      <c r="CX37" s="2443"/>
      <c r="CY37" s="2444" t="str" cm="1">
        <f t="array" ca="1" aca="1" ref="CY37">IFERROR(IF(CM37*fxVal_normal=_PL!CM37,"",IF(OR($CM37="",$CM37=0,NOT(ISNUMBER($CM37)),ISERROR($CM37),$B37=""),"",IF($I37=1,IFBLANK(_xldudf_CX_PUSH($CM37*fxVal_normal,CX_ENTITY,$B37,$CM$11,$CM$14,$CM$19,),""),IF($I37=2,IFBLANK(_xldudf_CX_PUSH($CM37,CX_ENTITY,$B37,$CM$11,$CM$14,$CM$19,),""),IF($I37=3,"",IFBLANK(_xldudf_CX_PUSH($CM37,CX_ENTITY,$B37,$CM$11,$CM$14,$CM$19,),"")))))),"")</f>
        <v/>
      </c>
      <c r="CZ37" s="2444" t="str" cm="1">
        <f t="array" ca="1" aca="1" ref="CZ37">IFERROR(IF(CN37*fxVal_normal=_PL!CN37,"",IF(OR($CN37="",$CN37=0,NOT(ISNUMBER($CN37)),ISERROR($CN37),$B37=""),"",IF($I37=1,IFBLANK(_xldudf_CX_PUSH($CN37*fxVal_normal,CX_ENTITY,$B37,$CN$11,$CN$14,$CN$19,),""),IF($I37=2,IFBLANK(_xldudf_CX_PUSH($CN37,CX_ENTITY,$B37,$CN$11,$CN$14,$CN$19,),""),IF($I37=3,"",IFBLANK(_xldudf_CX_PUSH($CN37,CX_ENTITY,$B37,$CN$11,$CN$14,$CN$19,),"")))))),"")</f>
        <v/>
      </c>
      <c r="DA37" s="2444" t="str" cm="1">
        <f t="array" ca="1" aca="1" ref="DA37">IFERROR(IF(CP37*fxVal_normal=_PL!CP37,"",IF(OR($CP37="",$CP37=0,NOT(ISNUMBER($CP37)),ISERROR($CP37),$B37=""),"",IF($I37=1,IFBLANK(_xldudf_CX_PUSH($CP37*fxVal_normal,CX_ENTITY,$B37,$CP$11,$CP$14,$CP$19,),""),IF($I37=2,IFBLANK(_xldudf_CX_PUSH($CP37,CX_ENTITY,$B37,$CP$11,$CP$14,$CP$19,),""),IF($I37=3,"",IFBLANK(_xldudf_CX_PUSH($CP37,CX_ENTITY,$B37,$CP$11,$CP$14,$CP$19,),"")))))),"")</f>
        <v/>
      </c>
      <c r="DB37" s="2444" t="str" cm="1">
        <f t="array" ca="1" aca="1" ref="DB37">IFERROR(IF(CQ37*fxVal_normal=_PL!CQ37,"",IF(OR($CQ37="",$CQ37=0,NOT(ISNUMBER($CQ37)),ISERROR($CQ37),$B37=""),"",IF($I37=1,IFBLANK(_xldudf_CX_PUSH($CQ37*fxVal_normal,CX_ENTITY,$B37,$CQ$11,$CQ$14,$CQ$19,),""),IF($I37=2,IFBLANK(_xldudf_CX_PUSH($CQ37,CX_ENTITY,$B37,$CQ$11,$CQ$14,$CQ$19,),""),IF($I37=3,"",IFBLANK(_xldudf_CX_PUSH($CQ37,CX_ENTITY,$B37,$CQ$11,$CQ$14,$CQ$19,),"")))))),"")</f>
        <v/>
      </c>
      <c r="DC37" s="2443"/>
      <c r="DD37" s="2445" t="str" cm="1">
        <f t="array" ca="1" aca="1" ref="DD37">IFERROR(IF(AD37*fxVal_normal=_PL!AD37,"",IF(OR(AD37="",NOT(ISNUMBER(AD37)),ISERROR(AD37),$B37=""),"",IF($I37=1,IFBLANK(_xldudf_CX_PUSH(AD37*fxVal_normal,CX_ENTITY,$B37,AD$11,AD$14,AD$19,),""),IF($I37=2,IFBLANK(_xldudf_CX_PUSH(AD37,CX_ENTITY,$B37,AD$11,AD$14,AD$19,),""),IF($I37=3,"",IFBLANK(_xldudf_CX_PUSH(AD37,CX_ENTITY,$B37,AD$11,AD$14,AD$19,),"")))))),"")</f>
        <v/>
      </c>
      <c r="DE37" s="2445" t="str" cm="1">
        <f t="array" ca="1" aca="1" ref="DE37">IFERROR(IF(AE37*fxVal_normal=_PL!AE37,"",IF(OR(AE37="",NOT(ISNUMBER(AE37)),ISERROR(AE37),$B37=""),"",IF($I37=1,IFBLANK(_xldudf_CX_PUSH(AE37*fxVal_normal,CX_ENTITY,$B37,AE$11,AE$14,AE$19,),""),IF($I37=2,IFBLANK(_xldudf_CX_PUSH(AE37,CX_ENTITY,$B37,AE$11,AE$14,AE$19,),""),IF($I37=3,"",IFBLANK(_xldudf_CX_PUSH(AE37,CX_ENTITY,$B37,AE$11,AE$14,AE$19,),"")))))),"")</f>
        <v/>
      </c>
      <c r="DF37" s="2445" t="str" cm="1">
        <f t="array" ca="1" aca="1" ref="DF37">IFERROR(IF(AF37*fxVal_normal=_PL!AF37,"",IF(OR(AF37="",NOT(ISNUMBER(AF37)),ISERROR(AF37),$B37=""),"",IF($I37=1,IFBLANK(_xldudf_CX_PUSH(AF37*fxVal_normal,CX_ENTITY,$B37,AF$11,AF$14,AF$19,),""),IF($I37=2,IFBLANK(_xldudf_CX_PUSH(AF37,CX_ENTITY,$B37,AF$11,AF$14,AF$19,),""),IF($I37=3,"",IFBLANK(_xldudf_CX_PUSH(AF37,CX_ENTITY,$B37,AF$11,AF$14,AF$19,),"")))))),"")</f>
        <v/>
      </c>
      <c r="DG37" s="2445" t="str" cm="1">
        <f t="array" ca="1" aca="1" ref="DG37">IFERROR(IF(AG37*fxVal_normal=_PL!AG37,"",IF(OR(AG37="",NOT(ISNUMBER(AG37)),ISERROR(AG37),$B37=""),"",IF($I37=1,IFBLANK(_xldudf_CX_PUSH(AG37*fxVal_normal,CX_ENTITY,$B37,AG$11,AG$14,AG$19,),""),IF($I37=2,IFBLANK(_xldudf_CX_PUSH(AG37,CX_ENTITY,$B37,AG$11,AG$14,AG$19,),""),IF($I37=3,"",IFBLANK(_xldudf_CX_PUSH(AG37,CX_ENTITY,$B37,AG$11,AG$14,AG$19,),"")))))),"")</f>
        <v/>
      </c>
      <c r="DH37" s="2445" t="str" cm="1">
        <f t="array" ca="1" aca="1" ref="DH37">IFERROR(IF(AH37*fxVal_normal=_PL!AH37,"",IF(OR(AH37="",NOT(ISNUMBER(AH37)),ISERROR(AH37),$B37=""),"",IF($I37=1,IFBLANK(_xldudf_CX_PUSH(AH37*fxVal_normal,CX_ENTITY,$B37,AH$11,AH$14,AH$19,),""),IF($I37=2,IFBLANK(_xldudf_CX_PUSH(AH37,CX_ENTITY,$B37,AH$11,AH$14,AH$19,),""),IF($I37=3,"",IFBLANK(_xldudf_CX_PUSH(AH37,CX_ENTITY,$B37,AH$11,AH$14,AH$19,),"")))))),"")</f>
        <v/>
      </c>
      <c r="DI37" s="2445" t="str" cm="1">
        <f t="array" ca="1" aca="1" ref="DI37">IFERROR(IF(AI37*fxVal_normal=_PL!AI37,"",IF(OR(AI37="",NOT(ISNUMBER(AI37)),ISERROR(AI37),$B37=""),"",IF($I37=1,IFBLANK(_xldudf_CX_PUSH(AI37*fxVal_normal,CX_ENTITY,$B37,AI$11,AI$14,AI$19,),""),IF($I37=2,IFBLANK(_xldudf_CX_PUSH(AI37,CX_ENTITY,$B37,AI$11,AI$14,AI$19,),""),IF($I37=3,"",IFBLANK(_xldudf_CX_PUSH(AI37,CX_ENTITY,$B37,AI$11,AI$14,AI$19,),"")))))),"")</f>
        <v/>
      </c>
      <c r="DJ37" s="2445" t="str" cm="1">
        <f t="array" ca="1" aca="1" ref="DJ37">IFERROR(IF(AJ37*fxVal_normal=_PL!AJ37,"",IF(OR(AJ37="",NOT(ISNUMBER(AJ37)),ISERROR(AJ37),$B37=""),"",IF($I37=1,IFBLANK(_xldudf_CX_PUSH(AJ37*fxVal_normal,CX_ENTITY,$B37,AJ$11,AJ$14,AJ$19,),""),IF($I37=2,IFBLANK(_xldudf_CX_PUSH(AJ37,CX_ENTITY,$B37,AJ$11,AJ$14,AJ$19,),""),IF($I37=3,"",IFBLANK(_xldudf_CX_PUSH(AJ37,CX_ENTITY,$B37,AJ$11,AJ$14,AJ$19,),"")))))),"")</f>
        <v/>
      </c>
      <c r="DK37" s="2445" t="str" cm="1">
        <f t="array" ca="1" aca="1" ref="DK37">IFERROR(IF(AK37*fxVal_normal=_PL!AK37,"",IF(OR(AK37="",NOT(ISNUMBER(AK37)),ISERROR(AK37),$B37=""),"",IF($I37=1,IFBLANK(_xldudf_CX_PUSH(AK37*fxVal_normal,CX_ENTITY,$B37,AK$11,AK$14,AK$19,),""),IF($I37=2,IFBLANK(_xldudf_CX_PUSH(AK37,CX_ENTITY,$B37,AK$11,AK$14,AK$19,),""),IF($I37=3,"",IFBLANK(_xldudf_CX_PUSH(AK37,CX_ENTITY,$B37,AK$11,AK$14,AK$19,),"")))))),"")</f>
        <v/>
      </c>
      <c r="DL37" s="2445" t="str" cm="1">
        <f t="array" ca="1" aca="1" ref="DL37">IFERROR(IF(AL37*fxVal_normal=_PL!AL37,"",IF(OR(AL37="",NOT(ISNUMBER(AL37)),ISERROR(AL37),$B37=""),"",IF($I37=1,IFBLANK(_xldudf_CX_PUSH(AL37*fxVal_normal,CX_ENTITY,$B37,AL$11,AL$14,AL$19,),""),IF($I37=2,IFBLANK(_xldudf_CX_PUSH(AL37,CX_ENTITY,$B37,AL$11,AL$14,AL$19,),""),IF($I37=3,"",IFBLANK(_xldudf_CX_PUSH(AL37,CX_ENTITY,$B37,AL$11,AL$14,AL$19,),"")))))),"")</f>
        <v/>
      </c>
      <c r="DM37" s="2445" t="str" cm="1">
        <f t="array" ca="1" aca="1" ref="DM37">IFERROR(IF(AM37*fxVal_normal=_PL!AM37,"",IF(OR(AM37="",NOT(ISNUMBER(AM37)),ISERROR(AM37),$B37=""),"",IF($I37=1,IFBLANK(_xldudf_CX_PUSH(AM37*fxVal_normal,CX_ENTITY,$B37,AM$11,AM$14,AM$19,),""),IF($I37=2,IFBLANK(_xldudf_CX_PUSH(AM37,CX_ENTITY,$B37,AM$11,AM$14,AM$19,),""),IF($I37=3,"",IFBLANK(_xldudf_CX_PUSH(AM37,CX_ENTITY,$B37,AM$11,AM$14,AM$19,),"")))))),"")</f>
        <v/>
      </c>
      <c r="DN37" s="2445" t="str" cm="1">
        <f t="array" ca="1" aca="1" ref="DN37">IFERROR(IF(AN37*fxVal_normal=_PL!AN37,"",IF(OR(AN37="",NOT(ISNUMBER(AN37)),ISERROR(AN37),$B37=""),"",IF($I37=1,IFBLANK(_xldudf_CX_PUSH(AN37*fxVal_normal,CX_ENTITY,$B37,AN$11,AN$14,AN$19,),""),IF($I37=2,IFBLANK(_xldudf_CX_PUSH(AN37,CX_ENTITY,$B37,AN$11,AN$14,AN$19,),""),IF($I37=3,"",IFBLANK(_xldudf_CX_PUSH(AN37,CX_ENTITY,$B37,AN$11,AN$14,AN$19,),"")))))),"")</f>
        <v/>
      </c>
      <c r="DO37" s="2445" t="str" cm="1">
        <f t="array" ca="1" aca="1" ref="DO37">IFERROR(IF(AO37*fxVal_normal=_PL!AO37,"",IF(OR(AO37="",NOT(ISNUMBER(AO37)),ISERROR(AO37),$B37=""),"",IF($I37=1,IFBLANK(_xldudf_CX_PUSH(AO37*fxVal_normal,CX_ENTITY,$B37,AO$11,AO$14,AO$19,),""),IF($I37=2,IFBLANK(_xldudf_CX_PUSH(AO37,CX_ENTITY,$B37,AO$11,AO$14,AO$19,),""),IF($I37=3,"",IFBLANK(_xldudf_CX_PUSH(AO37,CX_ENTITY,$B37,AO$11,AO$14,AO$19,),"")))))),"")</f>
        <v/>
      </c>
      <c r="DP37" s="2445" t="str" cm="1">
        <f t="array" ca="1" aca="1" ref="DP37">IFERROR(IF(AP37*fxVal_normal=_PL!AP37,"",IF(OR(AP37="",NOT(ISNUMBER(AP37)),ISERROR(AP37),$B37=""),"",IF($I37=1,IFBLANK(_xldudf_CX_PUSH(AP37*fxVal_normal,CX_ENTITY,$B37,AP$11,AP$14,AP$19,),""),IF($I37=2,IFBLANK(_xldudf_CX_PUSH(AP37,CX_ENTITY,$B37,AP$11,AP$14,AP$19,),""),IF($I37=3,"",IFBLANK(_xldudf_CX_PUSH(AP37,CX_ENTITY,$B37,AP$11,AP$14,AP$19,),"")))))),"")</f>
        <v/>
      </c>
      <c r="DQ37" s="2445" t="str" cm="1">
        <f t="array" ca="1" aca="1" ref="DQ37">IFERROR(IF(AQ37*fxVal_normal=_PL!AQ37,"",IF(OR(AQ37="",NOT(ISNUMBER(AQ37)),ISERROR(AQ37),$B37=""),"",IF($I37=1,IFBLANK(_xldudf_CX_PUSH(AQ37*fxVal_normal,CX_ENTITY,$B37,AQ$11,AQ$14,AQ$19,),""),IF($I37=2,IFBLANK(_xldudf_CX_PUSH(AQ37,CX_ENTITY,$B37,AQ$11,AQ$14,AQ$19,),""),IF($I37=3,"",IFBLANK(_xldudf_CX_PUSH(AQ37,CX_ENTITY,$B37,AQ$11,AQ$14,AQ$19,),"")))))),"")</f>
        <v/>
      </c>
      <c r="DR37" s="2445" t="str" cm="1">
        <f t="array" ca="1" aca="1" ref="DR37">IFERROR(IF(AR37*fxVal_normal=_PL!AR37,"",IF(OR(AR37="",NOT(ISNUMBER(AR37)),ISERROR(AR37),$B37=""),"",IF($I37=1,IFBLANK(_xldudf_CX_PUSH(AR37*fxVal_normal,CX_ENTITY,$B37,AR$11,AR$14,AR$19,),""),IF($I37=2,IFBLANK(_xldudf_CX_PUSH(AR37,CX_ENTITY,$B37,AR$11,AR$14,AR$19,),""),IF($I37=3,"",IFBLANK(_xldudf_CX_PUSH(AR37,CX_ENTITY,$B37,AR$11,AR$14,AR$19,),"")))))),"")</f>
        <v/>
      </c>
      <c r="DS37" s="2445" t="str" cm="1">
        <f t="array" ca="1" aca="1" ref="DS37">IFERROR(IF(AS37*fxVal_normal=_PL!AS37,"",IF(OR(AS37="",NOT(ISNUMBER(AS37)),ISERROR(AS37),$B37=""),"",IF($I37=1,IFBLANK(_xldudf_CX_PUSH(AS37*fxVal_normal,CX_ENTITY,$B37,AS$11,AS$14,AS$19,),""),IF($I37=2,IFBLANK(_xldudf_CX_PUSH(AS37,CX_ENTITY,$B37,AS$11,AS$14,AS$19,),""),IF($I37=3,"",IFBLANK(_xldudf_CX_PUSH(AS37,CX_ENTITY,$B37,AS$11,AS$14,AS$19,),"")))))),"")</f>
        <v/>
      </c>
      <c r="DT37" s="2445" t="str" cm="1">
        <f t="array" ca="1" aca="1" ref="DT37">IFERROR(IF(AT37*fxVal_normal=_PL!AT37,"",IF(OR(AT37="",NOT(ISNUMBER(AT37)),ISERROR(AT37),$B37=""),"",IF($I37=1,IFBLANK(_xldudf_CX_PUSH(AT37*fxVal_normal,CX_ENTITY,$B37,AT$11,AT$14,AT$19,),""),IF($I37=2,IFBLANK(_xldudf_CX_PUSH(AT37,CX_ENTITY,$B37,AT$11,AT$14,AT$19,),""),IF($I37=3,"",IFBLANK(_xldudf_CX_PUSH(AT37,CX_ENTITY,$B37,AT$11,AT$14,AT$19,),"")))))),"")</f>
        <v/>
      </c>
      <c r="DU37" s="2445" t="str" cm="1">
        <f t="array" ca="1" aca="1" ref="DU37">IFERROR(IF(AU37*fxVal_normal=_PL!AU37,"",IF(OR(AU37="",NOT(ISNUMBER(AU37)),ISERROR(AU37),$B37=""),"",IF($I37=1,IFBLANK(_xldudf_CX_PUSH(AU37*fxVal_normal,CX_ENTITY,$B37,AU$11,AU$14,AU$19,),""),IF($I37=2,IFBLANK(_xldudf_CX_PUSH(AU37,CX_ENTITY,$B37,AU$11,AU$14,AU$19,),""),IF($I37=3,"",IFBLANK(_xldudf_CX_PUSH(AU37,CX_ENTITY,$B37,AU$11,AU$14,AU$19,),"")))))),"")</f>
        <v/>
      </c>
      <c r="DV37" s="2445" t="str" cm="1">
        <f t="array" ca="1" aca="1" ref="DV37">IFERROR(IF(AV37*fxVal_normal=_PL!AV37,"",IF(OR(AV37="",NOT(ISNUMBER(AV37)),ISERROR(AV37),$B37=""),"",IF($I37=1,IFBLANK(_xldudf_CX_PUSH(AV37*fxVal_normal,CX_ENTITY,$B37,AV$11,AV$14,AV$19,),""),IF($I37=2,IFBLANK(_xldudf_CX_PUSH(AV37,CX_ENTITY,$B37,AV$11,AV$14,AV$19,),""),IF($I37=3,"",IFBLANK(_xldudf_CX_PUSH(AV37,CX_ENTITY,$B37,AV$11,AV$14,AV$19,),"")))))),"")</f>
        <v/>
      </c>
      <c r="DW37" s="2445" t="str" cm="1">
        <f t="array" ca="1" aca="1" ref="DW37">IFERROR(IF(AW37*fxVal_normal=_PL!AW37,"",IF(OR(AW37="",NOT(ISNUMBER(AW37)),ISERROR(AW37),$B37=""),"",IF($I37=1,IFBLANK(_xldudf_CX_PUSH(AW37*fxVal_normal,CX_ENTITY,$B37,AW$11,AW$14,AW$19,),""),IF($I37=2,IFBLANK(_xldudf_CX_PUSH(AW37,CX_ENTITY,$B37,AW$11,AW$14,AW$19,),""),IF($I37=3,"",IFBLANK(_xldudf_CX_PUSH(AW37,CX_ENTITY,$B37,AW$11,AW$14,AW$19,),"")))))),"")</f>
        <v/>
      </c>
      <c r="DX37" s="2445" t="str" cm="1">
        <f t="array" ca="1" aca="1" ref="DX37">IFERROR(IF(AX37*fxVal_normal=_PL!AX37,"",IF(OR(AX37="",NOT(ISNUMBER(AX37)),ISERROR(AX37),$B37=""),"",IF($I37=1,IFBLANK(_xldudf_CX_PUSH(AX37*fxVal_normal,CX_ENTITY,$B37,AX$11,AX$14,AX$19,),""),IF($I37=2,IFBLANK(_xldudf_CX_PUSH(AX37,CX_ENTITY,$B37,AX$11,AX$14,AX$19,),""),IF($I37=3,"",IFBLANK(_xldudf_CX_PUSH(AX37,CX_ENTITY,$B37,AX$11,AX$14,AX$19,),"")))))),"")</f>
        <v/>
      </c>
      <c r="DY37" s="2445" t="str" cm="1">
        <f t="array" ca="1" aca="1" ref="DY37">IFERROR(IF(AY37*fxVal_normal=_PL!AY37,"",IF(OR(AY37="",NOT(ISNUMBER(AY37)),ISERROR(AY37),$B37=""),"",IF($I37=1,IFBLANK(_xldudf_CX_PUSH(AY37*fxVal_normal,CX_ENTITY,$B37,AY$11,AY$14,AY$19,),""),IF($I37=2,IFBLANK(_xldudf_CX_PUSH(AY37,CX_ENTITY,$B37,AY$11,AY$14,AY$19,),""),IF($I37=3,"",IFBLANK(_xldudf_CX_PUSH(AY37,CX_ENTITY,$B37,AY$11,AY$14,AY$19,),"")))))),"")</f>
        <v/>
      </c>
      <c r="DZ37" s="2445" t="str" cm="1">
        <f t="array" ca="1" aca="1" ref="DZ37">IFERROR(IF(AZ37*fxVal_normal=_PL!AZ37,"",IF(OR(AZ37="",NOT(ISNUMBER(AZ37)),ISERROR(AZ37),$B37=""),"",IF($I37=1,IFBLANK(_xldudf_CX_PUSH(AZ37*fxVal_normal,CX_ENTITY,$B37,AZ$11,AZ$14,AZ$19,),""),IF($I37=2,IFBLANK(_xldudf_CX_PUSH(AZ37,CX_ENTITY,$B37,AZ$11,AZ$14,AZ$19,),""),IF($I37=3,"",IFBLANK(_xldudf_CX_PUSH(AZ37,CX_ENTITY,$B37,AZ$11,AZ$14,AZ$19,),"")))))),"")</f>
        <v/>
      </c>
      <c r="EA37" s="2445" t="str" cm="1">
        <f t="array" ca="1" aca="1" ref="EA37">IFERROR(IF(BA37*fxVal_normal=_PL!BA37,"",IF(OR(BA37="",NOT(ISNUMBER(BA37)),ISERROR(BA37),$B37=""),"",IF($I37=1,IFBLANK(_xldudf_CX_PUSH(BA37*fxVal_normal,CX_ENTITY,$B37,BA$11,BA$14,BA$19,),""),IF($I37=2,IFBLANK(_xldudf_CX_PUSH(BA37,CX_ENTITY,$B37,BA$11,BA$14,BA$19,),""),IF($I37=3,"",IFBLANK(_xldudf_CX_PUSH(BA37,CX_ENTITY,$B37,BA$11,BA$14,BA$19,),"")))))),"")</f>
        <v/>
      </c>
      <c r="EB37" s="2445" t="str" cm="1">
        <f t="array" ca="1" aca="1" ref="EB37">IFERROR(IF(BB37*fxVal_normal=_PL!BB37,"",IF(OR(BB37="",NOT(ISNUMBER(BB37)),ISERROR(BB37),$B37=""),"",IF($I37=1,IFBLANK(_xldudf_CX_PUSH(BB37*fxVal_normal,CX_ENTITY,$B37,BB$11,BB$14,BB$19,),""),IF($I37=2,IFBLANK(_xldudf_CX_PUSH(BB37,CX_ENTITY,$B37,BB$11,BB$14,BB$19,),""),IF($I37=3,"",IFBLANK(_xldudf_CX_PUSH(BB37,CX_ENTITY,$B37,BB$11,BB$14,BB$19,),"")))))),"")</f>
        <v/>
      </c>
      <c r="EC37" s="2445" t="str" cm="1">
        <f t="array" ca="1" aca="1" ref="EC37">IFERROR(IF(BC37*fxVal_normal=_PL!BC37,"",IF(OR(BC37="",NOT(ISNUMBER(BC37)),ISERROR(BC37),$B37=""),"",IF($I37=1,IFBLANK(_xldudf_CX_PUSH(BC37*fxVal_normal,CX_ENTITY,$B37,BC$11,BC$14,BC$19,),""),IF($I37=2,IFBLANK(_xldudf_CX_PUSH(BC37,CX_ENTITY,$B37,BC$11,BC$14,BC$19,),""),IF($I37=3,"",IFBLANK(_xldudf_CX_PUSH(BC37,CX_ENTITY,$B37,BC$11,BC$14,BC$19,),"")))))),"")</f>
        <v/>
      </c>
      <c r="ED37" s="2445" t="str" cm="1">
        <f t="array" ca="1" aca="1" ref="ED37">IFERROR(IF(BD37*fxVal_normal=_PL!BD37,"",IF(OR(BD37="",NOT(ISNUMBER(BD37)),ISERROR(BD37),$B37=""),"",IF($I37=1,IFBLANK(_xldudf_CX_PUSH(BD37*fxVal_normal,CX_ENTITY,$B37,BD$11,BD$14,BD$19,),""),IF($I37=2,IFBLANK(_xldudf_CX_PUSH(BD37,CX_ENTITY,$B37,BD$11,BD$14,BD$19,),""),IF($I37=3,"",IFBLANK(_xldudf_CX_PUSH(BD37,CX_ENTITY,$B37,BD$11,BD$14,BD$19,),"")))))),"")</f>
        <v/>
      </c>
      <c r="EE37" s="2445" t="str" cm="1">
        <f t="array" ca="1" aca="1" ref="EE37">IFERROR(IF(BE37*fxVal_normal=_PL!BE37,"",IF(OR(BE37="",NOT(ISNUMBER(BE37)),ISERROR(BE37),$B37=""),"",IF($I37=1,IFBLANK(_xldudf_CX_PUSH(BE37*fxVal_normal,CX_ENTITY,$B37,BE$11,BE$14,BE$19,),""),IF($I37=2,IFBLANK(_xldudf_CX_PUSH(BE37,CX_ENTITY,$B37,BE$11,BE$14,BE$19,),""),IF($I37=3,"",IFBLANK(_xldudf_CX_PUSH(BE37,CX_ENTITY,$B37,BE$11,BE$14,BE$19,),"")))))),"")</f>
        <v/>
      </c>
      <c r="EF37" s="2445" t="str" cm="1">
        <f t="array" ca="1" aca="1" ref="EF37">IFERROR(IF(BF37*fxVal_normal=_PL!BF37,"",IF(OR(BF37="",NOT(ISNUMBER(BF37)),ISERROR(BF37),$B37=""),"",IF($I37=1,IFBLANK(_xldudf_CX_PUSH(BF37*fxVal_normal,CX_ENTITY,$B37,BF$11,BF$14,BF$19,),""),IF($I37=2,IFBLANK(_xldudf_CX_PUSH(BF37,CX_ENTITY,$B37,BF$11,BF$14,BF$19,),""),IF($I37=3,"",IFBLANK(_xldudf_CX_PUSH(BF37,CX_ENTITY,$B37,BF$11,BF$14,BF$19,),"")))))),"")</f>
        <v/>
      </c>
      <c r="EG37" s="2445" t="str" cm="1">
        <f t="array" ca="1" aca="1" ref="EG37">IFERROR(IF(BG37*fxVal_normal=_PL!BG37,"",IF(OR(BG37="",NOT(ISNUMBER(BG37)),ISERROR(BG37),$B37=""),"",IF($I37=1,IFBLANK(_xldudf_CX_PUSH(BG37*fxVal_normal,CX_ENTITY,$B37,BG$11,BG$14,BG$19,),""),IF($I37=2,IFBLANK(_xldudf_CX_PUSH(BG37,CX_ENTITY,$B37,BG$11,BG$14,BG$19,),""),IF($I37=3,"",IFBLANK(_xldudf_CX_PUSH(BG37,CX_ENTITY,$B37,BG$11,BG$14,BG$19,),"")))))),"")</f>
        <v/>
      </c>
      <c r="EH37" s="2445" t="str" cm="1">
        <f t="array" ca="1" aca="1" ref="EH37">IFERROR(IF(BH37*fxVal_normal=_PL!BH37,"",IF(OR(BH37="",NOT(ISNUMBER(BH37)),ISERROR(BH37),$B37=""),"",IF($I37=1,IFBLANK(_xldudf_CX_PUSH(BH37*fxVal_normal,CX_ENTITY,$B37,BH$11,BH$14,BH$19,),""),IF($I37=2,IFBLANK(_xldudf_CX_PUSH(BH37,CX_ENTITY,$B37,BH$11,BH$14,BH$19,),""),IF($I37=3,"",IFBLANK(_xldudf_CX_PUSH(BH37,CX_ENTITY,$B37,BH$11,BH$14,BH$19,),"")))))),"")</f>
        <v/>
      </c>
      <c r="EI37" s="2445" t="str" cm="1">
        <f t="array" ca="1" aca="1" ref="EI37">IFERROR(IF(BI37*fxVal_normal=_PL!BI37,"",IF(OR(BI37="",NOT(ISNUMBER(BI37)),ISERROR(BI37),$B37=""),"",IF($I37=1,IFBLANK(_xldudf_CX_PUSH(BI37*fxVal_normal,CX_ENTITY,$B37,BI$11,BI$14,BI$19,),""),IF($I37=2,IFBLANK(_xldudf_CX_PUSH(BI37,CX_ENTITY,$B37,BI$11,BI$14,BI$19,),""),IF($I37=3,"",IFBLANK(_xldudf_CX_PUSH(BI37,CX_ENTITY,$B37,BI$11,BI$14,BI$19,),"")))))),"")</f>
        <v/>
      </c>
      <c r="EJ37" s="2445" t="str" cm="1">
        <f t="array" ca="1" aca="1" ref="EJ37">IFERROR(IF(BJ37*fxVal_normal=_PL!BJ37,"",IF(OR(BJ37="",NOT(ISNUMBER(BJ37)),ISERROR(BJ37),$B37=""),"",IF($I37=1,IFBLANK(_xldudf_CX_PUSH(BJ37*fxVal_normal,CX_ENTITY,$B37,BJ$11,BJ$14,BJ$19,),""),IF($I37=2,IFBLANK(_xldudf_CX_PUSH(BJ37,CX_ENTITY,$B37,BJ$11,BJ$14,BJ$19,),""),IF($I37=3,"",IFBLANK(_xldudf_CX_PUSH(BJ37,CX_ENTITY,$B37,BJ$11,BJ$14,BJ$19,),"")))))),"")</f>
        <v/>
      </c>
      <c r="EK37" s="2445" t="str" cm="1">
        <f t="array" ca="1" aca="1" ref="EK37">IFERROR(IF(BK37*fxVal_normal=_PL!BK37,"",IF(OR(BK37="",NOT(ISNUMBER(BK37)),ISERROR(BK37),$B37=""),"",IF($I37=1,IFBLANK(_xldudf_CX_PUSH(BK37*fxVal_normal,CX_ENTITY,$B37,BK$11,BK$14,BK$19,),""),IF($I37=2,IFBLANK(_xldudf_CX_PUSH(BK37,CX_ENTITY,$B37,BK$11,BK$14,BK$19,),""),IF($I37=3,"",IFBLANK(_xldudf_CX_PUSH(BK37,CX_ENTITY,$B37,BK$11,BK$14,BK$19,),"")))))),"")</f>
        <v/>
      </c>
      <c r="EL37" s="2445" t="str" cm="1">
        <f t="array" ca="1" aca="1" ref="EL37">IFERROR(IF(BL37*fxVal_normal=_PL!BL37,"",IF(OR(BL37="",NOT(ISNUMBER(BL37)),ISERROR(BL37),$B37=""),"",IF($I37=1,IFBLANK(_xldudf_CX_PUSH(BL37*fxVal_normal,CX_ENTITY,$B37,BL$11,BL$14,BL$19,),""),IF($I37=2,IFBLANK(_xldudf_CX_PUSH(BL37,CX_ENTITY,$B37,BL$11,BL$14,BL$19,),""),IF($I37=3,"",IFBLANK(_xldudf_CX_PUSH(BL37,CX_ENTITY,$B37,BL$11,BL$14,BL$19,),"")))))),"")</f>
        <v/>
      </c>
      <c r="EM37" s="2445" t="str" cm="1">
        <f t="array" ca="1" aca="1" ref="EM37">IFERROR(IF(BM37*fxVal_normal=_PL!BM37,"",IF(OR(BM37="",NOT(ISNUMBER(BM37)),ISERROR(BM37),$B37=""),"",IF($I37=1,IFBLANK(_xldudf_CX_PUSH(BM37*fxVal_normal,CX_ENTITY,$B37,BM$11,BM$14,BM$19,),""),IF($I37=2,IFBLANK(_xldudf_CX_PUSH(BM37,CX_ENTITY,$B37,BM$11,BM$14,BM$19,),""),IF($I37=3,"",IFBLANK(_xldudf_CX_PUSH(BM37,CX_ENTITY,$B37,BM$11,BM$14,BM$19,),"")))))),"")</f>
        <v/>
      </c>
      <c r="EN37" s="2445" t="str" cm="1">
        <f t="array" ca="1" aca="1" ref="EN37">IFERROR(IF(BN37*fxVal_normal=_PL!BN37,"",IF(OR(BN37="",NOT(ISNUMBER(BN37)),ISERROR(BN37),$B37=""),"",IF($I37=1,IFBLANK(_xldudf_CX_PUSH(BN37*fxVal_normal,CX_ENTITY,$B37,BN$11,BN$14,BN$19,),""),IF($I37=2,IFBLANK(_xldudf_CX_PUSH(BN37,CX_ENTITY,$B37,BN$11,BN$14,BN$19,),""),IF($I37=3,"",IFBLANK(_xldudf_CX_PUSH(BN37,CX_ENTITY,$B37,BN$11,BN$14,BN$19,),"")))))),"")</f>
        <v/>
      </c>
    </row>
    <row r="38" spans="1:144" ht="21" customHeight="1">
      <c r="A38" s="1625"/>
      <c r="B38" s="2439" t="str">
        <f>_xlfn.LET(_xlpm.IsNotAttrDynamic,D38="",_xlpm.Attr,_PL!F38,_xlpm.NotInUse,Y38=D38,_xlpm.RESULT,IF(_xlpm.IsNotAttrDynamic,_xlpm.Attr,IF(_xlpm.NotInUse,"",Y38)),IF(_xlpm.RESULT="","",_xlpm.RESULT))</f>
        <v>Other Items</v>
      </c>
      <c r="C38" s="2439" t="str" cm="1">
        <f t="array" ref="C38">IFBLANK(_PL!C38,"")</f>
        <v>Other Items (Company View)</v>
      </c>
      <c r="D38" s="1548"/>
      <c r="E38" s="2440" t="e" cm="1">
        <f t="array" ca="1" aca="1" ref="E3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38:$CQ38,Z38)</f>
        <v>#NAME?</v>
      </c>
      <c r="F38" s="1897"/>
      <c r="G38" s="1897"/>
      <c r="H38" s="401">
        <v>0</v>
      </c>
      <c r="I38" s="3280">
        <v>1</v>
      </c>
      <c r="J38" s="3280" cm="1">
        <f t="array" ref="J38">IFBLANK(Z38,"")</f>
        <v>1</v>
      </c>
      <c r="K38" s="578" t="str">
        <f t="shared" si="3"/>
        <v>Yes</v>
      </c>
      <c r="L38" s="37"/>
      <c r="N38" s="158"/>
      <c r="O38" s="101"/>
      <c r="P38" s="52"/>
      <c r="Q38" s="101"/>
      <c r="R38" s="126"/>
      <c r="S38" s="101"/>
      <c r="T38" s="101"/>
      <c r="U38" s="39"/>
      <c r="V38" s="37"/>
      <c r="W38" s="91" t="str">
        <f t="shared" si="4"/>
        <v>Actual</v>
      </c>
      <c r="X38" s="2081" t="str">
        <f>_PL!X38</f>
        <v>a</v>
      </c>
      <c r="Y38" s="3176">
        <v>2</v>
      </c>
      <c r="Z38" s="3291" cm="1">
        <f t="array" ref="Z38">_xlfn.SWITCH(TRUE,_PL!$L38=TRUE,1,_PL!$L38=FALSE,-1,_PL!$L38=-1,0,"")</f>
        <v>1</v>
      </c>
      <c r="AA38" s="200"/>
      <c r="AB38" s="301" t="str">
        <f>_PL!AB38</f>
        <v>Other Items</v>
      </c>
      <c r="AC38" s="275" t="str" cm="1">
        <f t="array" ca="1" aca="1" ref="AC38">_xlfn.LET(_xlpm._termname,$AB38,_xlpm._iconname,"find",_xlpm._icon,fx_getIcon(_xlpm._iconname),_xlpm._location,_xlfn.XLOOKUP(LOWER(_xlpm._termname),LOWER(tbl_acctDef[Term]),tbl_acctDef[Term]),_xlpm._hyperlink,HYPERLINK("#"&amp;CELL("address",_xlpm._location),_xlpm._icon),IFERROR(_xlpm._hyperlink,""))</f>
        <v/>
      </c>
      <c r="AD38" s="3177">
        <v>1</v>
      </c>
      <c r="AE38" s="3177">
        <v>1</v>
      </c>
      <c r="AF38" s="3177">
        <v>1</v>
      </c>
      <c r="AG38" s="3177">
        <v>1</v>
      </c>
      <c r="AH38" s="3177">
        <v>1</v>
      </c>
      <c r="AI38" s="3177">
        <v>1</v>
      </c>
      <c r="AJ38" s="3177">
        <v>1</v>
      </c>
      <c r="AK38" s="3177">
        <v>1</v>
      </c>
      <c r="AL38" s="3177">
        <v>1</v>
      </c>
      <c r="AM38" s="3177">
        <v>1</v>
      </c>
      <c r="AN38" s="3177">
        <v>1</v>
      </c>
      <c r="AO38" s="3177">
        <v>1</v>
      </c>
      <c r="AP38" s="3177">
        <v>1</v>
      </c>
      <c r="AQ38" s="3177">
        <v>1</v>
      </c>
      <c r="AR38" s="3177">
        <v>1</v>
      </c>
      <c r="AS38" s="3177">
        <v>1</v>
      </c>
      <c r="AT38" s="3177">
        <v>1</v>
      </c>
      <c r="AU38" s="3177">
        <v>1</v>
      </c>
      <c r="AV38" s="3177">
        <v>1</v>
      </c>
      <c r="AW38" s="3177">
        <v>1</v>
      </c>
      <c r="AX38" s="3177">
        <v>1</v>
      </c>
      <c r="AY38" s="3177">
        <v>1</v>
      </c>
      <c r="AZ38" s="3177">
        <v>1</v>
      </c>
      <c r="BA38" s="3177">
        <v>1</v>
      </c>
      <c r="BB38" s="3177">
        <v>1</v>
      </c>
      <c r="BC38" s="3177">
        <v>1</v>
      </c>
      <c r="BD38" s="3177">
        <v>1</v>
      </c>
      <c r="BE38" s="3177">
        <v>1</v>
      </c>
      <c r="BF38" s="3177">
        <v>1</v>
      </c>
      <c r="BG38" s="3177">
        <v>1</v>
      </c>
      <c r="BH38" s="3177">
        <v>1</v>
      </c>
      <c r="BI38" s="3177">
        <v>1</v>
      </c>
      <c r="BJ38" s="3177">
        <v>1</v>
      </c>
      <c r="BK38" s="3177">
        <v>1</v>
      </c>
      <c r="BL38" s="3177">
        <v>1</v>
      </c>
      <c r="BM38" s="3177">
        <v>1</v>
      </c>
      <c r="BN38" s="3177">
        <v>1</v>
      </c>
      <c r="BO38" s="2442"/>
      <c r="BP38" s="2442"/>
      <c r="BQ38" s="2442"/>
      <c r="BR38" s="2442"/>
      <c r="BS38" s="2442"/>
      <c r="BT38" s="2442"/>
      <c r="BU38" s="2442"/>
      <c r="BV38" s="2442"/>
      <c r="BW38" s="2442"/>
      <c r="BX38" s="2442"/>
      <c r="BY38" s="2442"/>
      <c r="BZ38" s="2442"/>
      <c r="CA38" s="34"/>
      <c r="CC38" s="33"/>
      <c r="CD38" s="1772" t="e" cm="1">
        <f t="array" ca="1" aca="1" ref="CD38">_xlfn.LET(_xlpm.CheckBlank,SUM(PL!$AD38:PL!$BN38)=0,IF(_xlpm.CheckBlank,"",SUM(_xlfn._xlws.FILTER(PL!$AD38:$BN38,(YEAR(PL!$AD$12:$BN$12)=PL!CD$12)*(array_timeline&lt;=PL!CD$11)))))</f>
        <v>#NAME?</v>
      </c>
      <c r="CE38" s="1772" t="e" cm="1">
        <f t="array" ca="1" aca="1" ref="CE38">_xlfn.LET(_xlpm.CheckBlank,SUM(PL!$AD38:PL!$BN38)=0,IF(_xlpm.CheckBlank,"",SUM(_xlfn._xlws.FILTER(PL!$AD38:$BN38,(YEAR(PL!$AD$12:$BN$12)=PL!CE$12)*(array_timeline&lt;=PL!CE$11)))))</f>
        <v>#NAME?</v>
      </c>
      <c r="CF38" s="88"/>
      <c r="CG38" s="1461" t="str" cm="1">
        <f t="array" ca="1" aca="1" ref="CG38">IFERROR(_xlfn.LET(_xlpm.CheckBlank,SUM(PL!$AD38:$BN38)=0,IF(_xlpm.CheckBlank,"",SUM(_xlfn._xlws.FILTER(PL!$AD38:$BN38,(YEAR(PL!$AD$12:$BN$12)=PL!CG$12)*(array_timeline&lt;=PL!CG$11))))),"n/a")</f>
        <v>n/a</v>
      </c>
      <c r="CH38" s="1461" t="e" cm="1">
        <f t="array" ca="1" aca="1" ref="CH38">_xlfn.LET(_xlpm.CheckBlank,SUM(PL!$AD38:$BN38)=0,IF(_xlpm.CheckBlank,"",SUM(_xlfn._xlws.FILTER(PL!$AD38:$BN38,(YEAR(PL!$AD$12:$BN$12)=PL!CH$12)*(array_timeline&lt;=PL!CH$11)))))</f>
        <v>#NAME?</v>
      </c>
      <c r="CI38" s="88"/>
      <c r="CJ38" s="1461" cm="1">
        <f t="array" ref="CJ38">_xlfn.LET(_xlpm.CheckBlank,SUM(PL!$AD38:$BN38)=0,IF(_xlpm.CheckBlank,"",SUM(_xlfn.TAKE(_xlfn.DROP(PL!$AD38:$BN38,,-DATEDIFF(PL!CJ$11,val_asOfDate,"M")),1,-12))))</f>
        <v>12</v>
      </c>
      <c r="CK38" s="1461" cm="1">
        <f t="array" ref="CK38">_xlfn.LET(_xlpm.CheckBlank,SUM(PL!$AD38:$BN38)=0,IF(_xlpm.CheckBlank,"",SUM(_xlfn.TAKE(_xlfn.DROP(PL!$AD38:$BN38,,-DATEDIFF(PL!CK$11,val_asOfDate,"M")),1,-12))))</f>
        <v>12</v>
      </c>
      <c r="CL38" s="88"/>
      <c r="CM38" s="3177">
        <v>1</v>
      </c>
      <c r="CN38" s="3177">
        <v>1</v>
      </c>
      <c r="CO38" s="1169"/>
      <c r="CP38" s="3177">
        <v>1</v>
      </c>
      <c r="CQ38" s="3177">
        <v>1</v>
      </c>
      <c r="CR38" s="34"/>
      <c r="CS38" s="2056"/>
      <c r="CT38" s="2085" t="e" cm="1">
        <f t="array" ca="1" aca="1" ref="CT38">IF(K38&lt;&gt;"Yes","",IF(OR(Y38="Select,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III"),"",IF(OR(Y38&lt;&gt;AB38,AND(LEN(B38)=0,NOT(OR(Y38="Select,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III")))),_xldudf_CX_PUSH(Y38,CX_ENTITY,C38,EOMONTH(val_asOfDate,0)),"")))</f>
        <v>#NAME?</v>
      </c>
      <c r="CU38" s="2085" t="e" cm="1">
        <f t="array" ca="1" aca="1" ref="CU38">IF(K38&lt;&gt;"Yes","",IF(OR(Y38="Select,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III"),"",IF(OR(Y38&lt;&gt;AB38,AND(LEN(B38)=0,NOT(OR(Y38="Select,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III")))),_xldudf_CX_PUSH(Y38,CX_ENTITY,C38,EOMONTH(val_asOfDate,1)),"")))</f>
        <v>#NAME?</v>
      </c>
      <c r="CV38" s="2085" t="e" cm="1">
        <f t="array" ca="1" aca="1" ref="CV38">IF(K38&lt;&gt;"Yes","",IF(OR(Y38="Select,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III"),"",IF(OR(Y38&lt;&gt;AB38,AND(LEN(B38)=0,NOT(OR(Y38="Select,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III")))),_xldudf_CX_PUSH(Y38,CX_ENTITY,C38,EOMONTH(val_asOfDate,2)),"")))</f>
        <v>#NAME?</v>
      </c>
      <c r="CW38" s="2085" t="e" cm="1">
        <f t="array" ca="1" aca="1" ref="CW38">IF(K38&lt;&gt;"Yes","",IF(OR(Y38="Select,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III"),"",IF(OR(Y38&lt;&gt;AB38,AND(LEN(B38)=0,NOT(OR(Y38="Select,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III")))),_xldudf_CX_PUSH(Y38,CX_ENTITY,C38,EOMONTH(val_asOfDate,3)),"")))</f>
        <v>#NAME?</v>
      </c>
      <c r="CX38" s="2443"/>
      <c r="CY38" s="2444" t="str" cm="1">
        <f t="array" ca="1" aca="1" ref="CY38">IFERROR(IF(CM38*fxVal_normal=_PL!CM38,"",IF(OR($CM38="",$CM38=0,NOT(ISNUMBER($CM38)),ISERROR($CM38),$B38=""),"",IF($I38=1,IFBLANK(_xldudf_CX_PUSH($CM38*fxVal_normal,CX_ENTITY,$B38,$CM$11,$CM$14,$CM$19,),""),IF($I38=2,IFBLANK(_xldudf_CX_PUSH($CM38,CX_ENTITY,$B38,$CM$11,$CM$14,$CM$19,),""),IF($I38=3,"",IFBLANK(_xldudf_CX_PUSH($CM38,CX_ENTITY,$B38,$CM$11,$CM$14,$CM$19,),"")))))),"")</f>
        <v/>
      </c>
      <c r="CZ38" s="2444" t="str" cm="1">
        <f t="array" ca="1" aca="1" ref="CZ38">IFERROR(IF(CN38*fxVal_normal=_PL!CN38,"",IF(OR($CN38="",$CN38=0,NOT(ISNUMBER($CN38)),ISERROR($CN38),$B38=""),"",IF($I38=1,IFBLANK(_xldudf_CX_PUSH($CN38*fxVal_normal,CX_ENTITY,$B38,$CN$11,$CN$14,$CN$19,),""),IF($I38=2,IFBLANK(_xldudf_CX_PUSH($CN38,CX_ENTITY,$B38,$CN$11,$CN$14,$CN$19,),""),IF($I38=3,"",IFBLANK(_xldudf_CX_PUSH($CN38,CX_ENTITY,$B38,$CN$11,$CN$14,$CN$19,),"")))))),"")</f>
        <v/>
      </c>
      <c r="DA38" s="2444" t="str" cm="1">
        <f t="array" ca="1" aca="1" ref="DA38">IFERROR(IF(CP38*fxVal_normal=_PL!CP38,"",IF(OR($CP38="",$CP38=0,NOT(ISNUMBER($CP38)),ISERROR($CP38),$B38=""),"",IF($I38=1,IFBLANK(_xldudf_CX_PUSH($CP38*fxVal_normal,CX_ENTITY,$B38,$CP$11,$CP$14,$CP$19,),""),IF($I38=2,IFBLANK(_xldudf_CX_PUSH($CP38,CX_ENTITY,$B38,$CP$11,$CP$14,$CP$19,),""),IF($I38=3,"",IFBLANK(_xldudf_CX_PUSH($CP38,CX_ENTITY,$B38,$CP$11,$CP$14,$CP$19,),"")))))),"")</f>
        <v/>
      </c>
      <c r="DB38" s="2444" t="str" cm="1">
        <f t="array" ca="1" aca="1" ref="DB38">IFERROR(IF(CQ38*fxVal_normal=_PL!CQ38,"",IF(OR($CQ38="",$CQ38=0,NOT(ISNUMBER($CQ38)),ISERROR($CQ38),$B38=""),"",IF($I38=1,IFBLANK(_xldudf_CX_PUSH($CQ38*fxVal_normal,CX_ENTITY,$B38,$CQ$11,$CQ$14,$CQ$19,),""),IF($I38=2,IFBLANK(_xldudf_CX_PUSH($CQ38,CX_ENTITY,$B38,$CQ$11,$CQ$14,$CQ$19,),""),IF($I38=3,"",IFBLANK(_xldudf_CX_PUSH($CQ38,CX_ENTITY,$B38,$CQ$11,$CQ$14,$CQ$19,),"")))))),"")</f>
        <v/>
      </c>
      <c r="DC38" s="2443"/>
      <c r="DD38" s="2445" t="str" cm="1">
        <f t="array" ca="1" aca="1" ref="DD38">IFERROR(IF(AD38*fxVal_normal=_PL!AD38,"",IF(OR(AD38="",NOT(ISNUMBER(AD38)),ISERROR(AD38),$B38=""),"",IF($I38=1,IFBLANK(_xldudf_CX_PUSH(AD38*fxVal_normal,CX_ENTITY,$B38,AD$11,AD$14,AD$19,),""),IF($I38=2,IFBLANK(_xldudf_CX_PUSH(AD38,CX_ENTITY,$B38,AD$11,AD$14,AD$19,),""),IF($I38=3,"",IFBLANK(_xldudf_CX_PUSH(AD38,CX_ENTITY,$B38,AD$11,AD$14,AD$19,),"")))))),"")</f>
        <v/>
      </c>
      <c r="DE38" s="2445" t="str" cm="1">
        <f t="array" ca="1" aca="1" ref="DE38">IFERROR(IF(AE38*fxVal_normal=_PL!AE38,"",IF(OR(AE38="",NOT(ISNUMBER(AE38)),ISERROR(AE38),$B38=""),"",IF($I38=1,IFBLANK(_xldudf_CX_PUSH(AE38*fxVal_normal,CX_ENTITY,$B38,AE$11,AE$14,AE$19,),""),IF($I38=2,IFBLANK(_xldudf_CX_PUSH(AE38,CX_ENTITY,$B38,AE$11,AE$14,AE$19,),""),IF($I38=3,"",IFBLANK(_xldudf_CX_PUSH(AE38,CX_ENTITY,$B38,AE$11,AE$14,AE$19,),"")))))),"")</f>
        <v/>
      </c>
      <c r="DF38" s="2445" t="str" cm="1">
        <f t="array" ca="1" aca="1" ref="DF38">IFERROR(IF(AF38*fxVal_normal=_PL!AF38,"",IF(OR(AF38="",NOT(ISNUMBER(AF38)),ISERROR(AF38),$B38=""),"",IF($I38=1,IFBLANK(_xldudf_CX_PUSH(AF38*fxVal_normal,CX_ENTITY,$B38,AF$11,AF$14,AF$19,),""),IF($I38=2,IFBLANK(_xldudf_CX_PUSH(AF38,CX_ENTITY,$B38,AF$11,AF$14,AF$19,),""),IF($I38=3,"",IFBLANK(_xldudf_CX_PUSH(AF38,CX_ENTITY,$B38,AF$11,AF$14,AF$19,),"")))))),"")</f>
        <v/>
      </c>
      <c r="DG38" s="2445" t="str" cm="1">
        <f t="array" ca="1" aca="1" ref="DG38">IFERROR(IF(AG38*fxVal_normal=_PL!AG38,"",IF(OR(AG38="",NOT(ISNUMBER(AG38)),ISERROR(AG38),$B38=""),"",IF($I38=1,IFBLANK(_xldudf_CX_PUSH(AG38*fxVal_normal,CX_ENTITY,$B38,AG$11,AG$14,AG$19,),""),IF($I38=2,IFBLANK(_xldudf_CX_PUSH(AG38,CX_ENTITY,$B38,AG$11,AG$14,AG$19,),""),IF($I38=3,"",IFBLANK(_xldudf_CX_PUSH(AG38,CX_ENTITY,$B38,AG$11,AG$14,AG$19,),"")))))),"")</f>
        <v/>
      </c>
      <c r="DH38" s="2445" t="str" cm="1">
        <f t="array" ca="1" aca="1" ref="DH38">IFERROR(IF(AH38*fxVal_normal=_PL!AH38,"",IF(OR(AH38="",NOT(ISNUMBER(AH38)),ISERROR(AH38),$B38=""),"",IF($I38=1,IFBLANK(_xldudf_CX_PUSH(AH38*fxVal_normal,CX_ENTITY,$B38,AH$11,AH$14,AH$19,),""),IF($I38=2,IFBLANK(_xldudf_CX_PUSH(AH38,CX_ENTITY,$B38,AH$11,AH$14,AH$19,),""),IF($I38=3,"",IFBLANK(_xldudf_CX_PUSH(AH38,CX_ENTITY,$B38,AH$11,AH$14,AH$19,),"")))))),"")</f>
        <v/>
      </c>
      <c r="DI38" s="2445" t="str" cm="1">
        <f t="array" ca="1" aca="1" ref="DI38">IFERROR(IF(AI38*fxVal_normal=_PL!AI38,"",IF(OR(AI38="",NOT(ISNUMBER(AI38)),ISERROR(AI38),$B38=""),"",IF($I38=1,IFBLANK(_xldudf_CX_PUSH(AI38*fxVal_normal,CX_ENTITY,$B38,AI$11,AI$14,AI$19,),""),IF($I38=2,IFBLANK(_xldudf_CX_PUSH(AI38,CX_ENTITY,$B38,AI$11,AI$14,AI$19,),""),IF($I38=3,"",IFBLANK(_xldudf_CX_PUSH(AI38,CX_ENTITY,$B38,AI$11,AI$14,AI$19,),"")))))),"")</f>
        <v/>
      </c>
      <c r="DJ38" s="2445" t="str" cm="1">
        <f t="array" ca="1" aca="1" ref="DJ38">IFERROR(IF(AJ38*fxVal_normal=_PL!AJ38,"",IF(OR(AJ38="",NOT(ISNUMBER(AJ38)),ISERROR(AJ38),$B38=""),"",IF($I38=1,IFBLANK(_xldudf_CX_PUSH(AJ38*fxVal_normal,CX_ENTITY,$B38,AJ$11,AJ$14,AJ$19,),""),IF($I38=2,IFBLANK(_xldudf_CX_PUSH(AJ38,CX_ENTITY,$B38,AJ$11,AJ$14,AJ$19,),""),IF($I38=3,"",IFBLANK(_xldudf_CX_PUSH(AJ38,CX_ENTITY,$B38,AJ$11,AJ$14,AJ$19,),"")))))),"")</f>
        <v/>
      </c>
      <c r="DK38" s="2445" t="str" cm="1">
        <f t="array" ca="1" aca="1" ref="DK38">IFERROR(IF(AK38*fxVal_normal=_PL!AK38,"",IF(OR(AK38="",NOT(ISNUMBER(AK38)),ISERROR(AK38),$B38=""),"",IF($I38=1,IFBLANK(_xldudf_CX_PUSH(AK38*fxVal_normal,CX_ENTITY,$B38,AK$11,AK$14,AK$19,),""),IF($I38=2,IFBLANK(_xldudf_CX_PUSH(AK38,CX_ENTITY,$B38,AK$11,AK$14,AK$19,),""),IF($I38=3,"",IFBLANK(_xldudf_CX_PUSH(AK38,CX_ENTITY,$B38,AK$11,AK$14,AK$19,),"")))))),"")</f>
        <v/>
      </c>
      <c r="DL38" s="2445" t="str" cm="1">
        <f t="array" ca="1" aca="1" ref="DL38">IFERROR(IF(AL38*fxVal_normal=_PL!AL38,"",IF(OR(AL38="",NOT(ISNUMBER(AL38)),ISERROR(AL38),$B38=""),"",IF($I38=1,IFBLANK(_xldudf_CX_PUSH(AL38*fxVal_normal,CX_ENTITY,$B38,AL$11,AL$14,AL$19,),""),IF($I38=2,IFBLANK(_xldudf_CX_PUSH(AL38,CX_ENTITY,$B38,AL$11,AL$14,AL$19,),""),IF($I38=3,"",IFBLANK(_xldudf_CX_PUSH(AL38,CX_ENTITY,$B38,AL$11,AL$14,AL$19,),"")))))),"")</f>
        <v/>
      </c>
      <c r="DM38" s="2445" t="str" cm="1">
        <f t="array" ca="1" aca="1" ref="DM38">IFERROR(IF(AM38*fxVal_normal=_PL!AM38,"",IF(OR(AM38="",NOT(ISNUMBER(AM38)),ISERROR(AM38),$B38=""),"",IF($I38=1,IFBLANK(_xldudf_CX_PUSH(AM38*fxVal_normal,CX_ENTITY,$B38,AM$11,AM$14,AM$19,),""),IF($I38=2,IFBLANK(_xldudf_CX_PUSH(AM38,CX_ENTITY,$B38,AM$11,AM$14,AM$19,),""),IF($I38=3,"",IFBLANK(_xldudf_CX_PUSH(AM38,CX_ENTITY,$B38,AM$11,AM$14,AM$19,),"")))))),"")</f>
        <v/>
      </c>
      <c r="DN38" s="2445" t="str" cm="1">
        <f t="array" ca="1" aca="1" ref="DN38">IFERROR(IF(AN38*fxVal_normal=_PL!AN38,"",IF(OR(AN38="",NOT(ISNUMBER(AN38)),ISERROR(AN38),$B38=""),"",IF($I38=1,IFBLANK(_xldudf_CX_PUSH(AN38*fxVal_normal,CX_ENTITY,$B38,AN$11,AN$14,AN$19,),""),IF($I38=2,IFBLANK(_xldudf_CX_PUSH(AN38,CX_ENTITY,$B38,AN$11,AN$14,AN$19,),""),IF($I38=3,"",IFBLANK(_xldudf_CX_PUSH(AN38,CX_ENTITY,$B38,AN$11,AN$14,AN$19,),"")))))),"")</f>
        <v/>
      </c>
      <c r="DO38" s="2445" t="str" cm="1">
        <f t="array" ca="1" aca="1" ref="DO38">IFERROR(IF(AO38*fxVal_normal=_PL!AO38,"",IF(OR(AO38="",NOT(ISNUMBER(AO38)),ISERROR(AO38),$B38=""),"",IF($I38=1,IFBLANK(_xldudf_CX_PUSH(AO38*fxVal_normal,CX_ENTITY,$B38,AO$11,AO$14,AO$19,),""),IF($I38=2,IFBLANK(_xldudf_CX_PUSH(AO38,CX_ENTITY,$B38,AO$11,AO$14,AO$19,),""),IF($I38=3,"",IFBLANK(_xldudf_CX_PUSH(AO38,CX_ENTITY,$B38,AO$11,AO$14,AO$19,),"")))))),"")</f>
        <v/>
      </c>
      <c r="DP38" s="2445" t="str" cm="1">
        <f t="array" ca="1" aca="1" ref="DP38">IFERROR(IF(AP38*fxVal_normal=_PL!AP38,"",IF(OR(AP38="",NOT(ISNUMBER(AP38)),ISERROR(AP38),$B38=""),"",IF($I38=1,IFBLANK(_xldudf_CX_PUSH(AP38*fxVal_normal,CX_ENTITY,$B38,AP$11,AP$14,AP$19,),""),IF($I38=2,IFBLANK(_xldudf_CX_PUSH(AP38,CX_ENTITY,$B38,AP$11,AP$14,AP$19,),""),IF($I38=3,"",IFBLANK(_xldudf_CX_PUSH(AP38,CX_ENTITY,$B38,AP$11,AP$14,AP$19,),"")))))),"")</f>
        <v/>
      </c>
      <c r="DQ38" s="2445" t="str" cm="1">
        <f t="array" ca="1" aca="1" ref="DQ38">IFERROR(IF(AQ38*fxVal_normal=_PL!AQ38,"",IF(OR(AQ38="",NOT(ISNUMBER(AQ38)),ISERROR(AQ38),$B38=""),"",IF($I38=1,IFBLANK(_xldudf_CX_PUSH(AQ38*fxVal_normal,CX_ENTITY,$B38,AQ$11,AQ$14,AQ$19,),""),IF($I38=2,IFBLANK(_xldudf_CX_PUSH(AQ38,CX_ENTITY,$B38,AQ$11,AQ$14,AQ$19,),""),IF($I38=3,"",IFBLANK(_xldudf_CX_PUSH(AQ38,CX_ENTITY,$B38,AQ$11,AQ$14,AQ$19,),"")))))),"")</f>
        <v/>
      </c>
      <c r="DR38" s="2445" t="str" cm="1">
        <f t="array" ca="1" aca="1" ref="DR38">IFERROR(IF(AR38*fxVal_normal=_PL!AR38,"",IF(OR(AR38="",NOT(ISNUMBER(AR38)),ISERROR(AR38),$B38=""),"",IF($I38=1,IFBLANK(_xldudf_CX_PUSH(AR38*fxVal_normal,CX_ENTITY,$B38,AR$11,AR$14,AR$19,),""),IF($I38=2,IFBLANK(_xldudf_CX_PUSH(AR38,CX_ENTITY,$B38,AR$11,AR$14,AR$19,),""),IF($I38=3,"",IFBLANK(_xldudf_CX_PUSH(AR38,CX_ENTITY,$B38,AR$11,AR$14,AR$19,),"")))))),"")</f>
        <v/>
      </c>
      <c r="DS38" s="2445" t="str" cm="1">
        <f t="array" ca="1" aca="1" ref="DS38">IFERROR(IF(AS38*fxVal_normal=_PL!AS38,"",IF(OR(AS38="",NOT(ISNUMBER(AS38)),ISERROR(AS38),$B38=""),"",IF($I38=1,IFBLANK(_xldudf_CX_PUSH(AS38*fxVal_normal,CX_ENTITY,$B38,AS$11,AS$14,AS$19,),""),IF($I38=2,IFBLANK(_xldudf_CX_PUSH(AS38,CX_ENTITY,$B38,AS$11,AS$14,AS$19,),""),IF($I38=3,"",IFBLANK(_xldudf_CX_PUSH(AS38,CX_ENTITY,$B38,AS$11,AS$14,AS$19,),"")))))),"")</f>
        <v/>
      </c>
      <c r="DT38" s="2445" t="str" cm="1">
        <f t="array" ca="1" aca="1" ref="DT38">IFERROR(IF(AT38*fxVal_normal=_PL!AT38,"",IF(OR(AT38="",NOT(ISNUMBER(AT38)),ISERROR(AT38),$B38=""),"",IF($I38=1,IFBLANK(_xldudf_CX_PUSH(AT38*fxVal_normal,CX_ENTITY,$B38,AT$11,AT$14,AT$19,),""),IF($I38=2,IFBLANK(_xldudf_CX_PUSH(AT38,CX_ENTITY,$B38,AT$11,AT$14,AT$19,),""),IF($I38=3,"",IFBLANK(_xldudf_CX_PUSH(AT38,CX_ENTITY,$B38,AT$11,AT$14,AT$19,),"")))))),"")</f>
        <v/>
      </c>
      <c r="DU38" s="2445" t="str" cm="1">
        <f t="array" ca="1" aca="1" ref="DU38">IFERROR(IF(AU38*fxVal_normal=_PL!AU38,"",IF(OR(AU38="",NOT(ISNUMBER(AU38)),ISERROR(AU38),$B38=""),"",IF($I38=1,IFBLANK(_xldudf_CX_PUSH(AU38*fxVal_normal,CX_ENTITY,$B38,AU$11,AU$14,AU$19,),""),IF($I38=2,IFBLANK(_xldudf_CX_PUSH(AU38,CX_ENTITY,$B38,AU$11,AU$14,AU$19,),""),IF($I38=3,"",IFBLANK(_xldudf_CX_PUSH(AU38,CX_ENTITY,$B38,AU$11,AU$14,AU$19,),"")))))),"")</f>
        <v/>
      </c>
      <c r="DV38" s="2445" t="str" cm="1">
        <f t="array" ca="1" aca="1" ref="DV38">IFERROR(IF(AV38*fxVal_normal=_PL!AV38,"",IF(OR(AV38="",NOT(ISNUMBER(AV38)),ISERROR(AV38),$B38=""),"",IF($I38=1,IFBLANK(_xldudf_CX_PUSH(AV38*fxVal_normal,CX_ENTITY,$B38,AV$11,AV$14,AV$19,),""),IF($I38=2,IFBLANK(_xldudf_CX_PUSH(AV38,CX_ENTITY,$B38,AV$11,AV$14,AV$19,),""),IF($I38=3,"",IFBLANK(_xldudf_CX_PUSH(AV38,CX_ENTITY,$B38,AV$11,AV$14,AV$19,),"")))))),"")</f>
        <v/>
      </c>
      <c r="DW38" s="2445" t="str" cm="1">
        <f t="array" ca="1" aca="1" ref="DW38">IFERROR(IF(AW38*fxVal_normal=_PL!AW38,"",IF(OR(AW38="",NOT(ISNUMBER(AW38)),ISERROR(AW38),$B38=""),"",IF($I38=1,IFBLANK(_xldudf_CX_PUSH(AW38*fxVal_normal,CX_ENTITY,$B38,AW$11,AW$14,AW$19,),""),IF($I38=2,IFBLANK(_xldudf_CX_PUSH(AW38,CX_ENTITY,$B38,AW$11,AW$14,AW$19,),""),IF($I38=3,"",IFBLANK(_xldudf_CX_PUSH(AW38,CX_ENTITY,$B38,AW$11,AW$14,AW$19,),"")))))),"")</f>
        <v/>
      </c>
      <c r="DX38" s="2445" t="str" cm="1">
        <f t="array" ca="1" aca="1" ref="DX38">IFERROR(IF(AX38*fxVal_normal=_PL!AX38,"",IF(OR(AX38="",NOT(ISNUMBER(AX38)),ISERROR(AX38),$B38=""),"",IF($I38=1,IFBLANK(_xldudf_CX_PUSH(AX38*fxVal_normal,CX_ENTITY,$B38,AX$11,AX$14,AX$19,),""),IF($I38=2,IFBLANK(_xldudf_CX_PUSH(AX38,CX_ENTITY,$B38,AX$11,AX$14,AX$19,),""),IF($I38=3,"",IFBLANK(_xldudf_CX_PUSH(AX38,CX_ENTITY,$B38,AX$11,AX$14,AX$19,),"")))))),"")</f>
        <v/>
      </c>
      <c r="DY38" s="2445" t="str" cm="1">
        <f t="array" ca="1" aca="1" ref="DY38">IFERROR(IF(AY38*fxVal_normal=_PL!AY38,"",IF(OR(AY38="",NOT(ISNUMBER(AY38)),ISERROR(AY38),$B38=""),"",IF($I38=1,IFBLANK(_xldudf_CX_PUSH(AY38*fxVal_normal,CX_ENTITY,$B38,AY$11,AY$14,AY$19,),""),IF($I38=2,IFBLANK(_xldudf_CX_PUSH(AY38,CX_ENTITY,$B38,AY$11,AY$14,AY$19,),""),IF($I38=3,"",IFBLANK(_xldudf_CX_PUSH(AY38,CX_ENTITY,$B38,AY$11,AY$14,AY$19,),"")))))),"")</f>
        <v/>
      </c>
      <c r="DZ38" s="2445" t="str" cm="1">
        <f t="array" ca="1" aca="1" ref="DZ38">IFERROR(IF(AZ38*fxVal_normal=_PL!AZ38,"",IF(OR(AZ38="",NOT(ISNUMBER(AZ38)),ISERROR(AZ38),$B38=""),"",IF($I38=1,IFBLANK(_xldudf_CX_PUSH(AZ38*fxVal_normal,CX_ENTITY,$B38,AZ$11,AZ$14,AZ$19,),""),IF($I38=2,IFBLANK(_xldudf_CX_PUSH(AZ38,CX_ENTITY,$B38,AZ$11,AZ$14,AZ$19,),""),IF($I38=3,"",IFBLANK(_xldudf_CX_PUSH(AZ38,CX_ENTITY,$B38,AZ$11,AZ$14,AZ$19,),"")))))),"")</f>
        <v/>
      </c>
      <c r="EA38" s="2445" t="str" cm="1">
        <f t="array" ca="1" aca="1" ref="EA38">IFERROR(IF(BA38*fxVal_normal=_PL!BA38,"",IF(OR(BA38="",NOT(ISNUMBER(BA38)),ISERROR(BA38),$B38=""),"",IF($I38=1,IFBLANK(_xldudf_CX_PUSH(BA38*fxVal_normal,CX_ENTITY,$B38,BA$11,BA$14,BA$19,),""),IF($I38=2,IFBLANK(_xldudf_CX_PUSH(BA38,CX_ENTITY,$B38,BA$11,BA$14,BA$19,),""),IF($I38=3,"",IFBLANK(_xldudf_CX_PUSH(BA38,CX_ENTITY,$B38,BA$11,BA$14,BA$19,),"")))))),"")</f>
        <v/>
      </c>
      <c r="EB38" s="2445" t="str" cm="1">
        <f t="array" ca="1" aca="1" ref="EB38">IFERROR(IF(BB38*fxVal_normal=_PL!BB38,"",IF(OR(BB38="",NOT(ISNUMBER(BB38)),ISERROR(BB38),$B38=""),"",IF($I38=1,IFBLANK(_xldudf_CX_PUSH(BB38*fxVal_normal,CX_ENTITY,$B38,BB$11,BB$14,BB$19,),""),IF($I38=2,IFBLANK(_xldudf_CX_PUSH(BB38,CX_ENTITY,$B38,BB$11,BB$14,BB$19,),""),IF($I38=3,"",IFBLANK(_xldudf_CX_PUSH(BB38,CX_ENTITY,$B38,BB$11,BB$14,BB$19,),"")))))),"")</f>
        <v/>
      </c>
      <c r="EC38" s="2445" t="str" cm="1">
        <f t="array" ca="1" aca="1" ref="EC38">IFERROR(IF(BC38*fxVal_normal=_PL!BC38,"",IF(OR(BC38="",NOT(ISNUMBER(BC38)),ISERROR(BC38),$B38=""),"",IF($I38=1,IFBLANK(_xldudf_CX_PUSH(BC38*fxVal_normal,CX_ENTITY,$B38,BC$11,BC$14,BC$19,),""),IF($I38=2,IFBLANK(_xldudf_CX_PUSH(BC38,CX_ENTITY,$B38,BC$11,BC$14,BC$19,),""),IF($I38=3,"",IFBLANK(_xldudf_CX_PUSH(BC38,CX_ENTITY,$B38,BC$11,BC$14,BC$19,),"")))))),"")</f>
        <v/>
      </c>
      <c r="ED38" s="2445" t="str" cm="1">
        <f t="array" ca="1" aca="1" ref="ED38">IFERROR(IF(BD38*fxVal_normal=_PL!BD38,"",IF(OR(BD38="",NOT(ISNUMBER(BD38)),ISERROR(BD38),$B38=""),"",IF($I38=1,IFBLANK(_xldudf_CX_PUSH(BD38*fxVal_normal,CX_ENTITY,$B38,BD$11,BD$14,BD$19,),""),IF($I38=2,IFBLANK(_xldudf_CX_PUSH(BD38,CX_ENTITY,$B38,BD$11,BD$14,BD$19,),""),IF($I38=3,"",IFBLANK(_xldudf_CX_PUSH(BD38,CX_ENTITY,$B38,BD$11,BD$14,BD$19,),"")))))),"")</f>
        <v/>
      </c>
      <c r="EE38" s="2445" t="str" cm="1">
        <f t="array" ca="1" aca="1" ref="EE38">IFERROR(IF(BE38*fxVal_normal=_PL!BE38,"",IF(OR(BE38="",NOT(ISNUMBER(BE38)),ISERROR(BE38),$B38=""),"",IF($I38=1,IFBLANK(_xldudf_CX_PUSH(BE38*fxVal_normal,CX_ENTITY,$B38,BE$11,BE$14,BE$19,),""),IF($I38=2,IFBLANK(_xldudf_CX_PUSH(BE38,CX_ENTITY,$B38,BE$11,BE$14,BE$19,),""),IF($I38=3,"",IFBLANK(_xldudf_CX_PUSH(BE38,CX_ENTITY,$B38,BE$11,BE$14,BE$19,),"")))))),"")</f>
        <v/>
      </c>
      <c r="EF38" s="2445" t="str" cm="1">
        <f t="array" ca="1" aca="1" ref="EF38">IFERROR(IF(BF38*fxVal_normal=_PL!BF38,"",IF(OR(BF38="",NOT(ISNUMBER(BF38)),ISERROR(BF38),$B38=""),"",IF($I38=1,IFBLANK(_xldudf_CX_PUSH(BF38*fxVal_normal,CX_ENTITY,$B38,BF$11,BF$14,BF$19,),""),IF($I38=2,IFBLANK(_xldudf_CX_PUSH(BF38,CX_ENTITY,$B38,BF$11,BF$14,BF$19,),""),IF($I38=3,"",IFBLANK(_xldudf_CX_PUSH(BF38,CX_ENTITY,$B38,BF$11,BF$14,BF$19,),"")))))),"")</f>
        <v/>
      </c>
      <c r="EG38" s="2445" t="str" cm="1">
        <f t="array" ca="1" aca="1" ref="EG38">IFERROR(IF(BG38*fxVal_normal=_PL!BG38,"",IF(OR(BG38="",NOT(ISNUMBER(BG38)),ISERROR(BG38),$B38=""),"",IF($I38=1,IFBLANK(_xldudf_CX_PUSH(BG38*fxVal_normal,CX_ENTITY,$B38,BG$11,BG$14,BG$19,),""),IF($I38=2,IFBLANK(_xldudf_CX_PUSH(BG38,CX_ENTITY,$B38,BG$11,BG$14,BG$19,),""),IF($I38=3,"",IFBLANK(_xldudf_CX_PUSH(BG38,CX_ENTITY,$B38,BG$11,BG$14,BG$19,),"")))))),"")</f>
        <v/>
      </c>
      <c r="EH38" s="2445" t="str" cm="1">
        <f t="array" ca="1" aca="1" ref="EH38">IFERROR(IF(BH38*fxVal_normal=_PL!BH38,"",IF(OR(BH38="",NOT(ISNUMBER(BH38)),ISERROR(BH38),$B38=""),"",IF($I38=1,IFBLANK(_xldudf_CX_PUSH(BH38*fxVal_normal,CX_ENTITY,$B38,BH$11,BH$14,BH$19,),""),IF($I38=2,IFBLANK(_xldudf_CX_PUSH(BH38,CX_ENTITY,$B38,BH$11,BH$14,BH$19,),""),IF($I38=3,"",IFBLANK(_xldudf_CX_PUSH(BH38,CX_ENTITY,$B38,BH$11,BH$14,BH$19,),"")))))),"")</f>
        <v/>
      </c>
      <c r="EI38" s="2445" t="str" cm="1">
        <f t="array" ca="1" aca="1" ref="EI38">IFERROR(IF(BI38*fxVal_normal=_PL!BI38,"",IF(OR(BI38="",NOT(ISNUMBER(BI38)),ISERROR(BI38),$B38=""),"",IF($I38=1,IFBLANK(_xldudf_CX_PUSH(BI38*fxVal_normal,CX_ENTITY,$B38,BI$11,BI$14,BI$19,),""),IF($I38=2,IFBLANK(_xldudf_CX_PUSH(BI38,CX_ENTITY,$B38,BI$11,BI$14,BI$19,),""),IF($I38=3,"",IFBLANK(_xldudf_CX_PUSH(BI38,CX_ENTITY,$B38,BI$11,BI$14,BI$19,),"")))))),"")</f>
        <v/>
      </c>
      <c r="EJ38" s="2445" t="str" cm="1">
        <f t="array" ca="1" aca="1" ref="EJ38">IFERROR(IF(BJ38*fxVal_normal=_PL!BJ38,"",IF(OR(BJ38="",NOT(ISNUMBER(BJ38)),ISERROR(BJ38),$B38=""),"",IF($I38=1,IFBLANK(_xldudf_CX_PUSH(BJ38*fxVal_normal,CX_ENTITY,$B38,BJ$11,BJ$14,BJ$19,),""),IF($I38=2,IFBLANK(_xldudf_CX_PUSH(BJ38,CX_ENTITY,$B38,BJ$11,BJ$14,BJ$19,),""),IF($I38=3,"",IFBLANK(_xldudf_CX_PUSH(BJ38,CX_ENTITY,$B38,BJ$11,BJ$14,BJ$19,),"")))))),"")</f>
        <v/>
      </c>
      <c r="EK38" s="2445" t="str" cm="1">
        <f t="array" ca="1" aca="1" ref="EK38">IFERROR(IF(BK38*fxVal_normal=_PL!BK38,"",IF(OR(BK38="",NOT(ISNUMBER(BK38)),ISERROR(BK38),$B38=""),"",IF($I38=1,IFBLANK(_xldudf_CX_PUSH(BK38*fxVal_normal,CX_ENTITY,$B38,BK$11,BK$14,BK$19,),""),IF($I38=2,IFBLANK(_xldudf_CX_PUSH(BK38,CX_ENTITY,$B38,BK$11,BK$14,BK$19,),""),IF($I38=3,"",IFBLANK(_xldudf_CX_PUSH(BK38,CX_ENTITY,$B38,BK$11,BK$14,BK$19,),"")))))),"")</f>
        <v/>
      </c>
      <c r="EL38" s="2445" t="str" cm="1">
        <f t="array" ca="1" aca="1" ref="EL38">IFERROR(IF(BL38*fxVal_normal=_PL!BL38,"",IF(OR(BL38="",NOT(ISNUMBER(BL38)),ISERROR(BL38),$B38=""),"",IF($I38=1,IFBLANK(_xldudf_CX_PUSH(BL38*fxVal_normal,CX_ENTITY,$B38,BL$11,BL$14,BL$19,),""),IF($I38=2,IFBLANK(_xldudf_CX_PUSH(BL38,CX_ENTITY,$B38,BL$11,BL$14,BL$19,),""),IF($I38=3,"",IFBLANK(_xldudf_CX_PUSH(BL38,CX_ENTITY,$B38,BL$11,BL$14,BL$19,),"")))))),"")</f>
        <v/>
      </c>
      <c r="EM38" s="2445" t="str" cm="1">
        <f t="array" ca="1" aca="1" ref="EM38">IFERROR(IF(BM38*fxVal_normal=_PL!BM38,"",IF(OR(BM38="",NOT(ISNUMBER(BM38)),ISERROR(BM38),$B38=""),"",IF($I38=1,IFBLANK(_xldudf_CX_PUSH(BM38*fxVal_normal,CX_ENTITY,$B38,BM$11,BM$14,BM$19,),""),IF($I38=2,IFBLANK(_xldudf_CX_PUSH(BM38,CX_ENTITY,$B38,BM$11,BM$14,BM$19,),""),IF($I38=3,"",IFBLANK(_xldudf_CX_PUSH(BM38,CX_ENTITY,$B38,BM$11,BM$14,BM$19,),"")))))),"")</f>
        <v/>
      </c>
      <c r="EN38" s="2445" t="str" cm="1">
        <f t="array" ca="1" aca="1" ref="EN38">IFERROR(IF(BN38*fxVal_normal=_PL!BN38,"",IF(OR(BN38="",NOT(ISNUMBER(BN38)),ISERROR(BN38),$B38=""),"",IF($I38=1,IFBLANK(_xldudf_CX_PUSH(BN38*fxVal_normal,CX_ENTITY,$B38,BN$11,BN$14,BN$19,),""),IF($I38=2,IFBLANK(_xldudf_CX_PUSH(BN38,CX_ENTITY,$B38,BN$11,BN$14,BN$19,),""),IF($I38=3,"",IFBLANK(_xldudf_CX_PUSH(BN38,CX_ENTITY,$B38,BN$11,BN$14,BN$19,),"")))))),"")</f>
        <v/>
      </c>
    </row>
    <row r="39" spans="1:144" ht="21" customHeight="1">
      <c r="A39" s="1625"/>
      <c r="B39" s="2439" t="str">
        <f ca="1">_xlfn.LET(_xlpm.IsNotAttrDynamic,D39="",_xlpm.Attr,_PL!F39,_xlpm.NotInUse,Y39=D39,_xlpm.RESULT,IF(_xlpm.IsNotAttrDynamic,_xlpm.Attr,IF(_xlpm.NotInUse,"",Y39)),IF(_xlpm.RESULT="","",_xlpm.RESULT))</f>
        <v>Reported PBT</v>
      </c>
      <c r="C39" s="2439" t="str" cm="1">
        <f t="array" ref="C39">IFBLANK(_PL!C39,"")</f>
        <v>Reported PBT (Company View)</v>
      </c>
      <c r="D39" s="1548"/>
      <c r="E39" s="2440" t="e" cm="1">
        <f t="array" ca="1" aca="1" ref="E3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39:$CQ39,Z39)</f>
        <v>#NAME?</v>
      </c>
      <c r="F39" s="1897"/>
      <c r="G39" s="1897"/>
      <c r="H39" s="3280">
        <v>2</v>
      </c>
      <c r="I39" s="3280">
        <v>1</v>
      </c>
      <c r="J39" s="401" cm="1">
        <f t="array" ref="J39">IFBLANK(Z39,"")</f>
        <v>0</v>
      </c>
      <c r="K39" s="578" t="str">
        <f t="shared" si="3"/>
        <v>Yes</v>
      </c>
      <c r="L39" s="37"/>
      <c r="N39" s="158"/>
      <c r="O39" s="101"/>
      <c r="P39" s="52"/>
      <c r="Q39" s="101"/>
      <c r="R39" s="126"/>
      <c r="S39" s="101"/>
      <c r="T39" s="101"/>
      <c r="U39" s="39"/>
      <c r="V39" s="37"/>
      <c r="W39" s="91" t="str">
        <f t="shared" si="4"/>
        <v>Actual</v>
      </c>
      <c r="X39" s="2081">
        <f>_PL!X39</f>
        <v>0</v>
      </c>
      <c r="Y39" s="1196" t="e">
        <f ca="1">IF(_PL!Y39="Error","",_PL!Y39)</f>
        <v>#NAME?</v>
      </c>
      <c r="Z39" s="198" cm="1">
        <f t="array" ref="Z39">_xlfn.SWITCH(TRUE,_PL!$L39=TRUE,1,_PL!$L39=FALSE,-1,_PL!$L39=-1,0,"")</f>
        <v>0</v>
      </c>
      <c r="AA39" s="200"/>
      <c r="AB39" s="301" t="str">
        <f>_PL!AB39</f>
        <v>Reported PBT</v>
      </c>
      <c r="AC39" s="275" t="str" cm="1">
        <f t="array" ca="1" aca="1" ref="AC39">_xlfn.LET(_xlpm._termname,$AB39,_xlpm._iconname,"find",_xlpm._icon,fx_getIcon(_xlpm._iconname),_xlpm._location,_xlfn.XLOOKUP(LOWER(_xlpm._termname),LOWER(tbl_acctDef[Term]),tbl_acctDef[Term]),_xlpm._hyperlink,HYPERLINK("#"&amp;CELL("address",_xlpm._location),_xlpm._icon),IFERROR(_xlpm._hyperlink,""))</f>
        <v/>
      </c>
      <c r="AD39" s="1210">
        <f t="shared" si="13" ref="AD39:BN39">SUBTOTAL(9,AD20:AD38)-SUBTOTAL(9,AD26:AD31)-N(AD23)</f>
        <v>7</v>
      </c>
      <c r="AE39" s="1210">
        <f t="shared" si="13"/>
        <v>7</v>
      </c>
      <c r="AF39" s="1210">
        <f t="shared" si="13"/>
        <v>7</v>
      </c>
      <c r="AG39" s="1210">
        <f t="shared" si="13"/>
        <v>7</v>
      </c>
      <c r="AH39" s="1210">
        <f t="shared" si="13"/>
        <v>7</v>
      </c>
      <c r="AI39" s="1210">
        <f t="shared" si="13"/>
        <v>7</v>
      </c>
      <c r="AJ39" s="1210">
        <f t="shared" si="13"/>
        <v>7</v>
      </c>
      <c r="AK39" s="1210">
        <f t="shared" si="13"/>
        <v>7</v>
      </c>
      <c r="AL39" s="1210">
        <f t="shared" si="13"/>
        <v>7</v>
      </c>
      <c r="AM39" s="1210">
        <f t="shared" si="13"/>
        <v>7</v>
      </c>
      <c r="AN39" s="1210">
        <f t="shared" si="13"/>
        <v>7</v>
      </c>
      <c r="AO39" s="1210">
        <f t="shared" si="13"/>
        <v>7</v>
      </c>
      <c r="AP39" s="1210">
        <f t="shared" si="13"/>
        <v>7</v>
      </c>
      <c r="AQ39" s="1210">
        <f t="shared" si="13"/>
        <v>7</v>
      </c>
      <c r="AR39" s="1210">
        <f t="shared" si="13"/>
        <v>7</v>
      </c>
      <c r="AS39" s="1210">
        <f t="shared" si="13"/>
        <v>7</v>
      </c>
      <c r="AT39" s="1210">
        <f t="shared" si="13"/>
        <v>7</v>
      </c>
      <c r="AU39" s="1210">
        <f t="shared" si="13"/>
        <v>7</v>
      </c>
      <c r="AV39" s="1210">
        <f t="shared" si="13"/>
        <v>7</v>
      </c>
      <c r="AW39" s="1210">
        <f t="shared" si="13"/>
        <v>7</v>
      </c>
      <c r="AX39" s="1210">
        <f t="shared" si="13"/>
        <v>7</v>
      </c>
      <c r="AY39" s="1210">
        <f t="shared" si="13"/>
        <v>7</v>
      </c>
      <c r="AZ39" s="1210">
        <f t="shared" si="13"/>
        <v>7</v>
      </c>
      <c r="BA39" s="1210">
        <f t="shared" si="13"/>
        <v>7</v>
      </c>
      <c r="BB39" s="1210">
        <f t="shared" si="13"/>
        <v>7</v>
      </c>
      <c r="BC39" s="1210">
        <f t="shared" si="13"/>
        <v>7</v>
      </c>
      <c r="BD39" s="1210">
        <f t="shared" si="13"/>
        <v>7</v>
      </c>
      <c r="BE39" s="1210">
        <f t="shared" si="13"/>
        <v>7</v>
      </c>
      <c r="BF39" s="1210">
        <f t="shared" si="13"/>
        <v>7</v>
      </c>
      <c r="BG39" s="1210">
        <f t="shared" si="13"/>
        <v>7</v>
      </c>
      <c r="BH39" s="1210">
        <f t="shared" si="13"/>
        <v>7</v>
      </c>
      <c r="BI39" s="1210">
        <f t="shared" si="13"/>
        <v>7</v>
      </c>
      <c r="BJ39" s="1210">
        <f t="shared" si="13"/>
        <v>7</v>
      </c>
      <c r="BK39" s="1210">
        <f t="shared" si="13"/>
        <v>7</v>
      </c>
      <c r="BL39" s="1210">
        <f t="shared" si="13"/>
        <v>7</v>
      </c>
      <c r="BM39" s="1210">
        <f t="shared" si="13"/>
        <v>7</v>
      </c>
      <c r="BN39" s="1210">
        <f t="shared" si="13"/>
        <v>7</v>
      </c>
      <c r="BO39" s="2096"/>
      <c r="BP39" s="2096"/>
      <c r="BQ39" s="2096"/>
      <c r="BR39" s="2096"/>
      <c r="BS39" s="2096"/>
      <c r="BT39" s="2096"/>
      <c r="BU39" s="2096"/>
      <c r="BV39" s="2096"/>
      <c r="BW39" s="2096"/>
      <c r="BX39" s="2096"/>
      <c r="BY39" s="2096"/>
      <c r="BZ39" s="2096"/>
      <c r="CA39" s="34"/>
      <c r="CC39" s="33"/>
      <c r="CD39" s="1772" t="e" cm="1">
        <f t="array" ca="1" aca="1" ref="CD39">_xlfn.LET(_xlpm.CheckBlank,SUM(PL!$AD39:PL!$BN39)=0,IF(_xlpm.CheckBlank,"",SUM(_xlfn._xlws.FILTER(PL!$AD39:$BN39,(YEAR(PL!$AD$12:$BN$12)=PL!CD$12)*(array_timeline&lt;=PL!CD$11)))))</f>
        <v>#NAME?</v>
      </c>
      <c r="CE39" s="1772" t="e" cm="1">
        <f t="array" ca="1" aca="1" ref="CE39">_xlfn.LET(_xlpm.CheckBlank,SUM(PL!$AD39:PL!$BN39)=0,IF(_xlpm.CheckBlank,"",SUM(_xlfn._xlws.FILTER(PL!$AD39:$BN39,(YEAR(PL!$AD$12:$BN$12)=PL!CE$12)*(array_timeline&lt;=PL!CE$11)))))</f>
        <v>#NAME?</v>
      </c>
      <c r="CF39" s="88"/>
      <c r="CG39" s="1461" t="str" cm="1">
        <f t="array" ca="1" aca="1" ref="CG39">IFERROR(_xlfn.LET(_xlpm.CheckBlank,SUM(PL!$AD39:$BN39)=0,IF(_xlpm.CheckBlank,"",SUM(_xlfn._xlws.FILTER(PL!$AD39:$BN39,(YEAR(PL!$AD$12:$BN$12)=PL!CG$12)*(array_timeline&lt;=PL!CG$11))))),"n/a")</f>
        <v>n/a</v>
      </c>
      <c r="CH39" s="1461" t="e" cm="1">
        <f t="array" ca="1" aca="1" ref="CH39">_xlfn.LET(_xlpm.CheckBlank,SUM(PL!$AD39:$BN39)=0,IF(_xlpm.CheckBlank,"",SUM(_xlfn._xlws.FILTER(PL!$AD39:$BN39,(YEAR(PL!$AD$12:$BN$12)=PL!CH$12)*(array_timeline&lt;=PL!CH$11)))))</f>
        <v>#NAME?</v>
      </c>
      <c r="CI39" s="88"/>
      <c r="CJ39" s="1461" cm="1">
        <f t="array" ref="CJ39">_xlfn.LET(_xlpm.CheckBlank,SUM(PL!$AD39:$BN39)=0,IF(_xlpm.CheckBlank,"",SUM(_xlfn.TAKE(_xlfn.DROP(PL!$AD39:$BN39,,-DATEDIFF(PL!CJ$11,val_asOfDate,"M")),1,-12))))</f>
        <v>84</v>
      </c>
      <c r="CK39" s="1461" cm="1">
        <f t="array" ref="CK39">_xlfn.LET(_xlpm.CheckBlank,SUM(PL!$AD39:$BN39)=0,IF(_xlpm.CheckBlank,"",SUM(_xlfn.TAKE(_xlfn.DROP(PL!$AD39:$BN39,,-DATEDIFF(PL!CK$11,val_asOfDate,"M")),1,-12))))</f>
        <v>84</v>
      </c>
      <c r="CL39" s="88"/>
      <c r="CM39" s="2446">
        <f>SUBTOTAL(9,CM20:CM38)-SUBTOTAL(9,CM26:CM31)-N(CM23)</f>
        <v>7</v>
      </c>
      <c r="CN39" s="2446">
        <f>SUBTOTAL(9,CN20:CN38)-SUBTOTAL(9,CN26:CN31)-N(CN23)</f>
        <v>7</v>
      </c>
      <c r="CO39" s="1169"/>
      <c r="CP39" s="2446">
        <f>SUBTOTAL(9,CP20:CP38)-SUBTOTAL(9,CP26:CP31)-N(CP23)</f>
        <v>7</v>
      </c>
      <c r="CQ39" s="2446">
        <f>SUBTOTAL(9,CQ20:CQ38)-SUBTOTAL(9,CQ26:CQ31)-N(CQ23)</f>
        <v>7</v>
      </c>
      <c r="CR39" s="34"/>
      <c r="CS39" s="2056"/>
      <c r="CT39" s="2085" t="e" cm="1">
        <f t="array" ca="1" aca="1" ref="CT39">IF(K39&lt;&gt;"Yes","",IF(OR(Y39="Select,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III"),"",IF(OR(Y39&lt;&gt;AB39,AND(LEN(B39)=0,NOT(OR(Y39="Select,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III")))),_xldudf_CX_PUSH(Y39,CX_ENTITY,C39,EOMONTH(val_asOfDate,0)),"")))</f>
        <v>#NAME?</v>
      </c>
      <c r="CU39" s="2085" t="e" cm="1">
        <f t="array" ca="1" aca="1" ref="CU39">IF(K39&lt;&gt;"Yes","",IF(OR(Y39="Select,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III"),"",IF(OR(Y39&lt;&gt;AB39,AND(LEN(B39)=0,NOT(OR(Y39="Select,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III")))),_xldudf_CX_PUSH(Y39,CX_ENTITY,C39,EOMONTH(val_asOfDate,1)),"")))</f>
        <v>#NAME?</v>
      </c>
      <c r="CV39" s="2085" t="e" cm="1">
        <f t="array" ca="1" aca="1" ref="CV39">IF(K39&lt;&gt;"Yes","",IF(OR(Y39="Select,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III"),"",IF(OR(Y39&lt;&gt;AB39,AND(LEN(B39)=0,NOT(OR(Y39="Select,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III")))),_xldudf_CX_PUSH(Y39,CX_ENTITY,C39,EOMONTH(val_asOfDate,2)),"")))</f>
        <v>#NAME?</v>
      </c>
      <c r="CW39" s="2085" t="e" cm="1">
        <f t="array" ca="1" aca="1" ref="CW39">IF(K39&lt;&gt;"Yes","",IF(OR(Y39="Select,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III"),"",IF(OR(Y39&lt;&gt;AB39,AND(LEN(B39)=0,NOT(OR(Y39="Select,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III")))),_xldudf_CX_PUSH(Y39,CX_ENTITY,C39,EOMONTH(val_asOfDate,3)),"")))</f>
        <v>#NAME?</v>
      </c>
      <c r="CX39" s="2443"/>
      <c r="CY39" s="2444" t="str" cm="1">
        <f t="array" ca="1" aca="1" ref="CY39">IFERROR(IF(CM39*fxVal_normal=_PL!CM39,"",IF(OR($CM39="",$CM39=0,NOT(ISNUMBER($CM39)),ISERROR($CM39),$B39=""),"",IF($I39=1,IFBLANK(_xldudf_CX_PUSH($CM39*fxVal_normal,CX_ENTITY,$B39,$CM$11,$CM$14,$CM$19,),""),IF($I39=2,IFBLANK(_xldudf_CX_PUSH($CM39,CX_ENTITY,$B39,$CM$11,$CM$14,$CM$19,),""),IF($I39=3,"",IFBLANK(_xldudf_CX_PUSH($CM39,CX_ENTITY,$B39,$CM$11,$CM$14,$CM$19,),"")))))),"")</f>
        <v/>
      </c>
      <c r="CZ39" s="2444" t="str" cm="1">
        <f t="array" ca="1" aca="1" ref="CZ39">IFERROR(IF(CN39*fxVal_normal=_PL!CN39,"",IF(OR($CN39="",$CN39=0,NOT(ISNUMBER($CN39)),ISERROR($CN39),$B39=""),"",IF($I39=1,IFBLANK(_xldudf_CX_PUSH($CN39*fxVal_normal,CX_ENTITY,$B39,$CN$11,$CN$14,$CN$19,),""),IF($I39=2,IFBLANK(_xldudf_CX_PUSH($CN39,CX_ENTITY,$B39,$CN$11,$CN$14,$CN$19,),""),IF($I39=3,"",IFBLANK(_xldudf_CX_PUSH($CN39,CX_ENTITY,$B39,$CN$11,$CN$14,$CN$19,),"")))))),"")</f>
        <v/>
      </c>
      <c r="DA39" s="2444" t="str" cm="1">
        <f t="array" ca="1" aca="1" ref="DA39">IFERROR(IF(CP39*fxVal_normal=_PL!CP39,"",IF(OR($CP39="",$CP39=0,NOT(ISNUMBER($CP39)),ISERROR($CP39),$B39=""),"",IF($I39=1,IFBLANK(_xldudf_CX_PUSH($CP39*fxVal_normal,CX_ENTITY,$B39,$CP$11,$CP$14,$CP$19,),""),IF($I39=2,IFBLANK(_xldudf_CX_PUSH($CP39,CX_ENTITY,$B39,$CP$11,$CP$14,$CP$19,),""),IF($I39=3,"",IFBLANK(_xldudf_CX_PUSH($CP39,CX_ENTITY,$B39,$CP$11,$CP$14,$CP$19,),"")))))),"")</f>
        <v/>
      </c>
      <c r="DB39" s="2444" t="str" cm="1">
        <f t="array" ca="1" aca="1" ref="DB39">IFERROR(IF(CQ39*fxVal_normal=_PL!CQ39,"",IF(OR($CQ39="",$CQ39=0,NOT(ISNUMBER($CQ39)),ISERROR($CQ39),$B39=""),"",IF($I39=1,IFBLANK(_xldudf_CX_PUSH($CQ39*fxVal_normal,CX_ENTITY,$B39,$CQ$11,$CQ$14,$CQ$19,),""),IF($I39=2,IFBLANK(_xldudf_CX_PUSH($CQ39,CX_ENTITY,$B39,$CQ$11,$CQ$14,$CQ$19,),""),IF($I39=3,"",IFBLANK(_xldudf_CX_PUSH($CQ39,CX_ENTITY,$B39,$CQ$11,$CQ$14,$CQ$19,),"")))))),"")</f>
        <v/>
      </c>
      <c r="DC39" s="2443"/>
      <c r="DD39" s="2445" t="str" cm="1">
        <f t="array" ca="1" aca="1" ref="DD39">IFERROR(IF(AD39*fxVal_normal=_PL!AD39,"",IF(OR(AD39="",NOT(ISNUMBER(AD39)),ISERROR(AD39),$B39=""),"",IF($I39=1,IFBLANK(_xldudf_CX_PUSH(AD39*fxVal_normal,CX_ENTITY,$B39,AD$11,AD$14,AD$19,),""),IF($I39=2,IFBLANK(_xldudf_CX_PUSH(AD39,CX_ENTITY,$B39,AD$11,AD$14,AD$19,),""),IF($I39=3,"",IFBLANK(_xldudf_CX_PUSH(AD39,CX_ENTITY,$B39,AD$11,AD$14,AD$19,),"")))))),"")</f>
        <v/>
      </c>
      <c r="DE39" s="2445" t="str" cm="1">
        <f t="array" ca="1" aca="1" ref="DE39">IFERROR(IF(AE39*fxVal_normal=_PL!AE39,"",IF(OR(AE39="",NOT(ISNUMBER(AE39)),ISERROR(AE39),$B39=""),"",IF($I39=1,IFBLANK(_xldudf_CX_PUSH(AE39*fxVal_normal,CX_ENTITY,$B39,AE$11,AE$14,AE$19,),""),IF($I39=2,IFBLANK(_xldudf_CX_PUSH(AE39,CX_ENTITY,$B39,AE$11,AE$14,AE$19,),""),IF($I39=3,"",IFBLANK(_xldudf_CX_PUSH(AE39,CX_ENTITY,$B39,AE$11,AE$14,AE$19,),"")))))),"")</f>
        <v/>
      </c>
      <c r="DF39" s="2445" t="str" cm="1">
        <f t="array" ca="1" aca="1" ref="DF39">IFERROR(IF(AF39*fxVal_normal=_PL!AF39,"",IF(OR(AF39="",NOT(ISNUMBER(AF39)),ISERROR(AF39),$B39=""),"",IF($I39=1,IFBLANK(_xldudf_CX_PUSH(AF39*fxVal_normal,CX_ENTITY,$B39,AF$11,AF$14,AF$19,),""),IF($I39=2,IFBLANK(_xldudf_CX_PUSH(AF39,CX_ENTITY,$B39,AF$11,AF$14,AF$19,),""),IF($I39=3,"",IFBLANK(_xldudf_CX_PUSH(AF39,CX_ENTITY,$B39,AF$11,AF$14,AF$19,),"")))))),"")</f>
        <v/>
      </c>
      <c r="DG39" s="2445" t="str" cm="1">
        <f t="array" ca="1" aca="1" ref="DG39">IFERROR(IF(AG39*fxVal_normal=_PL!AG39,"",IF(OR(AG39="",NOT(ISNUMBER(AG39)),ISERROR(AG39),$B39=""),"",IF($I39=1,IFBLANK(_xldudf_CX_PUSH(AG39*fxVal_normal,CX_ENTITY,$B39,AG$11,AG$14,AG$19,),""),IF($I39=2,IFBLANK(_xldudf_CX_PUSH(AG39,CX_ENTITY,$B39,AG$11,AG$14,AG$19,),""),IF($I39=3,"",IFBLANK(_xldudf_CX_PUSH(AG39,CX_ENTITY,$B39,AG$11,AG$14,AG$19,),"")))))),"")</f>
        <v/>
      </c>
      <c r="DH39" s="2445" t="str" cm="1">
        <f t="array" ca="1" aca="1" ref="DH39">IFERROR(IF(AH39*fxVal_normal=_PL!AH39,"",IF(OR(AH39="",NOT(ISNUMBER(AH39)),ISERROR(AH39),$B39=""),"",IF($I39=1,IFBLANK(_xldudf_CX_PUSH(AH39*fxVal_normal,CX_ENTITY,$B39,AH$11,AH$14,AH$19,),""),IF($I39=2,IFBLANK(_xldudf_CX_PUSH(AH39,CX_ENTITY,$B39,AH$11,AH$14,AH$19,),""),IF($I39=3,"",IFBLANK(_xldudf_CX_PUSH(AH39,CX_ENTITY,$B39,AH$11,AH$14,AH$19,),"")))))),"")</f>
        <v/>
      </c>
      <c r="DI39" s="2445" t="str" cm="1">
        <f t="array" ca="1" aca="1" ref="DI39">IFERROR(IF(AI39*fxVal_normal=_PL!AI39,"",IF(OR(AI39="",NOT(ISNUMBER(AI39)),ISERROR(AI39),$B39=""),"",IF($I39=1,IFBLANK(_xldudf_CX_PUSH(AI39*fxVal_normal,CX_ENTITY,$B39,AI$11,AI$14,AI$19,),""),IF($I39=2,IFBLANK(_xldudf_CX_PUSH(AI39,CX_ENTITY,$B39,AI$11,AI$14,AI$19,),""),IF($I39=3,"",IFBLANK(_xldudf_CX_PUSH(AI39,CX_ENTITY,$B39,AI$11,AI$14,AI$19,),"")))))),"")</f>
        <v/>
      </c>
      <c r="DJ39" s="2445" t="str" cm="1">
        <f t="array" ca="1" aca="1" ref="DJ39">IFERROR(IF(AJ39*fxVal_normal=_PL!AJ39,"",IF(OR(AJ39="",NOT(ISNUMBER(AJ39)),ISERROR(AJ39),$B39=""),"",IF($I39=1,IFBLANK(_xldudf_CX_PUSH(AJ39*fxVal_normal,CX_ENTITY,$B39,AJ$11,AJ$14,AJ$19,),""),IF($I39=2,IFBLANK(_xldudf_CX_PUSH(AJ39,CX_ENTITY,$B39,AJ$11,AJ$14,AJ$19,),""),IF($I39=3,"",IFBLANK(_xldudf_CX_PUSH(AJ39,CX_ENTITY,$B39,AJ$11,AJ$14,AJ$19,),"")))))),"")</f>
        <v/>
      </c>
      <c r="DK39" s="2445" t="str" cm="1">
        <f t="array" ca="1" aca="1" ref="DK39">IFERROR(IF(AK39*fxVal_normal=_PL!AK39,"",IF(OR(AK39="",NOT(ISNUMBER(AK39)),ISERROR(AK39),$B39=""),"",IF($I39=1,IFBLANK(_xldudf_CX_PUSH(AK39*fxVal_normal,CX_ENTITY,$B39,AK$11,AK$14,AK$19,),""),IF($I39=2,IFBLANK(_xldudf_CX_PUSH(AK39,CX_ENTITY,$B39,AK$11,AK$14,AK$19,),""),IF($I39=3,"",IFBLANK(_xldudf_CX_PUSH(AK39,CX_ENTITY,$B39,AK$11,AK$14,AK$19,),"")))))),"")</f>
        <v/>
      </c>
      <c r="DL39" s="2445" t="str" cm="1">
        <f t="array" ca="1" aca="1" ref="DL39">IFERROR(IF(AL39*fxVal_normal=_PL!AL39,"",IF(OR(AL39="",NOT(ISNUMBER(AL39)),ISERROR(AL39),$B39=""),"",IF($I39=1,IFBLANK(_xldudf_CX_PUSH(AL39*fxVal_normal,CX_ENTITY,$B39,AL$11,AL$14,AL$19,),""),IF($I39=2,IFBLANK(_xldudf_CX_PUSH(AL39,CX_ENTITY,$B39,AL$11,AL$14,AL$19,),""),IF($I39=3,"",IFBLANK(_xldudf_CX_PUSH(AL39,CX_ENTITY,$B39,AL$11,AL$14,AL$19,),"")))))),"")</f>
        <v/>
      </c>
      <c r="DM39" s="2445" t="str" cm="1">
        <f t="array" ca="1" aca="1" ref="DM39">IFERROR(IF(AM39*fxVal_normal=_PL!AM39,"",IF(OR(AM39="",NOT(ISNUMBER(AM39)),ISERROR(AM39),$B39=""),"",IF($I39=1,IFBLANK(_xldudf_CX_PUSH(AM39*fxVal_normal,CX_ENTITY,$B39,AM$11,AM$14,AM$19,),""),IF($I39=2,IFBLANK(_xldudf_CX_PUSH(AM39,CX_ENTITY,$B39,AM$11,AM$14,AM$19,),""),IF($I39=3,"",IFBLANK(_xldudf_CX_PUSH(AM39,CX_ENTITY,$B39,AM$11,AM$14,AM$19,),"")))))),"")</f>
        <v/>
      </c>
      <c r="DN39" s="2445" t="str" cm="1">
        <f t="array" ca="1" aca="1" ref="DN39">IFERROR(IF(AN39*fxVal_normal=_PL!AN39,"",IF(OR(AN39="",NOT(ISNUMBER(AN39)),ISERROR(AN39),$B39=""),"",IF($I39=1,IFBLANK(_xldudf_CX_PUSH(AN39*fxVal_normal,CX_ENTITY,$B39,AN$11,AN$14,AN$19,),""),IF($I39=2,IFBLANK(_xldudf_CX_PUSH(AN39,CX_ENTITY,$B39,AN$11,AN$14,AN$19,),""),IF($I39=3,"",IFBLANK(_xldudf_CX_PUSH(AN39,CX_ENTITY,$B39,AN$11,AN$14,AN$19,),"")))))),"")</f>
        <v/>
      </c>
      <c r="DO39" s="2445" t="str" cm="1">
        <f t="array" ca="1" aca="1" ref="DO39">IFERROR(IF(AO39*fxVal_normal=_PL!AO39,"",IF(OR(AO39="",NOT(ISNUMBER(AO39)),ISERROR(AO39),$B39=""),"",IF($I39=1,IFBLANK(_xldudf_CX_PUSH(AO39*fxVal_normal,CX_ENTITY,$B39,AO$11,AO$14,AO$19,),""),IF($I39=2,IFBLANK(_xldudf_CX_PUSH(AO39,CX_ENTITY,$B39,AO$11,AO$14,AO$19,),""),IF($I39=3,"",IFBLANK(_xldudf_CX_PUSH(AO39,CX_ENTITY,$B39,AO$11,AO$14,AO$19,),"")))))),"")</f>
        <v/>
      </c>
      <c r="DP39" s="2445" t="str" cm="1">
        <f t="array" ca="1" aca="1" ref="DP39">IFERROR(IF(AP39*fxVal_normal=_PL!AP39,"",IF(OR(AP39="",NOT(ISNUMBER(AP39)),ISERROR(AP39),$B39=""),"",IF($I39=1,IFBLANK(_xldudf_CX_PUSH(AP39*fxVal_normal,CX_ENTITY,$B39,AP$11,AP$14,AP$19,),""),IF($I39=2,IFBLANK(_xldudf_CX_PUSH(AP39,CX_ENTITY,$B39,AP$11,AP$14,AP$19,),""),IF($I39=3,"",IFBLANK(_xldudf_CX_PUSH(AP39,CX_ENTITY,$B39,AP$11,AP$14,AP$19,),"")))))),"")</f>
        <v/>
      </c>
      <c r="DQ39" s="2445" t="str" cm="1">
        <f t="array" ca="1" aca="1" ref="DQ39">IFERROR(IF(AQ39*fxVal_normal=_PL!AQ39,"",IF(OR(AQ39="",NOT(ISNUMBER(AQ39)),ISERROR(AQ39),$B39=""),"",IF($I39=1,IFBLANK(_xldudf_CX_PUSH(AQ39*fxVal_normal,CX_ENTITY,$B39,AQ$11,AQ$14,AQ$19,),""),IF($I39=2,IFBLANK(_xldudf_CX_PUSH(AQ39,CX_ENTITY,$B39,AQ$11,AQ$14,AQ$19,),""),IF($I39=3,"",IFBLANK(_xldudf_CX_PUSH(AQ39,CX_ENTITY,$B39,AQ$11,AQ$14,AQ$19,),"")))))),"")</f>
        <v/>
      </c>
      <c r="DR39" s="2445" t="str" cm="1">
        <f t="array" ca="1" aca="1" ref="DR39">IFERROR(IF(AR39*fxVal_normal=_PL!AR39,"",IF(OR(AR39="",NOT(ISNUMBER(AR39)),ISERROR(AR39),$B39=""),"",IF($I39=1,IFBLANK(_xldudf_CX_PUSH(AR39*fxVal_normal,CX_ENTITY,$B39,AR$11,AR$14,AR$19,),""),IF($I39=2,IFBLANK(_xldudf_CX_PUSH(AR39,CX_ENTITY,$B39,AR$11,AR$14,AR$19,),""),IF($I39=3,"",IFBLANK(_xldudf_CX_PUSH(AR39,CX_ENTITY,$B39,AR$11,AR$14,AR$19,),"")))))),"")</f>
        <v/>
      </c>
      <c r="DS39" s="2445" t="str" cm="1">
        <f t="array" ca="1" aca="1" ref="DS39">IFERROR(IF(AS39*fxVal_normal=_PL!AS39,"",IF(OR(AS39="",NOT(ISNUMBER(AS39)),ISERROR(AS39),$B39=""),"",IF($I39=1,IFBLANK(_xldudf_CX_PUSH(AS39*fxVal_normal,CX_ENTITY,$B39,AS$11,AS$14,AS$19,),""),IF($I39=2,IFBLANK(_xldudf_CX_PUSH(AS39,CX_ENTITY,$B39,AS$11,AS$14,AS$19,),""),IF($I39=3,"",IFBLANK(_xldudf_CX_PUSH(AS39,CX_ENTITY,$B39,AS$11,AS$14,AS$19,),"")))))),"")</f>
        <v/>
      </c>
      <c r="DT39" s="2445" t="str" cm="1">
        <f t="array" ca="1" aca="1" ref="DT39">IFERROR(IF(AT39*fxVal_normal=_PL!AT39,"",IF(OR(AT39="",NOT(ISNUMBER(AT39)),ISERROR(AT39),$B39=""),"",IF($I39=1,IFBLANK(_xldudf_CX_PUSH(AT39*fxVal_normal,CX_ENTITY,$B39,AT$11,AT$14,AT$19,),""),IF($I39=2,IFBLANK(_xldudf_CX_PUSH(AT39,CX_ENTITY,$B39,AT$11,AT$14,AT$19,),""),IF($I39=3,"",IFBLANK(_xldudf_CX_PUSH(AT39,CX_ENTITY,$B39,AT$11,AT$14,AT$19,),"")))))),"")</f>
        <v/>
      </c>
      <c r="DU39" s="2445" t="str" cm="1">
        <f t="array" ca="1" aca="1" ref="DU39">IFERROR(IF(AU39*fxVal_normal=_PL!AU39,"",IF(OR(AU39="",NOT(ISNUMBER(AU39)),ISERROR(AU39),$B39=""),"",IF($I39=1,IFBLANK(_xldudf_CX_PUSH(AU39*fxVal_normal,CX_ENTITY,$B39,AU$11,AU$14,AU$19,),""),IF($I39=2,IFBLANK(_xldudf_CX_PUSH(AU39,CX_ENTITY,$B39,AU$11,AU$14,AU$19,),""),IF($I39=3,"",IFBLANK(_xldudf_CX_PUSH(AU39,CX_ENTITY,$B39,AU$11,AU$14,AU$19,),"")))))),"")</f>
        <v/>
      </c>
      <c r="DV39" s="2445" t="str" cm="1">
        <f t="array" ca="1" aca="1" ref="DV39">IFERROR(IF(AV39*fxVal_normal=_PL!AV39,"",IF(OR(AV39="",NOT(ISNUMBER(AV39)),ISERROR(AV39),$B39=""),"",IF($I39=1,IFBLANK(_xldudf_CX_PUSH(AV39*fxVal_normal,CX_ENTITY,$B39,AV$11,AV$14,AV$19,),""),IF($I39=2,IFBLANK(_xldudf_CX_PUSH(AV39,CX_ENTITY,$B39,AV$11,AV$14,AV$19,),""),IF($I39=3,"",IFBLANK(_xldudf_CX_PUSH(AV39,CX_ENTITY,$B39,AV$11,AV$14,AV$19,),"")))))),"")</f>
        <v/>
      </c>
      <c r="DW39" s="2445" t="str" cm="1">
        <f t="array" ca="1" aca="1" ref="DW39">IFERROR(IF(AW39*fxVal_normal=_PL!AW39,"",IF(OR(AW39="",NOT(ISNUMBER(AW39)),ISERROR(AW39),$B39=""),"",IF($I39=1,IFBLANK(_xldudf_CX_PUSH(AW39*fxVal_normal,CX_ENTITY,$B39,AW$11,AW$14,AW$19,),""),IF($I39=2,IFBLANK(_xldudf_CX_PUSH(AW39,CX_ENTITY,$B39,AW$11,AW$14,AW$19,),""),IF($I39=3,"",IFBLANK(_xldudf_CX_PUSH(AW39,CX_ENTITY,$B39,AW$11,AW$14,AW$19,),"")))))),"")</f>
        <v/>
      </c>
      <c r="DX39" s="2445" t="str" cm="1">
        <f t="array" ca="1" aca="1" ref="DX39">IFERROR(IF(AX39*fxVal_normal=_PL!AX39,"",IF(OR(AX39="",NOT(ISNUMBER(AX39)),ISERROR(AX39),$B39=""),"",IF($I39=1,IFBLANK(_xldudf_CX_PUSH(AX39*fxVal_normal,CX_ENTITY,$B39,AX$11,AX$14,AX$19,),""),IF($I39=2,IFBLANK(_xldudf_CX_PUSH(AX39,CX_ENTITY,$B39,AX$11,AX$14,AX$19,),""),IF($I39=3,"",IFBLANK(_xldudf_CX_PUSH(AX39,CX_ENTITY,$B39,AX$11,AX$14,AX$19,),"")))))),"")</f>
        <v/>
      </c>
      <c r="DY39" s="2445" t="str" cm="1">
        <f t="array" ca="1" aca="1" ref="DY39">IFERROR(IF(AY39*fxVal_normal=_PL!AY39,"",IF(OR(AY39="",NOT(ISNUMBER(AY39)),ISERROR(AY39),$B39=""),"",IF($I39=1,IFBLANK(_xldudf_CX_PUSH(AY39*fxVal_normal,CX_ENTITY,$B39,AY$11,AY$14,AY$19,),""),IF($I39=2,IFBLANK(_xldudf_CX_PUSH(AY39,CX_ENTITY,$B39,AY$11,AY$14,AY$19,),""),IF($I39=3,"",IFBLANK(_xldudf_CX_PUSH(AY39,CX_ENTITY,$B39,AY$11,AY$14,AY$19,),"")))))),"")</f>
        <v/>
      </c>
      <c r="DZ39" s="2445" t="str" cm="1">
        <f t="array" ca="1" aca="1" ref="DZ39">IFERROR(IF(AZ39*fxVal_normal=_PL!AZ39,"",IF(OR(AZ39="",NOT(ISNUMBER(AZ39)),ISERROR(AZ39),$B39=""),"",IF($I39=1,IFBLANK(_xldudf_CX_PUSH(AZ39*fxVal_normal,CX_ENTITY,$B39,AZ$11,AZ$14,AZ$19,),""),IF($I39=2,IFBLANK(_xldudf_CX_PUSH(AZ39,CX_ENTITY,$B39,AZ$11,AZ$14,AZ$19,),""),IF($I39=3,"",IFBLANK(_xldudf_CX_PUSH(AZ39,CX_ENTITY,$B39,AZ$11,AZ$14,AZ$19,),"")))))),"")</f>
        <v/>
      </c>
      <c r="EA39" s="2445" t="str" cm="1">
        <f t="array" ca="1" aca="1" ref="EA39">IFERROR(IF(BA39*fxVal_normal=_PL!BA39,"",IF(OR(BA39="",NOT(ISNUMBER(BA39)),ISERROR(BA39),$B39=""),"",IF($I39=1,IFBLANK(_xldudf_CX_PUSH(BA39*fxVal_normal,CX_ENTITY,$B39,BA$11,BA$14,BA$19,),""),IF($I39=2,IFBLANK(_xldudf_CX_PUSH(BA39,CX_ENTITY,$B39,BA$11,BA$14,BA$19,),""),IF($I39=3,"",IFBLANK(_xldudf_CX_PUSH(BA39,CX_ENTITY,$B39,BA$11,BA$14,BA$19,),"")))))),"")</f>
        <v/>
      </c>
      <c r="EB39" s="2445" t="str" cm="1">
        <f t="array" ca="1" aca="1" ref="EB39">IFERROR(IF(BB39*fxVal_normal=_PL!BB39,"",IF(OR(BB39="",NOT(ISNUMBER(BB39)),ISERROR(BB39),$B39=""),"",IF($I39=1,IFBLANK(_xldudf_CX_PUSH(BB39*fxVal_normal,CX_ENTITY,$B39,BB$11,BB$14,BB$19,),""),IF($I39=2,IFBLANK(_xldudf_CX_PUSH(BB39,CX_ENTITY,$B39,BB$11,BB$14,BB$19,),""),IF($I39=3,"",IFBLANK(_xldudf_CX_PUSH(BB39,CX_ENTITY,$B39,BB$11,BB$14,BB$19,),"")))))),"")</f>
        <v/>
      </c>
      <c r="EC39" s="2445" t="str" cm="1">
        <f t="array" ca="1" aca="1" ref="EC39">IFERROR(IF(BC39*fxVal_normal=_PL!BC39,"",IF(OR(BC39="",NOT(ISNUMBER(BC39)),ISERROR(BC39),$B39=""),"",IF($I39=1,IFBLANK(_xldudf_CX_PUSH(BC39*fxVal_normal,CX_ENTITY,$B39,BC$11,BC$14,BC$19,),""),IF($I39=2,IFBLANK(_xldudf_CX_PUSH(BC39,CX_ENTITY,$B39,BC$11,BC$14,BC$19,),""),IF($I39=3,"",IFBLANK(_xldudf_CX_PUSH(BC39,CX_ENTITY,$B39,BC$11,BC$14,BC$19,),"")))))),"")</f>
        <v/>
      </c>
      <c r="ED39" s="2445" t="str" cm="1">
        <f t="array" ca="1" aca="1" ref="ED39">IFERROR(IF(BD39*fxVal_normal=_PL!BD39,"",IF(OR(BD39="",NOT(ISNUMBER(BD39)),ISERROR(BD39),$B39=""),"",IF($I39=1,IFBLANK(_xldudf_CX_PUSH(BD39*fxVal_normal,CX_ENTITY,$B39,BD$11,BD$14,BD$19,),""),IF($I39=2,IFBLANK(_xldudf_CX_PUSH(BD39,CX_ENTITY,$B39,BD$11,BD$14,BD$19,),""),IF($I39=3,"",IFBLANK(_xldudf_CX_PUSH(BD39,CX_ENTITY,$B39,BD$11,BD$14,BD$19,),"")))))),"")</f>
        <v/>
      </c>
      <c r="EE39" s="2445" t="str" cm="1">
        <f t="array" ca="1" aca="1" ref="EE39">IFERROR(IF(BE39*fxVal_normal=_PL!BE39,"",IF(OR(BE39="",NOT(ISNUMBER(BE39)),ISERROR(BE39),$B39=""),"",IF($I39=1,IFBLANK(_xldudf_CX_PUSH(BE39*fxVal_normal,CX_ENTITY,$B39,BE$11,BE$14,BE$19,),""),IF($I39=2,IFBLANK(_xldudf_CX_PUSH(BE39,CX_ENTITY,$B39,BE$11,BE$14,BE$19,),""),IF($I39=3,"",IFBLANK(_xldudf_CX_PUSH(BE39,CX_ENTITY,$B39,BE$11,BE$14,BE$19,),"")))))),"")</f>
        <v/>
      </c>
      <c r="EF39" s="2445" t="str" cm="1">
        <f t="array" ca="1" aca="1" ref="EF39">IFERROR(IF(BF39*fxVal_normal=_PL!BF39,"",IF(OR(BF39="",NOT(ISNUMBER(BF39)),ISERROR(BF39),$B39=""),"",IF($I39=1,IFBLANK(_xldudf_CX_PUSH(BF39*fxVal_normal,CX_ENTITY,$B39,BF$11,BF$14,BF$19,),""),IF($I39=2,IFBLANK(_xldudf_CX_PUSH(BF39,CX_ENTITY,$B39,BF$11,BF$14,BF$19,),""),IF($I39=3,"",IFBLANK(_xldudf_CX_PUSH(BF39,CX_ENTITY,$B39,BF$11,BF$14,BF$19,),"")))))),"")</f>
        <v/>
      </c>
      <c r="EG39" s="2445" t="str" cm="1">
        <f t="array" ca="1" aca="1" ref="EG39">IFERROR(IF(BG39*fxVal_normal=_PL!BG39,"",IF(OR(BG39="",NOT(ISNUMBER(BG39)),ISERROR(BG39),$B39=""),"",IF($I39=1,IFBLANK(_xldudf_CX_PUSH(BG39*fxVal_normal,CX_ENTITY,$B39,BG$11,BG$14,BG$19,),""),IF($I39=2,IFBLANK(_xldudf_CX_PUSH(BG39,CX_ENTITY,$B39,BG$11,BG$14,BG$19,),""),IF($I39=3,"",IFBLANK(_xldudf_CX_PUSH(BG39,CX_ENTITY,$B39,BG$11,BG$14,BG$19,),"")))))),"")</f>
        <v/>
      </c>
      <c r="EH39" s="2445" t="str" cm="1">
        <f t="array" ca="1" aca="1" ref="EH39">IFERROR(IF(BH39*fxVal_normal=_PL!BH39,"",IF(OR(BH39="",NOT(ISNUMBER(BH39)),ISERROR(BH39),$B39=""),"",IF($I39=1,IFBLANK(_xldudf_CX_PUSH(BH39*fxVal_normal,CX_ENTITY,$B39,BH$11,BH$14,BH$19,),""),IF($I39=2,IFBLANK(_xldudf_CX_PUSH(BH39,CX_ENTITY,$B39,BH$11,BH$14,BH$19,),""),IF($I39=3,"",IFBLANK(_xldudf_CX_PUSH(BH39,CX_ENTITY,$B39,BH$11,BH$14,BH$19,),"")))))),"")</f>
        <v/>
      </c>
      <c r="EI39" s="2445" t="str" cm="1">
        <f t="array" ca="1" aca="1" ref="EI39">IFERROR(IF(BI39*fxVal_normal=_PL!BI39,"",IF(OR(BI39="",NOT(ISNUMBER(BI39)),ISERROR(BI39),$B39=""),"",IF($I39=1,IFBLANK(_xldudf_CX_PUSH(BI39*fxVal_normal,CX_ENTITY,$B39,BI$11,BI$14,BI$19,),""),IF($I39=2,IFBLANK(_xldudf_CX_PUSH(BI39,CX_ENTITY,$B39,BI$11,BI$14,BI$19,),""),IF($I39=3,"",IFBLANK(_xldudf_CX_PUSH(BI39,CX_ENTITY,$B39,BI$11,BI$14,BI$19,),"")))))),"")</f>
        <v/>
      </c>
      <c r="EJ39" s="2445" t="str" cm="1">
        <f t="array" ca="1" aca="1" ref="EJ39">IFERROR(IF(BJ39*fxVal_normal=_PL!BJ39,"",IF(OR(BJ39="",NOT(ISNUMBER(BJ39)),ISERROR(BJ39),$B39=""),"",IF($I39=1,IFBLANK(_xldudf_CX_PUSH(BJ39*fxVal_normal,CX_ENTITY,$B39,BJ$11,BJ$14,BJ$19,),""),IF($I39=2,IFBLANK(_xldudf_CX_PUSH(BJ39,CX_ENTITY,$B39,BJ$11,BJ$14,BJ$19,),""),IF($I39=3,"",IFBLANK(_xldudf_CX_PUSH(BJ39,CX_ENTITY,$B39,BJ$11,BJ$14,BJ$19,),"")))))),"")</f>
        <v/>
      </c>
      <c r="EK39" s="2445" t="str" cm="1">
        <f t="array" ca="1" aca="1" ref="EK39">IFERROR(IF(BK39*fxVal_normal=_PL!BK39,"",IF(OR(BK39="",NOT(ISNUMBER(BK39)),ISERROR(BK39),$B39=""),"",IF($I39=1,IFBLANK(_xldudf_CX_PUSH(BK39*fxVal_normal,CX_ENTITY,$B39,BK$11,BK$14,BK$19,),""),IF($I39=2,IFBLANK(_xldudf_CX_PUSH(BK39,CX_ENTITY,$B39,BK$11,BK$14,BK$19,),""),IF($I39=3,"",IFBLANK(_xldudf_CX_PUSH(BK39,CX_ENTITY,$B39,BK$11,BK$14,BK$19,),"")))))),"")</f>
        <v/>
      </c>
      <c r="EL39" s="2445" t="str" cm="1">
        <f t="array" ca="1" aca="1" ref="EL39">IFERROR(IF(BL39*fxVal_normal=_PL!BL39,"",IF(OR(BL39="",NOT(ISNUMBER(BL39)),ISERROR(BL39),$B39=""),"",IF($I39=1,IFBLANK(_xldudf_CX_PUSH(BL39*fxVal_normal,CX_ENTITY,$B39,BL$11,BL$14,BL$19,),""),IF($I39=2,IFBLANK(_xldudf_CX_PUSH(BL39,CX_ENTITY,$B39,BL$11,BL$14,BL$19,),""),IF($I39=3,"",IFBLANK(_xldudf_CX_PUSH(BL39,CX_ENTITY,$B39,BL$11,BL$14,BL$19,),"")))))),"")</f>
        <v/>
      </c>
      <c r="EM39" s="2445" t="str" cm="1">
        <f t="array" ca="1" aca="1" ref="EM39">IFERROR(IF(BM39*fxVal_normal=_PL!BM39,"",IF(OR(BM39="",NOT(ISNUMBER(BM39)),ISERROR(BM39),$B39=""),"",IF($I39=1,IFBLANK(_xldudf_CX_PUSH(BM39*fxVal_normal,CX_ENTITY,$B39,BM$11,BM$14,BM$19,),""),IF($I39=2,IFBLANK(_xldudf_CX_PUSH(BM39,CX_ENTITY,$B39,BM$11,BM$14,BM$19,),""),IF($I39=3,"",IFBLANK(_xldudf_CX_PUSH(BM39,CX_ENTITY,$B39,BM$11,BM$14,BM$19,),"")))))),"")</f>
        <v/>
      </c>
      <c r="EN39" s="2445" t="str" cm="1">
        <f t="array" ca="1" aca="1" ref="EN39">IFERROR(IF(BN39*fxVal_normal=_PL!BN39,"",IF(OR(BN39="",NOT(ISNUMBER(BN39)),ISERROR(BN39),$B39=""),"",IF($I39=1,IFBLANK(_xldudf_CX_PUSH(BN39*fxVal_normal,CX_ENTITY,$B39,BN$11,BN$14,BN$19,),""),IF($I39=2,IFBLANK(_xldudf_CX_PUSH(BN39,CX_ENTITY,$B39,BN$11,BN$14,BN$19,),""),IF($I39=3,"",IFBLANK(_xldudf_CX_PUSH(BN39,CX_ENTITY,$B39,BN$11,BN$14,BN$19,),"")))))),"")</f>
        <v/>
      </c>
    </row>
    <row r="40" spans="1:144" ht="21" customHeight="1">
      <c r="A40" s="1625"/>
      <c r="B40" s="2439" t="str">
        <f>_xlfn.LET(_xlpm.IsNotAttrDynamic,D40="",_xlpm.Attr,_PL!F40,_xlpm.NotInUse,Y40=D40,_xlpm.RESULT,IF(_xlpm.IsNotAttrDynamic,_xlpm.Attr,IF(_xlpm.NotInUse,"",Y40)),IF(_xlpm.RESULT="","",_xlpm.RESULT))</f>
        <v>Tax</v>
      </c>
      <c r="C40" s="2439" t="str" cm="1">
        <f t="array" ref="C40">IFBLANK(_PL!C40,"")</f>
        <v>Tax (Company View)</v>
      </c>
      <c r="D40" s="1548"/>
      <c r="E40" s="2440" t="e" cm="1">
        <f t="array" ca="1" aca="1" ref="E4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40:$CQ40,Z40)</f>
        <v>#NAME?</v>
      </c>
      <c r="F40" s="1897"/>
      <c r="G40" s="1897"/>
      <c r="H40" s="401">
        <v>0</v>
      </c>
      <c r="I40" s="3280">
        <v>1</v>
      </c>
      <c r="J40" s="3280" cm="1">
        <f t="array" ref="J40">IFBLANK(Z40,"")</f>
        <v>1</v>
      </c>
      <c r="K40" s="578" t="str">
        <f t="shared" si="3"/>
        <v>Yes</v>
      </c>
      <c r="L40" s="37"/>
      <c r="N40" s="158"/>
      <c r="O40" s="101"/>
      <c r="P40" s="52"/>
      <c r="Q40" s="101"/>
      <c r="R40" s="126"/>
      <c r="S40" s="101"/>
      <c r="T40" s="101"/>
      <c r="U40" s="39"/>
      <c r="V40" s="37"/>
      <c r="W40" s="91" t="str">
        <f t="shared" si="4"/>
        <v>Actual</v>
      </c>
      <c r="X40" s="2081">
        <f>_PL!X40</f>
        <v>-1</v>
      </c>
      <c r="Y40" s="3176">
        <v>2</v>
      </c>
      <c r="Z40" s="3291" cm="1">
        <f t="array" ref="Z40">_xlfn.SWITCH(TRUE,_PL!$L40=TRUE,1,_PL!$L40=FALSE,-1,_PL!$L40=-1,0,"")</f>
        <v>1</v>
      </c>
      <c r="AA40" s="200"/>
      <c r="AB40" s="301" t="str">
        <f>_PL!AB40</f>
        <v>Tax</v>
      </c>
      <c r="AC40" s="275" t="str" cm="1">
        <f t="array" ca="1" aca="1" ref="AC40">_xlfn.LET(_xlpm._termname,$AB40,_xlpm._iconname,"find",_xlpm._icon,fx_getIcon(_xlpm._iconname),_xlpm._location,_xlfn.XLOOKUP(LOWER(_xlpm._termname),LOWER(tbl_acctDef[Term]),tbl_acctDef[Term]),_xlpm._hyperlink,HYPERLINK("#"&amp;CELL("address",_xlpm._location),_xlpm._icon),IFERROR(_xlpm._hyperlink,""))</f>
        <v/>
      </c>
      <c r="AD40" s="3177">
        <v>1</v>
      </c>
      <c r="AE40" s="3177">
        <v>1</v>
      </c>
      <c r="AF40" s="3177">
        <v>1</v>
      </c>
      <c r="AG40" s="3177">
        <v>1</v>
      </c>
      <c r="AH40" s="3177">
        <v>1</v>
      </c>
      <c r="AI40" s="3177">
        <v>1</v>
      </c>
      <c r="AJ40" s="3177">
        <v>1</v>
      </c>
      <c r="AK40" s="3177">
        <v>1</v>
      </c>
      <c r="AL40" s="3177">
        <v>1</v>
      </c>
      <c r="AM40" s="3177">
        <v>1</v>
      </c>
      <c r="AN40" s="3177">
        <v>1</v>
      </c>
      <c r="AO40" s="3177">
        <v>1</v>
      </c>
      <c r="AP40" s="3177">
        <v>1</v>
      </c>
      <c r="AQ40" s="3177">
        <v>1</v>
      </c>
      <c r="AR40" s="3177">
        <v>1</v>
      </c>
      <c r="AS40" s="3177">
        <v>1</v>
      </c>
      <c r="AT40" s="3177">
        <v>1</v>
      </c>
      <c r="AU40" s="3177">
        <v>1</v>
      </c>
      <c r="AV40" s="3177">
        <v>1</v>
      </c>
      <c r="AW40" s="3177">
        <v>1</v>
      </c>
      <c r="AX40" s="3177">
        <v>1</v>
      </c>
      <c r="AY40" s="3177">
        <v>1</v>
      </c>
      <c r="AZ40" s="3177">
        <v>1</v>
      </c>
      <c r="BA40" s="3177">
        <v>1</v>
      </c>
      <c r="BB40" s="3177">
        <v>1</v>
      </c>
      <c r="BC40" s="3177">
        <v>1</v>
      </c>
      <c r="BD40" s="3177">
        <v>1</v>
      </c>
      <c r="BE40" s="3177">
        <v>1</v>
      </c>
      <c r="BF40" s="3177">
        <v>1</v>
      </c>
      <c r="BG40" s="3177">
        <v>1</v>
      </c>
      <c r="BH40" s="3177">
        <v>1</v>
      </c>
      <c r="BI40" s="3177">
        <v>1</v>
      </c>
      <c r="BJ40" s="3177">
        <v>1</v>
      </c>
      <c r="BK40" s="3177">
        <v>1</v>
      </c>
      <c r="BL40" s="3177">
        <v>1</v>
      </c>
      <c r="BM40" s="3177">
        <v>1</v>
      </c>
      <c r="BN40" s="3177">
        <v>1</v>
      </c>
      <c r="BO40" s="2442"/>
      <c r="BP40" s="2442"/>
      <c r="BQ40" s="2442"/>
      <c r="BR40" s="2442"/>
      <c r="BS40" s="2442"/>
      <c r="BT40" s="2442"/>
      <c r="BU40" s="2442"/>
      <c r="BV40" s="2442"/>
      <c r="BW40" s="2442"/>
      <c r="BX40" s="2442"/>
      <c r="BY40" s="2442"/>
      <c r="BZ40" s="2442"/>
      <c r="CA40" s="34"/>
      <c r="CC40" s="33"/>
      <c r="CD40" s="1772" t="e" cm="1">
        <f t="array" ca="1" aca="1" ref="CD40">_xlfn.LET(_xlpm.CheckBlank,SUM(PL!$AD40:PL!$BN40)=0,IF(_xlpm.CheckBlank,"",SUM(_xlfn._xlws.FILTER(PL!$AD40:$BN40,(YEAR(PL!$AD$12:$BN$12)=PL!CD$12)*(array_timeline&lt;=PL!CD$11)))))</f>
        <v>#NAME?</v>
      </c>
      <c r="CE40" s="1772" t="e" cm="1">
        <f t="array" ca="1" aca="1" ref="CE40">_xlfn.LET(_xlpm.CheckBlank,SUM(PL!$AD40:PL!$BN40)=0,IF(_xlpm.CheckBlank,"",SUM(_xlfn._xlws.FILTER(PL!$AD40:$BN40,(YEAR(PL!$AD$12:$BN$12)=PL!CE$12)*(array_timeline&lt;=PL!CE$11)))))</f>
        <v>#NAME?</v>
      </c>
      <c r="CF40" s="88"/>
      <c r="CG40" s="1461" t="str" cm="1">
        <f t="array" ca="1" aca="1" ref="CG40">IFERROR(_xlfn.LET(_xlpm.CheckBlank,SUM(PL!$AD40:$BN40)=0,IF(_xlpm.CheckBlank,"",SUM(_xlfn._xlws.FILTER(PL!$AD40:$BN40,(YEAR(PL!$AD$12:$BN$12)=PL!CG$12)*(array_timeline&lt;=PL!CG$11))))),"n/a")</f>
        <v>n/a</v>
      </c>
      <c r="CH40" s="1461" t="e" cm="1">
        <f t="array" ca="1" aca="1" ref="CH40">_xlfn.LET(_xlpm.CheckBlank,SUM(PL!$AD40:$BN40)=0,IF(_xlpm.CheckBlank,"",SUM(_xlfn._xlws.FILTER(PL!$AD40:$BN40,(YEAR(PL!$AD$12:$BN$12)=PL!CH$12)*(array_timeline&lt;=PL!CH$11)))))</f>
        <v>#NAME?</v>
      </c>
      <c r="CI40" s="88"/>
      <c r="CJ40" s="1461" cm="1">
        <f t="array" ref="CJ40">_xlfn.LET(_xlpm.CheckBlank,SUM(PL!$AD40:$BN40)=0,IF(_xlpm.CheckBlank,"",SUM(_xlfn.TAKE(_xlfn.DROP(PL!$AD40:$BN40,,-DATEDIFF(PL!CJ$11,val_asOfDate,"M")),1,-12))))</f>
        <v>12</v>
      </c>
      <c r="CK40" s="1461" cm="1">
        <f t="array" ref="CK40">_xlfn.LET(_xlpm.CheckBlank,SUM(PL!$AD40:$BN40)=0,IF(_xlpm.CheckBlank,"",SUM(_xlfn.TAKE(_xlfn.DROP(PL!$AD40:$BN40,,-DATEDIFF(PL!CK$11,val_asOfDate,"M")),1,-12))))</f>
        <v>12</v>
      </c>
      <c r="CL40" s="88"/>
      <c r="CM40" s="3175">
        <v>1</v>
      </c>
      <c r="CN40" s="3175">
        <v>1</v>
      </c>
      <c r="CO40" s="1169"/>
      <c r="CP40" s="3175">
        <v>1</v>
      </c>
      <c r="CQ40" s="3175">
        <v>1</v>
      </c>
      <c r="CR40" s="34"/>
      <c r="CS40" s="2056"/>
      <c r="CT40" s="2085" t="e" cm="1">
        <f t="array" ca="1" aca="1" ref="CT40">IF(K40&lt;&gt;"Yes","",IF(OR(Y40="Select,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III"),"",IF(OR(Y40&lt;&gt;AB40,AND(LEN(B40)=0,NOT(OR(Y40="Select,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III")))),_xldudf_CX_PUSH(Y40,CX_ENTITY,C40,EOMONTH(val_asOfDate,0)),"")))</f>
        <v>#NAME?</v>
      </c>
      <c r="CU40" s="2085" t="e" cm="1">
        <f t="array" ca="1" aca="1" ref="CU40">IF(K40&lt;&gt;"Yes","",IF(OR(Y40="Select,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III"),"",IF(OR(Y40&lt;&gt;AB40,AND(LEN(B40)=0,NOT(OR(Y40="Select,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III")))),_xldudf_CX_PUSH(Y40,CX_ENTITY,C40,EOMONTH(val_asOfDate,1)),"")))</f>
        <v>#NAME?</v>
      </c>
      <c r="CV40" s="2085" t="e" cm="1">
        <f t="array" ca="1" aca="1" ref="CV40">IF(K40&lt;&gt;"Yes","",IF(OR(Y40="Select,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III"),"",IF(OR(Y40&lt;&gt;AB40,AND(LEN(B40)=0,NOT(OR(Y40="Select,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III")))),_xldudf_CX_PUSH(Y40,CX_ENTITY,C40,EOMONTH(val_asOfDate,2)),"")))</f>
        <v>#NAME?</v>
      </c>
      <c r="CW40" s="2085" t="e" cm="1">
        <f t="array" ca="1" aca="1" ref="CW40">IF(K40&lt;&gt;"Yes","",IF(OR(Y40="Select,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III"),"",IF(OR(Y40&lt;&gt;AB40,AND(LEN(B40)=0,NOT(OR(Y40="Select,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III")))),_xldudf_CX_PUSH(Y40,CX_ENTITY,C40,EOMONTH(val_asOfDate,3)),"")))</f>
        <v>#NAME?</v>
      </c>
      <c r="CX40" s="2443"/>
      <c r="CY40" s="2444" t="str" cm="1">
        <f t="array" ca="1" aca="1" ref="CY40">IFERROR(IF(CM40*fxVal_normal=_PL!CM40,"",IF(OR($CM40="",$CM40=0,NOT(ISNUMBER($CM40)),ISERROR($CM40),$B40=""),"",IF($I40=1,IFBLANK(_xldudf_CX_PUSH($CM40*fxVal_normal,CX_ENTITY,$B40,$CM$11,$CM$14,$CM$19,),""),IF($I40=2,IFBLANK(_xldudf_CX_PUSH($CM40,CX_ENTITY,$B40,$CM$11,$CM$14,$CM$19,),""),IF($I40=3,"",IFBLANK(_xldudf_CX_PUSH($CM40,CX_ENTITY,$B40,$CM$11,$CM$14,$CM$19,),"")))))),"")</f>
        <v/>
      </c>
      <c r="CZ40" s="2444" t="str" cm="1">
        <f t="array" ca="1" aca="1" ref="CZ40">IFERROR(IF(CN40*fxVal_normal=_PL!CN40,"",IF(OR($CN40="",$CN40=0,NOT(ISNUMBER($CN40)),ISERROR($CN40),$B40=""),"",IF($I40=1,IFBLANK(_xldudf_CX_PUSH($CN40*fxVal_normal,CX_ENTITY,$B40,$CN$11,$CN$14,$CN$19,),""),IF($I40=2,IFBLANK(_xldudf_CX_PUSH($CN40,CX_ENTITY,$B40,$CN$11,$CN$14,$CN$19,),""),IF($I40=3,"",IFBLANK(_xldudf_CX_PUSH($CN40,CX_ENTITY,$B40,$CN$11,$CN$14,$CN$19,),"")))))),"")</f>
        <v/>
      </c>
      <c r="DA40" s="2444" t="str" cm="1">
        <f t="array" ca="1" aca="1" ref="DA40">IFERROR(IF(CP40*fxVal_normal=_PL!CP40,"",IF(OR($CP40="",$CP40=0,NOT(ISNUMBER($CP40)),ISERROR($CP40),$B40=""),"",IF($I40=1,IFBLANK(_xldudf_CX_PUSH($CP40*fxVal_normal,CX_ENTITY,$B40,$CP$11,$CP$14,$CP$19,),""),IF($I40=2,IFBLANK(_xldudf_CX_PUSH($CP40,CX_ENTITY,$B40,$CP$11,$CP$14,$CP$19,),""),IF($I40=3,"",IFBLANK(_xldudf_CX_PUSH($CP40,CX_ENTITY,$B40,$CP$11,$CP$14,$CP$19,),"")))))),"")</f>
        <v/>
      </c>
      <c r="DB40" s="2444" t="str" cm="1">
        <f t="array" ca="1" aca="1" ref="DB40">IFERROR(IF(CQ40*fxVal_normal=_PL!CQ40,"",IF(OR($CQ40="",$CQ40=0,NOT(ISNUMBER($CQ40)),ISERROR($CQ40),$B40=""),"",IF($I40=1,IFBLANK(_xldudf_CX_PUSH($CQ40*fxVal_normal,CX_ENTITY,$B40,$CQ$11,$CQ$14,$CQ$19,),""),IF($I40=2,IFBLANK(_xldudf_CX_PUSH($CQ40,CX_ENTITY,$B40,$CQ$11,$CQ$14,$CQ$19,),""),IF($I40=3,"",IFBLANK(_xldudf_CX_PUSH($CQ40,CX_ENTITY,$B40,$CQ$11,$CQ$14,$CQ$19,),"")))))),"")</f>
        <v/>
      </c>
      <c r="DC40" s="2443"/>
      <c r="DD40" s="2445" t="str" cm="1">
        <f t="array" ca="1" aca="1" ref="DD40">IFERROR(IF(AD40*fxVal_normal=_PL!AD40,"",IF(OR(AD40="",NOT(ISNUMBER(AD40)),ISERROR(AD40),$B40=""),"",IF($I40=1,IFBLANK(_xldudf_CX_PUSH(AD40*fxVal_normal,CX_ENTITY,$B40,AD$11,AD$14,AD$19,),""),IF($I40=2,IFBLANK(_xldudf_CX_PUSH(AD40,CX_ENTITY,$B40,AD$11,AD$14,AD$19,),""),IF($I40=3,"",IFBLANK(_xldudf_CX_PUSH(AD40,CX_ENTITY,$B40,AD$11,AD$14,AD$19,),"")))))),"")</f>
        <v/>
      </c>
      <c r="DE40" s="2445" t="str" cm="1">
        <f t="array" ca="1" aca="1" ref="DE40">IFERROR(IF(AE40*fxVal_normal=_PL!AE40,"",IF(OR(AE40="",NOT(ISNUMBER(AE40)),ISERROR(AE40),$B40=""),"",IF($I40=1,IFBLANK(_xldudf_CX_PUSH(AE40*fxVal_normal,CX_ENTITY,$B40,AE$11,AE$14,AE$19,),""),IF($I40=2,IFBLANK(_xldudf_CX_PUSH(AE40,CX_ENTITY,$B40,AE$11,AE$14,AE$19,),""),IF($I40=3,"",IFBLANK(_xldudf_CX_PUSH(AE40,CX_ENTITY,$B40,AE$11,AE$14,AE$19,),"")))))),"")</f>
        <v/>
      </c>
      <c r="DF40" s="2445" t="str" cm="1">
        <f t="array" ca="1" aca="1" ref="DF40">IFERROR(IF(AF40*fxVal_normal=_PL!AF40,"",IF(OR(AF40="",NOT(ISNUMBER(AF40)),ISERROR(AF40),$B40=""),"",IF($I40=1,IFBLANK(_xldudf_CX_PUSH(AF40*fxVal_normal,CX_ENTITY,$B40,AF$11,AF$14,AF$19,),""),IF($I40=2,IFBLANK(_xldudf_CX_PUSH(AF40,CX_ENTITY,$B40,AF$11,AF$14,AF$19,),""),IF($I40=3,"",IFBLANK(_xldudf_CX_PUSH(AF40,CX_ENTITY,$B40,AF$11,AF$14,AF$19,),"")))))),"")</f>
        <v/>
      </c>
      <c r="DG40" s="2445" t="str" cm="1">
        <f t="array" ca="1" aca="1" ref="DG40">IFERROR(IF(AG40*fxVal_normal=_PL!AG40,"",IF(OR(AG40="",NOT(ISNUMBER(AG40)),ISERROR(AG40),$B40=""),"",IF($I40=1,IFBLANK(_xldudf_CX_PUSH(AG40*fxVal_normal,CX_ENTITY,$B40,AG$11,AG$14,AG$19,),""),IF($I40=2,IFBLANK(_xldudf_CX_PUSH(AG40,CX_ENTITY,$B40,AG$11,AG$14,AG$19,),""),IF($I40=3,"",IFBLANK(_xldudf_CX_PUSH(AG40,CX_ENTITY,$B40,AG$11,AG$14,AG$19,),"")))))),"")</f>
        <v/>
      </c>
      <c r="DH40" s="2445" t="str" cm="1">
        <f t="array" ca="1" aca="1" ref="DH40">IFERROR(IF(AH40*fxVal_normal=_PL!AH40,"",IF(OR(AH40="",NOT(ISNUMBER(AH40)),ISERROR(AH40),$B40=""),"",IF($I40=1,IFBLANK(_xldudf_CX_PUSH(AH40*fxVal_normal,CX_ENTITY,$B40,AH$11,AH$14,AH$19,),""),IF($I40=2,IFBLANK(_xldudf_CX_PUSH(AH40,CX_ENTITY,$B40,AH$11,AH$14,AH$19,),""),IF($I40=3,"",IFBLANK(_xldudf_CX_PUSH(AH40,CX_ENTITY,$B40,AH$11,AH$14,AH$19,),"")))))),"")</f>
        <v/>
      </c>
      <c r="DI40" s="2445" t="str" cm="1">
        <f t="array" ca="1" aca="1" ref="DI40">IFERROR(IF(AI40*fxVal_normal=_PL!AI40,"",IF(OR(AI40="",NOT(ISNUMBER(AI40)),ISERROR(AI40),$B40=""),"",IF($I40=1,IFBLANK(_xldudf_CX_PUSH(AI40*fxVal_normal,CX_ENTITY,$B40,AI$11,AI$14,AI$19,),""),IF($I40=2,IFBLANK(_xldudf_CX_PUSH(AI40,CX_ENTITY,$B40,AI$11,AI$14,AI$19,),""),IF($I40=3,"",IFBLANK(_xldudf_CX_PUSH(AI40,CX_ENTITY,$B40,AI$11,AI$14,AI$19,),"")))))),"")</f>
        <v/>
      </c>
      <c r="DJ40" s="2445" t="str" cm="1">
        <f t="array" ca="1" aca="1" ref="DJ40">IFERROR(IF(AJ40*fxVal_normal=_PL!AJ40,"",IF(OR(AJ40="",NOT(ISNUMBER(AJ40)),ISERROR(AJ40),$B40=""),"",IF($I40=1,IFBLANK(_xldudf_CX_PUSH(AJ40*fxVal_normal,CX_ENTITY,$B40,AJ$11,AJ$14,AJ$19,),""),IF($I40=2,IFBLANK(_xldudf_CX_PUSH(AJ40,CX_ENTITY,$B40,AJ$11,AJ$14,AJ$19,),""),IF($I40=3,"",IFBLANK(_xldudf_CX_PUSH(AJ40,CX_ENTITY,$B40,AJ$11,AJ$14,AJ$19,),"")))))),"")</f>
        <v/>
      </c>
      <c r="DK40" s="2445" t="str" cm="1">
        <f t="array" ca="1" aca="1" ref="DK40">IFERROR(IF(AK40*fxVal_normal=_PL!AK40,"",IF(OR(AK40="",NOT(ISNUMBER(AK40)),ISERROR(AK40),$B40=""),"",IF($I40=1,IFBLANK(_xldudf_CX_PUSH(AK40*fxVal_normal,CX_ENTITY,$B40,AK$11,AK$14,AK$19,),""),IF($I40=2,IFBLANK(_xldudf_CX_PUSH(AK40,CX_ENTITY,$B40,AK$11,AK$14,AK$19,),""),IF($I40=3,"",IFBLANK(_xldudf_CX_PUSH(AK40,CX_ENTITY,$B40,AK$11,AK$14,AK$19,),"")))))),"")</f>
        <v/>
      </c>
      <c r="DL40" s="2445" t="str" cm="1">
        <f t="array" ca="1" aca="1" ref="DL40">IFERROR(IF(AL40*fxVal_normal=_PL!AL40,"",IF(OR(AL40="",NOT(ISNUMBER(AL40)),ISERROR(AL40),$B40=""),"",IF($I40=1,IFBLANK(_xldudf_CX_PUSH(AL40*fxVal_normal,CX_ENTITY,$B40,AL$11,AL$14,AL$19,),""),IF($I40=2,IFBLANK(_xldudf_CX_PUSH(AL40,CX_ENTITY,$B40,AL$11,AL$14,AL$19,),""),IF($I40=3,"",IFBLANK(_xldudf_CX_PUSH(AL40,CX_ENTITY,$B40,AL$11,AL$14,AL$19,),"")))))),"")</f>
        <v/>
      </c>
      <c r="DM40" s="2445" t="str" cm="1">
        <f t="array" ca="1" aca="1" ref="DM40">IFERROR(IF(AM40*fxVal_normal=_PL!AM40,"",IF(OR(AM40="",NOT(ISNUMBER(AM40)),ISERROR(AM40),$B40=""),"",IF($I40=1,IFBLANK(_xldudf_CX_PUSH(AM40*fxVal_normal,CX_ENTITY,$B40,AM$11,AM$14,AM$19,),""),IF($I40=2,IFBLANK(_xldudf_CX_PUSH(AM40,CX_ENTITY,$B40,AM$11,AM$14,AM$19,),""),IF($I40=3,"",IFBLANK(_xldudf_CX_PUSH(AM40,CX_ENTITY,$B40,AM$11,AM$14,AM$19,),"")))))),"")</f>
        <v/>
      </c>
      <c r="DN40" s="2445" t="str" cm="1">
        <f t="array" ca="1" aca="1" ref="DN40">IFERROR(IF(AN40*fxVal_normal=_PL!AN40,"",IF(OR(AN40="",NOT(ISNUMBER(AN40)),ISERROR(AN40),$B40=""),"",IF($I40=1,IFBLANK(_xldudf_CX_PUSH(AN40*fxVal_normal,CX_ENTITY,$B40,AN$11,AN$14,AN$19,),""),IF($I40=2,IFBLANK(_xldudf_CX_PUSH(AN40,CX_ENTITY,$B40,AN$11,AN$14,AN$19,),""),IF($I40=3,"",IFBLANK(_xldudf_CX_PUSH(AN40,CX_ENTITY,$B40,AN$11,AN$14,AN$19,),"")))))),"")</f>
        <v/>
      </c>
      <c r="DO40" s="2445" t="str" cm="1">
        <f t="array" ca="1" aca="1" ref="DO40">IFERROR(IF(AO40*fxVal_normal=_PL!AO40,"",IF(OR(AO40="",NOT(ISNUMBER(AO40)),ISERROR(AO40),$B40=""),"",IF($I40=1,IFBLANK(_xldudf_CX_PUSH(AO40*fxVal_normal,CX_ENTITY,$B40,AO$11,AO$14,AO$19,),""),IF($I40=2,IFBLANK(_xldudf_CX_PUSH(AO40,CX_ENTITY,$B40,AO$11,AO$14,AO$19,),""),IF($I40=3,"",IFBLANK(_xldudf_CX_PUSH(AO40,CX_ENTITY,$B40,AO$11,AO$14,AO$19,),"")))))),"")</f>
        <v/>
      </c>
      <c r="DP40" s="2445" t="str" cm="1">
        <f t="array" ca="1" aca="1" ref="DP40">IFERROR(IF(AP40*fxVal_normal=_PL!AP40,"",IF(OR(AP40="",NOT(ISNUMBER(AP40)),ISERROR(AP40),$B40=""),"",IF($I40=1,IFBLANK(_xldudf_CX_PUSH(AP40*fxVal_normal,CX_ENTITY,$B40,AP$11,AP$14,AP$19,),""),IF($I40=2,IFBLANK(_xldudf_CX_PUSH(AP40,CX_ENTITY,$B40,AP$11,AP$14,AP$19,),""),IF($I40=3,"",IFBLANK(_xldudf_CX_PUSH(AP40,CX_ENTITY,$B40,AP$11,AP$14,AP$19,),"")))))),"")</f>
        <v/>
      </c>
      <c r="DQ40" s="2445" t="str" cm="1">
        <f t="array" ca="1" aca="1" ref="DQ40">IFERROR(IF(AQ40*fxVal_normal=_PL!AQ40,"",IF(OR(AQ40="",NOT(ISNUMBER(AQ40)),ISERROR(AQ40),$B40=""),"",IF($I40=1,IFBLANK(_xldudf_CX_PUSH(AQ40*fxVal_normal,CX_ENTITY,$B40,AQ$11,AQ$14,AQ$19,),""),IF($I40=2,IFBLANK(_xldudf_CX_PUSH(AQ40,CX_ENTITY,$B40,AQ$11,AQ$14,AQ$19,),""),IF($I40=3,"",IFBLANK(_xldudf_CX_PUSH(AQ40,CX_ENTITY,$B40,AQ$11,AQ$14,AQ$19,),"")))))),"")</f>
        <v/>
      </c>
      <c r="DR40" s="2445" t="str" cm="1">
        <f t="array" ca="1" aca="1" ref="DR40">IFERROR(IF(AR40*fxVal_normal=_PL!AR40,"",IF(OR(AR40="",NOT(ISNUMBER(AR40)),ISERROR(AR40),$B40=""),"",IF($I40=1,IFBLANK(_xldudf_CX_PUSH(AR40*fxVal_normal,CX_ENTITY,$B40,AR$11,AR$14,AR$19,),""),IF($I40=2,IFBLANK(_xldudf_CX_PUSH(AR40,CX_ENTITY,$B40,AR$11,AR$14,AR$19,),""),IF($I40=3,"",IFBLANK(_xldudf_CX_PUSH(AR40,CX_ENTITY,$B40,AR$11,AR$14,AR$19,),"")))))),"")</f>
        <v/>
      </c>
      <c r="DS40" s="2445" t="str" cm="1">
        <f t="array" ca="1" aca="1" ref="DS40">IFERROR(IF(AS40*fxVal_normal=_PL!AS40,"",IF(OR(AS40="",NOT(ISNUMBER(AS40)),ISERROR(AS40),$B40=""),"",IF($I40=1,IFBLANK(_xldudf_CX_PUSH(AS40*fxVal_normal,CX_ENTITY,$B40,AS$11,AS$14,AS$19,),""),IF($I40=2,IFBLANK(_xldudf_CX_PUSH(AS40,CX_ENTITY,$B40,AS$11,AS$14,AS$19,),""),IF($I40=3,"",IFBLANK(_xldudf_CX_PUSH(AS40,CX_ENTITY,$B40,AS$11,AS$14,AS$19,),"")))))),"")</f>
        <v/>
      </c>
      <c r="DT40" s="2445" t="str" cm="1">
        <f t="array" ca="1" aca="1" ref="DT40">IFERROR(IF(AT40*fxVal_normal=_PL!AT40,"",IF(OR(AT40="",NOT(ISNUMBER(AT40)),ISERROR(AT40),$B40=""),"",IF($I40=1,IFBLANK(_xldudf_CX_PUSH(AT40*fxVal_normal,CX_ENTITY,$B40,AT$11,AT$14,AT$19,),""),IF($I40=2,IFBLANK(_xldudf_CX_PUSH(AT40,CX_ENTITY,$B40,AT$11,AT$14,AT$19,),""),IF($I40=3,"",IFBLANK(_xldudf_CX_PUSH(AT40,CX_ENTITY,$B40,AT$11,AT$14,AT$19,),"")))))),"")</f>
        <v/>
      </c>
      <c r="DU40" s="2445" t="str" cm="1">
        <f t="array" ca="1" aca="1" ref="DU40">IFERROR(IF(AU40*fxVal_normal=_PL!AU40,"",IF(OR(AU40="",NOT(ISNUMBER(AU40)),ISERROR(AU40),$B40=""),"",IF($I40=1,IFBLANK(_xldudf_CX_PUSH(AU40*fxVal_normal,CX_ENTITY,$B40,AU$11,AU$14,AU$19,),""),IF($I40=2,IFBLANK(_xldudf_CX_PUSH(AU40,CX_ENTITY,$B40,AU$11,AU$14,AU$19,),""),IF($I40=3,"",IFBLANK(_xldudf_CX_PUSH(AU40,CX_ENTITY,$B40,AU$11,AU$14,AU$19,),"")))))),"")</f>
        <v/>
      </c>
      <c r="DV40" s="2445" t="str" cm="1">
        <f t="array" ca="1" aca="1" ref="DV40">IFERROR(IF(AV40*fxVal_normal=_PL!AV40,"",IF(OR(AV40="",NOT(ISNUMBER(AV40)),ISERROR(AV40),$B40=""),"",IF($I40=1,IFBLANK(_xldudf_CX_PUSH(AV40*fxVal_normal,CX_ENTITY,$B40,AV$11,AV$14,AV$19,),""),IF($I40=2,IFBLANK(_xldudf_CX_PUSH(AV40,CX_ENTITY,$B40,AV$11,AV$14,AV$19,),""),IF($I40=3,"",IFBLANK(_xldudf_CX_PUSH(AV40,CX_ENTITY,$B40,AV$11,AV$14,AV$19,),"")))))),"")</f>
        <v/>
      </c>
      <c r="DW40" s="2445" t="str" cm="1">
        <f t="array" ca="1" aca="1" ref="DW40">IFERROR(IF(AW40*fxVal_normal=_PL!AW40,"",IF(OR(AW40="",NOT(ISNUMBER(AW40)),ISERROR(AW40),$B40=""),"",IF($I40=1,IFBLANK(_xldudf_CX_PUSH(AW40*fxVal_normal,CX_ENTITY,$B40,AW$11,AW$14,AW$19,),""),IF($I40=2,IFBLANK(_xldudf_CX_PUSH(AW40,CX_ENTITY,$B40,AW$11,AW$14,AW$19,),""),IF($I40=3,"",IFBLANK(_xldudf_CX_PUSH(AW40,CX_ENTITY,$B40,AW$11,AW$14,AW$19,),"")))))),"")</f>
        <v/>
      </c>
      <c r="DX40" s="2445" t="str" cm="1">
        <f t="array" ca="1" aca="1" ref="DX40">IFERROR(IF(AX40*fxVal_normal=_PL!AX40,"",IF(OR(AX40="",NOT(ISNUMBER(AX40)),ISERROR(AX40),$B40=""),"",IF($I40=1,IFBLANK(_xldudf_CX_PUSH(AX40*fxVal_normal,CX_ENTITY,$B40,AX$11,AX$14,AX$19,),""),IF($I40=2,IFBLANK(_xldudf_CX_PUSH(AX40,CX_ENTITY,$B40,AX$11,AX$14,AX$19,),""),IF($I40=3,"",IFBLANK(_xldudf_CX_PUSH(AX40,CX_ENTITY,$B40,AX$11,AX$14,AX$19,),"")))))),"")</f>
        <v/>
      </c>
      <c r="DY40" s="2445" t="str" cm="1">
        <f t="array" ca="1" aca="1" ref="DY40">IFERROR(IF(AY40*fxVal_normal=_PL!AY40,"",IF(OR(AY40="",NOT(ISNUMBER(AY40)),ISERROR(AY40),$B40=""),"",IF($I40=1,IFBLANK(_xldudf_CX_PUSH(AY40*fxVal_normal,CX_ENTITY,$B40,AY$11,AY$14,AY$19,),""),IF($I40=2,IFBLANK(_xldudf_CX_PUSH(AY40,CX_ENTITY,$B40,AY$11,AY$14,AY$19,),""),IF($I40=3,"",IFBLANK(_xldudf_CX_PUSH(AY40,CX_ENTITY,$B40,AY$11,AY$14,AY$19,),"")))))),"")</f>
        <v/>
      </c>
      <c r="DZ40" s="2445" t="str" cm="1">
        <f t="array" ca="1" aca="1" ref="DZ40">IFERROR(IF(AZ40*fxVal_normal=_PL!AZ40,"",IF(OR(AZ40="",NOT(ISNUMBER(AZ40)),ISERROR(AZ40),$B40=""),"",IF($I40=1,IFBLANK(_xldudf_CX_PUSH(AZ40*fxVal_normal,CX_ENTITY,$B40,AZ$11,AZ$14,AZ$19,),""),IF($I40=2,IFBLANK(_xldudf_CX_PUSH(AZ40,CX_ENTITY,$B40,AZ$11,AZ$14,AZ$19,),""),IF($I40=3,"",IFBLANK(_xldudf_CX_PUSH(AZ40,CX_ENTITY,$B40,AZ$11,AZ$14,AZ$19,),"")))))),"")</f>
        <v/>
      </c>
      <c r="EA40" s="2445" t="str" cm="1">
        <f t="array" ca="1" aca="1" ref="EA40">IFERROR(IF(BA40*fxVal_normal=_PL!BA40,"",IF(OR(BA40="",NOT(ISNUMBER(BA40)),ISERROR(BA40),$B40=""),"",IF($I40=1,IFBLANK(_xldudf_CX_PUSH(BA40*fxVal_normal,CX_ENTITY,$B40,BA$11,BA$14,BA$19,),""),IF($I40=2,IFBLANK(_xldudf_CX_PUSH(BA40,CX_ENTITY,$B40,BA$11,BA$14,BA$19,),""),IF($I40=3,"",IFBLANK(_xldudf_CX_PUSH(BA40,CX_ENTITY,$B40,BA$11,BA$14,BA$19,),"")))))),"")</f>
        <v/>
      </c>
      <c r="EB40" s="2445" t="str" cm="1">
        <f t="array" ca="1" aca="1" ref="EB40">IFERROR(IF(BB40*fxVal_normal=_PL!BB40,"",IF(OR(BB40="",NOT(ISNUMBER(BB40)),ISERROR(BB40),$B40=""),"",IF($I40=1,IFBLANK(_xldudf_CX_PUSH(BB40*fxVal_normal,CX_ENTITY,$B40,BB$11,BB$14,BB$19,),""),IF($I40=2,IFBLANK(_xldudf_CX_PUSH(BB40,CX_ENTITY,$B40,BB$11,BB$14,BB$19,),""),IF($I40=3,"",IFBLANK(_xldudf_CX_PUSH(BB40,CX_ENTITY,$B40,BB$11,BB$14,BB$19,),"")))))),"")</f>
        <v/>
      </c>
      <c r="EC40" s="2445" t="str" cm="1">
        <f t="array" ca="1" aca="1" ref="EC40">IFERROR(IF(BC40*fxVal_normal=_PL!BC40,"",IF(OR(BC40="",NOT(ISNUMBER(BC40)),ISERROR(BC40),$B40=""),"",IF($I40=1,IFBLANK(_xldudf_CX_PUSH(BC40*fxVal_normal,CX_ENTITY,$B40,BC$11,BC$14,BC$19,),""),IF($I40=2,IFBLANK(_xldudf_CX_PUSH(BC40,CX_ENTITY,$B40,BC$11,BC$14,BC$19,),""),IF($I40=3,"",IFBLANK(_xldudf_CX_PUSH(BC40,CX_ENTITY,$B40,BC$11,BC$14,BC$19,),"")))))),"")</f>
        <v/>
      </c>
      <c r="ED40" s="2445" t="str" cm="1">
        <f t="array" ca="1" aca="1" ref="ED40">IFERROR(IF(BD40*fxVal_normal=_PL!BD40,"",IF(OR(BD40="",NOT(ISNUMBER(BD40)),ISERROR(BD40),$B40=""),"",IF($I40=1,IFBLANK(_xldudf_CX_PUSH(BD40*fxVal_normal,CX_ENTITY,$B40,BD$11,BD$14,BD$19,),""),IF($I40=2,IFBLANK(_xldudf_CX_PUSH(BD40,CX_ENTITY,$B40,BD$11,BD$14,BD$19,),""),IF($I40=3,"",IFBLANK(_xldudf_CX_PUSH(BD40,CX_ENTITY,$B40,BD$11,BD$14,BD$19,),"")))))),"")</f>
        <v/>
      </c>
      <c r="EE40" s="2445" t="str" cm="1">
        <f t="array" ca="1" aca="1" ref="EE40">IFERROR(IF(BE40*fxVal_normal=_PL!BE40,"",IF(OR(BE40="",NOT(ISNUMBER(BE40)),ISERROR(BE40),$B40=""),"",IF($I40=1,IFBLANK(_xldudf_CX_PUSH(BE40*fxVal_normal,CX_ENTITY,$B40,BE$11,BE$14,BE$19,),""),IF($I40=2,IFBLANK(_xldudf_CX_PUSH(BE40,CX_ENTITY,$B40,BE$11,BE$14,BE$19,),""),IF($I40=3,"",IFBLANK(_xldudf_CX_PUSH(BE40,CX_ENTITY,$B40,BE$11,BE$14,BE$19,),"")))))),"")</f>
        <v/>
      </c>
      <c r="EF40" s="2445" t="str" cm="1">
        <f t="array" ca="1" aca="1" ref="EF40">IFERROR(IF(BF40*fxVal_normal=_PL!BF40,"",IF(OR(BF40="",NOT(ISNUMBER(BF40)),ISERROR(BF40),$B40=""),"",IF($I40=1,IFBLANK(_xldudf_CX_PUSH(BF40*fxVal_normal,CX_ENTITY,$B40,BF$11,BF$14,BF$19,),""),IF($I40=2,IFBLANK(_xldudf_CX_PUSH(BF40,CX_ENTITY,$B40,BF$11,BF$14,BF$19,),""),IF($I40=3,"",IFBLANK(_xldudf_CX_PUSH(BF40,CX_ENTITY,$B40,BF$11,BF$14,BF$19,),"")))))),"")</f>
        <v/>
      </c>
      <c r="EG40" s="2445" t="str" cm="1">
        <f t="array" ca="1" aca="1" ref="EG40">IFERROR(IF(BG40*fxVal_normal=_PL!BG40,"",IF(OR(BG40="",NOT(ISNUMBER(BG40)),ISERROR(BG40),$B40=""),"",IF($I40=1,IFBLANK(_xldudf_CX_PUSH(BG40*fxVal_normal,CX_ENTITY,$B40,BG$11,BG$14,BG$19,),""),IF($I40=2,IFBLANK(_xldudf_CX_PUSH(BG40,CX_ENTITY,$B40,BG$11,BG$14,BG$19,),""),IF($I40=3,"",IFBLANK(_xldudf_CX_PUSH(BG40,CX_ENTITY,$B40,BG$11,BG$14,BG$19,),"")))))),"")</f>
        <v/>
      </c>
      <c r="EH40" s="2445" t="str" cm="1">
        <f t="array" ca="1" aca="1" ref="EH40">IFERROR(IF(BH40*fxVal_normal=_PL!BH40,"",IF(OR(BH40="",NOT(ISNUMBER(BH40)),ISERROR(BH40),$B40=""),"",IF($I40=1,IFBLANK(_xldudf_CX_PUSH(BH40*fxVal_normal,CX_ENTITY,$B40,BH$11,BH$14,BH$19,),""),IF($I40=2,IFBLANK(_xldudf_CX_PUSH(BH40,CX_ENTITY,$B40,BH$11,BH$14,BH$19,),""),IF($I40=3,"",IFBLANK(_xldudf_CX_PUSH(BH40,CX_ENTITY,$B40,BH$11,BH$14,BH$19,),"")))))),"")</f>
        <v/>
      </c>
      <c r="EI40" s="2445" t="str" cm="1">
        <f t="array" ca="1" aca="1" ref="EI40">IFERROR(IF(BI40*fxVal_normal=_PL!BI40,"",IF(OR(BI40="",NOT(ISNUMBER(BI40)),ISERROR(BI40),$B40=""),"",IF($I40=1,IFBLANK(_xldudf_CX_PUSH(BI40*fxVal_normal,CX_ENTITY,$B40,BI$11,BI$14,BI$19,),""),IF($I40=2,IFBLANK(_xldudf_CX_PUSH(BI40,CX_ENTITY,$B40,BI$11,BI$14,BI$19,),""),IF($I40=3,"",IFBLANK(_xldudf_CX_PUSH(BI40,CX_ENTITY,$B40,BI$11,BI$14,BI$19,),"")))))),"")</f>
        <v/>
      </c>
      <c r="EJ40" s="2445" t="str" cm="1">
        <f t="array" ca="1" aca="1" ref="EJ40">IFERROR(IF(BJ40*fxVal_normal=_PL!BJ40,"",IF(OR(BJ40="",NOT(ISNUMBER(BJ40)),ISERROR(BJ40),$B40=""),"",IF($I40=1,IFBLANK(_xldudf_CX_PUSH(BJ40*fxVal_normal,CX_ENTITY,$B40,BJ$11,BJ$14,BJ$19,),""),IF($I40=2,IFBLANK(_xldudf_CX_PUSH(BJ40,CX_ENTITY,$B40,BJ$11,BJ$14,BJ$19,),""),IF($I40=3,"",IFBLANK(_xldudf_CX_PUSH(BJ40,CX_ENTITY,$B40,BJ$11,BJ$14,BJ$19,),"")))))),"")</f>
        <v/>
      </c>
      <c r="EK40" s="2445" t="str" cm="1">
        <f t="array" ca="1" aca="1" ref="EK40">IFERROR(IF(BK40*fxVal_normal=_PL!BK40,"",IF(OR(BK40="",NOT(ISNUMBER(BK40)),ISERROR(BK40),$B40=""),"",IF($I40=1,IFBLANK(_xldudf_CX_PUSH(BK40*fxVal_normal,CX_ENTITY,$B40,BK$11,BK$14,BK$19,),""),IF($I40=2,IFBLANK(_xldudf_CX_PUSH(BK40,CX_ENTITY,$B40,BK$11,BK$14,BK$19,),""),IF($I40=3,"",IFBLANK(_xldudf_CX_PUSH(BK40,CX_ENTITY,$B40,BK$11,BK$14,BK$19,),"")))))),"")</f>
        <v/>
      </c>
      <c r="EL40" s="2445" t="str" cm="1">
        <f t="array" ca="1" aca="1" ref="EL40">IFERROR(IF(BL40*fxVal_normal=_PL!BL40,"",IF(OR(BL40="",NOT(ISNUMBER(BL40)),ISERROR(BL40),$B40=""),"",IF($I40=1,IFBLANK(_xldudf_CX_PUSH(BL40*fxVal_normal,CX_ENTITY,$B40,BL$11,BL$14,BL$19,),""),IF($I40=2,IFBLANK(_xldudf_CX_PUSH(BL40,CX_ENTITY,$B40,BL$11,BL$14,BL$19,),""),IF($I40=3,"",IFBLANK(_xldudf_CX_PUSH(BL40,CX_ENTITY,$B40,BL$11,BL$14,BL$19,),"")))))),"")</f>
        <v/>
      </c>
      <c r="EM40" s="2445" t="str" cm="1">
        <f t="array" ca="1" aca="1" ref="EM40">IFERROR(IF(BM40*fxVal_normal=_PL!BM40,"",IF(OR(BM40="",NOT(ISNUMBER(BM40)),ISERROR(BM40),$B40=""),"",IF($I40=1,IFBLANK(_xldudf_CX_PUSH(BM40*fxVal_normal,CX_ENTITY,$B40,BM$11,BM$14,BM$19,),""),IF($I40=2,IFBLANK(_xldudf_CX_PUSH(BM40,CX_ENTITY,$B40,BM$11,BM$14,BM$19,),""),IF($I40=3,"",IFBLANK(_xldudf_CX_PUSH(BM40,CX_ENTITY,$B40,BM$11,BM$14,BM$19,),"")))))),"")</f>
        <v/>
      </c>
      <c r="EN40" s="2445" t="str" cm="1">
        <f t="array" ca="1" aca="1" ref="EN40">IFERROR(IF(BN40*fxVal_normal=_PL!BN40,"",IF(OR(BN40="",NOT(ISNUMBER(BN40)),ISERROR(BN40),$B40=""),"",IF($I40=1,IFBLANK(_xldudf_CX_PUSH(BN40*fxVal_normal,CX_ENTITY,$B40,BN$11,BN$14,BN$19,),""),IF($I40=2,IFBLANK(_xldudf_CX_PUSH(BN40,CX_ENTITY,$B40,BN$11,BN$14,BN$19,),""),IF($I40=3,"",IFBLANK(_xldudf_CX_PUSH(BN40,CX_ENTITY,$B40,BN$11,BN$14,BN$19,),"")))))),"")</f>
        <v/>
      </c>
    </row>
    <row r="41" spans="1:144" ht="21" customHeight="1">
      <c r="A41" s="2449" t="s">
        <v>22</v>
      </c>
      <c r="B41" s="2450" t="str">
        <f ca="1">_xlfn.LET(_xlpm.IsNotAttrDynamic,D41="",_xlpm.Attr,_PL!F41,_xlpm.NotInUse,Y41=D41,_xlpm.RESULT,IF(_xlpm.IsNotAttrDynamic,_xlpm.Attr,IF(_xlpm.NotInUse,"",Y41)),IF(_xlpm.RESULT="","",_xlpm.RESULT))</f>
        <v>Net Profit</v>
      </c>
      <c r="C41" s="2450" t="str" cm="1">
        <f t="array" ref="C41">IFBLANK(_PL!C41,"")</f>
        <v>Net Profit (Company View)</v>
      </c>
      <c r="D41" s="2451"/>
      <c r="E41" s="2440" t="e" cm="1">
        <f t="array" ca="1" aca="1" ref="E4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41:$CQ41,Z41)</f>
        <v>#NAME?</v>
      </c>
      <c r="F41" s="1897"/>
      <c r="G41" s="1897"/>
      <c r="H41" s="3277">
        <v>2</v>
      </c>
      <c r="I41" s="3277">
        <v>1</v>
      </c>
      <c r="J41" s="401" cm="1">
        <f t="array" ref="J41">IFBLANK(Z41,"")</f>
        <v>0</v>
      </c>
      <c r="K41" s="578" t="str">
        <f t="shared" si="3"/>
        <v>Yes</v>
      </c>
      <c r="L41" s="37"/>
      <c r="N41" s="158"/>
      <c r="O41" s="101"/>
      <c r="P41" s="52"/>
      <c r="Q41" s="101"/>
      <c r="R41" s="126"/>
      <c r="S41" s="101"/>
      <c r="T41" s="101"/>
      <c r="U41" s="39"/>
      <c r="V41" s="37"/>
      <c r="W41" s="268" t="str">
        <f t="shared" si="4"/>
        <v>Actual</v>
      </c>
      <c r="X41" s="2452">
        <f>_PL!X41</f>
        <v>0</v>
      </c>
      <c r="Y41" s="1196" t="e">
        <f ca="1">IF(_PL!Y41="Error","",_PL!Y41)</f>
        <v>#NAME?</v>
      </c>
      <c r="Z41" s="538" cm="1">
        <f t="array" ref="Z41">_xlfn.SWITCH(TRUE,_PL!$L41=TRUE,1,_PL!$L41=FALSE,-1,_PL!$L41=-1,0,"")</f>
        <v>0</v>
      </c>
      <c r="AA41" s="787"/>
      <c r="AB41" s="1134" t="str">
        <f>_PL!AB41</f>
        <v>Net Profit</v>
      </c>
      <c r="AC41" s="275" t="str" cm="1">
        <f t="array" ca="1" aca="1" ref="AC41">_xlfn.LET(_xlpm._termname,$AB41,_xlpm._iconname,"find",_xlpm._icon,fx_getIcon(_xlpm._iconname),_xlpm._location,_xlfn.XLOOKUP(LOWER(_xlpm._termname),LOWER(tbl_acctDef[Term]),tbl_acctDef[Term]),_xlpm._hyperlink,HYPERLINK("#"&amp;CELL("address",_xlpm._location),_xlpm._icon),IFERROR(_xlpm._hyperlink,""))</f>
        <v/>
      </c>
      <c r="AD41" s="1210">
        <f t="shared" si="14" ref="AD41:BN41">SUBTOTAL(9,AD20:AD40)-SUBTOTAL(9,AD26:AD31)-N(AD23)</f>
        <v>8</v>
      </c>
      <c r="AE41" s="1210">
        <f t="shared" si="14"/>
        <v>8</v>
      </c>
      <c r="AF41" s="1210">
        <f t="shared" si="14"/>
        <v>8</v>
      </c>
      <c r="AG41" s="1210">
        <f t="shared" si="14"/>
        <v>8</v>
      </c>
      <c r="AH41" s="1210">
        <f t="shared" si="14"/>
        <v>8</v>
      </c>
      <c r="AI41" s="1210">
        <f t="shared" si="14"/>
        <v>8</v>
      </c>
      <c r="AJ41" s="1210">
        <f t="shared" si="14"/>
        <v>8</v>
      </c>
      <c r="AK41" s="1210">
        <f t="shared" si="14"/>
        <v>8</v>
      </c>
      <c r="AL41" s="1210">
        <f t="shared" si="14"/>
        <v>8</v>
      </c>
      <c r="AM41" s="1210">
        <f t="shared" si="14"/>
        <v>8</v>
      </c>
      <c r="AN41" s="1210">
        <f t="shared" si="14"/>
        <v>8</v>
      </c>
      <c r="AO41" s="1210">
        <f t="shared" si="14"/>
        <v>8</v>
      </c>
      <c r="AP41" s="1210">
        <f t="shared" si="14"/>
        <v>8</v>
      </c>
      <c r="AQ41" s="1210">
        <f t="shared" si="14"/>
        <v>8</v>
      </c>
      <c r="AR41" s="1210">
        <f t="shared" si="14"/>
        <v>8</v>
      </c>
      <c r="AS41" s="1210">
        <f t="shared" si="14"/>
        <v>8</v>
      </c>
      <c r="AT41" s="1210">
        <f t="shared" si="14"/>
        <v>8</v>
      </c>
      <c r="AU41" s="1210">
        <f t="shared" si="14"/>
        <v>8</v>
      </c>
      <c r="AV41" s="1210">
        <f t="shared" si="14"/>
        <v>8</v>
      </c>
      <c r="AW41" s="1210">
        <f t="shared" si="14"/>
        <v>8</v>
      </c>
      <c r="AX41" s="1210">
        <f t="shared" si="14"/>
        <v>8</v>
      </c>
      <c r="AY41" s="1210">
        <f t="shared" si="14"/>
        <v>8</v>
      </c>
      <c r="AZ41" s="1210">
        <f t="shared" si="14"/>
        <v>8</v>
      </c>
      <c r="BA41" s="1210">
        <f t="shared" si="14"/>
        <v>8</v>
      </c>
      <c r="BB41" s="1210">
        <f t="shared" si="14"/>
        <v>8</v>
      </c>
      <c r="BC41" s="1210">
        <f t="shared" si="14"/>
        <v>8</v>
      </c>
      <c r="BD41" s="1210">
        <f t="shared" si="14"/>
        <v>8</v>
      </c>
      <c r="BE41" s="1210">
        <f t="shared" si="14"/>
        <v>8</v>
      </c>
      <c r="BF41" s="1210">
        <f t="shared" si="14"/>
        <v>8</v>
      </c>
      <c r="BG41" s="1210">
        <f t="shared" si="14"/>
        <v>8</v>
      </c>
      <c r="BH41" s="1210">
        <f t="shared" si="14"/>
        <v>8</v>
      </c>
      <c r="BI41" s="1210">
        <f t="shared" si="14"/>
        <v>8</v>
      </c>
      <c r="BJ41" s="1210">
        <f t="shared" si="14"/>
        <v>8</v>
      </c>
      <c r="BK41" s="1210">
        <f t="shared" si="14"/>
        <v>8</v>
      </c>
      <c r="BL41" s="1210">
        <f t="shared" si="14"/>
        <v>8</v>
      </c>
      <c r="BM41" s="1210">
        <f t="shared" si="14"/>
        <v>8</v>
      </c>
      <c r="BN41" s="1210">
        <f t="shared" si="14"/>
        <v>8</v>
      </c>
      <c r="BO41" s="2096"/>
      <c r="BP41" s="2096"/>
      <c r="BQ41" s="2096"/>
      <c r="BR41" s="2096"/>
      <c r="BS41" s="2096"/>
      <c r="BT41" s="2096"/>
      <c r="BU41" s="2096"/>
      <c r="BV41" s="2096"/>
      <c r="BW41" s="2096"/>
      <c r="BX41" s="2096"/>
      <c r="BY41" s="2096"/>
      <c r="BZ41" s="2096"/>
      <c r="CA41" s="34"/>
      <c r="CC41" s="33"/>
      <c r="CD41" s="1772" t="e" cm="1">
        <f t="array" ca="1" aca="1" ref="CD41">_xlfn.LET(_xlpm.CheckBlank,SUM(PL!$AD41:PL!$BN41)=0,IF(_xlpm.CheckBlank,"",SUM(_xlfn._xlws.FILTER(PL!$AD41:$BN41,(YEAR(PL!$AD$12:$BN$12)=PL!CD$12)*(array_timeline&lt;=PL!CD$11)))))</f>
        <v>#NAME?</v>
      </c>
      <c r="CE41" s="1772" t="e" cm="1">
        <f t="array" ca="1" aca="1" ref="CE41">_xlfn.LET(_xlpm.CheckBlank,SUM(PL!$AD41:PL!$BN41)=0,IF(_xlpm.CheckBlank,"",SUM(_xlfn._xlws.FILTER(PL!$AD41:$BN41,(YEAR(PL!$AD$12:$BN$12)=PL!CE$12)*(array_timeline&lt;=PL!CE$11)))))</f>
        <v>#NAME?</v>
      </c>
      <c r="CF41" s="88"/>
      <c r="CG41" s="1461" t="str" cm="1">
        <f t="array" ca="1" aca="1" ref="CG41">IFERROR(_xlfn.LET(_xlpm.CheckBlank,SUM(PL!$AD41:$BN41)=0,IF(_xlpm.CheckBlank,"",SUM(_xlfn._xlws.FILTER(PL!$AD41:$BN41,(YEAR(PL!$AD$12:$BN$12)=PL!CG$12)*(array_timeline&lt;=PL!CG$11))))),"n/a")</f>
        <v>n/a</v>
      </c>
      <c r="CH41" s="1461" t="e" cm="1">
        <f t="array" ca="1" aca="1" ref="CH41">_xlfn.LET(_xlpm.CheckBlank,SUM(PL!$AD41:$BN41)=0,IF(_xlpm.CheckBlank,"",SUM(_xlfn._xlws.FILTER(PL!$AD41:$BN41,(YEAR(PL!$AD$12:$BN$12)=PL!CH$12)*(array_timeline&lt;=PL!CH$11)))))</f>
        <v>#NAME?</v>
      </c>
      <c r="CI41" s="88"/>
      <c r="CJ41" s="1461" cm="1">
        <f t="array" ref="CJ41">_xlfn.LET(_xlpm.CheckBlank,SUM(PL!$AD41:$BN41)=0,IF(_xlpm.CheckBlank,"",SUM(_xlfn.TAKE(_xlfn.DROP(PL!$AD41:$BN41,,-DATEDIFF(PL!CJ$11,val_asOfDate,"M")),1,-12))))</f>
        <v>96</v>
      </c>
      <c r="CK41" s="1461" cm="1">
        <f t="array" ref="CK41">_xlfn.LET(_xlpm.CheckBlank,SUM(PL!$AD41:$BN41)=0,IF(_xlpm.CheckBlank,"",SUM(_xlfn.TAKE(_xlfn.DROP(PL!$AD41:$BN41,,-DATEDIFF(PL!CK$11,val_asOfDate,"M")),1,-12))))</f>
        <v>96</v>
      </c>
      <c r="CL41" s="88"/>
      <c r="CM41" s="1168">
        <f>SUBTOTAL(9,CM20:CM40)-SUBTOTAL(9,CM26:CM31)-N(CM23)</f>
        <v>8</v>
      </c>
      <c r="CN41" s="1168">
        <f>SUBTOTAL(9,CN20:CN40)-SUBTOTAL(9,CN26:CN31)-N(CN23)</f>
        <v>8</v>
      </c>
      <c r="CO41" s="1169"/>
      <c r="CP41" s="1168">
        <f>SUBTOTAL(9,CP20:CP40)-SUBTOTAL(9,CP26:CP31)-N(CP23)</f>
        <v>8</v>
      </c>
      <c r="CQ41" s="1168">
        <f>SUBTOTAL(9,CQ20:CQ40)-SUBTOTAL(9,CQ26:CQ31)-N(CQ23)</f>
        <v>8</v>
      </c>
      <c r="CR41" s="34"/>
      <c r="CS41" s="2056"/>
      <c r="CT41" s="2085" t="e" cm="1">
        <f t="array" ca="1" aca="1" ref="CT41">IF(K41&lt;&gt;"Yes","",IF(OR(Y41="Select,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III"),"",IF(OR(Y41&lt;&gt;AB41,AND(LEN(B41)=0,NOT(OR(Y41="Select,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III")))),_xldudf_CX_PUSH(Y41,CX_ENTITY,C41,EOMONTH(val_asOfDate,0)),"")))</f>
        <v>#NAME?</v>
      </c>
      <c r="CU41" s="2085" t="e" cm="1">
        <f t="array" ca="1" aca="1" ref="CU41">IF(K41&lt;&gt;"Yes","",IF(OR(Y41="Select,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III"),"",IF(OR(Y41&lt;&gt;AB41,AND(LEN(B41)=0,NOT(OR(Y41="Select,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III")))),_xldudf_CX_PUSH(Y41,CX_ENTITY,C41,EOMONTH(val_asOfDate,1)),"")))</f>
        <v>#NAME?</v>
      </c>
      <c r="CV41" s="2085" t="e" cm="1">
        <f t="array" ca="1" aca="1" ref="CV41">IF(K41&lt;&gt;"Yes","",IF(OR(Y41="Select,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III"),"",IF(OR(Y41&lt;&gt;AB41,AND(LEN(B41)=0,NOT(OR(Y41="Select,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III")))),_xldudf_CX_PUSH(Y41,CX_ENTITY,C41,EOMONTH(val_asOfDate,2)),"")))</f>
        <v>#NAME?</v>
      </c>
      <c r="CW41" s="2085" t="e" cm="1">
        <f t="array" ca="1" aca="1" ref="CW41">IF(K41&lt;&gt;"Yes","",IF(OR(Y41="Select,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III"),"",IF(OR(Y41&lt;&gt;AB41,AND(LEN(B41)=0,NOT(OR(Y41="Select,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III")))),_xldudf_CX_PUSH(Y41,CX_ENTITY,C41,EOMONTH(val_asOfDate,3)),"")))</f>
        <v>#NAME?</v>
      </c>
      <c r="CX41" s="2443"/>
      <c r="CY41" s="2444" t="str" cm="1">
        <f t="array" ca="1" aca="1" ref="CY41">IFERROR(IF(CM41*fxVal_normal=_PL!CM41,"",IF(OR($CM41="",$CM41=0,NOT(ISNUMBER($CM41)),ISERROR($CM41),$B41=""),"",IF($I41=1,IFBLANK(_xldudf_CX_PUSH($CM41*fxVal_normal,CX_ENTITY,$B41,$CM$11,$CM$14,$CM$19,),""),IF($I41=2,IFBLANK(_xldudf_CX_PUSH($CM41,CX_ENTITY,$B41,$CM$11,$CM$14,$CM$19,),""),IF($I41=3,"",IFBLANK(_xldudf_CX_PUSH($CM41,CX_ENTITY,$B41,$CM$11,$CM$14,$CM$19,),"")))))),"")</f>
        <v/>
      </c>
      <c r="CZ41" s="2444" t="str" cm="1">
        <f t="array" ca="1" aca="1" ref="CZ41">IFERROR(IF(CN41*fxVal_normal=_PL!CN41,"",IF(OR($CN41="",$CN41=0,NOT(ISNUMBER($CN41)),ISERROR($CN41),$B41=""),"",IF($I41=1,IFBLANK(_xldudf_CX_PUSH($CN41*fxVal_normal,CX_ENTITY,$B41,$CN$11,$CN$14,$CN$19,),""),IF($I41=2,IFBLANK(_xldudf_CX_PUSH($CN41,CX_ENTITY,$B41,$CN$11,$CN$14,$CN$19,),""),IF($I41=3,"",IFBLANK(_xldudf_CX_PUSH($CN41,CX_ENTITY,$B41,$CN$11,$CN$14,$CN$19,),"")))))),"")</f>
        <v/>
      </c>
      <c r="DA41" s="2444" t="str" cm="1">
        <f t="array" ca="1" aca="1" ref="DA41">IFERROR(IF(CP41*fxVal_normal=_PL!CP41,"",IF(OR($CP41="",$CP41=0,NOT(ISNUMBER($CP41)),ISERROR($CP41),$B41=""),"",IF($I41=1,IFBLANK(_xldudf_CX_PUSH($CP41*fxVal_normal,CX_ENTITY,$B41,$CP$11,$CP$14,$CP$19,),""),IF($I41=2,IFBLANK(_xldudf_CX_PUSH($CP41,CX_ENTITY,$B41,$CP$11,$CP$14,$CP$19,),""),IF($I41=3,"",IFBLANK(_xldudf_CX_PUSH($CP41,CX_ENTITY,$B41,$CP$11,$CP$14,$CP$19,),"")))))),"")</f>
        <v/>
      </c>
      <c r="DB41" s="2444" t="str" cm="1">
        <f t="array" ca="1" aca="1" ref="DB41">IFERROR(IF(CQ41*fxVal_normal=_PL!CQ41,"",IF(OR($CQ41="",$CQ41=0,NOT(ISNUMBER($CQ41)),ISERROR($CQ41),$B41=""),"",IF($I41=1,IFBLANK(_xldudf_CX_PUSH($CQ41*fxVal_normal,CX_ENTITY,$B41,$CQ$11,$CQ$14,$CQ$19,),""),IF($I41=2,IFBLANK(_xldudf_CX_PUSH($CQ41,CX_ENTITY,$B41,$CQ$11,$CQ$14,$CQ$19,),""),IF($I41=3,"",IFBLANK(_xldudf_CX_PUSH($CQ41,CX_ENTITY,$B41,$CQ$11,$CQ$14,$CQ$19,),"")))))),"")</f>
        <v/>
      </c>
      <c r="DC41" s="2443"/>
      <c r="DD41" s="2445" t="str" cm="1">
        <f t="array" ca="1" aca="1" ref="DD41">IFERROR(IF(AD41*fxVal_normal=_PL!AD41,"",IF(OR(AD41="",NOT(ISNUMBER(AD41)),ISERROR(AD41),$B41=""),"",IF($I41=1,IFBLANK(_xldudf_CX_PUSH(AD41*fxVal_normal,CX_ENTITY,$B41,AD$11,AD$14,AD$19,),""),IF($I41=2,IFBLANK(_xldudf_CX_PUSH(AD41,CX_ENTITY,$B41,AD$11,AD$14,AD$19,),""),IF($I41=3,"",IFBLANK(_xldudf_CX_PUSH(AD41,CX_ENTITY,$B41,AD$11,AD$14,AD$19,),"")))))),"")</f>
        <v/>
      </c>
      <c r="DE41" s="2445" t="str" cm="1">
        <f t="array" ca="1" aca="1" ref="DE41">IFERROR(IF(AE41*fxVal_normal=_PL!AE41,"",IF(OR(AE41="",NOT(ISNUMBER(AE41)),ISERROR(AE41),$B41=""),"",IF($I41=1,IFBLANK(_xldudf_CX_PUSH(AE41*fxVal_normal,CX_ENTITY,$B41,AE$11,AE$14,AE$19,),""),IF($I41=2,IFBLANK(_xldudf_CX_PUSH(AE41,CX_ENTITY,$B41,AE$11,AE$14,AE$19,),""),IF($I41=3,"",IFBLANK(_xldudf_CX_PUSH(AE41,CX_ENTITY,$B41,AE$11,AE$14,AE$19,),"")))))),"")</f>
        <v/>
      </c>
      <c r="DF41" s="2445" t="str" cm="1">
        <f t="array" ca="1" aca="1" ref="DF41">IFERROR(IF(AF41*fxVal_normal=_PL!AF41,"",IF(OR(AF41="",NOT(ISNUMBER(AF41)),ISERROR(AF41),$B41=""),"",IF($I41=1,IFBLANK(_xldudf_CX_PUSH(AF41*fxVal_normal,CX_ENTITY,$B41,AF$11,AF$14,AF$19,),""),IF($I41=2,IFBLANK(_xldudf_CX_PUSH(AF41,CX_ENTITY,$B41,AF$11,AF$14,AF$19,),""),IF($I41=3,"",IFBLANK(_xldudf_CX_PUSH(AF41,CX_ENTITY,$B41,AF$11,AF$14,AF$19,),"")))))),"")</f>
        <v/>
      </c>
      <c r="DG41" s="2445" t="str" cm="1">
        <f t="array" ca="1" aca="1" ref="DG41">IFERROR(IF(AG41*fxVal_normal=_PL!AG41,"",IF(OR(AG41="",NOT(ISNUMBER(AG41)),ISERROR(AG41),$B41=""),"",IF($I41=1,IFBLANK(_xldudf_CX_PUSH(AG41*fxVal_normal,CX_ENTITY,$B41,AG$11,AG$14,AG$19,),""),IF($I41=2,IFBLANK(_xldudf_CX_PUSH(AG41,CX_ENTITY,$B41,AG$11,AG$14,AG$19,),""),IF($I41=3,"",IFBLANK(_xldudf_CX_PUSH(AG41,CX_ENTITY,$B41,AG$11,AG$14,AG$19,),"")))))),"")</f>
        <v/>
      </c>
      <c r="DH41" s="2445" t="str" cm="1">
        <f t="array" ca="1" aca="1" ref="DH41">IFERROR(IF(AH41*fxVal_normal=_PL!AH41,"",IF(OR(AH41="",NOT(ISNUMBER(AH41)),ISERROR(AH41),$B41=""),"",IF($I41=1,IFBLANK(_xldudf_CX_PUSH(AH41*fxVal_normal,CX_ENTITY,$B41,AH$11,AH$14,AH$19,),""),IF($I41=2,IFBLANK(_xldudf_CX_PUSH(AH41,CX_ENTITY,$B41,AH$11,AH$14,AH$19,),""),IF($I41=3,"",IFBLANK(_xldudf_CX_PUSH(AH41,CX_ENTITY,$B41,AH$11,AH$14,AH$19,),"")))))),"")</f>
        <v/>
      </c>
      <c r="DI41" s="2445" t="str" cm="1">
        <f t="array" ca="1" aca="1" ref="DI41">IFERROR(IF(AI41*fxVal_normal=_PL!AI41,"",IF(OR(AI41="",NOT(ISNUMBER(AI41)),ISERROR(AI41),$B41=""),"",IF($I41=1,IFBLANK(_xldudf_CX_PUSH(AI41*fxVal_normal,CX_ENTITY,$B41,AI$11,AI$14,AI$19,),""),IF($I41=2,IFBLANK(_xldudf_CX_PUSH(AI41,CX_ENTITY,$B41,AI$11,AI$14,AI$19,),""),IF($I41=3,"",IFBLANK(_xldudf_CX_PUSH(AI41,CX_ENTITY,$B41,AI$11,AI$14,AI$19,),"")))))),"")</f>
        <v/>
      </c>
      <c r="DJ41" s="2445" t="str" cm="1">
        <f t="array" ca="1" aca="1" ref="DJ41">IFERROR(IF(AJ41*fxVal_normal=_PL!AJ41,"",IF(OR(AJ41="",NOT(ISNUMBER(AJ41)),ISERROR(AJ41),$B41=""),"",IF($I41=1,IFBLANK(_xldudf_CX_PUSH(AJ41*fxVal_normal,CX_ENTITY,$B41,AJ$11,AJ$14,AJ$19,),""),IF($I41=2,IFBLANK(_xldudf_CX_PUSH(AJ41,CX_ENTITY,$B41,AJ$11,AJ$14,AJ$19,),""),IF($I41=3,"",IFBLANK(_xldudf_CX_PUSH(AJ41,CX_ENTITY,$B41,AJ$11,AJ$14,AJ$19,),"")))))),"")</f>
        <v/>
      </c>
      <c r="DK41" s="2445" t="str" cm="1">
        <f t="array" ca="1" aca="1" ref="DK41">IFERROR(IF(AK41*fxVal_normal=_PL!AK41,"",IF(OR(AK41="",NOT(ISNUMBER(AK41)),ISERROR(AK41),$B41=""),"",IF($I41=1,IFBLANK(_xldudf_CX_PUSH(AK41*fxVal_normal,CX_ENTITY,$B41,AK$11,AK$14,AK$19,),""),IF($I41=2,IFBLANK(_xldudf_CX_PUSH(AK41,CX_ENTITY,$B41,AK$11,AK$14,AK$19,),""),IF($I41=3,"",IFBLANK(_xldudf_CX_PUSH(AK41,CX_ENTITY,$B41,AK$11,AK$14,AK$19,),"")))))),"")</f>
        <v/>
      </c>
      <c r="DL41" s="2445" t="str" cm="1">
        <f t="array" ca="1" aca="1" ref="DL41">IFERROR(IF(AL41*fxVal_normal=_PL!AL41,"",IF(OR(AL41="",NOT(ISNUMBER(AL41)),ISERROR(AL41),$B41=""),"",IF($I41=1,IFBLANK(_xldudf_CX_PUSH(AL41*fxVal_normal,CX_ENTITY,$B41,AL$11,AL$14,AL$19,),""),IF($I41=2,IFBLANK(_xldudf_CX_PUSH(AL41,CX_ENTITY,$B41,AL$11,AL$14,AL$19,),""),IF($I41=3,"",IFBLANK(_xldudf_CX_PUSH(AL41,CX_ENTITY,$B41,AL$11,AL$14,AL$19,),"")))))),"")</f>
        <v/>
      </c>
      <c r="DM41" s="2445" t="str" cm="1">
        <f t="array" ca="1" aca="1" ref="DM41">IFERROR(IF(AM41*fxVal_normal=_PL!AM41,"",IF(OR(AM41="",NOT(ISNUMBER(AM41)),ISERROR(AM41),$B41=""),"",IF($I41=1,IFBLANK(_xldudf_CX_PUSH(AM41*fxVal_normal,CX_ENTITY,$B41,AM$11,AM$14,AM$19,),""),IF($I41=2,IFBLANK(_xldudf_CX_PUSH(AM41,CX_ENTITY,$B41,AM$11,AM$14,AM$19,),""),IF($I41=3,"",IFBLANK(_xldudf_CX_PUSH(AM41,CX_ENTITY,$B41,AM$11,AM$14,AM$19,),"")))))),"")</f>
        <v/>
      </c>
      <c r="DN41" s="2445" t="str" cm="1">
        <f t="array" ca="1" aca="1" ref="DN41">IFERROR(IF(AN41*fxVal_normal=_PL!AN41,"",IF(OR(AN41="",NOT(ISNUMBER(AN41)),ISERROR(AN41),$B41=""),"",IF($I41=1,IFBLANK(_xldudf_CX_PUSH(AN41*fxVal_normal,CX_ENTITY,$B41,AN$11,AN$14,AN$19,),""),IF($I41=2,IFBLANK(_xldudf_CX_PUSH(AN41,CX_ENTITY,$B41,AN$11,AN$14,AN$19,),""),IF($I41=3,"",IFBLANK(_xldudf_CX_PUSH(AN41,CX_ENTITY,$B41,AN$11,AN$14,AN$19,),"")))))),"")</f>
        <v/>
      </c>
      <c r="DO41" s="2445" t="str" cm="1">
        <f t="array" ca="1" aca="1" ref="DO41">IFERROR(IF(AO41*fxVal_normal=_PL!AO41,"",IF(OR(AO41="",NOT(ISNUMBER(AO41)),ISERROR(AO41),$B41=""),"",IF($I41=1,IFBLANK(_xldudf_CX_PUSH(AO41*fxVal_normal,CX_ENTITY,$B41,AO$11,AO$14,AO$19,),""),IF($I41=2,IFBLANK(_xldudf_CX_PUSH(AO41,CX_ENTITY,$B41,AO$11,AO$14,AO$19,),""),IF($I41=3,"",IFBLANK(_xldudf_CX_PUSH(AO41,CX_ENTITY,$B41,AO$11,AO$14,AO$19,),"")))))),"")</f>
        <v/>
      </c>
      <c r="DP41" s="2445" t="str" cm="1">
        <f t="array" ca="1" aca="1" ref="DP41">IFERROR(IF(AP41*fxVal_normal=_PL!AP41,"",IF(OR(AP41="",NOT(ISNUMBER(AP41)),ISERROR(AP41),$B41=""),"",IF($I41=1,IFBLANK(_xldudf_CX_PUSH(AP41*fxVal_normal,CX_ENTITY,$B41,AP$11,AP$14,AP$19,),""),IF($I41=2,IFBLANK(_xldudf_CX_PUSH(AP41,CX_ENTITY,$B41,AP$11,AP$14,AP$19,),""),IF($I41=3,"",IFBLANK(_xldudf_CX_PUSH(AP41,CX_ENTITY,$B41,AP$11,AP$14,AP$19,),"")))))),"")</f>
        <v/>
      </c>
      <c r="DQ41" s="2445" t="str" cm="1">
        <f t="array" ca="1" aca="1" ref="DQ41">IFERROR(IF(AQ41*fxVal_normal=_PL!AQ41,"",IF(OR(AQ41="",NOT(ISNUMBER(AQ41)),ISERROR(AQ41),$B41=""),"",IF($I41=1,IFBLANK(_xldudf_CX_PUSH(AQ41*fxVal_normal,CX_ENTITY,$B41,AQ$11,AQ$14,AQ$19,),""),IF($I41=2,IFBLANK(_xldudf_CX_PUSH(AQ41,CX_ENTITY,$B41,AQ$11,AQ$14,AQ$19,),""),IF($I41=3,"",IFBLANK(_xldudf_CX_PUSH(AQ41,CX_ENTITY,$B41,AQ$11,AQ$14,AQ$19,),"")))))),"")</f>
        <v/>
      </c>
      <c r="DR41" s="2445" t="str" cm="1">
        <f t="array" ca="1" aca="1" ref="DR41">IFERROR(IF(AR41*fxVal_normal=_PL!AR41,"",IF(OR(AR41="",NOT(ISNUMBER(AR41)),ISERROR(AR41),$B41=""),"",IF($I41=1,IFBLANK(_xldudf_CX_PUSH(AR41*fxVal_normal,CX_ENTITY,$B41,AR$11,AR$14,AR$19,),""),IF($I41=2,IFBLANK(_xldudf_CX_PUSH(AR41,CX_ENTITY,$B41,AR$11,AR$14,AR$19,),""),IF($I41=3,"",IFBLANK(_xldudf_CX_PUSH(AR41,CX_ENTITY,$B41,AR$11,AR$14,AR$19,),"")))))),"")</f>
        <v/>
      </c>
      <c r="DS41" s="2445" t="str" cm="1">
        <f t="array" ca="1" aca="1" ref="DS41">IFERROR(IF(AS41*fxVal_normal=_PL!AS41,"",IF(OR(AS41="",NOT(ISNUMBER(AS41)),ISERROR(AS41),$B41=""),"",IF($I41=1,IFBLANK(_xldudf_CX_PUSH(AS41*fxVal_normal,CX_ENTITY,$B41,AS$11,AS$14,AS$19,),""),IF($I41=2,IFBLANK(_xldudf_CX_PUSH(AS41,CX_ENTITY,$B41,AS$11,AS$14,AS$19,),""),IF($I41=3,"",IFBLANK(_xldudf_CX_PUSH(AS41,CX_ENTITY,$B41,AS$11,AS$14,AS$19,),"")))))),"")</f>
        <v/>
      </c>
      <c r="DT41" s="2445" t="str" cm="1">
        <f t="array" ca="1" aca="1" ref="DT41">IFERROR(IF(AT41*fxVal_normal=_PL!AT41,"",IF(OR(AT41="",NOT(ISNUMBER(AT41)),ISERROR(AT41),$B41=""),"",IF($I41=1,IFBLANK(_xldudf_CX_PUSH(AT41*fxVal_normal,CX_ENTITY,$B41,AT$11,AT$14,AT$19,),""),IF($I41=2,IFBLANK(_xldudf_CX_PUSH(AT41,CX_ENTITY,$B41,AT$11,AT$14,AT$19,),""),IF($I41=3,"",IFBLANK(_xldudf_CX_PUSH(AT41,CX_ENTITY,$B41,AT$11,AT$14,AT$19,),"")))))),"")</f>
        <v/>
      </c>
      <c r="DU41" s="2445" t="str" cm="1">
        <f t="array" ca="1" aca="1" ref="DU41">IFERROR(IF(AU41*fxVal_normal=_PL!AU41,"",IF(OR(AU41="",NOT(ISNUMBER(AU41)),ISERROR(AU41),$B41=""),"",IF($I41=1,IFBLANK(_xldudf_CX_PUSH(AU41*fxVal_normal,CX_ENTITY,$B41,AU$11,AU$14,AU$19,),""),IF($I41=2,IFBLANK(_xldudf_CX_PUSH(AU41,CX_ENTITY,$B41,AU$11,AU$14,AU$19,),""),IF($I41=3,"",IFBLANK(_xldudf_CX_PUSH(AU41,CX_ENTITY,$B41,AU$11,AU$14,AU$19,),"")))))),"")</f>
        <v/>
      </c>
      <c r="DV41" s="2445" t="str" cm="1">
        <f t="array" ca="1" aca="1" ref="DV41">IFERROR(IF(AV41*fxVal_normal=_PL!AV41,"",IF(OR(AV41="",NOT(ISNUMBER(AV41)),ISERROR(AV41),$B41=""),"",IF($I41=1,IFBLANK(_xldudf_CX_PUSH(AV41*fxVal_normal,CX_ENTITY,$B41,AV$11,AV$14,AV$19,),""),IF($I41=2,IFBLANK(_xldudf_CX_PUSH(AV41,CX_ENTITY,$B41,AV$11,AV$14,AV$19,),""),IF($I41=3,"",IFBLANK(_xldudf_CX_PUSH(AV41,CX_ENTITY,$B41,AV$11,AV$14,AV$19,),"")))))),"")</f>
        <v/>
      </c>
      <c r="DW41" s="2445" t="str" cm="1">
        <f t="array" ca="1" aca="1" ref="DW41">IFERROR(IF(AW41*fxVal_normal=_PL!AW41,"",IF(OR(AW41="",NOT(ISNUMBER(AW41)),ISERROR(AW41),$B41=""),"",IF($I41=1,IFBLANK(_xldudf_CX_PUSH(AW41*fxVal_normal,CX_ENTITY,$B41,AW$11,AW$14,AW$19,),""),IF($I41=2,IFBLANK(_xldudf_CX_PUSH(AW41,CX_ENTITY,$B41,AW$11,AW$14,AW$19,),""),IF($I41=3,"",IFBLANK(_xldudf_CX_PUSH(AW41,CX_ENTITY,$B41,AW$11,AW$14,AW$19,),"")))))),"")</f>
        <v/>
      </c>
      <c r="DX41" s="2445" t="str" cm="1">
        <f t="array" ca="1" aca="1" ref="DX41">IFERROR(IF(AX41*fxVal_normal=_PL!AX41,"",IF(OR(AX41="",NOT(ISNUMBER(AX41)),ISERROR(AX41),$B41=""),"",IF($I41=1,IFBLANK(_xldudf_CX_PUSH(AX41*fxVal_normal,CX_ENTITY,$B41,AX$11,AX$14,AX$19,),""),IF($I41=2,IFBLANK(_xldudf_CX_PUSH(AX41,CX_ENTITY,$B41,AX$11,AX$14,AX$19,),""),IF($I41=3,"",IFBLANK(_xldudf_CX_PUSH(AX41,CX_ENTITY,$B41,AX$11,AX$14,AX$19,),"")))))),"")</f>
        <v/>
      </c>
      <c r="DY41" s="2445" t="str" cm="1">
        <f t="array" ca="1" aca="1" ref="DY41">IFERROR(IF(AY41*fxVal_normal=_PL!AY41,"",IF(OR(AY41="",NOT(ISNUMBER(AY41)),ISERROR(AY41),$B41=""),"",IF($I41=1,IFBLANK(_xldudf_CX_PUSH(AY41*fxVal_normal,CX_ENTITY,$B41,AY$11,AY$14,AY$19,),""),IF($I41=2,IFBLANK(_xldudf_CX_PUSH(AY41,CX_ENTITY,$B41,AY$11,AY$14,AY$19,),""),IF($I41=3,"",IFBLANK(_xldudf_CX_PUSH(AY41,CX_ENTITY,$B41,AY$11,AY$14,AY$19,),"")))))),"")</f>
        <v/>
      </c>
      <c r="DZ41" s="2445" t="str" cm="1">
        <f t="array" ca="1" aca="1" ref="DZ41">IFERROR(IF(AZ41*fxVal_normal=_PL!AZ41,"",IF(OR(AZ41="",NOT(ISNUMBER(AZ41)),ISERROR(AZ41),$B41=""),"",IF($I41=1,IFBLANK(_xldudf_CX_PUSH(AZ41*fxVal_normal,CX_ENTITY,$B41,AZ$11,AZ$14,AZ$19,),""),IF($I41=2,IFBLANK(_xldudf_CX_PUSH(AZ41,CX_ENTITY,$B41,AZ$11,AZ$14,AZ$19,),""),IF($I41=3,"",IFBLANK(_xldudf_CX_PUSH(AZ41,CX_ENTITY,$B41,AZ$11,AZ$14,AZ$19,),"")))))),"")</f>
        <v/>
      </c>
      <c r="EA41" s="2445" t="str" cm="1">
        <f t="array" ca="1" aca="1" ref="EA41">IFERROR(IF(BA41*fxVal_normal=_PL!BA41,"",IF(OR(BA41="",NOT(ISNUMBER(BA41)),ISERROR(BA41),$B41=""),"",IF($I41=1,IFBLANK(_xldudf_CX_PUSH(BA41*fxVal_normal,CX_ENTITY,$B41,BA$11,BA$14,BA$19,),""),IF($I41=2,IFBLANK(_xldudf_CX_PUSH(BA41,CX_ENTITY,$B41,BA$11,BA$14,BA$19,),""),IF($I41=3,"",IFBLANK(_xldudf_CX_PUSH(BA41,CX_ENTITY,$B41,BA$11,BA$14,BA$19,),"")))))),"")</f>
        <v/>
      </c>
      <c r="EB41" s="2445" t="str" cm="1">
        <f t="array" ca="1" aca="1" ref="EB41">IFERROR(IF(BB41*fxVal_normal=_PL!BB41,"",IF(OR(BB41="",NOT(ISNUMBER(BB41)),ISERROR(BB41),$B41=""),"",IF($I41=1,IFBLANK(_xldudf_CX_PUSH(BB41*fxVal_normal,CX_ENTITY,$B41,BB$11,BB$14,BB$19,),""),IF($I41=2,IFBLANK(_xldudf_CX_PUSH(BB41,CX_ENTITY,$B41,BB$11,BB$14,BB$19,),""),IF($I41=3,"",IFBLANK(_xldudf_CX_PUSH(BB41,CX_ENTITY,$B41,BB$11,BB$14,BB$19,),"")))))),"")</f>
        <v/>
      </c>
      <c r="EC41" s="2445" t="str" cm="1">
        <f t="array" ca="1" aca="1" ref="EC41">IFERROR(IF(BC41*fxVal_normal=_PL!BC41,"",IF(OR(BC41="",NOT(ISNUMBER(BC41)),ISERROR(BC41),$B41=""),"",IF($I41=1,IFBLANK(_xldudf_CX_PUSH(BC41*fxVal_normal,CX_ENTITY,$B41,BC$11,BC$14,BC$19,),""),IF($I41=2,IFBLANK(_xldudf_CX_PUSH(BC41,CX_ENTITY,$B41,BC$11,BC$14,BC$19,),""),IF($I41=3,"",IFBLANK(_xldudf_CX_PUSH(BC41,CX_ENTITY,$B41,BC$11,BC$14,BC$19,),"")))))),"")</f>
        <v/>
      </c>
      <c r="ED41" s="2445" t="str" cm="1">
        <f t="array" ca="1" aca="1" ref="ED41">IFERROR(IF(BD41*fxVal_normal=_PL!BD41,"",IF(OR(BD41="",NOT(ISNUMBER(BD41)),ISERROR(BD41),$B41=""),"",IF($I41=1,IFBLANK(_xldudf_CX_PUSH(BD41*fxVal_normal,CX_ENTITY,$B41,BD$11,BD$14,BD$19,),""),IF($I41=2,IFBLANK(_xldudf_CX_PUSH(BD41,CX_ENTITY,$B41,BD$11,BD$14,BD$19,),""),IF($I41=3,"",IFBLANK(_xldudf_CX_PUSH(BD41,CX_ENTITY,$B41,BD$11,BD$14,BD$19,),"")))))),"")</f>
        <v/>
      </c>
      <c r="EE41" s="2445" t="str" cm="1">
        <f t="array" ca="1" aca="1" ref="EE41">IFERROR(IF(BE41*fxVal_normal=_PL!BE41,"",IF(OR(BE41="",NOT(ISNUMBER(BE41)),ISERROR(BE41),$B41=""),"",IF($I41=1,IFBLANK(_xldudf_CX_PUSH(BE41*fxVal_normal,CX_ENTITY,$B41,BE$11,BE$14,BE$19,),""),IF($I41=2,IFBLANK(_xldudf_CX_PUSH(BE41,CX_ENTITY,$B41,BE$11,BE$14,BE$19,),""),IF($I41=3,"",IFBLANK(_xldudf_CX_PUSH(BE41,CX_ENTITY,$B41,BE$11,BE$14,BE$19,),"")))))),"")</f>
        <v/>
      </c>
      <c r="EF41" s="2445" t="str" cm="1">
        <f t="array" ca="1" aca="1" ref="EF41">IFERROR(IF(BF41*fxVal_normal=_PL!BF41,"",IF(OR(BF41="",NOT(ISNUMBER(BF41)),ISERROR(BF41),$B41=""),"",IF($I41=1,IFBLANK(_xldudf_CX_PUSH(BF41*fxVal_normal,CX_ENTITY,$B41,BF$11,BF$14,BF$19,),""),IF($I41=2,IFBLANK(_xldudf_CX_PUSH(BF41,CX_ENTITY,$B41,BF$11,BF$14,BF$19,),""),IF($I41=3,"",IFBLANK(_xldudf_CX_PUSH(BF41,CX_ENTITY,$B41,BF$11,BF$14,BF$19,),"")))))),"")</f>
        <v/>
      </c>
      <c r="EG41" s="2445" t="str" cm="1">
        <f t="array" ca="1" aca="1" ref="EG41">IFERROR(IF(BG41*fxVal_normal=_PL!BG41,"",IF(OR(BG41="",NOT(ISNUMBER(BG41)),ISERROR(BG41),$B41=""),"",IF($I41=1,IFBLANK(_xldudf_CX_PUSH(BG41*fxVal_normal,CX_ENTITY,$B41,BG$11,BG$14,BG$19,),""),IF($I41=2,IFBLANK(_xldudf_CX_PUSH(BG41,CX_ENTITY,$B41,BG$11,BG$14,BG$19,),""),IF($I41=3,"",IFBLANK(_xldudf_CX_PUSH(BG41,CX_ENTITY,$B41,BG$11,BG$14,BG$19,),"")))))),"")</f>
        <v/>
      </c>
      <c r="EH41" s="2445" t="str" cm="1">
        <f t="array" ca="1" aca="1" ref="EH41">IFERROR(IF(BH41*fxVal_normal=_PL!BH41,"",IF(OR(BH41="",NOT(ISNUMBER(BH41)),ISERROR(BH41),$B41=""),"",IF($I41=1,IFBLANK(_xldudf_CX_PUSH(BH41*fxVal_normal,CX_ENTITY,$B41,BH$11,BH$14,BH$19,),""),IF($I41=2,IFBLANK(_xldudf_CX_PUSH(BH41,CX_ENTITY,$B41,BH$11,BH$14,BH$19,),""),IF($I41=3,"",IFBLANK(_xldudf_CX_PUSH(BH41,CX_ENTITY,$B41,BH$11,BH$14,BH$19,),"")))))),"")</f>
        <v/>
      </c>
      <c r="EI41" s="2445" t="str" cm="1">
        <f t="array" ca="1" aca="1" ref="EI41">IFERROR(IF(BI41*fxVal_normal=_PL!BI41,"",IF(OR(BI41="",NOT(ISNUMBER(BI41)),ISERROR(BI41),$B41=""),"",IF($I41=1,IFBLANK(_xldudf_CX_PUSH(BI41*fxVal_normal,CX_ENTITY,$B41,BI$11,BI$14,BI$19,),""),IF($I41=2,IFBLANK(_xldudf_CX_PUSH(BI41,CX_ENTITY,$B41,BI$11,BI$14,BI$19,),""),IF($I41=3,"",IFBLANK(_xldudf_CX_PUSH(BI41,CX_ENTITY,$B41,BI$11,BI$14,BI$19,),"")))))),"")</f>
        <v/>
      </c>
      <c r="EJ41" s="2445" t="str" cm="1">
        <f t="array" ca="1" aca="1" ref="EJ41">IFERROR(IF(BJ41*fxVal_normal=_PL!BJ41,"",IF(OR(BJ41="",NOT(ISNUMBER(BJ41)),ISERROR(BJ41),$B41=""),"",IF($I41=1,IFBLANK(_xldudf_CX_PUSH(BJ41*fxVal_normal,CX_ENTITY,$B41,BJ$11,BJ$14,BJ$19,),""),IF($I41=2,IFBLANK(_xldudf_CX_PUSH(BJ41,CX_ENTITY,$B41,BJ$11,BJ$14,BJ$19,),""),IF($I41=3,"",IFBLANK(_xldudf_CX_PUSH(BJ41,CX_ENTITY,$B41,BJ$11,BJ$14,BJ$19,),"")))))),"")</f>
        <v/>
      </c>
      <c r="EK41" s="2445" t="str" cm="1">
        <f t="array" ca="1" aca="1" ref="EK41">IFERROR(IF(BK41*fxVal_normal=_PL!BK41,"",IF(OR(BK41="",NOT(ISNUMBER(BK41)),ISERROR(BK41),$B41=""),"",IF($I41=1,IFBLANK(_xldudf_CX_PUSH(BK41*fxVal_normal,CX_ENTITY,$B41,BK$11,BK$14,BK$19,),""),IF($I41=2,IFBLANK(_xldudf_CX_PUSH(BK41,CX_ENTITY,$B41,BK$11,BK$14,BK$19,),""),IF($I41=3,"",IFBLANK(_xldudf_CX_PUSH(BK41,CX_ENTITY,$B41,BK$11,BK$14,BK$19,),"")))))),"")</f>
        <v/>
      </c>
      <c r="EL41" s="2445" t="str" cm="1">
        <f t="array" ca="1" aca="1" ref="EL41">IFERROR(IF(BL41*fxVal_normal=_PL!BL41,"",IF(OR(BL41="",NOT(ISNUMBER(BL41)),ISERROR(BL41),$B41=""),"",IF($I41=1,IFBLANK(_xldudf_CX_PUSH(BL41*fxVal_normal,CX_ENTITY,$B41,BL$11,BL$14,BL$19,),""),IF($I41=2,IFBLANK(_xldudf_CX_PUSH(BL41,CX_ENTITY,$B41,BL$11,BL$14,BL$19,),""),IF($I41=3,"",IFBLANK(_xldudf_CX_PUSH(BL41,CX_ENTITY,$B41,BL$11,BL$14,BL$19,),"")))))),"")</f>
        <v/>
      </c>
      <c r="EM41" s="2445" t="str" cm="1">
        <f t="array" ca="1" aca="1" ref="EM41">IFERROR(IF(BM41*fxVal_normal=_PL!BM41,"",IF(OR(BM41="",NOT(ISNUMBER(BM41)),ISERROR(BM41),$B41=""),"",IF($I41=1,IFBLANK(_xldudf_CX_PUSH(BM41*fxVal_normal,CX_ENTITY,$B41,BM$11,BM$14,BM$19,),""),IF($I41=2,IFBLANK(_xldudf_CX_PUSH(BM41,CX_ENTITY,$B41,BM$11,BM$14,BM$19,),""),IF($I41=3,"",IFBLANK(_xldudf_CX_PUSH(BM41,CX_ENTITY,$B41,BM$11,BM$14,BM$19,),"")))))),"")</f>
        <v/>
      </c>
      <c r="EN41" s="2445" t="str" cm="1">
        <f t="array" ca="1" aca="1" ref="EN41">IFERROR(IF(BN41*fxVal_normal=_PL!BN41,"",IF(OR(BN41="",NOT(ISNUMBER(BN41)),ISERROR(BN41),$B41=""),"",IF($I41=1,IFBLANK(_xldudf_CX_PUSH(BN41*fxVal_normal,CX_ENTITY,$B41,BN$11,BN$14,BN$19,),""),IF($I41=2,IFBLANK(_xldudf_CX_PUSH(BN41,CX_ENTITY,$B41,BN$11,BN$14,BN$19,),""),IF($I41=3,"",IFBLANK(_xldudf_CX_PUSH(BN41,CX_ENTITY,$B41,BN$11,BN$14,BN$19,),"")))))),"")</f>
        <v/>
      </c>
    </row>
    <row r="42" spans="1:155" ht="15.5">
      <c r="A42" s="1625"/>
      <c r="B42" s="2439" t="str">
        <f>_xlfn.LET(_xlpm.IsNotAttrDynamic,D42="",_xlpm.Attr,_PL!F42,_xlpm.NotInUse,Y42=D42,_xlpm.RESULT,IF(_xlpm.IsNotAttrDynamic,_xlpm.Attr,IF(_xlpm.NotInUse,"",Y42)),IF(_xlpm.RESULT="","",_xlpm.RESULT))</f>
        <v/>
      </c>
      <c r="C42" s="2439"/>
      <c r="D42" s="1548"/>
      <c r="E42" s="2453"/>
      <c r="F42" s="578"/>
      <c r="G42" s="578"/>
      <c r="H42" s="401"/>
      <c r="I42" s="401"/>
      <c r="J42" s="2454" t="str" cm="1">
        <f t="array" ref="J42">IFBLANK(Z42,"")</f>
        <v/>
      </c>
      <c r="K42" s="578" t="str">
        <f t="shared" si="3"/>
        <v>No</v>
      </c>
      <c r="L42" s="37"/>
      <c r="N42" s="158"/>
      <c r="O42" s="101"/>
      <c r="P42" s="52"/>
      <c r="Q42" s="101"/>
      <c r="R42" s="126"/>
      <c r="S42" s="101"/>
      <c r="T42" s="101"/>
      <c r="U42" s="39"/>
      <c r="V42" s="37"/>
      <c r="W42" s="198"/>
      <c r="X42" s="885"/>
      <c r="Y42" s="88"/>
      <c r="Z42" s="543"/>
      <c r="AA42" s="97"/>
      <c r="AB42" s="97"/>
      <c r="AC42" s="382"/>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384"/>
      <c r="BP42" s="384"/>
      <c r="BQ42" s="384"/>
      <c r="BR42" s="384"/>
      <c r="BS42" s="384"/>
      <c r="BT42" s="384"/>
      <c r="BU42" s="384"/>
      <c r="BV42" s="384"/>
      <c r="BW42" s="384"/>
      <c r="BX42" s="384"/>
      <c r="BY42" s="384"/>
      <c r="BZ42" s="384"/>
      <c r="CA42" s="34"/>
      <c r="CC42" s="2455"/>
      <c r="CD42" s="177"/>
      <c r="CE42" s="177"/>
      <c r="CF42" s="178"/>
      <c r="CG42" s="177"/>
      <c r="CH42" s="177"/>
      <c r="CI42" s="177"/>
      <c r="CJ42" s="177"/>
      <c r="CK42" s="177"/>
      <c r="CL42" s="88"/>
      <c r="CM42" s="2456"/>
      <c r="CN42" s="2457"/>
      <c r="CO42" s="88"/>
      <c r="CP42" s="2456"/>
      <c r="CQ42" s="2457"/>
      <c r="CR42" s="34"/>
      <c r="CS42" s="2056"/>
      <c r="CT42" s="1880"/>
      <c r="CU42" s="1880"/>
      <c r="CV42" s="1880"/>
      <c r="CW42" s="1880"/>
      <c r="CX42" s="2121"/>
      <c r="CY42" s="1880"/>
      <c r="CZ42" s="1880"/>
      <c r="DA42" s="1880"/>
      <c r="DB42" s="1880"/>
      <c r="DC42" s="2121"/>
      <c r="DD42" s="1880"/>
      <c r="DE42" s="1880"/>
      <c r="DF42" s="1880"/>
      <c r="DG42" s="1880"/>
      <c r="DH42" s="1880"/>
      <c r="DI42" s="1880"/>
      <c r="DJ42" s="1880"/>
      <c r="DK42" s="1880"/>
      <c r="DL42" s="1880"/>
      <c r="DM42" s="1880"/>
      <c r="DN42" s="1880"/>
      <c r="DO42" s="1880"/>
      <c r="DP42" s="1880"/>
      <c r="DQ42" s="1880"/>
      <c r="DR42" s="1880"/>
      <c r="DS42" s="1880"/>
      <c r="DT42" s="1880"/>
      <c r="DU42" s="1880"/>
      <c r="DV42" s="1880"/>
      <c r="DW42" s="1880"/>
      <c r="DX42" s="1880"/>
      <c r="DY42" s="1880"/>
      <c r="DZ42" s="1880"/>
      <c r="EA42" s="1880"/>
      <c r="EB42" s="1880"/>
      <c r="EC42" s="1880"/>
      <c r="ED42" s="1880"/>
      <c r="EE42" s="1880"/>
      <c r="EF42" s="1880"/>
      <c r="EG42" s="1880"/>
      <c r="EH42" s="1880"/>
      <c r="EI42" s="1880"/>
      <c r="EJ42" s="1880"/>
      <c r="EK42" s="1880"/>
      <c r="EL42" s="1880"/>
      <c r="EM42" s="1880"/>
      <c r="EN42" s="1880"/>
      <c r="EO42" s="1880"/>
      <c r="EP42" s="1880"/>
      <c r="EQ42" s="1880"/>
      <c r="ER42" s="1880"/>
      <c r="ES42" s="1880"/>
      <c r="ET42" s="1880"/>
      <c r="EU42" s="1880"/>
      <c r="EV42" s="1880"/>
      <c r="EW42" s="1880"/>
      <c r="EX42" s="1880"/>
      <c r="EY42" s="1880"/>
    </row>
    <row r="43" spans="1:156" ht="18" collapsed="1">
      <c r="A43" s="1625"/>
      <c r="B43" s="2439" t="str">
        <f>_xlfn.LET(_xlpm.IsNotAttrDynamic,D43="",_xlpm.Attr,_PL!F43,_xlpm.NotInUse,Y43=D43,_xlpm.RESULT,IF(_xlpm.IsNotAttrDynamic,_xlpm.Attr,IF(_xlpm.NotInUse,"",Y43)),IF(_xlpm.RESULT="","",_xlpm.RESULT))</f>
        <v/>
      </c>
      <c r="C43" s="2439" t="str" cm="1">
        <f t="array" ref="C43">IFBLANK(_PL!C43,"")</f>
        <v/>
      </c>
      <c r="D43" s="2458"/>
      <c r="E43" s="572"/>
      <c r="F43" s="2459"/>
      <c r="G43" s="578"/>
      <c r="H43" s="401"/>
      <c r="I43" s="401"/>
      <c r="J43" s="2454" t="str" cm="1">
        <f t="array" ref="J43">IFBLANK(Z43,"")</f>
        <v/>
      </c>
      <c r="K43" s="578" t="str">
        <f t="shared" si="3"/>
        <v>No</v>
      </c>
      <c r="L43" s="37"/>
      <c r="N43" s="158"/>
      <c r="O43" s="101"/>
      <c r="P43" s="151"/>
      <c r="Q43" s="151"/>
      <c r="R43" s="101"/>
      <c r="S43" s="291"/>
      <c r="T43" s="291"/>
      <c r="U43" s="39"/>
      <c r="V43" s="37"/>
      <c r="W43" s="3034" t="s">
        <v>94</v>
      </c>
      <c r="X43" s="3061"/>
      <c r="Y43" s="3036" t="s">
        <v>104</v>
      </c>
      <c r="Z43" s="1258"/>
      <c r="AA43" s="1259"/>
      <c r="AB43" s="1630" t="s">
        <v>83</v>
      </c>
      <c r="AC43" s="2460"/>
      <c r="AD43" s="3186" cm="1">
        <f t="array" ca="1" aca="1" ref="AD43:AD44">fx_checkComp(AD45:AD54)</f>
        <v>1</v>
      </c>
      <c r="AE43" s="3186" cm="1">
        <f t="array" ca="1" aca="1" ref="AE43:AE44">fx_checkComp(AE45:AE54)</f>
        <v>1</v>
      </c>
      <c r="AF43" s="3186" cm="1">
        <f t="array" ca="1" aca="1" ref="AF43:AF44">fx_checkComp(AF45:AF54)</f>
        <v>1</v>
      </c>
      <c r="AG43" s="3186" cm="1">
        <f t="array" ca="1" aca="1" ref="AG43:AG44">fx_checkComp(AG45:AG54)</f>
        <v>1</v>
      </c>
      <c r="AH43" s="3186" cm="1">
        <f t="array" ca="1" aca="1" ref="AH43:AH44">fx_checkComp(AH45:AH54)</f>
        <v>1</v>
      </c>
      <c r="AI43" s="3186" cm="1">
        <f t="array" ca="1" aca="1" ref="AI43:AI44">fx_checkComp(AI45:AI54)</f>
        <v>1</v>
      </c>
      <c r="AJ43" s="3186" cm="1">
        <f t="array" ca="1" aca="1" ref="AJ43:AJ44">fx_checkComp(AJ45:AJ54)</f>
        <v>1</v>
      </c>
      <c r="AK43" s="3186" cm="1">
        <f t="array" ca="1" aca="1" ref="AK43:AK44">fx_checkComp(AK45:AK54)</f>
        <v>1</v>
      </c>
      <c r="AL43" s="3186" cm="1">
        <f t="array" ca="1" aca="1" ref="AL43:AL44">fx_checkComp(AL45:AL54)</f>
        <v>1</v>
      </c>
      <c r="AM43" s="3186" cm="1">
        <f t="array" ca="1" aca="1" ref="AM43:AM44">fx_checkComp(AM45:AM54)</f>
        <v>1</v>
      </c>
      <c r="AN43" s="3186" cm="1">
        <f t="array" ca="1" aca="1" ref="AN43:AN44">fx_checkComp(AN45:AN54)</f>
        <v>1</v>
      </c>
      <c r="AO43" s="3186" cm="1">
        <f t="array" ca="1" aca="1" ref="AO43:AO44">fx_checkComp(AO45:AO54)</f>
        <v>1</v>
      </c>
      <c r="AP43" s="3186" cm="1">
        <f t="array" ca="1" aca="1" ref="AP43:AP44">fx_checkComp(AP45:AP54)</f>
        <v>1</v>
      </c>
      <c r="AQ43" s="3186" cm="1">
        <f t="array" ca="1" aca="1" ref="AQ43:AQ44">fx_checkComp(AQ45:AQ54)</f>
        <v>1</v>
      </c>
      <c r="AR43" s="3186" cm="1">
        <f t="array" ca="1" aca="1" ref="AR43:AR44">fx_checkComp(AR45:AR54)</f>
        <v>1</v>
      </c>
      <c r="AS43" s="3186" cm="1">
        <f t="array" ca="1" aca="1" ref="AS43:AS44">fx_checkComp(AS45:AS54)</f>
        <v>1</v>
      </c>
      <c r="AT43" s="3186" cm="1">
        <f t="array" ca="1" aca="1" ref="AT43:AT44">fx_checkComp(AT45:AT54)</f>
        <v>1</v>
      </c>
      <c r="AU43" s="3186" cm="1">
        <f t="array" ca="1" aca="1" ref="AU43:AU44">fx_checkComp(AU45:AU54)</f>
        <v>1</v>
      </c>
      <c r="AV43" s="3186" cm="1">
        <f t="array" ca="1" aca="1" ref="AV43:AV44">fx_checkComp(AV45:AV54)</f>
        <v>1</v>
      </c>
      <c r="AW43" s="3186" cm="1">
        <f t="array" ca="1" aca="1" ref="AW43:AW44">fx_checkComp(AW45:AW54)</f>
        <v>1</v>
      </c>
      <c r="AX43" s="3186" cm="1">
        <f t="array" ca="1" aca="1" ref="AX43:AX44">fx_checkComp(AX45:AX54)</f>
        <v>1</v>
      </c>
      <c r="AY43" s="3186" cm="1">
        <f t="array" ca="1" aca="1" ref="AY43:AY44">fx_checkComp(AY45:AY54)</f>
        <v>1</v>
      </c>
      <c r="AZ43" s="3186" cm="1">
        <f t="array" ca="1" aca="1" ref="AZ43:AZ44">fx_checkComp(AZ45:AZ54)</f>
        <v>1</v>
      </c>
      <c r="BA43" s="3186" cm="1">
        <f t="array" ca="1" aca="1" ref="BA43:BA44">fx_checkComp(BA45:BA54)</f>
        <v>1</v>
      </c>
      <c r="BB43" s="3186" cm="1">
        <f t="array" ca="1" aca="1" ref="BB43:BB44">fx_checkComp(BB45:BB54)</f>
        <v>1</v>
      </c>
      <c r="BC43" s="3186" cm="1">
        <f t="array" ca="1" aca="1" ref="BC43:BC44">fx_checkComp(BC45:BC54)</f>
        <v>1</v>
      </c>
      <c r="BD43" s="3186" cm="1">
        <f t="array" ca="1" aca="1" ref="BD43:BD44">fx_checkComp(BD45:BD54)</f>
        <v>1</v>
      </c>
      <c r="BE43" s="3186" cm="1">
        <f t="array" ca="1" aca="1" ref="BE43:BE44">fx_checkComp(BE45:BE54)</f>
        <v>1</v>
      </c>
      <c r="BF43" s="3186" cm="1">
        <f t="array" ca="1" aca="1" ref="BF43:BF44">fx_checkComp(BF45:BF54)</f>
        <v>1</v>
      </c>
      <c r="BG43" s="3186" cm="1">
        <f t="array" ca="1" aca="1" ref="BG43:BG44">fx_checkComp(BG45:BG54)</f>
        <v>1</v>
      </c>
      <c r="BH43" s="3186" cm="1">
        <f t="array" ca="1" aca="1" ref="BH43:BH44">fx_checkComp(BH45:BH54)</f>
        <v>1</v>
      </c>
      <c r="BI43" s="3186" cm="1">
        <f t="array" ca="1" aca="1" ref="BI43:BI44">fx_checkComp(BI45:BI54)</f>
        <v>1</v>
      </c>
      <c r="BJ43" s="3186" cm="1">
        <f t="array" ca="1" aca="1" ref="BJ43:BJ44">fx_checkComp(BJ45:BJ54)</f>
        <v>1</v>
      </c>
      <c r="BK43" s="3186" cm="1">
        <f t="array" ca="1" aca="1" ref="BK43:BK44">fx_checkComp(BK45:BK54)</f>
        <v>1</v>
      </c>
      <c r="BL43" s="3186" cm="1">
        <f t="array" ca="1" aca="1" ref="BL43:BL44">fx_checkComp(BL45:BL54)</f>
        <v>1</v>
      </c>
      <c r="BM43" s="3186" cm="1">
        <f t="array" ca="1" aca="1" ref="BM43:BM44">fx_checkComp(BM45:BM54)</f>
        <v>1</v>
      </c>
      <c r="BN43" s="3187" cm="1">
        <f t="array" ca="1" aca="1" ref="BN43:BN44">fx_checkComp(BN45:BN54)</f>
        <v>1</v>
      </c>
      <c r="BO43" s="1804"/>
      <c r="BP43" s="1804"/>
      <c r="BQ43" s="1804"/>
      <c r="BR43" s="1804"/>
      <c r="BS43" s="1804"/>
      <c r="BT43" s="1804"/>
      <c r="BU43" s="1804"/>
      <c r="BV43" s="1804"/>
      <c r="BW43" s="1804"/>
      <c r="BX43" s="1804"/>
      <c r="BY43" s="1804"/>
      <c r="BZ43" s="1804"/>
      <c r="CA43" s="34"/>
      <c r="CC43" s="33"/>
      <c r="CD43" s="1265"/>
      <c r="CE43" s="1266"/>
      <c r="CF43" s="88"/>
      <c r="CG43" s="1265"/>
      <c r="CH43" s="1266"/>
      <c r="CI43" s="170"/>
      <c r="CJ43" s="1265"/>
      <c r="CK43" s="1266"/>
      <c r="CL43" s="88"/>
      <c r="CM43" s="3188" cm="1">
        <f t="array" ca="1" aca="1" ref="CM43:CM44">fx_checkComp(CM45:CM54)</f>
        <v>1</v>
      </c>
      <c r="CN43" s="3187" cm="1">
        <f t="array" ca="1" aca="1" ref="CN43:CN44">fx_checkComp(CN45:CN54)</f>
        <v>1</v>
      </c>
      <c r="CO43" s="88"/>
      <c r="CP43" s="3188" cm="1">
        <f t="array" ca="1" aca="1" ref="CP43:CP44">fx_checkComp(CP45:CP54)</f>
        <v>1</v>
      </c>
      <c r="CQ43" s="3187" cm="1">
        <f t="array" ca="1" aca="1" ref="CQ43:CQ44">fx_checkComp(CQ45:CQ54)</f>
        <v>1</v>
      </c>
      <c r="CR43" s="34"/>
      <c r="CS43" s="2056"/>
      <c r="CT43" s="1880"/>
      <c r="CU43" s="1880"/>
      <c r="CV43" s="1880"/>
      <c r="CW43" s="1880"/>
      <c r="CX43" s="2121"/>
      <c r="CY43" s="1880"/>
      <c r="CZ43" s="1880"/>
      <c r="DA43" s="1880"/>
      <c r="DB43" s="1880"/>
      <c r="DC43" s="2121"/>
      <c r="DD43" s="1880"/>
      <c r="DE43" s="1880"/>
      <c r="DF43" s="1880"/>
      <c r="DG43" s="1880"/>
      <c r="DH43" s="1880"/>
      <c r="DI43" s="1880"/>
      <c r="DJ43" s="1880"/>
      <c r="DK43" s="1880"/>
      <c r="DL43" s="1880"/>
      <c r="DM43" s="1880"/>
      <c r="DN43" s="1880"/>
      <c r="DO43" s="1880"/>
      <c r="DP43" s="1880"/>
      <c r="DQ43" s="1880"/>
      <c r="DR43" s="1880"/>
      <c r="DS43" s="1880"/>
      <c r="DT43" s="1880"/>
      <c r="DU43" s="1880"/>
      <c r="DV43" s="1880"/>
      <c r="DW43" s="1880"/>
      <c r="DX43" s="1880"/>
      <c r="DY43" s="1880"/>
      <c r="DZ43" s="1880"/>
      <c r="EA43" s="1880"/>
      <c r="EB43" s="1880"/>
      <c r="EC43" s="1880"/>
      <c r="ED43" s="1880"/>
      <c r="EE43" s="1880"/>
      <c r="EF43" s="1880"/>
      <c r="EG43" s="1880"/>
      <c r="EH43" s="1880"/>
      <c r="EI43" s="1880"/>
      <c r="EJ43" s="1880"/>
      <c r="EK43" s="1880"/>
      <c r="EL43" s="1880"/>
      <c r="EM43" s="1880"/>
      <c r="EN43" s="1880"/>
      <c r="EO43" s="1880"/>
      <c r="EP43" s="1880"/>
      <c r="EQ43" s="1880"/>
      <c r="ER43" s="1880"/>
      <c r="ES43" s="1880"/>
      <c r="ET43" s="1880"/>
      <c r="EU43" s="1880"/>
      <c r="EV43" s="1880"/>
      <c r="EW43" s="1880"/>
      <c r="EX43" s="1880"/>
      <c r="EY43" s="1880"/>
      <c r="EZ43" s="1880"/>
    </row>
    <row r="44" spans="1:156" ht="18">
      <c r="A44" s="1625"/>
      <c r="B44" s="2439" t="str">
        <f>_xlfn.LET(_xlpm.IsNotAttrDynamic,D44="",_xlpm.Attr,_PL!F44,_xlpm.NotInUse,Y44=D44,_xlpm.RESULT,IF(_xlpm.IsNotAttrDynamic,_xlpm.Attr,IF(_xlpm.NotInUse,"",Y44)),IF(_xlpm.RESULT="","",_xlpm.RESULT))</f>
        <v/>
      </c>
      <c r="C44" s="2439" t="str" cm="1">
        <f t="array" ref="C44">IFBLANK(_PL!C44,"")</f>
        <v/>
      </c>
      <c r="D44" s="2458"/>
      <c r="E44" s="572"/>
      <c r="F44" s="2459"/>
      <c r="G44" s="578"/>
      <c r="H44" s="401"/>
      <c r="I44" s="401"/>
      <c r="J44" s="2454" t="str" cm="1">
        <f t="array" ref="J44">IFBLANK(Z44,"")</f>
        <v/>
      </c>
      <c r="K44" s="578" t="str">
        <f t="shared" si="3"/>
        <v>No</v>
      </c>
      <c r="L44" s="37"/>
      <c r="N44" s="158"/>
      <c r="O44" s="101"/>
      <c r="P44" s="151"/>
      <c r="Q44" s="151"/>
      <c r="R44" s="101"/>
      <c r="S44" s="289"/>
      <c r="T44" s="289"/>
      <c r="U44" s="39"/>
      <c r="V44" s="37"/>
      <c r="W44" s="3035"/>
      <c r="X44" s="3062"/>
      <c r="Y44" s="3037"/>
      <c r="Z44" s="1233"/>
      <c r="AA44" s="1262"/>
      <c r="AB44" s="1631" t="s">
        <v>84</v>
      </c>
      <c r="AC44" s="2461"/>
      <c r="AD44" s="2462" t="str">
        <f ca="1"/>
        <v>O: 10 / 10</v>
      </c>
      <c r="AE44" s="2462" t="str">
        <f ca="1"/>
        <v>O: 10 / 10</v>
      </c>
      <c r="AF44" s="2462" t="str">
        <f ca="1"/>
        <v>O: 10 / 10</v>
      </c>
      <c r="AG44" s="2462" t="str">
        <f ca="1"/>
        <v>O: 10 / 10</v>
      </c>
      <c r="AH44" s="2462" t="str">
        <f ca="1"/>
        <v>O: 10 / 10</v>
      </c>
      <c r="AI44" s="2462" t="str">
        <f ca="1"/>
        <v>O: 10 / 10</v>
      </c>
      <c r="AJ44" s="2462" t="str">
        <f ca="1"/>
        <v>O: 10 / 10</v>
      </c>
      <c r="AK44" s="2462" t="str">
        <f ca="1"/>
        <v>O: 10 / 10</v>
      </c>
      <c r="AL44" s="2462" t="str">
        <f ca="1"/>
        <v>O: 10 / 10</v>
      </c>
      <c r="AM44" s="2462" t="str">
        <f ca="1"/>
        <v>O: 10 / 10</v>
      </c>
      <c r="AN44" s="2462" t="str">
        <f ca="1"/>
        <v>O: 10 / 10</v>
      </c>
      <c r="AO44" s="2462" t="str">
        <f ca="1"/>
        <v>O: 10 / 10</v>
      </c>
      <c r="AP44" s="2462" t="str">
        <f ca="1"/>
        <v>O: 10 / 10</v>
      </c>
      <c r="AQ44" s="2462" t="str">
        <f ca="1"/>
        <v>O: 10 / 10</v>
      </c>
      <c r="AR44" s="2462" t="str">
        <f ca="1"/>
        <v>O: 10 / 10</v>
      </c>
      <c r="AS44" s="2462" t="str">
        <f ca="1"/>
        <v>O: 10 / 10</v>
      </c>
      <c r="AT44" s="2462" t="str">
        <f ca="1"/>
        <v>O: 10 / 10</v>
      </c>
      <c r="AU44" s="2462" t="str">
        <f ca="1"/>
        <v>O: 10 / 10</v>
      </c>
      <c r="AV44" s="2462" t="str">
        <f ca="1"/>
        <v>O: 10 / 10</v>
      </c>
      <c r="AW44" s="2462" t="str">
        <f ca="1"/>
        <v>O: 10 / 10</v>
      </c>
      <c r="AX44" s="2462" t="str">
        <f ca="1"/>
        <v>O: 10 / 10</v>
      </c>
      <c r="AY44" s="2462" t="str">
        <f ca="1"/>
        <v>O: 10 / 10</v>
      </c>
      <c r="AZ44" s="2462" t="str">
        <f ca="1"/>
        <v>O: 10 / 10</v>
      </c>
      <c r="BA44" s="2462" t="str">
        <f ca="1"/>
        <v>O: 10 / 10</v>
      </c>
      <c r="BB44" s="2462" t="str">
        <f ca="1"/>
        <v>O: 10 / 10</v>
      </c>
      <c r="BC44" s="2462" t="str">
        <f ca="1"/>
        <v>O: 10 / 10</v>
      </c>
      <c r="BD44" s="2462" t="str">
        <f ca="1"/>
        <v>O: 10 / 10</v>
      </c>
      <c r="BE44" s="2462" t="str">
        <f ca="1"/>
        <v>O: 10 / 10</v>
      </c>
      <c r="BF44" s="2462" t="str">
        <f ca="1"/>
        <v>O: 10 / 10</v>
      </c>
      <c r="BG44" s="2462" t="str">
        <f ca="1"/>
        <v>O: 10 / 10</v>
      </c>
      <c r="BH44" s="2462" t="str">
        <f ca="1"/>
        <v>O: 10 / 10</v>
      </c>
      <c r="BI44" s="2462" t="str">
        <f ca="1"/>
        <v>O: 10 / 10</v>
      </c>
      <c r="BJ44" s="2462" t="str">
        <f ca="1"/>
        <v>O: 10 / 10</v>
      </c>
      <c r="BK44" s="2462" t="str">
        <f ca="1"/>
        <v>O: 10 / 10</v>
      </c>
      <c r="BL44" s="2462" t="str">
        <f ca="1"/>
        <v>O: 10 / 10</v>
      </c>
      <c r="BM44" s="2462" t="str">
        <f ca="1"/>
        <v>O: 10 / 10</v>
      </c>
      <c r="BN44" s="2463" t="str">
        <f ca="1"/>
        <v>O: 10 / 10</v>
      </c>
      <c r="BO44" s="2464"/>
      <c r="BP44" s="2464"/>
      <c r="BQ44" s="2464"/>
      <c r="BR44" s="2464"/>
      <c r="BS44" s="2464"/>
      <c r="BT44" s="2464"/>
      <c r="BU44" s="2464"/>
      <c r="BV44" s="2464"/>
      <c r="BW44" s="2464"/>
      <c r="BX44" s="2464"/>
      <c r="BY44" s="2464"/>
      <c r="BZ44" s="2464"/>
      <c r="CA44" s="34"/>
      <c r="CC44" s="33"/>
      <c r="CD44" s="1267"/>
      <c r="CE44" s="1268"/>
      <c r="CF44" s="88"/>
      <c r="CG44" s="1267"/>
      <c r="CH44" s="1268"/>
      <c r="CI44" s="170"/>
      <c r="CJ44" s="1267"/>
      <c r="CK44" s="1268"/>
      <c r="CL44" s="88"/>
      <c r="CM44" s="1466" t="str">
        <f ca="1"/>
        <v>O: 10 / 10</v>
      </c>
      <c r="CN44" s="1467" t="str">
        <f ca="1"/>
        <v>O: 10 / 10</v>
      </c>
      <c r="CO44" s="992"/>
      <c r="CP44" s="1466" t="str">
        <f ca="1"/>
        <v>O: 10 / 10</v>
      </c>
      <c r="CQ44" s="1467" t="str">
        <f ca="1"/>
        <v>O: 10 / 10</v>
      </c>
      <c r="CR44" s="34"/>
      <c r="CS44" s="2056"/>
      <c r="CT44" s="2465">
        <v>0</v>
      </c>
      <c r="CU44" s="3285">
        <v>1</v>
      </c>
      <c r="CV44" s="3285">
        <v>2</v>
      </c>
      <c r="CW44" s="2465">
        <v>3</v>
      </c>
      <c r="CX44" s="2121"/>
      <c r="CY44" s="1880"/>
      <c r="CZ44" s="1880"/>
      <c r="DA44" s="1880"/>
      <c r="DB44" s="1880"/>
      <c r="DC44" s="2121"/>
      <c r="DD44" s="1880"/>
      <c r="DE44" s="1880"/>
      <c r="DF44" s="1880"/>
      <c r="DG44" s="1880"/>
      <c r="DH44" s="1880"/>
      <c r="DI44" s="1880"/>
      <c r="DJ44" s="1880"/>
      <c r="DK44" s="1880"/>
      <c r="DL44" s="1880"/>
      <c r="DM44" s="1880"/>
      <c r="DN44" s="1880"/>
      <c r="DO44" s="1880"/>
      <c r="DP44" s="1880"/>
      <c r="DQ44" s="1880"/>
      <c r="DR44" s="1880"/>
      <c r="DS44" s="1880"/>
      <c r="DT44" s="1880"/>
      <c r="DU44" s="1880"/>
      <c r="DV44" s="1880"/>
      <c r="DW44" s="1880"/>
      <c r="DX44" s="1880"/>
      <c r="DY44" s="1880"/>
      <c r="DZ44" s="1880"/>
      <c r="EA44" s="1880"/>
      <c r="EB44" s="1880"/>
      <c r="EC44" s="1880"/>
      <c r="ED44" s="1880"/>
      <c r="EE44" s="1880"/>
      <c r="EF44" s="1880"/>
      <c r="EG44" s="1880"/>
      <c r="EH44" s="1880"/>
      <c r="EI44" s="1880"/>
      <c r="EJ44" s="1880"/>
      <c r="EK44" s="1880"/>
      <c r="EL44" s="1880"/>
      <c r="EM44" s="1880"/>
      <c r="EN44" s="1880"/>
      <c r="EO44" s="1880"/>
      <c r="EP44" s="1880"/>
      <c r="EQ44" s="1880"/>
      <c r="ER44" s="1880"/>
      <c r="ES44" s="1880"/>
      <c r="ET44" s="1880"/>
      <c r="EU44" s="1880"/>
      <c r="EV44" s="1880"/>
      <c r="EW44" s="1880"/>
      <c r="EX44" s="1880"/>
      <c r="EY44" s="1880"/>
      <c r="EZ44" s="1880"/>
    </row>
    <row r="45" spans="1:144" ht="21" customHeight="1">
      <c r="A45" s="1625" t="s">
        <v>96</v>
      </c>
      <c r="B45" s="2439" t="str">
        <f>_xlfn.LET(_xlpm.IsNotAttrDynamic,D45="",_xlpm.Attr,_PL!F45,_xlpm.NotInUse,Y45=D45,_xlpm.RESULT,IF(_xlpm.IsNotAttrDynamic,_xlpm.Attr,IF(_xlpm.NotInUse,"",Y45)),IF(_xlpm.RESULT="","",_xlpm.RESULT))</f>
        <v>Annual Recurring Revenue (Rolling 12 months)</v>
      </c>
      <c r="C45" s="3459" t="str" cm="1">
        <f t="array" ref="C45">IFBLANK(_PL!C45,"")</f>
        <v>Annual Recurring Revenue (Rolling 12 months) (Company View)</v>
      </c>
      <c r="D45" s="1549"/>
      <c r="E45" s="2440" t="e" cm="1">
        <f t="array" ca="1" aca="1" ref="E4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45:$CQ45,Z45)</f>
        <v>#NAME?</v>
      </c>
      <c r="F45" s="578"/>
      <c r="G45" s="578"/>
      <c r="H45" s="3280">
        <v>1</v>
      </c>
      <c r="I45" s="3280">
        <v>1</v>
      </c>
      <c r="J45" s="3280">
        <v>1</v>
      </c>
      <c r="K45" s="578" t="str">
        <f ca="1">IFERROR(IF(LEN(AB45)=0,"No",IF(LEN(J45)&gt;0,"Yes","No")),"")</f>
        <v/>
      </c>
      <c r="L45" s="37"/>
      <c r="N45" s="158"/>
      <c r="O45" s="101"/>
      <c r="P45" s="52"/>
      <c r="Q45" s="101"/>
      <c r="R45" s="126"/>
      <c r="S45" s="101"/>
      <c r="T45" s="101"/>
      <c r="U45" s="39"/>
      <c r="V45" s="37"/>
      <c r="W45" s="91" t="str">
        <f t="shared" si="15" ref="W45:W54">$W$20</f>
        <v>Actual</v>
      </c>
      <c r="X45" s="2081" t="e">
        <f ca="1">_PL!X45</f>
        <v>#NAME?</v>
      </c>
      <c r="Y45" s="3189">
        <v>2</v>
      </c>
      <c r="Z45" s="878">
        <f>_PL!Z45</f>
        <v>-1</v>
      </c>
      <c r="AA45" s="877"/>
      <c r="AB45" s="2467" t="e">
        <f ca="1">IF(_PL!AB45="Error","",_PL!AB45)</f>
        <v>#NAME?</v>
      </c>
      <c r="AC45" s="2468" t="str" cm="1">
        <f t="array" ca="1" aca="1" ref="AC45">_xlfn.LET(_xlpm._termname,$AB45,_xlpm._iconname,"find",_xlpm._icon,fx_getIcon(_xlpm._iconname),_xlpm._location,_xlfn.XLOOKUP(LOWER(_xlpm._termname),LOWER(tbl_acctDef[Term]),tbl_acctDef[Term]),_xlpm._hyperlink,HYPERLINK("#"&amp;CELL("address",_xlpm._location),_xlpm._icon),IFERROR(_xlpm._hyperlink,""))</f>
        <v/>
      </c>
      <c r="AD45" s="3175">
        <v>1</v>
      </c>
      <c r="AE45" s="3175">
        <v>1</v>
      </c>
      <c r="AF45" s="3175">
        <v>1</v>
      </c>
      <c r="AG45" s="3175">
        <v>1</v>
      </c>
      <c r="AH45" s="3175">
        <v>1</v>
      </c>
      <c r="AI45" s="3175">
        <v>1</v>
      </c>
      <c r="AJ45" s="3175">
        <v>1</v>
      </c>
      <c r="AK45" s="3175">
        <v>1</v>
      </c>
      <c r="AL45" s="3175">
        <v>1</v>
      </c>
      <c r="AM45" s="3175">
        <v>1</v>
      </c>
      <c r="AN45" s="3175">
        <v>1</v>
      </c>
      <c r="AO45" s="3175">
        <v>1</v>
      </c>
      <c r="AP45" s="3175">
        <v>1</v>
      </c>
      <c r="AQ45" s="3175">
        <v>1</v>
      </c>
      <c r="AR45" s="3175">
        <v>1</v>
      </c>
      <c r="AS45" s="3175">
        <v>1</v>
      </c>
      <c r="AT45" s="3175">
        <v>1</v>
      </c>
      <c r="AU45" s="3175">
        <v>1</v>
      </c>
      <c r="AV45" s="3175">
        <v>1</v>
      </c>
      <c r="AW45" s="3175">
        <v>1</v>
      </c>
      <c r="AX45" s="3175">
        <v>1</v>
      </c>
      <c r="AY45" s="3175">
        <v>1</v>
      </c>
      <c r="AZ45" s="3175">
        <v>1</v>
      </c>
      <c r="BA45" s="3175">
        <v>1</v>
      </c>
      <c r="BB45" s="3175">
        <v>1</v>
      </c>
      <c r="BC45" s="3175">
        <v>1</v>
      </c>
      <c r="BD45" s="3175">
        <v>1</v>
      </c>
      <c r="BE45" s="3175">
        <v>1</v>
      </c>
      <c r="BF45" s="3175">
        <v>1</v>
      </c>
      <c r="BG45" s="3175">
        <v>1</v>
      </c>
      <c r="BH45" s="3175">
        <v>1</v>
      </c>
      <c r="BI45" s="3175">
        <v>1</v>
      </c>
      <c r="BJ45" s="3175">
        <v>1</v>
      </c>
      <c r="BK45" s="3175">
        <v>1</v>
      </c>
      <c r="BL45" s="3175">
        <v>1</v>
      </c>
      <c r="BM45" s="3175">
        <v>1</v>
      </c>
      <c r="BN45" s="3175">
        <v>1</v>
      </c>
      <c r="BO45" s="2442"/>
      <c r="BP45" s="2442"/>
      <c r="BQ45" s="2442"/>
      <c r="BR45" s="2442"/>
      <c r="BS45" s="2442"/>
      <c r="BT45" s="2442"/>
      <c r="BU45" s="2442"/>
      <c r="BV45" s="2442"/>
      <c r="BW45" s="2442"/>
      <c r="BX45" s="2442"/>
      <c r="BY45" s="2442"/>
      <c r="BZ45" s="2442"/>
      <c r="CA45" s="34"/>
      <c r="CC45" s="33"/>
      <c r="CD45" s="559" t="e" cm="1">
        <f t="array" ca="1" aca="1" ref="CD45">_xlfn.XLOOKUP(PL!CD$11,array_timeline,PL!$AD45:$BN45,"")</f>
        <v>#NAME?</v>
      </c>
      <c r="CE45" s="559" t="e" cm="1">
        <f t="array" ca="1" aca="1" ref="CE45">_xlfn.XLOOKUP(PL!CE$11,array_timeline,PL!$AD45:$BN45,"")</f>
        <v>#NAME?</v>
      </c>
      <c r="CF45" s="88"/>
      <c r="CG45" s="3460"/>
      <c r="CH45" s="2469"/>
      <c r="CI45" s="88"/>
      <c r="CJ45" s="3190">
        <f>_xlfn.XLOOKUP(CJ$74,array_timeline,PL!$AD45:$BN45,"")</f>
        <v>1</v>
      </c>
      <c r="CK45" s="3190">
        <f>_xlfn.XLOOKUP(CK$74,array_timeline,PL!$AD45:$BN45,"")</f>
        <v>1</v>
      </c>
      <c r="CL45" s="88"/>
      <c r="CM45" s="3175">
        <v>1</v>
      </c>
      <c r="CN45" s="3175">
        <v>1</v>
      </c>
      <c r="CO45" s="992"/>
      <c r="CP45" s="3175">
        <v>1</v>
      </c>
      <c r="CQ45" s="3175">
        <v>1</v>
      </c>
      <c r="CR45" s="34"/>
      <c r="CS45" s="2056"/>
      <c r="CT45" s="2447" t="e" cm="1">
        <f t="array" ca="1" aca="1" ref="CT45">IF(Y45="","",IF(ISNUMBER(SEARCH("Select",$Y45)),"",_xldudf_CX_PUSH($Y45,CX_ENTITY,C45,val_asOfDate)))</f>
        <v>#NAME?</v>
      </c>
      <c r="CU45" s="2447" t="e" cm="1">
        <f t="array" ca="1" aca="1" ref="CU45">IF(Y45="","",IF(ISNUMBER(SEARCH("Select",$Y45)),"",_xldudf_CX_PUSH($Y45,CX_ENTITY,C45,EOMONTH(val_asOfDate,1))))</f>
        <v>#NAME?</v>
      </c>
      <c r="CV45" s="2447" t="e" cm="1">
        <f t="array" ca="1" aca="1" ref="CV45">IF(Y45="","",IF(ISNUMBER(SEARCH("Select",$Y45)),"",_xldudf_CX_PUSH($Y45,CX_ENTITY,C45,EOMONTH(val_asOfDate,2))))</f>
        <v>#NAME?</v>
      </c>
      <c r="CW45" s="2447" t="e" cm="1">
        <f t="array" ca="1" aca="1" ref="CW45">IF(Y45="","",IF(ISNUMBER(SEARCH("Select",$Y45)),"",_xldudf_CX_PUSH($Y45,CX_ENTITY,C45,EOMONTH(val_asOfDate,3))))</f>
        <v>#NAME?</v>
      </c>
      <c r="CX45" s="2443"/>
      <c r="CY45" s="2444" t="str" cm="1">
        <f t="array" ca="1" aca="1" ref="CY45">IFERROR(IF(CM45*fxVal_normal=_PL!CM45,"",IF(OR($CM45="",$CM45=0,NOT(ISNUMBER($CM45)),ISERROR($CM45),$B45=""),"",IF($I45=1,IFBLANK(_xldudf_CX_PUSH($CM45*fxVal_normal,CX_ENTITY,$B45,$CM$11,"As of",$CM$19,),""),IF($I45=2,IFBLANK(_xldudf_CX_PUSH($CM45,CX_ENTITY,$B45,$CM$11,"As of",$CM$19,),""),IF($I45=3,"",IFBLANK(_xldudf_CX_PUSH($CM45,CX_ENTITY,$B45,$CM$11,"As of",$CM$19,),"")))))),"")</f>
        <v/>
      </c>
      <c r="CZ45" s="2444" t="str" cm="1">
        <f t="array" ca="1" aca="1" ref="CZ45">IFERROR(IF(CN45*fxVal_normal=_PL!CN45,"",IF(OR($CN45="",$CN45=0,NOT(ISNUMBER($CN45)),ISERROR($CN45),$B45=""),"",IF($I45=1,IFBLANK(_xldudf_CX_PUSH($CN45*fxVal_normal,CX_ENTITY,$B45,$CN$11,"As of",$CN$19,),""),IF($I45=2,IFBLANK(_xldudf_CX_PUSH($CN45,CX_ENTITY,$B45,$CN$11,"As of",$CN$19,),""),IF($I45=3,"",IFBLANK(_xldudf_CX_PUSH($CN45,CX_ENTITY,$B45,$CN$11,"As of",$CN$19,),"")))))),"")</f>
        <v/>
      </c>
      <c r="DA45" s="2444" t="str" cm="1">
        <f t="array" ca="1" aca="1" ref="DA45">IFERROR(IF(CP45*fxVal_normal=_PL!CP45,"",IF(OR($CP45="",$CP45=0,NOT(ISNUMBER($CP45)),ISERROR($CP45),$B45=""),"",IF($I45=1,IFBLANK(_xldudf_CX_PUSH($CP45*fxVal_normal,CX_ENTITY,$B45,$CP$11,"As of",$CP$19,),""),IF($I45=2,IFBLANK(_xldudf_CX_PUSH($CP45,CX_ENTITY,$B45,$CP$11,"As of",$CP$19,),""),IF($I45=3,"",IFBLANK(_xldudf_CX_PUSH($CP45,CX_ENTITY,$B45,$CP$11,"As of",$CP$19,),"")))))),"")</f>
        <v/>
      </c>
      <c r="DB45" s="2444" t="str" cm="1">
        <f t="array" ca="1" aca="1" ref="DB45">IFERROR(IF(CQ45*fxVal_normal=_PL!CQ45,"",IF(OR($CQ45="",$CQ45=0,NOT(ISNUMBER($CQ45)),ISERROR($CQ45),$B45=""),"",IF($I45=1,IFBLANK(_xldudf_CX_PUSH($CQ45*fxVal_normal,CX_ENTITY,$B45,$CQ$11,"As of",$CQ$19,),""),IF($I45=2,IFBLANK(_xldudf_CX_PUSH($CQ45,CX_ENTITY,$B45,$CQ$11,"As of",$CQ$19,),""),IF($I45=3,"",IFBLANK(_xldudf_CX_PUSH($CQ45,CX_ENTITY,$B45,$CQ$11,"As of",$CQ$19,),"")))))),"")</f>
        <v/>
      </c>
      <c r="DC45" s="2443"/>
      <c r="DD45" s="2445" t="str" cm="1">
        <f t="array" ca="1" aca="1" ref="DD45">IFERROR(IF(AD45*fxVal_normal=_PL!AD45,"",IF(OR(AD45="",NOT(ISNUMBER(AD45)),ISERROR(AD45),$B45=""),"",IF($I45=1,IFBLANK(_xldudf_CX_PUSH(AD45*fxVal_normal,CX_ENTITY,$B45,AD$11,"As of",AD$19,),""),IF($I45=2,IFBLANK(_xldudf_CX_PUSH(AD45,CX_ENTITY,$B45,AD$11,"As of",AD$19,),""),IF($I45=3,"",IFBLANK(_xldudf_CX_PUSH(AD45,CX_ENTITY,$B45,AD$11,"As of",AD$19,),"")))))),"")</f>
        <v/>
      </c>
      <c r="DE45" s="2445" t="str" cm="1">
        <f t="array" ca="1" aca="1" ref="DE45">IFERROR(IF(AE45*fxVal_normal=_PL!AE45,"",IF(OR(AE45="",NOT(ISNUMBER(AE45)),ISERROR(AE45),$B45=""),"",IF($I45=1,IFBLANK(_xldudf_CX_PUSH(AE45*fxVal_normal,CX_ENTITY,$B45,AE$11,"As of",AE$19,),""),IF($I45=2,IFBLANK(_xldudf_CX_PUSH(AE45,CX_ENTITY,$B45,AE$11,"As of",AE$19,),""),IF($I45=3,"",IFBLANK(_xldudf_CX_PUSH(AE45,CX_ENTITY,$B45,AE$11,"As of",AE$19,),"")))))),"")</f>
        <v/>
      </c>
      <c r="DF45" s="2445" t="str" cm="1">
        <f t="array" ca="1" aca="1" ref="DF45">IFERROR(IF(AF45*fxVal_normal=_PL!AF45,"",IF(OR(AF45="",NOT(ISNUMBER(AF45)),ISERROR(AF45),$B45=""),"",IF($I45=1,IFBLANK(_xldudf_CX_PUSH(AF45*fxVal_normal,CX_ENTITY,$B45,AF$11,"As of",AF$19,),""),IF($I45=2,IFBLANK(_xldudf_CX_PUSH(AF45,CX_ENTITY,$B45,AF$11,"As of",AF$19,),""),IF($I45=3,"",IFBLANK(_xldudf_CX_PUSH(AF45,CX_ENTITY,$B45,AF$11,"As of",AF$19,),"")))))),"")</f>
        <v/>
      </c>
      <c r="DG45" s="2445" t="str" cm="1">
        <f t="array" ca="1" aca="1" ref="DG45">IFERROR(IF(AG45*fxVal_normal=_PL!AG45,"",IF(OR(AG45="",NOT(ISNUMBER(AG45)),ISERROR(AG45),$B45=""),"",IF($I45=1,IFBLANK(_xldudf_CX_PUSH(AG45*fxVal_normal,CX_ENTITY,$B45,AG$11,"As of",AG$19,),""),IF($I45=2,IFBLANK(_xldudf_CX_PUSH(AG45,CX_ENTITY,$B45,AG$11,"As of",AG$19,),""),IF($I45=3,"",IFBLANK(_xldudf_CX_PUSH(AG45,CX_ENTITY,$B45,AG$11,"As of",AG$19,),"")))))),"")</f>
        <v/>
      </c>
      <c r="DH45" s="2445" t="str" cm="1">
        <f t="array" ca="1" aca="1" ref="DH45">IFERROR(IF(AH45*fxVal_normal=_PL!AH45,"",IF(OR(AH45="",NOT(ISNUMBER(AH45)),ISERROR(AH45),$B45=""),"",IF($I45=1,IFBLANK(_xldudf_CX_PUSH(AH45*fxVal_normal,CX_ENTITY,$B45,AH$11,"As of",AH$19,),""),IF($I45=2,IFBLANK(_xldudf_CX_PUSH(AH45,CX_ENTITY,$B45,AH$11,"As of",AH$19,),""),IF($I45=3,"",IFBLANK(_xldudf_CX_PUSH(AH45,CX_ENTITY,$B45,AH$11,"As of",AH$19,),"")))))),"")</f>
        <v/>
      </c>
      <c r="DI45" s="2445" t="str" cm="1">
        <f t="array" ca="1" aca="1" ref="DI45">IFERROR(IF(AI45*fxVal_normal=_PL!AI45,"",IF(OR(AI45="",NOT(ISNUMBER(AI45)),ISERROR(AI45),$B45=""),"",IF($I45=1,IFBLANK(_xldudf_CX_PUSH(AI45*fxVal_normal,CX_ENTITY,$B45,AI$11,"As of",AI$19,),""),IF($I45=2,IFBLANK(_xldudf_CX_PUSH(AI45,CX_ENTITY,$B45,AI$11,"As of",AI$19,),""),IF($I45=3,"",IFBLANK(_xldudf_CX_PUSH(AI45,CX_ENTITY,$B45,AI$11,"As of",AI$19,),"")))))),"")</f>
        <v/>
      </c>
      <c r="DJ45" s="2445" t="str" cm="1">
        <f t="array" ca="1" aca="1" ref="DJ45">IFERROR(IF(AJ45*fxVal_normal=_PL!AJ45,"",IF(OR(AJ45="",NOT(ISNUMBER(AJ45)),ISERROR(AJ45),$B45=""),"",IF($I45=1,IFBLANK(_xldudf_CX_PUSH(AJ45*fxVal_normal,CX_ENTITY,$B45,AJ$11,"As of",AJ$19,),""),IF($I45=2,IFBLANK(_xldudf_CX_PUSH(AJ45,CX_ENTITY,$B45,AJ$11,"As of",AJ$19,),""),IF($I45=3,"",IFBLANK(_xldudf_CX_PUSH(AJ45,CX_ENTITY,$B45,AJ$11,"As of",AJ$19,),"")))))),"")</f>
        <v/>
      </c>
      <c r="DK45" s="2445" t="str" cm="1">
        <f t="array" ca="1" aca="1" ref="DK45">IFERROR(IF(AK45*fxVal_normal=_PL!AK45,"",IF(OR(AK45="",NOT(ISNUMBER(AK45)),ISERROR(AK45),$B45=""),"",IF($I45=1,IFBLANK(_xldudf_CX_PUSH(AK45*fxVal_normal,CX_ENTITY,$B45,AK$11,"As of",AK$19,),""),IF($I45=2,IFBLANK(_xldudf_CX_PUSH(AK45,CX_ENTITY,$B45,AK$11,"As of",AK$19,),""),IF($I45=3,"",IFBLANK(_xldudf_CX_PUSH(AK45,CX_ENTITY,$B45,AK$11,"As of",AK$19,),"")))))),"")</f>
        <v/>
      </c>
      <c r="DL45" s="2445" t="str" cm="1">
        <f t="array" ca="1" aca="1" ref="DL45">IFERROR(IF(AL45*fxVal_normal=_PL!AL45,"",IF(OR(AL45="",NOT(ISNUMBER(AL45)),ISERROR(AL45),$B45=""),"",IF($I45=1,IFBLANK(_xldudf_CX_PUSH(AL45*fxVal_normal,CX_ENTITY,$B45,AL$11,"As of",AL$19,),""),IF($I45=2,IFBLANK(_xldudf_CX_PUSH(AL45,CX_ENTITY,$B45,AL$11,"As of",AL$19,),""),IF($I45=3,"",IFBLANK(_xldudf_CX_PUSH(AL45,CX_ENTITY,$B45,AL$11,"As of",AL$19,),"")))))),"")</f>
        <v/>
      </c>
      <c r="DM45" s="2445" t="str" cm="1">
        <f t="array" ca="1" aca="1" ref="DM45">IFERROR(IF(AM45*fxVal_normal=_PL!AM45,"",IF(OR(AM45="",NOT(ISNUMBER(AM45)),ISERROR(AM45),$B45=""),"",IF($I45=1,IFBLANK(_xldudf_CX_PUSH(AM45*fxVal_normal,CX_ENTITY,$B45,AM$11,"As of",AM$19,),""),IF($I45=2,IFBLANK(_xldudf_CX_PUSH(AM45,CX_ENTITY,$B45,AM$11,"As of",AM$19,),""),IF($I45=3,"",IFBLANK(_xldudf_CX_PUSH(AM45,CX_ENTITY,$B45,AM$11,"As of",AM$19,),"")))))),"")</f>
        <v/>
      </c>
      <c r="DN45" s="2445" t="str" cm="1">
        <f t="array" ca="1" aca="1" ref="DN45">IFERROR(IF(AN45*fxVal_normal=_PL!AN45,"",IF(OR(AN45="",NOT(ISNUMBER(AN45)),ISERROR(AN45),$B45=""),"",IF($I45=1,IFBLANK(_xldudf_CX_PUSH(AN45*fxVal_normal,CX_ENTITY,$B45,AN$11,"As of",AN$19,),""),IF($I45=2,IFBLANK(_xldudf_CX_PUSH(AN45,CX_ENTITY,$B45,AN$11,"As of",AN$19,),""),IF($I45=3,"",IFBLANK(_xldudf_CX_PUSH(AN45,CX_ENTITY,$B45,AN$11,"As of",AN$19,),"")))))),"")</f>
        <v/>
      </c>
      <c r="DO45" s="2445" t="str" cm="1">
        <f t="array" ca="1" aca="1" ref="DO45">IFERROR(IF(AO45*fxVal_normal=_PL!AO45,"",IF(OR(AO45="",NOT(ISNUMBER(AO45)),ISERROR(AO45),$B45=""),"",IF($I45=1,IFBLANK(_xldudf_CX_PUSH(AO45*fxVal_normal,CX_ENTITY,$B45,AO$11,"As of",AO$19,),""),IF($I45=2,IFBLANK(_xldudf_CX_PUSH(AO45,CX_ENTITY,$B45,AO$11,"As of",AO$19,),""),IF($I45=3,"",IFBLANK(_xldudf_CX_PUSH(AO45,CX_ENTITY,$B45,AO$11,"As of",AO$19,),"")))))),"")</f>
        <v/>
      </c>
      <c r="DP45" s="2445" t="str" cm="1">
        <f t="array" ca="1" aca="1" ref="DP45">IFERROR(IF(AP45*fxVal_normal=_PL!AP45,"",IF(OR(AP45="",NOT(ISNUMBER(AP45)),ISERROR(AP45),$B45=""),"",IF($I45=1,IFBLANK(_xldudf_CX_PUSH(AP45*fxVal_normal,CX_ENTITY,$B45,AP$11,"As of",AP$19,),""),IF($I45=2,IFBLANK(_xldudf_CX_PUSH(AP45,CX_ENTITY,$B45,AP$11,"As of",AP$19,),""),IF($I45=3,"",IFBLANK(_xldudf_CX_PUSH(AP45,CX_ENTITY,$B45,AP$11,"As of",AP$19,),"")))))),"")</f>
        <v/>
      </c>
      <c r="DQ45" s="2445" t="str" cm="1">
        <f t="array" ca="1" aca="1" ref="DQ45">IFERROR(IF(AQ45*fxVal_normal=_PL!AQ45,"",IF(OR(AQ45="",NOT(ISNUMBER(AQ45)),ISERROR(AQ45),$B45=""),"",IF($I45=1,IFBLANK(_xldudf_CX_PUSH(AQ45*fxVal_normal,CX_ENTITY,$B45,AQ$11,"As of",AQ$19,),""),IF($I45=2,IFBLANK(_xldudf_CX_PUSH(AQ45,CX_ENTITY,$B45,AQ$11,"As of",AQ$19,),""),IF($I45=3,"",IFBLANK(_xldudf_CX_PUSH(AQ45,CX_ENTITY,$B45,AQ$11,"As of",AQ$19,),"")))))),"")</f>
        <v/>
      </c>
      <c r="DR45" s="2445" t="str" cm="1">
        <f t="array" ca="1" aca="1" ref="DR45">IFERROR(IF(AR45*fxVal_normal=_PL!AR45,"",IF(OR(AR45="",NOT(ISNUMBER(AR45)),ISERROR(AR45),$B45=""),"",IF($I45=1,IFBLANK(_xldudf_CX_PUSH(AR45*fxVal_normal,CX_ENTITY,$B45,AR$11,"As of",AR$19,),""),IF($I45=2,IFBLANK(_xldudf_CX_PUSH(AR45,CX_ENTITY,$B45,AR$11,"As of",AR$19,),""),IF($I45=3,"",IFBLANK(_xldudf_CX_PUSH(AR45,CX_ENTITY,$B45,AR$11,"As of",AR$19,),"")))))),"")</f>
        <v/>
      </c>
      <c r="DS45" s="2445" t="str" cm="1">
        <f t="array" ca="1" aca="1" ref="DS45">IFERROR(IF(AS45*fxVal_normal=_PL!AS45,"",IF(OR(AS45="",NOT(ISNUMBER(AS45)),ISERROR(AS45),$B45=""),"",IF($I45=1,IFBLANK(_xldudf_CX_PUSH(AS45*fxVal_normal,CX_ENTITY,$B45,AS$11,"As of",AS$19,),""),IF($I45=2,IFBLANK(_xldudf_CX_PUSH(AS45,CX_ENTITY,$B45,AS$11,"As of",AS$19,),""),IF($I45=3,"",IFBLANK(_xldudf_CX_PUSH(AS45,CX_ENTITY,$B45,AS$11,"As of",AS$19,),"")))))),"")</f>
        <v/>
      </c>
      <c r="DT45" s="2445" t="str" cm="1">
        <f t="array" ca="1" aca="1" ref="DT45">IFERROR(IF(AT45*fxVal_normal=_PL!AT45,"",IF(OR(AT45="",NOT(ISNUMBER(AT45)),ISERROR(AT45),$B45=""),"",IF($I45=1,IFBLANK(_xldudf_CX_PUSH(AT45*fxVal_normal,CX_ENTITY,$B45,AT$11,"As of",AT$19,),""),IF($I45=2,IFBLANK(_xldudf_CX_PUSH(AT45,CX_ENTITY,$B45,AT$11,"As of",AT$19,),""),IF($I45=3,"",IFBLANK(_xldudf_CX_PUSH(AT45,CX_ENTITY,$B45,AT$11,"As of",AT$19,),"")))))),"")</f>
        <v/>
      </c>
      <c r="DU45" s="2445" t="str" cm="1">
        <f t="array" ca="1" aca="1" ref="DU45">IFERROR(IF(AU45*fxVal_normal=_PL!AU45,"",IF(OR(AU45="",NOT(ISNUMBER(AU45)),ISERROR(AU45),$B45=""),"",IF($I45=1,IFBLANK(_xldudf_CX_PUSH(AU45*fxVal_normal,CX_ENTITY,$B45,AU$11,"As of",AU$19,),""),IF($I45=2,IFBLANK(_xldudf_CX_PUSH(AU45,CX_ENTITY,$B45,AU$11,"As of",AU$19,),""),IF($I45=3,"",IFBLANK(_xldudf_CX_PUSH(AU45,CX_ENTITY,$B45,AU$11,"As of",AU$19,),"")))))),"")</f>
        <v/>
      </c>
      <c r="DV45" s="2445" t="str" cm="1">
        <f t="array" ca="1" aca="1" ref="DV45">IFERROR(IF(AV45*fxVal_normal=_PL!AV45,"",IF(OR(AV45="",NOT(ISNUMBER(AV45)),ISERROR(AV45),$B45=""),"",IF($I45=1,IFBLANK(_xldudf_CX_PUSH(AV45*fxVal_normal,CX_ENTITY,$B45,AV$11,"As of",AV$19,),""),IF($I45=2,IFBLANK(_xldudf_CX_PUSH(AV45,CX_ENTITY,$B45,AV$11,"As of",AV$19,),""),IF($I45=3,"",IFBLANK(_xldudf_CX_PUSH(AV45,CX_ENTITY,$B45,AV$11,"As of",AV$19,),"")))))),"")</f>
        <v/>
      </c>
      <c r="DW45" s="2445" t="str" cm="1">
        <f t="array" ca="1" aca="1" ref="DW45">IFERROR(IF(AW45*fxVal_normal=_PL!AW45,"",IF(OR(AW45="",NOT(ISNUMBER(AW45)),ISERROR(AW45),$B45=""),"",IF($I45=1,IFBLANK(_xldudf_CX_PUSH(AW45*fxVal_normal,CX_ENTITY,$B45,AW$11,"As of",AW$19,),""),IF($I45=2,IFBLANK(_xldudf_CX_PUSH(AW45,CX_ENTITY,$B45,AW$11,"As of",AW$19,),""),IF($I45=3,"",IFBLANK(_xldudf_CX_PUSH(AW45,CX_ENTITY,$B45,AW$11,"As of",AW$19,),"")))))),"")</f>
        <v/>
      </c>
      <c r="DX45" s="2445" t="str" cm="1">
        <f t="array" ca="1" aca="1" ref="DX45">IFERROR(IF(AX45*fxVal_normal=_PL!AX45,"",IF(OR(AX45="",NOT(ISNUMBER(AX45)),ISERROR(AX45),$B45=""),"",IF($I45=1,IFBLANK(_xldudf_CX_PUSH(AX45*fxVal_normal,CX_ENTITY,$B45,AX$11,"As of",AX$19,),""),IF($I45=2,IFBLANK(_xldudf_CX_PUSH(AX45,CX_ENTITY,$B45,AX$11,"As of",AX$19,),""),IF($I45=3,"",IFBLANK(_xldudf_CX_PUSH(AX45,CX_ENTITY,$B45,AX$11,"As of",AX$19,),"")))))),"")</f>
        <v/>
      </c>
      <c r="DY45" s="2445" t="str" cm="1">
        <f t="array" ca="1" aca="1" ref="DY45">IFERROR(IF(AY45*fxVal_normal=_PL!AY45,"",IF(OR(AY45="",NOT(ISNUMBER(AY45)),ISERROR(AY45),$B45=""),"",IF($I45=1,IFBLANK(_xldudf_CX_PUSH(AY45*fxVal_normal,CX_ENTITY,$B45,AY$11,"As of",AY$19,),""),IF($I45=2,IFBLANK(_xldudf_CX_PUSH(AY45,CX_ENTITY,$B45,AY$11,"As of",AY$19,),""),IF($I45=3,"",IFBLANK(_xldudf_CX_PUSH(AY45,CX_ENTITY,$B45,AY$11,"As of",AY$19,),"")))))),"")</f>
        <v/>
      </c>
      <c r="DZ45" s="2445" t="str" cm="1">
        <f t="array" ca="1" aca="1" ref="DZ45">IFERROR(IF(AZ45*fxVal_normal=_PL!AZ45,"",IF(OR(AZ45="",NOT(ISNUMBER(AZ45)),ISERROR(AZ45),$B45=""),"",IF($I45=1,IFBLANK(_xldudf_CX_PUSH(AZ45*fxVal_normal,CX_ENTITY,$B45,AZ$11,"As of",AZ$19,),""),IF($I45=2,IFBLANK(_xldudf_CX_PUSH(AZ45,CX_ENTITY,$B45,AZ$11,"As of",AZ$19,),""),IF($I45=3,"",IFBLANK(_xldudf_CX_PUSH(AZ45,CX_ENTITY,$B45,AZ$11,"As of",AZ$19,),"")))))),"")</f>
        <v/>
      </c>
      <c r="EA45" s="2445" t="str" cm="1">
        <f t="array" ca="1" aca="1" ref="EA45">IFERROR(IF(BA45*fxVal_normal=_PL!BA45,"",IF(OR(BA45="",NOT(ISNUMBER(BA45)),ISERROR(BA45),$B45=""),"",IF($I45=1,IFBLANK(_xldudf_CX_PUSH(BA45*fxVal_normal,CX_ENTITY,$B45,BA$11,"As of",BA$19,),""),IF($I45=2,IFBLANK(_xldudf_CX_PUSH(BA45,CX_ENTITY,$B45,BA$11,"As of",BA$19,),""),IF($I45=3,"",IFBLANK(_xldudf_CX_PUSH(BA45,CX_ENTITY,$B45,BA$11,"As of",BA$19,),"")))))),"")</f>
        <v/>
      </c>
      <c r="EB45" s="2445" t="str" cm="1">
        <f t="array" ca="1" aca="1" ref="EB45">IFERROR(IF(BB45*fxVal_normal=_PL!BB45,"",IF(OR(BB45="",NOT(ISNUMBER(BB45)),ISERROR(BB45),$B45=""),"",IF($I45=1,IFBLANK(_xldudf_CX_PUSH(BB45*fxVal_normal,CX_ENTITY,$B45,BB$11,"As of",BB$19,),""),IF($I45=2,IFBLANK(_xldudf_CX_PUSH(BB45,CX_ENTITY,$B45,BB$11,"As of",BB$19,),""),IF($I45=3,"",IFBLANK(_xldudf_CX_PUSH(BB45,CX_ENTITY,$B45,BB$11,"As of",BB$19,),"")))))),"")</f>
        <v/>
      </c>
      <c r="EC45" s="2445" t="str" cm="1">
        <f t="array" ca="1" aca="1" ref="EC45">IFERROR(IF(BC45*fxVal_normal=_PL!BC45,"",IF(OR(BC45="",NOT(ISNUMBER(BC45)),ISERROR(BC45),$B45=""),"",IF($I45=1,IFBLANK(_xldudf_CX_PUSH(BC45*fxVal_normal,CX_ENTITY,$B45,BC$11,"As of",BC$19,),""),IF($I45=2,IFBLANK(_xldudf_CX_PUSH(BC45,CX_ENTITY,$B45,BC$11,"As of",BC$19,),""),IF($I45=3,"",IFBLANK(_xldudf_CX_PUSH(BC45,CX_ENTITY,$B45,BC$11,"As of",BC$19,),"")))))),"")</f>
        <v/>
      </c>
      <c r="ED45" s="2445" t="str" cm="1">
        <f t="array" ca="1" aca="1" ref="ED45">IFERROR(IF(BD45*fxVal_normal=_PL!BD45,"",IF(OR(BD45="",NOT(ISNUMBER(BD45)),ISERROR(BD45),$B45=""),"",IF($I45=1,IFBLANK(_xldudf_CX_PUSH(BD45*fxVal_normal,CX_ENTITY,$B45,BD$11,"As of",BD$19,),""),IF($I45=2,IFBLANK(_xldudf_CX_PUSH(BD45,CX_ENTITY,$B45,BD$11,"As of",BD$19,),""),IF($I45=3,"",IFBLANK(_xldudf_CX_PUSH(BD45,CX_ENTITY,$B45,BD$11,"As of",BD$19,),"")))))),"")</f>
        <v/>
      </c>
      <c r="EE45" s="2445" t="str" cm="1">
        <f t="array" ca="1" aca="1" ref="EE45">IFERROR(IF(BE45*fxVal_normal=_PL!BE45,"",IF(OR(BE45="",NOT(ISNUMBER(BE45)),ISERROR(BE45),$B45=""),"",IF($I45=1,IFBLANK(_xldudf_CX_PUSH(BE45*fxVal_normal,CX_ENTITY,$B45,BE$11,"As of",BE$19,),""),IF($I45=2,IFBLANK(_xldudf_CX_PUSH(BE45,CX_ENTITY,$B45,BE$11,"As of",BE$19,),""),IF($I45=3,"",IFBLANK(_xldudf_CX_PUSH(BE45,CX_ENTITY,$B45,BE$11,"As of",BE$19,),"")))))),"")</f>
        <v/>
      </c>
      <c r="EF45" s="2445" t="str" cm="1">
        <f t="array" ca="1" aca="1" ref="EF45">IFERROR(IF(BF45*fxVal_normal=_PL!BF45,"",IF(OR(BF45="",NOT(ISNUMBER(BF45)),ISERROR(BF45),$B45=""),"",IF($I45=1,IFBLANK(_xldudf_CX_PUSH(BF45*fxVal_normal,CX_ENTITY,$B45,BF$11,"As of",BF$19,),""),IF($I45=2,IFBLANK(_xldudf_CX_PUSH(BF45,CX_ENTITY,$B45,BF$11,"As of",BF$19,),""),IF($I45=3,"",IFBLANK(_xldudf_CX_PUSH(BF45,CX_ENTITY,$B45,BF$11,"As of",BF$19,),"")))))),"")</f>
        <v/>
      </c>
      <c r="EG45" s="2445" t="str" cm="1">
        <f t="array" ca="1" aca="1" ref="EG45">IFERROR(IF(BG45*fxVal_normal=_PL!BG45,"",IF(OR(BG45="",NOT(ISNUMBER(BG45)),ISERROR(BG45),$B45=""),"",IF($I45=1,IFBLANK(_xldudf_CX_PUSH(BG45*fxVal_normal,CX_ENTITY,$B45,BG$11,"As of",BG$19,),""),IF($I45=2,IFBLANK(_xldudf_CX_PUSH(BG45,CX_ENTITY,$B45,BG$11,"As of",BG$19,),""),IF($I45=3,"",IFBLANK(_xldudf_CX_PUSH(BG45,CX_ENTITY,$B45,BG$11,"As of",BG$19,),"")))))),"")</f>
        <v/>
      </c>
      <c r="EH45" s="2445" t="str" cm="1">
        <f t="array" ca="1" aca="1" ref="EH45">IFERROR(IF(BH45*fxVal_normal=_PL!BH45,"",IF(OR(BH45="",NOT(ISNUMBER(BH45)),ISERROR(BH45),$B45=""),"",IF($I45=1,IFBLANK(_xldudf_CX_PUSH(BH45*fxVal_normal,CX_ENTITY,$B45,BH$11,"As of",BH$19,),""),IF($I45=2,IFBLANK(_xldudf_CX_PUSH(BH45,CX_ENTITY,$B45,BH$11,"As of",BH$19,),""),IF($I45=3,"",IFBLANK(_xldudf_CX_PUSH(BH45,CX_ENTITY,$B45,BH$11,"As of",BH$19,),"")))))),"")</f>
        <v/>
      </c>
      <c r="EI45" s="2445" t="str" cm="1">
        <f t="array" ca="1" aca="1" ref="EI45">IFERROR(IF(BI45*fxVal_normal=_PL!BI45,"",IF(OR(BI45="",NOT(ISNUMBER(BI45)),ISERROR(BI45),$B45=""),"",IF($I45=1,IFBLANK(_xldudf_CX_PUSH(BI45*fxVal_normal,CX_ENTITY,$B45,BI$11,"As of",BI$19,),""),IF($I45=2,IFBLANK(_xldudf_CX_PUSH(BI45,CX_ENTITY,$B45,BI$11,"As of",BI$19,),""),IF($I45=3,"",IFBLANK(_xldudf_CX_PUSH(BI45,CX_ENTITY,$B45,BI$11,"As of",BI$19,),"")))))),"")</f>
        <v/>
      </c>
      <c r="EJ45" s="2445" t="str" cm="1">
        <f t="array" ca="1" aca="1" ref="EJ45">IFERROR(IF(BJ45*fxVal_normal=_PL!BJ45,"",IF(OR(BJ45="",NOT(ISNUMBER(BJ45)),ISERROR(BJ45),$B45=""),"",IF($I45=1,IFBLANK(_xldudf_CX_PUSH(BJ45*fxVal_normal,CX_ENTITY,$B45,BJ$11,"As of",BJ$19,),""),IF($I45=2,IFBLANK(_xldudf_CX_PUSH(BJ45,CX_ENTITY,$B45,BJ$11,"As of",BJ$19,),""),IF($I45=3,"",IFBLANK(_xldudf_CX_PUSH(BJ45,CX_ENTITY,$B45,BJ$11,"As of",BJ$19,),"")))))),"")</f>
        <v/>
      </c>
      <c r="EK45" s="2445" t="str" cm="1">
        <f t="array" ca="1" aca="1" ref="EK45">IFERROR(IF(BK45*fxVal_normal=_PL!BK45,"",IF(OR(BK45="",NOT(ISNUMBER(BK45)),ISERROR(BK45),$B45=""),"",IF($I45=1,IFBLANK(_xldudf_CX_PUSH(BK45*fxVal_normal,CX_ENTITY,$B45,BK$11,"As of",BK$19,),""),IF($I45=2,IFBLANK(_xldudf_CX_PUSH(BK45,CX_ENTITY,$B45,BK$11,"As of",BK$19,),""),IF($I45=3,"",IFBLANK(_xldudf_CX_PUSH(BK45,CX_ENTITY,$B45,BK$11,"As of",BK$19,),"")))))),"")</f>
        <v/>
      </c>
      <c r="EL45" s="2445" t="str" cm="1">
        <f t="array" ca="1" aca="1" ref="EL45">IFERROR(IF(BL45*fxVal_normal=_PL!BL45,"",IF(OR(BL45="",NOT(ISNUMBER(BL45)),ISERROR(BL45),$B45=""),"",IF($I45=1,IFBLANK(_xldudf_CX_PUSH(BL45*fxVal_normal,CX_ENTITY,$B45,BL$11,"As of",BL$19,),""),IF($I45=2,IFBLANK(_xldudf_CX_PUSH(BL45,CX_ENTITY,$B45,BL$11,"As of",BL$19,),""),IF($I45=3,"",IFBLANK(_xldudf_CX_PUSH(BL45,CX_ENTITY,$B45,BL$11,"As of",BL$19,),"")))))),"")</f>
        <v/>
      </c>
      <c r="EM45" s="2445" t="str" cm="1">
        <f t="array" ca="1" aca="1" ref="EM45">IFERROR(IF(BM45*fxVal_normal=_PL!BM45,"",IF(OR(BM45="",NOT(ISNUMBER(BM45)),ISERROR(BM45),$B45=""),"",IF($I45=1,IFBLANK(_xldudf_CX_PUSH(BM45*fxVal_normal,CX_ENTITY,$B45,BM$11,"As of",BM$19,),""),IF($I45=2,IFBLANK(_xldudf_CX_PUSH(BM45,CX_ENTITY,$B45,BM$11,"As of",BM$19,),""),IF($I45=3,"",IFBLANK(_xldudf_CX_PUSH(BM45,CX_ENTITY,$B45,BM$11,"As of",BM$19,),"")))))),"")</f>
        <v/>
      </c>
      <c r="EN45" s="2445" t="str" cm="1">
        <f t="array" ca="1" aca="1" ref="EN45">IFERROR(IF(BN45*fxVal_normal=_PL!BN45,"",IF(OR(BN45="",NOT(ISNUMBER(BN45)),ISERROR(BN45),$B45=""),"",IF($I45=1,IFBLANK(_xldudf_CX_PUSH(BN45*fxVal_normal,CX_ENTITY,$B45,BN$11,"As of",BN$19,),""),IF($I45=2,IFBLANK(_xldudf_CX_PUSH(BN45,CX_ENTITY,$B45,BN$11,"As of",BN$19,),""),IF($I45=3,"",IFBLANK(_xldudf_CX_PUSH(BN45,CX_ENTITY,$B45,BN$11,"As of",BN$19,),"")))))),"")</f>
        <v/>
      </c>
    </row>
    <row r="46" spans="1:144" ht="21" customHeight="1">
      <c r="A46" s="1625"/>
      <c r="B46" s="2439" t="str">
        <f>_xlfn.LET(_xlpm.IsNotAttrDynamic,D46="",_xlpm.Attr,_PL!F46,_xlpm.NotInUse,Y46=D46,_xlpm.RESULT,IF(_xlpm.IsNotAttrDynamic,_xlpm.Attr,IF(_xlpm.NotInUse,"",Y46)),IF(_xlpm.RESULT="","",_xlpm.RESULT))</f>
        <v>Custom Metric Amount 1</v>
      </c>
      <c r="C46" s="3459" t="str" cm="1">
        <f t="array" ref="C46">IFBLANK(_PL!C46,"")</f>
        <v>Custom Metric - Label 1</v>
      </c>
      <c r="D46" s="1548"/>
      <c r="E46" s="2453"/>
      <c r="F46" s="578"/>
      <c r="G46" s="578"/>
      <c r="H46" s="3280">
        <v>1</v>
      </c>
      <c r="I46" s="3280">
        <v>1</v>
      </c>
      <c r="J46" s="401" cm="1">
        <f t="array" ref="J46">IFBLANK(Z46,"")</f>
        <v>-1</v>
      </c>
      <c r="K46" s="578" t="str">
        <f ca="1">IFERROR(IF(LEN(AB46)=0,"No",IF(LEN(J46)&gt;0,"Yes","No")),"")</f>
        <v/>
      </c>
      <c r="L46" s="37"/>
      <c r="N46" s="158"/>
      <c r="O46" s="101"/>
      <c r="P46" s="52"/>
      <c r="Q46" s="101"/>
      <c r="R46" s="126"/>
      <c r="S46" s="101"/>
      <c r="T46" s="101"/>
      <c r="U46" s="39"/>
      <c r="V46" s="37"/>
      <c r="W46" s="91" t="str">
        <f t="shared" si="15"/>
        <v>Actual</v>
      </c>
      <c r="X46" s="2081" t="e">
        <f ca="1">_PL!X46</f>
        <v>#NAME?</v>
      </c>
      <c r="Y46" s="3189">
        <v>2</v>
      </c>
      <c r="Z46" s="198">
        <f>IF(Y46="","",-1)</f>
        <v>-1</v>
      </c>
      <c r="AA46" s="200"/>
      <c r="AB46" s="2467" t="e">
        <f ca="1">IF(_PL!AB46="Error","",_PL!AB46)</f>
        <v>#NAME?</v>
      </c>
      <c r="AC46" s="2468" t="str" cm="1">
        <f t="array" ca="1" aca="1" ref="AC46">_xlfn.LET(_xlpm._termname,$AB46,_xlpm._iconname,"find",_xlpm._icon,fx_getIcon(_xlpm._iconname),_xlpm._location,_xlfn.XLOOKUP(LOWER(_xlpm._termname),LOWER(tbl_acctDef[Term]),tbl_acctDef[Term]),_xlpm._hyperlink,HYPERLINK("#"&amp;CELL("address",_xlpm._location),_xlpm._icon),IFERROR(_xlpm._hyperlink,""))</f>
        <v/>
      </c>
      <c r="AD46" s="3177">
        <v>1</v>
      </c>
      <c r="AE46" s="3177">
        <v>1</v>
      </c>
      <c r="AF46" s="3177">
        <v>1</v>
      </c>
      <c r="AG46" s="3177">
        <v>1</v>
      </c>
      <c r="AH46" s="3177">
        <v>1</v>
      </c>
      <c r="AI46" s="3177">
        <v>1</v>
      </c>
      <c r="AJ46" s="3177">
        <v>1</v>
      </c>
      <c r="AK46" s="3177">
        <v>1</v>
      </c>
      <c r="AL46" s="3177">
        <v>1</v>
      </c>
      <c r="AM46" s="3177">
        <v>1</v>
      </c>
      <c r="AN46" s="3177">
        <v>1</v>
      </c>
      <c r="AO46" s="3177">
        <v>1</v>
      </c>
      <c r="AP46" s="3177">
        <v>1</v>
      </c>
      <c r="AQ46" s="3177">
        <v>1</v>
      </c>
      <c r="AR46" s="3177">
        <v>1</v>
      </c>
      <c r="AS46" s="3177">
        <v>1</v>
      </c>
      <c r="AT46" s="3177">
        <v>1</v>
      </c>
      <c r="AU46" s="3177">
        <v>1</v>
      </c>
      <c r="AV46" s="3177">
        <v>1</v>
      </c>
      <c r="AW46" s="3177">
        <v>1</v>
      </c>
      <c r="AX46" s="3177">
        <v>1</v>
      </c>
      <c r="AY46" s="3177">
        <v>1</v>
      </c>
      <c r="AZ46" s="3177">
        <v>1</v>
      </c>
      <c r="BA46" s="3177">
        <v>1</v>
      </c>
      <c r="BB46" s="3177">
        <v>1</v>
      </c>
      <c r="BC46" s="3177">
        <v>1</v>
      </c>
      <c r="BD46" s="3177">
        <v>1</v>
      </c>
      <c r="BE46" s="3177">
        <v>1</v>
      </c>
      <c r="BF46" s="3177">
        <v>1</v>
      </c>
      <c r="BG46" s="3177">
        <v>1</v>
      </c>
      <c r="BH46" s="3177">
        <v>1</v>
      </c>
      <c r="BI46" s="3177">
        <v>1</v>
      </c>
      <c r="BJ46" s="3177">
        <v>1</v>
      </c>
      <c r="BK46" s="3177">
        <v>1</v>
      </c>
      <c r="BL46" s="3177">
        <v>1</v>
      </c>
      <c r="BM46" s="3177">
        <v>1</v>
      </c>
      <c r="BN46" s="3177">
        <v>1</v>
      </c>
      <c r="BO46" s="2442"/>
      <c r="BP46" s="2442"/>
      <c r="BQ46" s="2442"/>
      <c r="BR46" s="2442"/>
      <c r="BS46" s="2442"/>
      <c r="BT46" s="2442"/>
      <c r="BU46" s="2442"/>
      <c r="BV46" s="2442"/>
      <c r="BW46" s="2442"/>
      <c r="BX46" s="2442"/>
      <c r="BY46" s="2442"/>
      <c r="BZ46" s="2442"/>
      <c r="CA46" s="34"/>
      <c r="CC46" s="33"/>
      <c r="CD46" s="1772" t="e" cm="1">
        <f t="array" ca="1" aca="1" ref="CD46">_xlfn.LET(_xlpm.CheckBlank,SUM(PL!$AD46:PL!$BN46)=0,IF(_xlpm.CheckBlank,"",SUM(_xlfn._xlws.FILTER(PL!$AD46:$BN46,(YEAR(PL!$AD$12:$BN$12)=PL!CD$12)*(array_timeline&lt;=PL!CD$11)))))</f>
        <v>#NAME?</v>
      </c>
      <c r="CE46" s="1772" t="e" cm="1">
        <f t="array" ca="1" aca="1" ref="CE46">_xlfn.LET(_xlpm.CheckBlank,SUM(PL!$AD46:PL!$BN46)=0,IF(_xlpm.CheckBlank,"",SUM(_xlfn._xlws.FILTER(PL!$AD46:$BN46,(YEAR(PL!$AD$12:$BN$12)=PL!CE$12)*(array_timeline&lt;=PL!CE$11)))))</f>
        <v>#NAME?</v>
      </c>
      <c r="CF46" s="178"/>
      <c r="CG46" s="1461" t="str" cm="1">
        <f t="array" ca="1" aca="1" ref="CG46">IFERROR(_xlfn.LET(_xlpm.CheckBlank,SUM(PL!$AD46:$BN46)=0,IF(_xlpm.CheckBlank,"",SUM(_xlfn._xlws.FILTER(PL!$AD46:$BN46,(YEAR(PL!$AD$12:$BN$12)=PL!CG$12)*(array_timeline&lt;=PL!CG$11))))),"n/a")</f>
        <v>n/a</v>
      </c>
      <c r="CH46" s="1461" t="e" cm="1">
        <f t="array" ca="1" aca="1" ref="CH46">_xlfn.LET(_xlpm.CheckBlank,SUM(PL!$AD46:$BN46)=0,IF(_xlpm.CheckBlank,"",SUM(_xlfn._xlws.FILTER(PL!$AD46:$BN46,(YEAR(PL!$AD$12:$BN$12)=PL!CH$12)*(array_timeline&lt;=PL!CH$11)))))</f>
        <v>#NAME?</v>
      </c>
      <c r="CI46" s="88"/>
      <c r="CJ46" s="1461" cm="1">
        <f t="array" ref="CJ46">_xlfn.LET(_xlpm.CheckBlank,SUM(PL!$AD46:$BN46)=0,IF(_xlpm.CheckBlank,"",SUM(_xlfn.TAKE(_xlfn.DROP(PL!$AD46:$BN46,,-DATEDIFF(PL!CJ$11,val_asOfDate,"M")),1,-12))))</f>
        <v>12</v>
      </c>
      <c r="CK46" s="1461" cm="1">
        <f t="array" ref="CK46">_xlfn.LET(_xlpm.CheckBlank,SUM(PL!$AD46:$BN46)=0,IF(_xlpm.CheckBlank,"",SUM(_xlfn.TAKE(_xlfn.DROP(PL!$AD46:$BN46,,-DATEDIFF(PL!CK$11,val_asOfDate,"M")),1,-12))))</f>
        <v>12</v>
      </c>
      <c r="CL46" s="88"/>
      <c r="CM46" s="3177">
        <v>1</v>
      </c>
      <c r="CN46" s="3177">
        <v>1</v>
      </c>
      <c r="CO46" s="88"/>
      <c r="CP46" s="3177">
        <v>1</v>
      </c>
      <c r="CQ46" s="3177">
        <v>1</v>
      </c>
      <c r="CR46" s="34"/>
      <c r="CS46" s="2056"/>
      <c r="CT46" s="2447" t="e" cm="1">
        <f t="array" ca="1" aca="1" ref="CT46">IF(Y46="","",IF(ISNUMBER(SEARCH("Select",$Y46)),"",_xldudf_CX_PUSH($Y46,CX_ENTITY,C46,val_asOfDate)))</f>
        <v>#NAME?</v>
      </c>
      <c r="CU46" s="2447" t="e" cm="1">
        <f t="array" ca="1" aca="1" ref="CU46">IF(Y46="","",IF(ISNUMBER(SEARCH("Select",$Y46)),"",_xldudf_CX_PUSH($Y46,CX_ENTITY,C46,EOMONTH(val_asOfDate,1))))</f>
        <v>#NAME?</v>
      </c>
      <c r="CV46" s="2447" t="e" cm="1">
        <f t="array" ca="1" aca="1" ref="CV46">IF(Y46="","",IF(ISNUMBER(SEARCH("Select",$Y46)),"",_xldudf_CX_PUSH($Y46,CX_ENTITY,C46,EOMONTH(val_asOfDate,2))))</f>
        <v>#NAME?</v>
      </c>
      <c r="CW46" s="2447" t="e" cm="1">
        <f t="array" ca="1" aca="1" ref="CW46">IF(Y46="","",IF(ISNUMBER(SEARCH("Select",$Y46)),"",_xldudf_CX_PUSH($Y46,CX_ENTITY,C46,EOMONTH(val_asOfDate,3))))</f>
        <v>#NAME?</v>
      </c>
      <c r="CX46" s="2443"/>
      <c r="CY46" s="2444" t="str" cm="1">
        <f t="array" ca="1" aca="1" ref="CY46">IFERROR(IF(CM46*fxVal_normal=_PL!CM46,"",IF(OR($CM46="",$CM46=0,NOT(ISNUMBER($CM46)),ISERROR($CM46),$B46=""),"",IF($I46=1,IFBLANK(_xldudf_CX_PUSH($CM46*fxVal_normal,CX_ENTITY,$B46,$CM$11,$CM$14,$CM$19,),""),IF($I46=2,IFBLANK(_xldudf_CX_PUSH($CM46,CX_ENTITY,$B46,$CM$11,$CM$14,$CM$19,),""),IF($I46=3,"",IFBLANK(_xldudf_CX_PUSH($CM46,CX_ENTITY,$B46,$CM$11,$CM$14,$CM$19,),"")))))),"")</f>
        <v/>
      </c>
      <c r="CZ46" s="2444" t="str" cm="1">
        <f t="array" ca="1" aca="1" ref="CZ46">IFERROR(IF(CN46*fxVal_normal=_PL!CN46,"",IF(OR($CN46="",$CN46=0,NOT(ISNUMBER($CN46)),ISERROR($CN46),$B46=""),"",IF($I46=1,IFBLANK(_xldudf_CX_PUSH($CN46*fxVal_normal,CX_ENTITY,$B46,$CN$11,$CN$14,$CN$19,),""),IF($I46=2,IFBLANK(_xldudf_CX_PUSH($CN46,CX_ENTITY,$B46,$CN$11,$CN$14,$CN$19,),""),IF($I46=3,"",IFBLANK(_xldudf_CX_PUSH($CN46,CX_ENTITY,$B46,$CN$11,$CN$14,$CN$19,),"")))))),"")</f>
        <v/>
      </c>
      <c r="DA46" s="2444" t="str" cm="1">
        <f t="array" ca="1" aca="1" ref="DA46">IFERROR(IF(CP46*fxVal_normal=_PL!CP46,"",IF(OR($CP46="",$CP46=0,NOT(ISNUMBER($CP46)),ISERROR($CP46),$B46=""),"",IF($I46=1,IFBLANK(_xldudf_CX_PUSH($CP46*fxVal_normal,CX_ENTITY,$B46,$CP$11,$CP$14,$CP$19,),""),IF($I46=2,IFBLANK(_xldudf_CX_PUSH($CP46,CX_ENTITY,$B46,$CP$11,$CP$14,$CP$19,),""),IF($I46=3,"",IFBLANK(_xldudf_CX_PUSH($CP46,CX_ENTITY,$B46,$CP$11,$CP$14,$CP$19,),"")))))),"")</f>
        <v/>
      </c>
      <c r="DB46" s="2444" t="str" cm="1">
        <f t="array" ca="1" aca="1" ref="DB46">IFERROR(IF(CQ46*fxVal_normal=_PL!CQ46,"",IF(OR($CQ46="",$CQ46=0,NOT(ISNUMBER($CQ46)),ISERROR($CQ46),$B46=""),"",IF($I46=1,IFBLANK(_xldudf_CX_PUSH($CQ46*fxVal_normal,CX_ENTITY,$B46,$CQ$11,$CQ$14,$CQ$19,),""),IF($I46=2,IFBLANK(_xldudf_CX_PUSH($CQ46,CX_ENTITY,$B46,$CQ$11,$CQ$14,$CQ$19,),""),IF($I46=3,"",IFBLANK(_xldudf_CX_PUSH($CQ46,CX_ENTITY,$B46,$CQ$11,$CQ$14,$CQ$19,),"")))))),"")</f>
        <v/>
      </c>
      <c r="DC46" s="2443"/>
      <c r="DD46" s="2445" t="str" cm="1">
        <f t="array" ca="1" aca="1" ref="DD46">IFERROR(IF(AD46*fxVal_normal=_PL!AD46,"",IF(OR(AD46="",NOT(ISNUMBER(AD46)),ISERROR(AD46),$B46=""),"",IF($I46=1,IFBLANK(_xldudf_CX_PUSH(AD46*fxVal_normal,CX_ENTITY,$B46,AD$11,AD$14,AD$19,),""),IF($I46=2,IFBLANK(_xldudf_CX_PUSH(AD46,CX_ENTITY,$B46,AD$11,AD$14,AD$19,),""),IF($I46=3,"",IFBLANK(_xldudf_CX_PUSH(AD46,CX_ENTITY,$B46,AD$11,AD$14,AD$19,),"")))))),"")</f>
        <v/>
      </c>
      <c r="DE46" s="2445" t="str" cm="1">
        <f t="array" ca="1" aca="1" ref="DE46">IFERROR(IF(AE46*fxVal_normal=_PL!AE46,"",IF(OR(AE46="",NOT(ISNUMBER(AE46)),ISERROR(AE46),$B46=""),"",IF($I46=1,IFBLANK(_xldudf_CX_PUSH(AE46*fxVal_normal,CX_ENTITY,$B46,AE$11,AE$14,AE$19,),""),IF($I46=2,IFBLANK(_xldudf_CX_PUSH(AE46,CX_ENTITY,$B46,AE$11,AE$14,AE$19,),""),IF($I46=3,"",IFBLANK(_xldudf_CX_PUSH(AE46,CX_ENTITY,$B46,AE$11,AE$14,AE$19,),"")))))),"")</f>
        <v/>
      </c>
      <c r="DF46" s="2445" t="str" cm="1">
        <f t="array" ca="1" aca="1" ref="DF46">IFERROR(IF(AF46*fxVal_normal=_PL!AF46,"",IF(OR(AF46="",NOT(ISNUMBER(AF46)),ISERROR(AF46),$B46=""),"",IF($I46=1,IFBLANK(_xldudf_CX_PUSH(AF46*fxVal_normal,CX_ENTITY,$B46,AF$11,AF$14,AF$19,),""),IF($I46=2,IFBLANK(_xldudf_CX_PUSH(AF46,CX_ENTITY,$B46,AF$11,AF$14,AF$19,),""),IF($I46=3,"",IFBLANK(_xldudf_CX_PUSH(AF46,CX_ENTITY,$B46,AF$11,AF$14,AF$19,),"")))))),"")</f>
        <v/>
      </c>
      <c r="DG46" s="2445" t="str" cm="1">
        <f t="array" ca="1" aca="1" ref="DG46">IFERROR(IF(AG46*fxVal_normal=_PL!AG46,"",IF(OR(AG46="",NOT(ISNUMBER(AG46)),ISERROR(AG46),$B46=""),"",IF($I46=1,IFBLANK(_xldudf_CX_PUSH(AG46*fxVal_normal,CX_ENTITY,$B46,AG$11,AG$14,AG$19,),""),IF($I46=2,IFBLANK(_xldudf_CX_PUSH(AG46,CX_ENTITY,$B46,AG$11,AG$14,AG$19,),""),IF($I46=3,"",IFBLANK(_xldudf_CX_PUSH(AG46,CX_ENTITY,$B46,AG$11,AG$14,AG$19,),"")))))),"")</f>
        <v/>
      </c>
      <c r="DH46" s="2445" t="str" cm="1">
        <f t="array" ca="1" aca="1" ref="DH46">IFERROR(IF(AH46*fxVal_normal=_PL!AH46,"",IF(OR(AH46="",NOT(ISNUMBER(AH46)),ISERROR(AH46),$B46=""),"",IF($I46=1,IFBLANK(_xldudf_CX_PUSH(AH46*fxVal_normal,CX_ENTITY,$B46,AH$11,AH$14,AH$19,),""),IF($I46=2,IFBLANK(_xldudf_CX_PUSH(AH46,CX_ENTITY,$B46,AH$11,AH$14,AH$19,),""),IF($I46=3,"",IFBLANK(_xldudf_CX_PUSH(AH46,CX_ENTITY,$B46,AH$11,AH$14,AH$19,),"")))))),"")</f>
        <v/>
      </c>
      <c r="DI46" s="2445" t="str" cm="1">
        <f t="array" ca="1" aca="1" ref="DI46">IFERROR(IF(AI46*fxVal_normal=_PL!AI46,"",IF(OR(AI46="",NOT(ISNUMBER(AI46)),ISERROR(AI46),$B46=""),"",IF($I46=1,IFBLANK(_xldudf_CX_PUSH(AI46*fxVal_normal,CX_ENTITY,$B46,AI$11,AI$14,AI$19,),""),IF($I46=2,IFBLANK(_xldudf_CX_PUSH(AI46,CX_ENTITY,$B46,AI$11,AI$14,AI$19,),""),IF($I46=3,"",IFBLANK(_xldudf_CX_PUSH(AI46,CX_ENTITY,$B46,AI$11,AI$14,AI$19,),"")))))),"")</f>
        <v/>
      </c>
      <c r="DJ46" s="2445" t="str" cm="1">
        <f t="array" ca="1" aca="1" ref="DJ46">IFERROR(IF(AJ46*fxVal_normal=_PL!AJ46,"",IF(OR(AJ46="",NOT(ISNUMBER(AJ46)),ISERROR(AJ46),$B46=""),"",IF($I46=1,IFBLANK(_xldudf_CX_PUSH(AJ46*fxVal_normal,CX_ENTITY,$B46,AJ$11,AJ$14,AJ$19,),""),IF($I46=2,IFBLANK(_xldudf_CX_PUSH(AJ46,CX_ENTITY,$B46,AJ$11,AJ$14,AJ$19,),""),IF($I46=3,"",IFBLANK(_xldudf_CX_PUSH(AJ46,CX_ENTITY,$B46,AJ$11,AJ$14,AJ$19,),"")))))),"")</f>
        <v/>
      </c>
      <c r="DK46" s="2445" t="str" cm="1">
        <f t="array" ca="1" aca="1" ref="DK46">IFERROR(IF(AK46*fxVal_normal=_PL!AK46,"",IF(OR(AK46="",NOT(ISNUMBER(AK46)),ISERROR(AK46),$B46=""),"",IF($I46=1,IFBLANK(_xldudf_CX_PUSH(AK46*fxVal_normal,CX_ENTITY,$B46,AK$11,AK$14,AK$19,),""),IF($I46=2,IFBLANK(_xldudf_CX_PUSH(AK46,CX_ENTITY,$B46,AK$11,AK$14,AK$19,),""),IF($I46=3,"",IFBLANK(_xldudf_CX_PUSH(AK46,CX_ENTITY,$B46,AK$11,AK$14,AK$19,),"")))))),"")</f>
        <v/>
      </c>
      <c r="DL46" s="2445" t="str" cm="1">
        <f t="array" ca="1" aca="1" ref="DL46">IFERROR(IF(AL46*fxVal_normal=_PL!AL46,"",IF(OR(AL46="",NOT(ISNUMBER(AL46)),ISERROR(AL46),$B46=""),"",IF($I46=1,IFBLANK(_xldudf_CX_PUSH(AL46*fxVal_normal,CX_ENTITY,$B46,AL$11,AL$14,AL$19,),""),IF($I46=2,IFBLANK(_xldudf_CX_PUSH(AL46,CX_ENTITY,$B46,AL$11,AL$14,AL$19,),""),IF($I46=3,"",IFBLANK(_xldudf_CX_PUSH(AL46,CX_ENTITY,$B46,AL$11,AL$14,AL$19,),"")))))),"")</f>
        <v/>
      </c>
      <c r="DM46" s="2445" t="str" cm="1">
        <f t="array" ca="1" aca="1" ref="DM46">IFERROR(IF(AM46*fxVal_normal=_PL!AM46,"",IF(OR(AM46="",NOT(ISNUMBER(AM46)),ISERROR(AM46),$B46=""),"",IF($I46=1,IFBLANK(_xldudf_CX_PUSH(AM46*fxVal_normal,CX_ENTITY,$B46,AM$11,AM$14,AM$19,),""),IF($I46=2,IFBLANK(_xldudf_CX_PUSH(AM46,CX_ENTITY,$B46,AM$11,AM$14,AM$19,),""),IF($I46=3,"",IFBLANK(_xldudf_CX_PUSH(AM46,CX_ENTITY,$B46,AM$11,AM$14,AM$19,),"")))))),"")</f>
        <v/>
      </c>
      <c r="DN46" s="2445" t="str" cm="1">
        <f t="array" ca="1" aca="1" ref="DN46">IFERROR(IF(AN46*fxVal_normal=_PL!AN46,"",IF(OR(AN46="",NOT(ISNUMBER(AN46)),ISERROR(AN46),$B46=""),"",IF($I46=1,IFBLANK(_xldudf_CX_PUSH(AN46*fxVal_normal,CX_ENTITY,$B46,AN$11,AN$14,AN$19,),""),IF($I46=2,IFBLANK(_xldudf_CX_PUSH(AN46,CX_ENTITY,$B46,AN$11,AN$14,AN$19,),""),IF($I46=3,"",IFBLANK(_xldudf_CX_PUSH(AN46,CX_ENTITY,$B46,AN$11,AN$14,AN$19,),"")))))),"")</f>
        <v/>
      </c>
      <c r="DO46" s="2445" t="str" cm="1">
        <f t="array" ca="1" aca="1" ref="DO46">IFERROR(IF(AO46*fxVal_normal=_PL!AO46,"",IF(OR(AO46="",NOT(ISNUMBER(AO46)),ISERROR(AO46),$B46=""),"",IF($I46=1,IFBLANK(_xldudf_CX_PUSH(AO46*fxVal_normal,CX_ENTITY,$B46,AO$11,AO$14,AO$19,),""),IF($I46=2,IFBLANK(_xldudf_CX_PUSH(AO46,CX_ENTITY,$B46,AO$11,AO$14,AO$19,),""),IF($I46=3,"",IFBLANK(_xldudf_CX_PUSH(AO46,CX_ENTITY,$B46,AO$11,AO$14,AO$19,),"")))))),"")</f>
        <v/>
      </c>
      <c r="DP46" s="2445" t="str" cm="1">
        <f t="array" ca="1" aca="1" ref="DP46">IFERROR(IF(AP46*fxVal_normal=_PL!AP46,"",IF(OR(AP46="",NOT(ISNUMBER(AP46)),ISERROR(AP46),$B46=""),"",IF($I46=1,IFBLANK(_xldudf_CX_PUSH(AP46*fxVal_normal,CX_ENTITY,$B46,AP$11,AP$14,AP$19,),""),IF($I46=2,IFBLANK(_xldudf_CX_PUSH(AP46,CX_ENTITY,$B46,AP$11,AP$14,AP$19,),""),IF($I46=3,"",IFBLANK(_xldudf_CX_PUSH(AP46,CX_ENTITY,$B46,AP$11,AP$14,AP$19,),"")))))),"")</f>
        <v/>
      </c>
      <c r="DQ46" s="2445" t="str" cm="1">
        <f t="array" ca="1" aca="1" ref="DQ46">IFERROR(IF(AQ46*fxVal_normal=_PL!AQ46,"",IF(OR(AQ46="",NOT(ISNUMBER(AQ46)),ISERROR(AQ46),$B46=""),"",IF($I46=1,IFBLANK(_xldudf_CX_PUSH(AQ46*fxVal_normal,CX_ENTITY,$B46,AQ$11,AQ$14,AQ$19,),""),IF($I46=2,IFBLANK(_xldudf_CX_PUSH(AQ46,CX_ENTITY,$B46,AQ$11,AQ$14,AQ$19,),""),IF($I46=3,"",IFBLANK(_xldudf_CX_PUSH(AQ46,CX_ENTITY,$B46,AQ$11,AQ$14,AQ$19,),"")))))),"")</f>
        <v/>
      </c>
      <c r="DR46" s="2445" t="str" cm="1">
        <f t="array" ca="1" aca="1" ref="DR46">IFERROR(IF(AR46*fxVal_normal=_PL!AR46,"",IF(OR(AR46="",NOT(ISNUMBER(AR46)),ISERROR(AR46),$B46=""),"",IF($I46=1,IFBLANK(_xldudf_CX_PUSH(AR46*fxVal_normal,CX_ENTITY,$B46,AR$11,AR$14,AR$19,),""),IF($I46=2,IFBLANK(_xldudf_CX_PUSH(AR46,CX_ENTITY,$B46,AR$11,AR$14,AR$19,),""),IF($I46=3,"",IFBLANK(_xldudf_CX_PUSH(AR46,CX_ENTITY,$B46,AR$11,AR$14,AR$19,),"")))))),"")</f>
        <v/>
      </c>
      <c r="DS46" s="2445" t="str" cm="1">
        <f t="array" ca="1" aca="1" ref="DS46">IFERROR(IF(AS46*fxVal_normal=_PL!AS46,"",IF(OR(AS46="",NOT(ISNUMBER(AS46)),ISERROR(AS46),$B46=""),"",IF($I46=1,IFBLANK(_xldudf_CX_PUSH(AS46*fxVal_normal,CX_ENTITY,$B46,AS$11,AS$14,AS$19,),""),IF($I46=2,IFBLANK(_xldudf_CX_PUSH(AS46,CX_ENTITY,$B46,AS$11,AS$14,AS$19,),""),IF($I46=3,"",IFBLANK(_xldudf_CX_PUSH(AS46,CX_ENTITY,$B46,AS$11,AS$14,AS$19,),"")))))),"")</f>
        <v/>
      </c>
      <c r="DT46" s="2445" t="str" cm="1">
        <f t="array" ca="1" aca="1" ref="DT46">IFERROR(IF(AT46*fxVal_normal=_PL!AT46,"",IF(OR(AT46="",NOT(ISNUMBER(AT46)),ISERROR(AT46),$B46=""),"",IF($I46=1,IFBLANK(_xldudf_CX_PUSH(AT46*fxVal_normal,CX_ENTITY,$B46,AT$11,AT$14,AT$19,),""),IF($I46=2,IFBLANK(_xldudf_CX_PUSH(AT46,CX_ENTITY,$B46,AT$11,AT$14,AT$19,),""),IF($I46=3,"",IFBLANK(_xldudf_CX_PUSH(AT46,CX_ENTITY,$B46,AT$11,AT$14,AT$19,),"")))))),"")</f>
        <v/>
      </c>
      <c r="DU46" s="2445" t="str" cm="1">
        <f t="array" ca="1" aca="1" ref="DU46">IFERROR(IF(AU46*fxVal_normal=_PL!AU46,"",IF(OR(AU46="",NOT(ISNUMBER(AU46)),ISERROR(AU46),$B46=""),"",IF($I46=1,IFBLANK(_xldudf_CX_PUSH(AU46*fxVal_normal,CX_ENTITY,$B46,AU$11,AU$14,AU$19,),""),IF($I46=2,IFBLANK(_xldudf_CX_PUSH(AU46,CX_ENTITY,$B46,AU$11,AU$14,AU$19,),""),IF($I46=3,"",IFBLANK(_xldudf_CX_PUSH(AU46,CX_ENTITY,$B46,AU$11,AU$14,AU$19,),"")))))),"")</f>
        <v/>
      </c>
      <c r="DV46" s="2445" t="str" cm="1">
        <f t="array" ca="1" aca="1" ref="DV46">IFERROR(IF(AV46*fxVal_normal=_PL!AV46,"",IF(OR(AV46="",NOT(ISNUMBER(AV46)),ISERROR(AV46),$B46=""),"",IF($I46=1,IFBLANK(_xldudf_CX_PUSH(AV46*fxVal_normal,CX_ENTITY,$B46,AV$11,AV$14,AV$19,),""),IF($I46=2,IFBLANK(_xldudf_CX_PUSH(AV46,CX_ENTITY,$B46,AV$11,AV$14,AV$19,),""),IF($I46=3,"",IFBLANK(_xldudf_CX_PUSH(AV46,CX_ENTITY,$B46,AV$11,AV$14,AV$19,),"")))))),"")</f>
        <v/>
      </c>
      <c r="DW46" s="2445" t="str" cm="1">
        <f t="array" ca="1" aca="1" ref="DW46">IFERROR(IF(AW46*fxVal_normal=_PL!AW46,"",IF(OR(AW46="",NOT(ISNUMBER(AW46)),ISERROR(AW46),$B46=""),"",IF($I46=1,IFBLANK(_xldudf_CX_PUSH(AW46*fxVal_normal,CX_ENTITY,$B46,AW$11,AW$14,AW$19,),""),IF($I46=2,IFBLANK(_xldudf_CX_PUSH(AW46,CX_ENTITY,$B46,AW$11,AW$14,AW$19,),""),IF($I46=3,"",IFBLANK(_xldudf_CX_PUSH(AW46,CX_ENTITY,$B46,AW$11,AW$14,AW$19,),"")))))),"")</f>
        <v/>
      </c>
      <c r="DX46" s="2445" t="str" cm="1">
        <f t="array" ca="1" aca="1" ref="DX46">IFERROR(IF(AX46*fxVal_normal=_PL!AX46,"",IF(OR(AX46="",NOT(ISNUMBER(AX46)),ISERROR(AX46),$B46=""),"",IF($I46=1,IFBLANK(_xldudf_CX_PUSH(AX46*fxVal_normal,CX_ENTITY,$B46,AX$11,AX$14,AX$19,),""),IF($I46=2,IFBLANK(_xldudf_CX_PUSH(AX46,CX_ENTITY,$B46,AX$11,AX$14,AX$19,),""),IF($I46=3,"",IFBLANK(_xldudf_CX_PUSH(AX46,CX_ENTITY,$B46,AX$11,AX$14,AX$19,),"")))))),"")</f>
        <v/>
      </c>
      <c r="DY46" s="2445" t="str" cm="1">
        <f t="array" ca="1" aca="1" ref="DY46">IFERROR(IF(AY46*fxVal_normal=_PL!AY46,"",IF(OR(AY46="",NOT(ISNUMBER(AY46)),ISERROR(AY46),$B46=""),"",IF($I46=1,IFBLANK(_xldudf_CX_PUSH(AY46*fxVal_normal,CX_ENTITY,$B46,AY$11,AY$14,AY$19,),""),IF($I46=2,IFBLANK(_xldudf_CX_PUSH(AY46,CX_ENTITY,$B46,AY$11,AY$14,AY$19,),""),IF($I46=3,"",IFBLANK(_xldudf_CX_PUSH(AY46,CX_ENTITY,$B46,AY$11,AY$14,AY$19,),"")))))),"")</f>
        <v/>
      </c>
      <c r="DZ46" s="2445" t="str" cm="1">
        <f t="array" ca="1" aca="1" ref="DZ46">IFERROR(IF(AZ46*fxVal_normal=_PL!AZ46,"",IF(OR(AZ46="",NOT(ISNUMBER(AZ46)),ISERROR(AZ46),$B46=""),"",IF($I46=1,IFBLANK(_xldudf_CX_PUSH(AZ46*fxVal_normal,CX_ENTITY,$B46,AZ$11,AZ$14,AZ$19,),""),IF($I46=2,IFBLANK(_xldudf_CX_PUSH(AZ46,CX_ENTITY,$B46,AZ$11,AZ$14,AZ$19,),""),IF($I46=3,"",IFBLANK(_xldudf_CX_PUSH(AZ46,CX_ENTITY,$B46,AZ$11,AZ$14,AZ$19,),"")))))),"")</f>
        <v/>
      </c>
      <c r="EA46" s="2445" t="str" cm="1">
        <f t="array" ca="1" aca="1" ref="EA46">IFERROR(IF(BA46*fxVal_normal=_PL!BA46,"",IF(OR(BA46="",NOT(ISNUMBER(BA46)),ISERROR(BA46),$B46=""),"",IF($I46=1,IFBLANK(_xldudf_CX_PUSH(BA46*fxVal_normal,CX_ENTITY,$B46,BA$11,BA$14,BA$19,),""),IF($I46=2,IFBLANK(_xldudf_CX_PUSH(BA46,CX_ENTITY,$B46,BA$11,BA$14,BA$19,),""),IF($I46=3,"",IFBLANK(_xldudf_CX_PUSH(BA46,CX_ENTITY,$B46,BA$11,BA$14,BA$19,),"")))))),"")</f>
        <v/>
      </c>
      <c r="EB46" s="2445" t="str" cm="1">
        <f t="array" ca="1" aca="1" ref="EB46">IFERROR(IF(BB46*fxVal_normal=_PL!BB46,"",IF(OR(BB46="",NOT(ISNUMBER(BB46)),ISERROR(BB46),$B46=""),"",IF($I46=1,IFBLANK(_xldudf_CX_PUSH(BB46*fxVal_normal,CX_ENTITY,$B46,BB$11,BB$14,BB$19,),""),IF($I46=2,IFBLANK(_xldudf_CX_PUSH(BB46,CX_ENTITY,$B46,BB$11,BB$14,BB$19,),""),IF($I46=3,"",IFBLANK(_xldudf_CX_PUSH(BB46,CX_ENTITY,$B46,BB$11,BB$14,BB$19,),"")))))),"")</f>
        <v/>
      </c>
      <c r="EC46" s="2445" t="str" cm="1">
        <f t="array" ca="1" aca="1" ref="EC46">IFERROR(IF(BC46*fxVal_normal=_PL!BC46,"",IF(OR(BC46="",NOT(ISNUMBER(BC46)),ISERROR(BC46),$B46=""),"",IF($I46=1,IFBLANK(_xldudf_CX_PUSH(BC46*fxVal_normal,CX_ENTITY,$B46,BC$11,BC$14,BC$19,),""),IF($I46=2,IFBLANK(_xldudf_CX_PUSH(BC46,CX_ENTITY,$B46,BC$11,BC$14,BC$19,),""),IF($I46=3,"",IFBLANK(_xldudf_CX_PUSH(BC46,CX_ENTITY,$B46,BC$11,BC$14,BC$19,),"")))))),"")</f>
        <v/>
      </c>
      <c r="ED46" s="2445" t="str" cm="1">
        <f t="array" ca="1" aca="1" ref="ED46">IFERROR(IF(BD46*fxVal_normal=_PL!BD46,"",IF(OR(BD46="",NOT(ISNUMBER(BD46)),ISERROR(BD46),$B46=""),"",IF($I46=1,IFBLANK(_xldudf_CX_PUSH(BD46*fxVal_normal,CX_ENTITY,$B46,BD$11,BD$14,BD$19,),""),IF($I46=2,IFBLANK(_xldudf_CX_PUSH(BD46,CX_ENTITY,$B46,BD$11,BD$14,BD$19,),""),IF($I46=3,"",IFBLANK(_xldudf_CX_PUSH(BD46,CX_ENTITY,$B46,BD$11,BD$14,BD$19,),"")))))),"")</f>
        <v/>
      </c>
      <c r="EE46" s="2445" t="str" cm="1">
        <f t="array" ca="1" aca="1" ref="EE46">IFERROR(IF(BE46*fxVal_normal=_PL!BE46,"",IF(OR(BE46="",NOT(ISNUMBER(BE46)),ISERROR(BE46),$B46=""),"",IF($I46=1,IFBLANK(_xldudf_CX_PUSH(BE46*fxVal_normal,CX_ENTITY,$B46,BE$11,BE$14,BE$19,),""),IF($I46=2,IFBLANK(_xldudf_CX_PUSH(BE46,CX_ENTITY,$B46,BE$11,BE$14,BE$19,),""),IF($I46=3,"",IFBLANK(_xldudf_CX_PUSH(BE46,CX_ENTITY,$B46,BE$11,BE$14,BE$19,),"")))))),"")</f>
        <v/>
      </c>
      <c r="EF46" s="2445" t="str" cm="1">
        <f t="array" ca="1" aca="1" ref="EF46">IFERROR(IF(BF46*fxVal_normal=_PL!BF46,"",IF(OR(BF46="",NOT(ISNUMBER(BF46)),ISERROR(BF46),$B46=""),"",IF($I46=1,IFBLANK(_xldudf_CX_PUSH(BF46*fxVal_normal,CX_ENTITY,$B46,BF$11,BF$14,BF$19,),""),IF($I46=2,IFBLANK(_xldudf_CX_PUSH(BF46,CX_ENTITY,$B46,BF$11,BF$14,BF$19,),""),IF($I46=3,"",IFBLANK(_xldudf_CX_PUSH(BF46,CX_ENTITY,$B46,BF$11,BF$14,BF$19,),"")))))),"")</f>
        <v/>
      </c>
      <c r="EG46" s="2445" t="str" cm="1">
        <f t="array" ca="1" aca="1" ref="EG46">IFERROR(IF(BG46*fxVal_normal=_PL!BG46,"",IF(OR(BG46="",NOT(ISNUMBER(BG46)),ISERROR(BG46),$B46=""),"",IF($I46=1,IFBLANK(_xldudf_CX_PUSH(BG46*fxVal_normal,CX_ENTITY,$B46,BG$11,BG$14,BG$19,),""),IF($I46=2,IFBLANK(_xldudf_CX_PUSH(BG46,CX_ENTITY,$B46,BG$11,BG$14,BG$19,),""),IF($I46=3,"",IFBLANK(_xldudf_CX_PUSH(BG46,CX_ENTITY,$B46,BG$11,BG$14,BG$19,),"")))))),"")</f>
        <v/>
      </c>
      <c r="EH46" s="2445" t="str" cm="1">
        <f t="array" ca="1" aca="1" ref="EH46">IFERROR(IF(BH46*fxVal_normal=_PL!BH46,"",IF(OR(BH46="",NOT(ISNUMBER(BH46)),ISERROR(BH46),$B46=""),"",IF($I46=1,IFBLANK(_xldudf_CX_PUSH(BH46*fxVal_normal,CX_ENTITY,$B46,BH$11,BH$14,BH$19,),""),IF($I46=2,IFBLANK(_xldudf_CX_PUSH(BH46,CX_ENTITY,$B46,BH$11,BH$14,BH$19,),""),IF($I46=3,"",IFBLANK(_xldudf_CX_PUSH(BH46,CX_ENTITY,$B46,BH$11,BH$14,BH$19,),"")))))),"")</f>
        <v/>
      </c>
      <c r="EI46" s="2445" t="str" cm="1">
        <f t="array" ca="1" aca="1" ref="EI46">IFERROR(IF(BI46*fxVal_normal=_PL!BI46,"",IF(OR(BI46="",NOT(ISNUMBER(BI46)),ISERROR(BI46),$B46=""),"",IF($I46=1,IFBLANK(_xldudf_CX_PUSH(BI46*fxVal_normal,CX_ENTITY,$B46,BI$11,BI$14,BI$19,),""),IF($I46=2,IFBLANK(_xldudf_CX_PUSH(BI46,CX_ENTITY,$B46,BI$11,BI$14,BI$19,),""),IF($I46=3,"",IFBLANK(_xldudf_CX_PUSH(BI46,CX_ENTITY,$B46,BI$11,BI$14,BI$19,),"")))))),"")</f>
        <v/>
      </c>
      <c r="EJ46" s="2445" t="str" cm="1">
        <f t="array" ca="1" aca="1" ref="EJ46">IFERROR(IF(BJ46*fxVal_normal=_PL!BJ46,"",IF(OR(BJ46="",NOT(ISNUMBER(BJ46)),ISERROR(BJ46),$B46=""),"",IF($I46=1,IFBLANK(_xldudf_CX_PUSH(BJ46*fxVal_normal,CX_ENTITY,$B46,BJ$11,BJ$14,BJ$19,),""),IF($I46=2,IFBLANK(_xldudf_CX_PUSH(BJ46,CX_ENTITY,$B46,BJ$11,BJ$14,BJ$19,),""),IF($I46=3,"",IFBLANK(_xldudf_CX_PUSH(BJ46,CX_ENTITY,$B46,BJ$11,BJ$14,BJ$19,),"")))))),"")</f>
        <v/>
      </c>
      <c r="EK46" s="2445" t="str" cm="1">
        <f t="array" ca="1" aca="1" ref="EK46">IFERROR(IF(BK46*fxVal_normal=_PL!BK46,"",IF(OR(BK46="",NOT(ISNUMBER(BK46)),ISERROR(BK46),$B46=""),"",IF($I46=1,IFBLANK(_xldudf_CX_PUSH(BK46*fxVal_normal,CX_ENTITY,$B46,BK$11,BK$14,BK$19,),""),IF($I46=2,IFBLANK(_xldudf_CX_PUSH(BK46,CX_ENTITY,$B46,BK$11,BK$14,BK$19,),""),IF($I46=3,"",IFBLANK(_xldudf_CX_PUSH(BK46,CX_ENTITY,$B46,BK$11,BK$14,BK$19,),"")))))),"")</f>
        <v/>
      </c>
      <c r="EL46" s="2445" t="str" cm="1">
        <f t="array" ca="1" aca="1" ref="EL46">IFERROR(IF(BL46*fxVal_normal=_PL!BL46,"",IF(OR(BL46="",NOT(ISNUMBER(BL46)),ISERROR(BL46),$B46=""),"",IF($I46=1,IFBLANK(_xldudf_CX_PUSH(BL46*fxVal_normal,CX_ENTITY,$B46,BL$11,BL$14,BL$19,),""),IF($I46=2,IFBLANK(_xldudf_CX_PUSH(BL46,CX_ENTITY,$B46,BL$11,BL$14,BL$19,),""),IF($I46=3,"",IFBLANK(_xldudf_CX_PUSH(BL46,CX_ENTITY,$B46,BL$11,BL$14,BL$19,),"")))))),"")</f>
        <v/>
      </c>
      <c r="EM46" s="2445" t="str" cm="1">
        <f t="array" ca="1" aca="1" ref="EM46">IFERROR(IF(BM46*fxVal_normal=_PL!BM46,"",IF(OR(BM46="",NOT(ISNUMBER(BM46)),ISERROR(BM46),$B46=""),"",IF($I46=1,IFBLANK(_xldudf_CX_PUSH(BM46*fxVal_normal,CX_ENTITY,$B46,BM$11,BM$14,BM$19,),""),IF($I46=2,IFBLANK(_xldudf_CX_PUSH(BM46,CX_ENTITY,$B46,BM$11,BM$14,BM$19,),""),IF($I46=3,"",IFBLANK(_xldudf_CX_PUSH(BM46,CX_ENTITY,$B46,BM$11,BM$14,BM$19,),"")))))),"")</f>
        <v/>
      </c>
      <c r="EN46" s="2445" t="str" cm="1">
        <f t="array" ca="1" aca="1" ref="EN46">IFERROR(IF(BN46*fxVal_normal=_PL!BN46,"",IF(OR(BN46="",NOT(ISNUMBER(BN46)),ISERROR(BN46),$B46=""),"",IF($I46=1,IFBLANK(_xldudf_CX_PUSH(BN46*fxVal_normal,CX_ENTITY,$B46,BN$11,BN$14,BN$19,),""),IF($I46=2,IFBLANK(_xldudf_CX_PUSH(BN46,CX_ENTITY,$B46,BN$11,BN$14,BN$19,),""),IF($I46=3,"",IFBLANK(_xldudf_CX_PUSH(BN46,CX_ENTITY,$B46,BN$11,BN$14,BN$19,),"")))))),"")</f>
        <v/>
      </c>
    </row>
    <row r="47" spans="1:144" ht="21" customHeight="1">
      <c r="A47" s="1625"/>
      <c r="B47" s="2439" t="str">
        <f>_xlfn.LET(_xlpm.IsNotAttrDynamic,D47="",_xlpm.Attr,_PL!F47,_xlpm.NotInUse,Y47=D47,_xlpm.RESULT,IF(_xlpm.IsNotAttrDynamic,_xlpm.Attr,IF(_xlpm.NotInUse,"",Y47)),IF(_xlpm.RESULT="","",_xlpm.RESULT))</f>
        <v>Custom Metric Amount 2</v>
      </c>
      <c r="C47" s="3459" t="str" cm="1">
        <f t="array" ref="C47">IFBLANK(_PL!C47,"")</f>
        <v>Custom Metric - Label 2</v>
      </c>
      <c r="D47" s="1548"/>
      <c r="E47" s="2453"/>
      <c r="F47" s="578"/>
      <c r="G47" s="578"/>
      <c r="H47" s="401"/>
      <c r="I47" s="401"/>
      <c r="J47" s="401"/>
      <c r="K47" s="578"/>
      <c r="L47" s="37"/>
      <c r="N47" s="158"/>
      <c r="O47" s="101"/>
      <c r="P47" s="52"/>
      <c r="Q47" s="101"/>
      <c r="R47" s="126"/>
      <c r="S47" s="101"/>
      <c r="T47" s="101"/>
      <c r="U47" s="39"/>
      <c r="V47" s="37"/>
      <c r="W47" s="91" t="str">
        <f t="shared" si="15"/>
        <v>Actual</v>
      </c>
      <c r="X47" s="2081" t="e">
        <f ca="1">_PL!X47</f>
        <v>#NAME?</v>
      </c>
      <c r="Y47" s="3189">
        <v>2</v>
      </c>
      <c r="Z47" s="198">
        <f>IF(Y47="","",-1)</f>
        <v>-1</v>
      </c>
      <c r="AA47" s="200"/>
      <c r="AB47" s="2467" t="e">
        <f ca="1">IF(_PL!AB47="Error","",_PL!AB47)</f>
        <v>#NAME?</v>
      </c>
      <c r="AC47" s="2468"/>
      <c r="AD47" s="3177">
        <v>1</v>
      </c>
      <c r="AE47" s="3177">
        <v>1</v>
      </c>
      <c r="AF47" s="3177">
        <v>1</v>
      </c>
      <c r="AG47" s="3177">
        <v>1</v>
      </c>
      <c r="AH47" s="3177">
        <v>1</v>
      </c>
      <c r="AI47" s="3177">
        <v>1</v>
      </c>
      <c r="AJ47" s="3177">
        <v>1</v>
      </c>
      <c r="AK47" s="3177">
        <v>1</v>
      </c>
      <c r="AL47" s="3177">
        <v>1</v>
      </c>
      <c r="AM47" s="3177">
        <v>1</v>
      </c>
      <c r="AN47" s="3177">
        <v>1</v>
      </c>
      <c r="AO47" s="3177">
        <v>1</v>
      </c>
      <c r="AP47" s="3177">
        <v>1</v>
      </c>
      <c r="AQ47" s="3177">
        <v>1</v>
      </c>
      <c r="AR47" s="3177">
        <v>1</v>
      </c>
      <c r="AS47" s="3177">
        <v>1</v>
      </c>
      <c r="AT47" s="3177">
        <v>1</v>
      </c>
      <c r="AU47" s="3177">
        <v>1</v>
      </c>
      <c r="AV47" s="3177">
        <v>1</v>
      </c>
      <c r="AW47" s="3177">
        <v>1</v>
      </c>
      <c r="AX47" s="3177">
        <v>1</v>
      </c>
      <c r="AY47" s="3177">
        <v>1</v>
      </c>
      <c r="AZ47" s="3177">
        <v>1</v>
      </c>
      <c r="BA47" s="3177">
        <v>1</v>
      </c>
      <c r="BB47" s="3177">
        <v>1</v>
      </c>
      <c r="BC47" s="3177">
        <v>1</v>
      </c>
      <c r="BD47" s="3177">
        <v>1</v>
      </c>
      <c r="BE47" s="3177">
        <v>1</v>
      </c>
      <c r="BF47" s="3177">
        <v>1</v>
      </c>
      <c r="BG47" s="3177">
        <v>1</v>
      </c>
      <c r="BH47" s="3177">
        <v>1</v>
      </c>
      <c r="BI47" s="3177">
        <v>1</v>
      </c>
      <c r="BJ47" s="3177">
        <v>1</v>
      </c>
      <c r="BK47" s="3177">
        <v>1</v>
      </c>
      <c r="BL47" s="3177">
        <v>1</v>
      </c>
      <c r="BM47" s="3177">
        <v>1</v>
      </c>
      <c r="BN47" s="3177">
        <v>1</v>
      </c>
      <c r="BO47" s="2442"/>
      <c r="BP47" s="2442"/>
      <c r="BQ47" s="2442"/>
      <c r="BR47" s="2442"/>
      <c r="BS47" s="2442"/>
      <c r="BT47" s="2442"/>
      <c r="BU47" s="2442"/>
      <c r="BV47" s="2442"/>
      <c r="BW47" s="2442"/>
      <c r="BX47" s="2442"/>
      <c r="BY47" s="2442"/>
      <c r="BZ47" s="2442"/>
      <c r="CA47" s="34"/>
      <c r="CC47" s="33"/>
      <c r="CD47" s="1772" t="e" cm="1">
        <f t="array" ca="1" aca="1" ref="CD47">_xlfn.LET(_xlpm.CheckBlank,SUM(PL!$AD47:PL!$BN47)=0,IF(_xlpm.CheckBlank,"",SUM(_xlfn._xlws.FILTER(PL!$AD47:$BN47,(YEAR(PL!$AD$12:$BN$12)=PL!CD$12)*(array_timeline&lt;=PL!CD$11)))))</f>
        <v>#NAME?</v>
      </c>
      <c r="CE47" s="1772" t="e" cm="1">
        <f t="array" ca="1" aca="1" ref="CE47">_xlfn.LET(_xlpm.CheckBlank,SUM(PL!$AD47:PL!$BN47)=0,IF(_xlpm.CheckBlank,"",SUM(_xlfn._xlws.FILTER(PL!$AD47:$BN47,(YEAR(PL!$AD$12:$BN$12)=PL!CE$12)*(array_timeline&lt;=PL!CE$11)))))</f>
        <v>#NAME?</v>
      </c>
      <c r="CF47" s="178"/>
      <c r="CG47" s="1461" t="str" cm="1">
        <f t="array" ca="1" aca="1" ref="CG47">IFERROR(_xlfn.LET(_xlpm.CheckBlank,SUM(PL!$AD47:$BN47)=0,IF(_xlpm.CheckBlank,"",SUM(_xlfn._xlws.FILTER(PL!$AD47:$BN47,(YEAR(PL!$AD$12:$BN$12)=PL!CG$12)*(array_timeline&lt;=PL!CG$11))))),"n/a")</f>
        <v>n/a</v>
      </c>
      <c r="CH47" s="1461" t="e" cm="1">
        <f t="array" ca="1" aca="1" ref="CH47">_xlfn.LET(_xlpm.CheckBlank,SUM(PL!$AD47:$BN47)=0,IF(_xlpm.CheckBlank,"",SUM(_xlfn._xlws.FILTER(PL!$AD47:$BN47,(YEAR(PL!$AD$12:$BN$12)=PL!CH$12)*(array_timeline&lt;=PL!CH$11)))))</f>
        <v>#NAME?</v>
      </c>
      <c r="CI47" s="88"/>
      <c r="CJ47" s="1461" cm="1">
        <f t="array" ref="CJ47">_xlfn.LET(_xlpm.CheckBlank,SUM(PL!$AD47:$BN47)=0,IF(_xlpm.CheckBlank,"",SUM(_xlfn.TAKE(_xlfn.DROP(PL!$AD47:$BN47,,-DATEDIFF(PL!CJ$11,val_asOfDate,"M")),1,-12))))</f>
        <v>12</v>
      </c>
      <c r="CK47" s="1461" cm="1">
        <f t="array" ref="CK47">_xlfn.LET(_xlpm.CheckBlank,SUM(PL!$AD47:$BN47)=0,IF(_xlpm.CheckBlank,"",SUM(_xlfn.TAKE(_xlfn.DROP(PL!$AD47:$BN47,,-DATEDIFF(PL!CK$11,val_asOfDate,"M")),1,-12))))</f>
        <v>12</v>
      </c>
      <c r="CL47" s="88"/>
      <c r="CM47" s="3185">
        <v>1</v>
      </c>
      <c r="CN47" s="3185">
        <v>1</v>
      </c>
      <c r="CO47" s="88"/>
      <c r="CP47" s="3185">
        <v>1</v>
      </c>
      <c r="CQ47" s="3185">
        <v>1</v>
      </c>
      <c r="CR47" s="34"/>
      <c r="CS47" s="2056"/>
      <c r="CT47" s="2447" t="e" cm="1">
        <f t="array" ca="1" aca="1" ref="CT47">IF(Y47="","",IF(ISNUMBER(SEARCH("Select",$Y47)),"",_xldudf_CX_PUSH($Y47,CX_ENTITY,C47,val_asOfDate)))</f>
        <v>#NAME?</v>
      </c>
      <c r="CU47" s="2447" t="e" cm="1">
        <f t="array" ca="1" aca="1" ref="CU47">IF(Y47="","",IF(ISNUMBER(SEARCH("Select",$Y47)),"",_xldudf_CX_PUSH($Y47,CX_ENTITY,C47,EOMONTH(val_asOfDate,1))))</f>
        <v>#NAME?</v>
      </c>
      <c r="CV47" s="2447" t="e" cm="1">
        <f t="array" ca="1" aca="1" ref="CV47">IF(Y47="","",IF(ISNUMBER(SEARCH("Select",$Y47)),"",_xldudf_CX_PUSH($Y47,CX_ENTITY,C47,EOMONTH(val_asOfDate,2))))</f>
        <v>#NAME?</v>
      </c>
      <c r="CW47" s="2447" t="e" cm="1">
        <f t="array" ca="1" aca="1" ref="CW47">IF(Y47="","",IF(ISNUMBER(SEARCH("Select",$Y47)),"",_xldudf_CX_PUSH($Y47,CX_ENTITY,C47,EOMONTH(val_asOfDate,3))))</f>
        <v>#NAME?</v>
      </c>
      <c r="CX47" s="2443"/>
      <c r="CY47" s="2444"/>
      <c r="CZ47" s="2444"/>
      <c r="DA47" s="2444"/>
      <c r="DB47" s="2444"/>
      <c r="DC47" s="2443"/>
      <c r="DD47" s="2445" t="str" cm="1">
        <f t="array" ca="1" aca="1" ref="DD47">IFERROR(IF(AD47*fxVal_normal=_PL!AD47,"",IF(OR(AD47="",NOT(ISNUMBER(AD47)),ISERROR(AD47),$B47=""),"",IF($I47=1,IFBLANK(_xldudf_CX_PUSH(AD47*fxVal_normal,CX_ENTITY,$B47,AD$11,AD$14,AD$19,),""),IF($I47=2,IFBLANK(_xldudf_CX_PUSH(AD47,CX_ENTITY,$B47,AD$11,AD$14,AD$19,),""),IF($I47=3,"",IFBLANK(_xldudf_CX_PUSH(AD47,CX_ENTITY,$B47,AD$11,AD$14,AD$19,),"")))))),"")</f>
        <v/>
      </c>
      <c r="DE47" s="2445" t="str" cm="1">
        <f t="array" ca="1" aca="1" ref="DE47">IFERROR(IF(AE47*fxVal_normal=_PL!AE47,"",IF(OR(AE47="",NOT(ISNUMBER(AE47)),ISERROR(AE47),$B47=""),"",IF($I47=1,IFBLANK(_xldudf_CX_PUSH(AE47*fxVal_normal,CX_ENTITY,$B47,AE$11,AE$14,AE$19,),""),IF($I47=2,IFBLANK(_xldudf_CX_PUSH(AE47,CX_ENTITY,$B47,AE$11,AE$14,AE$19,),""),IF($I47=3,"",IFBLANK(_xldudf_CX_PUSH(AE47,CX_ENTITY,$B47,AE$11,AE$14,AE$19,),"")))))),"")</f>
        <v/>
      </c>
      <c r="DF47" s="2445" t="str" cm="1">
        <f t="array" ca="1" aca="1" ref="DF47">IFERROR(IF(AF47*fxVal_normal=_PL!AF47,"",IF(OR(AF47="",NOT(ISNUMBER(AF47)),ISERROR(AF47),$B47=""),"",IF($I47=1,IFBLANK(_xldudf_CX_PUSH(AF47*fxVal_normal,CX_ENTITY,$B47,AF$11,AF$14,AF$19,),""),IF($I47=2,IFBLANK(_xldudf_CX_PUSH(AF47,CX_ENTITY,$B47,AF$11,AF$14,AF$19,),""),IF($I47=3,"",IFBLANK(_xldudf_CX_PUSH(AF47,CX_ENTITY,$B47,AF$11,AF$14,AF$19,),"")))))),"")</f>
        <v/>
      </c>
      <c r="DG47" s="2445" t="str" cm="1">
        <f t="array" ca="1" aca="1" ref="DG47">IFERROR(IF(AG47*fxVal_normal=_PL!AG47,"",IF(OR(AG47="",NOT(ISNUMBER(AG47)),ISERROR(AG47),$B47=""),"",IF($I47=1,IFBLANK(_xldudf_CX_PUSH(AG47*fxVal_normal,CX_ENTITY,$B47,AG$11,AG$14,AG$19,),""),IF($I47=2,IFBLANK(_xldudf_CX_PUSH(AG47,CX_ENTITY,$B47,AG$11,AG$14,AG$19,),""),IF($I47=3,"",IFBLANK(_xldudf_CX_PUSH(AG47,CX_ENTITY,$B47,AG$11,AG$14,AG$19,),"")))))),"")</f>
        <v/>
      </c>
      <c r="DH47" s="2445" t="str" cm="1">
        <f t="array" ca="1" aca="1" ref="DH47">IFERROR(IF(AH47*fxVal_normal=_PL!AH47,"",IF(OR(AH47="",NOT(ISNUMBER(AH47)),ISERROR(AH47),$B47=""),"",IF($I47=1,IFBLANK(_xldudf_CX_PUSH(AH47*fxVal_normal,CX_ENTITY,$B47,AH$11,AH$14,AH$19,),""),IF($I47=2,IFBLANK(_xldudf_CX_PUSH(AH47,CX_ENTITY,$B47,AH$11,AH$14,AH$19,),""),IF($I47=3,"",IFBLANK(_xldudf_CX_PUSH(AH47,CX_ENTITY,$B47,AH$11,AH$14,AH$19,),"")))))),"")</f>
        <v/>
      </c>
      <c r="DI47" s="2445" t="str" cm="1">
        <f t="array" ca="1" aca="1" ref="DI47">IFERROR(IF(AI47*fxVal_normal=_PL!AI47,"",IF(OR(AI47="",NOT(ISNUMBER(AI47)),ISERROR(AI47),$B47=""),"",IF($I47=1,IFBLANK(_xldudf_CX_PUSH(AI47*fxVal_normal,CX_ENTITY,$B47,AI$11,AI$14,AI$19,),""),IF($I47=2,IFBLANK(_xldudf_CX_PUSH(AI47,CX_ENTITY,$B47,AI$11,AI$14,AI$19,),""),IF($I47=3,"",IFBLANK(_xldudf_CX_PUSH(AI47,CX_ENTITY,$B47,AI$11,AI$14,AI$19,),"")))))),"")</f>
        <v/>
      </c>
      <c r="DJ47" s="2445" t="str" cm="1">
        <f t="array" ca="1" aca="1" ref="DJ47">IFERROR(IF(AJ47*fxVal_normal=_PL!AJ47,"",IF(OR(AJ47="",NOT(ISNUMBER(AJ47)),ISERROR(AJ47),$B47=""),"",IF($I47=1,IFBLANK(_xldudf_CX_PUSH(AJ47*fxVal_normal,CX_ENTITY,$B47,AJ$11,AJ$14,AJ$19,),""),IF($I47=2,IFBLANK(_xldudf_CX_PUSH(AJ47,CX_ENTITY,$B47,AJ$11,AJ$14,AJ$19,),""),IF($I47=3,"",IFBLANK(_xldudf_CX_PUSH(AJ47,CX_ENTITY,$B47,AJ$11,AJ$14,AJ$19,),"")))))),"")</f>
        <v/>
      </c>
      <c r="DK47" s="2445" t="str" cm="1">
        <f t="array" ca="1" aca="1" ref="DK47">IFERROR(IF(AK47*fxVal_normal=_PL!AK47,"",IF(OR(AK47="",NOT(ISNUMBER(AK47)),ISERROR(AK47),$B47=""),"",IF($I47=1,IFBLANK(_xldudf_CX_PUSH(AK47*fxVal_normal,CX_ENTITY,$B47,AK$11,AK$14,AK$19,),""),IF($I47=2,IFBLANK(_xldudf_CX_PUSH(AK47,CX_ENTITY,$B47,AK$11,AK$14,AK$19,),""),IF($I47=3,"",IFBLANK(_xldudf_CX_PUSH(AK47,CX_ENTITY,$B47,AK$11,AK$14,AK$19,),"")))))),"")</f>
        <v/>
      </c>
      <c r="DL47" s="2445" t="str" cm="1">
        <f t="array" ca="1" aca="1" ref="DL47">IFERROR(IF(AL47*fxVal_normal=_PL!AL47,"",IF(OR(AL47="",NOT(ISNUMBER(AL47)),ISERROR(AL47),$B47=""),"",IF($I47=1,IFBLANK(_xldudf_CX_PUSH(AL47*fxVal_normal,CX_ENTITY,$B47,AL$11,AL$14,AL$19,),""),IF($I47=2,IFBLANK(_xldudf_CX_PUSH(AL47,CX_ENTITY,$B47,AL$11,AL$14,AL$19,),""),IF($I47=3,"",IFBLANK(_xldudf_CX_PUSH(AL47,CX_ENTITY,$B47,AL$11,AL$14,AL$19,),"")))))),"")</f>
        <v/>
      </c>
      <c r="DM47" s="2445" t="str" cm="1">
        <f t="array" ca="1" aca="1" ref="DM47">IFERROR(IF(AM47*fxVal_normal=_PL!AM47,"",IF(OR(AM47="",NOT(ISNUMBER(AM47)),ISERROR(AM47),$B47=""),"",IF($I47=1,IFBLANK(_xldudf_CX_PUSH(AM47*fxVal_normal,CX_ENTITY,$B47,AM$11,AM$14,AM$19,),""),IF($I47=2,IFBLANK(_xldudf_CX_PUSH(AM47,CX_ENTITY,$B47,AM$11,AM$14,AM$19,),""),IF($I47=3,"",IFBLANK(_xldudf_CX_PUSH(AM47,CX_ENTITY,$B47,AM$11,AM$14,AM$19,),"")))))),"")</f>
        <v/>
      </c>
      <c r="DN47" s="2445" t="str" cm="1">
        <f t="array" ca="1" aca="1" ref="DN47">IFERROR(IF(AN47*fxVal_normal=_PL!AN47,"",IF(OR(AN47="",NOT(ISNUMBER(AN47)),ISERROR(AN47),$B47=""),"",IF($I47=1,IFBLANK(_xldudf_CX_PUSH(AN47*fxVal_normal,CX_ENTITY,$B47,AN$11,AN$14,AN$19,),""),IF($I47=2,IFBLANK(_xldudf_CX_PUSH(AN47,CX_ENTITY,$B47,AN$11,AN$14,AN$19,),""),IF($I47=3,"",IFBLANK(_xldudf_CX_PUSH(AN47,CX_ENTITY,$B47,AN$11,AN$14,AN$19,),"")))))),"")</f>
        <v/>
      </c>
      <c r="DO47" s="2445" t="str" cm="1">
        <f t="array" ca="1" aca="1" ref="DO47">IFERROR(IF(AO47*fxVal_normal=_PL!AO47,"",IF(OR(AO47="",NOT(ISNUMBER(AO47)),ISERROR(AO47),$B47=""),"",IF($I47=1,IFBLANK(_xldudf_CX_PUSH(AO47*fxVal_normal,CX_ENTITY,$B47,AO$11,AO$14,AO$19,),""),IF($I47=2,IFBLANK(_xldudf_CX_PUSH(AO47,CX_ENTITY,$B47,AO$11,AO$14,AO$19,),""),IF($I47=3,"",IFBLANK(_xldudf_CX_PUSH(AO47,CX_ENTITY,$B47,AO$11,AO$14,AO$19,),"")))))),"")</f>
        <v/>
      </c>
      <c r="DP47" s="2445" t="str" cm="1">
        <f t="array" ca="1" aca="1" ref="DP47">IFERROR(IF(AP47*fxVal_normal=_PL!AP47,"",IF(OR(AP47="",NOT(ISNUMBER(AP47)),ISERROR(AP47),$B47=""),"",IF($I47=1,IFBLANK(_xldudf_CX_PUSH(AP47*fxVal_normal,CX_ENTITY,$B47,AP$11,AP$14,AP$19,),""),IF($I47=2,IFBLANK(_xldudf_CX_PUSH(AP47,CX_ENTITY,$B47,AP$11,AP$14,AP$19,),""),IF($I47=3,"",IFBLANK(_xldudf_CX_PUSH(AP47,CX_ENTITY,$B47,AP$11,AP$14,AP$19,),"")))))),"")</f>
        <v/>
      </c>
      <c r="DQ47" s="2445" t="str" cm="1">
        <f t="array" ca="1" aca="1" ref="DQ47">IFERROR(IF(AQ47*fxVal_normal=_PL!AQ47,"",IF(OR(AQ47="",NOT(ISNUMBER(AQ47)),ISERROR(AQ47),$B47=""),"",IF($I47=1,IFBLANK(_xldudf_CX_PUSH(AQ47*fxVal_normal,CX_ENTITY,$B47,AQ$11,AQ$14,AQ$19,),""),IF($I47=2,IFBLANK(_xldudf_CX_PUSH(AQ47,CX_ENTITY,$B47,AQ$11,AQ$14,AQ$19,),""),IF($I47=3,"",IFBLANK(_xldudf_CX_PUSH(AQ47,CX_ENTITY,$B47,AQ$11,AQ$14,AQ$19,),"")))))),"")</f>
        <v/>
      </c>
      <c r="DR47" s="2445" t="str" cm="1">
        <f t="array" ca="1" aca="1" ref="DR47">IFERROR(IF(AR47*fxVal_normal=_PL!AR47,"",IF(OR(AR47="",NOT(ISNUMBER(AR47)),ISERROR(AR47),$B47=""),"",IF($I47=1,IFBLANK(_xldudf_CX_PUSH(AR47*fxVal_normal,CX_ENTITY,$B47,AR$11,AR$14,AR$19,),""),IF($I47=2,IFBLANK(_xldudf_CX_PUSH(AR47,CX_ENTITY,$B47,AR$11,AR$14,AR$19,),""),IF($I47=3,"",IFBLANK(_xldudf_CX_PUSH(AR47,CX_ENTITY,$B47,AR$11,AR$14,AR$19,),"")))))),"")</f>
        <v/>
      </c>
      <c r="DS47" s="2445" t="str" cm="1">
        <f t="array" ca="1" aca="1" ref="DS47">IFERROR(IF(AS47*fxVal_normal=_PL!AS47,"",IF(OR(AS47="",NOT(ISNUMBER(AS47)),ISERROR(AS47),$B47=""),"",IF($I47=1,IFBLANK(_xldudf_CX_PUSH(AS47*fxVal_normal,CX_ENTITY,$B47,AS$11,AS$14,AS$19,),""),IF($I47=2,IFBLANK(_xldudf_CX_PUSH(AS47,CX_ENTITY,$B47,AS$11,AS$14,AS$19,),""),IF($I47=3,"",IFBLANK(_xldudf_CX_PUSH(AS47,CX_ENTITY,$B47,AS$11,AS$14,AS$19,),"")))))),"")</f>
        <v/>
      </c>
      <c r="DT47" s="2445" t="str" cm="1">
        <f t="array" ca="1" aca="1" ref="DT47">IFERROR(IF(AT47*fxVal_normal=_PL!AT47,"",IF(OR(AT47="",NOT(ISNUMBER(AT47)),ISERROR(AT47),$B47=""),"",IF($I47=1,IFBLANK(_xldudf_CX_PUSH(AT47*fxVal_normal,CX_ENTITY,$B47,AT$11,AT$14,AT$19,),""),IF($I47=2,IFBLANK(_xldudf_CX_PUSH(AT47,CX_ENTITY,$B47,AT$11,AT$14,AT$19,),""),IF($I47=3,"",IFBLANK(_xldudf_CX_PUSH(AT47,CX_ENTITY,$B47,AT$11,AT$14,AT$19,),"")))))),"")</f>
        <v/>
      </c>
      <c r="DU47" s="2445" t="str" cm="1">
        <f t="array" ca="1" aca="1" ref="DU47">IFERROR(IF(AU47*fxVal_normal=_PL!AU47,"",IF(OR(AU47="",NOT(ISNUMBER(AU47)),ISERROR(AU47),$B47=""),"",IF($I47=1,IFBLANK(_xldudf_CX_PUSH(AU47*fxVal_normal,CX_ENTITY,$B47,AU$11,AU$14,AU$19,),""),IF($I47=2,IFBLANK(_xldudf_CX_PUSH(AU47,CX_ENTITY,$B47,AU$11,AU$14,AU$19,),""),IF($I47=3,"",IFBLANK(_xldudf_CX_PUSH(AU47,CX_ENTITY,$B47,AU$11,AU$14,AU$19,),"")))))),"")</f>
        <v/>
      </c>
      <c r="DV47" s="2445" t="str" cm="1">
        <f t="array" ca="1" aca="1" ref="DV47">IFERROR(IF(AV47*fxVal_normal=_PL!AV47,"",IF(OR(AV47="",NOT(ISNUMBER(AV47)),ISERROR(AV47),$B47=""),"",IF($I47=1,IFBLANK(_xldudf_CX_PUSH(AV47*fxVal_normal,CX_ENTITY,$B47,AV$11,AV$14,AV$19,),""),IF($I47=2,IFBLANK(_xldudf_CX_PUSH(AV47,CX_ENTITY,$B47,AV$11,AV$14,AV$19,),""),IF($I47=3,"",IFBLANK(_xldudf_CX_PUSH(AV47,CX_ENTITY,$B47,AV$11,AV$14,AV$19,),"")))))),"")</f>
        <v/>
      </c>
      <c r="DW47" s="2445" t="str" cm="1">
        <f t="array" ca="1" aca="1" ref="DW47">IFERROR(IF(AW47*fxVal_normal=_PL!AW47,"",IF(OR(AW47="",NOT(ISNUMBER(AW47)),ISERROR(AW47),$B47=""),"",IF($I47=1,IFBLANK(_xldudf_CX_PUSH(AW47*fxVal_normal,CX_ENTITY,$B47,AW$11,AW$14,AW$19,),""),IF($I47=2,IFBLANK(_xldudf_CX_PUSH(AW47,CX_ENTITY,$B47,AW$11,AW$14,AW$19,),""),IF($I47=3,"",IFBLANK(_xldudf_CX_PUSH(AW47,CX_ENTITY,$B47,AW$11,AW$14,AW$19,),"")))))),"")</f>
        <v/>
      </c>
      <c r="DX47" s="2445" t="str" cm="1">
        <f t="array" ca="1" aca="1" ref="DX47">IFERROR(IF(AX47*fxVal_normal=_PL!AX47,"",IF(OR(AX47="",NOT(ISNUMBER(AX47)),ISERROR(AX47),$B47=""),"",IF($I47=1,IFBLANK(_xldudf_CX_PUSH(AX47*fxVal_normal,CX_ENTITY,$B47,AX$11,AX$14,AX$19,),""),IF($I47=2,IFBLANK(_xldudf_CX_PUSH(AX47,CX_ENTITY,$B47,AX$11,AX$14,AX$19,),""),IF($I47=3,"",IFBLANK(_xldudf_CX_PUSH(AX47,CX_ENTITY,$B47,AX$11,AX$14,AX$19,),"")))))),"")</f>
        <v/>
      </c>
      <c r="DY47" s="2445" t="str" cm="1">
        <f t="array" ca="1" aca="1" ref="DY47">IFERROR(IF(AY47*fxVal_normal=_PL!AY47,"",IF(OR(AY47="",NOT(ISNUMBER(AY47)),ISERROR(AY47),$B47=""),"",IF($I47=1,IFBLANK(_xldudf_CX_PUSH(AY47*fxVal_normal,CX_ENTITY,$B47,AY$11,AY$14,AY$19,),""),IF($I47=2,IFBLANK(_xldudf_CX_PUSH(AY47,CX_ENTITY,$B47,AY$11,AY$14,AY$19,),""),IF($I47=3,"",IFBLANK(_xldudf_CX_PUSH(AY47,CX_ENTITY,$B47,AY$11,AY$14,AY$19,),"")))))),"")</f>
        <v/>
      </c>
      <c r="DZ47" s="2445" t="str" cm="1">
        <f t="array" ca="1" aca="1" ref="DZ47">IFERROR(IF(AZ47*fxVal_normal=_PL!AZ47,"",IF(OR(AZ47="",NOT(ISNUMBER(AZ47)),ISERROR(AZ47),$B47=""),"",IF($I47=1,IFBLANK(_xldudf_CX_PUSH(AZ47*fxVal_normal,CX_ENTITY,$B47,AZ$11,AZ$14,AZ$19,),""),IF($I47=2,IFBLANK(_xldudf_CX_PUSH(AZ47,CX_ENTITY,$B47,AZ$11,AZ$14,AZ$19,),""),IF($I47=3,"",IFBLANK(_xldudf_CX_PUSH(AZ47,CX_ENTITY,$B47,AZ$11,AZ$14,AZ$19,),"")))))),"")</f>
        <v/>
      </c>
      <c r="EA47" s="2445" t="str" cm="1">
        <f t="array" ca="1" aca="1" ref="EA47">IFERROR(IF(BA47*fxVal_normal=_PL!BA47,"",IF(OR(BA47="",NOT(ISNUMBER(BA47)),ISERROR(BA47),$B47=""),"",IF($I47=1,IFBLANK(_xldudf_CX_PUSH(BA47*fxVal_normal,CX_ENTITY,$B47,BA$11,BA$14,BA$19,),""),IF($I47=2,IFBLANK(_xldudf_CX_PUSH(BA47,CX_ENTITY,$B47,BA$11,BA$14,BA$19,),""),IF($I47=3,"",IFBLANK(_xldudf_CX_PUSH(BA47,CX_ENTITY,$B47,BA$11,BA$14,BA$19,),"")))))),"")</f>
        <v/>
      </c>
      <c r="EB47" s="2445" t="str" cm="1">
        <f t="array" ca="1" aca="1" ref="EB47">IFERROR(IF(BB47*fxVal_normal=_PL!BB47,"",IF(OR(BB47="",NOT(ISNUMBER(BB47)),ISERROR(BB47),$B47=""),"",IF($I47=1,IFBLANK(_xldudf_CX_PUSH(BB47*fxVal_normal,CX_ENTITY,$B47,BB$11,BB$14,BB$19,),""),IF($I47=2,IFBLANK(_xldudf_CX_PUSH(BB47,CX_ENTITY,$B47,BB$11,BB$14,BB$19,),""),IF($I47=3,"",IFBLANK(_xldudf_CX_PUSH(BB47,CX_ENTITY,$B47,BB$11,BB$14,BB$19,),"")))))),"")</f>
        <v/>
      </c>
      <c r="EC47" s="2445" t="str" cm="1">
        <f t="array" ca="1" aca="1" ref="EC47">IFERROR(IF(BC47*fxVal_normal=_PL!BC47,"",IF(OR(BC47="",NOT(ISNUMBER(BC47)),ISERROR(BC47),$B47=""),"",IF($I47=1,IFBLANK(_xldudf_CX_PUSH(BC47*fxVal_normal,CX_ENTITY,$B47,BC$11,BC$14,BC$19,),""),IF($I47=2,IFBLANK(_xldudf_CX_PUSH(BC47,CX_ENTITY,$B47,BC$11,BC$14,BC$19,),""),IF($I47=3,"",IFBLANK(_xldudf_CX_PUSH(BC47,CX_ENTITY,$B47,BC$11,BC$14,BC$19,),"")))))),"")</f>
        <v/>
      </c>
      <c r="ED47" s="2445" t="str" cm="1">
        <f t="array" ca="1" aca="1" ref="ED47">IFERROR(IF(BD47*fxVal_normal=_PL!BD47,"",IF(OR(BD47="",NOT(ISNUMBER(BD47)),ISERROR(BD47),$B47=""),"",IF($I47=1,IFBLANK(_xldudf_CX_PUSH(BD47*fxVal_normal,CX_ENTITY,$B47,BD$11,BD$14,BD$19,),""),IF($I47=2,IFBLANK(_xldudf_CX_PUSH(BD47,CX_ENTITY,$B47,BD$11,BD$14,BD$19,),""),IF($I47=3,"",IFBLANK(_xldudf_CX_PUSH(BD47,CX_ENTITY,$B47,BD$11,BD$14,BD$19,),"")))))),"")</f>
        <v/>
      </c>
      <c r="EE47" s="2445" t="str" cm="1">
        <f t="array" ca="1" aca="1" ref="EE47">IFERROR(IF(BE47*fxVal_normal=_PL!BE47,"",IF(OR(BE47="",NOT(ISNUMBER(BE47)),ISERROR(BE47),$B47=""),"",IF($I47=1,IFBLANK(_xldudf_CX_PUSH(BE47*fxVal_normal,CX_ENTITY,$B47,BE$11,BE$14,BE$19,),""),IF($I47=2,IFBLANK(_xldudf_CX_PUSH(BE47,CX_ENTITY,$B47,BE$11,BE$14,BE$19,),""),IF($I47=3,"",IFBLANK(_xldudf_CX_PUSH(BE47,CX_ENTITY,$B47,BE$11,BE$14,BE$19,),"")))))),"")</f>
        <v/>
      </c>
      <c r="EF47" s="2445" t="str" cm="1">
        <f t="array" ca="1" aca="1" ref="EF47">IFERROR(IF(BF47*fxVal_normal=_PL!BF47,"",IF(OR(BF47="",NOT(ISNUMBER(BF47)),ISERROR(BF47),$B47=""),"",IF($I47=1,IFBLANK(_xldudf_CX_PUSH(BF47*fxVal_normal,CX_ENTITY,$B47,BF$11,BF$14,BF$19,),""),IF($I47=2,IFBLANK(_xldudf_CX_PUSH(BF47,CX_ENTITY,$B47,BF$11,BF$14,BF$19,),""),IF($I47=3,"",IFBLANK(_xldudf_CX_PUSH(BF47,CX_ENTITY,$B47,BF$11,BF$14,BF$19,),"")))))),"")</f>
        <v/>
      </c>
      <c r="EG47" s="2445" t="str" cm="1">
        <f t="array" ca="1" aca="1" ref="EG47">IFERROR(IF(BG47*fxVal_normal=_PL!BG47,"",IF(OR(BG47="",NOT(ISNUMBER(BG47)),ISERROR(BG47),$B47=""),"",IF($I47=1,IFBLANK(_xldudf_CX_PUSH(BG47*fxVal_normal,CX_ENTITY,$B47,BG$11,BG$14,BG$19,),""),IF($I47=2,IFBLANK(_xldudf_CX_PUSH(BG47,CX_ENTITY,$B47,BG$11,BG$14,BG$19,),""),IF($I47=3,"",IFBLANK(_xldudf_CX_PUSH(BG47,CX_ENTITY,$B47,BG$11,BG$14,BG$19,),"")))))),"")</f>
        <v/>
      </c>
      <c r="EH47" s="2445" t="str" cm="1">
        <f t="array" ca="1" aca="1" ref="EH47">IFERROR(IF(BH47*fxVal_normal=_PL!BH47,"",IF(OR(BH47="",NOT(ISNUMBER(BH47)),ISERROR(BH47),$B47=""),"",IF($I47=1,IFBLANK(_xldudf_CX_PUSH(BH47*fxVal_normal,CX_ENTITY,$B47,BH$11,BH$14,BH$19,),""),IF($I47=2,IFBLANK(_xldudf_CX_PUSH(BH47,CX_ENTITY,$B47,BH$11,BH$14,BH$19,),""),IF($I47=3,"",IFBLANK(_xldudf_CX_PUSH(BH47,CX_ENTITY,$B47,BH$11,BH$14,BH$19,),"")))))),"")</f>
        <v/>
      </c>
      <c r="EI47" s="2445" t="str" cm="1">
        <f t="array" ca="1" aca="1" ref="EI47">IFERROR(IF(BI47*fxVal_normal=_PL!BI47,"",IF(OR(BI47="",NOT(ISNUMBER(BI47)),ISERROR(BI47),$B47=""),"",IF($I47=1,IFBLANK(_xldudf_CX_PUSH(BI47*fxVal_normal,CX_ENTITY,$B47,BI$11,BI$14,BI$19,),""),IF($I47=2,IFBLANK(_xldudf_CX_PUSH(BI47,CX_ENTITY,$B47,BI$11,BI$14,BI$19,),""),IF($I47=3,"",IFBLANK(_xldudf_CX_PUSH(BI47,CX_ENTITY,$B47,BI$11,BI$14,BI$19,),"")))))),"")</f>
        <v/>
      </c>
      <c r="EJ47" s="2445" t="str" cm="1">
        <f t="array" ca="1" aca="1" ref="EJ47">IFERROR(IF(BJ47*fxVal_normal=_PL!BJ47,"",IF(OR(BJ47="",NOT(ISNUMBER(BJ47)),ISERROR(BJ47),$B47=""),"",IF($I47=1,IFBLANK(_xldudf_CX_PUSH(BJ47*fxVal_normal,CX_ENTITY,$B47,BJ$11,BJ$14,BJ$19,),""),IF($I47=2,IFBLANK(_xldudf_CX_PUSH(BJ47,CX_ENTITY,$B47,BJ$11,BJ$14,BJ$19,),""),IF($I47=3,"",IFBLANK(_xldudf_CX_PUSH(BJ47,CX_ENTITY,$B47,BJ$11,BJ$14,BJ$19,),"")))))),"")</f>
        <v/>
      </c>
      <c r="EK47" s="2445" t="str" cm="1">
        <f t="array" ca="1" aca="1" ref="EK47">IFERROR(IF(BK47*fxVal_normal=_PL!BK47,"",IF(OR(BK47="",NOT(ISNUMBER(BK47)),ISERROR(BK47),$B47=""),"",IF($I47=1,IFBLANK(_xldudf_CX_PUSH(BK47*fxVal_normal,CX_ENTITY,$B47,BK$11,BK$14,BK$19,),""),IF($I47=2,IFBLANK(_xldudf_CX_PUSH(BK47,CX_ENTITY,$B47,BK$11,BK$14,BK$19,),""),IF($I47=3,"",IFBLANK(_xldudf_CX_PUSH(BK47,CX_ENTITY,$B47,BK$11,BK$14,BK$19,),"")))))),"")</f>
        <v/>
      </c>
      <c r="EL47" s="2445" t="str" cm="1">
        <f t="array" ca="1" aca="1" ref="EL47">IFERROR(IF(BL47*fxVal_normal=_PL!BL47,"",IF(OR(BL47="",NOT(ISNUMBER(BL47)),ISERROR(BL47),$B47=""),"",IF($I47=1,IFBLANK(_xldudf_CX_PUSH(BL47*fxVal_normal,CX_ENTITY,$B47,BL$11,BL$14,BL$19,),""),IF($I47=2,IFBLANK(_xldudf_CX_PUSH(BL47,CX_ENTITY,$B47,BL$11,BL$14,BL$19,),""),IF($I47=3,"",IFBLANK(_xldudf_CX_PUSH(BL47,CX_ENTITY,$B47,BL$11,BL$14,BL$19,),"")))))),"")</f>
        <v/>
      </c>
      <c r="EM47" s="2445" t="str" cm="1">
        <f t="array" ca="1" aca="1" ref="EM47">IFERROR(IF(BM47*fxVal_normal=_PL!BM47,"",IF(OR(BM47="",NOT(ISNUMBER(BM47)),ISERROR(BM47),$B47=""),"",IF($I47=1,IFBLANK(_xldudf_CX_PUSH(BM47*fxVal_normal,CX_ENTITY,$B47,BM$11,BM$14,BM$19,),""),IF($I47=2,IFBLANK(_xldudf_CX_PUSH(BM47,CX_ENTITY,$B47,BM$11,BM$14,BM$19,),""),IF($I47=3,"",IFBLANK(_xldudf_CX_PUSH(BM47,CX_ENTITY,$B47,BM$11,BM$14,BM$19,),"")))))),"")</f>
        <v/>
      </c>
      <c r="EN47" s="2445" t="str" cm="1">
        <f t="array" ca="1" aca="1" ref="EN47">IFERROR(IF(BN47*fxVal_normal=_PL!BN47,"",IF(OR(BN47="",NOT(ISNUMBER(BN47)),ISERROR(BN47),$B47=""),"",IF($I47=1,IFBLANK(_xldudf_CX_PUSH(BN47*fxVal_normal,CX_ENTITY,$B47,BN$11,BN$14,BN$19,),""),IF($I47=2,IFBLANK(_xldudf_CX_PUSH(BN47,CX_ENTITY,$B47,BN$11,BN$14,BN$19,),""),IF($I47=3,"",IFBLANK(_xldudf_CX_PUSH(BN47,CX_ENTITY,$B47,BN$11,BN$14,BN$19,),"")))))),"")</f>
        <v/>
      </c>
    </row>
    <row r="48" spans="1:144" ht="21" customHeight="1">
      <c r="A48" s="1625"/>
      <c r="B48" s="2439" t="str">
        <f>_xlfn.LET(_xlpm.IsNotAttrDynamic,D48="",_xlpm.Attr,_PL!F48,_xlpm.NotInUse,Y48=D48,_xlpm.RESULT,IF(_xlpm.IsNotAttrDynamic,_xlpm.Attr,IF(_xlpm.NotInUse,"",Y48)),IF(_xlpm.RESULT="","",_xlpm.RESULT))</f>
        <v>Custom Metric Amount 3</v>
      </c>
      <c r="C48" s="3459" t="str" cm="1">
        <f t="array" ref="C48">IFBLANK(_PL!C48,"")</f>
        <v>Custom Metric - Label 3</v>
      </c>
      <c r="D48" s="1548"/>
      <c r="E48" s="2453"/>
      <c r="F48" s="578"/>
      <c r="G48" s="578"/>
      <c r="H48" s="401"/>
      <c r="I48" s="401"/>
      <c r="J48" s="401"/>
      <c r="K48" s="578"/>
      <c r="L48" s="37"/>
      <c r="N48" s="158"/>
      <c r="O48" s="101"/>
      <c r="P48" s="52"/>
      <c r="Q48" s="101"/>
      <c r="R48" s="126"/>
      <c r="S48" s="101"/>
      <c r="T48" s="101"/>
      <c r="U48" s="39"/>
      <c r="V48" s="37"/>
      <c r="W48" s="91" t="str">
        <f t="shared" si="15"/>
        <v>Actual</v>
      </c>
      <c r="X48" s="2081" t="e">
        <f ca="1">_PL!X48</f>
        <v>#NAME?</v>
      </c>
      <c r="Y48" s="3189">
        <v>2</v>
      </c>
      <c r="Z48" s="198">
        <f>IF(Y48="","",-1)</f>
        <v>-1</v>
      </c>
      <c r="AA48" s="200"/>
      <c r="AB48" s="2467" t="e">
        <f ca="1">IF(_PL!AB48="Error","",_PL!AB48)</f>
        <v>#NAME?</v>
      </c>
      <c r="AC48" s="2468"/>
      <c r="AD48" s="3177">
        <v>1</v>
      </c>
      <c r="AE48" s="3177">
        <v>1</v>
      </c>
      <c r="AF48" s="3177">
        <v>1</v>
      </c>
      <c r="AG48" s="3177">
        <v>1</v>
      </c>
      <c r="AH48" s="3177">
        <v>1</v>
      </c>
      <c r="AI48" s="3177">
        <v>1</v>
      </c>
      <c r="AJ48" s="3177">
        <v>1</v>
      </c>
      <c r="AK48" s="3177">
        <v>1</v>
      </c>
      <c r="AL48" s="3177">
        <v>1</v>
      </c>
      <c r="AM48" s="3177">
        <v>1</v>
      </c>
      <c r="AN48" s="3177">
        <v>1</v>
      </c>
      <c r="AO48" s="3177">
        <v>1</v>
      </c>
      <c r="AP48" s="3177">
        <v>1</v>
      </c>
      <c r="AQ48" s="3177">
        <v>1</v>
      </c>
      <c r="AR48" s="3177">
        <v>1</v>
      </c>
      <c r="AS48" s="3177">
        <v>1</v>
      </c>
      <c r="AT48" s="3177">
        <v>1</v>
      </c>
      <c r="AU48" s="3177">
        <v>1</v>
      </c>
      <c r="AV48" s="3177">
        <v>1</v>
      </c>
      <c r="AW48" s="3177">
        <v>1</v>
      </c>
      <c r="AX48" s="3177">
        <v>1</v>
      </c>
      <c r="AY48" s="3177">
        <v>1</v>
      </c>
      <c r="AZ48" s="3177">
        <v>1</v>
      </c>
      <c r="BA48" s="3177">
        <v>1</v>
      </c>
      <c r="BB48" s="3177">
        <v>1</v>
      </c>
      <c r="BC48" s="3177">
        <v>1</v>
      </c>
      <c r="BD48" s="3177">
        <v>1</v>
      </c>
      <c r="BE48" s="3177">
        <v>1</v>
      </c>
      <c r="BF48" s="3177">
        <v>1</v>
      </c>
      <c r="BG48" s="3177">
        <v>1</v>
      </c>
      <c r="BH48" s="3177">
        <v>1</v>
      </c>
      <c r="BI48" s="3177">
        <v>1</v>
      </c>
      <c r="BJ48" s="3177">
        <v>1</v>
      </c>
      <c r="BK48" s="3177">
        <v>1</v>
      </c>
      <c r="BL48" s="3177">
        <v>1</v>
      </c>
      <c r="BM48" s="3177">
        <v>1</v>
      </c>
      <c r="BN48" s="3177">
        <v>1</v>
      </c>
      <c r="BO48" s="2442"/>
      <c r="BP48" s="2442"/>
      <c r="BQ48" s="2442"/>
      <c r="BR48" s="2442"/>
      <c r="BS48" s="2442"/>
      <c r="BT48" s="2442"/>
      <c r="BU48" s="2442"/>
      <c r="BV48" s="2442"/>
      <c r="BW48" s="2442"/>
      <c r="BX48" s="2442"/>
      <c r="BY48" s="2442"/>
      <c r="BZ48" s="2442"/>
      <c r="CA48" s="34"/>
      <c r="CC48" s="33"/>
      <c r="CD48" s="1772" t="e" cm="1">
        <f t="array" ca="1" aca="1" ref="CD48">_xlfn.LET(_xlpm.CheckBlank,SUM(PL!$AD48:PL!$BN48)=0,IF(_xlpm.CheckBlank,"",SUM(_xlfn._xlws.FILTER(PL!$AD48:$BN48,(YEAR(PL!$AD$12:$BN$12)=PL!CD$12)*(array_timeline&lt;=PL!CD$11)))))</f>
        <v>#NAME?</v>
      </c>
      <c r="CE48" s="1772" t="e" cm="1">
        <f t="array" ca="1" aca="1" ref="CE48">_xlfn.LET(_xlpm.CheckBlank,SUM(PL!$AD48:PL!$BN48)=0,IF(_xlpm.CheckBlank,"",SUM(_xlfn._xlws.FILTER(PL!$AD48:$BN48,(YEAR(PL!$AD$12:$BN$12)=PL!CE$12)*(array_timeline&lt;=PL!CE$11)))))</f>
        <v>#NAME?</v>
      </c>
      <c r="CF48" s="178"/>
      <c r="CG48" s="1461" t="str" cm="1">
        <f t="array" ca="1" aca="1" ref="CG48">IFERROR(_xlfn.LET(_xlpm.CheckBlank,SUM(PL!$AD48:$BN48)=0,IF(_xlpm.CheckBlank,"",SUM(_xlfn._xlws.FILTER(PL!$AD48:$BN48,(YEAR(PL!$AD$12:$BN$12)=PL!CG$12)*(array_timeline&lt;=PL!CG$11))))),"n/a")</f>
        <v>n/a</v>
      </c>
      <c r="CH48" s="1461" t="e" cm="1">
        <f t="array" ca="1" aca="1" ref="CH48">_xlfn.LET(_xlpm.CheckBlank,SUM(PL!$AD48:$BN48)=0,IF(_xlpm.CheckBlank,"",SUM(_xlfn._xlws.FILTER(PL!$AD48:$BN48,(YEAR(PL!$AD$12:$BN$12)=PL!CH$12)*(array_timeline&lt;=PL!CH$11)))))</f>
        <v>#NAME?</v>
      </c>
      <c r="CI48" s="88"/>
      <c r="CJ48" s="1461" cm="1">
        <f t="array" ref="CJ48">_xlfn.LET(_xlpm.CheckBlank,SUM(PL!$AD48:$BN48)=0,IF(_xlpm.CheckBlank,"",SUM(_xlfn.TAKE(_xlfn.DROP(PL!$AD48:$BN48,,-DATEDIFF(PL!CJ$11,val_asOfDate,"M")),1,-12))))</f>
        <v>12</v>
      </c>
      <c r="CK48" s="1461" cm="1">
        <f t="array" ref="CK48">_xlfn.LET(_xlpm.CheckBlank,SUM(PL!$AD48:$BN48)=0,IF(_xlpm.CheckBlank,"",SUM(_xlfn.TAKE(_xlfn.DROP(PL!$AD48:$BN48,,-DATEDIFF(PL!CK$11,val_asOfDate,"M")),1,-12))))</f>
        <v>12</v>
      </c>
      <c r="CL48" s="88"/>
      <c r="CM48" s="3185">
        <v>1</v>
      </c>
      <c r="CN48" s="3185">
        <v>1</v>
      </c>
      <c r="CO48" s="88"/>
      <c r="CP48" s="3185">
        <v>1</v>
      </c>
      <c r="CQ48" s="3185">
        <v>1</v>
      </c>
      <c r="CR48" s="34"/>
      <c r="CS48" s="2056"/>
      <c r="CT48" s="2447" t="e" cm="1">
        <f t="array" ca="1" aca="1" ref="CT48">IF(Y48="","",IF(ISNUMBER(SEARCH("Select",$Y48)),"",_xldudf_CX_PUSH($Y48,CX_ENTITY,C48,val_asOfDate)))</f>
        <v>#NAME?</v>
      </c>
      <c r="CU48" s="2447" t="e" cm="1">
        <f t="array" ca="1" aca="1" ref="CU48">IF(Y48="","",IF(ISNUMBER(SEARCH("Select",$Y48)),"",_xldudf_CX_PUSH($Y48,CX_ENTITY,C48,EOMONTH(val_asOfDate,1))))</f>
        <v>#NAME?</v>
      </c>
      <c r="CV48" s="2447" t="e" cm="1">
        <f t="array" ca="1" aca="1" ref="CV48">IF(Y48="","",IF(ISNUMBER(SEARCH("Select",$Y48)),"",_xldudf_CX_PUSH($Y48,CX_ENTITY,C48,EOMONTH(val_asOfDate,2))))</f>
        <v>#NAME?</v>
      </c>
      <c r="CW48" s="2447" t="e" cm="1">
        <f t="array" ca="1" aca="1" ref="CW48">IF(Y48="","",IF(ISNUMBER(SEARCH("Select",$Y48)),"",_xldudf_CX_PUSH($Y48,CX_ENTITY,C48,EOMONTH(val_asOfDate,3))))</f>
        <v>#NAME?</v>
      </c>
      <c r="CX48" s="2443"/>
      <c r="CY48" s="2444"/>
      <c r="CZ48" s="2444"/>
      <c r="DA48" s="2444"/>
      <c r="DB48" s="2444"/>
      <c r="DC48" s="2443"/>
      <c r="DD48" s="2445" t="str" cm="1">
        <f t="array" ca="1" aca="1" ref="DD48">IFERROR(IF(AD48*fxVal_normal=_PL!AD48,"",IF(OR(AD48="",NOT(ISNUMBER(AD48)),ISERROR(AD48),$B48=""),"",IF($I48=1,IFBLANK(_xldudf_CX_PUSH(AD48*fxVal_normal,CX_ENTITY,$B48,AD$11,AD$14,AD$19,),""),IF($I48=2,IFBLANK(_xldudf_CX_PUSH(AD48,CX_ENTITY,$B48,AD$11,AD$14,AD$19,),""),IF($I48=3,"",IFBLANK(_xldudf_CX_PUSH(AD48,CX_ENTITY,$B48,AD$11,AD$14,AD$19,),"")))))),"")</f>
        <v/>
      </c>
      <c r="DE48" s="2445" t="str" cm="1">
        <f t="array" ca="1" aca="1" ref="DE48">IFERROR(IF(AE48*fxVal_normal=_PL!AE48,"",IF(OR(AE48="",NOT(ISNUMBER(AE48)),ISERROR(AE48),$B48=""),"",IF($I48=1,IFBLANK(_xldudf_CX_PUSH(AE48*fxVal_normal,CX_ENTITY,$B48,AE$11,AE$14,AE$19,),""),IF($I48=2,IFBLANK(_xldudf_CX_PUSH(AE48,CX_ENTITY,$B48,AE$11,AE$14,AE$19,),""),IF($I48=3,"",IFBLANK(_xldudf_CX_PUSH(AE48,CX_ENTITY,$B48,AE$11,AE$14,AE$19,),"")))))),"")</f>
        <v/>
      </c>
      <c r="DF48" s="2445" t="str" cm="1">
        <f t="array" ca="1" aca="1" ref="DF48">IFERROR(IF(AF48*fxVal_normal=_PL!AF48,"",IF(OR(AF48="",NOT(ISNUMBER(AF48)),ISERROR(AF48),$B48=""),"",IF($I48=1,IFBLANK(_xldudf_CX_PUSH(AF48*fxVal_normal,CX_ENTITY,$B48,AF$11,AF$14,AF$19,),""),IF($I48=2,IFBLANK(_xldudf_CX_PUSH(AF48,CX_ENTITY,$B48,AF$11,AF$14,AF$19,),""),IF($I48=3,"",IFBLANK(_xldudf_CX_PUSH(AF48,CX_ENTITY,$B48,AF$11,AF$14,AF$19,),"")))))),"")</f>
        <v/>
      </c>
      <c r="DG48" s="2445" t="str" cm="1">
        <f t="array" ca="1" aca="1" ref="DG48">IFERROR(IF(AG48*fxVal_normal=_PL!AG48,"",IF(OR(AG48="",NOT(ISNUMBER(AG48)),ISERROR(AG48),$B48=""),"",IF($I48=1,IFBLANK(_xldudf_CX_PUSH(AG48*fxVal_normal,CX_ENTITY,$B48,AG$11,AG$14,AG$19,),""),IF($I48=2,IFBLANK(_xldudf_CX_PUSH(AG48,CX_ENTITY,$B48,AG$11,AG$14,AG$19,),""),IF($I48=3,"",IFBLANK(_xldudf_CX_PUSH(AG48,CX_ENTITY,$B48,AG$11,AG$14,AG$19,),"")))))),"")</f>
        <v/>
      </c>
      <c r="DH48" s="2445" t="str" cm="1">
        <f t="array" ca="1" aca="1" ref="DH48">IFERROR(IF(AH48*fxVal_normal=_PL!AH48,"",IF(OR(AH48="",NOT(ISNUMBER(AH48)),ISERROR(AH48),$B48=""),"",IF($I48=1,IFBLANK(_xldudf_CX_PUSH(AH48*fxVal_normal,CX_ENTITY,$B48,AH$11,AH$14,AH$19,),""),IF($I48=2,IFBLANK(_xldudf_CX_PUSH(AH48,CX_ENTITY,$B48,AH$11,AH$14,AH$19,),""),IF($I48=3,"",IFBLANK(_xldudf_CX_PUSH(AH48,CX_ENTITY,$B48,AH$11,AH$14,AH$19,),"")))))),"")</f>
        <v/>
      </c>
      <c r="DI48" s="2445" t="str" cm="1">
        <f t="array" ca="1" aca="1" ref="DI48">IFERROR(IF(AI48*fxVal_normal=_PL!AI48,"",IF(OR(AI48="",NOT(ISNUMBER(AI48)),ISERROR(AI48),$B48=""),"",IF($I48=1,IFBLANK(_xldudf_CX_PUSH(AI48*fxVal_normal,CX_ENTITY,$B48,AI$11,AI$14,AI$19,),""),IF($I48=2,IFBLANK(_xldudf_CX_PUSH(AI48,CX_ENTITY,$B48,AI$11,AI$14,AI$19,),""),IF($I48=3,"",IFBLANK(_xldudf_CX_PUSH(AI48,CX_ENTITY,$B48,AI$11,AI$14,AI$19,),"")))))),"")</f>
        <v/>
      </c>
      <c r="DJ48" s="2445" t="str" cm="1">
        <f t="array" ca="1" aca="1" ref="DJ48">IFERROR(IF(AJ48*fxVal_normal=_PL!AJ48,"",IF(OR(AJ48="",NOT(ISNUMBER(AJ48)),ISERROR(AJ48),$B48=""),"",IF($I48=1,IFBLANK(_xldudf_CX_PUSH(AJ48*fxVal_normal,CX_ENTITY,$B48,AJ$11,AJ$14,AJ$19,),""),IF($I48=2,IFBLANK(_xldudf_CX_PUSH(AJ48,CX_ENTITY,$B48,AJ$11,AJ$14,AJ$19,),""),IF($I48=3,"",IFBLANK(_xldudf_CX_PUSH(AJ48,CX_ENTITY,$B48,AJ$11,AJ$14,AJ$19,),"")))))),"")</f>
        <v/>
      </c>
      <c r="DK48" s="2445" t="str" cm="1">
        <f t="array" ca="1" aca="1" ref="DK48">IFERROR(IF(AK48*fxVal_normal=_PL!AK48,"",IF(OR(AK48="",NOT(ISNUMBER(AK48)),ISERROR(AK48),$B48=""),"",IF($I48=1,IFBLANK(_xldudf_CX_PUSH(AK48*fxVal_normal,CX_ENTITY,$B48,AK$11,AK$14,AK$19,),""),IF($I48=2,IFBLANK(_xldudf_CX_PUSH(AK48,CX_ENTITY,$B48,AK$11,AK$14,AK$19,),""),IF($I48=3,"",IFBLANK(_xldudf_CX_PUSH(AK48,CX_ENTITY,$B48,AK$11,AK$14,AK$19,),"")))))),"")</f>
        <v/>
      </c>
      <c r="DL48" s="2445" t="str" cm="1">
        <f t="array" ca="1" aca="1" ref="DL48">IFERROR(IF(AL48*fxVal_normal=_PL!AL48,"",IF(OR(AL48="",NOT(ISNUMBER(AL48)),ISERROR(AL48),$B48=""),"",IF($I48=1,IFBLANK(_xldudf_CX_PUSH(AL48*fxVal_normal,CX_ENTITY,$B48,AL$11,AL$14,AL$19,),""),IF($I48=2,IFBLANK(_xldudf_CX_PUSH(AL48,CX_ENTITY,$B48,AL$11,AL$14,AL$19,),""),IF($I48=3,"",IFBLANK(_xldudf_CX_PUSH(AL48,CX_ENTITY,$B48,AL$11,AL$14,AL$19,),"")))))),"")</f>
        <v/>
      </c>
      <c r="DM48" s="2445" t="str" cm="1">
        <f t="array" ca="1" aca="1" ref="DM48">IFERROR(IF(AM48*fxVal_normal=_PL!AM48,"",IF(OR(AM48="",NOT(ISNUMBER(AM48)),ISERROR(AM48),$B48=""),"",IF($I48=1,IFBLANK(_xldudf_CX_PUSH(AM48*fxVal_normal,CX_ENTITY,$B48,AM$11,AM$14,AM$19,),""),IF($I48=2,IFBLANK(_xldudf_CX_PUSH(AM48,CX_ENTITY,$B48,AM$11,AM$14,AM$19,),""),IF($I48=3,"",IFBLANK(_xldudf_CX_PUSH(AM48,CX_ENTITY,$B48,AM$11,AM$14,AM$19,),"")))))),"")</f>
        <v/>
      </c>
      <c r="DN48" s="2445" t="str" cm="1">
        <f t="array" ca="1" aca="1" ref="DN48">IFERROR(IF(AN48*fxVal_normal=_PL!AN48,"",IF(OR(AN48="",NOT(ISNUMBER(AN48)),ISERROR(AN48),$B48=""),"",IF($I48=1,IFBLANK(_xldudf_CX_PUSH(AN48*fxVal_normal,CX_ENTITY,$B48,AN$11,AN$14,AN$19,),""),IF($I48=2,IFBLANK(_xldudf_CX_PUSH(AN48,CX_ENTITY,$B48,AN$11,AN$14,AN$19,),""),IF($I48=3,"",IFBLANK(_xldudf_CX_PUSH(AN48,CX_ENTITY,$B48,AN$11,AN$14,AN$19,),"")))))),"")</f>
        <v/>
      </c>
      <c r="DO48" s="2445" t="str" cm="1">
        <f t="array" ca="1" aca="1" ref="DO48">IFERROR(IF(AO48*fxVal_normal=_PL!AO48,"",IF(OR(AO48="",NOT(ISNUMBER(AO48)),ISERROR(AO48),$B48=""),"",IF($I48=1,IFBLANK(_xldudf_CX_PUSH(AO48*fxVal_normal,CX_ENTITY,$B48,AO$11,AO$14,AO$19,),""),IF($I48=2,IFBLANK(_xldudf_CX_PUSH(AO48,CX_ENTITY,$B48,AO$11,AO$14,AO$19,),""),IF($I48=3,"",IFBLANK(_xldudf_CX_PUSH(AO48,CX_ENTITY,$B48,AO$11,AO$14,AO$19,),"")))))),"")</f>
        <v/>
      </c>
      <c r="DP48" s="2445" t="str" cm="1">
        <f t="array" ca="1" aca="1" ref="DP48">IFERROR(IF(AP48*fxVal_normal=_PL!AP48,"",IF(OR(AP48="",NOT(ISNUMBER(AP48)),ISERROR(AP48),$B48=""),"",IF($I48=1,IFBLANK(_xldudf_CX_PUSH(AP48*fxVal_normal,CX_ENTITY,$B48,AP$11,AP$14,AP$19,),""),IF($I48=2,IFBLANK(_xldudf_CX_PUSH(AP48,CX_ENTITY,$B48,AP$11,AP$14,AP$19,),""),IF($I48=3,"",IFBLANK(_xldudf_CX_PUSH(AP48,CX_ENTITY,$B48,AP$11,AP$14,AP$19,),"")))))),"")</f>
        <v/>
      </c>
      <c r="DQ48" s="2445" t="str" cm="1">
        <f t="array" ca="1" aca="1" ref="DQ48">IFERROR(IF(AQ48*fxVal_normal=_PL!AQ48,"",IF(OR(AQ48="",NOT(ISNUMBER(AQ48)),ISERROR(AQ48),$B48=""),"",IF($I48=1,IFBLANK(_xldudf_CX_PUSH(AQ48*fxVal_normal,CX_ENTITY,$B48,AQ$11,AQ$14,AQ$19,),""),IF($I48=2,IFBLANK(_xldudf_CX_PUSH(AQ48,CX_ENTITY,$B48,AQ$11,AQ$14,AQ$19,),""),IF($I48=3,"",IFBLANK(_xldudf_CX_PUSH(AQ48,CX_ENTITY,$B48,AQ$11,AQ$14,AQ$19,),"")))))),"")</f>
        <v/>
      </c>
      <c r="DR48" s="2445" t="str" cm="1">
        <f t="array" ca="1" aca="1" ref="DR48">IFERROR(IF(AR48*fxVal_normal=_PL!AR48,"",IF(OR(AR48="",NOT(ISNUMBER(AR48)),ISERROR(AR48),$B48=""),"",IF($I48=1,IFBLANK(_xldudf_CX_PUSH(AR48*fxVal_normal,CX_ENTITY,$B48,AR$11,AR$14,AR$19,),""),IF($I48=2,IFBLANK(_xldudf_CX_PUSH(AR48,CX_ENTITY,$B48,AR$11,AR$14,AR$19,),""),IF($I48=3,"",IFBLANK(_xldudf_CX_PUSH(AR48,CX_ENTITY,$B48,AR$11,AR$14,AR$19,),"")))))),"")</f>
        <v/>
      </c>
      <c r="DS48" s="2445" t="str" cm="1">
        <f t="array" ca="1" aca="1" ref="DS48">IFERROR(IF(AS48*fxVal_normal=_PL!AS48,"",IF(OR(AS48="",NOT(ISNUMBER(AS48)),ISERROR(AS48),$B48=""),"",IF($I48=1,IFBLANK(_xldudf_CX_PUSH(AS48*fxVal_normal,CX_ENTITY,$B48,AS$11,AS$14,AS$19,),""),IF($I48=2,IFBLANK(_xldudf_CX_PUSH(AS48,CX_ENTITY,$B48,AS$11,AS$14,AS$19,),""),IF($I48=3,"",IFBLANK(_xldudf_CX_PUSH(AS48,CX_ENTITY,$B48,AS$11,AS$14,AS$19,),"")))))),"")</f>
        <v/>
      </c>
      <c r="DT48" s="2445" t="str" cm="1">
        <f t="array" ca="1" aca="1" ref="DT48">IFERROR(IF(AT48*fxVal_normal=_PL!AT48,"",IF(OR(AT48="",NOT(ISNUMBER(AT48)),ISERROR(AT48),$B48=""),"",IF($I48=1,IFBLANK(_xldudf_CX_PUSH(AT48*fxVal_normal,CX_ENTITY,$B48,AT$11,AT$14,AT$19,),""),IF($I48=2,IFBLANK(_xldudf_CX_PUSH(AT48,CX_ENTITY,$B48,AT$11,AT$14,AT$19,),""),IF($I48=3,"",IFBLANK(_xldudf_CX_PUSH(AT48,CX_ENTITY,$B48,AT$11,AT$14,AT$19,),"")))))),"")</f>
        <v/>
      </c>
      <c r="DU48" s="2445" t="str" cm="1">
        <f t="array" ca="1" aca="1" ref="DU48">IFERROR(IF(AU48*fxVal_normal=_PL!AU48,"",IF(OR(AU48="",NOT(ISNUMBER(AU48)),ISERROR(AU48),$B48=""),"",IF($I48=1,IFBLANK(_xldudf_CX_PUSH(AU48*fxVal_normal,CX_ENTITY,$B48,AU$11,AU$14,AU$19,),""),IF($I48=2,IFBLANK(_xldudf_CX_PUSH(AU48,CX_ENTITY,$B48,AU$11,AU$14,AU$19,),""),IF($I48=3,"",IFBLANK(_xldudf_CX_PUSH(AU48,CX_ENTITY,$B48,AU$11,AU$14,AU$19,),"")))))),"")</f>
        <v/>
      </c>
      <c r="DV48" s="2445" t="str" cm="1">
        <f t="array" ca="1" aca="1" ref="DV48">IFERROR(IF(AV48*fxVal_normal=_PL!AV48,"",IF(OR(AV48="",NOT(ISNUMBER(AV48)),ISERROR(AV48),$B48=""),"",IF($I48=1,IFBLANK(_xldudf_CX_PUSH(AV48*fxVal_normal,CX_ENTITY,$B48,AV$11,AV$14,AV$19,),""),IF($I48=2,IFBLANK(_xldudf_CX_PUSH(AV48,CX_ENTITY,$B48,AV$11,AV$14,AV$19,),""),IF($I48=3,"",IFBLANK(_xldudf_CX_PUSH(AV48,CX_ENTITY,$B48,AV$11,AV$14,AV$19,),"")))))),"")</f>
        <v/>
      </c>
      <c r="DW48" s="2445" t="str" cm="1">
        <f t="array" ca="1" aca="1" ref="DW48">IFERROR(IF(AW48*fxVal_normal=_PL!AW48,"",IF(OR(AW48="",NOT(ISNUMBER(AW48)),ISERROR(AW48),$B48=""),"",IF($I48=1,IFBLANK(_xldudf_CX_PUSH(AW48*fxVal_normal,CX_ENTITY,$B48,AW$11,AW$14,AW$19,),""),IF($I48=2,IFBLANK(_xldudf_CX_PUSH(AW48,CX_ENTITY,$B48,AW$11,AW$14,AW$19,),""),IF($I48=3,"",IFBLANK(_xldudf_CX_PUSH(AW48,CX_ENTITY,$B48,AW$11,AW$14,AW$19,),"")))))),"")</f>
        <v/>
      </c>
      <c r="DX48" s="2445" t="str" cm="1">
        <f t="array" ca="1" aca="1" ref="DX48">IFERROR(IF(AX48*fxVal_normal=_PL!AX48,"",IF(OR(AX48="",NOT(ISNUMBER(AX48)),ISERROR(AX48),$B48=""),"",IF($I48=1,IFBLANK(_xldudf_CX_PUSH(AX48*fxVal_normal,CX_ENTITY,$B48,AX$11,AX$14,AX$19,),""),IF($I48=2,IFBLANK(_xldudf_CX_PUSH(AX48,CX_ENTITY,$B48,AX$11,AX$14,AX$19,),""),IF($I48=3,"",IFBLANK(_xldudf_CX_PUSH(AX48,CX_ENTITY,$B48,AX$11,AX$14,AX$19,),"")))))),"")</f>
        <v/>
      </c>
      <c r="DY48" s="2445" t="str" cm="1">
        <f t="array" ca="1" aca="1" ref="DY48">IFERROR(IF(AY48*fxVal_normal=_PL!AY48,"",IF(OR(AY48="",NOT(ISNUMBER(AY48)),ISERROR(AY48),$B48=""),"",IF($I48=1,IFBLANK(_xldudf_CX_PUSH(AY48*fxVal_normal,CX_ENTITY,$B48,AY$11,AY$14,AY$19,),""),IF($I48=2,IFBLANK(_xldudf_CX_PUSH(AY48,CX_ENTITY,$B48,AY$11,AY$14,AY$19,),""),IF($I48=3,"",IFBLANK(_xldudf_CX_PUSH(AY48,CX_ENTITY,$B48,AY$11,AY$14,AY$19,),"")))))),"")</f>
        <v/>
      </c>
      <c r="DZ48" s="2445" t="str" cm="1">
        <f t="array" ca="1" aca="1" ref="DZ48">IFERROR(IF(AZ48*fxVal_normal=_PL!AZ48,"",IF(OR(AZ48="",NOT(ISNUMBER(AZ48)),ISERROR(AZ48),$B48=""),"",IF($I48=1,IFBLANK(_xldudf_CX_PUSH(AZ48*fxVal_normal,CX_ENTITY,$B48,AZ$11,AZ$14,AZ$19,),""),IF($I48=2,IFBLANK(_xldudf_CX_PUSH(AZ48,CX_ENTITY,$B48,AZ$11,AZ$14,AZ$19,),""),IF($I48=3,"",IFBLANK(_xldudf_CX_PUSH(AZ48,CX_ENTITY,$B48,AZ$11,AZ$14,AZ$19,),"")))))),"")</f>
        <v/>
      </c>
      <c r="EA48" s="2445" t="str" cm="1">
        <f t="array" ca="1" aca="1" ref="EA48">IFERROR(IF(BA48*fxVal_normal=_PL!BA48,"",IF(OR(BA48="",NOT(ISNUMBER(BA48)),ISERROR(BA48),$B48=""),"",IF($I48=1,IFBLANK(_xldudf_CX_PUSH(BA48*fxVal_normal,CX_ENTITY,$B48,BA$11,BA$14,BA$19,),""),IF($I48=2,IFBLANK(_xldudf_CX_PUSH(BA48,CX_ENTITY,$B48,BA$11,BA$14,BA$19,),""),IF($I48=3,"",IFBLANK(_xldudf_CX_PUSH(BA48,CX_ENTITY,$B48,BA$11,BA$14,BA$19,),"")))))),"")</f>
        <v/>
      </c>
      <c r="EB48" s="2445" t="str" cm="1">
        <f t="array" ca="1" aca="1" ref="EB48">IFERROR(IF(BB48*fxVal_normal=_PL!BB48,"",IF(OR(BB48="",NOT(ISNUMBER(BB48)),ISERROR(BB48),$B48=""),"",IF($I48=1,IFBLANK(_xldudf_CX_PUSH(BB48*fxVal_normal,CX_ENTITY,$B48,BB$11,BB$14,BB$19,),""),IF($I48=2,IFBLANK(_xldudf_CX_PUSH(BB48,CX_ENTITY,$B48,BB$11,BB$14,BB$19,),""),IF($I48=3,"",IFBLANK(_xldudf_CX_PUSH(BB48,CX_ENTITY,$B48,BB$11,BB$14,BB$19,),"")))))),"")</f>
        <v/>
      </c>
      <c r="EC48" s="2445" t="str" cm="1">
        <f t="array" ca="1" aca="1" ref="EC48">IFERROR(IF(BC48*fxVal_normal=_PL!BC48,"",IF(OR(BC48="",NOT(ISNUMBER(BC48)),ISERROR(BC48),$B48=""),"",IF($I48=1,IFBLANK(_xldudf_CX_PUSH(BC48*fxVal_normal,CX_ENTITY,$B48,BC$11,BC$14,BC$19,),""),IF($I48=2,IFBLANK(_xldudf_CX_PUSH(BC48,CX_ENTITY,$B48,BC$11,BC$14,BC$19,),""),IF($I48=3,"",IFBLANK(_xldudf_CX_PUSH(BC48,CX_ENTITY,$B48,BC$11,BC$14,BC$19,),"")))))),"")</f>
        <v/>
      </c>
      <c r="ED48" s="2445" t="str" cm="1">
        <f t="array" ca="1" aca="1" ref="ED48">IFERROR(IF(BD48*fxVal_normal=_PL!BD48,"",IF(OR(BD48="",NOT(ISNUMBER(BD48)),ISERROR(BD48),$B48=""),"",IF($I48=1,IFBLANK(_xldudf_CX_PUSH(BD48*fxVal_normal,CX_ENTITY,$B48,BD$11,BD$14,BD$19,),""),IF($I48=2,IFBLANK(_xldudf_CX_PUSH(BD48,CX_ENTITY,$B48,BD$11,BD$14,BD$19,),""),IF($I48=3,"",IFBLANK(_xldudf_CX_PUSH(BD48,CX_ENTITY,$B48,BD$11,BD$14,BD$19,),"")))))),"")</f>
        <v/>
      </c>
      <c r="EE48" s="2445" t="str" cm="1">
        <f t="array" ca="1" aca="1" ref="EE48">IFERROR(IF(BE48*fxVal_normal=_PL!BE48,"",IF(OR(BE48="",NOT(ISNUMBER(BE48)),ISERROR(BE48),$B48=""),"",IF($I48=1,IFBLANK(_xldudf_CX_PUSH(BE48*fxVal_normal,CX_ENTITY,$B48,BE$11,BE$14,BE$19,),""),IF($I48=2,IFBLANK(_xldudf_CX_PUSH(BE48,CX_ENTITY,$B48,BE$11,BE$14,BE$19,),""),IF($I48=3,"",IFBLANK(_xldudf_CX_PUSH(BE48,CX_ENTITY,$B48,BE$11,BE$14,BE$19,),"")))))),"")</f>
        <v/>
      </c>
      <c r="EF48" s="2445" t="str" cm="1">
        <f t="array" ca="1" aca="1" ref="EF48">IFERROR(IF(BF48*fxVal_normal=_PL!BF48,"",IF(OR(BF48="",NOT(ISNUMBER(BF48)),ISERROR(BF48),$B48=""),"",IF($I48=1,IFBLANK(_xldudf_CX_PUSH(BF48*fxVal_normal,CX_ENTITY,$B48,BF$11,BF$14,BF$19,),""),IF($I48=2,IFBLANK(_xldudf_CX_PUSH(BF48,CX_ENTITY,$B48,BF$11,BF$14,BF$19,),""),IF($I48=3,"",IFBLANK(_xldudf_CX_PUSH(BF48,CX_ENTITY,$B48,BF$11,BF$14,BF$19,),"")))))),"")</f>
        <v/>
      </c>
      <c r="EG48" s="2445" t="str" cm="1">
        <f t="array" ca="1" aca="1" ref="EG48">IFERROR(IF(BG48*fxVal_normal=_PL!BG48,"",IF(OR(BG48="",NOT(ISNUMBER(BG48)),ISERROR(BG48),$B48=""),"",IF($I48=1,IFBLANK(_xldudf_CX_PUSH(BG48*fxVal_normal,CX_ENTITY,$B48,BG$11,BG$14,BG$19,),""),IF($I48=2,IFBLANK(_xldudf_CX_PUSH(BG48,CX_ENTITY,$B48,BG$11,BG$14,BG$19,),""),IF($I48=3,"",IFBLANK(_xldudf_CX_PUSH(BG48,CX_ENTITY,$B48,BG$11,BG$14,BG$19,),"")))))),"")</f>
        <v/>
      </c>
      <c r="EH48" s="2445" t="str" cm="1">
        <f t="array" ca="1" aca="1" ref="EH48">IFERROR(IF(BH48*fxVal_normal=_PL!BH48,"",IF(OR(BH48="",NOT(ISNUMBER(BH48)),ISERROR(BH48),$B48=""),"",IF($I48=1,IFBLANK(_xldudf_CX_PUSH(BH48*fxVal_normal,CX_ENTITY,$B48,BH$11,BH$14,BH$19,),""),IF($I48=2,IFBLANK(_xldudf_CX_PUSH(BH48,CX_ENTITY,$B48,BH$11,BH$14,BH$19,),""),IF($I48=3,"",IFBLANK(_xldudf_CX_PUSH(BH48,CX_ENTITY,$B48,BH$11,BH$14,BH$19,),"")))))),"")</f>
        <v/>
      </c>
      <c r="EI48" s="2445" t="str" cm="1">
        <f t="array" ca="1" aca="1" ref="EI48">IFERROR(IF(BI48*fxVal_normal=_PL!BI48,"",IF(OR(BI48="",NOT(ISNUMBER(BI48)),ISERROR(BI48),$B48=""),"",IF($I48=1,IFBLANK(_xldudf_CX_PUSH(BI48*fxVal_normal,CX_ENTITY,$B48,BI$11,BI$14,BI$19,),""),IF($I48=2,IFBLANK(_xldudf_CX_PUSH(BI48,CX_ENTITY,$B48,BI$11,BI$14,BI$19,),""),IF($I48=3,"",IFBLANK(_xldudf_CX_PUSH(BI48,CX_ENTITY,$B48,BI$11,BI$14,BI$19,),"")))))),"")</f>
        <v/>
      </c>
      <c r="EJ48" s="2445" t="str" cm="1">
        <f t="array" ca="1" aca="1" ref="EJ48">IFERROR(IF(BJ48*fxVal_normal=_PL!BJ48,"",IF(OR(BJ48="",NOT(ISNUMBER(BJ48)),ISERROR(BJ48),$B48=""),"",IF($I48=1,IFBLANK(_xldudf_CX_PUSH(BJ48*fxVal_normal,CX_ENTITY,$B48,BJ$11,BJ$14,BJ$19,),""),IF($I48=2,IFBLANK(_xldudf_CX_PUSH(BJ48,CX_ENTITY,$B48,BJ$11,BJ$14,BJ$19,),""),IF($I48=3,"",IFBLANK(_xldudf_CX_PUSH(BJ48,CX_ENTITY,$B48,BJ$11,BJ$14,BJ$19,),"")))))),"")</f>
        <v/>
      </c>
      <c r="EK48" s="2445" t="str" cm="1">
        <f t="array" ca="1" aca="1" ref="EK48">IFERROR(IF(BK48*fxVal_normal=_PL!BK48,"",IF(OR(BK48="",NOT(ISNUMBER(BK48)),ISERROR(BK48),$B48=""),"",IF($I48=1,IFBLANK(_xldudf_CX_PUSH(BK48*fxVal_normal,CX_ENTITY,$B48,BK$11,BK$14,BK$19,),""),IF($I48=2,IFBLANK(_xldudf_CX_PUSH(BK48,CX_ENTITY,$B48,BK$11,BK$14,BK$19,),""),IF($I48=3,"",IFBLANK(_xldudf_CX_PUSH(BK48,CX_ENTITY,$B48,BK$11,BK$14,BK$19,),"")))))),"")</f>
        <v/>
      </c>
      <c r="EL48" s="2445" t="str" cm="1">
        <f t="array" ca="1" aca="1" ref="EL48">IFERROR(IF(BL48*fxVal_normal=_PL!BL48,"",IF(OR(BL48="",NOT(ISNUMBER(BL48)),ISERROR(BL48),$B48=""),"",IF($I48=1,IFBLANK(_xldudf_CX_PUSH(BL48*fxVal_normal,CX_ENTITY,$B48,BL$11,BL$14,BL$19,),""),IF($I48=2,IFBLANK(_xldudf_CX_PUSH(BL48,CX_ENTITY,$B48,BL$11,BL$14,BL$19,),""),IF($I48=3,"",IFBLANK(_xldudf_CX_PUSH(BL48,CX_ENTITY,$B48,BL$11,BL$14,BL$19,),"")))))),"")</f>
        <v/>
      </c>
      <c r="EM48" s="2445" t="str" cm="1">
        <f t="array" ca="1" aca="1" ref="EM48">IFERROR(IF(BM48*fxVal_normal=_PL!BM48,"",IF(OR(BM48="",NOT(ISNUMBER(BM48)),ISERROR(BM48),$B48=""),"",IF($I48=1,IFBLANK(_xldudf_CX_PUSH(BM48*fxVal_normal,CX_ENTITY,$B48,BM$11,BM$14,BM$19,),""),IF($I48=2,IFBLANK(_xldudf_CX_PUSH(BM48,CX_ENTITY,$B48,BM$11,BM$14,BM$19,),""),IF($I48=3,"",IFBLANK(_xldudf_CX_PUSH(BM48,CX_ENTITY,$B48,BM$11,BM$14,BM$19,),"")))))),"")</f>
        <v/>
      </c>
      <c r="EN48" s="2445" t="str" cm="1">
        <f t="array" ca="1" aca="1" ref="EN48">IFERROR(IF(BN48*fxVal_normal=_PL!BN48,"",IF(OR(BN48="",NOT(ISNUMBER(BN48)),ISERROR(BN48),$B48=""),"",IF($I48=1,IFBLANK(_xldudf_CX_PUSH(BN48*fxVal_normal,CX_ENTITY,$B48,BN$11,BN$14,BN$19,),""),IF($I48=2,IFBLANK(_xldudf_CX_PUSH(BN48,CX_ENTITY,$B48,BN$11,BN$14,BN$19,),""),IF($I48=3,"",IFBLANK(_xldudf_CX_PUSH(BN48,CX_ENTITY,$B48,BN$11,BN$14,BN$19,),"")))))),"")</f>
        <v/>
      </c>
    </row>
    <row r="49" spans="1:144" ht="21" customHeight="1">
      <c r="A49" s="1625"/>
      <c r="B49" s="2439" t="str">
        <f>_xlfn.LET(_xlpm.IsNotAttrDynamic,D49="",_xlpm.Attr,_PL!F49,_xlpm.NotInUse,Y49=D49,_xlpm.RESULT,IF(_xlpm.IsNotAttrDynamic,_xlpm.Attr,IF(_xlpm.NotInUse,"",Y49)),IF(_xlpm.RESULT="","",_xlpm.RESULT))</f>
        <v>Custom Metric Amount 4</v>
      </c>
      <c r="C49" s="3459" t="str" cm="1">
        <f t="array" ref="C49">IFBLANK(_PL!C49,"")</f>
        <v>Custom Metric - Label 4</v>
      </c>
      <c r="D49" s="1548"/>
      <c r="E49" s="2453"/>
      <c r="F49" s="578"/>
      <c r="G49" s="578"/>
      <c r="H49" s="401"/>
      <c r="I49" s="401"/>
      <c r="J49" s="401"/>
      <c r="K49" s="578"/>
      <c r="L49" s="37"/>
      <c r="N49" s="158"/>
      <c r="O49" s="101"/>
      <c r="P49" s="52"/>
      <c r="Q49" s="101"/>
      <c r="R49" s="126"/>
      <c r="S49" s="101"/>
      <c r="T49" s="101"/>
      <c r="U49" s="39"/>
      <c r="V49" s="37"/>
      <c r="W49" s="91" t="str">
        <f t="shared" si="15"/>
        <v>Actual</v>
      </c>
      <c r="X49" s="2081" t="e">
        <f ca="1">_PL!X49</f>
        <v>#NAME?</v>
      </c>
      <c r="Y49" s="3189">
        <v>2</v>
      </c>
      <c r="Z49" s="198">
        <f>IF(Y49="","",-1)</f>
        <v>-1</v>
      </c>
      <c r="AA49" s="200"/>
      <c r="AB49" s="2467" t="e">
        <f ca="1">IF(_PL!AB49="Error","",_PL!AB49)</f>
        <v>#NAME?</v>
      </c>
      <c r="AC49" s="2468"/>
      <c r="AD49" s="3177">
        <v>1</v>
      </c>
      <c r="AE49" s="3177">
        <v>1</v>
      </c>
      <c r="AF49" s="3177">
        <v>1</v>
      </c>
      <c r="AG49" s="3177">
        <v>1</v>
      </c>
      <c r="AH49" s="3177">
        <v>1</v>
      </c>
      <c r="AI49" s="3177">
        <v>1</v>
      </c>
      <c r="AJ49" s="3177">
        <v>1</v>
      </c>
      <c r="AK49" s="3177">
        <v>1</v>
      </c>
      <c r="AL49" s="3177">
        <v>1</v>
      </c>
      <c r="AM49" s="3177">
        <v>1</v>
      </c>
      <c r="AN49" s="3177">
        <v>1</v>
      </c>
      <c r="AO49" s="3177">
        <v>1</v>
      </c>
      <c r="AP49" s="3177">
        <v>1</v>
      </c>
      <c r="AQ49" s="3177">
        <v>1</v>
      </c>
      <c r="AR49" s="3177">
        <v>1</v>
      </c>
      <c r="AS49" s="3177">
        <v>1</v>
      </c>
      <c r="AT49" s="3177">
        <v>1</v>
      </c>
      <c r="AU49" s="3177">
        <v>1</v>
      </c>
      <c r="AV49" s="3177">
        <v>1</v>
      </c>
      <c r="AW49" s="3177">
        <v>1</v>
      </c>
      <c r="AX49" s="3177">
        <v>1</v>
      </c>
      <c r="AY49" s="3177">
        <v>1</v>
      </c>
      <c r="AZ49" s="3177">
        <v>1</v>
      </c>
      <c r="BA49" s="3177">
        <v>1</v>
      </c>
      <c r="BB49" s="3177">
        <v>1</v>
      </c>
      <c r="BC49" s="3177">
        <v>1</v>
      </c>
      <c r="BD49" s="3177">
        <v>1</v>
      </c>
      <c r="BE49" s="3177">
        <v>1</v>
      </c>
      <c r="BF49" s="3177">
        <v>1</v>
      </c>
      <c r="BG49" s="3177">
        <v>1</v>
      </c>
      <c r="BH49" s="3177">
        <v>1</v>
      </c>
      <c r="BI49" s="3177">
        <v>1</v>
      </c>
      <c r="BJ49" s="3177">
        <v>1</v>
      </c>
      <c r="BK49" s="3177">
        <v>1</v>
      </c>
      <c r="BL49" s="3177">
        <v>1</v>
      </c>
      <c r="BM49" s="3177">
        <v>1</v>
      </c>
      <c r="BN49" s="3177">
        <v>1</v>
      </c>
      <c r="BO49" s="2442"/>
      <c r="BP49" s="2442"/>
      <c r="BQ49" s="2442"/>
      <c r="BR49" s="2442"/>
      <c r="BS49" s="2442"/>
      <c r="BT49" s="2442"/>
      <c r="BU49" s="2442"/>
      <c r="BV49" s="2442"/>
      <c r="BW49" s="2442"/>
      <c r="BX49" s="2442"/>
      <c r="BY49" s="2442"/>
      <c r="BZ49" s="2442"/>
      <c r="CA49" s="34"/>
      <c r="CC49" s="33"/>
      <c r="CD49" s="1772" t="e" cm="1">
        <f t="array" ca="1" aca="1" ref="CD49">_xlfn.LET(_xlpm.CheckBlank,SUM(PL!$AD49:PL!$BN49)=0,IF(_xlpm.CheckBlank,"",SUM(_xlfn._xlws.FILTER(PL!$AD49:$BN49,(YEAR(PL!$AD$12:$BN$12)=PL!CD$12)*(array_timeline&lt;=PL!CD$11)))))</f>
        <v>#NAME?</v>
      </c>
      <c r="CE49" s="1772" t="e" cm="1">
        <f t="array" ca="1" aca="1" ref="CE49">_xlfn.LET(_xlpm.CheckBlank,SUM(PL!$AD49:PL!$BN49)=0,IF(_xlpm.CheckBlank,"",SUM(_xlfn._xlws.FILTER(PL!$AD49:$BN49,(YEAR(PL!$AD$12:$BN$12)=PL!CE$12)*(array_timeline&lt;=PL!CE$11)))))</f>
        <v>#NAME?</v>
      </c>
      <c r="CF49" s="178"/>
      <c r="CG49" s="1461" t="str" cm="1">
        <f t="array" ca="1" aca="1" ref="CG49">IFERROR(_xlfn.LET(_xlpm.CheckBlank,SUM(PL!$AD49:$BN49)=0,IF(_xlpm.CheckBlank,"",SUM(_xlfn._xlws.FILTER(PL!$AD49:$BN49,(YEAR(PL!$AD$12:$BN$12)=PL!CG$12)*(array_timeline&lt;=PL!CG$11))))),"n/a")</f>
        <v>n/a</v>
      </c>
      <c r="CH49" s="1461" t="e" cm="1">
        <f t="array" ca="1" aca="1" ref="CH49">_xlfn.LET(_xlpm.CheckBlank,SUM(PL!$AD49:$BN49)=0,IF(_xlpm.CheckBlank,"",SUM(_xlfn._xlws.FILTER(PL!$AD49:$BN49,(YEAR(PL!$AD$12:$BN$12)=PL!CH$12)*(array_timeline&lt;=PL!CH$11)))))</f>
        <v>#NAME?</v>
      </c>
      <c r="CI49" s="88"/>
      <c r="CJ49" s="1461" cm="1">
        <f t="array" ref="CJ49">_xlfn.LET(_xlpm.CheckBlank,SUM(PL!$AD49:$BN49)=0,IF(_xlpm.CheckBlank,"",SUM(_xlfn.TAKE(_xlfn.DROP(PL!$AD49:$BN49,,-DATEDIFF(PL!CJ$11,val_asOfDate,"M")),1,-12))))</f>
        <v>12</v>
      </c>
      <c r="CK49" s="1461" cm="1">
        <f t="array" ref="CK49">_xlfn.LET(_xlpm.CheckBlank,SUM(PL!$AD49:$BN49)=0,IF(_xlpm.CheckBlank,"",SUM(_xlfn.TAKE(_xlfn.DROP(PL!$AD49:$BN49,,-DATEDIFF(PL!CK$11,val_asOfDate,"M")),1,-12))))</f>
        <v>12</v>
      </c>
      <c r="CL49" s="88"/>
      <c r="CM49" s="3185">
        <v>1</v>
      </c>
      <c r="CN49" s="3185">
        <v>1</v>
      </c>
      <c r="CO49" s="88"/>
      <c r="CP49" s="3185">
        <v>1</v>
      </c>
      <c r="CQ49" s="3185">
        <v>1</v>
      </c>
      <c r="CR49" s="34"/>
      <c r="CS49" s="2056"/>
      <c r="CT49" s="2447" t="e" cm="1">
        <f t="array" ca="1" aca="1" ref="CT49">IF(Y49="","",IF(ISNUMBER(SEARCH("Select",$Y49)),"",_xldudf_CX_PUSH($Y49,CX_ENTITY,C49,val_asOfDate)))</f>
        <v>#NAME?</v>
      </c>
      <c r="CU49" s="2447" t="e" cm="1">
        <f t="array" ca="1" aca="1" ref="CU49">IF(Y49="","",IF(ISNUMBER(SEARCH("Select",$Y49)),"",_xldudf_CX_PUSH($Y49,CX_ENTITY,C49,EOMONTH(val_asOfDate,1))))</f>
        <v>#NAME?</v>
      </c>
      <c r="CV49" s="2447" t="e" cm="1">
        <f t="array" ca="1" aca="1" ref="CV49">IF(Y49="","",IF(ISNUMBER(SEARCH("Select",$Y49)),"",_xldudf_CX_PUSH($Y49,CX_ENTITY,C49,EOMONTH(val_asOfDate,2))))</f>
        <v>#NAME?</v>
      </c>
      <c r="CW49" s="2447" t="e" cm="1">
        <f t="array" ca="1" aca="1" ref="CW49">IF(Y49="","",IF(ISNUMBER(SEARCH("Select",$Y49)),"",_xldudf_CX_PUSH($Y49,CX_ENTITY,C49,EOMONTH(val_asOfDate,3))))</f>
        <v>#NAME?</v>
      </c>
      <c r="CX49" s="2443"/>
      <c r="CY49" s="2444"/>
      <c r="CZ49" s="2444"/>
      <c r="DA49" s="2444"/>
      <c r="DB49" s="2444"/>
      <c r="DC49" s="2443"/>
      <c r="DD49" s="2445" t="str" cm="1">
        <f t="array" ca="1" aca="1" ref="DD49">IFERROR(IF(AD49*fxVal_normal=_PL!AD49,"",IF(OR(AD49="",NOT(ISNUMBER(AD49)),ISERROR(AD49),$B49=""),"",IF($I49=1,IFBLANK(_xldudf_CX_PUSH(AD49*fxVal_normal,CX_ENTITY,$B49,AD$11,AD$14,AD$19,),""),IF($I49=2,IFBLANK(_xldudf_CX_PUSH(AD49,CX_ENTITY,$B49,AD$11,AD$14,AD$19,),""),IF($I49=3,"",IFBLANK(_xldudf_CX_PUSH(AD49,CX_ENTITY,$B49,AD$11,AD$14,AD$19,),"")))))),"")</f>
        <v/>
      </c>
      <c r="DE49" s="2445" t="str" cm="1">
        <f t="array" ca="1" aca="1" ref="DE49">IFERROR(IF(AE49*fxVal_normal=_PL!AE49,"",IF(OR(AE49="",NOT(ISNUMBER(AE49)),ISERROR(AE49),$B49=""),"",IF($I49=1,IFBLANK(_xldudf_CX_PUSH(AE49*fxVal_normal,CX_ENTITY,$B49,AE$11,AE$14,AE$19,),""),IF($I49=2,IFBLANK(_xldudf_CX_PUSH(AE49,CX_ENTITY,$B49,AE$11,AE$14,AE$19,),""),IF($I49=3,"",IFBLANK(_xldudf_CX_PUSH(AE49,CX_ENTITY,$B49,AE$11,AE$14,AE$19,),"")))))),"")</f>
        <v/>
      </c>
      <c r="DF49" s="2445" t="str" cm="1">
        <f t="array" ca="1" aca="1" ref="DF49">IFERROR(IF(AF49*fxVal_normal=_PL!AF49,"",IF(OR(AF49="",NOT(ISNUMBER(AF49)),ISERROR(AF49),$B49=""),"",IF($I49=1,IFBLANK(_xldudf_CX_PUSH(AF49*fxVal_normal,CX_ENTITY,$B49,AF$11,AF$14,AF$19,),""),IF($I49=2,IFBLANK(_xldudf_CX_PUSH(AF49,CX_ENTITY,$B49,AF$11,AF$14,AF$19,),""),IF($I49=3,"",IFBLANK(_xldudf_CX_PUSH(AF49,CX_ENTITY,$B49,AF$11,AF$14,AF$19,),"")))))),"")</f>
        <v/>
      </c>
      <c r="DG49" s="2445" t="str" cm="1">
        <f t="array" ca="1" aca="1" ref="DG49">IFERROR(IF(AG49*fxVal_normal=_PL!AG49,"",IF(OR(AG49="",NOT(ISNUMBER(AG49)),ISERROR(AG49),$B49=""),"",IF($I49=1,IFBLANK(_xldudf_CX_PUSH(AG49*fxVal_normal,CX_ENTITY,$B49,AG$11,AG$14,AG$19,),""),IF($I49=2,IFBLANK(_xldudf_CX_PUSH(AG49,CX_ENTITY,$B49,AG$11,AG$14,AG$19,),""),IF($I49=3,"",IFBLANK(_xldudf_CX_PUSH(AG49,CX_ENTITY,$B49,AG$11,AG$14,AG$19,),"")))))),"")</f>
        <v/>
      </c>
      <c r="DH49" s="2445" t="str" cm="1">
        <f t="array" ca="1" aca="1" ref="DH49">IFERROR(IF(AH49*fxVal_normal=_PL!AH49,"",IF(OR(AH49="",NOT(ISNUMBER(AH49)),ISERROR(AH49),$B49=""),"",IF($I49=1,IFBLANK(_xldudf_CX_PUSH(AH49*fxVal_normal,CX_ENTITY,$B49,AH$11,AH$14,AH$19,),""),IF($I49=2,IFBLANK(_xldudf_CX_PUSH(AH49,CX_ENTITY,$B49,AH$11,AH$14,AH$19,),""),IF($I49=3,"",IFBLANK(_xldudf_CX_PUSH(AH49,CX_ENTITY,$B49,AH$11,AH$14,AH$19,),"")))))),"")</f>
        <v/>
      </c>
      <c r="DI49" s="2445" t="str" cm="1">
        <f t="array" ca="1" aca="1" ref="DI49">IFERROR(IF(AI49*fxVal_normal=_PL!AI49,"",IF(OR(AI49="",NOT(ISNUMBER(AI49)),ISERROR(AI49),$B49=""),"",IF($I49=1,IFBLANK(_xldudf_CX_PUSH(AI49*fxVal_normal,CX_ENTITY,$B49,AI$11,AI$14,AI$19,),""),IF($I49=2,IFBLANK(_xldudf_CX_PUSH(AI49,CX_ENTITY,$B49,AI$11,AI$14,AI$19,),""),IF($I49=3,"",IFBLANK(_xldudf_CX_PUSH(AI49,CX_ENTITY,$B49,AI$11,AI$14,AI$19,),"")))))),"")</f>
        <v/>
      </c>
      <c r="DJ49" s="2445" t="str" cm="1">
        <f t="array" ca="1" aca="1" ref="DJ49">IFERROR(IF(AJ49*fxVal_normal=_PL!AJ49,"",IF(OR(AJ49="",NOT(ISNUMBER(AJ49)),ISERROR(AJ49),$B49=""),"",IF($I49=1,IFBLANK(_xldudf_CX_PUSH(AJ49*fxVal_normal,CX_ENTITY,$B49,AJ$11,AJ$14,AJ$19,),""),IF($I49=2,IFBLANK(_xldudf_CX_PUSH(AJ49,CX_ENTITY,$B49,AJ$11,AJ$14,AJ$19,),""),IF($I49=3,"",IFBLANK(_xldudf_CX_PUSH(AJ49,CX_ENTITY,$B49,AJ$11,AJ$14,AJ$19,),"")))))),"")</f>
        <v/>
      </c>
      <c r="DK49" s="2445" t="str" cm="1">
        <f t="array" ca="1" aca="1" ref="DK49">IFERROR(IF(AK49*fxVal_normal=_PL!AK49,"",IF(OR(AK49="",NOT(ISNUMBER(AK49)),ISERROR(AK49),$B49=""),"",IF($I49=1,IFBLANK(_xldudf_CX_PUSH(AK49*fxVal_normal,CX_ENTITY,$B49,AK$11,AK$14,AK$19,),""),IF($I49=2,IFBLANK(_xldudf_CX_PUSH(AK49,CX_ENTITY,$B49,AK$11,AK$14,AK$19,),""),IF($I49=3,"",IFBLANK(_xldudf_CX_PUSH(AK49,CX_ENTITY,$B49,AK$11,AK$14,AK$19,),"")))))),"")</f>
        <v/>
      </c>
      <c r="DL49" s="2445" t="str" cm="1">
        <f t="array" ca="1" aca="1" ref="DL49">IFERROR(IF(AL49*fxVal_normal=_PL!AL49,"",IF(OR(AL49="",NOT(ISNUMBER(AL49)),ISERROR(AL49),$B49=""),"",IF($I49=1,IFBLANK(_xldudf_CX_PUSH(AL49*fxVal_normal,CX_ENTITY,$B49,AL$11,AL$14,AL$19,),""),IF($I49=2,IFBLANK(_xldudf_CX_PUSH(AL49,CX_ENTITY,$B49,AL$11,AL$14,AL$19,),""),IF($I49=3,"",IFBLANK(_xldudf_CX_PUSH(AL49,CX_ENTITY,$B49,AL$11,AL$14,AL$19,),"")))))),"")</f>
        <v/>
      </c>
      <c r="DM49" s="2445" t="str" cm="1">
        <f t="array" ca="1" aca="1" ref="DM49">IFERROR(IF(AM49*fxVal_normal=_PL!AM49,"",IF(OR(AM49="",NOT(ISNUMBER(AM49)),ISERROR(AM49),$B49=""),"",IF($I49=1,IFBLANK(_xldudf_CX_PUSH(AM49*fxVal_normal,CX_ENTITY,$B49,AM$11,AM$14,AM$19,),""),IF($I49=2,IFBLANK(_xldudf_CX_PUSH(AM49,CX_ENTITY,$B49,AM$11,AM$14,AM$19,),""),IF($I49=3,"",IFBLANK(_xldudf_CX_PUSH(AM49,CX_ENTITY,$B49,AM$11,AM$14,AM$19,),"")))))),"")</f>
        <v/>
      </c>
      <c r="DN49" s="2445" t="str" cm="1">
        <f t="array" ca="1" aca="1" ref="DN49">IFERROR(IF(AN49*fxVal_normal=_PL!AN49,"",IF(OR(AN49="",NOT(ISNUMBER(AN49)),ISERROR(AN49),$B49=""),"",IF($I49=1,IFBLANK(_xldudf_CX_PUSH(AN49*fxVal_normal,CX_ENTITY,$B49,AN$11,AN$14,AN$19,),""),IF($I49=2,IFBLANK(_xldudf_CX_PUSH(AN49,CX_ENTITY,$B49,AN$11,AN$14,AN$19,),""),IF($I49=3,"",IFBLANK(_xldudf_CX_PUSH(AN49,CX_ENTITY,$B49,AN$11,AN$14,AN$19,),"")))))),"")</f>
        <v/>
      </c>
      <c r="DO49" s="2445" t="str" cm="1">
        <f t="array" ca="1" aca="1" ref="DO49">IFERROR(IF(AO49*fxVal_normal=_PL!AO49,"",IF(OR(AO49="",NOT(ISNUMBER(AO49)),ISERROR(AO49),$B49=""),"",IF($I49=1,IFBLANK(_xldudf_CX_PUSH(AO49*fxVal_normal,CX_ENTITY,$B49,AO$11,AO$14,AO$19,),""),IF($I49=2,IFBLANK(_xldudf_CX_PUSH(AO49,CX_ENTITY,$B49,AO$11,AO$14,AO$19,),""),IF($I49=3,"",IFBLANK(_xldudf_CX_PUSH(AO49,CX_ENTITY,$B49,AO$11,AO$14,AO$19,),"")))))),"")</f>
        <v/>
      </c>
      <c r="DP49" s="2445" t="str" cm="1">
        <f t="array" ca="1" aca="1" ref="DP49">IFERROR(IF(AP49*fxVal_normal=_PL!AP49,"",IF(OR(AP49="",NOT(ISNUMBER(AP49)),ISERROR(AP49),$B49=""),"",IF($I49=1,IFBLANK(_xldudf_CX_PUSH(AP49*fxVal_normal,CX_ENTITY,$B49,AP$11,AP$14,AP$19,),""),IF($I49=2,IFBLANK(_xldudf_CX_PUSH(AP49,CX_ENTITY,$B49,AP$11,AP$14,AP$19,),""),IF($I49=3,"",IFBLANK(_xldudf_CX_PUSH(AP49,CX_ENTITY,$B49,AP$11,AP$14,AP$19,),"")))))),"")</f>
        <v/>
      </c>
      <c r="DQ49" s="2445" t="str" cm="1">
        <f t="array" ca="1" aca="1" ref="DQ49">IFERROR(IF(AQ49*fxVal_normal=_PL!AQ49,"",IF(OR(AQ49="",NOT(ISNUMBER(AQ49)),ISERROR(AQ49),$B49=""),"",IF($I49=1,IFBLANK(_xldudf_CX_PUSH(AQ49*fxVal_normal,CX_ENTITY,$B49,AQ$11,AQ$14,AQ$19,),""),IF($I49=2,IFBLANK(_xldudf_CX_PUSH(AQ49,CX_ENTITY,$B49,AQ$11,AQ$14,AQ$19,),""),IF($I49=3,"",IFBLANK(_xldudf_CX_PUSH(AQ49,CX_ENTITY,$B49,AQ$11,AQ$14,AQ$19,),"")))))),"")</f>
        <v/>
      </c>
      <c r="DR49" s="2445" t="str" cm="1">
        <f t="array" ca="1" aca="1" ref="DR49">IFERROR(IF(AR49*fxVal_normal=_PL!AR49,"",IF(OR(AR49="",NOT(ISNUMBER(AR49)),ISERROR(AR49),$B49=""),"",IF($I49=1,IFBLANK(_xldudf_CX_PUSH(AR49*fxVal_normal,CX_ENTITY,$B49,AR$11,AR$14,AR$19,),""),IF($I49=2,IFBLANK(_xldudf_CX_PUSH(AR49,CX_ENTITY,$B49,AR$11,AR$14,AR$19,),""),IF($I49=3,"",IFBLANK(_xldudf_CX_PUSH(AR49,CX_ENTITY,$B49,AR$11,AR$14,AR$19,),"")))))),"")</f>
        <v/>
      </c>
      <c r="DS49" s="2445" t="str" cm="1">
        <f t="array" ca="1" aca="1" ref="DS49">IFERROR(IF(AS49*fxVal_normal=_PL!AS49,"",IF(OR(AS49="",NOT(ISNUMBER(AS49)),ISERROR(AS49),$B49=""),"",IF($I49=1,IFBLANK(_xldudf_CX_PUSH(AS49*fxVal_normal,CX_ENTITY,$B49,AS$11,AS$14,AS$19,),""),IF($I49=2,IFBLANK(_xldudf_CX_PUSH(AS49,CX_ENTITY,$B49,AS$11,AS$14,AS$19,),""),IF($I49=3,"",IFBLANK(_xldudf_CX_PUSH(AS49,CX_ENTITY,$B49,AS$11,AS$14,AS$19,),"")))))),"")</f>
        <v/>
      </c>
      <c r="DT49" s="2445" t="str" cm="1">
        <f t="array" ca="1" aca="1" ref="DT49">IFERROR(IF(AT49*fxVal_normal=_PL!AT49,"",IF(OR(AT49="",NOT(ISNUMBER(AT49)),ISERROR(AT49),$B49=""),"",IF($I49=1,IFBLANK(_xldudf_CX_PUSH(AT49*fxVal_normal,CX_ENTITY,$B49,AT$11,AT$14,AT$19,),""),IF($I49=2,IFBLANK(_xldudf_CX_PUSH(AT49,CX_ENTITY,$B49,AT$11,AT$14,AT$19,),""),IF($I49=3,"",IFBLANK(_xldudf_CX_PUSH(AT49,CX_ENTITY,$B49,AT$11,AT$14,AT$19,),"")))))),"")</f>
        <v/>
      </c>
      <c r="DU49" s="2445" t="str" cm="1">
        <f t="array" ca="1" aca="1" ref="DU49">IFERROR(IF(AU49*fxVal_normal=_PL!AU49,"",IF(OR(AU49="",NOT(ISNUMBER(AU49)),ISERROR(AU49),$B49=""),"",IF($I49=1,IFBLANK(_xldudf_CX_PUSH(AU49*fxVal_normal,CX_ENTITY,$B49,AU$11,AU$14,AU$19,),""),IF($I49=2,IFBLANK(_xldudf_CX_PUSH(AU49,CX_ENTITY,$B49,AU$11,AU$14,AU$19,),""),IF($I49=3,"",IFBLANK(_xldudf_CX_PUSH(AU49,CX_ENTITY,$B49,AU$11,AU$14,AU$19,),"")))))),"")</f>
        <v/>
      </c>
      <c r="DV49" s="2445" t="str" cm="1">
        <f t="array" ca="1" aca="1" ref="DV49">IFERROR(IF(AV49*fxVal_normal=_PL!AV49,"",IF(OR(AV49="",NOT(ISNUMBER(AV49)),ISERROR(AV49),$B49=""),"",IF($I49=1,IFBLANK(_xldudf_CX_PUSH(AV49*fxVal_normal,CX_ENTITY,$B49,AV$11,AV$14,AV$19,),""),IF($I49=2,IFBLANK(_xldudf_CX_PUSH(AV49,CX_ENTITY,$B49,AV$11,AV$14,AV$19,),""),IF($I49=3,"",IFBLANK(_xldudf_CX_PUSH(AV49,CX_ENTITY,$B49,AV$11,AV$14,AV$19,),"")))))),"")</f>
        <v/>
      </c>
      <c r="DW49" s="2445" t="str" cm="1">
        <f t="array" ca="1" aca="1" ref="DW49">IFERROR(IF(AW49*fxVal_normal=_PL!AW49,"",IF(OR(AW49="",NOT(ISNUMBER(AW49)),ISERROR(AW49),$B49=""),"",IF($I49=1,IFBLANK(_xldudf_CX_PUSH(AW49*fxVal_normal,CX_ENTITY,$B49,AW$11,AW$14,AW$19,),""),IF($I49=2,IFBLANK(_xldudf_CX_PUSH(AW49,CX_ENTITY,$B49,AW$11,AW$14,AW$19,),""),IF($I49=3,"",IFBLANK(_xldudf_CX_PUSH(AW49,CX_ENTITY,$B49,AW$11,AW$14,AW$19,),"")))))),"")</f>
        <v/>
      </c>
      <c r="DX49" s="2445" t="str" cm="1">
        <f t="array" ca="1" aca="1" ref="DX49">IFERROR(IF(AX49*fxVal_normal=_PL!AX49,"",IF(OR(AX49="",NOT(ISNUMBER(AX49)),ISERROR(AX49),$B49=""),"",IF($I49=1,IFBLANK(_xldudf_CX_PUSH(AX49*fxVal_normal,CX_ENTITY,$B49,AX$11,AX$14,AX$19,),""),IF($I49=2,IFBLANK(_xldudf_CX_PUSH(AX49,CX_ENTITY,$B49,AX$11,AX$14,AX$19,),""),IF($I49=3,"",IFBLANK(_xldudf_CX_PUSH(AX49,CX_ENTITY,$B49,AX$11,AX$14,AX$19,),"")))))),"")</f>
        <v/>
      </c>
      <c r="DY49" s="2445" t="str" cm="1">
        <f t="array" ca="1" aca="1" ref="DY49">IFERROR(IF(AY49*fxVal_normal=_PL!AY49,"",IF(OR(AY49="",NOT(ISNUMBER(AY49)),ISERROR(AY49),$B49=""),"",IF($I49=1,IFBLANK(_xldudf_CX_PUSH(AY49*fxVal_normal,CX_ENTITY,$B49,AY$11,AY$14,AY$19,),""),IF($I49=2,IFBLANK(_xldudf_CX_PUSH(AY49,CX_ENTITY,$B49,AY$11,AY$14,AY$19,),""),IF($I49=3,"",IFBLANK(_xldudf_CX_PUSH(AY49,CX_ENTITY,$B49,AY$11,AY$14,AY$19,),"")))))),"")</f>
        <v/>
      </c>
      <c r="DZ49" s="2445" t="str" cm="1">
        <f t="array" ca="1" aca="1" ref="DZ49">IFERROR(IF(AZ49*fxVal_normal=_PL!AZ49,"",IF(OR(AZ49="",NOT(ISNUMBER(AZ49)),ISERROR(AZ49),$B49=""),"",IF($I49=1,IFBLANK(_xldudf_CX_PUSH(AZ49*fxVal_normal,CX_ENTITY,$B49,AZ$11,AZ$14,AZ$19,),""),IF($I49=2,IFBLANK(_xldudf_CX_PUSH(AZ49,CX_ENTITY,$B49,AZ$11,AZ$14,AZ$19,),""),IF($I49=3,"",IFBLANK(_xldudf_CX_PUSH(AZ49,CX_ENTITY,$B49,AZ$11,AZ$14,AZ$19,),"")))))),"")</f>
        <v/>
      </c>
      <c r="EA49" s="2445" t="str" cm="1">
        <f t="array" ca="1" aca="1" ref="EA49">IFERROR(IF(BA49*fxVal_normal=_PL!BA49,"",IF(OR(BA49="",NOT(ISNUMBER(BA49)),ISERROR(BA49),$B49=""),"",IF($I49=1,IFBLANK(_xldudf_CX_PUSH(BA49*fxVal_normal,CX_ENTITY,$B49,BA$11,BA$14,BA$19,),""),IF($I49=2,IFBLANK(_xldudf_CX_PUSH(BA49,CX_ENTITY,$B49,BA$11,BA$14,BA$19,),""),IF($I49=3,"",IFBLANK(_xldudf_CX_PUSH(BA49,CX_ENTITY,$B49,BA$11,BA$14,BA$19,),"")))))),"")</f>
        <v/>
      </c>
      <c r="EB49" s="2445" t="str" cm="1">
        <f t="array" ca="1" aca="1" ref="EB49">IFERROR(IF(BB49*fxVal_normal=_PL!BB49,"",IF(OR(BB49="",NOT(ISNUMBER(BB49)),ISERROR(BB49),$B49=""),"",IF($I49=1,IFBLANK(_xldudf_CX_PUSH(BB49*fxVal_normal,CX_ENTITY,$B49,BB$11,BB$14,BB$19,),""),IF($I49=2,IFBLANK(_xldudf_CX_PUSH(BB49,CX_ENTITY,$B49,BB$11,BB$14,BB$19,),""),IF($I49=3,"",IFBLANK(_xldudf_CX_PUSH(BB49,CX_ENTITY,$B49,BB$11,BB$14,BB$19,),"")))))),"")</f>
        <v/>
      </c>
      <c r="EC49" s="2445" t="str" cm="1">
        <f t="array" ca="1" aca="1" ref="EC49">IFERROR(IF(BC49*fxVal_normal=_PL!BC49,"",IF(OR(BC49="",NOT(ISNUMBER(BC49)),ISERROR(BC49),$B49=""),"",IF($I49=1,IFBLANK(_xldudf_CX_PUSH(BC49*fxVal_normal,CX_ENTITY,$B49,BC$11,BC$14,BC$19,),""),IF($I49=2,IFBLANK(_xldudf_CX_PUSH(BC49,CX_ENTITY,$B49,BC$11,BC$14,BC$19,),""),IF($I49=3,"",IFBLANK(_xldudf_CX_PUSH(BC49,CX_ENTITY,$B49,BC$11,BC$14,BC$19,),"")))))),"")</f>
        <v/>
      </c>
      <c r="ED49" s="2445" t="str" cm="1">
        <f t="array" ca="1" aca="1" ref="ED49">IFERROR(IF(BD49*fxVal_normal=_PL!BD49,"",IF(OR(BD49="",NOT(ISNUMBER(BD49)),ISERROR(BD49),$B49=""),"",IF($I49=1,IFBLANK(_xldudf_CX_PUSH(BD49*fxVal_normal,CX_ENTITY,$B49,BD$11,BD$14,BD$19,),""),IF($I49=2,IFBLANK(_xldudf_CX_PUSH(BD49,CX_ENTITY,$B49,BD$11,BD$14,BD$19,),""),IF($I49=3,"",IFBLANK(_xldudf_CX_PUSH(BD49,CX_ENTITY,$B49,BD$11,BD$14,BD$19,),"")))))),"")</f>
        <v/>
      </c>
      <c r="EE49" s="2445" t="str" cm="1">
        <f t="array" ca="1" aca="1" ref="EE49">IFERROR(IF(BE49*fxVal_normal=_PL!BE49,"",IF(OR(BE49="",NOT(ISNUMBER(BE49)),ISERROR(BE49),$B49=""),"",IF($I49=1,IFBLANK(_xldudf_CX_PUSH(BE49*fxVal_normal,CX_ENTITY,$B49,BE$11,BE$14,BE$19,),""),IF($I49=2,IFBLANK(_xldudf_CX_PUSH(BE49,CX_ENTITY,$B49,BE$11,BE$14,BE$19,),""),IF($I49=3,"",IFBLANK(_xldudf_CX_PUSH(BE49,CX_ENTITY,$B49,BE$11,BE$14,BE$19,),"")))))),"")</f>
        <v/>
      </c>
      <c r="EF49" s="2445" t="str" cm="1">
        <f t="array" ca="1" aca="1" ref="EF49">IFERROR(IF(BF49*fxVal_normal=_PL!BF49,"",IF(OR(BF49="",NOT(ISNUMBER(BF49)),ISERROR(BF49),$B49=""),"",IF($I49=1,IFBLANK(_xldudf_CX_PUSH(BF49*fxVal_normal,CX_ENTITY,$B49,BF$11,BF$14,BF$19,),""),IF($I49=2,IFBLANK(_xldudf_CX_PUSH(BF49,CX_ENTITY,$B49,BF$11,BF$14,BF$19,),""),IF($I49=3,"",IFBLANK(_xldudf_CX_PUSH(BF49,CX_ENTITY,$B49,BF$11,BF$14,BF$19,),"")))))),"")</f>
        <v/>
      </c>
      <c r="EG49" s="2445" t="str" cm="1">
        <f t="array" ca="1" aca="1" ref="EG49">IFERROR(IF(BG49*fxVal_normal=_PL!BG49,"",IF(OR(BG49="",NOT(ISNUMBER(BG49)),ISERROR(BG49),$B49=""),"",IF($I49=1,IFBLANK(_xldudf_CX_PUSH(BG49*fxVal_normal,CX_ENTITY,$B49,BG$11,BG$14,BG$19,),""),IF($I49=2,IFBLANK(_xldudf_CX_PUSH(BG49,CX_ENTITY,$B49,BG$11,BG$14,BG$19,),""),IF($I49=3,"",IFBLANK(_xldudf_CX_PUSH(BG49,CX_ENTITY,$B49,BG$11,BG$14,BG$19,),"")))))),"")</f>
        <v/>
      </c>
      <c r="EH49" s="2445" t="str" cm="1">
        <f t="array" ca="1" aca="1" ref="EH49">IFERROR(IF(BH49*fxVal_normal=_PL!BH49,"",IF(OR(BH49="",NOT(ISNUMBER(BH49)),ISERROR(BH49),$B49=""),"",IF($I49=1,IFBLANK(_xldudf_CX_PUSH(BH49*fxVal_normal,CX_ENTITY,$B49,BH$11,BH$14,BH$19,),""),IF($I49=2,IFBLANK(_xldudf_CX_PUSH(BH49,CX_ENTITY,$B49,BH$11,BH$14,BH$19,),""),IF($I49=3,"",IFBLANK(_xldudf_CX_PUSH(BH49,CX_ENTITY,$B49,BH$11,BH$14,BH$19,),"")))))),"")</f>
        <v/>
      </c>
      <c r="EI49" s="2445" t="str" cm="1">
        <f t="array" ca="1" aca="1" ref="EI49">IFERROR(IF(BI49*fxVal_normal=_PL!BI49,"",IF(OR(BI49="",NOT(ISNUMBER(BI49)),ISERROR(BI49),$B49=""),"",IF($I49=1,IFBLANK(_xldudf_CX_PUSH(BI49*fxVal_normal,CX_ENTITY,$B49,BI$11,BI$14,BI$19,),""),IF($I49=2,IFBLANK(_xldudf_CX_PUSH(BI49,CX_ENTITY,$B49,BI$11,BI$14,BI$19,),""),IF($I49=3,"",IFBLANK(_xldudf_CX_PUSH(BI49,CX_ENTITY,$B49,BI$11,BI$14,BI$19,),"")))))),"")</f>
        <v/>
      </c>
      <c r="EJ49" s="2445" t="str" cm="1">
        <f t="array" ca="1" aca="1" ref="EJ49">IFERROR(IF(BJ49*fxVal_normal=_PL!BJ49,"",IF(OR(BJ49="",NOT(ISNUMBER(BJ49)),ISERROR(BJ49),$B49=""),"",IF($I49=1,IFBLANK(_xldudf_CX_PUSH(BJ49*fxVal_normal,CX_ENTITY,$B49,BJ$11,BJ$14,BJ$19,),""),IF($I49=2,IFBLANK(_xldudf_CX_PUSH(BJ49,CX_ENTITY,$B49,BJ$11,BJ$14,BJ$19,),""),IF($I49=3,"",IFBLANK(_xldudf_CX_PUSH(BJ49,CX_ENTITY,$B49,BJ$11,BJ$14,BJ$19,),"")))))),"")</f>
        <v/>
      </c>
      <c r="EK49" s="2445" t="str" cm="1">
        <f t="array" ca="1" aca="1" ref="EK49">IFERROR(IF(BK49*fxVal_normal=_PL!BK49,"",IF(OR(BK49="",NOT(ISNUMBER(BK49)),ISERROR(BK49),$B49=""),"",IF($I49=1,IFBLANK(_xldudf_CX_PUSH(BK49*fxVal_normal,CX_ENTITY,$B49,BK$11,BK$14,BK$19,),""),IF($I49=2,IFBLANK(_xldudf_CX_PUSH(BK49,CX_ENTITY,$B49,BK$11,BK$14,BK$19,),""),IF($I49=3,"",IFBLANK(_xldudf_CX_PUSH(BK49,CX_ENTITY,$B49,BK$11,BK$14,BK$19,),"")))))),"")</f>
        <v/>
      </c>
      <c r="EL49" s="2445" t="str" cm="1">
        <f t="array" ca="1" aca="1" ref="EL49">IFERROR(IF(BL49*fxVal_normal=_PL!BL49,"",IF(OR(BL49="",NOT(ISNUMBER(BL49)),ISERROR(BL49),$B49=""),"",IF($I49=1,IFBLANK(_xldudf_CX_PUSH(BL49*fxVal_normal,CX_ENTITY,$B49,BL$11,BL$14,BL$19,),""),IF($I49=2,IFBLANK(_xldudf_CX_PUSH(BL49,CX_ENTITY,$B49,BL$11,BL$14,BL$19,),""),IF($I49=3,"",IFBLANK(_xldudf_CX_PUSH(BL49,CX_ENTITY,$B49,BL$11,BL$14,BL$19,),"")))))),"")</f>
        <v/>
      </c>
      <c r="EM49" s="2445" t="str" cm="1">
        <f t="array" ca="1" aca="1" ref="EM49">IFERROR(IF(BM49*fxVal_normal=_PL!BM49,"",IF(OR(BM49="",NOT(ISNUMBER(BM49)),ISERROR(BM49),$B49=""),"",IF($I49=1,IFBLANK(_xldudf_CX_PUSH(BM49*fxVal_normal,CX_ENTITY,$B49,BM$11,BM$14,BM$19,),""),IF($I49=2,IFBLANK(_xldudf_CX_PUSH(BM49,CX_ENTITY,$B49,BM$11,BM$14,BM$19,),""),IF($I49=3,"",IFBLANK(_xldudf_CX_PUSH(BM49,CX_ENTITY,$B49,BM$11,BM$14,BM$19,),"")))))),"")</f>
        <v/>
      </c>
      <c r="EN49" s="2445" t="str" cm="1">
        <f t="array" ca="1" aca="1" ref="EN49">IFERROR(IF(BN49*fxVal_normal=_PL!BN49,"",IF(OR(BN49="",NOT(ISNUMBER(BN49)),ISERROR(BN49),$B49=""),"",IF($I49=1,IFBLANK(_xldudf_CX_PUSH(BN49*fxVal_normal,CX_ENTITY,$B49,BN$11,BN$14,BN$19,),""),IF($I49=2,IFBLANK(_xldudf_CX_PUSH(BN49,CX_ENTITY,$B49,BN$11,BN$14,BN$19,),""),IF($I49=3,"",IFBLANK(_xldudf_CX_PUSH(BN49,CX_ENTITY,$B49,BN$11,BN$14,BN$19,),"")))))),"")</f>
        <v/>
      </c>
    </row>
    <row r="50" spans="1:144" ht="21" customHeight="1">
      <c r="A50" s="1625"/>
      <c r="B50" s="2439" t="str">
        <f>_xlfn.LET(_xlpm.IsNotAttrDynamic,D50="",_xlpm.Attr,_PL!F50,_xlpm.NotInUse,Y50=D50,_xlpm.RESULT,IF(_xlpm.IsNotAttrDynamic,_xlpm.Attr,IF(_xlpm.NotInUse,"",Y50)),IF(_xlpm.RESULT="","",_xlpm.RESULT))</f>
        <v>Custom Metric Amount 5</v>
      </c>
      <c r="C50" s="3459" t="str" cm="1">
        <f t="array" ref="C50">IFBLANK(_PL!C50,"")</f>
        <v>Custom Metric - Label 5</v>
      </c>
      <c r="D50" s="1548"/>
      <c r="E50" s="2453"/>
      <c r="F50" s="578"/>
      <c r="G50" s="578"/>
      <c r="H50" s="3280">
        <v>1</v>
      </c>
      <c r="I50" s="3280">
        <v>1</v>
      </c>
      <c r="J50" s="401" cm="1">
        <f t="array" ref="J50">IFBLANK(Z50,"")</f>
        <v>-1</v>
      </c>
      <c r="K50" s="578" t="str">
        <f t="shared" ca="1" si="3"/>
        <v/>
      </c>
      <c r="L50" s="37"/>
      <c r="N50" s="158"/>
      <c r="O50" s="101"/>
      <c r="P50" s="52"/>
      <c r="Q50" s="101"/>
      <c r="R50" s="126"/>
      <c r="S50" s="101"/>
      <c r="T50" s="101"/>
      <c r="U50" s="39"/>
      <c r="V50" s="37"/>
      <c r="W50" s="91" t="str">
        <f t="shared" si="15"/>
        <v>Actual</v>
      </c>
      <c r="X50" s="2081" t="e">
        <f ca="1">_PL!X50</f>
        <v>#NAME?</v>
      </c>
      <c r="Y50" s="3189">
        <v>2</v>
      </c>
      <c r="Z50" s="198">
        <f t="shared" si="16" ref="Z50">IF(Y50="","",-1)</f>
        <v>-1</v>
      </c>
      <c r="AA50" s="200"/>
      <c r="AB50" s="2467" t="e">
        <f ca="1">IF(_PL!AB50="Error","",_PL!AB50)</f>
        <v>#NAME?</v>
      </c>
      <c r="AC50" s="2468" t="str" cm="1">
        <f t="array" ca="1" aca="1" ref="AC50">_xlfn.LET(_xlpm._termname,$AB50,_xlpm._iconname,"find",_xlpm._icon,fx_getIcon(_xlpm._iconname),_xlpm._location,_xlfn.XLOOKUP(LOWER(_xlpm._termname),LOWER(tbl_acctDef[Term]),tbl_acctDef[Term]),_xlpm._hyperlink,HYPERLINK("#"&amp;CELL("address",_xlpm._location),_xlpm._icon),IFERROR(_xlpm._hyperlink,""))</f>
        <v/>
      </c>
      <c r="AD50" s="3177">
        <v>1</v>
      </c>
      <c r="AE50" s="3177">
        <v>1</v>
      </c>
      <c r="AF50" s="3177">
        <v>1</v>
      </c>
      <c r="AG50" s="3177">
        <v>1</v>
      </c>
      <c r="AH50" s="3177">
        <v>1</v>
      </c>
      <c r="AI50" s="3177">
        <v>1</v>
      </c>
      <c r="AJ50" s="3177">
        <v>1</v>
      </c>
      <c r="AK50" s="3177">
        <v>1</v>
      </c>
      <c r="AL50" s="3177">
        <v>1</v>
      </c>
      <c r="AM50" s="3177">
        <v>1</v>
      </c>
      <c r="AN50" s="3177">
        <v>1</v>
      </c>
      <c r="AO50" s="3177">
        <v>1</v>
      </c>
      <c r="AP50" s="3177">
        <v>1</v>
      </c>
      <c r="AQ50" s="3177">
        <v>1</v>
      </c>
      <c r="AR50" s="3177">
        <v>1</v>
      </c>
      <c r="AS50" s="3177">
        <v>1</v>
      </c>
      <c r="AT50" s="3177">
        <v>1</v>
      </c>
      <c r="AU50" s="3177">
        <v>1</v>
      </c>
      <c r="AV50" s="3177">
        <v>1</v>
      </c>
      <c r="AW50" s="3177">
        <v>1</v>
      </c>
      <c r="AX50" s="3177">
        <v>1</v>
      </c>
      <c r="AY50" s="3177">
        <v>1</v>
      </c>
      <c r="AZ50" s="3177">
        <v>1</v>
      </c>
      <c r="BA50" s="3177">
        <v>1</v>
      </c>
      <c r="BB50" s="3177">
        <v>1</v>
      </c>
      <c r="BC50" s="3177">
        <v>1</v>
      </c>
      <c r="BD50" s="3177">
        <v>1</v>
      </c>
      <c r="BE50" s="3177">
        <v>1</v>
      </c>
      <c r="BF50" s="3177">
        <v>1</v>
      </c>
      <c r="BG50" s="3177">
        <v>1</v>
      </c>
      <c r="BH50" s="3177">
        <v>1</v>
      </c>
      <c r="BI50" s="3177">
        <v>1</v>
      </c>
      <c r="BJ50" s="3177">
        <v>1</v>
      </c>
      <c r="BK50" s="3177">
        <v>1</v>
      </c>
      <c r="BL50" s="3177">
        <v>1</v>
      </c>
      <c r="BM50" s="3177">
        <v>1</v>
      </c>
      <c r="BN50" s="3177">
        <v>1</v>
      </c>
      <c r="BO50" s="2470"/>
      <c r="BP50" s="2470"/>
      <c r="BQ50" s="2470"/>
      <c r="BR50" s="2470"/>
      <c r="BS50" s="2470"/>
      <c r="BT50" s="2470"/>
      <c r="BU50" s="2470"/>
      <c r="BV50" s="2470"/>
      <c r="BW50" s="2470"/>
      <c r="BX50" s="2470"/>
      <c r="BY50" s="2470"/>
      <c r="BZ50" s="2470"/>
      <c r="CA50" s="34"/>
      <c r="CC50" s="33"/>
      <c r="CD50" s="1772" t="e" cm="1">
        <f t="array" ca="1" aca="1" ref="CD50">_xlfn.LET(_xlpm.CheckBlank,SUM(PL!$AD50:PL!$BN50)=0,IF(_xlpm.CheckBlank,"",SUM(_xlfn._xlws.FILTER(PL!$AD50:$BN50,(YEAR(PL!$AD$12:$BN$12)=PL!CD$12)*(array_timeline&lt;=PL!CD$11)))))</f>
        <v>#NAME?</v>
      </c>
      <c r="CE50" s="1772" t="e" cm="1">
        <f t="array" ca="1" aca="1" ref="CE50">_xlfn.LET(_xlpm.CheckBlank,SUM(PL!$AD50:PL!$BN50)=0,IF(_xlpm.CheckBlank,"",SUM(_xlfn._xlws.FILTER(PL!$AD50:$BN50,(YEAR(PL!$AD$12:$BN$12)=PL!CE$12)*(array_timeline&lt;=PL!CE$11)))))</f>
        <v>#NAME?</v>
      </c>
      <c r="CF50" s="178"/>
      <c r="CG50" s="1461" t="str" cm="1">
        <f t="array" ca="1" aca="1" ref="CG50">IFERROR(_xlfn.LET(_xlpm.CheckBlank,SUM(PL!$AD50:$BN50)=0,IF(_xlpm.CheckBlank,"",SUM(_xlfn._xlws.FILTER(PL!$AD50:$BN50,(YEAR(PL!$AD$12:$BN$12)=PL!CG$12)*(array_timeline&lt;=PL!CG$11))))),"n/a")</f>
        <v>n/a</v>
      </c>
      <c r="CH50" s="1461" t="e" cm="1">
        <f t="array" ca="1" aca="1" ref="CH50">_xlfn.LET(_xlpm.CheckBlank,SUM(PL!$AD50:$BN50)=0,IF(_xlpm.CheckBlank,"",SUM(_xlfn._xlws.FILTER(PL!$AD50:$BN50,(YEAR(PL!$AD$12:$BN$12)=PL!CH$12)*(array_timeline&lt;=PL!CH$11)))))</f>
        <v>#NAME?</v>
      </c>
      <c r="CI50" s="88"/>
      <c r="CJ50" s="1461" cm="1">
        <f t="array" ref="CJ50">_xlfn.LET(_xlpm.CheckBlank,SUM(PL!$AD50:$BN50)=0,IF(_xlpm.CheckBlank,"",SUM(_xlfn.TAKE(_xlfn.DROP(PL!$AD50:$BN50,,-DATEDIFF(PL!CJ$11,val_asOfDate,"M")),1,-12))))</f>
        <v>12</v>
      </c>
      <c r="CK50" s="1461" cm="1">
        <f t="array" ref="CK50">_xlfn.LET(_xlpm.CheckBlank,SUM(PL!$AD50:$BN50)=0,IF(_xlpm.CheckBlank,"",SUM(_xlfn.TAKE(_xlfn.DROP(PL!$AD50:$BN50,,-DATEDIFF(PL!CK$11,val_asOfDate,"M")),1,-12))))</f>
        <v>12</v>
      </c>
      <c r="CL50" s="88"/>
      <c r="CM50" s="3177">
        <v>1</v>
      </c>
      <c r="CN50" s="3177">
        <v>1</v>
      </c>
      <c r="CO50" s="88"/>
      <c r="CP50" s="3177">
        <v>1</v>
      </c>
      <c r="CQ50" s="3177">
        <v>1</v>
      </c>
      <c r="CR50" s="34"/>
      <c r="CS50" s="2056"/>
      <c r="CT50" s="2447" t="e" cm="1">
        <f t="array" ca="1" aca="1" ref="CT50">IF(Y50="","",IF(ISNUMBER(SEARCH("Select",$Y50)),"",_xldudf_CX_PUSH($Y50,CX_ENTITY,C50,val_asOfDate)))</f>
        <v>#NAME?</v>
      </c>
      <c r="CU50" s="2447" t="e" cm="1">
        <f t="array" ca="1" aca="1" ref="CU50">IF(Y50="","",IF(ISNUMBER(SEARCH("Select",$Y50)),"",_xldudf_CX_PUSH($Y50,CX_ENTITY,C50,EOMONTH(val_asOfDate,1))))</f>
        <v>#NAME?</v>
      </c>
      <c r="CV50" s="2447" t="e" cm="1">
        <f t="array" ca="1" aca="1" ref="CV50">IF(Y50="","",IF(ISNUMBER(SEARCH("Select",$Y50)),"",_xldudf_CX_PUSH($Y50,CX_ENTITY,C50,EOMONTH(val_asOfDate,2))))</f>
        <v>#NAME?</v>
      </c>
      <c r="CW50" s="2447" t="e" cm="1">
        <f t="array" ca="1" aca="1" ref="CW50">IF(Y50="","",IF(ISNUMBER(SEARCH("Select",$Y50)),"",_xldudf_CX_PUSH($Y50,CX_ENTITY,C50,EOMONTH(val_asOfDate,3))))</f>
        <v>#NAME?</v>
      </c>
      <c r="CX50" s="2443"/>
      <c r="CY50" s="2444" t="str" cm="1">
        <f t="array" ca="1" aca="1" ref="CY50">IFERROR(IF(CM50*fxVal_normal=_PL!CM50,"",IF(OR($CM50="",$CM50=0,NOT(ISNUMBER($CM50)),ISERROR($CM50),$B50=""),"",IF($I50=1,IFBLANK(_xldudf_CX_PUSH($CM50*fxVal_normal,CX_ENTITY,$B50,$CM$11,$CM$14,$CM$19,),""),IF($I50=2,IFBLANK(_xldudf_CX_PUSH($CM50,CX_ENTITY,$B50,$CM$11,$CM$14,$CM$19,),""),IF($I50=3,"",IFBLANK(_xldudf_CX_PUSH($CM50,CX_ENTITY,$B50,$CM$11,$CM$14,$CM$19,),"")))))),"")</f>
        <v/>
      </c>
      <c r="CZ50" s="2444" t="str" cm="1">
        <f t="array" ca="1" aca="1" ref="CZ50">IFERROR(IF(CN50*fxVal_normal=_PL!CN50,"",IF(OR($CN50="",$CN50=0,NOT(ISNUMBER($CN50)),ISERROR($CN50),$B50=""),"",IF($I50=1,IFBLANK(_xldudf_CX_PUSH($CN50*fxVal_normal,CX_ENTITY,$B50,$CN$11,$CN$14,$CN$19,),""),IF($I50=2,IFBLANK(_xldudf_CX_PUSH($CN50,CX_ENTITY,$B50,$CN$11,$CN$14,$CN$19,),""),IF($I50=3,"",IFBLANK(_xldudf_CX_PUSH($CN50,CX_ENTITY,$B50,$CN$11,$CN$14,$CN$19,),"")))))),"")</f>
        <v/>
      </c>
      <c r="DA50" s="2444" t="str" cm="1">
        <f t="array" ca="1" aca="1" ref="DA50">IFERROR(IF(CP50*fxVal_normal=_PL!CP50,"",IF(OR($CP50="",$CP50=0,NOT(ISNUMBER($CP50)),ISERROR($CP50),$B50=""),"",IF($I50=1,IFBLANK(_xldudf_CX_PUSH($CP50*fxVal_normal,CX_ENTITY,$B50,$CP$11,$CP$14,$CP$19,),""),IF($I50=2,IFBLANK(_xldudf_CX_PUSH($CP50,CX_ENTITY,$B50,$CP$11,$CP$14,$CP$19,),""),IF($I50=3,"",IFBLANK(_xldudf_CX_PUSH($CP50,CX_ENTITY,$B50,$CP$11,$CP$14,$CP$19,),"")))))),"")</f>
        <v/>
      </c>
      <c r="DB50" s="2444" t="str" cm="1">
        <f t="array" ca="1" aca="1" ref="DB50">IFERROR(IF(CQ50*fxVal_normal=_PL!CQ50,"",IF(OR($CQ50="",$CQ50=0,NOT(ISNUMBER($CQ50)),ISERROR($CQ50),$B50=""),"",IF($I50=1,IFBLANK(_xldudf_CX_PUSH($CQ50*fxVal_normal,CX_ENTITY,$B50,$CQ$11,$CQ$14,$CQ$19,),""),IF($I50=2,IFBLANK(_xldudf_CX_PUSH($CQ50,CX_ENTITY,$B50,$CQ$11,$CQ$14,$CQ$19,),""),IF($I50=3,"",IFBLANK(_xldudf_CX_PUSH($CQ50,CX_ENTITY,$B50,$CQ$11,$CQ$14,$CQ$19,),"")))))),"")</f>
        <v/>
      </c>
      <c r="DC50" s="2443"/>
      <c r="DD50" s="2445" t="str" cm="1">
        <f t="array" ca="1" aca="1" ref="DD50">IFERROR(IF(AD50*fxVal_normal=_PL!AD50,"",IF(OR(AD50="",NOT(ISNUMBER(AD50)),ISERROR(AD50),$B50=""),"",IF($I50=1,IFBLANK(_xldudf_CX_PUSH(AD50*fxVal_normal,CX_ENTITY,$B50,AD$11,AD$14,AD$19,),""),IF($I50=2,IFBLANK(_xldudf_CX_PUSH(AD50,CX_ENTITY,$B50,AD$11,AD$14,AD$19,),""),IF($I50=3,"",IFBLANK(_xldudf_CX_PUSH(AD50,CX_ENTITY,$B50,AD$11,AD$14,AD$19,),"")))))),"")</f>
        <v/>
      </c>
      <c r="DE50" s="2445" t="str" cm="1">
        <f t="array" ca="1" aca="1" ref="DE50">IFERROR(IF(AE50*fxVal_normal=_PL!AE50,"",IF(OR(AE50="",NOT(ISNUMBER(AE50)),ISERROR(AE50),$B50=""),"",IF($I50=1,IFBLANK(_xldudf_CX_PUSH(AE50*fxVal_normal,CX_ENTITY,$B50,AE$11,AE$14,AE$19,),""),IF($I50=2,IFBLANK(_xldudf_CX_PUSH(AE50,CX_ENTITY,$B50,AE$11,AE$14,AE$19,),""),IF($I50=3,"",IFBLANK(_xldudf_CX_PUSH(AE50,CX_ENTITY,$B50,AE$11,AE$14,AE$19,),"")))))),"")</f>
        <v/>
      </c>
      <c r="DF50" s="2445" t="str" cm="1">
        <f t="array" ca="1" aca="1" ref="DF50">IFERROR(IF(AF50*fxVal_normal=_PL!AF50,"",IF(OR(AF50="",NOT(ISNUMBER(AF50)),ISERROR(AF50),$B50=""),"",IF($I50=1,IFBLANK(_xldudf_CX_PUSH(AF50*fxVal_normal,CX_ENTITY,$B50,AF$11,AF$14,AF$19,),""),IF($I50=2,IFBLANK(_xldudf_CX_PUSH(AF50,CX_ENTITY,$B50,AF$11,AF$14,AF$19,),""),IF($I50=3,"",IFBLANK(_xldudf_CX_PUSH(AF50,CX_ENTITY,$B50,AF$11,AF$14,AF$19,),"")))))),"")</f>
        <v/>
      </c>
      <c r="DG50" s="2445" t="str" cm="1">
        <f t="array" ca="1" aca="1" ref="DG50">IFERROR(IF(AG50*fxVal_normal=_PL!AG50,"",IF(OR(AG50="",NOT(ISNUMBER(AG50)),ISERROR(AG50),$B50=""),"",IF($I50=1,IFBLANK(_xldudf_CX_PUSH(AG50*fxVal_normal,CX_ENTITY,$B50,AG$11,AG$14,AG$19,),""),IF($I50=2,IFBLANK(_xldudf_CX_PUSH(AG50,CX_ENTITY,$B50,AG$11,AG$14,AG$19,),""),IF($I50=3,"",IFBLANK(_xldudf_CX_PUSH(AG50,CX_ENTITY,$B50,AG$11,AG$14,AG$19,),"")))))),"")</f>
        <v/>
      </c>
      <c r="DH50" s="2445" t="str" cm="1">
        <f t="array" ca="1" aca="1" ref="DH50">IFERROR(IF(AH50*fxVal_normal=_PL!AH50,"",IF(OR(AH50="",NOT(ISNUMBER(AH50)),ISERROR(AH50),$B50=""),"",IF($I50=1,IFBLANK(_xldudf_CX_PUSH(AH50*fxVal_normal,CX_ENTITY,$B50,AH$11,AH$14,AH$19,),""),IF($I50=2,IFBLANK(_xldudf_CX_PUSH(AH50,CX_ENTITY,$B50,AH$11,AH$14,AH$19,),""),IF($I50=3,"",IFBLANK(_xldudf_CX_PUSH(AH50,CX_ENTITY,$B50,AH$11,AH$14,AH$19,),"")))))),"")</f>
        <v/>
      </c>
      <c r="DI50" s="2445" t="str" cm="1">
        <f t="array" ca="1" aca="1" ref="DI50">IFERROR(IF(AI50*fxVal_normal=_PL!AI50,"",IF(OR(AI50="",NOT(ISNUMBER(AI50)),ISERROR(AI50),$B50=""),"",IF($I50=1,IFBLANK(_xldudf_CX_PUSH(AI50*fxVal_normal,CX_ENTITY,$B50,AI$11,AI$14,AI$19,),""),IF($I50=2,IFBLANK(_xldudf_CX_PUSH(AI50,CX_ENTITY,$B50,AI$11,AI$14,AI$19,),""),IF($I50=3,"",IFBLANK(_xldudf_CX_PUSH(AI50,CX_ENTITY,$B50,AI$11,AI$14,AI$19,),"")))))),"")</f>
        <v/>
      </c>
      <c r="DJ50" s="2445" t="str" cm="1">
        <f t="array" ca="1" aca="1" ref="DJ50">IFERROR(IF(AJ50*fxVal_normal=_PL!AJ50,"",IF(OR(AJ50="",NOT(ISNUMBER(AJ50)),ISERROR(AJ50),$B50=""),"",IF($I50=1,IFBLANK(_xldudf_CX_PUSH(AJ50*fxVal_normal,CX_ENTITY,$B50,AJ$11,AJ$14,AJ$19,),""),IF($I50=2,IFBLANK(_xldudf_CX_PUSH(AJ50,CX_ENTITY,$B50,AJ$11,AJ$14,AJ$19,),""),IF($I50=3,"",IFBLANK(_xldudf_CX_PUSH(AJ50,CX_ENTITY,$B50,AJ$11,AJ$14,AJ$19,),"")))))),"")</f>
        <v/>
      </c>
      <c r="DK50" s="2445" t="str" cm="1">
        <f t="array" ca="1" aca="1" ref="DK50">IFERROR(IF(AK50*fxVal_normal=_PL!AK50,"",IF(OR(AK50="",NOT(ISNUMBER(AK50)),ISERROR(AK50),$B50=""),"",IF($I50=1,IFBLANK(_xldudf_CX_PUSH(AK50*fxVal_normal,CX_ENTITY,$B50,AK$11,AK$14,AK$19,),""),IF($I50=2,IFBLANK(_xldudf_CX_PUSH(AK50,CX_ENTITY,$B50,AK$11,AK$14,AK$19,),""),IF($I50=3,"",IFBLANK(_xldudf_CX_PUSH(AK50,CX_ENTITY,$B50,AK$11,AK$14,AK$19,),"")))))),"")</f>
        <v/>
      </c>
      <c r="DL50" s="2445" t="str" cm="1">
        <f t="array" ca="1" aca="1" ref="DL50">IFERROR(IF(AL50*fxVal_normal=_PL!AL50,"",IF(OR(AL50="",NOT(ISNUMBER(AL50)),ISERROR(AL50),$B50=""),"",IF($I50=1,IFBLANK(_xldudf_CX_PUSH(AL50*fxVal_normal,CX_ENTITY,$B50,AL$11,AL$14,AL$19,),""),IF($I50=2,IFBLANK(_xldudf_CX_PUSH(AL50,CX_ENTITY,$B50,AL$11,AL$14,AL$19,),""),IF($I50=3,"",IFBLANK(_xldudf_CX_PUSH(AL50,CX_ENTITY,$B50,AL$11,AL$14,AL$19,),"")))))),"")</f>
        <v/>
      </c>
      <c r="DM50" s="2445" t="str" cm="1">
        <f t="array" ca="1" aca="1" ref="DM50">IFERROR(IF(AM50*fxVal_normal=_PL!AM50,"",IF(OR(AM50="",NOT(ISNUMBER(AM50)),ISERROR(AM50),$B50=""),"",IF($I50=1,IFBLANK(_xldudf_CX_PUSH(AM50*fxVal_normal,CX_ENTITY,$B50,AM$11,AM$14,AM$19,),""),IF($I50=2,IFBLANK(_xldudf_CX_PUSH(AM50,CX_ENTITY,$B50,AM$11,AM$14,AM$19,),""),IF($I50=3,"",IFBLANK(_xldudf_CX_PUSH(AM50,CX_ENTITY,$B50,AM$11,AM$14,AM$19,),"")))))),"")</f>
        <v/>
      </c>
      <c r="DN50" s="2445" t="str" cm="1">
        <f t="array" ca="1" aca="1" ref="DN50">IFERROR(IF(AN50*fxVal_normal=_PL!AN50,"",IF(OR(AN50="",NOT(ISNUMBER(AN50)),ISERROR(AN50),$B50=""),"",IF($I50=1,IFBLANK(_xldudf_CX_PUSH(AN50*fxVal_normal,CX_ENTITY,$B50,AN$11,AN$14,AN$19,),""),IF($I50=2,IFBLANK(_xldudf_CX_PUSH(AN50,CX_ENTITY,$B50,AN$11,AN$14,AN$19,),""),IF($I50=3,"",IFBLANK(_xldudf_CX_PUSH(AN50,CX_ENTITY,$B50,AN$11,AN$14,AN$19,),"")))))),"")</f>
        <v/>
      </c>
      <c r="DO50" s="2445" t="str" cm="1">
        <f t="array" ca="1" aca="1" ref="DO50">IFERROR(IF(AO50*fxVal_normal=_PL!AO50,"",IF(OR(AO50="",NOT(ISNUMBER(AO50)),ISERROR(AO50),$B50=""),"",IF($I50=1,IFBLANK(_xldudf_CX_PUSH(AO50*fxVal_normal,CX_ENTITY,$B50,AO$11,AO$14,AO$19,),""),IF($I50=2,IFBLANK(_xldudf_CX_PUSH(AO50,CX_ENTITY,$B50,AO$11,AO$14,AO$19,),""),IF($I50=3,"",IFBLANK(_xldudf_CX_PUSH(AO50,CX_ENTITY,$B50,AO$11,AO$14,AO$19,),"")))))),"")</f>
        <v/>
      </c>
      <c r="DP50" s="2445" t="str" cm="1">
        <f t="array" ca="1" aca="1" ref="DP50">IFERROR(IF(AP50*fxVal_normal=_PL!AP50,"",IF(OR(AP50="",NOT(ISNUMBER(AP50)),ISERROR(AP50),$B50=""),"",IF($I50=1,IFBLANK(_xldudf_CX_PUSH(AP50*fxVal_normal,CX_ENTITY,$B50,AP$11,AP$14,AP$19,),""),IF($I50=2,IFBLANK(_xldudf_CX_PUSH(AP50,CX_ENTITY,$B50,AP$11,AP$14,AP$19,),""),IF($I50=3,"",IFBLANK(_xldudf_CX_PUSH(AP50,CX_ENTITY,$B50,AP$11,AP$14,AP$19,),"")))))),"")</f>
        <v/>
      </c>
      <c r="DQ50" s="2445" t="str" cm="1">
        <f t="array" ca="1" aca="1" ref="DQ50">IFERROR(IF(AQ50*fxVal_normal=_PL!AQ50,"",IF(OR(AQ50="",NOT(ISNUMBER(AQ50)),ISERROR(AQ50),$B50=""),"",IF($I50=1,IFBLANK(_xldudf_CX_PUSH(AQ50*fxVal_normal,CX_ENTITY,$B50,AQ$11,AQ$14,AQ$19,),""),IF($I50=2,IFBLANK(_xldudf_CX_PUSH(AQ50,CX_ENTITY,$B50,AQ$11,AQ$14,AQ$19,),""),IF($I50=3,"",IFBLANK(_xldudf_CX_PUSH(AQ50,CX_ENTITY,$B50,AQ$11,AQ$14,AQ$19,),"")))))),"")</f>
        <v/>
      </c>
      <c r="DR50" s="2445" t="str" cm="1">
        <f t="array" ca="1" aca="1" ref="DR50">IFERROR(IF(AR50*fxVal_normal=_PL!AR50,"",IF(OR(AR50="",NOT(ISNUMBER(AR50)),ISERROR(AR50),$B50=""),"",IF($I50=1,IFBLANK(_xldudf_CX_PUSH(AR50*fxVal_normal,CX_ENTITY,$B50,AR$11,AR$14,AR$19,),""),IF($I50=2,IFBLANK(_xldudf_CX_PUSH(AR50,CX_ENTITY,$B50,AR$11,AR$14,AR$19,),""),IF($I50=3,"",IFBLANK(_xldudf_CX_PUSH(AR50,CX_ENTITY,$B50,AR$11,AR$14,AR$19,),"")))))),"")</f>
        <v/>
      </c>
      <c r="DS50" s="2445" t="str" cm="1">
        <f t="array" ca="1" aca="1" ref="DS50">IFERROR(IF(AS50*fxVal_normal=_PL!AS50,"",IF(OR(AS50="",NOT(ISNUMBER(AS50)),ISERROR(AS50),$B50=""),"",IF($I50=1,IFBLANK(_xldudf_CX_PUSH(AS50*fxVal_normal,CX_ENTITY,$B50,AS$11,AS$14,AS$19,),""),IF($I50=2,IFBLANK(_xldudf_CX_PUSH(AS50,CX_ENTITY,$B50,AS$11,AS$14,AS$19,),""),IF($I50=3,"",IFBLANK(_xldudf_CX_PUSH(AS50,CX_ENTITY,$B50,AS$11,AS$14,AS$19,),"")))))),"")</f>
        <v/>
      </c>
      <c r="DT50" s="2445" t="str" cm="1">
        <f t="array" ca="1" aca="1" ref="DT50">IFERROR(IF(AT50*fxVal_normal=_PL!AT50,"",IF(OR(AT50="",NOT(ISNUMBER(AT50)),ISERROR(AT50),$B50=""),"",IF($I50=1,IFBLANK(_xldudf_CX_PUSH(AT50*fxVal_normal,CX_ENTITY,$B50,AT$11,AT$14,AT$19,),""),IF($I50=2,IFBLANK(_xldudf_CX_PUSH(AT50,CX_ENTITY,$B50,AT$11,AT$14,AT$19,),""),IF($I50=3,"",IFBLANK(_xldudf_CX_PUSH(AT50,CX_ENTITY,$B50,AT$11,AT$14,AT$19,),"")))))),"")</f>
        <v/>
      </c>
      <c r="DU50" s="2445" t="str" cm="1">
        <f t="array" ca="1" aca="1" ref="DU50">IFERROR(IF(AU50*fxVal_normal=_PL!AU50,"",IF(OR(AU50="",NOT(ISNUMBER(AU50)),ISERROR(AU50),$B50=""),"",IF($I50=1,IFBLANK(_xldudf_CX_PUSH(AU50*fxVal_normal,CX_ENTITY,$B50,AU$11,AU$14,AU$19,),""),IF($I50=2,IFBLANK(_xldudf_CX_PUSH(AU50,CX_ENTITY,$B50,AU$11,AU$14,AU$19,),""),IF($I50=3,"",IFBLANK(_xldudf_CX_PUSH(AU50,CX_ENTITY,$B50,AU$11,AU$14,AU$19,),"")))))),"")</f>
        <v/>
      </c>
      <c r="DV50" s="2445" t="str" cm="1">
        <f t="array" ca="1" aca="1" ref="DV50">IFERROR(IF(AV50*fxVal_normal=_PL!AV50,"",IF(OR(AV50="",NOT(ISNUMBER(AV50)),ISERROR(AV50),$B50=""),"",IF($I50=1,IFBLANK(_xldudf_CX_PUSH(AV50*fxVal_normal,CX_ENTITY,$B50,AV$11,AV$14,AV$19,),""),IF($I50=2,IFBLANK(_xldudf_CX_PUSH(AV50,CX_ENTITY,$B50,AV$11,AV$14,AV$19,),""),IF($I50=3,"",IFBLANK(_xldudf_CX_PUSH(AV50,CX_ENTITY,$B50,AV$11,AV$14,AV$19,),"")))))),"")</f>
        <v/>
      </c>
      <c r="DW50" s="2445" t="str" cm="1">
        <f t="array" ca="1" aca="1" ref="DW50">IFERROR(IF(AW50*fxVal_normal=_PL!AW50,"",IF(OR(AW50="",NOT(ISNUMBER(AW50)),ISERROR(AW50),$B50=""),"",IF($I50=1,IFBLANK(_xldudf_CX_PUSH(AW50*fxVal_normal,CX_ENTITY,$B50,AW$11,AW$14,AW$19,),""),IF($I50=2,IFBLANK(_xldudf_CX_PUSH(AW50,CX_ENTITY,$B50,AW$11,AW$14,AW$19,),""),IF($I50=3,"",IFBLANK(_xldudf_CX_PUSH(AW50,CX_ENTITY,$B50,AW$11,AW$14,AW$19,),"")))))),"")</f>
        <v/>
      </c>
      <c r="DX50" s="2445" t="str" cm="1">
        <f t="array" ca="1" aca="1" ref="DX50">IFERROR(IF(AX50*fxVal_normal=_PL!AX50,"",IF(OR(AX50="",NOT(ISNUMBER(AX50)),ISERROR(AX50),$B50=""),"",IF($I50=1,IFBLANK(_xldudf_CX_PUSH(AX50*fxVal_normal,CX_ENTITY,$B50,AX$11,AX$14,AX$19,),""),IF($I50=2,IFBLANK(_xldudf_CX_PUSH(AX50,CX_ENTITY,$B50,AX$11,AX$14,AX$19,),""),IF($I50=3,"",IFBLANK(_xldudf_CX_PUSH(AX50,CX_ENTITY,$B50,AX$11,AX$14,AX$19,),"")))))),"")</f>
        <v/>
      </c>
      <c r="DY50" s="2445" t="str" cm="1">
        <f t="array" ca="1" aca="1" ref="DY50">IFERROR(IF(AY50*fxVal_normal=_PL!AY50,"",IF(OR(AY50="",NOT(ISNUMBER(AY50)),ISERROR(AY50),$B50=""),"",IF($I50=1,IFBLANK(_xldudf_CX_PUSH(AY50*fxVal_normal,CX_ENTITY,$B50,AY$11,AY$14,AY$19,),""),IF($I50=2,IFBLANK(_xldudf_CX_PUSH(AY50,CX_ENTITY,$B50,AY$11,AY$14,AY$19,),""),IF($I50=3,"",IFBLANK(_xldudf_CX_PUSH(AY50,CX_ENTITY,$B50,AY$11,AY$14,AY$19,),"")))))),"")</f>
        <v/>
      </c>
      <c r="DZ50" s="2445" t="str" cm="1">
        <f t="array" ca="1" aca="1" ref="DZ50">IFERROR(IF(AZ50*fxVal_normal=_PL!AZ50,"",IF(OR(AZ50="",NOT(ISNUMBER(AZ50)),ISERROR(AZ50),$B50=""),"",IF($I50=1,IFBLANK(_xldudf_CX_PUSH(AZ50*fxVal_normal,CX_ENTITY,$B50,AZ$11,AZ$14,AZ$19,),""),IF($I50=2,IFBLANK(_xldudf_CX_PUSH(AZ50,CX_ENTITY,$B50,AZ$11,AZ$14,AZ$19,),""),IF($I50=3,"",IFBLANK(_xldudf_CX_PUSH(AZ50,CX_ENTITY,$B50,AZ$11,AZ$14,AZ$19,),"")))))),"")</f>
        <v/>
      </c>
      <c r="EA50" s="2445" t="str" cm="1">
        <f t="array" ca="1" aca="1" ref="EA50">IFERROR(IF(BA50*fxVal_normal=_PL!BA50,"",IF(OR(BA50="",NOT(ISNUMBER(BA50)),ISERROR(BA50),$B50=""),"",IF($I50=1,IFBLANK(_xldudf_CX_PUSH(BA50*fxVal_normal,CX_ENTITY,$B50,BA$11,BA$14,BA$19,),""),IF($I50=2,IFBLANK(_xldudf_CX_PUSH(BA50,CX_ENTITY,$B50,BA$11,BA$14,BA$19,),""),IF($I50=3,"",IFBLANK(_xldudf_CX_PUSH(BA50,CX_ENTITY,$B50,BA$11,BA$14,BA$19,),"")))))),"")</f>
        <v/>
      </c>
      <c r="EB50" s="2445" t="str" cm="1">
        <f t="array" ca="1" aca="1" ref="EB50">IFERROR(IF(BB50*fxVal_normal=_PL!BB50,"",IF(OR(BB50="",NOT(ISNUMBER(BB50)),ISERROR(BB50),$B50=""),"",IF($I50=1,IFBLANK(_xldudf_CX_PUSH(BB50*fxVal_normal,CX_ENTITY,$B50,BB$11,BB$14,BB$19,),""),IF($I50=2,IFBLANK(_xldudf_CX_PUSH(BB50,CX_ENTITY,$B50,BB$11,BB$14,BB$19,),""),IF($I50=3,"",IFBLANK(_xldudf_CX_PUSH(BB50,CX_ENTITY,$B50,BB$11,BB$14,BB$19,),"")))))),"")</f>
        <v/>
      </c>
      <c r="EC50" s="2445" t="str" cm="1">
        <f t="array" ca="1" aca="1" ref="EC50">IFERROR(IF(BC50*fxVal_normal=_PL!BC50,"",IF(OR(BC50="",NOT(ISNUMBER(BC50)),ISERROR(BC50),$B50=""),"",IF($I50=1,IFBLANK(_xldudf_CX_PUSH(BC50*fxVal_normal,CX_ENTITY,$B50,BC$11,BC$14,BC$19,),""),IF($I50=2,IFBLANK(_xldudf_CX_PUSH(BC50,CX_ENTITY,$B50,BC$11,BC$14,BC$19,),""),IF($I50=3,"",IFBLANK(_xldudf_CX_PUSH(BC50,CX_ENTITY,$B50,BC$11,BC$14,BC$19,),"")))))),"")</f>
        <v/>
      </c>
      <c r="ED50" s="2445" t="str" cm="1">
        <f t="array" ca="1" aca="1" ref="ED50">IFERROR(IF(BD50*fxVal_normal=_PL!BD50,"",IF(OR(BD50="",NOT(ISNUMBER(BD50)),ISERROR(BD50),$B50=""),"",IF($I50=1,IFBLANK(_xldudf_CX_PUSH(BD50*fxVal_normal,CX_ENTITY,$B50,BD$11,BD$14,BD$19,),""),IF($I50=2,IFBLANK(_xldudf_CX_PUSH(BD50,CX_ENTITY,$B50,BD$11,BD$14,BD$19,),""),IF($I50=3,"",IFBLANK(_xldudf_CX_PUSH(BD50,CX_ENTITY,$B50,BD$11,BD$14,BD$19,),"")))))),"")</f>
        <v/>
      </c>
      <c r="EE50" s="2445" t="str" cm="1">
        <f t="array" ca="1" aca="1" ref="EE50">IFERROR(IF(BE50*fxVal_normal=_PL!BE50,"",IF(OR(BE50="",NOT(ISNUMBER(BE50)),ISERROR(BE50),$B50=""),"",IF($I50=1,IFBLANK(_xldudf_CX_PUSH(BE50*fxVal_normal,CX_ENTITY,$B50,BE$11,BE$14,BE$19,),""),IF($I50=2,IFBLANK(_xldudf_CX_PUSH(BE50,CX_ENTITY,$B50,BE$11,BE$14,BE$19,),""),IF($I50=3,"",IFBLANK(_xldudf_CX_PUSH(BE50,CX_ENTITY,$B50,BE$11,BE$14,BE$19,),"")))))),"")</f>
        <v/>
      </c>
      <c r="EF50" s="2445" t="str" cm="1">
        <f t="array" ca="1" aca="1" ref="EF50">IFERROR(IF(BF50*fxVal_normal=_PL!BF50,"",IF(OR(BF50="",NOT(ISNUMBER(BF50)),ISERROR(BF50),$B50=""),"",IF($I50=1,IFBLANK(_xldudf_CX_PUSH(BF50*fxVal_normal,CX_ENTITY,$B50,BF$11,BF$14,BF$19,),""),IF($I50=2,IFBLANK(_xldudf_CX_PUSH(BF50,CX_ENTITY,$B50,BF$11,BF$14,BF$19,),""),IF($I50=3,"",IFBLANK(_xldudf_CX_PUSH(BF50,CX_ENTITY,$B50,BF$11,BF$14,BF$19,),"")))))),"")</f>
        <v/>
      </c>
      <c r="EG50" s="2445" t="str" cm="1">
        <f t="array" ca="1" aca="1" ref="EG50">IFERROR(IF(BG50*fxVal_normal=_PL!BG50,"",IF(OR(BG50="",NOT(ISNUMBER(BG50)),ISERROR(BG50),$B50=""),"",IF($I50=1,IFBLANK(_xldudf_CX_PUSH(BG50*fxVal_normal,CX_ENTITY,$B50,BG$11,BG$14,BG$19,),""),IF($I50=2,IFBLANK(_xldudf_CX_PUSH(BG50,CX_ENTITY,$B50,BG$11,BG$14,BG$19,),""),IF($I50=3,"",IFBLANK(_xldudf_CX_PUSH(BG50,CX_ENTITY,$B50,BG$11,BG$14,BG$19,),"")))))),"")</f>
        <v/>
      </c>
      <c r="EH50" s="2445" t="str" cm="1">
        <f t="array" ca="1" aca="1" ref="EH50">IFERROR(IF(BH50*fxVal_normal=_PL!BH50,"",IF(OR(BH50="",NOT(ISNUMBER(BH50)),ISERROR(BH50),$B50=""),"",IF($I50=1,IFBLANK(_xldudf_CX_PUSH(BH50*fxVal_normal,CX_ENTITY,$B50,BH$11,BH$14,BH$19,),""),IF($I50=2,IFBLANK(_xldudf_CX_PUSH(BH50,CX_ENTITY,$B50,BH$11,BH$14,BH$19,),""),IF($I50=3,"",IFBLANK(_xldudf_CX_PUSH(BH50,CX_ENTITY,$B50,BH$11,BH$14,BH$19,),"")))))),"")</f>
        <v/>
      </c>
      <c r="EI50" s="2445" t="str" cm="1">
        <f t="array" ca="1" aca="1" ref="EI50">IFERROR(IF(BI50*fxVal_normal=_PL!BI50,"",IF(OR(BI50="",NOT(ISNUMBER(BI50)),ISERROR(BI50),$B50=""),"",IF($I50=1,IFBLANK(_xldudf_CX_PUSH(BI50*fxVal_normal,CX_ENTITY,$B50,BI$11,BI$14,BI$19,),""),IF($I50=2,IFBLANK(_xldudf_CX_PUSH(BI50,CX_ENTITY,$B50,BI$11,BI$14,BI$19,),""),IF($I50=3,"",IFBLANK(_xldudf_CX_PUSH(BI50,CX_ENTITY,$B50,BI$11,BI$14,BI$19,),"")))))),"")</f>
        <v/>
      </c>
      <c r="EJ50" s="2445" t="str" cm="1">
        <f t="array" ca="1" aca="1" ref="EJ50">IFERROR(IF(BJ50*fxVal_normal=_PL!BJ50,"",IF(OR(BJ50="",NOT(ISNUMBER(BJ50)),ISERROR(BJ50),$B50=""),"",IF($I50=1,IFBLANK(_xldudf_CX_PUSH(BJ50*fxVal_normal,CX_ENTITY,$B50,BJ$11,BJ$14,BJ$19,),""),IF($I50=2,IFBLANK(_xldudf_CX_PUSH(BJ50,CX_ENTITY,$B50,BJ$11,BJ$14,BJ$19,),""),IF($I50=3,"",IFBLANK(_xldudf_CX_PUSH(BJ50,CX_ENTITY,$B50,BJ$11,BJ$14,BJ$19,),"")))))),"")</f>
        <v/>
      </c>
      <c r="EK50" s="2445" t="str" cm="1">
        <f t="array" ca="1" aca="1" ref="EK50">IFERROR(IF(BK50*fxVal_normal=_PL!BK50,"",IF(OR(BK50="",NOT(ISNUMBER(BK50)),ISERROR(BK50),$B50=""),"",IF($I50=1,IFBLANK(_xldudf_CX_PUSH(BK50*fxVal_normal,CX_ENTITY,$B50,BK$11,BK$14,BK$19,),""),IF($I50=2,IFBLANK(_xldudf_CX_PUSH(BK50,CX_ENTITY,$B50,BK$11,BK$14,BK$19,),""),IF($I50=3,"",IFBLANK(_xldudf_CX_PUSH(BK50,CX_ENTITY,$B50,BK$11,BK$14,BK$19,),"")))))),"")</f>
        <v/>
      </c>
      <c r="EL50" s="2445" t="str" cm="1">
        <f t="array" ca="1" aca="1" ref="EL50">IFERROR(IF(BL50*fxVal_normal=_PL!BL50,"",IF(OR(BL50="",NOT(ISNUMBER(BL50)),ISERROR(BL50),$B50=""),"",IF($I50=1,IFBLANK(_xldudf_CX_PUSH(BL50*fxVal_normal,CX_ENTITY,$B50,BL$11,BL$14,BL$19,),""),IF($I50=2,IFBLANK(_xldudf_CX_PUSH(BL50,CX_ENTITY,$B50,BL$11,BL$14,BL$19,),""),IF($I50=3,"",IFBLANK(_xldudf_CX_PUSH(BL50,CX_ENTITY,$B50,BL$11,BL$14,BL$19,),"")))))),"")</f>
        <v/>
      </c>
      <c r="EM50" s="2445" t="str" cm="1">
        <f t="array" ca="1" aca="1" ref="EM50">IFERROR(IF(BM50*fxVal_normal=_PL!BM50,"",IF(OR(BM50="",NOT(ISNUMBER(BM50)),ISERROR(BM50),$B50=""),"",IF($I50=1,IFBLANK(_xldudf_CX_PUSH(BM50*fxVal_normal,CX_ENTITY,$B50,BM$11,BM$14,BM$19,),""),IF($I50=2,IFBLANK(_xldudf_CX_PUSH(BM50,CX_ENTITY,$B50,BM$11,BM$14,BM$19,),""),IF($I50=3,"",IFBLANK(_xldudf_CX_PUSH(BM50,CX_ENTITY,$B50,BM$11,BM$14,BM$19,),"")))))),"")</f>
        <v/>
      </c>
      <c r="EN50" s="2445" t="str" cm="1">
        <f t="array" ca="1" aca="1" ref="EN50">IFERROR(IF(BN50*fxVal_normal=_PL!BN50,"",IF(OR(BN50="",NOT(ISNUMBER(BN50)),ISERROR(BN50),$B50=""),"",IF($I50=1,IFBLANK(_xldudf_CX_PUSH(BN50*fxVal_normal,CX_ENTITY,$B50,BN$11,BN$14,BN$19,),""),IF($I50=2,IFBLANK(_xldudf_CX_PUSH(BN50,CX_ENTITY,$B50,BN$11,BN$14,BN$19,),""),IF($I50=3,"",IFBLANK(_xldudf_CX_PUSH(BN50,CX_ENTITY,$B50,BN$11,BN$14,BN$19,),"")))))),"")</f>
        <v/>
      </c>
    </row>
    <row r="51" spans="1:144" ht="21" customHeight="1">
      <c r="A51" s="1626"/>
      <c r="B51" s="2439" t="str">
        <f>_xlfn.LET(_xlpm.IsNotAttrDynamic,D51="",_xlpm.Attr,_PL!F51,_xlpm.NotInUse,Y51=D51,_xlpm.RESULT,IF(_xlpm.IsNotAttrDynamic,_xlpm.Attr,IF(_xlpm.NotInUse,"",Y51)),IF(_xlpm.RESULT="","",_xlpm.RESULT))</f>
        <v>Custom Metric Amount 6</v>
      </c>
      <c r="C51" s="3459" t="str" cm="1">
        <f t="array" ref="C51">IFBLANK(_PL!C51,"")</f>
        <v>Custom Metric - Label 6</v>
      </c>
      <c r="D51" s="1548"/>
      <c r="E51" s="2453"/>
      <c r="F51" s="578"/>
      <c r="G51" s="578"/>
      <c r="H51" s="3280">
        <v>1</v>
      </c>
      <c r="I51" s="3280">
        <v>1</v>
      </c>
      <c r="J51" s="401" cm="1">
        <f t="array" ref="J51">IFBLANK(Z51,"")</f>
        <v>-1</v>
      </c>
      <c r="K51" s="578" t="str">
        <f ca="1">IFERROR(IF(LEN(AB51)=0,"No",IF(LEN(J51)&gt;0,"Yes","No")),"")</f>
        <v/>
      </c>
      <c r="L51" s="37"/>
      <c r="N51" s="158"/>
      <c r="O51" s="101"/>
      <c r="P51" s="52"/>
      <c r="Q51" s="101"/>
      <c r="R51" s="126"/>
      <c r="S51" s="101"/>
      <c r="T51" s="101"/>
      <c r="U51" s="39"/>
      <c r="V51" s="37"/>
      <c r="W51" s="91" t="str">
        <f t="shared" si="15"/>
        <v>Actual</v>
      </c>
      <c r="X51" s="2081" t="e">
        <f ca="1">_PL!X51</f>
        <v>#NAME?</v>
      </c>
      <c r="Y51" s="3189">
        <v>2</v>
      </c>
      <c r="Z51" s="198">
        <f>IF(Y51="","",-1)</f>
        <v>-1</v>
      </c>
      <c r="AA51" s="200"/>
      <c r="AB51" s="2467" t="e">
        <f ca="1">IF(_PL!AB51="Error","",_PL!AB51)</f>
        <v>#NAME?</v>
      </c>
      <c r="AC51" s="2468" t="str" cm="1">
        <f t="array" ca="1" aca="1" ref="AC51">_xlfn.LET(_xlpm._termname,$AB51,_xlpm._iconname,"find",_xlpm._icon,fx_getIcon(_xlpm._iconname),_xlpm._location,_xlfn.XLOOKUP(LOWER(_xlpm._termname),LOWER(tbl_acctDef[Term]),tbl_acctDef[Term]),_xlpm._hyperlink,HYPERLINK("#"&amp;CELL("address",_xlpm._location),_xlpm._icon),IFERROR(_xlpm._hyperlink,""))</f>
        <v/>
      </c>
      <c r="AD51" s="3177">
        <v>1</v>
      </c>
      <c r="AE51" s="3177">
        <v>1</v>
      </c>
      <c r="AF51" s="3177">
        <v>1</v>
      </c>
      <c r="AG51" s="3177">
        <v>1</v>
      </c>
      <c r="AH51" s="3177">
        <v>1</v>
      </c>
      <c r="AI51" s="3177">
        <v>1</v>
      </c>
      <c r="AJ51" s="3177">
        <v>1</v>
      </c>
      <c r="AK51" s="3177">
        <v>1</v>
      </c>
      <c r="AL51" s="3177">
        <v>1</v>
      </c>
      <c r="AM51" s="3177">
        <v>1</v>
      </c>
      <c r="AN51" s="3177">
        <v>1</v>
      </c>
      <c r="AO51" s="3177">
        <v>1</v>
      </c>
      <c r="AP51" s="3177">
        <v>1</v>
      </c>
      <c r="AQ51" s="3177">
        <v>1</v>
      </c>
      <c r="AR51" s="3177">
        <v>1</v>
      </c>
      <c r="AS51" s="3177">
        <v>1</v>
      </c>
      <c r="AT51" s="3177">
        <v>1</v>
      </c>
      <c r="AU51" s="3177">
        <v>1</v>
      </c>
      <c r="AV51" s="3177">
        <v>1</v>
      </c>
      <c r="AW51" s="3177">
        <v>1</v>
      </c>
      <c r="AX51" s="3177">
        <v>1</v>
      </c>
      <c r="AY51" s="3177">
        <v>1</v>
      </c>
      <c r="AZ51" s="3177">
        <v>1</v>
      </c>
      <c r="BA51" s="3177">
        <v>1</v>
      </c>
      <c r="BB51" s="3177">
        <v>1</v>
      </c>
      <c r="BC51" s="3177">
        <v>1</v>
      </c>
      <c r="BD51" s="3177">
        <v>1</v>
      </c>
      <c r="BE51" s="3177">
        <v>1</v>
      </c>
      <c r="BF51" s="3177">
        <v>1</v>
      </c>
      <c r="BG51" s="3177">
        <v>1</v>
      </c>
      <c r="BH51" s="3177">
        <v>1</v>
      </c>
      <c r="BI51" s="3177">
        <v>1</v>
      </c>
      <c r="BJ51" s="3177">
        <v>1</v>
      </c>
      <c r="BK51" s="3177">
        <v>1</v>
      </c>
      <c r="BL51" s="3177">
        <v>1</v>
      </c>
      <c r="BM51" s="3177">
        <v>1</v>
      </c>
      <c r="BN51" s="3177">
        <v>1</v>
      </c>
      <c r="BO51" s="2470"/>
      <c r="BP51" s="2470"/>
      <c r="BQ51" s="2470"/>
      <c r="BR51" s="2470"/>
      <c r="BS51" s="2470"/>
      <c r="BT51" s="2470"/>
      <c r="BU51" s="2470"/>
      <c r="BV51" s="2470"/>
      <c r="BW51" s="2470"/>
      <c r="BX51" s="2470"/>
      <c r="BY51" s="2470"/>
      <c r="BZ51" s="2470"/>
      <c r="CA51" s="34"/>
      <c r="CC51" s="33"/>
      <c r="CD51" s="1772" t="e" cm="1">
        <f t="array" ca="1" aca="1" ref="CD51">_xlfn.LET(_xlpm.CheckBlank,SUM(PL!$AD51:PL!$BN51)=0,IF(_xlpm.CheckBlank,"",SUM(_xlfn._xlws.FILTER(PL!$AD51:$BN51,(YEAR(PL!$AD$12:$BN$12)=PL!CD$12)*(array_timeline&lt;=PL!CD$11)))))</f>
        <v>#NAME?</v>
      </c>
      <c r="CE51" s="1772" t="e" cm="1">
        <f t="array" ca="1" aca="1" ref="CE51">_xlfn.LET(_xlpm.CheckBlank,SUM(PL!$AD51:PL!$BN51)=0,IF(_xlpm.CheckBlank,"",SUM(_xlfn._xlws.FILTER(PL!$AD51:$BN51,(YEAR(PL!$AD$12:$BN$12)=PL!CE$12)*(array_timeline&lt;=PL!CE$11)))))</f>
        <v>#NAME?</v>
      </c>
      <c r="CF51" s="178"/>
      <c r="CG51" s="1461" t="str" cm="1">
        <f t="array" ca="1" aca="1" ref="CG51">IFERROR(_xlfn.LET(_xlpm.CheckBlank,SUM(PL!$AD51:$BN51)=0,IF(_xlpm.CheckBlank,"",SUM(_xlfn._xlws.FILTER(PL!$AD51:$BN51,(YEAR(PL!$AD$12:$BN$12)=PL!CG$12)*(array_timeline&lt;=PL!CG$11))))),"n/a")</f>
        <v>n/a</v>
      </c>
      <c r="CH51" s="1461" t="e" cm="1">
        <f t="array" ca="1" aca="1" ref="CH51">_xlfn.LET(_xlpm.CheckBlank,SUM(PL!$AD51:$BN51)=0,IF(_xlpm.CheckBlank,"",SUM(_xlfn._xlws.FILTER(PL!$AD51:$BN51,(YEAR(PL!$AD$12:$BN$12)=PL!CH$12)*(array_timeline&lt;=PL!CH$11)))))</f>
        <v>#NAME?</v>
      </c>
      <c r="CI51" s="88"/>
      <c r="CJ51" s="1461" cm="1">
        <f t="array" ref="CJ51">_xlfn.LET(_xlpm.CheckBlank,SUM(PL!$AD51:$BN51)=0,IF(_xlpm.CheckBlank,"",SUM(_xlfn.TAKE(_xlfn.DROP(PL!$AD51:$BN51,,-DATEDIFF(PL!CJ$11,val_asOfDate,"M")),1,-12))))</f>
        <v>12</v>
      </c>
      <c r="CK51" s="1461" cm="1">
        <f t="array" ref="CK51">_xlfn.LET(_xlpm.CheckBlank,SUM(PL!$AD51:$BN51)=0,IF(_xlpm.CheckBlank,"",SUM(_xlfn.TAKE(_xlfn.DROP(PL!$AD51:$BN51,,-DATEDIFF(PL!CK$11,val_asOfDate,"M")),1,-12))))</f>
        <v>12</v>
      </c>
      <c r="CL51" s="88"/>
      <c r="CM51" s="3177">
        <v>1</v>
      </c>
      <c r="CN51" s="3177">
        <v>1</v>
      </c>
      <c r="CO51" s="88"/>
      <c r="CP51" s="3177">
        <v>1</v>
      </c>
      <c r="CQ51" s="3177">
        <v>1</v>
      </c>
      <c r="CR51" s="34"/>
      <c r="CS51" s="2056"/>
      <c r="CT51" s="2447" t="e" cm="1">
        <f t="array" ca="1" aca="1" ref="CT51">IF(Y51="","",IF(ISNUMBER(SEARCH("Select",$Y51)),"",_xldudf_CX_PUSH($Y51,CX_ENTITY,C51,val_asOfDate)))</f>
        <v>#NAME?</v>
      </c>
      <c r="CU51" s="2447" t="e" cm="1">
        <f t="array" ca="1" aca="1" ref="CU51">IF(Y51="","",IF(ISNUMBER(SEARCH("Select",$Y51)),"",_xldudf_CX_PUSH($Y51,CX_ENTITY,C51,EOMONTH(val_asOfDate,1))))</f>
        <v>#NAME?</v>
      </c>
      <c r="CV51" s="2447" t="e" cm="1">
        <f t="array" ca="1" aca="1" ref="CV51">IF(Y51="","",IF(ISNUMBER(SEARCH("Select",$Y51)),"",_xldudf_CX_PUSH($Y51,CX_ENTITY,C51,EOMONTH(val_asOfDate,2))))</f>
        <v>#NAME?</v>
      </c>
      <c r="CW51" s="2447" t="e" cm="1">
        <f t="array" ca="1" aca="1" ref="CW51">IF(Y51="","",IF(ISNUMBER(SEARCH("Select",$Y51)),"",_xldudf_CX_PUSH($Y51,CX_ENTITY,C51,EOMONTH(val_asOfDate,3))))</f>
        <v>#NAME?</v>
      </c>
      <c r="CX51" s="2443"/>
      <c r="CY51" s="2444" t="str" cm="1">
        <f t="array" ca="1" aca="1" ref="CY51">IFERROR(IF(CM51*fxVal_normal=_PL!CM51,"",IF(OR($CM51="",$CM51=0,NOT(ISNUMBER($CM51)),ISERROR($CM51),$B51=""),"",IF($I51=1,IFBLANK(_xldudf_CX_PUSH($CM51*fxVal_normal,CX_ENTITY,$B51,$CM$11,$CM$14,$CM$19,),""),IF($I51=2,IFBLANK(_xldudf_CX_PUSH($CM51,CX_ENTITY,$B51,$CM$11,$CM$14,$CM$19,),""),IF($I51=3,"",IFBLANK(_xldudf_CX_PUSH($CM51,CX_ENTITY,$B51,$CM$11,$CM$14,$CM$19,),"")))))),"")</f>
        <v/>
      </c>
      <c r="CZ51" s="2444" t="str" cm="1">
        <f t="array" ca="1" aca="1" ref="CZ51">IFERROR(IF(CN51*fxVal_normal=_PL!CN51,"",IF(OR($CN51="",$CN51=0,NOT(ISNUMBER($CN51)),ISERROR($CN51),$B51=""),"",IF($I51=1,IFBLANK(_xldudf_CX_PUSH($CN51*fxVal_normal,CX_ENTITY,$B51,$CN$11,$CN$14,$CN$19,),""),IF($I51=2,IFBLANK(_xldudf_CX_PUSH($CN51,CX_ENTITY,$B51,$CN$11,$CN$14,$CN$19,),""),IF($I51=3,"",IFBLANK(_xldudf_CX_PUSH($CN51,CX_ENTITY,$B51,$CN$11,$CN$14,$CN$19,),"")))))),"")</f>
        <v/>
      </c>
      <c r="DA51" s="2444" t="str" cm="1">
        <f t="array" ca="1" aca="1" ref="DA51">IFERROR(IF(CP51*fxVal_normal=_PL!CP51,"",IF(OR($CP51="",$CP51=0,NOT(ISNUMBER($CP51)),ISERROR($CP51),$B51=""),"",IF($I51=1,IFBLANK(_xldudf_CX_PUSH($CP51*fxVal_normal,CX_ENTITY,$B51,$CP$11,$CP$14,$CP$19,),""),IF($I51=2,IFBLANK(_xldudf_CX_PUSH($CP51,CX_ENTITY,$B51,$CP$11,$CP$14,$CP$19,),""),IF($I51=3,"",IFBLANK(_xldudf_CX_PUSH($CP51,CX_ENTITY,$B51,$CP$11,$CP$14,$CP$19,),"")))))),"")</f>
        <v/>
      </c>
      <c r="DB51" s="2444" t="str" cm="1">
        <f t="array" ca="1" aca="1" ref="DB51">IFERROR(IF(CQ51*fxVal_normal=_PL!CQ51,"",IF(OR($CQ51="",$CQ51=0,NOT(ISNUMBER($CQ51)),ISERROR($CQ51),$B51=""),"",IF($I51=1,IFBLANK(_xldudf_CX_PUSH($CQ51*fxVal_normal,CX_ENTITY,$B51,$CQ$11,$CQ$14,$CQ$19,),""),IF($I51=2,IFBLANK(_xldudf_CX_PUSH($CQ51,CX_ENTITY,$B51,$CQ$11,$CQ$14,$CQ$19,),""),IF($I51=3,"",IFBLANK(_xldudf_CX_PUSH($CQ51,CX_ENTITY,$B51,$CQ$11,$CQ$14,$CQ$19,),"")))))),"")</f>
        <v/>
      </c>
      <c r="DC51" s="2443"/>
      <c r="DD51" s="2445" t="str" cm="1">
        <f t="array" ca="1" aca="1" ref="DD51">IFERROR(IF(AD51*fxVal_normal=_PL!AD51,"",IF(OR(AD51="",NOT(ISNUMBER(AD51)),ISERROR(AD51),$B51=""),"",IF($I51=1,IFBLANK(_xldudf_CX_PUSH(AD51*fxVal_normal,CX_ENTITY,$B51,AD$11,AD$14,AD$19,),""),IF($I51=2,IFBLANK(_xldudf_CX_PUSH(AD51,CX_ENTITY,$B51,AD$11,AD$14,AD$19,),""),IF($I51=3,"",IFBLANK(_xldudf_CX_PUSH(AD51,CX_ENTITY,$B51,AD$11,AD$14,AD$19,),"")))))),"")</f>
        <v/>
      </c>
      <c r="DE51" s="2445" t="str" cm="1">
        <f t="array" ca="1" aca="1" ref="DE51">IFERROR(IF(AE51*fxVal_normal=_PL!AE51,"",IF(OR(AE51="",NOT(ISNUMBER(AE51)),ISERROR(AE51),$B51=""),"",IF($I51=1,IFBLANK(_xldudf_CX_PUSH(AE51*fxVal_normal,CX_ENTITY,$B51,AE$11,AE$14,AE$19,),""),IF($I51=2,IFBLANK(_xldudf_CX_PUSH(AE51,CX_ENTITY,$B51,AE$11,AE$14,AE$19,),""),IF($I51=3,"",IFBLANK(_xldudf_CX_PUSH(AE51,CX_ENTITY,$B51,AE$11,AE$14,AE$19,),"")))))),"")</f>
        <v/>
      </c>
      <c r="DF51" s="2445" t="str" cm="1">
        <f t="array" ca="1" aca="1" ref="DF51">IFERROR(IF(AF51*fxVal_normal=_PL!AF51,"",IF(OR(AF51="",NOT(ISNUMBER(AF51)),ISERROR(AF51),$B51=""),"",IF($I51=1,IFBLANK(_xldudf_CX_PUSH(AF51*fxVal_normal,CX_ENTITY,$B51,AF$11,AF$14,AF$19,),""),IF($I51=2,IFBLANK(_xldudf_CX_PUSH(AF51,CX_ENTITY,$B51,AF$11,AF$14,AF$19,),""),IF($I51=3,"",IFBLANK(_xldudf_CX_PUSH(AF51,CX_ENTITY,$B51,AF$11,AF$14,AF$19,),"")))))),"")</f>
        <v/>
      </c>
      <c r="DG51" s="2445" t="str" cm="1">
        <f t="array" ca="1" aca="1" ref="DG51">IFERROR(IF(AG51*fxVal_normal=_PL!AG51,"",IF(OR(AG51="",NOT(ISNUMBER(AG51)),ISERROR(AG51),$B51=""),"",IF($I51=1,IFBLANK(_xldudf_CX_PUSH(AG51*fxVal_normal,CX_ENTITY,$B51,AG$11,AG$14,AG$19,),""),IF($I51=2,IFBLANK(_xldudf_CX_PUSH(AG51,CX_ENTITY,$B51,AG$11,AG$14,AG$19,),""),IF($I51=3,"",IFBLANK(_xldudf_CX_PUSH(AG51,CX_ENTITY,$B51,AG$11,AG$14,AG$19,),"")))))),"")</f>
        <v/>
      </c>
      <c r="DH51" s="2445" t="str" cm="1">
        <f t="array" ca="1" aca="1" ref="DH51">IFERROR(IF(AH51*fxVal_normal=_PL!AH51,"",IF(OR(AH51="",NOT(ISNUMBER(AH51)),ISERROR(AH51),$B51=""),"",IF($I51=1,IFBLANK(_xldudf_CX_PUSH(AH51*fxVal_normal,CX_ENTITY,$B51,AH$11,AH$14,AH$19,),""),IF($I51=2,IFBLANK(_xldudf_CX_PUSH(AH51,CX_ENTITY,$B51,AH$11,AH$14,AH$19,),""),IF($I51=3,"",IFBLANK(_xldudf_CX_PUSH(AH51,CX_ENTITY,$B51,AH$11,AH$14,AH$19,),"")))))),"")</f>
        <v/>
      </c>
      <c r="DI51" s="2445" t="str" cm="1">
        <f t="array" ca="1" aca="1" ref="DI51">IFERROR(IF(AI51*fxVal_normal=_PL!AI51,"",IF(OR(AI51="",NOT(ISNUMBER(AI51)),ISERROR(AI51),$B51=""),"",IF($I51=1,IFBLANK(_xldudf_CX_PUSH(AI51*fxVal_normal,CX_ENTITY,$B51,AI$11,AI$14,AI$19,),""),IF($I51=2,IFBLANK(_xldudf_CX_PUSH(AI51,CX_ENTITY,$B51,AI$11,AI$14,AI$19,),""),IF($I51=3,"",IFBLANK(_xldudf_CX_PUSH(AI51,CX_ENTITY,$B51,AI$11,AI$14,AI$19,),"")))))),"")</f>
        <v/>
      </c>
      <c r="DJ51" s="2445" t="str" cm="1">
        <f t="array" ca="1" aca="1" ref="DJ51">IFERROR(IF(AJ51*fxVal_normal=_PL!AJ51,"",IF(OR(AJ51="",NOT(ISNUMBER(AJ51)),ISERROR(AJ51),$B51=""),"",IF($I51=1,IFBLANK(_xldudf_CX_PUSH(AJ51*fxVal_normal,CX_ENTITY,$B51,AJ$11,AJ$14,AJ$19,),""),IF($I51=2,IFBLANK(_xldudf_CX_PUSH(AJ51,CX_ENTITY,$B51,AJ$11,AJ$14,AJ$19,),""),IF($I51=3,"",IFBLANK(_xldudf_CX_PUSH(AJ51,CX_ENTITY,$B51,AJ$11,AJ$14,AJ$19,),"")))))),"")</f>
        <v/>
      </c>
      <c r="DK51" s="2445" t="str" cm="1">
        <f t="array" ca="1" aca="1" ref="DK51">IFERROR(IF(AK51*fxVal_normal=_PL!AK51,"",IF(OR(AK51="",NOT(ISNUMBER(AK51)),ISERROR(AK51),$B51=""),"",IF($I51=1,IFBLANK(_xldudf_CX_PUSH(AK51*fxVal_normal,CX_ENTITY,$B51,AK$11,AK$14,AK$19,),""),IF($I51=2,IFBLANK(_xldudf_CX_PUSH(AK51,CX_ENTITY,$B51,AK$11,AK$14,AK$19,),""),IF($I51=3,"",IFBLANK(_xldudf_CX_PUSH(AK51,CX_ENTITY,$B51,AK$11,AK$14,AK$19,),"")))))),"")</f>
        <v/>
      </c>
      <c r="DL51" s="2445" t="str" cm="1">
        <f t="array" ca="1" aca="1" ref="DL51">IFERROR(IF(AL51*fxVal_normal=_PL!AL51,"",IF(OR(AL51="",NOT(ISNUMBER(AL51)),ISERROR(AL51),$B51=""),"",IF($I51=1,IFBLANK(_xldudf_CX_PUSH(AL51*fxVal_normal,CX_ENTITY,$B51,AL$11,AL$14,AL$19,),""),IF($I51=2,IFBLANK(_xldudf_CX_PUSH(AL51,CX_ENTITY,$B51,AL$11,AL$14,AL$19,),""),IF($I51=3,"",IFBLANK(_xldudf_CX_PUSH(AL51,CX_ENTITY,$B51,AL$11,AL$14,AL$19,),"")))))),"")</f>
        <v/>
      </c>
      <c r="DM51" s="2445" t="str" cm="1">
        <f t="array" ca="1" aca="1" ref="DM51">IFERROR(IF(AM51*fxVal_normal=_PL!AM51,"",IF(OR(AM51="",NOT(ISNUMBER(AM51)),ISERROR(AM51),$B51=""),"",IF($I51=1,IFBLANK(_xldudf_CX_PUSH(AM51*fxVal_normal,CX_ENTITY,$B51,AM$11,AM$14,AM$19,),""),IF($I51=2,IFBLANK(_xldudf_CX_PUSH(AM51,CX_ENTITY,$B51,AM$11,AM$14,AM$19,),""),IF($I51=3,"",IFBLANK(_xldudf_CX_PUSH(AM51,CX_ENTITY,$B51,AM$11,AM$14,AM$19,),"")))))),"")</f>
        <v/>
      </c>
      <c r="DN51" s="2445" t="str" cm="1">
        <f t="array" ca="1" aca="1" ref="DN51">IFERROR(IF(AN51*fxVal_normal=_PL!AN51,"",IF(OR(AN51="",NOT(ISNUMBER(AN51)),ISERROR(AN51),$B51=""),"",IF($I51=1,IFBLANK(_xldudf_CX_PUSH(AN51*fxVal_normal,CX_ENTITY,$B51,AN$11,AN$14,AN$19,),""),IF($I51=2,IFBLANK(_xldudf_CX_PUSH(AN51,CX_ENTITY,$B51,AN$11,AN$14,AN$19,),""),IF($I51=3,"",IFBLANK(_xldudf_CX_PUSH(AN51,CX_ENTITY,$B51,AN$11,AN$14,AN$19,),"")))))),"")</f>
        <v/>
      </c>
      <c r="DO51" s="2445" t="str" cm="1">
        <f t="array" ca="1" aca="1" ref="DO51">IFERROR(IF(AO51*fxVal_normal=_PL!AO51,"",IF(OR(AO51="",NOT(ISNUMBER(AO51)),ISERROR(AO51),$B51=""),"",IF($I51=1,IFBLANK(_xldudf_CX_PUSH(AO51*fxVal_normal,CX_ENTITY,$B51,AO$11,AO$14,AO$19,),""),IF($I51=2,IFBLANK(_xldudf_CX_PUSH(AO51,CX_ENTITY,$B51,AO$11,AO$14,AO$19,),""),IF($I51=3,"",IFBLANK(_xldudf_CX_PUSH(AO51,CX_ENTITY,$B51,AO$11,AO$14,AO$19,),"")))))),"")</f>
        <v/>
      </c>
      <c r="DP51" s="2445" t="str" cm="1">
        <f t="array" ca="1" aca="1" ref="DP51">IFERROR(IF(AP51*fxVal_normal=_PL!AP51,"",IF(OR(AP51="",NOT(ISNUMBER(AP51)),ISERROR(AP51),$B51=""),"",IF($I51=1,IFBLANK(_xldudf_CX_PUSH(AP51*fxVal_normal,CX_ENTITY,$B51,AP$11,AP$14,AP$19,),""),IF($I51=2,IFBLANK(_xldudf_CX_PUSH(AP51,CX_ENTITY,$B51,AP$11,AP$14,AP$19,),""),IF($I51=3,"",IFBLANK(_xldudf_CX_PUSH(AP51,CX_ENTITY,$B51,AP$11,AP$14,AP$19,),"")))))),"")</f>
        <v/>
      </c>
      <c r="DQ51" s="2445" t="str" cm="1">
        <f t="array" ca="1" aca="1" ref="DQ51">IFERROR(IF(AQ51*fxVal_normal=_PL!AQ51,"",IF(OR(AQ51="",NOT(ISNUMBER(AQ51)),ISERROR(AQ51),$B51=""),"",IF($I51=1,IFBLANK(_xldudf_CX_PUSH(AQ51*fxVal_normal,CX_ENTITY,$B51,AQ$11,AQ$14,AQ$19,),""),IF($I51=2,IFBLANK(_xldudf_CX_PUSH(AQ51,CX_ENTITY,$B51,AQ$11,AQ$14,AQ$19,),""),IF($I51=3,"",IFBLANK(_xldudf_CX_PUSH(AQ51,CX_ENTITY,$B51,AQ$11,AQ$14,AQ$19,),"")))))),"")</f>
        <v/>
      </c>
      <c r="DR51" s="2445" t="str" cm="1">
        <f t="array" ca="1" aca="1" ref="DR51">IFERROR(IF(AR51*fxVal_normal=_PL!AR51,"",IF(OR(AR51="",NOT(ISNUMBER(AR51)),ISERROR(AR51),$B51=""),"",IF($I51=1,IFBLANK(_xldudf_CX_PUSH(AR51*fxVal_normal,CX_ENTITY,$B51,AR$11,AR$14,AR$19,),""),IF($I51=2,IFBLANK(_xldudf_CX_PUSH(AR51,CX_ENTITY,$B51,AR$11,AR$14,AR$19,),""),IF($I51=3,"",IFBLANK(_xldudf_CX_PUSH(AR51,CX_ENTITY,$B51,AR$11,AR$14,AR$19,),"")))))),"")</f>
        <v/>
      </c>
      <c r="DS51" s="2445" t="str" cm="1">
        <f t="array" ca="1" aca="1" ref="DS51">IFERROR(IF(AS51*fxVal_normal=_PL!AS51,"",IF(OR(AS51="",NOT(ISNUMBER(AS51)),ISERROR(AS51),$B51=""),"",IF($I51=1,IFBLANK(_xldudf_CX_PUSH(AS51*fxVal_normal,CX_ENTITY,$B51,AS$11,AS$14,AS$19,),""),IF($I51=2,IFBLANK(_xldudf_CX_PUSH(AS51,CX_ENTITY,$B51,AS$11,AS$14,AS$19,),""),IF($I51=3,"",IFBLANK(_xldudf_CX_PUSH(AS51,CX_ENTITY,$B51,AS$11,AS$14,AS$19,),"")))))),"")</f>
        <v/>
      </c>
      <c r="DT51" s="2445" t="str" cm="1">
        <f t="array" ca="1" aca="1" ref="DT51">IFERROR(IF(AT51*fxVal_normal=_PL!AT51,"",IF(OR(AT51="",NOT(ISNUMBER(AT51)),ISERROR(AT51),$B51=""),"",IF($I51=1,IFBLANK(_xldudf_CX_PUSH(AT51*fxVal_normal,CX_ENTITY,$B51,AT$11,AT$14,AT$19,),""),IF($I51=2,IFBLANK(_xldudf_CX_PUSH(AT51,CX_ENTITY,$B51,AT$11,AT$14,AT$19,),""),IF($I51=3,"",IFBLANK(_xldudf_CX_PUSH(AT51,CX_ENTITY,$B51,AT$11,AT$14,AT$19,),"")))))),"")</f>
        <v/>
      </c>
      <c r="DU51" s="2445" t="str" cm="1">
        <f t="array" ca="1" aca="1" ref="DU51">IFERROR(IF(AU51*fxVal_normal=_PL!AU51,"",IF(OR(AU51="",NOT(ISNUMBER(AU51)),ISERROR(AU51),$B51=""),"",IF($I51=1,IFBLANK(_xldudf_CX_PUSH(AU51*fxVal_normal,CX_ENTITY,$B51,AU$11,AU$14,AU$19,),""),IF($I51=2,IFBLANK(_xldudf_CX_PUSH(AU51,CX_ENTITY,$B51,AU$11,AU$14,AU$19,),""),IF($I51=3,"",IFBLANK(_xldudf_CX_PUSH(AU51,CX_ENTITY,$B51,AU$11,AU$14,AU$19,),"")))))),"")</f>
        <v/>
      </c>
      <c r="DV51" s="2445" t="str" cm="1">
        <f t="array" ca="1" aca="1" ref="DV51">IFERROR(IF(AV51*fxVal_normal=_PL!AV51,"",IF(OR(AV51="",NOT(ISNUMBER(AV51)),ISERROR(AV51),$B51=""),"",IF($I51=1,IFBLANK(_xldudf_CX_PUSH(AV51*fxVal_normal,CX_ENTITY,$B51,AV$11,AV$14,AV$19,),""),IF($I51=2,IFBLANK(_xldudf_CX_PUSH(AV51,CX_ENTITY,$B51,AV$11,AV$14,AV$19,),""),IF($I51=3,"",IFBLANK(_xldudf_CX_PUSH(AV51,CX_ENTITY,$B51,AV$11,AV$14,AV$19,),"")))))),"")</f>
        <v/>
      </c>
      <c r="DW51" s="2445" t="str" cm="1">
        <f t="array" ca="1" aca="1" ref="DW51">IFERROR(IF(AW51*fxVal_normal=_PL!AW51,"",IF(OR(AW51="",NOT(ISNUMBER(AW51)),ISERROR(AW51),$B51=""),"",IF($I51=1,IFBLANK(_xldudf_CX_PUSH(AW51*fxVal_normal,CX_ENTITY,$B51,AW$11,AW$14,AW$19,),""),IF($I51=2,IFBLANK(_xldudf_CX_PUSH(AW51,CX_ENTITY,$B51,AW$11,AW$14,AW$19,),""),IF($I51=3,"",IFBLANK(_xldudf_CX_PUSH(AW51,CX_ENTITY,$B51,AW$11,AW$14,AW$19,),"")))))),"")</f>
        <v/>
      </c>
      <c r="DX51" s="2445" t="str" cm="1">
        <f t="array" ca="1" aca="1" ref="DX51">IFERROR(IF(AX51*fxVal_normal=_PL!AX51,"",IF(OR(AX51="",NOT(ISNUMBER(AX51)),ISERROR(AX51),$B51=""),"",IF($I51=1,IFBLANK(_xldudf_CX_PUSH(AX51*fxVal_normal,CX_ENTITY,$B51,AX$11,AX$14,AX$19,),""),IF($I51=2,IFBLANK(_xldudf_CX_PUSH(AX51,CX_ENTITY,$B51,AX$11,AX$14,AX$19,),""),IF($I51=3,"",IFBLANK(_xldudf_CX_PUSH(AX51,CX_ENTITY,$B51,AX$11,AX$14,AX$19,),"")))))),"")</f>
        <v/>
      </c>
      <c r="DY51" s="2445" t="str" cm="1">
        <f t="array" ca="1" aca="1" ref="DY51">IFERROR(IF(AY51*fxVal_normal=_PL!AY51,"",IF(OR(AY51="",NOT(ISNUMBER(AY51)),ISERROR(AY51),$B51=""),"",IF($I51=1,IFBLANK(_xldudf_CX_PUSH(AY51*fxVal_normal,CX_ENTITY,$B51,AY$11,AY$14,AY$19,),""),IF($I51=2,IFBLANK(_xldudf_CX_PUSH(AY51,CX_ENTITY,$B51,AY$11,AY$14,AY$19,),""),IF($I51=3,"",IFBLANK(_xldudf_CX_PUSH(AY51,CX_ENTITY,$B51,AY$11,AY$14,AY$19,),"")))))),"")</f>
        <v/>
      </c>
      <c r="DZ51" s="2445" t="str" cm="1">
        <f t="array" ca="1" aca="1" ref="DZ51">IFERROR(IF(AZ51*fxVal_normal=_PL!AZ51,"",IF(OR(AZ51="",NOT(ISNUMBER(AZ51)),ISERROR(AZ51),$B51=""),"",IF($I51=1,IFBLANK(_xldudf_CX_PUSH(AZ51*fxVal_normal,CX_ENTITY,$B51,AZ$11,AZ$14,AZ$19,),""),IF($I51=2,IFBLANK(_xldudf_CX_PUSH(AZ51,CX_ENTITY,$B51,AZ$11,AZ$14,AZ$19,),""),IF($I51=3,"",IFBLANK(_xldudf_CX_PUSH(AZ51,CX_ENTITY,$B51,AZ$11,AZ$14,AZ$19,),"")))))),"")</f>
        <v/>
      </c>
      <c r="EA51" s="2445" t="str" cm="1">
        <f t="array" ca="1" aca="1" ref="EA51">IFERROR(IF(BA51*fxVal_normal=_PL!BA51,"",IF(OR(BA51="",NOT(ISNUMBER(BA51)),ISERROR(BA51),$B51=""),"",IF($I51=1,IFBLANK(_xldudf_CX_PUSH(BA51*fxVal_normal,CX_ENTITY,$B51,BA$11,BA$14,BA$19,),""),IF($I51=2,IFBLANK(_xldudf_CX_PUSH(BA51,CX_ENTITY,$B51,BA$11,BA$14,BA$19,),""),IF($I51=3,"",IFBLANK(_xldudf_CX_PUSH(BA51,CX_ENTITY,$B51,BA$11,BA$14,BA$19,),"")))))),"")</f>
        <v/>
      </c>
      <c r="EB51" s="2445" t="str" cm="1">
        <f t="array" ca="1" aca="1" ref="EB51">IFERROR(IF(BB51*fxVal_normal=_PL!BB51,"",IF(OR(BB51="",NOT(ISNUMBER(BB51)),ISERROR(BB51),$B51=""),"",IF($I51=1,IFBLANK(_xldudf_CX_PUSH(BB51*fxVal_normal,CX_ENTITY,$B51,BB$11,BB$14,BB$19,),""),IF($I51=2,IFBLANK(_xldudf_CX_PUSH(BB51,CX_ENTITY,$B51,BB$11,BB$14,BB$19,),""),IF($I51=3,"",IFBLANK(_xldudf_CX_PUSH(BB51,CX_ENTITY,$B51,BB$11,BB$14,BB$19,),"")))))),"")</f>
        <v/>
      </c>
      <c r="EC51" s="2445" t="str" cm="1">
        <f t="array" ca="1" aca="1" ref="EC51">IFERROR(IF(BC51*fxVal_normal=_PL!BC51,"",IF(OR(BC51="",NOT(ISNUMBER(BC51)),ISERROR(BC51),$B51=""),"",IF($I51=1,IFBLANK(_xldudf_CX_PUSH(BC51*fxVal_normal,CX_ENTITY,$B51,BC$11,BC$14,BC$19,),""),IF($I51=2,IFBLANK(_xldudf_CX_PUSH(BC51,CX_ENTITY,$B51,BC$11,BC$14,BC$19,),""),IF($I51=3,"",IFBLANK(_xldudf_CX_PUSH(BC51,CX_ENTITY,$B51,BC$11,BC$14,BC$19,),"")))))),"")</f>
        <v/>
      </c>
      <c r="ED51" s="2445" t="str" cm="1">
        <f t="array" ca="1" aca="1" ref="ED51">IFERROR(IF(BD51*fxVal_normal=_PL!BD51,"",IF(OR(BD51="",NOT(ISNUMBER(BD51)),ISERROR(BD51),$B51=""),"",IF($I51=1,IFBLANK(_xldudf_CX_PUSH(BD51*fxVal_normal,CX_ENTITY,$B51,BD$11,BD$14,BD$19,),""),IF($I51=2,IFBLANK(_xldudf_CX_PUSH(BD51,CX_ENTITY,$B51,BD$11,BD$14,BD$19,),""),IF($I51=3,"",IFBLANK(_xldudf_CX_PUSH(BD51,CX_ENTITY,$B51,BD$11,BD$14,BD$19,),"")))))),"")</f>
        <v/>
      </c>
      <c r="EE51" s="2445" t="str" cm="1">
        <f t="array" ca="1" aca="1" ref="EE51">IFERROR(IF(BE51*fxVal_normal=_PL!BE51,"",IF(OR(BE51="",NOT(ISNUMBER(BE51)),ISERROR(BE51),$B51=""),"",IF($I51=1,IFBLANK(_xldudf_CX_PUSH(BE51*fxVal_normal,CX_ENTITY,$B51,BE$11,BE$14,BE$19,),""),IF($I51=2,IFBLANK(_xldudf_CX_PUSH(BE51,CX_ENTITY,$B51,BE$11,BE$14,BE$19,),""),IF($I51=3,"",IFBLANK(_xldudf_CX_PUSH(BE51,CX_ENTITY,$B51,BE$11,BE$14,BE$19,),"")))))),"")</f>
        <v/>
      </c>
      <c r="EF51" s="2445" t="str" cm="1">
        <f t="array" ca="1" aca="1" ref="EF51">IFERROR(IF(BF51*fxVal_normal=_PL!BF51,"",IF(OR(BF51="",NOT(ISNUMBER(BF51)),ISERROR(BF51),$B51=""),"",IF($I51=1,IFBLANK(_xldudf_CX_PUSH(BF51*fxVal_normal,CX_ENTITY,$B51,BF$11,BF$14,BF$19,),""),IF($I51=2,IFBLANK(_xldudf_CX_PUSH(BF51,CX_ENTITY,$B51,BF$11,BF$14,BF$19,),""),IF($I51=3,"",IFBLANK(_xldudf_CX_PUSH(BF51,CX_ENTITY,$B51,BF$11,BF$14,BF$19,),"")))))),"")</f>
        <v/>
      </c>
      <c r="EG51" s="2445" t="str" cm="1">
        <f t="array" ca="1" aca="1" ref="EG51">IFERROR(IF(BG51*fxVal_normal=_PL!BG51,"",IF(OR(BG51="",NOT(ISNUMBER(BG51)),ISERROR(BG51),$B51=""),"",IF($I51=1,IFBLANK(_xldudf_CX_PUSH(BG51*fxVal_normal,CX_ENTITY,$B51,BG$11,BG$14,BG$19,),""),IF($I51=2,IFBLANK(_xldudf_CX_PUSH(BG51,CX_ENTITY,$B51,BG$11,BG$14,BG$19,),""),IF($I51=3,"",IFBLANK(_xldudf_CX_PUSH(BG51,CX_ENTITY,$B51,BG$11,BG$14,BG$19,),"")))))),"")</f>
        <v/>
      </c>
      <c r="EH51" s="2445" t="str" cm="1">
        <f t="array" ca="1" aca="1" ref="EH51">IFERROR(IF(BH51*fxVal_normal=_PL!BH51,"",IF(OR(BH51="",NOT(ISNUMBER(BH51)),ISERROR(BH51),$B51=""),"",IF($I51=1,IFBLANK(_xldudf_CX_PUSH(BH51*fxVal_normal,CX_ENTITY,$B51,BH$11,BH$14,BH$19,),""),IF($I51=2,IFBLANK(_xldudf_CX_PUSH(BH51,CX_ENTITY,$B51,BH$11,BH$14,BH$19,),""),IF($I51=3,"",IFBLANK(_xldudf_CX_PUSH(BH51,CX_ENTITY,$B51,BH$11,BH$14,BH$19,),"")))))),"")</f>
        <v/>
      </c>
      <c r="EI51" s="2445" t="str" cm="1">
        <f t="array" ca="1" aca="1" ref="EI51">IFERROR(IF(BI51*fxVal_normal=_PL!BI51,"",IF(OR(BI51="",NOT(ISNUMBER(BI51)),ISERROR(BI51),$B51=""),"",IF($I51=1,IFBLANK(_xldudf_CX_PUSH(BI51*fxVal_normal,CX_ENTITY,$B51,BI$11,BI$14,BI$19,),""),IF($I51=2,IFBLANK(_xldudf_CX_PUSH(BI51,CX_ENTITY,$B51,BI$11,BI$14,BI$19,),""),IF($I51=3,"",IFBLANK(_xldudf_CX_PUSH(BI51,CX_ENTITY,$B51,BI$11,BI$14,BI$19,),"")))))),"")</f>
        <v/>
      </c>
      <c r="EJ51" s="2445" t="str" cm="1">
        <f t="array" ca="1" aca="1" ref="EJ51">IFERROR(IF(BJ51*fxVal_normal=_PL!BJ51,"",IF(OR(BJ51="",NOT(ISNUMBER(BJ51)),ISERROR(BJ51),$B51=""),"",IF($I51=1,IFBLANK(_xldudf_CX_PUSH(BJ51*fxVal_normal,CX_ENTITY,$B51,BJ$11,BJ$14,BJ$19,),""),IF($I51=2,IFBLANK(_xldudf_CX_PUSH(BJ51,CX_ENTITY,$B51,BJ$11,BJ$14,BJ$19,),""),IF($I51=3,"",IFBLANK(_xldudf_CX_PUSH(BJ51,CX_ENTITY,$B51,BJ$11,BJ$14,BJ$19,),"")))))),"")</f>
        <v/>
      </c>
      <c r="EK51" s="2445" t="str" cm="1">
        <f t="array" ca="1" aca="1" ref="EK51">IFERROR(IF(BK51*fxVal_normal=_PL!BK51,"",IF(OR(BK51="",NOT(ISNUMBER(BK51)),ISERROR(BK51),$B51=""),"",IF($I51=1,IFBLANK(_xldudf_CX_PUSH(BK51*fxVal_normal,CX_ENTITY,$B51,BK$11,BK$14,BK$19,),""),IF($I51=2,IFBLANK(_xldudf_CX_PUSH(BK51,CX_ENTITY,$B51,BK$11,BK$14,BK$19,),""),IF($I51=3,"",IFBLANK(_xldudf_CX_PUSH(BK51,CX_ENTITY,$B51,BK$11,BK$14,BK$19,),"")))))),"")</f>
        <v/>
      </c>
      <c r="EL51" s="2445" t="str" cm="1">
        <f t="array" ca="1" aca="1" ref="EL51">IFERROR(IF(BL51*fxVal_normal=_PL!BL51,"",IF(OR(BL51="",NOT(ISNUMBER(BL51)),ISERROR(BL51),$B51=""),"",IF($I51=1,IFBLANK(_xldudf_CX_PUSH(BL51*fxVal_normal,CX_ENTITY,$B51,BL$11,BL$14,BL$19,),""),IF($I51=2,IFBLANK(_xldudf_CX_PUSH(BL51,CX_ENTITY,$B51,BL$11,BL$14,BL$19,),""),IF($I51=3,"",IFBLANK(_xldudf_CX_PUSH(BL51,CX_ENTITY,$B51,BL$11,BL$14,BL$19,),"")))))),"")</f>
        <v/>
      </c>
      <c r="EM51" s="2445" t="str" cm="1">
        <f t="array" ca="1" aca="1" ref="EM51">IFERROR(IF(BM51*fxVal_normal=_PL!BM51,"",IF(OR(BM51="",NOT(ISNUMBER(BM51)),ISERROR(BM51),$B51=""),"",IF($I51=1,IFBLANK(_xldudf_CX_PUSH(BM51*fxVal_normal,CX_ENTITY,$B51,BM$11,BM$14,BM$19,),""),IF($I51=2,IFBLANK(_xldudf_CX_PUSH(BM51,CX_ENTITY,$B51,BM$11,BM$14,BM$19,),""),IF($I51=3,"",IFBLANK(_xldudf_CX_PUSH(BM51,CX_ENTITY,$B51,BM$11,BM$14,BM$19,),"")))))),"")</f>
        <v/>
      </c>
      <c r="EN51" s="2445" t="str" cm="1">
        <f t="array" ca="1" aca="1" ref="EN51">IFERROR(IF(BN51*fxVal_normal=_PL!BN51,"",IF(OR(BN51="",NOT(ISNUMBER(BN51)),ISERROR(BN51),$B51=""),"",IF($I51=1,IFBLANK(_xldudf_CX_PUSH(BN51*fxVal_normal,CX_ENTITY,$B51,BN$11,BN$14,BN$19,),""),IF($I51=2,IFBLANK(_xldudf_CX_PUSH(BN51,CX_ENTITY,$B51,BN$11,BN$14,BN$19,),""),IF($I51=3,"",IFBLANK(_xldudf_CX_PUSH(BN51,CX_ENTITY,$B51,BN$11,BN$14,BN$19,),"")))))),"")</f>
        <v/>
      </c>
    </row>
    <row r="52" spans="1:144" ht="21" customHeight="1">
      <c r="A52" s="1626"/>
      <c r="B52" s="2439" t="str">
        <f>_xlfn.LET(_xlpm.IsNotAttrDynamic,D52="",_xlpm.Attr,_PL!F52,_xlpm.NotInUse,Y52=D52,_xlpm.RESULT,IF(_xlpm.IsNotAttrDynamic,_xlpm.Attr,IF(_xlpm.NotInUse,"",Y52)),IF(_xlpm.RESULT="","",_xlpm.RESULT))</f>
        <v>Custom Metric Amount 7</v>
      </c>
      <c r="C52" s="3459" t="str" cm="1">
        <f t="array" ref="C52">IFBLANK(_PL!C52,"")</f>
        <v>Custom Metric - Label 7</v>
      </c>
      <c r="D52" s="1548"/>
      <c r="E52" s="2453"/>
      <c r="F52" s="578"/>
      <c r="G52" s="578"/>
      <c r="H52" s="3280">
        <v>1</v>
      </c>
      <c r="I52" s="3280">
        <v>1</v>
      </c>
      <c r="J52" s="401" cm="1">
        <f t="array" ref="J52">IFBLANK(Z52,"")</f>
        <v>-1</v>
      </c>
      <c r="K52" s="578" t="str">
        <f ca="1">IFERROR(IF(LEN(AB52)=0,"No",IF(LEN(J52)&gt;0,"Yes","No")),"")</f>
        <v/>
      </c>
      <c r="L52" s="37"/>
      <c r="N52" s="158"/>
      <c r="O52" s="101"/>
      <c r="P52" s="52"/>
      <c r="Q52" s="101"/>
      <c r="R52" s="126"/>
      <c r="S52" s="101"/>
      <c r="T52" s="101"/>
      <c r="U52" s="39"/>
      <c r="V52" s="37"/>
      <c r="W52" s="91" t="str">
        <f t="shared" si="15"/>
        <v>Actual</v>
      </c>
      <c r="X52" s="2081" t="e">
        <f ca="1">_PL!X52</f>
        <v>#NAME?</v>
      </c>
      <c r="Y52" s="3189">
        <v>2</v>
      </c>
      <c r="Z52" s="198">
        <f>IF(Y52="","",-1)</f>
        <v>-1</v>
      </c>
      <c r="AA52" s="200"/>
      <c r="AB52" s="2467" t="e">
        <f ca="1">IF(_PL!AB52="Error","",_PL!AB52)</f>
        <v>#NAME?</v>
      </c>
      <c r="AC52" s="2468" t="str" cm="1">
        <f t="array" ca="1" aca="1" ref="AC52">_xlfn.LET(_xlpm._termname,$AB52,_xlpm._iconname,"find",_xlpm._icon,fx_getIcon(_xlpm._iconname),_xlpm._location,_xlfn.XLOOKUP(LOWER(_xlpm._termname),LOWER(tbl_acctDef[Term]),tbl_acctDef[Term]),_xlpm._hyperlink,HYPERLINK("#"&amp;CELL("address",_xlpm._location),_xlpm._icon),IFERROR(_xlpm._hyperlink,""))</f>
        <v/>
      </c>
      <c r="AD52" s="3177">
        <v>1</v>
      </c>
      <c r="AE52" s="3177">
        <v>1</v>
      </c>
      <c r="AF52" s="3177">
        <v>1</v>
      </c>
      <c r="AG52" s="3177">
        <v>1</v>
      </c>
      <c r="AH52" s="3177">
        <v>1</v>
      </c>
      <c r="AI52" s="3177">
        <v>1</v>
      </c>
      <c r="AJ52" s="3177">
        <v>1</v>
      </c>
      <c r="AK52" s="3177">
        <v>1</v>
      </c>
      <c r="AL52" s="3177">
        <v>1</v>
      </c>
      <c r="AM52" s="3177">
        <v>1</v>
      </c>
      <c r="AN52" s="3177">
        <v>1</v>
      </c>
      <c r="AO52" s="3177">
        <v>1</v>
      </c>
      <c r="AP52" s="3177">
        <v>1</v>
      </c>
      <c r="AQ52" s="3177">
        <v>1</v>
      </c>
      <c r="AR52" s="3177">
        <v>1</v>
      </c>
      <c r="AS52" s="3177">
        <v>1</v>
      </c>
      <c r="AT52" s="3177">
        <v>1</v>
      </c>
      <c r="AU52" s="3177">
        <v>1</v>
      </c>
      <c r="AV52" s="3177">
        <v>1</v>
      </c>
      <c r="AW52" s="3177">
        <v>1</v>
      </c>
      <c r="AX52" s="3177">
        <v>1</v>
      </c>
      <c r="AY52" s="3177">
        <v>1</v>
      </c>
      <c r="AZ52" s="3177">
        <v>1</v>
      </c>
      <c r="BA52" s="3177">
        <v>1</v>
      </c>
      <c r="BB52" s="3177">
        <v>1</v>
      </c>
      <c r="BC52" s="3177">
        <v>1</v>
      </c>
      <c r="BD52" s="3177">
        <v>1</v>
      </c>
      <c r="BE52" s="3177">
        <v>1</v>
      </c>
      <c r="BF52" s="3177">
        <v>1</v>
      </c>
      <c r="BG52" s="3177">
        <v>1</v>
      </c>
      <c r="BH52" s="3177">
        <v>1</v>
      </c>
      <c r="BI52" s="3177">
        <v>1</v>
      </c>
      <c r="BJ52" s="3177">
        <v>1</v>
      </c>
      <c r="BK52" s="3177">
        <v>1</v>
      </c>
      <c r="BL52" s="3177">
        <v>1</v>
      </c>
      <c r="BM52" s="3177">
        <v>1</v>
      </c>
      <c r="BN52" s="3177">
        <v>1</v>
      </c>
      <c r="BO52" s="2470"/>
      <c r="BP52" s="2470"/>
      <c r="BQ52" s="2470"/>
      <c r="BR52" s="2470"/>
      <c r="BS52" s="2470"/>
      <c r="BT52" s="2470"/>
      <c r="BU52" s="2470"/>
      <c r="BV52" s="2470"/>
      <c r="BW52" s="2470"/>
      <c r="BX52" s="2470"/>
      <c r="BY52" s="2470"/>
      <c r="BZ52" s="2470"/>
      <c r="CA52" s="34"/>
      <c r="CC52" s="33"/>
      <c r="CD52" s="1772" t="e" cm="1">
        <f t="array" ca="1" aca="1" ref="CD52">_xlfn.LET(_xlpm.CheckBlank,SUM(PL!$AD52:PL!$BN52)=0,IF(_xlpm.CheckBlank,"",SUM(_xlfn._xlws.FILTER(PL!$AD52:$BN52,(YEAR(PL!$AD$12:$BN$12)=PL!CD$12)*(array_timeline&lt;=PL!CD$11)))))</f>
        <v>#NAME?</v>
      </c>
      <c r="CE52" s="1772" t="e" cm="1">
        <f t="array" ca="1" aca="1" ref="CE52">_xlfn.LET(_xlpm.CheckBlank,SUM(PL!$AD52:PL!$BN52)=0,IF(_xlpm.CheckBlank,"",SUM(_xlfn._xlws.FILTER(PL!$AD52:$BN52,(YEAR(PL!$AD$12:$BN$12)=PL!CE$12)*(array_timeline&lt;=PL!CE$11)))))</f>
        <v>#NAME?</v>
      </c>
      <c r="CF52" s="178"/>
      <c r="CG52" s="1461" t="str" cm="1">
        <f t="array" ca="1" aca="1" ref="CG52">IFERROR(_xlfn.LET(_xlpm.CheckBlank,SUM(PL!$AD52:$BN52)=0,IF(_xlpm.CheckBlank,"",SUM(_xlfn._xlws.FILTER(PL!$AD52:$BN52,(YEAR(PL!$AD$12:$BN$12)=PL!CG$12)*(array_timeline&lt;=PL!CG$11))))),"n/a")</f>
        <v>n/a</v>
      </c>
      <c r="CH52" s="1461" t="e" cm="1">
        <f t="array" ca="1" aca="1" ref="CH52">_xlfn.LET(_xlpm.CheckBlank,SUM(PL!$AD52:$BN52)=0,IF(_xlpm.CheckBlank,"",SUM(_xlfn._xlws.FILTER(PL!$AD52:$BN52,(YEAR(PL!$AD$12:$BN$12)=PL!CH$12)*(array_timeline&lt;=PL!CH$11)))))</f>
        <v>#NAME?</v>
      </c>
      <c r="CI52" s="88"/>
      <c r="CJ52" s="1461" cm="1">
        <f t="array" ref="CJ52">_xlfn.LET(_xlpm.CheckBlank,SUM(PL!$AD52:$BN52)=0,IF(_xlpm.CheckBlank,"",SUM(_xlfn.TAKE(_xlfn.DROP(PL!$AD52:$BN52,,-DATEDIFF(PL!CJ$11,val_asOfDate,"M")),1,-12))))</f>
        <v>12</v>
      </c>
      <c r="CK52" s="1461" cm="1">
        <f t="array" ref="CK52">_xlfn.LET(_xlpm.CheckBlank,SUM(PL!$AD52:$BN52)=0,IF(_xlpm.CheckBlank,"",SUM(_xlfn.TAKE(_xlfn.DROP(PL!$AD52:$BN52,,-DATEDIFF(PL!CK$11,val_asOfDate,"M")),1,-12))))</f>
        <v>12</v>
      </c>
      <c r="CL52" s="88"/>
      <c r="CM52" s="3177">
        <v>1</v>
      </c>
      <c r="CN52" s="3177">
        <v>1</v>
      </c>
      <c r="CO52" s="88"/>
      <c r="CP52" s="3177">
        <v>1</v>
      </c>
      <c r="CQ52" s="3177">
        <v>1</v>
      </c>
      <c r="CR52" s="34"/>
      <c r="CS52" s="2056"/>
      <c r="CT52" s="2447" t="e" cm="1">
        <f t="array" ca="1" aca="1" ref="CT52">IF(Y52="","",IF(ISNUMBER(SEARCH("Select",$Y52)),"",_xldudf_CX_PUSH($Y52,CX_ENTITY,C52,val_asOfDate)))</f>
        <v>#NAME?</v>
      </c>
      <c r="CU52" s="2447" t="e" cm="1">
        <f t="array" ca="1" aca="1" ref="CU52">IF(Y52="","",IF(ISNUMBER(SEARCH("Select",$Y52)),"",_xldudf_CX_PUSH($Y52,CX_ENTITY,C52,EOMONTH(val_asOfDate,1))))</f>
        <v>#NAME?</v>
      </c>
      <c r="CV52" s="2447" t="e" cm="1">
        <f t="array" ca="1" aca="1" ref="CV52">IF(Y52="","",IF(ISNUMBER(SEARCH("Select",$Y52)),"",_xldudf_CX_PUSH($Y52,CX_ENTITY,C52,EOMONTH(val_asOfDate,2))))</f>
        <v>#NAME?</v>
      </c>
      <c r="CW52" s="2447" t="e" cm="1">
        <f t="array" ca="1" aca="1" ref="CW52">IF(Y52="","",IF(ISNUMBER(SEARCH("Select",$Y52)),"",_xldudf_CX_PUSH($Y52,CX_ENTITY,C52,EOMONTH(val_asOfDate,3))))</f>
        <v>#NAME?</v>
      </c>
      <c r="CX52" s="2443"/>
      <c r="CY52" s="2444" t="str" cm="1">
        <f t="array" ca="1" aca="1" ref="CY52">IFERROR(IF(CM52*fxVal_normal=_PL!CM52,"",IF(OR($CM52="",$CM52=0,NOT(ISNUMBER($CM52)),ISERROR($CM52),$B52=""),"",IF($I52=1,IFBLANK(_xldudf_CX_PUSH($CM52*fxVal_normal,CX_ENTITY,$B52,$CM$11,$CM$14,$CM$19,),""),IF($I52=2,IFBLANK(_xldudf_CX_PUSH($CM52,CX_ENTITY,$B52,$CM$11,$CM$14,$CM$19,),""),IF($I52=3,"",IFBLANK(_xldudf_CX_PUSH($CM52,CX_ENTITY,$B52,$CM$11,$CM$14,$CM$19,),"")))))),"")</f>
        <v/>
      </c>
      <c r="CZ52" s="2444" t="str" cm="1">
        <f t="array" ca="1" aca="1" ref="CZ52">IFERROR(IF(CN52*fxVal_normal=_PL!CN52,"",IF(OR($CN52="",$CN52=0,NOT(ISNUMBER($CN52)),ISERROR($CN52),$B52=""),"",IF($I52=1,IFBLANK(_xldudf_CX_PUSH($CN52*fxVal_normal,CX_ENTITY,$B52,$CN$11,$CN$14,$CN$19,),""),IF($I52=2,IFBLANK(_xldudf_CX_PUSH($CN52,CX_ENTITY,$B52,$CN$11,$CN$14,$CN$19,),""),IF($I52=3,"",IFBLANK(_xldudf_CX_PUSH($CN52,CX_ENTITY,$B52,$CN$11,$CN$14,$CN$19,),"")))))),"")</f>
        <v/>
      </c>
      <c r="DA52" s="2444" t="str" cm="1">
        <f t="array" ca="1" aca="1" ref="DA52">IFERROR(IF(CP52*fxVal_normal=_PL!CP52,"",IF(OR($CP52="",$CP52=0,NOT(ISNUMBER($CP52)),ISERROR($CP52),$B52=""),"",IF($I52=1,IFBLANK(_xldudf_CX_PUSH($CP52*fxVal_normal,CX_ENTITY,$B52,$CP$11,$CP$14,$CP$19,),""),IF($I52=2,IFBLANK(_xldudf_CX_PUSH($CP52,CX_ENTITY,$B52,$CP$11,$CP$14,$CP$19,),""),IF($I52=3,"",IFBLANK(_xldudf_CX_PUSH($CP52,CX_ENTITY,$B52,$CP$11,$CP$14,$CP$19,),"")))))),"")</f>
        <v/>
      </c>
      <c r="DB52" s="2444" t="str" cm="1">
        <f t="array" ca="1" aca="1" ref="DB52">IFERROR(IF(CQ52*fxVal_normal=_PL!CQ52,"",IF(OR($CQ52="",$CQ52=0,NOT(ISNUMBER($CQ52)),ISERROR($CQ52),$B52=""),"",IF($I52=1,IFBLANK(_xldudf_CX_PUSH($CQ52*fxVal_normal,CX_ENTITY,$B52,$CQ$11,$CQ$14,$CQ$19,),""),IF($I52=2,IFBLANK(_xldudf_CX_PUSH($CQ52,CX_ENTITY,$B52,$CQ$11,$CQ$14,$CQ$19,),""),IF($I52=3,"",IFBLANK(_xldudf_CX_PUSH($CQ52,CX_ENTITY,$B52,$CQ$11,$CQ$14,$CQ$19,),"")))))),"")</f>
        <v/>
      </c>
      <c r="DC52" s="2443"/>
      <c r="DD52" s="2445" t="str" cm="1">
        <f t="array" ca="1" aca="1" ref="DD52">IFERROR(IF(AD52*fxVal_normal=_PL!AD52,"",IF(OR(AD52="",NOT(ISNUMBER(AD52)),ISERROR(AD52),$B52=""),"",IF($I52=1,IFBLANK(_xldudf_CX_PUSH(AD52*fxVal_normal,CX_ENTITY,$B52,AD$11,AD$14,AD$19,),""),IF($I52=2,IFBLANK(_xldudf_CX_PUSH(AD52,CX_ENTITY,$B52,AD$11,AD$14,AD$19,),""),IF($I52=3,"",IFBLANK(_xldudf_CX_PUSH(AD52,CX_ENTITY,$B52,AD$11,AD$14,AD$19,),"")))))),"")</f>
        <v/>
      </c>
      <c r="DE52" s="2445" t="str" cm="1">
        <f t="array" ca="1" aca="1" ref="DE52">IFERROR(IF(AE52*fxVal_normal=_PL!AE52,"",IF(OR(AE52="",NOT(ISNUMBER(AE52)),ISERROR(AE52),$B52=""),"",IF($I52=1,IFBLANK(_xldudf_CX_PUSH(AE52*fxVal_normal,CX_ENTITY,$B52,AE$11,AE$14,AE$19,),""),IF($I52=2,IFBLANK(_xldudf_CX_PUSH(AE52,CX_ENTITY,$B52,AE$11,AE$14,AE$19,),""),IF($I52=3,"",IFBLANK(_xldudf_CX_PUSH(AE52,CX_ENTITY,$B52,AE$11,AE$14,AE$19,),"")))))),"")</f>
        <v/>
      </c>
      <c r="DF52" s="2445" t="str" cm="1">
        <f t="array" ca="1" aca="1" ref="DF52">IFERROR(IF(AF52*fxVal_normal=_PL!AF52,"",IF(OR(AF52="",NOT(ISNUMBER(AF52)),ISERROR(AF52),$B52=""),"",IF($I52=1,IFBLANK(_xldudf_CX_PUSH(AF52*fxVal_normal,CX_ENTITY,$B52,AF$11,AF$14,AF$19,),""),IF($I52=2,IFBLANK(_xldudf_CX_PUSH(AF52,CX_ENTITY,$B52,AF$11,AF$14,AF$19,),""),IF($I52=3,"",IFBLANK(_xldudf_CX_PUSH(AF52,CX_ENTITY,$B52,AF$11,AF$14,AF$19,),"")))))),"")</f>
        <v/>
      </c>
      <c r="DG52" s="2445" t="str" cm="1">
        <f t="array" ca="1" aca="1" ref="DG52">IFERROR(IF(AG52*fxVal_normal=_PL!AG52,"",IF(OR(AG52="",NOT(ISNUMBER(AG52)),ISERROR(AG52),$B52=""),"",IF($I52=1,IFBLANK(_xldudf_CX_PUSH(AG52*fxVal_normal,CX_ENTITY,$B52,AG$11,AG$14,AG$19,),""),IF($I52=2,IFBLANK(_xldudf_CX_PUSH(AG52,CX_ENTITY,$B52,AG$11,AG$14,AG$19,),""),IF($I52=3,"",IFBLANK(_xldudf_CX_PUSH(AG52,CX_ENTITY,$B52,AG$11,AG$14,AG$19,),"")))))),"")</f>
        <v/>
      </c>
      <c r="DH52" s="2445" t="str" cm="1">
        <f t="array" ca="1" aca="1" ref="DH52">IFERROR(IF(AH52*fxVal_normal=_PL!AH52,"",IF(OR(AH52="",NOT(ISNUMBER(AH52)),ISERROR(AH52),$B52=""),"",IF($I52=1,IFBLANK(_xldudf_CX_PUSH(AH52*fxVal_normal,CX_ENTITY,$B52,AH$11,AH$14,AH$19,),""),IF($I52=2,IFBLANK(_xldudf_CX_PUSH(AH52,CX_ENTITY,$B52,AH$11,AH$14,AH$19,),""),IF($I52=3,"",IFBLANK(_xldudf_CX_PUSH(AH52,CX_ENTITY,$B52,AH$11,AH$14,AH$19,),"")))))),"")</f>
        <v/>
      </c>
      <c r="DI52" s="2445" t="str" cm="1">
        <f t="array" ca="1" aca="1" ref="DI52">IFERROR(IF(AI52*fxVal_normal=_PL!AI52,"",IF(OR(AI52="",NOT(ISNUMBER(AI52)),ISERROR(AI52),$B52=""),"",IF($I52=1,IFBLANK(_xldudf_CX_PUSH(AI52*fxVal_normal,CX_ENTITY,$B52,AI$11,AI$14,AI$19,),""),IF($I52=2,IFBLANK(_xldudf_CX_PUSH(AI52,CX_ENTITY,$B52,AI$11,AI$14,AI$19,),""),IF($I52=3,"",IFBLANK(_xldudf_CX_PUSH(AI52,CX_ENTITY,$B52,AI$11,AI$14,AI$19,),"")))))),"")</f>
        <v/>
      </c>
      <c r="DJ52" s="2445" t="str" cm="1">
        <f t="array" ca="1" aca="1" ref="DJ52">IFERROR(IF(AJ52*fxVal_normal=_PL!AJ52,"",IF(OR(AJ52="",NOT(ISNUMBER(AJ52)),ISERROR(AJ52),$B52=""),"",IF($I52=1,IFBLANK(_xldudf_CX_PUSH(AJ52*fxVal_normal,CX_ENTITY,$B52,AJ$11,AJ$14,AJ$19,),""),IF($I52=2,IFBLANK(_xldudf_CX_PUSH(AJ52,CX_ENTITY,$B52,AJ$11,AJ$14,AJ$19,),""),IF($I52=3,"",IFBLANK(_xldudf_CX_PUSH(AJ52,CX_ENTITY,$B52,AJ$11,AJ$14,AJ$19,),"")))))),"")</f>
        <v/>
      </c>
      <c r="DK52" s="2445" t="str" cm="1">
        <f t="array" ca="1" aca="1" ref="DK52">IFERROR(IF(AK52*fxVal_normal=_PL!AK52,"",IF(OR(AK52="",NOT(ISNUMBER(AK52)),ISERROR(AK52),$B52=""),"",IF($I52=1,IFBLANK(_xldudf_CX_PUSH(AK52*fxVal_normal,CX_ENTITY,$B52,AK$11,AK$14,AK$19,),""),IF($I52=2,IFBLANK(_xldudf_CX_PUSH(AK52,CX_ENTITY,$B52,AK$11,AK$14,AK$19,),""),IF($I52=3,"",IFBLANK(_xldudf_CX_PUSH(AK52,CX_ENTITY,$B52,AK$11,AK$14,AK$19,),"")))))),"")</f>
        <v/>
      </c>
      <c r="DL52" s="2445" t="str" cm="1">
        <f t="array" ca="1" aca="1" ref="DL52">IFERROR(IF(AL52*fxVal_normal=_PL!AL52,"",IF(OR(AL52="",NOT(ISNUMBER(AL52)),ISERROR(AL52),$B52=""),"",IF($I52=1,IFBLANK(_xldudf_CX_PUSH(AL52*fxVal_normal,CX_ENTITY,$B52,AL$11,AL$14,AL$19,),""),IF($I52=2,IFBLANK(_xldudf_CX_PUSH(AL52,CX_ENTITY,$B52,AL$11,AL$14,AL$19,),""),IF($I52=3,"",IFBLANK(_xldudf_CX_PUSH(AL52,CX_ENTITY,$B52,AL$11,AL$14,AL$19,),"")))))),"")</f>
        <v/>
      </c>
      <c r="DM52" s="2445" t="str" cm="1">
        <f t="array" ca="1" aca="1" ref="DM52">IFERROR(IF(AM52*fxVal_normal=_PL!AM52,"",IF(OR(AM52="",NOT(ISNUMBER(AM52)),ISERROR(AM52),$B52=""),"",IF($I52=1,IFBLANK(_xldudf_CX_PUSH(AM52*fxVal_normal,CX_ENTITY,$B52,AM$11,AM$14,AM$19,),""),IF($I52=2,IFBLANK(_xldudf_CX_PUSH(AM52,CX_ENTITY,$B52,AM$11,AM$14,AM$19,),""),IF($I52=3,"",IFBLANK(_xldudf_CX_PUSH(AM52,CX_ENTITY,$B52,AM$11,AM$14,AM$19,),"")))))),"")</f>
        <v/>
      </c>
      <c r="DN52" s="2445" t="str" cm="1">
        <f t="array" ca="1" aca="1" ref="DN52">IFERROR(IF(AN52*fxVal_normal=_PL!AN52,"",IF(OR(AN52="",NOT(ISNUMBER(AN52)),ISERROR(AN52),$B52=""),"",IF($I52=1,IFBLANK(_xldudf_CX_PUSH(AN52*fxVal_normal,CX_ENTITY,$B52,AN$11,AN$14,AN$19,),""),IF($I52=2,IFBLANK(_xldudf_CX_PUSH(AN52,CX_ENTITY,$B52,AN$11,AN$14,AN$19,),""),IF($I52=3,"",IFBLANK(_xldudf_CX_PUSH(AN52,CX_ENTITY,$B52,AN$11,AN$14,AN$19,),"")))))),"")</f>
        <v/>
      </c>
      <c r="DO52" s="2445" t="str" cm="1">
        <f t="array" ca="1" aca="1" ref="DO52">IFERROR(IF(AO52*fxVal_normal=_PL!AO52,"",IF(OR(AO52="",NOT(ISNUMBER(AO52)),ISERROR(AO52),$B52=""),"",IF($I52=1,IFBLANK(_xldudf_CX_PUSH(AO52*fxVal_normal,CX_ENTITY,$B52,AO$11,AO$14,AO$19,),""),IF($I52=2,IFBLANK(_xldudf_CX_PUSH(AO52,CX_ENTITY,$B52,AO$11,AO$14,AO$19,),""),IF($I52=3,"",IFBLANK(_xldudf_CX_PUSH(AO52,CX_ENTITY,$B52,AO$11,AO$14,AO$19,),"")))))),"")</f>
        <v/>
      </c>
      <c r="DP52" s="2445" t="str" cm="1">
        <f t="array" ca="1" aca="1" ref="DP52">IFERROR(IF(AP52*fxVal_normal=_PL!AP52,"",IF(OR(AP52="",NOT(ISNUMBER(AP52)),ISERROR(AP52),$B52=""),"",IF($I52=1,IFBLANK(_xldudf_CX_PUSH(AP52*fxVal_normal,CX_ENTITY,$B52,AP$11,AP$14,AP$19,),""),IF($I52=2,IFBLANK(_xldudf_CX_PUSH(AP52,CX_ENTITY,$B52,AP$11,AP$14,AP$19,),""),IF($I52=3,"",IFBLANK(_xldudf_CX_PUSH(AP52,CX_ENTITY,$B52,AP$11,AP$14,AP$19,),"")))))),"")</f>
        <v/>
      </c>
      <c r="DQ52" s="2445" t="str" cm="1">
        <f t="array" ca="1" aca="1" ref="DQ52">IFERROR(IF(AQ52*fxVal_normal=_PL!AQ52,"",IF(OR(AQ52="",NOT(ISNUMBER(AQ52)),ISERROR(AQ52),$B52=""),"",IF($I52=1,IFBLANK(_xldudf_CX_PUSH(AQ52*fxVal_normal,CX_ENTITY,$B52,AQ$11,AQ$14,AQ$19,),""),IF($I52=2,IFBLANK(_xldudf_CX_PUSH(AQ52,CX_ENTITY,$B52,AQ$11,AQ$14,AQ$19,),""),IF($I52=3,"",IFBLANK(_xldudf_CX_PUSH(AQ52,CX_ENTITY,$B52,AQ$11,AQ$14,AQ$19,),"")))))),"")</f>
        <v/>
      </c>
      <c r="DR52" s="2445" t="str" cm="1">
        <f t="array" ca="1" aca="1" ref="DR52">IFERROR(IF(AR52*fxVal_normal=_PL!AR52,"",IF(OR(AR52="",NOT(ISNUMBER(AR52)),ISERROR(AR52),$B52=""),"",IF($I52=1,IFBLANK(_xldudf_CX_PUSH(AR52*fxVal_normal,CX_ENTITY,$B52,AR$11,AR$14,AR$19,),""),IF($I52=2,IFBLANK(_xldudf_CX_PUSH(AR52,CX_ENTITY,$B52,AR$11,AR$14,AR$19,),""),IF($I52=3,"",IFBLANK(_xldudf_CX_PUSH(AR52,CX_ENTITY,$B52,AR$11,AR$14,AR$19,),"")))))),"")</f>
        <v/>
      </c>
      <c r="DS52" s="2445" t="str" cm="1">
        <f t="array" ca="1" aca="1" ref="DS52">IFERROR(IF(AS52*fxVal_normal=_PL!AS52,"",IF(OR(AS52="",NOT(ISNUMBER(AS52)),ISERROR(AS52),$B52=""),"",IF($I52=1,IFBLANK(_xldudf_CX_PUSH(AS52*fxVal_normal,CX_ENTITY,$B52,AS$11,AS$14,AS$19,),""),IF($I52=2,IFBLANK(_xldudf_CX_PUSH(AS52,CX_ENTITY,$B52,AS$11,AS$14,AS$19,),""),IF($I52=3,"",IFBLANK(_xldudf_CX_PUSH(AS52,CX_ENTITY,$B52,AS$11,AS$14,AS$19,),"")))))),"")</f>
        <v/>
      </c>
      <c r="DT52" s="2445" t="str" cm="1">
        <f t="array" ca="1" aca="1" ref="DT52">IFERROR(IF(AT52*fxVal_normal=_PL!AT52,"",IF(OR(AT52="",NOT(ISNUMBER(AT52)),ISERROR(AT52),$B52=""),"",IF($I52=1,IFBLANK(_xldudf_CX_PUSH(AT52*fxVal_normal,CX_ENTITY,$B52,AT$11,AT$14,AT$19,),""),IF($I52=2,IFBLANK(_xldudf_CX_PUSH(AT52,CX_ENTITY,$B52,AT$11,AT$14,AT$19,),""),IF($I52=3,"",IFBLANK(_xldudf_CX_PUSH(AT52,CX_ENTITY,$B52,AT$11,AT$14,AT$19,),"")))))),"")</f>
        <v/>
      </c>
      <c r="DU52" s="2445" t="str" cm="1">
        <f t="array" ca="1" aca="1" ref="DU52">IFERROR(IF(AU52*fxVal_normal=_PL!AU52,"",IF(OR(AU52="",NOT(ISNUMBER(AU52)),ISERROR(AU52),$B52=""),"",IF($I52=1,IFBLANK(_xldudf_CX_PUSH(AU52*fxVal_normal,CX_ENTITY,$B52,AU$11,AU$14,AU$19,),""),IF($I52=2,IFBLANK(_xldudf_CX_PUSH(AU52,CX_ENTITY,$B52,AU$11,AU$14,AU$19,),""),IF($I52=3,"",IFBLANK(_xldudf_CX_PUSH(AU52,CX_ENTITY,$B52,AU$11,AU$14,AU$19,),"")))))),"")</f>
        <v/>
      </c>
      <c r="DV52" s="2445" t="str" cm="1">
        <f t="array" ca="1" aca="1" ref="DV52">IFERROR(IF(AV52*fxVal_normal=_PL!AV52,"",IF(OR(AV52="",NOT(ISNUMBER(AV52)),ISERROR(AV52),$B52=""),"",IF($I52=1,IFBLANK(_xldudf_CX_PUSH(AV52*fxVal_normal,CX_ENTITY,$B52,AV$11,AV$14,AV$19,),""),IF($I52=2,IFBLANK(_xldudf_CX_PUSH(AV52,CX_ENTITY,$B52,AV$11,AV$14,AV$19,),""),IF($I52=3,"",IFBLANK(_xldudf_CX_PUSH(AV52,CX_ENTITY,$B52,AV$11,AV$14,AV$19,),"")))))),"")</f>
        <v/>
      </c>
      <c r="DW52" s="2445" t="str" cm="1">
        <f t="array" ca="1" aca="1" ref="DW52">IFERROR(IF(AW52*fxVal_normal=_PL!AW52,"",IF(OR(AW52="",NOT(ISNUMBER(AW52)),ISERROR(AW52),$B52=""),"",IF($I52=1,IFBLANK(_xldudf_CX_PUSH(AW52*fxVal_normal,CX_ENTITY,$B52,AW$11,AW$14,AW$19,),""),IF($I52=2,IFBLANK(_xldudf_CX_PUSH(AW52,CX_ENTITY,$B52,AW$11,AW$14,AW$19,),""),IF($I52=3,"",IFBLANK(_xldudf_CX_PUSH(AW52,CX_ENTITY,$B52,AW$11,AW$14,AW$19,),"")))))),"")</f>
        <v/>
      </c>
      <c r="DX52" s="2445" t="str" cm="1">
        <f t="array" ca="1" aca="1" ref="DX52">IFERROR(IF(AX52*fxVal_normal=_PL!AX52,"",IF(OR(AX52="",NOT(ISNUMBER(AX52)),ISERROR(AX52),$B52=""),"",IF($I52=1,IFBLANK(_xldudf_CX_PUSH(AX52*fxVal_normal,CX_ENTITY,$B52,AX$11,AX$14,AX$19,),""),IF($I52=2,IFBLANK(_xldudf_CX_PUSH(AX52,CX_ENTITY,$B52,AX$11,AX$14,AX$19,),""),IF($I52=3,"",IFBLANK(_xldudf_CX_PUSH(AX52,CX_ENTITY,$B52,AX$11,AX$14,AX$19,),"")))))),"")</f>
        <v/>
      </c>
      <c r="DY52" s="2445" t="str" cm="1">
        <f t="array" ca="1" aca="1" ref="DY52">IFERROR(IF(AY52*fxVal_normal=_PL!AY52,"",IF(OR(AY52="",NOT(ISNUMBER(AY52)),ISERROR(AY52),$B52=""),"",IF($I52=1,IFBLANK(_xldudf_CX_PUSH(AY52*fxVal_normal,CX_ENTITY,$B52,AY$11,AY$14,AY$19,),""),IF($I52=2,IFBLANK(_xldudf_CX_PUSH(AY52,CX_ENTITY,$B52,AY$11,AY$14,AY$19,),""),IF($I52=3,"",IFBLANK(_xldudf_CX_PUSH(AY52,CX_ENTITY,$B52,AY$11,AY$14,AY$19,),"")))))),"")</f>
        <v/>
      </c>
      <c r="DZ52" s="2445" t="str" cm="1">
        <f t="array" ca="1" aca="1" ref="DZ52">IFERROR(IF(AZ52*fxVal_normal=_PL!AZ52,"",IF(OR(AZ52="",NOT(ISNUMBER(AZ52)),ISERROR(AZ52),$B52=""),"",IF($I52=1,IFBLANK(_xldudf_CX_PUSH(AZ52*fxVal_normal,CX_ENTITY,$B52,AZ$11,AZ$14,AZ$19,),""),IF($I52=2,IFBLANK(_xldudf_CX_PUSH(AZ52,CX_ENTITY,$B52,AZ$11,AZ$14,AZ$19,),""),IF($I52=3,"",IFBLANK(_xldudf_CX_PUSH(AZ52,CX_ENTITY,$B52,AZ$11,AZ$14,AZ$19,),"")))))),"")</f>
        <v/>
      </c>
      <c r="EA52" s="2445" t="str" cm="1">
        <f t="array" ca="1" aca="1" ref="EA52">IFERROR(IF(BA52*fxVal_normal=_PL!BA52,"",IF(OR(BA52="",NOT(ISNUMBER(BA52)),ISERROR(BA52),$B52=""),"",IF($I52=1,IFBLANK(_xldudf_CX_PUSH(BA52*fxVal_normal,CX_ENTITY,$B52,BA$11,BA$14,BA$19,),""),IF($I52=2,IFBLANK(_xldudf_CX_PUSH(BA52,CX_ENTITY,$B52,BA$11,BA$14,BA$19,),""),IF($I52=3,"",IFBLANK(_xldudf_CX_PUSH(BA52,CX_ENTITY,$B52,BA$11,BA$14,BA$19,),"")))))),"")</f>
        <v/>
      </c>
      <c r="EB52" s="2445" t="str" cm="1">
        <f t="array" ca="1" aca="1" ref="EB52">IFERROR(IF(BB52*fxVal_normal=_PL!BB52,"",IF(OR(BB52="",NOT(ISNUMBER(BB52)),ISERROR(BB52),$B52=""),"",IF($I52=1,IFBLANK(_xldudf_CX_PUSH(BB52*fxVal_normal,CX_ENTITY,$B52,BB$11,BB$14,BB$19,),""),IF($I52=2,IFBLANK(_xldudf_CX_PUSH(BB52,CX_ENTITY,$B52,BB$11,BB$14,BB$19,),""),IF($I52=3,"",IFBLANK(_xldudf_CX_PUSH(BB52,CX_ENTITY,$B52,BB$11,BB$14,BB$19,),"")))))),"")</f>
        <v/>
      </c>
      <c r="EC52" s="2445" t="str" cm="1">
        <f t="array" ca="1" aca="1" ref="EC52">IFERROR(IF(BC52*fxVal_normal=_PL!BC52,"",IF(OR(BC52="",NOT(ISNUMBER(BC52)),ISERROR(BC52),$B52=""),"",IF($I52=1,IFBLANK(_xldudf_CX_PUSH(BC52*fxVal_normal,CX_ENTITY,$B52,BC$11,BC$14,BC$19,),""),IF($I52=2,IFBLANK(_xldudf_CX_PUSH(BC52,CX_ENTITY,$B52,BC$11,BC$14,BC$19,),""),IF($I52=3,"",IFBLANK(_xldudf_CX_PUSH(BC52,CX_ENTITY,$B52,BC$11,BC$14,BC$19,),"")))))),"")</f>
        <v/>
      </c>
      <c r="ED52" s="2445" t="str" cm="1">
        <f t="array" ca="1" aca="1" ref="ED52">IFERROR(IF(BD52*fxVal_normal=_PL!BD52,"",IF(OR(BD52="",NOT(ISNUMBER(BD52)),ISERROR(BD52),$B52=""),"",IF($I52=1,IFBLANK(_xldudf_CX_PUSH(BD52*fxVal_normal,CX_ENTITY,$B52,BD$11,BD$14,BD$19,),""),IF($I52=2,IFBLANK(_xldudf_CX_PUSH(BD52,CX_ENTITY,$B52,BD$11,BD$14,BD$19,),""),IF($I52=3,"",IFBLANK(_xldudf_CX_PUSH(BD52,CX_ENTITY,$B52,BD$11,BD$14,BD$19,),"")))))),"")</f>
        <v/>
      </c>
      <c r="EE52" s="2445" t="str" cm="1">
        <f t="array" ca="1" aca="1" ref="EE52">IFERROR(IF(BE52*fxVal_normal=_PL!BE52,"",IF(OR(BE52="",NOT(ISNUMBER(BE52)),ISERROR(BE52),$B52=""),"",IF($I52=1,IFBLANK(_xldudf_CX_PUSH(BE52*fxVal_normal,CX_ENTITY,$B52,BE$11,BE$14,BE$19,),""),IF($I52=2,IFBLANK(_xldudf_CX_PUSH(BE52,CX_ENTITY,$B52,BE$11,BE$14,BE$19,),""),IF($I52=3,"",IFBLANK(_xldudf_CX_PUSH(BE52,CX_ENTITY,$B52,BE$11,BE$14,BE$19,),"")))))),"")</f>
        <v/>
      </c>
      <c r="EF52" s="2445" t="str" cm="1">
        <f t="array" ca="1" aca="1" ref="EF52">IFERROR(IF(BF52*fxVal_normal=_PL!BF52,"",IF(OR(BF52="",NOT(ISNUMBER(BF52)),ISERROR(BF52),$B52=""),"",IF($I52=1,IFBLANK(_xldudf_CX_PUSH(BF52*fxVal_normal,CX_ENTITY,$B52,BF$11,BF$14,BF$19,),""),IF($I52=2,IFBLANK(_xldudf_CX_PUSH(BF52,CX_ENTITY,$B52,BF$11,BF$14,BF$19,),""),IF($I52=3,"",IFBLANK(_xldudf_CX_PUSH(BF52,CX_ENTITY,$B52,BF$11,BF$14,BF$19,),"")))))),"")</f>
        <v/>
      </c>
      <c r="EG52" s="2445" t="str" cm="1">
        <f t="array" ca="1" aca="1" ref="EG52">IFERROR(IF(BG52*fxVal_normal=_PL!BG52,"",IF(OR(BG52="",NOT(ISNUMBER(BG52)),ISERROR(BG52),$B52=""),"",IF($I52=1,IFBLANK(_xldudf_CX_PUSH(BG52*fxVal_normal,CX_ENTITY,$B52,BG$11,BG$14,BG$19,),""),IF($I52=2,IFBLANK(_xldudf_CX_PUSH(BG52,CX_ENTITY,$B52,BG$11,BG$14,BG$19,),""),IF($I52=3,"",IFBLANK(_xldudf_CX_PUSH(BG52,CX_ENTITY,$B52,BG$11,BG$14,BG$19,),"")))))),"")</f>
        <v/>
      </c>
      <c r="EH52" s="2445" t="str" cm="1">
        <f t="array" ca="1" aca="1" ref="EH52">IFERROR(IF(BH52*fxVal_normal=_PL!BH52,"",IF(OR(BH52="",NOT(ISNUMBER(BH52)),ISERROR(BH52),$B52=""),"",IF($I52=1,IFBLANK(_xldudf_CX_PUSH(BH52*fxVal_normal,CX_ENTITY,$B52,BH$11,BH$14,BH$19,),""),IF($I52=2,IFBLANK(_xldudf_CX_PUSH(BH52,CX_ENTITY,$B52,BH$11,BH$14,BH$19,),""),IF($I52=3,"",IFBLANK(_xldudf_CX_PUSH(BH52,CX_ENTITY,$B52,BH$11,BH$14,BH$19,),"")))))),"")</f>
        <v/>
      </c>
      <c r="EI52" s="2445" t="str" cm="1">
        <f t="array" ca="1" aca="1" ref="EI52">IFERROR(IF(BI52*fxVal_normal=_PL!BI52,"",IF(OR(BI52="",NOT(ISNUMBER(BI52)),ISERROR(BI52),$B52=""),"",IF($I52=1,IFBLANK(_xldudf_CX_PUSH(BI52*fxVal_normal,CX_ENTITY,$B52,BI$11,BI$14,BI$19,),""),IF($I52=2,IFBLANK(_xldudf_CX_PUSH(BI52,CX_ENTITY,$B52,BI$11,BI$14,BI$19,),""),IF($I52=3,"",IFBLANK(_xldudf_CX_PUSH(BI52,CX_ENTITY,$B52,BI$11,BI$14,BI$19,),"")))))),"")</f>
        <v/>
      </c>
      <c r="EJ52" s="2445" t="str" cm="1">
        <f t="array" ca="1" aca="1" ref="EJ52">IFERROR(IF(BJ52*fxVal_normal=_PL!BJ52,"",IF(OR(BJ52="",NOT(ISNUMBER(BJ52)),ISERROR(BJ52),$B52=""),"",IF($I52=1,IFBLANK(_xldudf_CX_PUSH(BJ52*fxVal_normal,CX_ENTITY,$B52,BJ$11,BJ$14,BJ$19,),""),IF($I52=2,IFBLANK(_xldudf_CX_PUSH(BJ52,CX_ENTITY,$B52,BJ$11,BJ$14,BJ$19,),""),IF($I52=3,"",IFBLANK(_xldudf_CX_PUSH(BJ52,CX_ENTITY,$B52,BJ$11,BJ$14,BJ$19,),"")))))),"")</f>
        <v/>
      </c>
      <c r="EK52" s="2445" t="str" cm="1">
        <f t="array" ca="1" aca="1" ref="EK52">IFERROR(IF(BK52*fxVal_normal=_PL!BK52,"",IF(OR(BK52="",NOT(ISNUMBER(BK52)),ISERROR(BK52),$B52=""),"",IF($I52=1,IFBLANK(_xldudf_CX_PUSH(BK52*fxVal_normal,CX_ENTITY,$B52,BK$11,BK$14,BK$19,),""),IF($I52=2,IFBLANK(_xldudf_CX_PUSH(BK52,CX_ENTITY,$B52,BK$11,BK$14,BK$19,),""),IF($I52=3,"",IFBLANK(_xldudf_CX_PUSH(BK52,CX_ENTITY,$B52,BK$11,BK$14,BK$19,),"")))))),"")</f>
        <v/>
      </c>
      <c r="EL52" s="2445" t="str" cm="1">
        <f t="array" ca="1" aca="1" ref="EL52">IFERROR(IF(BL52*fxVal_normal=_PL!BL52,"",IF(OR(BL52="",NOT(ISNUMBER(BL52)),ISERROR(BL52),$B52=""),"",IF($I52=1,IFBLANK(_xldudf_CX_PUSH(BL52*fxVal_normal,CX_ENTITY,$B52,BL$11,BL$14,BL$19,),""),IF($I52=2,IFBLANK(_xldudf_CX_PUSH(BL52,CX_ENTITY,$B52,BL$11,BL$14,BL$19,),""),IF($I52=3,"",IFBLANK(_xldudf_CX_PUSH(BL52,CX_ENTITY,$B52,BL$11,BL$14,BL$19,),"")))))),"")</f>
        <v/>
      </c>
      <c r="EM52" s="2445" t="str" cm="1">
        <f t="array" ca="1" aca="1" ref="EM52">IFERROR(IF(BM52*fxVal_normal=_PL!BM52,"",IF(OR(BM52="",NOT(ISNUMBER(BM52)),ISERROR(BM52),$B52=""),"",IF($I52=1,IFBLANK(_xldudf_CX_PUSH(BM52*fxVal_normal,CX_ENTITY,$B52,BM$11,BM$14,BM$19,),""),IF($I52=2,IFBLANK(_xldudf_CX_PUSH(BM52,CX_ENTITY,$B52,BM$11,BM$14,BM$19,),""),IF($I52=3,"",IFBLANK(_xldudf_CX_PUSH(BM52,CX_ENTITY,$B52,BM$11,BM$14,BM$19,),"")))))),"")</f>
        <v/>
      </c>
      <c r="EN52" s="2445" t="str" cm="1">
        <f t="array" ca="1" aca="1" ref="EN52">IFERROR(IF(BN52*fxVal_normal=_PL!BN52,"",IF(OR(BN52="",NOT(ISNUMBER(BN52)),ISERROR(BN52),$B52=""),"",IF($I52=1,IFBLANK(_xldudf_CX_PUSH(BN52*fxVal_normal,CX_ENTITY,$B52,BN$11,BN$14,BN$19,),""),IF($I52=2,IFBLANK(_xldudf_CX_PUSH(BN52,CX_ENTITY,$B52,BN$11,BN$14,BN$19,),""),IF($I52=3,"",IFBLANK(_xldudf_CX_PUSH(BN52,CX_ENTITY,$B52,BN$11,BN$14,BN$19,),"")))))),"")</f>
        <v/>
      </c>
    </row>
    <row r="53" spans="1:144" ht="21" customHeight="1">
      <c r="A53" s="1626"/>
      <c r="B53" s="2439" t="str">
        <f>_xlfn.LET(_xlpm.IsNotAttrDynamic,D53="",_xlpm.Attr,_PL!F53,_xlpm.NotInUse,Y53=D53,_xlpm.RESULT,IF(_xlpm.IsNotAttrDynamic,_xlpm.Attr,IF(_xlpm.NotInUse,"",Y53)),IF(_xlpm.RESULT="","",_xlpm.RESULT))</f>
        <v>Custom Metric Amount 8</v>
      </c>
      <c r="C53" s="3459" t="str" cm="1">
        <f t="array" ref="C53">IFBLANK(_PL!C53,"")</f>
        <v>Custom Metric - Label 8</v>
      </c>
      <c r="D53" s="1548"/>
      <c r="E53" s="2453"/>
      <c r="F53" s="578"/>
      <c r="G53" s="578"/>
      <c r="H53" s="3280">
        <v>1</v>
      </c>
      <c r="I53" s="3280">
        <v>1</v>
      </c>
      <c r="J53" s="401" cm="1">
        <f t="array" ref="J53">IFBLANK(Z53,"")</f>
        <v>-1</v>
      </c>
      <c r="K53" s="578" t="str">
        <f ca="1">IFERROR(IF(LEN(AB53)=0,"No",IF(LEN(J53)&gt;0,"Yes","No")),"")</f>
        <v/>
      </c>
      <c r="L53" s="37"/>
      <c r="N53" s="158"/>
      <c r="O53" s="101"/>
      <c r="P53" s="52"/>
      <c r="Q53" s="101"/>
      <c r="R53" s="539"/>
      <c r="S53" s="101"/>
      <c r="T53" s="101"/>
      <c r="U53" s="39"/>
      <c r="V53" s="37"/>
      <c r="W53" s="91" t="str">
        <f t="shared" si="15"/>
        <v>Actual</v>
      </c>
      <c r="X53" s="2081" t="e">
        <f ca="1">_PL!X53</f>
        <v>#NAME?</v>
      </c>
      <c r="Y53" s="3189">
        <v>2</v>
      </c>
      <c r="Z53" s="198">
        <f>IF(Y53="","",-1)</f>
        <v>-1</v>
      </c>
      <c r="AA53" s="200"/>
      <c r="AB53" s="2467" t="e">
        <f ca="1">IF(_PL!AB53="Error","",_PL!AB53)</f>
        <v>#NAME?</v>
      </c>
      <c r="AC53" s="2468" t="str" cm="1">
        <f t="array" ca="1" aca="1" ref="AC53">_xlfn.LET(_xlpm._termname,$AB53,_xlpm._iconname,"find",_xlpm._icon,fx_getIcon(_xlpm._iconname),_xlpm._location,_xlfn.XLOOKUP(LOWER(_xlpm._termname),LOWER(tbl_acctDef[Term]),tbl_acctDef[Term]),_xlpm._hyperlink,HYPERLINK("#"&amp;CELL("address",_xlpm._location),_xlpm._icon),IFERROR(_xlpm._hyperlink,""))</f>
        <v/>
      </c>
      <c r="AD53" s="3177">
        <v>1</v>
      </c>
      <c r="AE53" s="3177">
        <v>1</v>
      </c>
      <c r="AF53" s="3177">
        <v>1</v>
      </c>
      <c r="AG53" s="3177">
        <v>1</v>
      </c>
      <c r="AH53" s="3177">
        <v>1</v>
      </c>
      <c r="AI53" s="3177">
        <v>1</v>
      </c>
      <c r="AJ53" s="3177">
        <v>1</v>
      </c>
      <c r="AK53" s="3177">
        <v>1</v>
      </c>
      <c r="AL53" s="3177">
        <v>1</v>
      </c>
      <c r="AM53" s="3177">
        <v>1</v>
      </c>
      <c r="AN53" s="3177">
        <v>1</v>
      </c>
      <c r="AO53" s="3177">
        <v>1</v>
      </c>
      <c r="AP53" s="3177">
        <v>1</v>
      </c>
      <c r="AQ53" s="3177">
        <v>1</v>
      </c>
      <c r="AR53" s="3177">
        <v>1</v>
      </c>
      <c r="AS53" s="3177">
        <v>1</v>
      </c>
      <c r="AT53" s="3177">
        <v>1</v>
      </c>
      <c r="AU53" s="3177">
        <v>1</v>
      </c>
      <c r="AV53" s="3177">
        <v>1</v>
      </c>
      <c r="AW53" s="3177">
        <v>1</v>
      </c>
      <c r="AX53" s="3177">
        <v>1</v>
      </c>
      <c r="AY53" s="3177">
        <v>1</v>
      </c>
      <c r="AZ53" s="3177">
        <v>1</v>
      </c>
      <c r="BA53" s="3177">
        <v>1</v>
      </c>
      <c r="BB53" s="3177">
        <v>1</v>
      </c>
      <c r="BC53" s="3177">
        <v>1</v>
      </c>
      <c r="BD53" s="3177">
        <v>1</v>
      </c>
      <c r="BE53" s="3177">
        <v>1</v>
      </c>
      <c r="BF53" s="3177">
        <v>1</v>
      </c>
      <c r="BG53" s="3177">
        <v>1</v>
      </c>
      <c r="BH53" s="3177">
        <v>1</v>
      </c>
      <c r="BI53" s="3177">
        <v>1</v>
      </c>
      <c r="BJ53" s="3177">
        <v>1</v>
      </c>
      <c r="BK53" s="3177">
        <v>1</v>
      </c>
      <c r="BL53" s="3177">
        <v>1</v>
      </c>
      <c r="BM53" s="3177">
        <v>1</v>
      </c>
      <c r="BN53" s="3177">
        <v>1</v>
      </c>
      <c r="BO53" s="2470"/>
      <c r="BP53" s="2470"/>
      <c r="BQ53" s="2470"/>
      <c r="BR53" s="2470"/>
      <c r="BS53" s="2470"/>
      <c r="BT53" s="2470"/>
      <c r="BU53" s="2470"/>
      <c r="BV53" s="2470"/>
      <c r="BW53" s="2470"/>
      <c r="BX53" s="2470"/>
      <c r="BY53" s="2470"/>
      <c r="BZ53" s="2470"/>
      <c r="CA53" s="34"/>
      <c r="CC53" s="33"/>
      <c r="CD53" s="1772" t="e" cm="1">
        <f t="array" ca="1" aca="1" ref="CD53">_xlfn.LET(_xlpm.CheckBlank,SUM(PL!$AD53:PL!$BN53)=0,IF(_xlpm.CheckBlank,"",SUM(_xlfn._xlws.FILTER(PL!$AD53:$BN53,(YEAR(PL!$AD$12:$BN$12)=PL!CD$12)*(array_timeline&lt;=PL!CD$11)))))</f>
        <v>#NAME?</v>
      </c>
      <c r="CE53" s="1772" t="e" cm="1">
        <f t="array" ca="1" aca="1" ref="CE53">_xlfn.LET(_xlpm.CheckBlank,SUM(PL!$AD53:PL!$BN53)=0,IF(_xlpm.CheckBlank,"",SUM(_xlfn._xlws.FILTER(PL!$AD53:$BN53,(YEAR(PL!$AD$12:$BN$12)=PL!CE$12)*(array_timeline&lt;=PL!CE$11)))))</f>
        <v>#NAME?</v>
      </c>
      <c r="CF53" s="178"/>
      <c r="CG53" s="1461" t="str" cm="1">
        <f t="array" ca="1" aca="1" ref="CG53">IFERROR(_xlfn.LET(_xlpm.CheckBlank,SUM(PL!$AD53:$BN53)=0,IF(_xlpm.CheckBlank,"",SUM(_xlfn._xlws.FILTER(PL!$AD53:$BN53,(YEAR(PL!$AD$12:$BN$12)=PL!CG$12)*(array_timeline&lt;=PL!CG$11))))),"n/a")</f>
        <v>n/a</v>
      </c>
      <c r="CH53" s="1461" t="e" cm="1">
        <f t="array" ca="1" aca="1" ref="CH53">_xlfn.LET(_xlpm.CheckBlank,SUM(PL!$AD53:$BN53)=0,IF(_xlpm.CheckBlank,"",SUM(_xlfn._xlws.FILTER(PL!$AD53:$BN53,(YEAR(PL!$AD$12:$BN$12)=PL!CH$12)*(array_timeline&lt;=PL!CH$11)))))</f>
        <v>#NAME?</v>
      </c>
      <c r="CI53" s="88"/>
      <c r="CJ53" s="1461" cm="1">
        <f t="array" ref="CJ53">_xlfn.LET(_xlpm.CheckBlank,SUM(PL!$AD53:$BN53)=0,IF(_xlpm.CheckBlank,"",SUM(_xlfn.TAKE(_xlfn.DROP(PL!$AD53:$BN53,,-DATEDIFF(PL!CJ$11,val_asOfDate,"M")),1,-12))))</f>
        <v>12</v>
      </c>
      <c r="CK53" s="1461" cm="1">
        <f t="array" ref="CK53">_xlfn.LET(_xlpm.CheckBlank,SUM(PL!$AD53:$BN53)=0,IF(_xlpm.CheckBlank,"",SUM(_xlfn.TAKE(_xlfn.DROP(PL!$AD53:$BN53,,-DATEDIFF(PL!CK$11,val_asOfDate,"M")),1,-12))))</f>
        <v>12</v>
      </c>
      <c r="CL53" s="88"/>
      <c r="CM53" s="3185">
        <v>1</v>
      </c>
      <c r="CN53" s="3185">
        <v>1</v>
      </c>
      <c r="CO53" s="88"/>
      <c r="CP53" s="3185">
        <v>1</v>
      </c>
      <c r="CQ53" s="3185">
        <v>1</v>
      </c>
      <c r="CR53" s="34"/>
      <c r="CS53" s="2056"/>
      <c r="CT53" s="2447" t="e" cm="1">
        <f t="array" ca="1" aca="1" ref="CT53">IF(Y53="","",IF(ISNUMBER(SEARCH("Select",$Y53)),"",_xldudf_CX_PUSH($Y53,CX_ENTITY,C53,val_asOfDate)))</f>
        <v>#NAME?</v>
      </c>
      <c r="CU53" s="2447" t="e" cm="1">
        <f t="array" ca="1" aca="1" ref="CU53">IF(Y53="","",IF(ISNUMBER(SEARCH("Select",$Y53)),"",_xldudf_CX_PUSH($Y53,CX_ENTITY,C53,EOMONTH(val_asOfDate,1))))</f>
        <v>#NAME?</v>
      </c>
      <c r="CV53" s="2447" t="e" cm="1">
        <f t="array" ca="1" aca="1" ref="CV53">IF(Y53="","",IF(ISNUMBER(SEARCH("Select",$Y53)),"",_xldudf_CX_PUSH($Y53,CX_ENTITY,C53,EOMONTH(val_asOfDate,2))))</f>
        <v>#NAME?</v>
      </c>
      <c r="CW53" s="2447" t="e" cm="1">
        <f t="array" ca="1" aca="1" ref="CW53">IF(Y53="","",IF(ISNUMBER(SEARCH("Select",$Y53)),"",_xldudf_CX_PUSH($Y53,CX_ENTITY,C53,EOMONTH(val_asOfDate,3))))</f>
        <v>#NAME?</v>
      </c>
      <c r="CX53" s="2443"/>
      <c r="CY53" s="2444" t="str" cm="1">
        <f t="array" ca="1" aca="1" ref="CY53">IFERROR(IF(CM53*fxVal_normal=_PL!CM52,"",IF(OR($CM53="",$CM53=0,NOT(ISNUMBER($CM53)),ISERROR($CM53),$B53=""),"",IF($I53=1,IFBLANK(_xldudf_CX_PUSH($CM53*fxVal_normal,CX_ENTITY,$B53,$CM$11,$CM$14,$CM$19,),""),IF($I53=2,IFBLANK(_xldudf_CX_PUSH($CM53,CX_ENTITY,$B53,$CM$11,$CM$14,$CM$19,),""),IF($I53=3,"",IFBLANK(_xldudf_CX_PUSH($CM53,CX_ENTITY,$B53,$CM$11,$CM$14,$CM$19,),"")))))),"")</f>
        <v/>
      </c>
      <c r="CZ53" s="2444" t="str" cm="1">
        <f t="array" ca="1" aca="1" ref="CZ53">IFERROR(IF(CN53*fxVal_normal=_PL!CN52,"",IF(OR($CN53="",$CN53=0,NOT(ISNUMBER($CN53)),ISERROR($CN53),$B53=""),"",IF($I53=1,IFBLANK(_xldudf_CX_PUSH($CN53*fxVal_normal,CX_ENTITY,$B53,$CN$11,$CN$14,$CN$19,),""),IF($I53=2,IFBLANK(_xldudf_CX_PUSH($CN53,CX_ENTITY,$B53,$CN$11,$CN$14,$CN$19,),""),IF($I53=3,"",IFBLANK(_xldudf_CX_PUSH($CN53,CX_ENTITY,$B53,$CN$11,$CN$14,$CN$19,),"")))))),"")</f>
        <v/>
      </c>
      <c r="DA53" s="2444" t="str" cm="1">
        <f t="array" ca="1" aca="1" ref="DA53">IFERROR(IF(CP53*fxVal_normal=_PL!CP52,"",IF(OR($CP53="",$CP53=0,NOT(ISNUMBER($CP53)),ISERROR($CP53),$B53=""),"",IF($I53=1,IFBLANK(_xldudf_CX_PUSH($CP53*fxVal_normal,CX_ENTITY,$B53,$CP$11,$CP$14,$CP$19,),""),IF($I53=2,IFBLANK(_xldudf_CX_PUSH($CP53,CX_ENTITY,$B53,$CP$11,$CP$14,$CP$19,),""),IF($I53=3,"",IFBLANK(_xldudf_CX_PUSH($CP53,CX_ENTITY,$B53,$CP$11,$CP$14,$CP$19,),"")))))),"")</f>
        <v/>
      </c>
      <c r="DB53" s="2444" t="str" cm="1">
        <f t="array" ca="1" aca="1" ref="DB53">IFERROR(IF(CQ53*fxVal_normal=_PL!CQ52,"",IF(OR($CQ53="",$CQ53=0,NOT(ISNUMBER($CQ53)),ISERROR($CQ53),$B53=""),"",IF($I53=1,IFBLANK(_xldudf_CX_PUSH($CQ53*fxVal_normal,CX_ENTITY,$B53,$CQ$11,$CQ$14,$CQ$19,),""),IF($I53=2,IFBLANK(_xldudf_CX_PUSH($CQ53,CX_ENTITY,$B53,$CQ$11,$CQ$14,$CQ$19,),""),IF($I53=3,"",IFBLANK(_xldudf_CX_PUSH($CQ53,CX_ENTITY,$B53,$CQ$11,$CQ$14,$CQ$19,),"")))))),"")</f>
        <v/>
      </c>
      <c r="DC53" s="2443"/>
      <c r="DD53" s="2445" t="str" cm="1">
        <f t="array" ca="1" aca="1" ref="DD53">IFERROR(IF(AD53*fxVal_normal=_PL!AD53,"",IF(OR(AD53="",NOT(ISNUMBER(AD53)),ISERROR(AD53),$B53=""),"",IF($I53=1,IFBLANK(_xldudf_CX_PUSH(AD53*fxVal_normal,CX_ENTITY,$B53,AD$11,AD$14,AD$19,),""),IF($I53=2,IFBLANK(_xldudf_CX_PUSH(AD53,CX_ENTITY,$B53,AD$11,AD$14,AD$19,),""),IF($I53=3,"",IFBLANK(_xldudf_CX_PUSH(AD53,CX_ENTITY,$B53,AD$11,AD$14,AD$19,),"")))))),"")</f>
        <v/>
      </c>
      <c r="DE53" s="2445" t="str" cm="1">
        <f t="array" ca="1" aca="1" ref="DE53">IFERROR(IF(AE53*fxVal_normal=_PL!AE53,"",IF(OR(AE53="",NOT(ISNUMBER(AE53)),ISERROR(AE53),$B53=""),"",IF($I53=1,IFBLANK(_xldudf_CX_PUSH(AE53*fxVal_normal,CX_ENTITY,$B53,AE$11,AE$14,AE$19,),""),IF($I53=2,IFBLANK(_xldudf_CX_PUSH(AE53,CX_ENTITY,$B53,AE$11,AE$14,AE$19,),""),IF($I53=3,"",IFBLANK(_xldudf_CX_PUSH(AE53,CX_ENTITY,$B53,AE$11,AE$14,AE$19,),"")))))),"")</f>
        <v/>
      </c>
      <c r="DF53" s="2445" t="str" cm="1">
        <f t="array" ca="1" aca="1" ref="DF53">IFERROR(IF(AF53*fxVal_normal=_PL!AF53,"",IF(OR(AF53="",NOT(ISNUMBER(AF53)),ISERROR(AF53),$B53=""),"",IF($I53=1,IFBLANK(_xldudf_CX_PUSH(AF53*fxVal_normal,CX_ENTITY,$B53,AF$11,AF$14,AF$19,),""),IF($I53=2,IFBLANK(_xldudf_CX_PUSH(AF53,CX_ENTITY,$B53,AF$11,AF$14,AF$19,),""),IF($I53=3,"",IFBLANK(_xldudf_CX_PUSH(AF53,CX_ENTITY,$B53,AF$11,AF$14,AF$19,),"")))))),"")</f>
        <v/>
      </c>
      <c r="DG53" s="2445" t="str" cm="1">
        <f t="array" ca="1" aca="1" ref="DG53">IFERROR(IF(AG53*fxVal_normal=_PL!AG53,"",IF(OR(AG53="",NOT(ISNUMBER(AG53)),ISERROR(AG53),$B53=""),"",IF($I53=1,IFBLANK(_xldudf_CX_PUSH(AG53*fxVal_normal,CX_ENTITY,$B53,AG$11,AG$14,AG$19,),""),IF($I53=2,IFBLANK(_xldudf_CX_PUSH(AG53,CX_ENTITY,$B53,AG$11,AG$14,AG$19,),""),IF($I53=3,"",IFBLANK(_xldudf_CX_PUSH(AG53,CX_ENTITY,$B53,AG$11,AG$14,AG$19,),"")))))),"")</f>
        <v/>
      </c>
      <c r="DH53" s="2445" t="str" cm="1">
        <f t="array" ca="1" aca="1" ref="DH53">IFERROR(IF(AH53*fxVal_normal=_PL!AH53,"",IF(OR(AH53="",NOT(ISNUMBER(AH53)),ISERROR(AH53),$B53=""),"",IF($I53=1,IFBLANK(_xldudf_CX_PUSH(AH53*fxVal_normal,CX_ENTITY,$B53,AH$11,AH$14,AH$19,),""),IF($I53=2,IFBLANK(_xldudf_CX_PUSH(AH53,CX_ENTITY,$B53,AH$11,AH$14,AH$19,),""),IF($I53=3,"",IFBLANK(_xldudf_CX_PUSH(AH53,CX_ENTITY,$B53,AH$11,AH$14,AH$19,),"")))))),"")</f>
        <v/>
      </c>
      <c r="DI53" s="2445" t="str" cm="1">
        <f t="array" ca="1" aca="1" ref="DI53">IFERROR(IF(AI53*fxVal_normal=_PL!AI53,"",IF(OR(AI53="",NOT(ISNUMBER(AI53)),ISERROR(AI53),$B53=""),"",IF($I53=1,IFBLANK(_xldudf_CX_PUSH(AI53*fxVal_normal,CX_ENTITY,$B53,AI$11,AI$14,AI$19,),""),IF($I53=2,IFBLANK(_xldudf_CX_PUSH(AI53,CX_ENTITY,$B53,AI$11,AI$14,AI$19,),""),IF($I53=3,"",IFBLANK(_xldudf_CX_PUSH(AI53,CX_ENTITY,$B53,AI$11,AI$14,AI$19,),"")))))),"")</f>
        <v/>
      </c>
      <c r="DJ53" s="2445" t="str" cm="1">
        <f t="array" ca="1" aca="1" ref="DJ53">IFERROR(IF(AJ53*fxVal_normal=_PL!AJ53,"",IF(OR(AJ53="",NOT(ISNUMBER(AJ53)),ISERROR(AJ53),$B53=""),"",IF($I53=1,IFBLANK(_xldudf_CX_PUSH(AJ53*fxVal_normal,CX_ENTITY,$B53,AJ$11,AJ$14,AJ$19,),""),IF($I53=2,IFBLANK(_xldudf_CX_PUSH(AJ53,CX_ENTITY,$B53,AJ$11,AJ$14,AJ$19,),""),IF($I53=3,"",IFBLANK(_xldudf_CX_PUSH(AJ53,CX_ENTITY,$B53,AJ$11,AJ$14,AJ$19,),"")))))),"")</f>
        <v/>
      </c>
      <c r="DK53" s="2445" t="str" cm="1">
        <f t="array" ca="1" aca="1" ref="DK53">IFERROR(IF(AK53*fxVal_normal=_PL!AK53,"",IF(OR(AK53="",NOT(ISNUMBER(AK53)),ISERROR(AK53),$B53=""),"",IF($I53=1,IFBLANK(_xldudf_CX_PUSH(AK53*fxVal_normal,CX_ENTITY,$B53,AK$11,AK$14,AK$19,),""),IF($I53=2,IFBLANK(_xldudf_CX_PUSH(AK53,CX_ENTITY,$B53,AK$11,AK$14,AK$19,),""),IF($I53=3,"",IFBLANK(_xldudf_CX_PUSH(AK53,CX_ENTITY,$B53,AK$11,AK$14,AK$19,),"")))))),"")</f>
        <v/>
      </c>
      <c r="DL53" s="2445" t="str" cm="1">
        <f t="array" ca="1" aca="1" ref="DL53">IFERROR(IF(AL53*fxVal_normal=_PL!AL53,"",IF(OR(AL53="",NOT(ISNUMBER(AL53)),ISERROR(AL53),$B53=""),"",IF($I53=1,IFBLANK(_xldudf_CX_PUSH(AL53*fxVal_normal,CX_ENTITY,$B53,AL$11,AL$14,AL$19,),""),IF($I53=2,IFBLANK(_xldudf_CX_PUSH(AL53,CX_ENTITY,$B53,AL$11,AL$14,AL$19,),""),IF($I53=3,"",IFBLANK(_xldudf_CX_PUSH(AL53,CX_ENTITY,$B53,AL$11,AL$14,AL$19,),"")))))),"")</f>
        <v/>
      </c>
      <c r="DM53" s="2445" t="str" cm="1">
        <f t="array" ca="1" aca="1" ref="DM53">IFERROR(IF(AM53*fxVal_normal=_PL!AM53,"",IF(OR(AM53="",NOT(ISNUMBER(AM53)),ISERROR(AM53),$B53=""),"",IF($I53=1,IFBLANK(_xldudf_CX_PUSH(AM53*fxVal_normal,CX_ENTITY,$B53,AM$11,AM$14,AM$19,),""),IF($I53=2,IFBLANK(_xldudf_CX_PUSH(AM53,CX_ENTITY,$B53,AM$11,AM$14,AM$19,),""),IF($I53=3,"",IFBLANK(_xldudf_CX_PUSH(AM53,CX_ENTITY,$B53,AM$11,AM$14,AM$19,),"")))))),"")</f>
        <v/>
      </c>
      <c r="DN53" s="2445" t="str" cm="1">
        <f t="array" ca="1" aca="1" ref="DN53">IFERROR(IF(AN53*fxVal_normal=_PL!AN53,"",IF(OR(AN53="",NOT(ISNUMBER(AN53)),ISERROR(AN53),$B53=""),"",IF($I53=1,IFBLANK(_xldudf_CX_PUSH(AN53*fxVal_normal,CX_ENTITY,$B53,AN$11,AN$14,AN$19,),""),IF($I53=2,IFBLANK(_xldudf_CX_PUSH(AN53,CX_ENTITY,$B53,AN$11,AN$14,AN$19,),""),IF($I53=3,"",IFBLANK(_xldudf_CX_PUSH(AN53,CX_ENTITY,$B53,AN$11,AN$14,AN$19,),"")))))),"")</f>
        <v/>
      </c>
      <c r="DO53" s="2445" t="str" cm="1">
        <f t="array" ca="1" aca="1" ref="DO53">IFERROR(IF(AO53*fxVal_normal=_PL!AO53,"",IF(OR(AO53="",NOT(ISNUMBER(AO53)),ISERROR(AO53),$B53=""),"",IF($I53=1,IFBLANK(_xldudf_CX_PUSH(AO53*fxVal_normal,CX_ENTITY,$B53,AO$11,AO$14,AO$19,),""),IF($I53=2,IFBLANK(_xldudf_CX_PUSH(AO53,CX_ENTITY,$B53,AO$11,AO$14,AO$19,),""),IF($I53=3,"",IFBLANK(_xldudf_CX_PUSH(AO53,CX_ENTITY,$B53,AO$11,AO$14,AO$19,),"")))))),"")</f>
        <v/>
      </c>
      <c r="DP53" s="2445" t="str" cm="1">
        <f t="array" ca="1" aca="1" ref="DP53">IFERROR(IF(AP53*fxVal_normal=_PL!AP53,"",IF(OR(AP53="",NOT(ISNUMBER(AP53)),ISERROR(AP53),$B53=""),"",IF($I53=1,IFBLANK(_xldudf_CX_PUSH(AP53*fxVal_normal,CX_ENTITY,$B53,AP$11,AP$14,AP$19,),""),IF($I53=2,IFBLANK(_xldudf_CX_PUSH(AP53,CX_ENTITY,$B53,AP$11,AP$14,AP$19,),""),IF($I53=3,"",IFBLANK(_xldudf_CX_PUSH(AP53,CX_ENTITY,$B53,AP$11,AP$14,AP$19,),"")))))),"")</f>
        <v/>
      </c>
      <c r="DQ53" s="2445" t="str" cm="1">
        <f t="array" ca="1" aca="1" ref="DQ53">IFERROR(IF(AQ53*fxVal_normal=_PL!AQ53,"",IF(OR(AQ53="",NOT(ISNUMBER(AQ53)),ISERROR(AQ53),$B53=""),"",IF($I53=1,IFBLANK(_xldudf_CX_PUSH(AQ53*fxVal_normal,CX_ENTITY,$B53,AQ$11,AQ$14,AQ$19,),""),IF($I53=2,IFBLANK(_xldudf_CX_PUSH(AQ53,CX_ENTITY,$B53,AQ$11,AQ$14,AQ$19,),""),IF($I53=3,"",IFBLANK(_xldudf_CX_PUSH(AQ53,CX_ENTITY,$B53,AQ$11,AQ$14,AQ$19,),"")))))),"")</f>
        <v/>
      </c>
      <c r="DR53" s="2445" t="str" cm="1">
        <f t="array" ca="1" aca="1" ref="DR53">IFERROR(IF(AR53*fxVal_normal=_PL!AR53,"",IF(OR(AR53="",NOT(ISNUMBER(AR53)),ISERROR(AR53),$B53=""),"",IF($I53=1,IFBLANK(_xldudf_CX_PUSH(AR53*fxVal_normal,CX_ENTITY,$B53,AR$11,AR$14,AR$19,),""),IF($I53=2,IFBLANK(_xldudf_CX_PUSH(AR53,CX_ENTITY,$B53,AR$11,AR$14,AR$19,),""),IF($I53=3,"",IFBLANK(_xldudf_CX_PUSH(AR53,CX_ENTITY,$B53,AR$11,AR$14,AR$19,),"")))))),"")</f>
        <v/>
      </c>
      <c r="DS53" s="2445" t="str" cm="1">
        <f t="array" ca="1" aca="1" ref="DS53">IFERROR(IF(AS53*fxVal_normal=_PL!AS53,"",IF(OR(AS53="",NOT(ISNUMBER(AS53)),ISERROR(AS53),$B53=""),"",IF($I53=1,IFBLANK(_xldudf_CX_PUSH(AS53*fxVal_normal,CX_ENTITY,$B53,AS$11,AS$14,AS$19,),""),IF($I53=2,IFBLANK(_xldudf_CX_PUSH(AS53,CX_ENTITY,$B53,AS$11,AS$14,AS$19,),""),IF($I53=3,"",IFBLANK(_xldudf_CX_PUSH(AS53,CX_ENTITY,$B53,AS$11,AS$14,AS$19,),"")))))),"")</f>
        <v/>
      </c>
      <c r="DT53" s="2445" t="str" cm="1">
        <f t="array" ca="1" aca="1" ref="DT53">IFERROR(IF(AT53*fxVal_normal=_PL!AT53,"",IF(OR(AT53="",NOT(ISNUMBER(AT53)),ISERROR(AT53),$B53=""),"",IF($I53=1,IFBLANK(_xldudf_CX_PUSH(AT53*fxVal_normal,CX_ENTITY,$B53,AT$11,AT$14,AT$19,),""),IF($I53=2,IFBLANK(_xldudf_CX_PUSH(AT53,CX_ENTITY,$B53,AT$11,AT$14,AT$19,),""),IF($I53=3,"",IFBLANK(_xldudf_CX_PUSH(AT53,CX_ENTITY,$B53,AT$11,AT$14,AT$19,),"")))))),"")</f>
        <v/>
      </c>
      <c r="DU53" s="2445" t="str" cm="1">
        <f t="array" ca="1" aca="1" ref="DU53">IFERROR(IF(AU53*fxVal_normal=_PL!AU53,"",IF(OR(AU53="",NOT(ISNUMBER(AU53)),ISERROR(AU53),$B53=""),"",IF($I53=1,IFBLANK(_xldudf_CX_PUSH(AU53*fxVal_normal,CX_ENTITY,$B53,AU$11,AU$14,AU$19,),""),IF($I53=2,IFBLANK(_xldudf_CX_PUSH(AU53,CX_ENTITY,$B53,AU$11,AU$14,AU$19,),""),IF($I53=3,"",IFBLANK(_xldudf_CX_PUSH(AU53,CX_ENTITY,$B53,AU$11,AU$14,AU$19,),"")))))),"")</f>
        <v/>
      </c>
      <c r="DV53" s="2445" t="str" cm="1">
        <f t="array" ca="1" aca="1" ref="DV53">IFERROR(IF(AV53*fxVal_normal=_PL!AV53,"",IF(OR(AV53="",NOT(ISNUMBER(AV53)),ISERROR(AV53),$B53=""),"",IF($I53=1,IFBLANK(_xldudf_CX_PUSH(AV53*fxVal_normal,CX_ENTITY,$B53,AV$11,AV$14,AV$19,),""),IF($I53=2,IFBLANK(_xldudf_CX_PUSH(AV53,CX_ENTITY,$B53,AV$11,AV$14,AV$19,),""),IF($I53=3,"",IFBLANK(_xldudf_CX_PUSH(AV53,CX_ENTITY,$B53,AV$11,AV$14,AV$19,),"")))))),"")</f>
        <v/>
      </c>
      <c r="DW53" s="2445" t="str" cm="1">
        <f t="array" ca="1" aca="1" ref="DW53">IFERROR(IF(AW53*fxVal_normal=_PL!AW53,"",IF(OR(AW53="",NOT(ISNUMBER(AW53)),ISERROR(AW53),$B53=""),"",IF($I53=1,IFBLANK(_xldudf_CX_PUSH(AW53*fxVal_normal,CX_ENTITY,$B53,AW$11,AW$14,AW$19,),""),IF($I53=2,IFBLANK(_xldudf_CX_PUSH(AW53,CX_ENTITY,$B53,AW$11,AW$14,AW$19,),""),IF($I53=3,"",IFBLANK(_xldudf_CX_PUSH(AW53,CX_ENTITY,$B53,AW$11,AW$14,AW$19,),"")))))),"")</f>
        <v/>
      </c>
      <c r="DX53" s="2445" t="str" cm="1">
        <f t="array" ca="1" aca="1" ref="DX53">IFERROR(IF(AX53*fxVal_normal=_PL!AX53,"",IF(OR(AX53="",NOT(ISNUMBER(AX53)),ISERROR(AX53),$B53=""),"",IF($I53=1,IFBLANK(_xldudf_CX_PUSH(AX53*fxVal_normal,CX_ENTITY,$B53,AX$11,AX$14,AX$19,),""),IF($I53=2,IFBLANK(_xldudf_CX_PUSH(AX53,CX_ENTITY,$B53,AX$11,AX$14,AX$19,),""),IF($I53=3,"",IFBLANK(_xldudf_CX_PUSH(AX53,CX_ENTITY,$B53,AX$11,AX$14,AX$19,),"")))))),"")</f>
        <v/>
      </c>
      <c r="DY53" s="2445" t="str" cm="1">
        <f t="array" ca="1" aca="1" ref="DY53">IFERROR(IF(AY53*fxVal_normal=_PL!AY53,"",IF(OR(AY53="",NOT(ISNUMBER(AY53)),ISERROR(AY53),$B53=""),"",IF($I53=1,IFBLANK(_xldudf_CX_PUSH(AY53*fxVal_normal,CX_ENTITY,$B53,AY$11,AY$14,AY$19,),""),IF($I53=2,IFBLANK(_xldudf_CX_PUSH(AY53,CX_ENTITY,$B53,AY$11,AY$14,AY$19,),""),IF($I53=3,"",IFBLANK(_xldudf_CX_PUSH(AY53,CX_ENTITY,$B53,AY$11,AY$14,AY$19,),"")))))),"")</f>
        <v/>
      </c>
      <c r="DZ53" s="2445" t="str" cm="1">
        <f t="array" ca="1" aca="1" ref="DZ53">IFERROR(IF(AZ53*fxVal_normal=_PL!AZ53,"",IF(OR(AZ53="",NOT(ISNUMBER(AZ53)),ISERROR(AZ53),$B53=""),"",IF($I53=1,IFBLANK(_xldudf_CX_PUSH(AZ53*fxVal_normal,CX_ENTITY,$B53,AZ$11,AZ$14,AZ$19,),""),IF($I53=2,IFBLANK(_xldudf_CX_PUSH(AZ53,CX_ENTITY,$B53,AZ$11,AZ$14,AZ$19,),""),IF($I53=3,"",IFBLANK(_xldudf_CX_PUSH(AZ53,CX_ENTITY,$B53,AZ$11,AZ$14,AZ$19,),"")))))),"")</f>
        <v/>
      </c>
      <c r="EA53" s="2445" t="str" cm="1">
        <f t="array" ca="1" aca="1" ref="EA53">IFERROR(IF(BA53*fxVal_normal=_PL!BA53,"",IF(OR(BA53="",NOT(ISNUMBER(BA53)),ISERROR(BA53),$B53=""),"",IF($I53=1,IFBLANK(_xldudf_CX_PUSH(BA53*fxVal_normal,CX_ENTITY,$B53,BA$11,BA$14,BA$19,),""),IF($I53=2,IFBLANK(_xldudf_CX_PUSH(BA53,CX_ENTITY,$B53,BA$11,BA$14,BA$19,),""),IF($I53=3,"",IFBLANK(_xldudf_CX_PUSH(BA53,CX_ENTITY,$B53,BA$11,BA$14,BA$19,),"")))))),"")</f>
        <v/>
      </c>
      <c r="EB53" s="2445" t="str" cm="1">
        <f t="array" ca="1" aca="1" ref="EB53">IFERROR(IF(BB53*fxVal_normal=_PL!BB53,"",IF(OR(BB53="",NOT(ISNUMBER(BB53)),ISERROR(BB53),$B53=""),"",IF($I53=1,IFBLANK(_xldudf_CX_PUSH(BB53*fxVal_normal,CX_ENTITY,$B53,BB$11,BB$14,BB$19,),""),IF($I53=2,IFBLANK(_xldudf_CX_PUSH(BB53,CX_ENTITY,$B53,BB$11,BB$14,BB$19,),""),IF($I53=3,"",IFBLANK(_xldudf_CX_PUSH(BB53,CX_ENTITY,$B53,BB$11,BB$14,BB$19,),"")))))),"")</f>
        <v/>
      </c>
      <c r="EC53" s="2445" t="str" cm="1">
        <f t="array" ca="1" aca="1" ref="EC53">IFERROR(IF(BC53*fxVal_normal=_PL!BC53,"",IF(OR(BC53="",NOT(ISNUMBER(BC53)),ISERROR(BC53),$B53=""),"",IF($I53=1,IFBLANK(_xldudf_CX_PUSH(BC53*fxVal_normal,CX_ENTITY,$B53,BC$11,BC$14,BC$19,),""),IF($I53=2,IFBLANK(_xldudf_CX_PUSH(BC53,CX_ENTITY,$B53,BC$11,BC$14,BC$19,),""),IF($I53=3,"",IFBLANK(_xldudf_CX_PUSH(BC53,CX_ENTITY,$B53,BC$11,BC$14,BC$19,),"")))))),"")</f>
        <v/>
      </c>
      <c r="ED53" s="2445" t="str" cm="1">
        <f t="array" ca="1" aca="1" ref="ED53">IFERROR(IF(BD53*fxVal_normal=_PL!BD53,"",IF(OR(BD53="",NOT(ISNUMBER(BD53)),ISERROR(BD53),$B53=""),"",IF($I53=1,IFBLANK(_xldudf_CX_PUSH(BD53*fxVal_normal,CX_ENTITY,$B53,BD$11,BD$14,BD$19,),""),IF($I53=2,IFBLANK(_xldudf_CX_PUSH(BD53,CX_ENTITY,$B53,BD$11,BD$14,BD$19,),""),IF($I53=3,"",IFBLANK(_xldudf_CX_PUSH(BD53,CX_ENTITY,$B53,BD$11,BD$14,BD$19,),"")))))),"")</f>
        <v/>
      </c>
      <c r="EE53" s="2445" t="str" cm="1">
        <f t="array" ca="1" aca="1" ref="EE53">IFERROR(IF(BE53*fxVal_normal=_PL!BE53,"",IF(OR(BE53="",NOT(ISNUMBER(BE53)),ISERROR(BE53),$B53=""),"",IF($I53=1,IFBLANK(_xldudf_CX_PUSH(BE53*fxVal_normal,CX_ENTITY,$B53,BE$11,BE$14,BE$19,),""),IF($I53=2,IFBLANK(_xldudf_CX_PUSH(BE53,CX_ENTITY,$B53,BE$11,BE$14,BE$19,),""),IF($I53=3,"",IFBLANK(_xldudf_CX_PUSH(BE53,CX_ENTITY,$B53,BE$11,BE$14,BE$19,),"")))))),"")</f>
        <v/>
      </c>
      <c r="EF53" s="2445" t="str" cm="1">
        <f t="array" ca="1" aca="1" ref="EF53">IFERROR(IF(BF53*fxVal_normal=_PL!BF53,"",IF(OR(BF53="",NOT(ISNUMBER(BF53)),ISERROR(BF53),$B53=""),"",IF($I53=1,IFBLANK(_xldudf_CX_PUSH(BF53*fxVal_normal,CX_ENTITY,$B53,BF$11,BF$14,BF$19,),""),IF($I53=2,IFBLANK(_xldudf_CX_PUSH(BF53,CX_ENTITY,$B53,BF$11,BF$14,BF$19,),""),IF($I53=3,"",IFBLANK(_xldudf_CX_PUSH(BF53,CX_ENTITY,$B53,BF$11,BF$14,BF$19,),"")))))),"")</f>
        <v/>
      </c>
      <c r="EG53" s="2445" t="str" cm="1">
        <f t="array" ca="1" aca="1" ref="EG53">IFERROR(IF(BG53*fxVal_normal=_PL!BG53,"",IF(OR(BG53="",NOT(ISNUMBER(BG53)),ISERROR(BG53),$B53=""),"",IF($I53=1,IFBLANK(_xldudf_CX_PUSH(BG53*fxVal_normal,CX_ENTITY,$B53,BG$11,BG$14,BG$19,),""),IF($I53=2,IFBLANK(_xldudf_CX_PUSH(BG53,CX_ENTITY,$B53,BG$11,BG$14,BG$19,),""),IF($I53=3,"",IFBLANK(_xldudf_CX_PUSH(BG53,CX_ENTITY,$B53,BG$11,BG$14,BG$19,),"")))))),"")</f>
        <v/>
      </c>
      <c r="EH53" s="2445" t="str" cm="1">
        <f t="array" ca="1" aca="1" ref="EH53">IFERROR(IF(BH53*fxVal_normal=_PL!BH53,"",IF(OR(BH53="",NOT(ISNUMBER(BH53)),ISERROR(BH53),$B53=""),"",IF($I53=1,IFBLANK(_xldudf_CX_PUSH(BH53*fxVal_normal,CX_ENTITY,$B53,BH$11,BH$14,BH$19,),""),IF($I53=2,IFBLANK(_xldudf_CX_PUSH(BH53,CX_ENTITY,$B53,BH$11,BH$14,BH$19,),""),IF($I53=3,"",IFBLANK(_xldudf_CX_PUSH(BH53,CX_ENTITY,$B53,BH$11,BH$14,BH$19,),"")))))),"")</f>
        <v/>
      </c>
      <c r="EI53" s="2445" t="str" cm="1">
        <f t="array" ca="1" aca="1" ref="EI53">IFERROR(IF(BI53*fxVal_normal=_PL!BI53,"",IF(OR(BI53="",NOT(ISNUMBER(BI53)),ISERROR(BI53),$B53=""),"",IF($I53=1,IFBLANK(_xldudf_CX_PUSH(BI53*fxVal_normal,CX_ENTITY,$B53,BI$11,BI$14,BI$19,),""),IF($I53=2,IFBLANK(_xldudf_CX_PUSH(BI53,CX_ENTITY,$B53,BI$11,BI$14,BI$19,),""),IF($I53=3,"",IFBLANK(_xldudf_CX_PUSH(BI53,CX_ENTITY,$B53,BI$11,BI$14,BI$19,),"")))))),"")</f>
        <v/>
      </c>
      <c r="EJ53" s="2445" t="str" cm="1">
        <f t="array" ca="1" aca="1" ref="EJ53">IFERROR(IF(BJ53*fxVal_normal=_PL!BJ53,"",IF(OR(BJ53="",NOT(ISNUMBER(BJ53)),ISERROR(BJ53),$B53=""),"",IF($I53=1,IFBLANK(_xldudf_CX_PUSH(BJ53*fxVal_normal,CX_ENTITY,$B53,BJ$11,BJ$14,BJ$19,),""),IF($I53=2,IFBLANK(_xldudf_CX_PUSH(BJ53,CX_ENTITY,$B53,BJ$11,BJ$14,BJ$19,),""),IF($I53=3,"",IFBLANK(_xldudf_CX_PUSH(BJ53,CX_ENTITY,$B53,BJ$11,BJ$14,BJ$19,),"")))))),"")</f>
        <v/>
      </c>
      <c r="EK53" s="2445" t="str" cm="1">
        <f t="array" ca="1" aca="1" ref="EK53">IFERROR(IF(BK53*fxVal_normal=_PL!BK53,"",IF(OR(BK53="",NOT(ISNUMBER(BK53)),ISERROR(BK53),$B53=""),"",IF($I53=1,IFBLANK(_xldudf_CX_PUSH(BK53*fxVal_normal,CX_ENTITY,$B53,BK$11,BK$14,BK$19,),""),IF($I53=2,IFBLANK(_xldudf_CX_PUSH(BK53,CX_ENTITY,$B53,BK$11,BK$14,BK$19,),""),IF($I53=3,"",IFBLANK(_xldudf_CX_PUSH(BK53,CX_ENTITY,$B53,BK$11,BK$14,BK$19,),"")))))),"")</f>
        <v/>
      </c>
      <c r="EL53" s="2445" t="str" cm="1">
        <f t="array" ca="1" aca="1" ref="EL53">IFERROR(IF(BL53*fxVal_normal=_PL!BL53,"",IF(OR(BL53="",NOT(ISNUMBER(BL53)),ISERROR(BL53),$B53=""),"",IF($I53=1,IFBLANK(_xldudf_CX_PUSH(BL53*fxVal_normal,CX_ENTITY,$B53,BL$11,BL$14,BL$19,),""),IF($I53=2,IFBLANK(_xldudf_CX_PUSH(BL53,CX_ENTITY,$B53,BL$11,BL$14,BL$19,),""),IF($I53=3,"",IFBLANK(_xldudf_CX_PUSH(BL53,CX_ENTITY,$B53,BL$11,BL$14,BL$19,),"")))))),"")</f>
        <v/>
      </c>
      <c r="EM53" s="2445" t="str" cm="1">
        <f t="array" ca="1" aca="1" ref="EM53">IFERROR(IF(BM53*fxVal_normal=_PL!BM53,"",IF(OR(BM53="",NOT(ISNUMBER(BM53)),ISERROR(BM53),$B53=""),"",IF($I53=1,IFBLANK(_xldudf_CX_PUSH(BM53*fxVal_normal,CX_ENTITY,$B53,BM$11,BM$14,BM$19,),""),IF($I53=2,IFBLANK(_xldudf_CX_PUSH(BM53,CX_ENTITY,$B53,BM$11,BM$14,BM$19,),""),IF($I53=3,"",IFBLANK(_xldudf_CX_PUSH(BM53,CX_ENTITY,$B53,BM$11,BM$14,BM$19,),"")))))),"")</f>
        <v/>
      </c>
      <c r="EN53" s="2445" t="str" cm="1">
        <f t="array" ca="1" aca="1" ref="EN53">IFERROR(IF(BN53*fxVal_normal=_PL!BN53,"",IF(OR(BN53="",NOT(ISNUMBER(BN53)),ISERROR(BN53),$B53=""),"",IF($I53=1,IFBLANK(_xldudf_CX_PUSH(BN53*fxVal_normal,CX_ENTITY,$B53,BN$11,BN$14,BN$19,),""),IF($I53=2,IFBLANK(_xldudf_CX_PUSH(BN53,CX_ENTITY,$B53,BN$11,BN$14,BN$19,),""),IF($I53=3,"",IFBLANK(_xldudf_CX_PUSH(BN53,CX_ENTITY,$B53,BN$11,BN$14,BN$19,),"")))))),"")</f>
        <v/>
      </c>
    </row>
    <row r="54" spans="1:144" ht="21" customHeight="1">
      <c r="A54" s="1626" t="s">
        <v>22</v>
      </c>
      <c r="B54" s="2439" t="str">
        <f>_xlfn.LET(_xlpm.IsNotAttrDynamic,D54="",_xlpm.Attr,_PL!F54,_xlpm.NotInUse,Y54=D54,_xlpm.RESULT,IF(_xlpm.IsNotAttrDynamic,_xlpm.Attr,IF(_xlpm.NotInUse,"",Y54)),IF(_xlpm.RESULT="","",_xlpm.RESULT))</f>
        <v>Custom Metric Amount 9</v>
      </c>
      <c r="C54" s="2439" t="str" cm="1">
        <f t="array" ref="C54">IFBLANK(_PL!C54,"")</f>
        <v>Custom Metric - Label 9</v>
      </c>
      <c r="D54" s="1548"/>
      <c r="E54" s="2453"/>
      <c r="F54" s="578"/>
      <c r="G54" s="578"/>
      <c r="H54" s="3280">
        <v>1</v>
      </c>
      <c r="I54" s="3280">
        <v>1</v>
      </c>
      <c r="J54" s="401" cm="1">
        <f t="array" ref="J54">IFBLANK(Z54,"")</f>
        <v>-1</v>
      </c>
      <c r="K54" s="578" t="str">
        <f ca="1">IFERROR(IF(LEN(AB54)=0,"No",IF(LEN(J54)&gt;0,"Yes","No")),"")</f>
        <v/>
      </c>
      <c r="L54" s="37"/>
      <c r="N54" s="158"/>
      <c r="O54" s="101"/>
      <c r="P54" s="52"/>
      <c r="Q54" s="101"/>
      <c r="R54" s="539"/>
      <c r="S54" s="101"/>
      <c r="T54" s="101"/>
      <c r="U54" s="39"/>
      <c r="V54" s="37"/>
      <c r="W54" s="268" t="str">
        <f t="shared" si="15"/>
        <v>Actual</v>
      </c>
      <c r="X54" s="2081" t="e">
        <f ca="1">_PL!X54</f>
        <v>#NAME?</v>
      </c>
      <c r="Y54" s="3191">
        <v>2</v>
      </c>
      <c r="Z54" s="198">
        <f>IF(Y54="","",-1)</f>
        <v>-1</v>
      </c>
      <c r="AA54" s="787"/>
      <c r="AB54" s="2467" t="e">
        <f ca="1">IF(_PL!AB54="Error","",_PL!AB54)</f>
        <v>#NAME?</v>
      </c>
      <c r="AC54" s="2468" t="str" cm="1">
        <f t="array" ca="1" aca="1" ref="AC54">_xlfn.LET(_xlpm._termname,$AB54,_xlpm._iconname,"find",_xlpm._icon,fx_getIcon(_xlpm._iconname),_xlpm._location,_xlfn.XLOOKUP(LOWER(_xlpm._termname),LOWER(tbl_acctDef[Term]),tbl_acctDef[Term]),_xlpm._hyperlink,HYPERLINK("#"&amp;CELL("address",_xlpm._location),_xlpm._icon),IFERROR(_xlpm._hyperlink,""))</f>
        <v/>
      </c>
      <c r="AD54" s="3185">
        <v>1</v>
      </c>
      <c r="AE54" s="3185">
        <v>1</v>
      </c>
      <c r="AF54" s="3185">
        <v>1</v>
      </c>
      <c r="AG54" s="3185">
        <v>1</v>
      </c>
      <c r="AH54" s="3185">
        <v>1</v>
      </c>
      <c r="AI54" s="3185">
        <v>1</v>
      </c>
      <c r="AJ54" s="3185">
        <v>1</v>
      </c>
      <c r="AK54" s="3185">
        <v>1</v>
      </c>
      <c r="AL54" s="3185">
        <v>1</v>
      </c>
      <c r="AM54" s="3185">
        <v>1</v>
      </c>
      <c r="AN54" s="3185">
        <v>1</v>
      </c>
      <c r="AO54" s="3185">
        <v>1</v>
      </c>
      <c r="AP54" s="3185">
        <v>1</v>
      </c>
      <c r="AQ54" s="3185">
        <v>1</v>
      </c>
      <c r="AR54" s="3185">
        <v>1</v>
      </c>
      <c r="AS54" s="3185">
        <v>1</v>
      </c>
      <c r="AT54" s="3185">
        <v>1</v>
      </c>
      <c r="AU54" s="3185">
        <v>1</v>
      </c>
      <c r="AV54" s="3185">
        <v>1</v>
      </c>
      <c r="AW54" s="3185">
        <v>1</v>
      </c>
      <c r="AX54" s="3185">
        <v>1</v>
      </c>
      <c r="AY54" s="3185">
        <v>1</v>
      </c>
      <c r="AZ54" s="3185">
        <v>1</v>
      </c>
      <c r="BA54" s="3185">
        <v>1</v>
      </c>
      <c r="BB54" s="3185">
        <v>1</v>
      </c>
      <c r="BC54" s="3185">
        <v>1</v>
      </c>
      <c r="BD54" s="3185">
        <v>1</v>
      </c>
      <c r="BE54" s="3185">
        <v>1</v>
      </c>
      <c r="BF54" s="3185">
        <v>1</v>
      </c>
      <c r="BG54" s="3185">
        <v>1</v>
      </c>
      <c r="BH54" s="3185">
        <v>1</v>
      </c>
      <c r="BI54" s="3185">
        <v>1</v>
      </c>
      <c r="BJ54" s="3185">
        <v>1</v>
      </c>
      <c r="BK54" s="3185">
        <v>1</v>
      </c>
      <c r="BL54" s="3185">
        <v>1</v>
      </c>
      <c r="BM54" s="3185">
        <v>1</v>
      </c>
      <c r="BN54" s="3185">
        <v>1</v>
      </c>
      <c r="BO54" s="2470"/>
      <c r="BP54" s="2470"/>
      <c r="BQ54" s="2470"/>
      <c r="BR54" s="2470"/>
      <c r="BS54" s="2470"/>
      <c r="BT54" s="2470"/>
      <c r="BU54" s="2470"/>
      <c r="BV54" s="2470"/>
      <c r="BW54" s="2470"/>
      <c r="BX54" s="2470"/>
      <c r="BY54" s="2470"/>
      <c r="BZ54" s="2470"/>
      <c r="CA54" s="34"/>
      <c r="CC54" s="33"/>
      <c r="CD54" s="1772" t="e" cm="1">
        <f t="array" ca="1" aca="1" ref="CD54">_xlfn.LET(_xlpm.CheckBlank,SUM(PL!$AD54:PL!$BN54)=0,IF(_xlpm.CheckBlank,"",SUM(_xlfn._xlws.FILTER(PL!$AD54:$BN54,(YEAR(PL!$AD$12:$BN$12)=PL!CD$12)*(array_timeline&lt;=PL!CD$11)))))</f>
        <v>#NAME?</v>
      </c>
      <c r="CE54" s="1772" t="e" cm="1">
        <f t="array" ca="1" aca="1" ref="CE54">_xlfn.LET(_xlpm.CheckBlank,SUM(PL!$AD54:PL!$BN54)=0,IF(_xlpm.CheckBlank,"",SUM(_xlfn._xlws.FILTER(PL!$AD54:$BN54,(YEAR(PL!$AD$12:$BN$12)=PL!CE$12)*(array_timeline&lt;=PL!CE$11)))))</f>
        <v>#NAME?</v>
      </c>
      <c r="CF54" s="178"/>
      <c r="CG54" s="1461" t="str" cm="1">
        <f t="array" ca="1" aca="1" ref="CG54">IFERROR(_xlfn.LET(_xlpm.CheckBlank,SUM(PL!$AD54:$BN54)=0,IF(_xlpm.CheckBlank,"",SUM(_xlfn._xlws.FILTER(PL!$AD54:$BN54,(YEAR(PL!$AD$12:$BN$12)=PL!CG$12)*(array_timeline&lt;=PL!CG$11))))),"n/a")</f>
        <v>n/a</v>
      </c>
      <c r="CH54" s="1461" t="e" cm="1">
        <f t="array" ca="1" aca="1" ref="CH54">_xlfn.LET(_xlpm.CheckBlank,SUM(PL!$AD54:$BN54)=0,IF(_xlpm.CheckBlank,"",SUM(_xlfn._xlws.FILTER(PL!$AD54:$BN54,(YEAR(PL!$AD$12:$BN$12)=PL!CH$12)*(array_timeline&lt;=PL!CH$11)))))</f>
        <v>#NAME?</v>
      </c>
      <c r="CI54" s="88"/>
      <c r="CJ54" s="1461" cm="1">
        <f t="array" ref="CJ54">_xlfn.LET(_xlpm.CheckBlank,SUM(PL!$AD54:$BN54)=0,IF(_xlpm.CheckBlank,"",SUM(_xlfn.TAKE(_xlfn.DROP(PL!$AD54:$BN54,,-DATEDIFF(PL!CJ$11,val_asOfDate,"M")),1,-12))))</f>
        <v>12</v>
      </c>
      <c r="CK54" s="1461" cm="1">
        <f t="array" ref="CK54">_xlfn.LET(_xlpm.CheckBlank,SUM(PL!$AD54:$BN54)=0,IF(_xlpm.CheckBlank,"",SUM(_xlfn.TAKE(_xlfn.DROP(PL!$AD54:$BN54,,-DATEDIFF(PL!CK$11,val_asOfDate,"M")),1,-12))))</f>
        <v>12</v>
      </c>
      <c r="CL54" s="88"/>
      <c r="CM54" s="3185">
        <v>1</v>
      </c>
      <c r="CN54" s="3185">
        <v>1</v>
      </c>
      <c r="CO54" s="88"/>
      <c r="CP54" s="3185">
        <v>1</v>
      </c>
      <c r="CQ54" s="3185">
        <v>1</v>
      </c>
      <c r="CR54" s="34"/>
      <c r="CS54" s="2056"/>
      <c r="CT54" s="2447" t="e" cm="1">
        <f t="array" ca="1" aca="1" ref="CT54">IF(Y54="","",IF(ISNUMBER(SEARCH("Select",$Y54)),"",_xldudf_CX_PUSH($Y54,CX_ENTITY,C54,val_asOfDate)))</f>
        <v>#NAME?</v>
      </c>
      <c r="CU54" s="2447" t="e" cm="1">
        <f t="array" ca="1" aca="1" ref="CU54">IF(Y54="","",IF(ISNUMBER(SEARCH("Select",$Y54)),"",_xldudf_CX_PUSH($Y54,CX_ENTITY,C54,EOMONTH(val_asOfDate,1))))</f>
        <v>#NAME?</v>
      </c>
      <c r="CV54" s="2447" t="e" cm="1">
        <f t="array" ca="1" aca="1" ref="CV54">IF(Y54="","",IF(ISNUMBER(SEARCH("Select",$Y54)),"",_xldudf_CX_PUSH($Y54,CX_ENTITY,C54,EOMONTH(val_asOfDate,2))))</f>
        <v>#NAME?</v>
      </c>
      <c r="CW54" s="2447" t="e" cm="1">
        <f t="array" ca="1" aca="1" ref="CW54">IF(Y54="","",IF(ISNUMBER(SEARCH("Select",$Y54)),"",_xldudf_CX_PUSH($Y54,CX_ENTITY,C54,EOMONTH(val_asOfDate,3))))</f>
        <v>#NAME?</v>
      </c>
      <c r="CX54" s="2443"/>
      <c r="CY54" s="2444" t="str" cm="1">
        <f t="array" ca="1" aca="1" ref="CY54">IFERROR(IF(CM54*fxVal_normal=_PL!CM54,"",IF(OR($CM54="",$CM54=0,NOT(ISNUMBER($CM54)),ISERROR($CM54),$B54=""),"",IF($I54=1,IFBLANK(_xldudf_CX_PUSH($CM54*fxVal_normal,CX_ENTITY,$B54,$CM$11,$CM$14,$CM$19,),""),IF($I54=2,IFBLANK(_xldudf_CX_PUSH($CM54,CX_ENTITY,$B54,$CM$11,$CM$14,$CM$19,),""),IF($I54=3,"",IFBLANK(_xldudf_CX_PUSH($CM54,CX_ENTITY,$B54,$CM$11,$CM$14,$CM$19,),"")))))),"")</f>
        <v/>
      </c>
      <c r="CZ54" s="2444" t="str" cm="1">
        <f t="array" ca="1" aca="1" ref="CZ54">IFERROR(IF(CN54*fxVal_normal=_PL!CN54,"",IF(OR($CN54="",$CN54=0,NOT(ISNUMBER($CN54)),ISERROR($CN54),$B54=""),"",IF($I54=1,IFBLANK(_xldudf_CX_PUSH($CN54*fxVal_normal,CX_ENTITY,$B54,$CN$11,$CN$14,$CN$19,),""),IF($I54=2,IFBLANK(_xldudf_CX_PUSH($CN54,CX_ENTITY,$B54,$CN$11,$CN$14,$CN$19,),""),IF($I54=3,"",IFBLANK(_xldudf_CX_PUSH($CN54,CX_ENTITY,$B54,$CN$11,$CN$14,$CN$19,),"")))))),"")</f>
        <v/>
      </c>
      <c r="DA54" s="2444" t="str" cm="1">
        <f t="array" ca="1" aca="1" ref="DA54">IFERROR(IF(CP54*fxVal_normal=_PL!CP54,"",IF(OR($CP54="",$CP54=0,NOT(ISNUMBER($CP54)),ISERROR($CP54),$B54=""),"",IF($I54=1,IFBLANK(_xldudf_CX_PUSH($CP54*fxVal_normal,CX_ENTITY,$B54,$CP$11,$CP$14,$CP$19,),""),IF($I54=2,IFBLANK(_xldudf_CX_PUSH($CP54,CX_ENTITY,$B54,$CP$11,$CP$14,$CP$19,),""),IF($I54=3,"",IFBLANK(_xldudf_CX_PUSH($CP54,CX_ENTITY,$B54,$CP$11,$CP$14,$CP$19,),"")))))),"")</f>
        <v/>
      </c>
      <c r="DB54" s="2444" t="str" cm="1">
        <f t="array" ca="1" aca="1" ref="DB54">IFERROR(IF(CQ54*fxVal_normal=_PL!CQ54,"",IF(OR($CQ54="",$CQ54=0,NOT(ISNUMBER($CQ54)),ISERROR($CQ54),$B54=""),"",IF($I54=1,IFBLANK(_xldudf_CX_PUSH($CQ54*fxVal_normal,CX_ENTITY,$B54,$CQ$11,$CQ$14,$CQ$19,),""),IF($I54=2,IFBLANK(_xldudf_CX_PUSH($CQ54,CX_ENTITY,$B54,$CQ$11,$CQ$14,$CQ$19,),""),IF($I54=3,"",IFBLANK(_xldudf_CX_PUSH($CQ54,CX_ENTITY,$B54,$CQ$11,$CQ$14,$CQ$19,),"")))))),"")</f>
        <v/>
      </c>
      <c r="DC54" s="2443"/>
      <c r="DD54" s="2445" t="str" cm="1">
        <f t="array" ca="1" aca="1" ref="DD54">IFERROR(IF(AD54*fxVal_normal=_PL!AD54,"",IF(OR(AD54="",NOT(ISNUMBER(AD54)),ISERROR(AD54),$B54=""),"",IF($I54=1,IFBLANK(_xldudf_CX_PUSH(AD54*fxVal_normal,CX_ENTITY,$B54,AD$11,AD$14,AD$19,),""),IF($I54=2,IFBLANK(_xldudf_CX_PUSH(AD54,CX_ENTITY,$B54,AD$11,AD$14,AD$19,),""),IF($I54=3,"",IFBLANK(_xldudf_CX_PUSH(AD54,CX_ENTITY,$B54,AD$11,AD$14,AD$19,),"")))))),"")</f>
        <v/>
      </c>
      <c r="DE54" s="2445" t="str" cm="1">
        <f t="array" ca="1" aca="1" ref="DE54">IFERROR(IF(AE54*fxVal_normal=_PL!AE54,"",IF(OR(AE54="",NOT(ISNUMBER(AE54)),ISERROR(AE54),$B54=""),"",IF($I54=1,IFBLANK(_xldudf_CX_PUSH(AE54*fxVal_normal,CX_ENTITY,$B54,AE$11,AE$14,AE$19,),""),IF($I54=2,IFBLANK(_xldudf_CX_PUSH(AE54,CX_ENTITY,$B54,AE$11,AE$14,AE$19,),""),IF($I54=3,"",IFBLANK(_xldudf_CX_PUSH(AE54,CX_ENTITY,$B54,AE$11,AE$14,AE$19,),"")))))),"")</f>
        <v/>
      </c>
      <c r="DF54" s="2445" t="str" cm="1">
        <f t="array" ca="1" aca="1" ref="DF54">IFERROR(IF(AF54*fxVal_normal=_PL!AF54,"",IF(OR(AF54="",NOT(ISNUMBER(AF54)),ISERROR(AF54),$B54=""),"",IF($I54=1,IFBLANK(_xldudf_CX_PUSH(AF54*fxVal_normal,CX_ENTITY,$B54,AF$11,AF$14,AF$19,),""),IF($I54=2,IFBLANK(_xldudf_CX_PUSH(AF54,CX_ENTITY,$B54,AF$11,AF$14,AF$19,),""),IF($I54=3,"",IFBLANK(_xldudf_CX_PUSH(AF54,CX_ENTITY,$B54,AF$11,AF$14,AF$19,),"")))))),"")</f>
        <v/>
      </c>
      <c r="DG54" s="2445" t="str" cm="1">
        <f t="array" ca="1" aca="1" ref="DG54">IFERROR(IF(AG54*fxVal_normal=_PL!AG54,"",IF(OR(AG54="",NOT(ISNUMBER(AG54)),ISERROR(AG54),$B54=""),"",IF($I54=1,IFBLANK(_xldudf_CX_PUSH(AG54*fxVal_normal,CX_ENTITY,$B54,AG$11,AG$14,AG$19,),""),IF($I54=2,IFBLANK(_xldudf_CX_PUSH(AG54,CX_ENTITY,$B54,AG$11,AG$14,AG$19,),""),IF($I54=3,"",IFBLANK(_xldudf_CX_PUSH(AG54,CX_ENTITY,$B54,AG$11,AG$14,AG$19,),"")))))),"")</f>
        <v/>
      </c>
      <c r="DH54" s="2445" t="str" cm="1">
        <f t="array" ca="1" aca="1" ref="DH54">IFERROR(IF(AH54*fxVal_normal=_PL!AH54,"",IF(OR(AH54="",NOT(ISNUMBER(AH54)),ISERROR(AH54),$B54=""),"",IF($I54=1,IFBLANK(_xldudf_CX_PUSH(AH54*fxVal_normal,CX_ENTITY,$B54,AH$11,AH$14,AH$19,),""),IF($I54=2,IFBLANK(_xldudf_CX_PUSH(AH54,CX_ENTITY,$B54,AH$11,AH$14,AH$19,),""),IF($I54=3,"",IFBLANK(_xldudf_CX_PUSH(AH54,CX_ENTITY,$B54,AH$11,AH$14,AH$19,),"")))))),"")</f>
        <v/>
      </c>
      <c r="DI54" s="2445" t="str" cm="1">
        <f t="array" ca="1" aca="1" ref="DI54">IFERROR(IF(AI54*fxVal_normal=_PL!AI54,"",IF(OR(AI54="",NOT(ISNUMBER(AI54)),ISERROR(AI54),$B54=""),"",IF($I54=1,IFBLANK(_xldudf_CX_PUSH(AI54*fxVal_normal,CX_ENTITY,$B54,AI$11,AI$14,AI$19,),""),IF($I54=2,IFBLANK(_xldudf_CX_PUSH(AI54,CX_ENTITY,$B54,AI$11,AI$14,AI$19,),""),IF($I54=3,"",IFBLANK(_xldudf_CX_PUSH(AI54,CX_ENTITY,$B54,AI$11,AI$14,AI$19,),"")))))),"")</f>
        <v/>
      </c>
      <c r="DJ54" s="2445" t="str" cm="1">
        <f t="array" ca="1" aca="1" ref="DJ54">IFERROR(IF(AJ54*fxVal_normal=_PL!AJ54,"",IF(OR(AJ54="",NOT(ISNUMBER(AJ54)),ISERROR(AJ54),$B54=""),"",IF($I54=1,IFBLANK(_xldudf_CX_PUSH(AJ54*fxVal_normal,CX_ENTITY,$B54,AJ$11,AJ$14,AJ$19,),""),IF($I54=2,IFBLANK(_xldudf_CX_PUSH(AJ54,CX_ENTITY,$B54,AJ$11,AJ$14,AJ$19,),""),IF($I54=3,"",IFBLANK(_xldudf_CX_PUSH(AJ54,CX_ENTITY,$B54,AJ$11,AJ$14,AJ$19,),"")))))),"")</f>
        <v/>
      </c>
      <c r="DK54" s="2445" t="str" cm="1">
        <f t="array" ca="1" aca="1" ref="DK54">IFERROR(IF(AK54*fxVal_normal=_PL!AK54,"",IF(OR(AK54="",NOT(ISNUMBER(AK54)),ISERROR(AK54),$B54=""),"",IF($I54=1,IFBLANK(_xldudf_CX_PUSH(AK54*fxVal_normal,CX_ENTITY,$B54,AK$11,AK$14,AK$19,),""),IF($I54=2,IFBLANK(_xldudf_CX_PUSH(AK54,CX_ENTITY,$B54,AK$11,AK$14,AK$19,),""),IF($I54=3,"",IFBLANK(_xldudf_CX_PUSH(AK54,CX_ENTITY,$B54,AK$11,AK$14,AK$19,),"")))))),"")</f>
        <v/>
      </c>
      <c r="DL54" s="2445" t="str" cm="1">
        <f t="array" ca="1" aca="1" ref="DL54">IFERROR(IF(AL54*fxVal_normal=_PL!AL54,"",IF(OR(AL54="",NOT(ISNUMBER(AL54)),ISERROR(AL54),$B54=""),"",IF($I54=1,IFBLANK(_xldudf_CX_PUSH(AL54*fxVal_normal,CX_ENTITY,$B54,AL$11,AL$14,AL$19,),""),IF($I54=2,IFBLANK(_xldudf_CX_PUSH(AL54,CX_ENTITY,$B54,AL$11,AL$14,AL$19,),""),IF($I54=3,"",IFBLANK(_xldudf_CX_PUSH(AL54,CX_ENTITY,$B54,AL$11,AL$14,AL$19,),"")))))),"")</f>
        <v/>
      </c>
      <c r="DM54" s="2445" t="str" cm="1">
        <f t="array" ca="1" aca="1" ref="DM54">IFERROR(IF(AM54*fxVal_normal=_PL!AM54,"",IF(OR(AM54="",NOT(ISNUMBER(AM54)),ISERROR(AM54),$B54=""),"",IF($I54=1,IFBLANK(_xldudf_CX_PUSH(AM54*fxVal_normal,CX_ENTITY,$B54,AM$11,AM$14,AM$19,),""),IF($I54=2,IFBLANK(_xldudf_CX_PUSH(AM54,CX_ENTITY,$B54,AM$11,AM$14,AM$19,),""),IF($I54=3,"",IFBLANK(_xldudf_CX_PUSH(AM54,CX_ENTITY,$B54,AM$11,AM$14,AM$19,),"")))))),"")</f>
        <v/>
      </c>
      <c r="DN54" s="2445" t="str" cm="1">
        <f t="array" ca="1" aca="1" ref="DN54">IFERROR(IF(AN54*fxVal_normal=_PL!AN54,"",IF(OR(AN54="",NOT(ISNUMBER(AN54)),ISERROR(AN54),$B54=""),"",IF($I54=1,IFBLANK(_xldudf_CX_PUSH(AN54*fxVal_normal,CX_ENTITY,$B54,AN$11,AN$14,AN$19,),""),IF($I54=2,IFBLANK(_xldudf_CX_PUSH(AN54,CX_ENTITY,$B54,AN$11,AN$14,AN$19,),""),IF($I54=3,"",IFBLANK(_xldudf_CX_PUSH(AN54,CX_ENTITY,$B54,AN$11,AN$14,AN$19,),"")))))),"")</f>
        <v/>
      </c>
      <c r="DO54" s="2445" t="str" cm="1">
        <f t="array" ca="1" aca="1" ref="DO54">IFERROR(IF(AO54*fxVal_normal=_PL!AO54,"",IF(OR(AO54="",NOT(ISNUMBER(AO54)),ISERROR(AO54),$B54=""),"",IF($I54=1,IFBLANK(_xldudf_CX_PUSH(AO54*fxVal_normal,CX_ENTITY,$B54,AO$11,AO$14,AO$19,),""),IF($I54=2,IFBLANK(_xldudf_CX_PUSH(AO54,CX_ENTITY,$B54,AO$11,AO$14,AO$19,),""),IF($I54=3,"",IFBLANK(_xldudf_CX_PUSH(AO54,CX_ENTITY,$B54,AO$11,AO$14,AO$19,),"")))))),"")</f>
        <v/>
      </c>
      <c r="DP54" s="2445" t="str" cm="1">
        <f t="array" ca="1" aca="1" ref="DP54">IFERROR(IF(AP54*fxVal_normal=_PL!AP54,"",IF(OR(AP54="",NOT(ISNUMBER(AP54)),ISERROR(AP54),$B54=""),"",IF($I54=1,IFBLANK(_xldudf_CX_PUSH(AP54*fxVal_normal,CX_ENTITY,$B54,AP$11,AP$14,AP$19,),""),IF($I54=2,IFBLANK(_xldudf_CX_PUSH(AP54,CX_ENTITY,$B54,AP$11,AP$14,AP$19,),""),IF($I54=3,"",IFBLANK(_xldudf_CX_PUSH(AP54,CX_ENTITY,$B54,AP$11,AP$14,AP$19,),"")))))),"")</f>
        <v/>
      </c>
      <c r="DQ54" s="2445" t="str" cm="1">
        <f t="array" ca="1" aca="1" ref="DQ54">IFERROR(IF(AQ54*fxVal_normal=_PL!AQ54,"",IF(OR(AQ54="",NOT(ISNUMBER(AQ54)),ISERROR(AQ54),$B54=""),"",IF($I54=1,IFBLANK(_xldudf_CX_PUSH(AQ54*fxVal_normal,CX_ENTITY,$B54,AQ$11,AQ$14,AQ$19,),""),IF($I54=2,IFBLANK(_xldudf_CX_PUSH(AQ54,CX_ENTITY,$B54,AQ$11,AQ$14,AQ$19,),""),IF($I54=3,"",IFBLANK(_xldudf_CX_PUSH(AQ54,CX_ENTITY,$B54,AQ$11,AQ$14,AQ$19,),"")))))),"")</f>
        <v/>
      </c>
      <c r="DR54" s="2445" t="str" cm="1">
        <f t="array" ca="1" aca="1" ref="DR54">IFERROR(IF(AR54*fxVal_normal=_PL!AR54,"",IF(OR(AR54="",NOT(ISNUMBER(AR54)),ISERROR(AR54),$B54=""),"",IF($I54=1,IFBLANK(_xldudf_CX_PUSH(AR54*fxVal_normal,CX_ENTITY,$B54,AR$11,AR$14,AR$19,),""),IF($I54=2,IFBLANK(_xldudf_CX_PUSH(AR54,CX_ENTITY,$B54,AR$11,AR$14,AR$19,),""),IF($I54=3,"",IFBLANK(_xldudf_CX_PUSH(AR54,CX_ENTITY,$B54,AR$11,AR$14,AR$19,),"")))))),"")</f>
        <v/>
      </c>
      <c r="DS54" s="2445" t="str" cm="1">
        <f t="array" ca="1" aca="1" ref="DS54">IFERROR(IF(AS54*fxVal_normal=_PL!AS54,"",IF(OR(AS54="",NOT(ISNUMBER(AS54)),ISERROR(AS54),$B54=""),"",IF($I54=1,IFBLANK(_xldudf_CX_PUSH(AS54*fxVal_normal,CX_ENTITY,$B54,AS$11,AS$14,AS$19,),""),IF($I54=2,IFBLANK(_xldudf_CX_PUSH(AS54,CX_ENTITY,$B54,AS$11,AS$14,AS$19,),""),IF($I54=3,"",IFBLANK(_xldudf_CX_PUSH(AS54,CX_ENTITY,$B54,AS$11,AS$14,AS$19,),"")))))),"")</f>
        <v/>
      </c>
      <c r="DT54" s="2445" t="str" cm="1">
        <f t="array" ca="1" aca="1" ref="DT54">IFERROR(IF(AT54*fxVal_normal=_PL!AT54,"",IF(OR(AT54="",NOT(ISNUMBER(AT54)),ISERROR(AT54),$B54=""),"",IF($I54=1,IFBLANK(_xldudf_CX_PUSH(AT54*fxVal_normal,CX_ENTITY,$B54,AT$11,AT$14,AT$19,),""),IF($I54=2,IFBLANK(_xldudf_CX_PUSH(AT54,CX_ENTITY,$B54,AT$11,AT$14,AT$19,),""),IF($I54=3,"",IFBLANK(_xldudf_CX_PUSH(AT54,CX_ENTITY,$B54,AT$11,AT$14,AT$19,),"")))))),"")</f>
        <v/>
      </c>
      <c r="DU54" s="2445" t="str" cm="1">
        <f t="array" ca="1" aca="1" ref="DU54">IFERROR(IF(AU54*fxVal_normal=_PL!AU54,"",IF(OR(AU54="",NOT(ISNUMBER(AU54)),ISERROR(AU54),$B54=""),"",IF($I54=1,IFBLANK(_xldudf_CX_PUSH(AU54*fxVal_normal,CX_ENTITY,$B54,AU$11,AU$14,AU$19,),""),IF($I54=2,IFBLANK(_xldudf_CX_PUSH(AU54,CX_ENTITY,$B54,AU$11,AU$14,AU$19,),""),IF($I54=3,"",IFBLANK(_xldudf_CX_PUSH(AU54,CX_ENTITY,$B54,AU$11,AU$14,AU$19,),"")))))),"")</f>
        <v/>
      </c>
      <c r="DV54" s="2445" t="str" cm="1">
        <f t="array" ca="1" aca="1" ref="DV54">IFERROR(IF(AV54*fxVal_normal=_PL!AV54,"",IF(OR(AV54="",NOT(ISNUMBER(AV54)),ISERROR(AV54),$B54=""),"",IF($I54=1,IFBLANK(_xldudf_CX_PUSH(AV54*fxVal_normal,CX_ENTITY,$B54,AV$11,AV$14,AV$19,),""),IF($I54=2,IFBLANK(_xldudf_CX_PUSH(AV54,CX_ENTITY,$B54,AV$11,AV$14,AV$19,),""),IF($I54=3,"",IFBLANK(_xldudf_CX_PUSH(AV54,CX_ENTITY,$B54,AV$11,AV$14,AV$19,),"")))))),"")</f>
        <v/>
      </c>
      <c r="DW54" s="2445" t="str" cm="1">
        <f t="array" ca="1" aca="1" ref="DW54">IFERROR(IF(AW54*fxVal_normal=_PL!AW54,"",IF(OR(AW54="",NOT(ISNUMBER(AW54)),ISERROR(AW54),$B54=""),"",IF($I54=1,IFBLANK(_xldudf_CX_PUSH(AW54*fxVal_normal,CX_ENTITY,$B54,AW$11,AW$14,AW$19,),""),IF($I54=2,IFBLANK(_xldudf_CX_PUSH(AW54,CX_ENTITY,$B54,AW$11,AW$14,AW$19,),""),IF($I54=3,"",IFBLANK(_xldudf_CX_PUSH(AW54,CX_ENTITY,$B54,AW$11,AW$14,AW$19,),"")))))),"")</f>
        <v/>
      </c>
      <c r="DX54" s="2445" t="str" cm="1">
        <f t="array" ca="1" aca="1" ref="DX54">IFERROR(IF(AX54*fxVal_normal=_PL!AX54,"",IF(OR(AX54="",NOT(ISNUMBER(AX54)),ISERROR(AX54),$B54=""),"",IF($I54=1,IFBLANK(_xldudf_CX_PUSH(AX54*fxVal_normal,CX_ENTITY,$B54,AX$11,AX$14,AX$19,),""),IF($I54=2,IFBLANK(_xldudf_CX_PUSH(AX54,CX_ENTITY,$B54,AX$11,AX$14,AX$19,),""),IF($I54=3,"",IFBLANK(_xldudf_CX_PUSH(AX54,CX_ENTITY,$B54,AX$11,AX$14,AX$19,),"")))))),"")</f>
        <v/>
      </c>
      <c r="DY54" s="2445" t="str" cm="1">
        <f t="array" ca="1" aca="1" ref="DY54">IFERROR(IF(AY54*fxVal_normal=_PL!AY54,"",IF(OR(AY54="",NOT(ISNUMBER(AY54)),ISERROR(AY54),$B54=""),"",IF($I54=1,IFBLANK(_xldudf_CX_PUSH(AY54*fxVal_normal,CX_ENTITY,$B54,AY$11,AY$14,AY$19,),""),IF($I54=2,IFBLANK(_xldudf_CX_PUSH(AY54,CX_ENTITY,$B54,AY$11,AY$14,AY$19,),""),IF($I54=3,"",IFBLANK(_xldudf_CX_PUSH(AY54,CX_ENTITY,$B54,AY$11,AY$14,AY$19,),"")))))),"")</f>
        <v/>
      </c>
      <c r="DZ54" s="2445" t="str" cm="1">
        <f t="array" ca="1" aca="1" ref="DZ54">IFERROR(IF(AZ54*fxVal_normal=_PL!AZ54,"",IF(OR(AZ54="",NOT(ISNUMBER(AZ54)),ISERROR(AZ54),$B54=""),"",IF($I54=1,IFBLANK(_xldudf_CX_PUSH(AZ54*fxVal_normal,CX_ENTITY,$B54,AZ$11,AZ$14,AZ$19,),""),IF($I54=2,IFBLANK(_xldudf_CX_PUSH(AZ54,CX_ENTITY,$B54,AZ$11,AZ$14,AZ$19,),""),IF($I54=3,"",IFBLANK(_xldudf_CX_PUSH(AZ54,CX_ENTITY,$B54,AZ$11,AZ$14,AZ$19,),"")))))),"")</f>
        <v/>
      </c>
      <c r="EA54" s="2445" t="str" cm="1">
        <f t="array" ca="1" aca="1" ref="EA54">IFERROR(IF(BA54*fxVal_normal=_PL!BA54,"",IF(OR(BA54="",NOT(ISNUMBER(BA54)),ISERROR(BA54),$B54=""),"",IF($I54=1,IFBLANK(_xldudf_CX_PUSH(BA54*fxVal_normal,CX_ENTITY,$B54,BA$11,BA$14,BA$19,),""),IF($I54=2,IFBLANK(_xldudf_CX_PUSH(BA54,CX_ENTITY,$B54,BA$11,BA$14,BA$19,),""),IF($I54=3,"",IFBLANK(_xldudf_CX_PUSH(BA54,CX_ENTITY,$B54,BA$11,BA$14,BA$19,),"")))))),"")</f>
        <v/>
      </c>
      <c r="EB54" s="2445" t="str" cm="1">
        <f t="array" ca="1" aca="1" ref="EB54">IFERROR(IF(BB54*fxVal_normal=_PL!BB54,"",IF(OR(BB54="",NOT(ISNUMBER(BB54)),ISERROR(BB54),$B54=""),"",IF($I54=1,IFBLANK(_xldudf_CX_PUSH(BB54*fxVal_normal,CX_ENTITY,$B54,BB$11,BB$14,BB$19,),""),IF($I54=2,IFBLANK(_xldudf_CX_PUSH(BB54,CX_ENTITY,$B54,BB$11,BB$14,BB$19,),""),IF($I54=3,"",IFBLANK(_xldudf_CX_PUSH(BB54,CX_ENTITY,$B54,BB$11,BB$14,BB$19,),"")))))),"")</f>
        <v/>
      </c>
      <c r="EC54" s="2445" t="str" cm="1">
        <f t="array" ca="1" aca="1" ref="EC54">IFERROR(IF(BC54*fxVal_normal=_PL!BC54,"",IF(OR(BC54="",NOT(ISNUMBER(BC54)),ISERROR(BC54),$B54=""),"",IF($I54=1,IFBLANK(_xldudf_CX_PUSH(BC54*fxVal_normal,CX_ENTITY,$B54,BC$11,BC$14,BC$19,),""),IF($I54=2,IFBLANK(_xldudf_CX_PUSH(BC54,CX_ENTITY,$B54,BC$11,BC$14,BC$19,),""),IF($I54=3,"",IFBLANK(_xldudf_CX_PUSH(BC54,CX_ENTITY,$B54,BC$11,BC$14,BC$19,),"")))))),"")</f>
        <v/>
      </c>
      <c r="ED54" s="2445" t="str" cm="1">
        <f t="array" ca="1" aca="1" ref="ED54">IFERROR(IF(BD54*fxVal_normal=_PL!BD54,"",IF(OR(BD54="",NOT(ISNUMBER(BD54)),ISERROR(BD54),$B54=""),"",IF($I54=1,IFBLANK(_xldudf_CX_PUSH(BD54*fxVal_normal,CX_ENTITY,$B54,BD$11,BD$14,BD$19,),""),IF($I54=2,IFBLANK(_xldudf_CX_PUSH(BD54,CX_ENTITY,$B54,BD$11,BD$14,BD$19,),""),IF($I54=3,"",IFBLANK(_xldudf_CX_PUSH(BD54,CX_ENTITY,$B54,BD$11,BD$14,BD$19,),"")))))),"")</f>
        <v/>
      </c>
      <c r="EE54" s="2445" t="str" cm="1">
        <f t="array" ca="1" aca="1" ref="EE54">IFERROR(IF(BE54*fxVal_normal=_PL!BE54,"",IF(OR(BE54="",NOT(ISNUMBER(BE54)),ISERROR(BE54),$B54=""),"",IF($I54=1,IFBLANK(_xldudf_CX_PUSH(BE54*fxVal_normal,CX_ENTITY,$B54,BE$11,BE$14,BE$19,),""),IF($I54=2,IFBLANK(_xldudf_CX_PUSH(BE54,CX_ENTITY,$B54,BE$11,BE$14,BE$19,),""),IF($I54=3,"",IFBLANK(_xldudf_CX_PUSH(BE54,CX_ENTITY,$B54,BE$11,BE$14,BE$19,),"")))))),"")</f>
        <v/>
      </c>
      <c r="EF54" s="2445" t="str" cm="1">
        <f t="array" ca="1" aca="1" ref="EF54">IFERROR(IF(BF54*fxVal_normal=_PL!BF54,"",IF(OR(BF54="",NOT(ISNUMBER(BF54)),ISERROR(BF54),$B54=""),"",IF($I54=1,IFBLANK(_xldudf_CX_PUSH(BF54*fxVal_normal,CX_ENTITY,$B54,BF$11,BF$14,BF$19,),""),IF($I54=2,IFBLANK(_xldudf_CX_PUSH(BF54,CX_ENTITY,$B54,BF$11,BF$14,BF$19,),""),IF($I54=3,"",IFBLANK(_xldudf_CX_PUSH(BF54,CX_ENTITY,$B54,BF$11,BF$14,BF$19,),"")))))),"")</f>
        <v/>
      </c>
      <c r="EG54" s="2445" t="str" cm="1">
        <f t="array" ca="1" aca="1" ref="EG54">IFERROR(IF(BG54*fxVal_normal=_PL!BG54,"",IF(OR(BG54="",NOT(ISNUMBER(BG54)),ISERROR(BG54),$B54=""),"",IF($I54=1,IFBLANK(_xldudf_CX_PUSH(BG54*fxVal_normal,CX_ENTITY,$B54,BG$11,BG$14,BG$19,),""),IF($I54=2,IFBLANK(_xldudf_CX_PUSH(BG54,CX_ENTITY,$B54,BG$11,BG$14,BG$19,),""),IF($I54=3,"",IFBLANK(_xldudf_CX_PUSH(BG54,CX_ENTITY,$B54,BG$11,BG$14,BG$19,),"")))))),"")</f>
        <v/>
      </c>
      <c r="EH54" s="2445" t="str" cm="1">
        <f t="array" ca="1" aca="1" ref="EH54">IFERROR(IF(BH54*fxVal_normal=_PL!BH54,"",IF(OR(BH54="",NOT(ISNUMBER(BH54)),ISERROR(BH54),$B54=""),"",IF($I54=1,IFBLANK(_xldudf_CX_PUSH(BH54*fxVal_normal,CX_ENTITY,$B54,BH$11,BH$14,BH$19,),""),IF($I54=2,IFBLANK(_xldudf_CX_PUSH(BH54,CX_ENTITY,$B54,BH$11,BH$14,BH$19,),""),IF($I54=3,"",IFBLANK(_xldudf_CX_PUSH(BH54,CX_ENTITY,$B54,BH$11,BH$14,BH$19,),"")))))),"")</f>
        <v/>
      </c>
      <c r="EI54" s="2445" t="str" cm="1">
        <f t="array" ca="1" aca="1" ref="EI54">IFERROR(IF(BI54*fxVal_normal=_PL!BI54,"",IF(OR(BI54="",NOT(ISNUMBER(BI54)),ISERROR(BI54),$B54=""),"",IF($I54=1,IFBLANK(_xldudf_CX_PUSH(BI54*fxVal_normal,CX_ENTITY,$B54,BI$11,BI$14,BI$19,),""),IF($I54=2,IFBLANK(_xldudf_CX_PUSH(BI54,CX_ENTITY,$B54,BI$11,BI$14,BI$19,),""),IF($I54=3,"",IFBLANK(_xldudf_CX_PUSH(BI54,CX_ENTITY,$B54,BI$11,BI$14,BI$19,),"")))))),"")</f>
        <v/>
      </c>
      <c r="EJ54" s="2445" t="str" cm="1">
        <f t="array" ca="1" aca="1" ref="EJ54">IFERROR(IF(BJ54*fxVal_normal=_PL!BJ54,"",IF(OR(BJ54="",NOT(ISNUMBER(BJ54)),ISERROR(BJ54),$B54=""),"",IF($I54=1,IFBLANK(_xldudf_CX_PUSH(BJ54*fxVal_normal,CX_ENTITY,$B54,BJ$11,BJ$14,BJ$19,),""),IF($I54=2,IFBLANK(_xldudf_CX_PUSH(BJ54,CX_ENTITY,$B54,BJ$11,BJ$14,BJ$19,),""),IF($I54=3,"",IFBLANK(_xldudf_CX_PUSH(BJ54,CX_ENTITY,$B54,BJ$11,BJ$14,BJ$19,),"")))))),"")</f>
        <v/>
      </c>
      <c r="EK54" s="2445" t="str" cm="1">
        <f t="array" ca="1" aca="1" ref="EK54">IFERROR(IF(BK54*fxVal_normal=_PL!BK54,"",IF(OR(BK54="",NOT(ISNUMBER(BK54)),ISERROR(BK54),$B54=""),"",IF($I54=1,IFBLANK(_xldudf_CX_PUSH(BK54*fxVal_normal,CX_ENTITY,$B54,BK$11,BK$14,BK$19,),""),IF($I54=2,IFBLANK(_xldudf_CX_PUSH(BK54,CX_ENTITY,$B54,BK$11,BK$14,BK$19,),""),IF($I54=3,"",IFBLANK(_xldudf_CX_PUSH(BK54,CX_ENTITY,$B54,BK$11,BK$14,BK$19,),"")))))),"")</f>
        <v/>
      </c>
      <c r="EL54" s="2445" t="str" cm="1">
        <f t="array" ca="1" aca="1" ref="EL54">IFERROR(IF(BL54*fxVal_normal=_PL!BL54,"",IF(OR(BL54="",NOT(ISNUMBER(BL54)),ISERROR(BL54),$B54=""),"",IF($I54=1,IFBLANK(_xldudf_CX_PUSH(BL54*fxVal_normal,CX_ENTITY,$B54,BL$11,BL$14,BL$19,),""),IF($I54=2,IFBLANK(_xldudf_CX_PUSH(BL54,CX_ENTITY,$B54,BL$11,BL$14,BL$19,),""),IF($I54=3,"",IFBLANK(_xldudf_CX_PUSH(BL54,CX_ENTITY,$B54,BL$11,BL$14,BL$19,),"")))))),"")</f>
        <v/>
      </c>
      <c r="EM54" s="2445" t="str" cm="1">
        <f t="array" ca="1" aca="1" ref="EM54">IFERROR(IF(BM54*fxVal_normal=_PL!BM54,"",IF(OR(BM54="",NOT(ISNUMBER(BM54)),ISERROR(BM54),$B54=""),"",IF($I54=1,IFBLANK(_xldudf_CX_PUSH(BM54*fxVal_normal,CX_ENTITY,$B54,BM$11,BM$14,BM$19,),""),IF($I54=2,IFBLANK(_xldudf_CX_PUSH(BM54,CX_ENTITY,$B54,BM$11,BM$14,BM$19,),""),IF($I54=3,"",IFBLANK(_xldudf_CX_PUSH(BM54,CX_ENTITY,$B54,BM$11,BM$14,BM$19,),"")))))),"")</f>
        <v/>
      </c>
      <c r="EN54" s="2445" t="str" cm="1">
        <f t="array" ca="1" aca="1" ref="EN54">IFERROR(IF(BN54*fxVal_normal=_PL!BN54,"",IF(OR(BN54="",NOT(ISNUMBER(BN54)),ISERROR(BN54),$B54=""),"",IF($I54=1,IFBLANK(_xldudf_CX_PUSH(BN54*fxVal_normal,CX_ENTITY,$B54,BN$11,BN$14,BN$19,),""),IF($I54=2,IFBLANK(_xldudf_CX_PUSH(BN54,CX_ENTITY,$B54,BN$11,BN$14,BN$19,),""),IF($I54=3,"",IFBLANK(_xldudf_CX_PUSH(BN54,CX_ENTITY,$B54,BN$11,BN$14,BN$19,),"")))))),"")</f>
        <v/>
      </c>
    </row>
    <row r="55" spans="1:147" ht="20.15" customHeight="1">
      <c r="A55" s="1625"/>
      <c r="B55" s="2439" t="str">
        <f>_xlfn.LET(_xlpm.IsNotAttrDynamic,D55="",_xlpm.Attr,_PL!F55,_xlpm.NotInUse,Y55=D55,_xlpm.RESULT,IF(_xlpm.IsNotAttrDynamic,_xlpm.Attr,IF(_xlpm.NotInUse,"",Y55)),IF(_xlpm.RESULT="","",_xlpm.RESULT))</f>
        <v/>
      </c>
      <c r="C55" s="2439" t="str" cm="1">
        <f t="array" ref="C55">IFBLANK(_PL!C55,"")</f>
        <v/>
      </c>
      <c r="D55" s="1548"/>
      <c r="E55" s="2453"/>
      <c r="F55" s="578"/>
      <c r="G55" s="578"/>
      <c r="H55" s="401"/>
      <c r="I55" s="401"/>
      <c r="J55" s="401" t="str" cm="1">
        <f t="array" ref="J55">IFBLANK(Z55,"")</f>
        <v/>
      </c>
      <c r="K55" s="578" t="str">
        <f t="shared" si="3"/>
        <v>No</v>
      </c>
      <c r="L55" s="37"/>
      <c r="N55" s="158"/>
      <c r="O55" s="101"/>
      <c r="P55" s="52"/>
      <c r="Q55" s="101"/>
      <c r="R55" s="539"/>
      <c r="S55" s="101"/>
      <c r="T55" s="101"/>
      <c r="U55" s="39"/>
      <c r="V55" s="37"/>
      <c r="W55" s="2471"/>
      <c r="X55" s="547"/>
      <c r="Y55" s="2472"/>
      <c r="Z55" s="546"/>
      <c r="AA55" s="546"/>
      <c r="AB55" s="546"/>
      <c r="AC55" s="546"/>
      <c r="AD55" s="2473"/>
      <c r="AE55" s="2473"/>
      <c r="AF55" s="2473"/>
      <c r="AG55" s="2473"/>
      <c r="AH55" s="2473"/>
      <c r="AI55" s="2473"/>
      <c r="AJ55" s="2473"/>
      <c r="AK55" s="2473"/>
      <c r="AL55" s="2473"/>
      <c r="AM55" s="2473"/>
      <c r="AN55" s="2473"/>
      <c r="AO55" s="2473"/>
      <c r="AP55" s="2473"/>
      <c r="AQ55" s="2473"/>
      <c r="AR55" s="2473"/>
      <c r="AS55" s="2473"/>
      <c r="AT55" s="2473"/>
      <c r="AU55" s="2473"/>
      <c r="AV55" s="2473"/>
      <c r="AW55" s="2473"/>
      <c r="AX55" s="2473"/>
      <c r="AY55" s="2473"/>
      <c r="AZ55" s="2473"/>
      <c r="BA55" s="2473"/>
      <c r="BB55" s="2473"/>
      <c r="BC55" s="2473"/>
      <c r="BD55" s="2473"/>
      <c r="BE55" s="2473"/>
      <c r="BF55" s="2473"/>
      <c r="BG55" s="2473"/>
      <c r="BH55" s="2473"/>
      <c r="BI55" s="2473"/>
      <c r="BJ55" s="2473"/>
      <c r="BK55" s="2473"/>
      <c r="BL55" s="2473"/>
      <c r="BM55" s="2473"/>
      <c r="BN55" s="2473"/>
      <c r="BO55" s="2473"/>
      <c r="BP55" s="2473"/>
      <c r="BQ55" s="2473"/>
      <c r="BR55" s="2473"/>
      <c r="BS55" s="2473"/>
      <c r="BT55" s="2473"/>
      <c r="BU55" s="2473"/>
      <c r="BV55" s="2473"/>
      <c r="BW55" s="2473"/>
      <c r="BX55" s="2473"/>
      <c r="BY55" s="2473"/>
      <c r="BZ55" s="2473"/>
      <c r="CA55" s="34"/>
      <c r="CC55" s="2455"/>
      <c r="CD55" s="177"/>
      <c r="CE55" s="177"/>
      <c r="CF55" s="178"/>
      <c r="CG55" s="177"/>
      <c r="CH55" s="177"/>
      <c r="CI55" s="88"/>
      <c r="CJ55" s="2456"/>
      <c r="CK55" s="2456"/>
      <c r="CL55" s="88"/>
      <c r="CM55" s="2456"/>
      <c r="CN55" s="2457"/>
      <c r="CO55" s="88"/>
      <c r="CP55" s="2456"/>
      <c r="CQ55" s="2457"/>
      <c r="CR55" s="34"/>
      <c r="CS55" s="2056"/>
      <c r="CT55" s="1880"/>
      <c r="CU55" s="1880"/>
      <c r="CV55" s="1880"/>
      <c r="CW55" s="1880"/>
      <c r="CX55" s="2121"/>
      <c r="CY55" s="1880"/>
      <c r="CZ55" s="1880"/>
      <c r="DA55" s="1880"/>
      <c r="DB55" s="1880"/>
      <c r="DC55" s="2121"/>
      <c r="DD55" s="1880"/>
      <c r="DE55" s="1880"/>
      <c r="DF55" s="1880"/>
      <c r="DG55" s="1880"/>
      <c r="DH55" s="1880"/>
      <c r="DI55" s="1880"/>
      <c r="DJ55" s="1880"/>
      <c r="DK55" s="1880"/>
      <c r="DL55" s="1880"/>
      <c r="DM55" s="1880"/>
      <c r="DN55" s="1880"/>
      <c r="DO55" s="1880"/>
      <c r="DP55" s="1880"/>
      <c r="DQ55" s="1880"/>
      <c r="DR55" s="1880"/>
      <c r="DS55" s="1880"/>
      <c r="DT55" s="1880"/>
      <c r="DU55" s="1880"/>
      <c r="DV55" s="1880"/>
      <c r="DW55" s="1880"/>
      <c r="DX55" s="1880"/>
      <c r="DY55" s="1880"/>
      <c r="DZ55" s="1880"/>
      <c r="EA55" s="1880"/>
      <c r="EB55" s="1880"/>
      <c r="EC55" s="1880"/>
      <c r="ED55" s="1880"/>
      <c r="EE55" s="1880"/>
      <c r="EF55" s="1880"/>
      <c r="EG55" s="1880"/>
      <c r="EH55" s="1880"/>
      <c r="EI55" s="1880"/>
      <c r="EJ55" s="1880"/>
      <c r="EK55" s="1880"/>
      <c r="EL55" s="1880"/>
      <c r="EM55" s="1880"/>
      <c r="EN55" s="1880"/>
      <c r="EO55" s="1880"/>
      <c r="EP55" s="1880"/>
      <c r="EQ55" s="1880"/>
    </row>
    <row r="56" spans="1:147" ht="35.25" customHeight="1">
      <c r="A56" s="2427"/>
      <c r="B56" s="2439" t="str">
        <f>_xlfn.LET(_xlpm.IsNotAttrDynamic,D56="",_xlpm.Attr,_PL!F56,_xlpm.NotInUse,Y56=D56,_xlpm.RESULT,IF(_xlpm.IsNotAttrDynamic,_xlpm.Attr,IF(_xlpm.NotInUse,"",Y56)),IF(_xlpm.RESULT="","",_xlpm.RESULT))</f>
        <v/>
      </c>
      <c r="C56" s="2439" t="str" cm="1">
        <f t="array" ref="C56">IFBLANK(_PL!C56,"")</f>
        <v/>
      </c>
      <c r="D56" s="2458"/>
      <c r="E56" s="572"/>
      <c r="F56" s="2459"/>
      <c r="G56" s="578"/>
      <c r="H56" s="401"/>
      <c r="I56" s="401"/>
      <c r="J56" s="401" t="str" cm="1">
        <f t="array" ref="J56">IFBLANK(Z56,"")</f>
        <v/>
      </c>
      <c r="K56" s="578" t="str">
        <f t="shared" si="17" ref="K56:K91">IFERROR(IF(LEN(AB56)=0,"No",IF(LEN(J56)&gt;0,"Yes","No")),"")</f>
        <v>No</v>
      </c>
      <c r="L56" s="37"/>
      <c r="N56" s="158"/>
      <c r="O56" s="101"/>
      <c r="P56" s="52"/>
      <c r="Q56" s="2"/>
      <c r="R56" s="539"/>
      <c r="S56" s="2"/>
      <c r="T56" s="2"/>
      <c r="U56" s="39"/>
      <c r="V56" s="37"/>
      <c r="W56" s="3034" t="s">
        <v>94</v>
      </c>
      <c r="X56" s="2474"/>
      <c r="Y56" s="2475" t="s">
        <v>105</v>
      </c>
      <c r="Z56" s="1258"/>
      <c r="AA56" s="1259"/>
      <c r="AB56" s="1258"/>
      <c r="AC56" s="1254"/>
      <c r="AD56" s="1254"/>
      <c r="AE56" s="1260"/>
      <c r="AF56" s="1260"/>
      <c r="AG56" s="1260"/>
      <c r="AH56" s="1260"/>
      <c r="AI56" s="1260"/>
      <c r="AJ56" s="1260"/>
      <c r="AK56" s="1260"/>
      <c r="AL56" s="1260"/>
      <c r="AM56" s="1260"/>
      <c r="AN56" s="1260"/>
      <c r="AO56" s="1260"/>
      <c r="AP56" s="1260"/>
      <c r="AQ56" s="1260"/>
      <c r="AR56" s="1260"/>
      <c r="AS56" s="1260"/>
      <c r="AT56" s="1260"/>
      <c r="AU56" s="1260"/>
      <c r="AV56" s="1260"/>
      <c r="AW56" s="1260"/>
      <c r="AX56" s="1260"/>
      <c r="AY56" s="1260"/>
      <c r="AZ56" s="1260"/>
      <c r="BA56" s="1260"/>
      <c r="BB56" s="1260"/>
      <c r="BC56" s="1260"/>
      <c r="BD56" s="1260"/>
      <c r="BE56" s="1260"/>
      <c r="BF56" s="1260"/>
      <c r="BG56" s="1260"/>
      <c r="BH56" s="1260"/>
      <c r="BI56" s="1260"/>
      <c r="BJ56" s="1260"/>
      <c r="BK56" s="1260"/>
      <c r="BL56" s="1260"/>
      <c r="BM56" s="1260"/>
      <c r="BN56" s="1261"/>
      <c r="BO56" s="2098"/>
      <c r="BP56" s="2098"/>
      <c r="BQ56" s="2098"/>
      <c r="BR56" s="2098"/>
      <c r="BS56" s="2098"/>
      <c r="BT56" s="2098"/>
      <c r="BU56" s="2098"/>
      <c r="BV56" s="2098"/>
      <c r="BW56" s="2098"/>
      <c r="BX56" s="2098"/>
      <c r="BY56" s="2098"/>
      <c r="BZ56" s="2098"/>
      <c r="CA56" s="34"/>
      <c r="CC56" s="33"/>
      <c r="CD56" s="1265"/>
      <c r="CE56" s="1266"/>
      <c r="CF56" s="88"/>
      <c r="CG56" s="1265"/>
      <c r="CH56" s="1266"/>
      <c r="CI56" s="170"/>
      <c r="CJ56" s="1265"/>
      <c r="CK56" s="1266"/>
      <c r="CL56" s="88"/>
      <c r="CM56" s="1736"/>
      <c r="CN56" s="1737"/>
      <c r="CO56" s="88"/>
      <c r="CP56" s="2476"/>
      <c r="CQ56" s="2477"/>
      <c r="CR56" s="34"/>
      <c r="CS56" s="2056"/>
      <c r="CT56" s="1880"/>
      <c r="CU56" s="1880"/>
      <c r="CV56" s="1880"/>
      <c r="CW56" s="1880"/>
      <c r="CX56" s="2121"/>
      <c r="CY56" s="1880"/>
      <c r="CZ56" s="1880"/>
      <c r="DA56" s="1880"/>
      <c r="DB56" s="1880"/>
      <c r="DC56" s="2121"/>
      <c r="DD56" s="1880"/>
      <c r="DE56" s="1880"/>
      <c r="DF56" s="1880"/>
      <c r="DG56" s="1880"/>
      <c r="DH56" s="1880"/>
      <c r="DI56" s="1880"/>
      <c r="DJ56" s="1880"/>
      <c r="DK56" s="1880"/>
      <c r="DL56" s="1880"/>
      <c r="DM56" s="1880"/>
      <c r="DN56" s="1880"/>
      <c r="DO56" s="1880"/>
      <c r="DP56" s="1880"/>
      <c r="DQ56" s="1880"/>
      <c r="DR56" s="1880"/>
      <c r="DS56" s="1880"/>
      <c r="DT56" s="1880"/>
      <c r="DU56" s="1880"/>
      <c r="DV56" s="1880"/>
      <c r="DW56" s="1880"/>
      <c r="DX56" s="1880"/>
      <c r="DY56" s="1880"/>
      <c r="DZ56" s="1880"/>
      <c r="EA56" s="1880"/>
      <c r="EB56" s="1880"/>
      <c r="EC56" s="1880"/>
      <c r="ED56" s="1880"/>
      <c r="EE56" s="1880"/>
      <c r="EF56" s="1880"/>
      <c r="EG56" s="1880"/>
      <c r="EH56" s="1880"/>
      <c r="EI56" s="1880"/>
      <c r="EJ56" s="1880"/>
      <c r="EK56" s="1880"/>
      <c r="EL56" s="1880"/>
      <c r="EM56" s="1880"/>
      <c r="EN56" s="1880"/>
      <c r="EO56" s="1880"/>
      <c r="EP56" s="1880"/>
      <c r="EQ56" s="1880"/>
    </row>
    <row r="57" spans="1:144" ht="21" customHeight="1">
      <c r="A57" s="1626" t="s">
        <v>96</v>
      </c>
      <c r="B57" s="2439" t="str">
        <f ca="1">_xlfn.LET(_xlpm.IsNotAttrDynamic,D57="",_xlpm.Attr,_PL!F57,_xlpm.NotInUse,Y57=D57,_xlpm.RESULT,IF(_xlpm.IsNotAttrDynamic,_xlpm.Attr,IF(_xlpm.NotInUse,"",Y57)),IF(_xlpm.RESULT="","",_xlpm.RESULT))</f>
        <v>Custom Metric Amount 1 [Calculated]</v>
      </c>
      <c r="C57" s="2439" t="str" cm="1">
        <f t="array" ref="C57">IFBLANK(_PL!C57,"")</f>
        <v>Custom Metric - Label 1 [Calculated]</v>
      </c>
      <c r="D57" s="1548"/>
      <c r="E57" s="577"/>
      <c r="F57" s="578"/>
      <c r="G57" s="578"/>
      <c r="H57" s="3280">
        <v>1</v>
      </c>
      <c r="I57" s="3280">
        <v>1</v>
      </c>
      <c r="J57" s="3280">
        <v>1</v>
      </c>
      <c r="K57" s="578" t="str">
        <f ca="1">IFERROR(IF(LEN(AB57)=0,"No",IF(LEN(J57)&gt;0,"Yes","No")),"")</f>
        <v>Yes</v>
      </c>
      <c r="L57" s="37"/>
      <c r="N57" s="158"/>
      <c r="O57" s="101"/>
      <c r="P57" s="52"/>
      <c r="Q57" s="101"/>
      <c r="R57" s="539"/>
      <c r="S57" s="101"/>
      <c r="T57" s="101"/>
      <c r="U57" s="39"/>
      <c r="V57" s="37"/>
      <c r="W57" s="3035" t="str">
        <f t="shared" si="18" ref="W57:W66">$W$20</f>
        <v>Actual</v>
      </c>
      <c r="X57" s="2081" t="e">
        <f ca="1">_PL!X57</f>
        <v>#NAME?</v>
      </c>
      <c r="Y57" s="2375" t="str" cm="1">
        <f t="array" ca="1" aca="1" ref="Y57">_xlfn.LET(_xlpm._location,_xlfn.XLOOKUP("Custom Metric 1 - Calculation (Actual)",$Y$249:$Y$338,$Y$249:$Y$338),_xlpm._hyperlink,HYPERLINK("#"&amp;CELL("address",_xlpm._location),"Define your first custom metric!"),_xlpm.list,_xlfn._xlws.FILTER($Y$249:$Y$338,($X$249:$X$338=0)*ISNUMBER($X$249:$X$338)*($W$249:$W$338=$W57)*NOT(ISNUMBER(SEARCH("please",$Y$249:$Y$338)))),IFERROR(_xlpm.list,_xlpm._hyperlink))</f>
        <v>Define your first custom metric!</v>
      </c>
      <c r="Z57" s="878" cm="1">
        <f t="array" ref="Z57">_xlfn.SWITCH(TRUE,_PL!$L57=TRUE,1,_PL!$L57=FALSE,-1,_PL!$L57=-1,0,"")</f>
        <v>0</v>
      </c>
      <c r="AA57" s="877" t="str" cm="1">
        <f t="array" ca="1" aca="1" ref="AA57">IFERROR(_xlfn.LET(_xlpm._termname,$Y57,_xlpm._icon,"Define",_xlpm._location,_xlfn.XLOOKUP(_xlpm._termname,$Y$249:$Y$338,$Y$249:$Y$338),_xlpm._hyperlink,HYPERLINK("#"&amp;CELL("address",_xlpm._location),_xlpm._icon),IF(Y57="","",_xlpm._hyperlink)),"")</f>
        <v/>
      </c>
      <c r="AB57" s="1335" t="str" cm="1">
        <f t="array" ca="1" aca="1" ref="AB57">IFBLANK(Y57,"")</f>
        <v>Define your first custom metric!</v>
      </c>
      <c r="AC57" s="2468" t="str" cm="1">
        <f t="array" ca="1" aca="1" ref="AC57">_xlfn.LET(_xlpm._termname,$AB57,_xlpm._iconname,"find",_xlpm._icon,fx_getIcon(_xlpm._iconname),_xlpm._location,_xlfn.XLOOKUP(LOWER(_xlpm._termname),LOWER(tbl_acctDef[Term]),tbl_acctDef[Term]),_xlpm._hyperlink,HYPERLINK("#"&amp;CELL("address",_xlpm._location),_xlpm._icon),IFERROR(_xlpm._hyperlink,""))</f>
        <v/>
      </c>
      <c r="AD57" s="2478" t="str" cm="1">
        <f t="array" ca="1" aca="1" ref="AD57">IFERROR(IF($Y57="","",_xlfn.XLOOKUP($W57&amp;$Y57,$W$249:$W$337&amp;$Y$249:$Y$338,$AD$249:$BN$338)),"")</f>
        <v/>
      </c>
      <c r="AE57" s="2478"/>
      <c r="AF57" s="2478"/>
      <c r="AG57" s="2478"/>
      <c r="AH57" s="2478"/>
      <c r="AI57" s="2478"/>
      <c r="AJ57" s="2478"/>
      <c r="AK57" s="2478"/>
      <c r="AL57" s="2478"/>
      <c r="AM57" s="2478"/>
      <c r="AN57" s="2478"/>
      <c r="AO57" s="2478"/>
      <c r="AP57" s="2478"/>
      <c r="AQ57" s="2478"/>
      <c r="AR57" s="2478"/>
      <c r="AS57" s="2478"/>
      <c r="AT57" s="2478"/>
      <c r="AU57" s="2478"/>
      <c r="AV57" s="2478"/>
      <c r="AW57" s="2478"/>
      <c r="AX57" s="2478"/>
      <c r="AY57" s="2478"/>
      <c r="AZ57" s="2478"/>
      <c r="BA57" s="2478"/>
      <c r="BB57" s="2478"/>
      <c r="BC57" s="2478"/>
      <c r="BD57" s="2478"/>
      <c r="BE57" s="2478"/>
      <c r="BF57" s="2478"/>
      <c r="BG57" s="2478"/>
      <c r="BH57" s="2478"/>
      <c r="BI57" s="2478"/>
      <c r="BJ57" s="2478"/>
      <c r="BK57" s="2478"/>
      <c r="BL57" s="2478"/>
      <c r="BM57" s="2478"/>
      <c r="BN57" s="2478"/>
      <c r="BO57" s="2479"/>
      <c r="BP57" s="2479"/>
      <c r="BQ57" s="2479"/>
      <c r="BR57" s="2479"/>
      <c r="BS57" s="2479"/>
      <c r="BT57" s="2479"/>
      <c r="BU57" s="2479"/>
      <c r="BV57" s="2479"/>
      <c r="BW57" s="2479"/>
      <c r="BX57" s="2479"/>
      <c r="BY57" s="2479"/>
      <c r="BZ57" s="2479"/>
      <c r="CA57" s="34"/>
      <c r="CC57" s="33"/>
      <c r="CD57" s="1461" t="str" cm="1">
        <f t="array" ca="1" aca="1" ref="CD57">_xlfn.LET(_xlpm.CheckBlank,SUM(PL!$AD57:PL!$BN57)=0,IF(_xlpm.CheckBlank,"",SUM(_xlfn._xlws.FILTER(PL!$AD57:$BN57,(YEAR(PL!$AD$12:$BN$12)=PL!CD$12)*(array_timeline&lt;=PL!CD$11)))))</f>
        <v/>
      </c>
      <c r="CE57" s="1461" t="str" cm="1">
        <f t="array" ca="1" aca="1" ref="CE57">_xlfn.LET(_xlpm.CheckBlank,SUM(PL!$AD57:PL!$BN57)=0,IF(_xlpm.CheckBlank,"",SUM(_xlfn._xlws.FILTER(PL!$AD57:$BN57,(YEAR(PL!$AD$12:$BN$12)=PL!CE$12)*(array_timeline&lt;=PL!CE$11)))))</f>
        <v/>
      </c>
      <c r="CF57" s="88"/>
      <c r="CG57" s="1461" t="str" cm="1">
        <f t="array" ca="1" aca="1" ref="CG57">IFERROR(_xlfn.LET(_xlpm.CheckBlank,SUM(PL!$AD57:$BN57)=0,IF(_xlpm.CheckBlank,"",SUM(_xlfn._xlws.FILTER(PL!$AD57:$BN57,(YEAR(PL!$AD$12:$BN$12)=PL!CG$12)*(array_timeline&lt;=PL!CG$11))))),"n/a")</f>
        <v/>
      </c>
      <c r="CH57" s="1461" t="str" cm="1">
        <f t="array" ca="1" aca="1" ref="CH57">_xlfn.LET(_xlpm.CheckBlank,SUM(PL!$AD57:$BN57)=0,IF(_xlpm.CheckBlank,"",SUM(_xlfn._xlws.FILTER(PL!$AD57:$BN57,(YEAR(PL!$AD$12:$BN$12)=PL!CH$12)*(array_timeline&lt;=PL!CH$11)))))</f>
        <v/>
      </c>
      <c r="CI57" s="170"/>
      <c r="CJ57" s="1461" t="str" cm="1">
        <f t="array" ca="1" aca="1" ref="CJ57">_xlfn.LET(_xlpm.CheckBlank,SUM(PL!$AD57:$BN57)=0,IF(_xlpm.CheckBlank,"",SUM(_xlfn.TAKE(_xlfn.DROP(PL!$AD57:$BN57,,-DATEDIFF(PL!CJ$11,val_asOfDate,"M")),1,-12))))</f>
        <v/>
      </c>
      <c r="CK57" s="1461" t="str" cm="1">
        <f t="array" ca="1" aca="1" ref="CK57">_xlfn.LET(_xlpm.CheckBlank,SUM(PL!$AD57:$BN57)=0,IF(_xlpm.CheckBlank,"",SUM(_xlfn.TAKE(_xlfn.DROP(PL!$AD57:$BN57,,-DATEDIFF(PL!CK$11,val_asOfDate,"M")),1,-12))))</f>
        <v/>
      </c>
      <c r="CL57" s="88"/>
      <c r="CM57" s="2357" t="str" cm="1">
        <f t="array" ca="1" aca="1" ref="CM57">IFERROR(IF($Y57="","",_xlfn.XLOOKUP($W57&amp;$Y57,$W$250:$W$338&amp;$Y$250:$Y$338,$CM$250:$CN$338)),"")</f>
        <v/>
      </c>
      <c r="CN57" s="2357"/>
      <c r="CO57" s="992"/>
      <c r="CP57" s="2357" t="str" cm="1">
        <f t="array" ca="1" aca="1" ref="CP57">IFERROR(IF($Y57="","",_xlfn.XLOOKUP($W57&amp;$Y57,$W$250:$W$338&amp;$Y$250:$Y$338,$CP$250:$CQ$338)),"")</f>
        <v/>
      </c>
      <c r="CQ57" s="2357"/>
      <c r="CR57" s="34"/>
      <c r="CS57" s="2056"/>
      <c r="CT57" s="2616"/>
      <c r="CU57" s="2616"/>
      <c r="CV57" s="2616"/>
      <c r="CW57" s="2616"/>
      <c r="CX57" s="2443"/>
      <c r="CY57" s="2444" t="str" cm="1">
        <f t="array" ca="1" aca="1" ref="CY57">IFERROR(IF(CM57*fxVal_normal=_PL!CM57,"",IF(OR($CM57="",$CM57=0,NOT(ISNUMBER($CM57)),ISERROR($CM57),$B57=""),"",IF($I57=1,IFBLANK(_xldudf_CX_PUSH($CM57*fxVal_normal,CX_ENTITY,$B57,$CM$11,$CM$14,$CM$19,),""),IF($I57=2,IFBLANK(_xldudf_CX_PUSH($CM57,CX_ENTITY,$B57,$CM$11,$CM$14,$CM$19,),""),IF($I57=3,"",IFBLANK(_xldudf_CX_PUSH($CM57,CX_ENTITY,$B57,$CM$11,$CM$14,$CM$19,),"")))))),"")</f>
        <v/>
      </c>
      <c r="CZ57" s="2444" t="str" cm="1">
        <f t="array" ca="1" aca="1" ref="CZ57">IFERROR(IF(CN57*fxVal_normal=_PL!CN57,"",IF(OR($CN57="",$CN57=0,NOT(ISNUMBER($CN57)),ISERROR($CN57),$B57=""),"",IF($I57=1,IFBLANK(_xldudf_CX_PUSH($CN57*fxVal_normal,CX_ENTITY,$B57,$CN$11,$CN$14,$CN$19,),""),IF($I57=2,IFBLANK(_xldudf_CX_PUSH($CN57,CX_ENTITY,$B57,$CN$11,$CN$14,$CN$19,),""),IF($I57=3,"",IFBLANK(_xldudf_CX_PUSH($CN57,CX_ENTITY,$B57,$CN$11,$CN$14,$CN$19,),"")))))),"")</f>
        <v/>
      </c>
      <c r="DA57" s="2444" t="str" cm="1">
        <f t="array" ca="1" aca="1" ref="DA57">IFERROR(IF(CP57*fxVal_normal=_PL!CP57,"",IF(OR($CP57="",$CP57=0,NOT(ISNUMBER($CP57)),ISERROR($CP57),$B57=""),"",IF($I57=1,IFBLANK(_xldudf_CX_PUSH($CP57*fxVal_normal,CX_ENTITY,$B57,$CP$11,$CP$14,$CP$19,),""),IF($I57=2,IFBLANK(_xldudf_CX_PUSH($CP57,CX_ENTITY,$B57,$CP$11,$CP$14,$CP$19,),""),IF($I57=3,"",IFBLANK(_xldudf_CX_PUSH($CP57,CX_ENTITY,$B57,$CP$11,$CP$14,$CP$19,),"")))))),"")</f>
        <v/>
      </c>
      <c r="DB57" s="2444" t="str" cm="1">
        <f t="array" ca="1" aca="1" ref="DB57">IFERROR(IF(CQ57*fxVal_normal=_PL!CQ57,"",IF(OR($CQ57="",$CQ57=0,NOT(ISNUMBER($CQ57)),ISERROR($CQ57),$B57=""),"",IF($I57=1,IFBLANK(_xldudf_CX_PUSH($CQ57*fxVal_normal,CX_ENTITY,$B57,$CQ$11,$CQ$14,$CQ$19,),""),IF($I57=2,IFBLANK(_xldudf_CX_PUSH($CQ57,CX_ENTITY,$B57,$CQ$11,$CQ$14,$CQ$19,),""),IF($I57=3,"",IFBLANK(_xldudf_CX_PUSH($CQ57,CX_ENTITY,$B57,$CQ$11,$CQ$14,$CQ$19,),"")))))),"")</f>
        <v/>
      </c>
      <c r="DC57" s="2443"/>
      <c r="DD57" s="2445" t="str" cm="1">
        <f t="array" ca="1" aca="1" ref="DD57">IFERROR(IF(AD57*fxVal_normal=_PL!AD57,"",IF(OR(AD57="",NOT(ISNUMBER(AD57)),ISERROR(AD57),$B57=""),"",IF($I57=1,IFBLANK(_xldudf_CX_PUSH(AD57*fxVal_normal,CX_ENTITY,$B57,AD$11,AD$14,AD$19,),""),IF($I57=2,IFBLANK(_xldudf_CX_PUSH(AD57,CX_ENTITY,$B57,AD$11,AD$14,AD$19,),""),IF($I57=3,"",IFBLANK(_xldudf_CX_PUSH(AD57,CX_ENTITY,$B57,AD$11,AD$14,AD$19,),"")))))),"")</f>
        <v/>
      </c>
      <c r="DE57" s="2445" t="str" cm="1">
        <f t="array" ca="1" aca="1" ref="DE57">IFERROR(IF(AE57*fxVal_normal=_PL!AE57,"",IF(OR(AE57="",NOT(ISNUMBER(AE57)),ISERROR(AE57),$B57=""),"",IF($I57=1,IFBLANK(_xldudf_CX_PUSH(AE57*fxVal_normal,CX_ENTITY,$B57,AE$11,AE$14,AE$19,),""),IF($I57=2,IFBLANK(_xldudf_CX_PUSH(AE57,CX_ENTITY,$B57,AE$11,AE$14,AE$19,),""),IF($I57=3,"",IFBLANK(_xldudf_CX_PUSH(AE57,CX_ENTITY,$B57,AE$11,AE$14,AE$19,),"")))))),"")</f>
        <v/>
      </c>
      <c r="DF57" s="2445" t="str" cm="1">
        <f t="array" ca="1" aca="1" ref="DF57">IFERROR(IF(AF57*fxVal_normal=_PL!AF57,"",IF(OR(AF57="",NOT(ISNUMBER(AF57)),ISERROR(AF57),$B57=""),"",IF($I57=1,IFBLANK(_xldudf_CX_PUSH(AF57*fxVal_normal,CX_ENTITY,$B57,AF$11,AF$14,AF$19,),""),IF($I57=2,IFBLANK(_xldudf_CX_PUSH(AF57,CX_ENTITY,$B57,AF$11,AF$14,AF$19,),""),IF($I57=3,"",IFBLANK(_xldudf_CX_PUSH(AF57,CX_ENTITY,$B57,AF$11,AF$14,AF$19,),"")))))),"")</f>
        <v/>
      </c>
      <c r="DG57" s="2445" t="str" cm="1">
        <f t="array" ca="1" aca="1" ref="DG57">IFERROR(IF(AG57*fxVal_normal=_PL!AG57,"",IF(OR(AG57="",NOT(ISNUMBER(AG57)),ISERROR(AG57),$B57=""),"",IF($I57=1,IFBLANK(_xldudf_CX_PUSH(AG57*fxVal_normal,CX_ENTITY,$B57,AG$11,AG$14,AG$19,),""),IF($I57=2,IFBLANK(_xldudf_CX_PUSH(AG57,CX_ENTITY,$B57,AG$11,AG$14,AG$19,),""),IF($I57=3,"",IFBLANK(_xldudf_CX_PUSH(AG57,CX_ENTITY,$B57,AG$11,AG$14,AG$19,),"")))))),"")</f>
        <v/>
      </c>
      <c r="DH57" s="2445" t="str" cm="1">
        <f t="array" ca="1" aca="1" ref="DH57">IFERROR(IF(AH57*fxVal_normal=_PL!AH57,"",IF(OR(AH57="",NOT(ISNUMBER(AH57)),ISERROR(AH57),$B57=""),"",IF($I57=1,IFBLANK(_xldudf_CX_PUSH(AH57*fxVal_normal,CX_ENTITY,$B57,AH$11,AH$14,AH$19,),""),IF($I57=2,IFBLANK(_xldudf_CX_PUSH(AH57,CX_ENTITY,$B57,AH$11,AH$14,AH$19,),""),IF($I57=3,"",IFBLANK(_xldudf_CX_PUSH(AH57,CX_ENTITY,$B57,AH$11,AH$14,AH$19,),"")))))),"")</f>
        <v/>
      </c>
      <c r="DI57" s="2445" t="str" cm="1">
        <f t="array" ca="1" aca="1" ref="DI57">IFERROR(IF(AI57*fxVal_normal=_PL!AI57,"",IF(OR(AI57="",NOT(ISNUMBER(AI57)),ISERROR(AI57),$B57=""),"",IF($I57=1,IFBLANK(_xldudf_CX_PUSH(AI57*fxVal_normal,CX_ENTITY,$B57,AI$11,AI$14,AI$19,),""),IF($I57=2,IFBLANK(_xldudf_CX_PUSH(AI57,CX_ENTITY,$B57,AI$11,AI$14,AI$19,),""),IF($I57=3,"",IFBLANK(_xldudf_CX_PUSH(AI57,CX_ENTITY,$B57,AI$11,AI$14,AI$19,),"")))))),"")</f>
        <v/>
      </c>
      <c r="DJ57" s="2445" t="str" cm="1">
        <f t="array" ca="1" aca="1" ref="DJ57">IFERROR(IF(AJ57*fxVal_normal=_PL!AJ57,"",IF(OR(AJ57="",NOT(ISNUMBER(AJ57)),ISERROR(AJ57),$B57=""),"",IF($I57=1,IFBLANK(_xldudf_CX_PUSH(AJ57*fxVal_normal,CX_ENTITY,$B57,AJ$11,AJ$14,AJ$19,),""),IF($I57=2,IFBLANK(_xldudf_CX_PUSH(AJ57,CX_ENTITY,$B57,AJ$11,AJ$14,AJ$19,),""),IF($I57=3,"",IFBLANK(_xldudf_CX_PUSH(AJ57,CX_ENTITY,$B57,AJ$11,AJ$14,AJ$19,),"")))))),"")</f>
        <v/>
      </c>
      <c r="DK57" s="2445" t="str" cm="1">
        <f t="array" ca="1" aca="1" ref="DK57">IFERROR(IF(AK57*fxVal_normal=_PL!AK57,"",IF(OR(AK57="",NOT(ISNUMBER(AK57)),ISERROR(AK57),$B57=""),"",IF($I57=1,IFBLANK(_xldudf_CX_PUSH(AK57*fxVal_normal,CX_ENTITY,$B57,AK$11,AK$14,AK$19,),""),IF($I57=2,IFBLANK(_xldudf_CX_PUSH(AK57,CX_ENTITY,$B57,AK$11,AK$14,AK$19,),""),IF($I57=3,"",IFBLANK(_xldudf_CX_PUSH(AK57,CX_ENTITY,$B57,AK$11,AK$14,AK$19,),"")))))),"")</f>
        <v/>
      </c>
      <c r="DL57" s="2445" t="str" cm="1">
        <f t="array" ca="1" aca="1" ref="DL57">IFERROR(IF(AL57*fxVal_normal=_PL!AL57,"",IF(OR(AL57="",NOT(ISNUMBER(AL57)),ISERROR(AL57),$B57=""),"",IF($I57=1,IFBLANK(_xldudf_CX_PUSH(AL57*fxVal_normal,CX_ENTITY,$B57,AL$11,AL$14,AL$19,),""),IF($I57=2,IFBLANK(_xldudf_CX_PUSH(AL57,CX_ENTITY,$B57,AL$11,AL$14,AL$19,),""),IF($I57=3,"",IFBLANK(_xldudf_CX_PUSH(AL57,CX_ENTITY,$B57,AL$11,AL$14,AL$19,),"")))))),"")</f>
        <v/>
      </c>
      <c r="DM57" s="2445" t="str" cm="1">
        <f t="array" ca="1" aca="1" ref="DM57">IFERROR(IF(AM57*fxVal_normal=_PL!AM57,"",IF(OR(AM57="",NOT(ISNUMBER(AM57)),ISERROR(AM57),$B57=""),"",IF($I57=1,IFBLANK(_xldudf_CX_PUSH(AM57*fxVal_normal,CX_ENTITY,$B57,AM$11,AM$14,AM$19,),""),IF($I57=2,IFBLANK(_xldudf_CX_PUSH(AM57,CX_ENTITY,$B57,AM$11,AM$14,AM$19,),""),IF($I57=3,"",IFBLANK(_xldudf_CX_PUSH(AM57,CX_ENTITY,$B57,AM$11,AM$14,AM$19,),"")))))),"")</f>
        <v/>
      </c>
      <c r="DN57" s="2445" t="str" cm="1">
        <f t="array" ca="1" aca="1" ref="DN57">IFERROR(IF(AN57*fxVal_normal=_PL!AN57,"",IF(OR(AN57="",NOT(ISNUMBER(AN57)),ISERROR(AN57),$B57=""),"",IF($I57=1,IFBLANK(_xldudf_CX_PUSH(AN57*fxVal_normal,CX_ENTITY,$B57,AN$11,AN$14,AN$19,),""),IF($I57=2,IFBLANK(_xldudf_CX_PUSH(AN57,CX_ENTITY,$B57,AN$11,AN$14,AN$19,),""),IF($I57=3,"",IFBLANK(_xldudf_CX_PUSH(AN57,CX_ENTITY,$B57,AN$11,AN$14,AN$19,),"")))))),"")</f>
        <v/>
      </c>
      <c r="DO57" s="2445" t="str" cm="1">
        <f t="array" ca="1" aca="1" ref="DO57">IFERROR(IF(AO57*fxVal_normal=_PL!AO57,"",IF(OR(AO57="",NOT(ISNUMBER(AO57)),ISERROR(AO57),$B57=""),"",IF($I57=1,IFBLANK(_xldudf_CX_PUSH(AO57*fxVal_normal,CX_ENTITY,$B57,AO$11,AO$14,AO$19,),""),IF($I57=2,IFBLANK(_xldudf_CX_PUSH(AO57,CX_ENTITY,$B57,AO$11,AO$14,AO$19,),""),IF($I57=3,"",IFBLANK(_xldudf_CX_PUSH(AO57,CX_ENTITY,$B57,AO$11,AO$14,AO$19,),"")))))),"")</f>
        <v/>
      </c>
      <c r="DP57" s="2445" t="str" cm="1">
        <f t="array" ca="1" aca="1" ref="DP57">IFERROR(IF(AP57*fxVal_normal=_PL!AP57,"",IF(OR(AP57="",NOT(ISNUMBER(AP57)),ISERROR(AP57),$B57=""),"",IF($I57=1,IFBLANK(_xldudf_CX_PUSH(AP57*fxVal_normal,CX_ENTITY,$B57,AP$11,AP$14,AP$19,),""),IF($I57=2,IFBLANK(_xldudf_CX_PUSH(AP57,CX_ENTITY,$B57,AP$11,AP$14,AP$19,),""),IF($I57=3,"",IFBLANK(_xldudf_CX_PUSH(AP57,CX_ENTITY,$B57,AP$11,AP$14,AP$19,),"")))))),"")</f>
        <v/>
      </c>
      <c r="DQ57" s="2445" t="str" cm="1">
        <f t="array" ca="1" aca="1" ref="DQ57">IFERROR(IF(AQ57*fxVal_normal=_PL!AQ57,"",IF(OR(AQ57="",NOT(ISNUMBER(AQ57)),ISERROR(AQ57),$B57=""),"",IF($I57=1,IFBLANK(_xldudf_CX_PUSH(AQ57*fxVal_normal,CX_ENTITY,$B57,AQ$11,AQ$14,AQ$19,),""),IF($I57=2,IFBLANK(_xldudf_CX_PUSH(AQ57,CX_ENTITY,$B57,AQ$11,AQ$14,AQ$19,),""),IF($I57=3,"",IFBLANK(_xldudf_CX_PUSH(AQ57,CX_ENTITY,$B57,AQ$11,AQ$14,AQ$19,),"")))))),"")</f>
        <v/>
      </c>
      <c r="DR57" s="2445" t="str" cm="1">
        <f t="array" ca="1" aca="1" ref="DR57">IFERROR(IF(AR57*fxVal_normal=_PL!AR57,"",IF(OR(AR57="",NOT(ISNUMBER(AR57)),ISERROR(AR57),$B57=""),"",IF($I57=1,IFBLANK(_xldudf_CX_PUSH(AR57*fxVal_normal,CX_ENTITY,$B57,AR$11,AR$14,AR$19,),""),IF($I57=2,IFBLANK(_xldudf_CX_PUSH(AR57,CX_ENTITY,$B57,AR$11,AR$14,AR$19,),""),IF($I57=3,"",IFBLANK(_xldudf_CX_PUSH(AR57,CX_ENTITY,$B57,AR$11,AR$14,AR$19,),"")))))),"")</f>
        <v/>
      </c>
      <c r="DS57" s="2445" t="str" cm="1">
        <f t="array" ca="1" aca="1" ref="DS57">IFERROR(IF(AS57*fxVal_normal=_PL!AS57,"",IF(OR(AS57="",NOT(ISNUMBER(AS57)),ISERROR(AS57),$B57=""),"",IF($I57=1,IFBLANK(_xldudf_CX_PUSH(AS57*fxVal_normal,CX_ENTITY,$B57,AS$11,AS$14,AS$19,),""),IF($I57=2,IFBLANK(_xldudf_CX_PUSH(AS57,CX_ENTITY,$B57,AS$11,AS$14,AS$19,),""),IF($I57=3,"",IFBLANK(_xldudf_CX_PUSH(AS57,CX_ENTITY,$B57,AS$11,AS$14,AS$19,),"")))))),"")</f>
        <v/>
      </c>
      <c r="DT57" s="2445" t="str" cm="1">
        <f t="array" ca="1" aca="1" ref="DT57">IFERROR(IF(AT57*fxVal_normal=_PL!AT57,"",IF(OR(AT57="",NOT(ISNUMBER(AT57)),ISERROR(AT57),$B57=""),"",IF($I57=1,IFBLANK(_xldudf_CX_PUSH(AT57*fxVal_normal,CX_ENTITY,$B57,AT$11,AT$14,AT$19,),""),IF($I57=2,IFBLANK(_xldudf_CX_PUSH(AT57,CX_ENTITY,$B57,AT$11,AT$14,AT$19,),""),IF($I57=3,"",IFBLANK(_xldudf_CX_PUSH(AT57,CX_ENTITY,$B57,AT$11,AT$14,AT$19,),"")))))),"")</f>
        <v/>
      </c>
      <c r="DU57" s="2445" t="str" cm="1">
        <f t="array" ca="1" aca="1" ref="DU57">IFERROR(IF(AU57*fxVal_normal=_PL!AU57,"",IF(OR(AU57="",NOT(ISNUMBER(AU57)),ISERROR(AU57),$B57=""),"",IF($I57=1,IFBLANK(_xldudf_CX_PUSH(AU57*fxVal_normal,CX_ENTITY,$B57,AU$11,AU$14,AU$19,),""),IF($I57=2,IFBLANK(_xldudf_CX_PUSH(AU57,CX_ENTITY,$B57,AU$11,AU$14,AU$19,),""),IF($I57=3,"",IFBLANK(_xldudf_CX_PUSH(AU57,CX_ENTITY,$B57,AU$11,AU$14,AU$19,),"")))))),"")</f>
        <v/>
      </c>
      <c r="DV57" s="2445" t="str" cm="1">
        <f t="array" ca="1" aca="1" ref="DV57">IFERROR(IF(AV57*fxVal_normal=_PL!AV57,"",IF(OR(AV57="",NOT(ISNUMBER(AV57)),ISERROR(AV57),$B57=""),"",IF($I57=1,IFBLANK(_xldudf_CX_PUSH(AV57*fxVal_normal,CX_ENTITY,$B57,AV$11,AV$14,AV$19,),""),IF($I57=2,IFBLANK(_xldudf_CX_PUSH(AV57,CX_ENTITY,$B57,AV$11,AV$14,AV$19,),""),IF($I57=3,"",IFBLANK(_xldudf_CX_PUSH(AV57,CX_ENTITY,$B57,AV$11,AV$14,AV$19,),"")))))),"")</f>
        <v/>
      </c>
      <c r="DW57" s="2445" t="str" cm="1">
        <f t="array" ca="1" aca="1" ref="DW57">IFERROR(IF(AW57*fxVal_normal=_PL!AW57,"",IF(OR(AW57="",NOT(ISNUMBER(AW57)),ISERROR(AW57),$B57=""),"",IF($I57=1,IFBLANK(_xldudf_CX_PUSH(AW57*fxVal_normal,CX_ENTITY,$B57,AW$11,AW$14,AW$19,),""),IF($I57=2,IFBLANK(_xldudf_CX_PUSH(AW57,CX_ENTITY,$B57,AW$11,AW$14,AW$19,),""),IF($I57=3,"",IFBLANK(_xldudf_CX_PUSH(AW57,CX_ENTITY,$B57,AW$11,AW$14,AW$19,),"")))))),"")</f>
        <v/>
      </c>
      <c r="DX57" s="2445" t="str" cm="1">
        <f t="array" ca="1" aca="1" ref="DX57">IFERROR(IF(AX57*fxVal_normal=_PL!AX57,"",IF(OR(AX57="",NOT(ISNUMBER(AX57)),ISERROR(AX57),$B57=""),"",IF($I57=1,IFBLANK(_xldudf_CX_PUSH(AX57*fxVal_normal,CX_ENTITY,$B57,AX$11,AX$14,AX$19,),""),IF($I57=2,IFBLANK(_xldudf_CX_PUSH(AX57,CX_ENTITY,$B57,AX$11,AX$14,AX$19,),""),IF($I57=3,"",IFBLANK(_xldudf_CX_PUSH(AX57,CX_ENTITY,$B57,AX$11,AX$14,AX$19,),"")))))),"")</f>
        <v/>
      </c>
      <c r="DY57" s="2445" t="str" cm="1">
        <f t="array" ca="1" aca="1" ref="DY57">IFERROR(IF(AY57*fxVal_normal=_PL!AY57,"",IF(OR(AY57="",NOT(ISNUMBER(AY57)),ISERROR(AY57),$B57=""),"",IF($I57=1,IFBLANK(_xldudf_CX_PUSH(AY57*fxVal_normal,CX_ENTITY,$B57,AY$11,AY$14,AY$19,),""),IF($I57=2,IFBLANK(_xldudf_CX_PUSH(AY57,CX_ENTITY,$B57,AY$11,AY$14,AY$19,),""),IF($I57=3,"",IFBLANK(_xldudf_CX_PUSH(AY57,CX_ENTITY,$B57,AY$11,AY$14,AY$19,),"")))))),"")</f>
        <v/>
      </c>
      <c r="DZ57" s="2445" t="str" cm="1">
        <f t="array" ca="1" aca="1" ref="DZ57">IFERROR(IF(AZ57*fxVal_normal=_PL!AZ57,"",IF(OR(AZ57="",NOT(ISNUMBER(AZ57)),ISERROR(AZ57),$B57=""),"",IF($I57=1,IFBLANK(_xldudf_CX_PUSH(AZ57*fxVal_normal,CX_ENTITY,$B57,AZ$11,AZ$14,AZ$19,),""),IF($I57=2,IFBLANK(_xldudf_CX_PUSH(AZ57,CX_ENTITY,$B57,AZ$11,AZ$14,AZ$19,),""),IF($I57=3,"",IFBLANK(_xldudf_CX_PUSH(AZ57,CX_ENTITY,$B57,AZ$11,AZ$14,AZ$19,),"")))))),"")</f>
        <v/>
      </c>
      <c r="EA57" s="2445" t="str" cm="1">
        <f t="array" ca="1" aca="1" ref="EA57">IFERROR(IF(BA57*fxVal_normal=_PL!BA57,"",IF(OR(BA57="",NOT(ISNUMBER(BA57)),ISERROR(BA57),$B57=""),"",IF($I57=1,IFBLANK(_xldudf_CX_PUSH(BA57*fxVal_normal,CX_ENTITY,$B57,BA$11,BA$14,BA$19,),""),IF($I57=2,IFBLANK(_xldudf_CX_PUSH(BA57,CX_ENTITY,$B57,BA$11,BA$14,BA$19,),""),IF($I57=3,"",IFBLANK(_xldudf_CX_PUSH(BA57,CX_ENTITY,$B57,BA$11,BA$14,BA$19,),"")))))),"")</f>
        <v/>
      </c>
      <c r="EB57" s="2445" t="str" cm="1">
        <f t="array" ca="1" aca="1" ref="EB57">IFERROR(IF(BB57*fxVal_normal=_PL!BB57,"",IF(OR(BB57="",NOT(ISNUMBER(BB57)),ISERROR(BB57),$B57=""),"",IF($I57=1,IFBLANK(_xldudf_CX_PUSH(BB57*fxVal_normal,CX_ENTITY,$B57,BB$11,BB$14,BB$19,),""),IF($I57=2,IFBLANK(_xldudf_CX_PUSH(BB57,CX_ENTITY,$B57,BB$11,BB$14,BB$19,),""),IF($I57=3,"",IFBLANK(_xldudf_CX_PUSH(BB57,CX_ENTITY,$B57,BB$11,BB$14,BB$19,),"")))))),"")</f>
        <v/>
      </c>
      <c r="EC57" s="2445" t="str" cm="1">
        <f t="array" ca="1" aca="1" ref="EC57">IFERROR(IF(BC57*fxVal_normal=_PL!BC57,"",IF(OR(BC57="",NOT(ISNUMBER(BC57)),ISERROR(BC57),$B57=""),"",IF($I57=1,IFBLANK(_xldudf_CX_PUSH(BC57*fxVal_normal,CX_ENTITY,$B57,BC$11,BC$14,BC$19,),""),IF($I57=2,IFBLANK(_xldudf_CX_PUSH(BC57,CX_ENTITY,$B57,BC$11,BC$14,BC$19,),""),IF($I57=3,"",IFBLANK(_xldudf_CX_PUSH(BC57,CX_ENTITY,$B57,BC$11,BC$14,BC$19,),"")))))),"")</f>
        <v/>
      </c>
      <c r="ED57" s="2445" t="str" cm="1">
        <f t="array" ca="1" aca="1" ref="ED57">IFERROR(IF(BD57*fxVal_normal=_PL!BD57,"",IF(OR(BD57="",NOT(ISNUMBER(BD57)),ISERROR(BD57),$B57=""),"",IF($I57=1,IFBLANK(_xldudf_CX_PUSH(BD57*fxVal_normal,CX_ENTITY,$B57,BD$11,BD$14,BD$19,),""),IF($I57=2,IFBLANK(_xldudf_CX_PUSH(BD57,CX_ENTITY,$B57,BD$11,BD$14,BD$19,),""),IF($I57=3,"",IFBLANK(_xldudf_CX_PUSH(BD57,CX_ENTITY,$B57,BD$11,BD$14,BD$19,),"")))))),"")</f>
        <v/>
      </c>
      <c r="EE57" s="2445" t="str" cm="1">
        <f t="array" ca="1" aca="1" ref="EE57">IFERROR(IF(BE57*fxVal_normal=_PL!BE57,"",IF(OR(BE57="",NOT(ISNUMBER(BE57)),ISERROR(BE57),$B57=""),"",IF($I57=1,IFBLANK(_xldudf_CX_PUSH(BE57*fxVal_normal,CX_ENTITY,$B57,BE$11,BE$14,BE$19,),""),IF($I57=2,IFBLANK(_xldudf_CX_PUSH(BE57,CX_ENTITY,$B57,BE$11,BE$14,BE$19,),""),IF($I57=3,"",IFBLANK(_xldudf_CX_PUSH(BE57,CX_ENTITY,$B57,BE$11,BE$14,BE$19,),"")))))),"")</f>
        <v/>
      </c>
      <c r="EF57" s="2445" t="str" cm="1">
        <f t="array" ca="1" aca="1" ref="EF57">IFERROR(IF(BF57*fxVal_normal=_PL!BF57,"",IF(OR(BF57="",NOT(ISNUMBER(BF57)),ISERROR(BF57),$B57=""),"",IF($I57=1,IFBLANK(_xldudf_CX_PUSH(BF57*fxVal_normal,CX_ENTITY,$B57,BF$11,BF$14,BF$19,),""),IF($I57=2,IFBLANK(_xldudf_CX_PUSH(BF57,CX_ENTITY,$B57,BF$11,BF$14,BF$19,),""),IF($I57=3,"",IFBLANK(_xldudf_CX_PUSH(BF57,CX_ENTITY,$B57,BF$11,BF$14,BF$19,),"")))))),"")</f>
        <v/>
      </c>
      <c r="EG57" s="2445" t="str" cm="1">
        <f t="array" ca="1" aca="1" ref="EG57">IFERROR(IF(BG57*fxVal_normal=_PL!BG57,"",IF(OR(BG57="",NOT(ISNUMBER(BG57)),ISERROR(BG57),$B57=""),"",IF($I57=1,IFBLANK(_xldudf_CX_PUSH(BG57*fxVal_normal,CX_ENTITY,$B57,BG$11,BG$14,BG$19,),""),IF($I57=2,IFBLANK(_xldudf_CX_PUSH(BG57,CX_ENTITY,$B57,BG$11,BG$14,BG$19,),""),IF($I57=3,"",IFBLANK(_xldudf_CX_PUSH(BG57,CX_ENTITY,$B57,BG$11,BG$14,BG$19,),"")))))),"")</f>
        <v/>
      </c>
      <c r="EH57" s="2445" t="str" cm="1">
        <f t="array" ca="1" aca="1" ref="EH57">IFERROR(IF(BH57*fxVal_normal=_PL!BH57,"",IF(OR(BH57="",NOT(ISNUMBER(BH57)),ISERROR(BH57),$B57=""),"",IF($I57=1,IFBLANK(_xldudf_CX_PUSH(BH57*fxVal_normal,CX_ENTITY,$B57,BH$11,BH$14,BH$19,),""),IF($I57=2,IFBLANK(_xldudf_CX_PUSH(BH57,CX_ENTITY,$B57,BH$11,BH$14,BH$19,),""),IF($I57=3,"",IFBLANK(_xldudf_CX_PUSH(BH57,CX_ENTITY,$B57,BH$11,BH$14,BH$19,),"")))))),"")</f>
        <v/>
      </c>
      <c r="EI57" s="2445" t="str" cm="1">
        <f t="array" ca="1" aca="1" ref="EI57">IFERROR(IF(BI57*fxVal_normal=_PL!BI57,"",IF(OR(BI57="",NOT(ISNUMBER(BI57)),ISERROR(BI57),$B57=""),"",IF($I57=1,IFBLANK(_xldudf_CX_PUSH(BI57*fxVal_normal,CX_ENTITY,$B57,BI$11,BI$14,BI$19,),""),IF($I57=2,IFBLANK(_xldudf_CX_PUSH(BI57,CX_ENTITY,$B57,BI$11,BI$14,BI$19,),""),IF($I57=3,"",IFBLANK(_xldudf_CX_PUSH(BI57,CX_ENTITY,$B57,BI$11,BI$14,BI$19,),"")))))),"")</f>
        <v/>
      </c>
      <c r="EJ57" s="2445" t="str" cm="1">
        <f t="array" ca="1" aca="1" ref="EJ57">IFERROR(IF(BJ57*fxVal_normal=_PL!BJ57,"",IF(OR(BJ57="",NOT(ISNUMBER(BJ57)),ISERROR(BJ57),$B57=""),"",IF($I57=1,IFBLANK(_xldudf_CX_PUSH(BJ57*fxVal_normal,CX_ENTITY,$B57,BJ$11,BJ$14,BJ$19,),""),IF($I57=2,IFBLANK(_xldudf_CX_PUSH(BJ57,CX_ENTITY,$B57,BJ$11,BJ$14,BJ$19,),""),IF($I57=3,"",IFBLANK(_xldudf_CX_PUSH(BJ57,CX_ENTITY,$B57,BJ$11,BJ$14,BJ$19,),"")))))),"")</f>
        <v/>
      </c>
      <c r="EK57" s="2445" t="str" cm="1">
        <f t="array" ca="1" aca="1" ref="EK57">IFERROR(IF(BK57*fxVal_normal=_PL!BK57,"",IF(OR(BK57="",NOT(ISNUMBER(BK57)),ISERROR(BK57),$B57=""),"",IF($I57=1,IFBLANK(_xldudf_CX_PUSH(BK57*fxVal_normal,CX_ENTITY,$B57,BK$11,BK$14,BK$19,),""),IF($I57=2,IFBLANK(_xldudf_CX_PUSH(BK57,CX_ENTITY,$B57,BK$11,BK$14,BK$19,),""),IF($I57=3,"",IFBLANK(_xldudf_CX_PUSH(BK57,CX_ENTITY,$B57,BK$11,BK$14,BK$19,),"")))))),"")</f>
        <v/>
      </c>
      <c r="EL57" s="2445" t="str" cm="1">
        <f t="array" ca="1" aca="1" ref="EL57">IFERROR(IF(BL57*fxVal_normal=_PL!BL57,"",IF(OR(BL57="",NOT(ISNUMBER(BL57)),ISERROR(BL57),$B57=""),"",IF($I57=1,IFBLANK(_xldudf_CX_PUSH(BL57*fxVal_normal,CX_ENTITY,$B57,BL$11,BL$14,BL$19,),""),IF($I57=2,IFBLANK(_xldudf_CX_PUSH(BL57,CX_ENTITY,$B57,BL$11,BL$14,BL$19,),""),IF($I57=3,"",IFBLANK(_xldudf_CX_PUSH(BL57,CX_ENTITY,$B57,BL$11,BL$14,BL$19,),"")))))),"")</f>
        <v/>
      </c>
      <c r="EM57" s="2445" t="str" cm="1">
        <f t="array" ca="1" aca="1" ref="EM57">IFERROR(IF(BM57*fxVal_normal=_PL!BM57,"",IF(OR(BM57="",NOT(ISNUMBER(BM57)),ISERROR(BM57),$B57=""),"",IF($I57=1,IFBLANK(_xldudf_CX_PUSH(BM57*fxVal_normal,CX_ENTITY,$B57,BM$11,BM$14,BM$19,),""),IF($I57=2,IFBLANK(_xldudf_CX_PUSH(BM57,CX_ENTITY,$B57,BM$11,BM$14,BM$19,),""),IF($I57=3,"",IFBLANK(_xldudf_CX_PUSH(BM57,CX_ENTITY,$B57,BM$11,BM$14,BM$19,),"")))))),"")</f>
        <v/>
      </c>
      <c r="EN57" s="2445" t="str" cm="1">
        <f t="array" ca="1" aca="1" ref="EN57">IFERROR(IF(BN57*fxVal_normal=_PL!BN57,"",IF(OR(BN57="",NOT(ISNUMBER(BN57)),ISERROR(BN57),$B57=""),"",IF($I57=1,IFBLANK(_xldudf_CX_PUSH(BN57*fxVal_normal,CX_ENTITY,$B57,BN$11,BN$14,BN$19,),""),IF($I57=2,IFBLANK(_xldudf_CX_PUSH(BN57,CX_ENTITY,$B57,BN$11,BN$14,BN$19,),""),IF($I57=3,"",IFBLANK(_xldudf_CX_PUSH(BN57,CX_ENTITY,$B57,BN$11,BN$14,BN$19,),"")))))),"")</f>
        <v/>
      </c>
    </row>
    <row r="58" spans="1:144" ht="21" customHeight="1">
      <c r="A58" s="1626"/>
      <c r="B58" s="2439" t="str">
        <f>_xlfn.LET(_xlpm.IsNotAttrDynamic,D58="",_xlpm.Attr,_PL!F58,_xlpm.NotInUse,Y58=D58,_xlpm.RESULT,IF(_xlpm.IsNotAttrDynamic,_xlpm.Attr,IF(_xlpm.NotInUse,"",Y58)),IF(_xlpm.RESULT="","",_xlpm.RESULT))</f>
        <v>Custom Metric Amount 2 [Calculated]</v>
      </c>
      <c r="C58" s="2439" t="str" cm="1">
        <f t="array" ref="C58">IFBLANK(_PL!C58,"")</f>
        <v>Custom Metric - Label 2 [Calculated]</v>
      </c>
      <c r="D58" s="1548"/>
      <c r="E58" s="577"/>
      <c r="F58" s="578"/>
      <c r="G58" s="578"/>
      <c r="H58" s="3280">
        <v>1</v>
      </c>
      <c r="I58" s="3280">
        <v>1</v>
      </c>
      <c r="J58" s="401" cm="1">
        <f t="array" ref="J58">IFBLANK(Z58,"")</f>
        <v>0</v>
      </c>
      <c r="K58" s="578" t="str">
        <f t="shared" si="17"/>
        <v>No</v>
      </c>
      <c r="L58" s="37"/>
      <c r="N58" s="158"/>
      <c r="O58" s="101"/>
      <c r="P58" s="52"/>
      <c r="Q58" s="101"/>
      <c r="R58" s="539"/>
      <c r="S58" s="101"/>
      <c r="T58" s="101"/>
      <c r="U58" s="39"/>
      <c r="V58" s="37"/>
      <c r="W58" s="91" t="str">
        <f t="shared" si="18"/>
        <v>Actual</v>
      </c>
      <c r="X58" s="2081" t="e">
        <f ca="1">_PL!X58</f>
        <v>#NAME?</v>
      </c>
      <c r="Y58" s="2371"/>
      <c r="Z58" s="198" cm="1">
        <f t="array" ref="Z58">_xlfn.SWITCH(TRUE,_PL!$L58=TRUE,1,_PL!$L58=FALSE,-1,_PL!$L58=-1,0,"")</f>
        <v>0</v>
      </c>
      <c r="AA58" s="200" t="str" cm="1">
        <f t="array" ca="1" aca="1" ref="AA58">_xlfn.LET(_xlpm._termname,$Y58,_xlpm._icon,"Define",_xlpm._location,_xlfn.XLOOKUP(_xlpm._termname,$Y$249:$Y$338,$Y$249:$Y$338),_xlpm._hyperlink,HYPERLINK("#"&amp;CELL("address",_xlpm._location),_xlpm._icon),IF(Y58="","",_xlpm._hyperlink))</f>
        <v/>
      </c>
      <c r="AB58" s="1335" t="str" cm="1">
        <f t="array" ref="AB58">IFBLANK(Y58,"")</f>
        <v/>
      </c>
      <c r="AC58" s="2468" t="str" cm="1">
        <f t="array" ca="1" aca="1" ref="AC58">_xlfn.LET(_xlpm._termname,$AB58,_xlpm._iconname,"find",_xlpm._icon,fx_getIcon(_xlpm._iconname),_xlpm._location,_xlfn.XLOOKUP(LOWER(_xlpm._termname),LOWER(tbl_acctDef[Term]),tbl_acctDef[Term]),_xlpm._hyperlink,HYPERLINK("#"&amp;CELL("address",_xlpm._location),_xlpm._icon),IFERROR(_xlpm._hyperlink,""))</f>
        <v/>
      </c>
      <c r="AD58" s="2478" t="str" cm="1">
        <f t="array" ref="AD58">IF($Y58="","",_xlfn.XLOOKUP($W58&amp;$Y58,$W$249:$W$337&amp;$Y$249:$Y$338,$AD$249:$BN$338))</f>
        <v/>
      </c>
      <c r="AE58" s="3461"/>
      <c r="AF58" s="3461"/>
      <c r="AG58" s="3461"/>
      <c r="AH58" s="3461"/>
      <c r="AI58" s="3461"/>
      <c r="AJ58" s="3461"/>
      <c r="AK58" s="3461"/>
      <c r="AL58" s="3461"/>
      <c r="AM58" s="3461"/>
      <c r="AN58" s="3461"/>
      <c r="AO58" s="3461"/>
      <c r="AP58" s="3461"/>
      <c r="AQ58" s="3461"/>
      <c r="AR58" s="3461"/>
      <c r="AS58" s="3461"/>
      <c r="AT58" s="3461"/>
      <c r="AU58" s="3461"/>
      <c r="AV58" s="3461"/>
      <c r="AW58" s="3461"/>
      <c r="AX58" s="3461"/>
      <c r="AY58" s="3461"/>
      <c r="AZ58" s="3461"/>
      <c r="BA58" s="3461"/>
      <c r="BB58" s="3461"/>
      <c r="BC58" s="3461"/>
      <c r="BD58" s="3461"/>
      <c r="BE58" s="3461"/>
      <c r="BF58" s="3461"/>
      <c r="BG58" s="3461"/>
      <c r="BH58" s="3461"/>
      <c r="BI58" s="3461"/>
      <c r="BJ58" s="3461"/>
      <c r="BK58" s="3461"/>
      <c r="BL58" s="3461"/>
      <c r="BM58" s="3461"/>
      <c r="BN58" s="3461"/>
      <c r="BO58" s="2479"/>
      <c r="BP58" s="2479"/>
      <c r="BQ58" s="2479"/>
      <c r="BR58" s="2479"/>
      <c r="BS58" s="2479"/>
      <c r="BT58" s="2479"/>
      <c r="BU58" s="2479"/>
      <c r="BV58" s="2479"/>
      <c r="BW58" s="2479"/>
      <c r="BX58" s="2479"/>
      <c r="BY58" s="2479"/>
      <c r="BZ58" s="2479"/>
      <c r="CA58" s="34"/>
      <c r="CC58" s="33"/>
      <c r="CD58" s="1461" t="str" cm="1">
        <f t="array" ref="CD58">_xlfn.LET(_xlpm.CheckBlank,SUM(PL!$AD58:PL!$BN58)=0,IF(_xlpm.CheckBlank,"",SUM(_xlfn._xlws.FILTER(PL!$AD58:$BN58,(YEAR(PL!$AD$12:$BN$12)=PL!CD$12)*(array_timeline&lt;=PL!CD$11)))))</f>
        <v/>
      </c>
      <c r="CE58" s="1461" t="str" cm="1">
        <f t="array" ref="CE58">_xlfn.LET(_xlpm.CheckBlank,SUM(PL!$AD58:PL!$BN58)=0,IF(_xlpm.CheckBlank,"",SUM(_xlfn._xlws.FILTER(PL!$AD58:$BN58,(YEAR(PL!$AD$12:$BN$12)=PL!CE$12)*(array_timeline&lt;=PL!CE$11)))))</f>
        <v/>
      </c>
      <c r="CF58" s="88"/>
      <c r="CG58" s="1461" t="str" cm="1">
        <f t="array" ref="CG58">IFERROR(_xlfn.LET(_xlpm.CheckBlank,SUM(PL!$AD58:$BN58)=0,IF(_xlpm.CheckBlank,"",SUM(_xlfn._xlws.FILTER(PL!$AD58:$BN58,(YEAR(PL!$AD$12:$BN$12)=PL!CG$12)*(array_timeline&lt;=PL!CG$11))))),"n/a")</f>
        <v/>
      </c>
      <c r="CH58" s="1461" t="str" cm="1">
        <f t="array" ref="CH58">_xlfn.LET(_xlpm.CheckBlank,SUM(PL!$AD58:$BN58)=0,IF(_xlpm.CheckBlank,"",SUM(_xlfn._xlws.FILTER(PL!$AD58:$BN58,(YEAR(PL!$AD$12:$BN$12)=PL!CH$12)*(array_timeline&lt;=PL!CH$11)))))</f>
        <v/>
      </c>
      <c r="CI58" s="170"/>
      <c r="CJ58" s="1461" t="str" cm="1">
        <f t="array" ref="CJ58">_xlfn.LET(_xlpm.CheckBlank,SUM(PL!$AD58:$BN58)=0,IF(_xlpm.CheckBlank,"",SUM(_xlfn.TAKE(_xlfn.DROP(PL!$AD58:$BN58,,-DATEDIFF(PL!CJ$11,val_asOfDate,"M")),1,-12))))</f>
        <v/>
      </c>
      <c r="CK58" s="1461" t="str" cm="1">
        <f t="array" ref="CK58">_xlfn.LET(_xlpm.CheckBlank,SUM(PL!$AD58:$BN58)=0,IF(_xlpm.CheckBlank,"",SUM(_xlfn.TAKE(_xlfn.DROP(PL!$AD58:$BN58,,-DATEDIFF(PL!CK$11,val_asOfDate,"M")),1,-12))))</f>
        <v/>
      </c>
      <c r="CL58" s="88"/>
      <c r="CM58" s="2357" t="str" cm="1">
        <f t="array" ref="CM58">IF($Y58="","",_xlfn.XLOOKUP($W58&amp;$Y58,$W$250:$W$338&amp;$Y$250:$Y$338,$CM$250:$CN$338))</f>
        <v/>
      </c>
      <c r="CN58" s="3462"/>
      <c r="CO58" s="88"/>
      <c r="CP58" s="2357" t="str" cm="1">
        <f t="array" ref="CP58">IF($Y58="","",_xlfn.XLOOKUP($W58&amp;$Y58,$W$250:$W$338&amp;$Y$250:$Y$338,$CP$250:$CQ$338))</f>
        <v/>
      </c>
      <c r="CQ58" s="3462"/>
      <c r="CR58" s="34"/>
      <c r="CS58" s="2056"/>
      <c r="CT58" s="2616"/>
      <c r="CU58" s="2616"/>
      <c r="CV58" s="2616"/>
      <c r="CW58" s="2616"/>
      <c r="CX58" s="2443"/>
      <c r="CY58" s="2444" t="str" cm="1">
        <f t="array" ca="1" aca="1" ref="CY58">IFERROR(IF(CM58*fxVal_normal=_PL!CM58,"",IF(OR($CM58="",$CM58=0,NOT(ISNUMBER($CM58)),ISERROR($CM58),$B58=""),"",IF($I58=1,IFBLANK(_xldudf_CX_PUSH($CM58*fxVal_normal,CX_ENTITY,$B58,$CM$11,$CM$14,$CM$19,),""),IF($I58=2,IFBLANK(_xldudf_CX_PUSH($CM58,CX_ENTITY,$B58,$CM$11,$CM$14,$CM$19,),""),IF($I58=3,"",IFBLANK(_xldudf_CX_PUSH($CM58,CX_ENTITY,$B58,$CM$11,$CM$14,$CM$19,),"")))))),"")</f>
        <v/>
      </c>
      <c r="CZ58" s="2444" t="str" cm="1">
        <f t="array" ca="1" aca="1" ref="CZ58">IFERROR(IF(CN58*fxVal_normal=_PL!CN58,"",IF(OR($CN58="",$CN58=0,NOT(ISNUMBER($CN58)),ISERROR($CN58),$B58=""),"",IF($I58=1,IFBLANK(_xldudf_CX_PUSH($CN58*fxVal_normal,CX_ENTITY,$B58,$CN$11,$CN$14,$CN$19,),""),IF($I58=2,IFBLANK(_xldudf_CX_PUSH($CN58,CX_ENTITY,$B58,$CN$11,$CN$14,$CN$19,),""),IF($I58=3,"",IFBLANK(_xldudf_CX_PUSH($CN58,CX_ENTITY,$B58,$CN$11,$CN$14,$CN$19,),"")))))),"")</f>
        <v/>
      </c>
      <c r="DA58" s="2444" t="str" cm="1">
        <f t="array" ca="1" aca="1" ref="DA58">IFERROR(IF(CP58*fxVal_normal=_PL!CP58,"",IF(OR($CP58="",$CP58=0,NOT(ISNUMBER($CP58)),ISERROR($CP58),$B58=""),"",IF($I58=1,IFBLANK(_xldudf_CX_PUSH($CP58*fxVal_normal,CX_ENTITY,$B58,$CP$11,$CP$14,$CP$19,),""),IF($I58=2,IFBLANK(_xldudf_CX_PUSH($CP58,CX_ENTITY,$B58,$CP$11,$CP$14,$CP$19,),""),IF($I58=3,"",IFBLANK(_xldudf_CX_PUSH($CP58,CX_ENTITY,$B58,$CP$11,$CP$14,$CP$19,),"")))))),"")</f>
        <v/>
      </c>
      <c r="DB58" s="2444" t="str" cm="1">
        <f t="array" ca="1" aca="1" ref="DB58">IFERROR(IF(CQ58*fxVal_normal=_PL!CQ58,"",IF(OR($CQ58="",$CQ58=0,NOT(ISNUMBER($CQ58)),ISERROR($CQ58),$B58=""),"",IF($I58=1,IFBLANK(_xldudf_CX_PUSH($CQ58*fxVal_normal,CX_ENTITY,$B58,$CQ$11,$CQ$14,$CQ$19,),""),IF($I58=2,IFBLANK(_xldudf_CX_PUSH($CQ58,CX_ENTITY,$B58,$CQ$11,$CQ$14,$CQ$19,),""),IF($I58=3,"",IFBLANK(_xldudf_CX_PUSH($CQ58,CX_ENTITY,$B58,$CQ$11,$CQ$14,$CQ$19,),"")))))),"")</f>
        <v/>
      </c>
      <c r="DC58" s="2443"/>
      <c r="DD58" s="2445" t="str" cm="1">
        <f t="array" ca="1" aca="1" ref="DD58">IFERROR(IF(AD58*fxVal_normal=_PL!AD58,"",IF(OR(AD58="",NOT(ISNUMBER(AD58)),ISERROR(AD58),$B58=""),"",IF($I58=1,IFBLANK(_xldudf_CX_PUSH(AD58*fxVal_normal,CX_ENTITY,$B58,AD$11,AD$14,AD$19,),""),IF($I58=2,IFBLANK(_xldudf_CX_PUSH(AD58,CX_ENTITY,$B58,AD$11,AD$14,AD$19,),""),IF($I58=3,"",IFBLANK(_xldudf_CX_PUSH(AD58,CX_ENTITY,$B58,AD$11,AD$14,AD$19,),"")))))),"")</f>
        <v/>
      </c>
      <c r="DE58" s="2445" t="str" cm="1">
        <f t="array" ca="1" aca="1" ref="DE58">IFERROR(IF(AE58*fxVal_normal=_PL!AE58,"",IF(OR(AE58="",NOT(ISNUMBER(AE58)),ISERROR(AE58),$B58=""),"",IF($I58=1,IFBLANK(_xldudf_CX_PUSH(AE58*fxVal_normal,CX_ENTITY,$B58,AE$11,AE$14,AE$19,),""),IF($I58=2,IFBLANK(_xldudf_CX_PUSH(AE58,CX_ENTITY,$B58,AE$11,AE$14,AE$19,),""),IF($I58=3,"",IFBLANK(_xldudf_CX_PUSH(AE58,CX_ENTITY,$B58,AE$11,AE$14,AE$19,),"")))))),"")</f>
        <v/>
      </c>
      <c r="DF58" s="2445" t="str" cm="1">
        <f t="array" ca="1" aca="1" ref="DF58">IFERROR(IF(AF58*fxVal_normal=_PL!AF58,"",IF(OR(AF58="",NOT(ISNUMBER(AF58)),ISERROR(AF58),$B58=""),"",IF($I58=1,IFBLANK(_xldudf_CX_PUSH(AF58*fxVal_normal,CX_ENTITY,$B58,AF$11,AF$14,AF$19,),""),IF($I58=2,IFBLANK(_xldudf_CX_PUSH(AF58,CX_ENTITY,$B58,AF$11,AF$14,AF$19,),""),IF($I58=3,"",IFBLANK(_xldudf_CX_PUSH(AF58,CX_ENTITY,$B58,AF$11,AF$14,AF$19,),"")))))),"")</f>
        <v/>
      </c>
      <c r="DG58" s="2445" t="str" cm="1">
        <f t="array" ca="1" aca="1" ref="DG58">IFERROR(IF(AG58*fxVal_normal=_PL!AG58,"",IF(OR(AG58="",NOT(ISNUMBER(AG58)),ISERROR(AG58),$B58=""),"",IF($I58=1,IFBLANK(_xldudf_CX_PUSH(AG58*fxVal_normal,CX_ENTITY,$B58,AG$11,AG$14,AG$19,),""),IF($I58=2,IFBLANK(_xldudf_CX_PUSH(AG58,CX_ENTITY,$B58,AG$11,AG$14,AG$19,),""),IF($I58=3,"",IFBLANK(_xldudf_CX_PUSH(AG58,CX_ENTITY,$B58,AG$11,AG$14,AG$19,),"")))))),"")</f>
        <v/>
      </c>
      <c r="DH58" s="2445" t="str" cm="1">
        <f t="array" ca="1" aca="1" ref="DH58">IFERROR(IF(AH58*fxVal_normal=_PL!AH58,"",IF(OR(AH58="",NOT(ISNUMBER(AH58)),ISERROR(AH58),$B58=""),"",IF($I58=1,IFBLANK(_xldudf_CX_PUSH(AH58*fxVal_normal,CX_ENTITY,$B58,AH$11,AH$14,AH$19,),""),IF($I58=2,IFBLANK(_xldudf_CX_PUSH(AH58,CX_ENTITY,$B58,AH$11,AH$14,AH$19,),""),IF($I58=3,"",IFBLANK(_xldudf_CX_PUSH(AH58,CX_ENTITY,$B58,AH$11,AH$14,AH$19,),"")))))),"")</f>
        <v/>
      </c>
      <c r="DI58" s="2445" t="str" cm="1">
        <f t="array" ca="1" aca="1" ref="DI58">IFERROR(IF(AI58*fxVal_normal=_PL!AI58,"",IF(OR(AI58="",NOT(ISNUMBER(AI58)),ISERROR(AI58),$B58=""),"",IF($I58=1,IFBLANK(_xldudf_CX_PUSH(AI58*fxVal_normal,CX_ENTITY,$B58,AI$11,AI$14,AI$19,),""),IF($I58=2,IFBLANK(_xldudf_CX_PUSH(AI58,CX_ENTITY,$B58,AI$11,AI$14,AI$19,),""),IF($I58=3,"",IFBLANK(_xldudf_CX_PUSH(AI58,CX_ENTITY,$B58,AI$11,AI$14,AI$19,),"")))))),"")</f>
        <v/>
      </c>
      <c r="DJ58" s="2445" t="str" cm="1">
        <f t="array" ca="1" aca="1" ref="DJ58">IFERROR(IF(AJ58*fxVal_normal=_PL!AJ58,"",IF(OR(AJ58="",NOT(ISNUMBER(AJ58)),ISERROR(AJ58),$B58=""),"",IF($I58=1,IFBLANK(_xldudf_CX_PUSH(AJ58*fxVal_normal,CX_ENTITY,$B58,AJ$11,AJ$14,AJ$19,),""),IF($I58=2,IFBLANK(_xldudf_CX_PUSH(AJ58,CX_ENTITY,$B58,AJ$11,AJ$14,AJ$19,),""),IF($I58=3,"",IFBLANK(_xldudf_CX_PUSH(AJ58,CX_ENTITY,$B58,AJ$11,AJ$14,AJ$19,),"")))))),"")</f>
        <v/>
      </c>
      <c r="DK58" s="2445" t="str" cm="1">
        <f t="array" ca="1" aca="1" ref="DK58">IFERROR(IF(AK58*fxVal_normal=_PL!AK58,"",IF(OR(AK58="",NOT(ISNUMBER(AK58)),ISERROR(AK58),$B58=""),"",IF($I58=1,IFBLANK(_xldudf_CX_PUSH(AK58*fxVal_normal,CX_ENTITY,$B58,AK$11,AK$14,AK$19,),""),IF($I58=2,IFBLANK(_xldudf_CX_PUSH(AK58,CX_ENTITY,$B58,AK$11,AK$14,AK$19,),""),IF($I58=3,"",IFBLANK(_xldudf_CX_PUSH(AK58,CX_ENTITY,$B58,AK$11,AK$14,AK$19,),"")))))),"")</f>
        <v/>
      </c>
      <c r="DL58" s="2445" t="str" cm="1">
        <f t="array" ca="1" aca="1" ref="DL58">IFERROR(IF(AL58*fxVal_normal=_PL!AL58,"",IF(OR(AL58="",NOT(ISNUMBER(AL58)),ISERROR(AL58),$B58=""),"",IF($I58=1,IFBLANK(_xldudf_CX_PUSH(AL58*fxVal_normal,CX_ENTITY,$B58,AL$11,AL$14,AL$19,),""),IF($I58=2,IFBLANK(_xldudf_CX_PUSH(AL58,CX_ENTITY,$B58,AL$11,AL$14,AL$19,),""),IF($I58=3,"",IFBLANK(_xldudf_CX_PUSH(AL58,CX_ENTITY,$B58,AL$11,AL$14,AL$19,),"")))))),"")</f>
        <v/>
      </c>
      <c r="DM58" s="2445" t="str" cm="1">
        <f t="array" ca="1" aca="1" ref="DM58">IFERROR(IF(AM58*fxVal_normal=_PL!AM58,"",IF(OR(AM58="",NOT(ISNUMBER(AM58)),ISERROR(AM58),$B58=""),"",IF($I58=1,IFBLANK(_xldudf_CX_PUSH(AM58*fxVal_normal,CX_ENTITY,$B58,AM$11,AM$14,AM$19,),""),IF($I58=2,IFBLANK(_xldudf_CX_PUSH(AM58,CX_ENTITY,$B58,AM$11,AM$14,AM$19,),""),IF($I58=3,"",IFBLANK(_xldudf_CX_PUSH(AM58,CX_ENTITY,$B58,AM$11,AM$14,AM$19,),"")))))),"")</f>
        <v/>
      </c>
      <c r="DN58" s="2445" t="str" cm="1">
        <f t="array" ca="1" aca="1" ref="DN58">IFERROR(IF(AN58*fxVal_normal=_PL!AN58,"",IF(OR(AN58="",NOT(ISNUMBER(AN58)),ISERROR(AN58),$B58=""),"",IF($I58=1,IFBLANK(_xldudf_CX_PUSH(AN58*fxVal_normal,CX_ENTITY,$B58,AN$11,AN$14,AN$19,),""),IF($I58=2,IFBLANK(_xldudf_CX_PUSH(AN58,CX_ENTITY,$B58,AN$11,AN$14,AN$19,),""),IF($I58=3,"",IFBLANK(_xldudf_CX_PUSH(AN58,CX_ENTITY,$B58,AN$11,AN$14,AN$19,),"")))))),"")</f>
        <v/>
      </c>
      <c r="DO58" s="2445" t="str" cm="1">
        <f t="array" ca="1" aca="1" ref="DO58">IFERROR(IF(AO58*fxVal_normal=_PL!AO58,"",IF(OR(AO58="",NOT(ISNUMBER(AO58)),ISERROR(AO58),$B58=""),"",IF($I58=1,IFBLANK(_xldudf_CX_PUSH(AO58*fxVal_normal,CX_ENTITY,$B58,AO$11,AO$14,AO$19,),""),IF($I58=2,IFBLANK(_xldudf_CX_PUSH(AO58,CX_ENTITY,$B58,AO$11,AO$14,AO$19,),""),IF($I58=3,"",IFBLANK(_xldudf_CX_PUSH(AO58,CX_ENTITY,$B58,AO$11,AO$14,AO$19,),"")))))),"")</f>
        <v/>
      </c>
      <c r="DP58" s="2445" t="str" cm="1">
        <f t="array" ca="1" aca="1" ref="DP58">IFERROR(IF(AP58*fxVal_normal=_PL!AP58,"",IF(OR(AP58="",NOT(ISNUMBER(AP58)),ISERROR(AP58),$B58=""),"",IF($I58=1,IFBLANK(_xldudf_CX_PUSH(AP58*fxVal_normal,CX_ENTITY,$B58,AP$11,AP$14,AP$19,),""),IF($I58=2,IFBLANK(_xldudf_CX_PUSH(AP58,CX_ENTITY,$B58,AP$11,AP$14,AP$19,),""),IF($I58=3,"",IFBLANK(_xldudf_CX_PUSH(AP58,CX_ENTITY,$B58,AP$11,AP$14,AP$19,),"")))))),"")</f>
        <v/>
      </c>
      <c r="DQ58" s="2445" t="str" cm="1">
        <f t="array" ca="1" aca="1" ref="DQ58">IFERROR(IF(AQ58*fxVal_normal=_PL!AQ58,"",IF(OR(AQ58="",NOT(ISNUMBER(AQ58)),ISERROR(AQ58),$B58=""),"",IF($I58=1,IFBLANK(_xldudf_CX_PUSH(AQ58*fxVal_normal,CX_ENTITY,$B58,AQ$11,AQ$14,AQ$19,),""),IF($I58=2,IFBLANK(_xldudf_CX_PUSH(AQ58,CX_ENTITY,$B58,AQ$11,AQ$14,AQ$19,),""),IF($I58=3,"",IFBLANK(_xldudf_CX_PUSH(AQ58,CX_ENTITY,$B58,AQ$11,AQ$14,AQ$19,),"")))))),"")</f>
        <v/>
      </c>
      <c r="DR58" s="2445" t="str" cm="1">
        <f t="array" ca="1" aca="1" ref="DR58">IFERROR(IF(AR58*fxVal_normal=_PL!AR58,"",IF(OR(AR58="",NOT(ISNUMBER(AR58)),ISERROR(AR58),$B58=""),"",IF($I58=1,IFBLANK(_xldudf_CX_PUSH(AR58*fxVal_normal,CX_ENTITY,$B58,AR$11,AR$14,AR$19,),""),IF($I58=2,IFBLANK(_xldudf_CX_PUSH(AR58,CX_ENTITY,$B58,AR$11,AR$14,AR$19,),""),IF($I58=3,"",IFBLANK(_xldudf_CX_PUSH(AR58,CX_ENTITY,$B58,AR$11,AR$14,AR$19,),"")))))),"")</f>
        <v/>
      </c>
      <c r="DS58" s="2445" t="str" cm="1">
        <f t="array" ca="1" aca="1" ref="DS58">IFERROR(IF(AS58*fxVal_normal=_PL!AS58,"",IF(OR(AS58="",NOT(ISNUMBER(AS58)),ISERROR(AS58),$B58=""),"",IF($I58=1,IFBLANK(_xldudf_CX_PUSH(AS58*fxVal_normal,CX_ENTITY,$B58,AS$11,AS$14,AS$19,),""),IF($I58=2,IFBLANK(_xldudf_CX_PUSH(AS58,CX_ENTITY,$B58,AS$11,AS$14,AS$19,),""),IF($I58=3,"",IFBLANK(_xldudf_CX_PUSH(AS58,CX_ENTITY,$B58,AS$11,AS$14,AS$19,),"")))))),"")</f>
        <v/>
      </c>
      <c r="DT58" s="2445" t="str" cm="1">
        <f t="array" ca="1" aca="1" ref="DT58">IFERROR(IF(AT58*fxVal_normal=_PL!AT58,"",IF(OR(AT58="",NOT(ISNUMBER(AT58)),ISERROR(AT58),$B58=""),"",IF($I58=1,IFBLANK(_xldudf_CX_PUSH(AT58*fxVal_normal,CX_ENTITY,$B58,AT$11,AT$14,AT$19,),""),IF($I58=2,IFBLANK(_xldudf_CX_PUSH(AT58,CX_ENTITY,$B58,AT$11,AT$14,AT$19,),""),IF($I58=3,"",IFBLANK(_xldudf_CX_PUSH(AT58,CX_ENTITY,$B58,AT$11,AT$14,AT$19,),"")))))),"")</f>
        <v/>
      </c>
      <c r="DU58" s="2445" t="str" cm="1">
        <f t="array" ca="1" aca="1" ref="DU58">IFERROR(IF(AU58*fxVal_normal=_PL!AU58,"",IF(OR(AU58="",NOT(ISNUMBER(AU58)),ISERROR(AU58),$B58=""),"",IF($I58=1,IFBLANK(_xldudf_CX_PUSH(AU58*fxVal_normal,CX_ENTITY,$B58,AU$11,AU$14,AU$19,),""),IF($I58=2,IFBLANK(_xldudf_CX_PUSH(AU58,CX_ENTITY,$B58,AU$11,AU$14,AU$19,),""),IF($I58=3,"",IFBLANK(_xldudf_CX_PUSH(AU58,CX_ENTITY,$B58,AU$11,AU$14,AU$19,),"")))))),"")</f>
        <v/>
      </c>
      <c r="DV58" s="2445" t="str" cm="1">
        <f t="array" ca="1" aca="1" ref="DV58">IFERROR(IF(AV58*fxVal_normal=_PL!AV58,"",IF(OR(AV58="",NOT(ISNUMBER(AV58)),ISERROR(AV58),$B58=""),"",IF($I58=1,IFBLANK(_xldudf_CX_PUSH(AV58*fxVal_normal,CX_ENTITY,$B58,AV$11,AV$14,AV$19,),""),IF($I58=2,IFBLANK(_xldudf_CX_PUSH(AV58,CX_ENTITY,$B58,AV$11,AV$14,AV$19,),""),IF($I58=3,"",IFBLANK(_xldudf_CX_PUSH(AV58,CX_ENTITY,$B58,AV$11,AV$14,AV$19,),"")))))),"")</f>
        <v/>
      </c>
      <c r="DW58" s="2445" t="str" cm="1">
        <f t="array" ca="1" aca="1" ref="DW58">IFERROR(IF(AW58*fxVal_normal=_PL!AW58,"",IF(OR(AW58="",NOT(ISNUMBER(AW58)),ISERROR(AW58),$B58=""),"",IF($I58=1,IFBLANK(_xldudf_CX_PUSH(AW58*fxVal_normal,CX_ENTITY,$B58,AW$11,AW$14,AW$19,),""),IF($I58=2,IFBLANK(_xldudf_CX_PUSH(AW58,CX_ENTITY,$B58,AW$11,AW$14,AW$19,),""),IF($I58=3,"",IFBLANK(_xldudf_CX_PUSH(AW58,CX_ENTITY,$B58,AW$11,AW$14,AW$19,),"")))))),"")</f>
        <v/>
      </c>
      <c r="DX58" s="2445" t="str" cm="1">
        <f t="array" ca="1" aca="1" ref="DX58">IFERROR(IF(AX58*fxVal_normal=_PL!AX58,"",IF(OR(AX58="",NOT(ISNUMBER(AX58)),ISERROR(AX58),$B58=""),"",IF($I58=1,IFBLANK(_xldudf_CX_PUSH(AX58*fxVal_normal,CX_ENTITY,$B58,AX$11,AX$14,AX$19,),""),IF($I58=2,IFBLANK(_xldudf_CX_PUSH(AX58,CX_ENTITY,$B58,AX$11,AX$14,AX$19,),""),IF($I58=3,"",IFBLANK(_xldudf_CX_PUSH(AX58,CX_ENTITY,$B58,AX$11,AX$14,AX$19,),"")))))),"")</f>
        <v/>
      </c>
      <c r="DY58" s="2445" t="str" cm="1">
        <f t="array" ca="1" aca="1" ref="DY58">IFERROR(IF(AY58*fxVal_normal=_PL!AY58,"",IF(OR(AY58="",NOT(ISNUMBER(AY58)),ISERROR(AY58),$B58=""),"",IF($I58=1,IFBLANK(_xldudf_CX_PUSH(AY58*fxVal_normal,CX_ENTITY,$B58,AY$11,AY$14,AY$19,),""),IF($I58=2,IFBLANK(_xldudf_CX_PUSH(AY58,CX_ENTITY,$B58,AY$11,AY$14,AY$19,),""),IF($I58=3,"",IFBLANK(_xldudf_CX_PUSH(AY58,CX_ENTITY,$B58,AY$11,AY$14,AY$19,),"")))))),"")</f>
        <v/>
      </c>
      <c r="DZ58" s="2445" t="str" cm="1">
        <f t="array" ca="1" aca="1" ref="DZ58">IFERROR(IF(AZ58*fxVal_normal=_PL!AZ58,"",IF(OR(AZ58="",NOT(ISNUMBER(AZ58)),ISERROR(AZ58),$B58=""),"",IF($I58=1,IFBLANK(_xldudf_CX_PUSH(AZ58*fxVal_normal,CX_ENTITY,$B58,AZ$11,AZ$14,AZ$19,),""),IF($I58=2,IFBLANK(_xldudf_CX_PUSH(AZ58,CX_ENTITY,$B58,AZ$11,AZ$14,AZ$19,),""),IF($I58=3,"",IFBLANK(_xldudf_CX_PUSH(AZ58,CX_ENTITY,$B58,AZ$11,AZ$14,AZ$19,),"")))))),"")</f>
        <v/>
      </c>
      <c r="EA58" s="2445" t="str" cm="1">
        <f t="array" ca="1" aca="1" ref="EA58">IFERROR(IF(BA58*fxVal_normal=_PL!BA58,"",IF(OR(BA58="",NOT(ISNUMBER(BA58)),ISERROR(BA58),$B58=""),"",IF($I58=1,IFBLANK(_xldudf_CX_PUSH(BA58*fxVal_normal,CX_ENTITY,$B58,BA$11,BA$14,BA$19,),""),IF($I58=2,IFBLANK(_xldudf_CX_PUSH(BA58,CX_ENTITY,$B58,BA$11,BA$14,BA$19,),""),IF($I58=3,"",IFBLANK(_xldudf_CX_PUSH(BA58,CX_ENTITY,$B58,BA$11,BA$14,BA$19,),"")))))),"")</f>
        <v/>
      </c>
      <c r="EB58" s="2445" t="str" cm="1">
        <f t="array" ca="1" aca="1" ref="EB58">IFERROR(IF(BB58*fxVal_normal=_PL!BB58,"",IF(OR(BB58="",NOT(ISNUMBER(BB58)),ISERROR(BB58),$B58=""),"",IF($I58=1,IFBLANK(_xldudf_CX_PUSH(BB58*fxVal_normal,CX_ENTITY,$B58,BB$11,BB$14,BB$19,),""),IF($I58=2,IFBLANK(_xldudf_CX_PUSH(BB58,CX_ENTITY,$B58,BB$11,BB$14,BB$19,),""),IF($I58=3,"",IFBLANK(_xldudf_CX_PUSH(BB58,CX_ENTITY,$B58,BB$11,BB$14,BB$19,),"")))))),"")</f>
        <v/>
      </c>
      <c r="EC58" s="2445" t="str" cm="1">
        <f t="array" ca="1" aca="1" ref="EC58">IFERROR(IF(BC58*fxVal_normal=_PL!BC58,"",IF(OR(BC58="",NOT(ISNUMBER(BC58)),ISERROR(BC58),$B58=""),"",IF($I58=1,IFBLANK(_xldudf_CX_PUSH(BC58*fxVal_normal,CX_ENTITY,$B58,BC$11,BC$14,BC$19,),""),IF($I58=2,IFBLANK(_xldudf_CX_PUSH(BC58,CX_ENTITY,$B58,BC$11,BC$14,BC$19,),""),IF($I58=3,"",IFBLANK(_xldudf_CX_PUSH(BC58,CX_ENTITY,$B58,BC$11,BC$14,BC$19,),"")))))),"")</f>
        <v/>
      </c>
      <c r="ED58" s="2445" t="str" cm="1">
        <f t="array" ca="1" aca="1" ref="ED58">IFERROR(IF(BD58*fxVal_normal=_PL!BD58,"",IF(OR(BD58="",NOT(ISNUMBER(BD58)),ISERROR(BD58),$B58=""),"",IF($I58=1,IFBLANK(_xldudf_CX_PUSH(BD58*fxVal_normal,CX_ENTITY,$B58,BD$11,BD$14,BD$19,),""),IF($I58=2,IFBLANK(_xldudf_CX_PUSH(BD58,CX_ENTITY,$B58,BD$11,BD$14,BD$19,),""),IF($I58=3,"",IFBLANK(_xldudf_CX_PUSH(BD58,CX_ENTITY,$B58,BD$11,BD$14,BD$19,),"")))))),"")</f>
        <v/>
      </c>
      <c r="EE58" s="2445" t="str" cm="1">
        <f t="array" ca="1" aca="1" ref="EE58">IFERROR(IF(BE58*fxVal_normal=_PL!BE58,"",IF(OR(BE58="",NOT(ISNUMBER(BE58)),ISERROR(BE58),$B58=""),"",IF($I58=1,IFBLANK(_xldudf_CX_PUSH(BE58*fxVal_normal,CX_ENTITY,$B58,BE$11,BE$14,BE$19,),""),IF($I58=2,IFBLANK(_xldudf_CX_PUSH(BE58,CX_ENTITY,$B58,BE$11,BE$14,BE$19,),""),IF($I58=3,"",IFBLANK(_xldudf_CX_PUSH(BE58,CX_ENTITY,$B58,BE$11,BE$14,BE$19,),"")))))),"")</f>
        <v/>
      </c>
      <c r="EF58" s="2445" t="str" cm="1">
        <f t="array" ca="1" aca="1" ref="EF58">IFERROR(IF(BF58*fxVal_normal=_PL!BF58,"",IF(OR(BF58="",NOT(ISNUMBER(BF58)),ISERROR(BF58),$B58=""),"",IF($I58=1,IFBLANK(_xldudf_CX_PUSH(BF58*fxVal_normal,CX_ENTITY,$B58,BF$11,BF$14,BF$19,),""),IF($I58=2,IFBLANK(_xldudf_CX_PUSH(BF58,CX_ENTITY,$B58,BF$11,BF$14,BF$19,),""),IF($I58=3,"",IFBLANK(_xldudf_CX_PUSH(BF58,CX_ENTITY,$B58,BF$11,BF$14,BF$19,),"")))))),"")</f>
        <v/>
      </c>
      <c r="EG58" s="2445" t="str" cm="1">
        <f t="array" ca="1" aca="1" ref="EG58">IFERROR(IF(BG58*fxVal_normal=_PL!BG58,"",IF(OR(BG58="",NOT(ISNUMBER(BG58)),ISERROR(BG58),$B58=""),"",IF($I58=1,IFBLANK(_xldudf_CX_PUSH(BG58*fxVal_normal,CX_ENTITY,$B58,BG$11,BG$14,BG$19,),""),IF($I58=2,IFBLANK(_xldudf_CX_PUSH(BG58,CX_ENTITY,$B58,BG$11,BG$14,BG$19,),""),IF($I58=3,"",IFBLANK(_xldudf_CX_PUSH(BG58,CX_ENTITY,$B58,BG$11,BG$14,BG$19,),"")))))),"")</f>
        <v/>
      </c>
      <c r="EH58" s="2445" t="str" cm="1">
        <f t="array" ca="1" aca="1" ref="EH58">IFERROR(IF(BH58*fxVal_normal=_PL!BH58,"",IF(OR(BH58="",NOT(ISNUMBER(BH58)),ISERROR(BH58),$B58=""),"",IF($I58=1,IFBLANK(_xldudf_CX_PUSH(BH58*fxVal_normal,CX_ENTITY,$B58,BH$11,BH$14,BH$19,),""),IF($I58=2,IFBLANK(_xldudf_CX_PUSH(BH58,CX_ENTITY,$B58,BH$11,BH$14,BH$19,),""),IF($I58=3,"",IFBLANK(_xldudf_CX_PUSH(BH58,CX_ENTITY,$B58,BH$11,BH$14,BH$19,),"")))))),"")</f>
        <v/>
      </c>
      <c r="EI58" s="2445" t="str" cm="1">
        <f t="array" ca="1" aca="1" ref="EI58">IFERROR(IF(BI58*fxVal_normal=_PL!BI58,"",IF(OR(BI58="",NOT(ISNUMBER(BI58)),ISERROR(BI58),$B58=""),"",IF($I58=1,IFBLANK(_xldudf_CX_PUSH(BI58*fxVal_normal,CX_ENTITY,$B58,BI$11,BI$14,BI$19,),""),IF($I58=2,IFBLANK(_xldudf_CX_PUSH(BI58,CX_ENTITY,$B58,BI$11,BI$14,BI$19,),""),IF($I58=3,"",IFBLANK(_xldudf_CX_PUSH(BI58,CX_ENTITY,$B58,BI$11,BI$14,BI$19,),"")))))),"")</f>
        <v/>
      </c>
      <c r="EJ58" s="2445" t="str" cm="1">
        <f t="array" ca="1" aca="1" ref="EJ58">IFERROR(IF(BJ58*fxVal_normal=_PL!BJ58,"",IF(OR(BJ58="",NOT(ISNUMBER(BJ58)),ISERROR(BJ58),$B58=""),"",IF($I58=1,IFBLANK(_xldudf_CX_PUSH(BJ58*fxVal_normal,CX_ENTITY,$B58,BJ$11,BJ$14,BJ$19,),""),IF($I58=2,IFBLANK(_xldudf_CX_PUSH(BJ58,CX_ENTITY,$B58,BJ$11,BJ$14,BJ$19,),""),IF($I58=3,"",IFBLANK(_xldudf_CX_PUSH(BJ58,CX_ENTITY,$B58,BJ$11,BJ$14,BJ$19,),"")))))),"")</f>
        <v/>
      </c>
      <c r="EK58" s="2445" t="str" cm="1">
        <f t="array" ca="1" aca="1" ref="EK58">IFERROR(IF(BK58*fxVal_normal=_PL!BK58,"",IF(OR(BK58="",NOT(ISNUMBER(BK58)),ISERROR(BK58),$B58=""),"",IF($I58=1,IFBLANK(_xldudf_CX_PUSH(BK58*fxVal_normal,CX_ENTITY,$B58,BK$11,BK$14,BK$19,),""),IF($I58=2,IFBLANK(_xldudf_CX_PUSH(BK58,CX_ENTITY,$B58,BK$11,BK$14,BK$19,),""),IF($I58=3,"",IFBLANK(_xldudf_CX_PUSH(BK58,CX_ENTITY,$B58,BK$11,BK$14,BK$19,),"")))))),"")</f>
        <v/>
      </c>
      <c r="EL58" s="2445" t="str" cm="1">
        <f t="array" ca="1" aca="1" ref="EL58">IFERROR(IF(BL58*fxVal_normal=_PL!BL58,"",IF(OR(BL58="",NOT(ISNUMBER(BL58)),ISERROR(BL58),$B58=""),"",IF($I58=1,IFBLANK(_xldudf_CX_PUSH(BL58*fxVal_normal,CX_ENTITY,$B58,BL$11,BL$14,BL$19,),""),IF($I58=2,IFBLANK(_xldudf_CX_PUSH(BL58,CX_ENTITY,$B58,BL$11,BL$14,BL$19,),""),IF($I58=3,"",IFBLANK(_xldudf_CX_PUSH(BL58,CX_ENTITY,$B58,BL$11,BL$14,BL$19,),"")))))),"")</f>
        <v/>
      </c>
      <c r="EM58" s="2445" t="str" cm="1">
        <f t="array" ca="1" aca="1" ref="EM58">IFERROR(IF(BM58*fxVal_normal=_PL!BM58,"",IF(OR(BM58="",NOT(ISNUMBER(BM58)),ISERROR(BM58),$B58=""),"",IF($I58=1,IFBLANK(_xldudf_CX_PUSH(BM58*fxVal_normal,CX_ENTITY,$B58,BM$11,BM$14,BM$19,),""),IF($I58=2,IFBLANK(_xldudf_CX_PUSH(BM58,CX_ENTITY,$B58,BM$11,BM$14,BM$19,),""),IF($I58=3,"",IFBLANK(_xldudf_CX_PUSH(BM58,CX_ENTITY,$B58,BM$11,BM$14,BM$19,),"")))))),"")</f>
        <v/>
      </c>
      <c r="EN58" s="2445" t="str" cm="1">
        <f t="array" ca="1" aca="1" ref="EN58">IFERROR(IF(BN58*fxVal_normal=_PL!BN58,"",IF(OR(BN58="",NOT(ISNUMBER(BN58)),ISERROR(BN58),$B58=""),"",IF($I58=1,IFBLANK(_xldudf_CX_PUSH(BN58*fxVal_normal,CX_ENTITY,$B58,BN$11,BN$14,BN$19,),""),IF($I58=2,IFBLANK(_xldudf_CX_PUSH(BN58,CX_ENTITY,$B58,BN$11,BN$14,BN$19,),""),IF($I58=3,"",IFBLANK(_xldudf_CX_PUSH(BN58,CX_ENTITY,$B58,BN$11,BN$14,BN$19,),"")))))),"")</f>
        <v/>
      </c>
    </row>
    <row r="59" spans="1:144" ht="21" customHeight="1">
      <c r="A59" s="1626"/>
      <c r="B59" s="2439" t="str">
        <f>_xlfn.LET(_xlpm.IsNotAttrDynamic,D59="",_xlpm.Attr,_PL!F59,_xlpm.NotInUse,Y59=D59,_xlpm.RESULT,IF(_xlpm.IsNotAttrDynamic,_xlpm.Attr,IF(_xlpm.NotInUse,"",Y59)),IF(_xlpm.RESULT="","",_xlpm.RESULT))</f>
        <v>Custom Metric Amount 3 [Calculated]</v>
      </c>
      <c r="C59" s="2439" t="str" cm="1">
        <f t="array" ref="C59">IFBLANK(_PL!C59,"")</f>
        <v>Custom Metric - Label 3 [Calculated]</v>
      </c>
      <c r="D59" s="1548"/>
      <c r="E59" s="577"/>
      <c r="F59" s="578"/>
      <c r="G59" s="578"/>
      <c r="H59" s="3280">
        <v>1</v>
      </c>
      <c r="I59" s="3280">
        <v>1</v>
      </c>
      <c r="J59" s="401" cm="1">
        <f t="array" ref="J59">IFBLANK(Z59,"")</f>
        <v>-1</v>
      </c>
      <c r="K59" s="578" t="str">
        <f t="shared" si="17"/>
        <v>No</v>
      </c>
      <c r="L59" s="37"/>
      <c r="N59" s="158"/>
      <c r="O59" s="101"/>
      <c r="P59" s="52"/>
      <c r="Q59" s="101"/>
      <c r="R59" s="539"/>
      <c r="S59" s="101"/>
      <c r="T59" s="101"/>
      <c r="U59" s="39"/>
      <c r="V59" s="37"/>
      <c r="W59" s="91" t="str">
        <f t="shared" si="18"/>
        <v>Actual</v>
      </c>
      <c r="X59" s="2081" t="e">
        <f ca="1">_PL!X59</f>
        <v>#NAME?</v>
      </c>
      <c r="Y59" s="1134"/>
      <c r="Z59" s="198" cm="1">
        <f t="array" ref="Z59">_xlfn.SWITCH(TRUE,_PL!$L59=TRUE,1,_PL!$L59=FALSE,-1,_PL!$L59=-1,0,"")</f>
        <v>-1</v>
      </c>
      <c r="AA59" s="200" t="str" cm="1">
        <f t="array" ca="1" aca="1" ref="AA59">_xlfn.LET(_xlpm._termname,$Y59,_xlpm._icon,"Define",_xlpm._location,_xlfn.XLOOKUP(_xlpm._termname,$Y$249:$Y$338,$Y$249:$Y$338),_xlpm._hyperlink,HYPERLINK("#"&amp;CELL("address",_xlpm._location),_xlpm._icon),IF(Y59="","",_xlpm._hyperlink))</f>
        <v/>
      </c>
      <c r="AB59" s="1335" t="str" cm="1">
        <f t="array" ref="AB59">IFBLANK(Y59,"")</f>
        <v/>
      </c>
      <c r="AC59" s="2468" t="str" cm="1">
        <f t="array" ca="1" aca="1" ref="AC59">_xlfn.LET(_xlpm._termname,$AB59,_xlpm._iconname,"find",_xlpm._icon,fx_getIcon(_xlpm._iconname),_xlpm._location,_xlfn.XLOOKUP(LOWER(_xlpm._termname),LOWER(tbl_acctDef[Term]),tbl_acctDef[Term]),_xlpm._hyperlink,HYPERLINK("#"&amp;CELL("address",_xlpm._location),_xlpm._icon),IFERROR(_xlpm._hyperlink,""))</f>
        <v/>
      </c>
      <c r="AD59" s="2478" t="str" cm="1">
        <f t="array" ref="AD59">IF($Y59="","",_xlfn.XLOOKUP($W59&amp;$Y59,$W$249:$W$337&amp;$Y$249:$Y$338,$AD$249:$BN$338))</f>
        <v/>
      </c>
      <c r="AE59" s="3461"/>
      <c r="AF59" s="3461"/>
      <c r="AG59" s="3461"/>
      <c r="AH59" s="3461"/>
      <c r="AI59" s="3461"/>
      <c r="AJ59" s="3461"/>
      <c r="AK59" s="3461"/>
      <c r="AL59" s="3461"/>
      <c r="AM59" s="3461"/>
      <c r="AN59" s="3461"/>
      <c r="AO59" s="3461"/>
      <c r="AP59" s="3461"/>
      <c r="AQ59" s="3461"/>
      <c r="AR59" s="3461"/>
      <c r="AS59" s="3461"/>
      <c r="AT59" s="3461"/>
      <c r="AU59" s="3461"/>
      <c r="AV59" s="3461"/>
      <c r="AW59" s="3461"/>
      <c r="AX59" s="3461"/>
      <c r="AY59" s="3461"/>
      <c r="AZ59" s="3461"/>
      <c r="BA59" s="3461"/>
      <c r="BB59" s="3461"/>
      <c r="BC59" s="3461"/>
      <c r="BD59" s="3461"/>
      <c r="BE59" s="3461"/>
      <c r="BF59" s="3461"/>
      <c r="BG59" s="3461"/>
      <c r="BH59" s="3461"/>
      <c r="BI59" s="3461"/>
      <c r="BJ59" s="3461"/>
      <c r="BK59" s="3461"/>
      <c r="BL59" s="3461"/>
      <c r="BM59" s="3461"/>
      <c r="BN59" s="3461"/>
      <c r="BO59" s="2479"/>
      <c r="BP59" s="2479"/>
      <c r="BQ59" s="2479"/>
      <c r="BR59" s="2479"/>
      <c r="BS59" s="2479"/>
      <c r="BT59" s="2479"/>
      <c r="BU59" s="2479"/>
      <c r="BV59" s="2479"/>
      <c r="BW59" s="2479"/>
      <c r="BX59" s="2479"/>
      <c r="BY59" s="2479"/>
      <c r="BZ59" s="2479"/>
      <c r="CA59" s="34"/>
      <c r="CC59" s="33"/>
      <c r="CD59" s="1461" t="str" cm="1">
        <f t="array" ref="CD59">_xlfn.LET(_xlpm.CheckBlank,SUM(PL!$AD59:PL!$BN59)=0,IF(_xlpm.CheckBlank,"",SUM(_xlfn._xlws.FILTER(PL!$AD59:$BN59,(YEAR(PL!$AD$12:$BN$12)=PL!CD$12)*(array_timeline&lt;=PL!CD$11)))))</f>
        <v/>
      </c>
      <c r="CE59" s="1461" t="str" cm="1">
        <f t="array" ref="CE59">_xlfn.LET(_xlpm.CheckBlank,SUM(PL!$AD59:PL!$BN59)=0,IF(_xlpm.CheckBlank,"",SUM(_xlfn._xlws.FILTER(PL!$AD59:$BN59,(YEAR(PL!$AD$12:$BN$12)=PL!CE$12)*(array_timeline&lt;=PL!CE$11)))))</f>
        <v/>
      </c>
      <c r="CF59" s="2480"/>
      <c r="CG59" s="1461" t="str" cm="1">
        <f t="array" ref="CG59">IFERROR(_xlfn.LET(_xlpm.CheckBlank,SUM(PL!$AD59:$BN59)=0,IF(_xlpm.CheckBlank,"",SUM(_xlfn._xlws.FILTER(PL!$AD59:$BN59,(YEAR(PL!$AD$12:$BN$12)=PL!CG$12)*(array_timeline&lt;=PL!CG$11))))),"n/a")</f>
        <v/>
      </c>
      <c r="CH59" s="1461" t="str" cm="1">
        <f t="array" ref="CH59">_xlfn.LET(_xlpm.CheckBlank,SUM(PL!$AD59:$BN59)=0,IF(_xlpm.CheckBlank,"",SUM(_xlfn._xlws.FILTER(PL!$AD59:$BN59,(YEAR(PL!$AD$12:$BN$12)=PL!CH$12)*(array_timeline&lt;=PL!CH$11)))))</f>
        <v/>
      </c>
      <c r="CI59" s="170"/>
      <c r="CJ59" s="1461" t="str" cm="1">
        <f t="array" ref="CJ59">_xlfn.LET(_xlpm.CheckBlank,SUM(PL!$AD59:$BN59)=0,IF(_xlpm.CheckBlank,"",SUM(_xlfn.TAKE(_xlfn.DROP(PL!$AD59:$BN59,,-DATEDIFF(PL!CJ$11,val_asOfDate,"M")),1,-12))))</f>
        <v/>
      </c>
      <c r="CK59" s="1461" t="str" cm="1">
        <f t="array" ref="CK59">_xlfn.LET(_xlpm.CheckBlank,SUM(PL!$AD59:$BN59)=0,IF(_xlpm.CheckBlank,"",SUM(_xlfn.TAKE(_xlfn.DROP(PL!$AD59:$BN59,,-DATEDIFF(PL!CK$11,val_asOfDate,"M")),1,-12))))</f>
        <v/>
      </c>
      <c r="CL59" s="88"/>
      <c r="CM59" s="2357" t="str" cm="1">
        <f t="array" ref="CM59">IF($Y59="","",_xlfn.XLOOKUP($W59&amp;$Y59,$W$250:$W$338&amp;$Y$250:$Y$338,$CM$250:$CN$338))</f>
        <v/>
      </c>
      <c r="CN59" s="3462"/>
      <c r="CO59" s="3"/>
      <c r="CP59" s="2357" t="str" cm="1">
        <f t="array" ref="CP59">IF($Y59="","",_xlfn.XLOOKUP($W59&amp;$Y59,$W$250:$W$338&amp;$Y$250:$Y$338,$CP$250:$CQ$338))</f>
        <v/>
      </c>
      <c r="CQ59" s="3462"/>
      <c r="CR59" s="34"/>
      <c r="CS59" s="2056"/>
      <c r="CT59" s="2616"/>
      <c r="CU59" s="2616"/>
      <c r="CV59" s="2616"/>
      <c r="CW59" s="2616"/>
      <c r="CX59" s="2443"/>
      <c r="CY59" s="2444" t="str" cm="1">
        <f t="array" ca="1" aca="1" ref="CY59">IFERROR(IF(CM59*fxVal_normal=_PL!CM59,"",IF(OR($CM59="",$CM59=0,NOT(ISNUMBER($CM59)),ISERROR($CM59),$B59=""),"",IF($I59=1,IFBLANK(_xldudf_CX_PUSH($CM59*fxVal_normal,CX_ENTITY,$B59,$CM$11,$CM$14,$CM$19,),""),IF($I59=2,IFBLANK(_xldudf_CX_PUSH($CM59,CX_ENTITY,$B59,$CM$11,$CM$14,$CM$19,),""),IF($I59=3,"",IFBLANK(_xldudf_CX_PUSH($CM59,CX_ENTITY,$B59,$CM$11,$CM$14,$CM$19,),"")))))),"")</f>
        <v/>
      </c>
      <c r="CZ59" s="2444" t="str" cm="1">
        <f t="array" ca="1" aca="1" ref="CZ59">IFERROR(IF(CN59*fxVal_normal=_PL!CN59,"",IF(OR($CN59="",$CN59=0,NOT(ISNUMBER($CN59)),ISERROR($CN59),$B59=""),"",IF($I59=1,IFBLANK(_xldudf_CX_PUSH($CN59*fxVal_normal,CX_ENTITY,$B59,$CN$11,$CN$14,$CN$19,),""),IF($I59=2,IFBLANK(_xldudf_CX_PUSH($CN59,CX_ENTITY,$B59,$CN$11,$CN$14,$CN$19,),""),IF($I59=3,"",IFBLANK(_xldudf_CX_PUSH($CN59,CX_ENTITY,$B59,$CN$11,$CN$14,$CN$19,),"")))))),"")</f>
        <v/>
      </c>
      <c r="DA59" s="2444" t="str" cm="1">
        <f t="array" ca="1" aca="1" ref="DA59">IFERROR(IF(CP59*fxVal_normal=_PL!CP59,"",IF(OR($CP59="",$CP59=0,NOT(ISNUMBER($CP59)),ISERROR($CP59),$B59=""),"",IF($I59=1,IFBLANK(_xldudf_CX_PUSH($CP59*fxVal_normal,CX_ENTITY,$B59,$CP$11,$CP$14,$CP$19,),""),IF($I59=2,IFBLANK(_xldudf_CX_PUSH($CP59,CX_ENTITY,$B59,$CP$11,$CP$14,$CP$19,),""),IF($I59=3,"",IFBLANK(_xldudf_CX_PUSH($CP59,CX_ENTITY,$B59,$CP$11,$CP$14,$CP$19,),"")))))),"")</f>
        <v/>
      </c>
      <c r="DB59" s="2444" t="str" cm="1">
        <f t="array" ca="1" aca="1" ref="DB59">IFERROR(IF(CQ59*fxVal_normal=_PL!CQ59,"",IF(OR($CQ59="",$CQ59=0,NOT(ISNUMBER($CQ59)),ISERROR($CQ59),$B59=""),"",IF($I59=1,IFBLANK(_xldudf_CX_PUSH($CQ59*fxVal_normal,CX_ENTITY,$B59,$CQ$11,$CQ$14,$CQ$19,),""),IF($I59=2,IFBLANK(_xldudf_CX_PUSH($CQ59,CX_ENTITY,$B59,$CQ$11,$CQ$14,$CQ$19,),""),IF($I59=3,"",IFBLANK(_xldudf_CX_PUSH($CQ59,CX_ENTITY,$B59,$CQ$11,$CQ$14,$CQ$19,),"")))))),"")</f>
        <v/>
      </c>
      <c r="DC59" s="2443"/>
      <c r="DD59" s="2445" t="str" cm="1">
        <f t="array" ca="1" aca="1" ref="DD59">IFERROR(IF(AD59*fxVal_normal=_PL!AD59,"",IF(OR(AD59="",NOT(ISNUMBER(AD59)),ISERROR(AD59),$B59=""),"",IF($I59=1,IFBLANK(_xldudf_CX_PUSH(AD59*fxVal_normal,CX_ENTITY,$B59,AD$11,AD$14,AD$19,),""),IF($I59=2,IFBLANK(_xldudf_CX_PUSH(AD59,CX_ENTITY,$B59,AD$11,AD$14,AD$19,),""),IF($I59=3,"",IFBLANK(_xldudf_CX_PUSH(AD59,CX_ENTITY,$B59,AD$11,AD$14,AD$19,),"")))))),"")</f>
        <v/>
      </c>
      <c r="DE59" s="2445" t="str" cm="1">
        <f t="array" ca="1" aca="1" ref="DE59">IFERROR(IF(AE59*fxVal_normal=_PL!AE59,"",IF(OR(AE59="",NOT(ISNUMBER(AE59)),ISERROR(AE59),$B59=""),"",IF($I59=1,IFBLANK(_xldudf_CX_PUSH(AE59*fxVal_normal,CX_ENTITY,$B59,AE$11,AE$14,AE$19,),""),IF($I59=2,IFBLANK(_xldudf_CX_PUSH(AE59,CX_ENTITY,$B59,AE$11,AE$14,AE$19,),""),IF($I59=3,"",IFBLANK(_xldudf_CX_PUSH(AE59,CX_ENTITY,$B59,AE$11,AE$14,AE$19,),"")))))),"")</f>
        <v/>
      </c>
      <c r="DF59" s="2445" t="str" cm="1">
        <f t="array" ca="1" aca="1" ref="DF59">IFERROR(IF(AF59*fxVal_normal=_PL!AF59,"",IF(OR(AF59="",NOT(ISNUMBER(AF59)),ISERROR(AF59),$B59=""),"",IF($I59=1,IFBLANK(_xldudf_CX_PUSH(AF59*fxVal_normal,CX_ENTITY,$B59,AF$11,AF$14,AF$19,),""),IF($I59=2,IFBLANK(_xldudf_CX_PUSH(AF59,CX_ENTITY,$B59,AF$11,AF$14,AF$19,),""),IF($I59=3,"",IFBLANK(_xldudf_CX_PUSH(AF59,CX_ENTITY,$B59,AF$11,AF$14,AF$19,),"")))))),"")</f>
        <v/>
      </c>
      <c r="DG59" s="2445" t="str" cm="1">
        <f t="array" ca="1" aca="1" ref="DG59">IFERROR(IF(AG59*fxVal_normal=_PL!AG59,"",IF(OR(AG59="",NOT(ISNUMBER(AG59)),ISERROR(AG59),$B59=""),"",IF($I59=1,IFBLANK(_xldudf_CX_PUSH(AG59*fxVal_normal,CX_ENTITY,$B59,AG$11,AG$14,AG$19,),""),IF($I59=2,IFBLANK(_xldudf_CX_PUSH(AG59,CX_ENTITY,$B59,AG$11,AG$14,AG$19,),""),IF($I59=3,"",IFBLANK(_xldudf_CX_PUSH(AG59,CX_ENTITY,$B59,AG$11,AG$14,AG$19,),"")))))),"")</f>
        <v/>
      </c>
      <c r="DH59" s="2445" t="str" cm="1">
        <f t="array" ca="1" aca="1" ref="DH59">IFERROR(IF(AH59*fxVal_normal=_PL!AH59,"",IF(OR(AH59="",NOT(ISNUMBER(AH59)),ISERROR(AH59),$B59=""),"",IF($I59=1,IFBLANK(_xldudf_CX_PUSH(AH59*fxVal_normal,CX_ENTITY,$B59,AH$11,AH$14,AH$19,),""),IF($I59=2,IFBLANK(_xldudf_CX_PUSH(AH59,CX_ENTITY,$B59,AH$11,AH$14,AH$19,),""),IF($I59=3,"",IFBLANK(_xldudf_CX_PUSH(AH59,CX_ENTITY,$B59,AH$11,AH$14,AH$19,),"")))))),"")</f>
        <v/>
      </c>
      <c r="DI59" s="2445" t="str" cm="1">
        <f t="array" ca="1" aca="1" ref="DI59">IFERROR(IF(AI59*fxVal_normal=_PL!AI59,"",IF(OR(AI59="",NOT(ISNUMBER(AI59)),ISERROR(AI59),$B59=""),"",IF($I59=1,IFBLANK(_xldudf_CX_PUSH(AI59*fxVal_normal,CX_ENTITY,$B59,AI$11,AI$14,AI$19,),""),IF($I59=2,IFBLANK(_xldudf_CX_PUSH(AI59,CX_ENTITY,$B59,AI$11,AI$14,AI$19,),""),IF($I59=3,"",IFBLANK(_xldudf_CX_PUSH(AI59,CX_ENTITY,$B59,AI$11,AI$14,AI$19,),"")))))),"")</f>
        <v/>
      </c>
      <c r="DJ59" s="2445" t="str" cm="1">
        <f t="array" ca="1" aca="1" ref="DJ59">IFERROR(IF(AJ59*fxVal_normal=_PL!AJ59,"",IF(OR(AJ59="",NOT(ISNUMBER(AJ59)),ISERROR(AJ59),$B59=""),"",IF($I59=1,IFBLANK(_xldudf_CX_PUSH(AJ59*fxVal_normal,CX_ENTITY,$B59,AJ$11,AJ$14,AJ$19,),""),IF($I59=2,IFBLANK(_xldudf_CX_PUSH(AJ59,CX_ENTITY,$B59,AJ$11,AJ$14,AJ$19,),""),IF($I59=3,"",IFBLANK(_xldudf_CX_PUSH(AJ59,CX_ENTITY,$B59,AJ$11,AJ$14,AJ$19,),"")))))),"")</f>
        <v/>
      </c>
      <c r="DK59" s="2445" t="str" cm="1">
        <f t="array" ca="1" aca="1" ref="DK59">IFERROR(IF(AK59*fxVal_normal=_PL!AK59,"",IF(OR(AK59="",NOT(ISNUMBER(AK59)),ISERROR(AK59),$B59=""),"",IF($I59=1,IFBLANK(_xldudf_CX_PUSH(AK59*fxVal_normal,CX_ENTITY,$B59,AK$11,AK$14,AK$19,),""),IF($I59=2,IFBLANK(_xldudf_CX_PUSH(AK59,CX_ENTITY,$B59,AK$11,AK$14,AK$19,),""),IF($I59=3,"",IFBLANK(_xldudf_CX_PUSH(AK59,CX_ENTITY,$B59,AK$11,AK$14,AK$19,),"")))))),"")</f>
        <v/>
      </c>
      <c r="DL59" s="2445" t="str" cm="1">
        <f t="array" ca="1" aca="1" ref="DL59">IFERROR(IF(AL59*fxVal_normal=_PL!AL59,"",IF(OR(AL59="",NOT(ISNUMBER(AL59)),ISERROR(AL59),$B59=""),"",IF($I59=1,IFBLANK(_xldudf_CX_PUSH(AL59*fxVal_normal,CX_ENTITY,$B59,AL$11,AL$14,AL$19,),""),IF($I59=2,IFBLANK(_xldudf_CX_PUSH(AL59,CX_ENTITY,$B59,AL$11,AL$14,AL$19,),""),IF($I59=3,"",IFBLANK(_xldudf_CX_PUSH(AL59,CX_ENTITY,$B59,AL$11,AL$14,AL$19,),"")))))),"")</f>
        <v/>
      </c>
      <c r="DM59" s="2445" t="str" cm="1">
        <f t="array" ca="1" aca="1" ref="DM59">IFERROR(IF(AM59*fxVal_normal=_PL!AM59,"",IF(OR(AM59="",NOT(ISNUMBER(AM59)),ISERROR(AM59),$B59=""),"",IF($I59=1,IFBLANK(_xldudf_CX_PUSH(AM59*fxVal_normal,CX_ENTITY,$B59,AM$11,AM$14,AM$19,),""),IF($I59=2,IFBLANK(_xldudf_CX_PUSH(AM59,CX_ENTITY,$B59,AM$11,AM$14,AM$19,),""),IF($I59=3,"",IFBLANK(_xldudf_CX_PUSH(AM59,CX_ENTITY,$B59,AM$11,AM$14,AM$19,),"")))))),"")</f>
        <v/>
      </c>
      <c r="DN59" s="2445" t="str" cm="1">
        <f t="array" ca="1" aca="1" ref="DN59">IFERROR(IF(AN59*fxVal_normal=_PL!AN59,"",IF(OR(AN59="",NOT(ISNUMBER(AN59)),ISERROR(AN59),$B59=""),"",IF($I59=1,IFBLANK(_xldudf_CX_PUSH(AN59*fxVal_normal,CX_ENTITY,$B59,AN$11,AN$14,AN$19,),""),IF($I59=2,IFBLANK(_xldudf_CX_PUSH(AN59,CX_ENTITY,$B59,AN$11,AN$14,AN$19,),""),IF($I59=3,"",IFBLANK(_xldudf_CX_PUSH(AN59,CX_ENTITY,$B59,AN$11,AN$14,AN$19,),"")))))),"")</f>
        <v/>
      </c>
      <c r="DO59" s="2445" t="str" cm="1">
        <f t="array" ca="1" aca="1" ref="DO59">IFERROR(IF(AO59*fxVal_normal=_PL!AO59,"",IF(OR(AO59="",NOT(ISNUMBER(AO59)),ISERROR(AO59),$B59=""),"",IF($I59=1,IFBLANK(_xldudf_CX_PUSH(AO59*fxVal_normal,CX_ENTITY,$B59,AO$11,AO$14,AO$19,),""),IF($I59=2,IFBLANK(_xldudf_CX_PUSH(AO59,CX_ENTITY,$B59,AO$11,AO$14,AO$19,),""),IF($I59=3,"",IFBLANK(_xldudf_CX_PUSH(AO59,CX_ENTITY,$B59,AO$11,AO$14,AO$19,),"")))))),"")</f>
        <v/>
      </c>
      <c r="DP59" s="2445" t="str" cm="1">
        <f t="array" ca="1" aca="1" ref="DP59">IFERROR(IF(AP59*fxVal_normal=_PL!AP59,"",IF(OR(AP59="",NOT(ISNUMBER(AP59)),ISERROR(AP59),$B59=""),"",IF($I59=1,IFBLANK(_xldudf_CX_PUSH(AP59*fxVal_normal,CX_ENTITY,$B59,AP$11,AP$14,AP$19,),""),IF($I59=2,IFBLANK(_xldudf_CX_PUSH(AP59,CX_ENTITY,$B59,AP$11,AP$14,AP$19,),""),IF($I59=3,"",IFBLANK(_xldudf_CX_PUSH(AP59,CX_ENTITY,$B59,AP$11,AP$14,AP$19,),"")))))),"")</f>
        <v/>
      </c>
      <c r="DQ59" s="2445" t="str" cm="1">
        <f t="array" ca="1" aca="1" ref="DQ59">IFERROR(IF(AQ59*fxVal_normal=_PL!AQ59,"",IF(OR(AQ59="",NOT(ISNUMBER(AQ59)),ISERROR(AQ59),$B59=""),"",IF($I59=1,IFBLANK(_xldudf_CX_PUSH(AQ59*fxVal_normal,CX_ENTITY,$B59,AQ$11,AQ$14,AQ$19,),""),IF($I59=2,IFBLANK(_xldudf_CX_PUSH(AQ59,CX_ENTITY,$B59,AQ$11,AQ$14,AQ$19,),""),IF($I59=3,"",IFBLANK(_xldudf_CX_PUSH(AQ59,CX_ENTITY,$B59,AQ$11,AQ$14,AQ$19,),"")))))),"")</f>
        <v/>
      </c>
      <c r="DR59" s="2445" t="str" cm="1">
        <f t="array" ca="1" aca="1" ref="DR59">IFERROR(IF(AR59*fxVal_normal=_PL!AR59,"",IF(OR(AR59="",NOT(ISNUMBER(AR59)),ISERROR(AR59),$B59=""),"",IF($I59=1,IFBLANK(_xldudf_CX_PUSH(AR59*fxVal_normal,CX_ENTITY,$B59,AR$11,AR$14,AR$19,),""),IF($I59=2,IFBLANK(_xldudf_CX_PUSH(AR59,CX_ENTITY,$B59,AR$11,AR$14,AR$19,),""),IF($I59=3,"",IFBLANK(_xldudf_CX_PUSH(AR59,CX_ENTITY,$B59,AR$11,AR$14,AR$19,),"")))))),"")</f>
        <v/>
      </c>
      <c r="DS59" s="2445" t="str" cm="1">
        <f t="array" ca="1" aca="1" ref="DS59">IFERROR(IF(AS59*fxVal_normal=_PL!AS59,"",IF(OR(AS59="",NOT(ISNUMBER(AS59)),ISERROR(AS59),$B59=""),"",IF($I59=1,IFBLANK(_xldudf_CX_PUSH(AS59*fxVal_normal,CX_ENTITY,$B59,AS$11,AS$14,AS$19,),""),IF($I59=2,IFBLANK(_xldudf_CX_PUSH(AS59,CX_ENTITY,$B59,AS$11,AS$14,AS$19,),""),IF($I59=3,"",IFBLANK(_xldudf_CX_PUSH(AS59,CX_ENTITY,$B59,AS$11,AS$14,AS$19,),"")))))),"")</f>
        <v/>
      </c>
      <c r="DT59" s="2445" t="str" cm="1">
        <f t="array" ca="1" aca="1" ref="DT59">IFERROR(IF(AT59*fxVal_normal=_PL!AT59,"",IF(OR(AT59="",NOT(ISNUMBER(AT59)),ISERROR(AT59),$B59=""),"",IF($I59=1,IFBLANK(_xldudf_CX_PUSH(AT59*fxVal_normal,CX_ENTITY,$B59,AT$11,AT$14,AT$19,),""),IF($I59=2,IFBLANK(_xldudf_CX_PUSH(AT59,CX_ENTITY,$B59,AT$11,AT$14,AT$19,),""),IF($I59=3,"",IFBLANK(_xldudf_CX_PUSH(AT59,CX_ENTITY,$B59,AT$11,AT$14,AT$19,),"")))))),"")</f>
        <v/>
      </c>
      <c r="DU59" s="2445" t="str" cm="1">
        <f t="array" ca="1" aca="1" ref="DU59">IFERROR(IF(AU59*fxVal_normal=_PL!AU59,"",IF(OR(AU59="",NOT(ISNUMBER(AU59)),ISERROR(AU59),$B59=""),"",IF($I59=1,IFBLANK(_xldudf_CX_PUSH(AU59*fxVal_normal,CX_ENTITY,$B59,AU$11,AU$14,AU$19,),""),IF($I59=2,IFBLANK(_xldudf_CX_PUSH(AU59,CX_ENTITY,$B59,AU$11,AU$14,AU$19,),""),IF($I59=3,"",IFBLANK(_xldudf_CX_PUSH(AU59,CX_ENTITY,$B59,AU$11,AU$14,AU$19,),"")))))),"")</f>
        <v/>
      </c>
      <c r="DV59" s="2445" t="str" cm="1">
        <f t="array" ca="1" aca="1" ref="DV59">IFERROR(IF(AV59*fxVal_normal=_PL!AV59,"",IF(OR(AV59="",NOT(ISNUMBER(AV59)),ISERROR(AV59),$B59=""),"",IF($I59=1,IFBLANK(_xldudf_CX_PUSH(AV59*fxVal_normal,CX_ENTITY,$B59,AV$11,AV$14,AV$19,),""),IF($I59=2,IFBLANK(_xldudf_CX_PUSH(AV59,CX_ENTITY,$B59,AV$11,AV$14,AV$19,),""),IF($I59=3,"",IFBLANK(_xldudf_CX_PUSH(AV59,CX_ENTITY,$B59,AV$11,AV$14,AV$19,),"")))))),"")</f>
        <v/>
      </c>
      <c r="DW59" s="2445" t="str" cm="1">
        <f t="array" ca="1" aca="1" ref="DW59">IFERROR(IF(AW59*fxVal_normal=_PL!AW59,"",IF(OR(AW59="",NOT(ISNUMBER(AW59)),ISERROR(AW59),$B59=""),"",IF($I59=1,IFBLANK(_xldudf_CX_PUSH(AW59*fxVal_normal,CX_ENTITY,$B59,AW$11,AW$14,AW$19,),""),IF($I59=2,IFBLANK(_xldudf_CX_PUSH(AW59,CX_ENTITY,$B59,AW$11,AW$14,AW$19,),""),IF($I59=3,"",IFBLANK(_xldudf_CX_PUSH(AW59,CX_ENTITY,$B59,AW$11,AW$14,AW$19,),"")))))),"")</f>
        <v/>
      </c>
      <c r="DX59" s="2445" t="str" cm="1">
        <f t="array" ca="1" aca="1" ref="DX59">IFERROR(IF(AX59*fxVal_normal=_PL!AX59,"",IF(OR(AX59="",NOT(ISNUMBER(AX59)),ISERROR(AX59),$B59=""),"",IF($I59=1,IFBLANK(_xldudf_CX_PUSH(AX59*fxVal_normal,CX_ENTITY,$B59,AX$11,AX$14,AX$19,),""),IF($I59=2,IFBLANK(_xldudf_CX_PUSH(AX59,CX_ENTITY,$B59,AX$11,AX$14,AX$19,),""),IF($I59=3,"",IFBLANK(_xldudf_CX_PUSH(AX59,CX_ENTITY,$B59,AX$11,AX$14,AX$19,),"")))))),"")</f>
        <v/>
      </c>
      <c r="DY59" s="2445" t="str" cm="1">
        <f t="array" ca="1" aca="1" ref="DY59">IFERROR(IF(AY59*fxVal_normal=_PL!AY59,"",IF(OR(AY59="",NOT(ISNUMBER(AY59)),ISERROR(AY59),$B59=""),"",IF($I59=1,IFBLANK(_xldudf_CX_PUSH(AY59*fxVal_normal,CX_ENTITY,$B59,AY$11,AY$14,AY$19,),""),IF($I59=2,IFBLANK(_xldudf_CX_PUSH(AY59,CX_ENTITY,$B59,AY$11,AY$14,AY$19,),""),IF($I59=3,"",IFBLANK(_xldudf_CX_PUSH(AY59,CX_ENTITY,$B59,AY$11,AY$14,AY$19,),"")))))),"")</f>
        <v/>
      </c>
      <c r="DZ59" s="2445" t="str" cm="1">
        <f t="array" ca="1" aca="1" ref="DZ59">IFERROR(IF(AZ59*fxVal_normal=_PL!AZ59,"",IF(OR(AZ59="",NOT(ISNUMBER(AZ59)),ISERROR(AZ59),$B59=""),"",IF($I59=1,IFBLANK(_xldudf_CX_PUSH(AZ59*fxVal_normal,CX_ENTITY,$B59,AZ$11,AZ$14,AZ$19,),""),IF($I59=2,IFBLANK(_xldudf_CX_PUSH(AZ59,CX_ENTITY,$B59,AZ$11,AZ$14,AZ$19,),""),IF($I59=3,"",IFBLANK(_xldudf_CX_PUSH(AZ59,CX_ENTITY,$B59,AZ$11,AZ$14,AZ$19,),"")))))),"")</f>
        <v/>
      </c>
      <c r="EA59" s="2445" t="str" cm="1">
        <f t="array" ca="1" aca="1" ref="EA59">IFERROR(IF(BA59*fxVal_normal=_PL!BA59,"",IF(OR(BA59="",NOT(ISNUMBER(BA59)),ISERROR(BA59),$B59=""),"",IF($I59=1,IFBLANK(_xldudf_CX_PUSH(BA59*fxVal_normal,CX_ENTITY,$B59,BA$11,BA$14,BA$19,),""),IF($I59=2,IFBLANK(_xldudf_CX_PUSH(BA59,CX_ENTITY,$B59,BA$11,BA$14,BA$19,),""),IF($I59=3,"",IFBLANK(_xldudf_CX_PUSH(BA59,CX_ENTITY,$B59,BA$11,BA$14,BA$19,),"")))))),"")</f>
        <v/>
      </c>
      <c r="EB59" s="2445" t="str" cm="1">
        <f t="array" ca="1" aca="1" ref="EB59">IFERROR(IF(BB59*fxVal_normal=_PL!BB59,"",IF(OR(BB59="",NOT(ISNUMBER(BB59)),ISERROR(BB59),$B59=""),"",IF($I59=1,IFBLANK(_xldudf_CX_PUSH(BB59*fxVal_normal,CX_ENTITY,$B59,BB$11,BB$14,BB$19,),""),IF($I59=2,IFBLANK(_xldudf_CX_PUSH(BB59,CX_ENTITY,$B59,BB$11,BB$14,BB$19,),""),IF($I59=3,"",IFBLANK(_xldudf_CX_PUSH(BB59,CX_ENTITY,$B59,BB$11,BB$14,BB$19,),"")))))),"")</f>
        <v/>
      </c>
      <c r="EC59" s="2445" t="str" cm="1">
        <f t="array" ca="1" aca="1" ref="EC59">IFERROR(IF(BC59*fxVal_normal=_PL!BC59,"",IF(OR(BC59="",NOT(ISNUMBER(BC59)),ISERROR(BC59),$B59=""),"",IF($I59=1,IFBLANK(_xldudf_CX_PUSH(BC59*fxVal_normal,CX_ENTITY,$B59,BC$11,BC$14,BC$19,),""),IF($I59=2,IFBLANK(_xldudf_CX_PUSH(BC59,CX_ENTITY,$B59,BC$11,BC$14,BC$19,),""),IF($I59=3,"",IFBLANK(_xldudf_CX_PUSH(BC59,CX_ENTITY,$B59,BC$11,BC$14,BC$19,),"")))))),"")</f>
        <v/>
      </c>
      <c r="ED59" s="2445" t="str" cm="1">
        <f t="array" ca="1" aca="1" ref="ED59">IFERROR(IF(BD59*fxVal_normal=_PL!BD59,"",IF(OR(BD59="",NOT(ISNUMBER(BD59)),ISERROR(BD59),$B59=""),"",IF($I59=1,IFBLANK(_xldudf_CX_PUSH(BD59*fxVal_normal,CX_ENTITY,$B59,BD$11,BD$14,BD$19,),""),IF($I59=2,IFBLANK(_xldudf_CX_PUSH(BD59,CX_ENTITY,$B59,BD$11,BD$14,BD$19,),""),IF($I59=3,"",IFBLANK(_xldudf_CX_PUSH(BD59,CX_ENTITY,$B59,BD$11,BD$14,BD$19,),"")))))),"")</f>
        <v/>
      </c>
      <c r="EE59" s="2445" t="str" cm="1">
        <f t="array" ca="1" aca="1" ref="EE59">IFERROR(IF(BE59*fxVal_normal=_PL!BE59,"",IF(OR(BE59="",NOT(ISNUMBER(BE59)),ISERROR(BE59),$B59=""),"",IF($I59=1,IFBLANK(_xldudf_CX_PUSH(BE59*fxVal_normal,CX_ENTITY,$B59,BE$11,BE$14,BE$19,),""),IF($I59=2,IFBLANK(_xldudf_CX_PUSH(BE59,CX_ENTITY,$B59,BE$11,BE$14,BE$19,),""),IF($I59=3,"",IFBLANK(_xldudf_CX_PUSH(BE59,CX_ENTITY,$B59,BE$11,BE$14,BE$19,),"")))))),"")</f>
        <v/>
      </c>
      <c r="EF59" s="2445" t="str" cm="1">
        <f t="array" ca="1" aca="1" ref="EF59">IFERROR(IF(BF59*fxVal_normal=_PL!BF59,"",IF(OR(BF59="",NOT(ISNUMBER(BF59)),ISERROR(BF59),$B59=""),"",IF($I59=1,IFBLANK(_xldudf_CX_PUSH(BF59*fxVal_normal,CX_ENTITY,$B59,BF$11,BF$14,BF$19,),""),IF($I59=2,IFBLANK(_xldudf_CX_PUSH(BF59,CX_ENTITY,$B59,BF$11,BF$14,BF$19,),""),IF($I59=3,"",IFBLANK(_xldudf_CX_PUSH(BF59,CX_ENTITY,$B59,BF$11,BF$14,BF$19,),"")))))),"")</f>
        <v/>
      </c>
      <c r="EG59" s="2445" t="str" cm="1">
        <f t="array" ca="1" aca="1" ref="EG59">IFERROR(IF(BG59*fxVal_normal=_PL!BG59,"",IF(OR(BG59="",NOT(ISNUMBER(BG59)),ISERROR(BG59),$B59=""),"",IF($I59=1,IFBLANK(_xldudf_CX_PUSH(BG59*fxVal_normal,CX_ENTITY,$B59,BG$11,BG$14,BG$19,),""),IF($I59=2,IFBLANK(_xldudf_CX_PUSH(BG59,CX_ENTITY,$B59,BG$11,BG$14,BG$19,),""),IF($I59=3,"",IFBLANK(_xldudf_CX_PUSH(BG59,CX_ENTITY,$B59,BG$11,BG$14,BG$19,),"")))))),"")</f>
        <v/>
      </c>
      <c r="EH59" s="2445" t="str" cm="1">
        <f t="array" ca="1" aca="1" ref="EH59">IFERROR(IF(BH59*fxVal_normal=_PL!BH59,"",IF(OR(BH59="",NOT(ISNUMBER(BH59)),ISERROR(BH59),$B59=""),"",IF($I59=1,IFBLANK(_xldudf_CX_PUSH(BH59*fxVal_normal,CX_ENTITY,$B59,BH$11,BH$14,BH$19,),""),IF($I59=2,IFBLANK(_xldudf_CX_PUSH(BH59,CX_ENTITY,$B59,BH$11,BH$14,BH$19,),""),IF($I59=3,"",IFBLANK(_xldudf_CX_PUSH(BH59,CX_ENTITY,$B59,BH$11,BH$14,BH$19,),"")))))),"")</f>
        <v/>
      </c>
      <c r="EI59" s="2445" t="str" cm="1">
        <f t="array" ca="1" aca="1" ref="EI59">IFERROR(IF(BI59*fxVal_normal=_PL!BI59,"",IF(OR(BI59="",NOT(ISNUMBER(BI59)),ISERROR(BI59),$B59=""),"",IF($I59=1,IFBLANK(_xldudf_CX_PUSH(BI59*fxVal_normal,CX_ENTITY,$B59,BI$11,BI$14,BI$19,),""),IF($I59=2,IFBLANK(_xldudf_CX_PUSH(BI59,CX_ENTITY,$B59,BI$11,BI$14,BI$19,),""),IF($I59=3,"",IFBLANK(_xldudf_CX_PUSH(BI59,CX_ENTITY,$B59,BI$11,BI$14,BI$19,),"")))))),"")</f>
        <v/>
      </c>
      <c r="EJ59" s="2445" t="str" cm="1">
        <f t="array" ca="1" aca="1" ref="EJ59">IFERROR(IF(BJ59*fxVal_normal=_PL!BJ59,"",IF(OR(BJ59="",NOT(ISNUMBER(BJ59)),ISERROR(BJ59),$B59=""),"",IF($I59=1,IFBLANK(_xldudf_CX_PUSH(BJ59*fxVal_normal,CX_ENTITY,$B59,BJ$11,BJ$14,BJ$19,),""),IF($I59=2,IFBLANK(_xldudf_CX_PUSH(BJ59,CX_ENTITY,$B59,BJ$11,BJ$14,BJ$19,),""),IF($I59=3,"",IFBLANK(_xldudf_CX_PUSH(BJ59,CX_ENTITY,$B59,BJ$11,BJ$14,BJ$19,),"")))))),"")</f>
        <v/>
      </c>
      <c r="EK59" s="2445" t="str" cm="1">
        <f t="array" ca="1" aca="1" ref="EK59">IFERROR(IF(BK59*fxVal_normal=_PL!BK59,"",IF(OR(BK59="",NOT(ISNUMBER(BK59)),ISERROR(BK59),$B59=""),"",IF($I59=1,IFBLANK(_xldudf_CX_PUSH(BK59*fxVal_normal,CX_ENTITY,$B59,BK$11,BK$14,BK$19,),""),IF($I59=2,IFBLANK(_xldudf_CX_PUSH(BK59,CX_ENTITY,$B59,BK$11,BK$14,BK$19,),""),IF($I59=3,"",IFBLANK(_xldudf_CX_PUSH(BK59,CX_ENTITY,$B59,BK$11,BK$14,BK$19,),"")))))),"")</f>
        <v/>
      </c>
      <c r="EL59" s="2445" t="str" cm="1">
        <f t="array" ca="1" aca="1" ref="EL59">IFERROR(IF(BL59*fxVal_normal=_PL!BL59,"",IF(OR(BL59="",NOT(ISNUMBER(BL59)),ISERROR(BL59),$B59=""),"",IF($I59=1,IFBLANK(_xldudf_CX_PUSH(BL59*fxVal_normal,CX_ENTITY,$B59,BL$11,BL$14,BL$19,),""),IF($I59=2,IFBLANK(_xldudf_CX_PUSH(BL59,CX_ENTITY,$B59,BL$11,BL$14,BL$19,),""),IF($I59=3,"",IFBLANK(_xldudf_CX_PUSH(BL59,CX_ENTITY,$B59,BL$11,BL$14,BL$19,),"")))))),"")</f>
        <v/>
      </c>
      <c r="EM59" s="2445" t="str" cm="1">
        <f t="array" ca="1" aca="1" ref="EM59">IFERROR(IF(BM59*fxVal_normal=_PL!BM59,"",IF(OR(BM59="",NOT(ISNUMBER(BM59)),ISERROR(BM59),$B59=""),"",IF($I59=1,IFBLANK(_xldudf_CX_PUSH(BM59*fxVal_normal,CX_ENTITY,$B59,BM$11,BM$14,BM$19,),""),IF($I59=2,IFBLANK(_xldudf_CX_PUSH(BM59,CX_ENTITY,$B59,BM$11,BM$14,BM$19,),""),IF($I59=3,"",IFBLANK(_xldudf_CX_PUSH(BM59,CX_ENTITY,$B59,BM$11,BM$14,BM$19,),"")))))),"")</f>
        <v/>
      </c>
      <c r="EN59" s="2445" t="str" cm="1">
        <f t="array" ca="1" aca="1" ref="EN59">IFERROR(IF(BN59*fxVal_normal=_PL!BN59,"",IF(OR(BN59="",NOT(ISNUMBER(BN59)),ISERROR(BN59),$B59=""),"",IF($I59=1,IFBLANK(_xldudf_CX_PUSH(BN59*fxVal_normal,CX_ENTITY,$B59,BN$11,BN$14,BN$19,),""),IF($I59=2,IFBLANK(_xldudf_CX_PUSH(BN59,CX_ENTITY,$B59,BN$11,BN$14,BN$19,),""),IF($I59=3,"",IFBLANK(_xldudf_CX_PUSH(BN59,CX_ENTITY,$B59,BN$11,BN$14,BN$19,),"")))))),"")</f>
        <v/>
      </c>
    </row>
    <row r="60" spans="1:144" ht="21" customHeight="1">
      <c r="A60" s="1626"/>
      <c r="B60" s="2439" t="str">
        <f>_xlfn.LET(_xlpm.IsNotAttrDynamic,D60="",_xlpm.Attr,_PL!F60,_xlpm.NotInUse,Y60=D60,_xlpm.RESULT,IF(_xlpm.IsNotAttrDynamic,_xlpm.Attr,IF(_xlpm.NotInUse,"",Y60)),IF(_xlpm.RESULT="","",_xlpm.RESULT))</f>
        <v>Custom Metric Amount 4 [Calculated]</v>
      </c>
      <c r="C60" s="2439" t="str" cm="1">
        <f t="array" ref="C60">IFBLANK(_PL!C60,"")</f>
        <v>Custom Metric - Label 4 [Calculated]</v>
      </c>
      <c r="D60" s="1548"/>
      <c r="E60" s="577" t="str">
        <f t="shared" si="19" ref="E60:E66">IF(Y60="","",Y60)</f>
        <v/>
      </c>
      <c r="F60" s="578"/>
      <c r="G60" s="578"/>
      <c r="H60" s="3280">
        <v>1</v>
      </c>
      <c r="I60" s="3280">
        <v>1</v>
      </c>
      <c r="J60" s="401" t="str" cm="1">
        <f t="array" ref="J60">IFBLANK(Z60,"")</f>
        <v/>
      </c>
      <c r="K60" s="578" t="str">
        <f t="shared" si="17"/>
        <v>No</v>
      </c>
      <c r="L60" s="37"/>
      <c r="N60" s="158"/>
      <c r="O60" s="101"/>
      <c r="P60" s="52"/>
      <c r="Q60" s="101"/>
      <c r="R60" s="539"/>
      <c r="S60" s="101"/>
      <c r="T60" s="101"/>
      <c r="U60" s="39"/>
      <c r="V60" s="37"/>
      <c r="W60" s="91" t="str">
        <f t="shared" si="18"/>
        <v>Actual</v>
      </c>
      <c r="X60" s="2081" t="e">
        <f ca="1">_PL!X60</f>
        <v>#NAME?</v>
      </c>
      <c r="Y60" s="2371"/>
      <c r="Z60" s="198" t="str">
        <f t="shared" si="20" ref="Z60:Z66">IF(Y60="","",0)</f>
        <v/>
      </c>
      <c r="AA60" s="200" t="str" cm="1">
        <f t="array" ca="1" aca="1" ref="AA60">_xlfn.LET(_xlpm._termname,$Y60,_xlpm._icon,"Define",_xlpm._location,_xlfn.XLOOKUP(_xlpm._termname,$Y$249:$Y$338,$Y$249:$Y$338),_xlpm._hyperlink,HYPERLINK("#"&amp;CELL("address",_xlpm._location),_xlpm._icon),IF(Y60="","",_xlpm._hyperlink))</f>
        <v/>
      </c>
      <c r="AB60" s="1335" t="str" cm="1">
        <f t="array" ref="AB60">IFBLANK(Y60,"")</f>
        <v/>
      </c>
      <c r="AC60" s="2468" t="str" cm="1">
        <f t="array" ca="1" aca="1" ref="AC60">_xlfn.LET(_xlpm._termname,$AB60,_xlpm._iconname,"find",_xlpm._icon,fx_getIcon(_xlpm._iconname),_xlpm._location,_xlfn.XLOOKUP(LOWER(_xlpm._termname),LOWER(tbl_acctDef[Term]),tbl_acctDef[Term]),_xlpm._hyperlink,HYPERLINK("#"&amp;CELL("address",_xlpm._location),_xlpm._icon),IFERROR(_xlpm._hyperlink,""))</f>
        <v/>
      </c>
      <c r="AD60" s="2478" t="str" cm="1">
        <f t="array" ref="AD60">IF($Y60="","",_xlfn.XLOOKUP($W60&amp;$Y60,$W$249:$W$337&amp;$Y$249:$Y$338,$AD$249:$BN$338))</f>
        <v/>
      </c>
      <c r="AE60" s="3461"/>
      <c r="AF60" s="3461"/>
      <c r="AG60" s="3461"/>
      <c r="AH60" s="3461"/>
      <c r="AI60" s="3461"/>
      <c r="AJ60" s="3461"/>
      <c r="AK60" s="3461"/>
      <c r="AL60" s="3461"/>
      <c r="AM60" s="3461"/>
      <c r="AN60" s="3461"/>
      <c r="AO60" s="3461"/>
      <c r="AP60" s="3461"/>
      <c r="AQ60" s="3461"/>
      <c r="AR60" s="3461"/>
      <c r="AS60" s="3461"/>
      <c r="AT60" s="3461"/>
      <c r="AU60" s="3461"/>
      <c r="AV60" s="3461"/>
      <c r="AW60" s="3461"/>
      <c r="AX60" s="3461"/>
      <c r="AY60" s="3461"/>
      <c r="AZ60" s="3461"/>
      <c r="BA60" s="3461"/>
      <c r="BB60" s="3461"/>
      <c r="BC60" s="3461"/>
      <c r="BD60" s="3461"/>
      <c r="BE60" s="3461"/>
      <c r="BF60" s="3461"/>
      <c r="BG60" s="3461"/>
      <c r="BH60" s="3461"/>
      <c r="BI60" s="3461"/>
      <c r="BJ60" s="3461"/>
      <c r="BK60" s="3461"/>
      <c r="BL60" s="3461"/>
      <c r="BM60" s="3461"/>
      <c r="BN60" s="3461"/>
      <c r="BO60" s="2479"/>
      <c r="BP60" s="2479"/>
      <c r="BQ60" s="2479"/>
      <c r="BR60" s="2479"/>
      <c r="BS60" s="2479"/>
      <c r="BT60" s="2479"/>
      <c r="BU60" s="2479"/>
      <c r="BV60" s="2479"/>
      <c r="BW60" s="2479"/>
      <c r="BX60" s="2479"/>
      <c r="BY60" s="2479"/>
      <c r="BZ60" s="2479"/>
      <c r="CA60" s="34"/>
      <c r="CC60" s="33"/>
      <c r="CD60" s="1461" t="str" cm="1">
        <f t="array" ref="CD60">_xlfn.LET(_xlpm.CheckBlank,SUM(PL!$AD60:PL!$BN60)=0,IF(_xlpm.CheckBlank,"",SUM(_xlfn._xlws.FILTER(PL!$AD60:$BN60,(YEAR(PL!$AD$12:$BN$12)=PL!CD$12)*(array_timeline&lt;=PL!CD$11)))))</f>
        <v/>
      </c>
      <c r="CE60" s="1461" t="str" cm="1">
        <f t="array" ref="CE60">_xlfn.LET(_xlpm.CheckBlank,SUM(PL!$AD60:PL!$BN60)=0,IF(_xlpm.CheckBlank,"",SUM(_xlfn._xlws.FILTER(PL!$AD60:$BN60,(YEAR(PL!$AD$12:$BN$12)=PL!CE$12)*(array_timeline&lt;=PL!CE$11)))))</f>
        <v/>
      </c>
      <c r="CF60" s="2480"/>
      <c r="CG60" s="1461" t="str" cm="1">
        <f t="array" ref="CG60">IFERROR(_xlfn.LET(_xlpm.CheckBlank,SUM(PL!$AD60:$BN60)=0,IF(_xlpm.CheckBlank,"",SUM(_xlfn._xlws.FILTER(PL!$AD60:$BN60,(YEAR(PL!$AD$12:$BN$12)=PL!CG$12)*(array_timeline&lt;=PL!CG$11))))),"n/a")</f>
        <v/>
      </c>
      <c r="CH60" s="1461" t="str" cm="1">
        <f t="array" ref="CH60">_xlfn.LET(_xlpm.CheckBlank,SUM(PL!$AD60:$BN60)=0,IF(_xlpm.CheckBlank,"",SUM(_xlfn._xlws.FILTER(PL!$AD60:$BN60,(YEAR(PL!$AD$12:$BN$12)=PL!CH$12)*(array_timeline&lt;=PL!CH$11)))))</f>
        <v/>
      </c>
      <c r="CI60" s="88"/>
      <c r="CJ60" s="1461" t="str" cm="1">
        <f t="array" ref="CJ60">_xlfn.LET(_xlpm.CheckBlank,SUM(PL!$AD60:$BN60)=0,IF(_xlpm.CheckBlank,"",SUM(_xlfn.TAKE(_xlfn.DROP(PL!$AD60:$BN60,,-DATEDIFF(PL!CJ$11,val_asOfDate,"M")),1,-12))))</f>
        <v/>
      </c>
      <c r="CK60" s="1461" t="str" cm="1">
        <f t="array" ref="CK60">_xlfn.LET(_xlpm.CheckBlank,SUM(PL!$AD60:$BN60)=0,IF(_xlpm.CheckBlank,"",SUM(_xlfn.TAKE(_xlfn.DROP(PL!$AD60:$BN60,,-DATEDIFF(PL!CK$11,val_asOfDate,"M")),1,-12))))</f>
        <v/>
      </c>
      <c r="CL60" s="88"/>
      <c r="CM60" s="2357" t="str" cm="1">
        <f t="array" ref="CM60">IF($Y60="","",_xlfn.XLOOKUP($W60&amp;$Y60,$W$250:$W$338&amp;$Y$250:$Y$338,$CM$250:$CN$338))</f>
        <v/>
      </c>
      <c r="CN60" s="3462"/>
      <c r="CO60" s="3"/>
      <c r="CP60" s="2357" t="str" cm="1">
        <f t="array" ref="CP60">IF($Y60="","",_xlfn.XLOOKUP($W60&amp;$Y60,$W$250:$W$338&amp;$Y$250:$Y$338,$CP$250:$CQ$338))</f>
        <v/>
      </c>
      <c r="CQ60" s="3462"/>
      <c r="CR60" s="34"/>
      <c r="CS60" s="2056"/>
      <c r="CT60" s="2616"/>
      <c r="CU60" s="2616"/>
      <c r="CV60" s="2616"/>
      <c r="CW60" s="2616"/>
      <c r="CX60" s="2443"/>
      <c r="CY60" s="2444" t="str" cm="1">
        <f t="array" ca="1" aca="1" ref="CY60">IFERROR(IF(CM60*fxVal_normal=_PL!CM60,"",IF(OR($CM60="",$CM60=0,NOT(ISNUMBER($CM60)),ISERROR($CM60),$B60=""),"",IF($I60=1,IFBLANK(_xldudf_CX_PUSH($CM60*fxVal_normal,CX_ENTITY,$B60,$CM$11,$CM$14,$CM$19,),""),IF($I60=2,IFBLANK(_xldudf_CX_PUSH($CM60,CX_ENTITY,$B60,$CM$11,$CM$14,$CM$19,),""),IF($I60=3,"",IFBLANK(_xldudf_CX_PUSH($CM60,CX_ENTITY,$B60,$CM$11,$CM$14,$CM$19,),"")))))),"")</f>
        <v/>
      </c>
      <c r="CZ60" s="2444" t="str" cm="1">
        <f t="array" ca="1" aca="1" ref="CZ60">IFERROR(IF(CN60*fxVal_normal=_PL!CN60,"",IF(OR($CN60="",$CN60=0,NOT(ISNUMBER($CN60)),ISERROR($CN60),$B60=""),"",IF($I60=1,IFBLANK(_xldudf_CX_PUSH($CN60*fxVal_normal,CX_ENTITY,$B60,$CN$11,$CN$14,$CN$19,),""),IF($I60=2,IFBLANK(_xldudf_CX_PUSH($CN60,CX_ENTITY,$B60,$CN$11,$CN$14,$CN$19,),""),IF($I60=3,"",IFBLANK(_xldudf_CX_PUSH($CN60,CX_ENTITY,$B60,$CN$11,$CN$14,$CN$19,),"")))))),"")</f>
        <v/>
      </c>
      <c r="DA60" s="2444" t="str" cm="1">
        <f t="array" ca="1" aca="1" ref="DA60">IFERROR(IF(CP60*fxVal_normal=_PL!CP60,"",IF(OR($CP60="",$CP60=0,NOT(ISNUMBER($CP60)),ISERROR($CP60),$B60=""),"",IF($I60=1,IFBLANK(_xldudf_CX_PUSH($CP60*fxVal_normal,CX_ENTITY,$B60,$CP$11,$CP$14,$CP$19,),""),IF($I60=2,IFBLANK(_xldudf_CX_PUSH($CP60,CX_ENTITY,$B60,$CP$11,$CP$14,$CP$19,),""),IF($I60=3,"",IFBLANK(_xldudf_CX_PUSH($CP60,CX_ENTITY,$B60,$CP$11,$CP$14,$CP$19,),"")))))),"")</f>
        <v/>
      </c>
      <c r="DB60" s="2444" t="str" cm="1">
        <f t="array" ca="1" aca="1" ref="DB60">IFERROR(IF(CQ60*fxVal_normal=_PL!CQ60,"",IF(OR($CQ60="",$CQ60=0,NOT(ISNUMBER($CQ60)),ISERROR($CQ60),$B60=""),"",IF($I60=1,IFBLANK(_xldudf_CX_PUSH($CQ60*fxVal_normal,CX_ENTITY,$B60,$CQ$11,$CQ$14,$CQ$19,),""),IF($I60=2,IFBLANK(_xldudf_CX_PUSH($CQ60,CX_ENTITY,$B60,$CQ$11,$CQ$14,$CQ$19,),""),IF($I60=3,"",IFBLANK(_xldudf_CX_PUSH($CQ60,CX_ENTITY,$B60,$CQ$11,$CQ$14,$CQ$19,),"")))))),"")</f>
        <v/>
      </c>
      <c r="DC60" s="2443"/>
      <c r="DD60" s="2445" t="str" cm="1">
        <f t="array" ca="1" aca="1" ref="DD60">IFERROR(IF(AD60*fxVal_normal=_PL!AD60,"",IF(OR(AD60="",NOT(ISNUMBER(AD60)),ISERROR(AD60),$B60=""),"",IF($I60=1,IFBLANK(_xldudf_CX_PUSH(AD60*fxVal_normal,CX_ENTITY,$B60,AD$11,AD$14,AD$19,),""),IF($I60=2,IFBLANK(_xldudf_CX_PUSH(AD60,CX_ENTITY,$B60,AD$11,AD$14,AD$19,),""),IF($I60=3,"",IFBLANK(_xldudf_CX_PUSH(AD60,CX_ENTITY,$B60,AD$11,AD$14,AD$19,),"")))))),"")</f>
        <v/>
      </c>
      <c r="DE60" s="2445" t="str" cm="1">
        <f t="array" ca="1" aca="1" ref="DE60">IFERROR(IF(AE60*fxVal_normal=_PL!AE60,"",IF(OR(AE60="",NOT(ISNUMBER(AE60)),ISERROR(AE60),$B60=""),"",IF($I60=1,IFBLANK(_xldudf_CX_PUSH(AE60*fxVal_normal,CX_ENTITY,$B60,AE$11,AE$14,AE$19,),""),IF($I60=2,IFBLANK(_xldudf_CX_PUSH(AE60,CX_ENTITY,$B60,AE$11,AE$14,AE$19,),""),IF($I60=3,"",IFBLANK(_xldudf_CX_PUSH(AE60,CX_ENTITY,$B60,AE$11,AE$14,AE$19,),"")))))),"")</f>
        <v/>
      </c>
      <c r="DF60" s="2445" t="str" cm="1">
        <f t="array" ca="1" aca="1" ref="DF60">IFERROR(IF(AF60*fxVal_normal=_PL!AF60,"",IF(OR(AF60="",NOT(ISNUMBER(AF60)),ISERROR(AF60),$B60=""),"",IF($I60=1,IFBLANK(_xldudf_CX_PUSH(AF60*fxVal_normal,CX_ENTITY,$B60,AF$11,AF$14,AF$19,),""),IF($I60=2,IFBLANK(_xldudf_CX_PUSH(AF60,CX_ENTITY,$B60,AF$11,AF$14,AF$19,),""),IF($I60=3,"",IFBLANK(_xldudf_CX_PUSH(AF60,CX_ENTITY,$B60,AF$11,AF$14,AF$19,),"")))))),"")</f>
        <v/>
      </c>
      <c r="DG60" s="2445" t="str" cm="1">
        <f t="array" ca="1" aca="1" ref="DG60">IFERROR(IF(AG60*fxVal_normal=_PL!AG60,"",IF(OR(AG60="",NOT(ISNUMBER(AG60)),ISERROR(AG60),$B60=""),"",IF($I60=1,IFBLANK(_xldudf_CX_PUSH(AG60*fxVal_normal,CX_ENTITY,$B60,AG$11,AG$14,AG$19,),""),IF($I60=2,IFBLANK(_xldudf_CX_PUSH(AG60,CX_ENTITY,$B60,AG$11,AG$14,AG$19,),""),IF($I60=3,"",IFBLANK(_xldudf_CX_PUSH(AG60,CX_ENTITY,$B60,AG$11,AG$14,AG$19,),"")))))),"")</f>
        <v/>
      </c>
      <c r="DH60" s="2445" t="str" cm="1">
        <f t="array" ca="1" aca="1" ref="DH60">IFERROR(IF(AH60*fxVal_normal=_PL!AH60,"",IF(OR(AH60="",NOT(ISNUMBER(AH60)),ISERROR(AH60),$B60=""),"",IF($I60=1,IFBLANK(_xldudf_CX_PUSH(AH60*fxVal_normal,CX_ENTITY,$B60,AH$11,AH$14,AH$19,),""),IF($I60=2,IFBLANK(_xldudf_CX_PUSH(AH60,CX_ENTITY,$B60,AH$11,AH$14,AH$19,),""),IF($I60=3,"",IFBLANK(_xldudf_CX_PUSH(AH60,CX_ENTITY,$B60,AH$11,AH$14,AH$19,),"")))))),"")</f>
        <v/>
      </c>
      <c r="DI60" s="2445" t="str" cm="1">
        <f t="array" ca="1" aca="1" ref="DI60">IFERROR(IF(AI60*fxVal_normal=_PL!AI60,"",IF(OR(AI60="",NOT(ISNUMBER(AI60)),ISERROR(AI60),$B60=""),"",IF($I60=1,IFBLANK(_xldudf_CX_PUSH(AI60*fxVal_normal,CX_ENTITY,$B60,AI$11,AI$14,AI$19,),""),IF($I60=2,IFBLANK(_xldudf_CX_PUSH(AI60,CX_ENTITY,$B60,AI$11,AI$14,AI$19,),""),IF($I60=3,"",IFBLANK(_xldudf_CX_PUSH(AI60,CX_ENTITY,$B60,AI$11,AI$14,AI$19,),"")))))),"")</f>
        <v/>
      </c>
      <c r="DJ60" s="2445" t="str" cm="1">
        <f t="array" ca="1" aca="1" ref="DJ60">IFERROR(IF(AJ60*fxVal_normal=_PL!AJ60,"",IF(OR(AJ60="",NOT(ISNUMBER(AJ60)),ISERROR(AJ60),$B60=""),"",IF($I60=1,IFBLANK(_xldudf_CX_PUSH(AJ60*fxVal_normal,CX_ENTITY,$B60,AJ$11,AJ$14,AJ$19,),""),IF($I60=2,IFBLANK(_xldudf_CX_PUSH(AJ60,CX_ENTITY,$B60,AJ$11,AJ$14,AJ$19,),""),IF($I60=3,"",IFBLANK(_xldudf_CX_PUSH(AJ60,CX_ENTITY,$B60,AJ$11,AJ$14,AJ$19,),"")))))),"")</f>
        <v/>
      </c>
      <c r="DK60" s="2445" t="str" cm="1">
        <f t="array" ca="1" aca="1" ref="DK60">IFERROR(IF(AK60*fxVal_normal=_PL!AK60,"",IF(OR(AK60="",NOT(ISNUMBER(AK60)),ISERROR(AK60),$B60=""),"",IF($I60=1,IFBLANK(_xldudf_CX_PUSH(AK60*fxVal_normal,CX_ENTITY,$B60,AK$11,AK$14,AK$19,),""),IF($I60=2,IFBLANK(_xldudf_CX_PUSH(AK60,CX_ENTITY,$B60,AK$11,AK$14,AK$19,),""),IF($I60=3,"",IFBLANK(_xldudf_CX_PUSH(AK60,CX_ENTITY,$B60,AK$11,AK$14,AK$19,),"")))))),"")</f>
        <v/>
      </c>
      <c r="DL60" s="2445" t="str" cm="1">
        <f t="array" ca="1" aca="1" ref="DL60">IFERROR(IF(AL60*fxVal_normal=_PL!AL60,"",IF(OR(AL60="",NOT(ISNUMBER(AL60)),ISERROR(AL60),$B60=""),"",IF($I60=1,IFBLANK(_xldudf_CX_PUSH(AL60*fxVal_normal,CX_ENTITY,$B60,AL$11,AL$14,AL$19,),""),IF($I60=2,IFBLANK(_xldudf_CX_PUSH(AL60,CX_ENTITY,$B60,AL$11,AL$14,AL$19,),""),IF($I60=3,"",IFBLANK(_xldudf_CX_PUSH(AL60,CX_ENTITY,$B60,AL$11,AL$14,AL$19,),"")))))),"")</f>
        <v/>
      </c>
      <c r="DM60" s="2445" t="str" cm="1">
        <f t="array" ca="1" aca="1" ref="DM60">IFERROR(IF(AM60*fxVal_normal=_PL!AM60,"",IF(OR(AM60="",NOT(ISNUMBER(AM60)),ISERROR(AM60),$B60=""),"",IF($I60=1,IFBLANK(_xldudf_CX_PUSH(AM60*fxVal_normal,CX_ENTITY,$B60,AM$11,AM$14,AM$19,),""),IF($I60=2,IFBLANK(_xldudf_CX_PUSH(AM60,CX_ENTITY,$B60,AM$11,AM$14,AM$19,),""),IF($I60=3,"",IFBLANK(_xldudf_CX_PUSH(AM60,CX_ENTITY,$B60,AM$11,AM$14,AM$19,),"")))))),"")</f>
        <v/>
      </c>
      <c r="DN60" s="2445" t="str" cm="1">
        <f t="array" ca="1" aca="1" ref="DN60">IFERROR(IF(AN60*fxVal_normal=_PL!AN60,"",IF(OR(AN60="",NOT(ISNUMBER(AN60)),ISERROR(AN60),$B60=""),"",IF($I60=1,IFBLANK(_xldudf_CX_PUSH(AN60*fxVal_normal,CX_ENTITY,$B60,AN$11,AN$14,AN$19,),""),IF($I60=2,IFBLANK(_xldudf_CX_PUSH(AN60,CX_ENTITY,$B60,AN$11,AN$14,AN$19,),""),IF($I60=3,"",IFBLANK(_xldudf_CX_PUSH(AN60,CX_ENTITY,$B60,AN$11,AN$14,AN$19,),"")))))),"")</f>
        <v/>
      </c>
      <c r="DO60" s="2445" t="str" cm="1">
        <f t="array" ca="1" aca="1" ref="DO60">IFERROR(IF(AO60*fxVal_normal=_PL!AO60,"",IF(OR(AO60="",NOT(ISNUMBER(AO60)),ISERROR(AO60),$B60=""),"",IF($I60=1,IFBLANK(_xldudf_CX_PUSH(AO60*fxVal_normal,CX_ENTITY,$B60,AO$11,AO$14,AO$19,),""),IF($I60=2,IFBLANK(_xldudf_CX_PUSH(AO60,CX_ENTITY,$B60,AO$11,AO$14,AO$19,),""),IF($I60=3,"",IFBLANK(_xldudf_CX_PUSH(AO60,CX_ENTITY,$B60,AO$11,AO$14,AO$19,),"")))))),"")</f>
        <v/>
      </c>
      <c r="DP60" s="2445" t="str" cm="1">
        <f t="array" ca="1" aca="1" ref="DP60">IFERROR(IF(AP60*fxVal_normal=_PL!AP60,"",IF(OR(AP60="",NOT(ISNUMBER(AP60)),ISERROR(AP60),$B60=""),"",IF($I60=1,IFBLANK(_xldudf_CX_PUSH(AP60*fxVal_normal,CX_ENTITY,$B60,AP$11,AP$14,AP$19,),""),IF($I60=2,IFBLANK(_xldudf_CX_PUSH(AP60,CX_ENTITY,$B60,AP$11,AP$14,AP$19,),""),IF($I60=3,"",IFBLANK(_xldudf_CX_PUSH(AP60,CX_ENTITY,$B60,AP$11,AP$14,AP$19,),"")))))),"")</f>
        <v/>
      </c>
      <c r="DQ60" s="2445" t="str" cm="1">
        <f t="array" ca="1" aca="1" ref="DQ60">IFERROR(IF(AQ60*fxVal_normal=_PL!AQ60,"",IF(OR(AQ60="",NOT(ISNUMBER(AQ60)),ISERROR(AQ60),$B60=""),"",IF($I60=1,IFBLANK(_xldudf_CX_PUSH(AQ60*fxVal_normal,CX_ENTITY,$B60,AQ$11,AQ$14,AQ$19,),""),IF($I60=2,IFBLANK(_xldudf_CX_PUSH(AQ60,CX_ENTITY,$B60,AQ$11,AQ$14,AQ$19,),""),IF($I60=3,"",IFBLANK(_xldudf_CX_PUSH(AQ60,CX_ENTITY,$B60,AQ$11,AQ$14,AQ$19,),"")))))),"")</f>
        <v/>
      </c>
      <c r="DR60" s="2445" t="str" cm="1">
        <f t="array" ca="1" aca="1" ref="DR60">IFERROR(IF(AR60*fxVal_normal=_PL!AR60,"",IF(OR(AR60="",NOT(ISNUMBER(AR60)),ISERROR(AR60),$B60=""),"",IF($I60=1,IFBLANK(_xldudf_CX_PUSH(AR60*fxVal_normal,CX_ENTITY,$B60,AR$11,AR$14,AR$19,),""),IF($I60=2,IFBLANK(_xldudf_CX_PUSH(AR60,CX_ENTITY,$B60,AR$11,AR$14,AR$19,),""),IF($I60=3,"",IFBLANK(_xldudf_CX_PUSH(AR60,CX_ENTITY,$B60,AR$11,AR$14,AR$19,),"")))))),"")</f>
        <v/>
      </c>
      <c r="DS60" s="2445" t="str" cm="1">
        <f t="array" ca="1" aca="1" ref="DS60">IFERROR(IF(AS60*fxVal_normal=_PL!AS60,"",IF(OR(AS60="",NOT(ISNUMBER(AS60)),ISERROR(AS60),$B60=""),"",IF($I60=1,IFBLANK(_xldudf_CX_PUSH(AS60*fxVal_normal,CX_ENTITY,$B60,AS$11,AS$14,AS$19,),""),IF($I60=2,IFBLANK(_xldudf_CX_PUSH(AS60,CX_ENTITY,$B60,AS$11,AS$14,AS$19,),""),IF($I60=3,"",IFBLANK(_xldudf_CX_PUSH(AS60,CX_ENTITY,$B60,AS$11,AS$14,AS$19,),"")))))),"")</f>
        <v/>
      </c>
      <c r="DT60" s="2445" t="str" cm="1">
        <f t="array" ca="1" aca="1" ref="DT60">IFERROR(IF(AT60*fxVal_normal=_PL!AT60,"",IF(OR(AT60="",NOT(ISNUMBER(AT60)),ISERROR(AT60),$B60=""),"",IF($I60=1,IFBLANK(_xldudf_CX_PUSH(AT60*fxVal_normal,CX_ENTITY,$B60,AT$11,AT$14,AT$19,),""),IF($I60=2,IFBLANK(_xldudf_CX_PUSH(AT60,CX_ENTITY,$B60,AT$11,AT$14,AT$19,),""),IF($I60=3,"",IFBLANK(_xldudf_CX_PUSH(AT60,CX_ENTITY,$B60,AT$11,AT$14,AT$19,),"")))))),"")</f>
        <v/>
      </c>
      <c r="DU60" s="2445" t="str" cm="1">
        <f t="array" ca="1" aca="1" ref="DU60">IFERROR(IF(AU60*fxVal_normal=_PL!AU60,"",IF(OR(AU60="",NOT(ISNUMBER(AU60)),ISERROR(AU60),$B60=""),"",IF($I60=1,IFBLANK(_xldudf_CX_PUSH(AU60*fxVal_normal,CX_ENTITY,$B60,AU$11,AU$14,AU$19,),""),IF($I60=2,IFBLANK(_xldudf_CX_PUSH(AU60,CX_ENTITY,$B60,AU$11,AU$14,AU$19,),""),IF($I60=3,"",IFBLANK(_xldudf_CX_PUSH(AU60,CX_ENTITY,$B60,AU$11,AU$14,AU$19,),"")))))),"")</f>
        <v/>
      </c>
      <c r="DV60" s="2445" t="str" cm="1">
        <f t="array" ca="1" aca="1" ref="DV60">IFERROR(IF(AV60*fxVal_normal=_PL!AV60,"",IF(OR(AV60="",NOT(ISNUMBER(AV60)),ISERROR(AV60),$B60=""),"",IF($I60=1,IFBLANK(_xldudf_CX_PUSH(AV60*fxVal_normal,CX_ENTITY,$B60,AV$11,AV$14,AV$19,),""),IF($I60=2,IFBLANK(_xldudf_CX_PUSH(AV60,CX_ENTITY,$B60,AV$11,AV$14,AV$19,),""),IF($I60=3,"",IFBLANK(_xldudf_CX_PUSH(AV60,CX_ENTITY,$B60,AV$11,AV$14,AV$19,),"")))))),"")</f>
        <v/>
      </c>
      <c r="DW60" s="2445" t="str" cm="1">
        <f t="array" ca="1" aca="1" ref="DW60">IFERROR(IF(AW60*fxVal_normal=_PL!AW60,"",IF(OR(AW60="",NOT(ISNUMBER(AW60)),ISERROR(AW60),$B60=""),"",IF($I60=1,IFBLANK(_xldudf_CX_PUSH(AW60*fxVal_normal,CX_ENTITY,$B60,AW$11,AW$14,AW$19,),""),IF($I60=2,IFBLANK(_xldudf_CX_PUSH(AW60,CX_ENTITY,$B60,AW$11,AW$14,AW$19,),""),IF($I60=3,"",IFBLANK(_xldudf_CX_PUSH(AW60,CX_ENTITY,$B60,AW$11,AW$14,AW$19,),"")))))),"")</f>
        <v/>
      </c>
      <c r="DX60" s="2445" t="str" cm="1">
        <f t="array" ca="1" aca="1" ref="DX60">IFERROR(IF(AX60*fxVal_normal=_PL!AX60,"",IF(OR(AX60="",NOT(ISNUMBER(AX60)),ISERROR(AX60),$B60=""),"",IF($I60=1,IFBLANK(_xldudf_CX_PUSH(AX60*fxVal_normal,CX_ENTITY,$B60,AX$11,AX$14,AX$19,),""),IF($I60=2,IFBLANK(_xldudf_CX_PUSH(AX60,CX_ENTITY,$B60,AX$11,AX$14,AX$19,),""),IF($I60=3,"",IFBLANK(_xldudf_CX_PUSH(AX60,CX_ENTITY,$B60,AX$11,AX$14,AX$19,),"")))))),"")</f>
        <v/>
      </c>
      <c r="DY60" s="2445" t="str" cm="1">
        <f t="array" ca="1" aca="1" ref="DY60">IFERROR(IF(AY60*fxVal_normal=_PL!AY60,"",IF(OR(AY60="",NOT(ISNUMBER(AY60)),ISERROR(AY60),$B60=""),"",IF($I60=1,IFBLANK(_xldudf_CX_PUSH(AY60*fxVal_normal,CX_ENTITY,$B60,AY$11,AY$14,AY$19,),""),IF($I60=2,IFBLANK(_xldudf_CX_PUSH(AY60,CX_ENTITY,$B60,AY$11,AY$14,AY$19,),""),IF($I60=3,"",IFBLANK(_xldudf_CX_PUSH(AY60,CX_ENTITY,$B60,AY$11,AY$14,AY$19,),"")))))),"")</f>
        <v/>
      </c>
      <c r="DZ60" s="2445" t="str" cm="1">
        <f t="array" ca="1" aca="1" ref="DZ60">IFERROR(IF(AZ60*fxVal_normal=_PL!AZ60,"",IF(OR(AZ60="",NOT(ISNUMBER(AZ60)),ISERROR(AZ60),$B60=""),"",IF($I60=1,IFBLANK(_xldudf_CX_PUSH(AZ60*fxVal_normal,CX_ENTITY,$B60,AZ$11,AZ$14,AZ$19,),""),IF($I60=2,IFBLANK(_xldudf_CX_PUSH(AZ60,CX_ENTITY,$B60,AZ$11,AZ$14,AZ$19,),""),IF($I60=3,"",IFBLANK(_xldudf_CX_PUSH(AZ60,CX_ENTITY,$B60,AZ$11,AZ$14,AZ$19,),"")))))),"")</f>
        <v/>
      </c>
      <c r="EA60" s="2445" t="str" cm="1">
        <f t="array" ca="1" aca="1" ref="EA60">IFERROR(IF(BA60*fxVal_normal=_PL!BA60,"",IF(OR(BA60="",NOT(ISNUMBER(BA60)),ISERROR(BA60),$B60=""),"",IF($I60=1,IFBLANK(_xldudf_CX_PUSH(BA60*fxVal_normal,CX_ENTITY,$B60,BA$11,BA$14,BA$19,),""),IF($I60=2,IFBLANK(_xldudf_CX_PUSH(BA60,CX_ENTITY,$B60,BA$11,BA$14,BA$19,),""),IF($I60=3,"",IFBLANK(_xldudf_CX_PUSH(BA60,CX_ENTITY,$B60,BA$11,BA$14,BA$19,),"")))))),"")</f>
        <v/>
      </c>
      <c r="EB60" s="2445" t="str" cm="1">
        <f t="array" ca="1" aca="1" ref="EB60">IFERROR(IF(BB60*fxVal_normal=_PL!BB60,"",IF(OR(BB60="",NOT(ISNUMBER(BB60)),ISERROR(BB60),$B60=""),"",IF($I60=1,IFBLANK(_xldudf_CX_PUSH(BB60*fxVal_normal,CX_ENTITY,$B60,BB$11,BB$14,BB$19,),""),IF($I60=2,IFBLANK(_xldudf_CX_PUSH(BB60,CX_ENTITY,$B60,BB$11,BB$14,BB$19,),""),IF($I60=3,"",IFBLANK(_xldudf_CX_PUSH(BB60,CX_ENTITY,$B60,BB$11,BB$14,BB$19,),"")))))),"")</f>
        <v/>
      </c>
      <c r="EC60" s="2445" t="str" cm="1">
        <f t="array" ca="1" aca="1" ref="EC60">IFERROR(IF(BC60*fxVal_normal=_PL!BC60,"",IF(OR(BC60="",NOT(ISNUMBER(BC60)),ISERROR(BC60),$B60=""),"",IF($I60=1,IFBLANK(_xldudf_CX_PUSH(BC60*fxVal_normal,CX_ENTITY,$B60,BC$11,BC$14,BC$19,),""),IF($I60=2,IFBLANK(_xldudf_CX_PUSH(BC60,CX_ENTITY,$B60,BC$11,BC$14,BC$19,),""),IF($I60=3,"",IFBLANK(_xldudf_CX_PUSH(BC60,CX_ENTITY,$B60,BC$11,BC$14,BC$19,),"")))))),"")</f>
        <v/>
      </c>
      <c r="ED60" s="2445" t="str" cm="1">
        <f t="array" ca="1" aca="1" ref="ED60">IFERROR(IF(BD60*fxVal_normal=_PL!BD60,"",IF(OR(BD60="",NOT(ISNUMBER(BD60)),ISERROR(BD60),$B60=""),"",IF($I60=1,IFBLANK(_xldudf_CX_PUSH(BD60*fxVal_normal,CX_ENTITY,$B60,BD$11,BD$14,BD$19,),""),IF($I60=2,IFBLANK(_xldudf_CX_PUSH(BD60,CX_ENTITY,$B60,BD$11,BD$14,BD$19,),""),IF($I60=3,"",IFBLANK(_xldudf_CX_PUSH(BD60,CX_ENTITY,$B60,BD$11,BD$14,BD$19,),"")))))),"")</f>
        <v/>
      </c>
      <c r="EE60" s="2445" t="str" cm="1">
        <f t="array" ca="1" aca="1" ref="EE60">IFERROR(IF(BE60*fxVal_normal=_PL!BE60,"",IF(OR(BE60="",NOT(ISNUMBER(BE60)),ISERROR(BE60),$B60=""),"",IF($I60=1,IFBLANK(_xldudf_CX_PUSH(BE60*fxVal_normal,CX_ENTITY,$B60,BE$11,BE$14,BE$19,),""),IF($I60=2,IFBLANK(_xldudf_CX_PUSH(BE60,CX_ENTITY,$B60,BE$11,BE$14,BE$19,),""),IF($I60=3,"",IFBLANK(_xldudf_CX_PUSH(BE60,CX_ENTITY,$B60,BE$11,BE$14,BE$19,),"")))))),"")</f>
        <v/>
      </c>
      <c r="EF60" s="2445" t="str" cm="1">
        <f t="array" ca="1" aca="1" ref="EF60">IFERROR(IF(BF60*fxVal_normal=_PL!BF60,"",IF(OR(BF60="",NOT(ISNUMBER(BF60)),ISERROR(BF60),$B60=""),"",IF($I60=1,IFBLANK(_xldudf_CX_PUSH(BF60*fxVal_normal,CX_ENTITY,$B60,BF$11,BF$14,BF$19,),""),IF($I60=2,IFBLANK(_xldudf_CX_PUSH(BF60,CX_ENTITY,$B60,BF$11,BF$14,BF$19,),""),IF($I60=3,"",IFBLANK(_xldudf_CX_PUSH(BF60,CX_ENTITY,$B60,BF$11,BF$14,BF$19,),"")))))),"")</f>
        <v/>
      </c>
      <c r="EG60" s="2445" t="str" cm="1">
        <f t="array" ca="1" aca="1" ref="EG60">IFERROR(IF(BG60*fxVal_normal=_PL!BG60,"",IF(OR(BG60="",NOT(ISNUMBER(BG60)),ISERROR(BG60),$B60=""),"",IF($I60=1,IFBLANK(_xldudf_CX_PUSH(BG60*fxVal_normal,CX_ENTITY,$B60,BG$11,BG$14,BG$19,),""),IF($I60=2,IFBLANK(_xldudf_CX_PUSH(BG60,CX_ENTITY,$B60,BG$11,BG$14,BG$19,),""),IF($I60=3,"",IFBLANK(_xldudf_CX_PUSH(BG60,CX_ENTITY,$B60,BG$11,BG$14,BG$19,),"")))))),"")</f>
        <v/>
      </c>
      <c r="EH60" s="2445" t="str" cm="1">
        <f t="array" ca="1" aca="1" ref="EH60">IFERROR(IF(BH60*fxVal_normal=_PL!BH60,"",IF(OR(BH60="",NOT(ISNUMBER(BH60)),ISERROR(BH60),$B60=""),"",IF($I60=1,IFBLANK(_xldudf_CX_PUSH(BH60*fxVal_normal,CX_ENTITY,$B60,BH$11,BH$14,BH$19,),""),IF($I60=2,IFBLANK(_xldudf_CX_PUSH(BH60,CX_ENTITY,$B60,BH$11,BH$14,BH$19,),""),IF($I60=3,"",IFBLANK(_xldudf_CX_PUSH(BH60,CX_ENTITY,$B60,BH$11,BH$14,BH$19,),"")))))),"")</f>
        <v/>
      </c>
      <c r="EI60" s="2445" t="str" cm="1">
        <f t="array" ca="1" aca="1" ref="EI60">IFERROR(IF(BI60*fxVal_normal=_PL!BI60,"",IF(OR(BI60="",NOT(ISNUMBER(BI60)),ISERROR(BI60),$B60=""),"",IF($I60=1,IFBLANK(_xldudf_CX_PUSH(BI60*fxVal_normal,CX_ENTITY,$B60,BI$11,BI$14,BI$19,),""),IF($I60=2,IFBLANK(_xldudf_CX_PUSH(BI60,CX_ENTITY,$B60,BI$11,BI$14,BI$19,),""),IF($I60=3,"",IFBLANK(_xldudf_CX_PUSH(BI60,CX_ENTITY,$B60,BI$11,BI$14,BI$19,),"")))))),"")</f>
        <v/>
      </c>
      <c r="EJ60" s="2445" t="str" cm="1">
        <f t="array" ca="1" aca="1" ref="EJ60">IFERROR(IF(BJ60*fxVal_normal=_PL!BJ60,"",IF(OR(BJ60="",NOT(ISNUMBER(BJ60)),ISERROR(BJ60),$B60=""),"",IF($I60=1,IFBLANK(_xldudf_CX_PUSH(BJ60*fxVal_normal,CX_ENTITY,$B60,BJ$11,BJ$14,BJ$19,),""),IF($I60=2,IFBLANK(_xldudf_CX_PUSH(BJ60,CX_ENTITY,$B60,BJ$11,BJ$14,BJ$19,),""),IF($I60=3,"",IFBLANK(_xldudf_CX_PUSH(BJ60,CX_ENTITY,$B60,BJ$11,BJ$14,BJ$19,),"")))))),"")</f>
        <v/>
      </c>
      <c r="EK60" s="2445" t="str" cm="1">
        <f t="array" ca="1" aca="1" ref="EK60">IFERROR(IF(BK60*fxVal_normal=_PL!BK60,"",IF(OR(BK60="",NOT(ISNUMBER(BK60)),ISERROR(BK60),$B60=""),"",IF($I60=1,IFBLANK(_xldudf_CX_PUSH(BK60*fxVal_normal,CX_ENTITY,$B60,BK$11,BK$14,BK$19,),""),IF($I60=2,IFBLANK(_xldudf_CX_PUSH(BK60,CX_ENTITY,$B60,BK$11,BK$14,BK$19,),""),IF($I60=3,"",IFBLANK(_xldudf_CX_PUSH(BK60,CX_ENTITY,$B60,BK$11,BK$14,BK$19,),"")))))),"")</f>
        <v/>
      </c>
      <c r="EL60" s="2445" t="str" cm="1">
        <f t="array" ca="1" aca="1" ref="EL60">IFERROR(IF(BL60*fxVal_normal=_PL!BL60,"",IF(OR(BL60="",NOT(ISNUMBER(BL60)),ISERROR(BL60),$B60=""),"",IF($I60=1,IFBLANK(_xldudf_CX_PUSH(BL60*fxVal_normal,CX_ENTITY,$B60,BL$11,BL$14,BL$19,),""),IF($I60=2,IFBLANK(_xldudf_CX_PUSH(BL60,CX_ENTITY,$B60,BL$11,BL$14,BL$19,),""),IF($I60=3,"",IFBLANK(_xldudf_CX_PUSH(BL60,CX_ENTITY,$B60,BL$11,BL$14,BL$19,),"")))))),"")</f>
        <v/>
      </c>
      <c r="EM60" s="2445" t="str" cm="1">
        <f t="array" ca="1" aca="1" ref="EM60">IFERROR(IF(BM60*fxVal_normal=_PL!BM60,"",IF(OR(BM60="",NOT(ISNUMBER(BM60)),ISERROR(BM60),$B60=""),"",IF($I60=1,IFBLANK(_xldudf_CX_PUSH(BM60*fxVal_normal,CX_ENTITY,$B60,BM$11,BM$14,BM$19,),""),IF($I60=2,IFBLANK(_xldudf_CX_PUSH(BM60,CX_ENTITY,$B60,BM$11,BM$14,BM$19,),""),IF($I60=3,"",IFBLANK(_xldudf_CX_PUSH(BM60,CX_ENTITY,$B60,BM$11,BM$14,BM$19,),"")))))),"")</f>
        <v/>
      </c>
      <c r="EN60" s="2445" t="str" cm="1">
        <f t="array" ca="1" aca="1" ref="EN60">IFERROR(IF(BN60*fxVal_normal=_PL!BN60,"",IF(OR(BN60="",NOT(ISNUMBER(BN60)),ISERROR(BN60),$B60=""),"",IF($I60=1,IFBLANK(_xldudf_CX_PUSH(BN60*fxVal_normal,CX_ENTITY,$B60,BN$11,BN$14,BN$19,),""),IF($I60=2,IFBLANK(_xldudf_CX_PUSH(BN60,CX_ENTITY,$B60,BN$11,BN$14,BN$19,),""),IF($I60=3,"",IFBLANK(_xldudf_CX_PUSH(BN60,CX_ENTITY,$B60,BN$11,BN$14,BN$19,),"")))))),"")</f>
        <v/>
      </c>
    </row>
    <row r="61" spans="1:144" ht="21" customHeight="1">
      <c r="A61" s="1626"/>
      <c r="B61" s="2439" t="str">
        <f>_xlfn.LET(_xlpm.IsNotAttrDynamic,D61="",_xlpm.Attr,_PL!F61,_xlpm.NotInUse,Y61=D61,_xlpm.RESULT,IF(_xlpm.IsNotAttrDynamic,_xlpm.Attr,IF(_xlpm.NotInUse,"",Y61)),IF(_xlpm.RESULT="","",_xlpm.RESULT))</f>
        <v>Custom Metric Amount 5 [Calculated]</v>
      </c>
      <c r="C61" s="2439" t="str" cm="1">
        <f t="array" ref="C61">IFBLANK(_PL!C61,"")</f>
        <v>Custom Metric - Label 5 [Calculated]</v>
      </c>
      <c r="D61" s="1548"/>
      <c r="E61" s="577" t="str">
        <f t="shared" si="19"/>
        <v/>
      </c>
      <c r="F61" s="578"/>
      <c r="G61" s="578"/>
      <c r="H61" s="3280">
        <v>1</v>
      </c>
      <c r="I61" s="3280">
        <v>1</v>
      </c>
      <c r="J61" s="401" t="str" cm="1">
        <f t="array" ref="J61">IFBLANK(Z61,"")</f>
        <v/>
      </c>
      <c r="K61" s="578" t="str">
        <f t="shared" si="17"/>
        <v>No</v>
      </c>
      <c r="L61" s="37"/>
      <c r="N61" s="158"/>
      <c r="O61" s="101"/>
      <c r="P61" s="52"/>
      <c r="Q61" s="101"/>
      <c r="R61" s="539"/>
      <c r="S61" s="101"/>
      <c r="T61" s="101"/>
      <c r="U61" s="39"/>
      <c r="V61" s="37"/>
      <c r="W61" s="91" t="str">
        <f t="shared" si="18"/>
        <v>Actual</v>
      </c>
      <c r="X61" s="2081" t="e">
        <f ca="1">_PL!X61</f>
        <v>#NAME?</v>
      </c>
      <c r="Y61" s="2371"/>
      <c r="Z61" s="198" t="str">
        <f t="shared" si="20"/>
        <v/>
      </c>
      <c r="AA61" s="200" t="str" cm="1">
        <f t="array" ca="1" aca="1" ref="AA61">_xlfn.LET(_xlpm._termname,$Y61,_xlpm._icon,"Define",_xlpm._location,_xlfn.XLOOKUP(_xlpm._termname,$Y$249:$Y$338,$Y$249:$Y$338),_xlpm._hyperlink,HYPERLINK("#"&amp;CELL("address",_xlpm._location),_xlpm._icon),IF(Y61="","",_xlpm._hyperlink))</f>
        <v/>
      </c>
      <c r="AB61" s="1335" t="str" cm="1">
        <f t="array" ref="AB61">IFBLANK(Y61,"")</f>
        <v/>
      </c>
      <c r="AC61" s="2468" t="str" cm="1">
        <f t="array" ca="1" aca="1" ref="AC61">_xlfn.LET(_xlpm._termname,$AB61,_xlpm._iconname,"find",_xlpm._icon,fx_getIcon(_xlpm._iconname),_xlpm._location,_xlfn.XLOOKUP(LOWER(_xlpm._termname),LOWER(tbl_acctDef[Term]),tbl_acctDef[Term]),_xlpm._hyperlink,HYPERLINK("#"&amp;CELL("address",_xlpm._location),_xlpm._icon),IFERROR(_xlpm._hyperlink,""))</f>
        <v/>
      </c>
      <c r="AD61" s="2478" t="str" cm="1">
        <f t="array" ref="AD61">IF($Y61="","",_xlfn.XLOOKUP($W61&amp;$Y61,$W$249:$W$337&amp;$Y$249:$Y$338,$AD$249:$BN$338))</f>
        <v/>
      </c>
      <c r="AE61" s="3461"/>
      <c r="AF61" s="3461"/>
      <c r="AG61" s="3461"/>
      <c r="AH61" s="3461"/>
      <c r="AI61" s="3461"/>
      <c r="AJ61" s="3461"/>
      <c r="AK61" s="3461"/>
      <c r="AL61" s="3461"/>
      <c r="AM61" s="3461"/>
      <c r="AN61" s="3461"/>
      <c r="AO61" s="3461"/>
      <c r="AP61" s="3461"/>
      <c r="AQ61" s="3461"/>
      <c r="AR61" s="3461"/>
      <c r="AS61" s="3461"/>
      <c r="AT61" s="3461"/>
      <c r="AU61" s="3461"/>
      <c r="AV61" s="3461"/>
      <c r="AW61" s="3461"/>
      <c r="AX61" s="3461"/>
      <c r="AY61" s="3461"/>
      <c r="AZ61" s="3461"/>
      <c r="BA61" s="3461"/>
      <c r="BB61" s="3461"/>
      <c r="BC61" s="3461"/>
      <c r="BD61" s="3461"/>
      <c r="BE61" s="3461"/>
      <c r="BF61" s="3461"/>
      <c r="BG61" s="3461"/>
      <c r="BH61" s="3461"/>
      <c r="BI61" s="3461"/>
      <c r="BJ61" s="3461"/>
      <c r="BK61" s="3461"/>
      <c r="BL61" s="3461"/>
      <c r="BM61" s="3461"/>
      <c r="BN61" s="3461"/>
      <c r="BO61" s="2479"/>
      <c r="BP61" s="2479"/>
      <c r="BQ61" s="2479"/>
      <c r="BR61" s="2479"/>
      <c r="BS61" s="2479"/>
      <c r="BT61" s="2479"/>
      <c r="BU61" s="2479"/>
      <c r="BV61" s="2479"/>
      <c r="BW61" s="2479"/>
      <c r="BX61" s="2479"/>
      <c r="BY61" s="2479"/>
      <c r="BZ61" s="2479"/>
      <c r="CA61" s="34"/>
      <c r="CC61" s="33"/>
      <c r="CD61" s="1461" t="str" cm="1">
        <f t="array" ref="CD61">_xlfn.LET(_xlpm.CheckBlank,SUM(PL!$AD61:PL!$BN61)=0,IF(_xlpm.CheckBlank,"",SUM(_xlfn._xlws.FILTER(PL!$AD61:$BN61,(YEAR(PL!$AD$12:$BN$12)=PL!CD$12)*(array_timeline&lt;=PL!CD$11)))))</f>
        <v/>
      </c>
      <c r="CE61" s="1461" t="str" cm="1">
        <f t="array" ref="CE61">_xlfn.LET(_xlpm.CheckBlank,SUM(PL!$AD61:PL!$BN61)=0,IF(_xlpm.CheckBlank,"",SUM(_xlfn._xlws.FILTER(PL!$AD61:$BN61,(YEAR(PL!$AD$12:$BN$12)=PL!CE$12)*(array_timeline&lt;=PL!CE$11)))))</f>
        <v/>
      </c>
      <c r="CF61" s="2480"/>
      <c r="CG61" s="1461" t="str" cm="1">
        <f t="array" ref="CG61">IFERROR(_xlfn.LET(_xlpm.CheckBlank,SUM(PL!$AD61:$BN61)=0,IF(_xlpm.CheckBlank,"",SUM(_xlfn._xlws.FILTER(PL!$AD61:$BN61,(YEAR(PL!$AD$12:$BN$12)=PL!CG$12)*(array_timeline&lt;=PL!CG$11))))),"n/a")</f>
        <v/>
      </c>
      <c r="CH61" s="1461" t="str" cm="1">
        <f t="array" ref="CH61">_xlfn.LET(_xlpm.CheckBlank,SUM(PL!$AD61:$BN61)=0,IF(_xlpm.CheckBlank,"",SUM(_xlfn._xlws.FILTER(PL!$AD61:$BN61,(YEAR(PL!$AD$12:$BN$12)=PL!CH$12)*(array_timeline&lt;=PL!CH$11)))))</f>
        <v/>
      </c>
      <c r="CI61" s="88"/>
      <c r="CJ61" s="1461" t="str" cm="1">
        <f t="array" ref="CJ61">_xlfn.LET(_xlpm.CheckBlank,SUM(PL!$AD61:$BN61)=0,IF(_xlpm.CheckBlank,"",SUM(_xlfn.TAKE(_xlfn.DROP(PL!$AD61:$BN61,,-DATEDIFF(PL!CJ$11,val_asOfDate,"M")),1,-12))))</f>
        <v/>
      </c>
      <c r="CK61" s="1461" t="str" cm="1">
        <f t="array" ref="CK61">_xlfn.LET(_xlpm.CheckBlank,SUM(PL!$AD61:$BN61)=0,IF(_xlpm.CheckBlank,"",SUM(_xlfn.TAKE(_xlfn.DROP(PL!$AD61:$BN61,,-DATEDIFF(PL!CK$11,val_asOfDate,"M")),1,-12))))</f>
        <v/>
      </c>
      <c r="CL61" s="88"/>
      <c r="CM61" s="2357" t="str" cm="1">
        <f t="array" ref="CM61">IF($Y61="","",_xlfn.XLOOKUP($W61&amp;$Y61,$W$250:$W$338&amp;$Y$250:$Y$338,$CM$250:$CN$338))</f>
        <v/>
      </c>
      <c r="CN61" s="3462"/>
      <c r="CO61" s="3"/>
      <c r="CP61" s="2357" t="str" cm="1">
        <f t="array" ref="CP61">IF($Y61="","",_xlfn.XLOOKUP($W61&amp;$Y61,$W$250:$W$338&amp;$Y$250:$Y$338,$CP$250:$CQ$338))</f>
        <v/>
      </c>
      <c r="CQ61" s="3462"/>
      <c r="CR61" s="34"/>
      <c r="CS61" s="2056"/>
      <c r="CT61" s="2616"/>
      <c r="CU61" s="2616"/>
      <c r="CV61" s="2616"/>
      <c r="CW61" s="2616"/>
      <c r="CX61" s="2443"/>
      <c r="CY61" s="2444" t="str" cm="1">
        <f t="array" ca="1" aca="1" ref="CY61">IFERROR(IF(CM61*fxVal_normal=_PL!CM61,"",IF(OR($CM61="",$CM61=0,NOT(ISNUMBER($CM61)),ISERROR($CM61),$B61=""),"",IF($I61=1,IFBLANK(_xldudf_CX_PUSH($CM61*fxVal_normal,CX_ENTITY,$B61,$CM$11,$CM$14,$CM$19,),""),IF($I61=2,IFBLANK(_xldudf_CX_PUSH($CM61,CX_ENTITY,$B61,$CM$11,$CM$14,$CM$19,),""),IF($I61=3,"",IFBLANK(_xldudf_CX_PUSH($CM61,CX_ENTITY,$B61,$CM$11,$CM$14,$CM$19,),"")))))),"")</f>
        <v/>
      </c>
      <c r="CZ61" s="2444" t="str" cm="1">
        <f t="array" ca="1" aca="1" ref="CZ61">IFERROR(IF(CN61*fxVal_normal=_PL!CN61,"",IF(OR($CN61="",$CN61=0,NOT(ISNUMBER($CN61)),ISERROR($CN61),$B61=""),"",IF($I61=1,IFBLANK(_xldudf_CX_PUSH($CN61*fxVal_normal,CX_ENTITY,$B61,$CN$11,$CN$14,$CN$19,),""),IF($I61=2,IFBLANK(_xldudf_CX_PUSH($CN61,CX_ENTITY,$B61,$CN$11,$CN$14,$CN$19,),""),IF($I61=3,"",IFBLANK(_xldudf_CX_PUSH($CN61,CX_ENTITY,$B61,$CN$11,$CN$14,$CN$19,),"")))))),"")</f>
        <v/>
      </c>
      <c r="DA61" s="2444" t="str" cm="1">
        <f t="array" ca="1" aca="1" ref="DA61">IFERROR(IF(CP61*fxVal_normal=_PL!CP61,"",IF(OR($CP61="",$CP61=0,NOT(ISNUMBER($CP61)),ISERROR($CP61),$B61=""),"",IF($I61=1,IFBLANK(_xldudf_CX_PUSH($CP61*fxVal_normal,CX_ENTITY,$B61,$CP$11,$CP$14,$CP$19,),""),IF($I61=2,IFBLANK(_xldudf_CX_PUSH($CP61,CX_ENTITY,$B61,$CP$11,$CP$14,$CP$19,),""),IF($I61=3,"",IFBLANK(_xldudf_CX_PUSH($CP61,CX_ENTITY,$B61,$CP$11,$CP$14,$CP$19,),"")))))),"")</f>
        <v/>
      </c>
      <c r="DB61" s="2444" t="str" cm="1">
        <f t="array" ca="1" aca="1" ref="DB61">IFERROR(IF(CQ61*fxVal_normal=_PL!CQ61,"",IF(OR($CQ61="",$CQ61=0,NOT(ISNUMBER($CQ61)),ISERROR($CQ61),$B61=""),"",IF($I61=1,IFBLANK(_xldudf_CX_PUSH($CQ61*fxVal_normal,CX_ENTITY,$B61,$CQ$11,$CQ$14,$CQ$19,),""),IF($I61=2,IFBLANK(_xldudf_CX_PUSH($CQ61,CX_ENTITY,$B61,$CQ$11,$CQ$14,$CQ$19,),""),IF($I61=3,"",IFBLANK(_xldudf_CX_PUSH($CQ61,CX_ENTITY,$B61,$CQ$11,$CQ$14,$CQ$19,),"")))))),"")</f>
        <v/>
      </c>
      <c r="DC61" s="2443"/>
      <c r="DD61" s="2445" t="str" cm="1">
        <f t="array" ca="1" aca="1" ref="DD61">IFERROR(IF(AD61*fxVal_normal=_PL!AD61,"",IF(OR(AD61="",NOT(ISNUMBER(AD61)),ISERROR(AD61),$B61=""),"",IF($I61=1,IFBLANK(_xldudf_CX_PUSH(AD61*fxVal_normal,CX_ENTITY,$B61,AD$11,AD$14,AD$19,),""),IF($I61=2,IFBLANK(_xldudf_CX_PUSH(AD61,CX_ENTITY,$B61,AD$11,AD$14,AD$19,),""),IF($I61=3,"",IFBLANK(_xldudf_CX_PUSH(AD61,CX_ENTITY,$B61,AD$11,AD$14,AD$19,),"")))))),"")</f>
        <v/>
      </c>
      <c r="DE61" s="2445" t="str" cm="1">
        <f t="array" ca="1" aca="1" ref="DE61">IFERROR(IF(AE61*fxVal_normal=_PL!AE61,"",IF(OR(AE61="",NOT(ISNUMBER(AE61)),ISERROR(AE61),$B61=""),"",IF($I61=1,IFBLANK(_xldudf_CX_PUSH(AE61*fxVal_normal,CX_ENTITY,$B61,AE$11,AE$14,AE$19,),""),IF($I61=2,IFBLANK(_xldudf_CX_PUSH(AE61,CX_ENTITY,$B61,AE$11,AE$14,AE$19,),""),IF($I61=3,"",IFBLANK(_xldudf_CX_PUSH(AE61,CX_ENTITY,$B61,AE$11,AE$14,AE$19,),"")))))),"")</f>
        <v/>
      </c>
      <c r="DF61" s="2445" t="str" cm="1">
        <f t="array" ca="1" aca="1" ref="DF61">IFERROR(IF(AF61*fxVal_normal=_PL!AF61,"",IF(OR(AF61="",NOT(ISNUMBER(AF61)),ISERROR(AF61),$B61=""),"",IF($I61=1,IFBLANK(_xldudf_CX_PUSH(AF61*fxVal_normal,CX_ENTITY,$B61,AF$11,AF$14,AF$19,),""),IF($I61=2,IFBLANK(_xldudf_CX_PUSH(AF61,CX_ENTITY,$B61,AF$11,AF$14,AF$19,),""),IF($I61=3,"",IFBLANK(_xldudf_CX_PUSH(AF61,CX_ENTITY,$B61,AF$11,AF$14,AF$19,),"")))))),"")</f>
        <v/>
      </c>
      <c r="DG61" s="2445" t="str" cm="1">
        <f t="array" ca="1" aca="1" ref="DG61">IFERROR(IF(AG61*fxVal_normal=_PL!AG61,"",IF(OR(AG61="",NOT(ISNUMBER(AG61)),ISERROR(AG61),$B61=""),"",IF($I61=1,IFBLANK(_xldudf_CX_PUSH(AG61*fxVal_normal,CX_ENTITY,$B61,AG$11,AG$14,AG$19,),""),IF($I61=2,IFBLANK(_xldudf_CX_PUSH(AG61,CX_ENTITY,$B61,AG$11,AG$14,AG$19,),""),IF($I61=3,"",IFBLANK(_xldudf_CX_PUSH(AG61,CX_ENTITY,$B61,AG$11,AG$14,AG$19,),"")))))),"")</f>
        <v/>
      </c>
      <c r="DH61" s="2445" t="str" cm="1">
        <f t="array" ca="1" aca="1" ref="DH61">IFERROR(IF(AH61*fxVal_normal=_PL!AH61,"",IF(OR(AH61="",NOT(ISNUMBER(AH61)),ISERROR(AH61),$B61=""),"",IF($I61=1,IFBLANK(_xldudf_CX_PUSH(AH61*fxVal_normal,CX_ENTITY,$B61,AH$11,AH$14,AH$19,),""),IF($I61=2,IFBLANK(_xldudf_CX_PUSH(AH61,CX_ENTITY,$B61,AH$11,AH$14,AH$19,),""),IF($I61=3,"",IFBLANK(_xldudf_CX_PUSH(AH61,CX_ENTITY,$B61,AH$11,AH$14,AH$19,),"")))))),"")</f>
        <v/>
      </c>
      <c r="DI61" s="2445" t="str" cm="1">
        <f t="array" ca="1" aca="1" ref="DI61">IFERROR(IF(AI61*fxVal_normal=_PL!AI61,"",IF(OR(AI61="",NOT(ISNUMBER(AI61)),ISERROR(AI61),$B61=""),"",IF($I61=1,IFBLANK(_xldudf_CX_PUSH(AI61*fxVal_normal,CX_ENTITY,$B61,AI$11,AI$14,AI$19,),""),IF($I61=2,IFBLANK(_xldudf_CX_PUSH(AI61,CX_ENTITY,$B61,AI$11,AI$14,AI$19,),""),IF($I61=3,"",IFBLANK(_xldudf_CX_PUSH(AI61,CX_ENTITY,$B61,AI$11,AI$14,AI$19,),"")))))),"")</f>
        <v/>
      </c>
      <c r="DJ61" s="2445" t="str" cm="1">
        <f t="array" ca="1" aca="1" ref="DJ61">IFERROR(IF(AJ61*fxVal_normal=_PL!AJ61,"",IF(OR(AJ61="",NOT(ISNUMBER(AJ61)),ISERROR(AJ61),$B61=""),"",IF($I61=1,IFBLANK(_xldudf_CX_PUSH(AJ61*fxVal_normal,CX_ENTITY,$B61,AJ$11,AJ$14,AJ$19,),""),IF($I61=2,IFBLANK(_xldudf_CX_PUSH(AJ61,CX_ENTITY,$B61,AJ$11,AJ$14,AJ$19,),""),IF($I61=3,"",IFBLANK(_xldudf_CX_PUSH(AJ61,CX_ENTITY,$B61,AJ$11,AJ$14,AJ$19,),"")))))),"")</f>
        <v/>
      </c>
      <c r="DK61" s="2445" t="str" cm="1">
        <f t="array" ca="1" aca="1" ref="DK61">IFERROR(IF(AK61*fxVal_normal=_PL!AK61,"",IF(OR(AK61="",NOT(ISNUMBER(AK61)),ISERROR(AK61),$B61=""),"",IF($I61=1,IFBLANK(_xldudf_CX_PUSH(AK61*fxVal_normal,CX_ENTITY,$B61,AK$11,AK$14,AK$19,),""),IF($I61=2,IFBLANK(_xldudf_CX_PUSH(AK61,CX_ENTITY,$B61,AK$11,AK$14,AK$19,),""),IF($I61=3,"",IFBLANK(_xldudf_CX_PUSH(AK61,CX_ENTITY,$B61,AK$11,AK$14,AK$19,),"")))))),"")</f>
        <v/>
      </c>
      <c r="DL61" s="2445" t="str" cm="1">
        <f t="array" ca="1" aca="1" ref="DL61">IFERROR(IF(AL61*fxVal_normal=_PL!AL61,"",IF(OR(AL61="",NOT(ISNUMBER(AL61)),ISERROR(AL61),$B61=""),"",IF($I61=1,IFBLANK(_xldudf_CX_PUSH(AL61*fxVal_normal,CX_ENTITY,$B61,AL$11,AL$14,AL$19,),""),IF($I61=2,IFBLANK(_xldudf_CX_PUSH(AL61,CX_ENTITY,$B61,AL$11,AL$14,AL$19,),""),IF($I61=3,"",IFBLANK(_xldudf_CX_PUSH(AL61,CX_ENTITY,$B61,AL$11,AL$14,AL$19,),"")))))),"")</f>
        <v/>
      </c>
      <c r="DM61" s="2445" t="str" cm="1">
        <f t="array" ca="1" aca="1" ref="DM61">IFERROR(IF(AM61*fxVal_normal=_PL!AM61,"",IF(OR(AM61="",NOT(ISNUMBER(AM61)),ISERROR(AM61),$B61=""),"",IF($I61=1,IFBLANK(_xldudf_CX_PUSH(AM61*fxVal_normal,CX_ENTITY,$B61,AM$11,AM$14,AM$19,),""),IF($I61=2,IFBLANK(_xldudf_CX_PUSH(AM61,CX_ENTITY,$B61,AM$11,AM$14,AM$19,),""),IF($I61=3,"",IFBLANK(_xldudf_CX_PUSH(AM61,CX_ENTITY,$B61,AM$11,AM$14,AM$19,),"")))))),"")</f>
        <v/>
      </c>
      <c r="DN61" s="2445" t="str" cm="1">
        <f t="array" ca="1" aca="1" ref="DN61">IFERROR(IF(AN61*fxVal_normal=_PL!AN61,"",IF(OR(AN61="",NOT(ISNUMBER(AN61)),ISERROR(AN61),$B61=""),"",IF($I61=1,IFBLANK(_xldudf_CX_PUSH(AN61*fxVal_normal,CX_ENTITY,$B61,AN$11,AN$14,AN$19,),""),IF($I61=2,IFBLANK(_xldudf_CX_PUSH(AN61,CX_ENTITY,$B61,AN$11,AN$14,AN$19,),""),IF($I61=3,"",IFBLANK(_xldudf_CX_PUSH(AN61,CX_ENTITY,$B61,AN$11,AN$14,AN$19,),"")))))),"")</f>
        <v/>
      </c>
      <c r="DO61" s="2445" t="str" cm="1">
        <f t="array" ca="1" aca="1" ref="DO61">IFERROR(IF(AO61*fxVal_normal=_PL!AO61,"",IF(OR(AO61="",NOT(ISNUMBER(AO61)),ISERROR(AO61),$B61=""),"",IF($I61=1,IFBLANK(_xldudf_CX_PUSH(AO61*fxVal_normal,CX_ENTITY,$B61,AO$11,AO$14,AO$19,),""),IF($I61=2,IFBLANK(_xldudf_CX_PUSH(AO61,CX_ENTITY,$B61,AO$11,AO$14,AO$19,),""),IF($I61=3,"",IFBLANK(_xldudf_CX_PUSH(AO61,CX_ENTITY,$B61,AO$11,AO$14,AO$19,),"")))))),"")</f>
        <v/>
      </c>
      <c r="DP61" s="2445" t="str" cm="1">
        <f t="array" ca="1" aca="1" ref="DP61">IFERROR(IF(AP61*fxVal_normal=_PL!AP61,"",IF(OR(AP61="",NOT(ISNUMBER(AP61)),ISERROR(AP61),$B61=""),"",IF($I61=1,IFBLANK(_xldudf_CX_PUSH(AP61*fxVal_normal,CX_ENTITY,$B61,AP$11,AP$14,AP$19,),""),IF($I61=2,IFBLANK(_xldudf_CX_PUSH(AP61,CX_ENTITY,$B61,AP$11,AP$14,AP$19,),""),IF($I61=3,"",IFBLANK(_xldudf_CX_PUSH(AP61,CX_ENTITY,$B61,AP$11,AP$14,AP$19,),"")))))),"")</f>
        <v/>
      </c>
      <c r="DQ61" s="2445" t="str" cm="1">
        <f t="array" ca="1" aca="1" ref="DQ61">IFERROR(IF(AQ61*fxVal_normal=_PL!AQ61,"",IF(OR(AQ61="",NOT(ISNUMBER(AQ61)),ISERROR(AQ61),$B61=""),"",IF($I61=1,IFBLANK(_xldudf_CX_PUSH(AQ61*fxVal_normal,CX_ENTITY,$B61,AQ$11,AQ$14,AQ$19,),""),IF($I61=2,IFBLANK(_xldudf_CX_PUSH(AQ61,CX_ENTITY,$B61,AQ$11,AQ$14,AQ$19,),""),IF($I61=3,"",IFBLANK(_xldudf_CX_PUSH(AQ61,CX_ENTITY,$B61,AQ$11,AQ$14,AQ$19,),"")))))),"")</f>
        <v/>
      </c>
      <c r="DR61" s="2445" t="str" cm="1">
        <f t="array" ca="1" aca="1" ref="DR61">IFERROR(IF(AR61*fxVal_normal=_PL!AR61,"",IF(OR(AR61="",NOT(ISNUMBER(AR61)),ISERROR(AR61),$B61=""),"",IF($I61=1,IFBLANK(_xldudf_CX_PUSH(AR61*fxVal_normal,CX_ENTITY,$B61,AR$11,AR$14,AR$19,),""),IF($I61=2,IFBLANK(_xldudf_CX_PUSH(AR61,CX_ENTITY,$B61,AR$11,AR$14,AR$19,),""),IF($I61=3,"",IFBLANK(_xldudf_CX_PUSH(AR61,CX_ENTITY,$B61,AR$11,AR$14,AR$19,),"")))))),"")</f>
        <v/>
      </c>
      <c r="DS61" s="2445" t="str" cm="1">
        <f t="array" ca="1" aca="1" ref="DS61">IFERROR(IF(AS61*fxVal_normal=_PL!AS61,"",IF(OR(AS61="",NOT(ISNUMBER(AS61)),ISERROR(AS61),$B61=""),"",IF($I61=1,IFBLANK(_xldudf_CX_PUSH(AS61*fxVal_normal,CX_ENTITY,$B61,AS$11,AS$14,AS$19,),""),IF($I61=2,IFBLANK(_xldudf_CX_PUSH(AS61,CX_ENTITY,$B61,AS$11,AS$14,AS$19,),""),IF($I61=3,"",IFBLANK(_xldudf_CX_PUSH(AS61,CX_ENTITY,$B61,AS$11,AS$14,AS$19,),"")))))),"")</f>
        <v/>
      </c>
      <c r="DT61" s="2445" t="str" cm="1">
        <f t="array" ca="1" aca="1" ref="DT61">IFERROR(IF(AT61*fxVal_normal=_PL!AT61,"",IF(OR(AT61="",NOT(ISNUMBER(AT61)),ISERROR(AT61),$B61=""),"",IF($I61=1,IFBLANK(_xldudf_CX_PUSH(AT61*fxVal_normal,CX_ENTITY,$B61,AT$11,AT$14,AT$19,),""),IF($I61=2,IFBLANK(_xldudf_CX_PUSH(AT61,CX_ENTITY,$B61,AT$11,AT$14,AT$19,),""),IF($I61=3,"",IFBLANK(_xldudf_CX_PUSH(AT61,CX_ENTITY,$B61,AT$11,AT$14,AT$19,),"")))))),"")</f>
        <v/>
      </c>
      <c r="DU61" s="2445" t="str" cm="1">
        <f t="array" ca="1" aca="1" ref="DU61">IFERROR(IF(AU61*fxVal_normal=_PL!AU61,"",IF(OR(AU61="",NOT(ISNUMBER(AU61)),ISERROR(AU61),$B61=""),"",IF($I61=1,IFBLANK(_xldudf_CX_PUSH(AU61*fxVal_normal,CX_ENTITY,$B61,AU$11,AU$14,AU$19,),""),IF($I61=2,IFBLANK(_xldudf_CX_PUSH(AU61,CX_ENTITY,$B61,AU$11,AU$14,AU$19,),""),IF($I61=3,"",IFBLANK(_xldudf_CX_PUSH(AU61,CX_ENTITY,$B61,AU$11,AU$14,AU$19,),"")))))),"")</f>
        <v/>
      </c>
      <c r="DV61" s="2445" t="str" cm="1">
        <f t="array" ca="1" aca="1" ref="DV61">IFERROR(IF(AV61*fxVal_normal=_PL!AV61,"",IF(OR(AV61="",NOT(ISNUMBER(AV61)),ISERROR(AV61),$B61=""),"",IF($I61=1,IFBLANK(_xldudf_CX_PUSH(AV61*fxVal_normal,CX_ENTITY,$B61,AV$11,AV$14,AV$19,),""),IF($I61=2,IFBLANK(_xldudf_CX_PUSH(AV61,CX_ENTITY,$B61,AV$11,AV$14,AV$19,),""),IF($I61=3,"",IFBLANK(_xldudf_CX_PUSH(AV61,CX_ENTITY,$B61,AV$11,AV$14,AV$19,),"")))))),"")</f>
        <v/>
      </c>
      <c r="DW61" s="2445" t="str" cm="1">
        <f t="array" ca="1" aca="1" ref="DW61">IFERROR(IF(AW61*fxVal_normal=_PL!AW61,"",IF(OR(AW61="",NOT(ISNUMBER(AW61)),ISERROR(AW61),$B61=""),"",IF($I61=1,IFBLANK(_xldudf_CX_PUSH(AW61*fxVal_normal,CX_ENTITY,$B61,AW$11,AW$14,AW$19,),""),IF($I61=2,IFBLANK(_xldudf_CX_PUSH(AW61,CX_ENTITY,$B61,AW$11,AW$14,AW$19,),""),IF($I61=3,"",IFBLANK(_xldudf_CX_PUSH(AW61,CX_ENTITY,$B61,AW$11,AW$14,AW$19,),"")))))),"")</f>
        <v/>
      </c>
      <c r="DX61" s="2445" t="str" cm="1">
        <f t="array" ca="1" aca="1" ref="DX61">IFERROR(IF(AX61*fxVal_normal=_PL!AX61,"",IF(OR(AX61="",NOT(ISNUMBER(AX61)),ISERROR(AX61),$B61=""),"",IF($I61=1,IFBLANK(_xldudf_CX_PUSH(AX61*fxVal_normal,CX_ENTITY,$B61,AX$11,AX$14,AX$19,),""),IF($I61=2,IFBLANK(_xldudf_CX_PUSH(AX61,CX_ENTITY,$B61,AX$11,AX$14,AX$19,),""),IF($I61=3,"",IFBLANK(_xldudf_CX_PUSH(AX61,CX_ENTITY,$B61,AX$11,AX$14,AX$19,),"")))))),"")</f>
        <v/>
      </c>
      <c r="DY61" s="2445" t="str" cm="1">
        <f t="array" ca="1" aca="1" ref="DY61">IFERROR(IF(AY61*fxVal_normal=_PL!AY61,"",IF(OR(AY61="",NOT(ISNUMBER(AY61)),ISERROR(AY61),$B61=""),"",IF($I61=1,IFBLANK(_xldudf_CX_PUSH(AY61*fxVal_normal,CX_ENTITY,$B61,AY$11,AY$14,AY$19,),""),IF($I61=2,IFBLANK(_xldudf_CX_PUSH(AY61,CX_ENTITY,$B61,AY$11,AY$14,AY$19,),""),IF($I61=3,"",IFBLANK(_xldudf_CX_PUSH(AY61,CX_ENTITY,$B61,AY$11,AY$14,AY$19,),"")))))),"")</f>
        <v/>
      </c>
      <c r="DZ61" s="2445" t="str" cm="1">
        <f t="array" ca="1" aca="1" ref="DZ61">IFERROR(IF(AZ61*fxVal_normal=_PL!AZ61,"",IF(OR(AZ61="",NOT(ISNUMBER(AZ61)),ISERROR(AZ61),$B61=""),"",IF($I61=1,IFBLANK(_xldudf_CX_PUSH(AZ61*fxVal_normal,CX_ENTITY,$B61,AZ$11,AZ$14,AZ$19,),""),IF($I61=2,IFBLANK(_xldudf_CX_PUSH(AZ61,CX_ENTITY,$B61,AZ$11,AZ$14,AZ$19,),""),IF($I61=3,"",IFBLANK(_xldudf_CX_PUSH(AZ61,CX_ENTITY,$B61,AZ$11,AZ$14,AZ$19,),"")))))),"")</f>
        <v/>
      </c>
      <c r="EA61" s="2445" t="str" cm="1">
        <f t="array" ca="1" aca="1" ref="EA61">IFERROR(IF(BA61*fxVal_normal=_PL!BA61,"",IF(OR(BA61="",NOT(ISNUMBER(BA61)),ISERROR(BA61),$B61=""),"",IF($I61=1,IFBLANK(_xldudf_CX_PUSH(BA61*fxVal_normal,CX_ENTITY,$B61,BA$11,BA$14,BA$19,),""),IF($I61=2,IFBLANK(_xldudf_CX_PUSH(BA61,CX_ENTITY,$B61,BA$11,BA$14,BA$19,),""),IF($I61=3,"",IFBLANK(_xldudf_CX_PUSH(BA61,CX_ENTITY,$B61,BA$11,BA$14,BA$19,),"")))))),"")</f>
        <v/>
      </c>
      <c r="EB61" s="2445" t="str" cm="1">
        <f t="array" ca="1" aca="1" ref="EB61">IFERROR(IF(BB61*fxVal_normal=_PL!BB61,"",IF(OR(BB61="",NOT(ISNUMBER(BB61)),ISERROR(BB61),$B61=""),"",IF($I61=1,IFBLANK(_xldudf_CX_PUSH(BB61*fxVal_normal,CX_ENTITY,$B61,BB$11,BB$14,BB$19,),""),IF($I61=2,IFBLANK(_xldudf_CX_PUSH(BB61,CX_ENTITY,$B61,BB$11,BB$14,BB$19,),""),IF($I61=3,"",IFBLANK(_xldudf_CX_PUSH(BB61,CX_ENTITY,$B61,BB$11,BB$14,BB$19,),"")))))),"")</f>
        <v/>
      </c>
      <c r="EC61" s="2445" t="str" cm="1">
        <f t="array" ca="1" aca="1" ref="EC61">IFERROR(IF(BC61*fxVal_normal=_PL!BC61,"",IF(OR(BC61="",NOT(ISNUMBER(BC61)),ISERROR(BC61),$B61=""),"",IF($I61=1,IFBLANK(_xldudf_CX_PUSH(BC61*fxVal_normal,CX_ENTITY,$B61,BC$11,BC$14,BC$19,),""),IF($I61=2,IFBLANK(_xldudf_CX_PUSH(BC61,CX_ENTITY,$B61,BC$11,BC$14,BC$19,),""),IF($I61=3,"",IFBLANK(_xldudf_CX_PUSH(BC61,CX_ENTITY,$B61,BC$11,BC$14,BC$19,),"")))))),"")</f>
        <v/>
      </c>
      <c r="ED61" s="2445" t="str" cm="1">
        <f t="array" ca="1" aca="1" ref="ED61">IFERROR(IF(BD61*fxVal_normal=_PL!BD61,"",IF(OR(BD61="",NOT(ISNUMBER(BD61)),ISERROR(BD61),$B61=""),"",IF($I61=1,IFBLANK(_xldudf_CX_PUSH(BD61*fxVal_normal,CX_ENTITY,$B61,BD$11,BD$14,BD$19,),""),IF($I61=2,IFBLANK(_xldudf_CX_PUSH(BD61,CX_ENTITY,$B61,BD$11,BD$14,BD$19,),""),IF($I61=3,"",IFBLANK(_xldudf_CX_PUSH(BD61,CX_ENTITY,$B61,BD$11,BD$14,BD$19,),"")))))),"")</f>
        <v/>
      </c>
      <c r="EE61" s="2445" t="str" cm="1">
        <f t="array" ca="1" aca="1" ref="EE61">IFERROR(IF(BE61*fxVal_normal=_PL!BE61,"",IF(OR(BE61="",NOT(ISNUMBER(BE61)),ISERROR(BE61),$B61=""),"",IF($I61=1,IFBLANK(_xldudf_CX_PUSH(BE61*fxVal_normal,CX_ENTITY,$B61,BE$11,BE$14,BE$19,),""),IF($I61=2,IFBLANK(_xldudf_CX_PUSH(BE61,CX_ENTITY,$B61,BE$11,BE$14,BE$19,),""),IF($I61=3,"",IFBLANK(_xldudf_CX_PUSH(BE61,CX_ENTITY,$B61,BE$11,BE$14,BE$19,),"")))))),"")</f>
        <v/>
      </c>
      <c r="EF61" s="2445" t="str" cm="1">
        <f t="array" ca="1" aca="1" ref="EF61">IFERROR(IF(BF61*fxVal_normal=_PL!BF61,"",IF(OR(BF61="",NOT(ISNUMBER(BF61)),ISERROR(BF61),$B61=""),"",IF($I61=1,IFBLANK(_xldudf_CX_PUSH(BF61*fxVal_normal,CX_ENTITY,$B61,BF$11,BF$14,BF$19,),""),IF($I61=2,IFBLANK(_xldudf_CX_PUSH(BF61,CX_ENTITY,$B61,BF$11,BF$14,BF$19,),""),IF($I61=3,"",IFBLANK(_xldudf_CX_PUSH(BF61,CX_ENTITY,$B61,BF$11,BF$14,BF$19,),"")))))),"")</f>
        <v/>
      </c>
      <c r="EG61" s="2445" t="str" cm="1">
        <f t="array" ca="1" aca="1" ref="EG61">IFERROR(IF(BG61*fxVal_normal=_PL!BG61,"",IF(OR(BG61="",NOT(ISNUMBER(BG61)),ISERROR(BG61),$B61=""),"",IF($I61=1,IFBLANK(_xldudf_CX_PUSH(BG61*fxVal_normal,CX_ENTITY,$B61,BG$11,BG$14,BG$19,),""),IF($I61=2,IFBLANK(_xldudf_CX_PUSH(BG61,CX_ENTITY,$B61,BG$11,BG$14,BG$19,),""),IF($I61=3,"",IFBLANK(_xldudf_CX_PUSH(BG61,CX_ENTITY,$B61,BG$11,BG$14,BG$19,),"")))))),"")</f>
        <v/>
      </c>
      <c r="EH61" s="2445" t="str" cm="1">
        <f t="array" ca="1" aca="1" ref="EH61">IFERROR(IF(BH61*fxVal_normal=_PL!BH61,"",IF(OR(BH61="",NOT(ISNUMBER(BH61)),ISERROR(BH61),$B61=""),"",IF($I61=1,IFBLANK(_xldudf_CX_PUSH(BH61*fxVal_normal,CX_ENTITY,$B61,BH$11,BH$14,BH$19,),""),IF($I61=2,IFBLANK(_xldudf_CX_PUSH(BH61,CX_ENTITY,$B61,BH$11,BH$14,BH$19,),""),IF($I61=3,"",IFBLANK(_xldudf_CX_PUSH(BH61,CX_ENTITY,$B61,BH$11,BH$14,BH$19,),"")))))),"")</f>
        <v/>
      </c>
      <c r="EI61" s="2445" t="str" cm="1">
        <f t="array" ca="1" aca="1" ref="EI61">IFERROR(IF(BI61*fxVal_normal=_PL!BI61,"",IF(OR(BI61="",NOT(ISNUMBER(BI61)),ISERROR(BI61),$B61=""),"",IF($I61=1,IFBLANK(_xldudf_CX_PUSH(BI61*fxVal_normal,CX_ENTITY,$B61,BI$11,BI$14,BI$19,),""),IF($I61=2,IFBLANK(_xldudf_CX_PUSH(BI61,CX_ENTITY,$B61,BI$11,BI$14,BI$19,),""),IF($I61=3,"",IFBLANK(_xldudf_CX_PUSH(BI61,CX_ENTITY,$B61,BI$11,BI$14,BI$19,),"")))))),"")</f>
        <v/>
      </c>
      <c r="EJ61" s="2445" t="str" cm="1">
        <f t="array" ca="1" aca="1" ref="EJ61">IFERROR(IF(BJ61*fxVal_normal=_PL!BJ61,"",IF(OR(BJ61="",NOT(ISNUMBER(BJ61)),ISERROR(BJ61),$B61=""),"",IF($I61=1,IFBLANK(_xldudf_CX_PUSH(BJ61*fxVal_normal,CX_ENTITY,$B61,BJ$11,BJ$14,BJ$19,),""),IF($I61=2,IFBLANK(_xldudf_CX_PUSH(BJ61,CX_ENTITY,$B61,BJ$11,BJ$14,BJ$19,),""),IF($I61=3,"",IFBLANK(_xldudf_CX_PUSH(BJ61,CX_ENTITY,$B61,BJ$11,BJ$14,BJ$19,),"")))))),"")</f>
        <v/>
      </c>
      <c r="EK61" s="2445" t="str" cm="1">
        <f t="array" ca="1" aca="1" ref="EK61">IFERROR(IF(BK61*fxVal_normal=_PL!BK61,"",IF(OR(BK61="",NOT(ISNUMBER(BK61)),ISERROR(BK61),$B61=""),"",IF($I61=1,IFBLANK(_xldudf_CX_PUSH(BK61*fxVal_normal,CX_ENTITY,$B61,BK$11,BK$14,BK$19,),""),IF($I61=2,IFBLANK(_xldudf_CX_PUSH(BK61,CX_ENTITY,$B61,BK$11,BK$14,BK$19,),""),IF($I61=3,"",IFBLANK(_xldudf_CX_PUSH(BK61,CX_ENTITY,$B61,BK$11,BK$14,BK$19,),"")))))),"")</f>
        <v/>
      </c>
      <c r="EL61" s="2445" t="str" cm="1">
        <f t="array" ca="1" aca="1" ref="EL61">IFERROR(IF(BL61*fxVal_normal=_PL!BL61,"",IF(OR(BL61="",NOT(ISNUMBER(BL61)),ISERROR(BL61),$B61=""),"",IF($I61=1,IFBLANK(_xldudf_CX_PUSH(BL61*fxVal_normal,CX_ENTITY,$B61,BL$11,BL$14,BL$19,),""),IF($I61=2,IFBLANK(_xldudf_CX_PUSH(BL61,CX_ENTITY,$B61,BL$11,BL$14,BL$19,),""),IF($I61=3,"",IFBLANK(_xldudf_CX_PUSH(BL61,CX_ENTITY,$B61,BL$11,BL$14,BL$19,),"")))))),"")</f>
        <v/>
      </c>
      <c r="EM61" s="2445" t="str" cm="1">
        <f t="array" ca="1" aca="1" ref="EM61">IFERROR(IF(BM61*fxVal_normal=_PL!BM61,"",IF(OR(BM61="",NOT(ISNUMBER(BM61)),ISERROR(BM61),$B61=""),"",IF($I61=1,IFBLANK(_xldudf_CX_PUSH(BM61*fxVal_normal,CX_ENTITY,$B61,BM$11,BM$14,BM$19,),""),IF($I61=2,IFBLANK(_xldudf_CX_PUSH(BM61,CX_ENTITY,$B61,BM$11,BM$14,BM$19,),""),IF($I61=3,"",IFBLANK(_xldudf_CX_PUSH(BM61,CX_ENTITY,$B61,BM$11,BM$14,BM$19,),"")))))),"")</f>
        <v/>
      </c>
      <c r="EN61" s="2445" t="str" cm="1">
        <f t="array" ca="1" aca="1" ref="EN61">IFERROR(IF(BN61*fxVal_normal=_PL!BN61,"",IF(OR(BN61="",NOT(ISNUMBER(BN61)),ISERROR(BN61),$B61=""),"",IF($I61=1,IFBLANK(_xldudf_CX_PUSH(BN61*fxVal_normal,CX_ENTITY,$B61,BN$11,BN$14,BN$19,),""),IF($I61=2,IFBLANK(_xldudf_CX_PUSH(BN61,CX_ENTITY,$B61,BN$11,BN$14,BN$19,),""),IF($I61=3,"",IFBLANK(_xldudf_CX_PUSH(BN61,CX_ENTITY,$B61,BN$11,BN$14,BN$19,),"")))))),"")</f>
        <v/>
      </c>
    </row>
    <row r="62" spans="1:144" ht="21" customHeight="1">
      <c r="A62" s="2449"/>
      <c r="B62" s="2439" t="str">
        <f>_xlfn.LET(_xlpm.IsNotAttrDynamic,D62="",_xlpm.Attr,_PL!F62,_xlpm.NotInUse,Y62=D62,_xlpm.RESULT,IF(_xlpm.IsNotAttrDynamic,_xlpm.Attr,IF(_xlpm.NotInUse,"",Y62)),IF(_xlpm.RESULT="","",_xlpm.RESULT))</f>
        <v>Custom Metric Amount 6 [Calculated]</v>
      </c>
      <c r="C62" s="2439" t="str" cm="1">
        <f t="array" ref="C62">IFBLANK(_PL!C62,"")</f>
        <v>Custom Metric - Label 6 [Calculated]</v>
      </c>
      <c r="D62" s="2451"/>
      <c r="E62" s="575" t="str">
        <f t="shared" si="19"/>
        <v/>
      </c>
      <c r="F62" s="576"/>
      <c r="G62" s="576"/>
      <c r="H62" s="3277">
        <v>1</v>
      </c>
      <c r="I62" s="3277">
        <v>1</v>
      </c>
      <c r="J62" s="401" t="str" cm="1">
        <f t="array" ref="J62">IFBLANK(Z62,"")</f>
        <v/>
      </c>
      <c r="K62" s="578" t="str">
        <f t="shared" si="17"/>
        <v>No</v>
      </c>
      <c r="L62" s="37"/>
      <c r="N62" s="158"/>
      <c r="O62" s="101"/>
      <c r="P62" s="52"/>
      <c r="Q62" s="101"/>
      <c r="R62" s="539"/>
      <c r="S62" s="101"/>
      <c r="T62" s="2"/>
      <c r="U62" s="39"/>
      <c r="V62" s="37"/>
      <c r="W62" s="91" t="str">
        <f t="shared" si="18"/>
        <v>Actual</v>
      </c>
      <c r="X62" s="2081" t="e">
        <f ca="1">_PL!X62</f>
        <v>#NAME?</v>
      </c>
      <c r="Y62" s="2371"/>
      <c r="Z62" s="198" t="str">
        <f t="shared" si="20"/>
        <v/>
      </c>
      <c r="AA62" s="200" t="str" cm="1">
        <f t="array" ca="1" aca="1" ref="AA62">_xlfn.LET(_xlpm._termname,$Y62,_xlpm._icon,"Define",_xlpm._location,_xlfn.XLOOKUP(_xlpm._termname,$Y$249:$Y$338,$Y$249:$Y$338),_xlpm._hyperlink,HYPERLINK("#"&amp;CELL("address",_xlpm._location),_xlpm._icon),IF(Y62="","",_xlpm._hyperlink))</f>
        <v/>
      </c>
      <c r="AB62" s="1335" t="str" cm="1">
        <f t="array" ref="AB62">IFBLANK(Y62,"")</f>
        <v/>
      </c>
      <c r="AC62" s="2468" t="str" cm="1">
        <f t="array" ca="1" aca="1" ref="AC62">_xlfn.LET(_xlpm._termname,$AB62,_xlpm._iconname,"find",_xlpm._icon,fx_getIcon(_xlpm._iconname),_xlpm._location,_xlfn.XLOOKUP(LOWER(_xlpm._termname),LOWER(tbl_acctDef[Term]),tbl_acctDef[Term]),_xlpm._hyperlink,HYPERLINK("#"&amp;CELL("address",_xlpm._location),_xlpm._icon),IFERROR(_xlpm._hyperlink,""))</f>
        <v/>
      </c>
      <c r="AD62" s="2478" t="str" cm="1">
        <f t="array" ref="AD62">IF($Y62="","",_xlfn.XLOOKUP($W62&amp;$Y62,$W$249:$W$337&amp;$Y$249:$Y$338,$AD$249:$BN$338))</f>
        <v/>
      </c>
      <c r="AE62" s="3461"/>
      <c r="AF62" s="3461"/>
      <c r="AG62" s="3461"/>
      <c r="AH62" s="3461"/>
      <c r="AI62" s="3461"/>
      <c r="AJ62" s="3461"/>
      <c r="AK62" s="3461"/>
      <c r="AL62" s="3461"/>
      <c r="AM62" s="3461"/>
      <c r="AN62" s="3461"/>
      <c r="AO62" s="3461"/>
      <c r="AP62" s="3461"/>
      <c r="AQ62" s="3461"/>
      <c r="AR62" s="3461"/>
      <c r="AS62" s="3461"/>
      <c r="AT62" s="3461"/>
      <c r="AU62" s="3461"/>
      <c r="AV62" s="3461"/>
      <c r="AW62" s="3461"/>
      <c r="AX62" s="3461"/>
      <c r="AY62" s="3461"/>
      <c r="AZ62" s="3461"/>
      <c r="BA62" s="3461"/>
      <c r="BB62" s="3461"/>
      <c r="BC62" s="3461"/>
      <c r="BD62" s="3461"/>
      <c r="BE62" s="3461"/>
      <c r="BF62" s="3461"/>
      <c r="BG62" s="3461"/>
      <c r="BH62" s="3461"/>
      <c r="BI62" s="3461"/>
      <c r="BJ62" s="3461"/>
      <c r="BK62" s="3461"/>
      <c r="BL62" s="3461"/>
      <c r="BM62" s="3461"/>
      <c r="BN62" s="3461"/>
      <c r="BO62" s="2479"/>
      <c r="BP62" s="2479"/>
      <c r="BQ62" s="2479"/>
      <c r="BR62" s="2479"/>
      <c r="BS62" s="2479"/>
      <c r="BT62" s="2479"/>
      <c r="BU62" s="2479"/>
      <c r="BV62" s="2479"/>
      <c r="BW62" s="2479"/>
      <c r="BX62" s="2479"/>
      <c r="BY62" s="2479"/>
      <c r="BZ62" s="2479"/>
      <c r="CA62" s="34"/>
      <c r="CC62" s="33"/>
      <c r="CD62" s="1461" t="str" cm="1">
        <f t="array" ref="CD62">_xlfn.LET(_xlpm.CheckBlank,SUM(PL!$AD62:PL!$BN62)=0,IF(_xlpm.CheckBlank,"",SUM(_xlfn._xlws.FILTER(PL!$AD62:$BN62,(YEAR(PL!$AD$12:$BN$12)=PL!CD$12)*(array_timeline&lt;=PL!CD$11)))))</f>
        <v/>
      </c>
      <c r="CE62" s="1461" t="str" cm="1">
        <f t="array" ref="CE62">_xlfn.LET(_xlpm.CheckBlank,SUM(PL!$AD62:PL!$BN62)=0,IF(_xlpm.CheckBlank,"",SUM(_xlfn._xlws.FILTER(PL!$AD62:$BN62,(YEAR(PL!$AD$12:$BN$12)=PL!CE$12)*(array_timeline&lt;=PL!CE$11)))))</f>
        <v/>
      </c>
      <c r="CF62" s="2480"/>
      <c r="CG62" s="1461" t="str" cm="1">
        <f t="array" ref="CG62">IFERROR(_xlfn.LET(_xlpm.CheckBlank,SUM(PL!$AD62:$BN62)=0,IF(_xlpm.CheckBlank,"",SUM(_xlfn._xlws.FILTER(PL!$AD62:$BN62,(YEAR(PL!$AD$12:$BN$12)=PL!CG$12)*(array_timeline&lt;=PL!CG$11))))),"n/a")</f>
        <v/>
      </c>
      <c r="CH62" s="1461" t="str" cm="1">
        <f t="array" ref="CH62">_xlfn.LET(_xlpm.CheckBlank,SUM(PL!$AD62:$BN62)=0,IF(_xlpm.CheckBlank,"",SUM(_xlfn._xlws.FILTER(PL!$AD62:$BN62,(YEAR(PL!$AD$12:$BN$12)=PL!CH$12)*(array_timeline&lt;=PL!CH$11)))))</f>
        <v/>
      </c>
      <c r="CI62" s="88"/>
      <c r="CJ62" s="1461" t="str" cm="1">
        <f t="array" ref="CJ62">_xlfn.LET(_xlpm.CheckBlank,SUM(PL!$AD62:$BN62)=0,IF(_xlpm.CheckBlank,"",SUM(_xlfn.TAKE(_xlfn.DROP(PL!$AD62:$BN62,,-DATEDIFF(PL!CJ$11,val_asOfDate,"M")),1,-12))))</f>
        <v/>
      </c>
      <c r="CK62" s="1461" t="str" cm="1">
        <f t="array" ref="CK62">_xlfn.LET(_xlpm.CheckBlank,SUM(PL!$AD62:$BN62)=0,IF(_xlpm.CheckBlank,"",SUM(_xlfn.TAKE(_xlfn.DROP(PL!$AD62:$BN62,,-DATEDIFF(PL!CK$11,val_asOfDate,"M")),1,-12))))</f>
        <v/>
      </c>
      <c r="CL62" s="88"/>
      <c r="CM62" s="2357" t="str" cm="1">
        <f t="array" ref="CM62">IF($Y62="","",_xlfn.XLOOKUP($W62&amp;$Y62,$W$250:$W$338&amp;$Y$250:$Y$338,$CM$250:$CN$338))</f>
        <v/>
      </c>
      <c r="CN62" s="3462"/>
      <c r="CO62" s="3"/>
      <c r="CP62" s="2357" t="str" cm="1">
        <f t="array" ref="CP62">IF($Y62="","",_xlfn.XLOOKUP($W62&amp;$Y62,$W$250:$W$338&amp;$Y$250:$Y$338,$CP$250:$CQ$338))</f>
        <v/>
      </c>
      <c r="CQ62" s="3462"/>
      <c r="CR62" s="34"/>
      <c r="CS62" s="2056"/>
      <c r="CT62" s="2616"/>
      <c r="CU62" s="2616"/>
      <c r="CV62" s="2616"/>
      <c r="CW62" s="2616"/>
      <c r="CX62" s="2443"/>
      <c r="CY62" s="2444" t="str" cm="1">
        <f t="array" ca="1" aca="1" ref="CY62">IFERROR(IF(CM62*fxVal_normal=_PL!CM62,"",IF(OR($CM62="",$CM62=0,NOT(ISNUMBER($CM62)),ISERROR($CM62),$B62=""),"",IF($I62=1,IFBLANK(_xldudf_CX_PUSH($CM62*fxVal_normal,CX_ENTITY,$B62,$CM$11,$CM$14,$CM$19,),""),IF($I62=2,IFBLANK(_xldudf_CX_PUSH($CM62,CX_ENTITY,$B62,$CM$11,$CM$14,$CM$19,),""),IF($I62=3,"",IFBLANK(_xldudf_CX_PUSH($CM62,CX_ENTITY,$B62,$CM$11,$CM$14,$CM$19,),"")))))),"")</f>
        <v/>
      </c>
      <c r="CZ62" s="2444" t="str" cm="1">
        <f t="array" ca="1" aca="1" ref="CZ62">IFERROR(IF(CN62*fxVal_normal=_PL!CN62,"",IF(OR($CN62="",$CN62=0,NOT(ISNUMBER($CN62)),ISERROR($CN62),$B62=""),"",IF($I62=1,IFBLANK(_xldudf_CX_PUSH($CN62*fxVal_normal,CX_ENTITY,$B62,$CN$11,$CN$14,$CN$19,),""),IF($I62=2,IFBLANK(_xldudf_CX_PUSH($CN62,CX_ENTITY,$B62,$CN$11,$CN$14,$CN$19,),""),IF($I62=3,"",IFBLANK(_xldudf_CX_PUSH($CN62,CX_ENTITY,$B62,$CN$11,$CN$14,$CN$19,),"")))))),"")</f>
        <v/>
      </c>
      <c r="DA62" s="2444" t="str" cm="1">
        <f t="array" ca="1" aca="1" ref="DA62">IFERROR(IF(CP62*fxVal_normal=_PL!CP62,"",IF(OR($CP62="",$CP62=0,NOT(ISNUMBER($CP62)),ISERROR($CP62),$B62=""),"",IF($I62=1,IFBLANK(_xldudf_CX_PUSH($CP62*fxVal_normal,CX_ENTITY,$B62,$CP$11,$CP$14,$CP$19,),""),IF($I62=2,IFBLANK(_xldudf_CX_PUSH($CP62,CX_ENTITY,$B62,$CP$11,$CP$14,$CP$19,),""),IF($I62=3,"",IFBLANK(_xldudf_CX_PUSH($CP62,CX_ENTITY,$B62,$CP$11,$CP$14,$CP$19,),"")))))),"")</f>
        <v/>
      </c>
      <c r="DB62" s="2444" t="str" cm="1">
        <f t="array" ca="1" aca="1" ref="DB62">IFERROR(IF(CQ62*fxVal_normal=_PL!CQ62,"",IF(OR($CQ62="",$CQ62=0,NOT(ISNUMBER($CQ62)),ISERROR($CQ62),$B62=""),"",IF($I62=1,IFBLANK(_xldudf_CX_PUSH($CQ62*fxVal_normal,CX_ENTITY,$B62,$CQ$11,$CQ$14,$CQ$19,),""),IF($I62=2,IFBLANK(_xldudf_CX_PUSH($CQ62,CX_ENTITY,$B62,$CQ$11,$CQ$14,$CQ$19,),""),IF($I62=3,"",IFBLANK(_xldudf_CX_PUSH($CQ62,CX_ENTITY,$B62,$CQ$11,$CQ$14,$CQ$19,),"")))))),"")</f>
        <v/>
      </c>
      <c r="DC62" s="2443"/>
      <c r="DD62" s="2445" t="str" cm="1">
        <f t="array" ca="1" aca="1" ref="DD62">IFERROR(IF(AD62*fxVal_normal=_PL!AD62,"",IF(OR(AD62="",NOT(ISNUMBER(AD62)),ISERROR(AD62),$B62=""),"",IF($I62=1,IFBLANK(_xldudf_CX_PUSH(AD62*fxVal_normal,CX_ENTITY,$B62,AD$11,AD$14,AD$19,),""),IF($I62=2,IFBLANK(_xldudf_CX_PUSH(AD62,CX_ENTITY,$B62,AD$11,AD$14,AD$19,),""),IF($I62=3,"",IFBLANK(_xldudf_CX_PUSH(AD62,CX_ENTITY,$B62,AD$11,AD$14,AD$19,),"")))))),"")</f>
        <v/>
      </c>
      <c r="DE62" s="2445" t="str" cm="1">
        <f t="array" ca="1" aca="1" ref="DE62">IFERROR(IF(AE62*fxVal_normal=_PL!AE62,"",IF(OR(AE62="",NOT(ISNUMBER(AE62)),ISERROR(AE62),$B62=""),"",IF($I62=1,IFBLANK(_xldudf_CX_PUSH(AE62*fxVal_normal,CX_ENTITY,$B62,AE$11,AE$14,AE$19,),""),IF($I62=2,IFBLANK(_xldudf_CX_PUSH(AE62,CX_ENTITY,$B62,AE$11,AE$14,AE$19,),""),IF($I62=3,"",IFBLANK(_xldudf_CX_PUSH(AE62,CX_ENTITY,$B62,AE$11,AE$14,AE$19,),"")))))),"")</f>
        <v/>
      </c>
      <c r="DF62" s="2445" t="str" cm="1">
        <f t="array" ca="1" aca="1" ref="DF62">IFERROR(IF(AF62*fxVal_normal=_PL!AF62,"",IF(OR(AF62="",NOT(ISNUMBER(AF62)),ISERROR(AF62),$B62=""),"",IF($I62=1,IFBLANK(_xldudf_CX_PUSH(AF62*fxVal_normal,CX_ENTITY,$B62,AF$11,AF$14,AF$19,),""),IF($I62=2,IFBLANK(_xldudf_CX_PUSH(AF62,CX_ENTITY,$B62,AF$11,AF$14,AF$19,),""),IF($I62=3,"",IFBLANK(_xldudf_CX_PUSH(AF62,CX_ENTITY,$B62,AF$11,AF$14,AF$19,),"")))))),"")</f>
        <v/>
      </c>
      <c r="DG62" s="2445" t="str" cm="1">
        <f t="array" ca="1" aca="1" ref="DG62">IFERROR(IF(AG62*fxVal_normal=_PL!AG62,"",IF(OR(AG62="",NOT(ISNUMBER(AG62)),ISERROR(AG62),$B62=""),"",IF($I62=1,IFBLANK(_xldudf_CX_PUSH(AG62*fxVal_normal,CX_ENTITY,$B62,AG$11,AG$14,AG$19,),""),IF($I62=2,IFBLANK(_xldudf_CX_PUSH(AG62,CX_ENTITY,$B62,AG$11,AG$14,AG$19,),""),IF($I62=3,"",IFBLANK(_xldudf_CX_PUSH(AG62,CX_ENTITY,$B62,AG$11,AG$14,AG$19,),"")))))),"")</f>
        <v/>
      </c>
      <c r="DH62" s="2445" t="str" cm="1">
        <f t="array" ca="1" aca="1" ref="DH62">IFERROR(IF(AH62*fxVal_normal=_PL!AH62,"",IF(OR(AH62="",NOT(ISNUMBER(AH62)),ISERROR(AH62),$B62=""),"",IF($I62=1,IFBLANK(_xldudf_CX_PUSH(AH62*fxVal_normal,CX_ENTITY,$B62,AH$11,AH$14,AH$19,),""),IF($I62=2,IFBLANK(_xldudf_CX_PUSH(AH62,CX_ENTITY,$B62,AH$11,AH$14,AH$19,),""),IF($I62=3,"",IFBLANK(_xldudf_CX_PUSH(AH62,CX_ENTITY,$B62,AH$11,AH$14,AH$19,),"")))))),"")</f>
        <v/>
      </c>
      <c r="DI62" s="2445" t="str" cm="1">
        <f t="array" ca="1" aca="1" ref="DI62">IFERROR(IF(AI62*fxVal_normal=_PL!AI62,"",IF(OR(AI62="",NOT(ISNUMBER(AI62)),ISERROR(AI62),$B62=""),"",IF($I62=1,IFBLANK(_xldudf_CX_PUSH(AI62*fxVal_normal,CX_ENTITY,$B62,AI$11,AI$14,AI$19,),""),IF($I62=2,IFBLANK(_xldudf_CX_PUSH(AI62,CX_ENTITY,$B62,AI$11,AI$14,AI$19,),""),IF($I62=3,"",IFBLANK(_xldudf_CX_PUSH(AI62,CX_ENTITY,$B62,AI$11,AI$14,AI$19,),"")))))),"")</f>
        <v/>
      </c>
      <c r="DJ62" s="2445" t="str" cm="1">
        <f t="array" ca="1" aca="1" ref="DJ62">IFERROR(IF(AJ62*fxVal_normal=_PL!AJ62,"",IF(OR(AJ62="",NOT(ISNUMBER(AJ62)),ISERROR(AJ62),$B62=""),"",IF($I62=1,IFBLANK(_xldudf_CX_PUSH(AJ62*fxVal_normal,CX_ENTITY,$B62,AJ$11,AJ$14,AJ$19,),""),IF($I62=2,IFBLANK(_xldudf_CX_PUSH(AJ62,CX_ENTITY,$B62,AJ$11,AJ$14,AJ$19,),""),IF($I62=3,"",IFBLANK(_xldudf_CX_PUSH(AJ62,CX_ENTITY,$B62,AJ$11,AJ$14,AJ$19,),"")))))),"")</f>
        <v/>
      </c>
      <c r="DK62" s="2445" t="str" cm="1">
        <f t="array" ca="1" aca="1" ref="DK62">IFERROR(IF(AK62*fxVal_normal=_PL!AK62,"",IF(OR(AK62="",NOT(ISNUMBER(AK62)),ISERROR(AK62),$B62=""),"",IF($I62=1,IFBLANK(_xldudf_CX_PUSH(AK62*fxVal_normal,CX_ENTITY,$B62,AK$11,AK$14,AK$19,),""),IF($I62=2,IFBLANK(_xldudf_CX_PUSH(AK62,CX_ENTITY,$B62,AK$11,AK$14,AK$19,),""),IF($I62=3,"",IFBLANK(_xldudf_CX_PUSH(AK62,CX_ENTITY,$B62,AK$11,AK$14,AK$19,),"")))))),"")</f>
        <v/>
      </c>
      <c r="DL62" s="2445" t="str" cm="1">
        <f t="array" ca="1" aca="1" ref="DL62">IFERROR(IF(AL62*fxVal_normal=_PL!AL62,"",IF(OR(AL62="",NOT(ISNUMBER(AL62)),ISERROR(AL62),$B62=""),"",IF($I62=1,IFBLANK(_xldudf_CX_PUSH(AL62*fxVal_normal,CX_ENTITY,$B62,AL$11,AL$14,AL$19,),""),IF($I62=2,IFBLANK(_xldudf_CX_PUSH(AL62,CX_ENTITY,$B62,AL$11,AL$14,AL$19,),""),IF($I62=3,"",IFBLANK(_xldudf_CX_PUSH(AL62,CX_ENTITY,$B62,AL$11,AL$14,AL$19,),"")))))),"")</f>
        <v/>
      </c>
      <c r="DM62" s="2445" t="str" cm="1">
        <f t="array" ca="1" aca="1" ref="DM62">IFERROR(IF(AM62*fxVal_normal=_PL!AM62,"",IF(OR(AM62="",NOT(ISNUMBER(AM62)),ISERROR(AM62),$B62=""),"",IF($I62=1,IFBLANK(_xldudf_CX_PUSH(AM62*fxVal_normal,CX_ENTITY,$B62,AM$11,AM$14,AM$19,),""),IF($I62=2,IFBLANK(_xldudf_CX_PUSH(AM62,CX_ENTITY,$B62,AM$11,AM$14,AM$19,),""),IF($I62=3,"",IFBLANK(_xldudf_CX_PUSH(AM62,CX_ENTITY,$B62,AM$11,AM$14,AM$19,),"")))))),"")</f>
        <v/>
      </c>
      <c r="DN62" s="2445" t="str" cm="1">
        <f t="array" ca="1" aca="1" ref="DN62">IFERROR(IF(AN62*fxVal_normal=_PL!AN62,"",IF(OR(AN62="",NOT(ISNUMBER(AN62)),ISERROR(AN62),$B62=""),"",IF($I62=1,IFBLANK(_xldudf_CX_PUSH(AN62*fxVal_normal,CX_ENTITY,$B62,AN$11,AN$14,AN$19,),""),IF($I62=2,IFBLANK(_xldudf_CX_PUSH(AN62,CX_ENTITY,$B62,AN$11,AN$14,AN$19,),""),IF($I62=3,"",IFBLANK(_xldudf_CX_PUSH(AN62,CX_ENTITY,$B62,AN$11,AN$14,AN$19,),"")))))),"")</f>
        <v/>
      </c>
      <c r="DO62" s="2445" t="str" cm="1">
        <f t="array" ca="1" aca="1" ref="DO62">IFERROR(IF(AO62*fxVal_normal=_PL!AO62,"",IF(OR(AO62="",NOT(ISNUMBER(AO62)),ISERROR(AO62),$B62=""),"",IF($I62=1,IFBLANK(_xldudf_CX_PUSH(AO62*fxVal_normal,CX_ENTITY,$B62,AO$11,AO$14,AO$19,),""),IF($I62=2,IFBLANK(_xldudf_CX_PUSH(AO62,CX_ENTITY,$B62,AO$11,AO$14,AO$19,),""),IF($I62=3,"",IFBLANK(_xldudf_CX_PUSH(AO62,CX_ENTITY,$B62,AO$11,AO$14,AO$19,),"")))))),"")</f>
        <v/>
      </c>
      <c r="DP62" s="2445" t="str" cm="1">
        <f t="array" ca="1" aca="1" ref="DP62">IFERROR(IF(AP62*fxVal_normal=_PL!AP62,"",IF(OR(AP62="",NOT(ISNUMBER(AP62)),ISERROR(AP62),$B62=""),"",IF($I62=1,IFBLANK(_xldudf_CX_PUSH(AP62*fxVal_normal,CX_ENTITY,$B62,AP$11,AP$14,AP$19,),""),IF($I62=2,IFBLANK(_xldudf_CX_PUSH(AP62,CX_ENTITY,$B62,AP$11,AP$14,AP$19,),""),IF($I62=3,"",IFBLANK(_xldudf_CX_PUSH(AP62,CX_ENTITY,$B62,AP$11,AP$14,AP$19,),"")))))),"")</f>
        <v/>
      </c>
      <c r="DQ62" s="2445" t="str" cm="1">
        <f t="array" ca="1" aca="1" ref="DQ62">IFERROR(IF(AQ62*fxVal_normal=_PL!AQ62,"",IF(OR(AQ62="",NOT(ISNUMBER(AQ62)),ISERROR(AQ62),$B62=""),"",IF($I62=1,IFBLANK(_xldudf_CX_PUSH(AQ62*fxVal_normal,CX_ENTITY,$B62,AQ$11,AQ$14,AQ$19,),""),IF($I62=2,IFBLANK(_xldudf_CX_PUSH(AQ62,CX_ENTITY,$B62,AQ$11,AQ$14,AQ$19,),""),IF($I62=3,"",IFBLANK(_xldudf_CX_PUSH(AQ62,CX_ENTITY,$B62,AQ$11,AQ$14,AQ$19,),"")))))),"")</f>
        <v/>
      </c>
      <c r="DR62" s="2445" t="str" cm="1">
        <f t="array" ca="1" aca="1" ref="DR62">IFERROR(IF(AR62*fxVal_normal=_PL!AR62,"",IF(OR(AR62="",NOT(ISNUMBER(AR62)),ISERROR(AR62),$B62=""),"",IF($I62=1,IFBLANK(_xldudf_CX_PUSH(AR62*fxVal_normal,CX_ENTITY,$B62,AR$11,AR$14,AR$19,),""),IF($I62=2,IFBLANK(_xldudf_CX_PUSH(AR62,CX_ENTITY,$B62,AR$11,AR$14,AR$19,),""),IF($I62=3,"",IFBLANK(_xldudf_CX_PUSH(AR62,CX_ENTITY,$B62,AR$11,AR$14,AR$19,),"")))))),"")</f>
        <v/>
      </c>
      <c r="DS62" s="2445" t="str" cm="1">
        <f t="array" ca="1" aca="1" ref="DS62">IFERROR(IF(AS62*fxVal_normal=_PL!AS62,"",IF(OR(AS62="",NOT(ISNUMBER(AS62)),ISERROR(AS62),$B62=""),"",IF($I62=1,IFBLANK(_xldudf_CX_PUSH(AS62*fxVal_normal,CX_ENTITY,$B62,AS$11,AS$14,AS$19,),""),IF($I62=2,IFBLANK(_xldudf_CX_PUSH(AS62,CX_ENTITY,$B62,AS$11,AS$14,AS$19,),""),IF($I62=3,"",IFBLANK(_xldudf_CX_PUSH(AS62,CX_ENTITY,$B62,AS$11,AS$14,AS$19,),"")))))),"")</f>
        <v/>
      </c>
      <c r="DT62" s="2445" t="str" cm="1">
        <f t="array" ca="1" aca="1" ref="DT62">IFERROR(IF(AT62*fxVal_normal=_PL!AT62,"",IF(OR(AT62="",NOT(ISNUMBER(AT62)),ISERROR(AT62),$B62=""),"",IF($I62=1,IFBLANK(_xldudf_CX_PUSH(AT62*fxVal_normal,CX_ENTITY,$B62,AT$11,AT$14,AT$19,),""),IF($I62=2,IFBLANK(_xldudf_CX_PUSH(AT62,CX_ENTITY,$B62,AT$11,AT$14,AT$19,),""),IF($I62=3,"",IFBLANK(_xldudf_CX_PUSH(AT62,CX_ENTITY,$B62,AT$11,AT$14,AT$19,),"")))))),"")</f>
        <v/>
      </c>
      <c r="DU62" s="2445" t="str" cm="1">
        <f t="array" ca="1" aca="1" ref="DU62">IFERROR(IF(AU62*fxVal_normal=_PL!AU62,"",IF(OR(AU62="",NOT(ISNUMBER(AU62)),ISERROR(AU62),$B62=""),"",IF($I62=1,IFBLANK(_xldudf_CX_PUSH(AU62*fxVal_normal,CX_ENTITY,$B62,AU$11,AU$14,AU$19,),""),IF($I62=2,IFBLANK(_xldudf_CX_PUSH(AU62,CX_ENTITY,$B62,AU$11,AU$14,AU$19,),""),IF($I62=3,"",IFBLANK(_xldudf_CX_PUSH(AU62,CX_ENTITY,$B62,AU$11,AU$14,AU$19,),"")))))),"")</f>
        <v/>
      </c>
      <c r="DV62" s="2445" t="str" cm="1">
        <f t="array" ca="1" aca="1" ref="DV62">IFERROR(IF(AV62*fxVal_normal=_PL!AV62,"",IF(OR(AV62="",NOT(ISNUMBER(AV62)),ISERROR(AV62),$B62=""),"",IF($I62=1,IFBLANK(_xldudf_CX_PUSH(AV62*fxVal_normal,CX_ENTITY,$B62,AV$11,AV$14,AV$19,),""),IF($I62=2,IFBLANK(_xldudf_CX_PUSH(AV62,CX_ENTITY,$B62,AV$11,AV$14,AV$19,),""),IF($I62=3,"",IFBLANK(_xldudf_CX_PUSH(AV62,CX_ENTITY,$B62,AV$11,AV$14,AV$19,),"")))))),"")</f>
        <v/>
      </c>
      <c r="DW62" s="2445" t="str" cm="1">
        <f t="array" ca="1" aca="1" ref="DW62">IFERROR(IF(AW62*fxVal_normal=_PL!AW62,"",IF(OR(AW62="",NOT(ISNUMBER(AW62)),ISERROR(AW62),$B62=""),"",IF($I62=1,IFBLANK(_xldudf_CX_PUSH(AW62*fxVal_normal,CX_ENTITY,$B62,AW$11,AW$14,AW$19,),""),IF($I62=2,IFBLANK(_xldudf_CX_PUSH(AW62,CX_ENTITY,$B62,AW$11,AW$14,AW$19,),""),IF($I62=3,"",IFBLANK(_xldudf_CX_PUSH(AW62,CX_ENTITY,$B62,AW$11,AW$14,AW$19,),"")))))),"")</f>
        <v/>
      </c>
      <c r="DX62" s="2445" t="str" cm="1">
        <f t="array" ca="1" aca="1" ref="DX62">IFERROR(IF(AX62*fxVal_normal=_PL!AX62,"",IF(OR(AX62="",NOT(ISNUMBER(AX62)),ISERROR(AX62),$B62=""),"",IF($I62=1,IFBLANK(_xldudf_CX_PUSH(AX62*fxVal_normal,CX_ENTITY,$B62,AX$11,AX$14,AX$19,),""),IF($I62=2,IFBLANK(_xldudf_CX_PUSH(AX62,CX_ENTITY,$B62,AX$11,AX$14,AX$19,),""),IF($I62=3,"",IFBLANK(_xldudf_CX_PUSH(AX62,CX_ENTITY,$B62,AX$11,AX$14,AX$19,),"")))))),"")</f>
        <v/>
      </c>
      <c r="DY62" s="2445" t="str" cm="1">
        <f t="array" ca="1" aca="1" ref="DY62">IFERROR(IF(AY62*fxVal_normal=_PL!AY62,"",IF(OR(AY62="",NOT(ISNUMBER(AY62)),ISERROR(AY62),$B62=""),"",IF($I62=1,IFBLANK(_xldudf_CX_PUSH(AY62*fxVal_normal,CX_ENTITY,$B62,AY$11,AY$14,AY$19,),""),IF($I62=2,IFBLANK(_xldudf_CX_PUSH(AY62,CX_ENTITY,$B62,AY$11,AY$14,AY$19,),""),IF($I62=3,"",IFBLANK(_xldudf_CX_PUSH(AY62,CX_ENTITY,$B62,AY$11,AY$14,AY$19,),"")))))),"")</f>
        <v/>
      </c>
      <c r="DZ62" s="2445" t="str" cm="1">
        <f t="array" ca="1" aca="1" ref="DZ62">IFERROR(IF(AZ62*fxVal_normal=_PL!AZ62,"",IF(OR(AZ62="",NOT(ISNUMBER(AZ62)),ISERROR(AZ62),$B62=""),"",IF($I62=1,IFBLANK(_xldudf_CX_PUSH(AZ62*fxVal_normal,CX_ENTITY,$B62,AZ$11,AZ$14,AZ$19,),""),IF($I62=2,IFBLANK(_xldudf_CX_PUSH(AZ62,CX_ENTITY,$B62,AZ$11,AZ$14,AZ$19,),""),IF($I62=3,"",IFBLANK(_xldudf_CX_PUSH(AZ62,CX_ENTITY,$B62,AZ$11,AZ$14,AZ$19,),"")))))),"")</f>
        <v/>
      </c>
      <c r="EA62" s="2445" t="str" cm="1">
        <f t="array" ca="1" aca="1" ref="EA62">IFERROR(IF(BA62*fxVal_normal=_PL!BA62,"",IF(OR(BA62="",NOT(ISNUMBER(BA62)),ISERROR(BA62),$B62=""),"",IF($I62=1,IFBLANK(_xldudf_CX_PUSH(BA62*fxVal_normal,CX_ENTITY,$B62,BA$11,BA$14,BA$19,),""),IF($I62=2,IFBLANK(_xldudf_CX_PUSH(BA62,CX_ENTITY,$B62,BA$11,BA$14,BA$19,),""),IF($I62=3,"",IFBLANK(_xldudf_CX_PUSH(BA62,CX_ENTITY,$B62,BA$11,BA$14,BA$19,),"")))))),"")</f>
        <v/>
      </c>
      <c r="EB62" s="2445" t="str" cm="1">
        <f t="array" ca="1" aca="1" ref="EB62">IFERROR(IF(BB62*fxVal_normal=_PL!BB62,"",IF(OR(BB62="",NOT(ISNUMBER(BB62)),ISERROR(BB62),$B62=""),"",IF($I62=1,IFBLANK(_xldudf_CX_PUSH(BB62*fxVal_normal,CX_ENTITY,$B62,BB$11,BB$14,BB$19,),""),IF($I62=2,IFBLANK(_xldudf_CX_PUSH(BB62,CX_ENTITY,$B62,BB$11,BB$14,BB$19,),""),IF($I62=3,"",IFBLANK(_xldudf_CX_PUSH(BB62,CX_ENTITY,$B62,BB$11,BB$14,BB$19,),"")))))),"")</f>
        <v/>
      </c>
      <c r="EC62" s="2445" t="str" cm="1">
        <f t="array" ca="1" aca="1" ref="EC62">IFERROR(IF(BC62*fxVal_normal=_PL!BC62,"",IF(OR(BC62="",NOT(ISNUMBER(BC62)),ISERROR(BC62),$B62=""),"",IF($I62=1,IFBLANK(_xldudf_CX_PUSH(BC62*fxVal_normal,CX_ENTITY,$B62,BC$11,BC$14,BC$19,),""),IF($I62=2,IFBLANK(_xldudf_CX_PUSH(BC62,CX_ENTITY,$B62,BC$11,BC$14,BC$19,),""),IF($I62=3,"",IFBLANK(_xldudf_CX_PUSH(BC62,CX_ENTITY,$B62,BC$11,BC$14,BC$19,),"")))))),"")</f>
        <v/>
      </c>
      <c r="ED62" s="2445" t="str" cm="1">
        <f t="array" ca="1" aca="1" ref="ED62">IFERROR(IF(BD62*fxVal_normal=_PL!BD62,"",IF(OR(BD62="",NOT(ISNUMBER(BD62)),ISERROR(BD62),$B62=""),"",IF($I62=1,IFBLANK(_xldudf_CX_PUSH(BD62*fxVal_normal,CX_ENTITY,$B62,BD$11,BD$14,BD$19,),""),IF($I62=2,IFBLANK(_xldudf_CX_PUSH(BD62,CX_ENTITY,$B62,BD$11,BD$14,BD$19,),""),IF($I62=3,"",IFBLANK(_xldudf_CX_PUSH(BD62,CX_ENTITY,$B62,BD$11,BD$14,BD$19,),"")))))),"")</f>
        <v/>
      </c>
      <c r="EE62" s="2445" t="str" cm="1">
        <f t="array" ca="1" aca="1" ref="EE62">IFERROR(IF(BE62*fxVal_normal=_PL!BE62,"",IF(OR(BE62="",NOT(ISNUMBER(BE62)),ISERROR(BE62),$B62=""),"",IF($I62=1,IFBLANK(_xldudf_CX_PUSH(BE62*fxVal_normal,CX_ENTITY,$B62,BE$11,BE$14,BE$19,),""),IF($I62=2,IFBLANK(_xldudf_CX_PUSH(BE62,CX_ENTITY,$B62,BE$11,BE$14,BE$19,),""),IF($I62=3,"",IFBLANK(_xldudf_CX_PUSH(BE62,CX_ENTITY,$B62,BE$11,BE$14,BE$19,),"")))))),"")</f>
        <v/>
      </c>
      <c r="EF62" s="2445" t="str" cm="1">
        <f t="array" ca="1" aca="1" ref="EF62">IFERROR(IF(BF62*fxVal_normal=_PL!BF62,"",IF(OR(BF62="",NOT(ISNUMBER(BF62)),ISERROR(BF62),$B62=""),"",IF($I62=1,IFBLANK(_xldudf_CX_PUSH(BF62*fxVal_normal,CX_ENTITY,$B62,BF$11,BF$14,BF$19,),""),IF($I62=2,IFBLANK(_xldudf_CX_PUSH(BF62,CX_ENTITY,$B62,BF$11,BF$14,BF$19,),""),IF($I62=3,"",IFBLANK(_xldudf_CX_PUSH(BF62,CX_ENTITY,$B62,BF$11,BF$14,BF$19,),"")))))),"")</f>
        <v/>
      </c>
      <c r="EG62" s="2445" t="str" cm="1">
        <f t="array" ca="1" aca="1" ref="EG62">IFERROR(IF(BG62*fxVal_normal=_PL!BG62,"",IF(OR(BG62="",NOT(ISNUMBER(BG62)),ISERROR(BG62),$B62=""),"",IF($I62=1,IFBLANK(_xldudf_CX_PUSH(BG62*fxVal_normal,CX_ENTITY,$B62,BG$11,BG$14,BG$19,),""),IF($I62=2,IFBLANK(_xldudf_CX_PUSH(BG62,CX_ENTITY,$B62,BG$11,BG$14,BG$19,),""),IF($I62=3,"",IFBLANK(_xldudf_CX_PUSH(BG62,CX_ENTITY,$B62,BG$11,BG$14,BG$19,),"")))))),"")</f>
        <v/>
      </c>
      <c r="EH62" s="2445" t="str" cm="1">
        <f t="array" ca="1" aca="1" ref="EH62">IFERROR(IF(BH62*fxVal_normal=_PL!BH62,"",IF(OR(BH62="",NOT(ISNUMBER(BH62)),ISERROR(BH62),$B62=""),"",IF($I62=1,IFBLANK(_xldudf_CX_PUSH(BH62*fxVal_normal,CX_ENTITY,$B62,BH$11,BH$14,BH$19,),""),IF($I62=2,IFBLANK(_xldudf_CX_PUSH(BH62,CX_ENTITY,$B62,BH$11,BH$14,BH$19,),""),IF($I62=3,"",IFBLANK(_xldudf_CX_PUSH(BH62,CX_ENTITY,$B62,BH$11,BH$14,BH$19,),"")))))),"")</f>
        <v/>
      </c>
      <c r="EI62" s="2445" t="str" cm="1">
        <f t="array" ca="1" aca="1" ref="EI62">IFERROR(IF(BI62*fxVal_normal=_PL!BI62,"",IF(OR(BI62="",NOT(ISNUMBER(BI62)),ISERROR(BI62),$B62=""),"",IF($I62=1,IFBLANK(_xldudf_CX_PUSH(BI62*fxVal_normal,CX_ENTITY,$B62,BI$11,BI$14,BI$19,),""),IF($I62=2,IFBLANK(_xldudf_CX_PUSH(BI62,CX_ENTITY,$B62,BI$11,BI$14,BI$19,),""),IF($I62=3,"",IFBLANK(_xldudf_CX_PUSH(BI62,CX_ENTITY,$B62,BI$11,BI$14,BI$19,),"")))))),"")</f>
        <v/>
      </c>
      <c r="EJ62" s="2445" t="str" cm="1">
        <f t="array" ca="1" aca="1" ref="EJ62">IFERROR(IF(BJ62*fxVal_normal=_PL!BJ62,"",IF(OR(BJ62="",NOT(ISNUMBER(BJ62)),ISERROR(BJ62),$B62=""),"",IF($I62=1,IFBLANK(_xldudf_CX_PUSH(BJ62*fxVal_normal,CX_ENTITY,$B62,BJ$11,BJ$14,BJ$19,),""),IF($I62=2,IFBLANK(_xldudf_CX_PUSH(BJ62,CX_ENTITY,$B62,BJ$11,BJ$14,BJ$19,),""),IF($I62=3,"",IFBLANK(_xldudf_CX_PUSH(BJ62,CX_ENTITY,$B62,BJ$11,BJ$14,BJ$19,),"")))))),"")</f>
        <v/>
      </c>
      <c r="EK62" s="2445" t="str" cm="1">
        <f t="array" ca="1" aca="1" ref="EK62">IFERROR(IF(BK62*fxVal_normal=_PL!BK62,"",IF(OR(BK62="",NOT(ISNUMBER(BK62)),ISERROR(BK62),$B62=""),"",IF($I62=1,IFBLANK(_xldudf_CX_PUSH(BK62*fxVal_normal,CX_ENTITY,$B62,BK$11,BK$14,BK$19,),""),IF($I62=2,IFBLANK(_xldudf_CX_PUSH(BK62,CX_ENTITY,$B62,BK$11,BK$14,BK$19,),""),IF($I62=3,"",IFBLANK(_xldudf_CX_PUSH(BK62,CX_ENTITY,$B62,BK$11,BK$14,BK$19,),"")))))),"")</f>
        <v/>
      </c>
      <c r="EL62" s="2445" t="str" cm="1">
        <f t="array" ca="1" aca="1" ref="EL62">IFERROR(IF(BL62*fxVal_normal=_PL!BL62,"",IF(OR(BL62="",NOT(ISNUMBER(BL62)),ISERROR(BL62),$B62=""),"",IF($I62=1,IFBLANK(_xldudf_CX_PUSH(BL62*fxVal_normal,CX_ENTITY,$B62,BL$11,BL$14,BL$19,),""),IF($I62=2,IFBLANK(_xldudf_CX_PUSH(BL62,CX_ENTITY,$B62,BL$11,BL$14,BL$19,),""),IF($I62=3,"",IFBLANK(_xldudf_CX_PUSH(BL62,CX_ENTITY,$B62,BL$11,BL$14,BL$19,),"")))))),"")</f>
        <v/>
      </c>
      <c r="EM62" s="2445" t="str" cm="1">
        <f t="array" ca="1" aca="1" ref="EM62">IFERROR(IF(BM62*fxVal_normal=_PL!BM62,"",IF(OR(BM62="",NOT(ISNUMBER(BM62)),ISERROR(BM62),$B62=""),"",IF($I62=1,IFBLANK(_xldudf_CX_PUSH(BM62*fxVal_normal,CX_ENTITY,$B62,BM$11,BM$14,BM$19,),""),IF($I62=2,IFBLANK(_xldudf_CX_PUSH(BM62,CX_ENTITY,$B62,BM$11,BM$14,BM$19,),""),IF($I62=3,"",IFBLANK(_xldudf_CX_PUSH(BM62,CX_ENTITY,$B62,BM$11,BM$14,BM$19,),"")))))),"")</f>
        <v/>
      </c>
      <c r="EN62" s="2445" t="str" cm="1">
        <f t="array" ca="1" aca="1" ref="EN62">IFERROR(IF(BN62*fxVal_normal=_PL!BN62,"",IF(OR(BN62="",NOT(ISNUMBER(BN62)),ISERROR(BN62),$B62=""),"",IF($I62=1,IFBLANK(_xldudf_CX_PUSH(BN62*fxVal_normal,CX_ENTITY,$B62,BN$11,BN$14,BN$19,),""),IF($I62=2,IFBLANK(_xldudf_CX_PUSH(BN62,CX_ENTITY,$B62,BN$11,BN$14,BN$19,),""),IF($I62=3,"",IFBLANK(_xldudf_CX_PUSH(BN62,CX_ENTITY,$B62,BN$11,BN$14,BN$19,),"")))))),"")</f>
        <v/>
      </c>
    </row>
    <row r="63" spans="1:144" ht="21" customHeight="1">
      <c r="A63" s="1626"/>
      <c r="B63" s="2439" t="str">
        <f>_xlfn.LET(_xlpm.IsNotAttrDynamic,D63="",_xlpm.Attr,_PL!F63,_xlpm.NotInUse,Y63=D63,_xlpm.RESULT,IF(_xlpm.IsNotAttrDynamic,_xlpm.Attr,IF(_xlpm.NotInUse,"",Y63)),IF(_xlpm.RESULT="","",_xlpm.RESULT))</f>
        <v>Custom Metric Amount 7 [Calculated]</v>
      </c>
      <c r="C63" s="2439" t="str" cm="1">
        <f t="array" ref="C63">IFBLANK(_PL!C63,"")</f>
        <v>Custom Metric - Label 7 [Calculated]</v>
      </c>
      <c r="D63" s="1548"/>
      <c r="E63" s="577" t="str">
        <f t="shared" si="19"/>
        <v/>
      </c>
      <c r="F63" s="578"/>
      <c r="G63" s="578"/>
      <c r="H63" s="3284">
        <v>1</v>
      </c>
      <c r="I63" s="3284">
        <v>1</v>
      </c>
      <c r="J63" s="401" t="str" cm="1">
        <f t="array" ref="J63">IFBLANK(Z63,"")</f>
        <v/>
      </c>
      <c r="K63" s="578" t="str">
        <f t="shared" si="21" ref="K63:K66">IFERROR(IF(LEN(AB63)=0,"No",IF(LEN(J63)&gt;0,"Yes","No")),"")</f>
        <v>No</v>
      </c>
      <c r="L63" s="37"/>
      <c r="N63" s="158"/>
      <c r="O63" s="101"/>
      <c r="P63" s="52"/>
      <c r="Q63" s="101"/>
      <c r="R63" s="539"/>
      <c r="S63" s="101"/>
      <c r="T63" s="101"/>
      <c r="U63" s="39"/>
      <c r="V63" s="37"/>
      <c r="W63" s="91" t="str">
        <f t="shared" si="18"/>
        <v>Actual</v>
      </c>
      <c r="X63" s="2081" t="e">
        <f ca="1">_PL!X63</f>
        <v>#NAME?</v>
      </c>
      <c r="Y63" s="1134"/>
      <c r="Z63" s="198" t="str">
        <f t="shared" si="20"/>
        <v/>
      </c>
      <c r="AA63" s="200" t="str" cm="1">
        <f t="array" ca="1" aca="1" ref="AA63">_xlfn.LET(_xlpm._termname,$Y63,_xlpm._icon,"Define",_xlpm._location,_xlfn.XLOOKUP(_xlpm._termname,$Y$249:$Y$338,$Y$249:$Y$338),_xlpm._hyperlink,HYPERLINK("#"&amp;CELL("address",_xlpm._location),_xlpm._icon),IF(Y63="","",_xlpm._hyperlink))</f>
        <v/>
      </c>
      <c r="AB63" s="1335" t="str" cm="1">
        <f t="array" ref="AB63">IFBLANK(Y63,"")</f>
        <v/>
      </c>
      <c r="AC63" s="2468" t="str" cm="1">
        <f t="array" ca="1" aca="1" ref="AC63">_xlfn.LET(_xlpm._termname,$AB63,_xlpm._iconname,"find",_xlpm._icon,fx_getIcon(_xlpm._iconname),_xlpm._location,_xlfn.XLOOKUP(LOWER(_xlpm._termname),LOWER(tbl_acctDef[Term]),tbl_acctDef[Term]),_xlpm._hyperlink,HYPERLINK("#"&amp;CELL("address",_xlpm._location),_xlpm._icon),IFERROR(_xlpm._hyperlink,""))</f>
        <v/>
      </c>
      <c r="AD63" s="2478" t="str" cm="1">
        <f t="array" ref="AD63">IF($Y63="","",_xlfn.XLOOKUP($W63&amp;$Y63,$W$249:$W$337&amp;$Y$249:$Y$338,$AD$249:$BN$338))</f>
        <v/>
      </c>
      <c r="AE63" s="2478"/>
      <c r="AF63" s="2478"/>
      <c r="AG63" s="2478"/>
      <c r="AH63" s="2478"/>
      <c r="AI63" s="2478"/>
      <c r="AJ63" s="2478"/>
      <c r="AK63" s="2478"/>
      <c r="AL63" s="2478"/>
      <c r="AM63" s="2478"/>
      <c r="AN63" s="2478"/>
      <c r="AO63" s="2478"/>
      <c r="AP63" s="2478"/>
      <c r="AQ63" s="2478"/>
      <c r="AR63" s="2478"/>
      <c r="AS63" s="2478"/>
      <c r="AT63" s="2478"/>
      <c r="AU63" s="2478"/>
      <c r="AV63" s="2478"/>
      <c r="AW63" s="2478"/>
      <c r="AX63" s="2478"/>
      <c r="AY63" s="2478"/>
      <c r="AZ63" s="2478"/>
      <c r="BA63" s="2478"/>
      <c r="BB63" s="2478"/>
      <c r="BC63" s="2478"/>
      <c r="BD63" s="2478"/>
      <c r="BE63" s="2478"/>
      <c r="BF63" s="2478"/>
      <c r="BG63" s="2478"/>
      <c r="BH63" s="2478"/>
      <c r="BI63" s="2478"/>
      <c r="BJ63" s="2478"/>
      <c r="BK63" s="2478"/>
      <c r="BL63" s="2478"/>
      <c r="BM63" s="2478"/>
      <c r="BN63" s="2478"/>
      <c r="BO63" s="2479"/>
      <c r="BP63" s="2479"/>
      <c r="BQ63" s="2479"/>
      <c r="BR63" s="2479"/>
      <c r="BS63" s="2479"/>
      <c r="BT63" s="2479"/>
      <c r="BU63" s="2479"/>
      <c r="BV63" s="2479"/>
      <c r="BW63" s="2479"/>
      <c r="BX63" s="2479"/>
      <c r="BY63" s="2479"/>
      <c r="BZ63" s="2479"/>
      <c r="CA63" s="34"/>
      <c r="CC63" s="33"/>
      <c r="CD63" s="1461" t="str" cm="1">
        <f t="array" ref="CD63">_xlfn.LET(_xlpm.CheckBlank,SUM(PL!$AD63:PL!$BN63)=0,IF(_xlpm.CheckBlank,"",SUM(_xlfn._xlws.FILTER(PL!$AD63:$BN63,(YEAR(PL!$AD$12:$BN$12)=PL!CD$12)*(array_timeline&lt;=PL!CD$11)))))</f>
        <v/>
      </c>
      <c r="CE63" s="1461" t="str" cm="1">
        <f t="array" ref="CE63">_xlfn.LET(_xlpm.CheckBlank,SUM(PL!$AD63:PL!$BN63)=0,IF(_xlpm.CheckBlank,"",SUM(_xlfn._xlws.FILTER(PL!$AD63:$BN63,(YEAR(PL!$AD$12:$BN$12)=PL!CE$12)*(array_timeline&lt;=PL!CE$11)))))</f>
        <v/>
      </c>
      <c r="CF63" s="2480"/>
      <c r="CG63" s="1461" t="str" cm="1">
        <f t="array" ref="CG63">IFERROR(_xlfn.LET(_xlpm.CheckBlank,SUM(PL!$AD63:$BN63)=0,IF(_xlpm.CheckBlank,"",SUM(_xlfn._xlws.FILTER(PL!$AD63:$BN63,(YEAR(PL!$AD$12:$BN$12)=PL!CG$12)*(array_timeline&lt;=PL!CG$11))))),"n/a")</f>
        <v/>
      </c>
      <c r="CH63" s="1461" t="str" cm="1">
        <f t="array" ref="CH63">_xlfn.LET(_xlpm.CheckBlank,SUM(PL!$AD63:$BN63)=0,IF(_xlpm.CheckBlank,"",SUM(_xlfn._xlws.FILTER(PL!$AD63:$BN63,(YEAR(PL!$AD$12:$BN$12)=PL!CH$12)*(array_timeline&lt;=PL!CH$11)))))</f>
        <v/>
      </c>
      <c r="CI63" s="170"/>
      <c r="CJ63" s="1461" t="str" cm="1">
        <f t="array" ref="CJ63">_xlfn.LET(_xlpm.CheckBlank,SUM(PL!$AD63:$BN63)=0,IF(_xlpm.CheckBlank,"",SUM(_xlfn.TAKE(_xlfn.DROP(PL!$AD63:$BN63,,-DATEDIFF(PL!CJ$11,val_asOfDate,"M")),1,-12))))</f>
        <v/>
      </c>
      <c r="CK63" s="1461" t="str" cm="1">
        <f t="array" ref="CK63">_xlfn.LET(_xlpm.CheckBlank,SUM(PL!$AD63:$BN63)=0,IF(_xlpm.CheckBlank,"",SUM(_xlfn.TAKE(_xlfn.DROP(PL!$AD63:$BN63,,-DATEDIFF(PL!CK$11,val_asOfDate,"M")),1,-12))))</f>
        <v/>
      </c>
      <c r="CL63" s="88"/>
      <c r="CM63" s="2357" t="str" cm="1">
        <f t="array" ref="CM63">IF($Y63="","",_xlfn.XLOOKUP($W63&amp;$Y63,$W$250:$W$338&amp;$Y$250:$Y$338,$CM$250:$CN$338))</f>
        <v/>
      </c>
      <c r="CN63" s="2357"/>
      <c r="CO63" s="3"/>
      <c r="CP63" s="2357" t="str" cm="1">
        <f t="array" ref="CP63">IF($Y63="","",_xlfn.XLOOKUP($W63&amp;$Y63,$W$250:$W$338&amp;$Y$250:$Y$338,$CP$250:$CQ$338))</f>
        <v/>
      </c>
      <c r="CQ63" s="2357"/>
      <c r="CR63" s="34"/>
      <c r="CS63" s="2056"/>
      <c r="CT63" s="2616"/>
      <c r="CU63" s="2616"/>
      <c r="CV63" s="2616"/>
      <c r="CW63" s="2616"/>
      <c r="CX63" s="2443"/>
      <c r="CY63" s="2444" t="str" cm="1">
        <f t="array" ref="CY63">IFERROR(IF(CM63*fxVal_normal=_PL!CM67,"",IF(OR($CM63="",$CM63=0,NOT(ISNUMBER($CM63)),ISERROR($CM63),$B63=""),"",IF($I63=1,IFBLANK(_xldudf_CX_PUSH($CM63*fxVal_normal,CX_ENTITY,$B63,$CM$11,$CM$14,$CM$19,),""),IF($I63=2,IFBLANK(_xldudf_CX_PUSH($CM63,CX_ENTITY,$B63,$CM$11,$CM$14,$CM$19,),""),IF($I63=3,"",IFBLANK(_xldudf_CX_PUSH($CM63,CX_ENTITY,$B63,$CM$11,$CM$14,$CM$19,),"")))))),"")</f>
        <v/>
      </c>
      <c r="CZ63" s="2444" t="str" cm="1">
        <f t="array" ref="CZ63">IFERROR(IF(CN63*fxVal_normal=_PL!CN67,"",IF(OR($CN63="",$CN63=0,NOT(ISNUMBER($CN63)),ISERROR($CN63),$B63=""),"",IF($I63=1,IFBLANK(_xldudf_CX_PUSH($CN63*fxVal_normal,CX_ENTITY,$B63,$CN$11,$CN$14,$CN$19,),""),IF($I63=2,IFBLANK(_xldudf_CX_PUSH($CN63,CX_ENTITY,$B63,$CN$11,$CN$14,$CN$19,),""),IF($I63=3,"",IFBLANK(_xldudf_CX_PUSH($CN63,CX_ENTITY,$B63,$CN$11,$CN$14,$CN$19,),"")))))),"")</f>
        <v/>
      </c>
      <c r="DA63" s="2444" t="str" cm="1">
        <f t="array" ref="DA63">IFERROR(IF(CP63*fxVal_normal=_PL!CP67,"",IF(OR($CP63="",$CP63=0,NOT(ISNUMBER($CP63)),ISERROR($CP63),$B63=""),"",IF($I63=1,IFBLANK(_xldudf_CX_PUSH($CP63*fxVal_normal,CX_ENTITY,$B63,$CP$11,$CP$14,$CP$19,),""),IF($I63=2,IFBLANK(_xldudf_CX_PUSH($CP63,CX_ENTITY,$B63,$CP$11,$CP$14,$CP$19,),""),IF($I63=3,"",IFBLANK(_xldudf_CX_PUSH($CP63,CX_ENTITY,$B63,$CP$11,$CP$14,$CP$19,),"")))))),"")</f>
        <v/>
      </c>
      <c r="DB63" s="2444" t="str" cm="1">
        <f t="array" ref="DB63">IFERROR(IF(CQ63*fxVal_normal=_PL!CQ67,"",IF(OR($CQ63="",$CQ63=0,NOT(ISNUMBER($CQ63)),ISERROR($CQ63),$B63=""),"",IF($I63=1,IFBLANK(_xldudf_CX_PUSH($CQ63*fxVal_normal,CX_ENTITY,$B63,$CQ$11,$CQ$14,$CQ$19,),""),IF($I63=2,IFBLANK(_xldudf_CX_PUSH($CQ63,CX_ENTITY,$B63,$CQ$11,$CQ$14,$CQ$19,),""),IF($I63=3,"",IFBLANK(_xldudf_CX_PUSH($CQ63,CX_ENTITY,$B63,$CQ$11,$CQ$14,$CQ$19,),"")))))),"")</f>
        <v/>
      </c>
      <c r="DC63" s="2443"/>
      <c r="DD63" s="2445" t="str" cm="1">
        <f t="array" ref="DD63">IFERROR(IF(AD63*fxVal_normal=_PL!AD67,"",IF(OR(AD63="",NOT(ISNUMBER(AD63)),ISERROR(AD63),$B63=""),"",IF($I63=1,IFBLANK(_xldudf_CX_PUSH(AD63*fxVal_normal,CX_ENTITY,$B63,AD$11,AD$14,AD$19,),""),IF($I63=2,IFBLANK(_xldudf_CX_PUSH(AD63,CX_ENTITY,$B63,AD$11,AD$14,AD$19,),""),IF($I63=3,"",IFBLANK(_xldudf_CX_PUSH(AD63,CX_ENTITY,$B63,AD$11,AD$14,AD$19,),"")))))),"")</f>
        <v/>
      </c>
      <c r="DE63" s="2445" t="str" cm="1">
        <f t="array" ref="DE63">IFERROR(IF(AE63*fxVal_normal=_PL!AE67,"",IF(OR(AE63="",NOT(ISNUMBER(AE63)),ISERROR(AE63),$B63=""),"",IF($I63=1,IFBLANK(_xldudf_CX_PUSH(AE63*fxVal_normal,CX_ENTITY,$B63,AE$11,AE$14,AE$19,),""),IF($I63=2,IFBLANK(_xldudf_CX_PUSH(AE63,CX_ENTITY,$B63,AE$11,AE$14,AE$19,),""),IF($I63=3,"",IFBLANK(_xldudf_CX_PUSH(AE63,CX_ENTITY,$B63,AE$11,AE$14,AE$19,),"")))))),"")</f>
        <v/>
      </c>
      <c r="DF63" s="2445" t="str" cm="1">
        <f t="array" ref="DF63">IFERROR(IF(AF63*fxVal_normal=_PL!AF67,"",IF(OR(AF63="",NOT(ISNUMBER(AF63)),ISERROR(AF63),$B63=""),"",IF($I63=1,IFBLANK(_xldudf_CX_PUSH(AF63*fxVal_normal,CX_ENTITY,$B63,AF$11,AF$14,AF$19,),""),IF($I63=2,IFBLANK(_xldudf_CX_PUSH(AF63,CX_ENTITY,$B63,AF$11,AF$14,AF$19,),""),IF($I63=3,"",IFBLANK(_xldudf_CX_PUSH(AF63,CX_ENTITY,$B63,AF$11,AF$14,AF$19,),"")))))),"")</f>
        <v/>
      </c>
      <c r="DG63" s="2445" t="str" cm="1">
        <f t="array" ref="DG63">IFERROR(IF(AG63*fxVal_normal=_PL!AG67,"",IF(OR(AG63="",NOT(ISNUMBER(AG63)),ISERROR(AG63),$B63=""),"",IF($I63=1,IFBLANK(_xldudf_CX_PUSH(AG63*fxVal_normal,CX_ENTITY,$B63,AG$11,AG$14,AG$19,),""),IF($I63=2,IFBLANK(_xldudf_CX_PUSH(AG63,CX_ENTITY,$B63,AG$11,AG$14,AG$19,),""),IF($I63=3,"",IFBLANK(_xldudf_CX_PUSH(AG63,CX_ENTITY,$B63,AG$11,AG$14,AG$19,),"")))))),"")</f>
        <v/>
      </c>
      <c r="DH63" s="2445" t="str" cm="1">
        <f t="array" ref="DH63">IFERROR(IF(AH63*fxVal_normal=_PL!AH67,"",IF(OR(AH63="",NOT(ISNUMBER(AH63)),ISERROR(AH63),$B63=""),"",IF($I63=1,IFBLANK(_xldudf_CX_PUSH(AH63*fxVal_normal,CX_ENTITY,$B63,AH$11,AH$14,AH$19,),""),IF($I63=2,IFBLANK(_xldudf_CX_PUSH(AH63,CX_ENTITY,$B63,AH$11,AH$14,AH$19,),""),IF($I63=3,"",IFBLANK(_xldudf_CX_PUSH(AH63,CX_ENTITY,$B63,AH$11,AH$14,AH$19,),"")))))),"")</f>
        <v/>
      </c>
      <c r="DI63" s="2445" t="str" cm="1">
        <f t="array" ref="DI63">IFERROR(IF(AI63*fxVal_normal=_PL!AI67,"",IF(OR(AI63="",NOT(ISNUMBER(AI63)),ISERROR(AI63),$B63=""),"",IF($I63=1,IFBLANK(_xldudf_CX_PUSH(AI63*fxVal_normal,CX_ENTITY,$B63,AI$11,AI$14,AI$19,),""),IF($I63=2,IFBLANK(_xldudf_CX_PUSH(AI63,CX_ENTITY,$B63,AI$11,AI$14,AI$19,),""),IF($I63=3,"",IFBLANK(_xldudf_CX_PUSH(AI63,CX_ENTITY,$B63,AI$11,AI$14,AI$19,),"")))))),"")</f>
        <v/>
      </c>
      <c r="DJ63" s="2445" t="str" cm="1">
        <f t="array" ref="DJ63">IFERROR(IF(AJ63*fxVal_normal=_PL!AJ67,"",IF(OR(AJ63="",NOT(ISNUMBER(AJ63)),ISERROR(AJ63),$B63=""),"",IF($I63=1,IFBLANK(_xldudf_CX_PUSH(AJ63*fxVal_normal,CX_ENTITY,$B63,AJ$11,AJ$14,AJ$19,),""),IF($I63=2,IFBLANK(_xldudf_CX_PUSH(AJ63,CX_ENTITY,$B63,AJ$11,AJ$14,AJ$19,),""),IF($I63=3,"",IFBLANK(_xldudf_CX_PUSH(AJ63,CX_ENTITY,$B63,AJ$11,AJ$14,AJ$19,),"")))))),"")</f>
        <v/>
      </c>
      <c r="DK63" s="2445" t="str" cm="1">
        <f t="array" ref="DK63">IFERROR(IF(AK63*fxVal_normal=_PL!AK67,"",IF(OR(AK63="",NOT(ISNUMBER(AK63)),ISERROR(AK63),$B63=""),"",IF($I63=1,IFBLANK(_xldudf_CX_PUSH(AK63*fxVal_normal,CX_ENTITY,$B63,AK$11,AK$14,AK$19,),""),IF($I63=2,IFBLANK(_xldudf_CX_PUSH(AK63,CX_ENTITY,$B63,AK$11,AK$14,AK$19,),""),IF($I63=3,"",IFBLANK(_xldudf_CX_PUSH(AK63,CX_ENTITY,$B63,AK$11,AK$14,AK$19,),"")))))),"")</f>
        <v/>
      </c>
      <c r="DL63" s="2445" t="str" cm="1">
        <f t="array" ref="DL63">IFERROR(IF(AL63*fxVal_normal=_PL!AL67,"",IF(OR(AL63="",NOT(ISNUMBER(AL63)),ISERROR(AL63),$B63=""),"",IF($I63=1,IFBLANK(_xldudf_CX_PUSH(AL63*fxVal_normal,CX_ENTITY,$B63,AL$11,AL$14,AL$19,),""),IF($I63=2,IFBLANK(_xldudf_CX_PUSH(AL63,CX_ENTITY,$B63,AL$11,AL$14,AL$19,),""),IF($I63=3,"",IFBLANK(_xldudf_CX_PUSH(AL63,CX_ENTITY,$B63,AL$11,AL$14,AL$19,),"")))))),"")</f>
        <v/>
      </c>
      <c r="DM63" s="2445" t="str" cm="1">
        <f t="array" ref="DM63">IFERROR(IF(AM63*fxVal_normal=_PL!AM67,"",IF(OR(AM63="",NOT(ISNUMBER(AM63)),ISERROR(AM63),$B63=""),"",IF($I63=1,IFBLANK(_xldudf_CX_PUSH(AM63*fxVal_normal,CX_ENTITY,$B63,AM$11,AM$14,AM$19,),""),IF($I63=2,IFBLANK(_xldudf_CX_PUSH(AM63,CX_ENTITY,$B63,AM$11,AM$14,AM$19,),""),IF($I63=3,"",IFBLANK(_xldudf_CX_PUSH(AM63,CX_ENTITY,$B63,AM$11,AM$14,AM$19,),"")))))),"")</f>
        <v/>
      </c>
      <c r="DN63" s="2445" t="str" cm="1">
        <f t="array" ref="DN63">IFERROR(IF(AN63*fxVal_normal=_PL!AN67,"",IF(OR(AN63="",NOT(ISNUMBER(AN63)),ISERROR(AN63),$B63=""),"",IF($I63=1,IFBLANK(_xldudf_CX_PUSH(AN63*fxVal_normal,CX_ENTITY,$B63,AN$11,AN$14,AN$19,),""),IF($I63=2,IFBLANK(_xldudf_CX_PUSH(AN63,CX_ENTITY,$B63,AN$11,AN$14,AN$19,),""),IF($I63=3,"",IFBLANK(_xldudf_CX_PUSH(AN63,CX_ENTITY,$B63,AN$11,AN$14,AN$19,),"")))))),"")</f>
        <v/>
      </c>
      <c r="DO63" s="2445" t="str" cm="1">
        <f t="array" ref="DO63">IFERROR(IF(AO63*fxVal_normal=_PL!AO67,"",IF(OR(AO63="",NOT(ISNUMBER(AO63)),ISERROR(AO63),$B63=""),"",IF($I63=1,IFBLANK(_xldudf_CX_PUSH(AO63*fxVal_normal,CX_ENTITY,$B63,AO$11,AO$14,AO$19,),""),IF($I63=2,IFBLANK(_xldudf_CX_PUSH(AO63,CX_ENTITY,$B63,AO$11,AO$14,AO$19,),""),IF($I63=3,"",IFBLANK(_xldudf_CX_PUSH(AO63,CX_ENTITY,$B63,AO$11,AO$14,AO$19,),"")))))),"")</f>
        <v/>
      </c>
      <c r="DP63" s="2445" t="str" cm="1">
        <f t="array" ref="DP63">IFERROR(IF(AP63*fxVal_normal=_PL!AP67,"",IF(OR(AP63="",NOT(ISNUMBER(AP63)),ISERROR(AP63),$B63=""),"",IF($I63=1,IFBLANK(_xldudf_CX_PUSH(AP63*fxVal_normal,CX_ENTITY,$B63,AP$11,AP$14,AP$19,),""),IF($I63=2,IFBLANK(_xldudf_CX_PUSH(AP63,CX_ENTITY,$B63,AP$11,AP$14,AP$19,),""),IF($I63=3,"",IFBLANK(_xldudf_CX_PUSH(AP63,CX_ENTITY,$B63,AP$11,AP$14,AP$19,),"")))))),"")</f>
        <v/>
      </c>
      <c r="DQ63" s="2445" t="str" cm="1">
        <f t="array" ref="DQ63">IFERROR(IF(AQ63*fxVal_normal=_PL!AQ67,"",IF(OR(AQ63="",NOT(ISNUMBER(AQ63)),ISERROR(AQ63),$B63=""),"",IF($I63=1,IFBLANK(_xldudf_CX_PUSH(AQ63*fxVal_normal,CX_ENTITY,$B63,AQ$11,AQ$14,AQ$19,),""),IF($I63=2,IFBLANK(_xldudf_CX_PUSH(AQ63,CX_ENTITY,$B63,AQ$11,AQ$14,AQ$19,),""),IF($I63=3,"",IFBLANK(_xldudf_CX_PUSH(AQ63,CX_ENTITY,$B63,AQ$11,AQ$14,AQ$19,),"")))))),"")</f>
        <v/>
      </c>
      <c r="DR63" s="2445" t="str" cm="1">
        <f t="array" ref="DR63">IFERROR(IF(AR63*fxVal_normal=_PL!AR67,"",IF(OR(AR63="",NOT(ISNUMBER(AR63)),ISERROR(AR63),$B63=""),"",IF($I63=1,IFBLANK(_xldudf_CX_PUSH(AR63*fxVal_normal,CX_ENTITY,$B63,AR$11,AR$14,AR$19,),""),IF($I63=2,IFBLANK(_xldudf_CX_PUSH(AR63,CX_ENTITY,$B63,AR$11,AR$14,AR$19,),""),IF($I63=3,"",IFBLANK(_xldudf_CX_PUSH(AR63,CX_ENTITY,$B63,AR$11,AR$14,AR$19,),"")))))),"")</f>
        <v/>
      </c>
      <c r="DS63" s="2445" t="str" cm="1">
        <f t="array" ref="DS63">IFERROR(IF(AS63*fxVal_normal=_PL!AS67,"",IF(OR(AS63="",NOT(ISNUMBER(AS63)),ISERROR(AS63),$B63=""),"",IF($I63=1,IFBLANK(_xldudf_CX_PUSH(AS63*fxVal_normal,CX_ENTITY,$B63,AS$11,AS$14,AS$19,),""),IF($I63=2,IFBLANK(_xldudf_CX_PUSH(AS63,CX_ENTITY,$B63,AS$11,AS$14,AS$19,),""),IF($I63=3,"",IFBLANK(_xldudf_CX_PUSH(AS63,CX_ENTITY,$B63,AS$11,AS$14,AS$19,),"")))))),"")</f>
        <v/>
      </c>
      <c r="DT63" s="2445" t="str" cm="1">
        <f t="array" ref="DT63">IFERROR(IF(AT63*fxVal_normal=_PL!AT67,"",IF(OR(AT63="",NOT(ISNUMBER(AT63)),ISERROR(AT63),$B63=""),"",IF($I63=1,IFBLANK(_xldudf_CX_PUSH(AT63*fxVal_normal,CX_ENTITY,$B63,AT$11,AT$14,AT$19,),""),IF($I63=2,IFBLANK(_xldudf_CX_PUSH(AT63,CX_ENTITY,$B63,AT$11,AT$14,AT$19,),""),IF($I63=3,"",IFBLANK(_xldudf_CX_PUSH(AT63,CX_ENTITY,$B63,AT$11,AT$14,AT$19,),"")))))),"")</f>
        <v/>
      </c>
      <c r="DU63" s="2445" t="str" cm="1">
        <f t="array" ref="DU63">IFERROR(IF(AU63*fxVal_normal=_PL!AU67,"",IF(OR(AU63="",NOT(ISNUMBER(AU63)),ISERROR(AU63),$B63=""),"",IF($I63=1,IFBLANK(_xldudf_CX_PUSH(AU63*fxVal_normal,CX_ENTITY,$B63,AU$11,AU$14,AU$19,),""),IF($I63=2,IFBLANK(_xldudf_CX_PUSH(AU63,CX_ENTITY,$B63,AU$11,AU$14,AU$19,),""),IF($I63=3,"",IFBLANK(_xldudf_CX_PUSH(AU63,CX_ENTITY,$B63,AU$11,AU$14,AU$19,),"")))))),"")</f>
        <v/>
      </c>
      <c r="DV63" s="2445" t="str" cm="1">
        <f t="array" ref="DV63">IFERROR(IF(AV63*fxVal_normal=_PL!AV67,"",IF(OR(AV63="",NOT(ISNUMBER(AV63)),ISERROR(AV63),$B63=""),"",IF($I63=1,IFBLANK(_xldudf_CX_PUSH(AV63*fxVal_normal,CX_ENTITY,$B63,AV$11,AV$14,AV$19,),""),IF($I63=2,IFBLANK(_xldudf_CX_PUSH(AV63,CX_ENTITY,$B63,AV$11,AV$14,AV$19,),""),IF($I63=3,"",IFBLANK(_xldudf_CX_PUSH(AV63,CX_ENTITY,$B63,AV$11,AV$14,AV$19,),"")))))),"")</f>
        <v/>
      </c>
      <c r="DW63" s="2445" t="str" cm="1">
        <f t="array" ref="DW63">IFERROR(IF(AW63*fxVal_normal=_PL!AW67,"",IF(OR(AW63="",NOT(ISNUMBER(AW63)),ISERROR(AW63),$B63=""),"",IF($I63=1,IFBLANK(_xldudf_CX_PUSH(AW63*fxVal_normal,CX_ENTITY,$B63,AW$11,AW$14,AW$19,),""),IF($I63=2,IFBLANK(_xldudf_CX_PUSH(AW63,CX_ENTITY,$B63,AW$11,AW$14,AW$19,),""),IF($I63=3,"",IFBLANK(_xldudf_CX_PUSH(AW63,CX_ENTITY,$B63,AW$11,AW$14,AW$19,),"")))))),"")</f>
        <v/>
      </c>
      <c r="DX63" s="2445" t="str" cm="1">
        <f t="array" ref="DX63">IFERROR(IF(AX63*fxVal_normal=_PL!AX67,"",IF(OR(AX63="",NOT(ISNUMBER(AX63)),ISERROR(AX63),$B63=""),"",IF($I63=1,IFBLANK(_xldudf_CX_PUSH(AX63*fxVal_normal,CX_ENTITY,$B63,AX$11,AX$14,AX$19,),""),IF($I63=2,IFBLANK(_xldudf_CX_PUSH(AX63,CX_ENTITY,$B63,AX$11,AX$14,AX$19,),""),IF($I63=3,"",IFBLANK(_xldudf_CX_PUSH(AX63,CX_ENTITY,$B63,AX$11,AX$14,AX$19,),"")))))),"")</f>
        <v/>
      </c>
      <c r="DY63" s="2445" t="str" cm="1">
        <f t="array" ref="DY63">IFERROR(IF(AY63*fxVal_normal=_PL!AY67,"",IF(OR(AY63="",NOT(ISNUMBER(AY63)),ISERROR(AY63),$B63=""),"",IF($I63=1,IFBLANK(_xldudf_CX_PUSH(AY63*fxVal_normal,CX_ENTITY,$B63,AY$11,AY$14,AY$19,),""),IF($I63=2,IFBLANK(_xldudf_CX_PUSH(AY63,CX_ENTITY,$B63,AY$11,AY$14,AY$19,),""),IF($I63=3,"",IFBLANK(_xldudf_CX_PUSH(AY63,CX_ENTITY,$B63,AY$11,AY$14,AY$19,),"")))))),"")</f>
        <v/>
      </c>
      <c r="DZ63" s="2445" t="str" cm="1">
        <f t="array" ref="DZ63">IFERROR(IF(AZ63*fxVal_normal=_PL!AZ67,"",IF(OR(AZ63="",NOT(ISNUMBER(AZ63)),ISERROR(AZ63),$B63=""),"",IF($I63=1,IFBLANK(_xldudf_CX_PUSH(AZ63*fxVal_normal,CX_ENTITY,$B63,AZ$11,AZ$14,AZ$19,),""),IF($I63=2,IFBLANK(_xldudf_CX_PUSH(AZ63,CX_ENTITY,$B63,AZ$11,AZ$14,AZ$19,),""),IF($I63=3,"",IFBLANK(_xldudf_CX_PUSH(AZ63,CX_ENTITY,$B63,AZ$11,AZ$14,AZ$19,),"")))))),"")</f>
        <v/>
      </c>
      <c r="EA63" s="2445" t="str" cm="1">
        <f t="array" ref="EA63">IFERROR(IF(BA63*fxVal_normal=_PL!BA67,"",IF(OR(BA63="",NOT(ISNUMBER(BA63)),ISERROR(BA63),$B63=""),"",IF($I63=1,IFBLANK(_xldudf_CX_PUSH(BA63*fxVal_normal,CX_ENTITY,$B63,BA$11,BA$14,BA$19,),""),IF($I63=2,IFBLANK(_xldudf_CX_PUSH(BA63,CX_ENTITY,$B63,BA$11,BA$14,BA$19,),""),IF($I63=3,"",IFBLANK(_xldudf_CX_PUSH(BA63,CX_ENTITY,$B63,BA$11,BA$14,BA$19,),"")))))),"")</f>
        <v/>
      </c>
      <c r="EB63" s="2445" t="str" cm="1">
        <f t="array" ref="EB63">IFERROR(IF(BB63*fxVal_normal=_PL!BB67,"",IF(OR(BB63="",NOT(ISNUMBER(BB63)),ISERROR(BB63),$B63=""),"",IF($I63=1,IFBLANK(_xldudf_CX_PUSH(BB63*fxVal_normal,CX_ENTITY,$B63,BB$11,BB$14,BB$19,),""),IF($I63=2,IFBLANK(_xldudf_CX_PUSH(BB63,CX_ENTITY,$B63,BB$11,BB$14,BB$19,),""),IF($I63=3,"",IFBLANK(_xldudf_CX_PUSH(BB63,CX_ENTITY,$B63,BB$11,BB$14,BB$19,),"")))))),"")</f>
        <v/>
      </c>
      <c r="EC63" s="2445" t="str" cm="1">
        <f t="array" ref="EC63">IFERROR(IF(BC63*fxVal_normal=_PL!BC67,"",IF(OR(BC63="",NOT(ISNUMBER(BC63)),ISERROR(BC63),$B63=""),"",IF($I63=1,IFBLANK(_xldudf_CX_PUSH(BC63*fxVal_normal,CX_ENTITY,$B63,BC$11,BC$14,BC$19,),""),IF($I63=2,IFBLANK(_xldudf_CX_PUSH(BC63,CX_ENTITY,$B63,BC$11,BC$14,BC$19,),""),IF($I63=3,"",IFBLANK(_xldudf_CX_PUSH(BC63,CX_ENTITY,$B63,BC$11,BC$14,BC$19,),"")))))),"")</f>
        <v/>
      </c>
      <c r="ED63" s="2445" t="str" cm="1">
        <f t="array" ref="ED63">IFERROR(IF(BD63*fxVal_normal=_PL!BD67,"",IF(OR(BD63="",NOT(ISNUMBER(BD63)),ISERROR(BD63),$B63=""),"",IF($I63=1,IFBLANK(_xldudf_CX_PUSH(BD63*fxVal_normal,CX_ENTITY,$B63,BD$11,BD$14,BD$19,),""),IF($I63=2,IFBLANK(_xldudf_CX_PUSH(BD63,CX_ENTITY,$B63,BD$11,BD$14,BD$19,),""),IF($I63=3,"",IFBLANK(_xldudf_CX_PUSH(BD63,CX_ENTITY,$B63,BD$11,BD$14,BD$19,),"")))))),"")</f>
        <v/>
      </c>
      <c r="EE63" s="2445" t="str" cm="1">
        <f t="array" ref="EE63">IFERROR(IF(BE63*fxVal_normal=_PL!BE67,"",IF(OR(BE63="",NOT(ISNUMBER(BE63)),ISERROR(BE63),$B63=""),"",IF($I63=1,IFBLANK(_xldudf_CX_PUSH(BE63*fxVal_normal,CX_ENTITY,$B63,BE$11,BE$14,BE$19,),""),IF($I63=2,IFBLANK(_xldudf_CX_PUSH(BE63,CX_ENTITY,$B63,BE$11,BE$14,BE$19,),""),IF($I63=3,"",IFBLANK(_xldudf_CX_PUSH(BE63,CX_ENTITY,$B63,BE$11,BE$14,BE$19,),"")))))),"")</f>
        <v/>
      </c>
      <c r="EF63" s="2445" t="str" cm="1">
        <f t="array" ref="EF63">IFERROR(IF(BF63*fxVal_normal=_PL!BF67,"",IF(OR(BF63="",NOT(ISNUMBER(BF63)),ISERROR(BF63),$B63=""),"",IF($I63=1,IFBLANK(_xldudf_CX_PUSH(BF63*fxVal_normal,CX_ENTITY,$B63,BF$11,BF$14,BF$19,),""),IF($I63=2,IFBLANK(_xldudf_CX_PUSH(BF63,CX_ENTITY,$B63,BF$11,BF$14,BF$19,),""),IF($I63=3,"",IFBLANK(_xldudf_CX_PUSH(BF63,CX_ENTITY,$B63,BF$11,BF$14,BF$19,),"")))))),"")</f>
        <v/>
      </c>
      <c r="EG63" s="2445" t="str" cm="1">
        <f t="array" ref="EG63">IFERROR(IF(BG63*fxVal_normal=_PL!BG67,"",IF(OR(BG63="",NOT(ISNUMBER(BG63)),ISERROR(BG63),$B63=""),"",IF($I63=1,IFBLANK(_xldudf_CX_PUSH(BG63*fxVal_normal,CX_ENTITY,$B63,BG$11,BG$14,BG$19,),""),IF($I63=2,IFBLANK(_xldudf_CX_PUSH(BG63,CX_ENTITY,$B63,BG$11,BG$14,BG$19,),""),IF($I63=3,"",IFBLANK(_xldudf_CX_PUSH(BG63,CX_ENTITY,$B63,BG$11,BG$14,BG$19,),"")))))),"")</f>
        <v/>
      </c>
      <c r="EH63" s="2445" t="str" cm="1">
        <f t="array" ref="EH63">IFERROR(IF(BH63*fxVal_normal=_PL!BH67,"",IF(OR(BH63="",NOT(ISNUMBER(BH63)),ISERROR(BH63),$B63=""),"",IF($I63=1,IFBLANK(_xldudf_CX_PUSH(BH63*fxVal_normal,CX_ENTITY,$B63,BH$11,BH$14,BH$19,),""),IF($I63=2,IFBLANK(_xldudf_CX_PUSH(BH63,CX_ENTITY,$B63,BH$11,BH$14,BH$19,),""),IF($I63=3,"",IFBLANK(_xldudf_CX_PUSH(BH63,CX_ENTITY,$B63,BH$11,BH$14,BH$19,),"")))))),"")</f>
        <v/>
      </c>
      <c r="EI63" s="2445" t="str" cm="1">
        <f t="array" ref="EI63">IFERROR(IF(BI63*fxVal_normal=_PL!BI67,"",IF(OR(BI63="",NOT(ISNUMBER(BI63)),ISERROR(BI63),$B63=""),"",IF($I63=1,IFBLANK(_xldudf_CX_PUSH(BI63*fxVal_normal,CX_ENTITY,$B63,BI$11,BI$14,BI$19,),""),IF($I63=2,IFBLANK(_xldudf_CX_PUSH(BI63,CX_ENTITY,$B63,BI$11,BI$14,BI$19,),""),IF($I63=3,"",IFBLANK(_xldudf_CX_PUSH(BI63,CX_ENTITY,$B63,BI$11,BI$14,BI$19,),"")))))),"")</f>
        <v/>
      </c>
      <c r="EJ63" s="2445" t="str" cm="1">
        <f t="array" ref="EJ63">IFERROR(IF(BJ63*fxVal_normal=_PL!BJ67,"",IF(OR(BJ63="",NOT(ISNUMBER(BJ63)),ISERROR(BJ63),$B63=""),"",IF($I63=1,IFBLANK(_xldudf_CX_PUSH(BJ63*fxVal_normal,CX_ENTITY,$B63,BJ$11,BJ$14,BJ$19,),""),IF($I63=2,IFBLANK(_xldudf_CX_PUSH(BJ63,CX_ENTITY,$B63,BJ$11,BJ$14,BJ$19,),""),IF($I63=3,"",IFBLANK(_xldudf_CX_PUSH(BJ63,CX_ENTITY,$B63,BJ$11,BJ$14,BJ$19,),"")))))),"")</f>
        <v/>
      </c>
      <c r="EK63" s="2445" t="str" cm="1">
        <f t="array" ref="EK63">IFERROR(IF(BK63*fxVal_normal=_PL!BK67,"",IF(OR(BK63="",NOT(ISNUMBER(BK63)),ISERROR(BK63),$B63=""),"",IF($I63=1,IFBLANK(_xldudf_CX_PUSH(BK63*fxVal_normal,CX_ENTITY,$B63,BK$11,BK$14,BK$19,),""),IF($I63=2,IFBLANK(_xldudf_CX_PUSH(BK63,CX_ENTITY,$B63,BK$11,BK$14,BK$19,),""),IF($I63=3,"",IFBLANK(_xldudf_CX_PUSH(BK63,CX_ENTITY,$B63,BK$11,BK$14,BK$19,),"")))))),"")</f>
        <v/>
      </c>
      <c r="EL63" s="2445" t="str" cm="1">
        <f t="array" ref="EL63">IFERROR(IF(BL63*fxVal_normal=_PL!BL67,"",IF(OR(BL63="",NOT(ISNUMBER(BL63)),ISERROR(BL63),$B63=""),"",IF($I63=1,IFBLANK(_xldudf_CX_PUSH(BL63*fxVal_normal,CX_ENTITY,$B63,BL$11,BL$14,BL$19,),""),IF($I63=2,IFBLANK(_xldudf_CX_PUSH(BL63,CX_ENTITY,$B63,BL$11,BL$14,BL$19,),""),IF($I63=3,"",IFBLANK(_xldudf_CX_PUSH(BL63,CX_ENTITY,$B63,BL$11,BL$14,BL$19,),"")))))),"")</f>
        <v/>
      </c>
      <c r="EM63" s="2445" t="str" cm="1">
        <f t="array" ref="EM63">IFERROR(IF(BM63*fxVal_normal=_PL!BM67,"",IF(OR(BM63="",NOT(ISNUMBER(BM63)),ISERROR(BM63),$B63=""),"",IF($I63=1,IFBLANK(_xldudf_CX_PUSH(BM63*fxVal_normal,CX_ENTITY,$B63,BM$11,BM$14,BM$19,),""),IF($I63=2,IFBLANK(_xldudf_CX_PUSH(BM63,CX_ENTITY,$B63,BM$11,BM$14,BM$19,),""),IF($I63=3,"",IFBLANK(_xldudf_CX_PUSH(BM63,CX_ENTITY,$B63,BM$11,BM$14,BM$19,),"")))))),"")</f>
        <v/>
      </c>
      <c r="EN63" s="2445" t="str" cm="1">
        <f t="array" ref="EN63">IFERROR(IF(BN63*fxVal_normal=_PL!BN67,"",IF(OR(BN63="",NOT(ISNUMBER(BN63)),ISERROR(BN63),$B63=""),"",IF($I63=1,IFBLANK(_xldudf_CX_PUSH(BN63*fxVal_normal,CX_ENTITY,$B63,BN$11,BN$14,BN$19,),""),IF($I63=2,IFBLANK(_xldudf_CX_PUSH(BN63,CX_ENTITY,$B63,BN$11,BN$14,BN$19,),""),IF($I63=3,"",IFBLANK(_xldudf_CX_PUSH(BN63,CX_ENTITY,$B63,BN$11,BN$14,BN$19,),"")))))),"")</f>
        <v/>
      </c>
    </row>
    <row r="64" spans="1:144" ht="21" customHeight="1">
      <c r="A64" s="1626"/>
      <c r="B64" s="2439" t="str">
        <f>_xlfn.LET(_xlpm.IsNotAttrDynamic,D64="",_xlpm.Attr,_PL!F64,_xlpm.NotInUse,Y64=D64,_xlpm.RESULT,IF(_xlpm.IsNotAttrDynamic,_xlpm.Attr,IF(_xlpm.NotInUse,"",Y64)),IF(_xlpm.RESULT="","",_xlpm.RESULT))</f>
        <v>Custom Metric Amount 8 [Calculated]</v>
      </c>
      <c r="C64" s="2439" t="str" cm="1">
        <f t="array" ref="C64">IFBLANK(_PL!C64,"")</f>
        <v>Custom Metric - Label 8 [Calculated]</v>
      </c>
      <c r="D64" s="1548"/>
      <c r="E64" s="577" t="str">
        <f t="shared" si="19"/>
        <v/>
      </c>
      <c r="F64" s="578"/>
      <c r="G64" s="578"/>
      <c r="H64" s="3280">
        <v>1</v>
      </c>
      <c r="I64" s="3280">
        <v>1</v>
      </c>
      <c r="J64" s="401" t="str" cm="1">
        <f t="array" ref="J64">IFBLANK(Z64,"")</f>
        <v/>
      </c>
      <c r="K64" s="578" t="str">
        <f t="shared" si="21"/>
        <v>No</v>
      </c>
      <c r="L64" s="37"/>
      <c r="N64" s="158"/>
      <c r="O64" s="101"/>
      <c r="P64" s="52"/>
      <c r="Q64" s="101"/>
      <c r="R64" s="539"/>
      <c r="S64" s="101"/>
      <c r="T64" s="101"/>
      <c r="U64" s="39"/>
      <c r="V64" s="37"/>
      <c r="W64" s="91" t="str">
        <f t="shared" si="18"/>
        <v>Actual</v>
      </c>
      <c r="X64" s="2081" t="e">
        <f ca="1">_PL!X64</f>
        <v>#NAME?</v>
      </c>
      <c r="Y64" s="2371" t="str" cm="1">
        <f t="array" ref="Y64">IFBLANK(_PL!Y68,"")</f>
        <v/>
      </c>
      <c r="Z64" s="198" t="str">
        <f t="shared" si="20"/>
        <v/>
      </c>
      <c r="AA64" s="200" t="str" cm="1">
        <f t="array" ca="1" aca="1" ref="AA64">_xlfn.LET(_xlpm._termname,$Y64,_xlpm._icon,"Define",_xlpm._location,_xlfn.XLOOKUP(_xlpm._termname,$Y$249:$Y$338,$Y$249:$Y$338),_xlpm._hyperlink,HYPERLINK("#"&amp;CELL("address",_xlpm._location),_xlpm._icon),IF(Y64="","",_xlpm._hyperlink))</f>
        <v/>
      </c>
      <c r="AB64" s="1335" t="str" cm="1">
        <f t="array" ref="AB64">IFBLANK(Y64,"")</f>
        <v/>
      </c>
      <c r="AC64" s="2468" t="str" cm="1">
        <f t="array" ca="1" aca="1" ref="AC64">_xlfn.LET(_xlpm._termname,$AB64,_xlpm._iconname,"find",_xlpm._icon,fx_getIcon(_xlpm._iconname),_xlpm._location,_xlfn.XLOOKUP(LOWER(_xlpm._termname),LOWER(tbl_acctDef[Term]),tbl_acctDef[Term]),_xlpm._hyperlink,HYPERLINK("#"&amp;CELL("address",_xlpm._location),_xlpm._icon),IFERROR(_xlpm._hyperlink,""))</f>
        <v/>
      </c>
      <c r="AD64" s="2478" t="str" cm="1">
        <f t="array" ref="AD64">IF($Y64="","",_xlfn.XLOOKUP($W64&amp;$Y64,$W$249:$W$337&amp;$Y$249:$Y$338,$AD$249:$BN$338))</f>
        <v/>
      </c>
      <c r="AE64" s="2478"/>
      <c r="AF64" s="2478"/>
      <c r="AG64" s="2478"/>
      <c r="AH64" s="2478"/>
      <c r="AI64" s="2478"/>
      <c r="AJ64" s="2478"/>
      <c r="AK64" s="2478"/>
      <c r="AL64" s="2478"/>
      <c r="AM64" s="2478"/>
      <c r="AN64" s="2478"/>
      <c r="AO64" s="2478"/>
      <c r="AP64" s="2478"/>
      <c r="AQ64" s="2478"/>
      <c r="AR64" s="2478"/>
      <c r="AS64" s="2478"/>
      <c r="AT64" s="2478"/>
      <c r="AU64" s="2478"/>
      <c r="AV64" s="2478"/>
      <c r="AW64" s="2478"/>
      <c r="AX64" s="2478"/>
      <c r="AY64" s="2478"/>
      <c r="AZ64" s="2478"/>
      <c r="BA64" s="2478"/>
      <c r="BB64" s="2478"/>
      <c r="BC64" s="2478"/>
      <c r="BD64" s="2478"/>
      <c r="BE64" s="2478"/>
      <c r="BF64" s="2478"/>
      <c r="BG64" s="2478"/>
      <c r="BH64" s="2478"/>
      <c r="BI64" s="2478"/>
      <c r="BJ64" s="2478"/>
      <c r="BK64" s="2478"/>
      <c r="BL64" s="2478"/>
      <c r="BM64" s="2478"/>
      <c r="BN64" s="2478"/>
      <c r="BO64" s="2479"/>
      <c r="BP64" s="2479"/>
      <c r="BQ64" s="2479"/>
      <c r="BR64" s="2479"/>
      <c r="BS64" s="2479"/>
      <c r="BT64" s="2479"/>
      <c r="BU64" s="2479"/>
      <c r="BV64" s="2479"/>
      <c r="BW64" s="2479"/>
      <c r="BX64" s="2479"/>
      <c r="BY64" s="2479"/>
      <c r="BZ64" s="2479"/>
      <c r="CA64" s="34"/>
      <c r="CC64" s="33"/>
      <c r="CD64" s="1461" t="str" cm="1">
        <f t="array" ref="CD64">_xlfn.LET(_xlpm.CheckBlank,SUM(PL!$AD64:PL!$BN64)=0,IF(_xlpm.CheckBlank,"",SUM(_xlfn._xlws.FILTER(PL!$AD64:$BN64,(YEAR(PL!$AD$12:$BN$12)=PL!CD$12)*(array_timeline&lt;=PL!CD$11)))))</f>
        <v/>
      </c>
      <c r="CE64" s="1461" t="str" cm="1">
        <f t="array" ref="CE64">_xlfn.LET(_xlpm.CheckBlank,SUM(PL!$AD64:PL!$BN64)=0,IF(_xlpm.CheckBlank,"",SUM(_xlfn._xlws.FILTER(PL!$AD64:$BN64,(YEAR(PL!$AD$12:$BN$12)=PL!CE$12)*(array_timeline&lt;=PL!CE$11)))))</f>
        <v/>
      </c>
      <c r="CF64" s="2480"/>
      <c r="CG64" s="1461" t="str" cm="1">
        <f t="array" ref="CG64">IFERROR(_xlfn.LET(_xlpm.CheckBlank,SUM(PL!$AD64:$BN64)=0,IF(_xlpm.CheckBlank,"",SUM(_xlfn._xlws.FILTER(PL!$AD64:$BN64,(YEAR(PL!$AD$12:$BN$12)=PL!CG$12)*(array_timeline&lt;=PL!CG$11))))),"n/a")</f>
        <v/>
      </c>
      <c r="CH64" s="1461" t="str" cm="1">
        <f t="array" ref="CH64">_xlfn.LET(_xlpm.CheckBlank,SUM(PL!$AD64:$BN64)=0,IF(_xlpm.CheckBlank,"",SUM(_xlfn._xlws.FILTER(PL!$AD64:$BN64,(YEAR(PL!$AD$12:$BN$12)=PL!CH$12)*(array_timeline&lt;=PL!CH$11)))))</f>
        <v/>
      </c>
      <c r="CI64" s="88"/>
      <c r="CJ64" s="1461" t="str" cm="1">
        <f t="array" ref="CJ64">_xlfn.LET(_xlpm.CheckBlank,SUM(PL!$AD64:$BN64)=0,IF(_xlpm.CheckBlank,"",SUM(_xlfn.TAKE(_xlfn.DROP(PL!$AD64:$BN64,,-DATEDIFF(PL!CJ$11,val_asOfDate,"M")),1,-12))))</f>
        <v/>
      </c>
      <c r="CK64" s="1461" t="str" cm="1">
        <f t="array" ref="CK64">_xlfn.LET(_xlpm.CheckBlank,SUM(PL!$AD64:$BN64)=0,IF(_xlpm.CheckBlank,"",SUM(_xlfn.TAKE(_xlfn.DROP(PL!$AD64:$BN64,,-DATEDIFF(PL!CK$11,val_asOfDate,"M")),1,-12))))</f>
        <v/>
      </c>
      <c r="CL64" s="88"/>
      <c r="CM64" s="2357" t="str" cm="1">
        <f t="array" ref="CM64">IF($Y64="","",_xlfn.XLOOKUP($W64&amp;$Y64,$W$250:$W$338&amp;$Y$250:$Y$338,$CM$250:$CN$338))</f>
        <v/>
      </c>
      <c r="CN64" s="2357"/>
      <c r="CO64" s="3"/>
      <c r="CP64" s="2357" t="str" cm="1">
        <f t="array" ref="CP64">IF($Y64="","",_xlfn.XLOOKUP($W64&amp;$Y64,$W$250:$W$338&amp;$Y$250:$Y$338,$CP$250:$CQ$338))</f>
        <v/>
      </c>
      <c r="CQ64" s="2357"/>
      <c r="CR64" s="34"/>
      <c r="CS64" s="2056"/>
      <c r="CT64" s="2616"/>
      <c r="CU64" s="2616"/>
      <c r="CV64" s="2616"/>
      <c r="CW64" s="2616"/>
      <c r="CX64" s="2443"/>
      <c r="CY64" s="2444" t="str" cm="1">
        <f t="array" ref="CY64">IFERROR(IF(CM64*fxVal_normal=_PL!CM68,"",IF(OR($CM64="",$CM64=0,NOT(ISNUMBER($CM64)),ISERROR($CM64),$B64=""),"",IF($I64=1,IFBLANK(_xldudf_CX_PUSH($CM64*fxVal_normal,CX_ENTITY,$B64,$CM$11,$CM$14,$CM$19,),""),IF($I64=2,IFBLANK(_xldudf_CX_PUSH($CM64,CX_ENTITY,$B64,$CM$11,$CM$14,$CM$19,),""),IF($I64=3,"",IFBLANK(_xldudf_CX_PUSH($CM64,CX_ENTITY,$B64,$CM$11,$CM$14,$CM$19,),"")))))),"")</f>
        <v/>
      </c>
      <c r="CZ64" s="2444" t="str" cm="1">
        <f t="array" ref="CZ64">IFERROR(IF(CN64*fxVal_normal=_PL!CN68,"",IF(OR($CN64="",$CN64=0,NOT(ISNUMBER($CN64)),ISERROR($CN64),$B64=""),"",IF($I64=1,IFBLANK(_xldudf_CX_PUSH($CN64*fxVal_normal,CX_ENTITY,$B64,$CN$11,$CN$14,$CN$19,),""),IF($I64=2,IFBLANK(_xldudf_CX_PUSH($CN64,CX_ENTITY,$B64,$CN$11,$CN$14,$CN$19,),""),IF($I64=3,"",IFBLANK(_xldudf_CX_PUSH($CN64,CX_ENTITY,$B64,$CN$11,$CN$14,$CN$19,),"")))))),"")</f>
        <v/>
      </c>
      <c r="DA64" s="2444" t="str" cm="1">
        <f t="array" ref="DA64">IFERROR(IF(CP64*fxVal_normal=_PL!CP68,"",IF(OR($CP64="",$CP64=0,NOT(ISNUMBER($CP64)),ISERROR($CP64),$B64=""),"",IF($I64=1,IFBLANK(_xldudf_CX_PUSH($CP64*fxVal_normal,CX_ENTITY,$B64,$CP$11,$CP$14,$CP$19,),""),IF($I64=2,IFBLANK(_xldudf_CX_PUSH($CP64,CX_ENTITY,$B64,$CP$11,$CP$14,$CP$19,),""),IF($I64=3,"",IFBLANK(_xldudf_CX_PUSH($CP64,CX_ENTITY,$B64,$CP$11,$CP$14,$CP$19,),"")))))),"")</f>
        <v/>
      </c>
      <c r="DB64" s="2444" t="str" cm="1">
        <f t="array" ref="DB64">IFERROR(IF(CQ64*fxVal_normal=_PL!CQ68,"",IF(OR($CQ64="",$CQ64=0,NOT(ISNUMBER($CQ64)),ISERROR($CQ64),$B64=""),"",IF($I64=1,IFBLANK(_xldudf_CX_PUSH($CQ64*fxVal_normal,CX_ENTITY,$B64,$CQ$11,$CQ$14,$CQ$19,),""),IF($I64=2,IFBLANK(_xldudf_CX_PUSH($CQ64,CX_ENTITY,$B64,$CQ$11,$CQ$14,$CQ$19,),""),IF($I64=3,"",IFBLANK(_xldudf_CX_PUSH($CQ64,CX_ENTITY,$B64,$CQ$11,$CQ$14,$CQ$19,),"")))))),"")</f>
        <v/>
      </c>
      <c r="DC64" s="2443"/>
      <c r="DD64" s="2445" t="str" cm="1">
        <f t="array" ref="DD64">IFERROR(IF(AD64*fxVal_normal=_PL!AD68,"",IF(OR(AD64="",NOT(ISNUMBER(AD64)),ISERROR(AD64),$B64=""),"",IF($I64=1,IFBLANK(_xldudf_CX_PUSH(AD64*fxVal_normal,CX_ENTITY,$B64,AD$11,AD$14,AD$19,),""),IF($I64=2,IFBLANK(_xldudf_CX_PUSH(AD64,CX_ENTITY,$B64,AD$11,AD$14,AD$19,),""),IF($I64=3,"",IFBLANK(_xldudf_CX_PUSH(AD64,CX_ENTITY,$B64,AD$11,AD$14,AD$19,),"")))))),"")</f>
        <v/>
      </c>
      <c r="DE64" s="2445" t="str" cm="1">
        <f t="array" ref="DE64">IFERROR(IF(AE64*fxVal_normal=_PL!AE68,"",IF(OR(AE64="",NOT(ISNUMBER(AE64)),ISERROR(AE64),$B64=""),"",IF($I64=1,IFBLANK(_xldudf_CX_PUSH(AE64*fxVal_normal,CX_ENTITY,$B64,AE$11,AE$14,AE$19,),""),IF($I64=2,IFBLANK(_xldudf_CX_PUSH(AE64,CX_ENTITY,$B64,AE$11,AE$14,AE$19,),""),IF($I64=3,"",IFBLANK(_xldudf_CX_PUSH(AE64,CX_ENTITY,$B64,AE$11,AE$14,AE$19,),"")))))),"")</f>
        <v/>
      </c>
      <c r="DF64" s="2445" t="str" cm="1">
        <f t="array" ref="DF64">IFERROR(IF(AF64*fxVal_normal=_PL!AF68,"",IF(OR(AF64="",NOT(ISNUMBER(AF64)),ISERROR(AF64),$B64=""),"",IF($I64=1,IFBLANK(_xldudf_CX_PUSH(AF64*fxVal_normal,CX_ENTITY,$B64,AF$11,AF$14,AF$19,),""),IF($I64=2,IFBLANK(_xldudf_CX_PUSH(AF64,CX_ENTITY,$B64,AF$11,AF$14,AF$19,),""),IF($I64=3,"",IFBLANK(_xldudf_CX_PUSH(AF64,CX_ENTITY,$B64,AF$11,AF$14,AF$19,),"")))))),"")</f>
        <v/>
      </c>
      <c r="DG64" s="2445" t="str" cm="1">
        <f t="array" ref="DG64">IFERROR(IF(AG64*fxVal_normal=_PL!AG68,"",IF(OR(AG64="",NOT(ISNUMBER(AG64)),ISERROR(AG64),$B64=""),"",IF($I64=1,IFBLANK(_xldudf_CX_PUSH(AG64*fxVal_normal,CX_ENTITY,$B64,AG$11,AG$14,AG$19,),""),IF($I64=2,IFBLANK(_xldudf_CX_PUSH(AG64,CX_ENTITY,$B64,AG$11,AG$14,AG$19,),""),IF($I64=3,"",IFBLANK(_xldudf_CX_PUSH(AG64,CX_ENTITY,$B64,AG$11,AG$14,AG$19,),"")))))),"")</f>
        <v/>
      </c>
      <c r="DH64" s="2445" t="str" cm="1">
        <f t="array" ref="DH64">IFERROR(IF(AH64*fxVal_normal=_PL!AH68,"",IF(OR(AH64="",NOT(ISNUMBER(AH64)),ISERROR(AH64),$B64=""),"",IF($I64=1,IFBLANK(_xldudf_CX_PUSH(AH64*fxVal_normal,CX_ENTITY,$B64,AH$11,AH$14,AH$19,),""),IF($I64=2,IFBLANK(_xldudf_CX_PUSH(AH64,CX_ENTITY,$B64,AH$11,AH$14,AH$19,),""),IF($I64=3,"",IFBLANK(_xldudf_CX_PUSH(AH64,CX_ENTITY,$B64,AH$11,AH$14,AH$19,),"")))))),"")</f>
        <v/>
      </c>
      <c r="DI64" s="2445" t="str" cm="1">
        <f t="array" ref="DI64">IFERROR(IF(AI64*fxVal_normal=_PL!AI68,"",IF(OR(AI64="",NOT(ISNUMBER(AI64)),ISERROR(AI64),$B64=""),"",IF($I64=1,IFBLANK(_xldudf_CX_PUSH(AI64*fxVal_normal,CX_ENTITY,$B64,AI$11,AI$14,AI$19,),""),IF($I64=2,IFBLANK(_xldudf_CX_PUSH(AI64,CX_ENTITY,$B64,AI$11,AI$14,AI$19,),""),IF($I64=3,"",IFBLANK(_xldudf_CX_PUSH(AI64,CX_ENTITY,$B64,AI$11,AI$14,AI$19,),"")))))),"")</f>
        <v/>
      </c>
      <c r="DJ64" s="2445" t="str" cm="1">
        <f t="array" ref="DJ64">IFERROR(IF(AJ64*fxVal_normal=_PL!AJ68,"",IF(OR(AJ64="",NOT(ISNUMBER(AJ64)),ISERROR(AJ64),$B64=""),"",IF($I64=1,IFBLANK(_xldudf_CX_PUSH(AJ64*fxVal_normal,CX_ENTITY,$B64,AJ$11,AJ$14,AJ$19,),""),IF($I64=2,IFBLANK(_xldudf_CX_PUSH(AJ64,CX_ENTITY,$B64,AJ$11,AJ$14,AJ$19,),""),IF($I64=3,"",IFBLANK(_xldudf_CX_PUSH(AJ64,CX_ENTITY,$B64,AJ$11,AJ$14,AJ$19,),"")))))),"")</f>
        <v/>
      </c>
      <c r="DK64" s="2445" t="str" cm="1">
        <f t="array" ref="DK64">IFERROR(IF(AK64*fxVal_normal=_PL!AK68,"",IF(OR(AK64="",NOT(ISNUMBER(AK64)),ISERROR(AK64),$B64=""),"",IF($I64=1,IFBLANK(_xldudf_CX_PUSH(AK64*fxVal_normal,CX_ENTITY,$B64,AK$11,AK$14,AK$19,),""),IF($I64=2,IFBLANK(_xldudf_CX_PUSH(AK64,CX_ENTITY,$B64,AK$11,AK$14,AK$19,),""),IF($I64=3,"",IFBLANK(_xldudf_CX_PUSH(AK64,CX_ENTITY,$B64,AK$11,AK$14,AK$19,),"")))))),"")</f>
        <v/>
      </c>
      <c r="DL64" s="2445" t="str" cm="1">
        <f t="array" ref="DL64">IFERROR(IF(AL64*fxVal_normal=_PL!AL68,"",IF(OR(AL64="",NOT(ISNUMBER(AL64)),ISERROR(AL64),$B64=""),"",IF($I64=1,IFBLANK(_xldudf_CX_PUSH(AL64*fxVal_normal,CX_ENTITY,$B64,AL$11,AL$14,AL$19,),""),IF($I64=2,IFBLANK(_xldudf_CX_PUSH(AL64,CX_ENTITY,$B64,AL$11,AL$14,AL$19,),""),IF($I64=3,"",IFBLANK(_xldudf_CX_PUSH(AL64,CX_ENTITY,$B64,AL$11,AL$14,AL$19,),"")))))),"")</f>
        <v/>
      </c>
      <c r="DM64" s="2445" t="str" cm="1">
        <f t="array" ref="DM64">IFERROR(IF(AM64*fxVal_normal=_PL!AM68,"",IF(OR(AM64="",NOT(ISNUMBER(AM64)),ISERROR(AM64),$B64=""),"",IF($I64=1,IFBLANK(_xldudf_CX_PUSH(AM64*fxVal_normal,CX_ENTITY,$B64,AM$11,AM$14,AM$19,),""),IF($I64=2,IFBLANK(_xldudf_CX_PUSH(AM64,CX_ENTITY,$B64,AM$11,AM$14,AM$19,),""),IF($I64=3,"",IFBLANK(_xldudf_CX_PUSH(AM64,CX_ENTITY,$B64,AM$11,AM$14,AM$19,),"")))))),"")</f>
        <v/>
      </c>
      <c r="DN64" s="2445" t="str" cm="1">
        <f t="array" ref="DN64">IFERROR(IF(AN64*fxVal_normal=_PL!AN68,"",IF(OR(AN64="",NOT(ISNUMBER(AN64)),ISERROR(AN64),$B64=""),"",IF($I64=1,IFBLANK(_xldudf_CX_PUSH(AN64*fxVal_normal,CX_ENTITY,$B64,AN$11,AN$14,AN$19,),""),IF($I64=2,IFBLANK(_xldudf_CX_PUSH(AN64,CX_ENTITY,$B64,AN$11,AN$14,AN$19,),""),IF($I64=3,"",IFBLANK(_xldudf_CX_PUSH(AN64,CX_ENTITY,$B64,AN$11,AN$14,AN$19,),"")))))),"")</f>
        <v/>
      </c>
      <c r="DO64" s="2445" t="str" cm="1">
        <f t="array" ref="DO64">IFERROR(IF(AO64*fxVal_normal=_PL!AO68,"",IF(OR(AO64="",NOT(ISNUMBER(AO64)),ISERROR(AO64),$B64=""),"",IF($I64=1,IFBLANK(_xldudf_CX_PUSH(AO64*fxVal_normal,CX_ENTITY,$B64,AO$11,AO$14,AO$19,),""),IF($I64=2,IFBLANK(_xldudf_CX_PUSH(AO64,CX_ENTITY,$B64,AO$11,AO$14,AO$19,),""),IF($I64=3,"",IFBLANK(_xldudf_CX_PUSH(AO64,CX_ENTITY,$B64,AO$11,AO$14,AO$19,),"")))))),"")</f>
        <v/>
      </c>
      <c r="DP64" s="2445" t="str" cm="1">
        <f t="array" ref="DP64">IFERROR(IF(AP64*fxVal_normal=_PL!AP68,"",IF(OR(AP64="",NOT(ISNUMBER(AP64)),ISERROR(AP64),$B64=""),"",IF($I64=1,IFBLANK(_xldudf_CX_PUSH(AP64*fxVal_normal,CX_ENTITY,$B64,AP$11,AP$14,AP$19,),""),IF($I64=2,IFBLANK(_xldudf_CX_PUSH(AP64,CX_ENTITY,$B64,AP$11,AP$14,AP$19,),""),IF($I64=3,"",IFBLANK(_xldudf_CX_PUSH(AP64,CX_ENTITY,$B64,AP$11,AP$14,AP$19,),"")))))),"")</f>
        <v/>
      </c>
      <c r="DQ64" s="2445" t="str" cm="1">
        <f t="array" ref="DQ64">IFERROR(IF(AQ64*fxVal_normal=_PL!AQ68,"",IF(OR(AQ64="",NOT(ISNUMBER(AQ64)),ISERROR(AQ64),$B64=""),"",IF($I64=1,IFBLANK(_xldudf_CX_PUSH(AQ64*fxVal_normal,CX_ENTITY,$B64,AQ$11,AQ$14,AQ$19,),""),IF($I64=2,IFBLANK(_xldudf_CX_PUSH(AQ64,CX_ENTITY,$B64,AQ$11,AQ$14,AQ$19,),""),IF($I64=3,"",IFBLANK(_xldudf_CX_PUSH(AQ64,CX_ENTITY,$B64,AQ$11,AQ$14,AQ$19,),"")))))),"")</f>
        <v/>
      </c>
      <c r="DR64" s="2445" t="str" cm="1">
        <f t="array" ref="DR64">IFERROR(IF(AR64*fxVal_normal=_PL!AR68,"",IF(OR(AR64="",NOT(ISNUMBER(AR64)),ISERROR(AR64),$B64=""),"",IF($I64=1,IFBLANK(_xldudf_CX_PUSH(AR64*fxVal_normal,CX_ENTITY,$B64,AR$11,AR$14,AR$19,),""),IF($I64=2,IFBLANK(_xldudf_CX_PUSH(AR64,CX_ENTITY,$B64,AR$11,AR$14,AR$19,),""),IF($I64=3,"",IFBLANK(_xldudf_CX_PUSH(AR64,CX_ENTITY,$B64,AR$11,AR$14,AR$19,),"")))))),"")</f>
        <v/>
      </c>
      <c r="DS64" s="2445" t="str" cm="1">
        <f t="array" ref="DS64">IFERROR(IF(AS64*fxVal_normal=_PL!AS68,"",IF(OR(AS64="",NOT(ISNUMBER(AS64)),ISERROR(AS64),$B64=""),"",IF($I64=1,IFBLANK(_xldudf_CX_PUSH(AS64*fxVal_normal,CX_ENTITY,$B64,AS$11,AS$14,AS$19,),""),IF($I64=2,IFBLANK(_xldudf_CX_PUSH(AS64,CX_ENTITY,$B64,AS$11,AS$14,AS$19,),""),IF($I64=3,"",IFBLANK(_xldudf_CX_PUSH(AS64,CX_ENTITY,$B64,AS$11,AS$14,AS$19,),"")))))),"")</f>
        <v/>
      </c>
      <c r="DT64" s="2445" t="str" cm="1">
        <f t="array" ref="DT64">IFERROR(IF(AT64*fxVal_normal=_PL!AT68,"",IF(OR(AT64="",NOT(ISNUMBER(AT64)),ISERROR(AT64),$B64=""),"",IF($I64=1,IFBLANK(_xldudf_CX_PUSH(AT64*fxVal_normal,CX_ENTITY,$B64,AT$11,AT$14,AT$19,),""),IF($I64=2,IFBLANK(_xldudf_CX_PUSH(AT64,CX_ENTITY,$B64,AT$11,AT$14,AT$19,),""),IF($I64=3,"",IFBLANK(_xldudf_CX_PUSH(AT64,CX_ENTITY,$B64,AT$11,AT$14,AT$19,),"")))))),"")</f>
        <v/>
      </c>
      <c r="DU64" s="2445" t="str" cm="1">
        <f t="array" ref="DU64">IFERROR(IF(AU64*fxVal_normal=_PL!AU68,"",IF(OR(AU64="",NOT(ISNUMBER(AU64)),ISERROR(AU64),$B64=""),"",IF($I64=1,IFBLANK(_xldudf_CX_PUSH(AU64*fxVal_normal,CX_ENTITY,$B64,AU$11,AU$14,AU$19,),""),IF($I64=2,IFBLANK(_xldudf_CX_PUSH(AU64,CX_ENTITY,$B64,AU$11,AU$14,AU$19,),""),IF($I64=3,"",IFBLANK(_xldudf_CX_PUSH(AU64,CX_ENTITY,$B64,AU$11,AU$14,AU$19,),"")))))),"")</f>
        <v/>
      </c>
      <c r="DV64" s="2445" t="str" cm="1">
        <f t="array" ref="DV64">IFERROR(IF(AV64*fxVal_normal=_PL!AV68,"",IF(OR(AV64="",NOT(ISNUMBER(AV64)),ISERROR(AV64),$B64=""),"",IF($I64=1,IFBLANK(_xldudf_CX_PUSH(AV64*fxVal_normal,CX_ENTITY,$B64,AV$11,AV$14,AV$19,),""),IF($I64=2,IFBLANK(_xldudf_CX_PUSH(AV64,CX_ENTITY,$B64,AV$11,AV$14,AV$19,),""),IF($I64=3,"",IFBLANK(_xldudf_CX_PUSH(AV64,CX_ENTITY,$B64,AV$11,AV$14,AV$19,),"")))))),"")</f>
        <v/>
      </c>
      <c r="DW64" s="2445" t="str" cm="1">
        <f t="array" ref="DW64">IFERROR(IF(AW64*fxVal_normal=_PL!AW68,"",IF(OR(AW64="",NOT(ISNUMBER(AW64)),ISERROR(AW64),$B64=""),"",IF($I64=1,IFBLANK(_xldudf_CX_PUSH(AW64*fxVal_normal,CX_ENTITY,$B64,AW$11,AW$14,AW$19,),""),IF($I64=2,IFBLANK(_xldudf_CX_PUSH(AW64,CX_ENTITY,$B64,AW$11,AW$14,AW$19,),""),IF($I64=3,"",IFBLANK(_xldudf_CX_PUSH(AW64,CX_ENTITY,$B64,AW$11,AW$14,AW$19,),"")))))),"")</f>
        <v/>
      </c>
      <c r="DX64" s="2445" t="str" cm="1">
        <f t="array" ref="DX64">IFERROR(IF(AX64*fxVal_normal=_PL!AX68,"",IF(OR(AX64="",NOT(ISNUMBER(AX64)),ISERROR(AX64),$B64=""),"",IF($I64=1,IFBLANK(_xldudf_CX_PUSH(AX64*fxVal_normal,CX_ENTITY,$B64,AX$11,AX$14,AX$19,),""),IF($I64=2,IFBLANK(_xldudf_CX_PUSH(AX64,CX_ENTITY,$B64,AX$11,AX$14,AX$19,),""),IF($I64=3,"",IFBLANK(_xldudf_CX_PUSH(AX64,CX_ENTITY,$B64,AX$11,AX$14,AX$19,),"")))))),"")</f>
        <v/>
      </c>
      <c r="DY64" s="2445" t="str" cm="1">
        <f t="array" ref="DY64">IFERROR(IF(AY64*fxVal_normal=_PL!AY68,"",IF(OR(AY64="",NOT(ISNUMBER(AY64)),ISERROR(AY64),$B64=""),"",IF($I64=1,IFBLANK(_xldudf_CX_PUSH(AY64*fxVal_normal,CX_ENTITY,$B64,AY$11,AY$14,AY$19,),""),IF($I64=2,IFBLANK(_xldudf_CX_PUSH(AY64,CX_ENTITY,$B64,AY$11,AY$14,AY$19,),""),IF($I64=3,"",IFBLANK(_xldudf_CX_PUSH(AY64,CX_ENTITY,$B64,AY$11,AY$14,AY$19,),"")))))),"")</f>
        <v/>
      </c>
      <c r="DZ64" s="2445" t="str" cm="1">
        <f t="array" ref="DZ64">IFERROR(IF(AZ64*fxVal_normal=_PL!AZ68,"",IF(OR(AZ64="",NOT(ISNUMBER(AZ64)),ISERROR(AZ64),$B64=""),"",IF($I64=1,IFBLANK(_xldudf_CX_PUSH(AZ64*fxVal_normal,CX_ENTITY,$B64,AZ$11,AZ$14,AZ$19,),""),IF($I64=2,IFBLANK(_xldudf_CX_PUSH(AZ64,CX_ENTITY,$B64,AZ$11,AZ$14,AZ$19,),""),IF($I64=3,"",IFBLANK(_xldudf_CX_PUSH(AZ64,CX_ENTITY,$B64,AZ$11,AZ$14,AZ$19,),"")))))),"")</f>
        <v/>
      </c>
      <c r="EA64" s="2445" t="str" cm="1">
        <f t="array" ref="EA64">IFERROR(IF(BA64*fxVal_normal=_PL!BA68,"",IF(OR(BA64="",NOT(ISNUMBER(BA64)),ISERROR(BA64),$B64=""),"",IF($I64=1,IFBLANK(_xldudf_CX_PUSH(BA64*fxVal_normal,CX_ENTITY,$B64,BA$11,BA$14,BA$19,),""),IF($I64=2,IFBLANK(_xldudf_CX_PUSH(BA64,CX_ENTITY,$B64,BA$11,BA$14,BA$19,),""),IF($I64=3,"",IFBLANK(_xldudf_CX_PUSH(BA64,CX_ENTITY,$B64,BA$11,BA$14,BA$19,),"")))))),"")</f>
        <v/>
      </c>
      <c r="EB64" s="2445" t="str" cm="1">
        <f t="array" ref="EB64">IFERROR(IF(BB64*fxVal_normal=_PL!BB68,"",IF(OR(BB64="",NOT(ISNUMBER(BB64)),ISERROR(BB64),$B64=""),"",IF($I64=1,IFBLANK(_xldudf_CX_PUSH(BB64*fxVal_normal,CX_ENTITY,$B64,BB$11,BB$14,BB$19,),""),IF($I64=2,IFBLANK(_xldudf_CX_PUSH(BB64,CX_ENTITY,$B64,BB$11,BB$14,BB$19,),""),IF($I64=3,"",IFBLANK(_xldudf_CX_PUSH(BB64,CX_ENTITY,$B64,BB$11,BB$14,BB$19,),"")))))),"")</f>
        <v/>
      </c>
      <c r="EC64" s="2445" t="str" cm="1">
        <f t="array" ref="EC64">IFERROR(IF(BC64*fxVal_normal=_PL!BC68,"",IF(OR(BC64="",NOT(ISNUMBER(BC64)),ISERROR(BC64),$B64=""),"",IF($I64=1,IFBLANK(_xldudf_CX_PUSH(BC64*fxVal_normal,CX_ENTITY,$B64,BC$11,BC$14,BC$19,),""),IF($I64=2,IFBLANK(_xldudf_CX_PUSH(BC64,CX_ENTITY,$B64,BC$11,BC$14,BC$19,),""),IF($I64=3,"",IFBLANK(_xldudf_CX_PUSH(BC64,CX_ENTITY,$B64,BC$11,BC$14,BC$19,),"")))))),"")</f>
        <v/>
      </c>
      <c r="ED64" s="2445" t="str" cm="1">
        <f t="array" ref="ED64">IFERROR(IF(BD64*fxVal_normal=_PL!BD68,"",IF(OR(BD64="",NOT(ISNUMBER(BD64)),ISERROR(BD64),$B64=""),"",IF($I64=1,IFBLANK(_xldudf_CX_PUSH(BD64*fxVal_normal,CX_ENTITY,$B64,BD$11,BD$14,BD$19,),""),IF($I64=2,IFBLANK(_xldudf_CX_PUSH(BD64,CX_ENTITY,$B64,BD$11,BD$14,BD$19,),""),IF($I64=3,"",IFBLANK(_xldudf_CX_PUSH(BD64,CX_ENTITY,$B64,BD$11,BD$14,BD$19,),"")))))),"")</f>
        <v/>
      </c>
      <c r="EE64" s="2445" t="str" cm="1">
        <f t="array" ref="EE64">IFERROR(IF(BE64*fxVal_normal=_PL!BE68,"",IF(OR(BE64="",NOT(ISNUMBER(BE64)),ISERROR(BE64),$B64=""),"",IF($I64=1,IFBLANK(_xldudf_CX_PUSH(BE64*fxVal_normal,CX_ENTITY,$B64,BE$11,BE$14,BE$19,),""),IF($I64=2,IFBLANK(_xldudf_CX_PUSH(BE64,CX_ENTITY,$B64,BE$11,BE$14,BE$19,),""),IF($I64=3,"",IFBLANK(_xldudf_CX_PUSH(BE64,CX_ENTITY,$B64,BE$11,BE$14,BE$19,),"")))))),"")</f>
        <v/>
      </c>
      <c r="EF64" s="2445" t="str" cm="1">
        <f t="array" ref="EF64">IFERROR(IF(BF64*fxVal_normal=_PL!BF68,"",IF(OR(BF64="",NOT(ISNUMBER(BF64)),ISERROR(BF64),$B64=""),"",IF($I64=1,IFBLANK(_xldudf_CX_PUSH(BF64*fxVal_normal,CX_ENTITY,$B64,BF$11,BF$14,BF$19,),""),IF($I64=2,IFBLANK(_xldudf_CX_PUSH(BF64,CX_ENTITY,$B64,BF$11,BF$14,BF$19,),""),IF($I64=3,"",IFBLANK(_xldudf_CX_PUSH(BF64,CX_ENTITY,$B64,BF$11,BF$14,BF$19,),"")))))),"")</f>
        <v/>
      </c>
      <c r="EG64" s="2445" t="str" cm="1">
        <f t="array" ref="EG64">IFERROR(IF(BG64*fxVal_normal=_PL!BG68,"",IF(OR(BG64="",NOT(ISNUMBER(BG64)),ISERROR(BG64),$B64=""),"",IF($I64=1,IFBLANK(_xldudf_CX_PUSH(BG64*fxVal_normal,CX_ENTITY,$B64,BG$11,BG$14,BG$19,),""),IF($I64=2,IFBLANK(_xldudf_CX_PUSH(BG64,CX_ENTITY,$B64,BG$11,BG$14,BG$19,),""),IF($I64=3,"",IFBLANK(_xldudf_CX_PUSH(BG64,CX_ENTITY,$B64,BG$11,BG$14,BG$19,),"")))))),"")</f>
        <v/>
      </c>
      <c r="EH64" s="2445" t="str" cm="1">
        <f t="array" ref="EH64">IFERROR(IF(BH64*fxVal_normal=_PL!BH68,"",IF(OR(BH64="",NOT(ISNUMBER(BH64)),ISERROR(BH64),$B64=""),"",IF($I64=1,IFBLANK(_xldudf_CX_PUSH(BH64*fxVal_normal,CX_ENTITY,$B64,BH$11,BH$14,BH$19,),""),IF($I64=2,IFBLANK(_xldudf_CX_PUSH(BH64,CX_ENTITY,$B64,BH$11,BH$14,BH$19,),""),IF($I64=3,"",IFBLANK(_xldudf_CX_PUSH(BH64,CX_ENTITY,$B64,BH$11,BH$14,BH$19,),"")))))),"")</f>
        <v/>
      </c>
      <c r="EI64" s="2445" t="str" cm="1">
        <f t="array" ref="EI64">IFERROR(IF(BI64*fxVal_normal=_PL!BI68,"",IF(OR(BI64="",NOT(ISNUMBER(BI64)),ISERROR(BI64),$B64=""),"",IF($I64=1,IFBLANK(_xldudf_CX_PUSH(BI64*fxVal_normal,CX_ENTITY,$B64,BI$11,BI$14,BI$19,),""),IF($I64=2,IFBLANK(_xldudf_CX_PUSH(BI64,CX_ENTITY,$B64,BI$11,BI$14,BI$19,),""),IF($I64=3,"",IFBLANK(_xldudf_CX_PUSH(BI64,CX_ENTITY,$B64,BI$11,BI$14,BI$19,),"")))))),"")</f>
        <v/>
      </c>
      <c r="EJ64" s="2445" t="str" cm="1">
        <f t="array" ref="EJ64">IFERROR(IF(BJ64*fxVal_normal=_PL!BJ68,"",IF(OR(BJ64="",NOT(ISNUMBER(BJ64)),ISERROR(BJ64),$B64=""),"",IF($I64=1,IFBLANK(_xldudf_CX_PUSH(BJ64*fxVal_normal,CX_ENTITY,$B64,BJ$11,BJ$14,BJ$19,),""),IF($I64=2,IFBLANK(_xldudf_CX_PUSH(BJ64,CX_ENTITY,$B64,BJ$11,BJ$14,BJ$19,),""),IF($I64=3,"",IFBLANK(_xldudf_CX_PUSH(BJ64,CX_ENTITY,$B64,BJ$11,BJ$14,BJ$19,),"")))))),"")</f>
        <v/>
      </c>
      <c r="EK64" s="2445" t="str" cm="1">
        <f t="array" ref="EK64">IFERROR(IF(BK64*fxVal_normal=_PL!BK68,"",IF(OR(BK64="",NOT(ISNUMBER(BK64)),ISERROR(BK64),$B64=""),"",IF($I64=1,IFBLANK(_xldudf_CX_PUSH(BK64*fxVal_normal,CX_ENTITY,$B64,BK$11,BK$14,BK$19,),""),IF($I64=2,IFBLANK(_xldudf_CX_PUSH(BK64,CX_ENTITY,$B64,BK$11,BK$14,BK$19,),""),IF($I64=3,"",IFBLANK(_xldudf_CX_PUSH(BK64,CX_ENTITY,$B64,BK$11,BK$14,BK$19,),"")))))),"")</f>
        <v/>
      </c>
      <c r="EL64" s="2445" t="str" cm="1">
        <f t="array" ref="EL64">IFERROR(IF(BL64*fxVal_normal=_PL!BL68,"",IF(OR(BL64="",NOT(ISNUMBER(BL64)),ISERROR(BL64),$B64=""),"",IF($I64=1,IFBLANK(_xldudf_CX_PUSH(BL64*fxVal_normal,CX_ENTITY,$B64,BL$11,BL$14,BL$19,),""),IF($I64=2,IFBLANK(_xldudf_CX_PUSH(BL64,CX_ENTITY,$B64,BL$11,BL$14,BL$19,),""),IF($I64=3,"",IFBLANK(_xldudf_CX_PUSH(BL64,CX_ENTITY,$B64,BL$11,BL$14,BL$19,),"")))))),"")</f>
        <v/>
      </c>
      <c r="EM64" s="2445" t="str" cm="1">
        <f t="array" ref="EM64">IFERROR(IF(BM64*fxVal_normal=_PL!BM68,"",IF(OR(BM64="",NOT(ISNUMBER(BM64)),ISERROR(BM64),$B64=""),"",IF($I64=1,IFBLANK(_xldudf_CX_PUSH(BM64*fxVal_normal,CX_ENTITY,$B64,BM$11,BM$14,BM$19,),""),IF($I64=2,IFBLANK(_xldudf_CX_PUSH(BM64,CX_ENTITY,$B64,BM$11,BM$14,BM$19,),""),IF($I64=3,"",IFBLANK(_xldudf_CX_PUSH(BM64,CX_ENTITY,$B64,BM$11,BM$14,BM$19,),"")))))),"")</f>
        <v/>
      </c>
      <c r="EN64" s="2445" t="str" cm="1">
        <f t="array" ref="EN64">IFERROR(IF(BN64*fxVal_normal=_PL!BN68,"",IF(OR(BN64="",NOT(ISNUMBER(BN64)),ISERROR(BN64),$B64=""),"",IF($I64=1,IFBLANK(_xldudf_CX_PUSH(BN64*fxVal_normal,CX_ENTITY,$B64,BN$11,BN$14,BN$19,),""),IF($I64=2,IFBLANK(_xldudf_CX_PUSH(BN64,CX_ENTITY,$B64,BN$11,BN$14,BN$19,),""),IF($I64=3,"",IFBLANK(_xldudf_CX_PUSH(BN64,CX_ENTITY,$B64,BN$11,BN$14,BN$19,),"")))))),"")</f>
        <v/>
      </c>
    </row>
    <row r="65" spans="1:144" ht="21" customHeight="1">
      <c r="A65" s="1626"/>
      <c r="B65" s="2439" t="str">
        <f>_xlfn.LET(_xlpm.IsNotAttrDynamic,D65="",_xlpm.Attr,_PL!F65,_xlpm.NotInUse,Y65=D65,_xlpm.RESULT,IF(_xlpm.IsNotAttrDynamic,_xlpm.Attr,IF(_xlpm.NotInUse,"",Y65)),IF(_xlpm.RESULT="","",_xlpm.RESULT))</f>
        <v>Custom Metric Amount 9 [Calculated]</v>
      </c>
      <c r="C65" s="2439" t="str" cm="1">
        <f t="array" ref="C65">IFBLANK(_PL!C65,"")</f>
        <v>Custom Metric - Label 9 [Calculated]</v>
      </c>
      <c r="D65" s="1548"/>
      <c r="E65" s="577" t="str">
        <f t="shared" si="19"/>
        <v/>
      </c>
      <c r="F65" s="578"/>
      <c r="G65" s="578"/>
      <c r="H65" s="3280">
        <v>1</v>
      </c>
      <c r="I65" s="3280">
        <v>1</v>
      </c>
      <c r="J65" s="401" t="str" cm="1">
        <f t="array" ref="J65">IFBLANK(Z65,"")</f>
        <v/>
      </c>
      <c r="K65" s="578" t="str">
        <f t="shared" si="21"/>
        <v>No</v>
      </c>
      <c r="L65" s="37"/>
      <c r="N65" s="158"/>
      <c r="O65" s="101"/>
      <c r="P65" s="52"/>
      <c r="Q65" s="101"/>
      <c r="R65" s="539"/>
      <c r="S65" s="101"/>
      <c r="T65" s="101"/>
      <c r="U65" s="39"/>
      <c r="V65" s="37"/>
      <c r="W65" s="91" t="str">
        <f t="shared" si="18"/>
        <v>Actual</v>
      </c>
      <c r="X65" s="2081" t="e">
        <f ca="1">_PL!X65</f>
        <v>#NAME?</v>
      </c>
      <c r="Y65" s="2371" t="str" cm="1">
        <f t="array" ref="Y65">IFBLANK(_PL!Y69,"")</f>
        <v/>
      </c>
      <c r="Z65" s="198" t="str">
        <f t="shared" si="20"/>
        <v/>
      </c>
      <c r="AA65" s="200" t="str" cm="1">
        <f t="array" ca="1" aca="1" ref="AA65">_xlfn.LET(_xlpm._termname,$Y65,_xlpm._icon,"Define",_xlpm._location,_xlfn.XLOOKUP(_xlpm._termname,$Y$249:$Y$338,$Y$249:$Y$338),_xlpm._hyperlink,HYPERLINK("#"&amp;CELL("address",_xlpm._location),_xlpm._icon),IF(Y65="","",_xlpm._hyperlink))</f>
        <v/>
      </c>
      <c r="AB65" s="1335" t="str" cm="1">
        <f t="array" ref="AB65">IFBLANK(Y65,"")</f>
        <v/>
      </c>
      <c r="AC65" s="2468" t="str" cm="1">
        <f t="array" ca="1" aca="1" ref="AC65">_xlfn.LET(_xlpm._termname,$AB65,_xlpm._iconname,"find",_xlpm._icon,fx_getIcon(_xlpm._iconname),_xlpm._location,_xlfn.XLOOKUP(LOWER(_xlpm._termname),LOWER(tbl_acctDef[Term]),tbl_acctDef[Term]),_xlpm._hyperlink,HYPERLINK("#"&amp;CELL("address",_xlpm._location),_xlpm._icon),IFERROR(_xlpm._hyperlink,""))</f>
        <v/>
      </c>
      <c r="AD65" s="2478" t="str" cm="1">
        <f t="array" ref="AD65">IF($Y65="","",_xlfn.XLOOKUP($W65&amp;$Y65,$W$249:$W$337&amp;$Y$249:$Y$338,$AD$249:$BN$338))</f>
        <v/>
      </c>
      <c r="AE65" s="2478"/>
      <c r="AF65" s="2478"/>
      <c r="AG65" s="2478"/>
      <c r="AH65" s="2478"/>
      <c r="AI65" s="2478"/>
      <c r="AJ65" s="2478"/>
      <c r="AK65" s="2478"/>
      <c r="AL65" s="2478"/>
      <c r="AM65" s="2478"/>
      <c r="AN65" s="2478"/>
      <c r="AO65" s="2478"/>
      <c r="AP65" s="2478"/>
      <c r="AQ65" s="2478"/>
      <c r="AR65" s="2478"/>
      <c r="AS65" s="2478"/>
      <c r="AT65" s="2478"/>
      <c r="AU65" s="2478"/>
      <c r="AV65" s="2478"/>
      <c r="AW65" s="2478"/>
      <c r="AX65" s="2478"/>
      <c r="AY65" s="2478"/>
      <c r="AZ65" s="2478"/>
      <c r="BA65" s="2478"/>
      <c r="BB65" s="2478"/>
      <c r="BC65" s="2478"/>
      <c r="BD65" s="2478"/>
      <c r="BE65" s="2478"/>
      <c r="BF65" s="2478"/>
      <c r="BG65" s="2478"/>
      <c r="BH65" s="2478"/>
      <c r="BI65" s="2478"/>
      <c r="BJ65" s="2478"/>
      <c r="BK65" s="2478"/>
      <c r="BL65" s="2478"/>
      <c r="BM65" s="2478"/>
      <c r="BN65" s="2478"/>
      <c r="BO65" s="2479"/>
      <c r="BP65" s="2479"/>
      <c r="BQ65" s="2479"/>
      <c r="BR65" s="2479"/>
      <c r="BS65" s="2479"/>
      <c r="BT65" s="2479"/>
      <c r="BU65" s="2479"/>
      <c r="BV65" s="2479"/>
      <c r="BW65" s="2479"/>
      <c r="BX65" s="2479"/>
      <c r="BY65" s="2479"/>
      <c r="BZ65" s="2479"/>
      <c r="CA65" s="34"/>
      <c r="CC65" s="33"/>
      <c r="CD65" s="1461" t="str" cm="1">
        <f t="array" ref="CD65">_xlfn.LET(_xlpm.CheckBlank,SUM(PL!$AD65:PL!$BN65)=0,IF(_xlpm.CheckBlank,"",SUM(_xlfn._xlws.FILTER(PL!$AD65:$BN65,(YEAR(PL!$AD$12:$BN$12)=PL!CD$12)*(array_timeline&lt;=PL!CD$11)))))</f>
        <v/>
      </c>
      <c r="CE65" s="1461" t="str" cm="1">
        <f t="array" ref="CE65">_xlfn.LET(_xlpm.CheckBlank,SUM(PL!$AD65:PL!$BN65)=0,IF(_xlpm.CheckBlank,"",SUM(_xlfn._xlws.FILTER(PL!$AD65:$BN65,(YEAR(PL!$AD$12:$BN$12)=PL!CE$12)*(array_timeline&lt;=PL!CE$11)))))</f>
        <v/>
      </c>
      <c r="CF65" s="2480"/>
      <c r="CG65" s="1461" t="str" cm="1">
        <f t="array" ref="CG65">IFERROR(_xlfn.LET(_xlpm.CheckBlank,SUM(PL!$AD65:$BN65)=0,IF(_xlpm.CheckBlank,"",SUM(_xlfn._xlws.FILTER(PL!$AD65:$BN65,(YEAR(PL!$AD$12:$BN$12)=PL!CG$12)*(array_timeline&lt;=PL!CG$11))))),"n/a")</f>
        <v/>
      </c>
      <c r="CH65" s="1461" t="str" cm="1">
        <f t="array" ref="CH65">_xlfn.LET(_xlpm.CheckBlank,SUM(PL!$AD65:$BN65)=0,IF(_xlpm.CheckBlank,"",SUM(_xlfn._xlws.FILTER(PL!$AD65:$BN65,(YEAR(PL!$AD$12:$BN$12)=PL!CH$12)*(array_timeline&lt;=PL!CH$11)))))</f>
        <v/>
      </c>
      <c r="CI65" s="88"/>
      <c r="CJ65" s="1461" t="str" cm="1">
        <f t="array" ref="CJ65">_xlfn.LET(_xlpm.CheckBlank,SUM(PL!$AD65:$BN65)=0,IF(_xlpm.CheckBlank,"",SUM(_xlfn.TAKE(_xlfn.DROP(PL!$AD65:$BN65,,-DATEDIFF(PL!CJ$11,val_asOfDate,"M")),1,-12))))</f>
        <v/>
      </c>
      <c r="CK65" s="1461" t="str" cm="1">
        <f t="array" ref="CK65">_xlfn.LET(_xlpm.CheckBlank,SUM(PL!$AD65:$BN65)=0,IF(_xlpm.CheckBlank,"",SUM(_xlfn.TAKE(_xlfn.DROP(PL!$AD65:$BN65,,-DATEDIFF(PL!CK$11,val_asOfDate,"M")),1,-12))))</f>
        <v/>
      </c>
      <c r="CL65" s="88"/>
      <c r="CM65" s="2357" t="str" cm="1">
        <f t="array" ref="CM65">IF($Y65="","",_xlfn.XLOOKUP($W65&amp;$Y65,$W$250:$W$338&amp;$Y$250:$Y$338,$CM$250:$CN$338))</f>
        <v/>
      </c>
      <c r="CN65" s="2357"/>
      <c r="CO65" s="3"/>
      <c r="CP65" s="2357" t="str" cm="1">
        <f t="array" ref="CP65">IF($Y65="","",_xlfn.XLOOKUP($W65&amp;$Y65,$W$250:$W$338&amp;$Y$250:$Y$338,$CP$250:$CQ$338))</f>
        <v/>
      </c>
      <c r="CQ65" s="2357"/>
      <c r="CR65" s="34"/>
      <c r="CS65" s="2056"/>
      <c r="CT65" s="2616"/>
      <c r="CU65" s="2616"/>
      <c r="CV65" s="2616"/>
      <c r="CW65" s="2616"/>
      <c r="CX65" s="2443"/>
      <c r="CY65" s="2444" t="str" cm="1">
        <f t="array" ref="CY65">IFERROR(IF(CM65*fxVal_normal=_PL!CM69,"",IF(OR($CM65="",$CM65=0,NOT(ISNUMBER($CM65)),ISERROR($CM65),$B65=""),"",IF($I65=1,IFBLANK(_xldudf_CX_PUSH($CM65*fxVal_normal,CX_ENTITY,$B65,$CM$11,$CM$14,$CM$19,),""),IF($I65=2,IFBLANK(_xldudf_CX_PUSH($CM65,CX_ENTITY,$B65,$CM$11,$CM$14,$CM$19,),""),IF($I65=3,"",IFBLANK(_xldudf_CX_PUSH($CM65,CX_ENTITY,$B65,$CM$11,$CM$14,$CM$19,),"")))))),"")</f>
        <v/>
      </c>
      <c r="CZ65" s="2444" t="str" cm="1">
        <f t="array" ref="CZ65">IFERROR(IF(CN65*fxVal_normal=_PL!CN69,"",IF(OR($CN65="",$CN65=0,NOT(ISNUMBER($CN65)),ISERROR($CN65),$B65=""),"",IF($I65=1,IFBLANK(_xldudf_CX_PUSH($CN65*fxVal_normal,CX_ENTITY,$B65,$CN$11,$CN$14,$CN$19,),""),IF($I65=2,IFBLANK(_xldudf_CX_PUSH($CN65,CX_ENTITY,$B65,$CN$11,$CN$14,$CN$19,),""),IF($I65=3,"",IFBLANK(_xldudf_CX_PUSH($CN65,CX_ENTITY,$B65,$CN$11,$CN$14,$CN$19,),"")))))),"")</f>
        <v/>
      </c>
      <c r="DA65" s="2444" t="str" cm="1">
        <f t="array" ref="DA65">IFERROR(IF(CP65*fxVal_normal=_PL!CP69,"",IF(OR($CP65="",$CP65=0,NOT(ISNUMBER($CP65)),ISERROR($CP65),$B65=""),"",IF($I65=1,IFBLANK(_xldudf_CX_PUSH($CP65*fxVal_normal,CX_ENTITY,$B65,$CP$11,$CP$14,$CP$19,),""),IF($I65=2,IFBLANK(_xldudf_CX_PUSH($CP65,CX_ENTITY,$B65,$CP$11,$CP$14,$CP$19,),""),IF($I65=3,"",IFBLANK(_xldudf_CX_PUSH($CP65,CX_ENTITY,$B65,$CP$11,$CP$14,$CP$19,),"")))))),"")</f>
        <v/>
      </c>
      <c r="DB65" s="2444" t="str" cm="1">
        <f t="array" ref="DB65">IFERROR(IF(CQ65*fxVal_normal=_PL!CQ69,"",IF(OR($CQ65="",$CQ65=0,NOT(ISNUMBER($CQ65)),ISERROR($CQ65),$B65=""),"",IF($I65=1,IFBLANK(_xldudf_CX_PUSH($CQ65*fxVal_normal,CX_ENTITY,$B65,$CQ$11,$CQ$14,$CQ$19,),""),IF($I65=2,IFBLANK(_xldudf_CX_PUSH($CQ65,CX_ENTITY,$B65,$CQ$11,$CQ$14,$CQ$19,),""),IF($I65=3,"",IFBLANK(_xldudf_CX_PUSH($CQ65,CX_ENTITY,$B65,$CQ$11,$CQ$14,$CQ$19,),"")))))),"")</f>
        <v/>
      </c>
      <c r="DC65" s="2443"/>
      <c r="DD65" s="2445" t="str" cm="1">
        <f t="array" ref="DD65">IFERROR(IF(AD65*fxVal_normal=_PL!AD69,"",IF(OR(AD65="",NOT(ISNUMBER(AD65)),ISERROR(AD65),$B65=""),"",IF($I65=1,IFBLANK(_xldudf_CX_PUSH(AD65*fxVal_normal,CX_ENTITY,$B65,AD$11,AD$14,AD$19,),""),IF($I65=2,IFBLANK(_xldudf_CX_PUSH(AD65,CX_ENTITY,$B65,AD$11,AD$14,AD$19,),""),IF($I65=3,"",IFBLANK(_xldudf_CX_PUSH(AD65,CX_ENTITY,$B65,AD$11,AD$14,AD$19,),"")))))),"")</f>
        <v/>
      </c>
      <c r="DE65" s="2445" t="str" cm="1">
        <f t="array" ref="DE65">IFERROR(IF(AE65*fxVal_normal=_PL!AE69,"",IF(OR(AE65="",NOT(ISNUMBER(AE65)),ISERROR(AE65),$B65=""),"",IF($I65=1,IFBLANK(_xldudf_CX_PUSH(AE65*fxVal_normal,CX_ENTITY,$B65,AE$11,AE$14,AE$19,),""),IF($I65=2,IFBLANK(_xldudf_CX_PUSH(AE65,CX_ENTITY,$B65,AE$11,AE$14,AE$19,),""),IF($I65=3,"",IFBLANK(_xldudf_CX_PUSH(AE65,CX_ENTITY,$B65,AE$11,AE$14,AE$19,),"")))))),"")</f>
        <v/>
      </c>
      <c r="DF65" s="2445" t="str" cm="1">
        <f t="array" ref="DF65">IFERROR(IF(AF65*fxVal_normal=_PL!AF69,"",IF(OR(AF65="",NOT(ISNUMBER(AF65)),ISERROR(AF65),$B65=""),"",IF($I65=1,IFBLANK(_xldudf_CX_PUSH(AF65*fxVal_normal,CX_ENTITY,$B65,AF$11,AF$14,AF$19,),""),IF($I65=2,IFBLANK(_xldudf_CX_PUSH(AF65,CX_ENTITY,$B65,AF$11,AF$14,AF$19,),""),IF($I65=3,"",IFBLANK(_xldudf_CX_PUSH(AF65,CX_ENTITY,$B65,AF$11,AF$14,AF$19,),"")))))),"")</f>
        <v/>
      </c>
      <c r="DG65" s="2445" t="str" cm="1">
        <f t="array" ref="DG65">IFERROR(IF(AG65*fxVal_normal=_PL!AG69,"",IF(OR(AG65="",NOT(ISNUMBER(AG65)),ISERROR(AG65),$B65=""),"",IF($I65=1,IFBLANK(_xldudf_CX_PUSH(AG65*fxVal_normal,CX_ENTITY,$B65,AG$11,AG$14,AG$19,),""),IF($I65=2,IFBLANK(_xldudf_CX_PUSH(AG65,CX_ENTITY,$B65,AG$11,AG$14,AG$19,),""),IF($I65=3,"",IFBLANK(_xldudf_CX_PUSH(AG65,CX_ENTITY,$B65,AG$11,AG$14,AG$19,),"")))))),"")</f>
        <v/>
      </c>
      <c r="DH65" s="2445" t="str" cm="1">
        <f t="array" ref="DH65">IFERROR(IF(AH65*fxVal_normal=_PL!AH69,"",IF(OR(AH65="",NOT(ISNUMBER(AH65)),ISERROR(AH65),$B65=""),"",IF($I65=1,IFBLANK(_xldudf_CX_PUSH(AH65*fxVal_normal,CX_ENTITY,$B65,AH$11,AH$14,AH$19,),""),IF($I65=2,IFBLANK(_xldudf_CX_PUSH(AH65,CX_ENTITY,$B65,AH$11,AH$14,AH$19,),""),IF($I65=3,"",IFBLANK(_xldudf_CX_PUSH(AH65,CX_ENTITY,$B65,AH$11,AH$14,AH$19,),"")))))),"")</f>
        <v/>
      </c>
      <c r="DI65" s="2445" t="str" cm="1">
        <f t="array" ref="DI65">IFERROR(IF(AI65*fxVal_normal=_PL!AI69,"",IF(OR(AI65="",NOT(ISNUMBER(AI65)),ISERROR(AI65),$B65=""),"",IF($I65=1,IFBLANK(_xldudf_CX_PUSH(AI65*fxVal_normal,CX_ENTITY,$B65,AI$11,AI$14,AI$19,),""),IF($I65=2,IFBLANK(_xldudf_CX_PUSH(AI65,CX_ENTITY,$B65,AI$11,AI$14,AI$19,),""),IF($I65=3,"",IFBLANK(_xldudf_CX_PUSH(AI65,CX_ENTITY,$B65,AI$11,AI$14,AI$19,),"")))))),"")</f>
        <v/>
      </c>
      <c r="DJ65" s="2445" t="str" cm="1">
        <f t="array" ref="DJ65">IFERROR(IF(AJ65*fxVal_normal=_PL!AJ69,"",IF(OR(AJ65="",NOT(ISNUMBER(AJ65)),ISERROR(AJ65),$B65=""),"",IF($I65=1,IFBLANK(_xldudf_CX_PUSH(AJ65*fxVal_normal,CX_ENTITY,$B65,AJ$11,AJ$14,AJ$19,),""),IF($I65=2,IFBLANK(_xldudf_CX_PUSH(AJ65,CX_ENTITY,$B65,AJ$11,AJ$14,AJ$19,),""),IF($I65=3,"",IFBLANK(_xldudf_CX_PUSH(AJ65,CX_ENTITY,$B65,AJ$11,AJ$14,AJ$19,),"")))))),"")</f>
        <v/>
      </c>
      <c r="DK65" s="2445" t="str" cm="1">
        <f t="array" ref="DK65">IFERROR(IF(AK65*fxVal_normal=_PL!AK69,"",IF(OR(AK65="",NOT(ISNUMBER(AK65)),ISERROR(AK65),$B65=""),"",IF($I65=1,IFBLANK(_xldudf_CX_PUSH(AK65*fxVal_normal,CX_ENTITY,$B65,AK$11,AK$14,AK$19,),""),IF($I65=2,IFBLANK(_xldudf_CX_PUSH(AK65,CX_ENTITY,$B65,AK$11,AK$14,AK$19,),""),IF($I65=3,"",IFBLANK(_xldudf_CX_PUSH(AK65,CX_ENTITY,$B65,AK$11,AK$14,AK$19,),"")))))),"")</f>
        <v/>
      </c>
      <c r="DL65" s="2445" t="str" cm="1">
        <f t="array" ref="DL65">IFERROR(IF(AL65*fxVal_normal=_PL!AL69,"",IF(OR(AL65="",NOT(ISNUMBER(AL65)),ISERROR(AL65),$B65=""),"",IF($I65=1,IFBLANK(_xldudf_CX_PUSH(AL65*fxVal_normal,CX_ENTITY,$B65,AL$11,AL$14,AL$19,),""),IF($I65=2,IFBLANK(_xldudf_CX_PUSH(AL65,CX_ENTITY,$B65,AL$11,AL$14,AL$19,),""),IF($I65=3,"",IFBLANK(_xldudf_CX_PUSH(AL65,CX_ENTITY,$B65,AL$11,AL$14,AL$19,),"")))))),"")</f>
        <v/>
      </c>
      <c r="DM65" s="2445" t="str" cm="1">
        <f t="array" ref="DM65">IFERROR(IF(AM65*fxVal_normal=_PL!AM69,"",IF(OR(AM65="",NOT(ISNUMBER(AM65)),ISERROR(AM65),$B65=""),"",IF($I65=1,IFBLANK(_xldudf_CX_PUSH(AM65*fxVal_normal,CX_ENTITY,$B65,AM$11,AM$14,AM$19,),""),IF($I65=2,IFBLANK(_xldudf_CX_PUSH(AM65,CX_ENTITY,$B65,AM$11,AM$14,AM$19,),""),IF($I65=3,"",IFBLANK(_xldudf_CX_PUSH(AM65,CX_ENTITY,$B65,AM$11,AM$14,AM$19,),"")))))),"")</f>
        <v/>
      </c>
      <c r="DN65" s="2445" t="str" cm="1">
        <f t="array" ref="DN65">IFERROR(IF(AN65*fxVal_normal=_PL!AN69,"",IF(OR(AN65="",NOT(ISNUMBER(AN65)),ISERROR(AN65),$B65=""),"",IF($I65=1,IFBLANK(_xldudf_CX_PUSH(AN65*fxVal_normal,CX_ENTITY,$B65,AN$11,AN$14,AN$19,),""),IF($I65=2,IFBLANK(_xldudf_CX_PUSH(AN65,CX_ENTITY,$B65,AN$11,AN$14,AN$19,),""),IF($I65=3,"",IFBLANK(_xldudf_CX_PUSH(AN65,CX_ENTITY,$B65,AN$11,AN$14,AN$19,),"")))))),"")</f>
        <v/>
      </c>
      <c r="DO65" s="2445" t="str" cm="1">
        <f t="array" ref="DO65">IFERROR(IF(AO65*fxVal_normal=_PL!AO69,"",IF(OR(AO65="",NOT(ISNUMBER(AO65)),ISERROR(AO65),$B65=""),"",IF($I65=1,IFBLANK(_xldudf_CX_PUSH(AO65*fxVal_normal,CX_ENTITY,$B65,AO$11,AO$14,AO$19,),""),IF($I65=2,IFBLANK(_xldudf_CX_PUSH(AO65,CX_ENTITY,$B65,AO$11,AO$14,AO$19,),""),IF($I65=3,"",IFBLANK(_xldudf_CX_PUSH(AO65,CX_ENTITY,$B65,AO$11,AO$14,AO$19,),"")))))),"")</f>
        <v/>
      </c>
      <c r="DP65" s="2445" t="str" cm="1">
        <f t="array" ref="DP65">IFERROR(IF(AP65*fxVal_normal=_PL!AP69,"",IF(OR(AP65="",NOT(ISNUMBER(AP65)),ISERROR(AP65),$B65=""),"",IF($I65=1,IFBLANK(_xldudf_CX_PUSH(AP65*fxVal_normal,CX_ENTITY,$B65,AP$11,AP$14,AP$19,),""),IF($I65=2,IFBLANK(_xldudf_CX_PUSH(AP65,CX_ENTITY,$B65,AP$11,AP$14,AP$19,),""),IF($I65=3,"",IFBLANK(_xldudf_CX_PUSH(AP65,CX_ENTITY,$B65,AP$11,AP$14,AP$19,),"")))))),"")</f>
        <v/>
      </c>
      <c r="DQ65" s="2445" t="str" cm="1">
        <f t="array" ref="DQ65">IFERROR(IF(AQ65*fxVal_normal=_PL!AQ69,"",IF(OR(AQ65="",NOT(ISNUMBER(AQ65)),ISERROR(AQ65),$B65=""),"",IF($I65=1,IFBLANK(_xldudf_CX_PUSH(AQ65*fxVal_normal,CX_ENTITY,$B65,AQ$11,AQ$14,AQ$19,),""),IF($I65=2,IFBLANK(_xldudf_CX_PUSH(AQ65,CX_ENTITY,$B65,AQ$11,AQ$14,AQ$19,),""),IF($I65=3,"",IFBLANK(_xldudf_CX_PUSH(AQ65,CX_ENTITY,$B65,AQ$11,AQ$14,AQ$19,),"")))))),"")</f>
        <v/>
      </c>
      <c r="DR65" s="2445" t="str" cm="1">
        <f t="array" ref="DR65">IFERROR(IF(AR65*fxVal_normal=_PL!AR69,"",IF(OR(AR65="",NOT(ISNUMBER(AR65)),ISERROR(AR65),$B65=""),"",IF($I65=1,IFBLANK(_xldudf_CX_PUSH(AR65*fxVal_normal,CX_ENTITY,$B65,AR$11,AR$14,AR$19,),""),IF($I65=2,IFBLANK(_xldudf_CX_PUSH(AR65,CX_ENTITY,$B65,AR$11,AR$14,AR$19,),""),IF($I65=3,"",IFBLANK(_xldudf_CX_PUSH(AR65,CX_ENTITY,$B65,AR$11,AR$14,AR$19,),"")))))),"")</f>
        <v/>
      </c>
      <c r="DS65" s="2445" t="str" cm="1">
        <f t="array" ref="DS65">IFERROR(IF(AS65*fxVal_normal=_PL!AS69,"",IF(OR(AS65="",NOT(ISNUMBER(AS65)),ISERROR(AS65),$B65=""),"",IF($I65=1,IFBLANK(_xldudf_CX_PUSH(AS65*fxVal_normal,CX_ENTITY,$B65,AS$11,AS$14,AS$19,),""),IF($I65=2,IFBLANK(_xldudf_CX_PUSH(AS65,CX_ENTITY,$B65,AS$11,AS$14,AS$19,),""),IF($I65=3,"",IFBLANK(_xldudf_CX_PUSH(AS65,CX_ENTITY,$B65,AS$11,AS$14,AS$19,),"")))))),"")</f>
        <v/>
      </c>
      <c r="DT65" s="2445" t="str" cm="1">
        <f t="array" ref="DT65">IFERROR(IF(AT65*fxVal_normal=_PL!AT69,"",IF(OR(AT65="",NOT(ISNUMBER(AT65)),ISERROR(AT65),$B65=""),"",IF($I65=1,IFBLANK(_xldudf_CX_PUSH(AT65*fxVal_normal,CX_ENTITY,$B65,AT$11,AT$14,AT$19,),""),IF($I65=2,IFBLANK(_xldudf_CX_PUSH(AT65,CX_ENTITY,$B65,AT$11,AT$14,AT$19,),""),IF($I65=3,"",IFBLANK(_xldudf_CX_PUSH(AT65,CX_ENTITY,$B65,AT$11,AT$14,AT$19,),"")))))),"")</f>
        <v/>
      </c>
      <c r="DU65" s="2445" t="str" cm="1">
        <f t="array" ref="DU65">IFERROR(IF(AU65*fxVal_normal=_PL!AU69,"",IF(OR(AU65="",NOT(ISNUMBER(AU65)),ISERROR(AU65),$B65=""),"",IF($I65=1,IFBLANK(_xldudf_CX_PUSH(AU65*fxVal_normal,CX_ENTITY,$B65,AU$11,AU$14,AU$19,),""),IF($I65=2,IFBLANK(_xldudf_CX_PUSH(AU65,CX_ENTITY,$B65,AU$11,AU$14,AU$19,),""),IF($I65=3,"",IFBLANK(_xldudf_CX_PUSH(AU65,CX_ENTITY,$B65,AU$11,AU$14,AU$19,),"")))))),"")</f>
        <v/>
      </c>
      <c r="DV65" s="2445" t="str" cm="1">
        <f t="array" ref="DV65">IFERROR(IF(AV65*fxVal_normal=_PL!AV69,"",IF(OR(AV65="",NOT(ISNUMBER(AV65)),ISERROR(AV65),$B65=""),"",IF($I65=1,IFBLANK(_xldudf_CX_PUSH(AV65*fxVal_normal,CX_ENTITY,$B65,AV$11,AV$14,AV$19,),""),IF($I65=2,IFBLANK(_xldudf_CX_PUSH(AV65,CX_ENTITY,$B65,AV$11,AV$14,AV$19,),""),IF($I65=3,"",IFBLANK(_xldudf_CX_PUSH(AV65,CX_ENTITY,$B65,AV$11,AV$14,AV$19,),"")))))),"")</f>
        <v/>
      </c>
      <c r="DW65" s="2445" t="str" cm="1">
        <f t="array" ref="DW65">IFERROR(IF(AW65*fxVal_normal=_PL!AW69,"",IF(OR(AW65="",NOT(ISNUMBER(AW65)),ISERROR(AW65),$B65=""),"",IF($I65=1,IFBLANK(_xldudf_CX_PUSH(AW65*fxVal_normal,CX_ENTITY,$B65,AW$11,AW$14,AW$19,),""),IF($I65=2,IFBLANK(_xldudf_CX_PUSH(AW65,CX_ENTITY,$B65,AW$11,AW$14,AW$19,),""),IF($I65=3,"",IFBLANK(_xldudf_CX_PUSH(AW65,CX_ENTITY,$B65,AW$11,AW$14,AW$19,),"")))))),"")</f>
        <v/>
      </c>
      <c r="DX65" s="2445" t="str" cm="1">
        <f t="array" ref="DX65">IFERROR(IF(AX65*fxVal_normal=_PL!AX69,"",IF(OR(AX65="",NOT(ISNUMBER(AX65)),ISERROR(AX65),$B65=""),"",IF($I65=1,IFBLANK(_xldudf_CX_PUSH(AX65*fxVal_normal,CX_ENTITY,$B65,AX$11,AX$14,AX$19,),""),IF($I65=2,IFBLANK(_xldudf_CX_PUSH(AX65,CX_ENTITY,$B65,AX$11,AX$14,AX$19,),""),IF($I65=3,"",IFBLANK(_xldudf_CX_PUSH(AX65,CX_ENTITY,$B65,AX$11,AX$14,AX$19,),"")))))),"")</f>
        <v/>
      </c>
      <c r="DY65" s="2445" t="str" cm="1">
        <f t="array" ref="DY65">IFERROR(IF(AY65*fxVal_normal=_PL!AY69,"",IF(OR(AY65="",NOT(ISNUMBER(AY65)),ISERROR(AY65),$B65=""),"",IF($I65=1,IFBLANK(_xldudf_CX_PUSH(AY65*fxVal_normal,CX_ENTITY,$B65,AY$11,AY$14,AY$19,),""),IF($I65=2,IFBLANK(_xldudf_CX_PUSH(AY65,CX_ENTITY,$B65,AY$11,AY$14,AY$19,),""),IF($I65=3,"",IFBLANK(_xldudf_CX_PUSH(AY65,CX_ENTITY,$B65,AY$11,AY$14,AY$19,),"")))))),"")</f>
        <v/>
      </c>
      <c r="DZ65" s="2445" t="str" cm="1">
        <f t="array" ref="DZ65">IFERROR(IF(AZ65*fxVal_normal=_PL!AZ69,"",IF(OR(AZ65="",NOT(ISNUMBER(AZ65)),ISERROR(AZ65),$B65=""),"",IF($I65=1,IFBLANK(_xldudf_CX_PUSH(AZ65*fxVal_normal,CX_ENTITY,$B65,AZ$11,AZ$14,AZ$19,),""),IF($I65=2,IFBLANK(_xldudf_CX_PUSH(AZ65,CX_ENTITY,$B65,AZ$11,AZ$14,AZ$19,),""),IF($I65=3,"",IFBLANK(_xldudf_CX_PUSH(AZ65,CX_ENTITY,$B65,AZ$11,AZ$14,AZ$19,),"")))))),"")</f>
        <v/>
      </c>
      <c r="EA65" s="2445" t="str" cm="1">
        <f t="array" ref="EA65">IFERROR(IF(BA65*fxVal_normal=_PL!BA69,"",IF(OR(BA65="",NOT(ISNUMBER(BA65)),ISERROR(BA65),$B65=""),"",IF($I65=1,IFBLANK(_xldudf_CX_PUSH(BA65*fxVal_normal,CX_ENTITY,$B65,BA$11,BA$14,BA$19,),""),IF($I65=2,IFBLANK(_xldudf_CX_PUSH(BA65,CX_ENTITY,$B65,BA$11,BA$14,BA$19,),""),IF($I65=3,"",IFBLANK(_xldudf_CX_PUSH(BA65,CX_ENTITY,$B65,BA$11,BA$14,BA$19,),"")))))),"")</f>
        <v/>
      </c>
      <c r="EB65" s="2445" t="str" cm="1">
        <f t="array" ref="EB65">IFERROR(IF(BB65*fxVal_normal=_PL!BB69,"",IF(OR(BB65="",NOT(ISNUMBER(BB65)),ISERROR(BB65),$B65=""),"",IF($I65=1,IFBLANK(_xldudf_CX_PUSH(BB65*fxVal_normal,CX_ENTITY,$B65,BB$11,BB$14,BB$19,),""),IF($I65=2,IFBLANK(_xldudf_CX_PUSH(BB65,CX_ENTITY,$B65,BB$11,BB$14,BB$19,),""),IF($I65=3,"",IFBLANK(_xldudf_CX_PUSH(BB65,CX_ENTITY,$B65,BB$11,BB$14,BB$19,),"")))))),"")</f>
        <v/>
      </c>
      <c r="EC65" s="2445" t="str" cm="1">
        <f t="array" ref="EC65">IFERROR(IF(BC65*fxVal_normal=_PL!BC69,"",IF(OR(BC65="",NOT(ISNUMBER(BC65)),ISERROR(BC65),$B65=""),"",IF($I65=1,IFBLANK(_xldudf_CX_PUSH(BC65*fxVal_normal,CX_ENTITY,$B65,BC$11,BC$14,BC$19,),""),IF($I65=2,IFBLANK(_xldudf_CX_PUSH(BC65,CX_ENTITY,$B65,BC$11,BC$14,BC$19,),""),IF($I65=3,"",IFBLANK(_xldudf_CX_PUSH(BC65,CX_ENTITY,$B65,BC$11,BC$14,BC$19,),"")))))),"")</f>
        <v/>
      </c>
      <c r="ED65" s="2445" t="str" cm="1">
        <f t="array" ref="ED65">IFERROR(IF(BD65*fxVal_normal=_PL!BD69,"",IF(OR(BD65="",NOT(ISNUMBER(BD65)),ISERROR(BD65),$B65=""),"",IF($I65=1,IFBLANK(_xldudf_CX_PUSH(BD65*fxVal_normal,CX_ENTITY,$B65,BD$11,BD$14,BD$19,),""),IF($I65=2,IFBLANK(_xldudf_CX_PUSH(BD65,CX_ENTITY,$B65,BD$11,BD$14,BD$19,),""),IF($I65=3,"",IFBLANK(_xldudf_CX_PUSH(BD65,CX_ENTITY,$B65,BD$11,BD$14,BD$19,),"")))))),"")</f>
        <v/>
      </c>
      <c r="EE65" s="2445" t="str" cm="1">
        <f t="array" ref="EE65">IFERROR(IF(BE65*fxVal_normal=_PL!BE69,"",IF(OR(BE65="",NOT(ISNUMBER(BE65)),ISERROR(BE65),$B65=""),"",IF($I65=1,IFBLANK(_xldudf_CX_PUSH(BE65*fxVal_normal,CX_ENTITY,$B65,BE$11,BE$14,BE$19,),""),IF($I65=2,IFBLANK(_xldudf_CX_PUSH(BE65,CX_ENTITY,$B65,BE$11,BE$14,BE$19,),""),IF($I65=3,"",IFBLANK(_xldudf_CX_PUSH(BE65,CX_ENTITY,$B65,BE$11,BE$14,BE$19,),"")))))),"")</f>
        <v/>
      </c>
      <c r="EF65" s="2445" t="str" cm="1">
        <f t="array" ref="EF65">IFERROR(IF(BF65*fxVal_normal=_PL!BF69,"",IF(OR(BF65="",NOT(ISNUMBER(BF65)),ISERROR(BF65),$B65=""),"",IF($I65=1,IFBLANK(_xldudf_CX_PUSH(BF65*fxVal_normal,CX_ENTITY,$B65,BF$11,BF$14,BF$19,),""),IF($I65=2,IFBLANK(_xldudf_CX_PUSH(BF65,CX_ENTITY,$B65,BF$11,BF$14,BF$19,),""),IF($I65=3,"",IFBLANK(_xldudf_CX_PUSH(BF65,CX_ENTITY,$B65,BF$11,BF$14,BF$19,),"")))))),"")</f>
        <v/>
      </c>
      <c r="EG65" s="2445" t="str" cm="1">
        <f t="array" ref="EG65">IFERROR(IF(BG65*fxVal_normal=_PL!BG69,"",IF(OR(BG65="",NOT(ISNUMBER(BG65)),ISERROR(BG65),$B65=""),"",IF($I65=1,IFBLANK(_xldudf_CX_PUSH(BG65*fxVal_normal,CX_ENTITY,$B65,BG$11,BG$14,BG$19,),""),IF($I65=2,IFBLANK(_xldudf_CX_PUSH(BG65,CX_ENTITY,$B65,BG$11,BG$14,BG$19,),""),IF($I65=3,"",IFBLANK(_xldudf_CX_PUSH(BG65,CX_ENTITY,$B65,BG$11,BG$14,BG$19,),"")))))),"")</f>
        <v/>
      </c>
      <c r="EH65" s="2445" t="str" cm="1">
        <f t="array" ref="EH65">IFERROR(IF(BH65*fxVal_normal=_PL!BH69,"",IF(OR(BH65="",NOT(ISNUMBER(BH65)),ISERROR(BH65),$B65=""),"",IF($I65=1,IFBLANK(_xldudf_CX_PUSH(BH65*fxVal_normal,CX_ENTITY,$B65,BH$11,BH$14,BH$19,),""),IF($I65=2,IFBLANK(_xldudf_CX_PUSH(BH65,CX_ENTITY,$B65,BH$11,BH$14,BH$19,),""),IF($I65=3,"",IFBLANK(_xldudf_CX_PUSH(BH65,CX_ENTITY,$B65,BH$11,BH$14,BH$19,),"")))))),"")</f>
        <v/>
      </c>
      <c r="EI65" s="2445" t="str" cm="1">
        <f t="array" ref="EI65">IFERROR(IF(BI65*fxVal_normal=_PL!BI69,"",IF(OR(BI65="",NOT(ISNUMBER(BI65)),ISERROR(BI65),$B65=""),"",IF($I65=1,IFBLANK(_xldudf_CX_PUSH(BI65*fxVal_normal,CX_ENTITY,$B65,BI$11,BI$14,BI$19,),""),IF($I65=2,IFBLANK(_xldudf_CX_PUSH(BI65,CX_ENTITY,$B65,BI$11,BI$14,BI$19,),""),IF($I65=3,"",IFBLANK(_xldudf_CX_PUSH(BI65,CX_ENTITY,$B65,BI$11,BI$14,BI$19,),"")))))),"")</f>
        <v/>
      </c>
      <c r="EJ65" s="2445" t="str" cm="1">
        <f t="array" ref="EJ65">IFERROR(IF(BJ65*fxVal_normal=_PL!BJ69,"",IF(OR(BJ65="",NOT(ISNUMBER(BJ65)),ISERROR(BJ65),$B65=""),"",IF($I65=1,IFBLANK(_xldudf_CX_PUSH(BJ65*fxVal_normal,CX_ENTITY,$B65,BJ$11,BJ$14,BJ$19,),""),IF($I65=2,IFBLANK(_xldudf_CX_PUSH(BJ65,CX_ENTITY,$B65,BJ$11,BJ$14,BJ$19,),""),IF($I65=3,"",IFBLANK(_xldudf_CX_PUSH(BJ65,CX_ENTITY,$B65,BJ$11,BJ$14,BJ$19,),"")))))),"")</f>
        <v/>
      </c>
      <c r="EK65" s="2445" t="str" cm="1">
        <f t="array" ref="EK65">IFERROR(IF(BK65*fxVal_normal=_PL!BK69,"",IF(OR(BK65="",NOT(ISNUMBER(BK65)),ISERROR(BK65),$B65=""),"",IF($I65=1,IFBLANK(_xldudf_CX_PUSH(BK65*fxVal_normal,CX_ENTITY,$B65,BK$11,BK$14,BK$19,),""),IF($I65=2,IFBLANK(_xldudf_CX_PUSH(BK65,CX_ENTITY,$B65,BK$11,BK$14,BK$19,),""),IF($I65=3,"",IFBLANK(_xldudf_CX_PUSH(BK65,CX_ENTITY,$B65,BK$11,BK$14,BK$19,),"")))))),"")</f>
        <v/>
      </c>
      <c r="EL65" s="2445" t="str" cm="1">
        <f t="array" ref="EL65">IFERROR(IF(BL65*fxVal_normal=_PL!BL69,"",IF(OR(BL65="",NOT(ISNUMBER(BL65)),ISERROR(BL65),$B65=""),"",IF($I65=1,IFBLANK(_xldudf_CX_PUSH(BL65*fxVal_normal,CX_ENTITY,$B65,BL$11,BL$14,BL$19,),""),IF($I65=2,IFBLANK(_xldudf_CX_PUSH(BL65,CX_ENTITY,$B65,BL$11,BL$14,BL$19,),""),IF($I65=3,"",IFBLANK(_xldudf_CX_PUSH(BL65,CX_ENTITY,$B65,BL$11,BL$14,BL$19,),"")))))),"")</f>
        <v/>
      </c>
      <c r="EM65" s="2445" t="str" cm="1">
        <f t="array" ref="EM65">IFERROR(IF(BM65*fxVal_normal=_PL!BM69,"",IF(OR(BM65="",NOT(ISNUMBER(BM65)),ISERROR(BM65),$B65=""),"",IF($I65=1,IFBLANK(_xldudf_CX_PUSH(BM65*fxVal_normal,CX_ENTITY,$B65,BM$11,BM$14,BM$19,),""),IF($I65=2,IFBLANK(_xldudf_CX_PUSH(BM65,CX_ENTITY,$B65,BM$11,BM$14,BM$19,),""),IF($I65=3,"",IFBLANK(_xldudf_CX_PUSH(BM65,CX_ENTITY,$B65,BM$11,BM$14,BM$19,),"")))))),"")</f>
        <v/>
      </c>
      <c r="EN65" s="2445" t="str" cm="1">
        <f t="array" ref="EN65">IFERROR(IF(BN65*fxVal_normal=_PL!BN69,"",IF(OR(BN65="",NOT(ISNUMBER(BN65)),ISERROR(BN65),$B65=""),"",IF($I65=1,IFBLANK(_xldudf_CX_PUSH(BN65*fxVal_normal,CX_ENTITY,$B65,BN$11,BN$14,BN$19,),""),IF($I65=2,IFBLANK(_xldudf_CX_PUSH(BN65,CX_ENTITY,$B65,BN$11,BN$14,BN$19,),""),IF($I65=3,"",IFBLANK(_xldudf_CX_PUSH(BN65,CX_ENTITY,$B65,BN$11,BN$14,BN$19,),"")))))),"")</f>
        <v/>
      </c>
    </row>
    <row r="66" spans="1:144" ht="21" customHeight="1">
      <c r="A66" s="2449" t="s">
        <v>22</v>
      </c>
      <c r="B66" s="2439" t="str">
        <f>_xlfn.LET(_xlpm.IsNotAttrDynamic,D66="",_xlpm.Attr,_PL!F66,_xlpm.NotInUse,Y66=D66,_xlpm.RESULT,IF(_xlpm.IsNotAttrDynamic,_xlpm.Attr,IF(_xlpm.NotInUse,"",Y66)),IF(_xlpm.RESULT="","",_xlpm.RESULT))</f>
        <v>Custom Metric Amount 10 [Calculated]</v>
      </c>
      <c r="C66" s="2439" t="str" cm="1">
        <f t="array" ref="C66">IFBLANK(_PL!C66,"")</f>
        <v>Custom Metric - Label 10 [Calculated]</v>
      </c>
      <c r="D66" s="2451"/>
      <c r="E66" s="575" t="str">
        <f t="shared" si="19"/>
        <v/>
      </c>
      <c r="F66" s="576"/>
      <c r="G66" s="576"/>
      <c r="H66" s="3277">
        <v>1</v>
      </c>
      <c r="I66" s="3277">
        <v>1</v>
      </c>
      <c r="J66" s="401" t="str" cm="1">
        <f t="array" ref="J66">IFBLANK(Z66,"")</f>
        <v/>
      </c>
      <c r="K66" s="578" t="str">
        <f t="shared" si="21"/>
        <v>No</v>
      </c>
      <c r="L66" s="37"/>
      <c r="N66" s="158"/>
      <c r="O66" s="101"/>
      <c r="P66" s="52"/>
      <c r="Q66" s="101"/>
      <c r="R66" s="539"/>
      <c r="S66" s="101"/>
      <c r="T66" s="2"/>
      <c r="U66" s="39"/>
      <c r="V66" s="37"/>
      <c r="W66" s="91" t="str">
        <f t="shared" si="18"/>
        <v>Actual</v>
      </c>
      <c r="X66" s="2081" t="e">
        <f ca="1">_PL!X66</f>
        <v>#NAME?</v>
      </c>
      <c r="Y66" s="2371" t="str" cm="1">
        <f t="array" ref="Y66">IFBLANK(_PL!Y70,"")</f>
        <v/>
      </c>
      <c r="Z66" s="538" t="str">
        <f t="shared" si="20"/>
        <v/>
      </c>
      <c r="AA66" s="787" t="str" cm="1">
        <f t="array" ca="1" aca="1" ref="AA66">_xlfn.LET(_xlpm._termname,$Y66,_xlpm._icon,"Define",_xlpm._location,_xlfn.XLOOKUP(_xlpm._termname,$Y$249:$Y$338,$Y$249:$Y$338),_xlpm._hyperlink,HYPERLINK("#"&amp;CELL("address",_xlpm._location),_xlpm._icon),IF(Y66="","",_xlpm._hyperlink))</f>
        <v/>
      </c>
      <c r="AB66" s="1335" t="str" cm="1">
        <f t="array" ref="AB66">IFBLANK(Y66,"")</f>
        <v/>
      </c>
      <c r="AC66" s="2468" t="str" cm="1">
        <f t="array" ca="1" aca="1" ref="AC66">_xlfn.LET(_xlpm._termname,$AB66,_xlpm._iconname,"find",_xlpm._icon,fx_getIcon(_xlpm._iconname),_xlpm._location,_xlfn.XLOOKUP(LOWER(_xlpm._termname),LOWER(tbl_acctDef[Term]),tbl_acctDef[Term]),_xlpm._hyperlink,HYPERLINK("#"&amp;CELL("address",_xlpm._location),_xlpm._icon),IFERROR(_xlpm._hyperlink,""))</f>
        <v/>
      </c>
      <c r="AD66" s="2478" t="str" cm="1">
        <f t="array" ref="AD66">IF($Y66="","",_xlfn.XLOOKUP($W66&amp;$Y66,$W$249:$W$337&amp;$Y$249:$Y$338,$AD$249:$BN$338))</f>
        <v/>
      </c>
      <c r="AE66" s="2478"/>
      <c r="AF66" s="2478"/>
      <c r="AG66" s="2478"/>
      <c r="AH66" s="2478"/>
      <c r="AI66" s="2478"/>
      <c r="AJ66" s="2478"/>
      <c r="AK66" s="2478"/>
      <c r="AL66" s="2478"/>
      <c r="AM66" s="2478"/>
      <c r="AN66" s="2478"/>
      <c r="AO66" s="2478"/>
      <c r="AP66" s="2478"/>
      <c r="AQ66" s="2478"/>
      <c r="AR66" s="2478"/>
      <c r="AS66" s="2478"/>
      <c r="AT66" s="2478"/>
      <c r="AU66" s="2478"/>
      <c r="AV66" s="2478"/>
      <c r="AW66" s="2478"/>
      <c r="AX66" s="2478"/>
      <c r="AY66" s="2478"/>
      <c r="AZ66" s="2478"/>
      <c r="BA66" s="2478"/>
      <c r="BB66" s="2478"/>
      <c r="BC66" s="2478"/>
      <c r="BD66" s="2478"/>
      <c r="BE66" s="2478"/>
      <c r="BF66" s="2478"/>
      <c r="BG66" s="2478"/>
      <c r="BH66" s="2478"/>
      <c r="BI66" s="2478"/>
      <c r="BJ66" s="2478"/>
      <c r="BK66" s="2478"/>
      <c r="BL66" s="2478"/>
      <c r="BM66" s="2478"/>
      <c r="BN66" s="2478"/>
      <c r="BO66" s="2479"/>
      <c r="BP66" s="2479"/>
      <c r="BQ66" s="2479"/>
      <c r="BR66" s="2479"/>
      <c r="BS66" s="2479"/>
      <c r="BT66" s="2479"/>
      <c r="BU66" s="2479"/>
      <c r="BV66" s="2479"/>
      <c r="BW66" s="2479"/>
      <c r="BX66" s="2479"/>
      <c r="BY66" s="2479"/>
      <c r="BZ66" s="2479"/>
      <c r="CA66" s="34"/>
      <c r="CC66" s="33"/>
      <c r="CD66" s="1461" t="str" cm="1">
        <f t="array" ref="CD66">_xlfn.LET(_xlpm.CheckBlank,SUM(PL!$AD66:PL!$BN66)=0,IF(_xlpm.CheckBlank,"",SUM(_xlfn._xlws.FILTER(PL!$AD66:$BN66,(YEAR(PL!$AD$12:$BN$12)=PL!CD$12)*(array_timeline&lt;=PL!CD$11)))))</f>
        <v/>
      </c>
      <c r="CE66" s="1461" t="str" cm="1">
        <f t="array" ref="CE66">_xlfn.LET(_xlpm.CheckBlank,SUM(PL!$AD66:PL!$BN66)=0,IF(_xlpm.CheckBlank,"",SUM(_xlfn._xlws.FILTER(PL!$AD66:$BN66,(YEAR(PL!$AD$12:$BN$12)=PL!CE$12)*(array_timeline&lt;=PL!CE$11)))))</f>
        <v/>
      </c>
      <c r="CF66" s="2480"/>
      <c r="CG66" s="1461" t="str" cm="1">
        <f t="array" ref="CG66">IFERROR(_xlfn.LET(_xlpm.CheckBlank,SUM(PL!$AD66:$BN66)=0,IF(_xlpm.CheckBlank,"",SUM(_xlfn._xlws.FILTER(PL!$AD66:$BN66,(YEAR(PL!$AD$12:$BN$12)=PL!CG$12)*(array_timeline&lt;=PL!CG$11))))),"n/a")</f>
        <v/>
      </c>
      <c r="CH66" s="1461" t="str" cm="1">
        <f t="array" ref="CH66">_xlfn.LET(_xlpm.CheckBlank,SUM(PL!$AD66:$BN66)=0,IF(_xlpm.CheckBlank,"",SUM(_xlfn._xlws.FILTER(PL!$AD66:$BN66,(YEAR(PL!$AD$12:$BN$12)=PL!CH$12)*(array_timeline&lt;=PL!CH$11)))))</f>
        <v/>
      </c>
      <c r="CI66" s="88"/>
      <c r="CJ66" s="1461" t="str" cm="1">
        <f t="array" ref="CJ66">_xlfn.LET(_xlpm.CheckBlank,SUM(PL!$AD66:$BN66)=0,IF(_xlpm.CheckBlank,"",SUM(_xlfn.TAKE(_xlfn.DROP(PL!$AD66:$BN66,,-DATEDIFF(PL!CJ$11,val_asOfDate,"M")),1,-12))))</f>
        <v/>
      </c>
      <c r="CK66" s="1461" t="str" cm="1">
        <f t="array" ref="CK66">_xlfn.LET(_xlpm.CheckBlank,SUM(PL!$AD66:$BN66)=0,IF(_xlpm.CheckBlank,"",SUM(_xlfn.TAKE(_xlfn.DROP(PL!$AD66:$BN66,,-DATEDIFF(PL!CK$11,val_asOfDate,"M")),1,-12))))</f>
        <v/>
      </c>
      <c r="CL66" s="88"/>
      <c r="CM66" s="2357" t="str" cm="1">
        <f t="array" ref="CM66">IF($Y66="","",_xlfn.XLOOKUP($W66&amp;$Y66,$W$250:$W$338&amp;$Y$250:$Y$338,$CM$250:$CN$338))</f>
        <v/>
      </c>
      <c r="CN66" s="2357"/>
      <c r="CO66" s="3"/>
      <c r="CP66" s="2357" t="str" cm="1">
        <f t="array" ref="CP66">IF($Y66="","",_xlfn.XLOOKUP($W66&amp;$Y66,$W$250:$W$338&amp;$Y$250:$Y$338,$CP$250:$CQ$338))</f>
        <v/>
      </c>
      <c r="CQ66" s="2357"/>
      <c r="CR66" s="34"/>
      <c r="CS66" s="2056"/>
      <c r="CT66" s="2616"/>
      <c r="CU66" s="2616"/>
      <c r="CV66" s="2616"/>
      <c r="CW66" s="2616"/>
      <c r="CX66" s="2443"/>
      <c r="CY66" s="2444" t="str" cm="1">
        <f t="array" ref="CY66">IFERROR(IF(CM66*fxVal_normal=_PL!CM70,"",IF(OR($CM66="",$CM66=0,NOT(ISNUMBER($CM66)),ISERROR($CM66),$B66=""),"",IF($I66=1,IFBLANK(_xldudf_CX_PUSH($CM66*fxVal_normal,CX_ENTITY,$B66,$CM$11,$CM$14,$CM$19,),""),IF($I66=2,IFBLANK(_xldudf_CX_PUSH($CM66,CX_ENTITY,$B66,$CM$11,$CM$14,$CM$19,),""),IF($I66=3,"",IFBLANK(_xldudf_CX_PUSH($CM66,CX_ENTITY,$B66,$CM$11,$CM$14,$CM$19,),"")))))),"")</f>
        <v/>
      </c>
      <c r="CZ66" s="2444" t="str" cm="1">
        <f t="array" ref="CZ66">IFERROR(IF(CN66*fxVal_normal=_PL!CN70,"",IF(OR($CN66="",$CN66=0,NOT(ISNUMBER($CN66)),ISERROR($CN66),$B66=""),"",IF($I66=1,IFBLANK(_xldudf_CX_PUSH($CN66*fxVal_normal,CX_ENTITY,$B66,$CN$11,$CN$14,$CN$19,),""),IF($I66=2,IFBLANK(_xldudf_CX_PUSH($CN66,CX_ENTITY,$B66,$CN$11,$CN$14,$CN$19,),""),IF($I66=3,"",IFBLANK(_xldudf_CX_PUSH($CN66,CX_ENTITY,$B66,$CN$11,$CN$14,$CN$19,),"")))))),"")</f>
        <v/>
      </c>
      <c r="DA66" s="2444" t="str" cm="1">
        <f t="array" ref="DA66">IFERROR(IF(CP66*fxVal_normal=_PL!CP70,"",IF(OR($CP66="",$CP66=0,NOT(ISNUMBER($CP66)),ISERROR($CP66),$B66=""),"",IF($I66=1,IFBLANK(_xldudf_CX_PUSH($CP66*fxVal_normal,CX_ENTITY,$B66,$CP$11,$CP$14,$CP$19,),""),IF($I66=2,IFBLANK(_xldudf_CX_PUSH($CP66,CX_ENTITY,$B66,$CP$11,$CP$14,$CP$19,),""),IF($I66=3,"",IFBLANK(_xldudf_CX_PUSH($CP66,CX_ENTITY,$B66,$CP$11,$CP$14,$CP$19,),"")))))),"")</f>
        <v/>
      </c>
      <c r="DB66" s="2444" t="str" cm="1">
        <f t="array" ref="DB66">IFERROR(IF(CQ66*fxVal_normal=_PL!CQ70,"",IF(OR($CQ66="",$CQ66=0,NOT(ISNUMBER($CQ66)),ISERROR($CQ66),$B66=""),"",IF($I66=1,IFBLANK(_xldudf_CX_PUSH($CQ66*fxVal_normal,CX_ENTITY,$B66,$CQ$11,$CQ$14,$CQ$19,),""),IF($I66=2,IFBLANK(_xldudf_CX_PUSH($CQ66,CX_ENTITY,$B66,$CQ$11,$CQ$14,$CQ$19,),""),IF($I66=3,"",IFBLANK(_xldudf_CX_PUSH($CQ66,CX_ENTITY,$B66,$CQ$11,$CQ$14,$CQ$19,),"")))))),"")</f>
        <v/>
      </c>
      <c r="DC66" s="2443"/>
      <c r="DD66" s="2445" t="str" cm="1">
        <f t="array" ref="DD66">IFERROR(IF(AD66*fxVal_normal=_PL!AD70,"",IF(OR(AD66="",NOT(ISNUMBER(AD66)),ISERROR(AD66),$B66=""),"",IF($I66=1,IFBLANK(_xldudf_CX_PUSH(AD66*fxVal_normal,CX_ENTITY,$B66,AD$11,AD$14,AD$19,),""),IF($I66=2,IFBLANK(_xldudf_CX_PUSH(AD66,CX_ENTITY,$B66,AD$11,AD$14,AD$19,),""),IF($I66=3,"",IFBLANK(_xldudf_CX_PUSH(AD66,CX_ENTITY,$B66,AD$11,AD$14,AD$19,),"")))))),"")</f>
        <v/>
      </c>
      <c r="DE66" s="2445" t="str" cm="1">
        <f t="array" ref="DE66">IFERROR(IF(AE66*fxVal_normal=_PL!AE70,"",IF(OR(AE66="",NOT(ISNUMBER(AE66)),ISERROR(AE66),$B66=""),"",IF($I66=1,IFBLANK(_xldudf_CX_PUSH(AE66*fxVal_normal,CX_ENTITY,$B66,AE$11,AE$14,AE$19,),""),IF($I66=2,IFBLANK(_xldudf_CX_PUSH(AE66,CX_ENTITY,$B66,AE$11,AE$14,AE$19,),""),IF($I66=3,"",IFBLANK(_xldudf_CX_PUSH(AE66,CX_ENTITY,$B66,AE$11,AE$14,AE$19,),"")))))),"")</f>
        <v/>
      </c>
      <c r="DF66" s="2445" t="str" cm="1">
        <f t="array" ref="DF66">IFERROR(IF(AF66*fxVal_normal=_PL!AF70,"",IF(OR(AF66="",NOT(ISNUMBER(AF66)),ISERROR(AF66),$B66=""),"",IF($I66=1,IFBLANK(_xldudf_CX_PUSH(AF66*fxVal_normal,CX_ENTITY,$B66,AF$11,AF$14,AF$19,),""),IF($I66=2,IFBLANK(_xldudf_CX_PUSH(AF66,CX_ENTITY,$B66,AF$11,AF$14,AF$19,),""),IF($I66=3,"",IFBLANK(_xldudf_CX_PUSH(AF66,CX_ENTITY,$B66,AF$11,AF$14,AF$19,),"")))))),"")</f>
        <v/>
      </c>
      <c r="DG66" s="2445" t="str" cm="1">
        <f t="array" ref="DG66">IFERROR(IF(AG66*fxVal_normal=_PL!AG70,"",IF(OR(AG66="",NOT(ISNUMBER(AG66)),ISERROR(AG66),$B66=""),"",IF($I66=1,IFBLANK(_xldudf_CX_PUSH(AG66*fxVal_normal,CX_ENTITY,$B66,AG$11,AG$14,AG$19,),""),IF($I66=2,IFBLANK(_xldudf_CX_PUSH(AG66,CX_ENTITY,$B66,AG$11,AG$14,AG$19,),""),IF($I66=3,"",IFBLANK(_xldudf_CX_PUSH(AG66,CX_ENTITY,$B66,AG$11,AG$14,AG$19,),"")))))),"")</f>
        <v/>
      </c>
      <c r="DH66" s="2445" t="str" cm="1">
        <f t="array" ref="DH66">IFERROR(IF(AH66*fxVal_normal=_PL!AH70,"",IF(OR(AH66="",NOT(ISNUMBER(AH66)),ISERROR(AH66),$B66=""),"",IF($I66=1,IFBLANK(_xldudf_CX_PUSH(AH66*fxVal_normal,CX_ENTITY,$B66,AH$11,AH$14,AH$19,),""),IF($I66=2,IFBLANK(_xldudf_CX_PUSH(AH66,CX_ENTITY,$B66,AH$11,AH$14,AH$19,),""),IF($I66=3,"",IFBLANK(_xldudf_CX_PUSH(AH66,CX_ENTITY,$B66,AH$11,AH$14,AH$19,),"")))))),"")</f>
        <v/>
      </c>
      <c r="DI66" s="2445" t="str" cm="1">
        <f t="array" ref="DI66">IFERROR(IF(AI66*fxVal_normal=_PL!AI70,"",IF(OR(AI66="",NOT(ISNUMBER(AI66)),ISERROR(AI66),$B66=""),"",IF($I66=1,IFBLANK(_xldudf_CX_PUSH(AI66*fxVal_normal,CX_ENTITY,$B66,AI$11,AI$14,AI$19,),""),IF($I66=2,IFBLANK(_xldudf_CX_PUSH(AI66,CX_ENTITY,$B66,AI$11,AI$14,AI$19,),""),IF($I66=3,"",IFBLANK(_xldudf_CX_PUSH(AI66,CX_ENTITY,$B66,AI$11,AI$14,AI$19,),"")))))),"")</f>
        <v/>
      </c>
      <c r="DJ66" s="2445" t="str" cm="1">
        <f t="array" ref="DJ66">IFERROR(IF(AJ66*fxVal_normal=_PL!AJ70,"",IF(OR(AJ66="",NOT(ISNUMBER(AJ66)),ISERROR(AJ66),$B66=""),"",IF($I66=1,IFBLANK(_xldudf_CX_PUSH(AJ66*fxVal_normal,CX_ENTITY,$B66,AJ$11,AJ$14,AJ$19,),""),IF($I66=2,IFBLANK(_xldudf_CX_PUSH(AJ66,CX_ENTITY,$B66,AJ$11,AJ$14,AJ$19,),""),IF($I66=3,"",IFBLANK(_xldudf_CX_PUSH(AJ66,CX_ENTITY,$B66,AJ$11,AJ$14,AJ$19,),"")))))),"")</f>
        <v/>
      </c>
      <c r="DK66" s="2445" t="str" cm="1">
        <f t="array" ref="DK66">IFERROR(IF(AK66*fxVal_normal=_PL!AK70,"",IF(OR(AK66="",NOT(ISNUMBER(AK66)),ISERROR(AK66),$B66=""),"",IF($I66=1,IFBLANK(_xldudf_CX_PUSH(AK66*fxVal_normal,CX_ENTITY,$B66,AK$11,AK$14,AK$19,),""),IF($I66=2,IFBLANK(_xldudf_CX_PUSH(AK66,CX_ENTITY,$B66,AK$11,AK$14,AK$19,),""),IF($I66=3,"",IFBLANK(_xldudf_CX_PUSH(AK66,CX_ENTITY,$B66,AK$11,AK$14,AK$19,),"")))))),"")</f>
        <v/>
      </c>
      <c r="DL66" s="2445" t="str" cm="1">
        <f t="array" ref="DL66">IFERROR(IF(AL66*fxVal_normal=_PL!AL70,"",IF(OR(AL66="",NOT(ISNUMBER(AL66)),ISERROR(AL66),$B66=""),"",IF($I66=1,IFBLANK(_xldudf_CX_PUSH(AL66*fxVal_normal,CX_ENTITY,$B66,AL$11,AL$14,AL$19,),""),IF($I66=2,IFBLANK(_xldudf_CX_PUSH(AL66,CX_ENTITY,$B66,AL$11,AL$14,AL$19,),""),IF($I66=3,"",IFBLANK(_xldudf_CX_PUSH(AL66,CX_ENTITY,$B66,AL$11,AL$14,AL$19,),"")))))),"")</f>
        <v/>
      </c>
      <c r="DM66" s="2445" t="str" cm="1">
        <f t="array" ref="DM66">IFERROR(IF(AM66*fxVal_normal=_PL!AM70,"",IF(OR(AM66="",NOT(ISNUMBER(AM66)),ISERROR(AM66),$B66=""),"",IF($I66=1,IFBLANK(_xldudf_CX_PUSH(AM66*fxVal_normal,CX_ENTITY,$B66,AM$11,AM$14,AM$19,),""),IF($I66=2,IFBLANK(_xldudf_CX_PUSH(AM66,CX_ENTITY,$B66,AM$11,AM$14,AM$19,),""),IF($I66=3,"",IFBLANK(_xldudf_CX_PUSH(AM66,CX_ENTITY,$B66,AM$11,AM$14,AM$19,),"")))))),"")</f>
        <v/>
      </c>
      <c r="DN66" s="2445" t="str" cm="1">
        <f t="array" ref="DN66">IFERROR(IF(AN66*fxVal_normal=_PL!AN70,"",IF(OR(AN66="",NOT(ISNUMBER(AN66)),ISERROR(AN66),$B66=""),"",IF($I66=1,IFBLANK(_xldudf_CX_PUSH(AN66*fxVal_normal,CX_ENTITY,$B66,AN$11,AN$14,AN$19,),""),IF($I66=2,IFBLANK(_xldudf_CX_PUSH(AN66,CX_ENTITY,$B66,AN$11,AN$14,AN$19,),""),IF($I66=3,"",IFBLANK(_xldudf_CX_PUSH(AN66,CX_ENTITY,$B66,AN$11,AN$14,AN$19,),"")))))),"")</f>
        <v/>
      </c>
      <c r="DO66" s="2445" t="str" cm="1">
        <f t="array" ref="DO66">IFERROR(IF(AO66*fxVal_normal=_PL!AO70,"",IF(OR(AO66="",NOT(ISNUMBER(AO66)),ISERROR(AO66),$B66=""),"",IF($I66=1,IFBLANK(_xldudf_CX_PUSH(AO66*fxVal_normal,CX_ENTITY,$B66,AO$11,AO$14,AO$19,),""),IF($I66=2,IFBLANK(_xldudf_CX_PUSH(AO66,CX_ENTITY,$B66,AO$11,AO$14,AO$19,),""),IF($I66=3,"",IFBLANK(_xldudf_CX_PUSH(AO66,CX_ENTITY,$B66,AO$11,AO$14,AO$19,),"")))))),"")</f>
        <v/>
      </c>
      <c r="DP66" s="2445" t="str" cm="1">
        <f t="array" ref="DP66">IFERROR(IF(AP66*fxVal_normal=_PL!AP70,"",IF(OR(AP66="",NOT(ISNUMBER(AP66)),ISERROR(AP66),$B66=""),"",IF($I66=1,IFBLANK(_xldudf_CX_PUSH(AP66*fxVal_normal,CX_ENTITY,$B66,AP$11,AP$14,AP$19,),""),IF($I66=2,IFBLANK(_xldudf_CX_PUSH(AP66,CX_ENTITY,$B66,AP$11,AP$14,AP$19,),""),IF($I66=3,"",IFBLANK(_xldudf_CX_PUSH(AP66,CX_ENTITY,$B66,AP$11,AP$14,AP$19,),"")))))),"")</f>
        <v/>
      </c>
      <c r="DQ66" s="2445" t="str" cm="1">
        <f t="array" ref="DQ66">IFERROR(IF(AQ66*fxVal_normal=_PL!AQ70,"",IF(OR(AQ66="",NOT(ISNUMBER(AQ66)),ISERROR(AQ66),$B66=""),"",IF($I66=1,IFBLANK(_xldudf_CX_PUSH(AQ66*fxVal_normal,CX_ENTITY,$B66,AQ$11,AQ$14,AQ$19,),""),IF($I66=2,IFBLANK(_xldudf_CX_PUSH(AQ66,CX_ENTITY,$B66,AQ$11,AQ$14,AQ$19,),""),IF($I66=3,"",IFBLANK(_xldudf_CX_PUSH(AQ66,CX_ENTITY,$B66,AQ$11,AQ$14,AQ$19,),"")))))),"")</f>
        <v/>
      </c>
      <c r="DR66" s="2445" t="str" cm="1">
        <f t="array" ref="DR66">IFERROR(IF(AR66*fxVal_normal=_PL!AR70,"",IF(OR(AR66="",NOT(ISNUMBER(AR66)),ISERROR(AR66),$B66=""),"",IF($I66=1,IFBLANK(_xldudf_CX_PUSH(AR66*fxVal_normal,CX_ENTITY,$B66,AR$11,AR$14,AR$19,),""),IF($I66=2,IFBLANK(_xldudf_CX_PUSH(AR66,CX_ENTITY,$B66,AR$11,AR$14,AR$19,),""),IF($I66=3,"",IFBLANK(_xldudf_CX_PUSH(AR66,CX_ENTITY,$B66,AR$11,AR$14,AR$19,),"")))))),"")</f>
        <v/>
      </c>
      <c r="DS66" s="2445" t="str" cm="1">
        <f t="array" ref="DS66">IFERROR(IF(AS66*fxVal_normal=_PL!AS70,"",IF(OR(AS66="",NOT(ISNUMBER(AS66)),ISERROR(AS66),$B66=""),"",IF($I66=1,IFBLANK(_xldudf_CX_PUSH(AS66*fxVal_normal,CX_ENTITY,$B66,AS$11,AS$14,AS$19,),""),IF($I66=2,IFBLANK(_xldudf_CX_PUSH(AS66,CX_ENTITY,$B66,AS$11,AS$14,AS$19,),""),IF($I66=3,"",IFBLANK(_xldudf_CX_PUSH(AS66,CX_ENTITY,$B66,AS$11,AS$14,AS$19,),"")))))),"")</f>
        <v/>
      </c>
      <c r="DT66" s="2445" t="str" cm="1">
        <f t="array" ref="DT66">IFERROR(IF(AT66*fxVal_normal=_PL!AT70,"",IF(OR(AT66="",NOT(ISNUMBER(AT66)),ISERROR(AT66),$B66=""),"",IF($I66=1,IFBLANK(_xldudf_CX_PUSH(AT66*fxVal_normal,CX_ENTITY,$B66,AT$11,AT$14,AT$19,),""),IF($I66=2,IFBLANK(_xldudf_CX_PUSH(AT66,CX_ENTITY,$B66,AT$11,AT$14,AT$19,),""),IF($I66=3,"",IFBLANK(_xldudf_CX_PUSH(AT66,CX_ENTITY,$B66,AT$11,AT$14,AT$19,),"")))))),"")</f>
        <v/>
      </c>
      <c r="DU66" s="2445" t="str" cm="1">
        <f t="array" ref="DU66">IFERROR(IF(AU66*fxVal_normal=_PL!AU70,"",IF(OR(AU66="",NOT(ISNUMBER(AU66)),ISERROR(AU66),$B66=""),"",IF($I66=1,IFBLANK(_xldudf_CX_PUSH(AU66*fxVal_normal,CX_ENTITY,$B66,AU$11,AU$14,AU$19,),""),IF($I66=2,IFBLANK(_xldudf_CX_PUSH(AU66,CX_ENTITY,$B66,AU$11,AU$14,AU$19,),""),IF($I66=3,"",IFBLANK(_xldudf_CX_PUSH(AU66,CX_ENTITY,$B66,AU$11,AU$14,AU$19,),"")))))),"")</f>
        <v/>
      </c>
      <c r="DV66" s="2445" t="str" cm="1">
        <f t="array" ref="DV66">IFERROR(IF(AV66*fxVal_normal=_PL!AV70,"",IF(OR(AV66="",NOT(ISNUMBER(AV66)),ISERROR(AV66),$B66=""),"",IF($I66=1,IFBLANK(_xldudf_CX_PUSH(AV66*fxVal_normal,CX_ENTITY,$B66,AV$11,AV$14,AV$19,),""),IF($I66=2,IFBLANK(_xldudf_CX_PUSH(AV66,CX_ENTITY,$B66,AV$11,AV$14,AV$19,),""),IF($I66=3,"",IFBLANK(_xldudf_CX_PUSH(AV66,CX_ENTITY,$B66,AV$11,AV$14,AV$19,),"")))))),"")</f>
        <v/>
      </c>
      <c r="DW66" s="2445" t="str" cm="1">
        <f t="array" ref="DW66">IFERROR(IF(AW66*fxVal_normal=_PL!AW70,"",IF(OR(AW66="",NOT(ISNUMBER(AW66)),ISERROR(AW66),$B66=""),"",IF($I66=1,IFBLANK(_xldudf_CX_PUSH(AW66*fxVal_normal,CX_ENTITY,$B66,AW$11,AW$14,AW$19,),""),IF($I66=2,IFBLANK(_xldudf_CX_PUSH(AW66,CX_ENTITY,$B66,AW$11,AW$14,AW$19,),""),IF($I66=3,"",IFBLANK(_xldudf_CX_PUSH(AW66,CX_ENTITY,$B66,AW$11,AW$14,AW$19,),"")))))),"")</f>
        <v/>
      </c>
      <c r="DX66" s="2445" t="str" cm="1">
        <f t="array" ref="DX66">IFERROR(IF(AX66*fxVal_normal=_PL!AX70,"",IF(OR(AX66="",NOT(ISNUMBER(AX66)),ISERROR(AX66),$B66=""),"",IF($I66=1,IFBLANK(_xldudf_CX_PUSH(AX66*fxVal_normal,CX_ENTITY,$B66,AX$11,AX$14,AX$19,),""),IF($I66=2,IFBLANK(_xldudf_CX_PUSH(AX66,CX_ENTITY,$B66,AX$11,AX$14,AX$19,),""),IF($I66=3,"",IFBLANK(_xldudf_CX_PUSH(AX66,CX_ENTITY,$B66,AX$11,AX$14,AX$19,),"")))))),"")</f>
        <v/>
      </c>
      <c r="DY66" s="2445" t="str" cm="1">
        <f t="array" ref="DY66">IFERROR(IF(AY66*fxVal_normal=_PL!AY70,"",IF(OR(AY66="",NOT(ISNUMBER(AY66)),ISERROR(AY66),$B66=""),"",IF($I66=1,IFBLANK(_xldudf_CX_PUSH(AY66*fxVal_normal,CX_ENTITY,$B66,AY$11,AY$14,AY$19,),""),IF($I66=2,IFBLANK(_xldudf_CX_PUSH(AY66,CX_ENTITY,$B66,AY$11,AY$14,AY$19,),""),IF($I66=3,"",IFBLANK(_xldudf_CX_PUSH(AY66,CX_ENTITY,$B66,AY$11,AY$14,AY$19,),"")))))),"")</f>
        <v/>
      </c>
      <c r="DZ66" s="2445" t="str" cm="1">
        <f t="array" ref="DZ66">IFERROR(IF(AZ66*fxVal_normal=_PL!AZ70,"",IF(OR(AZ66="",NOT(ISNUMBER(AZ66)),ISERROR(AZ66),$B66=""),"",IF($I66=1,IFBLANK(_xldudf_CX_PUSH(AZ66*fxVal_normal,CX_ENTITY,$B66,AZ$11,AZ$14,AZ$19,),""),IF($I66=2,IFBLANK(_xldudf_CX_PUSH(AZ66,CX_ENTITY,$B66,AZ$11,AZ$14,AZ$19,),""),IF($I66=3,"",IFBLANK(_xldudf_CX_PUSH(AZ66,CX_ENTITY,$B66,AZ$11,AZ$14,AZ$19,),"")))))),"")</f>
        <v/>
      </c>
      <c r="EA66" s="2445" t="str" cm="1">
        <f t="array" ref="EA66">IFERROR(IF(BA66*fxVal_normal=_PL!BA70,"",IF(OR(BA66="",NOT(ISNUMBER(BA66)),ISERROR(BA66),$B66=""),"",IF($I66=1,IFBLANK(_xldudf_CX_PUSH(BA66*fxVal_normal,CX_ENTITY,$B66,BA$11,BA$14,BA$19,),""),IF($I66=2,IFBLANK(_xldudf_CX_PUSH(BA66,CX_ENTITY,$B66,BA$11,BA$14,BA$19,),""),IF($I66=3,"",IFBLANK(_xldudf_CX_PUSH(BA66,CX_ENTITY,$B66,BA$11,BA$14,BA$19,),"")))))),"")</f>
        <v/>
      </c>
      <c r="EB66" s="2445" t="str" cm="1">
        <f t="array" ref="EB66">IFERROR(IF(BB66*fxVal_normal=_PL!BB70,"",IF(OR(BB66="",NOT(ISNUMBER(BB66)),ISERROR(BB66),$B66=""),"",IF($I66=1,IFBLANK(_xldudf_CX_PUSH(BB66*fxVal_normal,CX_ENTITY,$B66,BB$11,BB$14,BB$19,),""),IF($I66=2,IFBLANK(_xldudf_CX_PUSH(BB66,CX_ENTITY,$B66,BB$11,BB$14,BB$19,),""),IF($I66=3,"",IFBLANK(_xldudf_CX_PUSH(BB66,CX_ENTITY,$B66,BB$11,BB$14,BB$19,),"")))))),"")</f>
        <v/>
      </c>
      <c r="EC66" s="2445" t="str" cm="1">
        <f t="array" ref="EC66">IFERROR(IF(BC66*fxVal_normal=_PL!BC70,"",IF(OR(BC66="",NOT(ISNUMBER(BC66)),ISERROR(BC66),$B66=""),"",IF($I66=1,IFBLANK(_xldudf_CX_PUSH(BC66*fxVal_normal,CX_ENTITY,$B66,BC$11,BC$14,BC$19,),""),IF($I66=2,IFBLANK(_xldudf_CX_PUSH(BC66,CX_ENTITY,$B66,BC$11,BC$14,BC$19,),""),IF($I66=3,"",IFBLANK(_xldudf_CX_PUSH(BC66,CX_ENTITY,$B66,BC$11,BC$14,BC$19,),"")))))),"")</f>
        <v/>
      </c>
      <c r="ED66" s="2445" t="str" cm="1">
        <f t="array" ref="ED66">IFERROR(IF(BD66*fxVal_normal=_PL!BD70,"",IF(OR(BD66="",NOT(ISNUMBER(BD66)),ISERROR(BD66),$B66=""),"",IF($I66=1,IFBLANK(_xldudf_CX_PUSH(BD66*fxVal_normal,CX_ENTITY,$B66,BD$11,BD$14,BD$19,),""),IF($I66=2,IFBLANK(_xldudf_CX_PUSH(BD66,CX_ENTITY,$B66,BD$11,BD$14,BD$19,),""),IF($I66=3,"",IFBLANK(_xldudf_CX_PUSH(BD66,CX_ENTITY,$B66,BD$11,BD$14,BD$19,),"")))))),"")</f>
        <v/>
      </c>
      <c r="EE66" s="2445" t="str" cm="1">
        <f t="array" ref="EE66">IFERROR(IF(BE66*fxVal_normal=_PL!BE70,"",IF(OR(BE66="",NOT(ISNUMBER(BE66)),ISERROR(BE66),$B66=""),"",IF($I66=1,IFBLANK(_xldudf_CX_PUSH(BE66*fxVal_normal,CX_ENTITY,$B66,BE$11,BE$14,BE$19,),""),IF($I66=2,IFBLANK(_xldudf_CX_PUSH(BE66,CX_ENTITY,$B66,BE$11,BE$14,BE$19,),""),IF($I66=3,"",IFBLANK(_xldudf_CX_PUSH(BE66,CX_ENTITY,$B66,BE$11,BE$14,BE$19,),"")))))),"")</f>
        <v/>
      </c>
      <c r="EF66" s="2445" t="str" cm="1">
        <f t="array" ref="EF66">IFERROR(IF(BF66*fxVal_normal=_PL!BF70,"",IF(OR(BF66="",NOT(ISNUMBER(BF66)),ISERROR(BF66),$B66=""),"",IF($I66=1,IFBLANK(_xldudf_CX_PUSH(BF66*fxVal_normal,CX_ENTITY,$B66,BF$11,BF$14,BF$19,),""),IF($I66=2,IFBLANK(_xldudf_CX_PUSH(BF66,CX_ENTITY,$B66,BF$11,BF$14,BF$19,),""),IF($I66=3,"",IFBLANK(_xldudf_CX_PUSH(BF66,CX_ENTITY,$B66,BF$11,BF$14,BF$19,),"")))))),"")</f>
        <v/>
      </c>
      <c r="EG66" s="2445" t="str" cm="1">
        <f t="array" ref="EG66">IFERROR(IF(BG66*fxVal_normal=_PL!BG70,"",IF(OR(BG66="",NOT(ISNUMBER(BG66)),ISERROR(BG66),$B66=""),"",IF($I66=1,IFBLANK(_xldudf_CX_PUSH(BG66*fxVal_normal,CX_ENTITY,$B66,BG$11,BG$14,BG$19,),""),IF($I66=2,IFBLANK(_xldudf_CX_PUSH(BG66,CX_ENTITY,$B66,BG$11,BG$14,BG$19,),""),IF($I66=3,"",IFBLANK(_xldudf_CX_PUSH(BG66,CX_ENTITY,$B66,BG$11,BG$14,BG$19,),"")))))),"")</f>
        <v/>
      </c>
      <c r="EH66" s="2445" t="str" cm="1">
        <f t="array" ref="EH66">IFERROR(IF(BH66*fxVal_normal=_PL!BH70,"",IF(OR(BH66="",NOT(ISNUMBER(BH66)),ISERROR(BH66),$B66=""),"",IF($I66=1,IFBLANK(_xldudf_CX_PUSH(BH66*fxVal_normal,CX_ENTITY,$B66,BH$11,BH$14,BH$19,),""),IF($I66=2,IFBLANK(_xldudf_CX_PUSH(BH66,CX_ENTITY,$B66,BH$11,BH$14,BH$19,),""),IF($I66=3,"",IFBLANK(_xldudf_CX_PUSH(BH66,CX_ENTITY,$B66,BH$11,BH$14,BH$19,),"")))))),"")</f>
        <v/>
      </c>
      <c r="EI66" s="2445" t="str" cm="1">
        <f t="array" ref="EI66">IFERROR(IF(BI66*fxVal_normal=_PL!BI70,"",IF(OR(BI66="",NOT(ISNUMBER(BI66)),ISERROR(BI66),$B66=""),"",IF($I66=1,IFBLANK(_xldudf_CX_PUSH(BI66*fxVal_normal,CX_ENTITY,$B66,BI$11,BI$14,BI$19,),""),IF($I66=2,IFBLANK(_xldudf_CX_PUSH(BI66,CX_ENTITY,$B66,BI$11,BI$14,BI$19,),""),IF($I66=3,"",IFBLANK(_xldudf_CX_PUSH(BI66,CX_ENTITY,$B66,BI$11,BI$14,BI$19,),"")))))),"")</f>
        <v/>
      </c>
      <c r="EJ66" s="2445" t="str" cm="1">
        <f t="array" ref="EJ66">IFERROR(IF(BJ66*fxVal_normal=_PL!BJ70,"",IF(OR(BJ66="",NOT(ISNUMBER(BJ66)),ISERROR(BJ66),$B66=""),"",IF($I66=1,IFBLANK(_xldudf_CX_PUSH(BJ66*fxVal_normal,CX_ENTITY,$B66,BJ$11,BJ$14,BJ$19,),""),IF($I66=2,IFBLANK(_xldudf_CX_PUSH(BJ66,CX_ENTITY,$B66,BJ$11,BJ$14,BJ$19,),""),IF($I66=3,"",IFBLANK(_xldudf_CX_PUSH(BJ66,CX_ENTITY,$B66,BJ$11,BJ$14,BJ$19,),"")))))),"")</f>
        <v/>
      </c>
      <c r="EK66" s="2445" t="str" cm="1">
        <f t="array" ref="EK66">IFERROR(IF(BK66*fxVal_normal=_PL!BK70,"",IF(OR(BK66="",NOT(ISNUMBER(BK66)),ISERROR(BK66),$B66=""),"",IF($I66=1,IFBLANK(_xldudf_CX_PUSH(BK66*fxVal_normal,CX_ENTITY,$B66,BK$11,BK$14,BK$19,),""),IF($I66=2,IFBLANK(_xldudf_CX_PUSH(BK66,CX_ENTITY,$B66,BK$11,BK$14,BK$19,),""),IF($I66=3,"",IFBLANK(_xldudf_CX_PUSH(BK66,CX_ENTITY,$B66,BK$11,BK$14,BK$19,),"")))))),"")</f>
        <v/>
      </c>
      <c r="EL66" s="2445" t="str" cm="1">
        <f t="array" ref="EL66">IFERROR(IF(BL66*fxVal_normal=_PL!BL70,"",IF(OR(BL66="",NOT(ISNUMBER(BL66)),ISERROR(BL66),$B66=""),"",IF($I66=1,IFBLANK(_xldudf_CX_PUSH(BL66*fxVal_normal,CX_ENTITY,$B66,BL$11,BL$14,BL$19,),""),IF($I66=2,IFBLANK(_xldudf_CX_PUSH(BL66,CX_ENTITY,$B66,BL$11,BL$14,BL$19,),""),IF($I66=3,"",IFBLANK(_xldudf_CX_PUSH(BL66,CX_ENTITY,$B66,BL$11,BL$14,BL$19,),"")))))),"")</f>
        <v/>
      </c>
      <c r="EM66" s="2445" t="str" cm="1">
        <f t="array" ref="EM66">IFERROR(IF(BM66*fxVal_normal=_PL!BM70,"",IF(OR(BM66="",NOT(ISNUMBER(BM66)),ISERROR(BM66),$B66=""),"",IF($I66=1,IFBLANK(_xldudf_CX_PUSH(BM66*fxVal_normal,CX_ENTITY,$B66,BM$11,BM$14,BM$19,),""),IF($I66=2,IFBLANK(_xldudf_CX_PUSH(BM66,CX_ENTITY,$B66,BM$11,BM$14,BM$19,),""),IF($I66=3,"",IFBLANK(_xldudf_CX_PUSH(BM66,CX_ENTITY,$B66,BM$11,BM$14,BM$19,),"")))))),"")</f>
        <v/>
      </c>
      <c r="EN66" s="2445" t="str" cm="1">
        <f t="array" ref="EN66">IFERROR(IF(BN66*fxVal_normal=_PL!BN70,"",IF(OR(BN66="",NOT(ISNUMBER(BN66)),ISERROR(BN66),$B66=""),"",IF($I66=1,IFBLANK(_xldudf_CX_PUSH(BN66*fxVal_normal,CX_ENTITY,$B66,BN$11,BN$14,BN$19,),""),IF($I66=2,IFBLANK(_xldudf_CX_PUSH(BN66,CX_ENTITY,$B66,BN$11,BN$14,BN$19,),""),IF($I66=3,"",IFBLANK(_xldudf_CX_PUSH(BN66,CX_ENTITY,$B66,BN$11,BN$14,BN$19,),"")))))),"")</f>
        <v/>
      </c>
    </row>
    <row r="67" spans="1:144" ht="20.15" customHeight="1">
      <c r="A67" s="1626"/>
      <c r="B67" s="2439" t="str">
        <f>_xlfn.LET(_xlpm.IsNotAttrDynamic,D67="",_xlpm.Attr,_PL!F67,_xlpm.NotInUse,Y67=D67,_xlpm.RESULT,IF(_xlpm.IsNotAttrDynamic,_xlpm.Attr,IF(_xlpm.NotInUse,"",Y67)),IF(_xlpm.RESULT="","",_xlpm.RESULT))</f>
        <v/>
      </c>
      <c r="C67" s="2439" t="str" cm="1">
        <f t="array" ref="C67">IFBLANK(_PL!C67,"")</f>
        <v/>
      </c>
      <c r="D67" s="1549"/>
      <c r="E67" s="578"/>
      <c r="F67" s="578"/>
      <c r="G67" s="578"/>
      <c r="H67" s="401"/>
      <c r="I67" s="401"/>
      <c r="J67" s="401"/>
      <c r="K67" s="578" t="str">
        <f t="shared" si="17"/>
        <v>No</v>
      </c>
      <c r="L67" s="37"/>
      <c r="N67" s="158"/>
      <c r="O67" s="101"/>
      <c r="P67" s="52"/>
      <c r="Q67" s="101"/>
      <c r="R67" s="539"/>
      <c r="S67" s="101"/>
      <c r="T67" s="101"/>
      <c r="U67" s="39"/>
      <c r="V67" s="37"/>
      <c r="W67" s="2481"/>
      <c r="X67" s="2482"/>
      <c r="Y67" s="2483"/>
      <c r="Z67" s="2484"/>
      <c r="AA67" s="2484"/>
      <c r="AB67" s="2485"/>
      <c r="AC67" s="2486"/>
      <c r="AD67" s="2485"/>
      <c r="AE67" s="2484"/>
      <c r="AF67" s="2484"/>
      <c r="AG67" s="2484"/>
      <c r="AH67" s="2484"/>
      <c r="AI67" s="2484"/>
      <c r="AJ67" s="2484"/>
      <c r="AK67" s="2484"/>
      <c r="AL67" s="2484"/>
      <c r="AM67" s="2484"/>
      <c r="AN67" s="2484"/>
      <c r="AO67" s="2484"/>
      <c r="AP67" s="2484"/>
      <c r="AQ67" s="2484"/>
      <c r="AR67" s="2484"/>
      <c r="AS67" s="2484"/>
      <c r="AT67" s="2484"/>
      <c r="AU67" s="2484"/>
      <c r="AV67" s="2484"/>
      <c r="AW67" s="2484"/>
      <c r="AX67" s="2484"/>
      <c r="AY67" s="2484"/>
      <c r="AZ67" s="2484"/>
      <c r="BA67" s="2484"/>
      <c r="BB67" s="2484"/>
      <c r="BC67" s="2484"/>
      <c r="BD67" s="2484"/>
      <c r="BE67" s="2484"/>
      <c r="BF67" s="2484"/>
      <c r="BG67" s="2484"/>
      <c r="BH67" s="2484"/>
      <c r="BI67" s="2484"/>
      <c r="BJ67" s="2484"/>
      <c r="BK67" s="2484"/>
      <c r="BL67" s="2484"/>
      <c r="BM67" s="2484"/>
      <c r="BN67" s="2484"/>
      <c r="BO67" s="2484"/>
      <c r="BP67" s="2484"/>
      <c r="BQ67" s="2484"/>
      <c r="BR67" s="2484"/>
      <c r="BS67" s="2484"/>
      <c r="BT67" s="2484"/>
      <c r="BU67" s="2484"/>
      <c r="BV67" s="2484"/>
      <c r="BW67" s="2484"/>
      <c r="BX67" s="2484"/>
      <c r="BY67" s="2484"/>
      <c r="BZ67" s="2484"/>
      <c r="CA67" s="34"/>
      <c r="CC67" s="33"/>
      <c r="CD67" s="184"/>
      <c r="CE67" s="184"/>
      <c r="CF67" s="88"/>
      <c r="CG67" s="184"/>
      <c r="CH67" s="184"/>
      <c r="CI67" s="88"/>
      <c r="CJ67" s="184"/>
      <c r="CK67" s="184"/>
      <c r="CL67" s="88"/>
      <c r="CM67" s="184"/>
      <c r="CN67" s="184"/>
      <c r="CO67" s="88"/>
      <c r="CP67" s="184"/>
      <c r="CQ67" s="184"/>
      <c r="CR67" s="34"/>
      <c r="CS67" s="2056"/>
      <c r="CT67" s="1880"/>
      <c r="CU67" s="1880"/>
      <c r="CV67" s="1880"/>
      <c r="CW67" s="1880"/>
      <c r="CX67" s="2121"/>
      <c r="CY67" s="1880"/>
      <c r="CZ67" s="1880"/>
      <c r="DA67" s="1880"/>
      <c r="DB67" s="1880"/>
      <c r="DC67" s="2121"/>
      <c r="DD67" s="1880"/>
      <c r="DE67" s="1880"/>
      <c r="DF67" s="1880"/>
      <c r="DG67" s="1880"/>
      <c r="DH67" s="1880"/>
      <c r="DI67" s="1880"/>
      <c r="DJ67" s="1880"/>
      <c r="DK67" s="1880"/>
      <c r="DL67" s="1880"/>
      <c r="DM67" s="1880"/>
      <c r="DN67" s="1880"/>
      <c r="DO67" s="1880"/>
      <c r="DP67" s="1880"/>
      <c r="DQ67" s="1880"/>
      <c r="DR67" s="1880"/>
      <c r="DS67" s="1880"/>
      <c r="DT67" s="1880"/>
      <c r="DU67" s="1880"/>
      <c r="DV67" s="1880"/>
      <c r="DW67" s="1880"/>
      <c r="DX67" s="1880"/>
      <c r="DY67" s="1880"/>
      <c r="DZ67" s="1880"/>
      <c r="EA67" s="1880"/>
      <c r="EB67" s="1880"/>
      <c r="EC67" s="1880"/>
      <c r="ED67" s="1880"/>
      <c r="EE67" s="1880"/>
      <c r="EF67" s="1880"/>
      <c r="EG67" s="1880"/>
      <c r="EH67" s="1880"/>
      <c r="EI67" s="1880"/>
      <c r="EJ67" s="1880"/>
      <c r="EK67" s="1880"/>
      <c r="EL67" s="1880"/>
      <c r="EM67" s="1880"/>
      <c r="EN67" s="1880"/>
    </row>
    <row r="68" spans="1:144" ht="15.5">
      <c r="A68" s="1626"/>
      <c r="B68" s="2439" t="str">
        <f>_xlfn.LET(_xlpm.IsNotAttrDynamic,D68="",_xlpm.Attr,_PL!F68,_xlpm.NotInUse,Y68=D68,_xlpm.RESULT,IF(_xlpm.IsNotAttrDynamic,_xlpm.Attr,IF(_xlpm.NotInUse,"",Y68)),IF(_xlpm.RESULT="","",_xlpm.RESULT))</f>
        <v/>
      </c>
      <c r="C68" s="2439" t="str" cm="1">
        <f t="array" ref="C68">IFBLANK(_PL!C68,"")</f>
        <v/>
      </c>
      <c r="D68" s="1549"/>
      <c r="E68" s="578"/>
      <c r="F68" s="578"/>
      <c r="G68" s="578"/>
      <c r="H68" s="401"/>
      <c r="I68" s="401"/>
      <c r="J68" s="401"/>
      <c r="K68" s="578" t="str">
        <f t="shared" si="17"/>
        <v>No</v>
      </c>
      <c r="L68" s="37"/>
      <c r="N68" s="158"/>
      <c r="O68" s="101"/>
      <c r="P68" s="52"/>
      <c r="Q68" s="101"/>
      <c r="R68" s="539"/>
      <c r="S68" s="101"/>
      <c r="T68" s="101"/>
      <c r="U68" s="39"/>
      <c r="V68" s="37"/>
      <c r="W68" s="2487"/>
      <c r="X68" s="2488"/>
      <c r="Y68" s="2489"/>
      <c r="Z68" s="2484"/>
      <c r="AA68" s="2484"/>
      <c r="AB68" s="2484"/>
      <c r="AC68" s="2490"/>
      <c r="AD68" s="2484"/>
      <c r="AE68" s="2484"/>
      <c r="AF68" s="2484"/>
      <c r="AG68" s="2484"/>
      <c r="AH68" s="2484"/>
      <c r="AI68" s="2484"/>
      <c r="AJ68" s="2484"/>
      <c r="AK68" s="2484"/>
      <c r="AL68" s="2484"/>
      <c r="AM68" s="2484"/>
      <c r="AN68" s="2484"/>
      <c r="AO68" s="2484"/>
      <c r="AP68" s="2484"/>
      <c r="AQ68" s="2484"/>
      <c r="AR68" s="2484"/>
      <c r="AS68" s="2484"/>
      <c r="AT68" s="2484"/>
      <c r="AU68" s="2484"/>
      <c r="AV68" s="2484"/>
      <c r="AW68" s="2484"/>
      <c r="AX68" s="2484"/>
      <c r="AY68" s="2484"/>
      <c r="AZ68" s="2484"/>
      <c r="BA68" s="2484"/>
      <c r="BB68" s="2484"/>
      <c r="BC68" s="2484"/>
      <c r="BD68" s="2484"/>
      <c r="BE68" s="2484"/>
      <c r="BF68" s="2484"/>
      <c r="BG68" s="2484"/>
      <c r="BH68" s="2484"/>
      <c r="BI68" s="2484"/>
      <c r="BJ68" s="2484"/>
      <c r="BK68" s="2484"/>
      <c r="BL68" s="2484"/>
      <c r="BM68" s="2484"/>
      <c r="BN68" s="2484"/>
      <c r="BO68" s="2484"/>
      <c r="BP68" s="2484"/>
      <c r="BQ68" s="2484"/>
      <c r="BR68" s="2484"/>
      <c r="BS68" s="2484"/>
      <c r="BT68" s="2484"/>
      <c r="BU68" s="2484"/>
      <c r="BV68" s="2484"/>
      <c r="BW68" s="2484"/>
      <c r="BX68" s="2484"/>
      <c r="BY68" s="2484"/>
      <c r="BZ68" s="2484"/>
      <c r="CA68" s="34"/>
      <c r="CC68" s="33"/>
      <c r="CD68" s="184"/>
      <c r="CE68" s="184"/>
      <c r="CF68" s="88"/>
      <c r="CG68" s="184"/>
      <c r="CH68" s="184"/>
      <c r="CI68" s="88"/>
      <c r="CJ68" s="184"/>
      <c r="CK68" s="184"/>
      <c r="CL68" s="88"/>
      <c r="CM68" s="184"/>
      <c r="CN68" s="184"/>
      <c r="CO68" s="88"/>
      <c r="CP68" s="184"/>
      <c r="CQ68" s="184"/>
      <c r="CR68" s="34"/>
      <c r="CS68" s="2056"/>
      <c r="CT68" s="1880"/>
      <c r="CU68" s="1880"/>
      <c r="CV68" s="1880"/>
      <c r="CW68" s="1880"/>
      <c r="CX68" s="2121"/>
      <c r="CY68" s="1880"/>
      <c r="CZ68" s="1880"/>
      <c r="DA68" s="1880"/>
      <c r="DB68" s="1880"/>
      <c r="DC68" s="2121"/>
      <c r="DD68" s="1880"/>
      <c r="DE68" s="1880"/>
      <c r="DF68" s="1880"/>
      <c r="DG68" s="1880"/>
      <c r="DH68" s="1880"/>
      <c r="DI68" s="1880"/>
      <c r="DJ68" s="1880"/>
      <c r="DK68" s="1880"/>
      <c r="DL68" s="1880"/>
      <c r="DM68" s="1880"/>
      <c r="DN68" s="1880"/>
      <c r="DO68" s="1880"/>
      <c r="DP68" s="1880"/>
      <c r="DQ68" s="1880"/>
      <c r="DR68" s="1880"/>
      <c r="DS68" s="1880"/>
      <c r="DT68" s="1880"/>
      <c r="DU68" s="1880"/>
      <c r="DV68" s="1880"/>
      <c r="DW68" s="1880"/>
      <c r="DX68" s="1880"/>
      <c r="DY68" s="1880"/>
      <c r="DZ68" s="1880"/>
      <c r="EA68" s="1880"/>
      <c r="EB68" s="1880"/>
      <c r="EC68" s="1880"/>
      <c r="ED68" s="1880"/>
      <c r="EE68" s="1880"/>
      <c r="EF68" s="1880"/>
      <c r="EG68" s="1880"/>
      <c r="EH68" s="1880"/>
      <c r="EI68" s="1880"/>
      <c r="EJ68" s="1880"/>
      <c r="EK68" s="1880"/>
      <c r="EL68" s="1880"/>
      <c r="EM68" s="1880"/>
      <c r="EN68" s="1880"/>
    </row>
    <row r="69" spans="1:144" ht="15.5">
      <c r="A69" s="1626"/>
      <c r="B69" s="2439"/>
      <c r="C69" s="2439"/>
      <c r="D69" s="1549"/>
      <c r="E69" s="578"/>
      <c r="F69" s="578"/>
      <c r="G69" s="578"/>
      <c r="H69" s="401"/>
      <c r="I69" s="401"/>
      <c r="J69" s="401"/>
      <c r="K69" s="578"/>
      <c r="L69" s="37"/>
      <c r="N69" s="158"/>
      <c r="O69" s="101"/>
      <c r="P69" s="52"/>
      <c r="Q69" s="101"/>
      <c r="R69" s="539"/>
      <c r="S69" s="101"/>
      <c r="T69" s="101"/>
      <c r="U69" s="39"/>
      <c r="V69" s="37"/>
      <c r="W69" s="2487"/>
      <c r="X69" s="2488"/>
      <c r="Y69" s="2489"/>
      <c r="Z69" s="2484"/>
      <c r="AA69" s="2484"/>
      <c r="AB69" s="2484"/>
      <c r="AC69" s="2490"/>
      <c r="AD69" s="2484"/>
      <c r="AE69" s="2484"/>
      <c r="AF69" s="2484"/>
      <c r="AG69" s="2484"/>
      <c r="AH69" s="2484"/>
      <c r="AI69" s="2484"/>
      <c r="AJ69" s="2484"/>
      <c r="AK69" s="2484"/>
      <c r="AL69" s="2484"/>
      <c r="AM69" s="2484"/>
      <c r="AN69" s="2484"/>
      <c r="AO69" s="2484"/>
      <c r="AP69" s="2484"/>
      <c r="AQ69" s="2484"/>
      <c r="AR69" s="2484"/>
      <c r="AS69" s="2484"/>
      <c r="AT69" s="2484"/>
      <c r="AU69" s="2484"/>
      <c r="AV69" s="2484"/>
      <c r="AW69" s="2484"/>
      <c r="AX69" s="2484"/>
      <c r="AY69" s="2484"/>
      <c r="AZ69" s="2484"/>
      <c r="BA69" s="2484"/>
      <c r="BB69" s="2484"/>
      <c r="BC69" s="2484"/>
      <c r="BD69" s="2484"/>
      <c r="BE69" s="2484"/>
      <c r="BF69" s="2484"/>
      <c r="BG69" s="2484"/>
      <c r="BH69" s="2484"/>
      <c r="BI69" s="2484"/>
      <c r="BJ69" s="2484"/>
      <c r="BK69" s="2484"/>
      <c r="BL69" s="2484"/>
      <c r="BM69" s="2484"/>
      <c r="BN69" s="2484"/>
      <c r="BO69" s="2484"/>
      <c r="BP69" s="2484"/>
      <c r="BQ69" s="2484"/>
      <c r="BR69" s="2484"/>
      <c r="BS69" s="2484"/>
      <c r="BT69" s="2484"/>
      <c r="BU69" s="2484"/>
      <c r="BV69" s="2484"/>
      <c r="BW69" s="2484"/>
      <c r="BX69" s="2484"/>
      <c r="BY69" s="2484"/>
      <c r="BZ69" s="2484"/>
      <c r="CA69" s="34"/>
      <c r="CC69" s="33"/>
      <c r="CD69" s="184"/>
      <c r="CE69" s="184"/>
      <c r="CF69" s="88"/>
      <c r="CG69" s="184"/>
      <c r="CH69" s="184"/>
      <c r="CI69" s="88"/>
      <c r="CJ69" s="184"/>
      <c r="CK69" s="184"/>
      <c r="CL69" s="88"/>
      <c r="CM69" s="184"/>
      <c r="CN69" s="184"/>
      <c r="CO69" s="88"/>
      <c r="CP69" s="184"/>
      <c r="CQ69" s="184"/>
      <c r="CR69" s="34"/>
      <c r="CS69" s="2056"/>
      <c r="CT69" s="1880"/>
      <c r="CU69" s="1880"/>
      <c r="CV69" s="1880"/>
      <c r="CW69" s="1880"/>
      <c r="CX69" s="2121"/>
      <c r="CY69" s="1880"/>
      <c r="CZ69" s="1880"/>
      <c r="DA69" s="1880"/>
      <c r="DB69" s="1880"/>
      <c r="DC69" s="2121"/>
      <c r="DD69" s="1880"/>
      <c r="DE69" s="1880"/>
      <c r="DF69" s="1880"/>
      <c r="DG69" s="1880"/>
      <c r="DH69" s="1880"/>
      <c r="DI69" s="1880"/>
      <c r="DJ69" s="1880"/>
      <c r="DK69" s="1880"/>
      <c r="DL69" s="1880"/>
      <c r="DM69" s="1880"/>
      <c r="DN69" s="1880"/>
      <c r="DO69" s="1880"/>
      <c r="DP69" s="1880"/>
      <c r="DQ69" s="1880"/>
      <c r="DR69" s="1880"/>
      <c r="DS69" s="1880"/>
      <c r="DT69" s="1880"/>
      <c r="DU69" s="1880"/>
      <c r="DV69" s="1880"/>
      <c r="DW69" s="1880"/>
      <c r="DX69" s="1880"/>
      <c r="DY69" s="1880"/>
      <c r="DZ69" s="1880"/>
      <c r="EA69" s="1880"/>
      <c r="EB69" s="1880"/>
      <c r="EC69" s="1880"/>
      <c r="ED69" s="1880"/>
      <c r="EE69" s="1880"/>
      <c r="EF69" s="1880"/>
      <c r="EG69" s="1880"/>
      <c r="EH69" s="1880"/>
      <c r="EI69" s="1880"/>
      <c r="EJ69" s="1880"/>
      <c r="EK69" s="1880"/>
      <c r="EL69" s="1880"/>
      <c r="EM69" s="1880"/>
      <c r="EN69" s="1880"/>
    </row>
    <row r="70" spans="1:144" ht="15.5">
      <c r="A70" s="1626"/>
      <c r="B70" s="2439" t="str">
        <f>_xlfn.LET(_xlpm.IsNotAttrDynamic,D70="",_xlpm.Attr,_PL!F70,_xlpm.NotInUse,Y70=D70,_xlpm.RESULT,IF(_xlpm.IsNotAttrDynamic,_xlpm.Attr,IF(_xlpm.NotInUse,"",Y70)),IF(_xlpm.RESULT="","",_xlpm.RESULT))</f>
        <v/>
      </c>
      <c r="C70" s="2439" t="str" cm="1">
        <f t="array" ref="C70">IFBLANK(_PL!C70,"")</f>
        <v/>
      </c>
      <c r="D70" s="1549"/>
      <c r="E70" s="578"/>
      <c r="F70" s="578"/>
      <c r="G70" s="578"/>
      <c r="H70" s="401"/>
      <c r="I70" s="401"/>
      <c r="J70" s="401"/>
      <c r="K70" s="578" t="str">
        <f t="shared" si="17"/>
        <v>No</v>
      </c>
      <c r="L70" s="37"/>
      <c r="N70" s="158"/>
      <c r="O70" s="101"/>
      <c r="P70" s="52"/>
      <c r="Q70" s="101"/>
      <c r="R70" s="539"/>
      <c r="S70" s="101"/>
      <c r="T70" s="101"/>
      <c r="U70" s="39"/>
      <c r="V70" s="37"/>
      <c r="W70" s="2487"/>
      <c r="X70" s="2488"/>
      <c r="Y70" s="2484"/>
      <c r="Z70" s="2484"/>
      <c r="AA70" s="2484"/>
      <c r="AB70" s="2484"/>
      <c r="AC70" s="2490"/>
      <c r="AD70" s="2484"/>
      <c r="AE70" s="2484"/>
      <c r="AF70" s="2484"/>
      <c r="AG70" s="2484"/>
      <c r="AH70" s="2484"/>
      <c r="AI70" s="2484"/>
      <c r="AJ70" s="2484"/>
      <c r="AK70" s="2484"/>
      <c r="AL70" s="2484"/>
      <c r="AM70" s="2484"/>
      <c r="AN70" s="2484"/>
      <c r="AO70" s="2484"/>
      <c r="AP70" s="2484"/>
      <c r="AQ70" s="2484"/>
      <c r="AR70" s="2484"/>
      <c r="AS70" s="2484"/>
      <c r="AT70" s="2484"/>
      <c r="AU70" s="2484"/>
      <c r="AV70" s="2484"/>
      <c r="AW70" s="2484"/>
      <c r="AX70" s="2484"/>
      <c r="AY70" s="2484"/>
      <c r="AZ70" s="2484"/>
      <c r="BA70" s="2484"/>
      <c r="BB70" s="2484"/>
      <c r="BC70" s="2484"/>
      <c r="BD70" s="2484"/>
      <c r="BE70" s="2484"/>
      <c r="BF70" s="2484"/>
      <c r="BG70" s="2484"/>
      <c r="BH70" s="2484"/>
      <c r="BI70" s="2484"/>
      <c r="BJ70" s="2484"/>
      <c r="BK70" s="2484"/>
      <c r="BL70" s="2484"/>
      <c r="BM70" s="2484"/>
      <c r="BN70" s="2484"/>
      <c r="BO70" s="2484"/>
      <c r="BP70" s="2484"/>
      <c r="BQ70" s="2484"/>
      <c r="BR70" s="2484"/>
      <c r="BS70" s="2484"/>
      <c r="BT70" s="2484"/>
      <c r="BU70" s="2484"/>
      <c r="BV70" s="2484"/>
      <c r="BW70" s="2484"/>
      <c r="BX70" s="2484"/>
      <c r="BY70" s="2484"/>
      <c r="BZ70" s="2484"/>
      <c r="CA70" s="34"/>
      <c r="CC70" s="33"/>
      <c r="CD70" s="184"/>
      <c r="CE70" s="184"/>
      <c r="CF70" s="88"/>
      <c r="CG70" s="184"/>
      <c r="CH70" s="184"/>
      <c r="CI70" s="88"/>
      <c r="CJ70" s="184"/>
      <c r="CK70" s="184"/>
      <c r="CL70" s="88"/>
      <c r="CM70" s="184"/>
      <c r="CN70" s="184"/>
      <c r="CO70" s="88"/>
      <c r="CP70" s="184"/>
      <c r="CQ70" s="184"/>
      <c r="CR70" s="34"/>
      <c r="CS70" s="2056"/>
      <c r="CT70" s="1880"/>
      <c r="CU70" s="1880"/>
      <c r="CV70" s="1880"/>
      <c r="CW70" s="1880"/>
      <c r="CX70" s="2121"/>
      <c r="CY70" s="1880"/>
      <c r="CZ70" s="1880"/>
      <c r="DA70" s="1880"/>
      <c r="DB70" s="1880"/>
      <c r="DC70" s="2121"/>
      <c r="DD70" s="1880"/>
      <c r="DE70" s="1880"/>
      <c r="DF70" s="1880"/>
      <c r="DG70" s="1880"/>
      <c r="DH70" s="1880"/>
      <c r="DI70" s="1880"/>
      <c r="DJ70" s="1880"/>
      <c r="DK70" s="1880"/>
      <c r="DL70" s="1880"/>
      <c r="DM70" s="1880"/>
      <c r="DN70" s="1880"/>
      <c r="DO70" s="1880"/>
      <c r="DP70" s="1880"/>
      <c r="DQ70" s="1880"/>
      <c r="DR70" s="1880"/>
      <c r="DS70" s="1880"/>
      <c r="DT70" s="1880"/>
      <c r="DU70" s="1880"/>
      <c r="DV70" s="1880"/>
      <c r="DW70" s="1880"/>
      <c r="DX70" s="1880"/>
      <c r="DY70" s="1880"/>
      <c r="DZ70" s="1880"/>
      <c r="EA70" s="1880"/>
      <c r="EB70" s="1880"/>
      <c r="EC70" s="1880"/>
      <c r="ED70" s="1880"/>
      <c r="EE70" s="1880"/>
      <c r="EF70" s="1880"/>
      <c r="EG70" s="1880"/>
      <c r="EH70" s="1880"/>
      <c r="EI70" s="1880"/>
      <c r="EJ70" s="1880"/>
      <c r="EK70" s="1880"/>
      <c r="EL70" s="1880"/>
      <c r="EM70" s="1880"/>
      <c r="EN70" s="1880"/>
    </row>
    <row r="71" spans="1:144" ht="32.5">
      <c r="A71" s="1626"/>
      <c r="B71" s="2439" t="str">
        <f>_xlfn.LET(_xlpm.IsNotAttrDynamic,D71="",_xlpm.Attr,_PL!F71,_xlpm.NotInUse,Y71=D71,_xlpm.RESULT,IF(_xlpm.IsNotAttrDynamic,_xlpm.Attr,IF(_xlpm.NotInUse,"",Y71)),IF(_xlpm.RESULT="","",_xlpm.RESULT))</f>
        <v/>
      </c>
      <c r="C71" s="2439" t="str" cm="1">
        <f t="array" ref="C71">IFBLANK(_PL!C71,"")</f>
        <v/>
      </c>
      <c r="D71" s="1549"/>
      <c r="E71" s="578"/>
      <c r="F71" s="578"/>
      <c r="G71" s="578"/>
      <c r="H71" s="401"/>
      <c r="I71" s="401"/>
      <c r="J71" s="401"/>
      <c r="K71" s="578" t="str">
        <f t="shared" si="17"/>
        <v>No</v>
      </c>
      <c r="L71" s="37"/>
      <c r="N71" s="158"/>
      <c r="O71" s="101"/>
      <c r="P71" s="52"/>
      <c r="Q71" s="101"/>
      <c r="R71" s="539"/>
      <c r="S71" s="101"/>
      <c r="T71" s="101"/>
      <c r="U71" s="39"/>
      <c r="V71" s="37"/>
      <c r="W71" s="2487"/>
      <c r="X71" s="2488"/>
      <c r="Y71" s="2484"/>
      <c r="Z71" s="2484"/>
      <c r="AA71" s="2484"/>
      <c r="AB71" s="2484"/>
      <c r="AC71" s="2490"/>
      <c r="AD71" s="2484"/>
      <c r="AE71" s="2484"/>
      <c r="AF71" s="2484"/>
      <c r="AG71" s="2484"/>
      <c r="AH71" s="2484"/>
      <c r="AI71" s="2484"/>
      <c r="AJ71" s="2484"/>
      <c r="AK71" s="2484"/>
      <c r="AL71" s="2484"/>
      <c r="AM71" s="2484"/>
      <c r="AN71" s="2484"/>
      <c r="AO71" s="2484"/>
      <c r="AP71" s="2484"/>
      <c r="AQ71" s="2484"/>
      <c r="AR71" s="2484"/>
      <c r="AS71" s="2484"/>
      <c r="AT71" s="2484"/>
      <c r="AU71" s="2484"/>
      <c r="AV71" s="2484"/>
      <c r="AW71" s="2484"/>
      <c r="AX71" s="2484"/>
      <c r="AY71" s="2484"/>
      <c r="AZ71" s="2484"/>
      <c r="BA71" s="2484"/>
      <c r="BB71" s="2484"/>
      <c r="BC71" s="2484"/>
      <c r="BD71" s="2484"/>
      <c r="BE71" s="2484"/>
      <c r="BF71" s="2484"/>
      <c r="BG71" s="2484"/>
      <c r="BH71" s="2484"/>
      <c r="BI71" s="2484"/>
      <c r="BJ71" s="2484"/>
      <c r="BK71" s="2484"/>
      <c r="BL71" s="2484"/>
      <c r="BM71" s="2484"/>
      <c r="BN71" s="2484"/>
      <c r="BO71" s="2484"/>
      <c r="BP71" s="2484"/>
      <c r="BQ71" s="2484"/>
      <c r="BR71" s="2484"/>
      <c r="BS71" s="2484"/>
      <c r="BT71" s="2484"/>
      <c r="BU71" s="2484"/>
      <c r="BV71" s="2484"/>
      <c r="BW71" s="2484"/>
      <c r="BX71" s="2484"/>
      <c r="BY71" s="2484"/>
      <c r="BZ71" s="2484"/>
      <c r="CA71" s="34"/>
      <c r="CC71" s="33"/>
      <c r="CD71" s="3028" t="s">
        <v>41</v>
      </c>
      <c r="CE71" s="3029"/>
      <c r="CF71" s="1468"/>
      <c r="CG71" s="3030" t="s">
        <v>42</v>
      </c>
      <c r="CH71" s="3031"/>
      <c r="CI71" s="1325"/>
      <c r="CJ71" s="3032" t="s">
        <v>43</v>
      </c>
      <c r="CK71" s="3033"/>
      <c r="CL71" s="1469"/>
      <c r="CM71" s="3015" t="s">
        <v>44</v>
      </c>
      <c r="CN71" s="3016"/>
      <c r="CO71" s="1470"/>
      <c r="CP71" s="3015" t="s">
        <v>45</v>
      </c>
      <c r="CQ71" s="3016"/>
      <c r="CR71" s="34"/>
      <c r="CS71" s="2056"/>
      <c r="CT71" s="1880"/>
      <c r="CU71" s="1880"/>
      <c r="CV71" s="1880"/>
      <c r="CW71" s="1880"/>
      <c r="CX71" s="2121"/>
      <c r="CY71" s="1880"/>
      <c r="CZ71" s="1880"/>
      <c r="DA71" s="1880"/>
      <c r="DB71" s="1880"/>
      <c r="DC71" s="2121"/>
      <c r="DD71" s="1880"/>
      <c r="DE71" s="1880"/>
      <c r="DF71" s="1880"/>
      <c r="DG71" s="1880"/>
      <c r="DH71" s="1880"/>
      <c r="DI71" s="1880"/>
      <c r="DJ71" s="1880"/>
      <c r="DK71" s="1880"/>
      <c r="DL71" s="1880"/>
      <c r="DM71" s="1880"/>
      <c r="DN71" s="1880"/>
      <c r="DO71" s="1880"/>
      <c r="DP71" s="1880"/>
      <c r="DQ71" s="1880"/>
      <c r="DR71" s="1880"/>
      <c r="DS71" s="1880"/>
      <c r="DT71" s="1880"/>
      <c r="DU71" s="1880"/>
      <c r="DV71" s="1880"/>
      <c r="DW71" s="1880"/>
      <c r="DX71" s="1880"/>
      <c r="DY71" s="1880"/>
      <c r="DZ71" s="1880"/>
      <c r="EA71" s="1880"/>
      <c r="EB71" s="1880"/>
      <c r="EC71" s="1880"/>
      <c r="ED71" s="1880"/>
      <c r="EE71" s="1880"/>
      <c r="EF71" s="1880"/>
      <c r="EG71" s="1880"/>
      <c r="EH71" s="1880"/>
      <c r="EI71" s="1880"/>
      <c r="EJ71" s="1880"/>
      <c r="EK71" s="1880"/>
      <c r="EL71" s="1880"/>
      <c r="EM71" s="1880"/>
      <c r="EN71" s="1880"/>
    </row>
    <row r="72" spans="1:144" ht="21" customHeight="1">
      <c r="A72" s="2427"/>
      <c r="B72" s="2439" t="str">
        <f>_xlfn.LET(_xlpm.IsNotAttrDynamic,D72="",_xlpm.Attr,_PL!F72,_xlpm.NotInUse,Y72=D72,_xlpm.RESULT,IF(_xlpm.IsNotAttrDynamic,_xlpm.Attr,IF(_xlpm.NotInUse,"",Y72)),IF(_xlpm.RESULT="","",_xlpm.RESULT))</f>
        <v/>
      </c>
      <c r="C72" s="2439" t="str" cm="1">
        <f t="array" ref="C72">IFBLANK(_PL!C72,"")</f>
        <v/>
      </c>
      <c r="D72" s="2458"/>
      <c r="E72" s="572"/>
      <c r="F72" s="2459"/>
      <c r="G72" s="578"/>
      <c r="H72" s="401"/>
      <c r="I72" s="401"/>
      <c r="J72" s="401"/>
      <c r="K72" s="578" t="str">
        <f t="shared" si="17"/>
        <v>No</v>
      </c>
      <c r="L72" s="37"/>
      <c r="N72" s="158"/>
      <c r="O72" s="101"/>
      <c r="P72" s="151"/>
      <c r="Q72" s="151"/>
      <c r="R72" s="101"/>
      <c r="S72" s="3042" t="s">
        <v>106</v>
      </c>
      <c r="T72" s="3042"/>
      <c r="U72" s="39"/>
      <c r="V72" s="37"/>
      <c r="W72" s="3045" t="str">
        <f>_PL!W72</f>
        <v>Budget</v>
      </c>
      <c r="X72" s="1247"/>
      <c r="Y72" s="3040" t="s">
        <v>81</v>
      </c>
      <c r="Z72" s="1248" t="s">
        <v>82</v>
      </c>
      <c r="AA72" s="1249"/>
      <c r="AB72" s="1630" t="s">
        <v>83</v>
      </c>
      <c r="AC72" s="1273"/>
      <c r="AD72" s="859" cm="1">
        <f t="array" ca="1" aca="1" ref="AD72:AD73">fx_checkComp(AD75:AD96)</f>
        <v>100</v>
      </c>
      <c r="AE72" s="859" cm="1">
        <f t="array" ca="1" aca="1" ref="AE72:AE73">fx_checkComp(AE75:AE96)</f>
        <v>100</v>
      </c>
      <c r="AF72" s="859" cm="1">
        <f t="array" ca="1" aca="1" ref="AF72:AF73">fx_checkComp(AF75:AF96)</f>
        <v>100</v>
      </c>
      <c r="AG72" s="859" cm="1">
        <f t="array" ca="1" aca="1" ref="AG72:AG73">fx_checkComp(AG75:AG96)</f>
        <v>100</v>
      </c>
      <c r="AH72" s="859" cm="1">
        <f t="array" ca="1" aca="1" ref="AH72:AH73">fx_checkComp(AH75:AH96)</f>
        <v>100</v>
      </c>
      <c r="AI72" s="859" cm="1">
        <f t="array" ca="1" aca="1" ref="AI72:AI73">fx_checkComp(AI75:AI96)</f>
        <v>100</v>
      </c>
      <c r="AJ72" s="859" cm="1">
        <f t="array" ca="1" aca="1" ref="AJ72:AJ73">fx_checkComp(AJ75:AJ96)</f>
        <v>100</v>
      </c>
      <c r="AK72" s="859" cm="1">
        <f t="array" ca="1" aca="1" ref="AK72:AK73">fx_checkComp(AK75:AK96)</f>
        <v>100</v>
      </c>
      <c r="AL72" s="859" cm="1">
        <f t="array" ca="1" aca="1" ref="AL72:AL73">fx_checkComp(AL75:AL96)</f>
        <v>100</v>
      </c>
      <c r="AM72" s="859" cm="1">
        <f t="array" ca="1" aca="1" ref="AM72:AM73">fx_checkComp(AM75:AM96)</f>
        <v>100</v>
      </c>
      <c r="AN72" s="859" cm="1">
        <f t="array" ca="1" aca="1" ref="AN72:AN73">fx_checkComp(AN75:AN96)</f>
        <v>100</v>
      </c>
      <c r="AO72" s="859" cm="1">
        <f t="array" ca="1" aca="1" ref="AO72:AO73">fx_checkComp(AO75:AO96)</f>
        <v>100</v>
      </c>
      <c r="AP72" s="859" cm="1">
        <f t="array" ca="1" aca="1" ref="AP72:AP73">fx_checkComp(AP75:AP96)</f>
        <v>100</v>
      </c>
      <c r="AQ72" s="859" cm="1">
        <f t="array" ca="1" aca="1" ref="AQ72:AQ73">fx_checkComp(AQ75:AQ96)</f>
        <v>100</v>
      </c>
      <c r="AR72" s="859" cm="1">
        <f t="array" ca="1" aca="1" ref="AR72:AR73">fx_checkComp(AR75:AR96)</f>
        <v>100</v>
      </c>
      <c r="AS72" s="859" cm="1">
        <f t="array" ca="1" aca="1" ref="AS72:AS73">fx_checkComp(AS75:AS96)</f>
        <v>100</v>
      </c>
      <c r="AT72" s="859" cm="1">
        <f t="array" ca="1" aca="1" ref="AT72:AT73">fx_checkComp(AT75:AT96)</f>
        <v>100</v>
      </c>
      <c r="AU72" s="859" cm="1">
        <f t="array" ca="1" aca="1" ref="AU72:AU73">fx_checkComp(AU75:AU96)</f>
        <v>100</v>
      </c>
      <c r="AV72" s="859" cm="1">
        <f t="array" ca="1" aca="1" ref="AV72:AV73">fx_checkComp(AV75:AV96)</f>
        <v>100</v>
      </c>
      <c r="AW72" s="859" cm="1">
        <f t="array" ca="1" aca="1" ref="AW72:AW73">fx_checkComp(AW75:AW96)</f>
        <v>100</v>
      </c>
      <c r="AX72" s="859" cm="1">
        <f t="array" ca="1" aca="1" ref="AX72:AX73">fx_checkComp(AX75:AX96)</f>
        <v>100</v>
      </c>
      <c r="AY72" s="859" cm="1">
        <f t="array" ca="1" aca="1" ref="AY72:AY73">fx_checkComp(AY75:AY96)</f>
        <v>100</v>
      </c>
      <c r="AZ72" s="859" cm="1">
        <f t="array" ca="1" aca="1" ref="AZ72:AZ73">fx_checkComp(AZ75:AZ96)</f>
        <v>100</v>
      </c>
      <c r="BA72" s="859" cm="1">
        <f t="array" ca="1" aca="1" ref="BA72:BA73">fx_checkComp(BA75:BA96)</f>
        <v>100</v>
      </c>
      <c r="BB72" s="859" cm="1">
        <f t="array" ca="1" aca="1" ref="BB72:BB73">fx_checkComp(BB75:BB96)</f>
        <v>100</v>
      </c>
      <c r="BC72" s="859" cm="1">
        <f t="array" ca="1" aca="1" ref="BC72:BC73">fx_checkComp(BC75:BC96)</f>
        <v>100</v>
      </c>
      <c r="BD72" s="859" cm="1">
        <f t="array" ca="1" aca="1" ref="BD72:BD73">fx_checkComp(BD75:BD96)</f>
        <v>100</v>
      </c>
      <c r="BE72" s="859" cm="1">
        <f t="array" ca="1" aca="1" ref="BE72:BE73">fx_checkComp(BE75:BE96)</f>
        <v>100</v>
      </c>
      <c r="BF72" s="859" cm="1">
        <f t="array" ca="1" aca="1" ref="BF72:BF73">fx_checkComp(BF75:BF96)</f>
        <v>100</v>
      </c>
      <c r="BG72" s="859" cm="1">
        <f t="array" ca="1" aca="1" ref="BG72:BG73">fx_checkComp(BG75:BG96)</f>
        <v>100</v>
      </c>
      <c r="BH72" s="859" cm="1">
        <f t="array" ca="1" aca="1" ref="BH72:BH73">fx_checkComp(BH75:BH96)</f>
        <v>100</v>
      </c>
      <c r="BI72" s="859" cm="1">
        <f t="array" ca="1" aca="1" ref="BI72:BI73">fx_checkComp(BI75:BI96)</f>
        <v>100</v>
      </c>
      <c r="BJ72" s="859" cm="1">
        <f t="array" ca="1" aca="1" ref="BJ72:BJ73">fx_checkComp(BJ75:BJ96)</f>
        <v>100</v>
      </c>
      <c r="BK72" s="859" cm="1">
        <f t="array" ca="1" aca="1" ref="BK72:BK73">fx_checkComp(BK75:BK96)</f>
        <v>100</v>
      </c>
      <c r="BL72" s="859" cm="1">
        <f t="array" ca="1" aca="1" ref="BL72:BL73">fx_checkComp(BL75:BL96)</f>
        <v>100</v>
      </c>
      <c r="BM72" s="859" cm="1">
        <f t="array" ca="1" aca="1" ref="BM72:BM73">fx_checkComp(BM75:BM96)</f>
        <v>100</v>
      </c>
      <c r="BN72" s="1215" cm="1">
        <f t="array" ca="1" aca="1" ref="BN72:BN73">fx_checkComp(BN75:BN96)</f>
        <v>100</v>
      </c>
      <c r="BO72" s="1804"/>
      <c r="BP72" s="1804"/>
      <c r="BQ72" s="1804"/>
      <c r="BR72" s="1804"/>
      <c r="BS72" s="1804"/>
      <c r="BT72" s="1804"/>
      <c r="BU72" s="1804"/>
      <c r="BV72" s="1804"/>
      <c r="BW72" s="1804"/>
      <c r="BX72" s="1804"/>
      <c r="BY72" s="1804"/>
      <c r="BZ72" s="1804"/>
      <c r="CA72" s="34"/>
      <c r="CC72" s="33"/>
      <c r="CD72" s="1341"/>
      <c r="CE72" s="1342"/>
      <c r="CF72" s="88"/>
      <c r="CG72" s="1350"/>
      <c r="CH72" s="1351"/>
      <c r="CI72" s="170"/>
      <c r="CJ72" s="1348"/>
      <c r="CK72" s="1349"/>
      <c r="CL72" s="88"/>
      <c r="CM72" s="2491"/>
      <c r="CN72" s="2492"/>
      <c r="CO72" s="88"/>
      <c r="CP72" s="1664"/>
      <c r="CQ72" s="1665"/>
      <c r="CR72" s="34"/>
      <c r="CS72" s="2056"/>
      <c r="CT72" s="1880"/>
      <c r="CU72" s="1880"/>
      <c r="CV72" s="1880"/>
      <c r="CW72" s="1880"/>
      <c r="CX72" s="2121"/>
      <c r="CY72" s="1880"/>
      <c r="CZ72" s="1880"/>
      <c r="DA72" s="1880"/>
      <c r="DB72" s="1880"/>
      <c r="DC72" s="2121"/>
      <c r="DD72" s="1880"/>
      <c r="DE72" s="1880"/>
      <c r="DF72" s="1880"/>
      <c r="DG72" s="1880"/>
      <c r="DH72" s="1880"/>
      <c r="DI72" s="1880"/>
      <c r="DJ72" s="1880"/>
      <c r="DK72" s="1880"/>
      <c r="DL72" s="1880"/>
      <c r="DM72" s="1880"/>
      <c r="DN72" s="1880"/>
      <c r="DO72" s="1880"/>
      <c r="DP72" s="1880"/>
      <c r="DQ72" s="1880"/>
      <c r="DR72" s="1880"/>
      <c r="DS72" s="1880"/>
      <c r="DT72" s="1880"/>
      <c r="DU72" s="1880"/>
      <c r="DV72" s="1880"/>
      <c r="DW72" s="1880"/>
      <c r="DX72" s="1880"/>
      <c r="DY72" s="1880"/>
      <c r="DZ72" s="1880"/>
      <c r="EA72" s="1880"/>
      <c r="EB72" s="1880"/>
      <c r="EC72" s="1880"/>
      <c r="ED72" s="1880"/>
      <c r="EE72" s="1880"/>
      <c r="EF72" s="1880"/>
      <c r="EG72" s="1880"/>
      <c r="EH72" s="1880"/>
      <c r="EI72" s="1880"/>
      <c r="EJ72" s="1880"/>
      <c r="EK72" s="1880"/>
      <c r="EL72" s="1880"/>
      <c r="EM72" s="1880"/>
      <c r="EN72" s="1880"/>
    </row>
    <row r="73" spans="1:144" ht="21" customHeight="1">
      <c r="A73" s="2427"/>
      <c r="B73" s="2439" t="str">
        <f>_xlfn.LET(_xlpm.IsNotAttrDynamic,D73="",_xlpm.Attr,_PL!F73,_xlpm.NotInUse,Y73=D73,_xlpm.RESULT,IF(_xlpm.IsNotAttrDynamic,_xlpm.Attr,IF(_xlpm.NotInUse,"",Y73)),IF(_xlpm.RESULT="","",_xlpm.RESULT))</f>
        <v/>
      </c>
      <c r="C73" s="2439" t="str" cm="1">
        <f t="array" ref="C73">IFBLANK(_PL!C73,"")</f>
        <v/>
      </c>
      <c r="D73" s="2458"/>
      <c r="E73" s="572"/>
      <c r="F73" s="2459"/>
      <c r="G73" s="578"/>
      <c r="H73" s="401"/>
      <c r="I73" s="401"/>
      <c r="J73" s="401"/>
      <c r="K73" s="578" t="str">
        <f t="shared" si="17"/>
        <v>No</v>
      </c>
      <c r="L73" s="37"/>
      <c r="N73" s="158"/>
      <c r="O73" s="101"/>
      <c r="P73" s="151"/>
      <c r="Q73" s="151"/>
      <c r="R73" s="101"/>
      <c r="S73" s="3042"/>
      <c r="T73" s="3042"/>
      <c r="U73" s="39"/>
      <c r="V73" s="37"/>
      <c r="W73" s="3046"/>
      <c r="X73" s="1250"/>
      <c r="Y73" s="3041"/>
      <c r="Z73" s="1251"/>
      <c r="AA73" s="1252"/>
      <c r="AB73" s="1631" t="s">
        <v>84</v>
      </c>
      <c r="AC73" s="1162"/>
      <c r="AD73" s="2430" t="str">
        <f ca="1"/>
        <v>O: 6 / 6</v>
      </c>
      <c r="AE73" s="2430" t="str">
        <f ca="1"/>
        <v>O: 6 / 6</v>
      </c>
      <c r="AF73" s="2430" t="str">
        <f ca="1"/>
        <v>O: 6 / 6</v>
      </c>
      <c r="AG73" s="2430" t="str">
        <f ca="1"/>
        <v>O: 6 / 6</v>
      </c>
      <c r="AH73" s="2430" t="str">
        <f ca="1"/>
        <v>O: 6 / 6</v>
      </c>
      <c r="AI73" s="2430" t="str">
        <f ca="1"/>
        <v>O: 6 / 6</v>
      </c>
      <c r="AJ73" s="2430" t="str">
        <f ca="1"/>
        <v>O: 6 / 6</v>
      </c>
      <c r="AK73" s="2430" t="str">
        <f ca="1"/>
        <v>O: 6 / 6</v>
      </c>
      <c r="AL73" s="2430" t="str">
        <f ca="1"/>
        <v>O: 6 / 6</v>
      </c>
      <c r="AM73" s="2430" t="str">
        <f ca="1"/>
        <v>O: 6 / 6</v>
      </c>
      <c r="AN73" s="2430" t="str">
        <f ca="1"/>
        <v>O: 6 / 6</v>
      </c>
      <c r="AO73" s="2430" t="str">
        <f ca="1"/>
        <v>O: 6 / 6</v>
      </c>
      <c r="AP73" s="2430" t="str">
        <f ca="1"/>
        <v>O: 6 / 6</v>
      </c>
      <c r="AQ73" s="2430" t="str">
        <f ca="1"/>
        <v>O: 6 / 6</v>
      </c>
      <c r="AR73" s="2430" t="str">
        <f ca="1"/>
        <v>O: 6 / 6</v>
      </c>
      <c r="AS73" s="2430" t="str">
        <f ca="1"/>
        <v>O: 6 / 6</v>
      </c>
      <c r="AT73" s="2430" t="str">
        <f ca="1"/>
        <v>O: 6 / 6</v>
      </c>
      <c r="AU73" s="2430" t="str">
        <f ca="1"/>
        <v>O: 6 / 6</v>
      </c>
      <c r="AV73" s="2430" t="str">
        <f ca="1"/>
        <v>O: 6 / 6</v>
      </c>
      <c r="AW73" s="2430" t="str">
        <f ca="1"/>
        <v>O: 6 / 6</v>
      </c>
      <c r="AX73" s="2430" t="str">
        <f ca="1"/>
        <v>O: 6 / 6</v>
      </c>
      <c r="AY73" s="2430" t="str">
        <f ca="1"/>
        <v>O: 6 / 6</v>
      </c>
      <c r="AZ73" s="2430" t="str">
        <f ca="1"/>
        <v>O: 6 / 6</v>
      </c>
      <c r="BA73" s="2430" t="str">
        <f ca="1"/>
        <v>O: 6 / 6</v>
      </c>
      <c r="BB73" s="2430" t="str">
        <f ca="1"/>
        <v>O: 6 / 6</v>
      </c>
      <c r="BC73" s="2430" t="str">
        <f ca="1"/>
        <v>O: 6 / 6</v>
      </c>
      <c r="BD73" s="2430" t="str">
        <f ca="1"/>
        <v>O: 6 / 6</v>
      </c>
      <c r="BE73" s="2430" t="str">
        <f ca="1"/>
        <v>O: 6 / 6</v>
      </c>
      <c r="BF73" s="2430" t="str">
        <f ca="1"/>
        <v>O: 6 / 6</v>
      </c>
      <c r="BG73" s="2430" t="str">
        <f ca="1"/>
        <v>O: 6 / 6</v>
      </c>
      <c r="BH73" s="2430" t="str">
        <f ca="1"/>
        <v>O: 6 / 6</v>
      </c>
      <c r="BI73" s="2430" t="str">
        <f ca="1"/>
        <v>O: 6 / 6</v>
      </c>
      <c r="BJ73" s="2430" t="str">
        <f ca="1"/>
        <v>O: 6 / 6</v>
      </c>
      <c r="BK73" s="2430" t="str">
        <f ca="1"/>
        <v>O: 6 / 6</v>
      </c>
      <c r="BL73" s="2430" t="str">
        <f ca="1"/>
        <v>O: 6 / 6</v>
      </c>
      <c r="BM73" s="2430" t="str">
        <f ca="1"/>
        <v>O: 6 / 6</v>
      </c>
      <c r="BN73" s="2431" t="str">
        <f ca="1"/>
        <v>O: 6 / 6</v>
      </c>
      <c r="BO73" s="2432"/>
      <c r="BP73" s="2432"/>
      <c r="BQ73" s="2432"/>
      <c r="BR73" s="2432"/>
      <c r="BS73" s="2432"/>
      <c r="BT73" s="2432"/>
      <c r="BU73" s="2432"/>
      <c r="BV73" s="2432"/>
      <c r="BW73" s="2432"/>
      <c r="BX73" s="2432"/>
      <c r="BY73" s="2432"/>
      <c r="BZ73" s="2432"/>
      <c r="CA73" s="34"/>
      <c r="CC73" s="33"/>
      <c r="CD73" s="1341"/>
      <c r="CE73" s="1342"/>
      <c r="CF73" s="88"/>
      <c r="CG73" s="1352"/>
      <c r="CH73" s="1353"/>
      <c r="CI73" s="170"/>
      <c r="CJ73" s="1348"/>
      <c r="CK73" s="1349"/>
      <c r="CL73" s="88"/>
      <c r="CM73" s="2491"/>
      <c r="CN73" s="2492"/>
      <c r="CO73" s="97"/>
      <c r="CP73" s="2491"/>
      <c r="CQ73" s="2492"/>
      <c r="CR73" s="34"/>
      <c r="CS73" s="2056"/>
      <c r="CT73" s="1880"/>
      <c r="CU73" s="1880"/>
      <c r="CV73" s="1880"/>
      <c r="CW73" s="1880"/>
      <c r="CX73" s="2121"/>
      <c r="CY73" s="1880"/>
      <c r="CZ73" s="1880"/>
      <c r="DA73" s="1880"/>
      <c r="DB73" s="1880"/>
      <c r="DC73" s="2121"/>
      <c r="DD73" s="1880"/>
      <c r="DE73" s="1880"/>
      <c r="DF73" s="1880"/>
      <c r="DG73" s="1880"/>
      <c r="DH73" s="1880"/>
      <c r="DI73" s="1880"/>
      <c r="DJ73" s="1880"/>
      <c r="DK73" s="1880"/>
      <c r="DL73" s="1880"/>
      <c r="DM73" s="1880"/>
      <c r="DN73" s="1880"/>
      <c r="DO73" s="1880"/>
      <c r="DP73" s="1880"/>
      <c r="DQ73" s="1880"/>
      <c r="DR73" s="1880"/>
      <c r="DS73" s="1880"/>
      <c r="DT73" s="1880"/>
      <c r="DU73" s="1880"/>
      <c r="DV73" s="1880"/>
      <c r="DW73" s="1880"/>
      <c r="DX73" s="1880"/>
      <c r="DY73" s="1880"/>
      <c r="DZ73" s="1880"/>
      <c r="EA73" s="1880"/>
      <c r="EB73" s="1880"/>
      <c r="EC73" s="1880"/>
      <c r="ED73" s="1880"/>
      <c r="EE73" s="1880"/>
      <c r="EF73" s="1880"/>
      <c r="EG73" s="1880"/>
      <c r="EH73" s="1880"/>
      <c r="EI73" s="1880"/>
      <c r="EJ73" s="1880"/>
      <c r="EK73" s="1880"/>
      <c r="EL73" s="1880"/>
      <c r="EM73" s="1880"/>
      <c r="EN73" s="1880"/>
    </row>
    <row r="74" spans="1:147" ht="30.75" customHeight="1">
      <c r="A74" s="2427"/>
      <c r="B74" s="2439" t="str">
        <f>_xlfn.LET(_xlpm.IsNotAttrDynamic,D74="",_xlpm.Attr,_PL!F74,_xlpm.NotInUse,Y74=D74,_xlpm.RESULT,IF(_xlpm.IsNotAttrDynamic,_xlpm.Attr,IF(_xlpm.NotInUse,"",Y74)),IF(_xlpm.RESULT="","",_xlpm.RESULT))</f>
        <v/>
      </c>
      <c r="C74" s="2439" t="str" cm="1">
        <f t="array" ref="C74">IFBLANK(_PL!C74,"")</f>
        <v/>
      </c>
      <c r="D74" s="1548"/>
      <c r="E74" s="2453"/>
      <c r="F74" s="32"/>
      <c r="G74" s="32"/>
      <c r="H74" s="697"/>
      <c r="I74" s="1550">
        <v>3</v>
      </c>
      <c r="J74" s="401"/>
      <c r="K74" s="578" t="str">
        <f t="shared" si="17"/>
        <v>No</v>
      </c>
      <c r="L74" s="37"/>
      <c r="N74" s="158"/>
      <c r="O74" s="101"/>
      <c r="P74" s="52"/>
      <c r="Q74" s="101"/>
      <c r="R74" s="126"/>
      <c r="S74" s="101"/>
      <c r="T74" s="101"/>
      <c r="U74" s="39"/>
      <c r="V74" s="37"/>
      <c r="W74" s="27"/>
      <c r="X74" s="890"/>
      <c r="Y74" s="271"/>
      <c r="Z74" s="536"/>
      <c r="AA74" s="185"/>
      <c r="AB74" s="266" t="s">
        <v>107</v>
      </c>
      <c r="AC74" s="185"/>
      <c r="AD74" s="2493" cm="1">
        <f t="array" ref="AD74:BN74">array_timeline</f>
        <v>44926</v>
      </c>
      <c r="AE74" s="2493">
        <v>44957</v>
      </c>
      <c r="AF74" s="2493">
        <v>44985</v>
      </c>
      <c r="AG74" s="2493">
        <v>45016</v>
      </c>
      <c r="AH74" s="2493">
        <v>45046</v>
      </c>
      <c r="AI74" s="2493">
        <v>45077</v>
      </c>
      <c r="AJ74" s="2493">
        <v>45107</v>
      </c>
      <c r="AK74" s="2493">
        <v>45138</v>
      </c>
      <c r="AL74" s="2493">
        <v>45169</v>
      </c>
      <c r="AM74" s="2493">
        <v>45199</v>
      </c>
      <c r="AN74" s="2493">
        <v>45230</v>
      </c>
      <c r="AO74" s="2493">
        <v>45260</v>
      </c>
      <c r="AP74" s="2493">
        <v>45291</v>
      </c>
      <c r="AQ74" s="2493">
        <v>45322</v>
      </c>
      <c r="AR74" s="2493">
        <v>45351</v>
      </c>
      <c r="AS74" s="2493">
        <v>45382</v>
      </c>
      <c r="AT74" s="2493">
        <v>45412</v>
      </c>
      <c r="AU74" s="2493">
        <v>45443</v>
      </c>
      <c r="AV74" s="2493">
        <v>45473</v>
      </c>
      <c r="AW74" s="2493">
        <v>45504</v>
      </c>
      <c r="AX74" s="2493">
        <v>45535</v>
      </c>
      <c r="AY74" s="2493">
        <v>45565</v>
      </c>
      <c r="AZ74" s="2493">
        <v>45596</v>
      </c>
      <c r="BA74" s="2493">
        <v>45626</v>
      </c>
      <c r="BB74" s="2493">
        <v>45657</v>
      </c>
      <c r="BC74" s="2493">
        <v>45688</v>
      </c>
      <c r="BD74" s="2493">
        <v>45716</v>
      </c>
      <c r="BE74" s="2493">
        <v>45747</v>
      </c>
      <c r="BF74" s="2493">
        <v>45777</v>
      </c>
      <c r="BG74" s="2493">
        <v>45808</v>
      </c>
      <c r="BH74" s="2493">
        <v>45838</v>
      </c>
      <c r="BI74" s="2493">
        <v>45869</v>
      </c>
      <c r="BJ74" s="2493">
        <v>45900</v>
      </c>
      <c r="BK74" s="2493">
        <v>45930</v>
      </c>
      <c r="BL74" s="2493">
        <v>45961</v>
      </c>
      <c r="BM74" s="2493">
        <v>45991</v>
      </c>
      <c r="BN74" s="2494">
        <v>46022</v>
      </c>
      <c r="BO74" s="2495"/>
      <c r="BP74" s="2495"/>
      <c r="BQ74" s="2495"/>
      <c r="BR74" s="2495"/>
      <c r="BS74" s="2495"/>
      <c r="BT74" s="2495"/>
      <c r="BU74" s="2495"/>
      <c r="BV74" s="2495"/>
      <c r="BW74" s="2495"/>
      <c r="BX74" s="2495"/>
      <c r="BY74" s="2495"/>
      <c r="BZ74" s="2495"/>
      <c r="CA74" s="34"/>
      <c r="CC74" s="2496"/>
      <c r="CD74" s="1722" t="e" cm="1">
        <f t="array" ca="1" aca="1" ref="CD74">EOMONTH(val_currentFYE,-24)</f>
        <v>#NAME?</v>
      </c>
      <c r="CE74" s="1723" t="e" cm="1">
        <f t="array" ca="1" aca="1" ref="CE74">EOMONTH(val_currentFYE,-12)</f>
        <v>#NAME?</v>
      </c>
      <c r="CF74" s="277"/>
      <c r="CG74" s="1732">
        <f>EOMONTH(val_asOfDate,-1)</f>
        <v>45991</v>
      </c>
      <c r="CH74" s="1733">
        <f>EOMONTH(val_asOfDate,0)</f>
        <v>46022</v>
      </c>
      <c r="CI74" s="276"/>
      <c r="CJ74" s="1730">
        <f>EOMONTH(val_asOfDate,-1)</f>
        <v>45991</v>
      </c>
      <c r="CK74" s="1731">
        <f>EOMONTH(val_asOfDate,0)</f>
        <v>46022</v>
      </c>
      <c r="CL74" s="88"/>
      <c r="CM74" s="2497" t="e" cm="1">
        <f t="array" ca="1" aca="1" ref="CM74">val_currentFYE</f>
        <v>#NAME?</v>
      </c>
      <c r="CN74" s="2498" t="e" cm="1">
        <f t="array" ca="1" aca="1" ref="CN74">val_currentFYE</f>
        <v>#NAME?</v>
      </c>
      <c r="CO74" s="88"/>
      <c r="CP74" s="2497" t="e" cm="1">
        <f t="array" ca="1" aca="1" ref="CP74">EOMONTH(val_currentFYE,12)</f>
        <v>#NAME?</v>
      </c>
      <c r="CQ74" s="2498" t="e" cm="1">
        <f t="array" ca="1" aca="1" ref="CQ74">EOMONTH(val_currentFYE,12)</f>
        <v>#NAME?</v>
      </c>
      <c r="CR74" s="34"/>
      <c r="CS74" s="2056"/>
      <c r="CT74" s="1880"/>
      <c r="CU74" s="1880"/>
      <c r="CV74" s="1880"/>
      <c r="CW74" s="1880"/>
      <c r="CX74" s="2121"/>
      <c r="CY74" s="1880"/>
      <c r="CZ74" s="1880"/>
      <c r="DA74" s="1880"/>
      <c r="DB74" s="1880"/>
      <c r="DC74" s="2121"/>
      <c r="DD74" s="1880"/>
      <c r="DE74" s="1880"/>
      <c r="DF74" s="1880"/>
      <c r="DG74" s="1880"/>
      <c r="DH74" s="1880"/>
      <c r="DI74" s="1880"/>
      <c r="DJ74" s="1880"/>
      <c r="DK74" s="1880"/>
      <c r="DL74" s="1880"/>
      <c r="DM74" s="1880"/>
      <c r="DN74" s="1880"/>
      <c r="DO74" s="1880"/>
      <c r="DP74" s="1880"/>
      <c r="DQ74" s="1880"/>
      <c r="DR74" s="1880"/>
      <c r="DS74" s="1880"/>
      <c r="DT74" s="1880"/>
      <c r="DU74" s="1880"/>
      <c r="DV74" s="1880"/>
      <c r="DW74" s="1880"/>
      <c r="DX74" s="1880"/>
      <c r="DY74" s="1880"/>
      <c r="DZ74" s="1880"/>
      <c r="EA74" s="1880"/>
      <c r="EB74" s="1880"/>
      <c r="EC74" s="1880"/>
      <c r="ED74" s="1880"/>
      <c r="EE74" s="1880"/>
      <c r="EF74" s="1880"/>
      <c r="EG74" s="1880"/>
      <c r="EH74" s="1880"/>
      <c r="EI74" s="1880"/>
      <c r="EJ74" s="1880"/>
      <c r="EK74" s="1880"/>
      <c r="EL74" s="1880"/>
      <c r="EM74" s="1880"/>
      <c r="EN74" s="1880"/>
      <c r="EO74" s="1880"/>
      <c r="EP74" s="1880"/>
      <c r="EQ74" s="1880"/>
    </row>
    <row r="75" spans="1:149" ht="30.75" customHeight="1">
      <c r="A75" s="2449"/>
      <c r="B75" s="2439" t="str">
        <f>_xlfn.LET(_xlpm.IsNotAttrDynamic,D75="",_xlpm.Attr,_PL!F75,_xlpm.NotInUse,Y75=D75,_xlpm.RESULT,IF(_xlpm.IsNotAttrDynamic,_xlpm.Attr,IF(_xlpm.NotInUse,"",Y75)),IF(_xlpm.RESULT="","",_xlpm.RESULT))</f>
        <v/>
      </c>
      <c r="C75" s="2439" t="str" cm="1">
        <f t="array" ref="C75">IFBLANK(_PL!C75,"")</f>
        <v/>
      </c>
      <c r="D75" s="1548"/>
      <c r="E75" s="2453"/>
      <c r="F75" s="578"/>
      <c r="G75" s="578"/>
      <c r="H75" s="585"/>
      <c r="I75" s="585"/>
      <c r="J75" s="401"/>
      <c r="K75" s="578" t="str">
        <f t="shared" si="17"/>
        <v>No</v>
      </c>
      <c r="L75" s="37"/>
      <c r="N75" s="158"/>
      <c r="O75" s="101"/>
      <c r="P75" s="52"/>
      <c r="Q75" s="101"/>
      <c r="R75" s="126"/>
      <c r="S75" s="101"/>
      <c r="T75" s="101"/>
      <c r="U75" s="39"/>
      <c r="V75" s="37"/>
      <c r="W75" s="756" t="s">
        <v>94</v>
      </c>
      <c r="X75" s="2499">
        <f>_PL!X75</f>
        <v>0</v>
      </c>
      <c r="Y75" s="757" t="str">
        <f>val_company&amp;" P&amp;L Accounts"</f>
        <v>Therme Horizon P&amp;L Accounts</v>
      </c>
      <c r="Z75" s="548"/>
      <c r="AA75" s="125"/>
      <c r="AB75" s="561" t="s">
        <v>95</v>
      </c>
      <c r="AC75" s="125"/>
      <c r="AD75" s="2640" t="str">
        <f>$W$72</f>
        <v>Budget</v>
      </c>
      <c r="AE75" s="2640" t="str">
        <f t="shared" si="22" ref="AE75:BN75">$W$72</f>
        <v>Budget</v>
      </c>
      <c r="AF75" s="2640" t="str">
        <f t="shared" si="22"/>
        <v>Budget</v>
      </c>
      <c r="AG75" s="2640" t="str">
        <f t="shared" si="22"/>
        <v>Budget</v>
      </c>
      <c r="AH75" s="2640" t="str">
        <f t="shared" si="22"/>
        <v>Budget</v>
      </c>
      <c r="AI75" s="2640" t="str">
        <f t="shared" si="22"/>
        <v>Budget</v>
      </c>
      <c r="AJ75" s="2640" t="str">
        <f t="shared" si="22"/>
        <v>Budget</v>
      </c>
      <c r="AK75" s="2640" t="str">
        <f t="shared" si="22"/>
        <v>Budget</v>
      </c>
      <c r="AL75" s="2640" t="str">
        <f t="shared" si="22"/>
        <v>Budget</v>
      </c>
      <c r="AM75" s="2640" t="str">
        <f t="shared" si="22"/>
        <v>Budget</v>
      </c>
      <c r="AN75" s="2640" t="str">
        <f t="shared" si="22"/>
        <v>Budget</v>
      </c>
      <c r="AO75" s="2640" t="str">
        <f t="shared" si="22"/>
        <v>Budget</v>
      </c>
      <c r="AP75" s="2640" t="str">
        <f t="shared" si="22"/>
        <v>Budget</v>
      </c>
      <c r="AQ75" s="2640" t="str">
        <f t="shared" si="22"/>
        <v>Budget</v>
      </c>
      <c r="AR75" s="2640" t="str">
        <f t="shared" si="22"/>
        <v>Budget</v>
      </c>
      <c r="AS75" s="2640" t="str">
        <f t="shared" si="22"/>
        <v>Budget</v>
      </c>
      <c r="AT75" s="2640" t="str">
        <f t="shared" si="22"/>
        <v>Budget</v>
      </c>
      <c r="AU75" s="2640" t="str">
        <f t="shared" si="22"/>
        <v>Budget</v>
      </c>
      <c r="AV75" s="2640" t="str">
        <f t="shared" si="22"/>
        <v>Budget</v>
      </c>
      <c r="AW75" s="2640" t="str">
        <f t="shared" si="22"/>
        <v>Budget</v>
      </c>
      <c r="AX75" s="2640" t="str">
        <f t="shared" si="22"/>
        <v>Budget</v>
      </c>
      <c r="AY75" s="2640" t="str">
        <f t="shared" si="22"/>
        <v>Budget</v>
      </c>
      <c r="AZ75" s="2640" t="str">
        <f t="shared" si="22"/>
        <v>Budget</v>
      </c>
      <c r="BA75" s="2640" t="str">
        <f t="shared" si="22"/>
        <v>Budget</v>
      </c>
      <c r="BB75" s="2640" t="str">
        <f t="shared" si="22"/>
        <v>Budget</v>
      </c>
      <c r="BC75" s="2640" t="str">
        <f t="shared" si="22"/>
        <v>Budget</v>
      </c>
      <c r="BD75" s="2640" t="str">
        <f t="shared" si="22"/>
        <v>Budget</v>
      </c>
      <c r="BE75" s="2640" t="str">
        <f t="shared" si="22"/>
        <v>Budget</v>
      </c>
      <c r="BF75" s="2640" t="str">
        <f t="shared" si="22"/>
        <v>Budget</v>
      </c>
      <c r="BG75" s="2640" t="str">
        <f t="shared" si="22"/>
        <v>Budget</v>
      </c>
      <c r="BH75" s="2640" t="str">
        <f t="shared" si="22"/>
        <v>Budget</v>
      </c>
      <c r="BI75" s="2640" t="str">
        <f t="shared" si="22"/>
        <v>Budget</v>
      </c>
      <c r="BJ75" s="2640" t="str">
        <f t="shared" si="22"/>
        <v>Budget</v>
      </c>
      <c r="BK75" s="2640" t="str">
        <f t="shared" si="22"/>
        <v>Budget</v>
      </c>
      <c r="BL75" s="2640" t="str">
        <f t="shared" si="22"/>
        <v>Budget</v>
      </c>
      <c r="BM75" s="2640" t="str">
        <f t="shared" si="22"/>
        <v>Budget</v>
      </c>
      <c r="BN75" s="2640" t="str">
        <f t="shared" si="22"/>
        <v>Budget</v>
      </c>
      <c r="BO75" s="2500"/>
      <c r="BP75" s="2500"/>
      <c r="BQ75" s="2500"/>
      <c r="BR75" s="2500"/>
      <c r="BS75" s="2500"/>
      <c r="BT75" s="2500"/>
      <c r="BU75" s="2500"/>
      <c r="BV75" s="2500"/>
      <c r="BW75" s="2500"/>
      <c r="BX75" s="2500"/>
      <c r="BY75" s="2500"/>
      <c r="BZ75" s="2500"/>
      <c r="CA75" s="34"/>
      <c r="CC75" s="58"/>
      <c r="CD75" s="1720" t="str" cm="1">
        <f t="array" ref="CD75">fx_scenarioConverter($W72)</f>
        <v>Budget</v>
      </c>
      <c r="CE75" s="1721" t="str" cm="1">
        <f t="array" ref="CE75">fx_scenarioConverter($W72)</f>
        <v>Budget</v>
      </c>
      <c r="CF75" s="128"/>
      <c r="CG75" s="1734" t="str" cm="1">
        <f t="array" ref="CG75">fx_scenarioConverter($W72)</f>
        <v>Budget</v>
      </c>
      <c r="CH75" s="1735" t="str" cm="1">
        <f t="array" ref="CH75">fx_scenarioConverter($W72)</f>
        <v>Budget</v>
      </c>
      <c r="CI75" s="207"/>
      <c r="CJ75" s="1724" t="str" cm="1">
        <f t="array" ref="CJ75">fx_scenarioConverter($W72)</f>
        <v>Budget</v>
      </c>
      <c r="CK75" s="1725" t="str" cm="1">
        <f t="array" ref="CK75">fx_scenarioConverter($W72)</f>
        <v>Budget</v>
      </c>
      <c r="CL75" s="88"/>
      <c r="CM75" s="1198" t="str">
        <f>CM$19</f>
        <v>Original Budget</v>
      </c>
      <c r="CN75" s="1198" t="str">
        <f t="shared" si="23" ref="CN75:CN97">CN19</f>
        <v>LE</v>
      </c>
      <c r="CO75" s="88"/>
      <c r="CP75" s="1198" t="str">
        <f>CP$19</f>
        <v>Original Budget</v>
      </c>
      <c r="CQ75" s="1198" t="str">
        <f t="shared" si="24" ref="CQ75:CQ97">CQ19</f>
        <v>LE</v>
      </c>
      <c r="CR75" s="34"/>
      <c r="CS75" s="2056"/>
      <c r="CT75" s="1880"/>
      <c r="CU75" s="1880"/>
      <c r="CV75" s="1880"/>
      <c r="CW75" s="1880"/>
      <c r="CX75" s="2121"/>
      <c r="CY75" s="1880"/>
      <c r="CZ75" s="1880"/>
      <c r="DA75" s="1880"/>
      <c r="DB75" s="1880"/>
      <c r="DC75" s="2121"/>
      <c r="DD75" s="1880"/>
      <c r="DE75" s="1880"/>
      <c r="DF75" s="1880"/>
      <c r="DG75" s="1880"/>
      <c r="DH75" s="1880"/>
      <c r="DI75" s="1880"/>
      <c r="DJ75" s="1880"/>
      <c r="DK75" s="1880"/>
      <c r="DL75" s="1880"/>
      <c r="DM75" s="1880"/>
      <c r="DN75" s="1880"/>
      <c r="DO75" s="1880"/>
      <c r="DP75" s="1880"/>
      <c r="DQ75" s="1880"/>
      <c r="DR75" s="1880"/>
      <c r="DS75" s="1880"/>
      <c r="DT75" s="1880"/>
      <c r="DU75" s="1880"/>
      <c r="DV75" s="1880"/>
      <c r="DW75" s="1880"/>
      <c r="DX75" s="1880"/>
      <c r="DY75" s="1880"/>
      <c r="DZ75" s="1880"/>
      <c r="EA75" s="1880"/>
      <c r="EB75" s="1880"/>
      <c r="EC75" s="1880"/>
      <c r="ED75" s="1880"/>
      <c r="EE75" s="1880"/>
      <c r="EF75" s="1880"/>
      <c r="EG75" s="1880"/>
      <c r="EH75" s="1880"/>
      <c r="EI75" s="1880"/>
      <c r="EJ75" s="1880"/>
      <c r="EK75" s="1880"/>
      <c r="EL75" s="1880"/>
      <c r="EM75" s="1880"/>
      <c r="EN75" s="1880"/>
      <c r="EO75" s="1880"/>
      <c r="EP75" s="1880"/>
      <c r="EQ75" s="1880"/>
      <c r="ER75" s="1880"/>
      <c r="ES75" s="1880"/>
    </row>
    <row r="76" spans="1:144" ht="21" customHeight="1">
      <c r="A76" s="1625" t="s">
        <v>96</v>
      </c>
      <c r="B76" s="2501" t="str">
        <f>_xlfn.LET(_xlpm.IsNotAttrDynamic,D76="",_xlpm.Attr,_PL!F76,_xlpm.NotInUse,Y76=D76,_xlpm.RESULT,IF(_xlpm.IsNotAttrDynamic,_xlpm.Attr,IF(_xlpm.NotInUse,"",Y76)),IF(_xlpm.RESULT="","",_xlpm.RESULT))</f>
        <v>Net Revenue</v>
      </c>
      <c r="C76" s="2501" t="str" cm="1">
        <f t="array" ref="C76">IFBLANK(_PL!C76,"")</f>
        <v>Net Revenue (Company View)</v>
      </c>
      <c r="D76" s="1548"/>
      <c r="E76" s="2440" t="e" cm="1">
        <f t="array" ca="1" aca="1" ref="E7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76:$CQ76,Z76)</f>
        <v>#NAME?</v>
      </c>
      <c r="F76" s="578"/>
      <c r="G76" s="578"/>
      <c r="H76" s="401">
        <v>0</v>
      </c>
      <c r="I76" s="3280">
        <v>1</v>
      </c>
      <c r="J76" s="3280" cm="1">
        <f t="array" ref="J76">IFBLANK(Z76,"")</f>
        <v>1</v>
      </c>
      <c r="K76" s="578" t="str">
        <f t="shared" si="17"/>
        <v>Yes</v>
      </c>
      <c r="L76" s="37"/>
      <c r="N76" s="158"/>
      <c r="O76" s="101"/>
      <c r="P76" s="52"/>
      <c r="Q76" s="101"/>
      <c r="R76" s="126"/>
      <c r="S76" s="101"/>
      <c r="T76" s="101"/>
      <c r="U76" s="39"/>
      <c r="V76" s="37"/>
      <c r="W76" s="557" t="str" cm="1">
        <f t="array" ref="W76">fx_scenarioConverter($W$72)</f>
        <v>Budget</v>
      </c>
      <c r="X76" s="3298">
        <f>_PL!X76</f>
        <v>1</v>
      </c>
      <c r="Y76" s="3192">
        <f t="shared" si="25" ref="Y76:Y81">Y20</f>
        <v>2</v>
      </c>
      <c r="Z76" s="3286" cm="1">
        <f t="array" ref="Z76">_xlfn.SWITCH(TRUE,_PL!$L76=TRUE,1,_PL!$L76=FALSE,-1,_PL!$L76=-1,0,"")</f>
        <v>1</v>
      </c>
      <c r="AA76" s="200"/>
      <c r="AB76" s="1134" t="str">
        <f>_PL!AB76</f>
        <v>Net Revenue</v>
      </c>
      <c r="AC76" s="275" t="e" vm="5" cm="1">
        <f t="array" ca="1" aca="1" ref="AC76">_xlfn.LET(_xlpm._termname,$AB76,_xlpm._iconname,"find",_xlpm._icon,fx_getIcon(_xlpm._iconname),_xlpm._location,_xlfn.XLOOKUP(LOWER(_xlpm._termname),LOWER(tbl_acctDef[Term]),tbl_acctDef[Term]),_xlpm._hyperlink,HYPERLINK("#"&amp;CELL("address",_xlpm._location),_xlpm._icon),IFERROR(_xlpm._hyperlink,""))</f>
        <v>#VALUE!</v>
      </c>
      <c r="AD76" s="3193">
        <v>1</v>
      </c>
      <c r="AE76" s="3193">
        <v>1</v>
      </c>
      <c r="AF76" s="3193">
        <v>1</v>
      </c>
      <c r="AG76" s="3193">
        <v>1</v>
      </c>
      <c r="AH76" s="3193">
        <v>1</v>
      </c>
      <c r="AI76" s="3193">
        <v>1</v>
      </c>
      <c r="AJ76" s="3193">
        <v>1</v>
      </c>
      <c r="AK76" s="3193">
        <v>1</v>
      </c>
      <c r="AL76" s="3193">
        <v>1</v>
      </c>
      <c r="AM76" s="3193">
        <v>1</v>
      </c>
      <c r="AN76" s="3193">
        <v>1</v>
      </c>
      <c r="AO76" s="3193">
        <v>1</v>
      </c>
      <c r="AP76" s="3193">
        <v>1</v>
      </c>
      <c r="AQ76" s="3193">
        <v>1</v>
      </c>
      <c r="AR76" s="3193">
        <v>1</v>
      </c>
      <c r="AS76" s="3193">
        <v>1</v>
      </c>
      <c r="AT76" s="3193">
        <v>1</v>
      </c>
      <c r="AU76" s="3193">
        <v>1</v>
      </c>
      <c r="AV76" s="3193">
        <v>1</v>
      </c>
      <c r="AW76" s="3193">
        <v>1</v>
      </c>
      <c r="AX76" s="3193">
        <v>1</v>
      </c>
      <c r="AY76" s="3193">
        <v>1</v>
      </c>
      <c r="AZ76" s="3193">
        <v>1</v>
      </c>
      <c r="BA76" s="3193">
        <v>1</v>
      </c>
      <c r="BB76" s="3193">
        <v>1</v>
      </c>
      <c r="BC76" s="3193">
        <v>1</v>
      </c>
      <c r="BD76" s="3193">
        <v>1</v>
      </c>
      <c r="BE76" s="3193">
        <v>1</v>
      </c>
      <c r="BF76" s="3193">
        <v>1</v>
      </c>
      <c r="BG76" s="3193">
        <v>1</v>
      </c>
      <c r="BH76" s="3193">
        <v>1</v>
      </c>
      <c r="BI76" s="3193">
        <v>1</v>
      </c>
      <c r="BJ76" s="3193">
        <v>1</v>
      </c>
      <c r="BK76" s="3193">
        <v>1</v>
      </c>
      <c r="BL76" s="3193">
        <v>1</v>
      </c>
      <c r="BM76" s="3193">
        <v>1</v>
      </c>
      <c r="BN76" s="3193">
        <v>1</v>
      </c>
      <c r="BO76" s="2442"/>
      <c r="BP76" s="2442"/>
      <c r="BQ76" s="2442"/>
      <c r="BR76" s="2442"/>
      <c r="BS76" s="2442"/>
      <c r="BT76" s="2442"/>
      <c r="BU76" s="2442"/>
      <c r="BV76" s="2442"/>
      <c r="BW76" s="2442"/>
      <c r="BX76" s="2442"/>
      <c r="BY76" s="2442"/>
      <c r="BZ76" s="2442"/>
      <c r="CA76" s="34"/>
      <c r="CC76" s="33"/>
      <c r="CD76" s="1772" t="e" cm="1">
        <f t="array" ca="1" aca="1" ref="CD76">_xlfn.LET(_xlpm.CheckBlank,SUM(PL!$AD76:$BN76)=0,IF(_xlpm.CheckBlank,"",SUM(_xlfn._xlws.FILTER(PL!$AD76:$BN76,(YEAR(PL!$AD$12:$BN$12)=PL!CD$12)*(array_timeline&lt;=PL!CD$11)))))</f>
        <v>#NAME?</v>
      </c>
      <c r="CE76" s="1772" t="e" cm="1">
        <f t="array" ca="1" aca="1" ref="CE76">_xlfn.LET(_xlpm.CheckBlank,SUM(PL!$AD76:$BN76)=0,IF(_xlpm.CheckBlank,"",SUM(_xlfn._xlws.FILTER(PL!$AD76:$BN76,(YEAR(PL!$AD$12:$BN$12)=PL!CE$12)*(array_timeline&lt;=PL!CE$11)))))</f>
        <v>#NAME?</v>
      </c>
      <c r="CF76" s="88"/>
      <c r="CG76" s="1461" t="e" cm="1">
        <f t="array" ca="1" aca="1" ref="CG76">_xlfn.LET(_xlpm.CheckBlank,SUM(PL!$AD76:$BN76)=0,IF(_xlpm.CheckBlank,"",SUM(_xlfn._xlws.FILTER(PL!$AD76:$BN76,(YEAR(PL!$AD$12:$BN$12)=PL!CG$12)*(array_timeline&lt;=PL!CG$11)))))</f>
        <v>#NAME?</v>
      </c>
      <c r="CH76" s="1461" t="e" cm="1">
        <f t="array" ca="1" aca="1" ref="CH76">_xlfn.LET(_xlpm.CheckBlank,SUM(PL!$AD76:$BN76)=0,IF(_xlpm.CheckBlank,"",SUM(_xlfn._xlws.FILTER(PL!$AD76:$BN76,(YEAR(PL!$AD$12:$BN$12)=PL!CH$12)*(array_timeline&lt;=PL!CH$11)))))</f>
        <v>#NAME?</v>
      </c>
      <c r="CI76" s="88"/>
      <c r="CJ76" s="1461" cm="1">
        <f t="array" ref="CJ76">_xlfn.LET(_xlpm.CheckBlank,SUM(PL!$AD76:$BN76)=0,IF(_xlpm.CheckBlank,"",SUM(_xlfn.TAKE(_xlfn.DROP(PL!$AD76:$BN76,,-DATEDIFF(PL!CJ$11,val_asOfDate,"M")),1,-12))))</f>
        <v>12</v>
      </c>
      <c r="CK76" s="1461" cm="1">
        <f t="array" ref="CK76">_xlfn.LET(_xlpm.CheckBlank,SUM(PL!$AD76:$BN76)=0,IF(_xlpm.CheckBlank,"",SUM(_xlfn.TAKE(_xlfn.DROP(PL!$AD76:$BN76,,-DATEDIFF(PL!CK$11,val_asOfDate,"M")),1,-12))))</f>
        <v>12</v>
      </c>
      <c r="CL76" s="88"/>
      <c r="CM76" s="3194">
        <f t="shared" si="26" ref="CM76:CM97">CM20</f>
        <v>1</v>
      </c>
      <c r="CN76" s="3194">
        <f t="shared" si="23"/>
        <v>1</v>
      </c>
      <c r="CO76" s="1169"/>
      <c r="CP76" s="3194">
        <f t="shared" si="27" ref="CP76:CP97">CP20</f>
        <v>1</v>
      </c>
      <c r="CQ76" s="3194">
        <f t="shared" si="24"/>
        <v>1</v>
      </c>
      <c r="CR76" s="41"/>
      <c r="CS76" s="2056"/>
      <c r="CT76" s="2085" t="e" cm="1">
        <f t="array" ca="1" aca="1" ref="CT76">IF(K76&lt;&gt;"Yes","",IF(OR(Y76="Select,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III"),"",IF(OR(Y76&lt;&gt;AB76,AND(LEN(B76)=0,NOT(OR(Y76="Select,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III")))),_xldudf_CX_PUSH(Y76,CX_ENTITY,C76,EOMONTH(val_asOfDate,0)),"")))</f>
        <v>#NAME?</v>
      </c>
      <c r="CU76" s="2085" t="e" cm="1">
        <f t="array" ca="1" aca="1" ref="CU76">IF(K76&lt;&gt;"Yes","",IF(OR(Y76="Select,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III"),"",IF(OR(Y76&lt;&gt;AB76,AND(LEN(B76)=0,NOT(OR(Y76="Select,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III")))),_xldudf_CX_PUSH(Y76,CX_ENTITY,C76,EOMONTH(val_asOfDate,1)),"")))</f>
        <v>#NAME?</v>
      </c>
      <c r="CV76" s="2085" t="e" cm="1">
        <f t="array" ca="1" aca="1" ref="CV76">IF(K76&lt;&gt;"Yes","",IF(OR(Y76="Select,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III"),"",IF(OR(Y76&lt;&gt;AB76,AND(LEN(B76)=0,NOT(OR(Y76="Select,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III")))),_xldudf_CX_PUSH(Y76,CX_ENTITY,C76,EOMONTH(val_asOfDate,2)),"")))</f>
        <v>#NAME?</v>
      </c>
      <c r="CW76" s="2085" t="e" cm="1">
        <f t="array" ca="1" aca="1" ref="CW76">IF(K76&lt;&gt;"Yes","",IF(OR(Y76="Select,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III"),"",IF(OR(Y76&lt;&gt;AB76,AND(LEN(B76)=0,NOT(OR(Y76="Select,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III")))),_xldudf_CX_PUSH(Y76,CX_ENTITY,C76,EOMONTH(val_asOfDate,3)),"")))</f>
        <v>#NAME?</v>
      </c>
      <c r="CX76" s="2443"/>
      <c r="CY76" s="1880"/>
      <c r="CZ76" s="1880"/>
      <c r="DA76" s="1880"/>
      <c r="DB76" s="1880"/>
      <c r="DC76" s="2121"/>
      <c r="DD76" s="2445" t="str" cm="1">
        <f t="array" ca="1" aca="1" ref="DD76">IFERROR(IF(AD76*fxVal_normal=_PL!AD76,"",IF(OR(AD76="",NOT(ISNUMBER(AD76)),ISERROR(AD76),$B76=""),"",IF($I76=1,IFBLANK(_xldudf_CX_PUSH(AD76*fxVal_normal,CX_ENTITY,$B76,AD$11,AD$14,AD$75,),""),IF($I76=2,IFBLANK(_xldudf_CX_PUSH(AD76,CX_ENTITY,$B76,AD$11,AD$14,AD$75,),""),IF($I76=3,"",IFBLANK(_xldudf_CX_PUSH(AD76,CX_ENTITY,$B76,AD$11,AD$14,AD$75,),"")))))),"")</f>
        <v/>
      </c>
      <c r="DE76" s="2445" t="str" cm="1">
        <f t="array" ca="1" aca="1" ref="DE76">IFERROR(IF(AE76*fxVal_normal=_PL!AE76,"",IF(OR(AE76="",NOT(ISNUMBER(AE76)),ISERROR(AE76),$B76=""),"",IF($I76=1,IFBLANK(_xldudf_CX_PUSH(AE76*fxVal_normal,CX_ENTITY,$B76,AE$11,AE$14,AE$75,),""),IF($I76=2,IFBLANK(_xldudf_CX_PUSH(AE76,CX_ENTITY,$B76,AE$11,AE$14,AE$75,),""),IF($I76=3,"",IFBLANK(_xldudf_CX_PUSH(AE76,CX_ENTITY,$B76,AE$11,AE$14,AE$75,),"")))))),"")</f>
        <v/>
      </c>
      <c r="DF76" s="2445" t="str" cm="1">
        <f t="array" ca="1" aca="1" ref="DF76">IFERROR(IF(AF76*fxVal_normal=_PL!AF76,"",IF(OR(AF76="",NOT(ISNUMBER(AF76)),ISERROR(AF76),$B76=""),"",IF($I76=1,IFBLANK(_xldudf_CX_PUSH(AF76*fxVal_normal,CX_ENTITY,$B76,AF$11,AF$14,AF$75,),""),IF($I76=2,IFBLANK(_xldudf_CX_PUSH(AF76,CX_ENTITY,$B76,AF$11,AF$14,AF$75,),""),IF($I76=3,"",IFBLANK(_xldudf_CX_PUSH(AF76,CX_ENTITY,$B76,AF$11,AF$14,AF$75,),"")))))),"")</f>
        <v/>
      </c>
      <c r="DG76" s="2445" t="str" cm="1">
        <f t="array" ca="1" aca="1" ref="DG76">IFERROR(IF(AG76*fxVal_normal=_PL!AG76,"",IF(OR(AG76="",NOT(ISNUMBER(AG76)),ISERROR(AG76),$B76=""),"",IF($I76=1,IFBLANK(_xldudf_CX_PUSH(AG76*fxVal_normal,CX_ENTITY,$B76,AG$11,AG$14,AG$75,),""),IF($I76=2,IFBLANK(_xldudf_CX_PUSH(AG76,CX_ENTITY,$B76,AG$11,AG$14,AG$75,),""),IF($I76=3,"",IFBLANK(_xldudf_CX_PUSH(AG76,CX_ENTITY,$B76,AG$11,AG$14,AG$75,),"")))))),"")</f>
        <v/>
      </c>
      <c r="DH76" s="2445" t="str" cm="1">
        <f t="array" ca="1" aca="1" ref="DH76">IFERROR(IF(AH76*fxVal_normal=_PL!AH76,"",IF(OR(AH76="",NOT(ISNUMBER(AH76)),ISERROR(AH76),$B76=""),"",IF($I76=1,IFBLANK(_xldudf_CX_PUSH(AH76*fxVal_normal,CX_ENTITY,$B76,AH$11,AH$14,AH$75,),""),IF($I76=2,IFBLANK(_xldudf_CX_PUSH(AH76,CX_ENTITY,$B76,AH$11,AH$14,AH$75,),""),IF($I76=3,"",IFBLANK(_xldudf_CX_PUSH(AH76,CX_ENTITY,$B76,AH$11,AH$14,AH$75,),"")))))),"")</f>
        <v/>
      </c>
      <c r="DI76" s="2445" t="str" cm="1">
        <f t="array" ca="1" aca="1" ref="DI76">IFERROR(IF(AI76*fxVal_normal=_PL!AI76,"",IF(OR(AI76="",NOT(ISNUMBER(AI76)),ISERROR(AI76),$B76=""),"",IF($I76=1,IFBLANK(_xldudf_CX_PUSH(AI76*fxVal_normal,CX_ENTITY,$B76,AI$11,AI$14,AI$75,),""),IF($I76=2,IFBLANK(_xldudf_CX_PUSH(AI76,CX_ENTITY,$B76,AI$11,AI$14,AI$75,),""),IF($I76=3,"",IFBLANK(_xldudf_CX_PUSH(AI76,CX_ENTITY,$B76,AI$11,AI$14,AI$75,),"")))))),"")</f>
        <v/>
      </c>
      <c r="DJ76" s="2445" t="str" cm="1">
        <f t="array" ca="1" aca="1" ref="DJ76">IFERROR(IF(AJ76*fxVal_normal=_PL!AJ76,"",IF(OR(AJ76="",NOT(ISNUMBER(AJ76)),ISERROR(AJ76),$B76=""),"",IF($I76=1,IFBLANK(_xldudf_CX_PUSH(AJ76*fxVal_normal,CX_ENTITY,$B76,AJ$11,AJ$14,AJ$75,),""),IF($I76=2,IFBLANK(_xldudf_CX_PUSH(AJ76,CX_ENTITY,$B76,AJ$11,AJ$14,AJ$75,),""),IF($I76=3,"",IFBLANK(_xldudf_CX_PUSH(AJ76,CX_ENTITY,$B76,AJ$11,AJ$14,AJ$75,),"")))))),"")</f>
        <v/>
      </c>
      <c r="DK76" s="2445" t="str" cm="1">
        <f t="array" ca="1" aca="1" ref="DK76">IFERROR(IF(AK76*fxVal_normal=_PL!AK76,"",IF(OR(AK76="",NOT(ISNUMBER(AK76)),ISERROR(AK76),$B76=""),"",IF($I76=1,IFBLANK(_xldudf_CX_PUSH(AK76*fxVal_normal,CX_ENTITY,$B76,AK$11,AK$14,AK$75,),""),IF($I76=2,IFBLANK(_xldudf_CX_PUSH(AK76,CX_ENTITY,$B76,AK$11,AK$14,AK$75,),""),IF($I76=3,"",IFBLANK(_xldudf_CX_PUSH(AK76,CX_ENTITY,$B76,AK$11,AK$14,AK$75,),"")))))),"")</f>
        <v/>
      </c>
      <c r="DL76" s="2445" t="str" cm="1">
        <f t="array" ca="1" aca="1" ref="DL76">IFERROR(IF(AL76*fxVal_normal=_PL!AL76,"",IF(OR(AL76="",NOT(ISNUMBER(AL76)),ISERROR(AL76),$B76=""),"",IF($I76=1,IFBLANK(_xldudf_CX_PUSH(AL76*fxVal_normal,CX_ENTITY,$B76,AL$11,AL$14,AL$75,),""),IF($I76=2,IFBLANK(_xldudf_CX_PUSH(AL76,CX_ENTITY,$B76,AL$11,AL$14,AL$75,),""),IF($I76=3,"",IFBLANK(_xldudf_CX_PUSH(AL76,CX_ENTITY,$B76,AL$11,AL$14,AL$75,),"")))))),"")</f>
        <v/>
      </c>
      <c r="DM76" s="2445" t="str" cm="1">
        <f t="array" ca="1" aca="1" ref="DM76">IFERROR(IF(AM76*fxVal_normal=_PL!AM76,"",IF(OR(AM76="",NOT(ISNUMBER(AM76)),ISERROR(AM76),$B76=""),"",IF($I76=1,IFBLANK(_xldudf_CX_PUSH(AM76*fxVal_normal,CX_ENTITY,$B76,AM$11,AM$14,AM$75,),""),IF($I76=2,IFBLANK(_xldudf_CX_PUSH(AM76,CX_ENTITY,$B76,AM$11,AM$14,AM$75,),""),IF($I76=3,"",IFBLANK(_xldudf_CX_PUSH(AM76,CX_ENTITY,$B76,AM$11,AM$14,AM$75,),"")))))),"")</f>
        <v/>
      </c>
      <c r="DN76" s="2445" t="str" cm="1">
        <f t="array" ca="1" aca="1" ref="DN76">IFERROR(IF(AN76*fxVal_normal=_PL!AN76,"",IF(OR(AN76="",NOT(ISNUMBER(AN76)),ISERROR(AN76),$B76=""),"",IF($I76=1,IFBLANK(_xldudf_CX_PUSH(AN76*fxVal_normal,CX_ENTITY,$B76,AN$11,AN$14,AN$75,),""),IF($I76=2,IFBLANK(_xldudf_CX_PUSH(AN76,CX_ENTITY,$B76,AN$11,AN$14,AN$75,),""),IF($I76=3,"",IFBLANK(_xldudf_CX_PUSH(AN76,CX_ENTITY,$B76,AN$11,AN$14,AN$75,),"")))))),"")</f>
        <v/>
      </c>
      <c r="DO76" s="2445" t="str" cm="1">
        <f t="array" ca="1" aca="1" ref="DO76">IFERROR(IF(AO76*fxVal_normal=_PL!AO76,"",IF(OR(AO76="",NOT(ISNUMBER(AO76)),ISERROR(AO76),$B76=""),"",IF($I76=1,IFBLANK(_xldudf_CX_PUSH(AO76*fxVal_normal,CX_ENTITY,$B76,AO$11,AO$14,AO$75,),""),IF($I76=2,IFBLANK(_xldudf_CX_PUSH(AO76,CX_ENTITY,$B76,AO$11,AO$14,AO$75,),""),IF($I76=3,"",IFBLANK(_xldudf_CX_PUSH(AO76,CX_ENTITY,$B76,AO$11,AO$14,AO$75,),"")))))),"")</f>
        <v/>
      </c>
      <c r="DP76" s="2445" t="str" cm="1">
        <f t="array" ca="1" aca="1" ref="DP76">IFERROR(IF(AP76*fxVal_normal=_PL!AP76,"",IF(OR(AP76="",NOT(ISNUMBER(AP76)),ISERROR(AP76),$B76=""),"",IF($I76=1,IFBLANK(_xldudf_CX_PUSH(AP76*fxVal_normal,CX_ENTITY,$B76,AP$11,AP$14,AP$75,),""),IF($I76=2,IFBLANK(_xldudf_CX_PUSH(AP76,CX_ENTITY,$B76,AP$11,AP$14,AP$75,),""),IF($I76=3,"",IFBLANK(_xldudf_CX_PUSH(AP76,CX_ENTITY,$B76,AP$11,AP$14,AP$75,),"")))))),"")</f>
        <v/>
      </c>
      <c r="DQ76" s="2445" t="str" cm="1">
        <f t="array" ca="1" aca="1" ref="DQ76">IFERROR(IF(AQ76*fxVal_normal=_PL!AQ76,"",IF(OR(AQ76="",NOT(ISNUMBER(AQ76)),ISERROR(AQ76),$B76=""),"",IF($I76=1,IFBLANK(_xldudf_CX_PUSH(AQ76*fxVal_normal,CX_ENTITY,$B76,AQ$11,AQ$14,AQ$75,),""),IF($I76=2,IFBLANK(_xldudf_CX_PUSH(AQ76,CX_ENTITY,$B76,AQ$11,AQ$14,AQ$75,),""),IF($I76=3,"",IFBLANK(_xldudf_CX_PUSH(AQ76,CX_ENTITY,$B76,AQ$11,AQ$14,AQ$75,),"")))))),"")</f>
        <v/>
      </c>
      <c r="DR76" s="2445" t="str" cm="1">
        <f t="array" ca="1" aca="1" ref="DR76">IFERROR(IF(AR76*fxVal_normal=_PL!AR76,"",IF(OR(AR76="",NOT(ISNUMBER(AR76)),ISERROR(AR76),$B76=""),"",IF($I76=1,IFBLANK(_xldudf_CX_PUSH(AR76*fxVal_normal,CX_ENTITY,$B76,AR$11,AR$14,AR$75,),""),IF($I76=2,IFBLANK(_xldudf_CX_PUSH(AR76,CX_ENTITY,$B76,AR$11,AR$14,AR$75,),""),IF($I76=3,"",IFBLANK(_xldudf_CX_PUSH(AR76,CX_ENTITY,$B76,AR$11,AR$14,AR$75,),"")))))),"")</f>
        <v/>
      </c>
      <c r="DS76" s="2445" t="str" cm="1">
        <f t="array" ca="1" aca="1" ref="DS76">IFERROR(IF(AS76*fxVal_normal=_PL!AS76,"",IF(OR(AS76="",NOT(ISNUMBER(AS76)),ISERROR(AS76),$B76=""),"",IF($I76=1,IFBLANK(_xldudf_CX_PUSH(AS76*fxVal_normal,CX_ENTITY,$B76,AS$11,AS$14,AS$75,),""),IF($I76=2,IFBLANK(_xldudf_CX_PUSH(AS76,CX_ENTITY,$B76,AS$11,AS$14,AS$75,),""),IF($I76=3,"",IFBLANK(_xldudf_CX_PUSH(AS76,CX_ENTITY,$B76,AS$11,AS$14,AS$75,),"")))))),"")</f>
        <v/>
      </c>
      <c r="DT76" s="2445" t="str" cm="1">
        <f t="array" ca="1" aca="1" ref="DT76">IFERROR(IF(AT76*fxVal_normal=_PL!AT76,"",IF(OR(AT76="",NOT(ISNUMBER(AT76)),ISERROR(AT76),$B76=""),"",IF($I76=1,IFBLANK(_xldudf_CX_PUSH(AT76*fxVal_normal,CX_ENTITY,$B76,AT$11,AT$14,AT$75,),""),IF($I76=2,IFBLANK(_xldudf_CX_PUSH(AT76,CX_ENTITY,$B76,AT$11,AT$14,AT$75,),""),IF($I76=3,"",IFBLANK(_xldudf_CX_PUSH(AT76,CX_ENTITY,$B76,AT$11,AT$14,AT$75,),"")))))),"")</f>
        <v/>
      </c>
      <c r="DU76" s="2445" t="str" cm="1">
        <f t="array" ca="1" aca="1" ref="DU76">IFERROR(IF(AU76*fxVal_normal=_PL!AU76,"",IF(OR(AU76="",NOT(ISNUMBER(AU76)),ISERROR(AU76),$B76=""),"",IF($I76=1,IFBLANK(_xldudf_CX_PUSH(AU76*fxVal_normal,CX_ENTITY,$B76,AU$11,AU$14,AU$75,),""),IF($I76=2,IFBLANK(_xldudf_CX_PUSH(AU76,CX_ENTITY,$B76,AU$11,AU$14,AU$75,),""),IF($I76=3,"",IFBLANK(_xldudf_CX_PUSH(AU76,CX_ENTITY,$B76,AU$11,AU$14,AU$75,),"")))))),"")</f>
        <v/>
      </c>
      <c r="DV76" s="2445" t="str" cm="1">
        <f t="array" ca="1" aca="1" ref="DV76">IFERROR(IF(AV76*fxVal_normal=_PL!AV76,"",IF(OR(AV76="",NOT(ISNUMBER(AV76)),ISERROR(AV76),$B76=""),"",IF($I76=1,IFBLANK(_xldudf_CX_PUSH(AV76*fxVal_normal,CX_ENTITY,$B76,AV$11,AV$14,AV$75,),""),IF($I76=2,IFBLANK(_xldudf_CX_PUSH(AV76,CX_ENTITY,$B76,AV$11,AV$14,AV$75,),""),IF($I76=3,"",IFBLANK(_xldudf_CX_PUSH(AV76,CX_ENTITY,$B76,AV$11,AV$14,AV$75,),"")))))),"")</f>
        <v/>
      </c>
      <c r="DW76" s="2445" t="str" cm="1">
        <f t="array" ca="1" aca="1" ref="DW76">IFERROR(IF(AW76*fxVal_normal=_PL!AW76,"",IF(OR(AW76="",NOT(ISNUMBER(AW76)),ISERROR(AW76),$B76=""),"",IF($I76=1,IFBLANK(_xldudf_CX_PUSH(AW76*fxVal_normal,CX_ENTITY,$B76,AW$11,AW$14,AW$75,),""),IF($I76=2,IFBLANK(_xldudf_CX_PUSH(AW76,CX_ENTITY,$B76,AW$11,AW$14,AW$75,),""),IF($I76=3,"",IFBLANK(_xldudf_CX_PUSH(AW76,CX_ENTITY,$B76,AW$11,AW$14,AW$75,),"")))))),"")</f>
        <v/>
      </c>
      <c r="DX76" s="2445" t="str" cm="1">
        <f t="array" ca="1" aca="1" ref="DX76">IFERROR(IF(AX76*fxVal_normal=_PL!AX76,"",IF(OR(AX76="",NOT(ISNUMBER(AX76)),ISERROR(AX76),$B76=""),"",IF($I76=1,IFBLANK(_xldudf_CX_PUSH(AX76*fxVal_normal,CX_ENTITY,$B76,AX$11,AX$14,AX$75,),""),IF($I76=2,IFBLANK(_xldudf_CX_PUSH(AX76,CX_ENTITY,$B76,AX$11,AX$14,AX$75,),""),IF($I76=3,"",IFBLANK(_xldudf_CX_PUSH(AX76,CX_ENTITY,$B76,AX$11,AX$14,AX$75,),"")))))),"")</f>
        <v/>
      </c>
      <c r="DY76" s="2445" t="str" cm="1">
        <f t="array" ca="1" aca="1" ref="DY76">IFERROR(IF(AY76*fxVal_normal=_PL!AY76,"",IF(OR(AY76="",NOT(ISNUMBER(AY76)),ISERROR(AY76),$B76=""),"",IF($I76=1,IFBLANK(_xldudf_CX_PUSH(AY76*fxVal_normal,CX_ENTITY,$B76,AY$11,AY$14,AY$75,),""),IF($I76=2,IFBLANK(_xldudf_CX_PUSH(AY76,CX_ENTITY,$B76,AY$11,AY$14,AY$75,),""),IF($I76=3,"",IFBLANK(_xldudf_CX_PUSH(AY76,CX_ENTITY,$B76,AY$11,AY$14,AY$75,),"")))))),"")</f>
        <v/>
      </c>
      <c r="DZ76" s="2445" t="str" cm="1">
        <f t="array" ca="1" aca="1" ref="DZ76">IFERROR(IF(AZ76*fxVal_normal=_PL!AZ76,"",IF(OR(AZ76="",NOT(ISNUMBER(AZ76)),ISERROR(AZ76),$B76=""),"",IF($I76=1,IFBLANK(_xldudf_CX_PUSH(AZ76*fxVal_normal,CX_ENTITY,$B76,AZ$11,AZ$14,AZ$75,),""),IF($I76=2,IFBLANK(_xldudf_CX_PUSH(AZ76,CX_ENTITY,$B76,AZ$11,AZ$14,AZ$75,),""),IF($I76=3,"",IFBLANK(_xldudf_CX_PUSH(AZ76,CX_ENTITY,$B76,AZ$11,AZ$14,AZ$75,),"")))))),"")</f>
        <v/>
      </c>
      <c r="EA76" s="2445" t="str" cm="1">
        <f t="array" ca="1" aca="1" ref="EA76">IFERROR(IF(BA76*fxVal_normal=_PL!BA76,"",IF(OR(BA76="",NOT(ISNUMBER(BA76)),ISERROR(BA76),$B76=""),"",IF($I76=1,IFBLANK(_xldudf_CX_PUSH(BA76*fxVal_normal,CX_ENTITY,$B76,BA$11,BA$14,BA$75,),""),IF($I76=2,IFBLANK(_xldudf_CX_PUSH(BA76,CX_ENTITY,$B76,BA$11,BA$14,BA$75,),""),IF($I76=3,"",IFBLANK(_xldudf_CX_PUSH(BA76,CX_ENTITY,$B76,BA$11,BA$14,BA$75,),"")))))),"")</f>
        <v/>
      </c>
      <c r="EB76" s="2445" t="str" cm="1">
        <f t="array" ca="1" aca="1" ref="EB76">IFERROR(IF(BB76*fxVal_normal=_PL!BB76,"",IF(OR(BB76="",NOT(ISNUMBER(BB76)),ISERROR(BB76),$B76=""),"",IF($I76=1,IFBLANK(_xldudf_CX_PUSH(BB76*fxVal_normal,CX_ENTITY,$B76,BB$11,BB$14,BB$75,),""),IF($I76=2,IFBLANK(_xldudf_CX_PUSH(BB76,CX_ENTITY,$B76,BB$11,BB$14,BB$75,),""),IF($I76=3,"",IFBLANK(_xldudf_CX_PUSH(BB76,CX_ENTITY,$B76,BB$11,BB$14,BB$75,),"")))))),"")</f>
        <v/>
      </c>
      <c r="EC76" s="2445" t="str" cm="1">
        <f t="array" ca="1" aca="1" ref="EC76">IFERROR(IF(BC76*fxVal_normal=_PL!BC76,"",IF(OR(BC76="",NOT(ISNUMBER(BC76)),ISERROR(BC76),$B76=""),"",IF($I76=1,IFBLANK(_xldudf_CX_PUSH(BC76*fxVal_normal,CX_ENTITY,$B76,BC$11,BC$14,BC$75,),""),IF($I76=2,IFBLANK(_xldudf_CX_PUSH(BC76,CX_ENTITY,$B76,BC$11,BC$14,BC$75,),""),IF($I76=3,"",IFBLANK(_xldudf_CX_PUSH(BC76,CX_ENTITY,$B76,BC$11,BC$14,BC$75,),"")))))),"")</f>
        <v/>
      </c>
      <c r="ED76" s="2445" t="str" cm="1">
        <f t="array" ca="1" aca="1" ref="ED76">IFERROR(IF(BD76*fxVal_normal=_PL!BD76,"",IF(OR(BD76="",NOT(ISNUMBER(BD76)),ISERROR(BD76),$B76=""),"",IF($I76=1,IFBLANK(_xldudf_CX_PUSH(BD76*fxVal_normal,CX_ENTITY,$B76,BD$11,BD$14,BD$75,),""),IF($I76=2,IFBLANK(_xldudf_CX_PUSH(BD76,CX_ENTITY,$B76,BD$11,BD$14,BD$75,),""),IF($I76=3,"",IFBLANK(_xldudf_CX_PUSH(BD76,CX_ENTITY,$B76,BD$11,BD$14,BD$75,),"")))))),"")</f>
        <v/>
      </c>
      <c r="EE76" s="2445" t="str" cm="1">
        <f t="array" ca="1" aca="1" ref="EE76">IFERROR(IF(BE76*fxVal_normal=_PL!BE76,"",IF(OR(BE76="",NOT(ISNUMBER(BE76)),ISERROR(BE76),$B76=""),"",IF($I76=1,IFBLANK(_xldudf_CX_PUSH(BE76*fxVal_normal,CX_ENTITY,$B76,BE$11,BE$14,BE$75,),""),IF($I76=2,IFBLANK(_xldudf_CX_PUSH(BE76,CX_ENTITY,$B76,BE$11,BE$14,BE$75,),""),IF($I76=3,"",IFBLANK(_xldudf_CX_PUSH(BE76,CX_ENTITY,$B76,BE$11,BE$14,BE$75,),"")))))),"")</f>
        <v/>
      </c>
      <c r="EF76" s="2445" t="str" cm="1">
        <f t="array" ca="1" aca="1" ref="EF76">IFERROR(IF(BF76*fxVal_normal=_PL!BF76,"",IF(OR(BF76="",NOT(ISNUMBER(BF76)),ISERROR(BF76),$B76=""),"",IF($I76=1,IFBLANK(_xldudf_CX_PUSH(BF76*fxVal_normal,CX_ENTITY,$B76,BF$11,BF$14,BF$75,),""),IF($I76=2,IFBLANK(_xldudf_CX_PUSH(BF76,CX_ENTITY,$B76,BF$11,BF$14,BF$75,),""),IF($I76=3,"",IFBLANK(_xldudf_CX_PUSH(BF76,CX_ENTITY,$B76,BF$11,BF$14,BF$75,),"")))))),"")</f>
        <v/>
      </c>
      <c r="EG76" s="2445" t="str" cm="1">
        <f t="array" ca="1" aca="1" ref="EG76">IFERROR(IF(BG76*fxVal_normal=_PL!BG76,"",IF(OR(BG76="",NOT(ISNUMBER(BG76)),ISERROR(BG76),$B76=""),"",IF($I76=1,IFBLANK(_xldudf_CX_PUSH(BG76*fxVal_normal,CX_ENTITY,$B76,BG$11,BG$14,BG$75,),""),IF($I76=2,IFBLANK(_xldudf_CX_PUSH(BG76,CX_ENTITY,$B76,BG$11,BG$14,BG$75,),""),IF($I76=3,"",IFBLANK(_xldudf_CX_PUSH(BG76,CX_ENTITY,$B76,BG$11,BG$14,BG$75,),"")))))),"")</f>
        <v/>
      </c>
      <c r="EH76" s="2445" t="str" cm="1">
        <f t="array" ca="1" aca="1" ref="EH76">IFERROR(IF(BH76*fxVal_normal=_PL!BH76,"",IF(OR(BH76="",NOT(ISNUMBER(BH76)),ISERROR(BH76),$B76=""),"",IF($I76=1,IFBLANK(_xldudf_CX_PUSH(BH76*fxVal_normal,CX_ENTITY,$B76,BH$11,BH$14,BH$75,),""),IF($I76=2,IFBLANK(_xldudf_CX_PUSH(BH76,CX_ENTITY,$B76,BH$11,BH$14,BH$75,),""),IF($I76=3,"",IFBLANK(_xldudf_CX_PUSH(BH76,CX_ENTITY,$B76,BH$11,BH$14,BH$75,),"")))))),"")</f>
        <v/>
      </c>
      <c r="EI76" s="2445" t="str" cm="1">
        <f t="array" ca="1" aca="1" ref="EI76">IFERROR(IF(BI76*fxVal_normal=_PL!BI76,"",IF(OR(BI76="",NOT(ISNUMBER(BI76)),ISERROR(BI76),$B76=""),"",IF($I76=1,IFBLANK(_xldudf_CX_PUSH(BI76*fxVal_normal,CX_ENTITY,$B76,BI$11,BI$14,BI$75,),""),IF($I76=2,IFBLANK(_xldudf_CX_PUSH(BI76,CX_ENTITY,$B76,BI$11,BI$14,BI$75,),""),IF($I76=3,"",IFBLANK(_xldudf_CX_PUSH(BI76,CX_ENTITY,$B76,BI$11,BI$14,BI$75,),"")))))),"")</f>
        <v/>
      </c>
      <c r="EJ76" s="2445" t="str" cm="1">
        <f t="array" ca="1" aca="1" ref="EJ76">IFERROR(IF(BJ76*fxVal_normal=_PL!BJ76,"",IF(OR(BJ76="",NOT(ISNUMBER(BJ76)),ISERROR(BJ76),$B76=""),"",IF($I76=1,IFBLANK(_xldudf_CX_PUSH(BJ76*fxVal_normal,CX_ENTITY,$B76,BJ$11,BJ$14,BJ$75,),""),IF($I76=2,IFBLANK(_xldudf_CX_PUSH(BJ76,CX_ENTITY,$B76,BJ$11,BJ$14,BJ$75,),""),IF($I76=3,"",IFBLANK(_xldudf_CX_PUSH(BJ76,CX_ENTITY,$B76,BJ$11,BJ$14,BJ$75,),"")))))),"")</f>
        <v/>
      </c>
      <c r="EK76" s="2445" t="str" cm="1">
        <f t="array" ca="1" aca="1" ref="EK76">IFERROR(IF(BK76*fxVal_normal=_PL!BK76,"",IF(OR(BK76="",NOT(ISNUMBER(BK76)),ISERROR(BK76),$B76=""),"",IF($I76=1,IFBLANK(_xldudf_CX_PUSH(BK76*fxVal_normal,CX_ENTITY,$B76,BK$11,BK$14,BK$75,),""),IF($I76=2,IFBLANK(_xldudf_CX_PUSH(BK76,CX_ENTITY,$B76,BK$11,BK$14,BK$75,),""),IF($I76=3,"",IFBLANK(_xldudf_CX_PUSH(BK76,CX_ENTITY,$B76,BK$11,BK$14,BK$75,),"")))))),"")</f>
        <v/>
      </c>
      <c r="EL76" s="2445" t="str" cm="1">
        <f t="array" ca="1" aca="1" ref="EL76">IFERROR(IF(BL76*fxVal_normal=_PL!BL76,"",IF(OR(BL76="",NOT(ISNUMBER(BL76)),ISERROR(BL76),$B76=""),"",IF($I76=1,IFBLANK(_xldudf_CX_PUSH(BL76*fxVal_normal,CX_ENTITY,$B76,BL$11,BL$14,BL$75,),""),IF($I76=2,IFBLANK(_xldudf_CX_PUSH(BL76,CX_ENTITY,$B76,BL$11,BL$14,BL$75,),""),IF($I76=3,"",IFBLANK(_xldudf_CX_PUSH(BL76,CX_ENTITY,$B76,BL$11,BL$14,BL$75,),"")))))),"")</f>
        <v/>
      </c>
      <c r="EM76" s="2445" t="str" cm="1">
        <f t="array" ca="1" aca="1" ref="EM76">IFERROR(IF(BM76*fxVal_normal=_PL!BM76,"",IF(OR(BM76="",NOT(ISNUMBER(BM76)),ISERROR(BM76),$B76=""),"",IF($I76=1,IFBLANK(_xldudf_CX_PUSH(BM76*fxVal_normal,CX_ENTITY,$B76,BM$11,BM$14,BM$75,),""),IF($I76=2,IFBLANK(_xldudf_CX_PUSH(BM76,CX_ENTITY,$B76,BM$11,BM$14,BM$75,),""),IF($I76=3,"",IFBLANK(_xldudf_CX_PUSH(BM76,CX_ENTITY,$B76,BM$11,BM$14,BM$75,),"")))))),"")</f>
        <v/>
      </c>
      <c r="EN76" s="2445" t="str" cm="1">
        <f t="array" ca="1" aca="1" ref="EN76">IFERROR(IF(BN76*fxVal_normal=_PL!BN76,"",IF(OR(BN76="",NOT(ISNUMBER(BN76)),ISERROR(BN76),$B76=""),"",IF($I76=1,IFBLANK(_xldudf_CX_PUSH(BN76*fxVal_normal,CX_ENTITY,$B76,BN$11,BN$14,BN$75,),""),IF($I76=2,IFBLANK(_xldudf_CX_PUSH(BN76,CX_ENTITY,$B76,BN$11,BN$14,BN$75,),""),IF($I76=3,"",IFBLANK(_xldudf_CX_PUSH(BN76,CX_ENTITY,$B76,BN$11,BN$14,BN$75,),"")))))),"")</f>
        <v/>
      </c>
    </row>
    <row r="77" spans="1:144" ht="21" customHeight="1">
      <c r="A77" s="1625"/>
      <c r="B77" s="2501" t="str">
        <f>_xlfn.LET(_xlpm.IsNotAttrDynamic,D77="",_xlpm.Attr,_PL!F77,_xlpm.NotInUse,Y77=D77,_xlpm.RESULT,IF(_xlpm.IsNotAttrDynamic,_xlpm.Attr,IF(_xlpm.NotInUse,"",Y77)),IF(_xlpm.RESULT="","",_xlpm.RESULT))</f>
        <v>Cost of Sales</v>
      </c>
      <c r="C77" s="2501" t="str" cm="1">
        <f t="array" ref="C77">IFBLANK(_PL!C77,"")</f>
        <v>Cost of Sales (Company View)</v>
      </c>
      <c r="D77" s="1548"/>
      <c r="E77" s="2440" t="e" cm="1">
        <f t="array" ca="1" aca="1" ref="E7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77:$CQ77,Z77)</f>
        <v>#NAME?</v>
      </c>
      <c r="F77" s="578"/>
      <c r="G77" s="578"/>
      <c r="H77" s="401">
        <v>0</v>
      </c>
      <c r="I77" s="3280">
        <v>1</v>
      </c>
      <c r="J77" s="3280" cm="1">
        <f t="array" ref="J77">IFBLANK(Z77,"")</f>
        <v>1</v>
      </c>
      <c r="K77" s="578" t="str">
        <f t="shared" si="17"/>
        <v>Yes</v>
      </c>
      <c r="L77" s="37"/>
      <c r="N77" s="158"/>
      <c r="O77" s="101"/>
      <c r="P77" s="52"/>
      <c r="Q77" s="101"/>
      <c r="R77" s="126"/>
      <c r="S77" s="101"/>
      <c r="T77" s="101"/>
      <c r="U77" s="39"/>
      <c r="V77" s="37"/>
      <c r="W77" s="554" t="str">
        <f t="shared" si="28" ref="W77:W97">$W$76</f>
        <v>Budget</v>
      </c>
      <c r="X77" s="2081">
        <f>_PL!X77</f>
        <v>-1</v>
      </c>
      <c r="Y77" s="3192">
        <f t="shared" si="25"/>
        <v>2</v>
      </c>
      <c r="Z77" s="3291" cm="1">
        <f t="array" ref="Z77">_xlfn.SWITCH(TRUE,_PL!$L77=TRUE,1,_PL!$L77=FALSE,-1,_PL!$L77=-1,0,"")</f>
        <v>1</v>
      </c>
      <c r="AA77" s="200"/>
      <c r="AB77" s="1134" t="str">
        <f>_PL!AB77</f>
        <v>Cost of Sales</v>
      </c>
      <c r="AC77" s="275" t="e" vm="5" cm="1">
        <f t="array" ca="1" aca="1" ref="AC77">_xlfn.LET(_xlpm._termname,$AB77,_xlpm._iconname,"find",_xlpm._icon,fx_getIcon(_xlpm._iconname),_xlpm._location,_xlfn.XLOOKUP(LOWER(_xlpm._termname),LOWER(tbl_acctDef[Term]),tbl_acctDef[Term]),_xlpm._hyperlink,HYPERLINK("#"&amp;CELL("address",_xlpm._location),_xlpm._icon),IFERROR(_xlpm._hyperlink,""))</f>
        <v>#VALUE!</v>
      </c>
      <c r="AD77" s="3177">
        <v>1</v>
      </c>
      <c r="AE77" s="3177">
        <v>1</v>
      </c>
      <c r="AF77" s="3177">
        <v>1</v>
      </c>
      <c r="AG77" s="3177">
        <v>1</v>
      </c>
      <c r="AH77" s="3177">
        <v>1</v>
      </c>
      <c r="AI77" s="3177">
        <v>1</v>
      </c>
      <c r="AJ77" s="3177">
        <v>1</v>
      </c>
      <c r="AK77" s="3177">
        <v>1</v>
      </c>
      <c r="AL77" s="3177">
        <v>1</v>
      </c>
      <c r="AM77" s="3177">
        <v>1</v>
      </c>
      <c r="AN77" s="3177">
        <v>1</v>
      </c>
      <c r="AO77" s="3177">
        <v>1</v>
      </c>
      <c r="AP77" s="3177">
        <v>1</v>
      </c>
      <c r="AQ77" s="3177">
        <v>1</v>
      </c>
      <c r="AR77" s="3177">
        <v>1</v>
      </c>
      <c r="AS77" s="3177">
        <v>1</v>
      </c>
      <c r="AT77" s="3177">
        <v>1</v>
      </c>
      <c r="AU77" s="3177">
        <v>1</v>
      </c>
      <c r="AV77" s="3177">
        <v>1</v>
      </c>
      <c r="AW77" s="3177">
        <v>1</v>
      </c>
      <c r="AX77" s="3177">
        <v>1</v>
      </c>
      <c r="AY77" s="3177">
        <v>1</v>
      </c>
      <c r="AZ77" s="3177">
        <v>1</v>
      </c>
      <c r="BA77" s="3177">
        <v>1</v>
      </c>
      <c r="BB77" s="3177">
        <v>1</v>
      </c>
      <c r="BC77" s="3177">
        <v>1</v>
      </c>
      <c r="BD77" s="3177">
        <v>1</v>
      </c>
      <c r="BE77" s="3177">
        <v>1</v>
      </c>
      <c r="BF77" s="3177">
        <v>1</v>
      </c>
      <c r="BG77" s="3177">
        <v>1</v>
      </c>
      <c r="BH77" s="3177">
        <v>1</v>
      </c>
      <c r="BI77" s="3177">
        <v>1</v>
      </c>
      <c r="BJ77" s="3177">
        <v>1</v>
      </c>
      <c r="BK77" s="3177">
        <v>1</v>
      </c>
      <c r="BL77" s="3177">
        <v>1</v>
      </c>
      <c r="BM77" s="3177">
        <v>1</v>
      </c>
      <c r="BN77" s="3177">
        <v>1</v>
      </c>
      <c r="BO77" s="2442"/>
      <c r="BP77" s="2442"/>
      <c r="BQ77" s="2442"/>
      <c r="BR77" s="2442"/>
      <c r="BS77" s="2442"/>
      <c r="BT77" s="2442"/>
      <c r="BU77" s="2442"/>
      <c r="BV77" s="2442"/>
      <c r="BW77" s="2442"/>
      <c r="BX77" s="2442"/>
      <c r="BY77" s="2442"/>
      <c r="BZ77" s="2442"/>
      <c r="CA77" s="34"/>
      <c r="CC77" s="33"/>
      <c r="CD77" s="1772" t="e" cm="1">
        <f t="array" ca="1" aca="1" ref="CD77">_xlfn.LET(_xlpm.CheckBlank,SUM(PL!$AD77:$BN77)=0,IF(_xlpm.CheckBlank,"",SUM(_xlfn._xlws.FILTER(PL!$AD77:$BN77,(YEAR(PL!$AD$12:$BN$12)=PL!CD$12)*(array_timeline&lt;=PL!CD$11)))))</f>
        <v>#NAME?</v>
      </c>
      <c r="CE77" s="1772" t="e" cm="1">
        <f t="array" ca="1" aca="1" ref="CE77">_xlfn.LET(_xlpm.CheckBlank,SUM(PL!$AD77:$BN77)=0,IF(_xlpm.CheckBlank,"",SUM(_xlfn._xlws.FILTER(PL!$AD77:$BN77,(YEAR(PL!$AD$12:$BN$12)=PL!CE$12)*(array_timeline&lt;=PL!CE$11)))))</f>
        <v>#NAME?</v>
      </c>
      <c r="CF77" s="88"/>
      <c r="CG77" s="1461" t="e" cm="1">
        <f t="array" ca="1" aca="1" ref="CG77">_xlfn.LET(_xlpm.CheckBlank,SUM(PL!$AD77:$BN77)=0,IF(_xlpm.CheckBlank,"",SUM(_xlfn._xlws.FILTER(PL!$AD77:$BN77,(YEAR(PL!$AD$12:$BN$12)=PL!CG$12)*(array_timeline&lt;=PL!CG$11)))))</f>
        <v>#NAME?</v>
      </c>
      <c r="CH77" s="1461" t="e" cm="1">
        <f t="array" ca="1" aca="1" ref="CH77">_xlfn.LET(_xlpm.CheckBlank,SUM(PL!$AD77:$BN77)=0,IF(_xlpm.CheckBlank,"",SUM(_xlfn._xlws.FILTER(PL!$AD77:$BN77,(YEAR(PL!$AD$12:$BN$12)=PL!CH$12)*(array_timeline&lt;=PL!CH$11)))))</f>
        <v>#NAME?</v>
      </c>
      <c r="CI77" s="88"/>
      <c r="CJ77" s="1461" cm="1">
        <f t="array" ref="CJ77">_xlfn.LET(_xlpm.CheckBlank,SUM(PL!$AD77:$BN77)=0,IF(_xlpm.CheckBlank,"",SUM(_xlfn.TAKE(_xlfn.DROP(PL!$AD77:$BN77,,-DATEDIFF(PL!CJ$11,val_asOfDate,"M")),1,-12))))</f>
        <v>12</v>
      </c>
      <c r="CK77" s="1461" cm="1">
        <f t="array" ref="CK77">_xlfn.LET(_xlpm.CheckBlank,SUM(PL!$AD77:$BN77)=0,IF(_xlpm.CheckBlank,"",SUM(_xlfn.TAKE(_xlfn.DROP(PL!$AD77:$BN77,,-DATEDIFF(PL!CK$11,val_asOfDate,"M")),1,-12))))</f>
        <v>12</v>
      </c>
      <c r="CL77" s="88"/>
      <c r="CM77" s="3195">
        <f t="shared" si="26"/>
        <v>1</v>
      </c>
      <c r="CN77" s="3195">
        <f t="shared" si="23"/>
        <v>1</v>
      </c>
      <c r="CO77" s="1169"/>
      <c r="CP77" s="3195">
        <f t="shared" si="27"/>
        <v>1</v>
      </c>
      <c r="CQ77" s="3195">
        <f t="shared" si="24"/>
        <v>1</v>
      </c>
      <c r="CR77" s="34"/>
      <c r="CS77" s="2056"/>
      <c r="CT77" s="2085" t="e" cm="1">
        <f t="array" ca="1" aca="1" ref="CT77">IF(K77&lt;&gt;"Yes","",IF(OR(Y77="Select,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III"),"",IF(OR(Y77&lt;&gt;AB77,AND(LEN(B77)=0,NOT(OR(Y77="Select,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III")))),_xldudf_CX_PUSH(Y77,CX_ENTITY,C77,EOMONTH(val_asOfDate,0)),"")))</f>
        <v>#NAME?</v>
      </c>
      <c r="CU77" s="2085" t="e" cm="1">
        <f t="array" ca="1" aca="1" ref="CU77">IF(K77&lt;&gt;"Yes","",IF(OR(Y77="Select,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III"),"",IF(OR(Y77&lt;&gt;AB77,AND(LEN(B77)=0,NOT(OR(Y77="Select,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III")))),_xldudf_CX_PUSH(Y77,CX_ENTITY,C77,EOMONTH(val_asOfDate,1)),"")))</f>
        <v>#NAME?</v>
      </c>
      <c r="CV77" s="2085" t="e" cm="1">
        <f t="array" ca="1" aca="1" ref="CV77">IF(K77&lt;&gt;"Yes","",IF(OR(Y77="Select,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III"),"",IF(OR(Y77&lt;&gt;AB77,AND(LEN(B77)=0,NOT(OR(Y77="Select,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III")))),_xldudf_CX_PUSH(Y77,CX_ENTITY,C77,EOMONTH(val_asOfDate,2)),"")))</f>
        <v>#NAME?</v>
      </c>
      <c r="CW77" s="2085" t="e" cm="1">
        <f t="array" ca="1" aca="1" ref="CW77">IF(K77&lt;&gt;"Yes","",IF(OR(Y77="Select,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III"),"",IF(OR(Y77&lt;&gt;AB77,AND(LEN(B77)=0,NOT(OR(Y77="Select,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III")))),_xldudf_CX_PUSH(Y77,CX_ENTITY,C77,EOMONTH(val_asOfDate,3)),"")))</f>
        <v>#NAME?</v>
      </c>
      <c r="CX77" s="2443"/>
      <c r="CY77" s="1880"/>
      <c r="CZ77" s="1880"/>
      <c r="DA77" s="1880"/>
      <c r="DB77" s="1880"/>
      <c r="DC77" s="2121"/>
      <c r="DD77" s="2445" t="str" cm="1">
        <f t="array" ca="1" aca="1" ref="DD77">IFERROR(IF(AD77*fxVal_normal=_PL!AD77,"",IF(OR(AD77="",NOT(ISNUMBER(AD77)),ISERROR(AD77),$B77=""),"",IF($I77=1,IFBLANK(_xldudf_CX_PUSH(AD77*fxVal_normal,CX_ENTITY,$B77,AD$11,AD$14,AD$75,),""),IF($I77=2,IFBLANK(_xldudf_CX_PUSH(AD77,CX_ENTITY,$B77,AD$11,AD$14,AD$75,),""),IF($I77=3,"",IFBLANK(_xldudf_CX_PUSH(AD77,CX_ENTITY,$B77,AD$11,AD$14,AD$75,),"")))))),"")</f>
        <v/>
      </c>
      <c r="DE77" s="2445" t="str" cm="1">
        <f t="array" ca="1" aca="1" ref="DE77">IFERROR(IF(AE77*fxVal_normal=_PL!AE77,"",IF(OR(AE77="",NOT(ISNUMBER(AE77)),ISERROR(AE77),$B77=""),"",IF($I77=1,IFBLANK(_xldudf_CX_PUSH(AE77*fxVal_normal,CX_ENTITY,$B77,AE$11,AE$14,AE$75,),""),IF($I77=2,IFBLANK(_xldudf_CX_PUSH(AE77,CX_ENTITY,$B77,AE$11,AE$14,AE$75,),""),IF($I77=3,"",IFBLANK(_xldudf_CX_PUSH(AE77,CX_ENTITY,$B77,AE$11,AE$14,AE$75,),"")))))),"")</f>
        <v/>
      </c>
      <c r="DF77" s="2445" t="str" cm="1">
        <f t="array" ca="1" aca="1" ref="DF77">IFERROR(IF(AF77*fxVal_normal=_PL!AF77,"",IF(OR(AF77="",NOT(ISNUMBER(AF77)),ISERROR(AF77),$B77=""),"",IF($I77=1,IFBLANK(_xldudf_CX_PUSH(AF77*fxVal_normal,CX_ENTITY,$B77,AF$11,AF$14,AF$75,),""),IF($I77=2,IFBLANK(_xldudf_CX_PUSH(AF77,CX_ENTITY,$B77,AF$11,AF$14,AF$75,),""),IF($I77=3,"",IFBLANK(_xldudf_CX_PUSH(AF77,CX_ENTITY,$B77,AF$11,AF$14,AF$75,),"")))))),"")</f>
        <v/>
      </c>
      <c r="DG77" s="2445" t="str" cm="1">
        <f t="array" ca="1" aca="1" ref="DG77">IFERROR(IF(AG77*fxVal_normal=_PL!AG77,"",IF(OR(AG77="",NOT(ISNUMBER(AG77)),ISERROR(AG77),$B77=""),"",IF($I77=1,IFBLANK(_xldudf_CX_PUSH(AG77*fxVal_normal,CX_ENTITY,$B77,AG$11,AG$14,AG$75,),""),IF($I77=2,IFBLANK(_xldudf_CX_PUSH(AG77,CX_ENTITY,$B77,AG$11,AG$14,AG$75,),""),IF($I77=3,"",IFBLANK(_xldudf_CX_PUSH(AG77,CX_ENTITY,$B77,AG$11,AG$14,AG$75,),"")))))),"")</f>
        <v/>
      </c>
      <c r="DH77" s="2445" t="str" cm="1">
        <f t="array" ca="1" aca="1" ref="DH77">IFERROR(IF(AH77*fxVal_normal=_PL!AH77,"",IF(OR(AH77="",NOT(ISNUMBER(AH77)),ISERROR(AH77),$B77=""),"",IF($I77=1,IFBLANK(_xldudf_CX_PUSH(AH77*fxVal_normal,CX_ENTITY,$B77,AH$11,AH$14,AH$75,),""),IF($I77=2,IFBLANK(_xldudf_CX_PUSH(AH77,CX_ENTITY,$B77,AH$11,AH$14,AH$75,),""),IF($I77=3,"",IFBLANK(_xldudf_CX_PUSH(AH77,CX_ENTITY,$B77,AH$11,AH$14,AH$75,),"")))))),"")</f>
        <v/>
      </c>
      <c r="DI77" s="2445" t="str" cm="1">
        <f t="array" ca="1" aca="1" ref="DI77">IFERROR(IF(AI77*fxVal_normal=_PL!AI77,"",IF(OR(AI77="",NOT(ISNUMBER(AI77)),ISERROR(AI77),$B77=""),"",IF($I77=1,IFBLANK(_xldudf_CX_PUSH(AI77*fxVal_normal,CX_ENTITY,$B77,AI$11,AI$14,AI$75,),""),IF($I77=2,IFBLANK(_xldudf_CX_PUSH(AI77,CX_ENTITY,$B77,AI$11,AI$14,AI$75,),""),IF($I77=3,"",IFBLANK(_xldudf_CX_PUSH(AI77,CX_ENTITY,$B77,AI$11,AI$14,AI$75,),"")))))),"")</f>
        <v/>
      </c>
      <c r="DJ77" s="2445" t="str" cm="1">
        <f t="array" ca="1" aca="1" ref="DJ77">IFERROR(IF(AJ77*fxVal_normal=_PL!AJ77,"",IF(OR(AJ77="",NOT(ISNUMBER(AJ77)),ISERROR(AJ77),$B77=""),"",IF($I77=1,IFBLANK(_xldudf_CX_PUSH(AJ77*fxVal_normal,CX_ENTITY,$B77,AJ$11,AJ$14,AJ$75,),""),IF($I77=2,IFBLANK(_xldudf_CX_PUSH(AJ77,CX_ENTITY,$B77,AJ$11,AJ$14,AJ$75,),""),IF($I77=3,"",IFBLANK(_xldudf_CX_PUSH(AJ77,CX_ENTITY,$B77,AJ$11,AJ$14,AJ$75,),"")))))),"")</f>
        <v/>
      </c>
      <c r="DK77" s="2445" t="str" cm="1">
        <f t="array" ca="1" aca="1" ref="DK77">IFERROR(IF(AK77*fxVal_normal=_PL!AK77,"",IF(OR(AK77="",NOT(ISNUMBER(AK77)),ISERROR(AK77),$B77=""),"",IF($I77=1,IFBLANK(_xldudf_CX_PUSH(AK77*fxVal_normal,CX_ENTITY,$B77,AK$11,AK$14,AK$75,),""),IF($I77=2,IFBLANK(_xldudf_CX_PUSH(AK77,CX_ENTITY,$B77,AK$11,AK$14,AK$75,),""),IF($I77=3,"",IFBLANK(_xldudf_CX_PUSH(AK77,CX_ENTITY,$B77,AK$11,AK$14,AK$75,),"")))))),"")</f>
        <v/>
      </c>
      <c r="DL77" s="2445" t="str" cm="1">
        <f t="array" ca="1" aca="1" ref="DL77">IFERROR(IF(AL77*fxVal_normal=_PL!AL77,"",IF(OR(AL77="",NOT(ISNUMBER(AL77)),ISERROR(AL77),$B77=""),"",IF($I77=1,IFBLANK(_xldudf_CX_PUSH(AL77*fxVal_normal,CX_ENTITY,$B77,AL$11,AL$14,AL$75,),""),IF($I77=2,IFBLANK(_xldudf_CX_PUSH(AL77,CX_ENTITY,$B77,AL$11,AL$14,AL$75,),""),IF($I77=3,"",IFBLANK(_xldudf_CX_PUSH(AL77,CX_ENTITY,$B77,AL$11,AL$14,AL$75,),"")))))),"")</f>
        <v/>
      </c>
      <c r="DM77" s="2445" t="str" cm="1">
        <f t="array" ca="1" aca="1" ref="DM77">IFERROR(IF(AM77*fxVal_normal=_PL!AM77,"",IF(OR(AM77="",NOT(ISNUMBER(AM77)),ISERROR(AM77),$B77=""),"",IF($I77=1,IFBLANK(_xldudf_CX_PUSH(AM77*fxVal_normal,CX_ENTITY,$B77,AM$11,AM$14,AM$75,),""),IF($I77=2,IFBLANK(_xldudf_CX_PUSH(AM77,CX_ENTITY,$B77,AM$11,AM$14,AM$75,),""),IF($I77=3,"",IFBLANK(_xldudf_CX_PUSH(AM77,CX_ENTITY,$B77,AM$11,AM$14,AM$75,),"")))))),"")</f>
        <v/>
      </c>
      <c r="DN77" s="2445" t="str" cm="1">
        <f t="array" ca="1" aca="1" ref="DN77">IFERROR(IF(AN77*fxVal_normal=_PL!AN77,"",IF(OR(AN77="",NOT(ISNUMBER(AN77)),ISERROR(AN77),$B77=""),"",IF($I77=1,IFBLANK(_xldudf_CX_PUSH(AN77*fxVal_normal,CX_ENTITY,$B77,AN$11,AN$14,AN$75,),""),IF($I77=2,IFBLANK(_xldudf_CX_PUSH(AN77,CX_ENTITY,$B77,AN$11,AN$14,AN$75,),""),IF($I77=3,"",IFBLANK(_xldudf_CX_PUSH(AN77,CX_ENTITY,$B77,AN$11,AN$14,AN$75,),"")))))),"")</f>
        <v/>
      </c>
      <c r="DO77" s="2445" t="str" cm="1">
        <f t="array" ca="1" aca="1" ref="DO77">IFERROR(IF(AO77*fxVal_normal=_PL!AO77,"",IF(OR(AO77="",NOT(ISNUMBER(AO77)),ISERROR(AO77),$B77=""),"",IF($I77=1,IFBLANK(_xldudf_CX_PUSH(AO77*fxVal_normal,CX_ENTITY,$B77,AO$11,AO$14,AO$75,),""),IF($I77=2,IFBLANK(_xldudf_CX_PUSH(AO77,CX_ENTITY,$B77,AO$11,AO$14,AO$75,),""),IF($I77=3,"",IFBLANK(_xldudf_CX_PUSH(AO77,CX_ENTITY,$B77,AO$11,AO$14,AO$75,),"")))))),"")</f>
        <v/>
      </c>
      <c r="DP77" s="2445" t="str" cm="1">
        <f t="array" ca="1" aca="1" ref="DP77">IFERROR(IF(AP77*fxVal_normal=_PL!AP77,"",IF(OR(AP77="",NOT(ISNUMBER(AP77)),ISERROR(AP77),$B77=""),"",IF($I77=1,IFBLANK(_xldudf_CX_PUSH(AP77*fxVal_normal,CX_ENTITY,$B77,AP$11,AP$14,AP$75,),""),IF($I77=2,IFBLANK(_xldudf_CX_PUSH(AP77,CX_ENTITY,$B77,AP$11,AP$14,AP$75,),""),IF($I77=3,"",IFBLANK(_xldudf_CX_PUSH(AP77,CX_ENTITY,$B77,AP$11,AP$14,AP$75,),"")))))),"")</f>
        <v/>
      </c>
      <c r="DQ77" s="2445" t="str" cm="1">
        <f t="array" ca="1" aca="1" ref="DQ77">IFERROR(IF(AQ77*fxVal_normal=_PL!AQ77,"",IF(OR(AQ77="",NOT(ISNUMBER(AQ77)),ISERROR(AQ77),$B77=""),"",IF($I77=1,IFBLANK(_xldudf_CX_PUSH(AQ77*fxVal_normal,CX_ENTITY,$B77,AQ$11,AQ$14,AQ$75,),""),IF($I77=2,IFBLANK(_xldudf_CX_PUSH(AQ77,CX_ENTITY,$B77,AQ$11,AQ$14,AQ$75,),""),IF($I77=3,"",IFBLANK(_xldudf_CX_PUSH(AQ77,CX_ENTITY,$B77,AQ$11,AQ$14,AQ$75,),"")))))),"")</f>
        <v/>
      </c>
      <c r="DR77" s="2445" t="str" cm="1">
        <f t="array" ca="1" aca="1" ref="DR77">IFERROR(IF(AR77*fxVal_normal=_PL!AR77,"",IF(OR(AR77="",NOT(ISNUMBER(AR77)),ISERROR(AR77),$B77=""),"",IF($I77=1,IFBLANK(_xldudf_CX_PUSH(AR77*fxVal_normal,CX_ENTITY,$B77,AR$11,AR$14,AR$75,),""),IF($I77=2,IFBLANK(_xldudf_CX_PUSH(AR77,CX_ENTITY,$B77,AR$11,AR$14,AR$75,),""),IF($I77=3,"",IFBLANK(_xldudf_CX_PUSH(AR77,CX_ENTITY,$B77,AR$11,AR$14,AR$75,),"")))))),"")</f>
        <v/>
      </c>
      <c r="DS77" s="2445" t="str" cm="1">
        <f t="array" ca="1" aca="1" ref="DS77">IFERROR(IF(AS77*fxVal_normal=_PL!AS77,"",IF(OR(AS77="",NOT(ISNUMBER(AS77)),ISERROR(AS77),$B77=""),"",IF($I77=1,IFBLANK(_xldudf_CX_PUSH(AS77*fxVal_normal,CX_ENTITY,$B77,AS$11,AS$14,AS$75,),""),IF($I77=2,IFBLANK(_xldudf_CX_PUSH(AS77,CX_ENTITY,$B77,AS$11,AS$14,AS$75,),""),IF($I77=3,"",IFBLANK(_xldudf_CX_PUSH(AS77,CX_ENTITY,$B77,AS$11,AS$14,AS$75,),"")))))),"")</f>
        <v/>
      </c>
      <c r="DT77" s="2445" t="str" cm="1">
        <f t="array" ca="1" aca="1" ref="DT77">IFERROR(IF(AT77*fxVal_normal=_PL!AT77,"",IF(OR(AT77="",NOT(ISNUMBER(AT77)),ISERROR(AT77),$B77=""),"",IF($I77=1,IFBLANK(_xldudf_CX_PUSH(AT77*fxVal_normal,CX_ENTITY,$B77,AT$11,AT$14,AT$75,),""),IF($I77=2,IFBLANK(_xldudf_CX_PUSH(AT77,CX_ENTITY,$B77,AT$11,AT$14,AT$75,),""),IF($I77=3,"",IFBLANK(_xldudf_CX_PUSH(AT77,CX_ENTITY,$B77,AT$11,AT$14,AT$75,),"")))))),"")</f>
        <v/>
      </c>
      <c r="DU77" s="2445" t="str" cm="1">
        <f t="array" ca="1" aca="1" ref="DU77">IFERROR(IF(AU77*fxVal_normal=_PL!AU77,"",IF(OR(AU77="",NOT(ISNUMBER(AU77)),ISERROR(AU77),$B77=""),"",IF($I77=1,IFBLANK(_xldudf_CX_PUSH(AU77*fxVal_normal,CX_ENTITY,$B77,AU$11,AU$14,AU$75,),""),IF($I77=2,IFBLANK(_xldudf_CX_PUSH(AU77,CX_ENTITY,$B77,AU$11,AU$14,AU$75,),""),IF($I77=3,"",IFBLANK(_xldudf_CX_PUSH(AU77,CX_ENTITY,$B77,AU$11,AU$14,AU$75,),"")))))),"")</f>
        <v/>
      </c>
      <c r="DV77" s="2445" t="str" cm="1">
        <f t="array" ca="1" aca="1" ref="DV77">IFERROR(IF(AV77*fxVal_normal=_PL!AV77,"",IF(OR(AV77="",NOT(ISNUMBER(AV77)),ISERROR(AV77),$B77=""),"",IF($I77=1,IFBLANK(_xldudf_CX_PUSH(AV77*fxVal_normal,CX_ENTITY,$B77,AV$11,AV$14,AV$75,),""),IF($I77=2,IFBLANK(_xldudf_CX_PUSH(AV77,CX_ENTITY,$B77,AV$11,AV$14,AV$75,),""),IF($I77=3,"",IFBLANK(_xldudf_CX_PUSH(AV77,CX_ENTITY,$B77,AV$11,AV$14,AV$75,),"")))))),"")</f>
        <v/>
      </c>
      <c r="DW77" s="2445" t="str" cm="1">
        <f t="array" ca="1" aca="1" ref="DW77">IFERROR(IF(AW77*fxVal_normal=_PL!AW77,"",IF(OR(AW77="",NOT(ISNUMBER(AW77)),ISERROR(AW77),$B77=""),"",IF($I77=1,IFBLANK(_xldudf_CX_PUSH(AW77*fxVal_normal,CX_ENTITY,$B77,AW$11,AW$14,AW$75,),""),IF($I77=2,IFBLANK(_xldudf_CX_PUSH(AW77,CX_ENTITY,$B77,AW$11,AW$14,AW$75,),""),IF($I77=3,"",IFBLANK(_xldudf_CX_PUSH(AW77,CX_ENTITY,$B77,AW$11,AW$14,AW$75,),"")))))),"")</f>
        <v/>
      </c>
      <c r="DX77" s="2445" t="str" cm="1">
        <f t="array" ca="1" aca="1" ref="DX77">IFERROR(IF(AX77*fxVal_normal=_PL!AX77,"",IF(OR(AX77="",NOT(ISNUMBER(AX77)),ISERROR(AX77),$B77=""),"",IF($I77=1,IFBLANK(_xldudf_CX_PUSH(AX77*fxVal_normal,CX_ENTITY,$B77,AX$11,AX$14,AX$75,),""),IF($I77=2,IFBLANK(_xldudf_CX_PUSH(AX77,CX_ENTITY,$B77,AX$11,AX$14,AX$75,),""),IF($I77=3,"",IFBLANK(_xldudf_CX_PUSH(AX77,CX_ENTITY,$B77,AX$11,AX$14,AX$75,),"")))))),"")</f>
        <v/>
      </c>
      <c r="DY77" s="2445" t="str" cm="1">
        <f t="array" ca="1" aca="1" ref="DY77">IFERROR(IF(AY77*fxVal_normal=_PL!AY77,"",IF(OR(AY77="",NOT(ISNUMBER(AY77)),ISERROR(AY77),$B77=""),"",IF($I77=1,IFBLANK(_xldudf_CX_PUSH(AY77*fxVal_normal,CX_ENTITY,$B77,AY$11,AY$14,AY$75,),""),IF($I77=2,IFBLANK(_xldudf_CX_PUSH(AY77,CX_ENTITY,$B77,AY$11,AY$14,AY$75,),""),IF($I77=3,"",IFBLANK(_xldudf_CX_PUSH(AY77,CX_ENTITY,$B77,AY$11,AY$14,AY$75,),"")))))),"")</f>
        <v/>
      </c>
      <c r="DZ77" s="2445" t="str" cm="1">
        <f t="array" ca="1" aca="1" ref="DZ77">IFERROR(IF(AZ77*fxVal_normal=_PL!AZ77,"",IF(OR(AZ77="",NOT(ISNUMBER(AZ77)),ISERROR(AZ77),$B77=""),"",IF($I77=1,IFBLANK(_xldudf_CX_PUSH(AZ77*fxVal_normal,CX_ENTITY,$B77,AZ$11,AZ$14,AZ$75,),""),IF($I77=2,IFBLANK(_xldudf_CX_PUSH(AZ77,CX_ENTITY,$B77,AZ$11,AZ$14,AZ$75,),""),IF($I77=3,"",IFBLANK(_xldudf_CX_PUSH(AZ77,CX_ENTITY,$B77,AZ$11,AZ$14,AZ$75,),"")))))),"")</f>
        <v/>
      </c>
      <c r="EA77" s="2445" t="str" cm="1">
        <f t="array" ca="1" aca="1" ref="EA77">IFERROR(IF(BA77*fxVal_normal=_PL!BA77,"",IF(OR(BA77="",NOT(ISNUMBER(BA77)),ISERROR(BA77),$B77=""),"",IF($I77=1,IFBLANK(_xldudf_CX_PUSH(BA77*fxVal_normal,CX_ENTITY,$B77,BA$11,BA$14,BA$75,),""),IF($I77=2,IFBLANK(_xldudf_CX_PUSH(BA77,CX_ENTITY,$B77,BA$11,BA$14,BA$75,),""),IF($I77=3,"",IFBLANK(_xldudf_CX_PUSH(BA77,CX_ENTITY,$B77,BA$11,BA$14,BA$75,),"")))))),"")</f>
        <v/>
      </c>
      <c r="EB77" s="2445" t="str" cm="1">
        <f t="array" ca="1" aca="1" ref="EB77">IFERROR(IF(BB77*fxVal_normal=_PL!BB77,"",IF(OR(BB77="",NOT(ISNUMBER(BB77)),ISERROR(BB77),$B77=""),"",IF($I77=1,IFBLANK(_xldudf_CX_PUSH(BB77*fxVal_normal,CX_ENTITY,$B77,BB$11,BB$14,BB$75,),""),IF($I77=2,IFBLANK(_xldudf_CX_PUSH(BB77,CX_ENTITY,$B77,BB$11,BB$14,BB$75,),""),IF($I77=3,"",IFBLANK(_xldudf_CX_PUSH(BB77,CX_ENTITY,$B77,BB$11,BB$14,BB$75,),"")))))),"")</f>
        <v/>
      </c>
      <c r="EC77" s="2445" t="str" cm="1">
        <f t="array" ca="1" aca="1" ref="EC77">IFERROR(IF(BC77*fxVal_normal=_PL!BC77,"",IF(OR(BC77="",NOT(ISNUMBER(BC77)),ISERROR(BC77),$B77=""),"",IF($I77=1,IFBLANK(_xldudf_CX_PUSH(BC77*fxVal_normal,CX_ENTITY,$B77,BC$11,BC$14,BC$75,),""),IF($I77=2,IFBLANK(_xldudf_CX_PUSH(BC77,CX_ENTITY,$B77,BC$11,BC$14,BC$75,),""),IF($I77=3,"",IFBLANK(_xldudf_CX_PUSH(BC77,CX_ENTITY,$B77,BC$11,BC$14,BC$75,),"")))))),"")</f>
        <v/>
      </c>
      <c r="ED77" s="2445" t="str" cm="1">
        <f t="array" ca="1" aca="1" ref="ED77">IFERROR(IF(BD77*fxVal_normal=_PL!BD77,"",IF(OR(BD77="",NOT(ISNUMBER(BD77)),ISERROR(BD77),$B77=""),"",IF($I77=1,IFBLANK(_xldudf_CX_PUSH(BD77*fxVal_normal,CX_ENTITY,$B77,BD$11,BD$14,BD$75,),""),IF($I77=2,IFBLANK(_xldudf_CX_PUSH(BD77,CX_ENTITY,$B77,BD$11,BD$14,BD$75,),""),IF($I77=3,"",IFBLANK(_xldudf_CX_PUSH(BD77,CX_ENTITY,$B77,BD$11,BD$14,BD$75,),"")))))),"")</f>
        <v/>
      </c>
      <c r="EE77" s="2445" t="str" cm="1">
        <f t="array" ca="1" aca="1" ref="EE77">IFERROR(IF(BE77*fxVal_normal=_PL!BE77,"",IF(OR(BE77="",NOT(ISNUMBER(BE77)),ISERROR(BE77),$B77=""),"",IF($I77=1,IFBLANK(_xldudf_CX_PUSH(BE77*fxVal_normal,CX_ENTITY,$B77,BE$11,BE$14,BE$75,),""),IF($I77=2,IFBLANK(_xldudf_CX_PUSH(BE77,CX_ENTITY,$B77,BE$11,BE$14,BE$75,),""),IF($I77=3,"",IFBLANK(_xldudf_CX_PUSH(BE77,CX_ENTITY,$B77,BE$11,BE$14,BE$75,),"")))))),"")</f>
        <v/>
      </c>
      <c r="EF77" s="2445" t="str" cm="1">
        <f t="array" ca="1" aca="1" ref="EF77">IFERROR(IF(BF77*fxVal_normal=_PL!BF77,"",IF(OR(BF77="",NOT(ISNUMBER(BF77)),ISERROR(BF77),$B77=""),"",IF($I77=1,IFBLANK(_xldudf_CX_PUSH(BF77*fxVal_normal,CX_ENTITY,$B77,BF$11,BF$14,BF$75,),""),IF($I77=2,IFBLANK(_xldudf_CX_PUSH(BF77,CX_ENTITY,$B77,BF$11,BF$14,BF$75,),""),IF($I77=3,"",IFBLANK(_xldudf_CX_PUSH(BF77,CX_ENTITY,$B77,BF$11,BF$14,BF$75,),"")))))),"")</f>
        <v/>
      </c>
      <c r="EG77" s="2445" t="str" cm="1">
        <f t="array" ca="1" aca="1" ref="EG77">IFERROR(IF(BG77*fxVal_normal=_PL!BG77,"",IF(OR(BG77="",NOT(ISNUMBER(BG77)),ISERROR(BG77),$B77=""),"",IF($I77=1,IFBLANK(_xldudf_CX_PUSH(BG77*fxVal_normal,CX_ENTITY,$B77,BG$11,BG$14,BG$75,),""),IF($I77=2,IFBLANK(_xldudf_CX_PUSH(BG77,CX_ENTITY,$B77,BG$11,BG$14,BG$75,),""),IF($I77=3,"",IFBLANK(_xldudf_CX_PUSH(BG77,CX_ENTITY,$B77,BG$11,BG$14,BG$75,),"")))))),"")</f>
        <v/>
      </c>
      <c r="EH77" s="2445" t="str" cm="1">
        <f t="array" ca="1" aca="1" ref="EH77">IFERROR(IF(BH77*fxVal_normal=_PL!BH77,"",IF(OR(BH77="",NOT(ISNUMBER(BH77)),ISERROR(BH77),$B77=""),"",IF($I77=1,IFBLANK(_xldudf_CX_PUSH(BH77*fxVal_normal,CX_ENTITY,$B77,BH$11,BH$14,BH$75,),""),IF($I77=2,IFBLANK(_xldudf_CX_PUSH(BH77,CX_ENTITY,$B77,BH$11,BH$14,BH$75,),""),IF($I77=3,"",IFBLANK(_xldudf_CX_PUSH(BH77,CX_ENTITY,$B77,BH$11,BH$14,BH$75,),"")))))),"")</f>
        <v/>
      </c>
      <c r="EI77" s="2445" t="str" cm="1">
        <f t="array" ca="1" aca="1" ref="EI77">IFERROR(IF(BI77*fxVal_normal=_PL!BI77,"",IF(OR(BI77="",NOT(ISNUMBER(BI77)),ISERROR(BI77),$B77=""),"",IF($I77=1,IFBLANK(_xldudf_CX_PUSH(BI77*fxVal_normal,CX_ENTITY,$B77,BI$11,BI$14,BI$75,),""),IF($I77=2,IFBLANK(_xldudf_CX_PUSH(BI77,CX_ENTITY,$B77,BI$11,BI$14,BI$75,),""),IF($I77=3,"",IFBLANK(_xldudf_CX_PUSH(BI77,CX_ENTITY,$B77,BI$11,BI$14,BI$75,),"")))))),"")</f>
        <v/>
      </c>
      <c r="EJ77" s="2445" t="str" cm="1">
        <f t="array" ca="1" aca="1" ref="EJ77">IFERROR(IF(BJ77*fxVal_normal=_PL!BJ77,"",IF(OR(BJ77="",NOT(ISNUMBER(BJ77)),ISERROR(BJ77),$B77=""),"",IF($I77=1,IFBLANK(_xldudf_CX_PUSH(BJ77*fxVal_normal,CX_ENTITY,$B77,BJ$11,BJ$14,BJ$75,),""),IF($I77=2,IFBLANK(_xldudf_CX_PUSH(BJ77,CX_ENTITY,$B77,BJ$11,BJ$14,BJ$75,),""),IF($I77=3,"",IFBLANK(_xldudf_CX_PUSH(BJ77,CX_ENTITY,$B77,BJ$11,BJ$14,BJ$75,),"")))))),"")</f>
        <v/>
      </c>
      <c r="EK77" s="2445" t="str" cm="1">
        <f t="array" ca="1" aca="1" ref="EK77">IFERROR(IF(BK77*fxVal_normal=_PL!BK77,"",IF(OR(BK77="",NOT(ISNUMBER(BK77)),ISERROR(BK77),$B77=""),"",IF($I77=1,IFBLANK(_xldudf_CX_PUSH(BK77*fxVal_normal,CX_ENTITY,$B77,BK$11,BK$14,BK$75,),""),IF($I77=2,IFBLANK(_xldudf_CX_PUSH(BK77,CX_ENTITY,$B77,BK$11,BK$14,BK$75,),""),IF($I77=3,"",IFBLANK(_xldudf_CX_PUSH(BK77,CX_ENTITY,$B77,BK$11,BK$14,BK$75,),"")))))),"")</f>
        <v/>
      </c>
      <c r="EL77" s="2445" t="str" cm="1">
        <f t="array" ca="1" aca="1" ref="EL77">IFERROR(IF(BL77*fxVal_normal=_PL!BL77,"",IF(OR(BL77="",NOT(ISNUMBER(BL77)),ISERROR(BL77),$B77=""),"",IF($I77=1,IFBLANK(_xldudf_CX_PUSH(BL77*fxVal_normal,CX_ENTITY,$B77,BL$11,BL$14,BL$75,),""),IF($I77=2,IFBLANK(_xldudf_CX_PUSH(BL77,CX_ENTITY,$B77,BL$11,BL$14,BL$75,),""),IF($I77=3,"",IFBLANK(_xldudf_CX_PUSH(BL77,CX_ENTITY,$B77,BL$11,BL$14,BL$75,),"")))))),"")</f>
        <v/>
      </c>
      <c r="EM77" s="2445" t="str" cm="1">
        <f t="array" ca="1" aca="1" ref="EM77">IFERROR(IF(BM77*fxVal_normal=_PL!BM77,"",IF(OR(BM77="",NOT(ISNUMBER(BM77)),ISERROR(BM77),$B77=""),"",IF($I77=1,IFBLANK(_xldudf_CX_PUSH(BM77*fxVal_normal,CX_ENTITY,$B77,BM$11,BM$14,BM$75,),""),IF($I77=2,IFBLANK(_xldudf_CX_PUSH(BM77,CX_ENTITY,$B77,BM$11,BM$14,BM$75,),""),IF($I77=3,"",IFBLANK(_xldudf_CX_PUSH(BM77,CX_ENTITY,$B77,BM$11,BM$14,BM$75,),"")))))),"")</f>
        <v/>
      </c>
      <c r="EN77" s="2445" t="str" cm="1">
        <f t="array" ca="1" aca="1" ref="EN77">IFERROR(IF(BN77*fxVal_normal=_PL!BN77,"",IF(OR(BN77="",NOT(ISNUMBER(BN77)),ISERROR(BN77),$B77=""),"",IF($I77=1,IFBLANK(_xldudf_CX_PUSH(BN77*fxVal_normal,CX_ENTITY,$B77,BN$11,BN$14,BN$75,),""),IF($I77=2,IFBLANK(_xldudf_CX_PUSH(BN77,CX_ENTITY,$B77,BN$11,BN$14,BN$75,),""),IF($I77=3,"",IFBLANK(_xldudf_CX_PUSH(BN77,CX_ENTITY,$B77,BN$11,BN$14,BN$75,),"")))))),"")</f>
        <v/>
      </c>
    </row>
    <row r="78" spans="1:144" ht="21" customHeight="1">
      <c r="A78" s="1625"/>
      <c r="B78" s="2501" t="str">
        <f ca="1">_xlfn.LET(_xlpm.IsNotAttrDynamic,D78="",_xlpm.Attr,_PL!F78,_xlpm.NotInUse,Y78=D78,_xlpm.RESULT,IF(_xlpm.IsNotAttrDynamic,_xlpm.Attr,IF(_xlpm.NotInUse,"",Y78)),IF(_xlpm.RESULT="","",_xlpm.RESULT))</f>
        <v>Gross Profit</v>
      </c>
      <c r="C78" s="2501" t="str" cm="1">
        <f t="array" ref="C78">IFBLANK(_PL!C78,"")</f>
        <v>Gross Profit (Company View)</v>
      </c>
      <c r="D78" s="1548"/>
      <c r="E78" s="2440" t="e" cm="1">
        <f t="array" ca="1" aca="1" ref="E7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78:$CQ78,Z78)</f>
        <v>#NAME?</v>
      </c>
      <c r="F78" s="578"/>
      <c r="G78" s="578"/>
      <c r="H78" s="3280">
        <v>2</v>
      </c>
      <c r="I78" s="3280">
        <v>1</v>
      </c>
      <c r="J78" s="401" cm="1">
        <f t="array" ref="J78">IFBLANK(Z78,"")</f>
        <v>0</v>
      </c>
      <c r="K78" s="578" t="str">
        <f t="shared" si="17"/>
        <v>Yes</v>
      </c>
      <c r="L78" s="37"/>
      <c r="N78" s="158"/>
      <c r="O78" s="101"/>
      <c r="P78" s="52"/>
      <c r="Q78" s="101"/>
      <c r="R78" s="126"/>
      <c r="S78" s="101"/>
      <c r="T78" s="101"/>
      <c r="U78" s="39"/>
      <c r="V78" s="37"/>
      <c r="W78" s="91" t="str">
        <f t="shared" si="28"/>
        <v>Budget</v>
      </c>
      <c r="X78" s="2082">
        <f>_PL!X78</f>
        <v>0</v>
      </c>
      <c r="Y78" s="1134" t="e">
        <f t="shared" ca="1" si="25"/>
        <v>#NAME?</v>
      </c>
      <c r="Z78" s="198" cm="1">
        <f t="array" ref="Z78">_xlfn.SWITCH(TRUE,_PL!$L78=TRUE,1,_PL!$L78=FALSE,-1,_PL!$L78=-1,0,"")</f>
        <v>0</v>
      </c>
      <c r="AA78" s="200"/>
      <c r="AB78" s="1134" t="str">
        <f>_PL!AB78</f>
        <v>Gross Profit</v>
      </c>
      <c r="AC78" s="275" t="e" vm="5" cm="1">
        <f t="array" ca="1" aca="1" ref="AC78">_xlfn.LET(_xlpm._termname,$AB78,_xlpm._iconname,"find",_xlpm._icon,fx_getIcon(_xlpm._iconname),_xlpm._location,_xlfn.XLOOKUP(LOWER(_xlpm._termname),LOWER(tbl_acctDef[Term]),tbl_acctDef[Term]),_xlpm._hyperlink,HYPERLINK("#"&amp;CELL("address",_xlpm._location),_xlpm._icon),IFERROR(_xlpm._hyperlink,""))</f>
        <v>#VALUE!</v>
      </c>
      <c r="AD78" s="3179">
        <f t="shared" si="29" ref="AD78:BN78">SUBTOTAL(9,AD76:AD77)</f>
        <v>2</v>
      </c>
      <c r="AE78" s="3179">
        <f t="shared" si="29"/>
        <v>2</v>
      </c>
      <c r="AF78" s="3179">
        <f t="shared" si="29"/>
        <v>2</v>
      </c>
      <c r="AG78" s="3179">
        <f t="shared" si="29"/>
        <v>2</v>
      </c>
      <c r="AH78" s="3179">
        <f t="shared" si="29"/>
        <v>2</v>
      </c>
      <c r="AI78" s="3179">
        <f t="shared" si="29"/>
        <v>2</v>
      </c>
      <c r="AJ78" s="3179">
        <f t="shared" si="29"/>
        <v>2</v>
      </c>
      <c r="AK78" s="3179">
        <f t="shared" si="29"/>
        <v>2</v>
      </c>
      <c r="AL78" s="3179">
        <f t="shared" si="29"/>
        <v>2</v>
      </c>
      <c r="AM78" s="3179">
        <f t="shared" si="29"/>
        <v>2</v>
      </c>
      <c r="AN78" s="3179">
        <f t="shared" si="29"/>
        <v>2</v>
      </c>
      <c r="AO78" s="3179">
        <f t="shared" si="29"/>
        <v>2</v>
      </c>
      <c r="AP78" s="3179">
        <f t="shared" si="29"/>
        <v>2</v>
      </c>
      <c r="AQ78" s="3179">
        <f t="shared" si="29"/>
        <v>2</v>
      </c>
      <c r="AR78" s="3179">
        <f t="shared" si="29"/>
        <v>2</v>
      </c>
      <c r="AS78" s="3179">
        <f t="shared" si="29"/>
        <v>2</v>
      </c>
      <c r="AT78" s="3179">
        <f t="shared" si="29"/>
        <v>2</v>
      </c>
      <c r="AU78" s="3179">
        <f t="shared" si="29"/>
        <v>2</v>
      </c>
      <c r="AV78" s="3179">
        <f t="shared" si="29"/>
        <v>2</v>
      </c>
      <c r="AW78" s="3179">
        <f t="shared" si="29"/>
        <v>2</v>
      </c>
      <c r="AX78" s="3179">
        <f t="shared" si="29"/>
        <v>2</v>
      </c>
      <c r="AY78" s="3179">
        <f t="shared" si="29"/>
        <v>2</v>
      </c>
      <c r="AZ78" s="3179">
        <f t="shared" si="29"/>
        <v>2</v>
      </c>
      <c r="BA78" s="3179">
        <f t="shared" si="29"/>
        <v>2</v>
      </c>
      <c r="BB78" s="3179">
        <f t="shared" si="29"/>
        <v>2</v>
      </c>
      <c r="BC78" s="3179">
        <f t="shared" si="29"/>
        <v>2</v>
      </c>
      <c r="BD78" s="3179">
        <f t="shared" si="29"/>
        <v>2</v>
      </c>
      <c r="BE78" s="3179">
        <f t="shared" si="29"/>
        <v>2</v>
      </c>
      <c r="BF78" s="3179">
        <f t="shared" si="29"/>
        <v>2</v>
      </c>
      <c r="BG78" s="3179">
        <f t="shared" si="29"/>
        <v>2</v>
      </c>
      <c r="BH78" s="3179">
        <f t="shared" si="29"/>
        <v>2</v>
      </c>
      <c r="BI78" s="3179">
        <f t="shared" si="29"/>
        <v>2</v>
      </c>
      <c r="BJ78" s="3179">
        <f t="shared" si="29"/>
        <v>2</v>
      </c>
      <c r="BK78" s="3179">
        <f t="shared" si="29"/>
        <v>2</v>
      </c>
      <c r="BL78" s="3179">
        <f t="shared" si="29"/>
        <v>2</v>
      </c>
      <c r="BM78" s="3179">
        <f t="shared" si="29"/>
        <v>2</v>
      </c>
      <c r="BN78" s="3179">
        <f t="shared" si="29"/>
        <v>2</v>
      </c>
      <c r="BO78" s="2096"/>
      <c r="BP78" s="2096"/>
      <c r="BQ78" s="2096"/>
      <c r="BR78" s="2096"/>
      <c r="BS78" s="2096"/>
      <c r="BT78" s="2096"/>
      <c r="BU78" s="2096"/>
      <c r="BV78" s="2096"/>
      <c r="BW78" s="2096"/>
      <c r="BX78" s="2096"/>
      <c r="BY78" s="2096"/>
      <c r="BZ78" s="2096"/>
      <c r="CA78" s="34"/>
      <c r="CC78" s="33"/>
      <c r="CD78" s="1772" t="e" cm="1">
        <f t="array" ca="1" aca="1" ref="CD78">_xlfn.LET(_xlpm.CheckBlank,SUM(PL!$AD78:$BN78)=0,IF(_xlpm.CheckBlank,"",SUM(_xlfn._xlws.FILTER(PL!$AD78:$BN78,(YEAR(PL!$AD$12:$BN$12)=PL!CD$12)*(array_timeline&lt;=PL!CD$11)))))</f>
        <v>#NAME?</v>
      </c>
      <c r="CE78" s="1772" t="e" cm="1">
        <f t="array" ca="1" aca="1" ref="CE78">_xlfn.LET(_xlpm.CheckBlank,SUM(PL!$AD78:$BN78)=0,IF(_xlpm.CheckBlank,"",SUM(_xlfn._xlws.FILTER(PL!$AD78:$BN78,(YEAR(PL!$AD$12:$BN$12)=PL!CE$12)*(array_timeline&lt;=PL!CE$11)))))</f>
        <v>#NAME?</v>
      </c>
      <c r="CF78" s="88"/>
      <c r="CG78" s="1461" t="e" cm="1">
        <f t="array" ca="1" aca="1" ref="CG78">_xlfn.LET(_xlpm.CheckBlank,SUM(PL!$AD78:$BN78)=0,IF(_xlpm.CheckBlank,"",SUM(_xlfn._xlws.FILTER(PL!$AD78:$BN78,(YEAR(PL!$AD$12:$BN$12)=PL!CG$12)*(array_timeline&lt;=PL!CG$11)))))</f>
        <v>#NAME?</v>
      </c>
      <c r="CH78" s="1461" t="e" cm="1">
        <f t="array" ca="1" aca="1" ref="CH78">_xlfn.LET(_xlpm.CheckBlank,SUM(PL!$AD78:$BN78)=0,IF(_xlpm.CheckBlank,"",SUM(_xlfn._xlws.FILTER(PL!$AD78:$BN78,(YEAR(PL!$AD$12:$BN$12)=PL!CH$12)*(array_timeline&lt;=PL!CH$11)))))</f>
        <v>#NAME?</v>
      </c>
      <c r="CI78" s="88"/>
      <c r="CJ78" s="1461" cm="1">
        <f t="array" ref="CJ78">_xlfn.LET(_xlpm.CheckBlank,SUM(PL!$AD78:$BN78)=0,IF(_xlpm.CheckBlank,"",SUM(_xlfn.TAKE(_xlfn.DROP(PL!$AD78:$BN78,,-DATEDIFF(PL!CJ$11,val_asOfDate,"M")),1,-12))))</f>
        <v>24</v>
      </c>
      <c r="CK78" s="1461" cm="1">
        <f t="array" ref="CK78">_xlfn.LET(_xlpm.CheckBlank,SUM(PL!$AD78:$BN78)=0,IF(_xlpm.CheckBlank,"",SUM(_xlfn.TAKE(_xlfn.DROP(PL!$AD78:$BN78,,-DATEDIFF(PL!CK$11,val_asOfDate,"M")),1,-12))))</f>
        <v>24</v>
      </c>
      <c r="CL78" s="88"/>
      <c r="CM78" s="3180">
        <f t="shared" si="26"/>
        <v>2</v>
      </c>
      <c r="CN78" s="3180">
        <f t="shared" si="23"/>
        <v>2</v>
      </c>
      <c r="CO78" s="1169"/>
      <c r="CP78" s="3180">
        <f t="shared" si="27"/>
        <v>2</v>
      </c>
      <c r="CQ78" s="3180">
        <f t="shared" si="24"/>
        <v>2</v>
      </c>
      <c r="CR78" s="34"/>
      <c r="CS78" s="2056"/>
      <c r="CT78" s="2085" t="e" cm="1">
        <f t="array" ca="1" aca="1" ref="CT78">IF(K78&lt;&gt;"Yes","",IF(OR(Y78="Select,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III"),"",IF(OR(Y78&lt;&gt;AB78,AND(LEN(B78)=0,NOT(OR(Y78="Select,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III")))),_xldudf_CX_PUSH(Y78,CX_ENTITY,C78,EOMONTH(val_asOfDate,0)),"")))</f>
        <v>#NAME?</v>
      </c>
      <c r="CU78" s="2085" t="e" cm="1">
        <f t="array" ca="1" aca="1" ref="CU78">IF(K78&lt;&gt;"Yes","",IF(OR(Y78="Select,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III"),"",IF(OR(Y78&lt;&gt;AB78,AND(LEN(B78)=0,NOT(OR(Y78="Select,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III")))),_xldudf_CX_PUSH(Y78,CX_ENTITY,C78,EOMONTH(val_asOfDate,1)),"")))</f>
        <v>#NAME?</v>
      </c>
      <c r="CV78" s="2085" t="e" cm="1">
        <f t="array" ca="1" aca="1" ref="CV78">IF(K78&lt;&gt;"Yes","",IF(OR(Y78="Select,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III"),"",IF(OR(Y78&lt;&gt;AB78,AND(LEN(B78)=0,NOT(OR(Y78="Select,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III")))),_xldudf_CX_PUSH(Y78,CX_ENTITY,C78,EOMONTH(val_asOfDate,2)),"")))</f>
        <v>#NAME?</v>
      </c>
      <c r="CW78" s="2085" t="e" cm="1">
        <f t="array" ca="1" aca="1" ref="CW78">IF(K78&lt;&gt;"Yes","",IF(OR(Y78="Select,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III"),"",IF(OR(Y78&lt;&gt;AB78,AND(LEN(B78)=0,NOT(OR(Y78="Select,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III")))),_xldudf_CX_PUSH(Y78,CX_ENTITY,C78,EOMONTH(val_asOfDate,3)),"")))</f>
        <v>#NAME?</v>
      </c>
      <c r="CX78" s="2443"/>
      <c r="CY78" s="1880"/>
      <c r="CZ78" s="1880"/>
      <c r="DA78" s="1880"/>
      <c r="DB78" s="1880"/>
      <c r="DC78" s="2121"/>
      <c r="DD78" s="2445" t="str" cm="1">
        <f t="array" ca="1" aca="1" ref="DD78">IFERROR(IF(AD78*fxVal_normal=_PL!AD78,"",IF(OR(AD78="",NOT(ISNUMBER(AD78)),ISERROR(AD78),$B78=""),"",IF($I78=1,IFBLANK(_xldudf_CX_PUSH(AD78*fxVal_normal,CX_ENTITY,$B78,AD$11,AD$14,AD$75,),""),IF($I78=2,IFBLANK(_xldudf_CX_PUSH(AD78,CX_ENTITY,$B78,AD$11,AD$14,AD$75,),""),IF($I78=3,"",IFBLANK(_xldudf_CX_PUSH(AD78,CX_ENTITY,$B78,AD$11,AD$14,AD$75,),"")))))),"")</f>
        <v/>
      </c>
      <c r="DE78" s="2445" t="str" cm="1">
        <f t="array" ca="1" aca="1" ref="DE78">IFERROR(IF(AE78*fxVal_normal=_PL!AE78,"",IF(OR(AE78="",NOT(ISNUMBER(AE78)),ISERROR(AE78),$B78=""),"",IF($I78=1,IFBLANK(_xldudf_CX_PUSH(AE78*fxVal_normal,CX_ENTITY,$B78,AE$11,AE$14,AE$75,),""),IF($I78=2,IFBLANK(_xldudf_CX_PUSH(AE78,CX_ENTITY,$B78,AE$11,AE$14,AE$75,),""),IF($I78=3,"",IFBLANK(_xldudf_CX_PUSH(AE78,CX_ENTITY,$B78,AE$11,AE$14,AE$75,),"")))))),"")</f>
        <v/>
      </c>
      <c r="DF78" s="2445" t="str" cm="1">
        <f t="array" ca="1" aca="1" ref="DF78">IFERROR(IF(AF78*fxVal_normal=_PL!AF78,"",IF(OR(AF78="",NOT(ISNUMBER(AF78)),ISERROR(AF78),$B78=""),"",IF($I78=1,IFBLANK(_xldudf_CX_PUSH(AF78*fxVal_normal,CX_ENTITY,$B78,AF$11,AF$14,AF$75,),""),IF($I78=2,IFBLANK(_xldudf_CX_PUSH(AF78,CX_ENTITY,$B78,AF$11,AF$14,AF$75,),""),IF($I78=3,"",IFBLANK(_xldudf_CX_PUSH(AF78,CX_ENTITY,$B78,AF$11,AF$14,AF$75,),"")))))),"")</f>
        <v/>
      </c>
      <c r="DG78" s="2445" t="str" cm="1">
        <f t="array" ca="1" aca="1" ref="DG78">IFERROR(IF(AG78*fxVal_normal=_PL!AG78,"",IF(OR(AG78="",NOT(ISNUMBER(AG78)),ISERROR(AG78),$B78=""),"",IF($I78=1,IFBLANK(_xldudf_CX_PUSH(AG78*fxVal_normal,CX_ENTITY,$B78,AG$11,AG$14,AG$75,),""),IF($I78=2,IFBLANK(_xldudf_CX_PUSH(AG78,CX_ENTITY,$B78,AG$11,AG$14,AG$75,),""),IF($I78=3,"",IFBLANK(_xldudf_CX_PUSH(AG78,CX_ENTITY,$B78,AG$11,AG$14,AG$75,),"")))))),"")</f>
        <v/>
      </c>
      <c r="DH78" s="2445" t="str" cm="1">
        <f t="array" ca="1" aca="1" ref="DH78">IFERROR(IF(AH78*fxVal_normal=_PL!AH78,"",IF(OR(AH78="",NOT(ISNUMBER(AH78)),ISERROR(AH78),$B78=""),"",IF($I78=1,IFBLANK(_xldudf_CX_PUSH(AH78*fxVal_normal,CX_ENTITY,$B78,AH$11,AH$14,AH$75,),""),IF($I78=2,IFBLANK(_xldudf_CX_PUSH(AH78,CX_ENTITY,$B78,AH$11,AH$14,AH$75,),""),IF($I78=3,"",IFBLANK(_xldudf_CX_PUSH(AH78,CX_ENTITY,$B78,AH$11,AH$14,AH$75,),"")))))),"")</f>
        <v/>
      </c>
      <c r="DI78" s="2445" t="str" cm="1">
        <f t="array" ca="1" aca="1" ref="DI78">IFERROR(IF(AI78*fxVal_normal=_PL!AI78,"",IF(OR(AI78="",NOT(ISNUMBER(AI78)),ISERROR(AI78),$B78=""),"",IF($I78=1,IFBLANK(_xldudf_CX_PUSH(AI78*fxVal_normal,CX_ENTITY,$B78,AI$11,AI$14,AI$75,),""),IF($I78=2,IFBLANK(_xldudf_CX_PUSH(AI78,CX_ENTITY,$B78,AI$11,AI$14,AI$75,),""),IF($I78=3,"",IFBLANK(_xldudf_CX_PUSH(AI78,CX_ENTITY,$B78,AI$11,AI$14,AI$75,),"")))))),"")</f>
        <v/>
      </c>
      <c r="DJ78" s="2445" t="str" cm="1">
        <f t="array" ca="1" aca="1" ref="DJ78">IFERROR(IF(AJ78*fxVal_normal=_PL!AJ78,"",IF(OR(AJ78="",NOT(ISNUMBER(AJ78)),ISERROR(AJ78),$B78=""),"",IF($I78=1,IFBLANK(_xldudf_CX_PUSH(AJ78*fxVal_normal,CX_ENTITY,$B78,AJ$11,AJ$14,AJ$75,),""),IF($I78=2,IFBLANK(_xldudf_CX_PUSH(AJ78,CX_ENTITY,$B78,AJ$11,AJ$14,AJ$75,),""),IF($I78=3,"",IFBLANK(_xldudf_CX_PUSH(AJ78,CX_ENTITY,$B78,AJ$11,AJ$14,AJ$75,),"")))))),"")</f>
        <v/>
      </c>
      <c r="DK78" s="2445" t="str" cm="1">
        <f t="array" ca="1" aca="1" ref="DK78">IFERROR(IF(AK78*fxVal_normal=_PL!AK78,"",IF(OR(AK78="",NOT(ISNUMBER(AK78)),ISERROR(AK78),$B78=""),"",IF($I78=1,IFBLANK(_xldudf_CX_PUSH(AK78*fxVal_normal,CX_ENTITY,$B78,AK$11,AK$14,AK$75,),""),IF($I78=2,IFBLANK(_xldudf_CX_PUSH(AK78,CX_ENTITY,$B78,AK$11,AK$14,AK$75,),""),IF($I78=3,"",IFBLANK(_xldudf_CX_PUSH(AK78,CX_ENTITY,$B78,AK$11,AK$14,AK$75,),"")))))),"")</f>
        <v/>
      </c>
      <c r="DL78" s="2445" t="str" cm="1">
        <f t="array" ca="1" aca="1" ref="DL78">IFERROR(IF(AL78*fxVal_normal=_PL!AL78,"",IF(OR(AL78="",NOT(ISNUMBER(AL78)),ISERROR(AL78),$B78=""),"",IF($I78=1,IFBLANK(_xldudf_CX_PUSH(AL78*fxVal_normal,CX_ENTITY,$B78,AL$11,AL$14,AL$75,),""),IF($I78=2,IFBLANK(_xldudf_CX_PUSH(AL78,CX_ENTITY,$B78,AL$11,AL$14,AL$75,),""),IF($I78=3,"",IFBLANK(_xldudf_CX_PUSH(AL78,CX_ENTITY,$B78,AL$11,AL$14,AL$75,),"")))))),"")</f>
        <v/>
      </c>
      <c r="DM78" s="2445" t="str" cm="1">
        <f t="array" ca="1" aca="1" ref="DM78">IFERROR(IF(AM78*fxVal_normal=_PL!AM78,"",IF(OR(AM78="",NOT(ISNUMBER(AM78)),ISERROR(AM78),$B78=""),"",IF($I78=1,IFBLANK(_xldudf_CX_PUSH(AM78*fxVal_normal,CX_ENTITY,$B78,AM$11,AM$14,AM$75,),""),IF($I78=2,IFBLANK(_xldudf_CX_PUSH(AM78,CX_ENTITY,$B78,AM$11,AM$14,AM$75,),""),IF($I78=3,"",IFBLANK(_xldudf_CX_PUSH(AM78,CX_ENTITY,$B78,AM$11,AM$14,AM$75,),"")))))),"")</f>
        <v/>
      </c>
      <c r="DN78" s="2445" t="str" cm="1">
        <f t="array" ca="1" aca="1" ref="DN78">IFERROR(IF(AN78*fxVal_normal=_PL!AN78,"",IF(OR(AN78="",NOT(ISNUMBER(AN78)),ISERROR(AN78),$B78=""),"",IF($I78=1,IFBLANK(_xldudf_CX_PUSH(AN78*fxVal_normal,CX_ENTITY,$B78,AN$11,AN$14,AN$75,),""),IF($I78=2,IFBLANK(_xldudf_CX_PUSH(AN78,CX_ENTITY,$B78,AN$11,AN$14,AN$75,),""),IF($I78=3,"",IFBLANK(_xldudf_CX_PUSH(AN78,CX_ENTITY,$B78,AN$11,AN$14,AN$75,),"")))))),"")</f>
        <v/>
      </c>
      <c r="DO78" s="2445" t="str" cm="1">
        <f t="array" ca="1" aca="1" ref="DO78">IFERROR(IF(AO78*fxVal_normal=_PL!AO78,"",IF(OR(AO78="",NOT(ISNUMBER(AO78)),ISERROR(AO78),$B78=""),"",IF($I78=1,IFBLANK(_xldudf_CX_PUSH(AO78*fxVal_normal,CX_ENTITY,$B78,AO$11,AO$14,AO$75,),""),IF($I78=2,IFBLANK(_xldudf_CX_PUSH(AO78,CX_ENTITY,$B78,AO$11,AO$14,AO$75,),""),IF($I78=3,"",IFBLANK(_xldudf_CX_PUSH(AO78,CX_ENTITY,$B78,AO$11,AO$14,AO$75,),"")))))),"")</f>
        <v/>
      </c>
      <c r="DP78" s="2445" t="str" cm="1">
        <f t="array" ca="1" aca="1" ref="DP78">IFERROR(IF(AP78*fxVal_normal=_PL!AP78,"",IF(OR(AP78="",NOT(ISNUMBER(AP78)),ISERROR(AP78),$B78=""),"",IF($I78=1,IFBLANK(_xldudf_CX_PUSH(AP78*fxVal_normal,CX_ENTITY,$B78,AP$11,AP$14,AP$75,),""),IF($I78=2,IFBLANK(_xldudf_CX_PUSH(AP78,CX_ENTITY,$B78,AP$11,AP$14,AP$75,),""),IF($I78=3,"",IFBLANK(_xldudf_CX_PUSH(AP78,CX_ENTITY,$B78,AP$11,AP$14,AP$75,),"")))))),"")</f>
        <v/>
      </c>
      <c r="DQ78" s="2445" t="str" cm="1">
        <f t="array" ca="1" aca="1" ref="DQ78">IFERROR(IF(AQ78*fxVal_normal=_PL!AQ78,"",IF(OR(AQ78="",NOT(ISNUMBER(AQ78)),ISERROR(AQ78),$B78=""),"",IF($I78=1,IFBLANK(_xldudf_CX_PUSH(AQ78*fxVal_normal,CX_ENTITY,$B78,AQ$11,AQ$14,AQ$75,),""),IF($I78=2,IFBLANK(_xldudf_CX_PUSH(AQ78,CX_ENTITY,$B78,AQ$11,AQ$14,AQ$75,),""),IF($I78=3,"",IFBLANK(_xldudf_CX_PUSH(AQ78,CX_ENTITY,$B78,AQ$11,AQ$14,AQ$75,),"")))))),"")</f>
        <v/>
      </c>
      <c r="DR78" s="2445" t="str" cm="1">
        <f t="array" ca="1" aca="1" ref="DR78">IFERROR(IF(AR78*fxVal_normal=_PL!AR78,"",IF(OR(AR78="",NOT(ISNUMBER(AR78)),ISERROR(AR78),$B78=""),"",IF($I78=1,IFBLANK(_xldudf_CX_PUSH(AR78*fxVal_normal,CX_ENTITY,$B78,AR$11,AR$14,AR$75,),""),IF($I78=2,IFBLANK(_xldudf_CX_PUSH(AR78,CX_ENTITY,$B78,AR$11,AR$14,AR$75,),""),IF($I78=3,"",IFBLANK(_xldudf_CX_PUSH(AR78,CX_ENTITY,$B78,AR$11,AR$14,AR$75,),"")))))),"")</f>
        <v/>
      </c>
      <c r="DS78" s="2445" t="str" cm="1">
        <f t="array" ca="1" aca="1" ref="DS78">IFERROR(IF(AS78*fxVal_normal=_PL!AS78,"",IF(OR(AS78="",NOT(ISNUMBER(AS78)),ISERROR(AS78),$B78=""),"",IF($I78=1,IFBLANK(_xldudf_CX_PUSH(AS78*fxVal_normal,CX_ENTITY,$B78,AS$11,AS$14,AS$75,),""),IF($I78=2,IFBLANK(_xldudf_CX_PUSH(AS78,CX_ENTITY,$B78,AS$11,AS$14,AS$75,),""),IF($I78=3,"",IFBLANK(_xldudf_CX_PUSH(AS78,CX_ENTITY,$B78,AS$11,AS$14,AS$75,),"")))))),"")</f>
        <v/>
      </c>
      <c r="DT78" s="2445" t="str" cm="1">
        <f t="array" ca="1" aca="1" ref="DT78">IFERROR(IF(AT78*fxVal_normal=_PL!AT78,"",IF(OR(AT78="",NOT(ISNUMBER(AT78)),ISERROR(AT78),$B78=""),"",IF($I78=1,IFBLANK(_xldudf_CX_PUSH(AT78*fxVal_normal,CX_ENTITY,$B78,AT$11,AT$14,AT$75,),""),IF($I78=2,IFBLANK(_xldudf_CX_PUSH(AT78,CX_ENTITY,$B78,AT$11,AT$14,AT$75,),""),IF($I78=3,"",IFBLANK(_xldudf_CX_PUSH(AT78,CX_ENTITY,$B78,AT$11,AT$14,AT$75,),"")))))),"")</f>
        <v/>
      </c>
      <c r="DU78" s="2445" t="str" cm="1">
        <f t="array" ca="1" aca="1" ref="DU78">IFERROR(IF(AU78*fxVal_normal=_PL!AU78,"",IF(OR(AU78="",NOT(ISNUMBER(AU78)),ISERROR(AU78),$B78=""),"",IF($I78=1,IFBLANK(_xldudf_CX_PUSH(AU78*fxVal_normal,CX_ENTITY,$B78,AU$11,AU$14,AU$75,),""),IF($I78=2,IFBLANK(_xldudf_CX_PUSH(AU78,CX_ENTITY,$B78,AU$11,AU$14,AU$75,),""),IF($I78=3,"",IFBLANK(_xldudf_CX_PUSH(AU78,CX_ENTITY,$B78,AU$11,AU$14,AU$75,),"")))))),"")</f>
        <v/>
      </c>
      <c r="DV78" s="2445" t="str" cm="1">
        <f t="array" ca="1" aca="1" ref="DV78">IFERROR(IF(AV78*fxVal_normal=_PL!AV78,"",IF(OR(AV78="",NOT(ISNUMBER(AV78)),ISERROR(AV78),$B78=""),"",IF($I78=1,IFBLANK(_xldudf_CX_PUSH(AV78*fxVal_normal,CX_ENTITY,$B78,AV$11,AV$14,AV$75,),""),IF($I78=2,IFBLANK(_xldudf_CX_PUSH(AV78,CX_ENTITY,$B78,AV$11,AV$14,AV$75,),""),IF($I78=3,"",IFBLANK(_xldudf_CX_PUSH(AV78,CX_ENTITY,$B78,AV$11,AV$14,AV$75,),"")))))),"")</f>
        <v/>
      </c>
      <c r="DW78" s="2445" t="str" cm="1">
        <f t="array" ca="1" aca="1" ref="DW78">IFERROR(IF(AW78*fxVal_normal=_PL!AW78,"",IF(OR(AW78="",NOT(ISNUMBER(AW78)),ISERROR(AW78),$B78=""),"",IF($I78=1,IFBLANK(_xldudf_CX_PUSH(AW78*fxVal_normal,CX_ENTITY,$B78,AW$11,AW$14,AW$75,),""),IF($I78=2,IFBLANK(_xldudf_CX_PUSH(AW78,CX_ENTITY,$B78,AW$11,AW$14,AW$75,),""),IF($I78=3,"",IFBLANK(_xldudf_CX_PUSH(AW78,CX_ENTITY,$B78,AW$11,AW$14,AW$75,),"")))))),"")</f>
        <v/>
      </c>
      <c r="DX78" s="2445" t="str" cm="1">
        <f t="array" ca="1" aca="1" ref="DX78">IFERROR(IF(AX78*fxVal_normal=_PL!AX78,"",IF(OR(AX78="",NOT(ISNUMBER(AX78)),ISERROR(AX78),$B78=""),"",IF($I78=1,IFBLANK(_xldudf_CX_PUSH(AX78*fxVal_normal,CX_ENTITY,$B78,AX$11,AX$14,AX$75,),""),IF($I78=2,IFBLANK(_xldudf_CX_PUSH(AX78,CX_ENTITY,$B78,AX$11,AX$14,AX$75,),""),IF($I78=3,"",IFBLANK(_xldudf_CX_PUSH(AX78,CX_ENTITY,$B78,AX$11,AX$14,AX$75,),"")))))),"")</f>
        <v/>
      </c>
      <c r="DY78" s="2445" t="str" cm="1">
        <f t="array" ca="1" aca="1" ref="DY78">IFERROR(IF(AY78*fxVal_normal=_PL!AY78,"",IF(OR(AY78="",NOT(ISNUMBER(AY78)),ISERROR(AY78),$B78=""),"",IF($I78=1,IFBLANK(_xldudf_CX_PUSH(AY78*fxVal_normal,CX_ENTITY,$B78,AY$11,AY$14,AY$75,),""),IF($I78=2,IFBLANK(_xldudf_CX_PUSH(AY78,CX_ENTITY,$B78,AY$11,AY$14,AY$75,),""),IF($I78=3,"",IFBLANK(_xldudf_CX_PUSH(AY78,CX_ENTITY,$B78,AY$11,AY$14,AY$75,),"")))))),"")</f>
        <v/>
      </c>
      <c r="DZ78" s="2445" t="str" cm="1">
        <f t="array" ca="1" aca="1" ref="DZ78">IFERROR(IF(AZ78*fxVal_normal=_PL!AZ78,"",IF(OR(AZ78="",NOT(ISNUMBER(AZ78)),ISERROR(AZ78),$B78=""),"",IF($I78=1,IFBLANK(_xldudf_CX_PUSH(AZ78*fxVal_normal,CX_ENTITY,$B78,AZ$11,AZ$14,AZ$75,),""),IF($I78=2,IFBLANK(_xldudf_CX_PUSH(AZ78,CX_ENTITY,$B78,AZ$11,AZ$14,AZ$75,),""),IF($I78=3,"",IFBLANK(_xldudf_CX_PUSH(AZ78,CX_ENTITY,$B78,AZ$11,AZ$14,AZ$75,),"")))))),"")</f>
        <v/>
      </c>
      <c r="EA78" s="2445" t="str" cm="1">
        <f t="array" ca="1" aca="1" ref="EA78">IFERROR(IF(BA78*fxVal_normal=_PL!BA78,"",IF(OR(BA78="",NOT(ISNUMBER(BA78)),ISERROR(BA78),$B78=""),"",IF($I78=1,IFBLANK(_xldudf_CX_PUSH(BA78*fxVal_normal,CX_ENTITY,$B78,BA$11,BA$14,BA$75,),""),IF($I78=2,IFBLANK(_xldudf_CX_PUSH(BA78,CX_ENTITY,$B78,BA$11,BA$14,BA$75,),""),IF($I78=3,"",IFBLANK(_xldudf_CX_PUSH(BA78,CX_ENTITY,$B78,BA$11,BA$14,BA$75,),"")))))),"")</f>
        <v/>
      </c>
      <c r="EB78" s="2445" t="str" cm="1">
        <f t="array" ca="1" aca="1" ref="EB78">IFERROR(IF(BB78*fxVal_normal=_PL!BB78,"",IF(OR(BB78="",NOT(ISNUMBER(BB78)),ISERROR(BB78),$B78=""),"",IF($I78=1,IFBLANK(_xldudf_CX_PUSH(BB78*fxVal_normal,CX_ENTITY,$B78,BB$11,BB$14,BB$75,),""),IF($I78=2,IFBLANK(_xldudf_CX_PUSH(BB78,CX_ENTITY,$B78,BB$11,BB$14,BB$75,),""),IF($I78=3,"",IFBLANK(_xldudf_CX_PUSH(BB78,CX_ENTITY,$B78,BB$11,BB$14,BB$75,),"")))))),"")</f>
        <v/>
      </c>
      <c r="EC78" s="2445" t="str" cm="1">
        <f t="array" ca="1" aca="1" ref="EC78">IFERROR(IF(BC78*fxVal_normal=_PL!BC78,"",IF(OR(BC78="",NOT(ISNUMBER(BC78)),ISERROR(BC78),$B78=""),"",IF($I78=1,IFBLANK(_xldudf_CX_PUSH(BC78*fxVal_normal,CX_ENTITY,$B78,BC$11,BC$14,BC$75,),""),IF($I78=2,IFBLANK(_xldudf_CX_PUSH(BC78,CX_ENTITY,$B78,BC$11,BC$14,BC$75,),""),IF($I78=3,"",IFBLANK(_xldudf_CX_PUSH(BC78,CX_ENTITY,$B78,BC$11,BC$14,BC$75,),"")))))),"")</f>
        <v/>
      </c>
      <c r="ED78" s="2445" t="str" cm="1">
        <f t="array" ca="1" aca="1" ref="ED78">IFERROR(IF(BD78*fxVal_normal=_PL!BD78,"",IF(OR(BD78="",NOT(ISNUMBER(BD78)),ISERROR(BD78),$B78=""),"",IF($I78=1,IFBLANK(_xldudf_CX_PUSH(BD78*fxVal_normal,CX_ENTITY,$B78,BD$11,BD$14,BD$75,),""),IF($I78=2,IFBLANK(_xldudf_CX_PUSH(BD78,CX_ENTITY,$B78,BD$11,BD$14,BD$75,),""),IF($I78=3,"",IFBLANK(_xldudf_CX_PUSH(BD78,CX_ENTITY,$B78,BD$11,BD$14,BD$75,),"")))))),"")</f>
        <v/>
      </c>
      <c r="EE78" s="2445" t="str" cm="1">
        <f t="array" ca="1" aca="1" ref="EE78">IFERROR(IF(BE78*fxVal_normal=_PL!BE78,"",IF(OR(BE78="",NOT(ISNUMBER(BE78)),ISERROR(BE78),$B78=""),"",IF($I78=1,IFBLANK(_xldudf_CX_PUSH(BE78*fxVal_normal,CX_ENTITY,$B78,BE$11,BE$14,BE$75,),""),IF($I78=2,IFBLANK(_xldudf_CX_PUSH(BE78,CX_ENTITY,$B78,BE$11,BE$14,BE$75,),""),IF($I78=3,"",IFBLANK(_xldudf_CX_PUSH(BE78,CX_ENTITY,$B78,BE$11,BE$14,BE$75,),"")))))),"")</f>
        <v/>
      </c>
      <c r="EF78" s="2445" t="str" cm="1">
        <f t="array" ca="1" aca="1" ref="EF78">IFERROR(IF(BF78*fxVal_normal=_PL!BF78,"",IF(OR(BF78="",NOT(ISNUMBER(BF78)),ISERROR(BF78),$B78=""),"",IF($I78=1,IFBLANK(_xldudf_CX_PUSH(BF78*fxVal_normal,CX_ENTITY,$B78,BF$11,BF$14,BF$75,),""),IF($I78=2,IFBLANK(_xldudf_CX_PUSH(BF78,CX_ENTITY,$B78,BF$11,BF$14,BF$75,),""),IF($I78=3,"",IFBLANK(_xldudf_CX_PUSH(BF78,CX_ENTITY,$B78,BF$11,BF$14,BF$75,),"")))))),"")</f>
        <v/>
      </c>
      <c r="EG78" s="2445" t="str" cm="1">
        <f t="array" ca="1" aca="1" ref="EG78">IFERROR(IF(BG78*fxVal_normal=_PL!BG78,"",IF(OR(BG78="",NOT(ISNUMBER(BG78)),ISERROR(BG78),$B78=""),"",IF($I78=1,IFBLANK(_xldudf_CX_PUSH(BG78*fxVal_normal,CX_ENTITY,$B78,BG$11,BG$14,BG$75,),""),IF($I78=2,IFBLANK(_xldudf_CX_PUSH(BG78,CX_ENTITY,$B78,BG$11,BG$14,BG$75,),""),IF($I78=3,"",IFBLANK(_xldudf_CX_PUSH(BG78,CX_ENTITY,$B78,BG$11,BG$14,BG$75,),"")))))),"")</f>
        <v/>
      </c>
      <c r="EH78" s="2445" t="str" cm="1">
        <f t="array" ca="1" aca="1" ref="EH78">IFERROR(IF(BH78*fxVal_normal=_PL!BH78,"",IF(OR(BH78="",NOT(ISNUMBER(BH78)),ISERROR(BH78),$B78=""),"",IF($I78=1,IFBLANK(_xldudf_CX_PUSH(BH78*fxVal_normal,CX_ENTITY,$B78,BH$11,BH$14,BH$75,),""),IF($I78=2,IFBLANK(_xldudf_CX_PUSH(BH78,CX_ENTITY,$B78,BH$11,BH$14,BH$75,),""),IF($I78=3,"",IFBLANK(_xldudf_CX_PUSH(BH78,CX_ENTITY,$B78,BH$11,BH$14,BH$75,),"")))))),"")</f>
        <v/>
      </c>
      <c r="EI78" s="2445" t="str" cm="1">
        <f t="array" ca="1" aca="1" ref="EI78">IFERROR(IF(BI78*fxVal_normal=_PL!BI78,"",IF(OR(BI78="",NOT(ISNUMBER(BI78)),ISERROR(BI78),$B78=""),"",IF($I78=1,IFBLANK(_xldudf_CX_PUSH(BI78*fxVal_normal,CX_ENTITY,$B78,BI$11,BI$14,BI$75,),""),IF($I78=2,IFBLANK(_xldudf_CX_PUSH(BI78,CX_ENTITY,$B78,BI$11,BI$14,BI$75,),""),IF($I78=3,"",IFBLANK(_xldudf_CX_PUSH(BI78,CX_ENTITY,$B78,BI$11,BI$14,BI$75,),"")))))),"")</f>
        <v/>
      </c>
      <c r="EJ78" s="2445" t="str" cm="1">
        <f t="array" ca="1" aca="1" ref="EJ78">IFERROR(IF(BJ78*fxVal_normal=_PL!BJ78,"",IF(OR(BJ78="",NOT(ISNUMBER(BJ78)),ISERROR(BJ78),$B78=""),"",IF($I78=1,IFBLANK(_xldudf_CX_PUSH(BJ78*fxVal_normal,CX_ENTITY,$B78,BJ$11,BJ$14,BJ$75,),""),IF($I78=2,IFBLANK(_xldudf_CX_PUSH(BJ78,CX_ENTITY,$B78,BJ$11,BJ$14,BJ$75,),""),IF($I78=3,"",IFBLANK(_xldudf_CX_PUSH(BJ78,CX_ENTITY,$B78,BJ$11,BJ$14,BJ$75,),"")))))),"")</f>
        <v/>
      </c>
      <c r="EK78" s="2445" t="str" cm="1">
        <f t="array" ca="1" aca="1" ref="EK78">IFERROR(IF(BK78*fxVal_normal=_PL!BK78,"",IF(OR(BK78="",NOT(ISNUMBER(BK78)),ISERROR(BK78),$B78=""),"",IF($I78=1,IFBLANK(_xldudf_CX_PUSH(BK78*fxVal_normal,CX_ENTITY,$B78,BK$11,BK$14,BK$75,),""),IF($I78=2,IFBLANK(_xldudf_CX_PUSH(BK78,CX_ENTITY,$B78,BK$11,BK$14,BK$75,),""),IF($I78=3,"",IFBLANK(_xldudf_CX_PUSH(BK78,CX_ENTITY,$B78,BK$11,BK$14,BK$75,),"")))))),"")</f>
        <v/>
      </c>
      <c r="EL78" s="2445" t="str" cm="1">
        <f t="array" ca="1" aca="1" ref="EL78">IFERROR(IF(BL78*fxVal_normal=_PL!BL78,"",IF(OR(BL78="",NOT(ISNUMBER(BL78)),ISERROR(BL78),$B78=""),"",IF($I78=1,IFBLANK(_xldudf_CX_PUSH(BL78*fxVal_normal,CX_ENTITY,$B78,BL$11,BL$14,BL$75,),""),IF($I78=2,IFBLANK(_xldudf_CX_PUSH(BL78,CX_ENTITY,$B78,BL$11,BL$14,BL$75,),""),IF($I78=3,"",IFBLANK(_xldudf_CX_PUSH(BL78,CX_ENTITY,$B78,BL$11,BL$14,BL$75,),"")))))),"")</f>
        <v/>
      </c>
      <c r="EM78" s="2445" t="str" cm="1">
        <f t="array" ca="1" aca="1" ref="EM78">IFERROR(IF(BM78*fxVal_normal=_PL!BM78,"",IF(OR(BM78="",NOT(ISNUMBER(BM78)),ISERROR(BM78),$B78=""),"",IF($I78=1,IFBLANK(_xldudf_CX_PUSH(BM78*fxVal_normal,CX_ENTITY,$B78,BM$11,BM$14,BM$75,),""),IF($I78=2,IFBLANK(_xldudf_CX_PUSH(BM78,CX_ENTITY,$B78,BM$11,BM$14,BM$75,),""),IF($I78=3,"",IFBLANK(_xldudf_CX_PUSH(BM78,CX_ENTITY,$B78,BM$11,BM$14,BM$75,),"")))))),"")</f>
        <v/>
      </c>
      <c r="EN78" s="2445" t="str" cm="1">
        <f t="array" ca="1" aca="1" ref="EN78">IFERROR(IF(BN78*fxVal_normal=_PL!BN78,"",IF(OR(BN78="",NOT(ISNUMBER(BN78)),ISERROR(BN78),$B78=""),"",IF($I78=1,IFBLANK(_xldudf_CX_PUSH(BN78*fxVal_normal,CX_ENTITY,$B78,BN$11,BN$14,BN$75,),""),IF($I78=2,IFBLANK(_xldudf_CX_PUSH(BN78,CX_ENTITY,$B78,BN$11,BN$14,BN$75,),""),IF($I78=3,"",IFBLANK(_xldudf_CX_PUSH(BN78,CX_ENTITY,$B78,BN$11,BN$14,BN$75,),"")))))),"")</f>
        <v/>
      </c>
    </row>
    <row r="79" spans="1:144" ht="21" customHeight="1">
      <c r="A79" s="2502"/>
      <c r="B79" s="2501" t="str">
        <f ca="1">_xlfn.LET(_xlpm.IsNotAttrDynamic,D79="",_xlpm.Attr,_PL!F79,_xlpm.NotInUse,Y79=D79,_xlpm.RESULT,IF(_xlpm.IsNotAttrDynamic,_xlpm.Attr,IF(_xlpm.NotInUse,"",Y79)),IF(_xlpm.RESULT="","",_xlpm.RESULT))</f>
        <v>Gross Margin %</v>
      </c>
      <c r="C79" s="2501" t="str" cm="1">
        <f t="array" ref="C79">IFBLANK(_PL!C79,"")</f>
        <v>Gross Margin % (Company View)</v>
      </c>
      <c r="D79" s="2503"/>
      <c r="E79" s="2440" t="e" cm="1">
        <f t="array" ca="1" aca="1" ref="E7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79:$CQ79,Z79)</f>
        <v>#NAME?</v>
      </c>
      <c r="F79" s="578"/>
      <c r="G79" s="578"/>
      <c r="H79" s="3280">
        <v>2</v>
      </c>
      <c r="I79" s="3280">
        <v>2</v>
      </c>
      <c r="J79" s="401" cm="1">
        <f t="array" ref="J79">IFBLANK(Z79,"")</f>
        <v>0</v>
      </c>
      <c r="K79" s="578" t="str">
        <f t="shared" si="17"/>
        <v>Yes</v>
      </c>
      <c r="L79" s="37"/>
      <c r="N79" s="158"/>
      <c r="O79" s="126"/>
      <c r="P79" s="1246"/>
      <c r="Q79" s="126"/>
      <c r="R79" s="126"/>
      <c r="S79" s="126"/>
      <c r="T79" s="126"/>
      <c r="U79" s="197"/>
      <c r="V79" s="37"/>
      <c r="W79" s="91" t="str">
        <f t="shared" si="28"/>
        <v>Budget</v>
      </c>
      <c r="X79" s="2081">
        <f>_PL!X79</f>
        <v>0</v>
      </c>
      <c r="Y79" s="1134" t="e">
        <f t="shared" ca="1" si="25"/>
        <v>#NAME?</v>
      </c>
      <c r="Z79" s="198" cm="1">
        <f t="array" ref="Z79">_xlfn.SWITCH(TRUE,_PL!$L79=TRUE,1,_PL!$L79=FALSE,-1,_PL!$L79=-1,0,"")</f>
        <v>0</v>
      </c>
      <c r="AA79" s="200"/>
      <c r="AB79" s="301" t="str">
        <f>_PL!AB79</f>
        <v>Gross Margin %</v>
      </c>
      <c r="AC79" s="275" t="str" cm="1">
        <f t="array" ca="1" aca="1" ref="AC79">_xlfn.LET(_xlpm._termname,$AB79,_xlpm._iconname,"find",_xlpm._icon,fx_getIcon(_xlpm._iconname),_xlpm._location,_xlfn.XLOOKUP(LOWER(_xlpm._termname),LOWER(tbl_acctDef[Term]),tbl_acctDef[Term]),_xlpm._hyperlink,HYPERLINK("#"&amp;CELL("address",_xlpm._location),_xlpm._icon),IFERROR(_xlpm._hyperlink,""))</f>
        <v/>
      </c>
      <c r="AD79" s="3178">
        <f t="shared" si="30" ref="AD79:BN79">IF(N(AD76)&lt;&gt;0,N(AD78)/N(AD76),"n/a")</f>
        <v>2</v>
      </c>
      <c r="AE79" s="3179">
        <f t="shared" si="30"/>
        <v>2</v>
      </c>
      <c r="AF79" s="3179">
        <f t="shared" si="30"/>
        <v>2</v>
      </c>
      <c r="AG79" s="3179">
        <f t="shared" si="30"/>
        <v>2</v>
      </c>
      <c r="AH79" s="3179">
        <f t="shared" si="30"/>
        <v>2</v>
      </c>
      <c r="AI79" s="3179">
        <f t="shared" si="30"/>
        <v>2</v>
      </c>
      <c r="AJ79" s="3179">
        <f t="shared" si="30"/>
        <v>2</v>
      </c>
      <c r="AK79" s="3179">
        <f t="shared" si="30"/>
        <v>2</v>
      </c>
      <c r="AL79" s="3179">
        <f t="shared" si="30"/>
        <v>2</v>
      </c>
      <c r="AM79" s="3179">
        <f t="shared" si="30"/>
        <v>2</v>
      </c>
      <c r="AN79" s="3179">
        <f t="shared" si="30"/>
        <v>2</v>
      </c>
      <c r="AO79" s="3179">
        <f t="shared" si="30"/>
        <v>2</v>
      </c>
      <c r="AP79" s="3179">
        <f t="shared" si="30"/>
        <v>2</v>
      </c>
      <c r="AQ79" s="3179">
        <f t="shared" si="30"/>
        <v>2</v>
      </c>
      <c r="AR79" s="3179">
        <f t="shared" si="30"/>
        <v>2</v>
      </c>
      <c r="AS79" s="3179">
        <f t="shared" si="30"/>
        <v>2</v>
      </c>
      <c r="AT79" s="3179">
        <f t="shared" si="30"/>
        <v>2</v>
      </c>
      <c r="AU79" s="3179">
        <f t="shared" si="30"/>
        <v>2</v>
      </c>
      <c r="AV79" s="3179">
        <f t="shared" si="30"/>
        <v>2</v>
      </c>
      <c r="AW79" s="3179">
        <f t="shared" si="30"/>
        <v>2</v>
      </c>
      <c r="AX79" s="3179">
        <f t="shared" si="30"/>
        <v>2</v>
      </c>
      <c r="AY79" s="3179">
        <f t="shared" si="30"/>
        <v>2</v>
      </c>
      <c r="AZ79" s="3179">
        <f t="shared" si="30"/>
        <v>2</v>
      </c>
      <c r="BA79" s="3179">
        <f t="shared" si="30"/>
        <v>2</v>
      </c>
      <c r="BB79" s="3179">
        <f t="shared" si="30"/>
        <v>2</v>
      </c>
      <c r="BC79" s="3179">
        <f t="shared" si="30"/>
        <v>2</v>
      </c>
      <c r="BD79" s="3179">
        <f t="shared" si="30"/>
        <v>2</v>
      </c>
      <c r="BE79" s="3179">
        <f t="shared" si="30"/>
        <v>2</v>
      </c>
      <c r="BF79" s="3179">
        <f t="shared" si="30"/>
        <v>2</v>
      </c>
      <c r="BG79" s="3179">
        <f t="shared" si="30"/>
        <v>2</v>
      </c>
      <c r="BH79" s="3179">
        <f t="shared" si="30"/>
        <v>2</v>
      </c>
      <c r="BI79" s="3179">
        <f t="shared" si="30"/>
        <v>2</v>
      </c>
      <c r="BJ79" s="3179">
        <f t="shared" si="30"/>
        <v>2</v>
      </c>
      <c r="BK79" s="3179">
        <f t="shared" si="30"/>
        <v>2</v>
      </c>
      <c r="BL79" s="3179">
        <f t="shared" si="30"/>
        <v>2</v>
      </c>
      <c r="BM79" s="3179">
        <f t="shared" si="30"/>
        <v>2</v>
      </c>
      <c r="BN79" s="3179">
        <f t="shared" si="30"/>
        <v>2</v>
      </c>
      <c r="BO79" s="2096"/>
      <c r="BP79" s="2096"/>
      <c r="BQ79" s="2096"/>
      <c r="BR79" s="2096"/>
      <c r="BS79" s="2096"/>
      <c r="BT79" s="2096"/>
      <c r="BU79" s="2096"/>
      <c r="BV79" s="2096"/>
      <c r="BW79" s="2096"/>
      <c r="BX79" s="2096"/>
      <c r="BY79" s="2096"/>
      <c r="BZ79" s="2096"/>
      <c r="CA79" s="200"/>
      <c r="CB79" s="37"/>
      <c r="CC79" s="198"/>
      <c r="CD79" s="1210" t="e">
        <f ca="1">IF(N(CD76)&lt;&gt;0,N(CD78)/N(CD76),"n/a")</f>
        <v>#NAME?</v>
      </c>
      <c r="CE79" s="1210" t="e">
        <f ca="1">IF(N(CE76)&lt;&gt;0,N(CE78)/N(CE76),"n/a")</f>
        <v>#NAME?</v>
      </c>
      <c r="CF79" s="88"/>
      <c r="CG79" s="1210" t="e">
        <f ca="1">IF(N(CG76)&lt;&gt;0,N(CG78)/N(CG76),"n/a")</f>
        <v>#NAME?</v>
      </c>
      <c r="CH79" s="1210" t="e">
        <f ca="1">IF(N(CH76)&lt;&gt;0,N(CH78)/N(CH76),"n/a")</f>
        <v>#NAME?</v>
      </c>
      <c r="CI79" s="128"/>
      <c r="CJ79" s="3181">
        <f>IF(N(CJ76)&lt;&gt;0,N(CJ78)/N(CJ76),"n/a")</f>
        <v>2</v>
      </c>
      <c r="CK79" s="3179">
        <f>IF(N(CK76)&lt;&gt;0,N(CK78)/N(CK76),"n/a")</f>
        <v>2</v>
      </c>
      <c r="CL79" s="128"/>
      <c r="CM79" s="3180">
        <f t="shared" si="26"/>
        <v>2</v>
      </c>
      <c r="CN79" s="3180">
        <f t="shared" si="23"/>
        <v>2</v>
      </c>
      <c r="CO79" s="1169"/>
      <c r="CP79" s="3180">
        <f t="shared" si="27"/>
        <v>2</v>
      </c>
      <c r="CQ79" s="3180">
        <f t="shared" si="24"/>
        <v>2</v>
      </c>
      <c r="CR79" s="200"/>
      <c r="CS79" s="2056"/>
      <c r="CT79" s="2085" t="e" cm="1">
        <f t="array" ca="1" aca="1" ref="CT79">IF(K79&lt;&gt;"Yes","",IF(OR(Y79="Select,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III"),"",IF(OR(Y79&lt;&gt;AB79,AND(LEN(B79)=0,NOT(OR(Y79="Select,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III")))),_xldudf_CX_PUSH(Y79,CX_ENTITY,C79,EOMONTH(val_asOfDate,0)),"")))</f>
        <v>#NAME?</v>
      </c>
      <c r="CU79" s="2085" t="e" cm="1">
        <f t="array" ca="1" aca="1" ref="CU79">IF(K79&lt;&gt;"Yes","",IF(OR(Y79="Select,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III"),"",IF(OR(Y79&lt;&gt;AB79,AND(LEN(B79)=0,NOT(OR(Y79="Select,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III")))),_xldudf_CX_PUSH(Y79,CX_ENTITY,C79,EOMONTH(val_asOfDate,1)),"")))</f>
        <v>#NAME?</v>
      </c>
      <c r="CV79" s="2085" t="e" cm="1">
        <f t="array" ca="1" aca="1" ref="CV79">IF(K79&lt;&gt;"Yes","",IF(OR(Y79="Select,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III"),"",IF(OR(Y79&lt;&gt;AB79,AND(LEN(B79)=0,NOT(OR(Y79="Select,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III")))),_xldudf_CX_PUSH(Y79,CX_ENTITY,C79,EOMONTH(val_asOfDate,2)),"")))</f>
        <v>#NAME?</v>
      </c>
      <c r="CW79" s="2085" t="e" cm="1">
        <f t="array" ca="1" aca="1" ref="CW79">IF(K79&lt;&gt;"Yes","",IF(OR(Y79="Select,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III"),"",IF(OR(Y79&lt;&gt;AB79,AND(LEN(B79)=0,NOT(OR(Y79="Select,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III")))),_xldudf_CX_PUSH(Y79,CX_ENTITY,C79,EOMONTH(val_asOfDate,3)),"")))</f>
        <v>#NAME?</v>
      </c>
      <c r="CX79" s="2443"/>
      <c r="CY79" s="1880"/>
      <c r="CZ79" s="1880"/>
      <c r="DA79" s="1880"/>
      <c r="DB79" s="1880"/>
      <c r="DC79" s="2121"/>
      <c r="DD79" s="2505" t="str" cm="1">
        <f t="array" ca="1" aca="1" ref="DD79">IFERROR(IF(AD79=_PL!AD79,"",IF(OR(AD79="",NOT(ISNUMBER(AD79)),ISERROR(AD79),$B79=""),"",IF($I79=1,IFBLANK(_xldudf_CX_PUSH(AD79*fxVal_normal,CX_ENTITY,$B79,AD$11,AD$14,AD$75,),""),IF($I79=2,IFBLANK(_xldudf_CX_PUSH(AD79,CX_ENTITY,$B79,AD$11,AD$14,AD$75,),""),IF($I79=3,"",IFBLANK(_xldudf_CX_PUSH(AD79,CX_ENTITY,$B79,AD$11,AD$14,AD$75,),"")))))),"")</f>
        <v/>
      </c>
      <c r="DE79" s="2505" t="str" cm="1">
        <f t="array" ca="1" aca="1" ref="DE79">IFERROR(IF(AE79=_PL!AE79,"",IF(OR(AE79="",NOT(ISNUMBER(AE79)),ISERROR(AE79),$B79=""),"",IF($I79=1,IFBLANK(_xldudf_CX_PUSH(AE79*fxVal_normal,CX_ENTITY,$B79,AE$11,AE$14,AE$75,),""),IF($I79=2,IFBLANK(_xldudf_CX_PUSH(AE79,CX_ENTITY,$B79,AE$11,AE$14,AE$75,),""),IF($I79=3,"",IFBLANK(_xldudf_CX_PUSH(AE79,CX_ENTITY,$B79,AE$11,AE$14,AE$75,),"")))))),"")</f>
        <v/>
      </c>
      <c r="DF79" s="2505" t="str" cm="1">
        <f t="array" ca="1" aca="1" ref="DF79">IFERROR(IF(AF79=_PL!AF79,"",IF(OR(AF79="",NOT(ISNUMBER(AF79)),ISERROR(AF79),$B79=""),"",IF($I79=1,IFBLANK(_xldudf_CX_PUSH(AF79*fxVal_normal,CX_ENTITY,$B79,AF$11,AF$14,AF$75,),""),IF($I79=2,IFBLANK(_xldudf_CX_PUSH(AF79,CX_ENTITY,$B79,AF$11,AF$14,AF$75,),""),IF($I79=3,"",IFBLANK(_xldudf_CX_PUSH(AF79,CX_ENTITY,$B79,AF$11,AF$14,AF$75,),"")))))),"")</f>
        <v/>
      </c>
      <c r="DG79" s="2505" t="str" cm="1">
        <f t="array" ca="1" aca="1" ref="DG79">IFERROR(IF(AG79=_PL!AG79,"",IF(OR(AG79="",NOT(ISNUMBER(AG79)),ISERROR(AG79),$B79=""),"",IF($I79=1,IFBLANK(_xldudf_CX_PUSH(AG79*fxVal_normal,CX_ENTITY,$B79,AG$11,AG$14,AG$75,),""),IF($I79=2,IFBLANK(_xldudf_CX_PUSH(AG79,CX_ENTITY,$B79,AG$11,AG$14,AG$75,),""),IF($I79=3,"",IFBLANK(_xldudf_CX_PUSH(AG79,CX_ENTITY,$B79,AG$11,AG$14,AG$75,),"")))))),"")</f>
        <v/>
      </c>
      <c r="DH79" s="2505" t="str" cm="1">
        <f t="array" ca="1" aca="1" ref="DH79">IFERROR(IF(AH79=_PL!AH79,"",IF(OR(AH79="",NOT(ISNUMBER(AH79)),ISERROR(AH79),$B79=""),"",IF($I79=1,IFBLANK(_xldudf_CX_PUSH(AH79*fxVal_normal,CX_ENTITY,$B79,AH$11,AH$14,AH$75,),""),IF($I79=2,IFBLANK(_xldudf_CX_PUSH(AH79,CX_ENTITY,$B79,AH$11,AH$14,AH$75,),""),IF($I79=3,"",IFBLANK(_xldudf_CX_PUSH(AH79,CX_ENTITY,$B79,AH$11,AH$14,AH$75,),"")))))),"")</f>
        <v/>
      </c>
      <c r="DI79" s="2505" t="str" cm="1">
        <f t="array" ca="1" aca="1" ref="DI79">IFERROR(IF(AI79=_PL!AI79,"",IF(OR(AI79="",NOT(ISNUMBER(AI79)),ISERROR(AI79),$B79=""),"",IF($I79=1,IFBLANK(_xldudf_CX_PUSH(AI79*fxVal_normal,CX_ENTITY,$B79,AI$11,AI$14,AI$75,),""),IF($I79=2,IFBLANK(_xldudf_CX_PUSH(AI79,CX_ENTITY,$B79,AI$11,AI$14,AI$75,),""),IF($I79=3,"",IFBLANK(_xldudf_CX_PUSH(AI79,CX_ENTITY,$B79,AI$11,AI$14,AI$75,),"")))))),"")</f>
        <v/>
      </c>
      <c r="DJ79" s="2505" t="str" cm="1">
        <f t="array" ca="1" aca="1" ref="DJ79">IFERROR(IF(AJ79=_PL!AJ79,"",IF(OR(AJ79="",NOT(ISNUMBER(AJ79)),ISERROR(AJ79),$B79=""),"",IF($I79=1,IFBLANK(_xldudf_CX_PUSH(AJ79*fxVal_normal,CX_ENTITY,$B79,AJ$11,AJ$14,AJ$75,),""),IF($I79=2,IFBLANK(_xldudf_CX_PUSH(AJ79,CX_ENTITY,$B79,AJ$11,AJ$14,AJ$75,),""),IF($I79=3,"",IFBLANK(_xldudf_CX_PUSH(AJ79,CX_ENTITY,$B79,AJ$11,AJ$14,AJ$75,),"")))))),"")</f>
        <v/>
      </c>
      <c r="DK79" s="2505" t="str" cm="1">
        <f t="array" ca="1" aca="1" ref="DK79">IFERROR(IF(AK79=_PL!AK79,"",IF(OR(AK79="",NOT(ISNUMBER(AK79)),ISERROR(AK79),$B79=""),"",IF($I79=1,IFBLANK(_xldudf_CX_PUSH(AK79*fxVal_normal,CX_ENTITY,$B79,AK$11,AK$14,AK$75,),""),IF($I79=2,IFBLANK(_xldudf_CX_PUSH(AK79,CX_ENTITY,$B79,AK$11,AK$14,AK$75,),""),IF($I79=3,"",IFBLANK(_xldudf_CX_PUSH(AK79,CX_ENTITY,$B79,AK$11,AK$14,AK$75,),"")))))),"")</f>
        <v/>
      </c>
      <c r="DL79" s="2505" t="str" cm="1">
        <f t="array" ca="1" aca="1" ref="DL79">IFERROR(IF(AL79=_PL!AL79,"",IF(OR(AL79="",NOT(ISNUMBER(AL79)),ISERROR(AL79),$B79=""),"",IF($I79=1,IFBLANK(_xldudf_CX_PUSH(AL79*fxVal_normal,CX_ENTITY,$B79,AL$11,AL$14,AL$75,),""),IF($I79=2,IFBLANK(_xldudf_CX_PUSH(AL79,CX_ENTITY,$B79,AL$11,AL$14,AL$75,),""),IF($I79=3,"",IFBLANK(_xldudf_CX_PUSH(AL79,CX_ENTITY,$B79,AL$11,AL$14,AL$75,),"")))))),"")</f>
        <v/>
      </c>
      <c r="DM79" s="2505" t="str" cm="1">
        <f t="array" ca="1" aca="1" ref="DM79">IFERROR(IF(AM79=_PL!AM79,"",IF(OR(AM79="",NOT(ISNUMBER(AM79)),ISERROR(AM79),$B79=""),"",IF($I79=1,IFBLANK(_xldudf_CX_PUSH(AM79*fxVal_normal,CX_ENTITY,$B79,AM$11,AM$14,AM$75,),""),IF($I79=2,IFBLANK(_xldudf_CX_PUSH(AM79,CX_ENTITY,$B79,AM$11,AM$14,AM$75,),""),IF($I79=3,"",IFBLANK(_xldudf_CX_PUSH(AM79,CX_ENTITY,$B79,AM$11,AM$14,AM$75,),"")))))),"")</f>
        <v/>
      </c>
      <c r="DN79" s="2505" t="str" cm="1">
        <f t="array" ca="1" aca="1" ref="DN79">IFERROR(IF(AN79=_PL!AN79,"",IF(OR(AN79="",NOT(ISNUMBER(AN79)),ISERROR(AN79),$B79=""),"",IF($I79=1,IFBLANK(_xldudf_CX_PUSH(AN79*fxVal_normal,CX_ENTITY,$B79,AN$11,AN$14,AN$75,),""),IF($I79=2,IFBLANK(_xldudf_CX_PUSH(AN79,CX_ENTITY,$B79,AN$11,AN$14,AN$75,),""),IF($I79=3,"",IFBLANK(_xldudf_CX_PUSH(AN79,CX_ENTITY,$B79,AN$11,AN$14,AN$75,),"")))))),"")</f>
        <v/>
      </c>
      <c r="DO79" s="2505" t="str" cm="1">
        <f t="array" ca="1" aca="1" ref="DO79">IFERROR(IF(AO79=_PL!AO79,"",IF(OR(AO79="",NOT(ISNUMBER(AO79)),ISERROR(AO79),$B79=""),"",IF($I79=1,IFBLANK(_xldudf_CX_PUSH(AO79*fxVal_normal,CX_ENTITY,$B79,AO$11,AO$14,AO$75,),""),IF($I79=2,IFBLANK(_xldudf_CX_PUSH(AO79,CX_ENTITY,$B79,AO$11,AO$14,AO$75,),""),IF($I79=3,"",IFBLANK(_xldudf_CX_PUSH(AO79,CX_ENTITY,$B79,AO$11,AO$14,AO$75,),"")))))),"")</f>
        <v/>
      </c>
      <c r="DP79" s="2505" t="str" cm="1">
        <f t="array" ca="1" aca="1" ref="DP79">IFERROR(IF(AP79=_PL!AP79,"",IF(OR(AP79="",NOT(ISNUMBER(AP79)),ISERROR(AP79),$B79=""),"",IF($I79=1,IFBLANK(_xldudf_CX_PUSH(AP79*fxVal_normal,CX_ENTITY,$B79,AP$11,AP$14,AP$75,),""),IF($I79=2,IFBLANK(_xldudf_CX_PUSH(AP79,CX_ENTITY,$B79,AP$11,AP$14,AP$75,),""),IF($I79=3,"",IFBLANK(_xldudf_CX_PUSH(AP79,CX_ENTITY,$B79,AP$11,AP$14,AP$75,),"")))))),"")</f>
        <v/>
      </c>
      <c r="DQ79" s="2505" t="str" cm="1">
        <f t="array" ca="1" aca="1" ref="DQ79">IFERROR(IF(AQ79=_PL!AQ79,"",IF(OR(AQ79="",NOT(ISNUMBER(AQ79)),ISERROR(AQ79),$B79=""),"",IF($I79=1,IFBLANK(_xldudf_CX_PUSH(AQ79*fxVal_normal,CX_ENTITY,$B79,AQ$11,AQ$14,AQ$75,),""),IF($I79=2,IFBLANK(_xldudf_CX_PUSH(AQ79,CX_ENTITY,$B79,AQ$11,AQ$14,AQ$75,),""),IF($I79=3,"",IFBLANK(_xldudf_CX_PUSH(AQ79,CX_ENTITY,$B79,AQ$11,AQ$14,AQ$75,),"")))))),"")</f>
        <v/>
      </c>
      <c r="DR79" s="2505" t="str" cm="1">
        <f t="array" ca="1" aca="1" ref="DR79">IFERROR(IF(AR79=_PL!AR79,"",IF(OR(AR79="",NOT(ISNUMBER(AR79)),ISERROR(AR79),$B79=""),"",IF($I79=1,IFBLANK(_xldudf_CX_PUSH(AR79*fxVal_normal,CX_ENTITY,$B79,AR$11,AR$14,AR$75,),""),IF($I79=2,IFBLANK(_xldudf_CX_PUSH(AR79,CX_ENTITY,$B79,AR$11,AR$14,AR$75,),""),IF($I79=3,"",IFBLANK(_xldudf_CX_PUSH(AR79,CX_ENTITY,$B79,AR$11,AR$14,AR$75,),"")))))),"")</f>
        <v/>
      </c>
      <c r="DS79" s="2505" t="str" cm="1">
        <f t="array" ca="1" aca="1" ref="DS79">IFERROR(IF(AS79=_PL!AS79,"",IF(OR(AS79="",NOT(ISNUMBER(AS79)),ISERROR(AS79),$B79=""),"",IF($I79=1,IFBLANK(_xldudf_CX_PUSH(AS79*fxVal_normal,CX_ENTITY,$B79,AS$11,AS$14,AS$75,),""),IF($I79=2,IFBLANK(_xldudf_CX_PUSH(AS79,CX_ENTITY,$B79,AS$11,AS$14,AS$75,),""),IF($I79=3,"",IFBLANK(_xldudf_CX_PUSH(AS79,CX_ENTITY,$B79,AS$11,AS$14,AS$75,),"")))))),"")</f>
        <v/>
      </c>
      <c r="DT79" s="2505" t="str" cm="1">
        <f t="array" ca="1" aca="1" ref="DT79">IFERROR(IF(AT79=_PL!AT79,"",IF(OR(AT79="",NOT(ISNUMBER(AT79)),ISERROR(AT79),$B79=""),"",IF($I79=1,IFBLANK(_xldudf_CX_PUSH(AT79*fxVal_normal,CX_ENTITY,$B79,AT$11,AT$14,AT$75,),""),IF($I79=2,IFBLANK(_xldudf_CX_PUSH(AT79,CX_ENTITY,$B79,AT$11,AT$14,AT$75,),""),IF($I79=3,"",IFBLANK(_xldudf_CX_PUSH(AT79,CX_ENTITY,$B79,AT$11,AT$14,AT$75,),"")))))),"")</f>
        <v/>
      </c>
      <c r="DU79" s="2505" t="str" cm="1">
        <f t="array" ca="1" aca="1" ref="DU79">IFERROR(IF(AU79=_PL!AU79,"",IF(OR(AU79="",NOT(ISNUMBER(AU79)),ISERROR(AU79),$B79=""),"",IF($I79=1,IFBLANK(_xldudf_CX_PUSH(AU79*fxVal_normal,CX_ENTITY,$B79,AU$11,AU$14,AU$75,),""),IF($I79=2,IFBLANK(_xldudf_CX_PUSH(AU79,CX_ENTITY,$B79,AU$11,AU$14,AU$75,),""),IF($I79=3,"",IFBLANK(_xldudf_CX_PUSH(AU79,CX_ENTITY,$B79,AU$11,AU$14,AU$75,),"")))))),"")</f>
        <v/>
      </c>
      <c r="DV79" s="2505" t="str" cm="1">
        <f t="array" ca="1" aca="1" ref="DV79">IFERROR(IF(AV79=_PL!AV79,"",IF(OR(AV79="",NOT(ISNUMBER(AV79)),ISERROR(AV79),$B79=""),"",IF($I79=1,IFBLANK(_xldudf_CX_PUSH(AV79*fxVal_normal,CX_ENTITY,$B79,AV$11,AV$14,AV$75,),""),IF($I79=2,IFBLANK(_xldudf_CX_PUSH(AV79,CX_ENTITY,$B79,AV$11,AV$14,AV$75,),""),IF($I79=3,"",IFBLANK(_xldudf_CX_PUSH(AV79,CX_ENTITY,$B79,AV$11,AV$14,AV$75,),"")))))),"")</f>
        <v/>
      </c>
      <c r="DW79" s="2505" t="str" cm="1">
        <f t="array" ca="1" aca="1" ref="DW79">IFERROR(IF(AW79=_PL!AW79,"",IF(OR(AW79="",NOT(ISNUMBER(AW79)),ISERROR(AW79),$B79=""),"",IF($I79=1,IFBLANK(_xldudf_CX_PUSH(AW79*fxVal_normal,CX_ENTITY,$B79,AW$11,AW$14,AW$75,),""),IF($I79=2,IFBLANK(_xldudf_CX_PUSH(AW79,CX_ENTITY,$B79,AW$11,AW$14,AW$75,),""),IF($I79=3,"",IFBLANK(_xldudf_CX_PUSH(AW79,CX_ENTITY,$B79,AW$11,AW$14,AW$75,),"")))))),"")</f>
        <v/>
      </c>
      <c r="DX79" s="2505" t="str" cm="1">
        <f t="array" ca="1" aca="1" ref="DX79">IFERROR(IF(AX79=_PL!AX79,"",IF(OR(AX79="",NOT(ISNUMBER(AX79)),ISERROR(AX79),$B79=""),"",IF($I79=1,IFBLANK(_xldudf_CX_PUSH(AX79*fxVal_normal,CX_ENTITY,$B79,AX$11,AX$14,AX$75,),""),IF($I79=2,IFBLANK(_xldudf_CX_PUSH(AX79,CX_ENTITY,$B79,AX$11,AX$14,AX$75,),""),IF($I79=3,"",IFBLANK(_xldudf_CX_PUSH(AX79,CX_ENTITY,$B79,AX$11,AX$14,AX$75,),"")))))),"")</f>
        <v/>
      </c>
      <c r="DY79" s="2505" t="str" cm="1">
        <f t="array" ca="1" aca="1" ref="DY79">IFERROR(IF(AY79=_PL!AY79,"",IF(OR(AY79="",NOT(ISNUMBER(AY79)),ISERROR(AY79),$B79=""),"",IF($I79=1,IFBLANK(_xldudf_CX_PUSH(AY79*fxVal_normal,CX_ENTITY,$B79,AY$11,AY$14,AY$75,),""),IF($I79=2,IFBLANK(_xldudf_CX_PUSH(AY79,CX_ENTITY,$B79,AY$11,AY$14,AY$75,),""),IF($I79=3,"",IFBLANK(_xldudf_CX_PUSH(AY79,CX_ENTITY,$B79,AY$11,AY$14,AY$75,),"")))))),"")</f>
        <v/>
      </c>
      <c r="DZ79" s="2505" t="str" cm="1">
        <f t="array" ca="1" aca="1" ref="DZ79">IFERROR(IF(AZ79=_PL!AZ79,"",IF(OR(AZ79="",NOT(ISNUMBER(AZ79)),ISERROR(AZ79),$B79=""),"",IF($I79=1,IFBLANK(_xldudf_CX_PUSH(AZ79*fxVal_normal,CX_ENTITY,$B79,AZ$11,AZ$14,AZ$75,),""),IF($I79=2,IFBLANK(_xldudf_CX_PUSH(AZ79,CX_ENTITY,$B79,AZ$11,AZ$14,AZ$75,),""),IF($I79=3,"",IFBLANK(_xldudf_CX_PUSH(AZ79,CX_ENTITY,$B79,AZ$11,AZ$14,AZ$75,),"")))))),"")</f>
        <v/>
      </c>
      <c r="EA79" s="2505" t="str" cm="1">
        <f t="array" ca="1" aca="1" ref="EA79">IFERROR(IF(BA79=_PL!BA79,"",IF(OR(BA79="",NOT(ISNUMBER(BA79)),ISERROR(BA79),$B79=""),"",IF($I79=1,IFBLANK(_xldudf_CX_PUSH(BA79*fxVal_normal,CX_ENTITY,$B79,BA$11,BA$14,BA$75,),""),IF($I79=2,IFBLANK(_xldudf_CX_PUSH(BA79,CX_ENTITY,$B79,BA$11,BA$14,BA$75,),""),IF($I79=3,"",IFBLANK(_xldudf_CX_PUSH(BA79,CX_ENTITY,$B79,BA$11,BA$14,BA$75,),"")))))),"")</f>
        <v/>
      </c>
      <c r="EB79" s="2505" t="str" cm="1">
        <f t="array" ca="1" aca="1" ref="EB79">IFERROR(IF(BB79=_PL!BB79,"",IF(OR(BB79="",NOT(ISNUMBER(BB79)),ISERROR(BB79),$B79=""),"",IF($I79=1,IFBLANK(_xldudf_CX_PUSH(BB79*fxVal_normal,CX_ENTITY,$B79,BB$11,BB$14,BB$75,),""),IF($I79=2,IFBLANK(_xldudf_CX_PUSH(BB79,CX_ENTITY,$B79,BB$11,BB$14,BB$75,),""),IF($I79=3,"",IFBLANK(_xldudf_CX_PUSH(BB79,CX_ENTITY,$B79,BB$11,BB$14,BB$75,),"")))))),"")</f>
        <v/>
      </c>
      <c r="EC79" s="2505" t="str" cm="1">
        <f t="array" ca="1" aca="1" ref="EC79">IFERROR(IF(BC79=_PL!BC79,"",IF(OR(BC79="",NOT(ISNUMBER(BC79)),ISERROR(BC79),$B79=""),"",IF($I79=1,IFBLANK(_xldudf_CX_PUSH(BC79*fxVal_normal,CX_ENTITY,$B79,BC$11,BC$14,BC$75,),""),IF($I79=2,IFBLANK(_xldudf_CX_PUSH(BC79,CX_ENTITY,$B79,BC$11,BC$14,BC$75,),""),IF($I79=3,"",IFBLANK(_xldudf_CX_PUSH(BC79,CX_ENTITY,$B79,BC$11,BC$14,BC$75,),"")))))),"")</f>
        <v/>
      </c>
      <c r="ED79" s="2505" t="str" cm="1">
        <f t="array" ca="1" aca="1" ref="ED79">IFERROR(IF(BD79=_PL!BD79,"",IF(OR(BD79="",NOT(ISNUMBER(BD79)),ISERROR(BD79),$B79=""),"",IF($I79=1,IFBLANK(_xldudf_CX_PUSH(BD79*fxVal_normal,CX_ENTITY,$B79,BD$11,BD$14,BD$75,),""),IF($I79=2,IFBLANK(_xldudf_CX_PUSH(BD79,CX_ENTITY,$B79,BD$11,BD$14,BD$75,),""),IF($I79=3,"",IFBLANK(_xldudf_CX_PUSH(BD79,CX_ENTITY,$B79,BD$11,BD$14,BD$75,),"")))))),"")</f>
        <v/>
      </c>
      <c r="EE79" s="2505" t="str" cm="1">
        <f t="array" ca="1" aca="1" ref="EE79">IFERROR(IF(BE79=_PL!BE79,"",IF(OR(BE79="",NOT(ISNUMBER(BE79)),ISERROR(BE79),$B79=""),"",IF($I79=1,IFBLANK(_xldudf_CX_PUSH(BE79*fxVal_normal,CX_ENTITY,$B79,BE$11,BE$14,BE$75,),""),IF($I79=2,IFBLANK(_xldudf_CX_PUSH(BE79,CX_ENTITY,$B79,BE$11,BE$14,BE$75,),""),IF($I79=3,"",IFBLANK(_xldudf_CX_PUSH(BE79,CX_ENTITY,$B79,BE$11,BE$14,BE$75,),"")))))),"")</f>
        <v/>
      </c>
      <c r="EF79" s="2505" t="str" cm="1">
        <f t="array" ca="1" aca="1" ref="EF79">IFERROR(IF(BF79=_PL!BF79,"",IF(OR(BF79="",NOT(ISNUMBER(BF79)),ISERROR(BF79),$B79=""),"",IF($I79=1,IFBLANK(_xldudf_CX_PUSH(BF79*fxVal_normal,CX_ENTITY,$B79,BF$11,BF$14,BF$75,),""),IF($I79=2,IFBLANK(_xldudf_CX_PUSH(BF79,CX_ENTITY,$B79,BF$11,BF$14,BF$75,),""),IF($I79=3,"",IFBLANK(_xldudf_CX_PUSH(BF79,CX_ENTITY,$B79,BF$11,BF$14,BF$75,),"")))))),"")</f>
        <v/>
      </c>
      <c r="EG79" s="2505" t="str" cm="1">
        <f t="array" ca="1" aca="1" ref="EG79">IFERROR(IF(BG79=_PL!BG79,"",IF(OR(BG79="",NOT(ISNUMBER(BG79)),ISERROR(BG79),$B79=""),"",IF($I79=1,IFBLANK(_xldudf_CX_PUSH(BG79*fxVal_normal,CX_ENTITY,$B79,BG$11,BG$14,BG$75,),""),IF($I79=2,IFBLANK(_xldudf_CX_PUSH(BG79,CX_ENTITY,$B79,BG$11,BG$14,BG$75,),""),IF($I79=3,"",IFBLANK(_xldudf_CX_PUSH(BG79,CX_ENTITY,$B79,BG$11,BG$14,BG$75,),"")))))),"")</f>
        <v/>
      </c>
      <c r="EH79" s="2505" t="str" cm="1">
        <f t="array" ca="1" aca="1" ref="EH79">IFERROR(IF(BH79=_PL!BH79,"",IF(OR(BH79="",NOT(ISNUMBER(BH79)),ISERROR(BH79),$B79=""),"",IF($I79=1,IFBLANK(_xldudf_CX_PUSH(BH79*fxVal_normal,CX_ENTITY,$B79,BH$11,BH$14,BH$75,),""),IF($I79=2,IFBLANK(_xldudf_CX_PUSH(BH79,CX_ENTITY,$B79,BH$11,BH$14,BH$75,),""),IF($I79=3,"",IFBLANK(_xldudf_CX_PUSH(BH79,CX_ENTITY,$B79,BH$11,BH$14,BH$75,),"")))))),"")</f>
        <v/>
      </c>
      <c r="EI79" s="2505" t="str" cm="1">
        <f t="array" ca="1" aca="1" ref="EI79">IFERROR(IF(BI79=_PL!BI79,"",IF(OR(BI79="",NOT(ISNUMBER(BI79)),ISERROR(BI79),$B79=""),"",IF($I79=1,IFBLANK(_xldudf_CX_PUSH(BI79*fxVal_normal,CX_ENTITY,$B79,BI$11,BI$14,BI$75,),""),IF($I79=2,IFBLANK(_xldudf_CX_PUSH(BI79,CX_ENTITY,$B79,BI$11,BI$14,BI$75,),""),IF($I79=3,"",IFBLANK(_xldudf_CX_PUSH(BI79,CX_ENTITY,$B79,BI$11,BI$14,BI$75,),"")))))),"")</f>
        <v/>
      </c>
      <c r="EJ79" s="2505" t="str" cm="1">
        <f t="array" ca="1" aca="1" ref="EJ79">IFERROR(IF(BJ79=_PL!BJ79,"",IF(OR(BJ79="",NOT(ISNUMBER(BJ79)),ISERROR(BJ79),$B79=""),"",IF($I79=1,IFBLANK(_xldudf_CX_PUSH(BJ79*fxVal_normal,CX_ENTITY,$B79,BJ$11,BJ$14,BJ$75,),""),IF($I79=2,IFBLANK(_xldudf_CX_PUSH(BJ79,CX_ENTITY,$B79,BJ$11,BJ$14,BJ$75,),""),IF($I79=3,"",IFBLANK(_xldudf_CX_PUSH(BJ79,CX_ENTITY,$B79,BJ$11,BJ$14,BJ$75,),"")))))),"")</f>
        <v/>
      </c>
      <c r="EK79" s="2505" t="str" cm="1">
        <f t="array" ca="1" aca="1" ref="EK79">IFERROR(IF(BK79=_PL!BK79,"",IF(OR(BK79="",NOT(ISNUMBER(BK79)),ISERROR(BK79),$B79=""),"",IF($I79=1,IFBLANK(_xldudf_CX_PUSH(BK79*fxVal_normal,CX_ENTITY,$B79,BK$11,BK$14,BK$75,),""),IF($I79=2,IFBLANK(_xldudf_CX_PUSH(BK79,CX_ENTITY,$B79,BK$11,BK$14,BK$75,),""),IF($I79=3,"",IFBLANK(_xldudf_CX_PUSH(BK79,CX_ENTITY,$B79,BK$11,BK$14,BK$75,),"")))))),"")</f>
        <v/>
      </c>
      <c r="EL79" s="2505" t="str" cm="1">
        <f t="array" ca="1" aca="1" ref="EL79">IFERROR(IF(BL79=_PL!BL79,"",IF(OR(BL79="",NOT(ISNUMBER(BL79)),ISERROR(BL79),$B79=""),"",IF($I79=1,IFBLANK(_xldudf_CX_PUSH(BL79*fxVal_normal,CX_ENTITY,$B79,BL$11,BL$14,BL$75,),""),IF($I79=2,IFBLANK(_xldudf_CX_PUSH(BL79,CX_ENTITY,$B79,BL$11,BL$14,BL$75,),""),IF($I79=3,"",IFBLANK(_xldudf_CX_PUSH(BL79,CX_ENTITY,$B79,BL$11,BL$14,BL$75,),"")))))),"")</f>
        <v/>
      </c>
      <c r="EM79" s="2505" t="str" cm="1">
        <f t="array" ca="1" aca="1" ref="EM79">IFERROR(IF(BM79=_PL!BM79,"",IF(OR(BM79="",NOT(ISNUMBER(BM79)),ISERROR(BM79),$B79=""),"",IF($I79=1,IFBLANK(_xldudf_CX_PUSH(BM79*fxVal_normal,CX_ENTITY,$B79,BM$11,BM$14,BM$75,),""),IF($I79=2,IFBLANK(_xldudf_CX_PUSH(BM79,CX_ENTITY,$B79,BM$11,BM$14,BM$75,),""),IF($I79=3,"",IFBLANK(_xldudf_CX_PUSH(BM79,CX_ENTITY,$B79,BM$11,BM$14,BM$75,),"")))))),"")</f>
        <v/>
      </c>
      <c r="EN79" s="2505" t="str" cm="1">
        <f t="array" ca="1" aca="1" ref="EN79">IFERROR(IF(BN79=_PL!BN79,"",IF(OR(BN79="",NOT(ISNUMBER(BN79)),ISERROR(BN79),$B79=""),"",IF($I79=1,IFBLANK(_xldudf_CX_PUSH(BN79*fxVal_normal,CX_ENTITY,$B79,BN$11,BN$14,BN$75,),""),IF($I79=2,IFBLANK(_xldudf_CX_PUSH(BN79,CX_ENTITY,$B79,BN$11,BN$14,BN$75,),""),IF($I79=3,"",IFBLANK(_xldudf_CX_PUSH(BN79,CX_ENTITY,$B79,BN$11,BN$14,BN$75,),"")))))),"")</f>
        <v/>
      </c>
    </row>
    <row r="80" spans="1:144" ht="21" customHeight="1">
      <c r="A80" s="1625"/>
      <c r="B80" s="2501" t="str">
        <f>_xlfn.LET(_xlpm.IsNotAttrDynamic,D80="",_xlpm.Attr,_PL!F80,_xlpm.NotInUse,Y80=D80,_xlpm.RESULT,IF(_xlpm.IsNotAttrDynamic,_xlpm.Attr,IF(_xlpm.NotInUse,"",Y80)),IF(_xlpm.RESULT="","",_xlpm.RESULT))</f>
        <v>Operating Costs</v>
      </c>
      <c r="C80" s="2501" t="str" cm="1">
        <f t="array" ref="C80">IFBLANK(_PL!C80,"")</f>
        <v>Operating Costs (Company View)</v>
      </c>
      <c r="D80" s="1548"/>
      <c r="E80" s="2440" t="e" cm="1">
        <f t="array" ca="1" aca="1" ref="E8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80:$CQ80,Z80)</f>
        <v>#NAME?</v>
      </c>
      <c r="F80" s="578"/>
      <c r="G80" s="578"/>
      <c r="H80" s="401">
        <v>0</v>
      </c>
      <c r="I80" s="3280">
        <v>1</v>
      </c>
      <c r="J80" s="3280" cm="1">
        <f t="array" ref="J80">IFBLANK(Z80,"")</f>
        <v>1</v>
      </c>
      <c r="K80" s="578" t="str">
        <f t="shared" si="17"/>
        <v>Yes</v>
      </c>
      <c r="L80" s="37"/>
      <c r="N80" s="158"/>
      <c r="O80" s="101"/>
      <c r="P80" s="52"/>
      <c r="Q80" s="101"/>
      <c r="R80" s="126"/>
      <c r="S80" s="101"/>
      <c r="T80" s="101"/>
      <c r="U80" s="39"/>
      <c r="V80" s="37"/>
      <c r="W80" s="91" t="str">
        <f t="shared" si="28"/>
        <v>Budget</v>
      </c>
      <c r="X80" s="2081">
        <f>_PL!X80</f>
        <v>-1</v>
      </c>
      <c r="Y80" s="3192">
        <f t="shared" si="25"/>
        <v>2</v>
      </c>
      <c r="Z80" s="3291" cm="1">
        <f t="array" ref="Z80">_xlfn.SWITCH(TRUE,_PL!$L80=TRUE,1,_PL!$L80=FALSE,-1,_PL!$L80=-1,0,"")</f>
        <v>1</v>
      </c>
      <c r="AA80" s="200"/>
      <c r="AB80" s="1134" t="str">
        <f>_PL!AB80</f>
        <v>Operating Costs</v>
      </c>
      <c r="AC80" s="275" t="str" cm="1">
        <f t="array" ca="1" aca="1" ref="AC80">_xlfn.LET(_xlpm._termname,$AB80,_xlpm._iconname,"find",_xlpm._icon,fx_getIcon(_xlpm._iconname),_xlpm._location,_xlfn.XLOOKUP(LOWER(_xlpm._termname),LOWER(tbl_acctDef[Term]),tbl_acctDef[Term]),_xlpm._hyperlink,HYPERLINK("#"&amp;CELL("address",_xlpm._location),_xlpm._icon),IFERROR(_xlpm._hyperlink,""))</f>
        <v/>
      </c>
      <c r="AD80" s="3177">
        <v>1</v>
      </c>
      <c r="AE80" s="3177">
        <v>1</v>
      </c>
      <c r="AF80" s="3177">
        <v>1</v>
      </c>
      <c r="AG80" s="3177">
        <v>1</v>
      </c>
      <c r="AH80" s="3177">
        <v>1</v>
      </c>
      <c r="AI80" s="3177">
        <v>1</v>
      </c>
      <c r="AJ80" s="3177">
        <v>1</v>
      </c>
      <c r="AK80" s="3177">
        <v>1</v>
      </c>
      <c r="AL80" s="3177">
        <v>1</v>
      </c>
      <c r="AM80" s="3177">
        <v>1</v>
      </c>
      <c r="AN80" s="3177">
        <v>1</v>
      </c>
      <c r="AO80" s="3177">
        <v>1</v>
      </c>
      <c r="AP80" s="3177">
        <v>1</v>
      </c>
      <c r="AQ80" s="3177">
        <v>1</v>
      </c>
      <c r="AR80" s="3177">
        <v>1</v>
      </c>
      <c r="AS80" s="3177">
        <v>1</v>
      </c>
      <c r="AT80" s="3177">
        <v>1</v>
      </c>
      <c r="AU80" s="3177">
        <v>1</v>
      </c>
      <c r="AV80" s="3177">
        <v>1</v>
      </c>
      <c r="AW80" s="3177">
        <v>1</v>
      </c>
      <c r="AX80" s="3177">
        <v>1</v>
      </c>
      <c r="AY80" s="3177">
        <v>1</v>
      </c>
      <c r="AZ80" s="3177">
        <v>1</v>
      </c>
      <c r="BA80" s="3177">
        <v>1</v>
      </c>
      <c r="BB80" s="3177">
        <v>1</v>
      </c>
      <c r="BC80" s="3177">
        <v>1</v>
      </c>
      <c r="BD80" s="3177">
        <v>1</v>
      </c>
      <c r="BE80" s="3177">
        <v>1</v>
      </c>
      <c r="BF80" s="3177">
        <v>1</v>
      </c>
      <c r="BG80" s="3177">
        <v>1</v>
      </c>
      <c r="BH80" s="3177">
        <v>1</v>
      </c>
      <c r="BI80" s="3177">
        <v>1</v>
      </c>
      <c r="BJ80" s="3177">
        <v>1</v>
      </c>
      <c r="BK80" s="3177">
        <v>1</v>
      </c>
      <c r="BL80" s="3177">
        <v>1</v>
      </c>
      <c r="BM80" s="3177">
        <v>1</v>
      </c>
      <c r="BN80" s="3177">
        <v>1</v>
      </c>
      <c r="BO80" s="2442"/>
      <c r="BP80" s="2442"/>
      <c r="BQ80" s="2442"/>
      <c r="BR80" s="2442"/>
      <c r="BS80" s="2442"/>
      <c r="BT80" s="2442"/>
      <c r="BU80" s="2442"/>
      <c r="BV80" s="2442"/>
      <c r="BW80" s="2442"/>
      <c r="BX80" s="2442"/>
      <c r="BY80" s="2442"/>
      <c r="BZ80" s="2442"/>
      <c r="CA80" s="34"/>
      <c r="CC80" s="33"/>
      <c r="CD80" s="1772" t="e" cm="1">
        <f t="array" ca="1" aca="1" ref="CD80">_xlfn.LET(_xlpm.CheckBlank,SUM(PL!$AD80:$BN80)=0,IF(_xlpm.CheckBlank,"",SUM(_xlfn._xlws.FILTER(PL!$AD80:$BN80,(YEAR(PL!$AD$12:$BN$12)=PL!CD$12)*(array_timeline&lt;=PL!CD$11)))))</f>
        <v>#NAME?</v>
      </c>
      <c r="CE80" s="1772" t="e" cm="1">
        <f t="array" ca="1" aca="1" ref="CE80">_xlfn.LET(_xlpm.CheckBlank,SUM(PL!$AD80:$BN80)=0,IF(_xlpm.CheckBlank,"",SUM(_xlfn._xlws.FILTER(PL!$AD80:$BN80,(YEAR(PL!$AD$12:$BN$12)=PL!CE$12)*(array_timeline&lt;=PL!CE$11)))))</f>
        <v>#NAME?</v>
      </c>
      <c r="CF80" s="88"/>
      <c r="CG80" s="1461" t="e" cm="1">
        <f t="array" ca="1" aca="1" ref="CG80">_xlfn.LET(_xlpm.CheckBlank,SUM(PL!$AD80:$BN80)=0,IF(_xlpm.CheckBlank,"",SUM(_xlfn._xlws.FILTER(PL!$AD80:$BN80,(YEAR(PL!$AD$12:$BN$12)=PL!CG$12)*(array_timeline&lt;=PL!CG$11)))))</f>
        <v>#NAME?</v>
      </c>
      <c r="CH80" s="1461" t="e" cm="1">
        <f t="array" ca="1" aca="1" ref="CH80">_xlfn.LET(_xlpm.CheckBlank,SUM(PL!$AD80:$BN80)=0,IF(_xlpm.CheckBlank,"",SUM(_xlfn._xlws.FILTER(PL!$AD80:$BN80,(YEAR(PL!$AD$12:$BN$12)=PL!CH$12)*(array_timeline&lt;=PL!CH$11)))))</f>
        <v>#NAME?</v>
      </c>
      <c r="CI80" s="88"/>
      <c r="CJ80" s="1461" cm="1">
        <f t="array" ref="CJ80">_xlfn.LET(_xlpm.CheckBlank,SUM(PL!$AD80:$BN80)=0,IF(_xlpm.CheckBlank,"",SUM(_xlfn.TAKE(_xlfn.DROP(PL!$AD80:$BN80,,-DATEDIFF(PL!CJ$11,val_asOfDate,"M")),1,-12))))</f>
        <v>12</v>
      </c>
      <c r="CK80" s="1461" cm="1">
        <f t="array" ref="CK80">_xlfn.LET(_xlpm.CheckBlank,SUM(PL!$AD80:$BN80)=0,IF(_xlpm.CheckBlank,"",SUM(_xlfn.TAKE(_xlfn.DROP(PL!$AD80:$BN80,,-DATEDIFF(PL!CK$11,val_asOfDate,"M")),1,-12))))</f>
        <v>12</v>
      </c>
      <c r="CL80" s="88"/>
      <c r="CM80" s="3194">
        <f t="shared" si="26"/>
        <v>1</v>
      </c>
      <c r="CN80" s="3194">
        <f t="shared" si="23"/>
        <v>1</v>
      </c>
      <c r="CO80" s="1169"/>
      <c r="CP80" s="3194">
        <f t="shared" si="27"/>
        <v>1</v>
      </c>
      <c r="CQ80" s="3194">
        <f t="shared" si="24"/>
        <v>1</v>
      </c>
      <c r="CR80" s="34"/>
      <c r="CS80" s="2056"/>
      <c r="CT80" s="2085" t="e" cm="1">
        <f t="array" ca="1" aca="1" ref="CT80">IF(K80&lt;&gt;"Yes","",IF(OR(Y80="Select,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III"),"",IF(OR(Y80&lt;&gt;AB80,AND(LEN(B80)=0,NOT(OR(Y80="Select,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III")))),_xldudf_CX_PUSH(Y80,CX_ENTITY,C80,EOMONTH(val_asOfDate,0)),"")))</f>
        <v>#NAME?</v>
      </c>
      <c r="CU80" s="2085" t="e" cm="1">
        <f t="array" ca="1" aca="1" ref="CU80">IF(K80&lt;&gt;"Yes","",IF(OR(Y80="Select,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III"),"",IF(OR(Y80&lt;&gt;AB80,AND(LEN(B80)=0,NOT(OR(Y80="Select,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III")))),_xldudf_CX_PUSH(Y80,CX_ENTITY,C80,EOMONTH(val_asOfDate,1)),"")))</f>
        <v>#NAME?</v>
      </c>
      <c r="CV80" s="2085" t="e" cm="1">
        <f t="array" ca="1" aca="1" ref="CV80">IF(K80&lt;&gt;"Yes","",IF(OR(Y80="Select,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III"),"",IF(OR(Y80&lt;&gt;AB80,AND(LEN(B80)=0,NOT(OR(Y80="Select,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III")))),_xldudf_CX_PUSH(Y80,CX_ENTITY,C80,EOMONTH(val_asOfDate,2)),"")))</f>
        <v>#NAME?</v>
      </c>
      <c r="CW80" s="2085" t="e" cm="1">
        <f t="array" ca="1" aca="1" ref="CW80">IF(K80&lt;&gt;"Yes","",IF(OR(Y80="Select,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III"),"",IF(OR(Y80&lt;&gt;AB80,AND(LEN(B80)=0,NOT(OR(Y80="Select,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III")))),_xldudf_CX_PUSH(Y80,CX_ENTITY,C80,EOMONTH(val_asOfDate,3)),"")))</f>
        <v>#NAME?</v>
      </c>
      <c r="CX80" s="2443"/>
      <c r="CY80" s="1880"/>
      <c r="CZ80" s="1880"/>
      <c r="DA80" s="1880"/>
      <c r="DB80" s="1880"/>
      <c r="DC80" s="2121"/>
      <c r="DD80" s="2445" t="str" cm="1">
        <f t="array" ca="1" aca="1" ref="DD80">IFERROR(IF(AD80*fxVal_normal=_PL!AD80,"",IF(OR(AD80="",NOT(ISNUMBER(AD80)),ISERROR(AD80),$B80=""),"",IF($I80=1,IFBLANK(_xldudf_CX_PUSH(AD80*fxVal_normal,CX_ENTITY,$B80,AD$11,AD$14,AD$75,),""),IF($I80=2,IFBLANK(_xldudf_CX_PUSH(AD80,CX_ENTITY,$B80,AD$11,AD$14,AD$75,),""),IF($I80=3,"",IFBLANK(_xldudf_CX_PUSH(AD80,CX_ENTITY,$B80,AD$11,AD$14,AD$75,),"")))))),"")</f>
        <v/>
      </c>
      <c r="DE80" s="2445" t="str" cm="1">
        <f t="array" ca="1" aca="1" ref="DE80">IFERROR(IF(AE80*fxVal_normal=_PL!AE80,"",IF(OR(AE80="",NOT(ISNUMBER(AE80)),ISERROR(AE80),$B80=""),"",IF($I80=1,IFBLANK(_xldudf_CX_PUSH(AE80*fxVal_normal,CX_ENTITY,$B80,AE$11,AE$14,AE$75,),""),IF($I80=2,IFBLANK(_xldudf_CX_PUSH(AE80,CX_ENTITY,$B80,AE$11,AE$14,AE$75,),""),IF($I80=3,"",IFBLANK(_xldudf_CX_PUSH(AE80,CX_ENTITY,$B80,AE$11,AE$14,AE$75,),"")))))),"")</f>
        <v/>
      </c>
      <c r="DF80" s="2445" t="str" cm="1">
        <f t="array" ca="1" aca="1" ref="DF80">IFERROR(IF(AF80*fxVal_normal=_PL!AF80,"",IF(OR(AF80="",NOT(ISNUMBER(AF80)),ISERROR(AF80),$B80=""),"",IF($I80=1,IFBLANK(_xldudf_CX_PUSH(AF80*fxVal_normal,CX_ENTITY,$B80,AF$11,AF$14,AF$75,),""),IF($I80=2,IFBLANK(_xldudf_CX_PUSH(AF80,CX_ENTITY,$B80,AF$11,AF$14,AF$75,),""),IF($I80=3,"",IFBLANK(_xldudf_CX_PUSH(AF80,CX_ENTITY,$B80,AF$11,AF$14,AF$75,),"")))))),"")</f>
        <v/>
      </c>
      <c r="DG80" s="2445" t="str" cm="1">
        <f t="array" ca="1" aca="1" ref="DG80">IFERROR(IF(AG80*fxVal_normal=_PL!AG80,"",IF(OR(AG80="",NOT(ISNUMBER(AG80)),ISERROR(AG80),$B80=""),"",IF($I80=1,IFBLANK(_xldudf_CX_PUSH(AG80*fxVal_normal,CX_ENTITY,$B80,AG$11,AG$14,AG$75,),""),IF($I80=2,IFBLANK(_xldudf_CX_PUSH(AG80,CX_ENTITY,$B80,AG$11,AG$14,AG$75,),""),IF($I80=3,"",IFBLANK(_xldudf_CX_PUSH(AG80,CX_ENTITY,$B80,AG$11,AG$14,AG$75,),"")))))),"")</f>
        <v/>
      </c>
      <c r="DH80" s="2445" t="str" cm="1">
        <f t="array" ca="1" aca="1" ref="DH80">IFERROR(IF(AH80*fxVal_normal=_PL!AH80,"",IF(OR(AH80="",NOT(ISNUMBER(AH80)),ISERROR(AH80),$B80=""),"",IF($I80=1,IFBLANK(_xldudf_CX_PUSH(AH80*fxVal_normal,CX_ENTITY,$B80,AH$11,AH$14,AH$75,),""),IF($I80=2,IFBLANK(_xldudf_CX_PUSH(AH80,CX_ENTITY,$B80,AH$11,AH$14,AH$75,),""),IF($I80=3,"",IFBLANK(_xldudf_CX_PUSH(AH80,CX_ENTITY,$B80,AH$11,AH$14,AH$75,),"")))))),"")</f>
        <v/>
      </c>
      <c r="DI80" s="2445" t="str" cm="1">
        <f t="array" ca="1" aca="1" ref="DI80">IFERROR(IF(AI80*fxVal_normal=_PL!AI80,"",IF(OR(AI80="",NOT(ISNUMBER(AI80)),ISERROR(AI80),$B80=""),"",IF($I80=1,IFBLANK(_xldudf_CX_PUSH(AI80*fxVal_normal,CX_ENTITY,$B80,AI$11,AI$14,AI$75,),""),IF($I80=2,IFBLANK(_xldudf_CX_PUSH(AI80,CX_ENTITY,$B80,AI$11,AI$14,AI$75,),""),IF($I80=3,"",IFBLANK(_xldudf_CX_PUSH(AI80,CX_ENTITY,$B80,AI$11,AI$14,AI$75,),"")))))),"")</f>
        <v/>
      </c>
      <c r="DJ80" s="2445" t="str" cm="1">
        <f t="array" ca="1" aca="1" ref="DJ80">IFERROR(IF(AJ80*fxVal_normal=_PL!AJ80,"",IF(OR(AJ80="",NOT(ISNUMBER(AJ80)),ISERROR(AJ80),$B80=""),"",IF($I80=1,IFBLANK(_xldudf_CX_PUSH(AJ80*fxVal_normal,CX_ENTITY,$B80,AJ$11,AJ$14,AJ$75,),""),IF($I80=2,IFBLANK(_xldudf_CX_PUSH(AJ80,CX_ENTITY,$B80,AJ$11,AJ$14,AJ$75,),""),IF($I80=3,"",IFBLANK(_xldudf_CX_PUSH(AJ80,CX_ENTITY,$B80,AJ$11,AJ$14,AJ$75,),"")))))),"")</f>
        <v/>
      </c>
      <c r="DK80" s="2445" t="str" cm="1">
        <f t="array" ca="1" aca="1" ref="DK80">IFERROR(IF(AK80*fxVal_normal=_PL!AK80,"",IF(OR(AK80="",NOT(ISNUMBER(AK80)),ISERROR(AK80),$B80=""),"",IF($I80=1,IFBLANK(_xldudf_CX_PUSH(AK80*fxVal_normal,CX_ENTITY,$B80,AK$11,AK$14,AK$75,),""),IF($I80=2,IFBLANK(_xldudf_CX_PUSH(AK80,CX_ENTITY,$B80,AK$11,AK$14,AK$75,),""),IF($I80=3,"",IFBLANK(_xldudf_CX_PUSH(AK80,CX_ENTITY,$B80,AK$11,AK$14,AK$75,),"")))))),"")</f>
        <v/>
      </c>
      <c r="DL80" s="2445" t="str" cm="1">
        <f t="array" ca="1" aca="1" ref="DL80">IFERROR(IF(AL80*fxVal_normal=_PL!AL80,"",IF(OR(AL80="",NOT(ISNUMBER(AL80)),ISERROR(AL80),$B80=""),"",IF($I80=1,IFBLANK(_xldudf_CX_PUSH(AL80*fxVal_normal,CX_ENTITY,$B80,AL$11,AL$14,AL$75,),""),IF($I80=2,IFBLANK(_xldudf_CX_PUSH(AL80,CX_ENTITY,$B80,AL$11,AL$14,AL$75,),""),IF($I80=3,"",IFBLANK(_xldudf_CX_PUSH(AL80,CX_ENTITY,$B80,AL$11,AL$14,AL$75,),"")))))),"")</f>
        <v/>
      </c>
      <c r="DM80" s="2445" t="str" cm="1">
        <f t="array" ca="1" aca="1" ref="DM80">IFERROR(IF(AM80*fxVal_normal=_PL!AM80,"",IF(OR(AM80="",NOT(ISNUMBER(AM80)),ISERROR(AM80),$B80=""),"",IF($I80=1,IFBLANK(_xldudf_CX_PUSH(AM80*fxVal_normal,CX_ENTITY,$B80,AM$11,AM$14,AM$75,),""),IF($I80=2,IFBLANK(_xldudf_CX_PUSH(AM80,CX_ENTITY,$B80,AM$11,AM$14,AM$75,),""),IF($I80=3,"",IFBLANK(_xldudf_CX_PUSH(AM80,CX_ENTITY,$B80,AM$11,AM$14,AM$75,),"")))))),"")</f>
        <v/>
      </c>
      <c r="DN80" s="2445" t="str" cm="1">
        <f t="array" ca="1" aca="1" ref="DN80">IFERROR(IF(AN80*fxVal_normal=_PL!AN80,"",IF(OR(AN80="",NOT(ISNUMBER(AN80)),ISERROR(AN80),$B80=""),"",IF($I80=1,IFBLANK(_xldudf_CX_PUSH(AN80*fxVal_normal,CX_ENTITY,$B80,AN$11,AN$14,AN$75,),""),IF($I80=2,IFBLANK(_xldudf_CX_PUSH(AN80,CX_ENTITY,$B80,AN$11,AN$14,AN$75,),""),IF($I80=3,"",IFBLANK(_xldudf_CX_PUSH(AN80,CX_ENTITY,$B80,AN$11,AN$14,AN$75,),"")))))),"")</f>
        <v/>
      </c>
      <c r="DO80" s="2445" t="str" cm="1">
        <f t="array" ca="1" aca="1" ref="DO80">IFERROR(IF(AO80*fxVal_normal=_PL!AO80,"",IF(OR(AO80="",NOT(ISNUMBER(AO80)),ISERROR(AO80),$B80=""),"",IF($I80=1,IFBLANK(_xldudf_CX_PUSH(AO80*fxVal_normal,CX_ENTITY,$B80,AO$11,AO$14,AO$75,),""),IF($I80=2,IFBLANK(_xldudf_CX_PUSH(AO80,CX_ENTITY,$B80,AO$11,AO$14,AO$75,),""),IF($I80=3,"",IFBLANK(_xldudf_CX_PUSH(AO80,CX_ENTITY,$B80,AO$11,AO$14,AO$75,),"")))))),"")</f>
        <v/>
      </c>
      <c r="DP80" s="2445" t="str" cm="1">
        <f t="array" ca="1" aca="1" ref="DP80">IFERROR(IF(AP80*fxVal_normal=_PL!AP80,"",IF(OR(AP80="",NOT(ISNUMBER(AP80)),ISERROR(AP80),$B80=""),"",IF($I80=1,IFBLANK(_xldudf_CX_PUSH(AP80*fxVal_normal,CX_ENTITY,$B80,AP$11,AP$14,AP$75,),""),IF($I80=2,IFBLANK(_xldudf_CX_PUSH(AP80,CX_ENTITY,$B80,AP$11,AP$14,AP$75,),""),IF($I80=3,"",IFBLANK(_xldudf_CX_PUSH(AP80,CX_ENTITY,$B80,AP$11,AP$14,AP$75,),"")))))),"")</f>
        <v/>
      </c>
      <c r="DQ80" s="2445" t="str" cm="1">
        <f t="array" ca="1" aca="1" ref="DQ80">IFERROR(IF(AQ80*fxVal_normal=_PL!AQ80,"",IF(OR(AQ80="",NOT(ISNUMBER(AQ80)),ISERROR(AQ80),$B80=""),"",IF($I80=1,IFBLANK(_xldudf_CX_PUSH(AQ80*fxVal_normal,CX_ENTITY,$B80,AQ$11,AQ$14,AQ$75,),""),IF($I80=2,IFBLANK(_xldudf_CX_PUSH(AQ80,CX_ENTITY,$B80,AQ$11,AQ$14,AQ$75,),""),IF($I80=3,"",IFBLANK(_xldudf_CX_PUSH(AQ80,CX_ENTITY,$B80,AQ$11,AQ$14,AQ$75,),"")))))),"")</f>
        <v/>
      </c>
      <c r="DR80" s="2445" t="str" cm="1">
        <f t="array" ca="1" aca="1" ref="DR80">IFERROR(IF(AR80*fxVal_normal=_PL!AR80,"",IF(OR(AR80="",NOT(ISNUMBER(AR80)),ISERROR(AR80),$B80=""),"",IF($I80=1,IFBLANK(_xldudf_CX_PUSH(AR80*fxVal_normal,CX_ENTITY,$B80,AR$11,AR$14,AR$75,),""),IF($I80=2,IFBLANK(_xldudf_CX_PUSH(AR80,CX_ENTITY,$B80,AR$11,AR$14,AR$75,),""),IF($I80=3,"",IFBLANK(_xldudf_CX_PUSH(AR80,CX_ENTITY,$B80,AR$11,AR$14,AR$75,),"")))))),"")</f>
        <v/>
      </c>
      <c r="DS80" s="2445" t="str" cm="1">
        <f t="array" ca="1" aca="1" ref="DS80">IFERROR(IF(AS80*fxVal_normal=_PL!AS80,"",IF(OR(AS80="",NOT(ISNUMBER(AS80)),ISERROR(AS80),$B80=""),"",IF($I80=1,IFBLANK(_xldudf_CX_PUSH(AS80*fxVal_normal,CX_ENTITY,$B80,AS$11,AS$14,AS$75,),""),IF($I80=2,IFBLANK(_xldudf_CX_PUSH(AS80,CX_ENTITY,$B80,AS$11,AS$14,AS$75,),""),IF($I80=3,"",IFBLANK(_xldudf_CX_PUSH(AS80,CX_ENTITY,$B80,AS$11,AS$14,AS$75,),"")))))),"")</f>
        <v/>
      </c>
      <c r="DT80" s="2445" t="str" cm="1">
        <f t="array" ca="1" aca="1" ref="DT80">IFERROR(IF(AT80*fxVal_normal=_PL!AT80,"",IF(OR(AT80="",NOT(ISNUMBER(AT80)),ISERROR(AT80),$B80=""),"",IF($I80=1,IFBLANK(_xldudf_CX_PUSH(AT80*fxVal_normal,CX_ENTITY,$B80,AT$11,AT$14,AT$75,),""),IF($I80=2,IFBLANK(_xldudf_CX_PUSH(AT80,CX_ENTITY,$B80,AT$11,AT$14,AT$75,),""),IF($I80=3,"",IFBLANK(_xldudf_CX_PUSH(AT80,CX_ENTITY,$B80,AT$11,AT$14,AT$75,),"")))))),"")</f>
        <v/>
      </c>
      <c r="DU80" s="2445" t="str" cm="1">
        <f t="array" ca="1" aca="1" ref="DU80">IFERROR(IF(AU80*fxVal_normal=_PL!AU80,"",IF(OR(AU80="",NOT(ISNUMBER(AU80)),ISERROR(AU80),$B80=""),"",IF($I80=1,IFBLANK(_xldudf_CX_PUSH(AU80*fxVal_normal,CX_ENTITY,$B80,AU$11,AU$14,AU$75,),""),IF($I80=2,IFBLANK(_xldudf_CX_PUSH(AU80,CX_ENTITY,$B80,AU$11,AU$14,AU$75,),""),IF($I80=3,"",IFBLANK(_xldudf_CX_PUSH(AU80,CX_ENTITY,$B80,AU$11,AU$14,AU$75,),"")))))),"")</f>
        <v/>
      </c>
      <c r="DV80" s="2445" t="str" cm="1">
        <f t="array" ca="1" aca="1" ref="DV80">IFERROR(IF(AV80*fxVal_normal=_PL!AV80,"",IF(OR(AV80="",NOT(ISNUMBER(AV80)),ISERROR(AV80),$B80=""),"",IF($I80=1,IFBLANK(_xldudf_CX_PUSH(AV80*fxVal_normal,CX_ENTITY,$B80,AV$11,AV$14,AV$75,),""),IF($I80=2,IFBLANK(_xldudf_CX_PUSH(AV80,CX_ENTITY,$B80,AV$11,AV$14,AV$75,),""),IF($I80=3,"",IFBLANK(_xldudf_CX_PUSH(AV80,CX_ENTITY,$B80,AV$11,AV$14,AV$75,),"")))))),"")</f>
        <v/>
      </c>
      <c r="DW80" s="2445" t="str" cm="1">
        <f t="array" ca="1" aca="1" ref="DW80">IFERROR(IF(AW80*fxVal_normal=_PL!AW80,"",IF(OR(AW80="",NOT(ISNUMBER(AW80)),ISERROR(AW80),$B80=""),"",IF($I80=1,IFBLANK(_xldudf_CX_PUSH(AW80*fxVal_normal,CX_ENTITY,$B80,AW$11,AW$14,AW$75,),""),IF($I80=2,IFBLANK(_xldudf_CX_PUSH(AW80,CX_ENTITY,$B80,AW$11,AW$14,AW$75,),""),IF($I80=3,"",IFBLANK(_xldudf_CX_PUSH(AW80,CX_ENTITY,$B80,AW$11,AW$14,AW$75,),"")))))),"")</f>
        <v/>
      </c>
      <c r="DX80" s="2445" t="str" cm="1">
        <f t="array" ca="1" aca="1" ref="DX80">IFERROR(IF(AX80*fxVal_normal=_PL!AX80,"",IF(OR(AX80="",NOT(ISNUMBER(AX80)),ISERROR(AX80),$B80=""),"",IF($I80=1,IFBLANK(_xldudf_CX_PUSH(AX80*fxVal_normal,CX_ENTITY,$B80,AX$11,AX$14,AX$75,),""),IF($I80=2,IFBLANK(_xldudf_CX_PUSH(AX80,CX_ENTITY,$B80,AX$11,AX$14,AX$75,),""),IF($I80=3,"",IFBLANK(_xldudf_CX_PUSH(AX80,CX_ENTITY,$B80,AX$11,AX$14,AX$75,),"")))))),"")</f>
        <v/>
      </c>
      <c r="DY80" s="2445" t="str" cm="1">
        <f t="array" ca="1" aca="1" ref="DY80">IFERROR(IF(AY80*fxVal_normal=_PL!AY80,"",IF(OR(AY80="",NOT(ISNUMBER(AY80)),ISERROR(AY80),$B80=""),"",IF($I80=1,IFBLANK(_xldudf_CX_PUSH(AY80*fxVal_normal,CX_ENTITY,$B80,AY$11,AY$14,AY$75,),""),IF($I80=2,IFBLANK(_xldudf_CX_PUSH(AY80,CX_ENTITY,$B80,AY$11,AY$14,AY$75,),""),IF($I80=3,"",IFBLANK(_xldudf_CX_PUSH(AY80,CX_ENTITY,$B80,AY$11,AY$14,AY$75,),"")))))),"")</f>
        <v/>
      </c>
      <c r="DZ80" s="2445" t="str" cm="1">
        <f t="array" ca="1" aca="1" ref="DZ80">IFERROR(IF(AZ80*fxVal_normal=_PL!AZ80,"",IF(OR(AZ80="",NOT(ISNUMBER(AZ80)),ISERROR(AZ80),$B80=""),"",IF($I80=1,IFBLANK(_xldudf_CX_PUSH(AZ80*fxVal_normal,CX_ENTITY,$B80,AZ$11,AZ$14,AZ$75,),""),IF($I80=2,IFBLANK(_xldudf_CX_PUSH(AZ80,CX_ENTITY,$B80,AZ$11,AZ$14,AZ$75,),""),IF($I80=3,"",IFBLANK(_xldudf_CX_PUSH(AZ80,CX_ENTITY,$B80,AZ$11,AZ$14,AZ$75,),"")))))),"")</f>
        <v/>
      </c>
      <c r="EA80" s="2445" t="str" cm="1">
        <f t="array" ca="1" aca="1" ref="EA80">IFERROR(IF(BA80*fxVal_normal=_PL!BA80,"",IF(OR(BA80="",NOT(ISNUMBER(BA80)),ISERROR(BA80),$B80=""),"",IF($I80=1,IFBLANK(_xldudf_CX_PUSH(BA80*fxVal_normal,CX_ENTITY,$B80,BA$11,BA$14,BA$75,),""),IF($I80=2,IFBLANK(_xldudf_CX_PUSH(BA80,CX_ENTITY,$B80,BA$11,BA$14,BA$75,),""),IF($I80=3,"",IFBLANK(_xldudf_CX_PUSH(BA80,CX_ENTITY,$B80,BA$11,BA$14,BA$75,),"")))))),"")</f>
        <v/>
      </c>
      <c r="EB80" s="2445" t="str" cm="1">
        <f t="array" ca="1" aca="1" ref="EB80">IFERROR(IF(BB80*fxVal_normal=_PL!BB80,"",IF(OR(BB80="",NOT(ISNUMBER(BB80)),ISERROR(BB80),$B80=""),"",IF($I80=1,IFBLANK(_xldudf_CX_PUSH(BB80*fxVal_normal,CX_ENTITY,$B80,BB$11,BB$14,BB$75,),""),IF($I80=2,IFBLANK(_xldudf_CX_PUSH(BB80,CX_ENTITY,$B80,BB$11,BB$14,BB$75,),""),IF($I80=3,"",IFBLANK(_xldudf_CX_PUSH(BB80,CX_ENTITY,$B80,BB$11,BB$14,BB$75,),"")))))),"")</f>
        <v/>
      </c>
      <c r="EC80" s="2445" t="str" cm="1">
        <f t="array" ca="1" aca="1" ref="EC80">IFERROR(IF(BC80*fxVal_normal=_PL!BC80,"",IF(OR(BC80="",NOT(ISNUMBER(BC80)),ISERROR(BC80),$B80=""),"",IF($I80=1,IFBLANK(_xldudf_CX_PUSH(BC80*fxVal_normal,CX_ENTITY,$B80,BC$11,BC$14,BC$75,),""),IF($I80=2,IFBLANK(_xldudf_CX_PUSH(BC80,CX_ENTITY,$B80,BC$11,BC$14,BC$75,),""),IF($I80=3,"",IFBLANK(_xldudf_CX_PUSH(BC80,CX_ENTITY,$B80,BC$11,BC$14,BC$75,),"")))))),"")</f>
        <v/>
      </c>
      <c r="ED80" s="2445" t="str" cm="1">
        <f t="array" ca="1" aca="1" ref="ED80">IFERROR(IF(BD80*fxVal_normal=_PL!BD80,"",IF(OR(BD80="",NOT(ISNUMBER(BD80)),ISERROR(BD80),$B80=""),"",IF($I80=1,IFBLANK(_xldudf_CX_PUSH(BD80*fxVal_normal,CX_ENTITY,$B80,BD$11,BD$14,BD$75,),""),IF($I80=2,IFBLANK(_xldudf_CX_PUSH(BD80,CX_ENTITY,$B80,BD$11,BD$14,BD$75,),""),IF($I80=3,"",IFBLANK(_xldudf_CX_PUSH(BD80,CX_ENTITY,$B80,BD$11,BD$14,BD$75,),"")))))),"")</f>
        <v/>
      </c>
      <c r="EE80" s="2445" t="str" cm="1">
        <f t="array" ca="1" aca="1" ref="EE80">IFERROR(IF(BE80*fxVal_normal=_PL!BE80,"",IF(OR(BE80="",NOT(ISNUMBER(BE80)),ISERROR(BE80),$B80=""),"",IF($I80=1,IFBLANK(_xldudf_CX_PUSH(BE80*fxVal_normal,CX_ENTITY,$B80,BE$11,BE$14,BE$75,),""),IF($I80=2,IFBLANK(_xldudf_CX_PUSH(BE80,CX_ENTITY,$B80,BE$11,BE$14,BE$75,),""),IF($I80=3,"",IFBLANK(_xldudf_CX_PUSH(BE80,CX_ENTITY,$B80,BE$11,BE$14,BE$75,),"")))))),"")</f>
        <v/>
      </c>
      <c r="EF80" s="2445" t="str" cm="1">
        <f t="array" ca="1" aca="1" ref="EF80">IFERROR(IF(BF80*fxVal_normal=_PL!BF80,"",IF(OR(BF80="",NOT(ISNUMBER(BF80)),ISERROR(BF80),$B80=""),"",IF($I80=1,IFBLANK(_xldudf_CX_PUSH(BF80*fxVal_normal,CX_ENTITY,$B80,BF$11,BF$14,BF$75,),""),IF($I80=2,IFBLANK(_xldudf_CX_PUSH(BF80,CX_ENTITY,$B80,BF$11,BF$14,BF$75,),""),IF($I80=3,"",IFBLANK(_xldudf_CX_PUSH(BF80,CX_ENTITY,$B80,BF$11,BF$14,BF$75,),"")))))),"")</f>
        <v/>
      </c>
      <c r="EG80" s="2445" t="str" cm="1">
        <f t="array" ca="1" aca="1" ref="EG80">IFERROR(IF(BG80*fxVal_normal=_PL!BG80,"",IF(OR(BG80="",NOT(ISNUMBER(BG80)),ISERROR(BG80),$B80=""),"",IF($I80=1,IFBLANK(_xldudf_CX_PUSH(BG80*fxVal_normal,CX_ENTITY,$B80,BG$11,BG$14,BG$75,),""),IF($I80=2,IFBLANK(_xldudf_CX_PUSH(BG80,CX_ENTITY,$B80,BG$11,BG$14,BG$75,),""),IF($I80=3,"",IFBLANK(_xldudf_CX_PUSH(BG80,CX_ENTITY,$B80,BG$11,BG$14,BG$75,),"")))))),"")</f>
        <v/>
      </c>
      <c r="EH80" s="2445" t="str" cm="1">
        <f t="array" ca="1" aca="1" ref="EH80">IFERROR(IF(BH80*fxVal_normal=_PL!BH80,"",IF(OR(BH80="",NOT(ISNUMBER(BH80)),ISERROR(BH80),$B80=""),"",IF($I80=1,IFBLANK(_xldudf_CX_PUSH(BH80*fxVal_normal,CX_ENTITY,$B80,BH$11,BH$14,BH$75,),""),IF($I80=2,IFBLANK(_xldudf_CX_PUSH(BH80,CX_ENTITY,$B80,BH$11,BH$14,BH$75,),""),IF($I80=3,"",IFBLANK(_xldudf_CX_PUSH(BH80,CX_ENTITY,$B80,BH$11,BH$14,BH$75,),"")))))),"")</f>
        <v/>
      </c>
      <c r="EI80" s="2445" t="str" cm="1">
        <f t="array" ca="1" aca="1" ref="EI80">IFERROR(IF(BI80*fxVal_normal=_PL!BI80,"",IF(OR(BI80="",NOT(ISNUMBER(BI80)),ISERROR(BI80),$B80=""),"",IF($I80=1,IFBLANK(_xldudf_CX_PUSH(BI80*fxVal_normal,CX_ENTITY,$B80,BI$11,BI$14,BI$75,),""),IF($I80=2,IFBLANK(_xldudf_CX_PUSH(BI80,CX_ENTITY,$B80,BI$11,BI$14,BI$75,),""),IF($I80=3,"",IFBLANK(_xldudf_CX_PUSH(BI80,CX_ENTITY,$B80,BI$11,BI$14,BI$75,),"")))))),"")</f>
        <v/>
      </c>
      <c r="EJ80" s="2445" t="str" cm="1">
        <f t="array" ca="1" aca="1" ref="EJ80">IFERROR(IF(BJ80*fxVal_normal=_PL!BJ80,"",IF(OR(BJ80="",NOT(ISNUMBER(BJ80)),ISERROR(BJ80),$B80=""),"",IF($I80=1,IFBLANK(_xldudf_CX_PUSH(BJ80*fxVal_normal,CX_ENTITY,$B80,BJ$11,BJ$14,BJ$75,),""),IF($I80=2,IFBLANK(_xldudf_CX_PUSH(BJ80,CX_ENTITY,$B80,BJ$11,BJ$14,BJ$75,),""),IF($I80=3,"",IFBLANK(_xldudf_CX_PUSH(BJ80,CX_ENTITY,$B80,BJ$11,BJ$14,BJ$75,),"")))))),"")</f>
        <v/>
      </c>
      <c r="EK80" s="2445" t="str" cm="1">
        <f t="array" ca="1" aca="1" ref="EK80">IFERROR(IF(BK80*fxVal_normal=_PL!BK80,"",IF(OR(BK80="",NOT(ISNUMBER(BK80)),ISERROR(BK80),$B80=""),"",IF($I80=1,IFBLANK(_xldudf_CX_PUSH(BK80*fxVal_normal,CX_ENTITY,$B80,BK$11,BK$14,BK$75,),""),IF($I80=2,IFBLANK(_xldudf_CX_PUSH(BK80,CX_ENTITY,$B80,BK$11,BK$14,BK$75,),""),IF($I80=3,"",IFBLANK(_xldudf_CX_PUSH(BK80,CX_ENTITY,$B80,BK$11,BK$14,BK$75,),"")))))),"")</f>
        <v/>
      </c>
      <c r="EL80" s="2445" t="str" cm="1">
        <f t="array" ca="1" aca="1" ref="EL80">IFERROR(IF(BL80*fxVal_normal=_PL!BL80,"",IF(OR(BL80="",NOT(ISNUMBER(BL80)),ISERROR(BL80),$B80=""),"",IF($I80=1,IFBLANK(_xldudf_CX_PUSH(BL80*fxVal_normal,CX_ENTITY,$B80,BL$11,BL$14,BL$75,),""),IF($I80=2,IFBLANK(_xldudf_CX_PUSH(BL80,CX_ENTITY,$B80,BL$11,BL$14,BL$75,),""),IF($I80=3,"",IFBLANK(_xldudf_CX_PUSH(BL80,CX_ENTITY,$B80,BL$11,BL$14,BL$75,),"")))))),"")</f>
        <v/>
      </c>
      <c r="EM80" s="2445" t="str" cm="1">
        <f t="array" ca="1" aca="1" ref="EM80">IFERROR(IF(BM80*fxVal_normal=_PL!BM80,"",IF(OR(BM80="",NOT(ISNUMBER(BM80)),ISERROR(BM80),$B80=""),"",IF($I80=1,IFBLANK(_xldudf_CX_PUSH(BM80*fxVal_normal,CX_ENTITY,$B80,BM$11,BM$14,BM$75,),""),IF($I80=2,IFBLANK(_xldudf_CX_PUSH(BM80,CX_ENTITY,$B80,BM$11,BM$14,BM$75,),""),IF($I80=3,"",IFBLANK(_xldudf_CX_PUSH(BM80,CX_ENTITY,$B80,BM$11,BM$14,BM$75,),"")))))),"")</f>
        <v/>
      </c>
      <c r="EN80" s="2445" t="str" cm="1">
        <f t="array" ca="1" aca="1" ref="EN80">IFERROR(IF(BN80*fxVal_normal=_PL!BN80,"",IF(OR(BN80="",NOT(ISNUMBER(BN80)),ISERROR(BN80),$B80=""),"",IF($I80=1,IFBLANK(_xldudf_CX_PUSH(BN80*fxVal_normal,CX_ENTITY,$B80,BN$11,BN$14,BN$75,),""),IF($I80=2,IFBLANK(_xldudf_CX_PUSH(BN80,CX_ENTITY,$B80,BN$11,BN$14,BN$75,),""),IF($I80=3,"",IFBLANK(_xldudf_CX_PUSH(BN80,CX_ENTITY,$B80,BN$11,BN$14,BN$75,),"")))))),"")</f>
        <v/>
      </c>
    </row>
    <row r="81" spans="1:144" ht="21" customHeight="1">
      <c r="A81" s="1625"/>
      <c r="B81" s="2501" t="str">
        <f ca="1">_xlfn.LET(_xlpm.IsNotAttrDynamic,D81="",_xlpm.Attr,_PL!F81,_xlpm.NotInUse,Y81=D81,_xlpm.RESULT,IF(_xlpm.IsNotAttrDynamic,_xlpm.Attr,IF(_xlpm.NotInUse,"",Y81)),IF(_xlpm.RESULT="","",_xlpm.RESULT))</f>
        <v>Reported EBITDA</v>
      </c>
      <c r="C81" s="2501" t="str" cm="1">
        <f t="array" ref="C81">IFBLANK(_PL!C81,"")</f>
        <v>Reported EBITDA (Company View)</v>
      </c>
      <c r="D81" s="1548"/>
      <c r="E81" s="2440" t="e" cm="1">
        <f t="array" ca="1" aca="1" ref="E8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81:$CQ81,Z81)</f>
        <v>#NAME?</v>
      </c>
      <c r="F81" s="578"/>
      <c r="G81" s="578"/>
      <c r="H81" s="3280">
        <v>2</v>
      </c>
      <c r="I81" s="3280">
        <v>1</v>
      </c>
      <c r="J81" s="401" cm="1">
        <f t="array" ref="J81">IFBLANK(Z81,"")</f>
        <v>0</v>
      </c>
      <c r="K81" s="578" t="str">
        <f t="shared" si="17"/>
        <v>Yes</v>
      </c>
      <c r="L81" s="37"/>
      <c r="N81" s="158"/>
      <c r="O81" s="101"/>
      <c r="P81" s="52"/>
      <c r="Q81" s="101"/>
      <c r="R81" s="126"/>
      <c r="S81" s="101"/>
      <c r="T81" s="101"/>
      <c r="U81" s="39"/>
      <c r="V81" s="37"/>
      <c r="W81" s="91" t="str">
        <f t="shared" si="28"/>
        <v>Budget</v>
      </c>
      <c r="X81" s="2081">
        <f>_PL!X81</f>
        <v>0</v>
      </c>
      <c r="Y81" s="1134" t="e">
        <f t="shared" ca="1" si="25"/>
        <v>#NAME?</v>
      </c>
      <c r="Z81" s="198" cm="1">
        <f t="array" ref="Z81">_xlfn.SWITCH(TRUE,_PL!$L81=TRUE,1,_PL!$L81=FALSE,-1,_PL!$L81=-1,0,"")</f>
        <v>0</v>
      </c>
      <c r="AA81" s="200"/>
      <c r="AB81" s="1134" t="str">
        <f>_PL!AB81</f>
        <v>Reported EBITDA</v>
      </c>
      <c r="AC81" s="275" t="e" vm="5" cm="1">
        <f t="array" ca="1" aca="1" ref="AC81">_xlfn.LET(_xlpm._termname,$AB81,_xlpm._iconname,"find",_xlpm._icon,fx_getIcon(_xlpm._iconname),_xlpm._location,_xlfn.XLOOKUP(LOWER(_xlpm._termname),LOWER(tbl_acctDef[Term]),tbl_acctDef[Term]),_xlpm._hyperlink,HYPERLINK("#"&amp;CELL("address",_xlpm._location),_xlpm._icon),IFERROR(_xlpm._hyperlink,""))</f>
        <v>#VALUE!</v>
      </c>
      <c r="AD81" s="1210">
        <f t="shared" si="31" ref="AD81:BN81">SUBTOTAL(9,AD76:AD80)-N(AD79)</f>
        <v>3</v>
      </c>
      <c r="AE81" s="1210">
        <f t="shared" si="31"/>
        <v>3</v>
      </c>
      <c r="AF81" s="1210">
        <f t="shared" si="31"/>
        <v>3</v>
      </c>
      <c r="AG81" s="1210">
        <f t="shared" si="31"/>
        <v>3</v>
      </c>
      <c r="AH81" s="1210">
        <f t="shared" si="31"/>
        <v>3</v>
      </c>
      <c r="AI81" s="1210">
        <f t="shared" si="31"/>
        <v>3</v>
      </c>
      <c r="AJ81" s="1210">
        <f t="shared" si="31"/>
        <v>3</v>
      </c>
      <c r="AK81" s="1210">
        <f t="shared" si="31"/>
        <v>3</v>
      </c>
      <c r="AL81" s="1210">
        <f t="shared" si="31"/>
        <v>3</v>
      </c>
      <c r="AM81" s="1210">
        <f t="shared" si="31"/>
        <v>3</v>
      </c>
      <c r="AN81" s="1210">
        <f t="shared" si="31"/>
        <v>3</v>
      </c>
      <c r="AO81" s="1210">
        <f t="shared" si="31"/>
        <v>3</v>
      </c>
      <c r="AP81" s="1210">
        <f t="shared" si="31"/>
        <v>3</v>
      </c>
      <c r="AQ81" s="1210">
        <f t="shared" si="31"/>
        <v>3</v>
      </c>
      <c r="AR81" s="1210">
        <f t="shared" si="31"/>
        <v>3</v>
      </c>
      <c r="AS81" s="1210">
        <f t="shared" si="31"/>
        <v>3</v>
      </c>
      <c r="AT81" s="1210">
        <f t="shared" si="31"/>
        <v>3</v>
      </c>
      <c r="AU81" s="1210">
        <f t="shared" si="31"/>
        <v>3</v>
      </c>
      <c r="AV81" s="1210">
        <f t="shared" si="31"/>
        <v>3</v>
      </c>
      <c r="AW81" s="1210">
        <f t="shared" si="31"/>
        <v>3</v>
      </c>
      <c r="AX81" s="1210">
        <f t="shared" si="31"/>
        <v>3</v>
      </c>
      <c r="AY81" s="1210">
        <f t="shared" si="31"/>
        <v>3</v>
      </c>
      <c r="AZ81" s="1210">
        <f t="shared" si="31"/>
        <v>3</v>
      </c>
      <c r="BA81" s="1210">
        <f t="shared" si="31"/>
        <v>3</v>
      </c>
      <c r="BB81" s="1210">
        <f t="shared" si="31"/>
        <v>3</v>
      </c>
      <c r="BC81" s="1210">
        <f t="shared" si="31"/>
        <v>3</v>
      </c>
      <c r="BD81" s="1210">
        <f t="shared" si="31"/>
        <v>3</v>
      </c>
      <c r="BE81" s="1210">
        <f t="shared" si="31"/>
        <v>3</v>
      </c>
      <c r="BF81" s="1210">
        <f t="shared" si="31"/>
        <v>3</v>
      </c>
      <c r="BG81" s="1210">
        <f t="shared" si="31"/>
        <v>3</v>
      </c>
      <c r="BH81" s="1210">
        <f t="shared" si="31"/>
        <v>3</v>
      </c>
      <c r="BI81" s="1210">
        <f t="shared" si="31"/>
        <v>3</v>
      </c>
      <c r="BJ81" s="1210">
        <f t="shared" si="31"/>
        <v>3</v>
      </c>
      <c r="BK81" s="1210">
        <f t="shared" si="31"/>
        <v>3</v>
      </c>
      <c r="BL81" s="1210">
        <f t="shared" si="31"/>
        <v>3</v>
      </c>
      <c r="BM81" s="1210">
        <f t="shared" si="31"/>
        <v>3</v>
      </c>
      <c r="BN81" s="1210">
        <f t="shared" si="31"/>
        <v>3</v>
      </c>
      <c r="BO81" s="2096"/>
      <c r="BP81" s="2096"/>
      <c r="BQ81" s="2096"/>
      <c r="BR81" s="2096"/>
      <c r="BS81" s="2096"/>
      <c r="BT81" s="2096"/>
      <c r="BU81" s="2096"/>
      <c r="BV81" s="2096"/>
      <c r="BW81" s="2096"/>
      <c r="BX81" s="2096"/>
      <c r="BY81" s="2096"/>
      <c r="BZ81" s="2096"/>
      <c r="CA81" s="34"/>
      <c r="CC81" s="33"/>
      <c r="CD81" s="1772" t="e" cm="1">
        <f t="array" ca="1" aca="1" ref="CD81">_xlfn.LET(_xlpm.CheckBlank,SUM(PL!$AD81:$BN81)=0,IF(_xlpm.CheckBlank,"",SUM(_xlfn._xlws.FILTER(PL!$AD81:$BN81,(YEAR(PL!$AD$12:$BN$12)=PL!CD$12)*(array_timeline&lt;=PL!CD$11)))))</f>
        <v>#NAME?</v>
      </c>
      <c r="CE81" s="1772" t="e" cm="1">
        <f t="array" ca="1" aca="1" ref="CE81">_xlfn.LET(_xlpm.CheckBlank,SUM(PL!$AD81:$BN81)=0,IF(_xlpm.CheckBlank,"",SUM(_xlfn._xlws.FILTER(PL!$AD81:$BN81,(YEAR(PL!$AD$12:$BN$12)=PL!CE$12)*(array_timeline&lt;=PL!CE$11)))))</f>
        <v>#NAME?</v>
      </c>
      <c r="CF81" s="88"/>
      <c r="CG81" s="1461" t="e" cm="1">
        <f t="array" ca="1" aca="1" ref="CG81">_xlfn.LET(_xlpm.CheckBlank,SUM(PL!$AD81:$BN81)=0,IF(_xlpm.CheckBlank,"",SUM(_xlfn._xlws.FILTER(PL!$AD81:$BN81,(YEAR(PL!$AD$12:$BN$12)=PL!CG$12)*(array_timeline&lt;=PL!CG$11)))))</f>
        <v>#NAME?</v>
      </c>
      <c r="CH81" s="1461" t="e" cm="1">
        <f t="array" ca="1" aca="1" ref="CH81">_xlfn.LET(_xlpm.CheckBlank,SUM(PL!$AD81:$BN81)=0,IF(_xlpm.CheckBlank,"",SUM(_xlfn._xlws.FILTER(PL!$AD81:$BN81,(YEAR(PL!$AD$12:$BN$12)=PL!CH$12)*(array_timeline&lt;=PL!CH$11)))))</f>
        <v>#NAME?</v>
      </c>
      <c r="CI81" s="88"/>
      <c r="CJ81" s="1461" cm="1">
        <f t="array" ref="CJ81">_xlfn.LET(_xlpm.CheckBlank,SUM(PL!$AD81:$BN81)=0,IF(_xlpm.CheckBlank,"",SUM(_xlfn.TAKE(_xlfn.DROP(PL!$AD81:$BN81,,-DATEDIFF(PL!CJ$11,val_asOfDate,"M")),1,-12))))</f>
        <v>36</v>
      </c>
      <c r="CK81" s="1461" cm="1">
        <f t="array" ref="CK81">_xlfn.LET(_xlpm.CheckBlank,SUM(PL!$AD81:$BN81)=0,IF(_xlpm.CheckBlank,"",SUM(_xlfn.TAKE(_xlfn.DROP(PL!$AD81:$BN81,,-DATEDIFF(PL!CK$11,val_asOfDate,"M")),1,-12))))</f>
        <v>36</v>
      </c>
      <c r="CL81" s="88"/>
      <c r="CM81" s="2446">
        <f t="shared" si="26"/>
        <v>3</v>
      </c>
      <c r="CN81" s="2446">
        <f t="shared" si="23"/>
        <v>3</v>
      </c>
      <c r="CO81" s="1169"/>
      <c r="CP81" s="2446">
        <f t="shared" si="27"/>
        <v>3</v>
      </c>
      <c r="CQ81" s="2446">
        <f t="shared" si="24"/>
        <v>3</v>
      </c>
      <c r="CR81" s="34"/>
      <c r="CS81" s="2056"/>
      <c r="CT81" s="2085" t="e" cm="1">
        <f t="array" ca="1" aca="1" ref="CT81">IF(K81&lt;&gt;"Yes","",IF(OR(Y81="Select,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III"),"",IF(OR(Y81&lt;&gt;AB81,AND(LEN(B81)=0,NOT(OR(Y81="Select,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III")))),_xldudf_CX_PUSH(Y81,CX_ENTITY,C81,EOMONTH(val_asOfDate,0)),"")))</f>
        <v>#NAME?</v>
      </c>
      <c r="CU81" s="2085" t="e" cm="1">
        <f t="array" ca="1" aca="1" ref="CU81">IF(K81&lt;&gt;"Yes","",IF(OR(Y81="Select,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III"),"",IF(OR(Y81&lt;&gt;AB81,AND(LEN(B81)=0,NOT(OR(Y81="Select,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III")))),_xldudf_CX_PUSH(Y81,CX_ENTITY,C81,EOMONTH(val_asOfDate,1)),"")))</f>
        <v>#NAME?</v>
      </c>
      <c r="CV81" s="2085" t="e" cm="1">
        <f t="array" ca="1" aca="1" ref="CV81">IF(K81&lt;&gt;"Yes","",IF(OR(Y81="Select,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III"),"",IF(OR(Y81&lt;&gt;AB81,AND(LEN(B81)=0,NOT(OR(Y81="Select,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III")))),_xldudf_CX_PUSH(Y81,CX_ENTITY,C81,EOMONTH(val_asOfDate,2)),"")))</f>
        <v>#NAME?</v>
      </c>
      <c r="CW81" s="2085" t="e" cm="1">
        <f t="array" ca="1" aca="1" ref="CW81">IF(K81&lt;&gt;"Yes","",IF(OR(Y81="Select,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III"),"",IF(OR(Y81&lt;&gt;AB81,AND(LEN(B81)=0,NOT(OR(Y81="Select,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III")))),_xldudf_CX_PUSH(Y81,CX_ENTITY,C81,EOMONTH(val_asOfDate,3)),"")))</f>
        <v>#NAME?</v>
      </c>
      <c r="CX81" s="2443"/>
      <c r="CY81" s="1880"/>
      <c r="CZ81" s="1880"/>
      <c r="DA81" s="1880"/>
      <c r="DB81" s="1880"/>
      <c r="DC81" s="2121"/>
      <c r="DD81" s="2445" t="str" cm="1">
        <f t="array" ca="1" aca="1" ref="DD81">IFERROR(IF(AD81*fxVal_normal=_PL!AD81,"",IF(OR(AD81="",NOT(ISNUMBER(AD81)),ISERROR(AD81),$B81=""),"",IF($I81=1,IFBLANK(_xldudf_CX_PUSH(AD81*fxVal_normal,CX_ENTITY,$B81,AD$11,AD$14,AD$75,),""),IF($I81=2,IFBLANK(_xldudf_CX_PUSH(AD81,CX_ENTITY,$B81,AD$11,AD$14,AD$75,),""),IF($I81=3,"",IFBLANK(_xldudf_CX_PUSH(AD81,CX_ENTITY,$B81,AD$11,AD$14,AD$75,),"")))))),"")</f>
        <v/>
      </c>
      <c r="DE81" s="2445" t="str" cm="1">
        <f t="array" ca="1" aca="1" ref="DE81">IFERROR(IF(AE81*fxVal_normal=_PL!AE81,"",IF(OR(AE81="",NOT(ISNUMBER(AE81)),ISERROR(AE81),$B81=""),"",IF($I81=1,IFBLANK(_xldudf_CX_PUSH(AE81*fxVal_normal,CX_ENTITY,$B81,AE$11,AE$14,AE$75,),""),IF($I81=2,IFBLANK(_xldudf_CX_PUSH(AE81,CX_ENTITY,$B81,AE$11,AE$14,AE$75,),""),IF($I81=3,"",IFBLANK(_xldudf_CX_PUSH(AE81,CX_ENTITY,$B81,AE$11,AE$14,AE$75,),"")))))),"")</f>
        <v/>
      </c>
      <c r="DF81" s="2445" t="str" cm="1">
        <f t="array" ca="1" aca="1" ref="DF81">IFERROR(IF(AF81*fxVal_normal=_PL!AF81,"",IF(OR(AF81="",NOT(ISNUMBER(AF81)),ISERROR(AF81),$B81=""),"",IF($I81=1,IFBLANK(_xldudf_CX_PUSH(AF81*fxVal_normal,CX_ENTITY,$B81,AF$11,AF$14,AF$75,),""),IF($I81=2,IFBLANK(_xldudf_CX_PUSH(AF81,CX_ENTITY,$B81,AF$11,AF$14,AF$75,),""),IF($I81=3,"",IFBLANK(_xldudf_CX_PUSH(AF81,CX_ENTITY,$B81,AF$11,AF$14,AF$75,),"")))))),"")</f>
        <v/>
      </c>
      <c r="DG81" s="2445" t="str" cm="1">
        <f t="array" ca="1" aca="1" ref="DG81">IFERROR(IF(AG81*fxVal_normal=_PL!AG81,"",IF(OR(AG81="",NOT(ISNUMBER(AG81)),ISERROR(AG81),$B81=""),"",IF($I81=1,IFBLANK(_xldudf_CX_PUSH(AG81*fxVal_normal,CX_ENTITY,$B81,AG$11,AG$14,AG$75,),""),IF($I81=2,IFBLANK(_xldudf_CX_PUSH(AG81,CX_ENTITY,$B81,AG$11,AG$14,AG$75,),""),IF($I81=3,"",IFBLANK(_xldudf_CX_PUSH(AG81,CX_ENTITY,$B81,AG$11,AG$14,AG$75,),"")))))),"")</f>
        <v/>
      </c>
      <c r="DH81" s="2445" t="str" cm="1">
        <f t="array" ca="1" aca="1" ref="DH81">IFERROR(IF(AH81*fxVal_normal=_PL!AH81,"",IF(OR(AH81="",NOT(ISNUMBER(AH81)),ISERROR(AH81),$B81=""),"",IF($I81=1,IFBLANK(_xldudf_CX_PUSH(AH81*fxVal_normal,CX_ENTITY,$B81,AH$11,AH$14,AH$75,),""),IF($I81=2,IFBLANK(_xldudf_CX_PUSH(AH81,CX_ENTITY,$B81,AH$11,AH$14,AH$75,),""),IF($I81=3,"",IFBLANK(_xldudf_CX_PUSH(AH81,CX_ENTITY,$B81,AH$11,AH$14,AH$75,),"")))))),"")</f>
        <v/>
      </c>
      <c r="DI81" s="2445" t="str" cm="1">
        <f t="array" ca="1" aca="1" ref="DI81">IFERROR(IF(AI81*fxVal_normal=_PL!AI81,"",IF(OR(AI81="",NOT(ISNUMBER(AI81)),ISERROR(AI81),$B81=""),"",IF($I81=1,IFBLANK(_xldudf_CX_PUSH(AI81*fxVal_normal,CX_ENTITY,$B81,AI$11,AI$14,AI$75,),""),IF($I81=2,IFBLANK(_xldudf_CX_PUSH(AI81,CX_ENTITY,$B81,AI$11,AI$14,AI$75,),""),IF($I81=3,"",IFBLANK(_xldudf_CX_PUSH(AI81,CX_ENTITY,$B81,AI$11,AI$14,AI$75,),"")))))),"")</f>
        <v/>
      </c>
      <c r="DJ81" s="2445" t="str" cm="1">
        <f t="array" ca="1" aca="1" ref="DJ81">IFERROR(IF(AJ81*fxVal_normal=_PL!AJ81,"",IF(OR(AJ81="",NOT(ISNUMBER(AJ81)),ISERROR(AJ81),$B81=""),"",IF($I81=1,IFBLANK(_xldudf_CX_PUSH(AJ81*fxVal_normal,CX_ENTITY,$B81,AJ$11,AJ$14,AJ$75,),""),IF($I81=2,IFBLANK(_xldudf_CX_PUSH(AJ81,CX_ENTITY,$B81,AJ$11,AJ$14,AJ$75,),""),IF($I81=3,"",IFBLANK(_xldudf_CX_PUSH(AJ81,CX_ENTITY,$B81,AJ$11,AJ$14,AJ$75,),"")))))),"")</f>
        <v/>
      </c>
      <c r="DK81" s="2445" t="str" cm="1">
        <f t="array" ca="1" aca="1" ref="DK81">IFERROR(IF(AK81*fxVal_normal=_PL!AK81,"",IF(OR(AK81="",NOT(ISNUMBER(AK81)),ISERROR(AK81),$B81=""),"",IF($I81=1,IFBLANK(_xldudf_CX_PUSH(AK81*fxVal_normal,CX_ENTITY,$B81,AK$11,AK$14,AK$75,),""),IF($I81=2,IFBLANK(_xldudf_CX_PUSH(AK81,CX_ENTITY,$B81,AK$11,AK$14,AK$75,),""),IF($I81=3,"",IFBLANK(_xldudf_CX_PUSH(AK81,CX_ENTITY,$B81,AK$11,AK$14,AK$75,),"")))))),"")</f>
        <v/>
      </c>
      <c r="DL81" s="2445" t="str" cm="1">
        <f t="array" ca="1" aca="1" ref="DL81">IFERROR(IF(AL81*fxVal_normal=_PL!AL81,"",IF(OR(AL81="",NOT(ISNUMBER(AL81)),ISERROR(AL81),$B81=""),"",IF($I81=1,IFBLANK(_xldudf_CX_PUSH(AL81*fxVal_normal,CX_ENTITY,$B81,AL$11,AL$14,AL$75,),""),IF($I81=2,IFBLANK(_xldudf_CX_PUSH(AL81,CX_ENTITY,$B81,AL$11,AL$14,AL$75,),""),IF($I81=3,"",IFBLANK(_xldudf_CX_PUSH(AL81,CX_ENTITY,$B81,AL$11,AL$14,AL$75,),"")))))),"")</f>
        <v/>
      </c>
      <c r="DM81" s="2445" t="str" cm="1">
        <f t="array" ca="1" aca="1" ref="DM81">IFERROR(IF(AM81*fxVal_normal=_PL!AM81,"",IF(OR(AM81="",NOT(ISNUMBER(AM81)),ISERROR(AM81),$B81=""),"",IF($I81=1,IFBLANK(_xldudf_CX_PUSH(AM81*fxVal_normal,CX_ENTITY,$B81,AM$11,AM$14,AM$75,),""),IF($I81=2,IFBLANK(_xldudf_CX_PUSH(AM81,CX_ENTITY,$B81,AM$11,AM$14,AM$75,),""),IF($I81=3,"",IFBLANK(_xldudf_CX_PUSH(AM81,CX_ENTITY,$B81,AM$11,AM$14,AM$75,),"")))))),"")</f>
        <v/>
      </c>
      <c r="DN81" s="2445" t="str" cm="1">
        <f t="array" ca="1" aca="1" ref="DN81">IFERROR(IF(AN81*fxVal_normal=_PL!AN81,"",IF(OR(AN81="",NOT(ISNUMBER(AN81)),ISERROR(AN81),$B81=""),"",IF($I81=1,IFBLANK(_xldudf_CX_PUSH(AN81*fxVal_normal,CX_ENTITY,$B81,AN$11,AN$14,AN$75,),""),IF($I81=2,IFBLANK(_xldudf_CX_PUSH(AN81,CX_ENTITY,$B81,AN$11,AN$14,AN$75,),""),IF($I81=3,"",IFBLANK(_xldudf_CX_PUSH(AN81,CX_ENTITY,$B81,AN$11,AN$14,AN$75,),"")))))),"")</f>
        <v/>
      </c>
      <c r="DO81" s="2445" t="str" cm="1">
        <f t="array" ca="1" aca="1" ref="DO81">IFERROR(IF(AO81*fxVal_normal=_PL!AO81,"",IF(OR(AO81="",NOT(ISNUMBER(AO81)),ISERROR(AO81),$B81=""),"",IF($I81=1,IFBLANK(_xldudf_CX_PUSH(AO81*fxVal_normal,CX_ENTITY,$B81,AO$11,AO$14,AO$75,),""),IF($I81=2,IFBLANK(_xldudf_CX_PUSH(AO81,CX_ENTITY,$B81,AO$11,AO$14,AO$75,),""),IF($I81=3,"",IFBLANK(_xldudf_CX_PUSH(AO81,CX_ENTITY,$B81,AO$11,AO$14,AO$75,),"")))))),"")</f>
        <v/>
      </c>
      <c r="DP81" s="2445" t="str" cm="1">
        <f t="array" ca="1" aca="1" ref="DP81">IFERROR(IF(AP81*fxVal_normal=_PL!AP81,"",IF(OR(AP81="",NOT(ISNUMBER(AP81)),ISERROR(AP81),$B81=""),"",IF($I81=1,IFBLANK(_xldudf_CX_PUSH(AP81*fxVal_normal,CX_ENTITY,$B81,AP$11,AP$14,AP$75,),""),IF($I81=2,IFBLANK(_xldudf_CX_PUSH(AP81,CX_ENTITY,$B81,AP$11,AP$14,AP$75,),""),IF($I81=3,"",IFBLANK(_xldudf_CX_PUSH(AP81,CX_ENTITY,$B81,AP$11,AP$14,AP$75,),"")))))),"")</f>
        <v/>
      </c>
      <c r="DQ81" s="2445" t="str" cm="1">
        <f t="array" ca="1" aca="1" ref="DQ81">IFERROR(IF(AQ81*fxVal_normal=_PL!AQ81,"",IF(OR(AQ81="",NOT(ISNUMBER(AQ81)),ISERROR(AQ81),$B81=""),"",IF($I81=1,IFBLANK(_xldudf_CX_PUSH(AQ81*fxVal_normal,CX_ENTITY,$B81,AQ$11,AQ$14,AQ$75,),""),IF($I81=2,IFBLANK(_xldudf_CX_PUSH(AQ81,CX_ENTITY,$B81,AQ$11,AQ$14,AQ$75,),""),IF($I81=3,"",IFBLANK(_xldudf_CX_PUSH(AQ81,CX_ENTITY,$B81,AQ$11,AQ$14,AQ$75,),"")))))),"")</f>
        <v/>
      </c>
      <c r="DR81" s="2445" t="str" cm="1">
        <f t="array" ca="1" aca="1" ref="DR81">IFERROR(IF(AR81*fxVal_normal=_PL!AR81,"",IF(OR(AR81="",NOT(ISNUMBER(AR81)),ISERROR(AR81),$B81=""),"",IF($I81=1,IFBLANK(_xldudf_CX_PUSH(AR81*fxVal_normal,CX_ENTITY,$B81,AR$11,AR$14,AR$75,),""),IF($I81=2,IFBLANK(_xldudf_CX_PUSH(AR81,CX_ENTITY,$B81,AR$11,AR$14,AR$75,),""),IF($I81=3,"",IFBLANK(_xldudf_CX_PUSH(AR81,CX_ENTITY,$B81,AR$11,AR$14,AR$75,),"")))))),"")</f>
        <v/>
      </c>
      <c r="DS81" s="2445" t="str" cm="1">
        <f t="array" ca="1" aca="1" ref="DS81">IFERROR(IF(AS81*fxVal_normal=_PL!AS81,"",IF(OR(AS81="",NOT(ISNUMBER(AS81)),ISERROR(AS81),$B81=""),"",IF($I81=1,IFBLANK(_xldudf_CX_PUSH(AS81*fxVal_normal,CX_ENTITY,$B81,AS$11,AS$14,AS$75,),""),IF($I81=2,IFBLANK(_xldudf_CX_PUSH(AS81,CX_ENTITY,$B81,AS$11,AS$14,AS$75,),""),IF($I81=3,"",IFBLANK(_xldudf_CX_PUSH(AS81,CX_ENTITY,$B81,AS$11,AS$14,AS$75,),"")))))),"")</f>
        <v/>
      </c>
      <c r="DT81" s="2445" t="str" cm="1">
        <f t="array" ca="1" aca="1" ref="DT81">IFERROR(IF(AT81*fxVal_normal=_PL!AT81,"",IF(OR(AT81="",NOT(ISNUMBER(AT81)),ISERROR(AT81),$B81=""),"",IF($I81=1,IFBLANK(_xldudf_CX_PUSH(AT81*fxVal_normal,CX_ENTITY,$B81,AT$11,AT$14,AT$75,),""),IF($I81=2,IFBLANK(_xldudf_CX_PUSH(AT81,CX_ENTITY,$B81,AT$11,AT$14,AT$75,),""),IF($I81=3,"",IFBLANK(_xldudf_CX_PUSH(AT81,CX_ENTITY,$B81,AT$11,AT$14,AT$75,),"")))))),"")</f>
        <v/>
      </c>
      <c r="DU81" s="2445" t="str" cm="1">
        <f t="array" ca="1" aca="1" ref="DU81">IFERROR(IF(AU81*fxVal_normal=_PL!AU81,"",IF(OR(AU81="",NOT(ISNUMBER(AU81)),ISERROR(AU81),$B81=""),"",IF($I81=1,IFBLANK(_xldudf_CX_PUSH(AU81*fxVal_normal,CX_ENTITY,$B81,AU$11,AU$14,AU$75,),""),IF($I81=2,IFBLANK(_xldudf_CX_PUSH(AU81,CX_ENTITY,$B81,AU$11,AU$14,AU$75,),""),IF($I81=3,"",IFBLANK(_xldudf_CX_PUSH(AU81,CX_ENTITY,$B81,AU$11,AU$14,AU$75,),"")))))),"")</f>
        <v/>
      </c>
      <c r="DV81" s="2445" t="str" cm="1">
        <f t="array" ca="1" aca="1" ref="DV81">IFERROR(IF(AV81*fxVal_normal=_PL!AV81,"",IF(OR(AV81="",NOT(ISNUMBER(AV81)),ISERROR(AV81),$B81=""),"",IF($I81=1,IFBLANK(_xldudf_CX_PUSH(AV81*fxVal_normal,CX_ENTITY,$B81,AV$11,AV$14,AV$75,),""),IF($I81=2,IFBLANK(_xldudf_CX_PUSH(AV81,CX_ENTITY,$B81,AV$11,AV$14,AV$75,),""),IF($I81=3,"",IFBLANK(_xldudf_CX_PUSH(AV81,CX_ENTITY,$B81,AV$11,AV$14,AV$75,),"")))))),"")</f>
        <v/>
      </c>
      <c r="DW81" s="2445" t="str" cm="1">
        <f t="array" ca="1" aca="1" ref="DW81">IFERROR(IF(AW81*fxVal_normal=_PL!AW81,"",IF(OR(AW81="",NOT(ISNUMBER(AW81)),ISERROR(AW81),$B81=""),"",IF($I81=1,IFBLANK(_xldudf_CX_PUSH(AW81*fxVal_normal,CX_ENTITY,$B81,AW$11,AW$14,AW$75,),""),IF($I81=2,IFBLANK(_xldudf_CX_PUSH(AW81,CX_ENTITY,$B81,AW$11,AW$14,AW$75,),""),IF($I81=3,"",IFBLANK(_xldudf_CX_PUSH(AW81,CX_ENTITY,$B81,AW$11,AW$14,AW$75,),"")))))),"")</f>
        <v/>
      </c>
      <c r="DX81" s="2445" t="str" cm="1">
        <f t="array" ca="1" aca="1" ref="DX81">IFERROR(IF(AX81*fxVal_normal=_PL!AX81,"",IF(OR(AX81="",NOT(ISNUMBER(AX81)),ISERROR(AX81),$B81=""),"",IF($I81=1,IFBLANK(_xldudf_CX_PUSH(AX81*fxVal_normal,CX_ENTITY,$B81,AX$11,AX$14,AX$75,),""),IF($I81=2,IFBLANK(_xldudf_CX_PUSH(AX81,CX_ENTITY,$B81,AX$11,AX$14,AX$75,),""),IF($I81=3,"",IFBLANK(_xldudf_CX_PUSH(AX81,CX_ENTITY,$B81,AX$11,AX$14,AX$75,),"")))))),"")</f>
        <v/>
      </c>
      <c r="DY81" s="2445" t="str" cm="1">
        <f t="array" ca="1" aca="1" ref="DY81">IFERROR(IF(AY81*fxVal_normal=_PL!AY81,"",IF(OR(AY81="",NOT(ISNUMBER(AY81)),ISERROR(AY81),$B81=""),"",IF($I81=1,IFBLANK(_xldudf_CX_PUSH(AY81*fxVal_normal,CX_ENTITY,$B81,AY$11,AY$14,AY$75,),""),IF($I81=2,IFBLANK(_xldudf_CX_PUSH(AY81,CX_ENTITY,$B81,AY$11,AY$14,AY$75,),""),IF($I81=3,"",IFBLANK(_xldudf_CX_PUSH(AY81,CX_ENTITY,$B81,AY$11,AY$14,AY$75,),"")))))),"")</f>
        <v/>
      </c>
      <c r="DZ81" s="2445" t="str" cm="1">
        <f t="array" ca="1" aca="1" ref="DZ81">IFERROR(IF(AZ81*fxVal_normal=_PL!AZ81,"",IF(OR(AZ81="",NOT(ISNUMBER(AZ81)),ISERROR(AZ81),$B81=""),"",IF($I81=1,IFBLANK(_xldudf_CX_PUSH(AZ81*fxVal_normal,CX_ENTITY,$B81,AZ$11,AZ$14,AZ$75,),""),IF($I81=2,IFBLANK(_xldudf_CX_PUSH(AZ81,CX_ENTITY,$B81,AZ$11,AZ$14,AZ$75,),""),IF($I81=3,"",IFBLANK(_xldudf_CX_PUSH(AZ81,CX_ENTITY,$B81,AZ$11,AZ$14,AZ$75,),"")))))),"")</f>
        <v/>
      </c>
      <c r="EA81" s="2445" t="str" cm="1">
        <f t="array" ca="1" aca="1" ref="EA81">IFERROR(IF(BA81*fxVal_normal=_PL!BA81,"",IF(OR(BA81="",NOT(ISNUMBER(BA81)),ISERROR(BA81),$B81=""),"",IF($I81=1,IFBLANK(_xldudf_CX_PUSH(BA81*fxVal_normal,CX_ENTITY,$B81,BA$11,BA$14,BA$75,),""),IF($I81=2,IFBLANK(_xldudf_CX_PUSH(BA81,CX_ENTITY,$B81,BA$11,BA$14,BA$75,),""),IF($I81=3,"",IFBLANK(_xldudf_CX_PUSH(BA81,CX_ENTITY,$B81,BA$11,BA$14,BA$75,),"")))))),"")</f>
        <v/>
      </c>
      <c r="EB81" s="2445" t="str" cm="1">
        <f t="array" ca="1" aca="1" ref="EB81">IFERROR(IF(BB81*fxVal_normal=_PL!BB81,"",IF(OR(BB81="",NOT(ISNUMBER(BB81)),ISERROR(BB81),$B81=""),"",IF($I81=1,IFBLANK(_xldudf_CX_PUSH(BB81*fxVal_normal,CX_ENTITY,$B81,BB$11,BB$14,BB$75,),""),IF($I81=2,IFBLANK(_xldudf_CX_PUSH(BB81,CX_ENTITY,$B81,BB$11,BB$14,BB$75,),""),IF($I81=3,"",IFBLANK(_xldudf_CX_PUSH(BB81,CX_ENTITY,$B81,BB$11,BB$14,BB$75,),"")))))),"")</f>
        <v/>
      </c>
      <c r="EC81" s="2445" t="str" cm="1">
        <f t="array" ca="1" aca="1" ref="EC81">IFERROR(IF(BC81*fxVal_normal=_PL!BC81,"",IF(OR(BC81="",NOT(ISNUMBER(BC81)),ISERROR(BC81),$B81=""),"",IF($I81=1,IFBLANK(_xldudf_CX_PUSH(BC81*fxVal_normal,CX_ENTITY,$B81,BC$11,BC$14,BC$75,),""),IF($I81=2,IFBLANK(_xldudf_CX_PUSH(BC81,CX_ENTITY,$B81,BC$11,BC$14,BC$75,),""),IF($I81=3,"",IFBLANK(_xldudf_CX_PUSH(BC81,CX_ENTITY,$B81,BC$11,BC$14,BC$75,),"")))))),"")</f>
        <v/>
      </c>
      <c r="ED81" s="2445" t="str" cm="1">
        <f t="array" ca="1" aca="1" ref="ED81">IFERROR(IF(BD81*fxVal_normal=_PL!BD81,"",IF(OR(BD81="",NOT(ISNUMBER(BD81)),ISERROR(BD81),$B81=""),"",IF($I81=1,IFBLANK(_xldudf_CX_PUSH(BD81*fxVal_normal,CX_ENTITY,$B81,BD$11,BD$14,BD$75,),""),IF($I81=2,IFBLANK(_xldudf_CX_PUSH(BD81,CX_ENTITY,$B81,BD$11,BD$14,BD$75,),""),IF($I81=3,"",IFBLANK(_xldudf_CX_PUSH(BD81,CX_ENTITY,$B81,BD$11,BD$14,BD$75,),"")))))),"")</f>
        <v/>
      </c>
      <c r="EE81" s="2445" t="str" cm="1">
        <f t="array" ca="1" aca="1" ref="EE81">IFERROR(IF(BE81*fxVal_normal=_PL!BE81,"",IF(OR(BE81="",NOT(ISNUMBER(BE81)),ISERROR(BE81),$B81=""),"",IF($I81=1,IFBLANK(_xldudf_CX_PUSH(BE81*fxVal_normal,CX_ENTITY,$B81,BE$11,BE$14,BE$75,),""),IF($I81=2,IFBLANK(_xldudf_CX_PUSH(BE81,CX_ENTITY,$B81,BE$11,BE$14,BE$75,),""),IF($I81=3,"",IFBLANK(_xldudf_CX_PUSH(BE81,CX_ENTITY,$B81,BE$11,BE$14,BE$75,),"")))))),"")</f>
        <v/>
      </c>
      <c r="EF81" s="2445" t="str" cm="1">
        <f t="array" ca="1" aca="1" ref="EF81">IFERROR(IF(BF81*fxVal_normal=_PL!BF81,"",IF(OR(BF81="",NOT(ISNUMBER(BF81)),ISERROR(BF81),$B81=""),"",IF($I81=1,IFBLANK(_xldudf_CX_PUSH(BF81*fxVal_normal,CX_ENTITY,$B81,BF$11,BF$14,BF$75,),""),IF($I81=2,IFBLANK(_xldudf_CX_PUSH(BF81,CX_ENTITY,$B81,BF$11,BF$14,BF$75,),""),IF($I81=3,"",IFBLANK(_xldudf_CX_PUSH(BF81,CX_ENTITY,$B81,BF$11,BF$14,BF$75,),"")))))),"")</f>
        <v/>
      </c>
      <c r="EG81" s="2445" t="str" cm="1">
        <f t="array" ca="1" aca="1" ref="EG81">IFERROR(IF(BG81*fxVal_normal=_PL!BG81,"",IF(OR(BG81="",NOT(ISNUMBER(BG81)),ISERROR(BG81),$B81=""),"",IF($I81=1,IFBLANK(_xldudf_CX_PUSH(BG81*fxVal_normal,CX_ENTITY,$B81,BG$11,BG$14,BG$75,),""),IF($I81=2,IFBLANK(_xldudf_CX_PUSH(BG81,CX_ENTITY,$B81,BG$11,BG$14,BG$75,),""),IF($I81=3,"",IFBLANK(_xldudf_CX_PUSH(BG81,CX_ENTITY,$B81,BG$11,BG$14,BG$75,),"")))))),"")</f>
        <v/>
      </c>
      <c r="EH81" s="2445" t="str" cm="1">
        <f t="array" ca="1" aca="1" ref="EH81">IFERROR(IF(BH81*fxVal_normal=_PL!BH81,"",IF(OR(BH81="",NOT(ISNUMBER(BH81)),ISERROR(BH81),$B81=""),"",IF($I81=1,IFBLANK(_xldudf_CX_PUSH(BH81*fxVal_normal,CX_ENTITY,$B81,BH$11,BH$14,BH$75,),""),IF($I81=2,IFBLANK(_xldudf_CX_PUSH(BH81,CX_ENTITY,$B81,BH$11,BH$14,BH$75,),""),IF($I81=3,"",IFBLANK(_xldudf_CX_PUSH(BH81,CX_ENTITY,$B81,BH$11,BH$14,BH$75,),"")))))),"")</f>
        <v/>
      </c>
      <c r="EI81" s="2445" t="str" cm="1">
        <f t="array" ca="1" aca="1" ref="EI81">IFERROR(IF(BI81*fxVal_normal=_PL!BI81,"",IF(OR(BI81="",NOT(ISNUMBER(BI81)),ISERROR(BI81),$B81=""),"",IF($I81=1,IFBLANK(_xldudf_CX_PUSH(BI81*fxVal_normal,CX_ENTITY,$B81,BI$11,BI$14,BI$75,),""),IF($I81=2,IFBLANK(_xldudf_CX_PUSH(BI81,CX_ENTITY,$B81,BI$11,BI$14,BI$75,),""),IF($I81=3,"",IFBLANK(_xldudf_CX_PUSH(BI81,CX_ENTITY,$B81,BI$11,BI$14,BI$75,),"")))))),"")</f>
        <v/>
      </c>
      <c r="EJ81" s="2445" t="str" cm="1">
        <f t="array" ca="1" aca="1" ref="EJ81">IFERROR(IF(BJ81*fxVal_normal=_PL!BJ81,"",IF(OR(BJ81="",NOT(ISNUMBER(BJ81)),ISERROR(BJ81),$B81=""),"",IF($I81=1,IFBLANK(_xldudf_CX_PUSH(BJ81*fxVal_normal,CX_ENTITY,$B81,BJ$11,BJ$14,BJ$75,),""),IF($I81=2,IFBLANK(_xldudf_CX_PUSH(BJ81,CX_ENTITY,$B81,BJ$11,BJ$14,BJ$75,),""),IF($I81=3,"",IFBLANK(_xldudf_CX_PUSH(BJ81,CX_ENTITY,$B81,BJ$11,BJ$14,BJ$75,),"")))))),"")</f>
        <v/>
      </c>
      <c r="EK81" s="2445" t="str" cm="1">
        <f t="array" ca="1" aca="1" ref="EK81">IFERROR(IF(BK81*fxVal_normal=_PL!BK81,"",IF(OR(BK81="",NOT(ISNUMBER(BK81)),ISERROR(BK81),$B81=""),"",IF($I81=1,IFBLANK(_xldudf_CX_PUSH(BK81*fxVal_normal,CX_ENTITY,$B81,BK$11,BK$14,BK$75,),""),IF($I81=2,IFBLANK(_xldudf_CX_PUSH(BK81,CX_ENTITY,$B81,BK$11,BK$14,BK$75,),""),IF($I81=3,"",IFBLANK(_xldudf_CX_PUSH(BK81,CX_ENTITY,$B81,BK$11,BK$14,BK$75,),"")))))),"")</f>
        <v/>
      </c>
      <c r="EL81" s="2445" t="str" cm="1">
        <f t="array" ca="1" aca="1" ref="EL81">IFERROR(IF(BL81*fxVal_normal=_PL!BL81,"",IF(OR(BL81="",NOT(ISNUMBER(BL81)),ISERROR(BL81),$B81=""),"",IF($I81=1,IFBLANK(_xldudf_CX_PUSH(BL81*fxVal_normal,CX_ENTITY,$B81,BL$11,BL$14,BL$75,),""),IF($I81=2,IFBLANK(_xldudf_CX_PUSH(BL81,CX_ENTITY,$B81,BL$11,BL$14,BL$75,),""),IF($I81=3,"",IFBLANK(_xldudf_CX_PUSH(BL81,CX_ENTITY,$B81,BL$11,BL$14,BL$75,),"")))))),"")</f>
        <v/>
      </c>
      <c r="EM81" s="2445" t="str" cm="1">
        <f t="array" ca="1" aca="1" ref="EM81">IFERROR(IF(BM81*fxVal_normal=_PL!BM81,"",IF(OR(BM81="",NOT(ISNUMBER(BM81)),ISERROR(BM81),$B81=""),"",IF($I81=1,IFBLANK(_xldudf_CX_PUSH(BM81*fxVal_normal,CX_ENTITY,$B81,BM$11,BM$14,BM$75,),""),IF($I81=2,IFBLANK(_xldudf_CX_PUSH(BM81,CX_ENTITY,$B81,BM$11,BM$14,BM$75,),""),IF($I81=3,"",IFBLANK(_xldudf_CX_PUSH(BM81,CX_ENTITY,$B81,BM$11,BM$14,BM$75,),"")))))),"")</f>
        <v/>
      </c>
      <c r="EN81" s="2445" t="str" cm="1">
        <f t="array" ca="1" aca="1" ref="EN81">IFERROR(IF(BN81*fxVal_normal=_PL!BN81,"",IF(OR(BN81="",NOT(ISNUMBER(BN81)),ISERROR(BN81),$B81=""),"",IF($I81=1,IFBLANK(_xldudf_CX_PUSH(BN81*fxVal_normal,CX_ENTITY,$B81,BN$11,BN$14,BN$75,),""),IF($I81=2,IFBLANK(_xldudf_CX_PUSH(BN81,CX_ENTITY,$B81,BN$11,BN$14,BN$75,),""),IF($I81=3,"",IFBLANK(_xldudf_CX_PUSH(BN81,CX_ENTITY,$B81,BN$11,BN$14,BN$75,),"")))))),"")</f>
        <v/>
      </c>
    </row>
    <row r="82" spans="1:144" ht="21" customHeight="1">
      <c r="A82" s="1625"/>
      <c r="B82" s="3196">
        <f>_xlfn.LET(_xlpm.IsNotAttrDynamic,D82="",_xlpm.Attr,_PL!F82,_xlpm.NotInUse,Y82=D82,_xlpm.RESULT,IF(_xlpm.IsNotAttrDynamic,_xlpm.Attr,IF(_xlpm.NotInUse,"",Y82)),IF(_xlpm.RESULT="","",_xlpm.RESULT))</f>
        <v>2</v>
      </c>
      <c r="C82" s="3463" t="str" cm="1">
        <f t="array" ref="C82">IFBLANK(_PL!C82,"")</f>
        <v>EBITDA Adjustment Type I - Label 1</v>
      </c>
      <c r="D82" s="2506" t="str">
        <f t="shared" si="32" ref="D82:D87">IF(D26="Select, enter text or leave as blank.","Set from Actual section above!",D26)</f>
        <v>Please select or type in or leave as blank (1)</v>
      </c>
      <c r="E82" s="2440" t="e" cm="1">
        <f t="array" ca="1" aca="1" ref="E8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82:$CQ82,Z82)</f>
        <v>#NAME?</v>
      </c>
      <c r="F82" s="578"/>
      <c r="G82" s="578"/>
      <c r="H82" s="401">
        <v>0</v>
      </c>
      <c r="I82" s="3280">
        <v>1</v>
      </c>
      <c r="J82" s="401" cm="1">
        <f t="array" ref="J82">IFBLANK(Z82,"")</f>
        <v>-1</v>
      </c>
      <c r="K82" s="578" t="str">
        <f t="shared" si="33" ref="K82:K87">IFERROR(IF(LEN(AB82)=0,"No",IF(LEN(J82)&gt;0,"Yes","No")),"")</f>
        <v>Yes</v>
      </c>
      <c r="L82" s="37"/>
      <c r="N82" s="158"/>
      <c r="O82" s="101"/>
      <c r="P82" s="52"/>
      <c r="Q82" s="101"/>
      <c r="R82" s="126"/>
      <c r="S82" s="101"/>
      <c r="T82" s="101"/>
      <c r="U82" s="39"/>
      <c r="V82" s="37"/>
      <c r="W82" s="91" t="str">
        <f t="shared" si="28"/>
        <v>Budget</v>
      </c>
      <c r="X82" s="2081" t="str">
        <f>_PL!X82</f>
        <v>a</v>
      </c>
      <c r="Y82" s="3197">
        <f t="shared" si="34" ref="Y82:Y87">IF(Y26="Select, enter text or leave as blank.","Set from Actual section above!",Y26)</f>
        <v>2</v>
      </c>
      <c r="Z82" s="198" cm="1">
        <f t="array" ref="Z82">_xlfn.SWITCH(TRUE,_PL!$L82=TRUE,1,_PL!$L82=FALSE,-1,_PL!$L82=-1,0,"")</f>
        <v>-1</v>
      </c>
      <c r="AA82" s="200"/>
      <c r="AB82" s="3198">
        <f t="shared" si="35" ref="AB82:AB87">Y82</f>
        <v>2</v>
      </c>
      <c r="AC82" s="2508" t="str" cm="1">
        <f t="array" ca="1" aca="1" ref="AC82">_xlfn.LET(_xlpm._termname,$AB82,_xlpm._iconname,"find",_xlpm._icon,fx_getIcon(_xlpm._iconname),_xlpm._location,_xlfn.XLOOKUP(LOWER(_xlpm._termname),LOWER(tbl_acctDef[Term]),tbl_acctDef[Term]),_xlpm._hyperlink,HYPERLINK("#"&amp;CELL("address",_xlpm._location),_xlpm._icon),IFERROR(_xlpm._hyperlink,""))</f>
        <v/>
      </c>
      <c r="AD82" s="3177">
        <v>1</v>
      </c>
      <c r="AE82" s="3177">
        <v>1</v>
      </c>
      <c r="AF82" s="3177">
        <v>1</v>
      </c>
      <c r="AG82" s="3177">
        <v>1</v>
      </c>
      <c r="AH82" s="3177">
        <v>1</v>
      </c>
      <c r="AI82" s="3177">
        <v>1</v>
      </c>
      <c r="AJ82" s="3177">
        <v>1</v>
      </c>
      <c r="AK82" s="3177">
        <v>1</v>
      </c>
      <c r="AL82" s="3177">
        <v>1</v>
      </c>
      <c r="AM82" s="3177">
        <v>1</v>
      </c>
      <c r="AN82" s="3177">
        <v>1</v>
      </c>
      <c r="AO82" s="3177">
        <v>1</v>
      </c>
      <c r="AP82" s="3177">
        <v>1</v>
      </c>
      <c r="AQ82" s="3177">
        <v>1</v>
      </c>
      <c r="AR82" s="3177">
        <v>1</v>
      </c>
      <c r="AS82" s="3177">
        <v>1</v>
      </c>
      <c r="AT82" s="3177">
        <v>1</v>
      </c>
      <c r="AU82" s="3177">
        <v>1</v>
      </c>
      <c r="AV82" s="3177">
        <v>1</v>
      </c>
      <c r="AW82" s="3177">
        <v>1</v>
      </c>
      <c r="AX82" s="3177">
        <v>1</v>
      </c>
      <c r="AY82" s="3177">
        <v>1</v>
      </c>
      <c r="AZ82" s="3177">
        <v>1</v>
      </c>
      <c r="BA82" s="3177">
        <v>1</v>
      </c>
      <c r="BB82" s="3177">
        <v>1</v>
      </c>
      <c r="BC82" s="3177">
        <v>1</v>
      </c>
      <c r="BD82" s="3177">
        <v>1</v>
      </c>
      <c r="BE82" s="3177">
        <v>1</v>
      </c>
      <c r="BF82" s="3177">
        <v>1</v>
      </c>
      <c r="BG82" s="3177">
        <v>1</v>
      </c>
      <c r="BH82" s="3177">
        <v>1</v>
      </c>
      <c r="BI82" s="3177">
        <v>1</v>
      </c>
      <c r="BJ82" s="3177">
        <v>1</v>
      </c>
      <c r="BK82" s="3177">
        <v>1</v>
      </c>
      <c r="BL82" s="3177">
        <v>1</v>
      </c>
      <c r="BM82" s="3177">
        <v>1</v>
      </c>
      <c r="BN82" s="3177">
        <v>1</v>
      </c>
      <c r="BO82" s="2442"/>
      <c r="BP82" s="2442"/>
      <c r="BQ82" s="2442"/>
      <c r="BR82" s="2442"/>
      <c r="BS82" s="2442"/>
      <c r="BT82" s="2442"/>
      <c r="BU82" s="2442"/>
      <c r="BV82" s="2442"/>
      <c r="BW82" s="2442"/>
      <c r="BX82" s="2442"/>
      <c r="BY82" s="2442"/>
      <c r="BZ82" s="2442"/>
      <c r="CA82" s="34"/>
      <c r="CC82" s="33"/>
      <c r="CD82" s="1772" t="e" cm="1">
        <f t="array" ca="1" aca="1" ref="CD82">_xlfn.LET(_xlpm.CheckBlank,SUM(PL!$AD82:$BN82)=0,IF(_xlpm.CheckBlank,"",SUM(_xlfn._xlws.FILTER(PL!$AD82:$BN82,(YEAR(PL!$AD$12:$BN$12)=PL!CD$12)*(array_timeline&lt;=PL!CD$11)))))</f>
        <v>#NAME?</v>
      </c>
      <c r="CE82" s="1772" t="e" cm="1">
        <f t="array" ca="1" aca="1" ref="CE82">_xlfn.LET(_xlpm.CheckBlank,SUM(PL!$AD82:$BN82)=0,IF(_xlpm.CheckBlank,"",SUM(_xlfn._xlws.FILTER(PL!$AD82:$BN82,(YEAR(PL!$AD$12:$BN$12)=PL!CE$12)*(array_timeline&lt;=PL!CE$11)))))</f>
        <v>#NAME?</v>
      </c>
      <c r="CF82" s="88"/>
      <c r="CG82" s="1461" t="e" cm="1">
        <f t="array" ca="1" aca="1" ref="CG82">_xlfn.LET(_xlpm.CheckBlank,SUM(PL!$AD82:$BN82)=0,IF(_xlpm.CheckBlank,"",SUM(_xlfn._xlws.FILTER(PL!$AD82:$BN82,(YEAR(PL!$AD$12:$BN$12)=PL!CG$12)*(array_timeline&lt;=PL!CG$11)))))</f>
        <v>#NAME?</v>
      </c>
      <c r="CH82" s="1461" t="e" cm="1">
        <f t="array" ca="1" aca="1" ref="CH82">_xlfn.LET(_xlpm.CheckBlank,SUM(PL!$AD82:$BN82)=0,IF(_xlpm.CheckBlank,"",SUM(_xlfn._xlws.FILTER(PL!$AD82:$BN82,(YEAR(PL!$AD$12:$BN$12)=PL!CH$12)*(array_timeline&lt;=PL!CH$11)))))</f>
        <v>#NAME?</v>
      </c>
      <c r="CI82" s="88"/>
      <c r="CJ82" s="1461" cm="1">
        <f t="array" ref="CJ82">_xlfn.LET(_xlpm.CheckBlank,SUM(PL!$AD82:$BN82)=0,IF(_xlpm.CheckBlank,"",SUM(_xlfn.TAKE(_xlfn.DROP(PL!$AD82:$BN82,,-DATEDIFF(PL!CJ$11,val_asOfDate,"M")),1,-12))))</f>
        <v>12</v>
      </c>
      <c r="CK82" s="1461" cm="1">
        <f t="array" ref="CK82">_xlfn.LET(_xlpm.CheckBlank,SUM(PL!$AD82:$BN82)=0,IF(_xlpm.CheckBlank,"",SUM(_xlfn.TAKE(_xlfn.DROP(PL!$AD82:$BN82,,-DATEDIFF(PL!CK$11,val_asOfDate,"M")),1,-12))))</f>
        <v>12</v>
      </c>
      <c r="CL82" s="88"/>
      <c r="CM82" s="3194">
        <f t="shared" si="26"/>
        <v>1</v>
      </c>
      <c r="CN82" s="3194">
        <f t="shared" si="23"/>
        <v>1</v>
      </c>
      <c r="CO82" s="1169"/>
      <c r="CP82" s="3194">
        <f t="shared" si="27"/>
        <v>1</v>
      </c>
      <c r="CQ82" s="3194">
        <f t="shared" si="24"/>
        <v>1</v>
      </c>
      <c r="CR82" s="34"/>
      <c r="CS82" s="2056"/>
      <c r="CT82" s="2447" t="e" cm="1">
        <f t="array" ca="1" aca="1" ref="CT82">IF(ISNUMBER(SEARCH("Select",$Y82)),"",_xldudf_CX_PUSH($Y82,CX_ENTITY,C82,val_asOfDate))</f>
        <v>#NAME?</v>
      </c>
      <c r="CU82" s="2447" t="e" cm="1">
        <f t="array" ca="1" aca="1" ref="CU82">IF(ISNUMBER(SEARCH("Select",$Y82)),"",_xldudf_CX_PUSH($Y82,CX_ENTITY,C82,EOMONTH(val_asOfDate,1)))</f>
        <v>#NAME?</v>
      </c>
      <c r="CV82" s="2447" t="e" cm="1">
        <f t="array" ca="1" aca="1" ref="CV82">IF(ISNUMBER(SEARCH("Select",$Y82)),"",_xldudf_CX_PUSH($Y82,CX_ENTITY,C82,EOMONTH(val_asOfDate,2)))</f>
        <v>#NAME?</v>
      </c>
      <c r="CW82" s="2447" t="e" cm="1">
        <f t="array" ca="1" aca="1" ref="CW82">IF(ISNUMBER(SEARCH("Select",$Y82)),"",_xldudf_CX_PUSH($Y82,CX_ENTITY,C82,EOMONTH(val_asOfDate,3)))</f>
        <v>#NAME?</v>
      </c>
      <c r="CX82" s="2443"/>
      <c r="CY82" s="1880"/>
      <c r="CZ82" s="1880"/>
      <c r="DA82" s="1880"/>
      <c r="DB82" s="1880"/>
      <c r="DC82" s="2121"/>
      <c r="DD82" s="2445" t="str" cm="1">
        <f t="array" ca="1" aca="1" ref="DD82">IFERROR(IF(AD82*fxVal_normal=_PL!AD82,"",IF(OR(AD82="",NOT(ISNUMBER(AD82)),ISERROR(AD82),$B82=""),"",IF($I82=1,IFBLANK(_xldudf_CX_PUSH(AD82*fxVal_normal,CX_ENTITY,$B82,AD$11,AD$14,AD$75,),""),IF($I82=2,IFBLANK(_xldudf_CX_PUSH(AD82,CX_ENTITY,$B82,AD$11,AD$14,AD$75,),""),IF($I82=3,"",IFBLANK(_xldudf_CX_PUSH(AD82,CX_ENTITY,$B82,AD$11,AD$14,AD$75,),"")))))),"")</f>
        <v/>
      </c>
      <c r="DE82" s="2445" t="str" cm="1">
        <f t="array" ca="1" aca="1" ref="DE82">IFERROR(IF(AE82*fxVal_normal=_PL!AE82,"",IF(OR(AE82="",NOT(ISNUMBER(AE82)),ISERROR(AE82),$B82=""),"",IF($I82=1,IFBLANK(_xldudf_CX_PUSH(AE82*fxVal_normal,CX_ENTITY,$B82,AE$11,AE$14,AE$75,),""),IF($I82=2,IFBLANK(_xldudf_CX_PUSH(AE82,CX_ENTITY,$B82,AE$11,AE$14,AE$75,),""),IF($I82=3,"",IFBLANK(_xldudf_CX_PUSH(AE82,CX_ENTITY,$B82,AE$11,AE$14,AE$75,),"")))))),"")</f>
        <v/>
      </c>
      <c r="DF82" s="2445" t="str" cm="1">
        <f t="array" ca="1" aca="1" ref="DF82">IFERROR(IF(AF82*fxVal_normal=_PL!AF82,"",IF(OR(AF82="",NOT(ISNUMBER(AF82)),ISERROR(AF82),$B82=""),"",IF($I82=1,IFBLANK(_xldudf_CX_PUSH(AF82*fxVal_normal,CX_ENTITY,$B82,AF$11,AF$14,AF$75,),""),IF($I82=2,IFBLANK(_xldudf_CX_PUSH(AF82,CX_ENTITY,$B82,AF$11,AF$14,AF$75,),""),IF($I82=3,"",IFBLANK(_xldudf_CX_PUSH(AF82,CX_ENTITY,$B82,AF$11,AF$14,AF$75,),"")))))),"")</f>
        <v/>
      </c>
      <c r="DG82" s="2445" t="str" cm="1">
        <f t="array" ca="1" aca="1" ref="DG82">IFERROR(IF(AG82*fxVal_normal=_PL!AG82,"",IF(OR(AG82="",NOT(ISNUMBER(AG82)),ISERROR(AG82),$B82=""),"",IF($I82=1,IFBLANK(_xldudf_CX_PUSH(AG82*fxVal_normal,CX_ENTITY,$B82,AG$11,AG$14,AG$75,),""),IF($I82=2,IFBLANK(_xldudf_CX_PUSH(AG82,CX_ENTITY,$B82,AG$11,AG$14,AG$75,),""),IF($I82=3,"",IFBLANK(_xldudf_CX_PUSH(AG82,CX_ENTITY,$B82,AG$11,AG$14,AG$75,),"")))))),"")</f>
        <v/>
      </c>
      <c r="DH82" s="2445" t="str" cm="1">
        <f t="array" ca="1" aca="1" ref="DH82">IFERROR(IF(AH82*fxVal_normal=_PL!AH82,"",IF(OR(AH82="",NOT(ISNUMBER(AH82)),ISERROR(AH82),$B82=""),"",IF($I82=1,IFBLANK(_xldudf_CX_PUSH(AH82*fxVal_normal,CX_ENTITY,$B82,AH$11,AH$14,AH$75,),""),IF($I82=2,IFBLANK(_xldudf_CX_PUSH(AH82,CX_ENTITY,$B82,AH$11,AH$14,AH$75,),""),IF($I82=3,"",IFBLANK(_xldudf_CX_PUSH(AH82,CX_ENTITY,$B82,AH$11,AH$14,AH$75,),"")))))),"")</f>
        <v/>
      </c>
      <c r="DI82" s="2445" t="str" cm="1">
        <f t="array" ca="1" aca="1" ref="DI82">IFERROR(IF(AI82*fxVal_normal=_PL!AI82,"",IF(OR(AI82="",NOT(ISNUMBER(AI82)),ISERROR(AI82),$B82=""),"",IF($I82=1,IFBLANK(_xldudf_CX_PUSH(AI82*fxVal_normal,CX_ENTITY,$B82,AI$11,AI$14,AI$75,),""),IF($I82=2,IFBLANK(_xldudf_CX_PUSH(AI82,CX_ENTITY,$B82,AI$11,AI$14,AI$75,),""),IF($I82=3,"",IFBLANK(_xldudf_CX_PUSH(AI82,CX_ENTITY,$B82,AI$11,AI$14,AI$75,),"")))))),"")</f>
        <v/>
      </c>
      <c r="DJ82" s="2445" t="str" cm="1">
        <f t="array" ca="1" aca="1" ref="DJ82">IFERROR(IF(AJ82*fxVal_normal=_PL!AJ82,"",IF(OR(AJ82="",NOT(ISNUMBER(AJ82)),ISERROR(AJ82),$B82=""),"",IF($I82=1,IFBLANK(_xldudf_CX_PUSH(AJ82*fxVal_normal,CX_ENTITY,$B82,AJ$11,AJ$14,AJ$75,),""),IF($I82=2,IFBLANK(_xldudf_CX_PUSH(AJ82,CX_ENTITY,$B82,AJ$11,AJ$14,AJ$75,),""),IF($I82=3,"",IFBLANK(_xldudf_CX_PUSH(AJ82,CX_ENTITY,$B82,AJ$11,AJ$14,AJ$75,),"")))))),"")</f>
        <v/>
      </c>
      <c r="DK82" s="2445" t="str" cm="1">
        <f t="array" ca="1" aca="1" ref="DK82">IFERROR(IF(AK82*fxVal_normal=_PL!AK82,"",IF(OR(AK82="",NOT(ISNUMBER(AK82)),ISERROR(AK82),$B82=""),"",IF($I82=1,IFBLANK(_xldudf_CX_PUSH(AK82*fxVal_normal,CX_ENTITY,$B82,AK$11,AK$14,AK$75,),""),IF($I82=2,IFBLANK(_xldudf_CX_PUSH(AK82,CX_ENTITY,$B82,AK$11,AK$14,AK$75,),""),IF($I82=3,"",IFBLANK(_xldudf_CX_PUSH(AK82,CX_ENTITY,$B82,AK$11,AK$14,AK$75,),"")))))),"")</f>
        <v/>
      </c>
      <c r="DL82" s="2445" t="str" cm="1">
        <f t="array" ca="1" aca="1" ref="DL82">IFERROR(IF(AL82*fxVal_normal=_PL!AL82,"",IF(OR(AL82="",NOT(ISNUMBER(AL82)),ISERROR(AL82),$B82=""),"",IF($I82=1,IFBLANK(_xldudf_CX_PUSH(AL82*fxVal_normal,CX_ENTITY,$B82,AL$11,AL$14,AL$75,),""),IF($I82=2,IFBLANK(_xldudf_CX_PUSH(AL82,CX_ENTITY,$B82,AL$11,AL$14,AL$75,),""),IF($I82=3,"",IFBLANK(_xldudf_CX_PUSH(AL82,CX_ENTITY,$B82,AL$11,AL$14,AL$75,),"")))))),"")</f>
        <v/>
      </c>
      <c r="DM82" s="2445" t="str" cm="1">
        <f t="array" ca="1" aca="1" ref="DM82">IFERROR(IF(AM82*fxVal_normal=_PL!AM82,"",IF(OR(AM82="",NOT(ISNUMBER(AM82)),ISERROR(AM82),$B82=""),"",IF($I82=1,IFBLANK(_xldudf_CX_PUSH(AM82*fxVal_normal,CX_ENTITY,$B82,AM$11,AM$14,AM$75,),""),IF($I82=2,IFBLANK(_xldudf_CX_PUSH(AM82,CX_ENTITY,$B82,AM$11,AM$14,AM$75,),""),IF($I82=3,"",IFBLANK(_xldudf_CX_PUSH(AM82,CX_ENTITY,$B82,AM$11,AM$14,AM$75,),"")))))),"")</f>
        <v/>
      </c>
      <c r="DN82" s="2445" t="str" cm="1">
        <f t="array" ca="1" aca="1" ref="DN82">IFERROR(IF(AN82*fxVal_normal=_PL!AN82,"",IF(OR(AN82="",NOT(ISNUMBER(AN82)),ISERROR(AN82),$B82=""),"",IF($I82=1,IFBLANK(_xldudf_CX_PUSH(AN82*fxVal_normal,CX_ENTITY,$B82,AN$11,AN$14,AN$75,),""),IF($I82=2,IFBLANK(_xldudf_CX_PUSH(AN82,CX_ENTITY,$B82,AN$11,AN$14,AN$75,),""),IF($I82=3,"",IFBLANK(_xldudf_CX_PUSH(AN82,CX_ENTITY,$B82,AN$11,AN$14,AN$75,),"")))))),"")</f>
        <v/>
      </c>
      <c r="DO82" s="2445" t="str" cm="1">
        <f t="array" ca="1" aca="1" ref="DO82">IFERROR(IF(AO82*fxVal_normal=_PL!AO82,"",IF(OR(AO82="",NOT(ISNUMBER(AO82)),ISERROR(AO82),$B82=""),"",IF($I82=1,IFBLANK(_xldudf_CX_PUSH(AO82*fxVal_normal,CX_ENTITY,$B82,AO$11,AO$14,AO$75,),""),IF($I82=2,IFBLANK(_xldudf_CX_PUSH(AO82,CX_ENTITY,$B82,AO$11,AO$14,AO$75,),""),IF($I82=3,"",IFBLANK(_xldudf_CX_PUSH(AO82,CX_ENTITY,$B82,AO$11,AO$14,AO$75,),"")))))),"")</f>
        <v/>
      </c>
      <c r="DP82" s="2445" t="str" cm="1">
        <f t="array" ca="1" aca="1" ref="DP82">IFERROR(IF(AP82*fxVal_normal=_PL!AP82,"",IF(OR(AP82="",NOT(ISNUMBER(AP82)),ISERROR(AP82),$B82=""),"",IF($I82=1,IFBLANK(_xldudf_CX_PUSH(AP82*fxVal_normal,CX_ENTITY,$B82,AP$11,AP$14,AP$75,),""),IF($I82=2,IFBLANK(_xldudf_CX_PUSH(AP82,CX_ENTITY,$B82,AP$11,AP$14,AP$75,),""),IF($I82=3,"",IFBLANK(_xldudf_CX_PUSH(AP82,CX_ENTITY,$B82,AP$11,AP$14,AP$75,),"")))))),"")</f>
        <v/>
      </c>
      <c r="DQ82" s="2445" t="str" cm="1">
        <f t="array" ca="1" aca="1" ref="DQ82">IFERROR(IF(AQ82*fxVal_normal=_PL!AQ82,"",IF(OR(AQ82="",NOT(ISNUMBER(AQ82)),ISERROR(AQ82),$B82=""),"",IF($I82=1,IFBLANK(_xldudf_CX_PUSH(AQ82*fxVal_normal,CX_ENTITY,$B82,AQ$11,AQ$14,AQ$75,),""),IF($I82=2,IFBLANK(_xldudf_CX_PUSH(AQ82,CX_ENTITY,$B82,AQ$11,AQ$14,AQ$75,),""),IF($I82=3,"",IFBLANK(_xldudf_CX_PUSH(AQ82,CX_ENTITY,$B82,AQ$11,AQ$14,AQ$75,),"")))))),"")</f>
        <v/>
      </c>
      <c r="DR82" s="2445" t="str" cm="1">
        <f t="array" ca="1" aca="1" ref="DR82">IFERROR(IF(AR82*fxVal_normal=_PL!AR82,"",IF(OR(AR82="",NOT(ISNUMBER(AR82)),ISERROR(AR82),$B82=""),"",IF($I82=1,IFBLANK(_xldudf_CX_PUSH(AR82*fxVal_normal,CX_ENTITY,$B82,AR$11,AR$14,AR$75,),""),IF($I82=2,IFBLANK(_xldudf_CX_PUSH(AR82,CX_ENTITY,$B82,AR$11,AR$14,AR$75,),""),IF($I82=3,"",IFBLANK(_xldudf_CX_PUSH(AR82,CX_ENTITY,$B82,AR$11,AR$14,AR$75,),"")))))),"")</f>
        <v/>
      </c>
      <c r="DS82" s="2445" t="str" cm="1">
        <f t="array" ca="1" aca="1" ref="DS82">IFERROR(IF(AS82*fxVal_normal=_PL!AS82,"",IF(OR(AS82="",NOT(ISNUMBER(AS82)),ISERROR(AS82),$B82=""),"",IF($I82=1,IFBLANK(_xldudf_CX_PUSH(AS82*fxVal_normal,CX_ENTITY,$B82,AS$11,AS$14,AS$75,),""),IF($I82=2,IFBLANK(_xldudf_CX_PUSH(AS82,CX_ENTITY,$B82,AS$11,AS$14,AS$75,),""),IF($I82=3,"",IFBLANK(_xldudf_CX_PUSH(AS82,CX_ENTITY,$B82,AS$11,AS$14,AS$75,),"")))))),"")</f>
        <v/>
      </c>
      <c r="DT82" s="2445" t="str" cm="1">
        <f t="array" ca="1" aca="1" ref="DT82">IFERROR(IF(AT82*fxVal_normal=_PL!AT82,"",IF(OR(AT82="",NOT(ISNUMBER(AT82)),ISERROR(AT82),$B82=""),"",IF($I82=1,IFBLANK(_xldudf_CX_PUSH(AT82*fxVal_normal,CX_ENTITY,$B82,AT$11,AT$14,AT$75,),""),IF($I82=2,IFBLANK(_xldudf_CX_PUSH(AT82,CX_ENTITY,$B82,AT$11,AT$14,AT$75,),""),IF($I82=3,"",IFBLANK(_xldudf_CX_PUSH(AT82,CX_ENTITY,$B82,AT$11,AT$14,AT$75,),"")))))),"")</f>
        <v/>
      </c>
      <c r="DU82" s="2445" t="str" cm="1">
        <f t="array" ca="1" aca="1" ref="DU82">IFERROR(IF(AU82*fxVal_normal=_PL!AU82,"",IF(OR(AU82="",NOT(ISNUMBER(AU82)),ISERROR(AU82),$B82=""),"",IF($I82=1,IFBLANK(_xldudf_CX_PUSH(AU82*fxVal_normal,CX_ENTITY,$B82,AU$11,AU$14,AU$75,),""),IF($I82=2,IFBLANK(_xldudf_CX_PUSH(AU82,CX_ENTITY,$B82,AU$11,AU$14,AU$75,),""),IF($I82=3,"",IFBLANK(_xldudf_CX_PUSH(AU82,CX_ENTITY,$B82,AU$11,AU$14,AU$75,),"")))))),"")</f>
        <v/>
      </c>
      <c r="DV82" s="2445" t="str" cm="1">
        <f t="array" ca="1" aca="1" ref="DV82">IFERROR(IF(AV82*fxVal_normal=_PL!AV82,"",IF(OR(AV82="",NOT(ISNUMBER(AV82)),ISERROR(AV82),$B82=""),"",IF($I82=1,IFBLANK(_xldudf_CX_PUSH(AV82*fxVal_normal,CX_ENTITY,$B82,AV$11,AV$14,AV$75,),""),IF($I82=2,IFBLANK(_xldudf_CX_PUSH(AV82,CX_ENTITY,$B82,AV$11,AV$14,AV$75,),""),IF($I82=3,"",IFBLANK(_xldudf_CX_PUSH(AV82,CX_ENTITY,$B82,AV$11,AV$14,AV$75,),"")))))),"")</f>
        <v/>
      </c>
      <c r="DW82" s="2445" t="str" cm="1">
        <f t="array" ca="1" aca="1" ref="DW82">IFERROR(IF(AW82*fxVal_normal=_PL!AW82,"",IF(OR(AW82="",NOT(ISNUMBER(AW82)),ISERROR(AW82),$B82=""),"",IF($I82=1,IFBLANK(_xldudf_CX_PUSH(AW82*fxVal_normal,CX_ENTITY,$B82,AW$11,AW$14,AW$75,),""),IF($I82=2,IFBLANK(_xldudf_CX_PUSH(AW82,CX_ENTITY,$B82,AW$11,AW$14,AW$75,),""),IF($I82=3,"",IFBLANK(_xldudf_CX_PUSH(AW82,CX_ENTITY,$B82,AW$11,AW$14,AW$75,),"")))))),"")</f>
        <v/>
      </c>
      <c r="DX82" s="2445" t="str" cm="1">
        <f t="array" ca="1" aca="1" ref="DX82">IFERROR(IF(AX82*fxVal_normal=_PL!AX82,"",IF(OR(AX82="",NOT(ISNUMBER(AX82)),ISERROR(AX82),$B82=""),"",IF($I82=1,IFBLANK(_xldudf_CX_PUSH(AX82*fxVal_normal,CX_ENTITY,$B82,AX$11,AX$14,AX$75,),""),IF($I82=2,IFBLANK(_xldudf_CX_PUSH(AX82,CX_ENTITY,$B82,AX$11,AX$14,AX$75,),""),IF($I82=3,"",IFBLANK(_xldudf_CX_PUSH(AX82,CX_ENTITY,$B82,AX$11,AX$14,AX$75,),"")))))),"")</f>
        <v/>
      </c>
      <c r="DY82" s="2445" t="str" cm="1">
        <f t="array" ca="1" aca="1" ref="DY82">IFERROR(IF(AY82*fxVal_normal=_PL!AY82,"",IF(OR(AY82="",NOT(ISNUMBER(AY82)),ISERROR(AY82),$B82=""),"",IF($I82=1,IFBLANK(_xldudf_CX_PUSH(AY82*fxVal_normal,CX_ENTITY,$B82,AY$11,AY$14,AY$75,),""),IF($I82=2,IFBLANK(_xldudf_CX_PUSH(AY82,CX_ENTITY,$B82,AY$11,AY$14,AY$75,),""),IF($I82=3,"",IFBLANK(_xldudf_CX_PUSH(AY82,CX_ENTITY,$B82,AY$11,AY$14,AY$75,),"")))))),"")</f>
        <v/>
      </c>
      <c r="DZ82" s="2445" t="str" cm="1">
        <f t="array" ca="1" aca="1" ref="DZ82">IFERROR(IF(AZ82*fxVal_normal=_PL!AZ82,"",IF(OR(AZ82="",NOT(ISNUMBER(AZ82)),ISERROR(AZ82),$B82=""),"",IF($I82=1,IFBLANK(_xldudf_CX_PUSH(AZ82*fxVal_normal,CX_ENTITY,$B82,AZ$11,AZ$14,AZ$75,),""),IF($I82=2,IFBLANK(_xldudf_CX_PUSH(AZ82,CX_ENTITY,$B82,AZ$11,AZ$14,AZ$75,),""),IF($I82=3,"",IFBLANK(_xldudf_CX_PUSH(AZ82,CX_ENTITY,$B82,AZ$11,AZ$14,AZ$75,),"")))))),"")</f>
        <v/>
      </c>
      <c r="EA82" s="2445" t="str" cm="1">
        <f t="array" ca="1" aca="1" ref="EA82">IFERROR(IF(BA82*fxVal_normal=_PL!BA82,"",IF(OR(BA82="",NOT(ISNUMBER(BA82)),ISERROR(BA82),$B82=""),"",IF($I82=1,IFBLANK(_xldudf_CX_PUSH(BA82*fxVal_normal,CX_ENTITY,$B82,BA$11,BA$14,BA$75,),""),IF($I82=2,IFBLANK(_xldudf_CX_PUSH(BA82,CX_ENTITY,$B82,BA$11,BA$14,BA$75,),""),IF($I82=3,"",IFBLANK(_xldudf_CX_PUSH(BA82,CX_ENTITY,$B82,BA$11,BA$14,BA$75,),"")))))),"")</f>
        <v/>
      </c>
      <c r="EB82" s="2445" t="str" cm="1">
        <f t="array" ca="1" aca="1" ref="EB82">IFERROR(IF(BB82*fxVal_normal=_PL!BB82,"",IF(OR(BB82="",NOT(ISNUMBER(BB82)),ISERROR(BB82),$B82=""),"",IF($I82=1,IFBLANK(_xldudf_CX_PUSH(BB82*fxVal_normal,CX_ENTITY,$B82,BB$11,BB$14,BB$75,),""),IF($I82=2,IFBLANK(_xldudf_CX_PUSH(BB82,CX_ENTITY,$B82,BB$11,BB$14,BB$75,),""),IF($I82=3,"",IFBLANK(_xldudf_CX_PUSH(BB82,CX_ENTITY,$B82,BB$11,BB$14,BB$75,),"")))))),"")</f>
        <v/>
      </c>
      <c r="EC82" s="2445" t="str" cm="1">
        <f t="array" ca="1" aca="1" ref="EC82">IFERROR(IF(BC82*fxVal_normal=_PL!BC82,"",IF(OR(BC82="",NOT(ISNUMBER(BC82)),ISERROR(BC82),$B82=""),"",IF($I82=1,IFBLANK(_xldudf_CX_PUSH(BC82*fxVal_normal,CX_ENTITY,$B82,BC$11,BC$14,BC$75,),""),IF($I82=2,IFBLANK(_xldudf_CX_PUSH(BC82,CX_ENTITY,$B82,BC$11,BC$14,BC$75,),""),IF($I82=3,"",IFBLANK(_xldudf_CX_PUSH(BC82,CX_ENTITY,$B82,BC$11,BC$14,BC$75,),"")))))),"")</f>
        <v/>
      </c>
      <c r="ED82" s="2445" t="str" cm="1">
        <f t="array" ca="1" aca="1" ref="ED82">IFERROR(IF(BD82*fxVal_normal=_PL!BD82,"",IF(OR(BD82="",NOT(ISNUMBER(BD82)),ISERROR(BD82),$B82=""),"",IF($I82=1,IFBLANK(_xldudf_CX_PUSH(BD82*fxVal_normal,CX_ENTITY,$B82,BD$11,BD$14,BD$75,),""),IF($I82=2,IFBLANK(_xldudf_CX_PUSH(BD82,CX_ENTITY,$B82,BD$11,BD$14,BD$75,),""),IF($I82=3,"",IFBLANK(_xldudf_CX_PUSH(BD82,CX_ENTITY,$B82,BD$11,BD$14,BD$75,),"")))))),"")</f>
        <v/>
      </c>
      <c r="EE82" s="2445" t="str" cm="1">
        <f t="array" ca="1" aca="1" ref="EE82">IFERROR(IF(BE82*fxVal_normal=_PL!BE82,"",IF(OR(BE82="",NOT(ISNUMBER(BE82)),ISERROR(BE82),$B82=""),"",IF($I82=1,IFBLANK(_xldudf_CX_PUSH(BE82*fxVal_normal,CX_ENTITY,$B82,BE$11,BE$14,BE$75,),""),IF($I82=2,IFBLANK(_xldudf_CX_PUSH(BE82,CX_ENTITY,$B82,BE$11,BE$14,BE$75,),""),IF($I82=3,"",IFBLANK(_xldudf_CX_PUSH(BE82,CX_ENTITY,$B82,BE$11,BE$14,BE$75,),"")))))),"")</f>
        <v/>
      </c>
      <c r="EF82" s="2445" t="str" cm="1">
        <f t="array" ca="1" aca="1" ref="EF82">IFERROR(IF(BF82*fxVal_normal=_PL!BF82,"",IF(OR(BF82="",NOT(ISNUMBER(BF82)),ISERROR(BF82),$B82=""),"",IF($I82=1,IFBLANK(_xldudf_CX_PUSH(BF82*fxVal_normal,CX_ENTITY,$B82,BF$11,BF$14,BF$75,),""),IF($I82=2,IFBLANK(_xldudf_CX_PUSH(BF82,CX_ENTITY,$B82,BF$11,BF$14,BF$75,),""),IF($I82=3,"",IFBLANK(_xldudf_CX_PUSH(BF82,CX_ENTITY,$B82,BF$11,BF$14,BF$75,),"")))))),"")</f>
        <v/>
      </c>
      <c r="EG82" s="2445" t="str" cm="1">
        <f t="array" ca="1" aca="1" ref="EG82">IFERROR(IF(BG82*fxVal_normal=_PL!BG82,"",IF(OR(BG82="",NOT(ISNUMBER(BG82)),ISERROR(BG82),$B82=""),"",IF($I82=1,IFBLANK(_xldudf_CX_PUSH(BG82*fxVal_normal,CX_ENTITY,$B82,BG$11,BG$14,BG$75,),""),IF($I82=2,IFBLANK(_xldudf_CX_PUSH(BG82,CX_ENTITY,$B82,BG$11,BG$14,BG$75,),""),IF($I82=3,"",IFBLANK(_xldudf_CX_PUSH(BG82,CX_ENTITY,$B82,BG$11,BG$14,BG$75,),"")))))),"")</f>
        <v/>
      </c>
      <c r="EH82" s="2445" t="str" cm="1">
        <f t="array" ca="1" aca="1" ref="EH82">IFERROR(IF(BH82*fxVal_normal=_PL!BH82,"",IF(OR(BH82="",NOT(ISNUMBER(BH82)),ISERROR(BH82),$B82=""),"",IF($I82=1,IFBLANK(_xldudf_CX_PUSH(BH82*fxVal_normal,CX_ENTITY,$B82,BH$11,BH$14,BH$75,),""),IF($I82=2,IFBLANK(_xldudf_CX_PUSH(BH82,CX_ENTITY,$B82,BH$11,BH$14,BH$75,),""),IF($I82=3,"",IFBLANK(_xldudf_CX_PUSH(BH82,CX_ENTITY,$B82,BH$11,BH$14,BH$75,),"")))))),"")</f>
        <v/>
      </c>
      <c r="EI82" s="2445" t="str" cm="1">
        <f t="array" ca="1" aca="1" ref="EI82">IFERROR(IF(BI82*fxVal_normal=_PL!BI82,"",IF(OR(BI82="",NOT(ISNUMBER(BI82)),ISERROR(BI82),$B82=""),"",IF($I82=1,IFBLANK(_xldudf_CX_PUSH(BI82*fxVal_normal,CX_ENTITY,$B82,BI$11,BI$14,BI$75,),""),IF($I82=2,IFBLANK(_xldudf_CX_PUSH(BI82,CX_ENTITY,$B82,BI$11,BI$14,BI$75,),""),IF($I82=3,"",IFBLANK(_xldudf_CX_PUSH(BI82,CX_ENTITY,$B82,BI$11,BI$14,BI$75,),"")))))),"")</f>
        <v/>
      </c>
      <c r="EJ82" s="2445" t="str" cm="1">
        <f t="array" ca="1" aca="1" ref="EJ82">IFERROR(IF(BJ82*fxVal_normal=_PL!BJ82,"",IF(OR(BJ82="",NOT(ISNUMBER(BJ82)),ISERROR(BJ82),$B82=""),"",IF($I82=1,IFBLANK(_xldudf_CX_PUSH(BJ82*fxVal_normal,CX_ENTITY,$B82,BJ$11,BJ$14,BJ$75,),""),IF($I82=2,IFBLANK(_xldudf_CX_PUSH(BJ82,CX_ENTITY,$B82,BJ$11,BJ$14,BJ$75,),""),IF($I82=3,"",IFBLANK(_xldudf_CX_PUSH(BJ82,CX_ENTITY,$B82,BJ$11,BJ$14,BJ$75,),"")))))),"")</f>
        <v/>
      </c>
      <c r="EK82" s="2445" t="str" cm="1">
        <f t="array" ca="1" aca="1" ref="EK82">IFERROR(IF(BK82*fxVal_normal=_PL!BK82,"",IF(OR(BK82="",NOT(ISNUMBER(BK82)),ISERROR(BK82),$B82=""),"",IF($I82=1,IFBLANK(_xldudf_CX_PUSH(BK82*fxVal_normal,CX_ENTITY,$B82,BK$11,BK$14,BK$75,),""),IF($I82=2,IFBLANK(_xldudf_CX_PUSH(BK82,CX_ENTITY,$B82,BK$11,BK$14,BK$75,),""),IF($I82=3,"",IFBLANK(_xldudf_CX_PUSH(BK82,CX_ENTITY,$B82,BK$11,BK$14,BK$75,),"")))))),"")</f>
        <v/>
      </c>
      <c r="EL82" s="2445" t="str" cm="1">
        <f t="array" ca="1" aca="1" ref="EL82">IFERROR(IF(BL82*fxVal_normal=_PL!BL82,"",IF(OR(BL82="",NOT(ISNUMBER(BL82)),ISERROR(BL82),$B82=""),"",IF($I82=1,IFBLANK(_xldudf_CX_PUSH(BL82*fxVal_normal,CX_ENTITY,$B82,BL$11,BL$14,BL$75,),""),IF($I82=2,IFBLANK(_xldudf_CX_PUSH(BL82,CX_ENTITY,$B82,BL$11,BL$14,BL$75,),""),IF($I82=3,"",IFBLANK(_xldudf_CX_PUSH(BL82,CX_ENTITY,$B82,BL$11,BL$14,BL$75,),"")))))),"")</f>
        <v/>
      </c>
      <c r="EM82" s="2445" t="str" cm="1">
        <f t="array" ca="1" aca="1" ref="EM82">IFERROR(IF(BM82*fxVal_normal=_PL!BM82,"",IF(OR(BM82="",NOT(ISNUMBER(BM82)),ISERROR(BM82),$B82=""),"",IF($I82=1,IFBLANK(_xldudf_CX_PUSH(BM82*fxVal_normal,CX_ENTITY,$B82,BM$11,BM$14,BM$75,),""),IF($I82=2,IFBLANK(_xldudf_CX_PUSH(BM82,CX_ENTITY,$B82,BM$11,BM$14,BM$75,),""),IF($I82=3,"",IFBLANK(_xldudf_CX_PUSH(BM82,CX_ENTITY,$B82,BM$11,BM$14,BM$75,),"")))))),"")</f>
        <v/>
      </c>
      <c r="EN82" s="2445" t="str" cm="1">
        <f t="array" ca="1" aca="1" ref="EN82">IFERROR(IF(BN82*fxVal_normal=_PL!BN82,"",IF(OR(BN82="",NOT(ISNUMBER(BN82)),ISERROR(BN82),$B82=""),"",IF($I82=1,IFBLANK(_xldudf_CX_PUSH(BN82*fxVal_normal,CX_ENTITY,$B82,BN$11,BN$14,BN$75,),""),IF($I82=2,IFBLANK(_xldudf_CX_PUSH(BN82,CX_ENTITY,$B82,BN$11,BN$14,BN$75,),""),IF($I82=3,"",IFBLANK(_xldudf_CX_PUSH(BN82,CX_ENTITY,$B82,BN$11,BN$14,BN$75,),"")))))),"")</f>
        <v/>
      </c>
    </row>
    <row r="83" spans="1:144" ht="21" customHeight="1">
      <c r="A83" s="1625"/>
      <c r="B83" s="3196">
        <f>_xlfn.LET(_xlpm.IsNotAttrDynamic,D83="",_xlpm.Attr,_PL!F83,_xlpm.NotInUse,Y83=D83,_xlpm.RESULT,IF(_xlpm.IsNotAttrDynamic,_xlpm.Attr,IF(_xlpm.NotInUse,"",Y83)),IF(_xlpm.RESULT="","",_xlpm.RESULT))</f>
        <v>2</v>
      </c>
      <c r="C83" s="3463" t="str" cm="1">
        <f t="array" ref="C83">IFBLANK(_PL!C83,"")</f>
        <v>EBITDA Adjustment Type I - Label 2</v>
      </c>
      <c r="D83" s="2506" t="str">
        <f t="shared" si="32"/>
        <v>Please select or type in or leave as blank (2)</v>
      </c>
      <c r="E83" s="2440" t="e" cm="1">
        <f t="array" ca="1" aca="1" ref="E8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83:$CQ83,Z83)</f>
        <v>#NAME?</v>
      </c>
      <c r="F83" s="578"/>
      <c r="G83" s="578"/>
      <c r="H83" s="401">
        <v>0</v>
      </c>
      <c r="I83" s="3280">
        <v>1</v>
      </c>
      <c r="J83" s="401" cm="1">
        <f t="array" ref="J83">IFBLANK(Z83,"")</f>
        <v>-1</v>
      </c>
      <c r="K83" s="578" t="str">
        <f t="shared" si="33"/>
        <v>Yes</v>
      </c>
      <c r="L83" s="37"/>
      <c r="N83" s="158"/>
      <c r="O83" s="101"/>
      <c r="P83" s="52"/>
      <c r="Q83" s="101"/>
      <c r="R83" s="101"/>
      <c r="S83" s="101"/>
      <c r="T83" s="101"/>
      <c r="U83" s="39"/>
      <c r="V83" s="37"/>
      <c r="W83" s="91" t="str">
        <f t="shared" si="28"/>
        <v>Budget</v>
      </c>
      <c r="X83" s="2081" t="str">
        <f>_PL!X83</f>
        <v>a</v>
      </c>
      <c r="Y83" s="3197">
        <f t="shared" si="34"/>
        <v>2</v>
      </c>
      <c r="Z83" s="198" cm="1">
        <f t="array" ref="Z83">_xlfn.SWITCH(TRUE,_PL!$L83=TRUE,1,_PL!$L83=FALSE,-1,_PL!$L83=-1,0,"")</f>
        <v>-1</v>
      </c>
      <c r="AA83" s="200"/>
      <c r="AB83" s="3198">
        <f t="shared" si="35"/>
        <v>2</v>
      </c>
      <c r="AC83" s="2508" t="str" cm="1">
        <f t="array" ca="1" aca="1" ref="AC83">_xlfn.LET(_xlpm._termname,$AB83,_xlpm._iconname,"find",_xlpm._icon,fx_getIcon(_xlpm._iconname),_xlpm._location,_xlfn.XLOOKUP(LOWER(_xlpm._termname),LOWER(tbl_acctDef[Term]),tbl_acctDef[Term]),_xlpm._hyperlink,HYPERLINK("#"&amp;CELL("address",_xlpm._location),_xlpm._icon),IFERROR(_xlpm._hyperlink,""))</f>
        <v/>
      </c>
      <c r="AD83" s="3177">
        <v>1</v>
      </c>
      <c r="AE83" s="3177">
        <v>1</v>
      </c>
      <c r="AF83" s="3177">
        <v>1</v>
      </c>
      <c r="AG83" s="3177">
        <v>1</v>
      </c>
      <c r="AH83" s="3177">
        <v>1</v>
      </c>
      <c r="AI83" s="3177">
        <v>1</v>
      </c>
      <c r="AJ83" s="3177">
        <v>1</v>
      </c>
      <c r="AK83" s="3177">
        <v>1</v>
      </c>
      <c r="AL83" s="3177">
        <v>1</v>
      </c>
      <c r="AM83" s="3177">
        <v>1</v>
      </c>
      <c r="AN83" s="3177">
        <v>1</v>
      </c>
      <c r="AO83" s="3177">
        <v>1</v>
      </c>
      <c r="AP83" s="3177">
        <v>1</v>
      </c>
      <c r="AQ83" s="3177">
        <v>1</v>
      </c>
      <c r="AR83" s="3177">
        <v>1</v>
      </c>
      <c r="AS83" s="3177">
        <v>1</v>
      </c>
      <c r="AT83" s="3177">
        <v>1</v>
      </c>
      <c r="AU83" s="3177">
        <v>1</v>
      </c>
      <c r="AV83" s="3177">
        <v>1</v>
      </c>
      <c r="AW83" s="3177">
        <v>1</v>
      </c>
      <c r="AX83" s="3177">
        <v>1</v>
      </c>
      <c r="AY83" s="3177">
        <v>1</v>
      </c>
      <c r="AZ83" s="3177">
        <v>1</v>
      </c>
      <c r="BA83" s="3177">
        <v>1</v>
      </c>
      <c r="BB83" s="3177">
        <v>1</v>
      </c>
      <c r="BC83" s="3177">
        <v>1</v>
      </c>
      <c r="BD83" s="3177">
        <v>1</v>
      </c>
      <c r="BE83" s="3177">
        <v>1</v>
      </c>
      <c r="BF83" s="3177">
        <v>1</v>
      </c>
      <c r="BG83" s="3177">
        <v>1</v>
      </c>
      <c r="BH83" s="3177">
        <v>1</v>
      </c>
      <c r="BI83" s="3177">
        <v>1</v>
      </c>
      <c r="BJ83" s="3177">
        <v>1</v>
      </c>
      <c r="BK83" s="3177">
        <v>1</v>
      </c>
      <c r="BL83" s="3177">
        <v>1</v>
      </c>
      <c r="BM83" s="3177">
        <v>1</v>
      </c>
      <c r="BN83" s="3177">
        <v>1</v>
      </c>
      <c r="BO83" s="2442"/>
      <c r="BP83" s="2442"/>
      <c r="BQ83" s="2442"/>
      <c r="BR83" s="2442"/>
      <c r="BS83" s="2442"/>
      <c r="BT83" s="2442"/>
      <c r="BU83" s="2442"/>
      <c r="BV83" s="2442"/>
      <c r="BW83" s="2442"/>
      <c r="BX83" s="2442"/>
      <c r="BY83" s="2442"/>
      <c r="BZ83" s="2442"/>
      <c r="CA83" s="34"/>
      <c r="CC83" s="33"/>
      <c r="CD83" s="1772" t="e" cm="1">
        <f t="array" ca="1" aca="1" ref="CD83">_xlfn.LET(_xlpm.CheckBlank,SUM(PL!$AD83:$BN83)=0,IF(_xlpm.CheckBlank,"",SUM(_xlfn._xlws.FILTER(PL!$AD83:$BN83,(YEAR(PL!$AD$12:$BN$12)=PL!CD$12)*(array_timeline&lt;=PL!CD$11)))))</f>
        <v>#NAME?</v>
      </c>
      <c r="CE83" s="1772" t="e" cm="1">
        <f t="array" ca="1" aca="1" ref="CE83">_xlfn.LET(_xlpm.CheckBlank,SUM(PL!$AD83:$BN83)=0,IF(_xlpm.CheckBlank,"",SUM(_xlfn._xlws.FILTER(PL!$AD83:$BN83,(YEAR(PL!$AD$12:$BN$12)=PL!CE$12)*(array_timeline&lt;=PL!CE$11)))))</f>
        <v>#NAME?</v>
      </c>
      <c r="CF83" s="88"/>
      <c r="CG83" s="1461" t="e" cm="1">
        <f t="array" ca="1" aca="1" ref="CG83">_xlfn.LET(_xlpm.CheckBlank,SUM(PL!$AD83:$BN83)=0,IF(_xlpm.CheckBlank,"",SUM(_xlfn._xlws.FILTER(PL!$AD83:$BN83,(YEAR(PL!$AD$12:$BN$12)=PL!CG$12)*(array_timeline&lt;=PL!CG$11)))))</f>
        <v>#NAME?</v>
      </c>
      <c r="CH83" s="1461" t="e" cm="1">
        <f t="array" ca="1" aca="1" ref="CH83">_xlfn.LET(_xlpm.CheckBlank,SUM(PL!$AD83:$BN83)=0,IF(_xlpm.CheckBlank,"",SUM(_xlfn._xlws.FILTER(PL!$AD83:$BN83,(YEAR(PL!$AD$12:$BN$12)=PL!CH$12)*(array_timeline&lt;=PL!CH$11)))))</f>
        <v>#NAME?</v>
      </c>
      <c r="CI83" s="88"/>
      <c r="CJ83" s="1461" cm="1">
        <f t="array" ref="CJ83">_xlfn.LET(_xlpm.CheckBlank,SUM(PL!$AD83:$BN83)=0,IF(_xlpm.CheckBlank,"",SUM(_xlfn.TAKE(_xlfn.DROP(PL!$AD83:$BN83,,-DATEDIFF(PL!CJ$11,val_asOfDate,"M")),1,-12))))</f>
        <v>12</v>
      </c>
      <c r="CK83" s="1461" cm="1">
        <f t="array" ref="CK83">_xlfn.LET(_xlpm.CheckBlank,SUM(PL!$AD83:$BN83)=0,IF(_xlpm.CheckBlank,"",SUM(_xlfn.TAKE(_xlfn.DROP(PL!$AD83:$BN83,,-DATEDIFF(PL!CK$11,val_asOfDate,"M")),1,-12))))</f>
        <v>12</v>
      </c>
      <c r="CL83" s="88"/>
      <c r="CM83" s="3195">
        <f t="shared" si="26"/>
        <v>1</v>
      </c>
      <c r="CN83" s="3195">
        <f t="shared" si="23"/>
        <v>1</v>
      </c>
      <c r="CO83" s="1169"/>
      <c r="CP83" s="3195">
        <f t="shared" si="27"/>
        <v>1</v>
      </c>
      <c r="CQ83" s="3195">
        <f t="shared" si="24"/>
        <v>1</v>
      </c>
      <c r="CR83" s="34"/>
      <c r="CS83" s="2056"/>
      <c r="CT83" s="2447" t="e" cm="1">
        <f t="array" ca="1" aca="1" ref="CT83">IF(ISNUMBER(SEARCH("Select",$Y83)),"",_xldudf_CX_PUSH($Y83,CX_ENTITY,C83,val_asOfDate))</f>
        <v>#NAME?</v>
      </c>
      <c r="CU83" s="2447" t="e" cm="1">
        <f t="array" ca="1" aca="1" ref="CU83">IF(ISNUMBER(SEARCH("Select",$Y83)),"",_xldudf_CX_PUSH($Y83,CX_ENTITY,C83,EOMONTH(val_asOfDate,1)))</f>
        <v>#NAME?</v>
      </c>
      <c r="CV83" s="2447" t="e" cm="1">
        <f t="array" ca="1" aca="1" ref="CV83">IF(ISNUMBER(SEARCH("Select",$Y83)),"",_xldudf_CX_PUSH($Y83,CX_ENTITY,C83,EOMONTH(val_asOfDate,2)))</f>
        <v>#NAME?</v>
      </c>
      <c r="CW83" s="2447" t="e" cm="1">
        <f t="array" ca="1" aca="1" ref="CW83">IF(ISNUMBER(SEARCH("Select",$Y83)),"",_xldudf_CX_PUSH($Y83,CX_ENTITY,C83,EOMONTH(val_asOfDate,3)))</f>
        <v>#NAME?</v>
      </c>
      <c r="CX83" s="2443"/>
      <c r="CY83" s="1880"/>
      <c r="CZ83" s="1880"/>
      <c r="DA83" s="1880"/>
      <c r="DB83" s="1880"/>
      <c r="DC83" s="2121"/>
      <c r="DD83" s="2445" t="str" cm="1">
        <f t="array" ca="1" aca="1" ref="DD83">IFERROR(IF(AD83*fxVal_normal=_PL!AD83,"",IF(OR(AD83="",NOT(ISNUMBER(AD83)),ISERROR(AD83),$B83=""),"",IF($I83=1,IFBLANK(_xldudf_CX_PUSH(AD83*fxVal_normal,CX_ENTITY,$B83,AD$11,AD$14,AD$75,),""),IF($I83=2,IFBLANK(_xldudf_CX_PUSH(AD83,CX_ENTITY,$B83,AD$11,AD$14,AD$75,),""),IF($I83=3,"",IFBLANK(_xldudf_CX_PUSH(AD83,CX_ENTITY,$B83,AD$11,AD$14,AD$75,),"")))))),"")</f>
        <v/>
      </c>
      <c r="DE83" s="2445" t="str" cm="1">
        <f t="array" ca="1" aca="1" ref="DE83">IFERROR(IF(AE83*fxVal_normal=_PL!AE83,"",IF(OR(AE83="",NOT(ISNUMBER(AE83)),ISERROR(AE83),$B83=""),"",IF($I83=1,IFBLANK(_xldudf_CX_PUSH(AE83*fxVal_normal,CX_ENTITY,$B83,AE$11,AE$14,AE$75,),""),IF($I83=2,IFBLANK(_xldudf_CX_PUSH(AE83,CX_ENTITY,$B83,AE$11,AE$14,AE$75,),""),IF($I83=3,"",IFBLANK(_xldudf_CX_PUSH(AE83,CX_ENTITY,$B83,AE$11,AE$14,AE$75,),"")))))),"")</f>
        <v/>
      </c>
      <c r="DF83" s="2445" t="str" cm="1">
        <f t="array" ca="1" aca="1" ref="DF83">IFERROR(IF(AF83*fxVal_normal=_PL!AF83,"",IF(OR(AF83="",NOT(ISNUMBER(AF83)),ISERROR(AF83),$B83=""),"",IF($I83=1,IFBLANK(_xldudf_CX_PUSH(AF83*fxVal_normal,CX_ENTITY,$B83,AF$11,AF$14,AF$75,),""),IF($I83=2,IFBLANK(_xldudf_CX_PUSH(AF83,CX_ENTITY,$B83,AF$11,AF$14,AF$75,),""),IF($I83=3,"",IFBLANK(_xldudf_CX_PUSH(AF83,CX_ENTITY,$B83,AF$11,AF$14,AF$75,),"")))))),"")</f>
        <v/>
      </c>
      <c r="DG83" s="2445" t="str" cm="1">
        <f t="array" ca="1" aca="1" ref="DG83">IFERROR(IF(AG83*fxVal_normal=_PL!AG83,"",IF(OR(AG83="",NOT(ISNUMBER(AG83)),ISERROR(AG83),$B83=""),"",IF($I83=1,IFBLANK(_xldudf_CX_PUSH(AG83*fxVal_normal,CX_ENTITY,$B83,AG$11,AG$14,AG$75,),""),IF($I83=2,IFBLANK(_xldudf_CX_PUSH(AG83,CX_ENTITY,$B83,AG$11,AG$14,AG$75,),""),IF($I83=3,"",IFBLANK(_xldudf_CX_PUSH(AG83,CX_ENTITY,$B83,AG$11,AG$14,AG$75,),"")))))),"")</f>
        <v/>
      </c>
      <c r="DH83" s="2445" t="str" cm="1">
        <f t="array" ca="1" aca="1" ref="DH83">IFERROR(IF(AH83*fxVal_normal=_PL!AH83,"",IF(OR(AH83="",NOT(ISNUMBER(AH83)),ISERROR(AH83),$B83=""),"",IF($I83=1,IFBLANK(_xldudf_CX_PUSH(AH83*fxVal_normal,CX_ENTITY,$B83,AH$11,AH$14,AH$75,),""),IF($I83=2,IFBLANK(_xldudf_CX_PUSH(AH83,CX_ENTITY,$B83,AH$11,AH$14,AH$75,),""),IF($I83=3,"",IFBLANK(_xldudf_CX_PUSH(AH83,CX_ENTITY,$B83,AH$11,AH$14,AH$75,),"")))))),"")</f>
        <v/>
      </c>
      <c r="DI83" s="2445" t="str" cm="1">
        <f t="array" ca="1" aca="1" ref="DI83">IFERROR(IF(AI83*fxVal_normal=_PL!AI83,"",IF(OR(AI83="",NOT(ISNUMBER(AI83)),ISERROR(AI83),$B83=""),"",IF($I83=1,IFBLANK(_xldudf_CX_PUSH(AI83*fxVal_normal,CX_ENTITY,$B83,AI$11,AI$14,AI$75,),""),IF($I83=2,IFBLANK(_xldudf_CX_PUSH(AI83,CX_ENTITY,$B83,AI$11,AI$14,AI$75,),""),IF($I83=3,"",IFBLANK(_xldudf_CX_PUSH(AI83,CX_ENTITY,$B83,AI$11,AI$14,AI$75,),"")))))),"")</f>
        <v/>
      </c>
      <c r="DJ83" s="2445" t="str" cm="1">
        <f t="array" ca="1" aca="1" ref="DJ83">IFERROR(IF(AJ83*fxVal_normal=_PL!AJ83,"",IF(OR(AJ83="",NOT(ISNUMBER(AJ83)),ISERROR(AJ83),$B83=""),"",IF($I83=1,IFBLANK(_xldudf_CX_PUSH(AJ83*fxVal_normal,CX_ENTITY,$B83,AJ$11,AJ$14,AJ$75,),""),IF($I83=2,IFBLANK(_xldudf_CX_PUSH(AJ83,CX_ENTITY,$B83,AJ$11,AJ$14,AJ$75,),""),IF($I83=3,"",IFBLANK(_xldudf_CX_PUSH(AJ83,CX_ENTITY,$B83,AJ$11,AJ$14,AJ$75,),"")))))),"")</f>
        <v/>
      </c>
      <c r="DK83" s="2445" t="str" cm="1">
        <f t="array" ca="1" aca="1" ref="DK83">IFERROR(IF(AK83*fxVal_normal=_PL!AK83,"",IF(OR(AK83="",NOT(ISNUMBER(AK83)),ISERROR(AK83),$B83=""),"",IF($I83=1,IFBLANK(_xldudf_CX_PUSH(AK83*fxVal_normal,CX_ENTITY,$B83,AK$11,AK$14,AK$75,),""),IF($I83=2,IFBLANK(_xldudf_CX_PUSH(AK83,CX_ENTITY,$B83,AK$11,AK$14,AK$75,),""),IF($I83=3,"",IFBLANK(_xldudf_CX_PUSH(AK83,CX_ENTITY,$B83,AK$11,AK$14,AK$75,),"")))))),"")</f>
        <v/>
      </c>
      <c r="DL83" s="2445" t="str" cm="1">
        <f t="array" ca="1" aca="1" ref="DL83">IFERROR(IF(AL83*fxVal_normal=_PL!AL83,"",IF(OR(AL83="",NOT(ISNUMBER(AL83)),ISERROR(AL83),$B83=""),"",IF($I83=1,IFBLANK(_xldudf_CX_PUSH(AL83*fxVal_normal,CX_ENTITY,$B83,AL$11,AL$14,AL$75,),""),IF($I83=2,IFBLANK(_xldudf_CX_PUSH(AL83,CX_ENTITY,$B83,AL$11,AL$14,AL$75,),""),IF($I83=3,"",IFBLANK(_xldudf_CX_PUSH(AL83,CX_ENTITY,$B83,AL$11,AL$14,AL$75,),"")))))),"")</f>
        <v/>
      </c>
      <c r="DM83" s="2445" t="str" cm="1">
        <f t="array" ca="1" aca="1" ref="DM83">IFERROR(IF(AM83*fxVal_normal=_PL!AM83,"",IF(OR(AM83="",NOT(ISNUMBER(AM83)),ISERROR(AM83),$B83=""),"",IF($I83=1,IFBLANK(_xldudf_CX_PUSH(AM83*fxVal_normal,CX_ENTITY,$B83,AM$11,AM$14,AM$75,),""),IF($I83=2,IFBLANK(_xldudf_CX_PUSH(AM83,CX_ENTITY,$B83,AM$11,AM$14,AM$75,),""),IF($I83=3,"",IFBLANK(_xldudf_CX_PUSH(AM83,CX_ENTITY,$B83,AM$11,AM$14,AM$75,),"")))))),"")</f>
        <v/>
      </c>
      <c r="DN83" s="2445" t="str" cm="1">
        <f t="array" ca="1" aca="1" ref="DN83">IFERROR(IF(AN83*fxVal_normal=_PL!AN83,"",IF(OR(AN83="",NOT(ISNUMBER(AN83)),ISERROR(AN83),$B83=""),"",IF($I83=1,IFBLANK(_xldudf_CX_PUSH(AN83*fxVal_normal,CX_ENTITY,$B83,AN$11,AN$14,AN$75,),""),IF($I83=2,IFBLANK(_xldudf_CX_PUSH(AN83,CX_ENTITY,$B83,AN$11,AN$14,AN$75,),""),IF($I83=3,"",IFBLANK(_xldudf_CX_PUSH(AN83,CX_ENTITY,$B83,AN$11,AN$14,AN$75,),"")))))),"")</f>
        <v/>
      </c>
      <c r="DO83" s="2445" t="str" cm="1">
        <f t="array" ca="1" aca="1" ref="DO83">IFERROR(IF(AO83*fxVal_normal=_PL!AO83,"",IF(OR(AO83="",NOT(ISNUMBER(AO83)),ISERROR(AO83),$B83=""),"",IF($I83=1,IFBLANK(_xldudf_CX_PUSH(AO83*fxVal_normal,CX_ENTITY,$B83,AO$11,AO$14,AO$75,),""),IF($I83=2,IFBLANK(_xldudf_CX_PUSH(AO83,CX_ENTITY,$B83,AO$11,AO$14,AO$75,),""),IF($I83=3,"",IFBLANK(_xldudf_CX_PUSH(AO83,CX_ENTITY,$B83,AO$11,AO$14,AO$75,),"")))))),"")</f>
        <v/>
      </c>
      <c r="DP83" s="2445" t="str" cm="1">
        <f t="array" ca="1" aca="1" ref="DP83">IFERROR(IF(AP83*fxVal_normal=_PL!AP83,"",IF(OR(AP83="",NOT(ISNUMBER(AP83)),ISERROR(AP83),$B83=""),"",IF($I83=1,IFBLANK(_xldudf_CX_PUSH(AP83*fxVal_normal,CX_ENTITY,$B83,AP$11,AP$14,AP$75,),""),IF($I83=2,IFBLANK(_xldudf_CX_PUSH(AP83,CX_ENTITY,$B83,AP$11,AP$14,AP$75,),""),IF($I83=3,"",IFBLANK(_xldudf_CX_PUSH(AP83,CX_ENTITY,$B83,AP$11,AP$14,AP$75,),"")))))),"")</f>
        <v/>
      </c>
      <c r="DQ83" s="2445" t="str" cm="1">
        <f t="array" ca="1" aca="1" ref="DQ83">IFERROR(IF(AQ83*fxVal_normal=_PL!AQ83,"",IF(OR(AQ83="",NOT(ISNUMBER(AQ83)),ISERROR(AQ83),$B83=""),"",IF($I83=1,IFBLANK(_xldudf_CX_PUSH(AQ83*fxVal_normal,CX_ENTITY,$B83,AQ$11,AQ$14,AQ$75,),""),IF($I83=2,IFBLANK(_xldudf_CX_PUSH(AQ83,CX_ENTITY,$B83,AQ$11,AQ$14,AQ$75,),""),IF($I83=3,"",IFBLANK(_xldudf_CX_PUSH(AQ83,CX_ENTITY,$B83,AQ$11,AQ$14,AQ$75,),"")))))),"")</f>
        <v/>
      </c>
      <c r="DR83" s="2445" t="str" cm="1">
        <f t="array" ca="1" aca="1" ref="DR83">IFERROR(IF(AR83*fxVal_normal=_PL!AR83,"",IF(OR(AR83="",NOT(ISNUMBER(AR83)),ISERROR(AR83),$B83=""),"",IF($I83=1,IFBLANK(_xldudf_CX_PUSH(AR83*fxVal_normal,CX_ENTITY,$B83,AR$11,AR$14,AR$75,),""),IF($I83=2,IFBLANK(_xldudf_CX_PUSH(AR83,CX_ENTITY,$B83,AR$11,AR$14,AR$75,),""),IF($I83=3,"",IFBLANK(_xldudf_CX_PUSH(AR83,CX_ENTITY,$B83,AR$11,AR$14,AR$75,),"")))))),"")</f>
        <v/>
      </c>
      <c r="DS83" s="2445" t="str" cm="1">
        <f t="array" ca="1" aca="1" ref="DS83">IFERROR(IF(AS83*fxVal_normal=_PL!AS83,"",IF(OR(AS83="",NOT(ISNUMBER(AS83)),ISERROR(AS83),$B83=""),"",IF($I83=1,IFBLANK(_xldudf_CX_PUSH(AS83*fxVal_normal,CX_ENTITY,$B83,AS$11,AS$14,AS$75,),""),IF($I83=2,IFBLANK(_xldudf_CX_PUSH(AS83,CX_ENTITY,$B83,AS$11,AS$14,AS$75,),""),IF($I83=3,"",IFBLANK(_xldudf_CX_PUSH(AS83,CX_ENTITY,$B83,AS$11,AS$14,AS$75,),"")))))),"")</f>
        <v/>
      </c>
      <c r="DT83" s="2445" t="str" cm="1">
        <f t="array" ca="1" aca="1" ref="DT83">IFERROR(IF(AT83*fxVal_normal=_PL!AT83,"",IF(OR(AT83="",NOT(ISNUMBER(AT83)),ISERROR(AT83),$B83=""),"",IF($I83=1,IFBLANK(_xldudf_CX_PUSH(AT83*fxVal_normal,CX_ENTITY,$B83,AT$11,AT$14,AT$75,),""),IF($I83=2,IFBLANK(_xldudf_CX_PUSH(AT83,CX_ENTITY,$B83,AT$11,AT$14,AT$75,),""),IF($I83=3,"",IFBLANK(_xldudf_CX_PUSH(AT83,CX_ENTITY,$B83,AT$11,AT$14,AT$75,),"")))))),"")</f>
        <v/>
      </c>
      <c r="DU83" s="2445" t="str" cm="1">
        <f t="array" ca="1" aca="1" ref="DU83">IFERROR(IF(AU83*fxVal_normal=_PL!AU83,"",IF(OR(AU83="",NOT(ISNUMBER(AU83)),ISERROR(AU83),$B83=""),"",IF($I83=1,IFBLANK(_xldudf_CX_PUSH(AU83*fxVal_normal,CX_ENTITY,$B83,AU$11,AU$14,AU$75,),""),IF($I83=2,IFBLANK(_xldudf_CX_PUSH(AU83,CX_ENTITY,$B83,AU$11,AU$14,AU$75,),""),IF($I83=3,"",IFBLANK(_xldudf_CX_PUSH(AU83,CX_ENTITY,$B83,AU$11,AU$14,AU$75,),"")))))),"")</f>
        <v/>
      </c>
      <c r="DV83" s="2445" t="str" cm="1">
        <f t="array" ca="1" aca="1" ref="DV83">IFERROR(IF(AV83*fxVal_normal=_PL!AV83,"",IF(OR(AV83="",NOT(ISNUMBER(AV83)),ISERROR(AV83),$B83=""),"",IF($I83=1,IFBLANK(_xldudf_CX_PUSH(AV83*fxVal_normal,CX_ENTITY,$B83,AV$11,AV$14,AV$75,),""),IF($I83=2,IFBLANK(_xldudf_CX_PUSH(AV83,CX_ENTITY,$B83,AV$11,AV$14,AV$75,),""),IF($I83=3,"",IFBLANK(_xldudf_CX_PUSH(AV83,CX_ENTITY,$B83,AV$11,AV$14,AV$75,),"")))))),"")</f>
        <v/>
      </c>
      <c r="DW83" s="2445" t="str" cm="1">
        <f t="array" ca="1" aca="1" ref="DW83">IFERROR(IF(AW83*fxVal_normal=_PL!AW83,"",IF(OR(AW83="",NOT(ISNUMBER(AW83)),ISERROR(AW83),$B83=""),"",IF($I83=1,IFBLANK(_xldudf_CX_PUSH(AW83*fxVal_normal,CX_ENTITY,$B83,AW$11,AW$14,AW$75,),""),IF($I83=2,IFBLANK(_xldudf_CX_PUSH(AW83,CX_ENTITY,$B83,AW$11,AW$14,AW$75,),""),IF($I83=3,"",IFBLANK(_xldudf_CX_PUSH(AW83,CX_ENTITY,$B83,AW$11,AW$14,AW$75,),"")))))),"")</f>
        <v/>
      </c>
      <c r="DX83" s="2445" t="str" cm="1">
        <f t="array" ca="1" aca="1" ref="DX83">IFERROR(IF(AX83*fxVal_normal=_PL!AX83,"",IF(OR(AX83="",NOT(ISNUMBER(AX83)),ISERROR(AX83),$B83=""),"",IF($I83=1,IFBLANK(_xldudf_CX_PUSH(AX83*fxVal_normal,CX_ENTITY,$B83,AX$11,AX$14,AX$75,),""),IF($I83=2,IFBLANK(_xldudf_CX_PUSH(AX83,CX_ENTITY,$B83,AX$11,AX$14,AX$75,),""),IF($I83=3,"",IFBLANK(_xldudf_CX_PUSH(AX83,CX_ENTITY,$B83,AX$11,AX$14,AX$75,),"")))))),"")</f>
        <v/>
      </c>
      <c r="DY83" s="2445" t="str" cm="1">
        <f t="array" ca="1" aca="1" ref="DY83">IFERROR(IF(AY83*fxVal_normal=_PL!AY83,"",IF(OR(AY83="",NOT(ISNUMBER(AY83)),ISERROR(AY83),$B83=""),"",IF($I83=1,IFBLANK(_xldudf_CX_PUSH(AY83*fxVal_normal,CX_ENTITY,$B83,AY$11,AY$14,AY$75,),""),IF($I83=2,IFBLANK(_xldudf_CX_PUSH(AY83,CX_ENTITY,$B83,AY$11,AY$14,AY$75,),""),IF($I83=3,"",IFBLANK(_xldudf_CX_PUSH(AY83,CX_ENTITY,$B83,AY$11,AY$14,AY$75,),"")))))),"")</f>
        <v/>
      </c>
      <c r="DZ83" s="2445" t="str" cm="1">
        <f t="array" ca="1" aca="1" ref="DZ83">IFERROR(IF(AZ83*fxVal_normal=_PL!AZ83,"",IF(OR(AZ83="",NOT(ISNUMBER(AZ83)),ISERROR(AZ83),$B83=""),"",IF($I83=1,IFBLANK(_xldudf_CX_PUSH(AZ83*fxVal_normal,CX_ENTITY,$B83,AZ$11,AZ$14,AZ$75,),""),IF($I83=2,IFBLANK(_xldudf_CX_PUSH(AZ83,CX_ENTITY,$B83,AZ$11,AZ$14,AZ$75,),""),IF($I83=3,"",IFBLANK(_xldudf_CX_PUSH(AZ83,CX_ENTITY,$B83,AZ$11,AZ$14,AZ$75,),"")))))),"")</f>
        <v/>
      </c>
      <c r="EA83" s="2445" t="str" cm="1">
        <f t="array" ca="1" aca="1" ref="EA83">IFERROR(IF(BA83*fxVal_normal=_PL!BA83,"",IF(OR(BA83="",NOT(ISNUMBER(BA83)),ISERROR(BA83),$B83=""),"",IF($I83=1,IFBLANK(_xldudf_CX_PUSH(BA83*fxVal_normal,CX_ENTITY,$B83,BA$11,BA$14,BA$75,),""),IF($I83=2,IFBLANK(_xldudf_CX_PUSH(BA83,CX_ENTITY,$B83,BA$11,BA$14,BA$75,),""),IF($I83=3,"",IFBLANK(_xldudf_CX_PUSH(BA83,CX_ENTITY,$B83,BA$11,BA$14,BA$75,),"")))))),"")</f>
        <v/>
      </c>
      <c r="EB83" s="2445" t="str" cm="1">
        <f t="array" ca="1" aca="1" ref="EB83">IFERROR(IF(BB83*fxVal_normal=_PL!BB83,"",IF(OR(BB83="",NOT(ISNUMBER(BB83)),ISERROR(BB83),$B83=""),"",IF($I83=1,IFBLANK(_xldudf_CX_PUSH(BB83*fxVal_normal,CX_ENTITY,$B83,BB$11,BB$14,BB$75,),""),IF($I83=2,IFBLANK(_xldudf_CX_PUSH(BB83,CX_ENTITY,$B83,BB$11,BB$14,BB$75,),""),IF($I83=3,"",IFBLANK(_xldudf_CX_PUSH(BB83,CX_ENTITY,$B83,BB$11,BB$14,BB$75,),"")))))),"")</f>
        <v/>
      </c>
      <c r="EC83" s="2445" t="str" cm="1">
        <f t="array" ca="1" aca="1" ref="EC83">IFERROR(IF(BC83*fxVal_normal=_PL!BC83,"",IF(OR(BC83="",NOT(ISNUMBER(BC83)),ISERROR(BC83),$B83=""),"",IF($I83=1,IFBLANK(_xldudf_CX_PUSH(BC83*fxVal_normal,CX_ENTITY,$B83,BC$11,BC$14,BC$75,),""),IF($I83=2,IFBLANK(_xldudf_CX_PUSH(BC83,CX_ENTITY,$B83,BC$11,BC$14,BC$75,),""),IF($I83=3,"",IFBLANK(_xldudf_CX_PUSH(BC83,CX_ENTITY,$B83,BC$11,BC$14,BC$75,),"")))))),"")</f>
        <v/>
      </c>
      <c r="ED83" s="2445" t="str" cm="1">
        <f t="array" ca="1" aca="1" ref="ED83">IFERROR(IF(BD83*fxVal_normal=_PL!BD83,"",IF(OR(BD83="",NOT(ISNUMBER(BD83)),ISERROR(BD83),$B83=""),"",IF($I83=1,IFBLANK(_xldudf_CX_PUSH(BD83*fxVal_normal,CX_ENTITY,$B83,BD$11,BD$14,BD$75,),""),IF($I83=2,IFBLANK(_xldudf_CX_PUSH(BD83,CX_ENTITY,$B83,BD$11,BD$14,BD$75,),""),IF($I83=3,"",IFBLANK(_xldudf_CX_PUSH(BD83,CX_ENTITY,$B83,BD$11,BD$14,BD$75,),"")))))),"")</f>
        <v/>
      </c>
      <c r="EE83" s="2445" t="str" cm="1">
        <f t="array" ca="1" aca="1" ref="EE83">IFERROR(IF(BE83*fxVal_normal=_PL!BE83,"",IF(OR(BE83="",NOT(ISNUMBER(BE83)),ISERROR(BE83),$B83=""),"",IF($I83=1,IFBLANK(_xldudf_CX_PUSH(BE83*fxVal_normal,CX_ENTITY,$B83,BE$11,BE$14,BE$75,),""),IF($I83=2,IFBLANK(_xldudf_CX_PUSH(BE83,CX_ENTITY,$B83,BE$11,BE$14,BE$75,),""),IF($I83=3,"",IFBLANK(_xldudf_CX_PUSH(BE83,CX_ENTITY,$B83,BE$11,BE$14,BE$75,),"")))))),"")</f>
        <v/>
      </c>
      <c r="EF83" s="2445" t="str" cm="1">
        <f t="array" ca="1" aca="1" ref="EF83">IFERROR(IF(BF83*fxVal_normal=_PL!BF83,"",IF(OR(BF83="",NOT(ISNUMBER(BF83)),ISERROR(BF83),$B83=""),"",IF($I83=1,IFBLANK(_xldudf_CX_PUSH(BF83*fxVal_normal,CX_ENTITY,$B83,BF$11,BF$14,BF$75,),""),IF($I83=2,IFBLANK(_xldudf_CX_PUSH(BF83,CX_ENTITY,$B83,BF$11,BF$14,BF$75,),""),IF($I83=3,"",IFBLANK(_xldudf_CX_PUSH(BF83,CX_ENTITY,$B83,BF$11,BF$14,BF$75,),"")))))),"")</f>
        <v/>
      </c>
      <c r="EG83" s="2445" t="str" cm="1">
        <f t="array" ca="1" aca="1" ref="EG83">IFERROR(IF(BG83*fxVal_normal=_PL!BG83,"",IF(OR(BG83="",NOT(ISNUMBER(BG83)),ISERROR(BG83),$B83=""),"",IF($I83=1,IFBLANK(_xldudf_CX_PUSH(BG83*fxVal_normal,CX_ENTITY,$B83,BG$11,BG$14,BG$75,),""),IF($I83=2,IFBLANK(_xldudf_CX_PUSH(BG83,CX_ENTITY,$B83,BG$11,BG$14,BG$75,),""),IF($I83=3,"",IFBLANK(_xldudf_CX_PUSH(BG83,CX_ENTITY,$B83,BG$11,BG$14,BG$75,),"")))))),"")</f>
        <v/>
      </c>
      <c r="EH83" s="2445" t="str" cm="1">
        <f t="array" ca="1" aca="1" ref="EH83">IFERROR(IF(BH83*fxVal_normal=_PL!BH83,"",IF(OR(BH83="",NOT(ISNUMBER(BH83)),ISERROR(BH83),$B83=""),"",IF($I83=1,IFBLANK(_xldudf_CX_PUSH(BH83*fxVal_normal,CX_ENTITY,$B83,BH$11,BH$14,BH$75,),""),IF($I83=2,IFBLANK(_xldudf_CX_PUSH(BH83,CX_ENTITY,$B83,BH$11,BH$14,BH$75,),""),IF($I83=3,"",IFBLANK(_xldudf_CX_PUSH(BH83,CX_ENTITY,$B83,BH$11,BH$14,BH$75,),"")))))),"")</f>
        <v/>
      </c>
      <c r="EI83" s="2445" t="str" cm="1">
        <f t="array" ca="1" aca="1" ref="EI83">IFERROR(IF(BI83*fxVal_normal=_PL!BI83,"",IF(OR(BI83="",NOT(ISNUMBER(BI83)),ISERROR(BI83),$B83=""),"",IF($I83=1,IFBLANK(_xldudf_CX_PUSH(BI83*fxVal_normal,CX_ENTITY,$B83,BI$11,BI$14,BI$75,),""),IF($I83=2,IFBLANK(_xldudf_CX_PUSH(BI83,CX_ENTITY,$B83,BI$11,BI$14,BI$75,),""),IF($I83=3,"",IFBLANK(_xldudf_CX_PUSH(BI83,CX_ENTITY,$B83,BI$11,BI$14,BI$75,),"")))))),"")</f>
        <v/>
      </c>
      <c r="EJ83" s="2445" t="str" cm="1">
        <f t="array" ca="1" aca="1" ref="EJ83">IFERROR(IF(BJ83*fxVal_normal=_PL!BJ83,"",IF(OR(BJ83="",NOT(ISNUMBER(BJ83)),ISERROR(BJ83),$B83=""),"",IF($I83=1,IFBLANK(_xldudf_CX_PUSH(BJ83*fxVal_normal,CX_ENTITY,$B83,BJ$11,BJ$14,BJ$75,),""),IF($I83=2,IFBLANK(_xldudf_CX_PUSH(BJ83,CX_ENTITY,$B83,BJ$11,BJ$14,BJ$75,),""),IF($I83=3,"",IFBLANK(_xldudf_CX_PUSH(BJ83,CX_ENTITY,$B83,BJ$11,BJ$14,BJ$75,),"")))))),"")</f>
        <v/>
      </c>
      <c r="EK83" s="2445" t="str" cm="1">
        <f t="array" ca="1" aca="1" ref="EK83">IFERROR(IF(BK83*fxVal_normal=_PL!BK83,"",IF(OR(BK83="",NOT(ISNUMBER(BK83)),ISERROR(BK83),$B83=""),"",IF($I83=1,IFBLANK(_xldudf_CX_PUSH(BK83*fxVal_normal,CX_ENTITY,$B83,BK$11,BK$14,BK$75,),""),IF($I83=2,IFBLANK(_xldudf_CX_PUSH(BK83,CX_ENTITY,$B83,BK$11,BK$14,BK$75,),""),IF($I83=3,"",IFBLANK(_xldudf_CX_PUSH(BK83,CX_ENTITY,$B83,BK$11,BK$14,BK$75,),"")))))),"")</f>
        <v/>
      </c>
      <c r="EL83" s="2445" t="str" cm="1">
        <f t="array" ca="1" aca="1" ref="EL83">IFERROR(IF(BL83*fxVal_normal=_PL!BL83,"",IF(OR(BL83="",NOT(ISNUMBER(BL83)),ISERROR(BL83),$B83=""),"",IF($I83=1,IFBLANK(_xldudf_CX_PUSH(BL83*fxVal_normal,CX_ENTITY,$B83,BL$11,BL$14,BL$75,),""),IF($I83=2,IFBLANK(_xldudf_CX_PUSH(BL83,CX_ENTITY,$B83,BL$11,BL$14,BL$75,),""),IF($I83=3,"",IFBLANK(_xldudf_CX_PUSH(BL83,CX_ENTITY,$B83,BL$11,BL$14,BL$75,),"")))))),"")</f>
        <v/>
      </c>
      <c r="EM83" s="2445" t="str" cm="1">
        <f t="array" ca="1" aca="1" ref="EM83">IFERROR(IF(BM83*fxVal_normal=_PL!BM83,"",IF(OR(BM83="",NOT(ISNUMBER(BM83)),ISERROR(BM83),$B83=""),"",IF($I83=1,IFBLANK(_xldudf_CX_PUSH(BM83*fxVal_normal,CX_ENTITY,$B83,BM$11,BM$14,BM$75,),""),IF($I83=2,IFBLANK(_xldudf_CX_PUSH(BM83,CX_ENTITY,$B83,BM$11,BM$14,BM$75,),""),IF($I83=3,"",IFBLANK(_xldudf_CX_PUSH(BM83,CX_ENTITY,$B83,BM$11,BM$14,BM$75,),"")))))),"")</f>
        <v/>
      </c>
      <c r="EN83" s="2445" t="str" cm="1">
        <f t="array" ca="1" aca="1" ref="EN83">IFERROR(IF(BN83*fxVal_normal=_PL!BN83,"",IF(OR(BN83="",NOT(ISNUMBER(BN83)),ISERROR(BN83),$B83=""),"",IF($I83=1,IFBLANK(_xldudf_CX_PUSH(BN83*fxVal_normal,CX_ENTITY,$B83,BN$11,BN$14,BN$75,),""),IF($I83=2,IFBLANK(_xldudf_CX_PUSH(BN83,CX_ENTITY,$B83,BN$11,BN$14,BN$75,),""),IF($I83=3,"",IFBLANK(_xldudf_CX_PUSH(BN83,CX_ENTITY,$B83,BN$11,BN$14,BN$75,),"")))))),"")</f>
        <v/>
      </c>
    </row>
    <row r="84" spans="1:144" ht="21" customHeight="1">
      <c r="A84" s="1625"/>
      <c r="B84" s="3196">
        <f>_xlfn.LET(_xlpm.IsNotAttrDynamic,D84="",_xlpm.Attr,_PL!F84,_xlpm.NotInUse,Y84=D84,_xlpm.RESULT,IF(_xlpm.IsNotAttrDynamic,_xlpm.Attr,IF(_xlpm.NotInUse,"",Y84)),IF(_xlpm.RESULT="","",_xlpm.RESULT))</f>
        <v>2</v>
      </c>
      <c r="C84" s="3463" t="str" cm="1">
        <f t="array" ref="C84">IFBLANK(_PL!C84,"")</f>
        <v>EBITDA Adjustment Type I - Label 3</v>
      </c>
      <c r="D84" s="2506" t="str">
        <f t="shared" si="32"/>
        <v>Please select or type in or leave as blank (3)</v>
      </c>
      <c r="E84" s="2440" t="e" cm="1">
        <f t="array" ca="1" aca="1" ref="E8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84:$CQ84,Z84)</f>
        <v>#NAME?</v>
      </c>
      <c r="F84" s="578"/>
      <c r="G84" s="578"/>
      <c r="H84" s="401">
        <v>0</v>
      </c>
      <c r="I84" s="3280">
        <v>1</v>
      </c>
      <c r="J84" s="401" cm="1">
        <f t="array" ref="J84">IFBLANK(Z84,"")</f>
        <v>-1</v>
      </c>
      <c r="K84" s="578" t="str">
        <f t="shared" si="33"/>
        <v>Yes</v>
      </c>
      <c r="L84" s="37"/>
      <c r="N84" s="158"/>
      <c r="O84" s="101"/>
      <c r="P84" s="52"/>
      <c r="Q84" s="101"/>
      <c r="R84" s="101"/>
      <c r="S84" s="101"/>
      <c r="T84" s="101"/>
      <c r="U84" s="39"/>
      <c r="V84" s="37"/>
      <c r="W84" s="91" t="str">
        <f t="shared" si="28"/>
        <v>Budget</v>
      </c>
      <c r="X84" s="2081" t="str">
        <f>_PL!X84</f>
        <v>a</v>
      </c>
      <c r="Y84" s="3197">
        <f t="shared" si="34"/>
        <v>2</v>
      </c>
      <c r="Z84" s="198" cm="1">
        <f t="array" ref="Z84">_xlfn.SWITCH(TRUE,_PL!$L84=TRUE,1,_PL!$L84=FALSE,-1,_PL!$L84=-1,0,"")</f>
        <v>-1</v>
      </c>
      <c r="AA84" s="200"/>
      <c r="AB84" s="3198">
        <f t="shared" si="35"/>
        <v>2</v>
      </c>
      <c r="AC84" s="2508" t="str" cm="1">
        <f t="array" ca="1" aca="1" ref="AC84">_xlfn.LET(_xlpm._termname,$AB84,_xlpm._iconname,"find",_xlpm._icon,fx_getIcon(_xlpm._iconname),_xlpm._location,_xlfn.XLOOKUP(LOWER(_xlpm._termname),LOWER(tbl_acctDef[Term]),tbl_acctDef[Term]),_xlpm._hyperlink,HYPERLINK("#"&amp;CELL("address",_xlpm._location),_xlpm._icon),IFERROR(_xlpm._hyperlink,""))</f>
        <v/>
      </c>
      <c r="AD84" s="3177">
        <v>1</v>
      </c>
      <c r="AE84" s="3177">
        <v>1</v>
      </c>
      <c r="AF84" s="3177">
        <v>1</v>
      </c>
      <c r="AG84" s="3177">
        <v>1</v>
      </c>
      <c r="AH84" s="3177">
        <v>1</v>
      </c>
      <c r="AI84" s="3177">
        <v>1</v>
      </c>
      <c r="AJ84" s="3177">
        <v>1</v>
      </c>
      <c r="AK84" s="3177">
        <v>1</v>
      </c>
      <c r="AL84" s="3177">
        <v>1</v>
      </c>
      <c r="AM84" s="3177">
        <v>1</v>
      </c>
      <c r="AN84" s="3177">
        <v>1</v>
      </c>
      <c r="AO84" s="3177">
        <v>1</v>
      </c>
      <c r="AP84" s="3177">
        <v>1</v>
      </c>
      <c r="AQ84" s="3177">
        <v>1</v>
      </c>
      <c r="AR84" s="3177">
        <v>1</v>
      </c>
      <c r="AS84" s="3177">
        <v>1</v>
      </c>
      <c r="AT84" s="3177">
        <v>1</v>
      </c>
      <c r="AU84" s="3177">
        <v>1</v>
      </c>
      <c r="AV84" s="3177">
        <v>1</v>
      </c>
      <c r="AW84" s="3177">
        <v>1</v>
      </c>
      <c r="AX84" s="3177">
        <v>1</v>
      </c>
      <c r="AY84" s="3177">
        <v>1</v>
      </c>
      <c r="AZ84" s="3177">
        <v>1</v>
      </c>
      <c r="BA84" s="3177">
        <v>1</v>
      </c>
      <c r="BB84" s="3177">
        <v>1</v>
      </c>
      <c r="BC84" s="3177">
        <v>1</v>
      </c>
      <c r="BD84" s="3177">
        <v>1</v>
      </c>
      <c r="BE84" s="3177">
        <v>1</v>
      </c>
      <c r="BF84" s="3177">
        <v>1</v>
      </c>
      <c r="BG84" s="3177">
        <v>1</v>
      </c>
      <c r="BH84" s="3177">
        <v>1</v>
      </c>
      <c r="BI84" s="3177">
        <v>1</v>
      </c>
      <c r="BJ84" s="3177">
        <v>1</v>
      </c>
      <c r="BK84" s="3177">
        <v>1</v>
      </c>
      <c r="BL84" s="3177">
        <v>1</v>
      </c>
      <c r="BM84" s="3177">
        <v>1</v>
      </c>
      <c r="BN84" s="3177">
        <v>1</v>
      </c>
      <c r="BO84" s="2442"/>
      <c r="BP84" s="2442"/>
      <c r="BQ84" s="2442"/>
      <c r="BR84" s="2442"/>
      <c r="BS84" s="2442"/>
      <c r="BT84" s="2442"/>
      <c r="BU84" s="2442"/>
      <c r="BV84" s="2442"/>
      <c r="BW84" s="2442"/>
      <c r="BX84" s="2442"/>
      <c r="BY84" s="2442"/>
      <c r="BZ84" s="2442"/>
      <c r="CA84" s="34"/>
      <c r="CC84" s="33"/>
      <c r="CD84" s="1772" t="e" cm="1">
        <f t="array" ca="1" aca="1" ref="CD84">_xlfn.LET(_xlpm.CheckBlank,SUM(PL!$AD84:$BN84)=0,IF(_xlpm.CheckBlank,"",SUM(_xlfn._xlws.FILTER(PL!$AD84:$BN84,(YEAR(PL!$AD$12:$BN$12)=PL!CD$12)*(array_timeline&lt;=PL!CD$11)))))</f>
        <v>#NAME?</v>
      </c>
      <c r="CE84" s="1772" t="e" cm="1">
        <f t="array" ca="1" aca="1" ref="CE84">_xlfn.LET(_xlpm.CheckBlank,SUM(PL!$AD84:$BN84)=0,IF(_xlpm.CheckBlank,"",SUM(_xlfn._xlws.FILTER(PL!$AD84:$BN84,(YEAR(PL!$AD$12:$BN$12)=PL!CE$12)*(array_timeline&lt;=PL!CE$11)))))</f>
        <v>#NAME?</v>
      </c>
      <c r="CF84" s="88"/>
      <c r="CG84" s="1461" t="e" cm="1">
        <f t="array" ca="1" aca="1" ref="CG84">_xlfn.LET(_xlpm.CheckBlank,SUM(PL!$AD84:$BN84)=0,IF(_xlpm.CheckBlank,"",SUM(_xlfn._xlws.FILTER(PL!$AD84:$BN84,(YEAR(PL!$AD$12:$BN$12)=PL!CG$12)*(array_timeline&lt;=PL!CG$11)))))</f>
        <v>#NAME?</v>
      </c>
      <c r="CH84" s="1461" t="e" cm="1">
        <f t="array" ca="1" aca="1" ref="CH84">_xlfn.LET(_xlpm.CheckBlank,SUM(PL!$AD84:$BN84)=0,IF(_xlpm.CheckBlank,"",SUM(_xlfn._xlws.FILTER(PL!$AD84:$BN84,(YEAR(PL!$AD$12:$BN$12)=PL!CH$12)*(array_timeline&lt;=PL!CH$11)))))</f>
        <v>#NAME?</v>
      </c>
      <c r="CI84" s="88"/>
      <c r="CJ84" s="1461" cm="1">
        <f t="array" ref="CJ84">_xlfn.LET(_xlpm.CheckBlank,SUM(PL!$AD84:$BN84)=0,IF(_xlpm.CheckBlank,"",SUM(_xlfn.TAKE(_xlfn.DROP(PL!$AD84:$BN84,,-DATEDIFF(PL!CJ$11,val_asOfDate,"M")),1,-12))))</f>
        <v>12</v>
      </c>
      <c r="CK84" s="1461" cm="1">
        <f t="array" ref="CK84">_xlfn.LET(_xlpm.CheckBlank,SUM(PL!$AD84:$BN84)=0,IF(_xlpm.CheckBlank,"",SUM(_xlfn.TAKE(_xlfn.DROP(PL!$AD84:$BN84,,-DATEDIFF(PL!CK$11,val_asOfDate,"M")),1,-12))))</f>
        <v>12</v>
      </c>
      <c r="CL84" s="88"/>
      <c r="CM84" s="3195">
        <f t="shared" si="26"/>
        <v>1</v>
      </c>
      <c r="CN84" s="3195">
        <f t="shared" si="23"/>
        <v>1</v>
      </c>
      <c r="CO84" s="1169"/>
      <c r="CP84" s="3195">
        <f t="shared" si="27"/>
        <v>1</v>
      </c>
      <c r="CQ84" s="3195">
        <f t="shared" si="24"/>
        <v>1</v>
      </c>
      <c r="CR84" s="34"/>
      <c r="CS84" s="2056"/>
      <c r="CT84" s="2447" t="e" cm="1">
        <f t="array" ca="1" aca="1" ref="CT84">IF(ISNUMBER(SEARCH("Select",$Y84)),"",_xldudf_CX_PUSH($Y84,CX_ENTITY,C84,val_asOfDate))</f>
        <v>#NAME?</v>
      </c>
      <c r="CU84" s="2447" t="e" cm="1">
        <f t="array" ca="1" aca="1" ref="CU84">IF(ISNUMBER(SEARCH("Select",$Y84)),"",_xldudf_CX_PUSH($Y84,CX_ENTITY,C84,EOMONTH(val_asOfDate,1)))</f>
        <v>#NAME?</v>
      </c>
      <c r="CV84" s="2447" t="e" cm="1">
        <f t="array" ca="1" aca="1" ref="CV84">IF(ISNUMBER(SEARCH("Select",$Y84)),"",_xldudf_CX_PUSH($Y84,CX_ENTITY,C84,EOMONTH(val_asOfDate,2)))</f>
        <v>#NAME?</v>
      </c>
      <c r="CW84" s="2447" t="e" cm="1">
        <f t="array" ca="1" aca="1" ref="CW84">IF(ISNUMBER(SEARCH("Select",$Y84)),"",_xldudf_CX_PUSH($Y84,CX_ENTITY,C84,EOMONTH(val_asOfDate,3)))</f>
        <v>#NAME?</v>
      </c>
      <c r="CX84" s="2443"/>
      <c r="CY84" s="1880"/>
      <c r="CZ84" s="1880"/>
      <c r="DA84" s="1880"/>
      <c r="DB84" s="1880"/>
      <c r="DC84" s="2121"/>
      <c r="DD84" s="2445" t="str" cm="1">
        <f t="array" ca="1" aca="1" ref="DD84">IFERROR(IF(AD84*fxVal_normal=_PL!AD84,"",IF(OR(AD84="",NOT(ISNUMBER(AD84)),ISERROR(AD84),$B84=""),"",IF($I84=1,IFBLANK(_xldudf_CX_PUSH(AD84*fxVal_normal,CX_ENTITY,$B84,AD$11,AD$14,AD$75,),""),IF($I84=2,IFBLANK(_xldudf_CX_PUSH(AD84,CX_ENTITY,$B84,AD$11,AD$14,AD$75,),""),IF($I84=3,"",IFBLANK(_xldudf_CX_PUSH(AD84,CX_ENTITY,$B84,AD$11,AD$14,AD$75,),"")))))),"")</f>
        <v/>
      </c>
      <c r="DE84" s="2445" t="str" cm="1">
        <f t="array" ca="1" aca="1" ref="DE84">IFERROR(IF(AE84*fxVal_normal=_PL!AE84,"",IF(OR(AE84="",NOT(ISNUMBER(AE84)),ISERROR(AE84),$B84=""),"",IF($I84=1,IFBLANK(_xldudf_CX_PUSH(AE84*fxVal_normal,CX_ENTITY,$B84,AE$11,AE$14,AE$75,),""),IF($I84=2,IFBLANK(_xldudf_CX_PUSH(AE84,CX_ENTITY,$B84,AE$11,AE$14,AE$75,),""),IF($I84=3,"",IFBLANK(_xldudf_CX_PUSH(AE84,CX_ENTITY,$B84,AE$11,AE$14,AE$75,),"")))))),"")</f>
        <v/>
      </c>
      <c r="DF84" s="2445" t="str" cm="1">
        <f t="array" ca="1" aca="1" ref="DF84">IFERROR(IF(AF84*fxVal_normal=_PL!AF84,"",IF(OR(AF84="",NOT(ISNUMBER(AF84)),ISERROR(AF84),$B84=""),"",IF($I84=1,IFBLANK(_xldudf_CX_PUSH(AF84*fxVal_normal,CX_ENTITY,$B84,AF$11,AF$14,AF$75,),""),IF($I84=2,IFBLANK(_xldudf_CX_PUSH(AF84,CX_ENTITY,$B84,AF$11,AF$14,AF$75,),""),IF($I84=3,"",IFBLANK(_xldudf_CX_PUSH(AF84,CX_ENTITY,$B84,AF$11,AF$14,AF$75,),"")))))),"")</f>
        <v/>
      </c>
      <c r="DG84" s="2445" t="str" cm="1">
        <f t="array" ca="1" aca="1" ref="DG84">IFERROR(IF(AG84*fxVal_normal=_PL!AG84,"",IF(OR(AG84="",NOT(ISNUMBER(AG84)),ISERROR(AG84),$B84=""),"",IF($I84=1,IFBLANK(_xldudf_CX_PUSH(AG84*fxVal_normal,CX_ENTITY,$B84,AG$11,AG$14,AG$75,),""),IF($I84=2,IFBLANK(_xldudf_CX_PUSH(AG84,CX_ENTITY,$B84,AG$11,AG$14,AG$75,),""),IF($I84=3,"",IFBLANK(_xldudf_CX_PUSH(AG84,CX_ENTITY,$B84,AG$11,AG$14,AG$75,),"")))))),"")</f>
        <v/>
      </c>
      <c r="DH84" s="2445" t="str" cm="1">
        <f t="array" ca="1" aca="1" ref="DH84">IFERROR(IF(AH84*fxVal_normal=_PL!AH84,"",IF(OR(AH84="",NOT(ISNUMBER(AH84)),ISERROR(AH84),$B84=""),"",IF($I84=1,IFBLANK(_xldudf_CX_PUSH(AH84*fxVal_normal,CX_ENTITY,$B84,AH$11,AH$14,AH$75,),""),IF($I84=2,IFBLANK(_xldudf_CX_PUSH(AH84,CX_ENTITY,$B84,AH$11,AH$14,AH$75,),""),IF($I84=3,"",IFBLANK(_xldudf_CX_PUSH(AH84,CX_ENTITY,$B84,AH$11,AH$14,AH$75,),"")))))),"")</f>
        <v/>
      </c>
      <c r="DI84" s="2445" t="str" cm="1">
        <f t="array" ca="1" aca="1" ref="DI84">IFERROR(IF(AI84*fxVal_normal=_PL!AI84,"",IF(OR(AI84="",NOT(ISNUMBER(AI84)),ISERROR(AI84),$B84=""),"",IF($I84=1,IFBLANK(_xldudf_CX_PUSH(AI84*fxVal_normal,CX_ENTITY,$B84,AI$11,AI$14,AI$75,),""),IF($I84=2,IFBLANK(_xldudf_CX_PUSH(AI84,CX_ENTITY,$B84,AI$11,AI$14,AI$75,),""),IF($I84=3,"",IFBLANK(_xldudf_CX_PUSH(AI84,CX_ENTITY,$B84,AI$11,AI$14,AI$75,),"")))))),"")</f>
        <v/>
      </c>
      <c r="DJ84" s="2445" t="str" cm="1">
        <f t="array" ca="1" aca="1" ref="DJ84">IFERROR(IF(AJ84*fxVal_normal=_PL!AJ84,"",IF(OR(AJ84="",NOT(ISNUMBER(AJ84)),ISERROR(AJ84),$B84=""),"",IF($I84=1,IFBLANK(_xldudf_CX_PUSH(AJ84*fxVal_normal,CX_ENTITY,$B84,AJ$11,AJ$14,AJ$75,),""),IF($I84=2,IFBLANK(_xldudf_CX_PUSH(AJ84,CX_ENTITY,$B84,AJ$11,AJ$14,AJ$75,),""),IF($I84=3,"",IFBLANK(_xldudf_CX_PUSH(AJ84,CX_ENTITY,$B84,AJ$11,AJ$14,AJ$75,),"")))))),"")</f>
        <v/>
      </c>
      <c r="DK84" s="2445" t="str" cm="1">
        <f t="array" ca="1" aca="1" ref="DK84">IFERROR(IF(AK84*fxVal_normal=_PL!AK84,"",IF(OR(AK84="",NOT(ISNUMBER(AK84)),ISERROR(AK84),$B84=""),"",IF($I84=1,IFBLANK(_xldudf_CX_PUSH(AK84*fxVal_normal,CX_ENTITY,$B84,AK$11,AK$14,AK$75,),""),IF($I84=2,IFBLANK(_xldudf_CX_PUSH(AK84,CX_ENTITY,$B84,AK$11,AK$14,AK$75,),""),IF($I84=3,"",IFBLANK(_xldudf_CX_PUSH(AK84,CX_ENTITY,$B84,AK$11,AK$14,AK$75,),"")))))),"")</f>
        <v/>
      </c>
      <c r="DL84" s="2445" t="str" cm="1">
        <f t="array" ca="1" aca="1" ref="DL84">IFERROR(IF(AL84*fxVal_normal=_PL!AL84,"",IF(OR(AL84="",NOT(ISNUMBER(AL84)),ISERROR(AL84),$B84=""),"",IF($I84=1,IFBLANK(_xldudf_CX_PUSH(AL84*fxVal_normal,CX_ENTITY,$B84,AL$11,AL$14,AL$75,),""),IF($I84=2,IFBLANK(_xldudf_CX_PUSH(AL84,CX_ENTITY,$B84,AL$11,AL$14,AL$75,),""),IF($I84=3,"",IFBLANK(_xldudf_CX_PUSH(AL84,CX_ENTITY,$B84,AL$11,AL$14,AL$75,),"")))))),"")</f>
        <v/>
      </c>
      <c r="DM84" s="2445" t="str" cm="1">
        <f t="array" ca="1" aca="1" ref="DM84">IFERROR(IF(AM84*fxVal_normal=_PL!AM84,"",IF(OR(AM84="",NOT(ISNUMBER(AM84)),ISERROR(AM84),$B84=""),"",IF($I84=1,IFBLANK(_xldudf_CX_PUSH(AM84*fxVal_normal,CX_ENTITY,$B84,AM$11,AM$14,AM$75,),""),IF($I84=2,IFBLANK(_xldudf_CX_PUSH(AM84,CX_ENTITY,$B84,AM$11,AM$14,AM$75,),""),IF($I84=3,"",IFBLANK(_xldudf_CX_PUSH(AM84,CX_ENTITY,$B84,AM$11,AM$14,AM$75,),"")))))),"")</f>
        <v/>
      </c>
      <c r="DN84" s="2445" t="str" cm="1">
        <f t="array" ca="1" aca="1" ref="DN84">IFERROR(IF(AN84*fxVal_normal=_PL!AN84,"",IF(OR(AN84="",NOT(ISNUMBER(AN84)),ISERROR(AN84),$B84=""),"",IF($I84=1,IFBLANK(_xldudf_CX_PUSH(AN84*fxVal_normal,CX_ENTITY,$B84,AN$11,AN$14,AN$75,),""),IF($I84=2,IFBLANK(_xldudf_CX_PUSH(AN84,CX_ENTITY,$B84,AN$11,AN$14,AN$75,),""),IF($I84=3,"",IFBLANK(_xldudf_CX_PUSH(AN84,CX_ENTITY,$B84,AN$11,AN$14,AN$75,),"")))))),"")</f>
        <v/>
      </c>
      <c r="DO84" s="2445" t="str" cm="1">
        <f t="array" ca="1" aca="1" ref="DO84">IFERROR(IF(AO84*fxVal_normal=_PL!AO84,"",IF(OR(AO84="",NOT(ISNUMBER(AO84)),ISERROR(AO84),$B84=""),"",IF($I84=1,IFBLANK(_xldudf_CX_PUSH(AO84*fxVal_normal,CX_ENTITY,$B84,AO$11,AO$14,AO$75,),""),IF($I84=2,IFBLANK(_xldudf_CX_PUSH(AO84,CX_ENTITY,$B84,AO$11,AO$14,AO$75,),""),IF($I84=3,"",IFBLANK(_xldudf_CX_PUSH(AO84,CX_ENTITY,$B84,AO$11,AO$14,AO$75,),"")))))),"")</f>
        <v/>
      </c>
      <c r="DP84" s="2445" t="str" cm="1">
        <f t="array" ca="1" aca="1" ref="DP84">IFERROR(IF(AP84*fxVal_normal=_PL!AP84,"",IF(OR(AP84="",NOT(ISNUMBER(AP84)),ISERROR(AP84),$B84=""),"",IF($I84=1,IFBLANK(_xldudf_CX_PUSH(AP84*fxVal_normal,CX_ENTITY,$B84,AP$11,AP$14,AP$75,),""),IF($I84=2,IFBLANK(_xldudf_CX_PUSH(AP84,CX_ENTITY,$B84,AP$11,AP$14,AP$75,),""),IF($I84=3,"",IFBLANK(_xldudf_CX_PUSH(AP84,CX_ENTITY,$B84,AP$11,AP$14,AP$75,),"")))))),"")</f>
        <v/>
      </c>
      <c r="DQ84" s="2445" t="str" cm="1">
        <f t="array" ca="1" aca="1" ref="DQ84">IFERROR(IF(AQ84*fxVal_normal=_PL!AQ84,"",IF(OR(AQ84="",NOT(ISNUMBER(AQ84)),ISERROR(AQ84),$B84=""),"",IF($I84=1,IFBLANK(_xldudf_CX_PUSH(AQ84*fxVal_normal,CX_ENTITY,$B84,AQ$11,AQ$14,AQ$75,),""),IF($I84=2,IFBLANK(_xldudf_CX_PUSH(AQ84,CX_ENTITY,$B84,AQ$11,AQ$14,AQ$75,),""),IF($I84=3,"",IFBLANK(_xldudf_CX_PUSH(AQ84,CX_ENTITY,$B84,AQ$11,AQ$14,AQ$75,),"")))))),"")</f>
        <v/>
      </c>
      <c r="DR84" s="2445" t="str" cm="1">
        <f t="array" ca="1" aca="1" ref="DR84">IFERROR(IF(AR84*fxVal_normal=_PL!AR84,"",IF(OR(AR84="",NOT(ISNUMBER(AR84)),ISERROR(AR84),$B84=""),"",IF($I84=1,IFBLANK(_xldudf_CX_PUSH(AR84*fxVal_normal,CX_ENTITY,$B84,AR$11,AR$14,AR$75,),""),IF($I84=2,IFBLANK(_xldudf_CX_PUSH(AR84,CX_ENTITY,$B84,AR$11,AR$14,AR$75,),""),IF($I84=3,"",IFBLANK(_xldudf_CX_PUSH(AR84,CX_ENTITY,$B84,AR$11,AR$14,AR$75,),"")))))),"")</f>
        <v/>
      </c>
      <c r="DS84" s="2445" t="str" cm="1">
        <f t="array" ca="1" aca="1" ref="DS84">IFERROR(IF(AS84*fxVal_normal=_PL!AS84,"",IF(OR(AS84="",NOT(ISNUMBER(AS84)),ISERROR(AS84),$B84=""),"",IF($I84=1,IFBLANK(_xldudf_CX_PUSH(AS84*fxVal_normal,CX_ENTITY,$B84,AS$11,AS$14,AS$75,),""),IF($I84=2,IFBLANK(_xldudf_CX_PUSH(AS84,CX_ENTITY,$B84,AS$11,AS$14,AS$75,),""),IF($I84=3,"",IFBLANK(_xldudf_CX_PUSH(AS84,CX_ENTITY,$B84,AS$11,AS$14,AS$75,),"")))))),"")</f>
        <v/>
      </c>
      <c r="DT84" s="2445" t="str" cm="1">
        <f t="array" ca="1" aca="1" ref="DT84">IFERROR(IF(AT84*fxVal_normal=_PL!AT84,"",IF(OR(AT84="",NOT(ISNUMBER(AT84)),ISERROR(AT84),$B84=""),"",IF($I84=1,IFBLANK(_xldudf_CX_PUSH(AT84*fxVal_normal,CX_ENTITY,$B84,AT$11,AT$14,AT$75,),""),IF($I84=2,IFBLANK(_xldudf_CX_PUSH(AT84,CX_ENTITY,$B84,AT$11,AT$14,AT$75,),""),IF($I84=3,"",IFBLANK(_xldudf_CX_PUSH(AT84,CX_ENTITY,$B84,AT$11,AT$14,AT$75,),"")))))),"")</f>
        <v/>
      </c>
      <c r="DU84" s="2445" t="str" cm="1">
        <f t="array" ca="1" aca="1" ref="DU84">IFERROR(IF(AU84*fxVal_normal=_PL!AU84,"",IF(OR(AU84="",NOT(ISNUMBER(AU84)),ISERROR(AU84),$B84=""),"",IF($I84=1,IFBLANK(_xldudf_CX_PUSH(AU84*fxVal_normal,CX_ENTITY,$B84,AU$11,AU$14,AU$75,),""),IF($I84=2,IFBLANK(_xldudf_CX_PUSH(AU84,CX_ENTITY,$B84,AU$11,AU$14,AU$75,),""),IF($I84=3,"",IFBLANK(_xldudf_CX_PUSH(AU84,CX_ENTITY,$B84,AU$11,AU$14,AU$75,),"")))))),"")</f>
        <v/>
      </c>
      <c r="DV84" s="2445" t="str" cm="1">
        <f t="array" ca="1" aca="1" ref="DV84">IFERROR(IF(AV84*fxVal_normal=_PL!AV84,"",IF(OR(AV84="",NOT(ISNUMBER(AV84)),ISERROR(AV84),$B84=""),"",IF($I84=1,IFBLANK(_xldudf_CX_PUSH(AV84*fxVal_normal,CX_ENTITY,$B84,AV$11,AV$14,AV$75,),""),IF($I84=2,IFBLANK(_xldudf_CX_PUSH(AV84,CX_ENTITY,$B84,AV$11,AV$14,AV$75,),""),IF($I84=3,"",IFBLANK(_xldudf_CX_PUSH(AV84,CX_ENTITY,$B84,AV$11,AV$14,AV$75,),"")))))),"")</f>
        <v/>
      </c>
      <c r="DW84" s="2445" t="str" cm="1">
        <f t="array" ca="1" aca="1" ref="DW84">IFERROR(IF(AW84*fxVal_normal=_PL!AW84,"",IF(OR(AW84="",NOT(ISNUMBER(AW84)),ISERROR(AW84),$B84=""),"",IF($I84=1,IFBLANK(_xldudf_CX_PUSH(AW84*fxVal_normal,CX_ENTITY,$B84,AW$11,AW$14,AW$75,),""),IF($I84=2,IFBLANK(_xldudf_CX_PUSH(AW84,CX_ENTITY,$B84,AW$11,AW$14,AW$75,),""),IF($I84=3,"",IFBLANK(_xldudf_CX_PUSH(AW84,CX_ENTITY,$B84,AW$11,AW$14,AW$75,),"")))))),"")</f>
        <v/>
      </c>
      <c r="DX84" s="2445" t="str" cm="1">
        <f t="array" ca="1" aca="1" ref="DX84">IFERROR(IF(AX84*fxVal_normal=_PL!AX84,"",IF(OR(AX84="",NOT(ISNUMBER(AX84)),ISERROR(AX84),$B84=""),"",IF($I84=1,IFBLANK(_xldudf_CX_PUSH(AX84*fxVal_normal,CX_ENTITY,$B84,AX$11,AX$14,AX$75,),""),IF($I84=2,IFBLANK(_xldudf_CX_PUSH(AX84,CX_ENTITY,$B84,AX$11,AX$14,AX$75,),""),IF($I84=3,"",IFBLANK(_xldudf_CX_PUSH(AX84,CX_ENTITY,$B84,AX$11,AX$14,AX$75,),"")))))),"")</f>
        <v/>
      </c>
      <c r="DY84" s="2445" t="str" cm="1">
        <f t="array" ca="1" aca="1" ref="DY84">IFERROR(IF(AY84*fxVal_normal=_PL!AY84,"",IF(OR(AY84="",NOT(ISNUMBER(AY84)),ISERROR(AY84),$B84=""),"",IF($I84=1,IFBLANK(_xldudf_CX_PUSH(AY84*fxVal_normal,CX_ENTITY,$B84,AY$11,AY$14,AY$75,),""),IF($I84=2,IFBLANK(_xldudf_CX_PUSH(AY84,CX_ENTITY,$B84,AY$11,AY$14,AY$75,),""),IF($I84=3,"",IFBLANK(_xldudf_CX_PUSH(AY84,CX_ENTITY,$B84,AY$11,AY$14,AY$75,),"")))))),"")</f>
        <v/>
      </c>
      <c r="DZ84" s="2445" t="str" cm="1">
        <f t="array" ca="1" aca="1" ref="DZ84">IFERROR(IF(AZ84*fxVal_normal=_PL!AZ84,"",IF(OR(AZ84="",NOT(ISNUMBER(AZ84)),ISERROR(AZ84),$B84=""),"",IF($I84=1,IFBLANK(_xldudf_CX_PUSH(AZ84*fxVal_normal,CX_ENTITY,$B84,AZ$11,AZ$14,AZ$75,),""),IF($I84=2,IFBLANK(_xldudf_CX_PUSH(AZ84,CX_ENTITY,$B84,AZ$11,AZ$14,AZ$75,),""),IF($I84=3,"",IFBLANK(_xldudf_CX_PUSH(AZ84,CX_ENTITY,$B84,AZ$11,AZ$14,AZ$75,),"")))))),"")</f>
        <v/>
      </c>
      <c r="EA84" s="2445" t="str" cm="1">
        <f t="array" ca="1" aca="1" ref="EA84">IFERROR(IF(BA84*fxVal_normal=_PL!BA84,"",IF(OR(BA84="",NOT(ISNUMBER(BA84)),ISERROR(BA84),$B84=""),"",IF($I84=1,IFBLANK(_xldudf_CX_PUSH(BA84*fxVal_normal,CX_ENTITY,$B84,BA$11,BA$14,BA$75,),""),IF($I84=2,IFBLANK(_xldudf_CX_PUSH(BA84,CX_ENTITY,$B84,BA$11,BA$14,BA$75,),""),IF($I84=3,"",IFBLANK(_xldudf_CX_PUSH(BA84,CX_ENTITY,$B84,BA$11,BA$14,BA$75,),"")))))),"")</f>
        <v/>
      </c>
      <c r="EB84" s="2445" t="str" cm="1">
        <f t="array" ca="1" aca="1" ref="EB84">IFERROR(IF(BB84*fxVal_normal=_PL!BB84,"",IF(OR(BB84="",NOT(ISNUMBER(BB84)),ISERROR(BB84),$B84=""),"",IF($I84=1,IFBLANK(_xldudf_CX_PUSH(BB84*fxVal_normal,CX_ENTITY,$B84,BB$11,BB$14,BB$75,),""),IF($I84=2,IFBLANK(_xldudf_CX_PUSH(BB84,CX_ENTITY,$B84,BB$11,BB$14,BB$75,),""),IF($I84=3,"",IFBLANK(_xldudf_CX_PUSH(BB84,CX_ENTITY,$B84,BB$11,BB$14,BB$75,),"")))))),"")</f>
        <v/>
      </c>
      <c r="EC84" s="2445" t="str" cm="1">
        <f t="array" ca="1" aca="1" ref="EC84">IFERROR(IF(BC84*fxVal_normal=_PL!BC84,"",IF(OR(BC84="",NOT(ISNUMBER(BC84)),ISERROR(BC84),$B84=""),"",IF($I84=1,IFBLANK(_xldudf_CX_PUSH(BC84*fxVal_normal,CX_ENTITY,$B84,BC$11,BC$14,BC$75,),""),IF($I84=2,IFBLANK(_xldudf_CX_PUSH(BC84,CX_ENTITY,$B84,BC$11,BC$14,BC$75,),""),IF($I84=3,"",IFBLANK(_xldudf_CX_PUSH(BC84,CX_ENTITY,$B84,BC$11,BC$14,BC$75,),"")))))),"")</f>
        <v/>
      </c>
      <c r="ED84" s="2445" t="str" cm="1">
        <f t="array" ca="1" aca="1" ref="ED84">IFERROR(IF(BD84*fxVal_normal=_PL!BD84,"",IF(OR(BD84="",NOT(ISNUMBER(BD84)),ISERROR(BD84),$B84=""),"",IF($I84=1,IFBLANK(_xldudf_CX_PUSH(BD84*fxVal_normal,CX_ENTITY,$B84,BD$11,BD$14,BD$75,),""),IF($I84=2,IFBLANK(_xldudf_CX_PUSH(BD84,CX_ENTITY,$B84,BD$11,BD$14,BD$75,),""),IF($I84=3,"",IFBLANK(_xldudf_CX_PUSH(BD84,CX_ENTITY,$B84,BD$11,BD$14,BD$75,),"")))))),"")</f>
        <v/>
      </c>
      <c r="EE84" s="2445" t="str" cm="1">
        <f t="array" ca="1" aca="1" ref="EE84">IFERROR(IF(BE84*fxVal_normal=_PL!BE84,"",IF(OR(BE84="",NOT(ISNUMBER(BE84)),ISERROR(BE84),$B84=""),"",IF($I84=1,IFBLANK(_xldudf_CX_PUSH(BE84*fxVal_normal,CX_ENTITY,$B84,BE$11,BE$14,BE$75,),""),IF($I84=2,IFBLANK(_xldudf_CX_PUSH(BE84,CX_ENTITY,$B84,BE$11,BE$14,BE$75,),""),IF($I84=3,"",IFBLANK(_xldudf_CX_PUSH(BE84,CX_ENTITY,$B84,BE$11,BE$14,BE$75,),"")))))),"")</f>
        <v/>
      </c>
      <c r="EF84" s="2445" t="str" cm="1">
        <f t="array" ca="1" aca="1" ref="EF84">IFERROR(IF(BF84*fxVal_normal=_PL!BF84,"",IF(OR(BF84="",NOT(ISNUMBER(BF84)),ISERROR(BF84),$B84=""),"",IF($I84=1,IFBLANK(_xldudf_CX_PUSH(BF84*fxVal_normal,CX_ENTITY,$B84,BF$11,BF$14,BF$75,),""),IF($I84=2,IFBLANK(_xldudf_CX_PUSH(BF84,CX_ENTITY,$B84,BF$11,BF$14,BF$75,),""),IF($I84=3,"",IFBLANK(_xldudf_CX_PUSH(BF84,CX_ENTITY,$B84,BF$11,BF$14,BF$75,),"")))))),"")</f>
        <v/>
      </c>
      <c r="EG84" s="2445" t="str" cm="1">
        <f t="array" ca="1" aca="1" ref="EG84">IFERROR(IF(BG84*fxVal_normal=_PL!BG84,"",IF(OR(BG84="",NOT(ISNUMBER(BG84)),ISERROR(BG84),$B84=""),"",IF($I84=1,IFBLANK(_xldudf_CX_PUSH(BG84*fxVal_normal,CX_ENTITY,$B84,BG$11,BG$14,BG$75,),""),IF($I84=2,IFBLANK(_xldudf_CX_PUSH(BG84,CX_ENTITY,$B84,BG$11,BG$14,BG$75,),""),IF($I84=3,"",IFBLANK(_xldudf_CX_PUSH(BG84,CX_ENTITY,$B84,BG$11,BG$14,BG$75,),"")))))),"")</f>
        <v/>
      </c>
      <c r="EH84" s="2445" t="str" cm="1">
        <f t="array" ca="1" aca="1" ref="EH84">IFERROR(IF(BH84*fxVal_normal=_PL!BH84,"",IF(OR(BH84="",NOT(ISNUMBER(BH84)),ISERROR(BH84),$B84=""),"",IF($I84=1,IFBLANK(_xldudf_CX_PUSH(BH84*fxVal_normal,CX_ENTITY,$B84,BH$11,BH$14,BH$75,),""),IF($I84=2,IFBLANK(_xldudf_CX_PUSH(BH84,CX_ENTITY,$B84,BH$11,BH$14,BH$75,),""),IF($I84=3,"",IFBLANK(_xldudf_CX_PUSH(BH84,CX_ENTITY,$B84,BH$11,BH$14,BH$75,),"")))))),"")</f>
        <v/>
      </c>
      <c r="EI84" s="2445" t="str" cm="1">
        <f t="array" ca="1" aca="1" ref="EI84">IFERROR(IF(BI84*fxVal_normal=_PL!BI84,"",IF(OR(BI84="",NOT(ISNUMBER(BI84)),ISERROR(BI84),$B84=""),"",IF($I84=1,IFBLANK(_xldudf_CX_PUSH(BI84*fxVal_normal,CX_ENTITY,$B84,BI$11,BI$14,BI$75,),""),IF($I84=2,IFBLANK(_xldudf_CX_PUSH(BI84,CX_ENTITY,$B84,BI$11,BI$14,BI$75,),""),IF($I84=3,"",IFBLANK(_xldudf_CX_PUSH(BI84,CX_ENTITY,$B84,BI$11,BI$14,BI$75,),"")))))),"")</f>
        <v/>
      </c>
      <c r="EJ84" s="2445" t="str" cm="1">
        <f t="array" ca="1" aca="1" ref="EJ84">IFERROR(IF(BJ84*fxVal_normal=_PL!BJ84,"",IF(OR(BJ84="",NOT(ISNUMBER(BJ84)),ISERROR(BJ84),$B84=""),"",IF($I84=1,IFBLANK(_xldudf_CX_PUSH(BJ84*fxVal_normal,CX_ENTITY,$B84,BJ$11,BJ$14,BJ$75,),""),IF($I84=2,IFBLANK(_xldudf_CX_PUSH(BJ84,CX_ENTITY,$B84,BJ$11,BJ$14,BJ$75,),""),IF($I84=3,"",IFBLANK(_xldudf_CX_PUSH(BJ84,CX_ENTITY,$B84,BJ$11,BJ$14,BJ$75,),"")))))),"")</f>
        <v/>
      </c>
      <c r="EK84" s="2445" t="str" cm="1">
        <f t="array" ca="1" aca="1" ref="EK84">IFERROR(IF(BK84*fxVal_normal=_PL!BK84,"",IF(OR(BK84="",NOT(ISNUMBER(BK84)),ISERROR(BK84),$B84=""),"",IF($I84=1,IFBLANK(_xldudf_CX_PUSH(BK84*fxVal_normal,CX_ENTITY,$B84,BK$11,BK$14,BK$75,),""),IF($I84=2,IFBLANK(_xldudf_CX_PUSH(BK84,CX_ENTITY,$B84,BK$11,BK$14,BK$75,),""),IF($I84=3,"",IFBLANK(_xldudf_CX_PUSH(BK84,CX_ENTITY,$B84,BK$11,BK$14,BK$75,),"")))))),"")</f>
        <v/>
      </c>
      <c r="EL84" s="2445" t="str" cm="1">
        <f t="array" ca="1" aca="1" ref="EL84">IFERROR(IF(BL84*fxVal_normal=_PL!BL84,"",IF(OR(BL84="",NOT(ISNUMBER(BL84)),ISERROR(BL84),$B84=""),"",IF($I84=1,IFBLANK(_xldudf_CX_PUSH(BL84*fxVal_normal,CX_ENTITY,$B84,BL$11,BL$14,BL$75,),""),IF($I84=2,IFBLANK(_xldudf_CX_PUSH(BL84,CX_ENTITY,$B84,BL$11,BL$14,BL$75,),""),IF($I84=3,"",IFBLANK(_xldudf_CX_PUSH(BL84,CX_ENTITY,$B84,BL$11,BL$14,BL$75,),"")))))),"")</f>
        <v/>
      </c>
      <c r="EM84" s="2445" t="str" cm="1">
        <f t="array" ca="1" aca="1" ref="EM84">IFERROR(IF(BM84*fxVal_normal=_PL!BM84,"",IF(OR(BM84="",NOT(ISNUMBER(BM84)),ISERROR(BM84),$B84=""),"",IF($I84=1,IFBLANK(_xldudf_CX_PUSH(BM84*fxVal_normal,CX_ENTITY,$B84,BM$11,BM$14,BM$75,),""),IF($I84=2,IFBLANK(_xldudf_CX_PUSH(BM84,CX_ENTITY,$B84,BM$11,BM$14,BM$75,),""),IF($I84=3,"",IFBLANK(_xldudf_CX_PUSH(BM84,CX_ENTITY,$B84,BM$11,BM$14,BM$75,),"")))))),"")</f>
        <v/>
      </c>
      <c r="EN84" s="2445" t="str" cm="1">
        <f t="array" ca="1" aca="1" ref="EN84">IFERROR(IF(BN84*fxVal_normal=_PL!BN84,"",IF(OR(BN84="",NOT(ISNUMBER(BN84)),ISERROR(BN84),$B84=""),"",IF($I84=1,IFBLANK(_xldudf_CX_PUSH(BN84*fxVal_normal,CX_ENTITY,$B84,BN$11,BN$14,BN$75,),""),IF($I84=2,IFBLANK(_xldudf_CX_PUSH(BN84,CX_ENTITY,$B84,BN$11,BN$14,BN$75,),""),IF($I84=3,"",IFBLANK(_xldudf_CX_PUSH(BN84,CX_ENTITY,$B84,BN$11,BN$14,BN$75,),"")))))),"")</f>
        <v/>
      </c>
    </row>
    <row r="85" spans="1:144" ht="21" customHeight="1">
      <c r="A85" s="1625"/>
      <c r="B85" s="3196">
        <f>_xlfn.LET(_xlpm.IsNotAttrDynamic,D85="",_xlpm.Attr,_PL!F85,_xlpm.NotInUse,Y85=D85,_xlpm.RESULT,IF(_xlpm.IsNotAttrDynamic,_xlpm.Attr,IF(_xlpm.NotInUse,"",Y85)),IF(_xlpm.RESULT="","",_xlpm.RESULT))</f>
        <v>2</v>
      </c>
      <c r="C85" s="3463" t="str" cm="1">
        <f t="array" ref="C85">IFBLANK(_PL!C85,"")</f>
        <v>EBITDA Adjustment Type I - Label 4</v>
      </c>
      <c r="D85" s="2506" t="str">
        <f t="shared" si="32"/>
        <v>Please select or type in or leave as blank (4)</v>
      </c>
      <c r="E85" s="2440" t="e" cm="1">
        <f t="array" ca="1" aca="1" ref="E8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85:$CQ85,Z85)</f>
        <v>#NAME?</v>
      </c>
      <c r="F85" s="578"/>
      <c r="G85" s="578"/>
      <c r="H85" s="401">
        <v>0</v>
      </c>
      <c r="I85" s="3280">
        <v>1</v>
      </c>
      <c r="J85" s="401" cm="1">
        <f t="array" ref="J85">IFBLANK(Z85,"")</f>
        <v>-1</v>
      </c>
      <c r="K85" s="578" t="str">
        <f t="shared" si="33"/>
        <v>Yes</v>
      </c>
      <c r="L85" s="37"/>
      <c r="N85" s="158"/>
      <c r="O85" s="101"/>
      <c r="P85" s="52"/>
      <c r="Q85" s="101"/>
      <c r="R85" s="101"/>
      <c r="S85" s="101"/>
      <c r="T85" s="101"/>
      <c r="U85" s="39"/>
      <c r="V85" s="37"/>
      <c r="W85" s="91" t="str">
        <f t="shared" si="28"/>
        <v>Budget</v>
      </c>
      <c r="X85" s="2081" t="str">
        <f>_PL!X85</f>
        <v>a</v>
      </c>
      <c r="Y85" s="3197">
        <f t="shared" si="34"/>
        <v>2</v>
      </c>
      <c r="Z85" s="198" cm="1">
        <f t="array" ref="Z85">_xlfn.SWITCH(TRUE,_PL!$L85=TRUE,1,_PL!$L85=FALSE,-1,_PL!$L85=-1,0,"")</f>
        <v>-1</v>
      </c>
      <c r="AA85" s="200"/>
      <c r="AB85" s="3198">
        <f t="shared" si="35"/>
        <v>2</v>
      </c>
      <c r="AC85" s="2508" t="str" cm="1">
        <f t="array" ca="1" aca="1" ref="AC85">_xlfn.LET(_xlpm._termname,$AB85,_xlpm._iconname,"find",_xlpm._icon,fx_getIcon(_xlpm._iconname),_xlpm._location,_xlfn.XLOOKUP(LOWER(_xlpm._termname),LOWER(tbl_acctDef[Term]),tbl_acctDef[Term]),_xlpm._hyperlink,HYPERLINK("#"&amp;CELL("address",_xlpm._location),_xlpm._icon),IFERROR(_xlpm._hyperlink,""))</f>
        <v/>
      </c>
      <c r="AD85" s="3177">
        <v>1</v>
      </c>
      <c r="AE85" s="3177">
        <v>1</v>
      </c>
      <c r="AF85" s="3177">
        <v>1</v>
      </c>
      <c r="AG85" s="3177">
        <v>1</v>
      </c>
      <c r="AH85" s="3177">
        <v>1</v>
      </c>
      <c r="AI85" s="3177">
        <v>1</v>
      </c>
      <c r="AJ85" s="3177">
        <v>1</v>
      </c>
      <c r="AK85" s="3177">
        <v>1</v>
      </c>
      <c r="AL85" s="3177">
        <v>1</v>
      </c>
      <c r="AM85" s="3177">
        <v>1</v>
      </c>
      <c r="AN85" s="3177">
        <v>1</v>
      </c>
      <c r="AO85" s="3177">
        <v>1</v>
      </c>
      <c r="AP85" s="3177">
        <v>1</v>
      </c>
      <c r="AQ85" s="3177">
        <v>1</v>
      </c>
      <c r="AR85" s="3177">
        <v>1</v>
      </c>
      <c r="AS85" s="3177">
        <v>1</v>
      </c>
      <c r="AT85" s="3177">
        <v>1</v>
      </c>
      <c r="AU85" s="3177">
        <v>1</v>
      </c>
      <c r="AV85" s="3177">
        <v>1</v>
      </c>
      <c r="AW85" s="3177">
        <v>1</v>
      </c>
      <c r="AX85" s="3177">
        <v>1</v>
      </c>
      <c r="AY85" s="3177">
        <v>1</v>
      </c>
      <c r="AZ85" s="3177">
        <v>1</v>
      </c>
      <c r="BA85" s="3177">
        <v>1</v>
      </c>
      <c r="BB85" s="3177">
        <v>1</v>
      </c>
      <c r="BC85" s="3177">
        <v>1</v>
      </c>
      <c r="BD85" s="3177">
        <v>1</v>
      </c>
      <c r="BE85" s="3177">
        <v>1</v>
      </c>
      <c r="BF85" s="3177">
        <v>1</v>
      </c>
      <c r="BG85" s="3177">
        <v>1</v>
      </c>
      <c r="BH85" s="3177">
        <v>1</v>
      </c>
      <c r="BI85" s="3177">
        <v>1</v>
      </c>
      <c r="BJ85" s="3177">
        <v>1</v>
      </c>
      <c r="BK85" s="3177">
        <v>1</v>
      </c>
      <c r="BL85" s="3177">
        <v>1</v>
      </c>
      <c r="BM85" s="3177">
        <v>1</v>
      </c>
      <c r="BN85" s="3177">
        <v>1</v>
      </c>
      <c r="BO85" s="2442"/>
      <c r="BP85" s="2442"/>
      <c r="BQ85" s="2442"/>
      <c r="BR85" s="2442"/>
      <c r="BS85" s="2442"/>
      <c r="BT85" s="2442"/>
      <c r="BU85" s="2442"/>
      <c r="BV85" s="2442"/>
      <c r="BW85" s="2442"/>
      <c r="BX85" s="2442"/>
      <c r="BY85" s="2442"/>
      <c r="BZ85" s="2442"/>
      <c r="CA85" s="34"/>
      <c r="CC85" s="33"/>
      <c r="CD85" s="1772" t="e" cm="1">
        <f t="array" ca="1" aca="1" ref="CD85">_xlfn.LET(_xlpm.CheckBlank,SUM(PL!$AD85:$BN85)=0,IF(_xlpm.CheckBlank,"",SUM(_xlfn._xlws.FILTER(PL!$AD85:$BN85,(YEAR(PL!$AD$12:$BN$12)=PL!CD$12)*(array_timeline&lt;=PL!CD$11)))))</f>
        <v>#NAME?</v>
      </c>
      <c r="CE85" s="1772" t="e" cm="1">
        <f t="array" ca="1" aca="1" ref="CE85">_xlfn.LET(_xlpm.CheckBlank,SUM(PL!$AD85:$BN85)=0,IF(_xlpm.CheckBlank,"",SUM(_xlfn._xlws.FILTER(PL!$AD85:$BN85,(YEAR(PL!$AD$12:$BN$12)=PL!CE$12)*(array_timeline&lt;=PL!CE$11)))))</f>
        <v>#NAME?</v>
      </c>
      <c r="CF85" s="88"/>
      <c r="CG85" s="1461" t="e" cm="1">
        <f t="array" ca="1" aca="1" ref="CG85">_xlfn.LET(_xlpm.CheckBlank,SUM(PL!$AD85:$BN85)=0,IF(_xlpm.CheckBlank,"",SUM(_xlfn._xlws.FILTER(PL!$AD85:$BN85,(YEAR(PL!$AD$12:$BN$12)=PL!CG$12)*(array_timeline&lt;=PL!CG$11)))))</f>
        <v>#NAME?</v>
      </c>
      <c r="CH85" s="1461" t="e" cm="1">
        <f t="array" ca="1" aca="1" ref="CH85">_xlfn.LET(_xlpm.CheckBlank,SUM(PL!$AD85:$BN85)=0,IF(_xlpm.CheckBlank,"",SUM(_xlfn._xlws.FILTER(PL!$AD85:$BN85,(YEAR(PL!$AD$12:$BN$12)=PL!CH$12)*(array_timeline&lt;=PL!CH$11)))))</f>
        <v>#NAME?</v>
      </c>
      <c r="CI85" s="88"/>
      <c r="CJ85" s="1461" cm="1">
        <f t="array" ref="CJ85">_xlfn.LET(_xlpm.CheckBlank,SUM(PL!$AD85:$BN85)=0,IF(_xlpm.CheckBlank,"",SUM(_xlfn.TAKE(_xlfn.DROP(PL!$AD85:$BN85,,-DATEDIFF(PL!CJ$11,val_asOfDate,"M")),1,-12))))</f>
        <v>12</v>
      </c>
      <c r="CK85" s="1461" cm="1">
        <f t="array" ref="CK85">_xlfn.LET(_xlpm.CheckBlank,SUM(PL!$AD85:$BN85)=0,IF(_xlpm.CheckBlank,"",SUM(_xlfn.TAKE(_xlfn.DROP(PL!$AD85:$BN85,,-DATEDIFF(PL!CK$11,val_asOfDate,"M")),1,-12))))</f>
        <v>12</v>
      </c>
      <c r="CL85" s="88"/>
      <c r="CM85" s="3195">
        <f t="shared" si="26"/>
        <v>1</v>
      </c>
      <c r="CN85" s="3195">
        <f t="shared" si="23"/>
        <v>1</v>
      </c>
      <c r="CO85" s="1169"/>
      <c r="CP85" s="3195">
        <f t="shared" si="27"/>
        <v>1</v>
      </c>
      <c r="CQ85" s="3195">
        <f t="shared" si="24"/>
        <v>1</v>
      </c>
      <c r="CR85" s="34"/>
      <c r="CS85" s="2056"/>
      <c r="CT85" s="2447" t="e" cm="1">
        <f t="array" ca="1" aca="1" ref="CT85">IF(ISNUMBER(SEARCH("Select",$Y85)),"",_xldudf_CX_PUSH($Y85,CX_ENTITY,C85,val_asOfDate))</f>
        <v>#NAME?</v>
      </c>
      <c r="CU85" s="2447" t="e" cm="1">
        <f t="array" ca="1" aca="1" ref="CU85">IF(ISNUMBER(SEARCH("Select",$Y85)),"",_xldudf_CX_PUSH($Y85,CX_ENTITY,C85,EOMONTH(val_asOfDate,1)))</f>
        <v>#NAME?</v>
      </c>
      <c r="CV85" s="2447" t="e" cm="1">
        <f t="array" ca="1" aca="1" ref="CV85">IF(ISNUMBER(SEARCH("Select",$Y85)),"",_xldudf_CX_PUSH($Y85,CX_ENTITY,C85,EOMONTH(val_asOfDate,2)))</f>
        <v>#NAME?</v>
      </c>
      <c r="CW85" s="2447" t="e" cm="1">
        <f t="array" ca="1" aca="1" ref="CW85">IF(ISNUMBER(SEARCH("Select",$Y85)),"",_xldudf_CX_PUSH($Y85,CX_ENTITY,C85,EOMONTH(val_asOfDate,3)))</f>
        <v>#NAME?</v>
      </c>
      <c r="CX85" s="2443"/>
      <c r="CY85" s="1880"/>
      <c r="CZ85" s="1880"/>
      <c r="DA85" s="1880"/>
      <c r="DB85" s="1880"/>
      <c r="DC85" s="2121"/>
      <c r="DD85" s="2445" t="str" cm="1">
        <f t="array" ca="1" aca="1" ref="DD85">IFERROR(IF(AD85*fxVal_normal=_PL!AD85,"",IF(OR(AD85="",NOT(ISNUMBER(AD85)),ISERROR(AD85),$B85=""),"",IF($I85=1,IFBLANK(_xldudf_CX_PUSH(AD85*fxVal_normal,CX_ENTITY,$B85,AD$11,AD$14,AD$75,),""),IF($I85=2,IFBLANK(_xldudf_CX_PUSH(AD85,CX_ENTITY,$B85,AD$11,AD$14,AD$75,),""),IF($I85=3,"",IFBLANK(_xldudf_CX_PUSH(AD85,CX_ENTITY,$B85,AD$11,AD$14,AD$75,),"")))))),"")</f>
        <v/>
      </c>
      <c r="DE85" s="2445" t="str" cm="1">
        <f t="array" ca="1" aca="1" ref="DE85">IFERROR(IF(AE85*fxVal_normal=_PL!AE85,"",IF(OR(AE85="",NOT(ISNUMBER(AE85)),ISERROR(AE85),$B85=""),"",IF($I85=1,IFBLANK(_xldudf_CX_PUSH(AE85*fxVal_normal,CX_ENTITY,$B85,AE$11,AE$14,AE$75,),""),IF($I85=2,IFBLANK(_xldudf_CX_PUSH(AE85,CX_ENTITY,$B85,AE$11,AE$14,AE$75,),""),IF($I85=3,"",IFBLANK(_xldudf_CX_PUSH(AE85,CX_ENTITY,$B85,AE$11,AE$14,AE$75,),"")))))),"")</f>
        <v/>
      </c>
      <c r="DF85" s="2445" t="str" cm="1">
        <f t="array" ca="1" aca="1" ref="DF85">IFERROR(IF(AF85*fxVal_normal=_PL!AF85,"",IF(OR(AF85="",NOT(ISNUMBER(AF85)),ISERROR(AF85),$B85=""),"",IF($I85=1,IFBLANK(_xldudf_CX_PUSH(AF85*fxVal_normal,CX_ENTITY,$B85,AF$11,AF$14,AF$75,),""),IF($I85=2,IFBLANK(_xldudf_CX_PUSH(AF85,CX_ENTITY,$B85,AF$11,AF$14,AF$75,),""),IF($I85=3,"",IFBLANK(_xldudf_CX_PUSH(AF85,CX_ENTITY,$B85,AF$11,AF$14,AF$75,),"")))))),"")</f>
        <v/>
      </c>
      <c r="DG85" s="2445" t="str" cm="1">
        <f t="array" ca="1" aca="1" ref="DG85">IFERROR(IF(AG85*fxVal_normal=_PL!AG85,"",IF(OR(AG85="",NOT(ISNUMBER(AG85)),ISERROR(AG85),$B85=""),"",IF($I85=1,IFBLANK(_xldudf_CX_PUSH(AG85*fxVal_normal,CX_ENTITY,$B85,AG$11,AG$14,AG$75,),""),IF($I85=2,IFBLANK(_xldudf_CX_PUSH(AG85,CX_ENTITY,$B85,AG$11,AG$14,AG$75,),""),IF($I85=3,"",IFBLANK(_xldudf_CX_PUSH(AG85,CX_ENTITY,$B85,AG$11,AG$14,AG$75,),"")))))),"")</f>
        <v/>
      </c>
      <c r="DH85" s="2445" t="str" cm="1">
        <f t="array" ca="1" aca="1" ref="DH85">IFERROR(IF(AH85*fxVal_normal=_PL!AH85,"",IF(OR(AH85="",NOT(ISNUMBER(AH85)),ISERROR(AH85),$B85=""),"",IF($I85=1,IFBLANK(_xldudf_CX_PUSH(AH85*fxVal_normal,CX_ENTITY,$B85,AH$11,AH$14,AH$75,),""),IF($I85=2,IFBLANK(_xldudf_CX_PUSH(AH85,CX_ENTITY,$B85,AH$11,AH$14,AH$75,),""),IF($I85=3,"",IFBLANK(_xldudf_CX_PUSH(AH85,CX_ENTITY,$B85,AH$11,AH$14,AH$75,),"")))))),"")</f>
        <v/>
      </c>
      <c r="DI85" s="2445" t="str" cm="1">
        <f t="array" ca="1" aca="1" ref="DI85">IFERROR(IF(AI85*fxVal_normal=_PL!AI85,"",IF(OR(AI85="",NOT(ISNUMBER(AI85)),ISERROR(AI85),$B85=""),"",IF($I85=1,IFBLANK(_xldudf_CX_PUSH(AI85*fxVal_normal,CX_ENTITY,$B85,AI$11,AI$14,AI$75,),""),IF($I85=2,IFBLANK(_xldudf_CX_PUSH(AI85,CX_ENTITY,$B85,AI$11,AI$14,AI$75,),""),IF($I85=3,"",IFBLANK(_xldudf_CX_PUSH(AI85,CX_ENTITY,$B85,AI$11,AI$14,AI$75,),"")))))),"")</f>
        <v/>
      </c>
      <c r="DJ85" s="2445" t="str" cm="1">
        <f t="array" ca="1" aca="1" ref="DJ85">IFERROR(IF(AJ85*fxVal_normal=_PL!AJ85,"",IF(OR(AJ85="",NOT(ISNUMBER(AJ85)),ISERROR(AJ85),$B85=""),"",IF($I85=1,IFBLANK(_xldudf_CX_PUSH(AJ85*fxVal_normal,CX_ENTITY,$B85,AJ$11,AJ$14,AJ$75,),""),IF($I85=2,IFBLANK(_xldudf_CX_PUSH(AJ85,CX_ENTITY,$B85,AJ$11,AJ$14,AJ$75,),""),IF($I85=3,"",IFBLANK(_xldudf_CX_PUSH(AJ85,CX_ENTITY,$B85,AJ$11,AJ$14,AJ$75,),"")))))),"")</f>
        <v/>
      </c>
      <c r="DK85" s="2445" t="str" cm="1">
        <f t="array" ca="1" aca="1" ref="DK85">IFERROR(IF(AK85*fxVal_normal=_PL!AK85,"",IF(OR(AK85="",NOT(ISNUMBER(AK85)),ISERROR(AK85),$B85=""),"",IF($I85=1,IFBLANK(_xldudf_CX_PUSH(AK85*fxVal_normal,CX_ENTITY,$B85,AK$11,AK$14,AK$75,),""),IF($I85=2,IFBLANK(_xldudf_CX_PUSH(AK85,CX_ENTITY,$B85,AK$11,AK$14,AK$75,),""),IF($I85=3,"",IFBLANK(_xldudf_CX_PUSH(AK85,CX_ENTITY,$B85,AK$11,AK$14,AK$75,),"")))))),"")</f>
        <v/>
      </c>
      <c r="DL85" s="2445" t="str" cm="1">
        <f t="array" ca="1" aca="1" ref="DL85">IFERROR(IF(AL85*fxVal_normal=_PL!AL85,"",IF(OR(AL85="",NOT(ISNUMBER(AL85)),ISERROR(AL85),$B85=""),"",IF($I85=1,IFBLANK(_xldudf_CX_PUSH(AL85*fxVal_normal,CX_ENTITY,$B85,AL$11,AL$14,AL$75,),""),IF($I85=2,IFBLANK(_xldudf_CX_PUSH(AL85,CX_ENTITY,$B85,AL$11,AL$14,AL$75,),""),IF($I85=3,"",IFBLANK(_xldudf_CX_PUSH(AL85,CX_ENTITY,$B85,AL$11,AL$14,AL$75,),"")))))),"")</f>
        <v/>
      </c>
      <c r="DM85" s="2445" t="str" cm="1">
        <f t="array" ca="1" aca="1" ref="DM85">IFERROR(IF(AM85*fxVal_normal=_PL!AM85,"",IF(OR(AM85="",NOT(ISNUMBER(AM85)),ISERROR(AM85),$B85=""),"",IF($I85=1,IFBLANK(_xldudf_CX_PUSH(AM85*fxVal_normal,CX_ENTITY,$B85,AM$11,AM$14,AM$75,),""),IF($I85=2,IFBLANK(_xldudf_CX_PUSH(AM85,CX_ENTITY,$B85,AM$11,AM$14,AM$75,),""),IF($I85=3,"",IFBLANK(_xldudf_CX_PUSH(AM85,CX_ENTITY,$B85,AM$11,AM$14,AM$75,),"")))))),"")</f>
        <v/>
      </c>
      <c r="DN85" s="2445" t="str" cm="1">
        <f t="array" ca="1" aca="1" ref="DN85">IFERROR(IF(AN85*fxVal_normal=_PL!AN85,"",IF(OR(AN85="",NOT(ISNUMBER(AN85)),ISERROR(AN85),$B85=""),"",IF($I85=1,IFBLANK(_xldudf_CX_PUSH(AN85*fxVal_normal,CX_ENTITY,$B85,AN$11,AN$14,AN$75,),""),IF($I85=2,IFBLANK(_xldudf_CX_PUSH(AN85,CX_ENTITY,$B85,AN$11,AN$14,AN$75,),""),IF($I85=3,"",IFBLANK(_xldudf_CX_PUSH(AN85,CX_ENTITY,$B85,AN$11,AN$14,AN$75,),"")))))),"")</f>
        <v/>
      </c>
      <c r="DO85" s="2445" t="str" cm="1">
        <f t="array" ca="1" aca="1" ref="DO85">IFERROR(IF(AO85*fxVal_normal=_PL!AO85,"",IF(OR(AO85="",NOT(ISNUMBER(AO85)),ISERROR(AO85),$B85=""),"",IF($I85=1,IFBLANK(_xldudf_CX_PUSH(AO85*fxVal_normal,CX_ENTITY,$B85,AO$11,AO$14,AO$75,),""),IF($I85=2,IFBLANK(_xldudf_CX_PUSH(AO85,CX_ENTITY,$B85,AO$11,AO$14,AO$75,),""),IF($I85=3,"",IFBLANK(_xldudf_CX_PUSH(AO85,CX_ENTITY,$B85,AO$11,AO$14,AO$75,),"")))))),"")</f>
        <v/>
      </c>
      <c r="DP85" s="2445" t="str" cm="1">
        <f t="array" ca="1" aca="1" ref="DP85">IFERROR(IF(AP85*fxVal_normal=_PL!AP85,"",IF(OR(AP85="",NOT(ISNUMBER(AP85)),ISERROR(AP85),$B85=""),"",IF($I85=1,IFBLANK(_xldudf_CX_PUSH(AP85*fxVal_normal,CX_ENTITY,$B85,AP$11,AP$14,AP$75,),""),IF($I85=2,IFBLANK(_xldudf_CX_PUSH(AP85,CX_ENTITY,$B85,AP$11,AP$14,AP$75,),""),IF($I85=3,"",IFBLANK(_xldudf_CX_PUSH(AP85,CX_ENTITY,$B85,AP$11,AP$14,AP$75,),"")))))),"")</f>
        <v/>
      </c>
      <c r="DQ85" s="2445" t="str" cm="1">
        <f t="array" ca="1" aca="1" ref="DQ85">IFERROR(IF(AQ85*fxVal_normal=_PL!AQ85,"",IF(OR(AQ85="",NOT(ISNUMBER(AQ85)),ISERROR(AQ85),$B85=""),"",IF($I85=1,IFBLANK(_xldudf_CX_PUSH(AQ85*fxVal_normal,CX_ENTITY,$B85,AQ$11,AQ$14,AQ$75,),""),IF($I85=2,IFBLANK(_xldudf_CX_PUSH(AQ85,CX_ENTITY,$B85,AQ$11,AQ$14,AQ$75,),""),IF($I85=3,"",IFBLANK(_xldudf_CX_PUSH(AQ85,CX_ENTITY,$B85,AQ$11,AQ$14,AQ$75,),"")))))),"")</f>
        <v/>
      </c>
      <c r="DR85" s="2445" t="str" cm="1">
        <f t="array" ca="1" aca="1" ref="DR85">IFERROR(IF(AR85*fxVal_normal=_PL!AR85,"",IF(OR(AR85="",NOT(ISNUMBER(AR85)),ISERROR(AR85),$B85=""),"",IF($I85=1,IFBLANK(_xldudf_CX_PUSH(AR85*fxVal_normal,CX_ENTITY,$B85,AR$11,AR$14,AR$75,),""),IF($I85=2,IFBLANK(_xldudf_CX_PUSH(AR85,CX_ENTITY,$B85,AR$11,AR$14,AR$75,),""),IF($I85=3,"",IFBLANK(_xldudf_CX_PUSH(AR85,CX_ENTITY,$B85,AR$11,AR$14,AR$75,),"")))))),"")</f>
        <v/>
      </c>
      <c r="DS85" s="2445" t="str" cm="1">
        <f t="array" ca="1" aca="1" ref="DS85">IFERROR(IF(AS85*fxVal_normal=_PL!AS85,"",IF(OR(AS85="",NOT(ISNUMBER(AS85)),ISERROR(AS85),$B85=""),"",IF($I85=1,IFBLANK(_xldudf_CX_PUSH(AS85*fxVal_normal,CX_ENTITY,$B85,AS$11,AS$14,AS$75,),""),IF($I85=2,IFBLANK(_xldudf_CX_PUSH(AS85,CX_ENTITY,$B85,AS$11,AS$14,AS$75,),""),IF($I85=3,"",IFBLANK(_xldudf_CX_PUSH(AS85,CX_ENTITY,$B85,AS$11,AS$14,AS$75,),"")))))),"")</f>
        <v/>
      </c>
      <c r="DT85" s="2445" t="str" cm="1">
        <f t="array" ca="1" aca="1" ref="DT85">IFERROR(IF(AT85*fxVal_normal=_PL!AT85,"",IF(OR(AT85="",NOT(ISNUMBER(AT85)),ISERROR(AT85),$B85=""),"",IF($I85=1,IFBLANK(_xldudf_CX_PUSH(AT85*fxVal_normal,CX_ENTITY,$B85,AT$11,AT$14,AT$75,),""),IF($I85=2,IFBLANK(_xldudf_CX_PUSH(AT85,CX_ENTITY,$B85,AT$11,AT$14,AT$75,),""),IF($I85=3,"",IFBLANK(_xldudf_CX_PUSH(AT85,CX_ENTITY,$B85,AT$11,AT$14,AT$75,),"")))))),"")</f>
        <v/>
      </c>
      <c r="DU85" s="2445" t="str" cm="1">
        <f t="array" ca="1" aca="1" ref="DU85">IFERROR(IF(AU85*fxVal_normal=_PL!AU85,"",IF(OR(AU85="",NOT(ISNUMBER(AU85)),ISERROR(AU85),$B85=""),"",IF($I85=1,IFBLANK(_xldudf_CX_PUSH(AU85*fxVal_normal,CX_ENTITY,$B85,AU$11,AU$14,AU$75,),""),IF($I85=2,IFBLANK(_xldudf_CX_PUSH(AU85,CX_ENTITY,$B85,AU$11,AU$14,AU$75,),""),IF($I85=3,"",IFBLANK(_xldudf_CX_PUSH(AU85,CX_ENTITY,$B85,AU$11,AU$14,AU$75,),"")))))),"")</f>
        <v/>
      </c>
      <c r="DV85" s="2445" t="str" cm="1">
        <f t="array" ca="1" aca="1" ref="DV85">IFERROR(IF(AV85*fxVal_normal=_PL!AV85,"",IF(OR(AV85="",NOT(ISNUMBER(AV85)),ISERROR(AV85),$B85=""),"",IF($I85=1,IFBLANK(_xldudf_CX_PUSH(AV85*fxVal_normal,CX_ENTITY,$B85,AV$11,AV$14,AV$75,),""),IF($I85=2,IFBLANK(_xldudf_CX_PUSH(AV85,CX_ENTITY,$B85,AV$11,AV$14,AV$75,),""),IF($I85=3,"",IFBLANK(_xldudf_CX_PUSH(AV85,CX_ENTITY,$B85,AV$11,AV$14,AV$75,),"")))))),"")</f>
        <v/>
      </c>
      <c r="DW85" s="2445" t="str" cm="1">
        <f t="array" ca="1" aca="1" ref="DW85">IFERROR(IF(AW85*fxVal_normal=_PL!AW85,"",IF(OR(AW85="",NOT(ISNUMBER(AW85)),ISERROR(AW85),$B85=""),"",IF($I85=1,IFBLANK(_xldudf_CX_PUSH(AW85*fxVal_normal,CX_ENTITY,$B85,AW$11,AW$14,AW$75,),""),IF($I85=2,IFBLANK(_xldudf_CX_PUSH(AW85,CX_ENTITY,$B85,AW$11,AW$14,AW$75,),""),IF($I85=3,"",IFBLANK(_xldudf_CX_PUSH(AW85,CX_ENTITY,$B85,AW$11,AW$14,AW$75,),"")))))),"")</f>
        <v/>
      </c>
      <c r="DX85" s="2445" t="str" cm="1">
        <f t="array" ca="1" aca="1" ref="DX85">IFERROR(IF(AX85*fxVal_normal=_PL!AX85,"",IF(OR(AX85="",NOT(ISNUMBER(AX85)),ISERROR(AX85),$B85=""),"",IF($I85=1,IFBLANK(_xldudf_CX_PUSH(AX85*fxVal_normal,CX_ENTITY,$B85,AX$11,AX$14,AX$75,),""),IF($I85=2,IFBLANK(_xldudf_CX_PUSH(AX85,CX_ENTITY,$B85,AX$11,AX$14,AX$75,),""),IF($I85=3,"",IFBLANK(_xldudf_CX_PUSH(AX85,CX_ENTITY,$B85,AX$11,AX$14,AX$75,),"")))))),"")</f>
        <v/>
      </c>
      <c r="DY85" s="2445" t="str" cm="1">
        <f t="array" ca="1" aca="1" ref="DY85">IFERROR(IF(AY85*fxVal_normal=_PL!AY85,"",IF(OR(AY85="",NOT(ISNUMBER(AY85)),ISERROR(AY85),$B85=""),"",IF($I85=1,IFBLANK(_xldudf_CX_PUSH(AY85*fxVal_normal,CX_ENTITY,$B85,AY$11,AY$14,AY$75,),""),IF($I85=2,IFBLANK(_xldudf_CX_PUSH(AY85,CX_ENTITY,$B85,AY$11,AY$14,AY$75,),""),IF($I85=3,"",IFBLANK(_xldudf_CX_PUSH(AY85,CX_ENTITY,$B85,AY$11,AY$14,AY$75,),"")))))),"")</f>
        <v/>
      </c>
      <c r="DZ85" s="2445" t="str" cm="1">
        <f t="array" ca="1" aca="1" ref="DZ85">IFERROR(IF(AZ85*fxVal_normal=_PL!AZ85,"",IF(OR(AZ85="",NOT(ISNUMBER(AZ85)),ISERROR(AZ85),$B85=""),"",IF($I85=1,IFBLANK(_xldudf_CX_PUSH(AZ85*fxVal_normal,CX_ENTITY,$B85,AZ$11,AZ$14,AZ$75,),""),IF($I85=2,IFBLANK(_xldudf_CX_PUSH(AZ85,CX_ENTITY,$B85,AZ$11,AZ$14,AZ$75,),""),IF($I85=3,"",IFBLANK(_xldudf_CX_PUSH(AZ85,CX_ENTITY,$B85,AZ$11,AZ$14,AZ$75,),"")))))),"")</f>
        <v/>
      </c>
      <c r="EA85" s="2445" t="str" cm="1">
        <f t="array" ca="1" aca="1" ref="EA85">IFERROR(IF(BA85*fxVal_normal=_PL!BA85,"",IF(OR(BA85="",NOT(ISNUMBER(BA85)),ISERROR(BA85),$B85=""),"",IF($I85=1,IFBLANK(_xldudf_CX_PUSH(BA85*fxVal_normal,CX_ENTITY,$B85,BA$11,BA$14,BA$75,),""),IF($I85=2,IFBLANK(_xldudf_CX_PUSH(BA85,CX_ENTITY,$B85,BA$11,BA$14,BA$75,),""),IF($I85=3,"",IFBLANK(_xldudf_CX_PUSH(BA85,CX_ENTITY,$B85,BA$11,BA$14,BA$75,),"")))))),"")</f>
        <v/>
      </c>
      <c r="EB85" s="2445" t="str" cm="1">
        <f t="array" ca="1" aca="1" ref="EB85">IFERROR(IF(BB85*fxVal_normal=_PL!BB85,"",IF(OR(BB85="",NOT(ISNUMBER(BB85)),ISERROR(BB85),$B85=""),"",IF($I85=1,IFBLANK(_xldudf_CX_PUSH(BB85*fxVal_normal,CX_ENTITY,$B85,BB$11,BB$14,BB$75,),""),IF($I85=2,IFBLANK(_xldudf_CX_PUSH(BB85,CX_ENTITY,$B85,BB$11,BB$14,BB$75,),""),IF($I85=3,"",IFBLANK(_xldudf_CX_PUSH(BB85,CX_ENTITY,$B85,BB$11,BB$14,BB$75,),"")))))),"")</f>
        <v/>
      </c>
      <c r="EC85" s="2445" t="str" cm="1">
        <f t="array" ca="1" aca="1" ref="EC85">IFERROR(IF(BC85*fxVal_normal=_PL!BC85,"",IF(OR(BC85="",NOT(ISNUMBER(BC85)),ISERROR(BC85),$B85=""),"",IF($I85=1,IFBLANK(_xldudf_CX_PUSH(BC85*fxVal_normal,CX_ENTITY,$B85,BC$11,BC$14,BC$75,),""),IF($I85=2,IFBLANK(_xldudf_CX_PUSH(BC85,CX_ENTITY,$B85,BC$11,BC$14,BC$75,),""),IF($I85=3,"",IFBLANK(_xldudf_CX_PUSH(BC85,CX_ENTITY,$B85,BC$11,BC$14,BC$75,),"")))))),"")</f>
        <v/>
      </c>
      <c r="ED85" s="2445" t="str" cm="1">
        <f t="array" ca="1" aca="1" ref="ED85">IFERROR(IF(BD85*fxVal_normal=_PL!BD85,"",IF(OR(BD85="",NOT(ISNUMBER(BD85)),ISERROR(BD85),$B85=""),"",IF($I85=1,IFBLANK(_xldudf_CX_PUSH(BD85*fxVal_normal,CX_ENTITY,$B85,BD$11,BD$14,BD$75,),""),IF($I85=2,IFBLANK(_xldudf_CX_PUSH(BD85,CX_ENTITY,$B85,BD$11,BD$14,BD$75,),""),IF($I85=3,"",IFBLANK(_xldudf_CX_PUSH(BD85,CX_ENTITY,$B85,BD$11,BD$14,BD$75,),"")))))),"")</f>
        <v/>
      </c>
      <c r="EE85" s="2445" t="str" cm="1">
        <f t="array" ca="1" aca="1" ref="EE85">IFERROR(IF(BE85*fxVal_normal=_PL!BE85,"",IF(OR(BE85="",NOT(ISNUMBER(BE85)),ISERROR(BE85),$B85=""),"",IF($I85=1,IFBLANK(_xldudf_CX_PUSH(BE85*fxVal_normal,CX_ENTITY,$B85,BE$11,BE$14,BE$75,),""),IF($I85=2,IFBLANK(_xldudf_CX_PUSH(BE85,CX_ENTITY,$B85,BE$11,BE$14,BE$75,),""),IF($I85=3,"",IFBLANK(_xldudf_CX_PUSH(BE85,CX_ENTITY,$B85,BE$11,BE$14,BE$75,),"")))))),"")</f>
        <v/>
      </c>
      <c r="EF85" s="2445" t="str" cm="1">
        <f t="array" ca="1" aca="1" ref="EF85">IFERROR(IF(BF85*fxVal_normal=_PL!BF85,"",IF(OR(BF85="",NOT(ISNUMBER(BF85)),ISERROR(BF85),$B85=""),"",IF($I85=1,IFBLANK(_xldudf_CX_PUSH(BF85*fxVal_normal,CX_ENTITY,$B85,BF$11,BF$14,BF$75,),""),IF($I85=2,IFBLANK(_xldudf_CX_PUSH(BF85,CX_ENTITY,$B85,BF$11,BF$14,BF$75,),""),IF($I85=3,"",IFBLANK(_xldudf_CX_PUSH(BF85,CX_ENTITY,$B85,BF$11,BF$14,BF$75,),"")))))),"")</f>
        <v/>
      </c>
      <c r="EG85" s="2445" t="str" cm="1">
        <f t="array" ca="1" aca="1" ref="EG85">IFERROR(IF(BG85*fxVal_normal=_PL!BG85,"",IF(OR(BG85="",NOT(ISNUMBER(BG85)),ISERROR(BG85),$B85=""),"",IF($I85=1,IFBLANK(_xldudf_CX_PUSH(BG85*fxVal_normal,CX_ENTITY,$B85,BG$11,BG$14,BG$75,),""),IF($I85=2,IFBLANK(_xldudf_CX_PUSH(BG85,CX_ENTITY,$B85,BG$11,BG$14,BG$75,),""),IF($I85=3,"",IFBLANK(_xldudf_CX_PUSH(BG85,CX_ENTITY,$B85,BG$11,BG$14,BG$75,),"")))))),"")</f>
        <v/>
      </c>
      <c r="EH85" s="2445" t="str" cm="1">
        <f t="array" ca="1" aca="1" ref="EH85">IFERROR(IF(BH85*fxVal_normal=_PL!BH85,"",IF(OR(BH85="",NOT(ISNUMBER(BH85)),ISERROR(BH85),$B85=""),"",IF($I85=1,IFBLANK(_xldudf_CX_PUSH(BH85*fxVal_normal,CX_ENTITY,$B85,BH$11,BH$14,BH$75,),""),IF($I85=2,IFBLANK(_xldudf_CX_PUSH(BH85,CX_ENTITY,$B85,BH$11,BH$14,BH$75,),""),IF($I85=3,"",IFBLANK(_xldudf_CX_PUSH(BH85,CX_ENTITY,$B85,BH$11,BH$14,BH$75,),"")))))),"")</f>
        <v/>
      </c>
      <c r="EI85" s="2445" t="str" cm="1">
        <f t="array" ca="1" aca="1" ref="EI85">IFERROR(IF(BI85*fxVal_normal=_PL!BI85,"",IF(OR(BI85="",NOT(ISNUMBER(BI85)),ISERROR(BI85),$B85=""),"",IF($I85=1,IFBLANK(_xldudf_CX_PUSH(BI85*fxVal_normal,CX_ENTITY,$B85,BI$11,BI$14,BI$75,),""),IF($I85=2,IFBLANK(_xldudf_CX_PUSH(BI85,CX_ENTITY,$B85,BI$11,BI$14,BI$75,),""),IF($I85=3,"",IFBLANK(_xldudf_CX_PUSH(BI85,CX_ENTITY,$B85,BI$11,BI$14,BI$75,),"")))))),"")</f>
        <v/>
      </c>
      <c r="EJ85" s="2445" t="str" cm="1">
        <f t="array" ca="1" aca="1" ref="EJ85">IFERROR(IF(BJ85*fxVal_normal=_PL!BJ85,"",IF(OR(BJ85="",NOT(ISNUMBER(BJ85)),ISERROR(BJ85),$B85=""),"",IF($I85=1,IFBLANK(_xldudf_CX_PUSH(BJ85*fxVal_normal,CX_ENTITY,$B85,BJ$11,BJ$14,BJ$75,),""),IF($I85=2,IFBLANK(_xldudf_CX_PUSH(BJ85,CX_ENTITY,$B85,BJ$11,BJ$14,BJ$75,),""),IF($I85=3,"",IFBLANK(_xldudf_CX_PUSH(BJ85,CX_ENTITY,$B85,BJ$11,BJ$14,BJ$75,),"")))))),"")</f>
        <v/>
      </c>
      <c r="EK85" s="2445" t="str" cm="1">
        <f t="array" ca="1" aca="1" ref="EK85">IFERROR(IF(BK85*fxVal_normal=_PL!BK85,"",IF(OR(BK85="",NOT(ISNUMBER(BK85)),ISERROR(BK85),$B85=""),"",IF($I85=1,IFBLANK(_xldudf_CX_PUSH(BK85*fxVal_normal,CX_ENTITY,$B85,BK$11,BK$14,BK$75,),""),IF($I85=2,IFBLANK(_xldudf_CX_PUSH(BK85,CX_ENTITY,$B85,BK$11,BK$14,BK$75,),""),IF($I85=3,"",IFBLANK(_xldudf_CX_PUSH(BK85,CX_ENTITY,$B85,BK$11,BK$14,BK$75,),"")))))),"")</f>
        <v/>
      </c>
      <c r="EL85" s="2445" t="str" cm="1">
        <f t="array" ca="1" aca="1" ref="EL85">IFERROR(IF(BL85*fxVal_normal=_PL!BL85,"",IF(OR(BL85="",NOT(ISNUMBER(BL85)),ISERROR(BL85),$B85=""),"",IF($I85=1,IFBLANK(_xldudf_CX_PUSH(BL85*fxVal_normal,CX_ENTITY,$B85,BL$11,BL$14,BL$75,),""),IF($I85=2,IFBLANK(_xldudf_CX_PUSH(BL85,CX_ENTITY,$B85,BL$11,BL$14,BL$75,),""),IF($I85=3,"",IFBLANK(_xldudf_CX_PUSH(BL85,CX_ENTITY,$B85,BL$11,BL$14,BL$75,),"")))))),"")</f>
        <v/>
      </c>
      <c r="EM85" s="2445" t="str" cm="1">
        <f t="array" ca="1" aca="1" ref="EM85">IFERROR(IF(BM85*fxVal_normal=_PL!BM85,"",IF(OR(BM85="",NOT(ISNUMBER(BM85)),ISERROR(BM85),$B85=""),"",IF($I85=1,IFBLANK(_xldudf_CX_PUSH(BM85*fxVal_normal,CX_ENTITY,$B85,BM$11,BM$14,BM$75,),""),IF($I85=2,IFBLANK(_xldudf_CX_PUSH(BM85,CX_ENTITY,$B85,BM$11,BM$14,BM$75,),""),IF($I85=3,"",IFBLANK(_xldudf_CX_PUSH(BM85,CX_ENTITY,$B85,BM$11,BM$14,BM$75,),"")))))),"")</f>
        <v/>
      </c>
      <c r="EN85" s="2445" t="str" cm="1">
        <f t="array" ca="1" aca="1" ref="EN85">IFERROR(IF(BN85*fxVal_normal=_PL!BN85,"",IF(OR(BN85="",NOT(ISNUMBER(BN85)),ISERROR(BN85),$B85=""),"",IF($I85=1,IFBLANK(_xldudf_CX_PUSH(BN85*fxVal_normal,CX_ENTITY,$B85,BN$11,BN$14,BN$75,),""),IF($I85=2,IFBLANK(_xldudf_CX_PUSH(BN85,CX_ENTITY,$B85,BN$11,BN$14,BN$75,),""),IF($I85=3,"",IFBLANK(_xldudf_CX_PUSH(BN85,CX_ENTITY,$B85,BN$11,BN$14,BN$75,),"")))))),"")</f>
        <v/>
      </c>
    </row>
    <row r="86" spans="1:144" ht="21" customHeight="1">
      <c r="A86" s="1625"/>
      <c r="B86" s="3196">
        <f>_xlfn.LET(_xlpm.IsNotAttrDynamic,D86="",_xlpm.Attr,_PL!F86,_xlpm.NotInUse,Y86=D86,_xlpm.RESULT,IF(_xlpm.IsNotAttrDynamic,_xlpm.Attr,IF(_xlpm.NotInUse,"",Y86)),IF(_xlpm.RESULT="","",_xlpm.RESULT))</f>
        <v>2</v>
      </c>
      <c r="C86" s="3463" t="str" cm="1">
        <f t="array" ref="C86">IFBLANK(_PL!C86,"")</f>
        <v>EBITDA Adjustment Type I - Label 5</v>
      </c>
      <c r="D86" s="2506" t="str">
        <f t="shared" si="32"/>
        <v>Please select or type in or leave as blank (5)</v>
      </c>
      <c r="E86" s="2440" t="e" cm="1">
        <f t="array" ca="1" aca="1" ref="E8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86:$CQ86,Z86)</f>
        <v>#NAME?</v>
      </c>
      <c r="F86" s="578"/>
      <c r="G86" s="578"/>
      <c r="H86" s="401">
        <v>0</v>
      </c>
      <c r="I86" s="3280">
        <v>1</v>
      </c>
      <c r="J86" s="401" cm="1">
        <f t="array" ref="J86">IFBLANK(Z86,"")</f>
        <v>-1</v>
      </c>
      <c r="K86" s="578" t="str">
        <f t="shared" si="33"/>
        <v>Yes</v>
      </c>
      <c r="L86" s="37"/>
      <c r="N86" s="158"/>
      <c r="O86" s="101"/>
      <c r="P86" s="52"/>
      <c r="Q86" s="101"/>
      <c r="R86" s="126"/>
      <c r="S86" s="101"/>
      <c r="T86" s="101"/>
      <c r="U86" s="39"/>
      <c r="V86" s="37"/>
      <c r="W86" s="91" t="str">
        <f t="shared" si="28"/>
        <v>Budget</v>
      </c>
      <c r="X86" s="2081" t="str">
        <f>_PL!X86</f>
        <v>a</v>
      </c>
      <c r="Y86" s="3197">
        <f t="shared" si="34"/>
        <v>2</v>
      </c>
      <c r="Z86" s="198" cm="1">
        <f t="array" ref="Z86">_xlfn.SWITCH(TRUE,_PL!$L86=TRUE,1,_PL!$L86=FALSE,-1,_PL!$L86=-1,0,"")</f>
        <v>-1</v>
      </c>
      <c r="AA86" s="200"/>
      <c r="AB86" s="3198">
        <f t="shared" si="35"/>
        <v>2</v>
      </c>
      <c r="AC86" s="2508" t="str" cm="1">
        <f t="array" ca="1" aca="1" ref="AC86">_xlfn.LET(_xlpm._termname,$AB86,_xlpm._iconname,"find",_xlpm._icon,fx_getIcon(_xlpm._iconname),_xlpm._location,_xlfn.XLOOKUP(LOWER(_xlpm._termname),LOWER(tbl_acctDef[Term]),tbl_acctDef[Term]),_xlpm._hyperlink,HYPERLINK("#"&amp;CELL("address",_xlpm._location),_xlpm._icon),IFERROR(_xlpm._hyperlink,""))</f>
        <v/>
      </c>
      <c r="AD86" s="3177">
        <v>1</v>
      </c>
      <c r="AE86" s="3177">
        <v>1</v>
      </c>
      <c r="AF86" s="3177">
        <v>1</v>
      </c>
      <c r="AG86" s="3177">
        <v>1</v>
      </c>
      <c r="AH86" s="3177">
        <v>1</v>
      </c>
      <c r="AI86" s="3177">
        <v>1</v>
      </c>
      <c r="AJ86" s="3177">
        <v>1</v>
      </c>
      <c r="AK86" s="3177">
        <v>1</v>
      </c>
      <c r="AL86" s="3177">
        <v>1</v>
      </c>
      <c r="AM86" s="3177">
        <v>1</v>
      </c>
      <c r="AN86" s="3177">
        <v>1</v>
      </c>
      <c r="AO86" s="3177">
        <v>1</v>
      </c>
      <c r="AP86" s="3177">
        <v>1</v>
      </c>
      <c r="AQ86" s="3177">
        <v>1</v>
      </c>
      <c r="AR86" s="3177">
        <v>1</v>
      </c>
      <c r="AS86" s="3177">
        <v>1</v>
      </c>
      <c r="AT86" s="3177">
        <v>1</v>
      </c>
      <c r="AU86" s="3177">
        <v>1</v>
      </c>
      <c r="AV86" s="3177">
        <v>1</v>
      </c>
      <c r="AW86" s="3177">
        <v>1</v>
      </c>
      <c r="AX86" s="3177">
        <v>1</v>
      </c>
      <c r="AY86" s="3177">
        <v>1</v>
      </c>
      <c r="AZ86" s="3177">
        <v>1</v>
      </c>
      <c r="BA86" s="3177">
        <v>1</v>
      </c>
      <c r="BB86" s="3177">
        <v>1</v>
      </c>
      <c r="BC86" s="3177">
        <v>1</v>
      </c>
      <c r="BD86" s="3177">
        <v>1</v>
      </c>
      <c r="BE86" s="3177">
        <v>1</v>
      </c>
      <c r="BF86" s="3177">
        <v>1</v>
      </c>
      <c r="BG86" s="3177">
        <v>1</v>
      </c>
      <c r="BH86" s="3177">
        <v>1</v>
      </c>
      <c r="BI86" s="3177">
        <v>1</v>
      </c>
      <c r="BJ86" s="3177">
        <v>1</v>
      </c>
      <c r="BK86" s="3177">
        <v>1</v>
      </c>
      <c r="BL86" s="3177">
        <v>1</v>
      </c>
      <c r="BM86" s="3177">
        <v>1</v>
      </c>
      <c r="BN86" s="3177">
        <v>1</v>
      </c>
      <c r="BO86" s="2442"/>
      <c r="BP86" s="2442"/>
      <c r="BQ86" s="2442"/>
      <c r="BR86" s="2442"/>
      <c r="BS86" s="2442"/>
      <c r="BT86" s="2442"/>
      <c r="BU86" s="2442"/>
      <c r="BV86" s="2442"/>
      <c r="BW86" s="2442"/>
      <c r="BX86" s="2442"/>
      <c r="BY86" s="2442"/>
      <c r="BZ86" s="2442"/>
      <c r="CA86" s="34"/>
      <c r="CC86" s="33"/>
      <c r="CD86" s="1772" t="e" cm="1">
        <f t="array" ca="1" aca="1" ref="CD86">_xlfn.LET(_xlpm.CheckBlank,SUM(PL!$AD86:$BN86)=0,IF(_xlpm.CheckBlank,"",SUM(_xlfn._xlws.FILTER(PL!$AD86:$BN86,(YEAR(PL!$AD$12:$BN$12)=PL!CD$12)*(array_timeline&lt;=PL!CD$11)))))</f>
        <v>#NAME?</v>
      </c>
      <c r="CE86" s="1772" t="e" cm="1">
        <f t="array" ca="1" aca="1" ref="CE86">_xlfn.LET(_xlpm.CheckBlank,SUM(PL!$AD86:$BN86)=0,IF(_xlpm.CheckBlank,"",SUM(_xlfn._xlws.FILTER(PL!$AD86:$BN86,(YEAR(PL!$AD$12:$BN$12)=PL!CE$12)*(array_timeline&lt;=PL!CE$11)))))</f>
        <v>#NAME?</v>
      </c>
      <c r="CF86" s="88"/>
      <c r="CG86" s="1461" t="e" cm="1">
        <f t="array" ca="1" aca="1" ref="CG86">_xlfn.LET(_xlpm.CheckBlank,SUM(PL!$AD86:$BN86)=0,IF(_xlpm.CheckBlank,"",SUM(_xlfn._xlws.FILTER(PL!$AD86:$BN86,(YEAR(PL!$AD$12:$BN$12)=PL!CG$12)*(array_timeline&lt;=PL!CG$11)))))</f>
        <v>#NAME?</v>
      </c>
      <c r="CH86" s="1461" t="e" cm="1">
        <f t="array" ca="1" aca="1" ref="CH86">_xlfn.LET(_xlpm.CheckBlank,SUM(PL!$AD86:$BN86)=0,IF(_xlpm.CheckBlank,"",SUM(_xlfn._xlws.FILTER(PL!$AD86:$BN86,(YEAR(PL!$AD$12:$BN$12)=PL!CH$12)*(array_timeline&lt;=PL!CH$11)))))</f>
        <v>#NAME?</v>
      </c>
      <c r="CI86" s="88"/>
      <c r="CJ86" s="1461" cm="1">
        <f t="array" ref="CJ86">_xlfn.LET(_xlpm.CheckBlank,SUM(PL!$AD86:$BN86)=0,IF(_xlpm.CheckBlank,"",SUM(_xlfn.TAKE(_xlfn.DROP(PL!$AD86:$BN86,,-DATEDIFF(PL!CJ$11,val_asOfDate,"M")),1,-12))))</f>
        <v>12</v>
      </c>
      <c r="CK86" s="1461" cm="1">
        <f t="array" ref="CK86">_xlfn.LET(_xlpm.CheckBlank,SUM(PL!$AD86:$BN86)=0,IF(_xlpm.CheckBlank,"",SUM(_xlfn.TAKE(_xlfn.DROP(PL!$AD86:$BN86,,-DATEDIFF(PL!CK$11,val_asOfDate,"M")),1,-12))))</f>
        <v>12</v>
      </c>
      <c r="CL86" s="88"/>
      <c r="CM86" s="3195">
        <f t="shared" si="26"/>
        <v>1</v>
      </c>
      <c r="CN86" s="3195">
        <f t="shared" si="23"/>
        <v>1</v>
      </c>
      <c r="CO86" s="1169"/>
      <c r="CP86" s="3195">
        <f t="shared" si="27"/>
        <v>1</v>
      </c>
      <c r="CQ86" s="3195">
        <f t="shared" si="24"/>
        <v>1</v>
      </c>
      <c r="CR86" s="34"/>
      <c r="CS86" s="2056"/>
      <c r="CT86" s="2447" t="e" cm="1">
        <f t="array" ca="1" aca="1" ref="CT86">IF(ISNUMBER(SEARCH("Select",$Y86)),"",_xldudf_CX_PUSH($Y86,CX_ENTITY,C86,val_asOfDate))</f>
        <v>#NAME?</v>
      </c>
      <c r="CU86" s="2447" t="e" cm="1">
        <f t="array" ca="1" aca="1" ref="CU86">IF(ISNUMBER(SEARCH("Select",$Y86)),"",_xldudf_CX_PUSH($Y86,CX_ENTITY,C86,EOMONTH(val_asOfDate,1)))</f>
        <v>#NAME?</v>
      </c>
      <c r="CV86" s="2447" t="e" cm="1">
        <f t="array" ca="1" aca="1" ref="CV86">IF(ISNUMBER(SEARCH("Select",$Y86)),"",_xldudf_CX_PUSH($Y86,CX_ENTITY,C86,EOMONTH(val_asOfDate,2)))</f>
        <v>#NAME?</v>
      </c>
      <c r="CW86" s="2447" t="e" cm="1">
        <f t="array" ca="1" aca="1" ref="CW86">IF(ISNUMBER(SEARCH("Select",$Y86)),"",_xldudf_CX_PUSH($Y86,CX_ENTITY,C86,EOMONTH(val_asOfDate,3)))</f>
        <v>#NAME?</v>
      </c>
      <c r="CX86" s="2443"/>
      <c r="CY86" s="1880"/>
      <c r="CZ86" s="1880"/>
      <c r="DA86" s="1880"/>
      <c r="DB86" s="1880"/>
      <c r="DC86" s="2121"/>
      <c r="DD86" s="2445" t="str" cm="1">
        <f t="array" ca="1" aca="1" ref="DD86">IFERROR(IF(AD86*fxVal_normal=_PL!AD86,"",IF(OR(AD86="",NOT(ISNUMBER(AD86)),ISERROR(AD86),$B86=""),"",IF($I86=1,IFBLANK(_xldudf_CX_PUSH(AD86*fxVal_normal,CX_ENTITY,$B86,AD$11,AD$14,AD$75,),""),IF($I86=2,IFBLANK(_xldudf_CX_PUSH(AD86,CX_ENTITY,$B86,AD$11,AD$14,AD$75,),""),IF($I86=3,"",IFBLANK(_xldudf_CX_PUSH(AD86,CX_ENTITY,$B86,AD$11,AD$14,AD$75,),"")))))),"")</f>
        <v/>
      </c>
      <c r="DE86" s="2445" t="str" cm="1">
        <f t="array" ca="1" aca="1" ref="DE86">IFERROR(IF(AE86*fxVal_normal=_PL!AE86,"",IF(OR(AE86="",NOT(ISNUMBER(AE86)),ISERROR(AE86),$B86=""),"",IF($I86=1,IFBLANK(_xldudf_CX_PUSH(AE86*fxVal_normal,CX_ENTITY,$B86,AE$11,AE$14,AE$75,),""),IF($I86=2,IFBLANK(_xldudf_CX_PUSH(AE86,CX_ENTITY,$B86,AE$11,AE$14,AE$75,),""),IF($I86=3,"",IFBLANK(_xldudf_CX_PUSH(AE86,CX_ENTITY,$B86,AE$11,AE$14,AE$75,),"")))))),"")</f>
        <v/>
      </c>
      <c r="DF86" s="2445" t="str" cm="1">
        <f t="array" ca="1" aca="1" ref="DF86">IFERROR(IF(AF86*fxVal_normal=_PL!AF86,"",IF(OR(AF86="",NOT(ISNUMBER(AF86)),ISERROR(AF86),$B86=""),"",IF($I86=1,IFBLANK(_xldudf_CX_PUSH(AF86*fxVal_normal,CX_ENTITY,$B86,AF$11,AF$14,AF$75,),""),IF($I86=2,IFBLANK(_xldudf_CX_PUSH(AF86,CX_ENTITY,$B86,AF$11,AF$14,AF$75,),""),IF($I86=3,"",IFBLANK(_xldudf_CX_PUSH(AF86,CX_ENTITY,$B86,AF$11,AF$14,AF$75,),"")))))),"")</f>
        <v/>
      </c>
      <c r="DG86" s="2445" t="str" cm="1">
        <f t="array" ca="1" aca="1" ref="DG86">IFERROR(IF(AG86*fxVal_normal=_PL!AG86,"",IF(OR(AG86="",NOT(ISNUMBER(AG86)),ISERROR(AG86),$B86=""),"",IF($I86=1,IFBLANK(_xldudf_CX_PUSH(AG86*fxVal_normal,CX_ENTITY,$B86,AG$11,AG$14,AG$75,),""),IF($I86=2,IFBLANK(_xldudf_CX_PUSH(AG86,CX_ENTITY,$B86,AG$11,AG$14,AG$75,),""),IF($I86=3,"",IFBLANK(_xldudf_CX_PUSH(AG86,CX_ENTITY,$B86,AG$11,AG$14,AG$75,),"")))))),"")</f>
        <v/>
      </c>
      <c r="DH86" s="2445" t="str" cm="1">
        <f t="array" ca="1" aca="1" ref="DH86">IFERROR(IF(AH86*fxVal_normal=_PL!AH86,"",IF(OR(AH86="",NOT(ISNUMBER(AH86)),ISERROR(AH86),$B86=""),"",IF($I86=1,IFBLANK(_xldudf_CX_PUSH(AH86*fxVal_normal,CX_ENTITY,$B86,AH$11,AH$14,AH$75,),""),IF($I86=2,IFBLANK(_xldudf_CX_PUSH(AH86,CX_ENTITY,$B86,AH$11,AH$14,AH$75,),""),IF($I86=3,"",IFBLANK(_xldudf_CX_PUSH(AH86,CX_ENTITY,$B86,AH$11,AH$14,AH$75,),"")))))),"")</f>
        <v/>
      </c>
      <c r="DI86" s="2445" t="str" cm="1">
        <f t="array" ca="1" aca="1" ref="DI86">IFERROR(IF(AI86*fxVal_normal=_PL!AI86,"",IF(OR(AI86="",NOT(ISNUMBER(AI86)),ISERROR(AI86),$B86=""),"",IF($I86=1,IFBLANK(_xldudf_CX_PUSH(AI86*fxVal_normal,CX_ENTITY,$B86,AI$11,AI$14,AI$75,),""),IF($I86=2,IFBLANK(_xldudf_CX_PUSH(AI86,CX_ENTITY,$B86,AI$11,AI$14,AI$75,),""),IF($I86=3,"",IFBLANK(_xldudf_CX_PUSH(AI86,CX_ENTITY,$B86,AI$11,AI$14,AI$75,),"")))))),"")</f>
        <v/>
      </c>
      <c r="DJ86" s="2445" t="str" cm="1">
        <f t="array" ca="1" aca="1" ref="DJ86">IFERROR(IF(AJ86*fxVal_normal=_PL!AJ86,"",IF(OR(AJ86="",NOT(ISNUMBER(AJ86)),ISERROR(AJ86),$B86=""),"",IF($I86=1,IFBLANK(_xldudf_CX_PUSH(AJ86*fxVal_normal,CX_ENTITY,$B86,AJ$11,AJ$14,AJ$75,),""),IF($I86=2,IFBLANK(_xldudf_CX_PUSH(AJ86,CX_ENTITY,$B86,AJ$11,AJ$14,AJ$75,),""),IF($I86=3,"",IFBLANK(_xldudf_CX_PUSH(AJ86,CX_ENTITY,$B86,AJ$11,AJ$14,AJ$75,),"")))))),"")</f>
        <v/>
      </c>
      <c r="DK86" s="2445" t="str" cm="1">
        <f t="array" ca="1" aca="1" ref="DK86">IFERROR(IF(AK86*fxVal_normal=_PL!AK86,"",IF(OR(AK86="",NOT(ISNUMBER(AK86)),ISERROR(AK86),$B86=""),"",IF($I86=1,IFBLANK(_xldudf_CX_PUSH(AK86*fxVal_normal,CX_ENTITY,$B86,AK$11,AK$14,AK$75,),""),IF($I86=2,IFBLANK(_xldudf_CX_PUSH(AK86,CX_ENTITY,$B86,AK$11,AK$14,AK$75,),""),IF($I86=3,"",IFBLANK(_xldudf_CX_PUSH(AK86,CX_ENTITY,$B86,AK$11,AK$14,AK$75,),"")))))),"")</f>
        <v/>
      </c>
      <c r="DL86" s="2445" t="str" cm="1">
        <f t="array" ca="1" aca="1" ref="DL86">IFERROR(IF(AL86*fxVal_normal=_PL!AL86,"",IF(OR(AL86="",NOT(ISNUMBER(AL86)),ISERROR(AL86),$B86=""),"",IF($I86=1,IFBLANK(_xldudf_CX_PUSH(AL86*fxVal_normal,CX_ENTITY,$B86,AL$11,AL$14,AL$75,),""),IF($I86=2,IFBLANK(_xldudf_CX_PUSH(AL86,CX_ENTITY,$B86,AL$11,AL$14,AL$75,),""),IF($I86=3,"",IFBLANK(_xldudf_CX_PUSH(AL86,CX_ENTITY,$B86,AL$11,AL$14,AL$75,),"")))))),"")</f>
        <v/>
      </c>
      <c r="DM86" s="2445" t="str" cm="1">
        <f t="array" ca="1" aca="1" ref="DM86">IFERROR(IF(AM86*fxVal_normal=_PL!AM86,"",IF(OR(AM86="",NOT(ISNUMBER(AM86)),ISERROR(AM86),$B86=""),"",IF($I86=1,IFBLANK(_xldudf_CX_PUSH(AM86*fxVal_normal,CX_ENTITY,$B86,AM$11,AM$14,AM$75,),""),IF($I86=2,IFBLANK(_xldudf_CX_PUSH(AM86,CX_ENTITY,$B86,AM$11,AM$14,AM$75,),""),IF($I86=3,"",IFBLANK(_xldudf_CX_PUSH(AM86,CX_ENTITY,$B86,AM$11,AM$14,AM$75,),"")))))),"")</f>
        <v/>
      </c>
      <c r="DN86" s="2445" t="str" cm="1">
        <f t="array" ca="1" aca="1" ref="DN86">IFERROR(IF(AN86*fxVal_normal=_PL!AN86,"",IF(OR(AN86="",NOT(ISNUMBER(AN86)),ISERROR(AN86),$B86=""),"",IF($I86=1,IFBLANK(_xldudf_CX_PUSH(AN86*fxVal_normal,CX_ENTITY,$B86,AN$11,AN$14,AN$75,),""),IF($I86=2,IFBLANK(_xldudf_CX_PUSH(AN86,CX_ENTITY,$B86,AN$11,AN$14,AN$75,),""),IF($I86=3,"",IFBLANK(_xldudf_CX_PUSH(AN86,CX_ENTITY,$B86,AN$11,AN$14,AN$75,),"")))))),"")</f>
        <v/>
      </c>
      <c r="DO86" s="2445" t="str" cm="1">
        <f t="array" ca="1" aca="1" ref="DO86">IFERROR(IF(AO86*fxVal_normal=_PL!AO86,"",IF(OR(AO86="",NOT(ISNUMBER(AO86)),ISERROR(AO86),$B86=""),"",IF($I86=1,IFBLANK(_xldudf_CX_PUSH(AO86*fxVal_normal,CX_ENTITY,$B86,AO$11,AO$14,AO$75,),""),IF($I86=2,IFBLANK(_xldudf_CX_PUSH(AO86,CX_ENTITY,$B86,AO$11,AO$14,AO$75,),""),IF($I86=3,"",IFBLANK(_xldudf_CX_PUSH(AO86,CX_ENTITY,$B86,AO$11,AO$14,AO$75,),"")))))),"")</f>
        <v/>
      </c>
      <c r="DP86" s="2445" t="str" cm="1">
        <f t="array" ca="1" aca="1" ref="DP86">IFERROR(IF(AP86*fxVal_normal=_PL!AP86,"",IF(OR(AP86="",NOT(ISNUMBER(AP86)),ISERROR(AP86),$B86=""),"",IF($I86=1,IFBLANK(_xldudf_CX_PUSH(AP86*fxVal_normal,CX_ENTITY,$B86,AP$11,AP$14,AP$75,),""),IF($I86=2,IFBLANK(_xldudf_CX_PUSH(AP86,CX_ENTITY,$B86,AP$11,AP$14,AP$75,),""),IF($I86=3,"",IFBLANK(_xldudf_CX_PUSH(AP86,CX_ENTITY,$B86,AP$11,AP$14,AP$75,),"")))))),"")</f>
        <v/>
      </c>
      <c r="DQ86" s="2445" t="str" cm="1">
        <f t="array" ca="1" aca="1" ref="DQ86">IFERROR(IF(AQ86*fxVal_normal=_PL!AQ86,"",IF(OR(AQ86="",NOT(ISNUMBER(AQ86)),ISERROR(AQ86),$B86=""),"",IF($I86=1,IFBLANK(_xldudf_CX_PUSH(AQ86*fxVal_normal,CX_ENTITY,$B86,AQ$11,AQ$14,AQ$75,),""),IF($I86=2,IFBLANK(_xldudf_CX_PUSH(AQ86,CX_ENTITY,$B86,AQ$11,AQ$14,AQ$75,),""),IF($I86=3,"",IFBLANK(_xldudf_CX_PUSH(AQ86,CX_ENTITY,$B86,AQ$11,AQ$14,AQ$75,),"")))))),"")</f>
        <v/>
      </c>
      <c r="DR86" s="2445" t="str" cm="1">
        <f t="array" ca="1" aca="1" ref="DR86">IFERROR(IF(AR86*fxVal_normal=_PL!AR86,"",IF(OR(AR86="",NOT(ISNUMBER(AR86)),ISERROR(AR86),$B86=""),"",IF($I86=1,IFBLANK(_xldudf_CX_PUSH(AR86*fxVal_normal,CX_ENTITY,$B86,AR$11,AR$14,AR$75,),""),IF($I86=2,IFBLANK(_xldudf_CX_PUSH(AR86,CX_ENTITY,$B86,AR$11,AR$14,AR$75,),""),IF($I86=3,"",IFBLANK(_xldudf_CX_PUSH(AR86,CX_ENTITY,$B86,AR$11,AR$14,AR$75,),"")))))),"")</f>
        <v/>
      </c>
      <c r="DS86" s="2445" t="str" cm="1">
        <f t="array" ca="1" aca="1" ref="DS86">IFERROR(IF(AS86*fxVal_normal=_PL!AS86,"",IF(OR(AS86="",NOT(ISNUMBER(AS86)),ISERROR(AS86),$B86=""),"",IF($I86=1,IFBLANK(_xldudf_CX_PUSH(AS86*fxVal_normal,CX_ENTITY,$B86,AS$11,AS$14,AS$75,),""),IF($I86=2,IFBLANK(_xldudf_CX_PUSH(AS86,CX_ENTITY,$B86,AS$11,AS$14,AS$75,),""),IF($I86=3,"",IFBLANK(_xldudf_CX_PUSH(AS86,CX_ENTITY,$B86,AS$11,AS$14,AS$75,),"")))))),"")</f>
        <v/>
      </c>
      <c r="DT86" s="2445" t="str" cm="1">
        <f t="array" ca="1" aca="1" ref="DT86">IFERROR(IF(AT86*fxVal_normal=_PL!AT86,"",IF(OR(AT86="",NOT(ISNUMBER(AT86)),ISERROR(AT86),$B86=""),"",IF($I86=1,IFBLANK(_xldudf_CX_PUSH(AT86*fxVal_normal,CX_ENTITY,$B86,AT$11,AT$14,AT$75,),""),IF($I86=2,IFBLANK(_xldudf_CX_PUSH(AT86,CX_ENTITY,$B86,AT$11,AT$14,AT$75,),""),IF($I86=3,"",IFBLANK(_xldudf_CX_PUSH(AT86,CX_ENTITY,$B86,AT$11,AT$14,AT$75,),"")))))),"")</f>
        <v/>
      </c>
      <c r="DU86" s="2445" t="str" cm="1">
        <f t="array" ca="1" aca="1" ref="DU86">IFERROR(IF(AU86*fxVal_normal=_PL!AU86,"",IF(OR(AU86="",NOT(ISNUMBER(AU86)),ISERROR(AU86),$B86=""),"",IF($I86=1,IFBLANK(_xldudf_CX_PUSH(AU86*fxVal_normal,CX_ENTITY,$B86,AU$11,AU$14,AU$75,),""),IF($I86=2,IFBLANK(_xldudf_CX_PUSH(AU86,CX_ENTITY,$B86,AU$11,AU$14,AU$75,),""),IF($I86=3,"",IFBLANK(_xldudf_CX_PUSH(AU86,CX_ENTITY,$B86,AU$11,AU$14,AU$75,),"")))))),"")</f>
        <v/>
      </c>
      <c r="DV86" s="2445" t="str" cm="1">
        <f t="array" ca="1" aca="1" ref="DV86">IFERROR(IF(AV86*fxVal_normal=_PL!AV86,"",IF(OR(AV86="",NOT(ISNUMBER(AV86)),ISERROR(AV86),$B86=""),"",IF($I86=1,IFBLANK(_xldudf_CX_PUSH(AV86*fxVal_normal,CX_ENTITY,$B86,AV$11,AV$14,AV$75,),""),IF($I86=2,IFBLANK(_xldudf_CX_PUSH(AV86,CX_ENTITY,$B86,AV$11,AV$14,AV$75,),""),IF($I86=3,"",IFBLANK(_xldudf_CX_PUSH(AV86,CX_ENTITY,$B86,AV$11,AV$14,AV$75,),"")))))),"")</f>
        <v/>
      </c>
      <c r="DW86" s="2445" t="str" cm="1">
        <f t="array" ca="1" aca="1" ref="DW86">IFERROR(IF(AW86*fxVal_normal=_PL!AW86,"",IF(OR(AW86="",NOT(ISNUMBER(AW86)),ISERROR(AW86),$B86=""),"",IF($I86=1,IFBLANK(_xldudf_CX_PUSH(AW86*fxVal_normal,CX_ENTITY,$B86,AW$11,AW$14,AW$75,),""),IF($I86=2,IFBLANK(_xldudf_CX_PUSH(AW86,CX_ENTITY,$B86,AW$11,AW$14,AW$75,),""),IF($I86=3,"",IFBLANK(_xldudf_CX_PUSH(AW86,CX_ENTITY,$B86,AW$11,AW$14,AW$75,),"")))))),"")</f>
        <v/>
      </c>
      <c r="DX86" s="2445" t="str" cm="1">
        <f t="array" ca="1" aca="1" ref="DX86">IFERROR(IF(AX86*fxVal_normal=_PL!AX86,"",IF(OR(AX86="",NOT(ISNUMBER(AX86)),ISERROR(AX86),$B86=""),"",IF($I86=1,IFBLANK(_xldudf_CX_PUSH(AX86*fxVal_normal,CX_ENTITY,$B86,AX$11,AX$14,AX$75,),""),IF($I86=2,IFBLANK(_xldudf_CX_PUSH(AX86,CX_ENTITY,$B86,AX$11,AX$14,AX$75,),""),IF($I86=3,"",IFBLANK(_xldudf_CX_PUSH(AX86,CX_ENTITY,$B86,AX$11,AX$14,AX$75,),"")))))),"")</f>
        <v/>
      </c>
      <c r="DY86" s="2445" t="str" cm="1">
        <f t="array" ca="1" aca="1" ref="DY86">IFERROR(IF(AY86*fxVal_normal=_PL!AY86,"",IF(OR(AY86="",NOT(ISNUMBER(AY86)),ISERROR(AY86),$B86=""),"",IF($I86=1,IFBLANK(_xldudf_CX_PUSH(AY86*fxVal_normal,CX_ENTITY,$B86,AY$11,AY$14,AY$75,),""),IF($I86=2,IFBLANK(_xldudf_CX_PUSH(AY86,CX_ENTITY,$B86,AY$11,AY$14,AY$75,),""),IF($I86=3,"",IFBLANK(_xldudf_CX_PUSH(AY86,CX_ENTITY,$B86,AY$11,AY$14,AY$75,),"")))))),"")</f>
        <v/>
      </c>
      <c r="DZ86" s="2445" t="str" cm="1">
        <f t="array" ca="1" aca="1" ref="DZ86">IFERROR(IF(AZ86*fxVal_normal=_PL!AZ86,"",IF(OR(AZ86="",NOT(ISNUMBER(AZ86)),ISERROR(AZ86),$B86=""),"",IF($I86=1,IFBLANK(_xldudf_CX_PUSH(AZ86*fxVal_normal,CX_ENTITY,$B86,AZ$11,AZ$14,AZ$75,),""),IF($I86=2,IFBLANK(_xldudf_CX_PUSH(AZ86,CX_ENTITY,$B86,AZ$11,AZ$14,AZ$75,),""),IF($I86=3,"",IFBLANK(_xldudf_CX_PUSH(AZ86,CX_ENTITY,$B86,AZ$11,AZ$14,AZ$75,),"")))))),"")</f>
        <v/>
      </c>
      <c r="EA86" s="2445" t="str" cm="1">
        <f t="array" ca="1" aca="1" ref="EA86">IFERROR(IF(BA86*fxVal_normal=_PL!BA86,"",IF(OR(BA86="",NOT(ISNUMBER(BA86)),ISERROR(BA86),$B86=""),"",IF($I86=1,IFBLANK(_xldudf_CX_PUSH(BA86*fxVal_normal,CX_ENTITY,$B86,BA$11,BA$14,BA$75,),""),IF($I86=2,IFBLANK(_xldudf_CX_PUSH(BA86,CX_ENTITY,$B86,BA$11,BA$14,BA$75,),""),IF($I86=3,"",IFBLANK(_xldudf_CX_PUSH(BA86,CX_ENTITY,$B86,BA$11,BA$14,BA$75,),"")))))),"")</f>
        <v/>
      </c>
      <c r="EB86" s="2445" t="str" cm="1">
        <f t="array" ca="1" aca="1" ref="EB86">IFERROR(IF(BB86*fxVal_normal=_PL!BB86,"",IF(OR(BB86="",NOT(ISNUMBER(BB86)),ISERROR(BB86),$B86=""),"",IF($I86=1,IFBLANK(_xldudf_CX_PUSH(BB86*fxVal_normal,CX_ENTITY,$B86,BB$11,BB$14,BB$75,),""),IF($I86=2,IFBLANK(_xldudf_CX_PUSH(BB86,CX_ENTITY,$B86,BB$11,BB$14,BB$75,),""),IF($I86=3,"",IFBLANK(_xldudf_CX_PUSH(BB86,CX_ENTITY,$B86,BB$11,BB$14,BB$75,),"")))))),"")</f>
        <v/>
      </c>
      <c r="EC86" s="2445" t="str" cm="1">
        <f t="array" ca="1" aca="1" ref="EC86">IFERROR(IF(BC86*fxVal_normal=_PL!BC86,"",IF(OR(BC86="",NOT(ISNUMBER(BC86)),ISERROR(BC86),$B86=""),"",IF($I86=1,IFBLANK(_xldudf_CX_PUSH(BC86*fxVal_normal,CX_ENTITY,$B86,BC$11,BC$14,BC$75,),""),IF($I86=2,IFBLANK(_xldudf_CX_PUSH(BC86,CX_ENTITY,$B86,BC$11,BC$14,BC$75,),""),IF($I86=3,"",IFBLANK(_xldudf_CX_PUSH(BC86,CX_ENTITY,$B86,BC$11,BC$14,BC$75,),"")))))),"")</f>
        <v/>
      </c>
      <c r="ED86" s="2445" t="str" cm="1">
        <f t="array" ca="1" aca="1" ref="ED86">IFERROR(IF(BD86*fxVal_normal=_PL!BD86,"",IF(OR(BD86="",NOT(ISNUMBER(BD86)),ISERROR(BD86),$B86=""),"",IF($I86=1,IFBLANK(_xldudf_CX_PUSH(BD86*fxVal_normal,CX_ENTITY,$B86,BD$11,BD$14,BD$75,),""),IF($I86=2,IFBLANK(_xldudf_CX_PUSH(BD86,CX_ENTITY,$B86,BD$11,BD$14,BD$75,),""),IF($I86=3,"",IFBLANK(_xldudf_CX_PUSH(BD86,CX_ENTITY,$B86,BD$11,BD$14,BD$75,),"")))))),"")</f>
        <v/>
      </c>
      <c r="EE86" s="2445" t="str" cm="1">
        <f t="array" ca="1" aca="1" ref="EE86">IFERROR(IF(BE86*fxVal_normal=_PL!BE86,"",IF(OR(BE86="",NOT(ISNUMBER(BE86)),ISERROR(BE86),$B86=""),"",IF($I86=1,IFBLANK(_xldudf_CX_PUSH(BE86*fxVal_normal,CX_ENTITY,$B86,BE$11,BE$14,BE$75,),""),IF($I86=2,IFBLANK(_xldudf_CX_PUSH(BE86,CX_ENTITY,$B86,BE$11,BE$14,BE$75,),""),IF($I86=3,"",IFBLANK(_xldudf_CX_PUSH(BE86,CX_ENTITY,$B86,BE$11,BE$14,BE$75,),"")))))),"")</f>
        <v/>
      </c>
      <c r="EF86" s="2445" t="str" cm="1">
        <f t="array" ca="1" aca="1" ref="EF86">IFERROR(IF(BF86*fxVal_normal=_PL!BF86,"",IF(OR(BF86="",NOT(ISNUMBER(BF86)),ISERROR(BF86),$B86=""),"",IF($I86=1,IFBLANK(_xldudf_CX_PUSH(BF86*fxVal_normal,CX_ENTITY,$B86,BF$11,BF$14,BF$75,),""),IF($I86=2,IFBLANK(_xldudf_CX_PUSH(BF86,CX_ENTITY,$B86,BF$11,BF$14,BF$75,),""),IF($I86=3,"",IFBLANK(_xldudf_CX_PUSH(BF86,CX_ENTITY,$B86,BF$11,BF$14,BF$75,),"")))))),"")</f>
        <v/>
      </c>
      <c r="EG86" s="2445" t="str" cm="1">
        <f t="array" ca="1" aca="1" ref="EG86">IFERROR(IF(BG86*fxVal_normal=_PL!BG86,"",IF(OR(BG86="",NOT(ISNUMBER(BG86)),ISERROR(BG86),$B86=""),"",IF($I86=1,IFBLANK(_xldudf_CX_PUSH(BG86*fxVal_normal,CX_ENTITY,$B86,BG$11,BG$14,BG$75,),""),IF($I86=2,IFBLANK(_xldudf_CX_PUSH(BG86,CX_ENTITY,$B86,BG$11,BG$14,BG$75,),""),IF($I86=3,"",IFBLANK(_xldudf_CX_PUSH(BG86,CX_ENTITY,$B86,BG$11,BG$14,BG$75,),"")))))),"")</f>
        <v/>
      </c>
      <c r="EH86" s="2445" t="str" cm="1">
        <f t="array" ca="1" aca="1" ref="EH86">IFERROR(IF(BH86*fxVal_normal=_PL!BH86,"",IF(OR(BH86="",NOT(ISNUMBER(BH86)),ISERROR(BH86),$B86=""),"",IF($I86=1,IFBLANK(_xldudf_CX_PUSH(BH86*fxVal_normal,CX_ENTITY,$B86,BH$11,BH$14,BH$75,),""),IF($I86=2,IFBLANK(_xldudf_CX_PUSH(BH86,CX_ENTITY,$B86,BH$11,BH$14,BH$75,),""),IF($I86=3,"",IFBLANK(_xldudf_CX_PUSH(BH86,CX_ENTITY,$B86,BH$11,BH$14,BH$75,),"")))))),"")</f>
        <v/>
      </c>
      <c r="EI86" s="2445" t="str" cm="1">
        <f t="array" ca="1" aca="1" ref="EI86">IFERROR(IF(BI86*fxVal_normal=_PL!BI86,"",IF(OR(BI86="",NOT(ISNUMBER(BI86)),ISERROR(BI86),$B86=""),"",IF($I86=1,IFBLANK(_xldudf_CX_PUSH(BI86*fxVal_normal,CX_ENTITY,$B86,BI$11,BI$14,BI$75,),""),IF($I86=2,IFBLANK(_xldudf_CX_PUSH(BI86,CX_ENTITY,$B86,BI$11,BI$14,BI$75,),""),IF($I86=3,"",IFBLANK(_xldudf_CX_PUSH(BI86,CX_ENTITY,$B86,BI$11,BI$14,BI$75,),"")))))),"")</f>
        <v/>
      </c>
      <c r="EJ86" s="2445" t="str" cm="1">
        <f t="array" ca="1" aca="1" ref="EJ86">IFERROR(IF(BJ86*fxVal_normal=_PL!BJ86,"",IF(OR(BJ86="",NOT(ISNUMBER(BJ86)),ISERROR(BJ86),$B86=""),"",IF($I86=1,IFBLANK(_xldudf_CX_PUSH(BJ86*fxVal_normal,CX_ENTITY,$B86,BJ$11,BJ$14,BJ$75,),""),IF($I86=2,IFBLANK(_xldudf_CX_PUSH(BJ86,CX_ENTITY,$B86,BJ$11,BJ$14,BJ$75,),""),IF($I86=3,"",IFBLANK(_xldudf_CX_PUSH(BJ86,CX_ENTITY,$B86,BJ$11,BJ$14,BJ$75,),"")))))),"")</f>
        <v/>
      </c>
      <c r="EK86" s="2445" t="str" cm="1">
        <f t="array" ca="1" aca="1" ref="EK86">IFERROR(IF(BK86*fxVal_normal=_PL!BK86,"",IF(OR(BK86="",NOT(ISNUMBER(BK86)),ISERROR(BK86),$B86=""),"",IF($I86=1,IFBLANK(_xldudf_CX_PUSH(BK86*fxVal_normal,CX_ENTITY,$B86,BK$11,BK$14,BK$75,),""),IF($I86=2,IFBLANK(_xldudf_CX_PUSH(BK86,CX_ENTITY,$B86,BK$11,BK$14,BK$75,),""),IF($I86=3,"",IFBLANK(_xldudf_CX_PUSH(BK86,CX_ENTITY,$B86,BK$11,BK$14,BK$75,),"")))))),"")</f>
        <v/>
      </c>
      <c r="EL86" s="2445" t="str" cm="1">
        <f t="array" ca="1" aca="1" ref="EL86">IFERROR(IF(BL86*fxVal_normal=_PL!BL86,"",IF(OR(BL86="",NOT(ISNUMBER(BL86)),ISERROR(BL86),$B86=""),"",IF($I86=1,IFBLANK(_xldudf_CX_PUSH(BL86*fxVal_normal,CX_ENTITY,$B86,BL$11,BL$14,BL$75,),""),IF($I86=2,IFBLANK(_xldudf_CX_PUSH(BL86,CX_ENTITY,$B86,BL$11,BL$14,BL$75,),""),IF($I86=3,"",IFBLANK(_xldudf_CX_PUSH(BL86,CX_ENTITY,$B86,BL$11,BL$14,BL$75,),"")))))),"")</f>
        <v/>
      </c>
      <c r="EM86" s="2445" t="str" cm="1">
        <f t="array" ca="1" aca="1" ref="EM86">IFERROR(IF(BM86*fxVal_normal=_PL!BM86,"",IF(OR(BM86="",NOT(ISNUMBER(BM86)),ISERROR(BM86),$B86=""),"",IF($I86=1,IFBLANK(_xldudf_CX_PUSH(BM86*fxVal_normal,CX_ENTITY,$B86,BM$11,BM$14,BM$75,),""),IF($I86=2,IFBLANK(_xldudf_CX_PUSH(BM86,CX_ENTITY,$B86,BM$11,BM$14,BM$75,),""),IF($I86=3,"",IFBLANK(_xldudf_CX_PUSH(BM86,CX_ENTITY,$B86,BM$11,BM$14,BM$75,),"")))))),"")</f>
        <v/>
      </c>
      <c r="EN86" s="2445" t="str" cm="1">
        <f t="array" ca="1" aca="1" ref="EN86">IFERROR(IF(BN86*fxVal_normal=_PL!BN86,"",IF(OR(BN86="",NOT(ISNUMBER(BN86)),ISERROR(BN86),$B86=""),"",IF($I86=1,IFBLANK(_xldudf_CX_PUSH(BN86*fxVal_normal,CX_ENTITY,$B86,BN$11,BN$14,BN$75,),""),IF($I86=2,IFBLANK(_xldudf_CX_PUSH(BN86,CX_ENTITY,$B86,BN$11,BN$14,BN$75,),""),IF($I86=3,"",IFBLANK(_xldudf_CX_PUSH(BN86,CX_ENTITY,$B86,BN$11,BN$14,BN$75,),"")))))),"")</f>
        <v/>
      </c>
    </row>
    <row r="87" spans="1:144" ht="21" customHeight="1">
      <c r="A87" s="1625"/>
      <c r="B87" s="3196">
        <f>_xlfn.LET(_xlpm.IsNotAttrDynamic,D87="",_xlpm.Attr,_PL!F87,_xlpm.NotInUse,Y87=D87,_xlpm.RESULT,IF(_xlpm.IsNotAttrDynamic,_xlpm.Attr,IF(_xlpm.NotInUse,"",Y87)),IF(_xlpm.RESULT="","",_xlpm.RESULT))</f>
        <v>2</v>
      </c>
      <c r="C87" s="3463" t="str" cm="1">
        <f t="array" ref="C87">IFBLANK(_PL!C87,"")</f>
        <v>EBITDA Adjustment Type I - Label 6</v>
      </c>
      <c r="D87" s="2506" t="str">
        <f t="shared" si="32"/>
        <v>Please select or type in or leave as blank (6)</v>
      </c>
      <c r="E87" s="2440" t="e" cm="1">
        <f t="array" ca="1" aca="1" ref="E8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87:$CQ87,Z87)</f>
        <v>#NAME?</v>
      </c>
      <c r="F87" s="578"/>
      <c r="G87" s="578"/>
      <c r="H87" s="401">
        <v>0</v>
      </c>
      <c r="I87" s="3280">
        <v>1</v>
      </c>
      <c r="J87" s="401" cm="1">
        <f t="array" ref="J87">IFBLANK(Z87,"")</f>
        <v>-1</v>
      </c>
      <c r="K87" s="578" t="str">
        <f t="shared" si="33"/>
        <v>Yes</v>
      </c>
      <c r="L87" s="37"/>
      <c r="N87" s="158"/>
      <c r="O87" s="101"/>
      <c r="P87" s="52"/>
      <c r="Q87" s="101"/>
      <c r="R87" s="126"/>
      <c r="S87" s="101"/>
      <c r="T87" s="101"/>
      <c r="U87" s="39"/>
      <c r="V87" s="37"/>
      <c r="W87" s="91" t="str">
        <f t="shared" si="28"/>
        <v>Budget</v>
      </c>
      <c r="X87" s="2081" t="str">
        <f>_PL!X87</f>
        <v>a</v>
      </c>
      <c r="Y87" s="3197">
        <f t="shared" si="34"/>
        <v>2</v>
      </c>
      <c r="Z87" s="198" cm="1">
        <f t="array" ref="Z87">_xlfn.SWITCH(TRUE,_PL!$L87=TRUE,1,_PL!$L87=FALSE,-1,_PL!$L87=-1,0,"")</f>
        <v>-1</v>
      </c>
      <c r="AA87" s="200"/>
      <c r="AB87" s="3198">
        <f t="shared" si="35"/>
        <v>2</v>
      </c>
      <c r="AC87" s="2508" t="str" cm="1">
        <f t="array" ca="1" aca="1" ref="AC87">_xlfn.LET(_xlpm._termname,$AB87,_xlpm._iconname,"find",_xlpm._icon,fx_getIcon(_xlpm._iconname),_xlpm._location,_xlfn.XLOOKUP(LOWER(_xlpm._termname),LOWER(tbl_acctDef[Term]),tbl_acctDef[Term]),_xlpm._hyperlink,HYPERLINK("#"&amp;CELL("address",_xlpm._location),_xlpm._icon),IFERROR(_xlpm._hyperlink,""))</f>
        <v/>
      </c>
      <c r="AD87" s="3177">
        <v>1</v>
      </c>
      <c r="AE87" s="3177">
        <v>1</v>
      </c>
      <c r="AF87" s="3177">
        <v>1</v>
      </c>
      <c r="AG87" s="3177">
        <v>1</v>
      </c>
      <c r="AH87" s="3177">
        <v>1</v>
      </c>
      <c r="AI87" s="3177">
        <v>1</v>
      </c>
      <c r="AJ87" s="3177">
        <v>1</v>
      </c>
      <c r="AK87" s="3177">
        <v>1</v>
      </c>
      <c r="AL87" s="3177">
        <v>1</v>
      </c>
      <c r="AM87" s="3177">
        <v>1</v>
      </c>
      <c r="AN87" s="3177">
        <v>1</v>
      </c>
      <c r="AO87" s="3177">
        <v>1</v>
      </c>
      <c r="AP87" s="3177">
        <v>1</v>
      </c>
      <c r="AQ87" s="3177">
        <v>1</v>
      </c>
      <c r="AR87" s="3177">
        <v>1</v>
      </c>
      <c r="AS87" s="3177">
        <v>1</v>
      </c>
      <c r="AT87" s="3177">
        <v>1</v>
      </c>
      <c r="AU87" s="3177">
        <v>1</v>
      </c>
      <c r="AV87" s="3177">
        <v>1</v>
      </c>
      <c r="AW87" s="3177">
        <v>1</v>
      </c>
      <c r="AX87" s="3177">
        <v>1</v>
      </c>
      <c r="AY87" s="3177">
        <v>1</v>
      </c>
      <c r="AZ87" s="3177">
        <v>1</v>
      </c>
      <c r="BA87" s="3177">
        <v>1</v>
      </c>
      <c r="BB87" s="3177">
        <v>1</v>
      </c>
      <c r="BC87" s="3177">
        <v>1</v>
      </c>
      <c r="BD87" s="3177">
        <v>1</v>
      </c>
      <c r="BE87" s="3177">
        <v>1</v>
      </c>
      <c r="BF87" s="3177">
        <v>1</v>
      </c>
      <c r="BG87" s="3177">
        <v>1</v>
      </c>
      <c r="BH87" s="3177">
        <v>1</v>
      </c>
      <c r="BI87" s="3177">
        <v>1</v>
      </c>
      <c r="BJ87" s="3177">
        <v>1</v>
      </c>
      <c r="BK87" s="3177">
        <v>1</v>
      </c>
      <c r="BL87" s="3177">
        <v>1</v>
      </c>
      <c r="BM87" s="3177">
        <v>1</v>
      </c>
      <c r="BN87" s="3177">
        <v>1</v>
      </c>
      <c r="BO87" s="2442"/>
      <c r="BP87" s="2442"/>
      <c r="BQ87" s="2442"/>
      <c r="BR87" s="2442"/>
      <c r="BS87" s="2442"/>
      <c r="BT87" s="2442"/>
      <c r="BU87" s="2442"/>
      <c r="BV87" s="2442"/>
      <c r="BW87" s="2442"/>
      <c r="BX87" s="2442"/>
      <c r="BY87" s="2442"/>
      <c r="BZ87" s="2442"/>
      <c r="CA87" s="34"/>
      <c r="CC87" s="33"/>
      <c r="CD87" s="1772" t="e" cm="1">
        <f t="array" ca="1" aca="1" ref="CD87">_xlfn.LET(_xlpm.CheckBlank,SUM(PL!$AD87:$BN87)=0,IF(_xlpm.CheckBlank,"",SUM(_xlfn._xlws.FILTER(PL!$AD87:$BN87,(YEAR(PL!$AD$12:$BN$12)=PL!CD$12)*(array_timeline&lt;=PL!CD$11)))))</f>
        <v>#NAME?</v>
      </c>
      <c r="CE87" s="1772" t="e" cm="1">
        <f t="array" ca="1" aca="1" ref="CE87">_xlfn.LET(_xlpm.CheckBlank,SUM(PL!$AD87:$BN87)=0,IF(_xlpm.CheckBlank,"",SUM(_xlfn._xlws.FILTER(PL!$AD87:$BN87,(YEAR(PL!$AD$12:$BN$12)=PL!CE$12)*(array_timeline&lt;=PL!CE$11)))))</f>
        <v>#NAME?</v>
      </c>
      <c r="CF87" s="88"/>
      <c r="CG87" s="1461" t="e" cm="1">
        <f t="array" ca="1" aca="1" ref="CG87">_xlfn.LET(_xlpm.CheckBlank,SUM(PL!$AD87:$BN87)=0,IF(_xlpm.CheckBlank,"",SUM(_xlfn._xlws.FILTER(PL!$AD87:$BN87,(YEAR(PL!$AD$12:$BN$12)=PL!CG$12)*(array_timeline&lt;=PL!CG$11)))))</f>
        <v>#NAME?</v>
      </c>
      <c r="CH87" s="1461" t="e" cm="1">
        <f t="array" ca="1" aca="1" ref="CH87">_xlfn.LET(_xlpm.CheckBlank,SUM(PL!$AD87:$BN87)=0,IF(_xlpm.CheckBlank,"",SUM(_xlfn._xlws.FILTER(PL!$AD87:$BN87,(YEAR(PL!$AD$12:$BN$12)=PL!CH$12)*(array_timeline&lt;=PL!CH$11)))))</f>
        <v>#NAME?</v>
      </c>
      <c r="CI87" s="88"/>
      <c r="CJ87" s="1461" cm="1">
        <f t="array" ref="CJ87">_xlfn.LET(_xlpm.CheckBlank,SUM(PL!$AD87:$BN87)=0,IF(_xlpm.CheckBlank,"",SUM(_xlfn.TAKE(_xlfn.DROP(PL!$AD87:$BN87,,-DATEDIFF(PL!CJ$11,val_asOfDate,"M")),1,-12))))</f>
        <v>12</v>
      </c>
      <c r="CK87" s="1461" cm="1">
        <f t="array" ref="CK87">_xlfn.LET(_xlpm.CheckBlank,SUM(PL!$AD87:$BN87)=0,IF(_xlpm.CheckBlank,"",SUM(_xlfn.TAKE(_xlfn.DROP(PL!$AD87:$BN87,,-DATEDIFF(PL!CK$11,val_asOfDate,"M")),1,-12))))</f>
        <v>12</v>
      </c>
      <c r="CL87" s="88"/>
      <c r="CM87" s="3195">
        <f t="shared" si="26"/>
        <v>1</v>
      </c>
      <c r="CN87" s="3195">
        <f t="shared" si="23"/>
        <v>1</v>
      </c>
      <c r="CO87" s="1169"/>
      <c r="CP87" s="3195">
        <f t="shared" si="27"/>
        <v>1</v>
      </c>
      <c r="CQ87" s="3195">
        <f t="shared" si="24"/>
        <v>1</v>
      </c>
      <c r="CR87" s="34"/>
      <c r="CS87" s="2056"/>
      <c r="CT87" s="2447" t="e" cm="1">
        <f t="array" ca="1" aca="1" ref="CT87">IF(ISNUMBER(SEARCH("Select",$Y87)),"",_xldudf_CX_PUSH($Y87,CX_ENTITY,C87,val_asOfDate))</f>
        <v>#NAME?</v>
      </c>
      <c r="CU87" s="2447" t="e" cm="1">
        <f t="array" ca="1" aca="1" ref="CU87">IF(ISNUMBER(SEARCH("Select",$Y87)),"",_xldudf_CX_PUSH($Y87,CX_ENTITY,C87,EOMONTH(val_asOfDate,1)))</f>
        <v>#NAME?</v>
      </c>
      <c r="CV87" s="2447" t="e" cm="1">
        <f t="array" ca="1" aca="1" ref="CV87">IF(ISNUMBER(SEARCH("Select",$Y87)),"",_xldudf_CX_PUSH($Y87,CX_ENTITY,C87,EOMONTH(val_asOfDate,2)))</f>
        <v>#NAME?</v>
      </c>
      <c r="CW87" s="2447" t="e" cm="1">
        <f t="array" ca="1" aca="1" ref="CW87">IF(ISNUMBER(SEARCH("Select",$Y87)),"",_xldudf_CX_PUSH($Y87,CX_ENTITY,C87,EOMONTH(val_asOfDate,3)))</f>
        <v>#NAME?</v>
      </c>
      <c r="CX87" s="2443"/>
      <c r="CY87" s="1880"/>
      <c r="CZ87" s="1880"/>
      <c r="DA87" s="1880"/>
      <c r="DB87" s="1880"/>
      <c r="DC87" s="2121"/>
      <c r="DD87" s="2445" t="str" cm="1">
        <f t="array" ca="1" aca="1" ref="DD87">IFERROR(IF(AD87*fxVal_normal=_PL!AD87,"",IF(OR(AD87="",NOT(ISNUMBER(AD87)),ISERROR(AD87),$B87=""),"",IF($I87=1,IFBLANK(_xldudf_CX_PUSH(AD87*fxVal_normal,CX_ENTITY,$B87,AD$11,AD$14,AD$75,),""),IF($I87=2,IFBLANK(_xldudf_CX_PUSH(AD87,CX_ENTITY,$B87,AD$11,AD$14,AD$75,),""),IF($I87=3,"",IFBLANK(_xldudf_CX_PUSH(AD87,CX_ENTITY,$B87,AD$11,AD$14,AD$75,),"")))))),"")</f>
        <v/>
      </c>
      <c r="DE87" s="2445" t="str" cm="1">
        <f t="array" ca="1" aca="1" ref="DE87">IFERROR(IF(AE87*fxVal_normal=_PL!AE87,"",IF(OR(AE87="",NOT(ISNUMBER(AE87)),ISERROR(AE87),$B87=""),"",IF($I87=1,IFBLANK(_xldudf_CX_PUSH(AE87*fxVal_normal,CX_ENTITY,$B87,AE$11,AE$14,AE$75,),""),IF($I87=2,IFBLANK(_xldudf_CX_PUSH(AE87,CX_ENTITY,$B87,AE$11,AE$14,AE$75,),""),IF($I87=3,"",IFBLANK(_xldudf_CX_PUSH(AE87,CX_ENTITY,$B87,AE$11,AE$14,AE$75,),"")))))),"")</f>
        <v/>
      </c>
      <c r="DF87" s="2445" t="str" cm="1">
        <f t="array" ca="1" aca="1" ref="DF87">IFERROR(IF(AF87*fxVal_normal=_PL!AF87,"",IF(OR(AF87="",NOT(ISNUMBER(AF87)),ISERROR(AF87),$B87=""),"",IF($I87=1,IFBLANK(_xldudf_CX_PUSH(AF87*fxVal_normal,CX_ENTITY,$B87,AF$11,AF$14,AF$75,),""),IF($I87=2,IFBLANK(_xldudf_CX_PUSH(AF87,CX_ENTITY,$B87,AF$11,AF$14,AF$75,),""),IF($I87=3,"",IFBLANK(_xldudf_CX_PUSH(AF87,CX_ENTITY,$B87,AF$11,AF$14,AF$75,),"")))))),"")</f>
        <v/>
      </c>
      <c r="DG87" s="2445" t="str" cm="1">
        <f t="array" ca="1" aca="1" ref="DG87">IFERROR(IF(AG87*fxVal_normal=_PL!AG87,"",IF(OR(AG87="",NOT(ISNUMBER(AG87)),ISERROR(AG87),$B87=""),"",IF($I87=1,IFBLANK(_xldudf_CX_PUSH(AG87*fxVal_normal,CX_ENTITY,$B87,AG$11,AG$14,AG$75,),""),IF($I87=2,IFBLANK(_xldudf_CX_PUSH(AG87,CX_ENTITY,$B87,AG$11,AG$14,AG$75,),""),IF($I87=3,"",IFBLANK(_xldudf_CX_PUSH(AG87,CX_ENTITY,$B87,AG$11,AG$14,AG$75,),"")))))),"")</f>
        <v/>
      </c>
      <c r="DH87" s="2445" t="str" cm="1">
        <f t="array" ca="1" aca="1" ref="DH87">IFERROR(IF(AH87*fxVal_normal=_PL!AH87,"",IF(OR(AH87="",NOT(ISNUMBER(AH87)),ISERROR(AH87),$B87=""),"",IF($I87=1,IFBLANK(_xldudf_CX_PUSH(AH87*fxVal_normal,CX_ENTITY,$B87,AH$11,AH$14,AH$75,),""),IF($I87=2,IFBLANK(_xldudf_CX_PUSH(AH87,CX_ENTITY,$B87,AH$11,AH$14,AH$75,),""),IF($I87=3,"",IFBLANK(_xldudf_CX_PUSH(AH87,CX_ENTITY,$B87,AH$11,AH$14,AH$75,),"")))))),"")</f>
        <v/>
      </c>
      <c r="DI87" s="2445" t="str" cm="1">
        <f t="array" ca="1" aca="1" ref="DI87">IFERROR(IF(AI87*fxVal_normal=_PL!AI87,"",IF(OR(AI87="",NOT(ISNUMBER(AI87)),ISERROR(AI87),$B87=""),"",IF($I87=1,IFBLANK(_xldudf_CX_PUSH(AI87*fxVal_normal,CX_ENTITY,$B87,AI$11,AI$14,AI$75,),""),IF($I87=2,IFBLANK(_xldudf_CX_PUSH(AI87,CX_ENTITY,$B87,AI$11,AI$14,AI$75,),""),IF($I87=3,"",IFBLANK(_xldudf_CX_PUSH(AI87,CX_ENTITY,$B87,AI$11,AI$14,AI$75,),"")))))),"")</f>
        <v/>
      </c>
      <c r="DJ87" s="2445" t="str" cm="1">
        <f t="array" ca="1" aca="1" ref="DJ87">IFERROR(IF(AJ87*fxVal_normal=_PL!AJ87,"",IF(OR(AJ87="",NOT(ISNUMBER(AJ87)),ISERROR(AJ87),$B87=""),"",IF($I87=1,IFBLANK(_xldudf_CX_PUSH(AJ87*fxVal_normal,CX_ENTITY,$B87,AJ$11,AJ$14,AJ$75,),""),IF($I87=2,IFBLANK(_xldudf_CX_PUSH(AJ87,CX_ENTITY,$B87,AJ$11,AJ$14,AJ$75,),""),IF($I87=3,"",IFBLANK(_xldudf_CX_PUSH(AJ87,CX_ENTITY,$B87,AJ$11,AJ$14,AJ$75,),"")))))),"")</f>
        <v/>
      </c>
      <c r="DK87" s="2445" t="str" cm="1">
        <f t="array" ca="1" aca="1" ref="DK87">IFERROR(IF(AK87*fxVal_normal=_PL!AK87,"",IF(OR(AK87="",NOT(ISNUMBER(AK87)),ISERROR(AK87),$B87=""),"",IF($I87=1,IFBLANK(_xldudf_CX_PUSH(AK87*fxVal_normal,CX_ENTITY,$B87,AK$11,AK$14,AK$75,),""),IF($I87=2,IFBLANK(_xldudf_CX_PUSH(AK87,CX_ENTITY,$B87,AK$11,AK$14,AK$75,),""),IF($I87=3,"",IFBLANK(_xldudf_CX_PUSH(AK87,CX_ENTITY,$B87,AK$11,AK$14,AK$75,),"")))))),"")</f>
        <v/>
      </c>
      <c r="DL87" s="2445" t="str" cm="1">
        <f t="array" ca="1" aca="1" ref="DL87">IFERROR(IF(AL87*fxVal_normal=_PL!AL87,"",IF(OR(AL87="",NOT(ISNUMBER(AL87)),ISERROR(AL87),$B87=""),"",IF($I87=1,IFBLANK(_xldudf_CX_PUSH(AL87*fxVal_normal,CX_ENTITY,$B87,AL$11,AL$14,AL$75,),""),IF($I87=2,IFBLANK(_xldudf_CX_PUSH(AL87,CX_ENTITY,$B87,AL$11,AL$14,AL$75,),""),IF($I87=3,"",IFBLANK(_xldudf_CX_PUSH(AL87,CX_ENTITY,$B87,AL$11,AL$14,AL$75,),"")))))),"")</f>
        <v/>
      </c>
      <c r="DM87" s="2445" t="str" cm="1">
        <f t="array" ca="1" aca="1" ref="DM87">IFERROR(IF(AM87*fxVal_normal=_PL!AM87,"",IF(OR(AM87="",NOT(ISNUMBER(AM87)),ISERROR(AM87),$B87=""),"",IF($I87=1,IFBLANK(_xldudf_CX_PUSH(AM87*fxVal_normal,CX_ENTITY,$B87,AM$11,AM$14,AM$75,),""),IF($I87=2,IFBLANK(_xldudf_CX_PUSH(AM87,CX_ENTITY,$B87,AM$11,AM$14,AM$75,),""),IF($I87=3,"",IFBLANK(_xldudf_CX_PUSH(AM87,CX_ENTITY,$B87,AM$11,AM$14,AM$75,),"")))))),"")</f>
        <v/>
      </c>
      <c r="DN87" s="2445" t="str" cm="1">
        <f t="array" ca="1" aca="1" ref="DN87">IFERROR(IF(AN87*fxVal_normal=_PL!AN87,"",IF(OR(AN87="",NOT(ISNUMBER(AN87)),ISERROR(AN87),$B87=""),"",IF($I87=1,IFBLANK(_xldudf_CX_PUSH(AN87*fxVal_normal,CX_ENTITY,$B87,AN$11,AN$14,AN$75,),""),IF($I87=2,IFBLANK(_xldudf_CX_PUSH(AN87,CX_ENTITY,$B87,AN$11,AN$14,AN$75,),""),IF($I87=3,"",IFBLANK(_xldudf_CX_PUSH(AN87,CX_ENTITY,$B87,AN$11,AN$14,AN$75,),"")))))),"")</f>
        <v/>
      </c>
      <c r="DO87" s="2445" t="str" cm="1">
        <f t="array" ca="1" aca="1" ref="DO87">IFERROR(IF(AO87*fxVal_normal=_PL!AO87,"",IF(OR(AO87="",NOT(ISNUMBER(AO87)),ISERROR(AO87),$B87=""),"",IF($I87=1,IFBLANK(_xldudf_CX_PUSH(AO87*fxVal_normal,CX_ENTITY,$B87,AO$11,AO$14,AO$75,),""),IF($I87=2,IFBLANK(_xldudf_CX_PUSH(AO87,CX_ENTITY,$B87,AO$11,AO$14,AO$75,),""),IF($I87=3,"",IFBLANK(_xldudf_CX_PUSH(AO87,CX_ENTITY,$B87,AO$11,AO$14,AO$75,),"")))))),"")</f>
        <v/>
      </c>
      <c r="DP87" s="2445" t="str" cm="1">
        <f t="array" ca="1" aca="1" ref="DP87">IFERROR(IF(AP87*fxVal_normal=_PL!AP87,"",IF(OR(AP87="",NOT(ISNUMBER(AP87)),ISERROR(AP87),$B87=""),"",IF($I87=1,IFBLANK(_xldudf_CX_PUSH(AP87*fxVal_normal,CX_ENTITY,$B87,AP$11,AP$14,AP$75,),""),IF($I87=2,IFBLANK(_xldudf_CX_PUSH(AP87,CX_ENTITY,$B87,AP$11,AP$14,AP$75,),""),IF($I87=3,"",IFBLANK(_xldudf_CX_PUSH(AP87,CX_ENTITY,$B87,AP$11,AP$14,AP$75,),"")))))),"")</f>
        <v/>
      </c>
      <c r="DQ87" s="2445" t="str" cm="1">
        <f t="array" ca="1" aca="1" ref="DQ87">IFERROR(IF(AQ87*fxVal_normal=_PL!AQ87,"",IF(OR(AQ87="",NOT(ISNUMBER(AQ87)),ISERROR(AQ87),$B87=""),"",IF($I87=1,IFBLANK(_xldudf_CX_PUSH(AQ87*fxVal_normal,CX_ENTITY,$B87,AQ$11,AQ$14,AQ$75,),""),IF($I87=2,IFBLANK(_xldudf_CX_PUSH(AQ87,CX_ENTITY,$B87,AQ$11,AQ$14,AQ$75,),""),IF($I87=3,"",IFBLANK(_xldudf_CX_PUSH(AQ87,CX_ENTITY,$B87,AQ$11,AQ$14,AQ$75,),"")))))),"")</f>
        <v/>
      </c>
      <c r="DR87" s="2445" t="str" cm="1">
        <f t="array" ca="1" aca="1" ref="DR87">IFERROR(IF(AR87*fxVal_normal=_PL!AR87,"",IF(OR(AR87="",NOT(ISNUMBER(AR87)),ISERROR(AR87),$B87=""),"",IF($I87=1,IFBLANK(_xldudf_CX_PUSH(AR87*fxVal_normal,CX_ENTITY,$B87,AR$11,AR$14,AR$75,),""),IF($I87=2,IFBLANK(_xldudf_CX_PUSH(AR87,CX_ENTITY,$B87,AR$11,AR$14,AR$75,),""),IF($I87=3,"",IFBLANK(_xldudf_CX_PUSH(AR87,CX_ENTITY,$B87,AR$11,AR$14,AR$75,),"")))))),"")</f>
        <v/>
      </c>
      <c r="DS87" s="2445" t="str" cm="1">
        <f t="array" ca="1" aca="1" ref="DS87">IFERROR(IF(AS87*fxVal_normal=_PL!AS87,"",IF(OR(AS87="",NOT(ISNUMBER(AS87)),ISERROR(AS87),$B87=""),"",IF($I87=1,IFBLANK(_xldudf_CX_PUSH(AS87*fxVal_normal,CX_ENTITY,$B87,AS$11,AS$14,AS$75,),""),IF($I87=2,IFBLANK(_xldudf_CX_PUSH(AS87,CX_ENTITY,$B87,AS$11,AS$14,AS$75,),""),IF($I87=3,"",IFBLANK(_xldudf_CX_PUSH(AS87,CX_ENTITY,$B87,AS$11,AS$14,AS$75,),"")))))),"")</f>
        <v/>
      </c>
      <c r="DT87" s="2445" t="str" cm="1">
        <f t="array" ca="1" aca="1" ref="DT87">IFERROR(IF(AT87*fxVal_normal=_PL!AT87,"",IF(OR(AT87="",NOT(ISNUMBER(AT87)),ISERROR(AT87),$B87=""),"",IF($I87=1,IFBLANK(_xldudf_CX_PUSH(AT87*fxVal_normal,CX_ENTITY,$B87,AT$11,AT$14,AT$75,),""),IF($I87=2,IFBLANK(_xldudf_CX_PUSH(AT87,CX_ENTITY,$B87,AT$11,AT$14,AT$75,),""),IF($I87=3,"",IFBLANK(_xldudf_CX_PUSH(AT87,CX_ENTITY,$B87,AT$11,AT$14,AT$75,),"")))))),"")</f>
        <v/>
      </c>
      <c r="DU87" s="2445" t="str" cm="1">
        <f t="array" ca="1" aca="1" ref="DU87">IFERROR(IF(AU87*fxVal_normal=_PL!AU87,"",IF(OR(AU87="",NOT(ISNUMBER(AU87)),ISERROR(AU87),$B87=""),"",IF($I87=1,IFBLANK(_xldudf_CX_PUSH(AU87*fxVal_normal,CX_ENTITY,$B87,AU$11,AU$14,AU$75,),""),IF($I87=2,IFBLANK(_xldudf_CX_PUSH(AU87,CX_ENTITY,$B87,AU$11,AU$14,AU$75,),""),IF($I87=3,"",IFBLANK(_xldudf_CX_PUSH(AU87,CX_ENTITY,$B87,AU$11,AU$14,AU$75,),"")))))),"")</f>
        <v/>
      </c>
      <c r="DV87" s="2445" t="str" cm="1">
        <f t="array" ca="1" aca="1" ref="DV87">IFERROR(IF(AV87*fxVal_normal=_PL!AV87,"",IF(OR(AV87="",NOT(ISNUMBER(AV87)),ISERROR(AV87),$B87=""),"",IF($I87=1,IFBLANK(_xldudf_CX_PUSH(AV87*fxVal_normal,CX_ENTITY,$B87,AV$11,AV$14,AV$75,),""),IF($I87=2,IFBLANK(_xldudf_CX_PUSH(AV87,CX_ENTITY,$B87,AV$11,AV$14,AV$75,),""),IF($I87=3,"",IFBLANK(_xldudf_CX_PUSH(AV87,CX_ENTITY,$B87,AV$11,AV$14,AV$75,),"")))))),"")</f>
        <v/>
      </c>
      <c r="DW87" s="2445" t="str" cm="1">
        <f t="array" ca="1" aca="1" ref="DW87">IFERROR(IF(AW87*fxVal_normal=_PL!AW87,"",IF(OR(AW87="",NOT(ISNUMBER(AW87)),ISERROR(AW87),$B87=""),"",IF($I87=1,IFBLANK(_xldudf_CX_PUSH(AW87*fxVal_normal,CX_ENTITY,$B87,AW$11,AW$14,AW$75,),""),IF($I87=2,IFBLANK(_xldudf_CX_PUSH(AW87,CX_ENTITY,$B87,AW$11,AW$14,AW$75,),""),IF($I87=3,"",IFBLANK(_xldudf_CX_PUSH(AW87,CX_ENTITY,$B87,AW$11,AW$14,AW$75,),"")))))),"")</f>
        <v/>
      </c>
      <c r="DX87" s="2445" t="str" cm="1">
        <f t="array" ca="1" aca="1" ref="DX87">IFERROR(IF(AX87*fxVal_normal=_PL!AX87,"",IF(OR(AX87="",NOT(ISNUMBER(AX87)),ISERROR(AX87),$B87=""),"",IF($I87=1,IFBLANK(_xldudf_CX_PUSH(AX87*fxVal_normal,CX_ENTITY,$B87,AX$11,AX$14,AX$75,),""),IF($I87=2,IFBLANK(_xldudf_CX_PUSH(AX87,CX_ENTITY,$B87,AX$11,AX$14,AX$75,),""),IF($I87=3,"",IFBLANK(_xldudf_CX_PUSH(AX87,CX_ENTITY,$B87,AX$11,AX$14,AX$75,),"")))))),"")</f>
        <v/>
      </c>
      <c r="DY87" s="2445" t="str" cm="1">
        <f t="array" ca="1" aca="1" ref="DY87">IFERROR(IF(AY87*fxVal_normal=_PL!AY87,"",IF(OR(AY87="",NOT(ISNUMBER(AY87)),ISERROR(AY87),$B87=""),"",IF($I87=1,IFBLANK(_xldudf_CX_PUSH(AY87*fxVal_normal,CX_ENTITY,$B87,AY$11,AY$14,AY$75,),""),IF($I87=2,IFBLANK(_xldudf_CX_PUSH(AY87,CX_ENTITY,$B87,AY$11,AY$14,AY$75,),""),IF($I87=3,"",IFBLANK(_xldudf_CX_PUSH(AY87,CX_ENTITY,$B87,AY$11,AY$14,AY$75,),"")))))),"")</f>
        <v/>
      </c>
      <c r="DZ87" s="2445" t="str" cm="1">
        <f t="array" ca="1" aca="1" ref="DZ87">IFERROR(IF(AZ87*fxVal_normal=_PL!AZ87,"",IF(OR(AZ87="",NOT(ISNUMBER(AZ87)),ISERROR(AZ87),$B87=""),"",IF($I87=1,IFBLANK(_xldudf_CX_PUSH(AZ87*fxVal_normal,CX_ENTITY,$B87,AZ$11,AZ$14,AZ$75,),""),IF($I87=2,IFBLANK(_xldudf_CX_PUSH(AZ87,CX_ENTITY,$B87,AZ$11,AZ$14,AZ$75,),""),IF($I87=3,"",IFBLANK(_xldudf_CX_PUSH(AZ87,CX_ENTITY,$B87,AZ$11,AZ$14,AZ$75,),"")))))),"")</f>
        <v/>
      </c>
      <c r="EA87" s="2445" t="str" cm="1">
        <f t="array" ca="1" aca="1" ref="EA87">IFERROR(IF(BA87*fxVal_normal=_PL!BA87,"",IF(OR(BA87="",NOT(ISNUMBER(BA87)),ISERROR(BA87),$B87=""),"",IF($I87=1,IFBLANK(_xldudf_CX_PUSH(BA87*fxVal_normal,CX_ENTITY,$B87,BA$11,BA$14,BA$75,),""),IF($I87=2,IFBLANK(_xldudf_CX_PUSH(BA87,CX_ENTITY,$B87,BA$11,BA$14,BA$75,),""),IF($I87=3,"",IFBLANK(_xldudf_CX_PUSH(BA87,CX_ENTITY,$B87,BA$11,BA$14,BA$75,),"")))))),"")</f>
        <v/>
      </c>
      <c r="EB87" s="2445" t="str" cm="1">
        <f t="array" ca="1" aca="1" ref="EB87">IFERROR(IF(BB87*fxVal_normal=_PL!BB87,"",IF(OR(BB87="",NOT(ISNUMBER(BB87)),ISERROR(BB87),$B87=""),"",IF($I87=1,IFBLANK(_xldudf_CX_PUSH(BB87*fxVal_normal,CX_ENTITY,$B87,BB$11,BB$14,BB$75,),""),IF($I87=2,IFBLANK(_xldudf_CX_PUSH(BB87,CX_ENTITY,$B87,BB$11,BB$14,BB$75,),""),IF($I87=3,"",IFBLANK(_xldudf_CX_PUSH(BB87,CX_ENTITY,$B87,BB$11,BB$14,BB$75,),"")))))),"")</f>
        <v/>
      </c>
      <c r="EC87" s="2445" t="str" cm="1">
        <f t="array" ca="1" aca="1" ref="EC87">IFERROR(IF(BC87*fxVal_normal=_PL!BC87,"",IF(OR(BC87="",NOT(ISNUMBER(BC87)),ISERROR(BC87),$B87=""),"",IF($I87=1,IFBLANK(_xldudf_CX_PUSH(BC87*fxVal_normal,CX_ENTITY,$B87,BC$11,BC$14,BC$75,),""),IF($I87=2,IFBLANK(_xldudf_CX_PUSH(BC87,CX_ENTITY,$B87,BC$11,BC$14,BC$75,),""),IF($I87=3,"",IFBLANK(_xldudf_CX_PUSH(BC87,CX_ENTITY,$B87,BC$11,BC$14,BC$75,),"")))))),"")</f>
        <v/>
      </c>
      <c r="ED87" s="2445" t="str" cm="1">
        <f t="array" ca="1" aca="1" ref="ED87">IFERROR(IF(BD87*fxVal_normal=_PL!BD87,"",IF(OR(BD87="",NOT(ISNUMBER(BD87)),ISERROR(BD87),$B87=""),"",IF($I87=1,IFBLANK(_xldudf_CX_PUSH(BD87*fxVal_normal,CX_ENTITY,$B87,BD$11,BD$14,BD$75,),""),IF($I87=2,IFBLANK(_xldudf_CX_PUSH(BD87,CX_ENTITY,$B87,BD$11,BD$14,BD$75,),""),IF($I87=3,"",IFBLANK(_xldudf_CX_PUSH(BD87,CX_ENTITY,$B87,BD$11,BD$14,BD$75,),"")))))),"")</f>
        <v/>
      </c>
      <c r="EE87" s="2445" t="str" cm="1">
        <f t="array" ca="1" aca="1" ref="EE87">IFERROR(IF(BE87*fxVal_normal=_PL!BE87,"",IF(OR(BE87="",NOT(ISNUMBER(BE87)),ISERROR(BE87),$B87=""),"",IF($I87=1,IFBLANK(_xldudf_CX_PUSH(BE87*fxVal_normal,CX_ENTITY,$B87,BE$11,BE$14,BE$75,),""),IF($I87=2,IFBLANK(_xldudf_CX_PUSH(BE87,CX_ENTITY,$B87,BE$11,BE$14,BE$75,),""),IF($I87=3,"",IFBLANK(_xldudf_CX_PUSH(BE87,CX_ENTITY,$B87,BE$11,BE$14,BE$75,),"")))))),"")</f>
        <v/>
      </c>
      <c r="EF87" s="2445" t="str" cm="1">
        <f t="array" ca="1" aca="1" ref="EF87">IFERROR(IF(BF87*fxVal_normal=_PL!BF87,"",IF(OR(BF87="",NOT(ISNUMBER(BF87)),ISERROR(BF87),$B87=""),"",IF($I87=1,IFBLANK(_xldudf_CX_PUSH(BF87*fxVal_normal,CX_ENTITY,$B87,BF$11,BF$14,BF$75,),""),IF($I87=2,IFBLANK(_xldudf_CX_PUSH(BF87,CX_ENTITY,$B87,BF$11,BF$14,BF$75,),""),IF($I87=3,"",IFBLANK(_xldudf_CX_PUSH(BF87,CX_ENTITY,$B87,BF$11,BF$14,BF$75,),"")))))),"")</f>
        <v/>
      </c>
      <c r="EG87" s="2445" t="str" cm="1">
        <f t="array" ca="1" aca="1" ref="EG87">IFERROR(IF(BG87*fxVal_normal=_PL!BG87,"",IF(OR(BG87="",NOT(ISNUMBER(BG87)),ISERROR(BG87),$B87=""),"",IF($I87=1,IFBLANK(_xldudf_CX_PUSH(BG87*fxVal_normal,CX_ENTITY,$B87,BG$11,BG$14,BG$75,),""),IF($I87=2,IFBLANK(_xldudf_CX_PUSH(BG87,CX_ENTITY,$B87,BG$11,BG$14,BG$75,),""),IF($I87=3,"",IFBLANK(_xldudf_CX_PUSH(BG87,CX_ENTITY,$B87,BG$11,BG$14,BG$75,),"")))))),"")</f>
        <v/>
      </c>
      <c r="EH87" s="2445" t="str" cm="1">
        <f t="array" ca="1" aca="1" ref="EH87">IFERROR(IF(BH87*fxVal_normal=_PL!BH87,"",IF(OR(BH87="",NOT(ISNUMBER(BH87)),ISERROR(BH87),$B87=""),"",IF($I87=1,IFBLANK(_xldudf_CX_PUSH(BH87*fxVal_normal,CX_ENTITY,$B87,BH$11,BH$14,BH$75,),""),IF($I87=2,IFBLANK(_xldudf_CX_PUSH(BH87,CX_ENTITY,$B87,BH$11,BH$14,BH$75,),""),IF($I87=3,"",IFBLANK(_xldudf_CX_PUSH(BH87,CX_ENTITY,$B87,BH$11,BH$14,BH$75,),"")))))),"")</f>
        <v/>
      </c>
      <c r="EI87" s="2445" t="str" cm="1">
        <f t="array" ca="1" aca="1" ref="EI87">IFERROR(IF(BI87*fxVal_normal=_PL!BI87,"",IF(OR(BI87="",NOT(ISNUMBER(BI87)),ISERROR(BI87),$B87=""),"",IF($I87=1,IFBLANK(_xldudf_CX_PUSH(BI87*fxVal_normal,CX_ENTITY,$B87,BI$11,BI$14,BI$75,),""),IF($I87=2,IFBLANK(_xldudf_CX_PUSH(BI87,CX_ENTITY,$B87,BI$11,BI$14,BI$75,),""),IF($I87=3,"",IFBLANK(_xldudf_CX_PUSH(BI87,CX_ENTITY,$B87,BI$11,BI$14,BI$75,),"")))))),"")</f>
        <v/>
      </c>
      <c r="EJ87" s="2445" t="str" cm="1">
        <f t="array" ca="1" aca="1" ref="EJ87">IFERROR(IF(BJ87*fxVal_normal=_PL!BJ87,"",IF(OR(BJ87="",NOT(ISNUMBER(BJ87)),ISERROR(BJ87),$B87=""),"",IF($I87=1,IFBLANK(_xldudf_CX_PUSH(BJ87*fxVal_normal,CX_ENTITY,$B87,BJ$11,BJ$14,BJ$75,),""),IF($I87=2,IFBLANK(_xldudf_CX_PUSH(BJ87,CX_ENTITY,$B87,BJ$11,BJ$14,BJ$75,),""),IF($I87=3,"",IFBLANK(_xldudf_CX_PUSH(BJ87,CX_ENTITY,$B87,BJ$11,BJ$14,BJ$75,),"")))))),"")</f>
        <v/>
      </c>
      <c r="EK87" s="2445" t="str" cm="1">
        <f t="array" ca="1" aca="1" ref="EK87">IFERROR(IF(BK87*fxVal_normal=_PL!BK87,"",IF(OR(BK87="",NOT(ISNUMBER(BK87)),ISERROR(BK87),$B87=""),"",IF($I87=1,IFBLANK(_xldudf_CX_PUSH(BK87*fxVal_normal,CX_ENTITY,$B87,BK$11,BK$14,BK$75,),""),IF($I87=2,IFBLANK(_xldudf_CX_PUSH(BK87,CX_ENTITY,$B87,BK$11,BK$14,BK$75,),""),IF($I87=3,"",IFBLANK(_xldudf_CX_PUSH(BK87,CX_ENTITY,$B87,BK$11,BK$14,BK$75,),"")))))),"")</f>
        <v/>
      </c>
      <c r="EL87" s="2445" t="str" cm="1">
        <f t="array" ca="1" aca="1" ref="EL87">IFERROR(IF(BL87*fxVal_normal=_PL!BL87,"",IF(OR(BL87="",NOT(ISNUMBER(BL87)),ISERROR(BL87),$B87=""),"",IF($I87=1,IFBLANK(_xldudf_CX_PUSH(BL87*fxVal_normal,CX_ENTITY,$B87,BL$11,BL$14,BL$75,),""),IF($I87=2,IFBLANK(_xldudf_CX_PUSH(BL87,CX_ENTITY,$B87,BL$11,BL$14,BL$75,),""),IF($I87=3,"",IFBLANK(_xldudf_CX_PUSH(BL87,CX_ENTITY,$B87,BL$11,BL$14,BL$75,),"")))))),"")</f>
        <v/>
      </c>
      <c r="EM87" s="2445" t="str" cm="1">
        <f t="array" ca="1" aca="1" ref="EM87">IFERROR(IF(BM87*fxVal_normal=_PL!BM87,"",IF(OR(BM87="",NOT(ISNUMBER(BM87)),ISERROR(BM87),$B87=""),"",IF($I87=1,IFBLANK(_xldudf_CX_PUSH(BM87*fxVal_normal,CX_ENTITY,$B87,BM$11,BM$14,BM$75,),""),IF($I87=2,IFBLANK(_xldudf_CX_PUSH(BM87,CX_ENTITY,$B87,BM$11,BM$14,BM$75,),""),IF($I87=3,"",IFBLANK(_xldudf_CX_PUSH(BM87,CX_ENTITY,$B87,BM$11,BM$14,BM$75,),"")))))),"")</f>
        <v/>
      </c>
      <c r="EN87" s="2445" t="str" cm="1">
        <f t="array" ca="1" aca="1" ref="EN87">IFERROR(IF(BN87*fxVal_normal=_PL!BN87,"",IF(OR(BN87="",NOT(ISNUMBER(BN87)),ISERROR(BN87),$B87=""),"",IF($I87=1,IFBLANK(_xldudf_CX_PUSH(BN87*fxVal_normal,CX_ENTITY,$B87,BN$11,BN$14,BN$75,),""),IF($I87=2,IFBLANK(_xldudf_CX_PUSH(BN87,CX_ENTITY,$B87,BN$11,BN$14,BN$75,),""),IF($I87=3,"",IFBLANK(_xldudf_CX_PUSH(BN87,CX_ENTITY,$B87,BN$11,BN$14,BN$75,),"")))))),"")</f>
        <v/>
      </c>
    </row>
    <row r="88" spans="1:144" ht="21" customHeight="1">
      <c r="A88" s="1625"/>
      <c r="B88" s="2501" t="str">
        <f ca="1">_xlfn.LET(_xlpm.IsNotAttrDynamic,D88="",_xlpm.Attr,_PL!F88,_xlpm.NotInUse,Y88=D88,_xlpm.RESULT,IF(_xlpm.IsNotAttrDynamic,_xlpm.Attr,IF(_xlpm.NotInUse,"",Y88)),IF(_xlpm.RESULT="","",_xlpm.RESULT))</f>
        <v>Adjusted EBITDA</v>
      </c>
      <c r="C88" s="2501" t="str" cm="1">
        <f t="array" ref="C88">IFBLANK(_PL!C88,"")</f>
        <v>Adjusted EBITDA (Company View)</v>
      </c>
      <c r="D88" s="1548"/>
      <c r="E88" s="2440" t="e" cm="1">
        <f t="array" ca="1" aca="1" ref="E8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88:$CQ88,Z88)</f>
        <v>#NAME?</v>
      </c>
      <c r="F88" s="578"/>
      <c r="G88" s="578"/>
      <c r="H88" s="3280">
        <v>2</v>
      </c>
      <c r="I88" s="3280">
        <v>1</v>
      </c>
      <c r="J88" s="401" cm="1">
        <f t="array" ref="J88">IFBLANK(Z88,"")</f>
        <v>0</v>
      </c>
      <c r="K88" s="578" t="str">
        <f t="shared" si="17"/>
        <v>Yes</v>
      </c>
      <c r="L88" s="37"/>
      <c r="N88" s="158"/>
      <c r="O88" s="101"/>
      <c r="P88" s="52"/>
      <c r="Q88" s="101"/>
      <c r="R88" s="126"/>
      <c r="S88" s="101"/>
      <c r="T88" s="101"/>
      <c r="U88" s="39"/>
      <c r="V88" s="37"/>
      <c r="W88" s="91" t="str">
        <f t="shared" si="28"/>
        <v>Budget</v>
      </c>
      <c r="X88" s="2081">
        <f>_PL!X88</f>
        <v>0</v>
      </c>
      <c r="Y88" s="1134" t="e">
        <f ca="1" t="shared" si="36" ref="Y88:Y97">Y32</f>
        <v>#NAME?</v>
      </c>
      <c r="Z88" s="198" cm="1">
        <f t="array" ref="Z88">_xlfn.SWITCH(TRUE,_PL!$L88=TRUE,1,_PL!$L88=FALSE,-1,_PL!$L88=-1,0,"")</f>
        <v>0</v>
      </c>
      <c r="AA88" s="200"/>
      <c r="AB88" s="1134" t="str">
        <f>_PL!AB88</f>
        <v>Adjusted EBITDA</v>
      </c>
      <c r="AC88" s="275" t="e" vm="5" cm="1">
        <f t="array" ca="1" aca="1" ref="AC88">_xlfn.LET(_xlpm._termname,$AB88,_xlpm._iconname,"find",_xlpm._icon,fx_getIcon(_xlpm._iconname),_xlpm._location,_xlfn.XLOOKUP(LOWER(_xlpm._termname),LOWER(tbl_acctDef[Term]),tbl_acctDef[Term]),_xlpm._hyperlink,HYPERLINK("#"&amp;CELL("address",_xlpm._location),_xlpm._icon),IFERROR(_xlpm._hyperlink,""))</f>
        <v>#VALUE!</v>
      </c>
      <c r="AD88" s="918">
        <f t="shared" si="37" ref="AD88:BN88">SUBTOTAL(9,AD76:AD87)-N(AD79)</f>
        <v>9</v>
      </c>
      <c r="AE88" s="918">
        <f t="shared" si="37"/>
        <v>9</v>
      </c>
      <c r="AF88" s="918">
        <f t="shared" si="37"/>
        <v>9</v>
      </c>
      <c r="AG88" s="918">
        <f t="shared" si="37"/>
        <v>9</v>
      </c>
      <c r="AH88" s="918">
        <f t="shared" si="37"/>
        <v>9</v>
      </c>
      <c r="AI88" s="918">
        <f t="shared" si="37"/>
        <v>9</v>
      </c>
      <c r="AJ88" s="918">
        <f t="shared" si="37"/>
        <v>9</v>
      </c>
      <c r="AK88" s="918">
        <f t="shared" si="37"/>
        <v>9</v>
      </c>
      <c r="AL88" s="918">
        <f t="shared" si="37"/>
        <v>9</v>
      </c>
      <c r="AM88" s="918">
        <f t="shared" si="37"/>
        <v>9</v>
      </c>
      <c r="AN88" s="918">
        <f t="shared" si="37"/>
        <v>9</v>
      </c>
      <c r="AO88" s="918">
        <f t="shared" si="37"/>
        <v>9</v>
      </c>
      <c r="AP88" s="918">
        <f t="shared" si="37"/>
        <v>9</v>
      </c>
      <c r="AQ88" s="918">
        <f t="shared" si="37"/>
        <v>9</v>
      </c>
      <c r="AR88" s="918">
        <f t="shared" si="37"/>
        <v>9</v>
      </c>
      <c r="AS88" s="918">
        <f t="shared" si="37"/>
        <v>9</v>
      </c>
      <c r="AT88" s="918">
        <f t="shared" si="37"/>
        <v>9</v>
      </c>
      <c r="AU88" s="918">
        <f t="shared" si="37"/>
        <v>9</v>
      </c>
      <c r="AV88" s="918">
        <f t="shared" si="37"/>
        <v>9</v>
      </c>
      <c r="AW88" s="918">
        <f t="shared" si="37"/>
        <v>9</v>
      </c>
      <c r="AX88" s="918">
        <f t="shared" si="37"/>
        <v>9</v>
      </c>
      <c r="AY88" s="918">
        <f t="shared" si="37"/>
        <v>9</v>
      </c>
      <c r="AZ88" s="918">
        <f t="shared" si="37"/>
        <v>9</v>
      </c>
      <c r="BA88" s="918">
        <f t="shared" si="37"/>
        <v>9</v>
      </c>
      <c r="BB88" s="918">
        <f t="shared" si="37"/>
        <v>9</v>
      </c>
      <c r="BC88" s="918">
        <f t="shared" si="37"/>
        <v>9</v>
      </c>
      <c r="BD88" s="918">
        <f t="shared" si="37"/>
        <v>9</v>
      </c>
      <c r="BE88" s="918">
        <f t="shared" si="37"/>
        <v>9</v>
      </c>
      <c r="BF88" s="918">
        <f t="shared" si="37"/>
        <v>9</v>
      </c>
      <c r="BG88" s="918">
        <f t="shared" si="37"/>
        <v>9</v>
      </c>
      <c r="BH88" s="918">
        <f t="shared" si="37"/>
        <v>9</v>
      </c>
      <c r="BI88" s="918">
        <f t="shared" si="37"/>
        <v>9</v>
      </c>
      <c r="BJ88" s="918">
        <f t="shared" si="37"/>
        <v>9</v>
      </c>
      <c r="BK88" s="918">
        <f t="shared" si="37"/>
        <v>9</v>
      </c>
      <c r="BL88" s="918">
        <f t="shared" si="37"/>
        <v>9</v>
      </c>
      <c r="BM88" s="918">
        <f t="shared" si="37"/>
        <v>9</v>
      </c>
      <c r="BN88" s="918">
        <f t="shared" si="37"/>
        <v>9</v>
      </c>
      <c r="BO88" s="2096"/>
      <c r="BP88" s="2096"/>
      <c r="BQ88" s="2096"/>
      <c r="BR88" s="2096"/>
      <c r="BS88" s="2096"/>
      <c r="BT88" s="2096"/>
      <c r="BU88" s="2096"/>
      <c r="BV88" s="2096"/>
      <c r="BW88" s="2096"/>
      <c r="BX88" s="2096"/>
      <c r="BY88" s="2096"/>
      <c r="BZ88" s="2096"/>
      <c r="CA88" s="34"/>
      <c r="CC88" s="33"/>
      <c r="CD88" s="1772" t="e" cm="1">
        <f t="array" ca="1" aca="1" ref="CD88">_xlfn.LET(_xlpm.CheckBlank,SUM(PL!$AD88:$BN88)=0,IF(_xlpm.CheckBlank,"",SUM(_xlfn._xlws.FILTER(PL!$AD88:$BN88,(YEAR(PL!$AD$12:$BN$12)=PL!CD$12)*(array_timeline&lt;=PL!CD$11)))))</f>
        <v>#NAME?</v>
      </c>
      <c r="CE88" s="1772" t="e" cm="1">
        <f t="array" ca="1" aca="1" ref="CE88">_xlfn.LET(_xlpm.CheckBlank,SUM(PL!$AD88:$BN88)=0,IF(_xlpm.CheckBlank,"",SUM(_xlfn._xlws.FILTER(PL!$AD88:$BN88,(YEAR(PL!$AD$12:$BN$12)=PL!CE$12)*(array_timeline&lt;=PL!CE$11)))))</f>
        <v>#NAME?</v>
      </c>
      <c r="CF88" s="88"/>
      <c r="CG88" s="1461" t="e" cm="1">
        <f t="array" ca="1" aca="1" ref="CG88">_xlfn.LET(_xlpm.CheckBlank,SUM(PL!$AD88:$BN88)=0,IF(_xlpm.CheckBlank,"",SUM(_xlfn._xlws.FILTER(PL!$AD88:$BN88,(YEAR(PL!$AD$12:$BN$12)=PL!CG$12)*(array_timeline&lt;=PL!CG$11)))))</f>
        <v>#NAME?</v>
      </c>
      <c r="CH88" s="1461" t="e" cm="1">
        <f t="array" ca="1" aca="1" ref="CH88">_xlfn.LET(_xlpm.CheckBlank,SUM(PL!$AD88:$BN88)=0,IF(_xlpm.CheckBlank,"",SUM(_xlfn._xlws.FILTER(PL!$AD88:$BN88,(YEAR(PL!$AD$12:$BN$12)=PL!CH$12)*(array_timeline&lt;=PL!CH$11)))))</f>
        <v>#NAME?</v>
      </c>
      <c r="CI88" s="88"/>
      <c r="CJ88" s="1461" cm="1">
        <f t="array" ref="CJ88">_xlfn.LET(_xlpm.CheckBlank,SUM(PL!$AD88:$BN88)=0,IF(_xlpm.CheckBlank,"",SUM(_xlfn.TAKE(_xlfn.DROP(PL!$AD88:$BN88,,-DATEDIFF(PL!CJ$11,val_asOfDate,"M")),1,-12))))</f>
        <v>108</v>
      </c>
      <c r="CK88" s="1461" cm="1">
        <f t="array" ref="CK88">_xlfn.LET(_xlpm.CheckBlank,SUM(PL!$AD88:$BN88)=0,IF(_xlpm.CheckBlank,"",SUM(_xlfn.TAKE(_xlfn.DROP(PL!$AD88:$BN88,,-DATEDIFF(PL!CK$11,val_asOfDate,"M")),1,-12))))</f>
        <v>108</v>
      </c>
      <c r="CL88" s="88"/>
      <c r="CM88" s="2446">
        <f t="shared" si="26"/>
        <v>9</v>
      </c>
      <c r="CN88" s="2446">
        <f t="shared" si="23"/>
        <v>9</v>
      </c>
      <c r="CO88" s="1169"/>
      <c r="CP88" s="2446">
        <f t="shared" si="27"/>
        <v>9</v>
      </c>
      <c r="CQ88" s="2446">
        <f t="shared" si="24"/>
        <v>9</v>
      </c>
      <c r="CR88" s="34"/>
      <c r="CS88" s="2056"/>
      <c r="CT88" s="2085" t="e" cm="1">
        <f t="array" ca="1" aca="1" ref="CT88">IF(K88&lt;&gt;"Yes","",IF(OR(Y88="Select,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III"),"",IF(OR(Y88&lt;&gt;AB88,AND(LEN(B88)=0,NOT(OR(Y88="Select,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III")))),_xldudf_CX_PUSH(Y88,CX_ENTITY,C88,EOMONTH(val_asOfDate,0)),"")))</f>
        <v>#NAME?</v>
      </c>
      <c r="CU88" s="2085" t="e" cm="1">
        <f t="array" ca="1" aca="1" ref="CU88">IF(K88&lt;&gt;"Yes","",IF(OR(Y88="Select,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III"),"",IF(OR(Y88&lt;&gt;AB88,AND(LEN(B88)=0,NOT(OR(Y88="Select,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III")))),_xldudf_CX_PUSH(Y88,CX_ENTITY,C88,EOMONTH(val_asOfDate,1)),"")))</f>
        <v>#NAME?</v>
      </c>
      <c r="CV88" s="2085" t="e" cm="1">
        <f t="array" ca="1" aca="1" ref="CV88">IF(K88&lt;&gt;"Yes","",IF(OR(Y88="Select,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III"),"",IF(OR(Y88&lt;&gt;AB88,AND(LEN(B88)=0,NOT(OR(Y88="Select,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III")))),_xldudf_CX_PUSH(Y88,CX_ENTITY,C88,EOMONTH(val_asOfDate,2)),"")))</f>
        <v>#NAME?</v>
      </c>
      <c r="CW88" s="2085" t="e" cm="1">
        <f t="array" ca="1" aca="1" ref="CW88">IF(K88&lt;&gt;"Yes","",IF(OR(Y88="Select,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III"),"",IF(OR(Y88&lt;&gt;AB88,AND(LEN(B88)=0,NOT(OR(Y88="Select,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III")))),_xldudf_CX_PUSH(Y88,CX_ENTITY,C88,EOMONTH(val_asOfDate,3)),"")))</f>
        <v>#NAME?</v>
      </c>
      <c r="CX88" s="2443"/>
      <c r="CY88" s="1880"/>
      <c r="CZ88" s="1880"/>
      <c r="DA88" s="1880"/>
      <c r="DB88" s="1880"/>
      <c r="DC88" s="2121"/>
      <c r="DD88" s="2445" t="str" cm="1">
        <f t="array" ca="1" aca="1" ref="DD88">IFERROR(IF(AD88*fxVal_normal=_PL!AD88,"",IF(OR(AD88="",NOT(ISNUMBER(AD88)),ISERROR(AD88),$B88=""),"",IF($I88=1,IFBLANK(_xldudf_CX_PUSH(AD88*fxVal_normal,CX_ENTITY,$B88,AD$11,AD$14,AD$75,),""),IF($I88=2,IFBLANK(_xldudf_CX_PUSH(AD88,CX_ENTITY,$B88,AD$11,AD$14,AD$75,),""),IF($I88=3,"",IFBLANK(_xldudf_CX_PUSH(AD88,CX_ENTITY,$B88,AD$11,AD$14,AD$75,),"")))))),"")</f>
        <v/>
      </c>
      <c r="DE88" s="2445" t="str" cm="1">
        <f t="array" ca="1" aca="1" ref="DE88">IFERROR(IF(AE88*fxVal_normal=_PL!AE88,"",IF(OR(AE88="",NOT(ISNUMBER(AE88)),ISERROR(AE88),$B88=""),"",IF($I88=1,IFBLANK(_xldudf_CX_PUSH(AE88*fxVal_normal,CX_ENTITY,$B88,AE$11,AE$14,AE$75,),""),IF($I88=2,IFBLANK(_xldudf_CX_PUSH(AE88,CX_ENTITY,$B88,AE$11,AE$14,AE$75,),""),IF($I88=3,"",IFBLANK(_xldudf_CX_PUSH(AE88,CX_ENTITY,$B88,AE$11,AE$14,AE$75,),"")))))),"")</f>
        <v/>
      </c>
      <c r="DF88" s="2445" t="str" cm="1">
        <f t="array" ca="1" aca="1" ref="DF88">IFERROR(IF(AF88*fxVal_normal=_PL!AF88,"",IF(OR(AF88="",NOT(ISNUMBER(AF88)),ISERROR(AF88),$B88=""),"",IF($I88=1,IFBLANK(_xldudf_CX_PUSH(AF88*fxVal_normal,CX_ENTITY,$B88,AF$11,AF$14,AF$75,),""),IF($I88=2,IFBLANK(_xldudf_CX_PUSH(AF88,CX_ENTITY,$B88,AF$11,AF$14,AF$75,),""),IF($I88=3,"",IFBLANK(_xldudf_CX_PUSH(AF88,CX_ENTITY,$B88,AF$11,AF$14,AF$75,),"")))))),"")</f>
        <v/>
      </c>
      <c r="DG88" s="2445" t="str" cm="1">
        <f t="array" ca="1" aca="1" ref="DG88">IFERROR(IF(AG88*fxVal_normal=_PL!AG88,"",IF(OR(AG88="",NOT(ISNUMBER(AG88)),ISERROR(AG88),$B88=""),"",IF($I88=1,IFBLANK(_xldudf_CX_PUSH(AG88*fxVal_normal,CX_ENTITY,$B88,AG$11,AG$14,AG$75,),""),IF($I88=2,IFBLANK(_xldudf_CX_PUSH(AG88,CX_ENTITY,$B88,AG$11,AG$14,AG$75,),""),IF($I88=3,"",IFBLANK(_xldudf_CX_PUSH(AG88,CX_ENTITY,$B88,AG$11,AG$14,AG$75,),"")))))),"")</f>
        <v/>
      </c>
      <c r="DH88" s="2445" t="str" cm="1">
        <f t="array" ca="1" aca="1" ref="DH88">IFERROR(IF(AH88*fxVal_normal=_PL!AH88,"",IF(OR(AH88="",NOT(ISNUMBER(AH88)),ISERROR(AH88),$B88=""),"",IF($I88=1,IFBLANK(_xldudf_CX_PUSH(AH88*fxVal_normal,CX_ENTITY,$B88,AH$11,AH$14,AH$75,),""),IF($I88=2,IFBLANK(_xldudf_CX_PUSH(AH88,CX_ENTITY,$B88,AH$11,AH$14,AH$75,),""),IF($I88=3,"",IFBLANK(_xldudf_CX_PUSH(AH88,CX_ENTITY,$B88,AH$11,AH$14,AH$75,),"")))))),"")</f>
        <v/>
      </c>
      <c r="DI88" s="2445" t="str" cm="1">
        <f t="array" ca="1" aca="1" ref="DI88">IFERROR(IF(AI88*fxVal_normal=_PL!AI88,"",IF(OR(AI88="",NOT(ISNUMBER(AI88)),ISERROR(AI88),$B88=""),"",IF($I88=1,IFBLANK(_xldudf_CX_PUSH(AI88*fxVal_normal,CX_ENTITY,$B88,AI$11,AI$14,AI$75,),""),IF($I88=2,IFBLANK(_xldudf_CX_PUSH(AI88,CX_ENTITY,$B88,AI$11,AI$14,AI$75,),""),IF($I88=3,"",IFBLANK(_xldudf_CX_PUSH(AI88,CX_ENTITY,$B88,AI$11,AI$14,AI$75,),"")))))),"")</f>
        <v/>
      </c>
      <c r="DJ88" s="2445" t="str" cm="1">
        <f t="array" ca="1" aca="1" ref="DJ88">IFERROR(IF(AJ88*fxVal_normal=_PL!AJ88,"",IF(OR(AJ88="",NOT(ISNUMBER(AJ88)),ISERROR(AJ88),$B88=""),"",IF($I88=1,IFBLANK(_xldudf_CX_PUSH(AJ88*fxVal_normal,CX_ENTITY,$B88,AJ$11,AJ$14,AJ$75,),""),IF($I88=2,IFBLANK(_xldudf_CX_PUSH(AJ88,CX_ENTITY,$B88,AJ$11,AJ$14,AJ$75,),""),IF($I88=3,"",IFBLANK(_xldudf_CX_PUSH(AJ88,CX_ENTITY,$B88,AJ$11,AJ$14,AJ$75,),"")))))),"")</f>
        <v/>
      </c>
      <c r="DK88" s="2445" t="str" cm="1">
        <f t="array" ca="1" aca="1" ref="DK88">IFERROR(IF(AK88*fxVal_normal=_PL!AK88,"",IF(OR(AK88="",NOT(ISNUMBER(AK88)),ISERROR(AK88),$B88=""),"",IF($I88=1,IFBLANK(_xldudf_CX_PUSH(AK88*fxVal_normal,CX_ENTITY,$B88,AK$11,AK$14,AK$75,),""),IF($I88=2,IFBLANK(_xldudf_CX_PUSH(AK88,CX_ENTITY,$B88,AK$11,AK$14,AK$75,),""),IF($I88=3,"",IFBLANK(_xldudf_CX_PUSH(AK88,CX_ENTITY,$B88,AK$11,AK$14,AK$75,),"")))))),"")</f>
        <v/>
      </c>
      <c r="DL88" s="2445" t="str" cm="1">
        <f t="array" ca="1" aca="1" ref="DL88">IFERROR(IF(AL88*fxVal_normal=_PL!AL88,"",IF(OR(AL88="",NOT(ISNUMBER(AL88)),ISERROR(AL88),$B88=""),"",IF($I88=1,IFBLANK(_xldudf_CX_PUSH(AL88*fxVal_normal,CX_ENTITY,$B88,AL$11,AL$14,AL$75,),""),IF($I88=2,IFBLANK(_xldudf_CX_PUSH(AL88,CX_ENTITY,$B88,AL$11,AL$14,AL$75,),""),IF($I88=3,"",IFBLANK(_xldudf_CX_PUSH(AL88,CX_ENTITY,$B88,AL$11,AL$14,AL$75,),"")))))),"")</f>
        <v/>
      </c>
      <c r="DM88" s="2445" t="str" cm="1">
        <f t="array" ca="1" aca="1" ref="DM88">IFERROR(IF(AM88*fxVal_normal=_PL!AM88,"",IF(OR(AM88="",NOT(ISNUMBER(AM88)),ISERROR(AM88),$B88=""),"",IF($I88=1,IFBLANK(_xldudf_CX_PUSH(AM88*fxVal_normal,CX_ENTITY,$B88,AM$11,AM$14,AM$75,),""),IF($I88=2,IFBLANK(_xldudf_CX_PUSH(AM88,CX_ENTITY,$B88,AM$11,AM$14,AM$75,),""),IF($I88=3,"",IFBLANK(_xldudf_CX_PUSH(AM88,CX_ENTITY,$B88,AM$11,AM$14,AM$75,),"")))))),"")</f>
        <v/>
      </c>
      <c r="DN88" s="2445" t="str" cm="1">
        <f t="array" ca="1" aca="1" ref="DN88">IFERROR(IF(AN88*fxVal_normal=_PL!AN88,"",IF(OR(AN88="",NOT(ISNUMBER(AN88)),ISERROR(AN88),$B88=""),"",IF($I88=1,IFBLANK(_xldudf_CX_PUSH(AN88*fxVal_normal,CX_ENTITY,$B88,AN$11,AN$14,AN$75,),""),IF($I88=2,IFBLANK(_xldudf_CX_PUSH(AN88,CX_ENTITY,$B88,AN$11,AN$14,AN$75,),""),IF($I88=3,"",IFBLANK(_xldudf_CX_PUSH(AN88,CX_ENTITY,$B88,AN$11,AN$14,AN$75,),"")))))),"")</f>
        <v/>
      </c>
      <c r="DO88" s="2445" t="str" cm="1">
        <f t="array" ca="1" aca="1" ref="DO88">IFERROR(IF(AO88*fxVal_normal=_PL!AO88,"",IF(OR(AO88="",NOT(ISNUMBER(AO88)),ISERROR(AO88),$B88=""),"",IF($I88=1,IFBLANK(_xldudf_CX_PUSH(AO88*fxVal_normal,CX_ENTITY,$B88,AO$11,AO$14,AO$75,),""),IF($I88=2,IFBLANK(_xldudf_CX_PUSH(AO88,CX_ENTITY,$B88,AO$11,AO$14,AO$75,),""),IF($I88=3,"",IFBLANK(_xldudf_CX_PUSH(AO88,CX_ENTITY,$B88,AO$11,AO$14,AO$75,),"")))))),"")</f>
        <v/>
      </c>
      <c r="DP88" s="2445" t="str" cm="1">
        <f t="array" ca="1" aca="1" ref="DP88">IFERROR(IF(AP88*fxVal_normal=_PL!AP88,"",IF(OR(AP88="",NOT(ISNUMBER(AP88)),ISERROR(AP88),$B88=""),"",IF($I88=1,IFBLANK(_xldudf_CX_PUSH(AP88*fxVal_normal,CX_ENTITY,$B88,AP$11,AP$14,AP$75,),""),IF($I88=2,IFBLANK(_xldudf_CX_PUSH(AP88,CX_ENTITY,$B88,AP$11,AP$14,AP$75,),""),IF($I88=3,"",IFBLANK(_xldudf_CX_PUSH(AP88,CX_ENTITY,$B88,AP$11,AP$14,AP$75,),"")))))),"")</f>
        <v/>
      </c>
      <c r="DQ88" s="2445" t="str" cm="1">
        <f t="array" ca="1" aca="1" ref="DQ88">IFERROR(IF(AQ88*fxVal_normal=_PL!AQ88,"",IF(OR(AQ88="",NOT(ISNUMBER(AQ88)),ISERROR(AQ88),$B88=""),"",IF($I88=1,IFBLANK(_xldudf_CX_PUSH(AQ88*fxVal_normal,CX_ENTITY,$B88,AQ$11,AQ$14,AQ$75,),""),IF($I88=2,IFBLANK(_xldudf_CX_PUSH(AQ88,CX_ENTITY,$B88,AQ$11,AQ$14,AQ$75,),""),IF($I88=3,"",IFBLANK(_xldudf_CX_PUSH(AQ88,CX_ENTITY,$B88,AQ$11,AQ$14,AQ$75,),"")))))),"")</f>
        <v/>
      </c>
      <c r="DR88" s="2445" t="str" cm="1">
        <f t="array" ca="1" aca="1" ref="DR88">IFERROR(IF(AR88*fxVal_normal=_PL!AR88,"",IF(OR(AR88="",NOT(ISNUMBER(AR88)),ISERROR(AR88),$B88=""),"",IF($I88=1,IFBLANK(_xldudf_CX_PUSH(AR88*fxVal_normal,CX_ENTITY,$B88,AR$11,AR$14,AR$75,),""),IF($I88=2,IFBLANK(_xldudf_CX_PUSH(AR88,CX_ENTITY,$B88,AR$11,AR$14,AR$75,),""),IF($I88=3,"",IFBLANK(_xldudf_CX_PUSH(AR88,CX_ENTITY,$B88,AR$11,AR$14,AR$75,),"")))))),"")</f>
        <v/>
      </c>
      <c r="DS88" s="2445" t="str" cm="1">
        <f t="array" ca="1" aca="1" ref="DS88">IFERROR(IF(AS88*fxVal_normal=_PL!AS88,"",IF(OR(AS88="",NOT(ISNUMBER(AS88)),ISERROR(AS88),$B88=""),"",IF($I88=1,IFBLANK(_xldudf_CX_PUSH(AS88*fxVal_normal,CX_ENTITY,$B88,AS$11,AS$14,AS$75,),""),IF($I88=2,IFBLANK(_xldudf_CX_PUSH(AS88,CX_ENTITY,$B88,AS$11,AS$14,AS$75,),""),IF($I88=3,"",IFBLANK(_xldudf_CX_PUSH(AS88,CX_ENTITY,$B88,AS$11,AS$14,AS$75,),"")))))),"")</f>
        <v/>
      </c>
      <c r="DT88" s="2445" t="str" cm="1">
        <f t="array" ca="1" aca="1" ref="DT88">IFERROR(IF(AT88*fxVal_normal=_PL!AT88,"",IF(OR(AT88="",NOT(ISNUMBER(AT88)),ISERROR(AT88),$B88=""),"",IF($I88=1,IFBLANK(_xldudf_CX_PUSH(AT88*fxVal_normal,CX_ENTITY,$B88,AT$11,AT$14,AT$75,),""),IF($I88=2,IFBLANK(_xldudf_CX_PUSH(AT88,CX_ENTITY,$B88,AT$11,AT$14,AT$75,),""),IF($I88=3,"",IFBLANK(_xldudf_CX_PUSH(AT88,CX_ENTITY,$B88,AT$11,AT$14,AT$75,),"")))))),"")</f>
        <v/>
      </c>
      <c r="DU88" s="2445" t="str" cm="1">
        <f t="array" ca="1" aca="1" ref="DU88">IFERROR(IF(AU88*fxVal_normal=_PL!AU88,"",IF(OR(AU88="",NOT(ISNUMBER(AU88)),ISERROR(AU88),$B88=""),"",IF($I88=1,IFBLANK(_xldudf_CX_PUSH(AU88*fxVal_normal,CX_ENTITY,$B88,AU$11,AU$14,AU$75,),""),IF($I88=2,IFBLANK(_xldudf_CX_PUSH(AU88,CX_ENTITY,$B88,AU$11,AU$14,AU$75,),""),IF($I88=3,"",IFBLANK(_xldudf_CX_PUSH(AU88,CX_ENTITY,$B88,AU$11,AU$14,AU$75,),"")))))),"")</f>
        <v/>
      </c>
      <c r="DV88" s="2445" t="str" cm="1">
        <f t="array" ca="1" aca="1" ref="DV88">IFERROR(IF(AV88*fxVal_normal=_PL!AV88,"",IF(OR(AV88="",NOT(ISNUMBER(AV88)),ISERROR(AV88),$B88=""),"",IF($I88=1,IFBLANK(_xldudf_CX_PUSH(AV88*fxVal_normal,CX_ENTITY,$B88,AV$11,AV$14,AV$75,),""),IF($I88=2,IFBLANK(_xldudf_CX_PUSH(AV88,CX_ENTITY,$B88,AV$11,AV$14,AV$75,),""),IF($I88=3,"",IFBLANK(_xldudf_CX_PUSH(AV88,CX_ENTITY,$B88,AV$11,AV$14,AV$75,),"")))))),"")</f>
        <v/>
      </c>
      <c r="DW88" s="2445" t="str" cm="1">
        <f t="array" ca="1" aca="1" ref="DW88">IFERROR(IF(AW88*fxVal_normal=_PL!AW88,"",IF(OR(AW88="",NOT(ISNUMBER(AW88)),ISERROR(AW88),$B88=""),"",IF($I88=1,IFBLANK(_xldudf_CX_PUSH(AW88*fxVal_normal,CX_ENTITY,$B88,AW$11,AW$14,AW$75,),""),IF($I88=2,IFBLANK(_xldudf_CX_PUSH(AW88,CX_ENTITY,$B88,AW$11,AW$14,AW$75,),""),IF($I88=3,"",IFBLANK(_xldudf_CX_PUSH(AW88,CX_ENTITY,$B88,AW$11,AW$14,AW$75,),"")))))),"")</f>
        <v/>
      </c>
      <c r="DX88" s="2445" t="str" cm="1">
        <f t="array" ca="1" aca="1" ref="DX88">IFERROR(IF(AX88*fxVal_normal=_PL!AX88,"",IF(OR(AX88="",NOT(ISNUMBER(AX88)),ISERROR(AX88),$B88=""),"",IF($I88=1,IFBLANK(_xldudf_CX_PUSH(AX88*fxVal_normal,CX_ENTITY,$B88,AX$11,AX$14,AX$75,),""),IF($I88=2,IFBLANK(_xldudf_CX_PUSH(AX88,CX_ENTITY,$B88,AX$11,AX$14,AX$75,),""),IF($I88=3,"",IFBLANK(_xldudf_CX_PUSH(AX88,CX_ENTITY,$B88,AX$11,AX$14,AX$75,),"")))))),"")</f>
        <v/>
      </c>
      <c r="DY88" s="2445" t="str" cm="1">
        <f t="array" ca="1" aca="1" ref="DY88">IFERROR(IF(AY88*fxVal_normal=_PL!AY88,"",IF(OR(AY88="",NOT(ISNUMBER(AY88)),ISERROR(AY88),$B88=""),"",IF($I88=1,IFBLANK(_xldudf_CX_PUSH(AY88*fxVal_normal,CX_ENTITY,$B88,AY$11,AY$14,AY$75,),""),IF($I88=2,IFBLANK(_xldudf_CX_PUSH(AY88,CX_ENTITY,$B88,AY$11,AY$14,AY$75,),""),IF($I88=3,"",IFBLANK(_xldudf_CX_PUSH(AY88,CX_ENTITY,$B88,AY$11,AY$14,AY$75,),"")))))),"")</f>
        <v/>
      </c>
      <c r="DZ88" s="2445" t="str" cm="1">
        <f t="array" ca="1" aca="1" ref="DZ88">IFERROR(IF(AZ88*fxVal_normal=_PL!AZ88,"",IF(OR(AZ88="",NOT(ISNUMBER(AZ88)),ISERROR(AZ88),$B88=""),"",IF($I88=1,IFBLANK(_xldudf_CX_PUSH(AZ88*fxVal_normal,CX_ENTITY,$B88,AZ$11,AZ$14,AZ$75,),""),IF($I88=2,IFBLANK(_xldudf_CX_PUSH(AZ88,CX_ENTITY,$B88,AZ$11,AZ$14,AZ$75,),""),IF($I88=3,"",IFBLANK(_xldudf_CX_PUSH(AZ88,CX_ENTITY,$B88,AZ$11,AZ$14,AZ$75,),"")))))),"")</f>
        <v/>
      </c>
      <c r="EA88" s="2445" t="str" cm="1">
        <f t="array" ca="1" aca="1" ref="EA88">IFERROR(IF(BA88*fxVal_normal=_PL!BA88,"",IF(OR(BA88="",NOT(ISNUMBER(BA88)),ISERROR(BA88),$B88=""),"",IF($I88=1,IFBLANK(_xldudf_CX_PUSH(BA88*fxVal_normal,CX_ENTITY,$B88,BA$11,BA$14,BA$75,),""),IF($I88=2,IFBLANK(_xldudf_CX_PUSH(BA88,CX_ENTITY,$B88,BA$11,BA$14,BA$75,),""),IF($I88=3,"",IFBLANK(_xldudf_CX_PUSH(BA88,CX_ENTITY,$B88,BA$11,BA$14,BA$75,),"")))))),"")</f>
        <v/>
      </c>
      <c r="EB88" s="2445" t="str" cm="1">
        <f t="array" ca="1" aca="1" ref="EB88">IFERROR(IF(BB88*fxVal_normal=_PL!BB88,"",IF(OR(BB88="",NOT(ISNUMBER(BB88)),ISERROR(BB88),$B88=""),"",IF($I88=1,IFBLANK(_xldudf_CX_PUSH(BB88*fxVal_normal,CX_ENTITY,$B88,BB$11,BB$14,BB$75,),""),IF($I88=2,IFBLANK(_xldudf_CX_PUSH(BB88,CX_ENTITY,$B88,BB$11,BB$14,BB$75,),""),IF($I88=3,"",IFBLANK(_xldudf_CX_PUSH(BB88,CX_ENTITY,$B88,BB$11,BB$14,BB$75,),"")))))),"")</f>
        <v/>
      </c>
      <c r="EC88" s="2445" t="str" cm="1">
        <f t="array" ca="1" aca="1" ref="EC88">IFERROR(IF(BC88*fxVal_normal=_PL!BC88,"",IF(OR(BC88="",NOT(ISNUMBER(BC88)),ISERROR(BC88),$B88=""),"",IF($I88=1,IFBLANK(_xldudf_CX_PUSH(BC88*fxVal_normal,CX_ENTITY,$B88,BC$11,BC$14,BC$75,),""),IF($I88=2,IFBLANK(_xldudf_CX_PUSH(BC88,CX_ENTITY,$B88,BC$11,BC$14,BC$75,),""),IF($I88=3,"",IFBLANK(_xldudf_CX_PUSH(BC88,CX_ENTITY,$B88,BC$11,BC$14,BC$75,),"")))))),"")</f>
        <v/>
      </c>
      <c r="ED88" s="2445" t="str" cm="1">
        <f t="array" ca="1" aca="1" ref="ED88">IFERROR(IF(BD88*fxVal_normal=_PL!BD88,"",IF(OR(BD88="",NOT(ISNUMBER(BD88)),ISERROR(BD88),$B88=""),"",IF($I88=1,IFBLANK(_xldudf_CX_PUSH(BD88*fxVal_normal,CX_ENTITY,$B88,BD$11,BD$14,BD$75,),""),IF($I88=2,IFBLANK(_xldudf_CX_PUSH(BD88,CX_ENTITY,$B88,BD$11,BD$14,BD$75,),""),IF($I88=3,"",IFBLANK(_xldudf_CX_PUSH(BD88,CX_ENTITY,$B88,BD$11,BD$14,BD$75,),"")))))),"")</f>
        <v/>
      </c>
      <c r="EE88" s="2445" t="str" cm="1">
        <f t="array" ca="1" aca="1" ref="EE88">IFERROR(IF(BE88*fxVal_normal=_PL!BE88,"",IF(OR(BE88="",NOT(ISNUMBER(BE88)),ISERROR(BE88),$B88=""),"",IF($I88=1,IFBLANK(_xldudf_CX_PUSH(BE88*fxVal_normal,CX_ENTITY,$B88,BE$11,BE$14,BE$75,),""),IF($I88=2,IFBLANK(_xldudf_CX_PUSH(BE88,CX_ENTITY,$B88,BE$11,BE$14,BE$75,),""),IF($I88=3,"",IFBLANK(_xldudf_CX_PUSH(BE88,CX_ENTITY,$B88,BE$11,BE$14,BE$75,),"")))))),"")</f>
        <v/>
      </c>
      <c r="EF88" s="2445" t="str" cm="1">
        <f t="array" ca="1" aca="1" ref="EF88">IFERROR(IF(BF88*fxVal_normal=_PL!BF88,"",IF(OR(BF88="",NOT(ISNUMBER(BF88)),ISERROR(BF88),$B88=""),"",IF($I88=1,IFBLANK(_xldudf_CX_PUSH(BF88*fxVal_normal,CX_ENTITY,$B88,BF$11,BF$14,BF$75,),""),IF($I88=2,IFBLANK(_xldudf_CX_PUSH(BF88,CX_ENTITY,$B88,BF$11,BF$14,BF$75,),""),IF($I88=3,"",IFBLANK(_xldudf_CX_PUSH(BF88,CX_ENTITY,$B88,BF$11,BF$14,BF$75,),"")))))),"")</f>
        <v/>
      </c>
      <c r="EG88" s="2445" t="str" cm="1">
        <f t="array" ca="1" aca="1" ref="EG88">IFERROR(IF(BG88*fxVal_normal=_PL!BG88,"",IF(OR(BG88="",NOT(ISNUMBER(BG88)),ISERROR(BG88),$B88=""),"",IF($I88=1,IFBLANK(_xldudf_CX_PUSH(BG88*fxVal_normal,CX_ENTITY,$B88,BG$11,BG$14,BG$75,),""),IF($I88=2,IFBLANK(_xldudf_CX_PUSH(BG88,CX_ENTITY,$B88,BG$11,BG$14,BG$75,),""),IF($I88=3,"",IFBLANK(_xldudf_CX_PUSH(BG88,CX_ENTITY,$B88,BG$11,BG$14,BG$75,),"")))))),"")</f>
        <v/>
      </c>
      <c r="EH88" s="2445" t="str" cm="1">
        <f t="array" ca="1" aca="1" ref="EH88">IFERROR(IF(BH88*fxVal_normal=_PL!BH88,"",IF(OR(BH88="",NOT(ISNUMBER(BH88)),ISERROR(BH88),$B88=""),"",IF($I88=1,IFBLANK(_xldudf_CX_PUSH(BH88*fxVal_normal,CX_ENTITY,$B88,BH$11,BH$14,BH$75,),""),IF($I88=2,IFBLANK(_xldudf_CX_PUSH(BH88,CX_ENTITY,$B88,BH$11,BH$14,BH$75,),""),IF($I88=3,"",IFBLANK(_xldudf_CX_PUSH(BH88,CX_ENTITY,$B88,BH$11,BH$14,BH$75,),"")))))),"")</f>
        <v/>
      </c>
      <c r="EI88" s="2445" t="str" cm="1">
        <f t="array" ca="1" aca="1" ref="EI88">IFERROR(IF(BI88*fxVal_normal=_PL!BI88,"",IF(OR(BI88="",NOT(ISNUMBER(BI88)),ISERROR(BI88),$B88=""),"",IF($I88=1,IFBLANK(_xldudf_CX_PUSH(BI88*fxVal_normal,CX_ENTITY,$B88,BI$11,BI$14,BI$75,),""),IF($I88=2,IFBLANK(_xldudf_CX_PUSH(BI88,CX_ENTITY,$B88,BI$11,BI$14,BI$75,),""),IF($I88=3,"",IFBLANK(_xldudf_CX_PUSH(BI88,CX_ENTITY,$B88,BI$11,BI$14,BI$75,),"")))))),"")</f>
        <v/>
      </c>
      <c r="EJ88" s="2445" t="str" cm="1">
        <f t="array" ca="1" aca="1" ref="EJ88">IFERROR(IF(BJ88*fxVal_normal=_PL!BJ88,"",IF(OR(BJ88="",NOT(ISNUMBER(BJ88)),ISERROR(BJ88),$B88=""),"",IF($I88=1,IFBLANK(_xldudf_CX_PUSH(BJ88*fxVal_normal,CX_ENTITY,$B88,BJ$11,BJ$14,BJ$75,),""),IF($I88=2,IFBLANK(_xldudf_CX_PUSH(BJ88,CX_ENTITY,$B88,BJ$11,BJ$14,BJ$75,),""),IF($I88=3,"",IFBLANK(_xldudf_CX_PUSH(BJ88,CX_ENTITY,$B88,BJ$11,BJ$14,BJ$75,),"")))))),"")</f>
        <v/>
      </c>
      <c r="EK88" s="2445" t="str" cm="1">
        <f t="array" ca="1" aca="1" ref="EK88">IFERROR(IF(BK88*fxVal_normal=_PL!BK88,"",IF(OR(BK88="",NOT(ISNUMBER(BK88)),ISERROR(BK88),$B88=""),"",IF($I88=1,IFBLANK(_xldudf_CX_PUSH(BK88*fxVal_normal,CX_ENTITY,$B88,BK$11,BK$14,BK$75,),""),IF($I88=2,IFBLANK(_xldudf_CX_PUSH(BK88,CX_ENTITY,$B88,BK$11,BK$14,BK$75,),""),IF($I88=3,"",IFBLANK(_xldudf_CX_PUSH(BK88,CX_ENTITY,$B88,BK$11,BK$14,BK$75,),"")))))),"")</f>
        <v/>
      </c>
      <c r="EL88" s="2445" t="str" cm="1">
        <f t="array" ca="1" aca="1" ref="EL88">IFERROR(IF(BL88*fxVal_normal=_PL!BL88,"",IF(OR(BL88="",NOT(ISNUMBER(BL88)),ISERROR(BL88),$B88=""),"",IF($I88=1,IFBLANK(_xldudf_CX_PUSH(BL88*fxVal_normal,CX_ENTITY,$B88,BL$11,BL$14,BL$75,),""),IF($I88=2,IFBLANK(_xldudf_CX_PUSH(BL88,CX_ENTITY,$B88,BL$11,BL$14,BL$75,),""),IF($I88=3,"",IFBLANK(_xldudf_CX_PUSH(BL88,CX_ENTITY,$B88,BL$11,BL$14,BL$75,),"")))))),"")</f>
        <v/>
      </c>
      <c r="EM88" s="2445" t="str" cm="1">
        <f t="array" ca="1" aca="1" ref="EM88">IFERROR(IF(BM88*fxVal_normal=_PL!BM88,"",IF(OR(BM88="",NOT(ISNUMBER(BM88)),ISERROR(BM88),$B88=""),"",IF($I88=1,IFBLANK(_xldudf_CX_PUSH(BM88*fxVal_normal,CX_ENTITY,$B88,BM$11,BM$14,BM$75,),""),IF($I88=2,IFBLANK(_xldudf_CX_PUSH(BM88,CX_ENTITY,$B88,BM$11,BM$14,BM$75,),""),IF($I88=3,"",IFBLANK(_xldudf_CX_PUSH(BM88,CX_ENTITY,$B88,BM$11,BM$14,BM$75,),"")))))),"")</f>
        <v/>
      </c>
      <c r="EN88" s="2445" t="str" cm="1">
        <f t="array" ca="1" aca="1" ref="EN88">IFERROR(IF(BN88*fxVal_normal=_PL!BN88,"",IF(OR(BN88="",NOT(ISNUMBER(BN88)),ISERROR(BN88),$B88=""),"",IF($I88=1,IFBLANK(_xldudf_CX_PUSH(BN88*fxVal_normal,CX_ENTITY,$B88,BN$11,BN$14,BN$75,),""),IF($I88=2,IFBLANK(_xldudf_CX_PUSH(BN88,CX_ENTITY,$B88,BN$11,BN$14,BN$75,),""),IF($I88=3,"",IFBLANK(_xldudf_CX_PUSH(BN88,CX_ENTITY,$B88,BN$11,BN$14,BN$75,),"")))))),"")</f>
        <v/>
      </c>
    </row>
    <row r="89" spans="1:144" ht="21" customHeight="1">
      <c r="A89" s="1625"/>
      <c r="B89" s="2501" t="str">
        <f>_xlfn.LET(_xlpm.IsNotAttrDynamic,D89="",_xlpm.Attr,_PL!F89,_xlpm.NotInUse,Y89=D89,_xlpm.RESULT,IF(_xlpm.IsNotAttrDynamic,_xlpm.Attr,IF(_xlpm.NotInUse,"",Y89)),IF(_xlpm.RESULT="","",_xlpm.RESULT))</f>
        <v>Depreciation</v>
      </c>
      <c r="C89" s="2501" t="str" cm="1">
        <f t="array" ref="C89">IFBLANK(_PL!C89,"")</f>
        <v>Depreciation (Company View)</v>
      </c>
      <c r="D89" s="1548"/>
      <c r="E89" s="2440" t="e" cm="1">
        <f t="array" ca="1" aca="1" ref="E8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89:$CQ89,Z89)</f>
        <v>#NAME?</v>
      </c>
      <c r="F89" s="578"/>
      <c r="G89" s="578"/>
      <c r="H89" s="578">
        <v>0</v>
      </c>
      <c r="I89" s="3279">
        <v>1</v>
      </c>
      <c r="J89" s="3280" cm="1">
        <f t="array" ref="J89">IFBLANK(Z89,"")</f>
        <v>1</v>
      </c>
      <c r="K89" s="578" t="str">
        <f t="shared" si="17"/>
        <v>Yes</v>
      </c>
      <c r="L89" s="37"/>
      <c r="N89" s="158"/>
      <c r="O89" s="101"/>
      <c r="P89" s="52"/>
      <c r="Q89" s="101"/>
      <c r="R89" s="126"/>
      <c r="S89" s="101"/>
      <c r="T89" s="101"/>
      <c r="U89" s="39"/>
      <c r="V89" s="37"/>
      <c r="W89" s="91" t="str">
        <f t="shared" si="28"/>
        <v>Budget</v>
      </c>
      <c r="X89" s="2081">
        <f>_PL!X89</f>
        <v>-1</v>
      </c>
      <c r="Y89" s="3192">
        <f t="shared" si="36"/>
        <v>2</v>
      </c>
      <c r="Z89" s="3291" cm="1">
        <f t="array" ref="Z89">_xlfn.SWITCH(TRUE,_PL!$L89=TRUE,1,_PL!$L89=FALSE,-1,_PL!$L89=-1,0,"")</f>
        <v>1</v>
      </c>
      <c r="AA89" s="200"/>
      <c r="AB89" s="1134" t="str">
        <f>_PL!AB89</f>
        <v>Depreciation</v>
      </c>
      <c r="AC89" s="275" t="e" vm="5" cm="1">
        <f t="array" ca="1" aca="1" ref="AC89">_xlfn.LET(_xlpm._termname,$AB89,_xlpm._iconname,"find",_xlpm._icon,fx_getIcon(_xlpm._iconname),_xlpm._location,_xlfn.XLOOKUP(LOWER(_xlpm._termname),LOWER(tbl_acctDef[Term]),tbl_acctDef[Term]),_xlpm._hyperlink,HYPERLINK("#"&amp;CELL("address",_xlpm._location),_xlpm._icon),IFERROR(_xlpm._hyperlink,""))</f>
        <v>#VALUE!</v>
      </c>
      <c r="AD89" s="3177">
        <v>1</v>
      </c>
      <c r="AE89" s="3177">
        <v>1</v>
      </c>
      <c r="AF89" s="3177">
        <v>1</v>
      </c>
      <c r="AG89" s="3177">
        <v>1</v>
      </c>
      <c r="AH89" s="3177">
        <v>1</v>
      </c>
      <c r="AI89" s="3177">
        <v>1</v>
      </c>
      <c r="AJ89" s="3177">
        <v>1</v>
      </c>
      <c r="AK89" s="3177">
        <v>1</v>
      </c>
      <c r="AL89" s="3177">
        <v>1</v>
      </c>
      <c r="AM89" s="3177">
        <v>1</v>
      </c>
      <c r="AN89" s="3177">
        <v>1</v>
      </c>
      <c r="AO89" s="3177">
        <v>1</v>
      </c>
      <c r="AP89" s="3177">
        <v>1</v>
      </c>
      <c r="AQ89" s="3177">
        <v>1</v>
      </c>
      <c r="AR89" s="3177">
        <v>1</v>
      </c>
      <c r="AS89" s="3177">
        <v>1</v>
      </c>
      <c r="AT89" s="3177">
        <v>1</v>
      </c>
      <c r="AU89" s="3177">
        <v>1</v>
      </c>
      <c r="AV89" s="3177">
        <v>1</v>
      </c>
      <c r="AW89" s="3177">
        <v>1</v>
      </c>
      <c r="AX89" s="3177">
        <v>1</v>
      </c>
      <c r="AY89" s="3177">
        <v>1</v>
      </c>
      <c r="AZ89" s="3177">
        <v>1</v>
      </c>
      <c r="BA89" s="3177">
        <v>1</v>
      </c>
      <c r="BB89" s="3177">
        <v>1</v>
      </c>
      <c r="BC89" s="3177">
        <v>1</v>
      </c>
      <c r="BD89" s="3177">
        <v>1</v>
      </c>
      <c r="BE89" s="3177">
        <v>1</v>
      </c>
      <c r="BF89" s="3177">
        <v>1</v>
      </c>
      <c r="BG89" s="3177">
        <v>1</v>
      </c>
      <c r="BH89" s="3177">
        <v>1</v>
      </c>
      <c r="BI89" s="3177">
        <v>1</v>
      </c>
      <c r="BJ89" s="3177">
        <v>1</v>
      </c>
      <c r="BK89" s="3177">
        <v>1</v>
      </c>
      <c r="BL89" s="3177">
        <v>1</v>
      </c>
      <c r="BM89" s="3177">
        <v>1</v>
      </c>
      <c r="BN89" s="3177">
        <v>1</v>
      </c>
      <c r="BO89" s="2442"/>
      <c r="BP89" s="2442"/>
      <c r="BQ89" s="2442"/>
      <c r="BR89" s="2442"/>
      <c r="BS89" s="2442"/>
      <c r="BT89" s="2442"/>
      <c r="BU89" s="2442"/>
      <c r="BV89" s="2442"/>
      <c r="BW89" s="2442"/>
      <c r="BX89" s="2442"/>
      <c r="BY89" s="2442"/>
      <c r="BZ89" s="2442"/>
      <c r="CA89" s="34"/>
      <c r="CC89" s="33"/>
      <c r="CD89" s="1772" t="e" cm="1">
        <f t="array" ca="1" aca="1" ref="CD89">_xlfn.LET(_xlpm.CheckBlank,SUM(PL!$AD89:$BN89)=0,IF(_xlpm.CheckBlank,"",SUM(_xlfn._xlws.FILTER(PL!$AD89:$BN89,(YEAR(PL!$AD$12:$BN$12)=PL!CD$12)*(array_timeline&lt;=PL!CD$11)))))</f>
        <v>#NAME?</v>
      </c>
      <c r="CE89" s="1772" t="e" cm="1">
        <f t="array" ca="1" aca="1" ref="CE89">_xlfn.LET(_xlpm.CheckBlank,SUM(PL!$AD89:$BN89)=0,IF(_xlpm.CheckBlank,"",SUM(_xlfn._xlws.FILTER(PL!$AD89:$BN89,(YEAR(PL!$AD$12:$BN$12)=PL!CE$12)*(array_timeline&lt;=PL!CE$11)))))</f>
        <v>#NAME?</v>
      </c>
      <c r="CF89" s="88"/>
      <c r="CG89" s="1461" t="e" cm="1">
        <f t="array" ca="1" aca="1" ref="CG89">_xlfn.LET(_xlpm.CheckBlank,SUM(PL!$AD89:$BN89)=0,IF(_xlpm.CheckBlank,"",SUM(_xlfn._xlws.FILTER(PL!$AD89:$BN89,(YEAR(PL!$AD$12:$BN$12)=PL!CG$12)*(array_timeline&lt;=PL!CG$11)))))</f>
        <v>#NAME?</v>
      </c>
      <c r="CH89" s="1461" t="e" cm="1">
        <f t="array" ca="1" aca="1" ref="CH89">_xlfn.LET(_xlpm.CheckBlank,SUM(PL!$AD89:$BN89)=0,IF(_xlpm.CheckBlank,"",SUM(_xlfn._xlws.FILTER(PL!$AD89:$BN89,(YEAR(PL!$AD$12:$BN$12)=PL!CH$12)*(array_timeline&lt;=PL!CH$11)))))</f>
        <v>#NAME?</v>
      </c>
      <c r="CI89" s="88"/>
      <c r="CJ89" s="1461" cm="1">
        <f t="array" ref="CJ89">_xlfn.LET(_xlpm.CheckBlank,SUM(PL!$AD89:$BN89)=0,IF(_xlpm.CheckBlank,"",SUM(_xlfn.TAKE(_xlfn.DROP(PL!$AD89:$BN89,,-DATEDIFF(PL!CJ$11,val_asOfDate,"M")),1,-12))))</f>
        <v>12</v>
      </c>
      <c r="CK89" s="1461" cm="1">
        <f t="array" ref="CK89">_xlfn.LET(_xlpm.CheckBlank,SUM(PL!$AD89:$BN89)=0,IF(_xlpm.CheckBlank,"",SUM(_xlfn.TAKE(_xlfn.DROP(PL!$AD89:$BN89,,-DATEDIFF(PL!CK$11,val_asOfDate,"M")),1,-12))))</f>
        <v>12</v>
      </c>
      <c r="CL89" s="88"/>
      <c r="CM89" s="3194">
        <f t="shared" si="26"/>
        <v>1</v>
      </c>
      <c r="CN89" s="3194">
        <f t="shared" si="23"/>
        <v>1</v>
      </c>
      <c r="CO89" s="1169"/>
      <c r="CP89" s="3194">
        <f t="shared" si="27"/>
        <v>1</v>
      </c>
      <c r="CQ89" s="3194">
        <f t="shared" si="24"/>
        <v>1</v>
      </c>
      <c r="CR89" s="34"/>
      <c r="CS89" s="2056"/>
      <c r="CT89" s="2085" t="e" cm="1">
        <f t="array" ca="1" aca="1" ref="CT89">IF(K89&lt;&gt;"Yes","",IF(OR(Y89="Select,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III"),"",IF(OR(Y89&lt;&gt;AB89,AND(LEN(B89)=0,NOT(OR(Y89="Select,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III")))),_xldudf_CX_PUSH(Y89,CX_ENTITY,C89,EOMONTH(val_asOfDate,0)),"")))</f>
        <v>#NAME?</v>
      </c>
      <c r="CU89" s="2085" t="e" cm="1">
        <f t="array" ca="1" aca="1" ref="CU89">IF(K89&lt;&gt;"Yes","",IF(OR(Y89="Select,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III"),"",IF(OR(Y89&lt;&gt;AB89,AND(LEN(B89)=0,NOT(OR(Y89="Select,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III")))),_xldudf_CX_PUSH(Y89,CX_ENTITY,C89,EOMONTH(val_asOfDate,1)),"")))</f>
        <v>#NAME?</v>
      </c>
      <c r="CV89" s="2085" t="e" cm="1">
        <f t="array" ca="1" aca="1" ref="CV89">IF(K89&lt;&gt;"Yes","",IF(OR(Y89="Select,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III"),"",IF(OR(Y89&lt;&gt;AB89,AND(LEN(B89)=0,NOT(OR(Y89="Select,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III")))),_xldudf_CX_PUSH(Y89,CX_ENTITY,C89,EOMONTH(val_asOfDate,2)),"")))</f>
        <v>#NAME?</v>
      </c>
      <c r="CW89" s="2085" t="e" cm="1">
        <f t="array" ca="1" aca="1" ref="CW89">IF(K89&lt;&gt;"Yes","",IF(OR(Y89="Select,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III"),"",IF(OR(Y89&lt;&gt;AB89,AND(LEN(B89)=0,NOT(OR(Y89="Select,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III")))),_xldudf_CX_PUSH(Y89,CX_ENTITY,C89,EOMONTH(val_asOfDate,3)),"")))</f>
        <v>#NAME?</v>
      </c>
      <c r="CX89" s="2443"/>
      <c r="CY89" s="1880"/>
      <c r="CZ89" s="1880"/>
      <c r="DA89" s="1880"/>
      <c r="DB89" s="1880"/>
      <c r="DC89" s="2121"/>
      <c r="DD89" s="2445" t="str" cm="1">
        <f t="array" ca="1" aca="1" ref="DD89">IFERROR(IF(AD89*fxVal_normal=_PL!AD89,"",IF(OR(AD89="",NOT(ISNUMBER(AD89)),ISERROR(AD89),$B89=""),"",IF($I89=1,IFBLANK(_xldudf_CX_PUSH(AD89*fxVal_normal,CX_ENTITY,$B89,AD$11,AD$14,AD$75,),""),IF($I89=2,IFBLANK(_xldudf_CX_PUSH(AD89,CX_ENTITY,$B89,AD$11,AD$14,AD$75,),""),IF($I89=3,"",IFBLANK(_xldudf_CX_PUSH(AD89,CX_ENTITY,$B89,AD$11,AD$14,AD$75,),"")))))),"")</f>
        <v/>
      </c>
      <c r="DE89" s="2445" t="str" cm="1">
        <f t="array" ca="1" aca="1" ref="DE89">IFERROR(IF(AE89*fxVal_normal=_PL!AE89,"",IF(OR(AE89="",NOT(ISNUMBER(AE89)),ISERROR(AE89),$B89=""),"",IF($I89=1,IFBLANK(_xldudf_CX_PUSH(AE89*fxVal_normal,CX_ENTITY,$B89,AE$11,AE$14,AE$75,),""),IF($I89=2,IFBLANK(_xldudf_CX_PUSH(AE89,CX_ENTITY,$B89,AE$11,AE$14,AE$75,),""),IF($I89=3,"",IFBLANK(_xldudf_CX_PUSH(AE89,CX_ENTITY,$B89,AE$11,AE$14,AE$75,),"")))))),"")</f>
        <v/>
      </c>
      <c r="DF89" s="2445" t="str" cm="1">
        <f t="array" ca="1" aca="1" ref="DF89">IFERROR(IF(AF89*fxVal_normal=_PL!AF89,"",IF(OR(AF89="",NOT(ISNUMBER(AF89)),ISERROR(AF89),$B89=""),"",IF($I89=1,IFBLANK(_xldudf_CX_PUSH(AF89*fxVal_normal,CX_ENTITY,$B89,AF$11,AF$14,AF$75,),""),IF($I89=2,IFBLANK(_xldudf_CX_PUSH(AF89,CX_ENTITY,$B89,AF$11,AF$14,AF$75,),""),IF($I89=3,"",IFBLANK(_xldudf_CX_PUSH(AF89,CX_ENTITY,$B89,AF$11,AF$14,AF$75,),"")))))),"")</f>
        <v/>
      </c>
      <c r="DG89" s="2445" t="str" cm="1">
        <f t="array" ca="1" aca="1" ref="DG89">IFERROR(IF(AG89*fxVal_normal=_PL!AG89,"",IF(OR(AG89="",NOT(ISNUMBER(AG89)),ISERROR(AG89),$B89=""),"",IF($I89=1,IFBLANK(_xldudf_CX_PUSH(AG89*fxVal_normal,CX_ENTITY,$B89,AG$11,AG$14,AG$75,),""),IF($I89=2,IFBLANK(_xldudf_CX_PUSH(AG89,CX_ENTITY,$B89,AG$11,AG$14,AG$75,),""),IF($I89=3,"",IFBLANK(_xldudf_CX_PUSH(AG89,CX_ENTITY,$B89,AG$11,AG$14,AG$75,),"")))))),"")</f>
        <v/>
      </c>
      <c r="DH89" s="2445" t="str" cm="1">
        <f t="array" ca="1" aca="1" ref="DH89">IFERROR(IF(AH89*fxVal_normal=_PL!AH89,"",IF(OR(AH89="",NOT(ISNUMBER(AH89)),ISERROR(AH89),$B89=""),"",IF($I89=1,IFBLANK(_xldudf_CX_PUSH(AH89*fxVal_normal,CX_ENTITY,$B89,AH$11,AH$14,AH$75,),""),IF($I89=2,IFBLANK(_xldudf_CX_PUSH(AH89,CX_ENTITY,$B89,AH$11,AH$14,AH$75,),""),IF($I89=3,"",IFBLANK(_xldudf_CX_PUSH(AH89,CX_ENTITY,$B89,AH$11,AH$14,AH$75,),"")))))),"")</f>
        <v/>
      </c>
      <c r="DI89" s="2445" t="str" cm="1">
        <f t="array" ca="1" aca="1" ref="DI89">IFERROR(IF(AI89*fxVal_normal=_PL!AI89,"",IF(OR(AI89="",NOT(ISNUMBER(AI89)),ISERROR(AI89),$B89=""),"",IF($I89=1,IFBLANK(_xldudf_CX_PUSH(AI89*fxVal_normal,CX_ENTITY,$B89,AI$11,AI$14,AI$75,),""),IF($I89=2,IFBLANK(_xldudf_CX_PUSH(AI89,CX_ENTITY,$B89,AI$11,AI$14,AI$75,),""),IF($I89=3,"",IFBLANK(_xldudf_CX_PUSH(AI89,CX_ENTITY,$B89,AI$11,AI$14,AI$75,),"")))))),"")</f>
        <v/>
      </c>
      <c r="DJ89" s="2445" t="str" cm="1">
        <f t="array" ca="1" aca="1" ref="DJ89">IFERROR(IF(AJ89*fxVal_normal=_PL!AJ89,"",IF(OR(AJ89="",NOT(ISNUMBER(AJ89)),ISERROR(AJ89),$B89=""),"",IF($I89=1,IFBLANK(_xldudf_CX_PUSH(AJ89*fxVal_normal,CX_ENTITY,$B89,AJ$11,AJ$14,AJ$75,),""),IF($I89=2,IFBLANK(_xldudf_CX_PUSH(AJ89,CX_ENTITY,$B89,AJ$11,AJ$14,AJ$75,),""),IF($I89=3,"",IFBLANK(_xldudf_CX_PUSH(AJ89,CX_ENTITY,$B89,AJ$11,AJ$14,AJ$75,),"")))))),"")</f>
        <v/>
      </c>
      <c r="DK89" s="2445" t="str" cm="1">
        <f t="array" ca="1" aca="1" ref="DK89">IFERROR(IF(AK89*fxVal_normal=_PL!AK89,"",IF(OR(AK89="",NOT(ISNUMBER(AK89)),ISERROR(AK89),$B89=""),"",IF($I89=1,IFBLANK(_xldudf_CX_PUSH(AK89*fxVal_normal,CX_ENTITY,$B89,AK$11,AK$14,AK$75,),""),IF($I89=2,IFBLANK(_xldudf_CX_PUSH(AK89,CX_ENTITY,$B89,AK$11,AK$14,AK$75,),""),IF($I89=3,"",IFBLANK(_xldudf_CX_PUSH(AK89,CX_ENTITY,$B89,AK$11,AK$14,AK$75,),"")))))),"")</f>
        <v/>
      </c>
      <c r="DL89" s="2445" t="str" cm="1">
        <f t="array" ca="1" aca="1" ref="DL89">IFERROR(IF(AL89*fxVal_normal=_PL!AL89,"",IF(OR(AL89="",NOT(ISNUMBER(AL89)),ISERROR(AL89),$B89=""),"",IF($I89=1,IFBLANK(_xldudf_CX_PUSH(AL89*fxVal_normal,CX_ENTITY,$B89,AL$11,AL$14,AL$75,),""),IF($I89=2,IFBLANK(_xldudf_CX_PUSH(AL89,CX_ENTITY,$B89,AL$11,AL$14,AL$75,),""),IF($I89=3,"",IFBLANK(_xldudf_CX_PUSH(AL89,CX_ENTITY,$B89,AL$11,AL$14,AL$75,),"")))))),"")</f>
        <v/>
      </c>
      <c r="DM89" s="2445" t="str" cm="1">
        <f t="array" ca="1" aca="1" ref="DM89">IFERROR(IF(AM89*fxVal_normal=_PL!AM89,"",IF(OR(AM89="",NOT(ISNUMBER(AM89)),ISERROR(AM89),$B89=""),"",IF($I89=1,IFBLANK(_xldudf_CX_PUSH(AM89*fxVal_normal,CX_ENTITY,$B89,AM$11,AM$14,AM$75,),""),IF($I89=2,IFBLANK(_xldudf_CX_PUSH(AM89,CX_ENTITY,$B89,AM$11,AM$14,AM$75,),""),IF($I89=3,"",IFBLANK(_xldudf_CX_PUSH(AM89,CX_ENTITY,$B89,AM$11,AM$14,AM$75,),"")))))),"")</f>
        <v/>
      </c>
      <c r="DN89" s="2445" t="str" cm="1">
        <f t="array" ca="1" aca="1" ref="DN89">IFERROR(IF(AN89*fxVal_normal=_PL!AN89,"",IF(OR(AN89="",NOT(ISNUMBER(AN89)),ISERROR(AN89),$B89=""),"",IF($I89=1,IFBLANK(_xldudf_CX_PUSH(AN89*fxVal_normal,CX_ENTITY,$B89,AN$11,AN$14,AN$75,),""),IF($I89=2,IFBLANK(_xldudf_CX_PUSH(AN89,CX_ENTITY,$B89,AN$11,AN$14,AN$75,),""),IF($I89=3,"",IFBLANK(_xldudf_CX_PUSH(AN89,CX_ENTITY,$B89,AN$11,AN$14,AN$75,),"")))))),"")</f>
        <v/>
      </c>
      <c r="DO89" s="2445" t="str" cm="1">
        <f t="array" ca="1" aca="1" ref="DO89">IFERROR(IF(AO89*fxVal_normal=_PL!AO89,"",IF(OR(AO89="",NOT(ISNUMBER(AO89)),ISERROR(AO89),$B89=""),"",IF($I89=1,IFBLANK(_xldudf_CX_PUSH(AO89*fxVal_normal,CX_ENTITY,$B89,AO$11,AO$14,AO$75,),""),IF($I89=2,IFBLANK(_xldudf_CX_PUSH(AO89,CX_ENTITY,$B89,AO$11,AO$14,AO$75,),""),IF($I89=3,"",IFBLANK(_xldudf_CX_PUSH(AO89,CX_ENTITY,$B89,AO$11,AO$14,AO$75,),"")))))),"")</f>
        <v/>
      </c>
      <c r="DP89" s="2445" t="str" cm="1">
        <f t="array" ca="1" aca="1" ref="DP89">IFERROR(IF(AP89*fxVal_normal=_PL!AP89,"",IF(OR(AP89="",NOT(ISNUMBER(AP89)),ISERROR(AP89),$B89=""),"",IF($I89=1,IFBLANK(_xldudf_CX_PUSH(AP89*fxVal_normal,CX_ENTITY,$B89,AP$11,AP$14,AP$75,),""),IF($I89=2,IFBLANK(_xldudf_CX_PUSH(AP89,CX_ENTITY,$B89,AP$11,AP$14,AP$75,),""),IF($I89=3,"",IFBLANK(_xldudf_CX_PUSH(AP89,CX_ENTITY,$B89,AP$11,AP$14,AP$75,),"")))))),"")</f>
        <v/>
      </c>
      <c r="DQ89" s="2445" t="str" cm="1">
        <f t="array" ca="1" aca="1" ref="DQ89">IFERROR(IF(AQ89*fxVal_normal=_PL!AQ89,"",IF(OR(AQ89="",NOT(ISNUMBER(AQ89)),ISERROR(AQ89),$B89=""),"",IF($I89=1,IFBLANK(_xldudf_CX_PUSH(AQ89*fxVal_normal,CX_ENTITY,$B89,AQ$11,AQ$14,AQ$75,),""),IF($I89=2,IFBLANK(_xldudf_CX_PUSH(AQ89,CX_ENTITY,$B89,AQ$11,AQ$14,AQ$75,),""),IF($I89=3,"",IFBLANK(_xldudf_CX_PUSH(AQ89,CX_ENTITY,$B89,AQ$11,AQ$14,AQ$75,),"")))))),"")</f>
        <v/>
      </c>
      <c r="DR89" s="2445" t="str" cm="1">
        <f t="array" ca="1" aca="1" ref="DR89">IFERROR(IF(AR89*fxVal_normal=_PL!AR89,"",IF(OR(AR89="",NOT(ISNUMBER(AR89)),ISERROR(AR89),$B89=""),"",IF($I89=1,IFBLANK(_xldudf_CX_PUSH(AR89*fxVal_normal,CX_ENTITY,$B89,AR$11,AR$14,AR$75,),""),IF($I89=2,IFBLANK(_xldudf_CX_PUSH(AR89,CX_ENTITY,$B89,AR$11,AR$14,AR$75,),""),IF($I89=3,"",IFBLANK(_xldudf_CX_PUSH(AR89,CX_ENTITY,$B89,AR$11,AR$14,AR$75,),"")))))),"")</f>
        <v/>
      </c>
      <c r="DS89" s="2445" t="str" cm="1">
        <f t="array" ca="1" aca="1" ref="DS89">IFERROR(IF(AS89*fxVal_normal=_PL!AS89,"",IF(OR(AS89="",NOT(ISNUMBER(AS89)),ISERROR(AS89),$B89=""),"",IF($I89=1,IFBLANK(_xldudf_CX_PUSH(AS89*fxVal_normal,CX_ENTITY,$B89,AS$11,AS$14,AS$75,),""),IF($I89=2,IFBLANK(_xldudf_CX_PUSH(AS89,CX_ENTITY,$B89,AS$11,AS$14,AS$75,),""),IF($I89=3,"",IFBLANK(_xldudf_CX_PUSH(AS89,CX_ENTITY,$B89,AS$11,AS$14,AS$75,),"")))))),"")</f>
        <v/>
      </c>
      <c r="DT89" s="2445" t="str" cm="1">
        <f t="array" ca="1" aca="1" ref="DT89">IFERROR(IF(AT89*fxVal_normal=_PL!AT89,"",IF(OR(AT89="",NOT(ISNUMBER(AT89)),ISERROR(AT89),$B89=""),"",IF($I89=1,IFBLANK(_xldudf_CX_PUSH(AT89*fxVal_normal,CX_ENTITY,$B89,AT$11,AT$14,AT$75,),""),IF($I89=2,IFBLANK(_xldudf_CX_PUSH(AT89,CX_ENTITY,$B89,AT$11,AT$14,AT$75,),""),IF($I89=3,"",IFBLANK(_xldudf_CX_PUSH(AT89,CX_ENTITY,$B89,AT$11,AT$14,AT$75,),"")))))),"")</f>
        <v/>
      </c>
      <c r="DU89" s="2445" t="str" cm="1">
        <f t="array" ca="1" aca="1" ref="DU89">IFERROR(IF(AU89*fxVal_normal=_PL!AU89,"",IF(OR(AU89="",NOT(ISNUMBER(AU89)),ISERROR(AU89),$B89=""),"",IF($I89=1,IFBLANK(_xldudf_CX_PUSH(AU89*fxVal_normal,CX_ENTITY,$B89,AU$11,AU$14,AU$75,),""),IF($I89=2,IFBLANK(_xldudf_CX_PUSH(AU89,CX_ENTITY,$B89,AU$11,AU$14,AU$75,),""),IF($I89=3,"",IFBLANK(_xldudf_CX_PUSH(AU89,CX_ENTITY,$B89,AU$11,AU$14,AU$75,),"")))))),"")</f>
        <v/>
      </c>
      <c r="DV89" s="2445" t="str" cm="1">
        <f t="array" ca="1" aca="1" ref="DV89">IFERROR(IF(AV89*fxVal_normal=_PL!AV89,"",IF(OR(AV89="",NOT(ISNUMBER(AV89)),ISERROR(AV89),$B89=""),"",IF($I89=1,IFBLANK(_xldudf_CX_PUSH(AV89*fxVal_normal,CX_ENTITY,$B89,AV$11,AV$14,AV$75,),""),IF($I89=2,IFBLANK(_xldudf_CX_PUSH(AV89,CX_ENTITY,$B89,AV$11,AV$14,AV$75,),""),IF($I89=3,"",IFBLANK(_xldudf_CX_PUSH(AV89,CX_ENTITY,$B89,AV$11,AV$14,AV$75,),"")))))),"")</f>
        <v/>
      </c>
      <c r="DW89" s="2445" t="str" cm="1">
        <f t="array" ca="1" aca="1" ref="DW89">IFERROR(IF(AW89*fxVal_normal=_PL!AW89,"",IF(OR(AW89="",NOT(ISNUMBER(AW89)),ISERROR(AW89),$B89=""),"",IF($I89=1,IFBLANK(_xldudf_CX_PUSH(AW89*fxVal_normal,CX_ENTITY,$B89,AW$11,AW$14,AW$75,),""),IF($I89=2,IFBLANK(_xldudf_CX_PUSH(AW89,CX_ENTITY,$B89,AW$11,AW$14,AW$75,),""),IF($I89=3,"",IFBLANK(_xldudf_CX_PUSH(AW89,CX_ENTITY,$B89,AW$11,AW$14,AW$75,),"")))))),"")</f>
        <v/>
      </c>
      <c r="DX89" s="2445" t="str" cm="1">
        <f t="array" ca="1" aca="1" ref="DX89">IFERROR(IF(AX89*fxVal_normal=_PL!AX89,"",IF(OR(AX89="",NOT(ISNUMBER(AX89)),ISERROR(AX89),$B89=""),"",IF($I89=1,IFBLANK(_xldudf_CX_PUSH(AX89*fxVal_normal,CX_ENTITY,$B89,AX$11,AX$14,AX$75,),""),IF($I89=2,IFBLANK(_xldudf_CX_PUSH(AX89,CX_ENTITY,$B89,AX$11,AX$14,AX$75,),""),IF($I89=3,"",IFBLANK(_xldudf_CX_PUSH(AX89,CX_ENTITY,$B89,AX$11,AX$14,AX$75,),"")))))),"")</f>
        <v/>
      </c>
      <c r="DY89" s="2445" t="str" cm="1">
        <f t="array" ca="1" aca="1" ref="DY89">IFERROR(IF(AY89*fxVal_normal=_PL!AY89,"",IF(OR(AY89="",NOT(ISNUMBER(AY89)),ISERROR(AY89),$B89=""),"",IF($I89=1,IFBLANK(_xldudf_CX_PUSH(AY89*fxVal_normal,CX_ENTITY,$B89,AY$11,AY$14,AY$75,),""),IF($I89=2,IFBLANK(_xldudf_CX_PUSH(AY89,CX_ENTITY,$B89,AY$11,AY$14,AY$75,),""),IF($I89=3,"",IFBLANK(_xldudf_CX_PUSH(AY89,CX_ENTITY,$B89,AY$11,AY$14,AY$75,),"")))))),"")</f>
        <v/>
      </c>
      <c r="DZ89" s="2445" t="str" cm="1">
        <f t="array" ca="1" aca="1" ref="DZ89">IFERROR(IF(AZ89*fxVal_normal=_PL!AZ89,"",IF(OR(AZ89="",NOT(ISNUMBER(AZ89)),ISERROR(AZ89),$B89=""),"",IF($I89=1,IFBLANK(_xldudf_CX_PUSH(AZ89*fxVal_normal,CX_ENTITY,$B89,AZ$11,AZ$14,AZ$75,),""),IF($I89=2,IFBLANK(_xldudf_CX_PUSH(AZ89,CX_ENTITY,$B89,AZ$11,AZ$14,AZ$75,),""),IF($I89=3,"",IFBLANK(_xldudf_CX_PUSH(AZ89,CX_ENTITY,$B89,AZ$11,AZ$14,AZ$75,),"")))))),"")</f>
        <v/>
      </c>
      <c r="EA89" s="2445" t="str" cm="1">
        <f t="array" ca="1" aca="1" ref="EA89">IFERROR(IF(BA89*fxVal_normal=_PL!BA89,"",IF(OR(BA89="",NOT(ISNUMBER(BA89)),ISERROR(BA89),$B89=""),"",IF($I89=1,IFBLANK(_xldudf_CX_PUSH(BA89*fxVal_normal,CX_ENTITY,$B89,BA$11,BA$14,BA$75,),""),IF($I89=2,IFBLANK(_xldudf_CX_PUSH(BA89,CX_ENTITY,$B89,BA$11,BA$14,BA$75,),""),IF($I89=3,"",IFBLANK(_xldudf_CX_PUSH(BA89,CX_ENTITY,$B89,BA$11,BA$14,BA$75,),"")))))),"")</f>
        <v/>
      </c>
      <c r="EB89" s="2445" t="str" cm="1">
        <f t="array" ca="1" aca="1" ref="EB89">IFERROR(IF(BB89*fxVal_normal=_PL!BB89,"",IF(OR(BB89="",NOT(ISNUMBER(BB89)),ISERROR(BB89),$B89=""),"",IF($I89=1,IFBLANK(_xldudf_CX_PUSH(BB89*fxVal_normal,CX_ENTITY,$B89,BB$11,BB$14,BB$75,),""),IF($I89=2,IFBLANK(_xldudf_CX_PUSH(BB89,CX_ENTITY,$B89,BB$11,BB$14,BB$75,),""),IF($I89=3,"",IFBLANK(_xldudf_CX_PUSH(BB89,CX_ENTITY,$B89,BB$11,BB$14,BB$75,),"")))))),"")</f>
        <v/>
      </c>
      <c r="EC89" s="2445" t="str" cm="1">
        <f t="array" ca="1" aca="1" ref="EC89">IFERROR(IF(BC89*fxVal_normal=_PL!BC89,"",IF(OR(BC89="",NOT(ISNUMBER(BC89)),ISERROR(BC89),$B89=""),"",IF($I89=1,IFBLANK(_xldudf_CX_PUSH(BC89*fxVal_normal,CX_ENTITY,$B89,BC$11,BC$14,BC$75,),""),IF($I89=2,IFBLANK(_xldudf_CX_PUSH(BC89,CX_ENTITY,$B89,BC$11,BC$14,BC$75,),""),IF($I89=3,"",IFBLANK(_xldudf_CX_PUSH(BC89,CX_ENTITY,$B89,BC$11,BC$14,BC$75,),"")))))),"")</f>
        <v/>
      </c>
      <c r="ED89" s="2445" t="str" cm="1">
        <f t="array" ca="1" aca="1" ref="ED89">IFERROR(IF(BD89*fxVal_normal=_PL!BD89,"",IF(OR(BD89="",NOT(ISNUMBER(BD89)),ISERROR(BD89),$B89=""),"",IF($I89=1,IFBLANK(_xldudf_CX_PUSH(BD89*fxVal_normal,CX_ENTITY,$B89,BD$11,BD$14,BD$75,),""),IF($I89=2,IFBLANK(_xldudf_CX_PUSH(BD89,CX_ENTITY,$B89,BD$11,BD$14,BD$75,),""),IF($I89=3,"",IFBLANK(_xldudf_CX_PUSH(BD89,CX_ENTITY,$B89,BD$11,BD$14,BD$75,),"")))))),"")</f>
        <v/>
      </c>
      <c r="EE89" s="2445" t="str" cm="1">
        <f t="array" ca="1" aca="1" ref="EE89">IFERROR(IF(BE89*fxVal_normal=_PL!BE89,"",IF(OR(BE89="",NOT(ISNUMBER(BE89)),ISERROR(BE89),$B89=""),"",IF($I89=1,IFBLANK(_xldudf_CX_PUSH(BE89*fxVal_normal,CX_ENTITY,$B89,BE$11,BE$14,BE$75,),""),IF($I89=2,IFBLANK(_xldudf_CX_PUSH(BE89,CX_ENTITY,$B89,BE$11,BE$14,BE$75,),""),IF($I89=3,"",IFBLANK(_xldudf_CX_PUSH(BE89,CX_ENTITY,$B89,BE$11,BE$14,BE$75,),"")))))),"")</f>
        <v/>
      </c>
      <c r="EF89" s="2445" t="str" cm="1">
        <f t="array" ca="1" aca="1" ref="EF89">IFERROR(IF(BF89*fxVal_normal=_PL!BF89,"",IF(OR(BF89="",NOT(ISNUMBER(BF89)),ISERROR(BF89),$B89=""),"",IF($I89=1,IFBLANK(_xldudf_CX_PUSH(BF89*fxVal_normal,CX_ENTITY,$B89,BF$11,BF$14,BF$75,),""),IF($I89=2,IFBLANK(_xldudf_CX_PUSH(BF89,CX_ENTITY,$B89,BF$11,BF$14,BF$75,),""),IF($I89=3,"",IFBLANK(_xldudf_CX_PUSH(BF89,CX_ENTITY,$B89,BF$11,BF$14,BF$75,),"")))))),"")</f>
        <v/>
      </c>
      <c r="EG89" s="2445" t="str" cm="1">
        <f t="array" ca="1" aca="1" ref="EG89">IFERROR(IF(BG89*fxVal_normal=_PL!BG89,"",IF(OR(BG89="",NOT(ISNUMBER(BG89)),ISERROR(BG89),$B89=""),"",IF($I89=1,IFBLANK(_xldudf_CX_PUSH(BG89*fxVal_normal,CX_ENTITY,$B89,BG$11,BG$14,BG$75,),""),IF($I89=2,IFBLANK(_xldudf_CX_PUSH(BG89,CX_ENTITY,$B89,BG$11,BG$14,BG$75,),""),IF($I89=3,"",IFBLANK(_xldudf_CX_PUSH(BG89,CX_ENTITY,$B89,BG$11,BG$14,BG$75,),"")))))),"")</f>
        <v/>
      </c>
      <c r="EH89" s="2445" t="str" cm="1">
        <f t="array" ca="1" aca="1" ref="EH89">IFERROR(IF(BH89*fxVal_normal=_PL!BH89,"",IF(OR(BH89="",NOT(ISNUMBER(BH89)),ISERROR(BH89),$B89=""),"",IF($I89=1,IFBLANK(_xldudf_CX_PUSH(BH89*fxVal_normal,CX_ENTITY,$B89,BH$11,BH$14,BH$75,),""),IF($I89=2,IFBLANK(_xldudf_CX_PUSH(BH89,CX_ENTITY,$B89,BH$11,BH$14,BH$75,),""),IF($I89=3,"",IFBLANK(_xldudf_CX_PUSH(BH89,CX_ENTITY,$B89,BH$11,BH$14,BH$75,),"")))))),"")</f>
        <v/>
      </c>
      <c r="EI89" s="2445" t="str" cm="1">
        <f t="array" ca="1" aca="1" ref="EI89">IFERROR(IF(BI89*fxVal_normal=_PL!BI89,"",IF(OR(BI89="",NOT(ISNUMBER(BI89)),ISERROR(BI89),$B89=""),"",IF($I89=1,IFBLANK(_xldudf_CX_PUSH(BI89*fxVal_normal,CX_ENTITY,$B89,BI$11,BI$14,BI$75,),""),IF($I89=2,IFBLANK(_xldudf_CX_PUSH(BI89,CX_ENTITY,$B89,BI$11,BI$14,BI$75,),""),IF($I89=3,"",IFBLANK(_xldudf_CX_PUSH(BI89,CX_ENTITY,$B89,BI$11,BI$14,BI$75,),"")))))),"")</f>
        <v/>
      </c>
      <c r="EJ89" s="2445" t="str" cm="1">
        <f t="array" ca="1" aca="1" ref="EJ89">IFERROR(IF(BJ89*fxVal_normal=_PL!BJ89,"",IF(OR(BJ89="",NOT(ISNUMBER(BJ89)),ISERROR(BJ89),$B89=""),"",IF($I89=1,IFBLANK(_xldudf_CX_PUSH(BJ89*fxVal_normal,CX_ENTITY,$B89,BJ$11,BJ$14,BJ$75,),""),IF($I89=2,IFBLANK(_xldudf_CX_PUSH(BJ89,CX_ENTITY,$B89,BJ$11,BJ$14,BJ$75,),""),IF($I89=3,"",IFBLANK(_xldudf_CX_PUSH(BJ89,CX_ENTITY,$B89,BJ$11,BJ$14,BJ$75,),"")))))),"")</f>
        <v/>
      </c>
      <c r="EK89" s="2445" t="str" cm="1">
        <f t="array" ca="1" aca="1" ref="EK89">IFERROR(IF(BK89*fxVal_normal=_PL!BK89,"",IF(OR(BK89="",NOT(ISNUMBER(BK89)),ISERROR(BK89),$B89=""),"",IF($I89=1,IFBLANK(_xldudf_CX_PUSH(BK89*fxVal_normal,CX_ENTITY,$B89,BK$11,BK$14,BK$75,),""),IF($I89=2,IFBLANK(_xldudf_CX_PUSH(BK89,CX_ENTITY,$B89,BK$11,BK$14,BK$75,),""),IF($I89=3,"",IFBLANK(_xldudf_CX_PUSH(BK89,CX_ENTITY,$B89,BK$11,BK$14,BK$75,),"")))))),"")</f>
        <v/>
      </c>
      <c r="EL89" s="2445" t="str" cm="1">
        <f t="array" ca="1" aca="1" ref="EL89">IFERROR(IF(BL89*fxVal_normal=_PL!BL89,"",IF(OR(BL89="",NOT(ISNUMBER(BL89)),ISERROR(BL89),$B89=""),"",IF($I89=1,IFBLANK(_xldudf_CX_PUSH(BL89*fxVal_normal,CX_ENTITY,$B89,BL$11,BL$14,BL$75,),""),IF($I89=2,IFBLANK(_xldudf_CX_PUSH(BL89,CX_ENTITY,$B89,BL$11,BL$14,BL$75,),""),IF($I89=3,"",IFBLANK(_xldudf_CX_PUSH(BL89,CX_ENTITY,$B89,BL$11,BL$14,BL$75,),"")))))),"")</f>
        <v/>
      </c>
      <c r="EM89" s="2445" t="str" cm="1">
        <f t="array" ca="1" aca="1" ref="EM89">IFERROR(IF(BM89*fxVal_normal=_PL!BM89,"",IF(OR(BM89="",NOT(ISNUMBER(BM89)),ISERROR(BM89),$B89=""),"",IF($I89=1,IFBLANK(_xldudf_CX_PUSH(BM89*fxVal_normal,CX_ENTITY,$B89,BM$11,BM$14,BM$75,),""),IF($I89=2,IFBLANK(_xldudf_CX_PUSH(BM89,CX_ENTITY,$B89,BM$11,BM$14,BM$75,),""),IF($I89=3,"",IFBLANK(_xldudf_CX_PUSH(BM89,CX_ENTITY,$B89,BM$11,BM$14,BM$75,),"")))))),"")</f>
        <v/>
      </c>
      <c r="EN89" s="2445" t="str" cm="1">
        <f t="array" ca="1" aca="1" ref="EN89">IFERROR(IF(BN89*fxVal_normal=_PL!BN89,"",IF(OR(BN89="",NOT(ISNUMBER(BN89)),ISERROR(BN89),$B89=""),"",IF($I89=1,IFBLANK(_xldudf_CX_PUSH(BN89*fxVal_normal,CX_ENTITY,$B89,BN$11,BN$14,BN$75,),""),IF($I89=2,IFBLANK(_xldudf_CX_PUSH(BN89,CX_ENTITY,$B89,BN$11,BN$14,BN$75,),""),IF($I89=3,"",IFBLANK(_xldudf_CX_PUSH(BN89,CX_ENTITY,$B89,BN$11,BN$14,BN$75,),"")))))),"")</f>
        <v/>
      </c>
    </row>
    <row r="90" spans="1:144" ht="21" customHeight="1">
      <c r="A90" s="1625"/>
      <c r="B90" s="2501" t="str">
        <f ca="1">_xlfn.LET(_xlpm.IsNotAttrDynamic,D90="",_xlpm.Attr,_PL!F90,_xlpm.NotInUse,Y90=D90,_xlpm.RESULT,IF(_xlpm.IsNotAttrDynamic,_xlpm.Attr,IF(_xlpm.NotInUse,"",Y90)),IF(_xlpm.RESULT="","",_xlpm.RESULT))</f>
        <v>Reported EBITA</v>
      </c>
      <c r="C90" s="2501" t="str" cm="1">
        <f t="array" ref="C90">IFBLANK(_PL!C90,"")</f>
        <v>Reported EBITA (Company View)</v>
      </c>
      <c r="D90" s="1548"/>
      <c r="E90" s="2440" t="e" cm="1">
        <f t="array" ca="1" aca="1" ref="E9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90:$CQ90,Z90)</f>
        <v>#NAME?</v>
      </c>
      <c r="F90" s="578"/>
      <c r="G90" s="578"/>
      <c r="H90" s="3279">
        <v>2</v>
      </c>
      <c r="I90" s="3279">
        <v>1</v>
      </c>
      <c r="J90" s="401" cm="1">
        <f t="array" ref="J90">IFBLANK(Z90,"")</f>
        <v>0</v>
      </c>
      <c r="K90" s="578" t="str">
        <f t="shared" si="17"/>
        <v>Yes</v>
      </c>
      <c r="L90" s="37"/>
      <c r="N90" s="158"/>
      <c r="O90" s="101"/>
      <c r="P90" s="52"/>
      <c r="Q90" s="101"/>
      <c r="R90" s="126"/>
      <c r="S90" s="101"/>
      <c r="T90" s="101"/>
      <c r="U90" s="39"/>
      <c r="V90" s="37"/>
      <c r="W90" s="91" t="str">
        <f t="shared" si="28"/>
        <v>Budget</v>
      </c>
      <c r="X90" s="2081">
        <f>_PL!X90</f>
        <v>0</v>
      </c>
      <c r="Y90" s="1134" t="e">
        <f t="shared" ca="1" si="36"/>
        <v>#NAME?</v>
      </c>
      <c r="Z90" s="198" cm="1">
        <f t="array" ref="Z90">_xlfn.SWITCH(TRUE,_PL!$L90=TRUE,1,_PL!$L90=FALSE,-1,_PL!$L90=-1,0,"")</f>
        <v>0</v>
      </c>
      <c r="AA90" s="200"/>
      <c r="AB90" s="1134" t="str">
        <f>_PL!AB90</f>
        <v>Reported EBITA</v>
      </c>
      <c r="AC90" s="275" t="str" cm="1">
        <f t="array" ca="1" aca="1" ref="AC90">_xlfn.LET(_xlpm._termname,$AB90,_xlpm._iconname,"find",_xlpm._icon,fx_getIcon(_xlpm._iconname),_xlpm._location,_xlfn.XLOOKUP(LOWER(_xlpm._termname),LOWER(tbl_acctDef[Term]),tbl_acctDef[Term]),_xlpm._hyperlink,HYPERLINK("#"&amp;CELL("address",_xlpm._location),_xlpm._icon),IFERROR(_xlpm._hyperlink,""))</f>
        <v/>
      </c>
      <c r="AD90" s="918">
        <f t="shared" si="38" ref="AD90:BN90">SUBTOTAL(9,AD76:AD89)-SUBTOTAL(9,AD82:AD87)-N(AD79)</f>
        <v>4</v>
      </c>
      <c r="AE90" s="918">
        <f t="shared" si="38"/>
        <v>4</v>
      </c>
      <c r="AF90" s="918">
        <f t="shared" si="38"/>
        <v>4</v>
      </c>
      <c r="AG90" s="918">
        <f t="shared" si="38"/>
        <v>4</v>
      </c>
      <c r="AH90" s="918">
        <f t="shared" si="38"/>
        <v>4</v>
      </c>
      <c r="AI90" s="918">
        <f t="shared" si="38"/>
        <v>4</v>
      </c>
      <c r="AJ90" s="918">
        <f t="shared" si="38"/>
        <v>4</v>
      </c>
      <c r="AK90" s="918">
        <f t="shared" si="38"/>
        <v>4</v>
      </c>
      <c r="AL90" s="918">
        <f t="shared" si="38"/>
        <v>4</v>
      </c>
      <c r="AM90" s="918">
        <f t="shared" si="38"/>
        <v>4</v>
      </c>
      <c r="AN90" s="918">
        <f t="shared" si="38"/>
        <v>4</v>
      </c>
      <c r="AO90" s="918">
        <f t="shared" si="38"/>
        <v>4</v>
      </c>
      <c r="AP90" s="918">
        <f t="shared" si="38"/>
        <v>4</v>
      </c>
      <c r="AQ90" s="918">
        <f t="shared" si="38"/>
        <v>4</v>
      </c>
      <c r="AR90" s="918">
        <f t="shared" si="38"/>
        <v>4</v>
      </c>
      <c r="AS90" s="918">
        <f t="shared" si="38"/>
        <v>4</v>
      </c>
      <c r="AT90" s="918">
        <f t="shared" si="38"/>
        <v>4</v>
      </c>
      <c r="AU90" s="918">
        <f t="shared" si="38"/>
        <v>4</v>
      </c>
      <c r="AV90" s="918">
        <f t="shared" si="38"/>
        <v>4</v>
      </c>
      <c r="AW90" s="918">
        <f t="shared" si="38"/>
        <v>4</v>
      </c>
      <c r="AX90" s="918">
        <f t="shared" si="38"/>
        <v>4</v>
      </c>
      <c r="AY90" s="918">
        <f t="shared" si="38"/>
        <v>4</v>
      </c>
      <c r="AZ90" s="918">
        <f t="shared" si="38"/>
        <v>4</v>
      </c>
      <c r="BA90" s="918">
        <f t="shared" si="38"/>
        <v>4</v>
      </c>
      <c r="BB90" s="918">
        <f t="shared" si="38"/>
        <v>4</v>
      </c>
      <c r="BC90" s="918">
        <f t="shared" si="38"/>
        <v>4</v>
      </c>
      <c r="BD90" s="918">
        <f t="shared" si="38"/>
        <v>4</v>
      </c>
      <c r="BE90" s="918">
        <f t="shared" si="38"/>
        <v>4</v>
      </c>
      <c r="BF90" s="918">
        <f t="shared" si="38"/>
        <v>4</v>
      </c>
      <c r="BG90" s="918">
        <f t="shared" si="38"/>
        <v>4</v>
      </c>
      <c r="BH90" s="918">
        <f t="shared" si="38"/>
        <v>4</v>
      </c>
      <c r="BI90" s="918">
        <f t="shared" si="38"/>
        <v>4</v>
      </c>
      <c r="BJ90" s="918">
        <f t="shared" si="38"/>
        <v>4</v>
      </c>
      <c r="BK90" s="918">
        <f t="shared" si="38"/>
        <v>4</v>
      </c>
      <c r="BL90" s="918">
        <f t="shared" si="38"/>
        <v>4</v>
      </c>
      <c r="BM90" s="918">
        <f t="shared" si="38"/>
        <v>4</v>
      </c>
      <c r="BN90" s="918">
        <f t="shared" si="38"/>
        <v>4</v>
      </c>
      <c r="BO90" s="2096"/>
      <c r="BP90" s="2096"/>
      <c r="BQ90" s="2096"/>
      <c r="BR90" s="2096"/>
      <c r="BS90" s="2096"/>
      <c r="BT90" s="2096"/>
      <c r="BU90" s="2096"/>
      <c r="BV90" s="2096"/>
      <c r="BW90" s="2096"/>
      <c r="BX90" s="2096"/>
      <c r="BY90" s="2096"/>
      <c r="BZ90" s="2096"/>
      <c r="CA90" s="34"/>
      <c r="CC90" s="33"/>
      <c r="CD90" s="1772" t="e" cm="1">
        <f t="array" ca="1" aca="1" ref="CD90">_xlfn.LET(_xlpm.CheckBlank,SUM(PL!$AD90:$BN90)=0,IF(_xlpm.CheckBlank,"",SUM(_xlfn._xlws.FILTER(PL!$AD90:$BN90,(YEAR(PL!$AD$12:$BN$12)=PL!CD$12)*(array_timeline&lt;=PL!CD$11)))))</f>
        <v>#NAME?</v>
      </c>
      <c r="CE90" s="1772" t="e" cm="1">
        <f t="array" ca="1" aca="1" ref="CE90">_xlfn.LET(_xlpm.CheckBlank,SUM(PL!$AD90:$BN90)=0,IF(_xlpm.CheckBlank,"",SUM(_xlfn._xlws.FILTER(PL!$AD90:$BN90,(YEAR(PL!$AD$12:$BN$12)=PL!CE$12)*(array_timeline&lt;=PL!CE$11)))))</f>
        <v>#NAME?</v>
      </c>
      <c r="CF90" s="88"/>
      <c r="CG90" s="1461" t="e" cm="1">
        <f t="array" ca="1" aca="1" ref="CG90">_xlfn.LET(_xlpm.CheckBlank,SUM(PL!$AD90:$BN90)=0,IF(_xlpm.CheckBlank,"",SUM(_xlfn._xlws.FILTER(PL!$AD90:$BN90,(YEAR(PL!$AD$12:$BN$12)=PL!CG$12)*(array_timeline&lt;=PL!CG$11)))))</f>
        <v>#NAME?</v>
      </c>
      <c r="CH90" s="1461" t="e" cm="1">
        <f t="array" ca="1" aca="1" ref="CH90">_xlfn.LET(_xlpm.CheckBlank,SUM(PL!$AD90:$BN90)=0,IF(_xlpm.CheckBlank,"",SUM(_xlfn._xlws.FILTER(PL!$AD90:$BN90,(YEAR(PL!$AD$12:$BN$12)=PL!CH$12)*(array_timeline&lt;=PL!CH$11)))))</f>
        <v>#NAME?</v>
      </c>
      <c r="CI90" s="88"/>
      <c r="CJ90" s="1461" cm="1">
        <f t="array" ref="CJ90">_xlfn.LET(_xlpm.CheckBlank,SUM(PL!$AD90:$BN90)=0,IF(_xlpm.CheckBlank,"",SUM(_xlfn.TAKE(_xlfn.DROP(PL!$AD90:$BN90,,-DATEDIFF(PL!CJ$11,val_asOfDate,"M")),1,-12))))</f>
        <v>48</v>
      </c>
      <c r="CK90" s="1461" cm="1">
        <f t="array" ref="CK90">_xlfn.LET(_xlpm.CheckBlank,SUM(PL!$AD90:$BN90)=0,IF(_xlpm.CheckBlank,"",SUM(_xlfn.TAKE(_xlfn.DROP(PL!$AD90:$BN90,,-DATEDIFF(PL!CK$11,val_asOfDate,"M")),1,-12))))</f>
        <v>48</v>
      </c>
      <c r="CL90" s="88"/>
      <c r="CM90" s="2446">
        <f t="shared" si="26"/>
        <v>4</v>
      </c>
      <c r="CN90" s="2446">
        <f t="shared" si="23"/>
        <v>4</v>
      </c>
      <c r="CO90" s="1169"/>
      <c r="CP90" s="2446">
        <f t="shared" si="27"/>
        <v>4</v>
      </c>
      <c r="CQ90" s="2446">
        <f t="shared" si="24"/>
        <v>4</v>
      </c>
      <c r="CR90" s="34"/>
      <c r="CS90" s="2056"/>
      <c r="CT90" s="2085" t="e" cm="1">
        <f t="array" ca="1" aca="1" ref="CT90">IF(K90&lt;&gt;"Yes","",IF(OR(Y90="Select,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III"),"",IF(OR(Y90&lt;&gt;AB90,AND(LEN(B90)=0,NOT(OR(Y90="Select,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III")))),_xldudf_CX_PUSH(Y90,CX_ENTITY,C90,EOMONTH(val_asOfDate,0)),"")))</f>
        <v>#NAME?</v>
      </c>
      <c r="CU90" s="2085" t="e" cm="1">
        <f t="array" ca="1" aca="1" ref="CU90">IF(K90&lt;&gt;"Yes","",IF(OR(Y90="Select,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III"),"",IF(OR(Y90&lt;&gt;AB90,AND(LEN(B90)=0,NOT(OR(Y90="Select,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III")))),_xldudf_CX_PUSH(Y90,CX_ENTITY,C90,EOMONTH(val_asOfDate,1)),"")))</f>
        <v>#NAME?</v>
      </c>
      <c r="CV90" s="2085" t="e" cm="1">
        <f t="array" ca="1" aca="1" ref="CV90">IF(K90&lt;&gt;"Yes","",IF(OR(Y90="Select,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III"),"",IF(OR(Y90&lt;&gt;AB90,AND(LEN(B90)=0,NOT(OR(Y90="Select,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III")))),_xldudf_CX_PUSH(Y90,CX_ENTITY,C90,EOMONTH(val_asOfDate,2)),"")))</f>
        <v>#NAME?</v>
      </c>
      <c r="CW90" s="2085" t="e" cm="1">
        <f t="array" ca="1" aca="1" ref="CW90">IF(K90&lt;&gt;"Yes","",IF(OR(Y90="Select,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III"),"",IF(OR(Y90&lt;&gt;AB90,AND(LEN(B90)=0,NOT(OR(Y90="Select,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III")))),_xldudf_CX_PUSH(Y90,CX_ENTITY,C90,EOMONTH(val_asOfDate,3)),"")))</f>
        <v>#NAME?</v>
      </c>
      <c r="CX90" s="2443"/>
      <c r="CY90" s="1880"/>
      <c r="CZ90" s="1880"/>
      <c r="DA90" s="1880"/>
      <c r="DB90" s="1880"/>
      <c r="DC90" s="2121"/>
      <c r="DD90" s="2445" t="str" cm="1">
        <f t="array" ca="1" aca="1" ref="DD90">IFERROR(IF(AD90*fxVal_normal=_PL!AD90,"",IF(OR(AD90="",NOT(ISNUMBER(AD90)),ISERROR(AD90),$B90=""),"",IF($I90=1,IFBLANK(_xldudf_CX_PUSH(AD90*fxVal_normal,CX_ENTITY,$B90,AD$11,AD$14,AD$75,),""),IF($I90=2,IFBLANK(_xldudf_CX_PUSH(AD90,CX_ENTITY,$B90,AD$11,AD$14,AD$75,),""),IF($I90=3,"",IFBLANK(_xldudf_CX_PUSH(AD90,CX_ENTITY,$B90,AD$11,AD$14,AD$75,),"")))))),"")</f>
        <v/>
      </c>
      <c r="DE90" s="2445" t="str" cm="1">
        <f t="array" ca="1" aca="1" ref="DE90">IFERROR(IF(AE90*fxVal_normal=_PL!AE90,"",IF(OR(AE90="",NOT(ISNUMBER(AE90)),ISERROR(AE90),$B90=""),"",IF($I90=1,IFBLANK(_xldudf_CX_PUSH(AE90*fxVal_normal,CX_ENTITY,$B90,AE$11,AE$14,AE$75,),""),IF($I90=2,IFBLANK(_xldudf_CX_PUSH(AE90,CX_ENTITY,$B90,AE$11,AE$14,AE$75,),""),IF($I90=3,"",IFBLANK(_xldudf_CX_PUSH(AE90,CX_ENTITY,$B90,AE$11,AE$14,AE$75,),"")))))),"")</f>
        <v/>
      </c>
      <c r="DF90" s="2445" t="str" cm="1">
        <f t="array" ca="1" aca="1" ref="DF90">IFERROR(IF(AF90*fxVal_normal=_PL!AF90,"",IF(OR(AF90="",NOT(ISNUMBER(AF90)),ISERROR(AF90),$B90=""),"",IF($I90=1,IFBLANK(_xldudf_CX_PUSH(AF90*fxVal_normal,CX_ENTITY,$B90,AF$11,AF$14,AF$75,),""),IF($I90=2,IFBLANK(_xldudf_CX_PUSH(AF90,CX_ENTITY,$B90,AF$11,AF$14,AF$75,),""),IF($I90=3,"",IFBLANK(_xldudf_CX_PUSH(AF90,CX_ENTITY,$B90,AF$11,AF$14,AF$75,),"")))))),"")</f>
        <v/>
      </c>
      <c r="DG90" s="2445" t="str" cm="1">
        <f t="array" ca="1" aca="1" ref="DG90">IFERROR(IF(AG90*fxVal_normal=_PL!AG90,"",IF(OR(AG90="",NOT(ISNUMBER(AG90)),ISERROR(AG90),$B90=""),"",IF($I90=1,IFBLANK(_xldudf_CX_PUSH(AG90*fxVal_normal,CX_ENTITY,$B90,AG$11,AG$14,AG$75,),""),IF($I90=2,IFBLANK(_xldudf_CX_PUSH(AG90,CX_ENTITY,$B90,AG$11,AG$14,AG$75,),""),IF($I90=3,"",IFBLANK(_xldudf_CX_PUSH(AG90,CX_ENTITY,$B90,AG$11,AG$14,AG$75,),"")))))),"")</f>
        <v/>
      </c>
      <c r="DH90" s="2445" t="str" cm="1">
        <f t="array" ca="1" aca="1" ref="DH90">IFERROR(IF(AH90*fxVal_normal=_PL!AH90,"",IF(OR(AH90="",NOT(ISNUMBER(AH90)),ISERROR(AH90),$B90=""),"",IF($I90=1,IFBLANK(_xldudf_CX_PUSH(AH90*fxVal_normal,CX_ENTITY,$B90,AH$11,AH$14,AH$75,),""),IF($I90=2,IFBLANK(_xldudf_CX_PUSH(AH90,CX_ENTITY,$B90,AH$11,AH$14,AH$75,),""),IF($I90=3,"",IFBLANK(_xldudf_CX_PUSH(AH90,CX_ENTITY,$B90,AH$11,AH$14,AH$75,),"")))))),"")</f>
        <v/>
      </c>
      <c r="DI90" s="2445" t="str" cm="1">
        <f t="array" ca="1" aca="1" ref="DI90">IFERROR(IF(AI90*fxVal_normal=_PL!AI90,"",IF(OR(AI90="",NOT(ISNUMBER(AI90)),ISERROR(AI90),$B90=""),"",IF($I90=1,IFBLANK(_xldudf_CX_PUSH(AI90*fxVal_normal,CX_ENTITY,$B90,AI$11,AI$14,AI$75,),""),IF($I90=2,IFBLANK(_xldudf_CX_PUSH(AI90,CX_ENTITY,$B90,AI$11,AI$14,AI$75,),""),IF($I90=3,"",IFBLANK(_xldudf_CX_PUSH(AI90,CX_ENTITY,$B90,AI$11,AI$14,AI$75,),"")))))),"")</f>
        <v/>
      </c>
      <c r="DJ90" s="2445" t="str" cm="1">
        <f t="array" ca="1" aca="1" ref="DJ90">IFERROR(IF(AJ90*fxVal_normal=_PL!AJ90,"",IF(OR(AJ90="",NOT(ISNUMBER(AJ90)),ISERROR(AJ90),$B90=""),"",IF($I90=1,IFBLANK(_xldudf_CX_PUSH(AJ90*fxVal_normal,CX_ENTITY,$B90,AJ$11,AJ$14,AJ$75,),""),IF($I90=2,IFBLANK(_xldudf_CX_PUSH(AJ90,CX_ENTITY,$B90,AJ$11,AJ$14,AJ$75,),""),IF($I90=3,"",IFBLANK(_xldudf_CX_PUSH(AJ90,CX_ENTITY,$B90,AJ$11,AJ$14,AJ$75,),"")))))),"")</f>
        <v/>
      </c>
      <c r="DK90" s="2445" t="str" cm="1">
        <f t="array" ca="1" aca="1" ref="DK90">IFERROR(IF(AK90*fxVal_normal=_PL!AK90,"",IF(OR(AK90="",NOT(ISNUMBER(AK90)),ISERROR(AK90),$B90=""),"",IF($I90=1,IFBLANK(_xldudf_CX_PUSH(AK90*fxVal_normal,CX_ENTITY,$B90,AK$11,AK$14,AK$75,),""),IF($I90=2,IFBLANK(_xldudf_CX_PUSH(AK90,CX_ENTITY,$B90,AK$11,AK$14,AK$75,),""),IF($I90=3,"",IFBLANK(_xldudf_CX_PUSH(AK90,CX_ENTITY,$B90,AK$11,AK$14,AK$75,),"")))))),"")</f>
        <v/>
      </c>
      <c r="DL90" s="2445" t="str" cm="1">
        <f t="array" ca="1" aca="1" ref="DL90">IFERROR(IF(AL90*fxVal_normal=_PL!AL90,"",IF(OR(AL90="",NOT(ISNUMBER(AL90)),ISERROR(AL90),$B90=""),"",IF($I90=1,IFBLANK(_xldudf_CX_PUSH(AL90*fxVal_normal,CX_ENTITY,$B90,AL$11,AL$14,AL$75,),""),IF($I90=2,IFBLANK(_xldudf_CX_PUSH(AL90,CX_ENTITY,$B90,AL$11,AL$14,AL$75,),""),IF($I90=3,"",IFBLANK(_xldudf_CX_PUSH(AL90,CX_ENTITY,$B90,AL$11,AL$14,AL$75,),"")))))),"")</f>
        <v/>
      </c>
      <c r="DM90" s="2445" t="str" cm="1">
        <f t="array" ca="1" aca="1" ref="DM90">IFERROR(IF(AM90*fxVal_normal=_PL!AM90,"",IF(OR(AM90="",NOT(ISNUMBER(AM90)),ISERROR(AM90),$B90=""),"",IF($I90=1,IFBLANK(_xldudf_CX_PUSH(AM90*fxVal_normal,CX_ENTITY,$B90,AM$11,AM$14,AM$75,),""),IF($I90=2,IFBLANK(_xldudf_CX_PUSH(AM90,CX_ENTITY,$B90,AM$11,AM$14,AM$75,),""),IF($I90=3,"",IFBLANK(_xldudf_CX_PUSH(AM90,CX_ENTITY,$B90,AM$11,AM$14,AM$75,),"")))))),"")</f>
        <v/>
      </c>
      <c r="DN90" s="2445" t="str" cm="1">
        <f t="array" ca="1" aca="1" ref="DN90">IFERROR(IF(AN90*fxVal_normal=_PL!AN90,"",IF(OR(AN90="",NOT(ISNUMBER(AN90)),ISERROR(AN90),$B90=""),"",IF($I90=1,IFBLANK(_xldudf_CX_PUSH(AN90*fxVal_normal,CX_ENTITY,$B90,AN$11,AN$14,AN$75,),""),IF($I90=2,IFBLANK(_xldudf_CX_PUSH(AN90,CX_ENTITY,$B90,AN$11,AN$14,AN$75,),""),IF($I90=3,"",IFBLANK(_xldudf_CX_PUSH(AN90,CX_ENTITY,$B90,AN$11,AN$14,AN$75,),"")))))),"")</f>
        <v/>
      </c>
      <c r="DO90" s="2445" t="str" cm="1">
        <f t="array" ca="1" aca="1" ref="DO90">IFERROR(IF(AO90*fxVal_normal=_PL!AO90,"",IF(OR(AO90="",NOT(ISNUMBER(AO90)),ISERROR(AO90),$B90=""),"",IF($I90=1,IFBLANK(_xldudf_CX_PUSH(AO90*fxVal_normal,CX_ENTITY,$B90,AO$11,AO$14,AO$75,),""),IF($I90=2,IFBLANK(_xldudf_CX_PUSH(AO90,CX_ENTITY,$B90,AO$11,AO$14,AO$75,),""),IF($I90=3,"",IFBLANK(_xldudf_CX_PUSH(AO90,CX_ENTITY,$B90,AO$11,AO$14,AO$75,),"")))))),"")</f>
        <v/>
      </c>
      <c r="DP90" s="2445" t="str" cm="1">
        <f t="array" ca="1" aca="1" ref="DP90">IFERROR(IF(AP90*fxVal_normal=_PL!AP90,"",IF(OR(AP90="",NOT(ISNUMBER(AP90)),ISERROR(AP90),$B90=""),"",IF($I90=1,IFBLANK(_xldudf_CX_PUSH(AP90*fxVal_normal,CX_ENTITY,$B90,AP$11,AP$14,AP$75,),""),IF($I90=2,IFBLANK(_xldudf_CX_PUSH(AP90,CX_ENTITY,$B90,AP$11,AP$14,AP$75,),""),IF($I90=3,"",IFBLANK(_xldudf_CX_PUSH(AP90,CX_ENTITY,$B90,AP$11,AP$14,AP$75,),"")))))),"")</f>
        <v/>
      </c>
      <c r="DQ90" s="2445" t="str" cm="1">
        <f t="array" ca="1" aca="1" ref="DQ90">IFERROR(IF(AQ90*fxVal_normal=_PL!AQ90,"",IF(OR(AQ90="",NOT(ISNUMBER(AQ90)),ISERROR(AQ90),$B90=""),"",IF($I90=1,IFBLANK(_xldudf_CX_PUSH(AQ90*fxVal_normal,CX_ENTITY,$B90,AQ$11,AQ$14,AQ$75,),""),IF($I90=2,IFBLANK(_xldudf_CX_PUSH(AQ90,CX_ENTITY,$B90,AQ$11,AQ$14,AQ$75,),""),IF($I90=3,"",IFBLANK(_xldudf_CX_PUSH(AQ90,CX_ENTITY,$B90,AQ$11,AQ$14,AQ$75,),"")))))),"")</f>
        <v/>
      </c>
      <c r="DR90" s="2445" t="str" cm="1">
        <f t="array" ca="1" aca="1" ref="DR90">IFERROR(IF(AR90*fxVal_normal=_PL!AR90,"",IF(OR(AR90="",NOT(ISNUMBER(AR90)),ISERROR(AR90),$B90=""),"",IF($I90=1,IFBLANK(_xldudf_CX_PUSH(AR90*fxVal_normal,CX_ENTITY,$B90,AR$11,AR$14,AR$75,),""),IF($I90=2,IFBLANK(_xldudf_CX_PUSH(AR90,CX_ENTITY,$B90,AR$11,AR$14,AR$75,),""),IF($I90=3,"",IFBLANK(_xldudf_CX_PUSH(AR90,CX_ENTITY,$B90,AR$11,AR$14,AR$75,),"")))))),"")</f>
        <v/>
      </c>
      <c r="DS90" s="2445" t="str" cm="1">
        <f t="array" ca="1" aca="1" ref="DS90">IFERROR(IF(AS90*fxVal_normal=_PL!AS90,"",IF(OR(AS90="",NOT(ISNUMBER(AS90)),ISERROR(AS90),$B90=""),"",IF($I90=1,IFBLANK(_xldudf_CX_PUSH(AS90*fxVal_normal,CX_ENTITY,$B90,AS$11,AS$14,AS$75,),""),IF($I90=2,IFBLANK(_xldudf_CX_PUSH(AS90,CX_ENTITY,$B90,AS$11,AS$14,AS$75,),""),IF($I90=3,"",IFBLANK(_xldudf_CX_PUSH(AS90,CX_ENTITY,$B90,AS$11,AS$14,AS$75,),"")))))),"")</f>
        <v/>
      </c>
      <c r="DT90" s="2445" t="str" cm="1">
        <f t="array" ca="1" aca="1" ref="DT90">IFERROR(IF(AT90*fxVal_normal=_PL!AT90,"",IF(OR(AT90="",NOT(ISNUMBER(AT90)),ISERROR(AT90),$B90=""),"",IF($I90=1,IFBLANK(_xldudf_CX_PUSH(AT90*fxVal_normal,CX_ENTITY,$B90,AT$11,AT$14,AT$75,),""),IF($I90=2,IFBLANK(_xldudf_CX_PUSH(AT90,CX_ENTITY,$B90,AT$11,AT$14,AT$75,),""),IF($I90=3,"",IFBLANK(_xldudf_CX_PUSH(AT90,CX_ENTITY,$B90,AT$11,AT$14,AT$75,),"")))))),"")</f>
        <v/>
      </c>
      <c r="DU90" s="2445" t="str" cm="1">
        <f t="array" ca="1" aca="1" ref="DU90">IFERROR(IF(AU90*fxVal_normal=_PL!AU90,"",IF(OR(AU90="",NOT(ISNUMBER(AU90)),ISERROR(AU90),$B90=""),"",IF($I90=1,IFBLANK(_xldudf_CX_PUSH(AU90*fxVal_normal,CX_ENTITY,$B90,AU$11,AU$14,AU$75,),""),IF($I90=2,IFBLANK(_xldudf_CX_PUSH(AU90,CX_ENTITY,$B90,AU$11,AU$14,AU$75,),""),IF($I90=3,"",IFBLANK(_xldudf_CX_PUSH(AU90,CX_ENTITY,$B90,AU$11,AU$14,AU$75,),"")))))),"")</f>
        <v/>
      </c>
      <c r="DV90" s="2445" t="str" cm="1">
        <f t="array" ca="1" aca="1" ref="DV90">IFERROR(IF(AV90*fxVal_normal=_PL!AV90,"",IF(OR(AV90="",NOT(ISNUMBER(AV90)),ISERROR(AV90),$B90=""),"",IF($I90=1,IFBLANK(_xldudf_CX_PUSH(AV90*fxVal_normal,CX_ENTITY,$B90,AV$11,AV$14,AV$75,),""),IF($I90=2,IFBLANK(_xldudf_CX_PUSH(AV90,CX_ENTITY,$B90,AV$11,AV$14,AV$75,),""),IF($I90=3,"",IFBLANK(_xldudf_CX_PUSH(AV90,CX_ENTITY,$B90,AV$11,AV$14,AV$75,),"")))))),"")</f>
        <v/>
      </c>
      <c r="DW90" s="2445" t="str" cm="1">
        <f t="array" ca="1" aca="1" ref="DW90">IFERROR(IF(AW90*fxVal_normal=_PL!AW90,"",IF(OR(AW90="",NOT(ISNUMBER(AW90)),ISERROR(AW90),$B90=""),"",IF($I90=1,IFBLANK(_xldudf_CX_PUSH(AW90*fxVal_normal,CX_ENTITY,$B90,AW$11,AW$14,AW$75,),""),IF($I90=2,IFBLANK(_xldudf_CX_PUSH(AW90,CX_ENTITY,$B90,AW$11,AW$14,AW$75,),""),IF($I90=3,"",IFBLANK(_xldudf_CX_PUSH(AW90,CX_ENTITY,$B90,AW$11,AW$14,AW$75,),"")))))),"")</f>
        <v/>
      </c>
      <c r="DX90" s="2445" t="str" cm="1">
        <f t="array" ca="1" aca="1" ref="DX90">IFERROR(IF(AX90*fxVal_normal=_PL!AX90,"",IF(OR(AX90="",NOT(ISNUMBER(AX90)),ISERROR(AX90),$B90=""),"",IF($I90=1,IFBLANK(_xldudf_CX_PUSH(AX90*fxVal_normal,CX_ENTITY,$B90,AX$11,AX$14,AX$75,),""),IF($I90=2,IFBLANK(_xldudf_CX_PUSH(AX90,CX_ENTITY,$B90,AX$11,AX$14,AX$75,),""),IF($I90=3,"",IFBLANK(_xldudf_CX_PUSH(AX90,CX_ENTITY,$B90,AX$11,AX$14,AX$75,),"")))))),"")</f>
        <v/>
      </c>
      <c r="DY90" s="2445" t="str" cm="1">
        <f t="array" ca="1" aca="1" ref="DY90">IFERROR(IF(AY90*fxVal_normal=_PL!AY90,"",IF(OR(AY90="",NOT(ISNUMBER(AY90)),ISERROR(AY90),$B90=""),"",IF($I90=1,IFBLANK(_xldudf_CX_PUSH(AY90*fxVal_normal,CX_ENTITY,$B90,AY$11,AY$14,AY$75,),""),IF($I90=2,IFBLANK(_xldudf_CX_PUSH(AY90,CX_ENTITY,$B90,AY$11,AY$14,AY$75,),""),IF($I90=3,"",IFBLANK(_xldudf_CX_PUSH(AY90,CX_ENTITY,$B90,AY$11,AY$14,AY$75,),"")))))),"")</f>
        <v/>
      </c>
      <c r="DZ90" s="2445" t="str" cm="1">
        <f t="array" ca="1" aca="1" ref="DZ90">IFERROR(IF(AZ90*fxVal_normal=_PL!AZ90,"",IF(OR(AZ90="",NOT(ISNUMBER(AZ90)),ISERROR(AZ90),$B90=""),"",IF($I90=1,IFBLANK(_xldudf_CX_PUSH(AZ90*fxVal_normal,CX_ENTITY,$B90,AZ$11,AZ$14,AZ$75,),""),IF($I90=2,IFBLANK(_xldudf_CX_PUSH(AZ90,CX_ENTITY,$B90,AZ$11,AZ$14,AZ$75,),""),IF($I90=3,"",IFBLANK(_xldudf_CX_PUSH(AZ90,CX_ENTITY,$B90,AZ$11,AZ$14,AZ$75,),"")))))),"")</f>
        <v/>
      </c>
      <c r="EA90" s="2445" t="str" cm="1">
        <f t="array" ca="1" aca="1" ref="EA90">IFERROR(IF(BA90*fxVal_normal=_PL!BA90,"",IF(OR(BA90="",NOT(ISNUMBER(BA90)),ISERROR(BA90),$B90=""),"",IF($I90=1,IFBLANK(_xldudf_CX_PUSH(BA90*fxVal_normal,CX_ENTITY,$B90,BA$11,BA$14,BA$75,),""),IF($I90=2,IFBLANK(_xldudf_CX_PUSH(BA90,CX_ENTITY,$B90,BA$11,BA$14,BA$75,),""),IF($I90=3,"",IFBLANK(_xldudf_CX_PUSH(BA90,CX_ENTITY,$B90,BA$11,BA$14,BA$75,),"")))))),"")</f>
        <v/>
      </c>
      <c r="EB90" s="2445" t="str" cm="1">
        <f t="array" ca="1" aca="1" ref="EB90">IFERROR(IF(BB90*fxVal_normal=_PL!BB90,"",IF(OR(BB90="",NOT(ISNUMBER(BB90)),ISERROR(BB90),$B90=""),"",IF($I90=1,IFBLANK(_xldudf_CX_PUSH(BB90*fxVal_normal,CX_ENTITY,$B90,BB$11,BB$14,BB$75,),""),IF($I90=2,IFBLANK(_xldudf_CX_PUSH(BB90,CX_ENTITY,$B90,BB$11,BB$14,BB$75,),""),IF($I90=3,"",IFBLANK(_xldudf_CX_PUSH(BB90,CX_ENTITY,$B90,BB$11,BB$14,BB$75,),"")))))),"")</f>
        <v/>
      </c>
      <c r="EC90" s="2445" t="str" cm="1">
        <f t="array" ca="1" aca="1" ref="EC90">IFERROR(IF(BC90*fxVal_normal=_PL!BC90,"",IF(OR(BC90="",NOT(ISNUMBER(BC90)),ISERROR(BC90),$B90=""),"",IF($I90=1,IFBLANK(_xldudf_CX_PUSH(BC90*fxVal_normal,CX_ENTITY,$B90,BC$11,BC$14,BC$75,),""),IF($I90=2,IFBLANK(_xldudf_CX_PUSH(BC90,CX_ENTITY,$B90,BC$11,BC$14,BC$75,),""),IF($I90=3,"",IFBLANK(_xldudf_CX_PUSH(BC90,CX_ENTITY,$B90,BC$11,BC$14,BC$75,),"")))))),"")</f>
        <v/>
      </c>
      <c r="ED90" s="2445" t="str" cm="1">
        <f t="array" ca="1" aca="1" ref="ED90">IFERROR(IF(BD90*fxVal_normal=_PL!BD90,"",IF(OR(BD90="",NOT(ISNUMBER(BD90)),ISERROR(BD90),$B90=""),"",IF($I90=1,IFBLANK(_xldudf_CX_PUSH(BD90*fxVal_normal,CX_ENTITY,$B90,BD$11,BD$14,BD$75,),""),IF($I90=2,IFBLANK(_xldudf_CX_PUSH(BD90,CX_ENTITY,$B90,BD$11,BD$14,BD$75,),""),IF($I90=3,"",IFBLANK(_xldudf_CX_PUSH(BD90,CX_ENTITY,$B90,BD$11,BD$14,BD$75,),"")))))),"")</f>
        <v/>
      </c>
      <c r="EE90" s="2445" t="str" cm="1">
        <f t="array" ca="1" aca="1" ref="EE90">IFERROR(IF(BE90*fxVal_normal=_PL!BE90,"",IF(OR(BE90="",NOT(ISNUMBER(BE90)),ISERROR(BE90),$B90=""),"",IF($I90=1,IFBLANK(_xldudf_CX_PUSH(BE90*fxVal_normal,CX_ENTITY,$B90,BE$11,BE$14,BE$75,),""),IF($I90=2,IFBLANK(_xldudf_CX_PUSH(BE90,CX_ENTITY,$B90,BE$11,BE$14,BE$75,),""),IF($I90=3,"",IFBLANK(_xldudf_CX_PUSH(BE90,CX_ENTITY,$B90,BE$11,BE$14,BE$75,),"")))))),"")</f>
        <v/>
      </c>
      <c r="EF90" s="2445" t="str" cm="1">
        <f t="array" ca="1" aca="1" ref="EF90">IFERROR(IF(BF90*fxVal_normal=_PL!BF90,"",IF(OR(BF90="",NOT(ISNUMBER(BF90)),ISERROR(BF90),$B90=""),"",IF($I90=1,IFBLANK(_xldudf_CX_PUSH(BF90*fxVal_normal,CX_ENTITY,$B90,BF$11,BF$14,BF$75,),""),IF($I90=2,IFBLANK(_xldudf_CX_PUSH(BF90,CX_ENTITY,$B90,BF$11,BF$14,BF$75,),""),IF($I90=3,"",IFBLANK(_xldudf_CX_PUSH(BF90,CX_ENTITY,$B90,BF$11,BF$14,BF$75,),"")))))),"")</f>
        <v/>
      </c>
      <c r="EG90" s="2445" t="str" cm="1">
        <f t="array" ca="1" aca="1" ref="EG90">IFERROR(IF(BG90*fxVal_normal=_PL!BG90,"",IF(OR(BG90="",NOT(ISNUMBER(BG90)),ISERROR(BG90),$B90=""),"",IF($I90=1,IFBLANK(_xldudf_CX_PUSH(BG90*fxVal_normal,CX_ENTITY,$B90,BG$11,BG$14,BG$75,),""),IF($I90=2,IFBLANK(_xldudf_CX_PUSH(BG90,CX_ENTITY,$B90,BG$11,BG$14,BG$75,),""),IF($I90=3,"",IFBLANK(_xldudf_CX_PUSH(BG90,CX_ENTITY,$B90,BG$11,BG$14,BG$75,),"")))))),"")</f>
        <v/>
      </c>
      <c r="EH90" s="2445" t="str" cm="1">
        <f t="array" ca="1" aca="1" ref="EH90">IFERROR(IF(BH90*fxVal_normal=_PL!BH90,"",IF(OR(BH90="",NOT(ISNUMBER(BH90)),ISERROR(BH90),$B90=""),"",IF($I90=1,IFBLANK(_xldudf_CX_PUSH(BH90*fxVal_normal,CX_ENTITY,$B90,BH$11,BH$14,BH$75,),""),IF($I90=2,IFBLANK(_xldudf_CX_PUSH(BH90,CX_ENTITY,$B90,BH$11,BH$14,BH$75,),""),IF($I90=3,"",IFBLANK(_xldudf_CX_PUSH(BH90,CX_ENTITY,$B90,BH$11,BH$14,BH$75,),"")))))),"")</f>
        <v/>
      </c>
      <c r="EI90" s="2445" t="str" cm="1">
        <f t="array" ca="1" aca="1" ref="EI90">IFERROR(IF(BI90*fxVal_normal=_PL!BI90,"",IF(OR(BI90="",NOT(ISNUMBER(BI90)),ISERROR(BI90),$B90=""),"",IF($I90=1,IFBLANK(_xldudf_CX_PUSH(BI90*fxVal_normal,CX_ENTITY,$B90,BI$11,BI$14,BI$75,),""),IF($I90=2,IFBLANK(_xldudf_CX_PUSH(BI90,CX_ENTITY,$B90,BI$11,BI$14,BI$75,),""),IF($I90=3,"",IFBLANK(_xldudf_CX_PUSH(BI90,CX_ENTITY,$B90,BI$11,BI$14,BI$75,),"")))))),"")</f>
        <v/>
      </c>
      <c r="EJ90" s="2445" t="str" cm="1">
        <f t="array" ca="1" aca="1" ref="EJ90">IFERROR(IF(BJ90*fxVal_normal=_PL!BJ90,"",IF(OR(BJ90="",NOT(ISNUMBER(BJ90)),ISERROR(BJ90),$B90=""),"",IF($I90=1,IFBLANK(_xldudf_CX_PUSH(BJ90*fxVal_normal,CX_ENTITY,$B90,BJ$11,BJ$14,BJ$75,),""),IF($I90=2,IFBLANK(_xldudf_CX_PUSH(BJ90,CX_ENTITY,$B90,BJ$11,BJ$14,BJ$75,),""),IF($I90=3,"",IFBLANK(_xldudf_CX_PUSH(BJ90,CX_ENTITY,$B90,BJ$11,BJ$14,BJ$75,),"")))))),"")</f>
        <v/>
      </c>
      <c r="EK90" s="2445" t="str" cm="1">
        <f t="array" ca="1" aca="1" ref="EK90">IFERROR(IF(BK90*fxVal_normal=_PL!BK90,"",IF(OR(BK90="",NOT(ISNUMBER(BK90)),ISERROR(BK90),$B90=""),"",IF($I90=1,IFBLANK(_xldudf_CX_PUSH(BK90*fxVal_normal,CX_ENTITY,$B90,BK$11,BK$14,BK$75,),""),IF($I90=2,IFBLANK(_xldudf_CX_PUSH(BK90,CX_ENTITY,$B90,BK$11,BK$14,BK$75,),""),IF($I90=3,"",IFBLANK(_xldudf_CX_PUSH(BK90,CX_ENTITY,$B90,BK$11,BK$14,BK$75,),"")))))),"")</f>
        <v/>
      </c>
      <c r="EL90" s="2445" t="str" cm="1">
        <f t="array" ca="1" aca="1" ref="EL90">IFERROR(IF(BL90*fxVal_normal=_PL!BL90,"",IF(OR(BL90="",NOT(ISNUMBER(BL90)),ISERROR(BL90),$B90=""),"",IF($I90=1,IFBLANK(_xldudf_CX_PUSH(BL90*fxVal_normal,CX_ENTITY,$B90,BL$11,BL$14,BL$75,),""),IF($I90=2,IFBLANK(_xldudf_CX_PUSH(BL90,CX_ENTITY,$B90,BL$11,BL$14,BL$75,),""),IF($I90=3,"",IFBLANK(_xldudf_CX_PUSH(BL90,CX_ENTITY,$B90,BL$11,BL$14,BL$75,),"")))))),"")</f>
        <v/>
      </c>
      <c r="EM90" s="2445" t="str" cm="1">
        <f t="array" ca="1" aca="1" ref="EM90">IFERROR(IF(BM90*fxVal_normal=_PL!BM90,"",IF(OR(BM90="",NOT(ISNUMBER(BM90)),ISERROR(BM90),$B90=""),"",IF($I90=1,IFBLANK(_xldudf_CX_PUSH(BM90*fxVal_normal,CX_ENTITY,$B90,BM$11,BM$14,BM$75,),""),IF($I90=2,IFBLANK(_xldudf_CX_PUSH(BM90,CX_ENTITY,$B90,BM$11,BM$14,BM$75,),""),IF($I90=3,"",IFBLANK(_xldudf_CX_PUSH(BM90,CX_ENTITY,$B90,BM$11,BM$14,BM$75,),"")))))),"")</f>
        <v/>
      </c>
      <c r="EN90" s="2445" t="str" cm="1">
        <f t="array" ca="1" aca="1" ref="EN90">IFERROR(IF(BN90*fxVal_normal=_PL!BN90,"",IF(OR(BN90="",NOT(ISNUMBER(BN90)),ISERROR(BN90),$B90=""),"",IF($I90=1,IFBLANK(_xldudf_CX_PUSH(BN90*fxVal_normal,CX_ENTITY,$B90,BN$11,BN$14,BN$75,),""),IF($I90=2,IFBLANK(_xldudf_CX_PUSH(BN90,CX_ENTITY,$B90,BN$11,BN$14,BN$75,),""),IF($I90=3,"",IFBLANK(_xldudf_CX_PUSH(BN90,CX_ENTITY,$B90,BN$11,BN$14,BN$75,),"")))))),"")</f>
        <v/>
      </c>
    </row>
    <row r="91" spans="1:144" ht="21" customHeight="1">
      <c r="A91" s="1625"/>
      <c r="B91" s="2501" t="str">
        <f>_xlfn.LET(_xlpm.IsNotAttrDynamic,D91="",_xlpm.Attr,_PL!F91,_xlpm.NotInUse,Y91=D91,_xlpm.RESULT,IF(_xlpm.IsNotAttrDynamic,_xlpm.Attr,IF(_xlpm.NotInUse,"",Y91)),IF(_xlpm.RESULT="","",_xlpm.RESULT))</f>
        <v>Amortization</v>
      </c>
      <c r="C91" s="2501" t="str" cm="1">
        <f t="array" ref="C91">IFBLANK(_PL!C91,"")</f>
        <v>Amortization (Company View)</v>
      </c>
      <c r="D91" s="1548"/>
      <c r="E91" s="2440" t="e" cm="1">
        <f t="array" ca="1" aca="1" ref="E9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91:$CQ91,Z91)</f>
        <v>#NAME?</v>
      </c>
      <c r="F91" s="578"/>
      <c r="G91" s="578"/>
      <c r="H91" s="578">
        <v>0</v>
      </c>
      <c r="I91" s="3279">
        <v>1</v>
      </c>
      <c r="J91" s="3280" cm="1">
        <f t="array" ref="J91">IFBLANK(Z91,"")</f>
        <v>1</v>
      </c>
      <c r="K91" s="578" t="str">
        <f t="shared" si="17"/>
        <v>Yes</v>
      </c>
      <c r="L91" s="37"/>
      <c r="N91" s="158"/>
      <c r="O91" s="101"/>
      <c r="P91" s="52"/>
      <c r="Q91" s="101"/>
      <c r="R91" s="126"/>
      <c r="S91" s="101"/>
      <c r="T91" s="101"/>
      <c r="U91" s="39"/>
      <c r="V91" s="37"/>
      <c r="W91" s="91" t="str">
        <f t="shared" si="28"/>
        <v>Budget</v>
      </c>
      <c r="X91" s="2081">
        <f>_PL!X91</f>
        <v>-1</v>
      </c>
      <c r="Y91" s="3192">
        <f t="shared" si="36"/>
        <v>2</v>
      </c>
      <c r="Z91" s="3291" cm="1">
        <f t="array" ref="Z91">_xlfn.SWITCH(TRUE,_PL!$L91=TRUE,1,_PL!$L91=FALSE,-1,_PL!$L91=-1,0,"")</f>
        <v>1</v>
      </c>
      <c r="AA91" s="200"/>
      <c r="AB91" s="1134" t="str">
        <f>_PL!AB91</f>
        <v>Amortization</v>
      </c>
      <c r="AC91" s="275" t="e" vm="5" cm="1">
        <f t="array" ca="1" aca="1" ref="AC91">_xlfn.LET(_xlpm._termname,$AB91,_xlpm._iconname,"find",_xlpm._icon,fx_getIcon(_xlpm._iconname),_xlpm._location,_xlfn.XLOOKUP(LOWER(_xlpm._termname),LOWER(tbl_acctDef[Term]),tbl_acctDef[Term]),_xlpm._hyperlink,HYPERLINK("#"&amp;CELL("address",_xlpm._location),_xlpm._icon),IFERROR(_xlpm._hyperlink,""))</f>
        <v>#VALUE!</v>
      </c>
      <c r="AD91" s="3177">
        <v>1</v>
      </c>
      <c r="AE91" s="3177">
        <v>1</v>
      </c>
      <c r="AF91" s="3177">
        <v>1</v>
      </c>
      <c r="AG91" s="3177">
        <v>1</v>
      </c>
      <c r="AH91" s="3177">
        <v>1</v>
      </c>
      <c r="AI91" s="3177">
        <v>1</v>
      </c>
      <c r="AJ91" s="3177">
        <v>1</v>
      </c>
      <c r="AK91" s="3177">
        <v>1</v>
      </c>
      <c r="AL91" s="3177">
        <v>1</v>
      </c>
      <c r="AM91" s="3177">
        <v>1</v>
      </c>
      <c r="AN91" s="3177">
        <v>1</v>
      </c>
      <c r="AO91" s="3177">
        <v>1</v>
      </c>
      <c r="AP91" s="3177">
        <v>1</v>
      </c>
      <c r="AQ91" s="3177">
        <v>1</v>
      </c>
      <c r="AR91" s="3177">
        <v>1</v>
      </c>
      <c r="AS91" s="3177">
        <v>1</v>
      </c>
      <c r="AT91" s="3177">
        <v>1</v>
      </c>
      <c r="AU91" s="3177">
        <v>1</v>
      </c>
      <c r="AV91" s="3177">
        <v>1</v>
      </c>
      <c r="AW91" s="3177">
        <v>1</v>
      </c>
      <c r="AX91" s="3177">
        <v>1</v>
      </c>
      <c r="AY91" s="3177">
        <v>1</v>
      </c>
      <c r="AZ91" s="3177">
        <v>1</v>
      </c>
      <c r="BA91" s="3177">
        <v>1</v>
      </c>
      <c r="BB91" s="3177">
        <v>1</v>
      </c>
      <c r="BC91" s="3177">
        <v>1</v>
      </c>
      <c r="BD91" s="3177">
        <v>1</v>
      </c>
      <c r="BE91" s="3177">
        <v>1</v>
      </c>
      <c r="BF91" s="3177">
        <v>1</v>
      </c>
      <c r="BG91" s="3177">
        <v>1</v>
      </c>
      <c r="BH91" s="3177">
        <v>1</v>
      </c>
      <c r="BI91" s="3177">
        <v>1</v>
      </c>
      <c r="BJ91" s="3177">
        <v>1</v>
      </c>
      <c r="BK91" s="3177">
        <v>1</v>
      </c>
      <c r="BL91" s="3177">
        <v>1</v>
      </c>
      <c r="BM91" s="3177">
        <v>1</v>
      </c>
      <c r="BN91" s="3177">
        <v>1</v>
      </c>
      <c r="BO91" s="2442"/>
      <c r="BP91" s="2442"/>
      <c r="BQ91" s="2442"/>
      <c r="BR91" s="2442"/>
      <c r="BS91" s="2442"/>
      <c r="BT91" s="2442"/>
      <c r="BU91" s="2442"/>
      <c r="BV91" s="2442"/>
      <c r="BW91" s="2442"/>
      <c r="BX91" s="2442"/>
      <c r="BY91" s="2442"/>
      <c r="BZ91" s="2442"/>
      <c r="CA91" s="34"/>
      <c r="CC91" s="33"/>
      <c r="CD91" s="1772" t="e" cm="1">
        <f t="array" ca="1" aca="1" ref="CD91">_xlfn.LET(_xlpm.CheckBlank,SUM(PL!$AD91:$BN91)=0,IF(_xlpm.CheckBlank,"",SUM(_xlfn._xlws.FILTER(PL!$AD91:$BN91,(YEAR(PL!$AD$12:$BN$12)=PL!CD$12)*(array_timeline&lt;=PL!CD$11)))))</f>
        <v>#NAME?</v>
      </c>
      <c r="CE91" s="1772" t="e" cm="1">
        <f t="array" ca="1" aca="1" ref="CE91">_xlfn.LET(_xlpm.CheckBlank,SUM(PL!$AD91:$BN91)=0,IF(_xlpm.CheckBlank,"",SUM(_xlfn._xlws.FILTER(PL!$AD91:$BN91,(YEAR(PL!$AD$12:$BN$12)=PL!CE$12)*(array_timeline&lt;=PL!CE$11)))))</f>
        <v>#NAME?</v>
      </c>
      <c r="CF91" s="88"/>
      <c r="CG91" s="1461" t="e" cm="1">
        <f t="array" ca="1" aca="1" ref="CG91">_xlfn.LET(_xlpm.CheckBlank,SUM(PL!$AD91:$BN91)=0,IF(_xlpm.CheckBlank,"",SUM(_xlfn._xlws.FILTER(PL!$AD91:$BN91,(YEAR(PL!$AD$12:$BN$12)=PL!CG$12)*(array_timeline&lt;=PL!CG$11)))))</f>
        <v>#NAME?</v>
      </c>
      <c r="CH91" s="1461" t="e" cm="1">
        <f t="array" ca="1" aca="1" ref="CH91">_xlfn.LET(_xlpm.CheckBlank,SUM(PL!$AD91:$BN91)=0,IF(_xlpm.CheckBlank,"",SUM(_xlfn._xlws.FILTER(PL!$AD91:$BN91,(YEAR(PL!$AD$12:$BN$12)=PL!CH$12)*(array_timeline&lt;=PL!CH$11)))))</f>
        <v>#NAME?</v>
      </c>
      <c r="CI91" s="88"/>
      <c r="CJ91" s="1461" cm="1">
        <f t="array" ref="CJ91">_xlfn.LET(_xlpm.CheckBlank,SUM(PL!$AD91:$BN91)=0,IF(_xlpm.CheckBlank,"",SUM(_xlfn.TAKE(_xlfn.DROP(PL!$AD91:$BN91,,-DATEDIFF(PL!CJ$11,val_asOfDate,"M")),1,-12))))</f>
        <v>12</v>
      </c>
      <c r="CK91" s="1461" cm="1">
        <f t="array" ref="CK91">_xlfn.LET(_xlpm.CheckBlank,SUM(PL!$AD91:$BN91)=0,IF(_xlpm.CheckBlank,"",SUM(_xlfn.TAKE(_xlfn.DROP(PL!$AD91:$BN91,,-DATEDIFF(PL!CK$11,val_asOfDate,"M")),1,-12))))</f>
        <v>12</v>
      </c>
      <c r="CL91" s="88"/>
      <c r="CM91" s="3194">
        <f t="shared" si="26"/>
        <v>1</v>
      </c>
      <c r="CN91" s="3194">
        <f t="shared" si="23"/>
        <v>1</v>
      </c>
      <c r="CO91" s="1169"/>
      <c r="CP91" s="3180">
        <f t="shared" si="27"/>
        <v>1</v>
      </c>
      <c r="CQ91" s="3180">
        <f t="shared" si="24"/>
        <v>1</v>
      </c>
      <c r="CR91" s="34"/>
      <c r="CS91" s="2056"/>
      <c r="CT91" s="2085" t="e" cm="1">
        <f t="array" ca="1" aca="1" ref="CT91">IF(K91&lt;&gt;"Yes","",IF(OR(Y91="Select,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III"),"",IF(OR(Y91&lt;&gt;AB91,AND(LEN(B91)=0,NOT(OR(Y91="Select,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III")))),_xldudf_CX_PUSH(Y91,CX_ENTITY,C91,EOMONTH(val_asOfDate,0)),"")))</f>
        <v>#NAME?</v>
      </c>
      <c r="CU91" s="2085" t="e" cm="1">
        <f t="array" ca="1" aca="1" ref="CU91">IF(K91&lt;&gt;"Yes","",IF(OR(Y91="Select,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III"),"",IF(OR(Y91&lt;&gt;AB91,AND(LEN(B91)=0,NOT(OR(Y91="Select,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III")))),_xldudf_CX_PUSH(Y91,CX_ENTITY,C91,EOMONTH(val_asOfDate,1)),"")))</f>
        <v>#NAME?</v>
      </c>
      <c r="CV91" s="2085" t="e" cm="1">
        <f t="array" ca="1" aca="1" ref="CV91">IF(K91&lt;&gt;"Yes","",IF(OR(Y91="Select,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III"),"",IF(OR(Y91&lt;&gt;AB91,AND(LEN(B91)=0,NOT(OR(Y91="Select,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III")))),_xldudf_CX_PUSH(Y91,CX_ENTITY,C91,EOMONTH(val_asOfDate,2)),"")))</f>
        <v>#NAME?</v>
      </c>
      <c r="CW91" s="2085" t="e" cm="1">
        <f t="array" ca="1" aca="1" ref="CW91">IF(K91&lt;&gt;"Yes","",IF(OR(Y91="Select,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III"),"",IF(OR(Y91&lt;&gt;AB91,AND(LEN(B91)=0,NOT(OR(Y91="Select,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III")))),_xldudf_CX_PUSH(Y91,CX_ENTITY,C91,EOMONTH(val_asOfDate,3)),"")))</f>
        <v>#NAME?</v>
      </c>
      <c r="CX91" s="2443"/>
      <c r="CY91" s="1880"/>
      <c r="CZ91" s="1880"/>
      <c r="DA91" s="1880"/>
      <c r="DB91" s="1880"/>
      <c r="DC91" s="2121"/>
      <c r="DD91" s="2445" t="str" cm="1">
        <f t="array" ca="1" aca="1" ref="DD91">IFERROR(IF(AD91*fxVal_normal=_PL!AD91,"",IF(OR(AD91="",NOT(ISNUMBER(AD91)),ISERROR(AD91),$B91=""),"",IF($I91=1,IFBLANK(_xldudf_CX_PUSH(AD91*fxVal_normal,CX_ENTITY,$B91,AD$11,AD$14,AD$75,),""),IF($I91=2,IFBLANK(_xldudf_CX_PUSH(AD91,CX_ENTITY,$B91,AD$11,AD$14,AD$75,),""),IF($I91=3,"",IFBLANK(_xldudf_CX_PUSH(AD91,CX_ENTITY,$B91,AD$11,AD$14,AD$75,),"")))))),"")</f>
        <v/>
      </c>
      <c r="DE91" s="2445" t="str" cm="1">
        <f t="array" ca="1" aca="1" ref="DE91">IFERROR(IF(AE91*fxVal_normal=_PL!AE91,"",IF(OR(AE91="",NOT(ISNUMBER(AE91)),ISERROR(AE91),$B91=""),"",IF($I91=1,IFBLANK(_xldudf_CX_PUSH(AE91*fxVal_normal,CX_ENTITY,$B91,AE$11,AE$14,AE$75,),""),IF($I91=2,IFBLANK(_xldudf_CX_PUSH(AE91,CX_ENTITY,$B91,AE$11,AE$14,AE$75,),""),IF($I91=3,"",IFBLANK(_xldudf_CX_PUSH(AE91,CX_ENTITY,$B91,AE$11,AE$14,AE$75,),"")))))),"")</f>
        <v/>
      </c>
      <c r="DF91" s="2445" t="str" cm="1">
        <f t="array" ca="1" aca="1" ref="DF91">IFERROR(IF(AF91*fxVal_normal=_PL!AF91,"",IF(OR(AF91="",NOT(ISNUMBER(AF91)),ISERROR(AF91),$B91=""),"",IF($I91=1,IFBLANK(_xldudf_CX_PUSH(AF91*fxVal_normal,CX_ENTITY,$B91,AF$11,AF$14,AF$75,),""),IF($I91=2,IFBLANK(_xldudf_CX_PUSH(AF91,CX_ENTITY,$B91,AF$11,AF$14,AF$75,),""),IF($I91=3,"",IFBLANK(_xldudf_CX_PUSH(AF91,CX_ENTITY,$B91,AF$11,AF$14,AF$75,),"")))))),"")</f>
        <v/>
      </c>
      <c r="DG91" s="2445" t="str" cm="1">
        <f t="array" ca="1" aca="1" ref="DG91">IFERROR(IF(AG91*fxVal_normal=_PL!AG91,"",IF(OR(AG91="",NOT(ISNUMBER(AG91)),ISERROR(AG91),$B91=""),"",IF($I91=1,IFBLANK(_xldudf_CX_PUSH(AG91*fxVal_normal,CX_ENTITY,$B91,AG$11,AG$14,AG$75,),""),IF($I91=2,IFBLANK(_xldudf_CX_PUSH(AG91,CX_ENTITY,$B91,AG$11,AG$14,AG$75,),""),IF($I91=3,"",IFBLANK(_xldudf_CX_PUSH(AG91,CX_ENTITY,$B91,AG$11,AG$14,AG$75,),"")))))),"")</f>
        <v/>
      </c>
      <c r="DH91" s="2445" t="str" cm="1">
        <f t="array" ca="1" aca="1" ref="DH91">IFERROR(IF(AH91*fxVal_normal=_PL!AH91,"",IF(OR(AH91="",NOT(ISNUMBER(AH91)),ISERROR(AH91),$B91=""),"",IF($I91=1,IFBLANK(_xldudf_CX_PUSH(AH91*fxVal_normal,CX_ENTITY,$B91,AH$11,AH$14,AH$75,),""),IF($I91=2,IFBLANK(_xldudf_CX_PUSH(AH91,CX_ENTITY,$B91,AH$11,AH$14,AH$75,),""),IF($I91=3,"",IFBLANK(_xldudf_CX_PUSH(AH91,CX_ENTITY,$B91,AH$11,AH$14,AH$75,),"")))))),"")</f>
        <v/>
      </c>
      <c r="DI91" s="2445" t="str" cm="1">
        <f t="array" ca="1" aca="1" ref="DI91">IFERROR(IF(AI91*fxVal_normal=_PL!AI91,"",IF(OR(AI91="",NOT(ISNUMBER(AI91)),ISERROR(AI91),$B91=""),"",IF($I91=1,IFBLANK(_xldudf_CX_PUSH(AI91*fxVal_normal,CX_ENTITY,$B91,AI$11,AI$14,AI$75,),""),IF($I91=2,IFBLANK(_xldudf_CX_PUSH(AI91,CX_ENTITY,$B91,AI$11,AI$14,AI$75,),""),IF($I91=3,"",IFBLANK(_xldudf_CX_PUSH(AI91,CX_ENTITY,$B91,AI$11,AI$14,AI$75,),"")))))),"")</f>
        <v/>
      </c>
      <c r="DJ91" s="2445" t="str" cm="1">
        <f t="array" ca="1" aca="1" ref="DJ91">IFERROR(IF(AJ91*fxVal_normal=_PL!AJ91,"",IF(OR(AJ91="",NOT(ISNUMBER(AJ91)),ISERROR(AJ91),$B91=""),"",IF($I91=1,IFBLANK(_xldudf_CX_PUSH(AJ91*fxVal_normal,CX_ENTITY,$B91,AJ$11,AJ$14,AJ$75,),""),IF($I91=2,IFBLANK(_xldudf_CX_PUSH(AJ91,CX_ENTITY,$B91,AJ$11,AJ$14,AJ$75,),""),IF($I91=3,"",IFBLANK(_xldudf_CX_PUSH(AJ91,CX_ENTITY,$B91,AJ$11,AJ$14,AJ$75,),"")))))),"")</f>
        <v/>
      </c>
      <c r="DK91" s="2445" t="str" cm="1">
        <f t="array" ca="1" aca="1" ref="DK91">IFERROR(IF(AK91*fxVal_normal=_PL!AK91,"",IF(OR(AK91="",NOT(ISNUMBER(AK91)),ISERROR(AK91),$B91=""),"",IF($I91=1,IFBLANK(_xldudf_CX_PUSH(AK91*fxVal_normal,CX_ENTITY,$B91,AK$11,AK$14,AK$75,),""),IF($I91=2,IFBLANK(_xldudf_CX_PUSH(AK91,CX_ENTITY,$B91,AK$11,AK$14,AK$75,),""),IF($I91=3,"",IFBLANK(_xldudf_CX_PUSH(AK91,CX_ENTITY,$B91,AK$11,AK$14,AK$75,),"")))))),"")</f>
        <v/>
      </c>
      <c r="DL91" s="2445" t="str" cm="1">
        <f t="array" ca="1" aca="1" ref="DL91">IFERROR(IF(AL91*fxVal_normal=_PL!AL91,"",IF(OR(AL91="",NOT(ISNUMBER(AL91)),ISERROR(AL91),$B91=""),"",IF($I91=1,IFBLANK(_xldudf_CX_PUSH(AL91*fxVal_normal,CX_ENTITY,$B91,AL$11,AL$14,AL$75,),""),IF($I91=2,IFBLANK(_xldudf_CX_PUSH(AL91,CX_ENTITY,$B91,AL$11,AL$14,AL$75,),""),IF($I91=3,"",IFBLANK(_xldudf_CX_PUSH(AL91,CX_ENTITY,$B91,AL$11,AL$14,AL$75,),"")))))),"")</f>
        <v/>
      </c>
      <c r="DM91" s="2445" t="str" cm="1">
        <f t="array" ca="1" aca="1" ref="DM91">IFERROR(IF(AM91*fxVal_normal=_PL!AM91,"",IF(OR(AM91="",NOT(ISNUMBER(AM91)),ISERROR(AM91),$B91=""),"",IF($I91=1,IFBLANK(_xldudf_CX_PUSH(AM91*fxVal_normal,CX_ENTITY,$B91,AM$11,AM$14,AM$75,),""),IF($I91=2,IFBLANK(_xldudf_CX_PUSH(AM91,CX_ENTITY,$B91,AM$11,AM$14,AM$75,),""),IF($I91=3,"",IFBLANK(_xldudf_CX_PUSH(AM91,CX_ENTITY,$B91,AM$11,AM$14,AM$75,),"")))))),"")</f>
        <v/>
      </c>
      <c r="DN91" s="2445" t="str" cm="1">
        <f t="array" ca="1" aca="1" ref="DN91">IFERROR(IF(AN91*fxVal_normal=_PL!AN91,"",IF(OR(AN91="",NOT(ISNUMBER(AN91)),ISERROR(AN91),$B91=""),"",IF($I91=1,IFBLANK(_xldudf_CX_PUSH(AN91*fxVal_normal,CX_ENTITY,$B91,AN$11,AN$14,AN$75,),""),IF($I91=2,IFBLANK(_xldudf_CX_PUSH(AN91,CX_ENTITY,$B91,AN$11,AN$14,AN$75,),""),IF($I91=3,"",IFBLANK(_xldudf_CX_PUSH(AN91,CX_ENTITY,$B91,AN$11,AN$14,AN$75,),"")))))),"")</f>
        <v/>
      </c>
      <c r="DO91" s="2445" t="str" cm="1">
        <f t="array" ca="1" aca="1" ref="DO91">IFERROR(IF(AO91*fxVal_normal=_PL!AO91,"",IF(OR(AO91="",NOT(ISNUMBER(AO91)),ISERROR(AO91),$B91=""),"",IF($I91=1,IFBLANK(_xldudf_CX_PUSH(AO91*fxVal_normal,CX_ENTITY,$B91,AO$11,AO$14,AO$75,),""),IF($I91=2,IFBLANK(_xldudf_CX_PUSH(AO91,CX_ENTITY,$B91,AO$11,AO$14,AO$75,),""),IF($I91=3,"",IFBLANK(_xldudf_CX_PUSH(AO91,CX_ENTITY,$B91,AO$11,AO$14,AO$75,),"")))))),"")</f>
        <v/>
      </c>
      <c r="DP91" s="2445" t="str" cm="1">
        <f t="array" ca="1" aca="1" ref="DP91">IFERROR(IF(AP91*fxVal_normal=_PL!AP91,"",IF(OR(AP91="",NOT(ISNUMBER(AP91)),ISERROR(AP91),$B91=""),"",IF($I91=1,IFBLANK(_xldudf_CX_PUSH(AP91*fxVal_normal,CX_ENTITY,$B91,AP$11,AP$14,AP$75,),""),IF($I91=2,IFBLANK(_xldudf_CX_PUSH(AP91,CX_ENTITY,$B91,AP$11,AP$14,AP$75,),""),IF($I91=3,"",IFBLANK(_xldudf_CX_PUSH(AP91,CX_ENTITY,$B91,AP$11,AP$14,AP$75,),"")))))),"")</f>
        <v/>
      </c>
      <c r="DQ91" s="2445" t="str" cm="1">
        <f t="array" ca="1" aca="1" ref="DQ91">IFERROR(IF(AQ91*fxVal_normal=_PL!AQ91,"",IF(OR(AQ91="",NOT(ISNUMBER(AQ91)),ISERROR(AQ91),$B91=""),"",IF($I91=1,IFBLANK(_xldudf_CX_PUSH(AQ91*fxVal_normal,CX_ENTITY,$B91,AQ$11,AQ$14,AQ$75,),""),IF($I91=2,IFBLANK(_xldudf_CX_PUSH(AQ91,CX_ENTITY,$B91,AQ$11,AQ$14,AQ$75,),""),IF($I91=3,"",IFBLANK(_xldudf_CX_PUSH(AQ91,CX_ENTITY,$B91,AQ$11,AQ$14,AQ$75,),"")))))),"")</f>
        <v/>
      </c>
      <c r="DR91" s="2445" t="str" cm="1">
        <f t="array" ca="1" aca="1" ref="DR91">IFERROR(IF(AR91*fxVal_normal=_PL!AR91,"",IF(OR(AR91="",NOT(ISNUMBER(AR91)),ISERROR(AR91),$B91=""),"",IF($I91=1,IFBLANK(_xldudf_CX_PUSH(AR91*fxVal_normal,CX_ENTITY,$B91,AR$11,AR$14,AR$75,),""),IF($I91=2,IFBLANK(_xldudf_CX_PUSH(AR91,CX_ENTITY,$B91,AR$11,AR$14,AR$75,),""),IF($I91=3,"",IFBLANK(_xldudf_CX_PUSH(AR91,CX_ENTITY,$B91,AR$11,AR$14,AR$75,),"")))))),"")</f>
        <v/>
      </c>
      <c r="DS91" s="2445" t="str" cm="1">
        <f t="array" ca="1" aca="1" ref="DS91">IFERROR(IF(AS91*fxVal_normal=_PL!AS91,"",IF(OR(AS91="",NOT(ISNUMBER(AS91)),ISERROR(AS91),$B91=""),"",IF($I91=1,IFBLANK(_xldudf_CX_PUSH(AS91*fxVal_normal,CX_ENTITY,$B91,AS$11,AS$14,AS$75,),""),IF($I91=2,IFBLANK(_xldudf_CX_PUSH(AS91,CX_ENTITY,$B91,AS$11,AS$14,AS$75,),""),IF($I91=3,"",IFBLANK(_xldudf_CX_PUSH(AS91,CX_ENTITY,$B91,AS$11,AS$14,AS$75,),"")))))),"")</f>
        <v/>
      </c>
      <c r="DT91" s="2445" t="str" cm="1">
        <f t="array" ca="1" aca="1" ref="DT91">IFERROR(IF(AT91*fxVal_normal=_PL!AT91,"",IF(OR(AT91="",NOT(ISNUMBER(AT91)),ISERROR(AT91),$B91=""),"",IF($I91=1,IFBLANK(_xldudf_CX_PUSH(AT91*fxVal_normal,CX_ENTITY,$B91,AT$11,AT$14,AT$75,),""),IF($I91=2,IFBLANK(_xldudf_CX_PUSH(AT91,CX_ENTITY,$B91,AT$11,AT$14,AT$75,),""),IF($I91=3,"",IFBLANK(_xldudf_CX_PUSH(AT91,CX_ENTITY,$B91,AT$11,AT$14,AT$75,),"")))))),"")</f>
        <v/>
      </c>
      <c r="DU91" s="2445" t="str" cm="1">
        <f t="array" ca="1" aca="1" ref="DU91">IFERROR(IF(AU91*fxVal_normal=_PL!AU91,"",IF(OR(AU91="",NOT(ISNUMBER(AU91)),ISERROR(AU91),$B91=""),"",IF($I91=1,IFBLANK(_xldudf_CX_PUSH(AU91*fxVal_normal,CX_ENTITY,$B91,AU$11,AU$14,AU$75,),""),IF($I91=2,IFBLANK(_xldudf_CX_PUSH(AU91,CX_ENTITY,$B91,AU$11,AU$14,AU$75,),""),IF($I91=3,"",IFBLANK(_xldudf_CX_PUSH(AU91,CX_ENTITY,$B91,AU$11,AU$14,AU$75,),"")))))),"")</f>
        <v/>
      </c>
      <c r="DV91" s="2445" t="str" cm="1">
        <f t="array" ca="1" aca="1" ref="DV91">IFERROR(IF(AV91*fxVal_normal=_PL!AV91,"",IF(OR(AV91="",NOT(ISNUMBER(AV91)),ISERROR(AV91),$B91=""),"",IF($I91=1,IFBLANK(_xldudf_CX_PUSH(AV91*fxVal_normal,CX_ENTITY,$B91,AV$11,AV$14,AV$75,),""),IF($I91=2,IFBLANK(_xldudf_CX_PUSH(AV91,CX_ENTITY,$B91,AV$11,AV$14,AV$75,),""),IF($I91=3,"",IFBLANK(_xldudf_CX_PUSH(AV91,CX_ENTITY,$B91,AV$11,AV$14,AV$75,),"")))))),"")</f>
        <v/>
      </c>
      <c r="DW91" s="2445" t="str" cm="1">
        <f t="array" ca="1" aca="1" ref="DW91">IFERROR(IF(AW91*fxVal_normal=_PL!AW91,"",IF(OR(AW91="",NOT(ISNUMBER(AW91)),ISERROR(AW91),$B91=""),"",IF($I91=1,IFBLANK(_xldudf_CX_PUSH(AW91*fxVal_normal,CX_ENTITY,$B91,AW$11,AW$14,AW$75,),""),IF($I91=2,IFBLANK(_xldudf_CX_PUSH(AW91,CX_ENTITY,$B91,AW$11,AW$14,AW$75,),""),IF($I91=3,"",IFBLANK(_xldudf_CX_PUSH(AW91,CX_ENTITY,$B91,AW$11,AW$14,AW$75,),"")))))),"")</f>
        <v/>
      </c>
      <c r="DX91" s="2445" t="str" cm="1">
        <f t="array" ca="1" aca="1" ref="DX91">IFERROR(IF(AX91*fxVal_normal=_PL!AX91,"",IF(OR(AX91="",NOT(ISNUMBER(AX91)),ISERROR(AX91),$B91=""),"",IF($I91=1,IFBLANK(_xldudf_CX_PUSH(AX91*fxVal_normal,CX_ENTITY,$B91,AX$11,AX$14,AX$75,),""),IF($I91=2,IFBLANK(_xldudf_CX_PUSH(AX91,CX_ENTITY,$B91,AX$11,AX$14,AX$75,),""),IF($I91=3,"",IFBLANK(_xldudf_CX_PUSH(AX91,CX_ENTITY,$B91,AX$11,AX$14,AX$75,),"")))))),"")</f>
        <v/>
      </c>
      <c r="DY91" s="2445" t="str" cm="1">
        <f t="array" ca="1" aca="1" ref="DY91">IFERROR(IF(AY91*fxVal_normal=_PL!AY91,"",IF(OR(AY91="",NOT(ISNUMBER(AY91)),ISERROR(AY91),$B91=""),"",IF($I91=1,IFBLANK(_xldudf_CX_PUSH(AY91*fxVal_normal,CX_ENTITY,$B91,AY$11,AY$14,AY$75,),""),IF($I91=2,IFBLANK(_xldudf_CX_PUSH(AY91,CX_ENTITY,$B91,AY$11,AY$14,AY$75,),""),IF($I91=3,"",IFBLANK(_xldudf_CX_PUSH(AY91,CX_ENTITY,$B91,AY$11,AY$14,AY$75,),"")))))),"")</f>
        <v/>
      </c>
      <c r="DZ91" s="2445" t="str" cm="1">
        <f t="array" ca="1" aca="1" ref="DZ91">IFERROR(IF(AZ91*fxVal_normal=_PL!AZ91,"",IF(OR(AZ91="",NOT(ISNUMBER(AZ91)),ISERROR(AZ91),$B91=""),"",IF($I91=1,IFBLANK(_xldudf_CX_PUSH(AZ91*fxVal_normal,CX_ENTITY,$B91,AZ$11,AZ$14,AZ$75,),""),IF($I91=2,IFBLANK(_xldudf_CX_PUSH(AZ91,CX_ENTITY,$B91,AZ$11,AZ$14,AZ$75,),""),IF($I91=3,"",IFBLANK(_xldudf_CX_PUSH(AZ91,CX_ENTITY,$B91,AZ$11,AZ$14,AZ$75,),"")))))),"")</f>
        <v/>
      </c>
      <c r="EA91" s="2445" t="str" cm="1">
        <f t="array" ca="1" aca="1" ref="EA91">IFERROR(IF(BA91*fxVal_normal=_PL!BA91,"",IF(OR(BA91="",NOT(ISNUMBER(BA91)),ISERROR(BA91),$B91=""),"",IF($I91=1,IFBLANK(_xldudf_CX_PUSH(BA91*fxVal_normal,CX_ENTITY,$B91,BA$11,BA$14,BA$75,),""),IF($I91=2,IFBLANK(_xldudf_CX_PUSH(BA91,CX_ENTITY,$B91,BA$11,BA$14,BA$75,),""),IF($I91=3,"",IFBLANK(_xldudf_CX_PUSH(BA91,CX_ENTITY,$B91,BA$11,BA$14,BA$75,),"")))))),"")</f>
        <v/>
      </c>
      <c r="EB91" s="2445" t="str" cm="1">
        <f t="array" ca="1" aca="1" ref="EB91">IFERROR(IF(BB91*fxVal_normal=_PL!BB91,"",IF(OR(BB91="",NOT(ISNUMBER(BB91)),ISERROR(BB91),$B91=""),"",IF($I91=1,IFBLANK(_xldudf_CX_PUSH(BB91*fxVal_normal,CX_ENTITY,$B91,BB$11,BB$14,BB$75,),""),IF($I91=2,IFBLANK(_xldudf_CX_PUSH(BB91,CX_ENTITY,$B91,BB$11,BB$14,BB$75,),""),IF($I91=3,"",IFBLANK(_xldudf_CX_PUSH(BB91,CX_ENTITY,$B91,BB$11,BB$14,BB$75,),"")))))),"")</f>
        <v/>
      </c>
      <c r="EC91" s="2445" t="str" cm="1">
        <f t="array" ca="1" aca="1" ref="EC91">IFERROR(IF(BC91*fxVal_normal=_PL!BC91,"",IF(OR(BC91="",NOT(ISNUMBER(BC91)),ISERROR(BC91),$B91=""),"",IF($I91=1,IFBLANK(_xldudf_CX_PUSH(BC91*fxVal_normal,CX_ENTITY,$B91,BC$11,BC$14,BC$75,),""),IF($I91=2,IFBLANK(_xldudf_CX_PUSH(BC91,CX_ENTITY,$B91,BC$11,BC$14,BC$75,),""),IF($I91=3,"",IFBLANK(_xldudf_CX_PUSH(BC91,CX_ENTITY,$B91,BC$11,BC$14,BC$75,),"")))))),"")</f>
        <v/>
      </c>
      <c r="ED91" s="2445" t="str" cm="1">
        <f t="array" ca="1" aca="1" ref="ED91">IFERROR(IF(BD91*fxVal_normal=_PL!BD91,"",IF(OR(BD91="",NOT(ISNUMBER(BD91)),ISERROR(BD91),$B91=""),"",IF($I91=1,IFBLANK(_xldudf_CX_PUSH(BD91*fxVal_normal,CX_ENTITY,$B91,BD$11,BD$14,BD$75,),""),IF($I91=2,IFBLANK(_xldudf_CX_PUSH(BD91,CX_ENTITY,$B91,BD$11,BD$14,BD$75,),""),IF($I91=3,"",IFBLANK(_xldudf_CX_PUSH(BD91,CX_ENTITY,$B91,BD$11,BD$14,BD$75,),"")))))),"")</f>
        <v/>
      </c>
      <c r="EE91" s="2445" t="str" cm="1">
        <f t="array" ca="1" aca="1" ref="EE91">IFERROR(IF(BE91*fxVal_normal=_PL!BE91,"",IF(OR(BE91="",NOT(ISNUMBER(BE91)),ISERROR(BE91),$B91=""),"",IF($I91=1,IFBLANK(_xldudf_CX_PUSH(BE91*fxVal_normal,CX_ENTITY,$B91,BE$11,BE$14,BE$75,),""),IF($I91=2,IFBLANK(_xldudf_CX_PUSH(BE91,CX_ENTITY,$B91,BE$11,BE$14,BE$75,),""),IF($I91=3,"",IFBLANK(_xldudf_CX_PUSH(BE91,CX_ENTITY,$B91,BE$11,BE$14,BE$75,),"")))))),"")</f>
        <v/>
      </c>
      <c r="EF91" s="2445" t="str" cm="1">
        <f t="array" ca="1" aca="1" ref="EF91">IFERROR(IF(BF91*fxVal_normal=_PL!BF91,"",IF(OR(BF91="",NOT(ISNUMBER(BF91)),ISERROR(BF91),$B91=""),"",IF($I91=1,IFBLANK(_xldudf_CX_PUSH(BF91*fxVal_normal,CX_ENTITY,$B91,BF$11,BF$14,BF$75,),""),IF($I91=2,IFBLANK(_xldudf_CX_PUSH(BF91,CX_ENTITY,$B91,BF$11,BF$14,BF$75,),""),IF($I91=3,"",IFBLANK(_xldudf_CX_PUSH(BF91,CX_ENTITY,$B91,BF$11,BF$14,BF$75,),"")))))),"")</f>
        <v/>
      </c>
      <c r="EG91" s="2445" t="str" cm="1">
        <f t="array" ca="1" aca="1" ref="EG91">IFERROR(IF(BG91*fxVal_normal=_PL!BG91,"",IF(OR(BG91="",NOT(ISNUMBER(BG91)),ISERROR(BG91),$B91=""),"",IF($I91=1,IFBLANK(_xldudf_CX_PUSH(BG91*fxVal_normal,CX_ENTITY,$B91,BG$11,BG$14,BG$75,),""),IF($I91=2,IFBLANK(_xldudf_CX_PUSH(BG91,CX_ENTITY,$B91,BG$11,BG$14,BG$75,),""),IF($I91=3,"",IFBLANK(_xldudf_CX_PUSH(BG91,CX_ENTITY,$B91,BG$11,BG$14,BG$75,),"")))))),"")</f>
        <v/>
      </c>
      <c r="EH91" s="2445" t="str" cm="1">
        <f t="array" ca="1" aca="1" ref="EH91">IFERROR(IF(BH91*fxVal_normal=_PL!BH91,"",IF(OR(BH91="",NOT(ISNUMBER(BH91)),ISERROR(BH91),$B91=""),"",IF($I91=1,IFBLANK(_xldudf_CX_PUSH(BH91*fxVal_normal,CX_ENTITY,$B91,BH$11,BH$14,BH$75,),""),IF($I91=2,IFBLANK(_xldudf_CX_PUSH(BH91,CX_ENTITY,$B91,BH$11,BH$14,BH$75,),""),IF($I91=3,"",IFBLANK(_xldudf_CX_PUSH(BH91,CX_ENTITY,$B91,BH$11,BH$14,BH$75,),"")))))),"")</f>
        <v/>
      </c>
      <c r="EI91" s="2445" t="str" cm="1">
        <f t="array" ca="1" aca="1" ref="EI91">IFERROR(IF(BI91*fxVal_normal=_PL!BI91,"",IF(OR(BI91="",NOT(ISNUMBER(BI91)),ISERROR(BI91),$B91=""),"",IF($I91=1,IFBLANK(_xldudf_CX_PUSH(BI91*fxVal_normal,CX_ENTITY,$B91,BI$11,BI$14,BI$75,),""),IF($I91=2,IFBLANK(_xldudf_CX_PUSH(BI91,CX_ENTITY,$B91,BI$11,BI$14,BI$75,),""),IF($I91=3,"",IFBLANK(_xldudf_CX_PUSH(BI91,CX_ENTITY,$B91,BI$11,BI$14,BI$75,),"")))))),"")</f>
        <v/>
      </c>
      <c r="EJ91" s="2445" t="str" cm="1">
        <f t="array" ca="1" aca="1" ref="EJ91">IFERROR(IF(BJ91*fxVal_normal=_PL!BJ91,"",IF(OR(BJ91="",NOT(ISNUMBER(BJ91)),ISERROR(BJ91),$B91=""),"",IF($I91=1,IFBLANK(_xldudf_CX_PUSH(BJ91*fxVal_normal,CX_ENTITY,$B91,BJ$11,BJ$14,BJ$75,),""),IF($I91=2,IFBLANK(_xldudf_CX_PUSH(BJ91,CX_ENTITY,$B91,BJ$11,BJ$14,BJ$75,),""),IF($I91=3,"",IFBLANK(_xldudf_CX_PUSH(BJ91,CX_ENTITY,$B91,BJ$11,BJ$14,BJ$75,),"")))))),"")</f>
        <v/>
      </c>
      <c r="EK91" s="2445" t="str" cm="1">
        <f t="array" ca="1" aca="1" ref="EK91">IFERROR(IF(BK91*fxVal_normal=_PL!BK91,"",IF(OR(BK91="",NOT(ISNUMBER(BK91)),ISERROR(BK91),$B91=""),"",IF($I91=1,IFBLANK(_xldudf_CX_PUSH(BK91*fxVal_normal,CX_ENTITY,$B91,BK$11,BK$14,BK$75,),""),IF($I91=2,IFBLANK(_xldudf_CX_PUSH(BK91,CX_ENTITY,$B91,BK$11,BK$14,BK$75,),""),IF($I91=3,"",IFBLANK(_xldudf_CX_PUSH(BK91,CX_ENTITY,$B91,BK$11,BK$14,BK$75,),"")))))),"")</f>
        <v/>
      </c>
      <c r="EL91" s="2445" t="str" cm="1">
        <f t="array" ca="1" aca="1" ref="EL91">IFERROR(IF(BL91*fxVal_normal=_PL!BL91,"",IF(OR(BL91="",NOT(ISNUMBER(BL91)),ISERROR(BL91),$B91=""),"",IF($I91=1,IFBLANK(_xldudf_CX_PUSH(BL91*fxVal_normal,CX_ENTITY,$B91,BL$11,BL$14,BL$75,),""),IF($I91=2,IFBLANK(_xldudf_CX_PUSH(BL91,CX_ENTITY,$B91,BL$11,BL$14,BL$75,),""),IF($I91=3,"",IFBLANK(_xldudf_CX_PUSH(BL91,CX_ENTITY,$B91,BL$11,BL$14,BL$75,),"")))))),"")</f>
        <v/>
      </c>
      <c r="EM91" s="2445" t="str" cm="1">
        <f t="array" ca="1" aca="1" ref="EM91">IFERROR(IF(BM91*fxVal_normal=_PL!BM91,"",IF(OR(BM91="",NOT(ISNUMBER(BM91)),ISERROR(BM91),$B91=""),"",IF($I91=1,IFBLANK(_xldudf_CX_PUSH(BM91*fxVal_normal,CX_ENTITY,$B91,BM$11,BM$14,BM$75,),""),IF($I91=2,IFBLANK(_xldudf_CX_PUSH(BM91,CX_ENTITY,$B91,BM$11,BM$14,BM$75,),""),IF($I91=3,"",IFBLANK(_xldudf_CX_PUSH(BM91,CX_ENTITY,$B91,BM$11,BM$14,BM$75,),"")))))),"")</f>
        <v/>
      </c>
      <c r="EN91" s="2445" t="str" cm="1">
        <f t="array" ca="1" aca="1" ref="EN91">IFERROR(IF(BN91*fxVal_normal=_PL!BN91,"",IF(OR(BN91="",NOT(ISNUMBER(BN91)),ISERROR(BN91),$B91=""),"",IF($I91=1,IFBLANK(_xldudf_CX_PUSH(BN91*fxVal_normal,CX_ENTITY,$B91,BN$11,BN$14,BN$75,),""),IF($I91=2,IFBLANK(_xldudf_CX_PUSH(BN91,CX_ENTITY,$B91,BN$11,BN$14,BN$75,),""),IF($I91=3,"",IFBLANK(_xldudf_CX_PUSH(BN91,CX_ENTITY,$B91,BN$11,BN$14,BN$75,),"")))))),"")</f>
        <v/>
      </c>
    </row>
    <row r="92" spans="1:144" ht="21" customHeight="1">
      <c r="A92" s="1625"/>
      <c r="B92" s="2501" t="str">
        <f ca="1">_xlfn.LET(_xlpm.IsNotAttrDynamic,D92="",_xlpm.Attr,_PL!F92,_xlpm.NotInUse,Y92=D92,_xlpm.RESULT,IF(_xlpm.IsNotAttrDynamic,_xlpm.Attr,IF(_xlpm.NotInUse,"",Y92)),IF(_xlpm.RESULT="","",_xlpm.RESULT))</f>
        <v>Reported EBIT</v>
      </c>
      <c r="C92" s="2501" t="str" cm="1">
        <f t="array" ref="C92">IFBLANK(_PL!C92,"")</f>
        <v>Reported EBIT (Company View)</v>
      </c>
      <c r="D92" s="1548"/>
      <c r="E92" s="2440" t="e" cm="1">
        <f t="array" ca="1" aca="1" ref="E9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92:$CQ92,Z92)</f>
        <v>#NAME?</v>
      </c>
      <c r="F92" s="578"/>
      <c r="G92" s="578"/>
      <c r="H92" s="3279">
        <v>2</v>
      </c>
      <c r="I92" s="3279">
        <v>1</v>
      </c>
      <c r="J92" s="401" cm="1">
        <f t="array" ref="J92">IFBLANK(Z92,"")</f>
        <v>0</v>
      </c>
      <c r="K92" s="578" t="str">
        <f t="shared" si="39" ref="K92:K131">IFERROR(IF(LEN(AB92)=0,"No",IF(LEN(J92)&gt;0,"Yes","No")),"")</f>
        <v>Yes</v>
      </c>
      <c r="L92" s="37"/>
      <c r="N92" s="158"/>
      <c r="O92" s="101"/>
      <c r="P92" s="52"/>
      <c r="Q92" s="101"/>
      <c r="R92" s="126"/>
      <c r="S92" s="101"/>
      <c r="T92" s="101"/>
      <c r="U92" s="39"/>
      <c r="V92" s="37"/>
      <c r="W92" s="91" t="str">
        <f t="shared" si="28"/>
        <v>Budget</v>
      </c>
      <c r="X92" s="2081">
        <f>_PL!X92</f>
        <v>0</v>
      </c>
      <c r="Y92" s="1134" t="e">
        <f t="shared" ca="1" si="36"/>
        <v>#NAME?</v>
      </c>
      <c r="Z92" s="198" cm="1">
        <f t="array" ref="Z92">_xlfn.SWITCH(TRUE,_PL!$L92=TRUE,1,_PL!$L92=FALSE,-1,_PL!$L92=-1,0,"")</f>
        <v>0</v>
      </c>
      <c r="AA92" s="200"/>
      <c r="AB92" s="1134" t="str">
        <f>_PL!AB92</f>
        <v>Reported EBIT</v>
      </c>
      <c r="AC92" s="275" t="str" cm="1">
        <f t="array" ca="1" aca="1" ref="AC92">_xlfn.LET(_xlpm._termname,$AB92,_xlpm._iconname,"find",_xlpm._icon,fx_getIcon(_xlpm._iconname),_xlpm._location,_xlfn.XLOOKUP(LOWER(_xlpm._termname),LOWER(tbl_acctDef[Term]),tbl_acctDef[Term]),_xlpm._hyperlink,HYPERLINK("#"&amp;CELL("address",_xlpm._location),_xlpm._icon),IFERROR(_xlpm._hyperlink,""))</f>
        <v/>
      </c>
      <c r="AD92" s="918">
        <f t="shared" si="40" ref="AD92:BN92">SUBTOTAL(9,AD76:AD91)-SUBTOTAL(9,AD82:AD87)-N(AD79)</f>
        <v>5</v>
      </c>
      <c r="AE92" s="918">
        <f t="shared" si="40"/>
        <v>5</v>
      </c>
      <c r="AF92" s="918">
        <f t="shared" si="40"/>
        <v>5</v>
      </c>
      <c r="AG92" s="918">
        <f t="shared" si="40"/>
        <v>5</v>
      </c>
      <c r="AH92" s="918">
        <f t="shared" si="40"/>
        <v>5</v>
      </c>
      <c r="AI92" s="918">
        <f t="shared" si="40"/>
        <v>5</v>
      </c>
      <c r="AJ92" s="918">
        <f t="shared" si="40"/>
        <v>5</v>
      </c>
      <c r="AK92" s="918">
        <f t="shared" si="40"/>
        <v>5</v>
      </c>
      <c r="AL92" s="918">
        <f t="shared" si="40"/>
        <v>5</v>
      </c>
      <c r="AM92" s="918">
        <f t="shared" si="40"/>
        <v>5</v>
      </c>
      <c r="AN92" s="918">
        <f t="shared" si="40"/>
        <v>5</v>
      </c>
      <c r="AO92" s="918">
        <f t="shared" si="40"/>
        <v>5</v>
      </c>
      <c r="AP92" s="918">
        <f t="shared" si="40"/>
        <v>5</v>
      </c>
      <c r="AQ92" s="918">
        <f t="shared" si="40"/>
        <v>5</v>
      </c>
      <c r="AR92" s="918">
        <f t="shared" si="40"/>
        <v>5</v>
      </c>
      <c r="AS92" s="918">
        <f t="shared" si="40"/>
        <v>5</v>
      </c>
      <c r="AT92" s="918">
        <f t="shared" si="40"/>
        <v>5</v>
      </c>
      <c r="AU92" s="918">
        <f t="shared" si="40"/>
        <v>5</v>
      </c>
      <c r="AV92" s="918">
        <f t="shared" si="40"/>
        <v>5</v>
      </c>
      <c r="AW92" s="918">
        <f t="shared" si="40"/>
        <v>5</v>
      </c>
      <c r="AX92" s="918">
        <f t="shared" si="40"/>
        <v>5</v>
      </c>
      <c r="AY92" s="918">
        <f t="shared" si="40"/>
        <v>5</v>
      </c>
      <c r="AZ92" s="918">
        <f t="shared" si="40"/>
        <v>5</v>
      </c>
      <c r="BA92" s="918">
        <f t="shared" si="40"/>
        <v>5</v>
      </c>
      <c r="BB92" s="918">
        <f t="shared" si="40"/>
        <v>5</v>
      </c>
      <c r="BC92" s="918">
        <f t="shared" si="40"/>
        <v>5</v>
      </c>
      <c r="BD92" s="918">
        <f t="shared" si="40"/>
        <v>5</v>
      </c>
      <c r="BE92" s="918">
        <f t="shared" si="40"/>
        <v>5</v>
      </c>
      <c r="BF92" s="918">
        <f t="shared" si="40"/>
        <v>5</v>
      </c>
      <c r="BG92" s="918">
        <f t="shared" si="40"/>
        <v>5</v>
      </c>
      <c r="BH92" s="918">
        <f t="shared" si="40"/>
        <v>5</v>
      </c>
      <c r="BI92" s="918">
        <f t="shared" si="40"/>
        <v>5</v>
      </c>
      <c r="BJ92" s="918">
        <f t="shared" si="40"/>
        <v>5</v>
      </c>
      <c r="BK92" s="918">
        <f t="shared" si="40"/>
        <v>5</v>
      </c>
      <c r="BL92" s="918">
        <f t="shared" si="40"/>
        <v>5</v>
      </c>
      <c r="BM92" s="918">
        <f t="shared" si="40"/>
        <v>5</v>
      </c>
      <c r="BN92" s="918">
        <f t="shared" si="40"/>
        <v>5</v>
      </c>
      <c r="BO92" s="2096"/>
      <c r="BP92" s="2096"/>
      <c r="BQ92" s="2096"/>
      <c r="BR92" s="2096"/>
      <c r="BS92" s="2096"/>
      <c r="BT92" s="2096"/>
      <c r="BU92" s="2096"/>
      <c r="BV92" s="2096"/>
      <c r="BW92" s="2096"/>
      <c r="BX92" s="2096"/>
      <c r="BY92" s="2096"/>
      <c r="BZ92" s="2096"/>
      <c r="CA92" s="34"/>
      <c r="CC92" s="33"/>
      <c r="CD92" s="1772" t="e" cm="1">
        <f t="array" ca="1" aca="1" ref="CD92">_xlfn.LET(_xlpm.CheckBlank,SUM(PL!$AD92:$BN92)=0,IF(_xlpm.CheckBlank,"",SUM(_xlfn._xlws.FILTER(PL!$AD92:$BN92,(YEAR(PL!$AD$12:$BN$12)=PL!CD$12)*(array_timeline&lt;=PL!CD$11)))))</f>
        <v>#NAME?</v>
      </c>
      <c r="CE92" s="1772" t="e" cm="1">
        <f t="array" ca="1" aca="1" ref="CE92">_xlfn.LET(_xlpm.CheckBlank,SUM(PL!$AD92:$BN92)=0,IF(_xlpm.CheckBlank,"",SUM(_xlfn._xlws.FILTER(PL!$AD92:$BN92,(YEAR(PL!$AD$12:$BN$12)=PL!CE$12)*(array_timeline&lt;=PL!CE$11)))))</f>
        <v>#NAME?</v>
      </c>
      <c r="CF92" s="88"/>
      <c r="CG92" s="1461" t="e" cm="1">
        <f t="array" ca="1" aca="1" ref="CG92">_xlfn.LET(_xlpm.CheckBlank,SUM(PL!$AD92:$BN92)=0,IF(_xlpm.CheckBlank,"",SUM(_xlfn._xlws.FILTER(PL!$AD92:$BN92,(YEAR(PL!$AD$12:$BN$12)=PL!CG$12)*(array_timeline&lt;=PL!CG$11)))))</f>
        <v>#NAME?</v>
      </c>
      <c r="CH92" s="1461" t="e" cm="1">
        <f t="array" ca="1" aca="1" ref="CH92">_xlfn.LET(_xlpm.CheckBlank,SUM(PL!$AD92:$BN92)=0,IF(_xlpm.CheckBlank,"",SUM(_xlfn._xlws.FILTER(PL!$AD92:$BN92,(YEAR(PL!$AD$12:$BN$12)=PL!CH$12)*(array_timeline&lt;=PL!CH$11)))))</f>
        <v>#NAME?</v>
      </c>
      <c r="CI92" s="88"/>
      <c r="CJ92" s="1461" cm="1">
        <f t="array" ref="CJ92">_xlfn.LET(_xlpm.CheckBlank,SUM(PL!$AD92:$BN92)=0,IF(_xlpm.CheckBlank,"",SUM(_xlfn.TAKE(_xlfn.DROP(PL!$AD92:$BN92,,-DATEDIFF(PL!CJ$11,val_asOfDate,"M")),1,-12))))</f>
        <v>60</v>
      </c>
      <c r="CK92" s="1461" cm="1">
        <f t="array" ref="CK92">_xlfn.LET(_xlpm.CheckBlank,SUM(PL!$AD92:$BN92)=0,IF(_xlpm.CheckBlank,"",SUM(_xlfn.TAKE(_xlfn.DROP(PL!$AD92:$BN92,,-DATEDIFF(PL!CK$11,val_asOfDate,"M")),1,-12))))</f>
        <v>60</v>
      </c>
      <c r="CL92" s="88"/>
      <c r="CM92" s="2446">
        <f t="shared" si="26"/>
        <v>5</v>
      </c>
      <c r="CN92" s="2446">
        <f t="shared" si="23"/>
        <v>5</v>
      </c>
      <c r="CO92" s="1169"/>
      <c r="CP92" s="2446">
        <f t="shared" si="27"/>
        <v>5</v>
      </c>
      <c r="CQ92" s="2446">
        <f t="shared" si="24"/>
        <v>5</v>
      </c>
      <c r="CR92" s="34"/>
      <c r="CS92" s="2056"/>
      <c r="CT92" s="2085" t="e" cm="1">
        <f t="array" ca="1" aca="1" ref="CT92">IF(K92&lt;&gt;"Yes","",IF(OR(Y92="Select,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III"),"",IF(OR(Y92&lt;&gt;AB92,AND(LEN(B92)=0,NOT(OR(Y92="Select,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III")))),_xldudf_CX_PUSH(Y92,CX_ENTITY,C92,EOMONTH(val_asOfDate,0)),"")))</f>
        <v>#NAME?</v>
      </c>
      <c r="CU92" s="2085" t="e" cm="1">
        <f t="array" ca="1" aca="1" ref="CU92">IF(K92&lt;&gt;"Yes","",IF(OR(Y92="Select,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III"),"",IF(OR(Y92&lt;&gt;AB92,AND(LEN(B92)=0,NOT(OR(Y92="Select,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III")))),_xldudf_CX_PUSH(Y92,CX_ENTITY,C92,EOMONTH(val_asOfDate,1)),"")))</f>
        <v>#NAME?</v>
      </c>
      <c r="CV92" s="2085" t="e" cm="1">
        <f t="array" ca="1" aca="1" ref="CV92">IF(K92&lt;&gt;"Yes","",IF(OR(Y92="Select,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III"),"",IF(OR(Y92&lt;&gt;AB92,AND(LEN(B92)=0,NOT(OR(Y92="Select,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III")))),_xldudf_CX_PUSH(Y92,CX_ENTITY,C92,EOMONTH(val_asOfDate,2)),"")))</f>
        <v>#NAME?</v>
      </c>
      <c r="CW92" s="2085" t="e" cm="1">
        <f t="array" ca="1" aca="1" ref="CW92">IF(K92&lt;&gt;"Yes","",IF(OR(Y92="Select,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III"),"",IF(OR(Y92&lt;&gt;AB92,AND(LEN(B92)=0,NOT(OR(Y92="Select,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III")))),_xldudf_CX_PUSH(Y92,CX_ENTITY,C92,EOMONTH(val_asOfDate,3)),"")))</f>
        <v>#NAME?</v>
      </c>
      <c r="CX92" s="2443"/>
      <c r="CY92" s="1880"/>
      <c r="CZ92" s="1880"/>
      <c r="DA92" s="1880"/>
      <c r="DB92" s="1880"/>
      <c r="DC92" s="2121"/>
      <c r="DD92" s="2445" t="str" cm="1">
        <f t="array" ca="1" aca="1" ref="DD92">IFERROR(IF(AD92*fxVal_normal=_PL!AD92,"",IF(OR(AD92="",NOT(ISNUMBER(AD92)),ISERROR(AD92),$B92=""),"",IF($I92=1,IFBLANK(_xldudf_CX_PUSH(AD92*fxVal_normal,CX_ENTITY,$B92,AD$11,AD$14,AD$75,),""),IF($I92=2,IFBLANK(_xldudf_CX_PUSH(AD92,CX_ENTITY,$B92,AD$11,AD$14,AD$75,),""),IF($I92=3,"",IFBLANK(_xldudf_CX_PUSH(AD92,CX_ENTITY,$B92,AD$11,AD$14,AD$75,),"")))))),"")</f>
        <v/>
      </c>
      <c r="DE92" s="2445" t="str" cm="1">
        <f t="array" ca="1" aca="1" ref="DE92">IFERROR(IF(AE92*fxVal_normal=_PL!AE92,"",IF(OR(AE92="",NOT(ISNUMBER(AE92)),ISERROR(AE92),$B92=""),"",IF($I92=1,IFBLANK(_xldudf_CX_PUSH(AE92*fxVal_normal,CX_ENTITY,$B92,AE$11,AE$14,AE$75,),""),IF($I92=2,IFBLANK(_xldudf_CX_PUSH(AE92,CX_ENTITY,$B92,AE$11,AE$14,AE$75,),""),IF($I92=3,"",IFBLANK(_xldudf_CX_PUSH(AE92,CX_ENTITY,$B92,AE$11,AE$14,AE$75,),"")))))),"")</f>
        <v/>
      </c>
      <c r="DF92" s="2445" t="str" cm="1">
        <f t="array" ca="1" aca="1" ref="DF92">IFERROR(IF(AF92*fxVal_normal=_PL!AF92,"",IF(OR(AF92="",NOT(ISNUMBER(AF92)),ISERROR(AF92),$B92=""),"",IF($I92=1,IFBLANK(_xldudf_CX_PUSH(AF92*fxVal_normal,CX_ENTITY,$B92,AF$11,AF$14,AF$75,),""),IF($I92=2,IFBLANK(_xldudf_CX_PUSH(AF92,CX_ENTITY,$B92,AF$11,AF$14,AF$75,),""),IF($I92=3,"",IFBLANK(_xldudf_CX_PUSH(AF92,CX_ENTITY,$B92,AF$11,AF$14,AF$75,),"")))))),"")</f>
        <v/>
      </c>
      <c r="DG92" s="2445" t="str" cm="1">
        <f t="array" ca="1" aca="1" ref="DG92">IFERROR(IF(AG92*fxVal_normal=_PL!AG92,"",IF(OR(AG92="",NOT(ISNUMBER(AG92)),ISERROR(AG92),$B92=""),"",IF($I92=1,IFBLANK(_xldudf_CX_PUSH(AG92*fxVal_normal,CX_ENTITY,$B92,AG$11,AG$14,AG$75,),""),IF($I92=2,IFBLANK(_xldudf_CX_PUSH(AG92,CX_ENTITY,$B92,AG$11,AG$14,AG$75,),""),IF($I92=3,"",IFBLANK(_xldudf_CX_PUSH(AG92,CX_ENTITY,$B92,AG$11,AG$14,AG$75,),"")))))),"")</f>
        <v/>
      </c>
      <c r="DH92" s="2445" t="str" cm="1">
        <f t="array" ca="1" aca="1" ref="DH92">IFERROR(IF(AH92*fxVal_normal=_PL!AH92,"",IF(OR(AH92="",NOT(ISNUMBER(AH92)),ISERROR(AH92),$B92=""),"",IF($I92=1,IFBLANK(_xldudf_CX_PUSH(AH92*fxVal_normal,CX_ENTITY,$B92,AH$11,AH$14,AH$75,),""),IF($I92=2,IFBLANK(_xldudf_CX_PUSH(AH92,CX_ENTITY,$B92,AH$11,AH$14,AH$75,),""),IF($I92=3,"",IFBLANK(_xldudf_CX_PUSH(AH92,CX_ENTITY,$B92,AH$11,AH$14,AH$75,),"")))))),"")</f>
        <v/>
      </c>
      <c r="DI92" s="2445" t="str" cm="1">
        <f t="array" ca="1" aca="1" ref="DI92">IFERROR(IF(AI92*fxVal_normal=_PL!AI92,"",IF(OR(AI92="",NOT(ISNUMBER(AI92)),ISERROR(AI92),$B92=""),"",IF($I92=1,IFBLANK(_xldudf_CX_PUSH(AI92*fxVal_normal,CX_ENTITY,$B92,AI$11,AI$14,AI$75,),""),IF($I92=2,IFBLANK(_xldudf_CX_PUSH(AI92,CX_ENTITY,$B92,AI$11,AI$14,AI$75,),""),IF($I92=3,"",IFBLANK(_xldudf_CX_PUSH(AI92,CX_ENTITY,$B92,AI$11,AI$14,AI$75,),"")))))),"")</f>
        <v/>
      </c>
      <c r="DJ92" s="2445" t="str" cm="1">
        <f t="array" ca="1" aca="1" ref="DJ92">IFERROR(IF(AJ92*fxVal_normal=_PL!AJ92,"",IF(OR(AJ92="",NOT(ISNUMBER(AJ92)),ISERROR(AJ92),$B92=""),"",IF($I92=1,IFBLANK(_xldudf_CX_PUSH(AJ92*fxVal_normal,CX_ENTITY,$B92,AJ$11,AJ$14,AJ$75,),""),IF($I92=2,IFBLANK(_xldudf_CX_PUSH(AJ92,CX_ENTITY,$B92,AJ$11,AJ$14,AJ$75,),""),IF($I92=3,"",IFBLANK(_xldudf_CX_PUSH(AJ92,CX_ENTITY,$B92,AJ$11,AJ$14,AJ$75,),"")))))),"")</f>
        <v/>
      </c>
      <c r="DK92" s="2445" t="str" cm="1">
        <f t="array" ca="1" aca="1" ref="DK92">IFERROR(IF(AK92*fxVal_normal=_PL!AK92,"",IF(OR(AK92="",NOT(ISNUMBER(AK92)),ISERROR(AK92),$B92=""),"",IF($I92=1,IFBLANK(_xldudf_CX_PUSH(AK92*fxVal_normal,CX_ENTITY,$B92,AK$11,AK$14,AK$75,),""),IF($I92=2,IFBLANK(_xldudf_CX_PUSH(AK92,CX_ENTITY,$B92,AK$11,AK$14,AK$75,),""),IF($I92=3,"",IFBLANK(_xldudf_CX_PUSH(AK92,CX_ENTITY,$B92,AK$11,AK$14,AK$75,),"")))))),"")</f>
        <v/>
      </c>
      <c r="DL92" s="2445" t="str" cm="1">
        <f t="array" ca="1" aca="1" ref="DL92">IFERROR(IF(AL92*fxVal_normal=_PL!AL92,"",IF(OR(AL92="",NOT(ISNUMBER(AL92)),ISERROR(AL92),$B92=""),"",IF($I92=1,IFBLANK(_xldudf_CX_PUSH(AL92*fxVal_normal,CX_ENTITY,$B92,AL$11,AL$14,AL$75,),""),IF($I92=2,IFBLANK(_xldudf_CX_PUSH(AL92,CX_ENTITY,$B92,AL$11,AL$14,AL$75,),""),IF($I92=3,"",IFBLANK(_xldudf_CX_PUSH(AL92,CX_ENTITY,$B92,AL$11,AL$14,AL$75,),"")))))),"")</f>
        <v/>
      </c>
      <c r="DM92" s="2445" t="str" cm="1">
        <f t="array" ca="1" aca="1" ref="DM92">IFERROR(IF(AM92*fxVal_normal=_PL!AM92,"",IF(OR(AM92="",NOT(ISNUMBER(AM92)),ISERROR(AM92),$B92=""),"",IF($I92=1,IFBLANK(_xldudf_CX_PUSH(AM92*fxVal_normal,CX_ENTITY,$B92,AM$11,AM$14,AM$75,),""),IF($I92=2,IFBLANK(_xldudf_CX_PUSH(AM92,CX_ENTITY,$B92,AM$11,AM$14,AM$75,),""),IF($I92=3,"",IFBLANK(_xldudf_CX_PUSH(AM92,CX_ENTITY,$B92,AM$11,AM$14,AM$75,),"")))))),"")</f>
        <v/>
      </c>
      <c r="DN92" s="2445" t="str" cm="1">
        <f t="array" ca="1" aca="1" ref="DN92">IFERROR(IF(AN92*fxVal_normal=_PL!AN92,"",IF(OR(AN92="",NOT(ISNUMBER(AN92)),ISERROR(AN92),$B92=""),"",IF($I92=1,IFBLANK(_xldudf_CX_PUSH(AN92*fxVal_normal,CX_ENTITY,$B92,AN$11,AN$14,AN$75,),""),IF($I92=2,IFBLANK(_xldudf_CX_PUSH(AN92,CX_ENTITY,$B92,AN$11,AN$14,AN$75,),""),IF($I92=3,"",IFBLANK(_xldudf_CX_PUSH(AN92,CX_ENTITY,$B92,AN$11,AN$14,AN$75,),"")))))),"")</f>
        <v/>
      </c>
      <c r="DO92" s="2445" t="str" cm="1">
        <f t="array" ca="1" aca="1" ref="DO92">IFERROR(IF(AO92*fxVal_normal=_PL!AO92,"",IF(OR(AO92="",NOT(ISNUMBER(AO92)),ISERROR(AO92),$B92=""),"",IF($I92=1,IFBLANK(_xldudf_CX_PUSH(AO92*fxVal_normal,CX_ENTITY,$B92,AO$11,AO$14,AO$75,),""),IF($I92=2,IFBLANK(_xldudf_CX_PUSH(AO92,CX_ENTITY,$B92,AO$11,AO$14,AO$75,),""),IF($I92=3,"",IFBLANK(_xldudf_CX_PUSH(AO92,CX_ENTITY,$B92,AO$11,AO$14,AO$75,),"")))))),"")</f>
        <v/>
      </c>
      <c r="DP92" s="2445" t="str" cm="1">
        <f t="array" ca="1" aca="1" ref="DP92">IFERROR(IF(AP92*fxVal_normal=_PL!AP92,"",IF(OR(AP92="",NOT(ISNUMBER(AP92)),ISERROR(AP92),$B92=""),"",IF($I92=1,IFBLANK(_xldudf_CX_PUSH(AP92*fxVal_normal,CX_ENTITY,$B92,AP$11,AP$14,AP$75,),""),IF($I92=2,IFBLANK(_xldudf_CX_PUSH(AP92,CX_ENTITY,$B92,AP$11,AP$14,AP$75,),""),IF($I92=3,"",IFBLANK(_xldudf_CX_PUSH(AP92,CX_ENTITY,$B92,AP$11,AP$14,AP$75,),"")))))),"")</f>
        <v/>
      </c>
      <c r="DQ92" s="2445" t="str" cm="1">
        <f t="array" ca="1" aca="1" ref="DQ92">IFERROR(IF(AQ92*fxVal_normal=_PL!AQ92,"",IF(OR(AQ92="",NOT(ISNUMBER(AQ92)),ISERROR(AQ92),$B92=""),"",IF($I92=1,IFBLANK(_xldudf_CX_PUSH(AQ92*fxVal_normal,CX_ENTITY,$B92,AQ$11,AQ$14,AQ$75,),""),IF($I92=2,IFBLANK(_xldudf_CX_PUSH(AQ92,CX_ENTITY,$B92,AQ$11,AQ$14,AQ$75,),""),IF($I92=3,"",IFBLANK(_xldudf_CX_PUSH(AQ92,CX_ENTITY,$B92,AQ$11,AQ$14,AQ$75,),"")))))),"")</f>
        <v/>
      </c>
      <c r="DR92" s="2445" t="str" cm="1">
        <f t="array" ca="1" aca="1" ref="DR92">IFERROR(IF(AR92*fxVal_normal=_PL!AR92,"",IF(OR(AR92="",NOT(ISNUMBER(AR92)),ISERROR(AR92),$B92=""),"",IF($I92=1,IFBLANK(_xldudf_CX_PUSH(AR92*fxVal_normal,CX_ENTITY,$B92,AR$11,AR$14,AR$75,),""),IF($I92=2,IFBLANK(_xldudf_CX_PUSH(AR92,CX_ENTITY,$B92,AR$11,AR$14,AR$75,),""),IF($I92=3,"",IFBLANK(_xldudf_CX_PUSH(AR92,CX_ENTITY,$B92,AR$11,AR$14,AR$75,),"")))))),"")</f>
        <v/>
      </c>
      <c r="DS92" s="2445" t="str" cm="1">
        <f t="array" ca="1" aca="1" ref="DS92">IFERROR(IF(AS92*fxVal_normal=_PL!AS92,"",IF(OR(AS92="",NOT(ISNUMBER(AS92)),ISERROR(AS92),$B92=""),"",IF($I92=1,IFBLANK(_xldudf_CX_PUSH(AS92*fxVal_normal,CX_ENTITY,$B92,AS$11,AS$14,AS$75,),""),IF($I92=2,IFBLANK(_xldudf_CX_PUSH(AS92,CX_ENTITY,$B92,AS$11,AS$14,AS$75,),""),IF($I92=3,"",IFBLANK(_xldudf_CX_PUSH(AS92,CX_ENTITY,$B92,AS$11,AS$14,AS$75,),"")))))),"")</f>
        <v/>
      </c>
      <c r="DT92" s="2445" t="str" cm="1">
        <f t="array" ca="1" aca="1" ref="DT92">IFERROR(IF(AT92*fxVal_normal=_PL!AT92,"",IF(OR(AT92="",NOT(ISNUMBER(AT92)),ISERROR(AT92),$B92=""),"",IF($I92=1,IFBLANK(_xldudf_CX_PUSH(AT92*fxVal_normal,CX_ENTITY,$B92,AT$11,AT$14,AT$75,),""),IF($I92=2,IFBLANK(_xldudf_CX_PUSH(AT92,CX_ENTITY,$B92,AT$11,AT$14,AT$75,),""),IF($I92=3,"",IFBLANK(_xldudf_CX_PUSH(AT92,CX_ENTITY,$B92,AT$11,AT$14,AT$75,),"")))))),"")</f>
        <v/>
      </c>
      <c r="DU92" s="2445" t="str" cm="1">
        <f t="array" ca="1" aca="1" ref="DU92">IFERROR(IF(AU92*fxVal_normal=_PL!AU92,"",IF(OR(AU92="",NOT(ISNUMBER(AU92)),ISERROR(AU92),$B92=""),"",IF($I92=1,IFBLANK(_xldudf_CX_PUSH(AU92*fxVal_normal,CX_ENTITY,$B92,AU$11,AU$14,AU$75,),""),IF($I92=2,IFBLANK(_xldudf_CX_PUSH(AU92,CX_ENTITY,$B92,AU$11,AU$14,AU$75,),""),IF($I92=3,"",IFBLANK(_xldudf_CX_PUSH(AU92,CX_ENTITY,$B92,AU$11,AU$14,AU$75,),"")))))),"")</f>
        <v/>
      </c>
      <c r="DV92" s="2445" t="str" cm="1">
        <f t="array" ca="1" aca="1" ref="DV92">IFERROR(IF(AV92*fxVal_normal=_PL!AV92,"",IF(OR(AV92="",NOT(ISNUMBER(AV92)),ISERROR(AV92),$B92=""),"",IF($I92=1,IFBLANK(_xldudf_CX_PUSH(AV92*fxVal_normal,CX_ENTITY,$B92,AV$11,AV$14,AV$75,),""),IF($I92=2,IFBLANK(_xldudf_CX_PUSH(AV92,CX_ENTITY,$B92,AV$11,AV$14,AV$75,),""),IF($I92=3,"",IFBLANK(_xldudf_CX_PUSH(AV92,CX_ENTITY,$B92,AV$11,AV$14,AV$75,),"")))))),"")</f>
        <v/>
      </c>
      <c r="DW92" s="2445" t="str" cm="1">
        <f t="array" ca="1" aca="1" ref="DW92">IFERROR(IF(AW92*fxVal_normal=_PL!AW92,"",IF(OR(AW92="",NOT(ISNUMBER(AW92)),ISERROR(AW92),$B92=""),"",IF($I92=1,IFBLANK(_xldudf_CX_PUSH(AW92*fxVal_normal,CX_ENTITY,$B92,AW$11,AW$14,AW$75,),""),IF($I92=2,IFBLANK(_xldudf_CX_PUSH(AW92,CX_ENTITY,$B92,AW$11,AW$14,AW$75,),""),IF($I92=3,"",IFBLANK(_xldudf_CX_PUSH(AW92,CX_ENTITY,$B92,AW$11,AW$14,AW$75,),"")))))),"")</f>
        <v/>
      </c>
      <c r="DX92" s="2445" t="str" cm="1">
        <f t="array" ca="1" aca="1" ref="DX92">IFERROR(IF(AX92*fxVal_normal=_PL!AX92,"",IF(OR(AX92="",NOT(ISNUMBER(AX92)),ISERROR(AX92),$B92=""),"",IF($I92=1,IFBLANK(_xldudf_CX_PUSH(AX92*fxVal_normal,CX_ENTITY,$B92,AX$11,AX$14,AX$75,),""),IF($I92=2,IFBLANK(_xldudf_CX_PUSH(AX92,CX_ENTITY,$B92,AX$11,AX$14,AX$75,),""),IF($I92=3,"",IFBLANK(_xldudf_CX_PUSH(AX92,CX_ENTITY,$B92,AX$11,AX$14,AX$75,),"")))))),"")</f>
        <v/>
      </c>
      <c r="DY92" s="2445" t="str" cm="1">
        <f t="array" ca="1" aca="1" ref="DY92">IFERROR(IF(AY92*fxVal_normal=_PL!AY92,"",IF(OR(AY92="",NOT(ISNUMBER(AY92)),ISERROR(AY92),$B92=""),"",IF($I92=1,IFBLANK(_xldudf_CX_PUSH(AY92*fxVal_normal,CX_ENTITY,$B92,AY$11,AY$14,AY$75,),""),IF($I92=2,IFBLANK(_xldudf_CX_PUSH(AY92,CX_ENTITY,$B92,AY$11,AY$14,AY$75,),""),IF($I92=3,"",IFBLANK(_xldudf_CX_PUSH(AY92,CX_ENTITY,$B92,AY$11,AY$14,AY$75,),"")))))),"")</f>
        <v/>
      </c>
      <c r="DZ92" s="2445" t="str" cm="1">
        <f t="array" ca="1" aca="1" ref="DZ92">IFERROR(IF(AZ92*fxVal_normal=_PL!AZ92,"",IF(OR(AZ92="",NOT(ISNUMBER(AZ92)),ISERROR(AZ92),$B92=""),"",IF($I92=1,IFBLANK(_xldudf_CX_PUSH(AZ92*fxVal_normal,CX_ENTITY,$B92,AZ$11,AZ$14,AZ$75,),""),IF($I92=2,IFBLANK(_xldudf_CX_PUSH(AZ92,CX_ENTITY,$B92,AZ$11,AZ$14,AZ$75,),""),IF($I92=3,"",IFBLANK(_xldudf_CX_PUSH(AZ92,CX_ENTITY,$B92,AZ$11,AZ$14,AZ$75,),"")))))),"")</f>
        <v/>
      </c>
      <c r="EA92" s="2445" t="str" cm="1">
        <f t="array" ca="1" aca="1" ref="EA92">IFERROR(IF(BA92*fxVal_normal=_PL!BA92,"",IF(OR(BA92="",NOT(ISNUMBER(BA92)),ISERROR(BA92),$B92=""),"",IF($I92=1,IFBLANK(_xldudf_CX_PUSH(BA92*fxVal_normal,CX_ENTITY,$B92,BA$11,BA$14,BA$75,),""),IF($I92=2,IFBLANK(_xldudf_CX_PUSH(BA92,CX_ENTITY,$B92,BA$11,BA$14,BA$75,),""),IF($I92=3,"",IFBLANK(_xldudf_CX_PUSH(BA92,CX_ENTITY,$B92,BA$11,BA$14,BA$75,),"")))))),"")</f>
        <v/>
      </c>
      <c r="EB92" s="2445" t="str" cm="1">
        <f t="array" ca="1" aca="1" ref="EB92">IFERROR(IF(BB92*fxVal_normal=_PL!BB92,"",IF(OR(BB92="",NOT(ISNUMBER(BB92)),ISERROR(BB92),$B92=""),"",IF($I92=1,IFBLANK(_xldudf_CX_PUSH(BB92*fxVal_normal,CX_ENTITY,$B92,BB$11,BB$14,BB$75,),""),IF($I92=2,IFBLANK(_xldudf_CX_PUSH(BB92,CX_ENTITY,$B92,BB$11,BB$14,BB$75,),""),IF($I92=3,"",IFBLANK(_xldudf_CX_PUSH(BB92,CX_ENTITY,$B92,BB$11,BB$14,BB$75,),"")))))),"")</f>
        <v/>
      </c>
      <c r="EC92" s="2445" t="str" cm="1">
        <f t="array" ca="1" aca="1" ref="EC92">IFERROR(IF(BC92*fxVal_normal=_PL!BC92,"",IF(OR(BC92="",NOT(ISNUMBER(BC92)),ISERROR(BC92),$B92=""),"",IF($I92=1,IFBLANK(_xldudf_CX_PUSH(BC92*fxVal_normal,CX_ENTITY,$B92,BC$11,BC$14,BC$75,),""),IF($I92=2,IFBLANK(_xldudf_CX_PUSH(BC92,CX_ENTITY,$B92,BC$11,BC$14,BC$75,),""),IF($I92=3,"",IFBLANK(_xldudf_CX_PUSH(BC92,CX_ENTITY,$B92,BC$11,BC$14,BC$75,),"")))))),"")</f>
        <v/>
      </c>
      <c r="ED92" s="2445" t="str" cm="1">
        <f t="array" ca="1" aca="1" ref="ED92">IFERROR(IF(BD92*fxVal_normal=_PL!BD92,"",IF(OR(BD92="",NOT(ISNUMBER(BD92)),ISERROR(BD92),$B92=""),"",IF($I92=1,IFBLANK(_xldudf_CX_PUSH(BD92*fxVal_normal,CX_ENTITY,$B92,BD$11,BD$14,BD$75,),""),IF($I92=2,IFBLANK(_xldudf_CX_PUSH(BD92,CX_ENTITY,$B92,BD$11,BD$14,BD$75,),""),IF($I92=3,"",IFBLANK(_xldudf_CX_PUSH(BD92,CX_ENTITY,$B92,BD$11,BD$14,BD$75,),"")))))),"")</f>
        <v/>
      </c>
      <c r="EE92" s="2445" t="str" cm="1">
        <f t="array" ca="1" aca="1" ref="EE92">IFERROR(IF(BE92*fxVal_normal=_PL!BE92,"",IF(OR(BE92="",NOT(ISNUMBER(BE92)),ISERROR(BE92),$B92=""),"",IF($I92=1,IFBLANK(_xldudf_CX_PUSH(BE92*fxVal_normal,CX_ENTITY,$B92,BE$11,BE$14,BE$75,),""),IF($I92=2,IFBLANK(_xldudf_CX_PUSH(BE92,CX_ENTITY,$B92,BE$11,BE$14,BE$75,),""),IF($I92=3,"",IFBLANK(_xldudf_CX_PUSH(BE92,CX_ENTITY,$B92,BE$11,BE$14,BE$75,),"")))))),"")</f>
        <v/>
      </c>
      <c r="EF92" s="2445" t="str" cm="1">
        <f t="array" ca="1" aca="1" ref="EF92">IFERROR(IF(BF92*fxVal_normal=_PL!BF92,"",IF(OR(BF92="",NOT(ISNUMBER(BF92)),ISERROR(BF92),$B92=""),"",IF($I92=1,IFBLANK(_xldudf_CX_PUSH(BF92*fxVal_normal,CX_ENTITY,$B92,BF$11,BF$14,BF$75,),""),IF($I92=2,IFBLANK(_xldudf_CX_PUSH(BF92,CX_ENTITY,$B92,BF$11,BF$14,BF$75,),""),IF($I92=3,"",IFBLANK(_xldudf_CX_PUSH(BF92,CX_ENTITY,$B92,BF$11,BF$14,BF$75,),"")))))),"")</f>
        <v/>
      </c>
      <c r="EG92" s="2445" t="str" cm="1">
        <f t="array" ca="1" aca="1" ref="EG92">IFERROR(IF(BG92*fxVal_normal=_PL!BG92,"",IF(OR(BG92="",NOT(ISNUMBER(BG92)),ISERROR(BG92),$B92=""),"",IF($I92=1,IFBLANK(_xldudf_CX_PUSH(BG92*fxVal_normal,CX_ENTITY,$B92,BG$11,BG$14,BG$75,),""),IF($I92=2,IFBLANK(_xldudf_CX_PUSH(BG92,CX_ENTITY,$B92,BG$11,BG$14,BG$75,),""),IF($I92=3,"",IFBLANK(_xldudf_CX_PUSH(BG92,CX_ENTITY,$B92,BG$11,BG$14,BG$75,),"")))))),"")</f>
        <v/>
      </c>
      <c r="EH92" s="2445" t="str" cm="1">
        <f t="array" ca="1" aca="1" ref="EH92">IFERROR(IF(BH92*fxVal_normal=_PL!BH92,"",IF(OR(BH92="",NOT(ISNUMBER(BH92)),ISERROR(BH92),$B92=""),"",IF($I92=1,IFBLANK(_xldudf_CX_PUSH(BH92*fxVal_normal,CX_ENTITY,$B92,BH$11,BH$14,BH$75,),""),IF($I92=2,IFBLANK(_xldudf_CX_PUSH(BH92,CX_ENTITY,$B92,BH$11,BH$14,BH$75,),""),IF($I92=3,"",IFBLANK(_xldudf_CX_PUSH(BH92,CX_ENTITY,$B92,BH$11,BH$14,BH$75,),"")))))),"")</f>
        <v/>
      </c>
      <c r="EI92" s="2445" t="str" cm="1">
        <f t="array" ca="1" aca="1" ref="EI92">IFERROR(IF(BI92*fxVal_normal=_PL!BI92,"",IF(OR(BI92="",NOT(ISNUMBER(BI92)),ISERROR(BI92),$B92=""),"",IF($I92=1,IFBLANK(_xldudf_CX_PUSH(BI92*fxVal_normal,CX_ENTITY,$B92,BI$11,BI$14,BI$75,),""),IF($I92=2,IFBLANK(_xldudf_CX_PUSH(BI92,CX_ENTITY,$B92,BI$11,BI$14,BI$75,),""),IF($I92=3,"",IFBLANK(_xldudf_CX_PUSH(BI92,CX_ENTITY,$B92,BI$11,BI$14,BI$75,),"")))))),"")</f>
        <v/>
      </c>
      <c r="EJ92" s="2445" t="str" cm="1">
        <f t="array" ca="1" aca="1" ref="EJ92">IFERROR(IF(BJ92*fxVal_normal=_PL!BJ92,"",IF(OR(BJ92="",NOT(ISNUMBER(BJ92)),ISERROR(BJ92),$B92=""),"",IF($I92=1,IFBLANK(_xldudf_CX_PUSH(BJ92*fxVal_normal,CX_ENTITY,$B92,BJ$11,BJ$14,BJ$75,),""),IF($I92=2,IFBLANK(_xldudf_CX_PUSH(BJ92,CX_ENTITY,$B92,BJ$11,BJ$14,BJ$75,),""),IF($I92=3,"",IFBLANK(_xldudf_CX_PUSH(BJ92,CX_ENTITY,$B92,BJ$11,BJ$14,BJ$75,),"")))))),"")</f>
        <v/>
      </c>
      <c r="EK92" s="2445" t="str" cm="1">
        <f t="array" ca="1" aca="1" ref="EK92">IFERROR(IF(BK92*fxVal_normal=_PL!BK92,"",IF(OR(BK92="",NOT(ISNUMBER(BK92)),ISERROR(BK92),$B92=""),"",IF($I92=1,IFBLANK(_xldudf_CX_PUSH(BK92*fxVal_normal,CX_ENTITY,$B92,BK$11,BK$14,BK$75,),""),IF($I92=2,IFBLANK(_xldudf_CX_PUSH(BK92,CX_ENTITY,$B92,BK$11,BK$14,BK$75,),""),IF($I92=3,"",IFBLANK(_xldudf_CX_PUSH(BK92,CX_ENTITY,$B92,BK$11,BK$14,BK$75,),"")))))),"")</f>
        <v/>
      </c>
      <c r="EL92" s="2445" t="str" cm="1">
        <f t="array" ca="1" aca="1" ref="EL92">IFERROR(IF(BL92*fxVal_normal=_PL!BL92,"",IF(OR(BL92="",NOT(ISNUMBER(BL92)),ISERROR(BL92),$B92=""),"",IF($I92=1,IFBLANK(_xldudf_CX_PUSH(BL92*fxVal_normal,CX_ENTITY,$B92,BL$11,BL$14,BL$75,),""),IF($I92=2,IFBLANK(_xldudf_CX_PUSH(BL92,CX_ENTITY,$B92,BL$11,BL$14,BL$75,),""),IF($I92=3,"",IFBLANK(_xldudf_CX_PUSH(BL92,CX_ENTITY,$B92,BL$11,BL$14,BL$75,),"")))))),"")</f>
        <v/>
      </c>
      <c r="EM92" s="2445" t="str" cm="1">
        <f t="array" ca="1" aca="1" ref="EM92">IFERROR(IF(BM92*fxVal_normal=_PL!BM92,"",IF(OR(BM92="",NOT(ISNUMBER(BM92)),ISERROR(BM92),$B92=""),"",IF($I92=1,IFBLANK(_xldudf_CX_PUSH(BM92*fxVal_normal,CX_ENTITY,$B92,BM$11,BM$14,BM$75,),""),IF($I92=2,IFBLANK(_xldudf_CX_PUSH(BM92,CX_ENTITY,$B92,BM$11,BM$14,BM$75,),""),IF($I92=3,"",IFBLANK(_xldudf_CX_PUSH(BM92,CX_ENTITY,$B92,BM$11,BM$14,BM$75,),"")))))),"")</f>
        <v/>
      </c>
      <c r="EN92" s="2445" t="str" cm="1">
        <f t="array" ca="1" aca="1" ref="EN92">IFERROR(IF(BN92*fxVal_normal=_PL!BN92,"",IF(OR(BN92="",NOT(ISNUMBER(BN92)),ISERROR(BN92),$B92=""),"",IF($I92=1,IFBLANK(_xldudf_CX_PUSH(BN92*fxVal_normal,CX_ENTITY,$B92,BN$11,BN$14,BN$75,),""),IF($I92=2,IFBLANK(_xldudf_CX_PUSH(BN92,CX_ENTITY,$B92,BN$11,BN$14,BN$75,),""),IF($I92=3,"",IFBLANK(_xldudf_CX_PUSH(BN92,CX_ENTITY,$B92,BN$11,BN$14,BN$75,),"")))))),"")</f>
        <v/>
      </c>
    </row>
    <row r="93" spans="1:144" ht="21" customHeight="1">
      <c r="A93" s="1625"/>
      <c r="B93" s="2501" t="str">
        <f>_xlfn.LET(_xlpm.IsNotAttrDynamic,D93="",_xlpm.Attr,_PL!F93,_xlpm.NotInUse,Y93=D93,_xlpm.RESULT,IF(_xlpm.IsNotAttrDynamic,_xlpm.Attr,IF(_xlpm.NotInUse,"",Y93)),IF(_xlpm.RESULT="","",_xlpm.RESULT))</f>
        <v>Interest Expense</v>
      </c>
      <c r="C93" s="2501" t="str" cm="1">
        <f t="array" ref="C93">IFBLANK(_PL!C93,"")</f>
        <v>Interest Expense (Company View)</v>
      </c>
      <c r="D93" s="1548"/>
      <c r="E93" s="2440" t="e" cm="1">
        <f t="array" ca="1" aca="1" ref="E9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93:$CQ93,Z93)</f>
        <v>#NAME?</v>
      </c>
      <c r="F93" s="578"/>
      <c r="G93" s="578"/>
      <c r="H93" s="578">
        <v>0</v>
      </c>
      <c r="I93" s="3279">
        <v>1</v>
      </c>
      <c r="J93" s="3280" cm="1">
        <f t="array" ref="J93">IFBLANK(Z93,"")</f>
        <v>1</v>
      </c>
      <c r="K93" s="578" t="str">
        <f t="shared" si="39"/>
        <v>Yes</v>
      </c>
      <c r="L93" s="37"/>
      <c r="N93" s="158"/>
      <c r="O93" s="101"/>
      <c r="P93" s="52"/>
      <c r="Q93" s="101"/>
      <c r="R93" s="101"/>
      <c r="S93" s="101"/>
      <c r="T93" s="101"/>
      <c r="U93" s="39"/>
      <c r="V93" s="37"/>
      <c r="W93" s="91" t="str">
        <f t="shared" si="28"/>
        <v>Budget</v>
      </c>
      <c r="X93" s="2081">
        <f>_PL!X93</f>
        <v>-1</v>
      </c>
      <c r="Y93" s="3192">
        <f t="shared" si="36"/>
        <v>2</v>
      </c>
      <c r="Z93" s="3291" cm="1">
        <f t="array" ref="Z93">_xlfn.SWITCH(TRUE,_PL!$L93=TRUE,1,_PL!$L93=FALSE,-1,_PL!$L93=-1,0,"")</f>
        <v>1</v>
      </c>
      <c r="AA93" s="200"/>
      <c r="AB93" s="1134" t="str">
        <f>_PL!AB93</f>
        <v>Interest Expense</v>
      </c>
      <c r="AC93" s="275" t="str" cm="1">
        <f t="array" ca="1" aca="1" ref="AC93">_xlfn.LET(_xlpm._termname,$AB93,_xlpm._iconname,"find",_xlpm._icon,fx_getIcon(_xlpm._iconname),_xlpm._location,_xlfn.XLOOKUP(LOWER(_xlpm._termname),LOWER(tbl_acctDef[Term]),tbl_acctDef[Term]),_xlpm._hyperlink,HYPERLINK("#"&amp;CELL("address",_xlpm._location),_xlpm._icon),IFERROR(_xlpm._hyperlink,""))</f>
        <v/>
      </c>
      <c r="AD93" s="3177">
        <v>1</v>
      </c>
      <c r="AE93" s="3177">
        <v>1</v>
      </c>
      <c r="AF93" s="3177">
        <v>1</v>
      </c>
      <c r="AG93" s="3177">
        <v>1</v>
      </c>
      <c r="AH93" s="3177">
        <v>1</v>
      </c>
      <c r="AI93" s="3177">
        <v>1</v>
      </c>
      <c r="AJ93" s="3177">
        <v>1</v>
      </c>
      <c r="AK93" s="3177">
        <v>1</v>
      </c>
      <c r="AL93" s="3177">
        <v>1</v>
      </c>
      <c r="AM93" s="3177">
        <v>1</v>
      </c>
      <c r="AN93" s="3177">
        <v>1</v>
      </c>
      <c r="AO93" s="3177">
        <v>1</v>
      </c>
      <c r="AP93" s="3177">
        <v>1</v>
      </c>
      <c r="AQ93" s="3177">
        <v>1</v>
      </c>
      <c r="AR93" s="3177">
        <v>1</v>
      </c>
      <c r="AS93" s="3177">
        <v>1</v>
      </c>
      <c r="AT93" s="3177">
        <v>1</v>
      </c>
      <c r="AU93" s="3177">
        <v>1</v>
      </c>
      <c r="AV93" s="3177">
        <v>1</v>
      </c>
      <c r="AW93" s="3177">
        <v>1</v>
      </c>
      <c r="AX93" s="3177">
        <v>1</v>
      </c>
      <c r="AY93" s="3177">
        <v>1</v>
      </c>
      <c r="AZ93" s="3177">
        <v>1</v>
      </c>
      <c r="BA93" s="3177">
        <v>1</v>
      </c>
      <c r="BB93" s="3177">
        <v>1</v>
      </c>
      <c r="BC93" s="3177">
        <v>1</v>
      </c>
      <c r="BD93" s="3177">
        <v>1</v>
      </c>
      <c r="BE93" s="3177">
        <v>1</v>
      </c>
      <c r="BF93" s="3177">
        <v>1</v>
      </c>
      <c r="BG93" s="3177">
        <v>1</v>
      </c>
      <c r="BH93" s="3177">
        <v>1</v>
      </c>
      <c r="BI93" s="3177">
        <v>1</v>
      </c>
      <c r="BJ93" s="3177">
        <v>1</v>
      </c>
      <c r="BK93" s="3177">
        <v>1</v>
      </c>
      <c r="BL93" s="3177">
        <v>1</v>
      </c>
      <c r="BM93" s="3177">
        <v>1</v>
      </c>
      <c r="BN93" s="3177">
        <v>1</v>
      </c>
      <c r="BO93" s="2442"/>
      <c r="BP93" s="2442"/>
      <c r="BQ93" s="2442"/>
      <c r="BR93" s="2442"/>
      <c r="BS93" s="2442"/>
      <c r="BT93" s="2442"/>
      <c r="BU93" s="2442"/>
      <c r="BV93" s="2442"/>
      <c r="BW93" s="2442"/>
      <c r="BX93" s="2442"/>
      <c r="BY93" s="2442"/>
      <c r="BZ93" s="2442"/>
      <c r="CA93" s="34"/>
      <c r="CC93" s="33"/>
      <c r="CD93" s="1772" t="e" cm="1">
        <f t="array" ca="1" aca="1" ref="CD93">_xlfn.LET(_xlpm.CheckBlank,SUM(PL!$AD93:$BN93)=0,IF(_xlpm.CheckBlank,"",SUM(_xlfn._xlws.FILTER(PL!$AD93:$BN93,(YEAR(PL!$AD$12:$BN$12)=PL!CD$12)*(array_timeline&lt;=PL!CD$11)))))</f>
        <v>#NAME?</v>
      </c>
      <c r="CE93" s="1772" t="e" cm="1">
        <f t="array" ca="1" aca="1" ref="CE93">_xlfn.LET(_xlpm.CheckBlank,SUM(PL!$AD93:$BN93)=0,IF(_xlpm.CheckBlank,"",SUM(_xlfn._xlws.FILTER(PL!$AD93:$BN93,(YEAR(PL!$AD$12:$BN$12)=PL!CE$12)*(array_timeline&lt;=PL!CE$11)))))</f>
        <v>#NAME?</v>
      </c>
      <c r="CF93" s="88"/>
      <c r="CG93" s="1461" t="e" cm="1">
        <f t="array" ca="1" aca="1" ref="CG93">_xlfn.LET(_xlpm.CheckBlank,SUM(PL!$AD93:$BN93)=0,IF(_xlpm.CheckBlank,"",SUM(_xlfn._xlws.FILTER(PL!$AD93:$BN93,(YEAR(PL!$AD$12:$BN$12)=PL!CG$12)*(array_timeline&lt;=PL!CG$11)))))</f>
        <v>#NAME?</v>
      </c>
      <c r="CH93" s="1461" t="e" cm="1">
        <f t="array" ca="1" aca="1" ref="CH93">_xlfn.LET(_xlpm.CheckBlank,SUM(PL!$AD93:$BN93)=0,IF(_xlpm.CheckBlank,"",SUM(_xlfn._xlws.FILTER(PL!$AD93:$BN93,(YEAR(PL!$AD$12:$BN$12)=PL!CH$12)*(array_timeline&lt;=PL!CH$11)))))</f>
        <v>#NAME?</v>
      </c>
      <c r="CI93" s="88"/>
      <c r="CJ93" s="1461" cm="1">
        <f t="array" ref="CJ93">_xlfn.LET(_xlpm.CheckBlank,SUM(PL!$AD93:$BN93)=0,IF(_xlpm.CheckBlank,"",SUM(_xlfn.TAKE(_xlfn.DROP(PL!$AD93:$BN93,,-DATEDIFF(PL!CJ$11,val_asOfDate,"M")),1,-12))))</f>
        <v>12</v>
      </c>
      <c r="CK93" s="1461" cm="1">
        <f t="array" ref="CK93">_xlfn.LET(_xlpm.CheckBlank,SUM(PL!$AD93:$BN93)=0,IF(_xlpm.CheckBlank,"",SUM(_xlfn.TAKE(_xlfn.DROP(PL!$AD93:$BN93,,-DATEDIFF(PL!CK$11,val_asOfDate,"M")),1,-12))))</f>
        <v>12</v>
      </c>
      <c r="CL93" s="88"/>
      <c r="CM93" s="3194">
        <f t="shared" si="26"/>
        <v>1</v>
      </c>
      <c r="CN93" s="3194">
        <f t="shared" si="23"/>
        <v>1</v>
      </c>
      <c r="CO93" s="1169"/>
      <c r="CP93" s="3194">
        <f t="shared" si="27"/>
        <v>1</v>
      </c>
      <c r="CQ93" s="3194">
        <f t="shared" si="24"/>
        <v>1</v>
      </c>
      <c r="CR93" s="34"/>
      <c r="CS93" s="2056"/>
      <c r="CT93" s="2085" t="e" cm="1">
        <f t="array" ca="1" aca="1" ref="CT93">IF(K93&lt;&gt;"Yes","",IF(OR(Y93="Select,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III"),"",IF(OR(Y93&lt;&gt;AB93,AND(LEN(B93)=0,NOT(OR(Y93="Select,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III")))),_xldudf_CX_PUSH(Y93,CX_ENTITY,C93,EOMONTH(val_asOfDate,0)),"")))</f>
        <v>#NAME?</v>
      </c>
      <c r="CU93" s="2085" t="e" cm="1">
        <f t="array" ca="1" aca="1" ref="CU93">IF(K93&lt;&gt;"Yes","",IF(OR(Y93="Select,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III"),"",IF(OR(Y93&lt;&gt;AB93,AND(LEN(B93)=0,NOT(OR(Y93="Select,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III")))),_xldudf_CX_PUSH(Y93,CX_ENTITY,C93,EOMONTH(val_asOfDate,1)),"")))</f>
        <v>#NAME?</v>
      </c>
      <c r="CV93" s="2085" t="e" cm="1">
        <f t="array" ca="1" aca="1" ref="CV93">IF(K93&lt;&gt;"Yes","",IF(OR(Y93="Select,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III"),"",IF(OR(Y93&lt;&gt;AB93,AND(LEN(B93)=0,NOT(OR(Y93="Select,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III")))),_xldudf_CX_PUSH(Y93,CX_ENTITY,C93,EOMONTH(val_asOfDate,2)),"")))</f>
        <v>#NAME?</v>
      </c>
      <c r="CW93" s="2085" t="e" cm="1">
        <f t="array" ca="1" aca="1" ref="CW93">IF(K93&lt;&gt;"Yes","",IF(OR(Y93="Select,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III"),"",IF(OR(Y93&lt;&gt;AB93,AND(LEN(B93)=0,NOT(OR(Y93="Select,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III")))),_xldudf_CX_PUSH(Y93,CX_ENTITY,C93,EOMONTH(val_asOfDate,3)),"")))</f>
        <v>#NAME?</v>
      </c>
      <c r="CX93" s="2443"/>
      <c r="CY93" s="1880"/>
      <c r="CZ93" s="1880"/>
      <c r="DA93" s="1880"/>
      <c r="DB93" s="1880"/>
      <c r="DC93" s="2121"/>
      <c r="DD93" s="2445" t="str" cm="1">
        <f t="array" ca="1" aca="1" ref="DD93">IFERROR(IF(AD93*fxVal_normal=_PL!AD93,"",IF(OR(AD93="",NOT(ISNUMBER(AD93)),ISERROR(AD93),$B93=""),"",IF($I93=1,IFBLANK(_xldudf_CX_PUSH(AD93*fxVal_normal,CX_ENTITY,$B93,AD$11,AD$14,AD$75,),""),IF($I93=2,IFBLANK(_xldudf_CX_PUSH(AD93,CX_ENTITY,$B93,AD$11,AD$14,AD$75,),""),IF($I93=3,"",IFBLANK(_xldudf_CX_PUSH(AD93,CX_ENTITY,$B93,AD$11,AD$14,AD$75,),"")))))),"")</f>
        <v/>
      </c>
      <c r="DE93" s="2445" t="str" cm="1">
        <f t="array" ca="1" aca="1" ref="DE93">IFERROR(IF(AE93*fxVal_normal=_PL!AE93,"",IF(OR(AE93="",NOT(ISNUMBER(AE93)),ISERROR(AE93),$B93=""),"",IF($I93=1,IFBLANK(_xldudf_CX_PUSH(AE93*fxVal_normal,CX_ENTITY,$B93,AE$11,AE$14,AE$75,),""),IF($I93=2,IFBLANK(_xldudf_CX_PUSH(AE93,CX_ENTITY,$B93,AE$11,AE$14,AE$75,),""),IF($I93=3,"",IFBLANK(_xldudf_CX_PUSH(AE93,CX_ENTITY,$B93,AE$11,AE$14,AE$75,),"")))))),"")</f>
        <v/>
      </c>
      <c r="DF93" s="2445" t="str" cm="1">
        <f t="array" ca="1" aca="1" ref="DF93">IFERROR(IF(AF93*fxVal_normal=_PL!AF93,"",IF(OR(AF93="",NOT(ISNUMBER(AF93)),ISERROR(AF93),$B93=""),"",IF($I93=1,IFBLANK(_xldudf_CX_PUSH(AF93*fxVal_normal,CX_ENTITY,$B93,AF$11,AF$14,AF$75,),""),IF($I93=2,IFBLANK(_xldudf_CX_PUSH(AF93,CX_ENTITY,$B93,AF$11,AF$14,AF$75,),""),IF($I93=3,"",IFBLANK(_xldudf_CX_PUSH(AF93,CX_ENTITY,$B93,AF$11,AF$14,AF$75,),"")))))),"")</f>
        <v/>
      </c>
      <c r="DG93" s="2445" t="str" cm="1">
        <f t="array" ca="1" aca="1" ref="DG93">IFERROR(IF(AG93*fxVal_normal=_PL!AG93,"",IF(OR(AG93="",NOT(ISNUMBER(AG93)),ISERROR(AG93),$B93=""),"",IF($I93=1,IFBLANK(_xldudf_CX_PUSH(AG93*fxVal_normal,CX_ENTITY,$B93,AG$11,AG$14,AG$75,),""),IF($I93=2,IFBLANK(_xldudf_CX_PUSH(AG93,CX_ENTITY,$B93,AG$11,AG$14,AG$75,),""),IF($I93=3,"",IFBLANK(_xldudf_CX_PUSH(AG93,CX_ENTITY,$B93,AG$11,AG$14,AG$75,),"")))))),"")</f>
        <v/>
      </c>
      <c r="DH93" s="2445" t="str" cm="1">
        <f t="array" ca="1" aca="1" ref="DH93">IFERROR(IF(AH93*fxVal_normal=_PL!AH93,"",IF(OR(AH93="",NOT(ISNUMBER(AH93)),ISERROR(AH93),$B93=""),"",IF($I93=1,IFBLANK(_xldudf_CX_PUSH(AH93*fxVal_normal,CX_ENTITY,$B93,AH$11,AH$14,AH$75,),""),IF($I93=2,IFBLANK(_xldudf_CX_PUSH(AH93,CX_ENTITY,$B93,AH$11,AH$14,AH$75,),""),IF($I93=3,"",IFBLANK(_xldudf_CX_PUSH(AH93,CX_ENTITY,$B93,AH$11,AH$14,AH$75,),"")))))),"")</f>
        <v/>
      </c>
      <c r="DI93" s="2445" t="str" cm="1">
        <f t="array" ca="1" aca="1" ref="DI93">IFERROR(IF(AI93*fxVal_normal=_PL!AI93,"",IF(OR(AI93="",NOT(ISNUMBER(AI93)),ISERROR(AI93),$B93=""),"",IF($I93=1,IFBLANK(_xldudf_CX_PUSH(AI93*fxVal_normal,CX_ENTITY,$B93,AI$11,AI$14,AI$75,),""),IF($I93=2,IFBLANK(_xldudf_CX_PUSH(AI93,CX_ENTITY,$B93,AI$11,AI$14,AI$75,),""),IF($I93=3,"",IFBLANK(_xldudf_CX_PUSH(AI93,CX_ENTITY,$B93,AI$11,AI$14,AI$75,),"")))))),"")</f>
        <v/>
      </c>
      <c r="DJ93" s="2445" t="str" cm="1">
        <f t="array" ca="1" aca="1" ref="DJ93">IFERROR(IF(AJ93*fxVal_normal=_PL!AJ93,"",IF(OR(AJ93="",NOT(ISNUMBER(AJ93)),ISERROR(AJ93),$B93=""),"",IF($I93=1,IFBLANK(_xldudf_CX_PUSH(AJ93*fxVal_normal,CX_ENTITY,$B93,AJ$11,AJ$14,AJ$75,),""),IF($I93=2,IFBLANK(_xldudf_CX_PUSH(AJ93,CX_ENTITY,$B93,AJ$11,AJ$14,AJ$75,),""),IF($I93=3,"",IFBLANK(_xldudf_CX_PUSH(AJ93,CX_ENTITY,$B93,AJ$11,AJ$14,AJ$75,),"")))))),"")</f>
        <v/>
      </c>
      <c r="DK93" s="2445" t="str" cm="1">
        <f t="array" ca="1" aca="1" ref="DK93">IFERROR(IF(AK93*fxVal_normal=_PL!AK93,"",IF(OR(AK93="",NOT(ISNUMBER(AK93)),ISERROR(AK93),$B93=""),"",IF($I93=1,IFBLANK(_xldudf_CX_PUSH(AK93*fxVal_normal,CX_ENTITY,$B93,AK$11,AK$14,AK$75,),""),IF($I93=2,IFBLANK(_xldudf_CX_PUSH(AK93,CX_ENTITY,$B93,AK$11,AK$14,AK$75,),""),IF($I93=3,"",IFBLANK(_xldudf_CX_PUSH(AK93,CX_ENTITY,$B93,AK$11,AK$14,AK$75,),"")))))),"")</f>
        <v/>
      </c>
      <c r="DL93" s="2445" t="str" cm="1">
        <f t="array" ca="1" aca="1" ref="DL93">IFERROR(IF(AL93*fxVal_normal=_PL!AL93,"",IF(OR(AL93="",NOT(ISNUMBER(AL93)),ISERROR(AL93),$B93=""),"",IF($I93=1,IFBLANK(_xldudf_CX_PUSH(AL93*fxVal_normal,CX_ENTITY,$B93,AL$11,AL$14,AL$75,),""),IF($I93=2,IFBLANK(_xldudf_CX_PUSH(AL93,CX_ENTITY,$B93,AL$11,AL$14,AL$75,),""),IF($I93=3,"",IFBLANK(_xldudf_CX_PUSH(AL93,CX_ENTITY,$B93,AL$11,AL$14,AL$75,),"")))))),"")</f>
        <v/>
      </c>
      <c r="DM93" s="2445" t="str" cm="1">
        <f t="array" ca="1" aca="1" ref="DM93">IFERROR(IF(AM93*fxVal_normal=_PL!AM93,"",IF(OR(AM93="",NOT(ISNUMBER(AM93)),ISERROR(AM93),$B93=""),"",IF($I93=1,IFBLANK(_xldudf_CX_PUSH(AM93*fxVal_normal,CX_ENTITY,$B93,AM$11,AM$14,AM$75,),""),IF($I93=2,IFBLANK(_xldudf_CX_PUSH(AM93,CX_ENTITY,$B93,AM$11,AM$14,AM$75,),""),IF($I93=3,"",IFBLANK(_xldudf_CX_PUSH(AM93,CX_ENTITY,$B93,AM$11,AM$14,AM$75,),"")))))),"")</f>
        <v/>
      </c>
      <c r="DN93" s="2445" t="str" cm="1">
        <f t="array" ca="1" aca="1" ref="DN93">IFERROR(IF(AN93*fxVal_normal=_PL!AN93,"",IF(OR(AN93="",NOT(ISNUMBER(AN93)),ISERROR(AN93),$B93=""),"",IF($I93=1,IFBLANK(_xldudf_CX_PUSH(AN93*fxVal_normal,CX_ENTITY,$B93,AN$11,AN$14,AN$75,),""),IF($I93=2,IFBLANK(_xldudf_CX_PUSH(AN93,CX_ENTITY,$B93,AN$11,AN$14,AN$75,),""),IF($I93=3,"",IFBLANK(_xldudf_CX_PUSH(AN93,CX_ENTITY,$B93,AN$11,AN$14,AN$75,),"")))))),"")</f>
        <v/>
      </c>
      <c r="DO93" s="2445" t="str" cm="1">
        <f t="array" ca="1" aca="1" ref="DO93">IFERROR(IF(AO93*fxVal_normal=_PL!AO93,"",IF(OR(AO93="",NOT(ISNUMBER(AO93)),ISERROR(AO93),$B93=""),"",IF($I93=1,IFBLANK(_xldudf_CX_PUSH(AO93*fxVal_normal,CX_ENTITY,$B93,AO$11,AO$14,AO$75,),""),IF($I93=2,IFBLANK(_xldudf_CX_PUSH(AO93,CX_ENTITY,$B93,AO$11,AO$14,AO$75,),""),IF($I93=3,"",IFBLANK(_xldudf_CX_PUSH(AO93,CX_ENTITY,$B93,AO$11,AO$14,AO$75,),"")))))),"")</f>
        <v/>
      </c>
      <c r="DP93" s="2445" t="str" cm="1">
        <f t="array" ca="1" aca="1" ref="DP93">IFERROR(IF(AP93*fxVal_normal=_PL!AP93,"",IF(OR(AP93="",NOT(ISNUMBER(AP93)),ISERROR(AP93),$B93=""),"",IF($I93=1,IFBLANK(_xldudf_CX_PUSH(AP93*fxVal_normal,CX_ENTITY,$B93,AP$11,AP$14,AP$75,),""),IF($I93=2,IFBLANK(_xldudf_CX_PUSH(AP93,CX_ENTITY,$B93,AP$11,AP$14,AP$75,),""),IF($I93=3,"",IFBLANK(_xldudf_CX_PUSH(AP93,CX_ENTITY,$B93,AP$11,AP$14,AP$75,),"")))))),"")</f>
        <v/>
      </c>
      <c r="DQ93" s="2445" t="str" cm="1">
        <f t="array" ca="1" aca="1" ref="DQ93">IFERROR(IF(AQ93*fxVal_normal=_PL!AQ93,"",IF(OR(AQ93="",NOT(ISNUMBER(AQ93)),ISERROR(AQ93),$B93=""),"",IF($I93=1,IFBLANK(_xldudf_CX_PUSH(AQ93*fxVal_normal,CX_ENTITY,$B93,AQ$11,AQ$14,AQ$75,),""),IF($I93=2,IFBLANK(_xldudf_CX_PUSH(AQ93,CX_ENTITY,$B93,AQ$11,AQ$14,AQ$75,),""),IF($I93=3,"",IFBLANK(_xldudf_CX_PUSH(AQ93,CX_ENTITY,$B93,AQ$11,AQ$14,AQ$75,),"")))))),"")</f>
        <v/>
      </c>
      <c r="DR93" s="2445" t="str" cm="1">
        <f t="array" ca="1" aca="1" ref="DR93">IFERROR(IF(AR93*fxVal_normal=_PL!AR93,"",IF(OR(AR93="",NOT(ISNUMBER(AR93)),ISERROR(AR93),$B93=""),"",IF($I93=1,IFBLANK(_xldudf_CX_PUSH(AR93*fxVal_normal,CX_ENTITY,$B93,AR$11,AR$14,AR$75,),""),IF($I93=2,IFBLANK(_xldudf_CX_PUSH(AR93,CX_ENTITY,$B93,AR$11,AR$14,AR$75,),""),IF($I93=3,"",IFBLANK(_xldudf_CX_PUSH(AR93,CX_ENTITY,$B93,AR$11,AR$14,AR$75,),"")))))),"")</f>
        <v/>
      </c>
      <c r="DS93" s="2445" t="str" cm="1">
        <f t="array" ca="1" aca="1" ref="DS93">IFERROR(IF(AS93*fxVal_normal=_PL!AS93,"",IF(OR(AS93="",NOT(ISNUMBER(AS93)),ISERROR(AS93),$B93=""),"",IF($I93=1,IFBLANK(_xldudf_CX_PUSH(AS93*fxVal_normal,CX_ENTITY,$B93,AS$11,AS$14,AS$75,),""),IF($I93=2,IFBLANK(_xldudf_CX_PUSH(AS93,CX_ENTITY,$B93,AS$11,AS$14,AS$75,),""),IF($I93=3,"",IFBLANK(_xldudf_CX_PUSH(AS93,CX_ENTITY,$B93,AS$11,AS$14,AS$75,),"")))))),"")</f>
        <v/>
      </c>
      <c r="DT93" s="2445" t="str" cm="1">
        <f t="array" ca="1" aca="1" ref="DT93">IFERROR(IF(AT93*fxVal_normal=_PL!AT93,"",IF(OR(AT93="",NOT(ISNUMBER(AT93)),ISERROR(AT93),$B93=""),"",IF($I93=1,IFBLANK(_xldudf_CX_PUSH(AT93*fxVal_normal,CX_ENTITY,$B93,AT$11,AT$14,AT$75,),""),IF($I93=2,IFBLANK(_xldudf_CX_PUSH(AT93,CX_ENTITY,$B93,AT$11,AT$14,AT$75,),""),IF($I93=3,"",IFBLANK(_xldudf_CX_PUSH(AT93,CX_ENTITY,$B93,AT$11,AT$14,AT$75,),"")))))),"")</f>
        <v/>
      </c>
      <c r="DU93" s="2445" t="str" cm="1">
        <f t="array" ca="1" aca="1" ref="DU93">IFERROR(IF(AU93*fxVal_normal=_PL!AU93,"",IF(OR(AU93="",NOT(ISNUMBER(AU93)),ISERROR(AU93),$B93=""),"",IF($I93=1,IFBLANK(_xldudf_CX_PUSH(AU93*fxVal_normal,CX_ENTITY,$B93,AU$11,AU$14,AU$75,),""),IF($I93=2,IFBLANK(_xldudf_CX_PUSH(AU93,CX_ENTITY,$B93,AU$11,AU$14,AU$75,),""),IF($I93=3,"",IFBLANK(_xldudf_CX_PUSH(AU93,CX_ENTITY,$B93,AU$11,AU$14,AU$75,),"")))))),"")</f>
        <v/>
      </c>
      <c r="DV93" s="2445" t="str" cm="1">
        <f t="array" ca="1" aca="1" ref="DV93">IFERROR(IF(AV93*fxVal_normal=_PL!AV93,"",IF(OR(AV93="",NOT(ISNUMBER(AV93)),ISERROR(AV93),$B93=""),"",IF($I93=1,IFBLANK(_xldudf_CX_PUSH(AV93*fxVal_normal,CX_ENTITY,$B93,AV$11,AV$14,AV$75,),""),IF($I93=2,IFBLANK(_xldudf_CX_PUSH(AV93,CX_ENTITY,$B93,AV$11,AV$14,AV$75,),""),IF($I93=3,"",IFBLANK(_xldudf_CX_PUSH(AV93,CX_ENTITY,$B93,AV$11,AV$14,AV$75,),"")))))),"")</f>
        <v/>
      </c>
      <c r="DW93" s="2445" t="str" cm="1">
        <f t="array" ca="1" aca="1" ref="DW93">IFERROR(IF(AW93*fxVal_normal=_PL!AW93,"",IF(OR(AW93="",NOT(ISNUMBER(AW93)),ISERROR(AW93),$B93=""),"",IF($I93=1,IFBLANK(_xldudf_CX_PUSH(AW93*fxVal_normal,CX_ENTITY,$B93,AW$11,AW$14,AW$75,),""),IF($I93=2,IFBLANK(_xldudf_CX_PUSH(AW93,CX_ENTITY,$B93,AW$11,AW$14,AW$75,),""),IF($I93=3,"",IFBLANK(_xldudf_CX_PUSH(AW93,CX_ENTITY,$B93,AW$11,AW$14,AW$75,),"")))))),"")</f>
        <v/>
      </c>
      <c r="DX93" s="2445" t="str" cm="1">
        <f t="array" ca="1" aca="1" ref="DX93">IFERROR(IF(AX93*fxVal_normal=_PL!AX93,"",IF(OR(AX93="",NOT(ISNUMBER(AX93)),ISERROR(AX93),$B93=""),"",IF($I93=1,IFBLANK(_xldudf_CX_PUSH(AX93*fxVal_normal,CX_ENTITY,$B93,AX$11,AX$14,AX$75,),""),IF($I93=2,IFBLANK(_xldudf_CX_PUSH(AX93,CX_ENTITY,$B93,AX$11,AX$14,AX$75,),""),IF($I93=3,"",IFBLANK(_xldudf_CX_PUSH(AX93,CX_ENTITY,$B93,AX$11,AX$14,AX$75,),"")))))),"")</f>
        <v/>
      </c>
      <c r="DY93" s="2445" t="str" cm="1">
        <f t="array" ca="1" aca="1" ref="DY93">IFERROR(IF(AY93*fxVal_normal=_PL!AY93,"",IF(OR(AY93="",NOT(ISNUMBER(AY93)),ISERROR(AY93),$B93=""),"",IF($I93=1,IFBLANK(_xldudf_CX_PUSH(AY93*fxVal_normal,CX_ENTITY,$B93,AY$11,AY$14,AY$75,),""),IF($I93=2,IFBLANK(_xldudf_CX_PUSH(AY93,CX_ENTITY,$B93,AY$11,AY$14,AY$75,),""),IF($I93=3,"",IFBLANK(_xldudf_CX_PUSH(AY93,CX_ENTITY,$B93,AY$11,AY$14,AY$75,),"")))))),"")</f>
        <v/>
      </c>
      <c r="DZ93" s="2445" t="str" cm="1">
        <f t="array" ca="1" aca="1" ref="DZ93">IFERROR(IF(AZ93*fxVal_normal=_PL!AZ93,"",IF(OR(AZ93="",NOT(ISNUMBER(AZ93)),ISERROR(AZ93),$B93=""),"",IF($I93=1,IFBLANK(_xldudf_CX_PUSH(AZ93*fxVal_normal,CX_ENTITY,$B93,AZ$11,AZ$14,AZ$75,),""),IF($I93=2,IFBLANK(_xldudf_CX_PUSH(AZ93,CX_ENTITY,$B93,AZ$11,AZ$14,AZ$75,),""),IF($I93=3,"",IFBLANK(_xldudf_CX_PUSH(AZ93,CX_ENTITY,$B93,AZ$11,AZ$14,AZ$75,),"")))))),"")</f>
        <v/>
      </c>
      <c r="EA93" s="2445" t="str" cm="1">
        <f t="array" ca="1" aca="1" ref="EA93">IFERROR(IF(BA93*fxVal_normal=_PL!BA93,"",IF(OR(BA93="",NOT(ISNUMBER(BA93)),ISERROR(BA93),$B93=""),"",IF($I93=1,IFBLANK(_xldudf_CX_PUSH(BA93*fxVal_normal,CX_ENTITY,$B93,BA$11,BA$14,BA$75,),""),IF($I93=2,IFBLANK(_xldudf_CX_PUSH(BA93,CX_ENTITY,$B93,BA$11,BA$14,BA$75,),""),IF($I93=3,"",IFBLANK(_xldudf_CX_PUSH(BA93,CX_ENTITY,$B93,BA$11,BA$14,BA$75,),"")))))),"")</f>
        <v/>
      </c>
      <c r="EB93" s="2445" t="str" cm="1">
        <f t="array" ca="1" aca="1" ref="EB93">IFERROR(IF(BB93*fxVal_normal=_PL!BB93,"",IF(OR(BB93="",NOT(ISNUMBER(BB93)),ISERROR(BB93),$B93=""),"",IF($I93=1,IFBLANK(_xldudf_CX_PUSH(BB93*fxVal_normal,CX_ENTITY,$B93,BB$11,BB$14,BB$75,),""),IF($I93=2,IFBLANK(_xldudf_CX_PUSH(BB93,CX_ENTITY,$B93,BB$11,BB$14,BB$75,),""),IF($I93=3,"",IFBLANK(_xldudf_CX_PUSH(BB93,CX_ENTITY,$B93,BB$11,BB$14,BB$75,),"")))))),"")</f>
        <v/>
      </c>
      <c r="EC93" s="2445" t="str" cm="1">
        <f t="array" ca="1" aca="1" ref="EC93">IFERROR(IF(BC93*fxVal_normal=_PL!BC93,"",IF(OR(BC93="",NOT(ISNUMBER(BC93)),ISERROR(BC93),$B93=""),"",IF($I93=1,IFBLANK(_xldudf_CX_PUSH(BC93*fxVal_normal,CX_ENTITY,$B93,BC$11,BC$14,BC$75,),""),IF($I93=2,IFBLANK(_xldudf_CX_PUSH(BC93,CX_ENTITY,$B93,BC$11,BC$14,BC$75,),""),IF($I93=3,"",IFBLANK(_xldudf_CX_PUSH(BC93,CX_ENTITY,$B93,BC$11,BC$14,BC$75,),"")))))),"")</f>
        <v/>
      </c>
      <c r="ED93" s="2445" t="str" cm="1">
        <f t="array" ca="1" aca="1" ref="ED93">IFERROR(IF(BD93*fxVal_normal=_PL!BD93,"",IF(OR(BD93="",NOT(ISNUMBER(BD93)),ISERROR(BD93),$B93=""),"",IF($I93=1,IFBLANK(_xldudf_CX_PUSH(BD93*fxVal_normal,CX_ENTITY,$B93,BD$11,BD$14,BD$75,),""),IF($I93=2,IFBLANK(_xldudf_CX_PUSH(BD93,CX_ENTITY,$B93,BD$11,BD$14,BD$75,),""),IF($I93=3,"",IFBLANK(_xldudf_CX_PUSH(BD93,CX_ENTITY,$B93,BD$11,BD$14,BD$75,),"")))))),"")</f>
        <v/>
      </c>
      <c r="EE93" s="2445" t="str" cm="1">
        <f t="array" ca="1" aca="1" ref="EE93">IFERROR(IF(BE93*fxVal_normal=_PL!BE93,"",IF(OR(BE93="",NOT(ISNUMBER(BE93)),ISERROR(BE93),$B93=""),"",IF($I93=1,IFBLANK(_xldudf_CX_PUSH(BE93*fxVal_normal,CX_ENTITY,$B93,BE$11,BE$14,BE$75,),""),IF($I93=2,IFBLANK(_xldudf_CX_PUSH(BE93,CX_ENTITY,$B93,BE$11,BE$14,BE$75,),""),IF($I93=3,"",IFBLANK(_xldudf_CX_PUSH(BE93,CX_ENTITY,$B93,BE$11,BE$14,BE$75,),"")))))),"")</f>
        <v/>
      </c>
      <c r="EF93" s="2445" t="str" cm="1">
        <f t="array" ca="1" aca="1" ref="EF93">IFERROR(IF(BF93*fxVal_normal=_PL!BF93,"",IF(OR(BF93="",NOT(ISNUMBER(BF93)),ISERROR(BF93),$B93=""),"",IF($I93=1,IFBLANK(_xldudf_CX_PUSH(BF93*fxVal_normal,CX_ENTITY,$B93,BF$11,BF$14,BF$75,),""),IF($I93=2,IFBLANK(_xldudf_CX_PUSH(BF93,CX_ENTITY,$B93,BF$11,BF$14,BF$75,),""),IF($I93=3,"",IFBLANK(_xldudf_CX_PUSH(BF93,CX_ENTITY,$B93,BF$11,BF$14,BF$75,),"")))))),"")</f>
        <v/>
      </c>
      <c r="EG93" s="2445" t="str" cm="1">
        <f t="array" ca="1" aca="1" ref="EG93">IFERROR(IF(BG93*fxVal_normal=_PL!BG93,"",IF(OR(BG93="",NOT(ISNUMBER(BG93)),ISERROR(BG93),$B93=""),"",IF($I93=1,IFBLANK(_xldudf_CX_PUSH(BG93*fxVal_normal,CX_ENTITY,$B93,BG$11,BG$14,BG$75,),""),IF($I93=2,IFBLANK(_xldudf_CX_PUSH(BG93,CX_ENTITY,$B93,BG$11,BG$14,BG$75,),""),IF($I93=3,"",IFBLANK(_xldudf_CX_PUSH(BG93,CX_ENTITY,$B93,BG$11,BG$14,BG$75,),"")))))),"")</f>
        <v/>
      </c>
      <c r="EH93" s="2445" t="str" cm="1">
        <f t="array" ca="1" aca="1" ref="EH93">IFERROR(IF(BH93*fxVal_normal=_PL!BH93,"",IF(OR(BH93="",NOT(ISNUMBER(BH93)),ISERROR(BH93),$B93=""),"",IF($I93=1,IFBLANK(_xldudf_CX_PUSH(BH93*fxVal_normal,CX_ENTITY,$B93,BH$11,BH$14,BH$75,),""),IF($I93=2,IFBLANK(_xldudf_CX_PUSH(BH93,CX_ENTITY,$B93,BH$11,BH$14,BH$75,),""),IF($I93=3,"",IFBLANK(_xldudf_CX_PUSH(BH93,CX_ENTITY,$B93,BH$11,BH$14,BH$75,),"")))))),"")</f>
        <v/>
      </c>
      <c r="EI93" s="2445" t="str" cm="1">
        <f t="array" ca="1" aca="1" ref="EI93">IFERROR(IF(BI93*fxVal_normal=_PL!BI93,"",IF(OR(BI93="",NOT(ISNUMBER(BI93)),ISERROR(BI93),$B93=""),"",IF($I93=1,IFBLANK(_xldudf_CX_PUSH(BI93*fxVal_normal,CX_ENTITY,$B93,BI$11,BI$14,BI$75,),""),IF($I93=2,IFBLANK(_xldudf_CX_PUSH(BI93,CX_ENTITY,$B93,BI$11,BI$14,BI$75,),""),IF($I93=3,"",IFBLANK(_xldudf_CX_PUSH(BI93,CX_ENTITY,$B93,BI$11,BI$14,BI$75,),"")))))),"")</f>
        <v/>
      </c>
      <c r="EJ93" s="2445" t="str" cm="1">
        <f t="array" ca="1" aca="1" ref="EJ93">IFERROR(IF(BJ93*fxVal_normal=_PL!BJ93,"",IF(OR(BJ93="",NOT(ISNUMBER(BJ93)),ISERROR(BJ93),$B93=""),"",IF($I93=1,IFBLANK(_xldudf_CX_PUSH(BJ93*fxVal_normal,CX_ENTITY,$B93,BJ$11,BJ$14,BJ$75,),""),IF($I93=2,IFBLANK(_xldudf_CX_PUSH(BJ93,CX_ENTITY,$B93,BJ$11,BJ$14,BJ$75,),""),IF($I93=3,"",IFBLANK(_xldudf_CX_PUSH(BJ93,CX_ENTITY,$B93,BJ$11,BJ$14,BJ$75,),"")))))),"")</f>
        <v/>
      </c>
      <c r="EK93" s="2445" t="str" cm="1">
        <f t="array" ca="1" aca="1" ref="EK93">IFERROR(IF(BK93*fxVal_normal=_PL!BK93,"",IF(OR(BK93="",NOT(ISNUMBER(BK93)),ISERROR(BK93),$B93=""),"",IF($I93=1,IFBLANK(_xldudf_CX_PUSH(BK93*fxVal_normal,CX_ENTITY,$B93,BK$11,BK$14,BK$75,),""),IF($I93=2,IFBLANK(_xldudf_CX_PUSH(BK93,CX_ENTITY,$B93,BK$11,BK$14,BK$75,),""),IF($I93=3,"",IFBLANK(_xldudf_CX_PUSH(BK93,CX_ENTITY,$B93,BK$11,BK$14,BK$75,),"")))))),"")</f>
        <v/>
      </c>
      <c r="EL93" s="2445" t="str" cm="1">
        <f t="array" ca="1" aca="1" ref="EL93">IFERROR(IF(BL93*fxVal_normal=_PL!BL93,"",IF(OR(BL93="",NOT(ISNUMBER(BL93)),ISERROR(BL93),$B93=""),"",IF($I93=1,IFBLANK(_xldudf_CX_PUSH(BL93*fxVal_normal,CX_ENTITY,$B93,BL$11,BL$14,BL$75,),""),IF($I93=2,IFBLANK(_xldudf_CX_PUSH(BL93,CX_ENTITY,$B93,BL$11,BL$14,BL$75,),""),IF($I93=3,"",IFBLANK(_xldudf_CX_PUSH(BL93,CX_ENTITY,$B93,BL$11,BL$14,BL$75,),"")))))),"")</f>
        <v/>
      </c>
      <c r="EM93" s="2445" t="str" cm="1">
        <f t="array" ca="1" aca="1" ref="EM93">IFERROR(IF(BM93*fxVal_normal=_PL!BM93,"",IF(OR(BM93="",NOT(ISNUMBER(BM93)),ISERROR(BM93),$B93=""),"",IF($I93=1,IFBLANK(_xldudf_CX_PUSH(BM93*fxVal_normal,CX_ENTITY,$B93,BM$11,BM$14,BM$75,),""),IF($I93=2,IFBLANK(_xldudf_CX_PUSH(BM93,CX_ENTITY,$B93,BM$11,BM$14,BM$75,),""),IF($I93=3,"",IFBLANK(_xldudf_CX_PUSH(BM93,CX_ENTITY,$B93,BM$11,BM$14,BM$75,),"")))))),"")</f>
        <v/>
      </c>
      <c r="EN93" s="2445" t="str" cm="1">
        <f t="array" ca="1" aca="1" ref="EN93">IFERROR(IF(BN93*fxVal_normal=_PL!BN93,"",IF(OR(BN93="",NOT(ISNUMBER(BN93)),ISERROR(BN93),$B93=""),"",IF($I93=1,IFBLANK(_xldudf_CX_PUSH(BN93*fxVal_normal,CX_ENTITY,$B93,BN$11,BN$14,BN$75,),""),IF($I93=2,IFBLANK(_xldudf_CX_PUSH(BN93,CX_ENTITY,$B93,BN$11,BN$14,BN$75,),""),IF($I93=3,"",IFBLANK(_xldudf_CX_PUSH(BN93,CX_ENTITY,$B93,BN$11,BN$14,BN$75,),"")))))),"")</f>
        <v/>
      </c>
    </row>
    <row r="94" spans="1:144" ht="21" customHeight="1">
      <c r="A94" s="1625"/>
      <c r="B94" s="2501" t="str">
        <f>_xlfn.LET(_xlpm.IsNotAttrDynamic,D94="",_xlpm.Attr,_PL!F94,_xlpm.NotInUse,Y94=D94,_xlpm.RESULT,IF(_xlpm.IsNotAttrDynamic,_xlpm.Attr,IF(_xlpm.NotInUse,"",Y94)),IF(_xlpm.RESULT="","",_xlpm.RESULT))</f>
        <v>Other Items</v>
      </c>
      <c r="C94" s="2501" t="str" cm="1">
        <f t="array" ref="C94">IFBLANK(_PL!C94,"")</f>
        <v>Other Items (Company View)</v>
      </c>
      <c r="D94" s="1548"/>
      <c r="E94" s="2440" t="e" cm="1">
        <f t="array" ca="1" aca="1" ref="E9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94:$CQ94,Z94)</f>
        <v>#NAME?</v>
      </c>
      <c r="F94" s="578"/>
      <c r="G94" s="578"/>
      <c r="H94" s="578">
        <v>0</v>
      </c>
      <c r="I94" s="3279">
        <v>1</v>
      </c>
      <c r="J94" s="3280" cm="1">
        <f t="array" ref="J94">IFBLANK(Z94,"")</f>
        <v>1</v>
      </c>
      <c r="K94" s="578" t="str">
        <f t="shared" si="39"/>
        <v>Yes</v>
      </c>
      <c r="L94" s="37"/>
      <c r="N94" s="158"/>
      <c r="O94" s="101"/>
      <c r="P94" s="52"/>
      <c r="Q94" s="101"/>
      <c r="R94" s="101"/>
      <c r="S94" s="101"/>
      <c r="T94" s="101"/>
      <c r="U94" s="39"/>
      <c r="V94" s="37"/>
      <c r="W94" s="91" t="str">
        <f t="shared" si="28"/>
        <v>Budget</v>
      </c>
      <c r="X94" s="2081" t="str">
        <f>_PL!X94</f>
        <v>a</v>
      </c>
      <c r="Y94" s="3192">
        <f t="shared" si="36"/>
        <v>2</v>
      </c>
      <c r="Z94" s="3291" cm="1">
        <f t="array" ref="Z94">_xlfn.SWITCH(TRUE,_PL!$L94=TRUE,1,_PL!$L94=FALSE,-1,_PL!$L94=-1,0,"")</f>
        <v>1</v>
      </c>
      <c r="AA94" s="200"/>
      <c r="AB94" s="1134" t="str">
        <f>_PL!AB94</f>
        <v>Other Items</v>
      </c>
      <c r="AC94" s="275" t="str" cm="1">
        <f t="array" ca="1" aca="1" ref="AC94">_xlfn.LET(_xlpm._termname,$AB94,_xlpm._iconname,"find",_xlpm._icon,fx_getIcon(_xlpm._iconname),_xlpm._location,_xlfn.XLOOKUP(LOWER(_xlpm._termname),LOWER(tbl_acctDef[Term]),tbl_acctDef[Term]),_xlpm._hyperlink,HYPERLINK("#"&amp;CELL("address",_xlpm._location),_xlpm._icon),IFERROR(_xlpm._hyperlink,""))</f>
        <v/>
      </c>
      <c r="AD94" s="3177">
        <v>1</v>
      </c>
      <c r="AE94" s="3177">
        <v>1</v>
      </c>
      <c r="AF94" s="3177">
        <v>1</v>
      </c>
      <c r="AG94" s="3177">
        <v>1</v>
      </c>
      <c r="AH94" s="3177">
        <v>1</v>
      </c>
      <c r="AI94" s="3177">
        <v>1</v>
      </c>
      <c r="AJ94" s="3177">
        <v>1</v>
      </c>
      <c r="AK94" s="3177">
        <v>1</v>
      </c>
      <c r="AL94" s="3177">
        <v>1</v>
      </c>
      <c r="AM94" s="3177">
        <v>1</v>
      </c>
      <c r="AN94" s="3177">
        <v>1</v>
      </c>
      <c r="AO94" s="3177">
        <v>1</v>
      </c>
      <c r="AP94" s="3177">
        <v>1</v>
      </c>
      <c r="AQ94" s="3177">
        <v>1</v>
      </c>
      <c r="AR94" s="3177">
        <v>1</v>
      </c>
      <c r="AS94" s="3177">
        <v>1</v>
      </c>
      <c r="AT94" s="3177">
        <v>1</v>
      </c>
      <c r="AU94" s="3177">
        <v>1</v>
      </c>
      <c r="AV94" s="3177">
        <v>1</v>
      </c>
      <c r="AW94" s="3177">
        <v>1</v>
      </c>
      <c r="AX94" s="3177">
        <v>1</v>
      </c>
      <c r="AY94" s="3177">
        <v>1</v>
      </c>
      <c r="AZ94" s="3177">
        <v>1</v>
      </c>
      <c r="BA94" s="3177">
        <v>1</v>
      </c>
      <c r="BB94" s="3177">
        <v>1</v>
      </c>
      <c r="BC94" s="3177">
        <v>1</v>
      </c>
      <c r="BD94" s="3177">
        <v>1</v>
      </c>
      <c r="BE94" s="3177">
        <v>1</v>
      </c>
      <c r="BF94" s="3177">
        <v>1</v>
      </c>
      <c r="BG94" s="3177">
        <v>1</v>
      </c>
      <c r="BH94" s="3177">
        <v>1</v>
      </c>
      <c r="BI94" s="3177">
        <v>1</v>
      </c>
      <c r="BJ94" s="3177">
        <v>1</v>
      </c>
      <c r="BK94" s="3177">
        <v>1</v>
      </c>
      <c r="BL94" s="3177">
        <v>1</v>
      </c>
      <c r="BM94" s="3177">
        <v>1</v>
      </c>
      <c r="BN94" s="3177">
        <v>1</v>
      </c>
      <c r="BO94" s="2442"/>
      <c r="BP94" s="2442"/>
      <c r="BQ94" s="2442"/>
      <c r="BR94" s="2442"/>
      <c r="BS94" s="2442"/>
      <c r="BT94" s="2442"/>
      <c r="BU94" s="2442"/>
      <c r="BV94" s="2442"/>
      <c r="BW94" s="2442"/>
      <c r="BX94" s="2442"/>
      <c r="BY94" s="2442"/>
      <c r="BZ94" s="2442"/>
      <c r="CA94" s="34"/>
      <c r="CC94" s="33"/>
      <c r="CD94" s="1772" t="e" cm="1">
        <f t="array" ca="1" aca="1" ref="CD94">_xlfn.LET(_xlpm.CheckBlank,SUM(PL!$AD94:$BN94)=0,IF(_xlpm.CheckBlank,"",SUM(_xlfn._xlws.FILTER(PL!$AD94:$BN94,(YEAR(PL!$AD$12:$BN$12)=PL!CD$12)*(array_timeline&lt;=PL!CD$11)))))</f>
        <v>#NAME?</v>
      </c>
      <c r="CE94" s="1772" t="e" cm="1">
        <f t="array" ca="1" aca="1" ref="CE94">_xlfn.LET(_xlpm.CheckBlank,SUM(PL!$AD94:$BN94)=0,IF(_xlpm.CheckBlank,"",SUM(_xlfn._xlws.FILTER(PL!$AD94:$BN94,(YEAR(PL!$AD$12:$BN$12)=PL!CE$12)*(array_timeline&lt;=PL!CE$11)))))</f>
        <v>#NAME?</v>
      </c>
      <c r="CF94" s="88"/>
      <c r="CG94" s="1461" t="e" cm="1">
        <f t="array" ca="1" aca="1" ref="CG94">_xlfn.LET(_xlpm.CheckBlank,SUM(PL!$AD94:$BN94)=0,IF(_xlpm.CheckBlank,"",SUM(_xlfn._xlws.FILTER(PL!$AD94:$BN94,(YEAR(PL!$AD$12:$BN$12)=PL!CG$12)*(array_timeline&lt;=PL!CG$11)))))</f>
        <v>#NAME?</v>
      </c>
      <c r="CH94" s="1461" t="e" cm="1">
        <f t="array" ca="1" aca="1" ref="CH94">_xlfn.LET(_xlpm.CheckBlank,SUM(PL!$AD94:$BN94)=0,IF(_xlpm.CheckBlank,"",SUM(_xlfn._xlws.FILTER(PL!$AD94:$BN94,(YEAR(PL!$AD$12:$BN$12)=PL!CH$12)*(array_timeline&lt;=PL!CH$11)))))</f>
        <v>#NAME?</v>
      </c>
      <c r="CI94" s="88"/>
      <c r="CJ94" s="1461" cm="1">
        <f t="array" ref="CJ94">_xlfn.LET(_xlpm.CheckBlank,SUM(PL!$AD94:$BN94)=0,IF(_xlpm.CheckBlank,"",SUM(_xlfn.TAKE(_xlfn.DROP(PL!$AD94:$BN94,,-DATEDIFF(PL!CJ$11,val_asOfDate,"M")),1,-12))))</f>
        <v>12</v>
      </c>
      <c r="CK94" s="1461" cm="1">
        <f t="array" ref="CK94">_xlfn.LET(_xlpm.CheckBlank,SUM(PL!$AD94:$BN94)=0,IF(_xlpm.CheckBlank,"",SUM(_xlfn.TAKE(_xlfn.DROP(PL!$AD94:$BN94,,-DATEDIFF(PL!CK$11,val_asOfDate,"M")),1,-12))))</f>
        <v>12</v>
      </c>
      <c r="CL94" s="88"/>
      <c r="CM94" s="3195">
        <f t="shared" si="26"/>
        <v>1</v>
      </c>
      <c r="CN94" s="3195">
        <f t="shared" si="23"/>
        <v>1</v>
      </c>
      <c r="CO94" s="1169"/>
      <c r="CP94" s="3195">
        <f t="shared" si="27"/>
        <v>1</v>
      </c>
      <c r="CQ94" s="3195">
        <f t="shared" si="24"/>
        <v>1</v>
      </c>
      <c r="CR94" s="34"/>
      <c r="CS94" s="2056"/>
      <c r="CT94" s="2085" t="e" cm="1">
        <f t="array" ca="1" aca="1" ref="CT94">IF(K94&lt;&gt;"Yes","",IF(OR(Y94="Select,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III"),"",IF(OR(Y94&lt;&gt;AB94,AND(LEN(B94)=0,NOT(OR(Y94="Select,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III")))),_xldudf_CX_PUSH(Y94,CX_ENTITY,C94,EOMONTH(val_asOfDate,0)),"")))</f>
        <v>#NAME?</v>
      </c>
      <c r="CU94" s="2085" t="e" cm="1">
        <f t="array" ca="1" aca="1" ref="CU94">IF(K94&lt;&gt;"Yes","",IF(OR(Y94="Select,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III"),"",IF(OR(Y94&lt;&gt;AB94,AND(LEN(B94)=0,NOT(OR(Y94="Select,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III")))),_xldudf_CX_PUSH(Y94,CX_ENTITY,C94,EOMONTH(val_asOfDate,1)),"")))</f>
        <v>#NAME?</v>
      </c>
      <c r="CV94" s="2085" t="e" cm="1">
        <f t="array" ca="1" aca="1" ref="CV94">IF(K94&lt;&gt;"Yes","",IF(OR(Y94="Select,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III"),"",IF(OR(Y94&lt;&gt;AB94,AND(LEN(B94)=0,NOT(OR(Y94="Select,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III")))),_xldudf_CX_PUSH(Y94,CX_ENTITY,C94,EOMONTH(val_asOfDate,2)),"")))</f>
        <v>#NAME?</v>
      </c>
      <c r="CW94" s="2085" t="e" cm="1">
        <f t="array" ca="1" aca="1" ref="CW94">IF(K94&lt;&gt;"Yes","",IF(OR(Y94="Select,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III"),"",IF(OR(Y94&lt;&gt;AB94,AND(LEN(B94)=0,NOT(OR(Y94="Select,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III")))),_xldudf_CX_PUSH(Y94,CX_ENTITY,C94,EOMONTH(val_asOfDate,3)),"")))</f>
        <v>#NAME?</v>
      </c>
      <c r="CX94" s="2443"/>
      <c r="CY94" s="1880"/>
      <c r="CZ94" s="1880"/>
      <c r="DA94" s="1880"/>
      <c r="DB94" s="1880"/>
      <c r="DC94" s="2121"/>
      <c r="DD94" s="2445" t="str" cm="1">
        <f t="array" ca="1" aca="1" ref="DD94">IFERROR(IF(AD94*fxVal_normal=_PL!AD94,"",IF(OR(AD94="",NOT(ISNUMBER(AD94)),ISERROR(AD94),$B94=""),"",IF($I94=1,IFBLANK(_xldudf_CX_PUSH(AD94*fxVal_normal,CX_ENTITY,$B94,AD$11,AD$14,AD$75,),""),IF($I94=2,IFBLANK(_xldudf_CX_PUSH(AD94,CX_ENTITY,$B94,AD$11,AD$14,AD$75,),""),IF($I94=3,"",IFBLANK(_xldudf_CX_PUSH(AD94,CX_ENTITY,$B94,AD$11,AD$14,AD$75,),"")))))),"")</f>
        <v/>
      </c>
      <c r="DE94" s="2445" t="str" cm="1">
        <f t="array" ca="1" aca="1" ref="DE94">IFERROR(IF(AE94*fxVal_normal=_PL!AE94,"",IF(OR(AE94="",NOT(ISNUMBER(AE94)),ISERROR(AE94),$B94=""),"",IF($I94=1,IFBLANK(_xldudf_CX_PUSH(AE94*fxVal_normal,CX_ENTITY,$B94,AE$11,AE$14,AE$75,),""),IF($I94=2,IFBLANK(_xldudf_CX_PUSH(AE94,CX_ENTITY,$B94,AE$11,AE$14,AE$75,),""),IF($I94=3,"",IFBLANK(_xldudf_CX_PUSH(AE94,CX_ENTITY,$B94,AE$11,AE$14,AE$75,),"")))))),"")</f>
        <v/>
      </c>
      <c r="DF94" s="2445" t="str" cm="1">
        <f t="array" ca="1" aca="1" ref="DF94">IFERROR(IF(AF94*fxVal_normal=_PL!AF94,"",IF(OR(AF94="",NOT(ISNUMBER(AF94)),ISERROR(AF94),$B94=""),"",IF($I94=1,IFBLANK(_xldudf_CX_PUSH(AF94*fxVal_normal,CX_ENTITY,$B94,AF$11,AF$14,AF$75,),""),IF($I94=2,IFBLANK(_xldudf_CX_PUSH(AF94,CX_ENTITY,$B94,AF$11,AF$14,AF$75,),""),IF($I94=3,"",IFBLANK(_xldudf_CX_PUSH(AF94,CX_ENTITY,$B94,AF$11,AF$14,AF$75,),"")))))),"")</f>
        <v/>
      </c>
      <c r="DG94" s="2445" t="str" cm="1">
        <f t="array" ca="1" aca="1" ref="DG94">IFERROR(IF(AG94*fxVal_normal=_PL!AG94,"",IF(OR(AG94="",NOT(ISNUMBER(AG94)),ISERROR(AG94),$B94=""),"",IF($I94=1,IFBLANK(_xldudf_CX_PUSH(AG94*fxVal_normal,CX_ENTITY,$B94,AG$11,AG$14,AG$75,),""),IF($I94=2,IFBLANK(_xldudf_CX_PUSH(AG94,CX_ENTITY,$B94,AG$11,AG$14,AG$75,),""),IF($I94=3,"",IFBLANK(_xldudf_CX_PUSH(AG94,CX_ENTITY,$B94,AG$11,AG$14,AG$75,),"")))))),"")</f>
        <v/>
      </c>
      <c r="DH94" s="2445" t="str" cm="1">
        <f t="array" ca="1" aca="1" ref="DH94">IFERROR(IF(AH94*fxVal_normal=_PL!AH94,"",IF(OR(AH94="",NOT(ISNUMBER(AH94)),ISERROR(AH94),$B94=""),"",IF($I94=1,IFBLANK(_xldudf_CX_PUSH(AH94*fxVal_normal,CX_ENTITY,$B94,AH$11,AH$14,AH$75,),""),IF($I94=2,IFBLANK(_xldudf_CX_PUSH(AH94,CX_ENTITY,$B94,AH$11,AH$14,AH$75,),""),IF($I94=3,"",IFBLANK(_xldudf_CX_PUSH(AH94,CX_ENTITY,$B94,AH$11,AH$14,AH$75,),"")))))),"")</f>
        <v/>
      </c>
      <c r="DI94" s="2445" t="str" cm="1">
        <f t="array" ca="1" aca="1" ref="DI94">IFERROR(IF(AI94*fxVal_normal=_PL!AI94,"",IF(OR(AI94="",NOT(ISNUMBER(AI94)),ISERROR(AI94),$B94=""),"",IF($I94=1,IFBLANK(_xldudf_CX_PUSH(AI94*fxVal_normal,CX_ENTITY,$B94,AI$11,AI$14,AI$75,),""),IF($I94=2,IFBLANK(_xldudf_CX_PUSH(AI94,CX_ENTITY,$B94,AI$11,AI$14,AI$75,),""),IF($I94=3,"",IFBLANK(_xldudf_CX_PUSH(AI94,CX_ENTITY,$B94,AI$11,AI$14,AI$75,),"")))))),"")</f>
        <v/>
      </c>
      <c r="DJ94" s="2445" t="str" cm="1">
        <f t="array" ca="1" aca="1" ref="DJ94">IFERROR(IF(AJ94*fxVal_normal=_PL!AJ94,"",IF(OR(AJ94="",NOT(ISNUMBER(AJ94)),ISERROR(AJ94),$B94=""),"",IF($I94=1,IFBLANK(_xldudf_CX_PUSH(AJ94*fxVal_normal,CX_ENTITY,$B94,AJ$11,AJ$14,AJ$75,),""),IF($I94=2,IFBLANK(_xldudf_CX_PUSH(AJ94,CX_ENTITY,$B94,AJ$11,AJ$14,AJ$75,),""),IF($I94=3,"",IFBLANK(_xldudf_CX_PUSH(AJ94,CX_ENTITY,$B94,AJ$11,AJ$14,AJ$75,),"")))))),"")</f>
        <v/>
      </c>
      <c r="DK94" s="2445" t="str" cm="1">
        <f t="array" ca="1" aca="1" ref="DK94">IFERROR(IF(AK94*fxVal_normal=_PL!AK94,"",IF(OR(AK94="",NOT(ISNUMBER(AK94)),ISERROR(AK94),$B94=""),"",IF($I94=1,IFBLANK(_xldudf_CX_PUSH(AK94*fxVal_normal,CX_ENTITY,$B94,AK$11,AK$14,AK$75,),""),IF($I94=2,IFBLANK(_xldudf_CX_PUSH(AK94,CX_ENTITY,$B94,AK$11,AK$14,AK$75,),""),IF($I94=3,"",IFBLANK(_xldudf_CX_PUSH(AK94,CX_ENTITY,$B94,AK$11,AK$14,AK$75,),"")))))),"")</f>
        <v/>
      </c>
      <c r="DL94" s="2445" t="str" cm="1">
        <f t="array" ca="1" aca="1" ref="DL94">IFERROR(IF(AL94*fxVal_normal=_PL!AL94,"",IF(OR(AL94="",NOT(ISNUMBER(AL94)),ISERROR(AL94),$B94=""),"",IF($I94=1,IFBLANK(_xldudf_CX_PUSH(AL94*fxVal_normal,CX_ENTITY,$B94,AL$11,AL$14,AL$75,),""),IF($I94=2,IFBLANK(_xldudf_CX_PUSH(AL94,CX_ENTITY,$B94,AL$11,AL$14,AL$75,),""),IF($I94=3,"",IFBLANK(_xldudf_CX_PUSH(AL94,CX_ENTITY,$B94,AL$11,AL$14,AL$75,),"")))))),"")</f>
        <v/>
      </c>
      <c r="DM94" s="2445" t="str" cm="1">
        <f t="array" ca="1" aca="1" ref="DM94">IFERROR(IF(AM94*fxVal_normal=_PL!AM94,"",IF(OR(AM94="",NOT(ISNUMBER(AM94)),ISERROR(AM94),$B94=""),"",IF($I94=1,IFBLANK(_xldudf_CX_PUSH(AM94*fxVal_normal,CX_ENTITY,$B94,AM$11,AM$14,AM$75,),""),IF($I94=2,IFBLANK(_xldudf_CX_PUSH(AM94,CX_ENTITY,$B94,AM$11,AM$14,AM$75,),""),IF($I94=3,"",IFBLANK(_xldudf_CX_PUSH(AM94,CX_ENTITY,$B94,AM$11,AM$14,AM$75,),"")))))),"")</f>
        <v/>
      </c>
      <c r="DN94" s="2445" t="str" cm="1">
        <f t="array" ca="1" aca="1" ref="DN94">IFERROR(IF(AN94*fxVal_normal=_PL!AN94,"",IF(OR(AN94="",NOT(ISNUMBER(AN94)),ISERROR(AN94),$B94=""),"",IF($I94=1,IFBLANK(_xldudf_CX_PUSH(AN94*fxVal_normal,CX_ENTITY,$B94,AN$11,AN$14,AN$75,),""),IF($I94=2,IFBLANK(_xldudf_CX_PUSH(AN94,CX_ENTITY,$B94,AN$11,AN$14,AN$75,),""),IF($I94=3,"",IFBLANK(_xldudf_CX_PUSH(AN94,CX_ENTITY,$B94,AN$11,AN$14,AN$75,),"")))))),"")</f>
        <v/>
      </c>
      <c r="DO94" s="2445" t="str" cm="1">
        <f t="array" ca="1" aca="1" ref="DO94">IFERROR(IF(AO94*fxVal_normal=_PL!AO94,"",IF(OR(AO94="",NOT(ISNUMBER(AO94)),ISERROR(AO94),$B94=""),"",IF($I94=1,IFBLANK(_xldudf_CX_PUSH(AO94*fxVal_normal,CX_ENTITY,$B94,AO$11,AO$14,AO$75,),""),IF($I94=2,IFBLANK(_xldudf_CX_PUSH(AO94,CX_ENTITY,$B94,AO$11,AO$14,AO$75,),""),IF($I94=3,"",IFBLANK(_xldudf_CX_PUSH(AO94,CX_ENTITY,$B94,AO$11,AO$14,AO$75,),"")))))),"")</f>
        <v/>
      </c>
      <c r="DP94" s="2445" t="str" cm="1">
        <f t="array" ca="1" aca="1" ref="DP94">IFERROR(IF(AP94*fxVal_normal=_PL!AP94,"",IF(OR(AP94="",NOT(ISNUMBER(AP94)),ISERROR(AP94),$B94=""),"",IF($I94=1,IFBLANK(_xldudf_CX_PUSH(AP94*fxVal_normal,CX_ENTITY,$B94,AP$11,AP$14,AP$75,),""),IF($I94=2,IFBLANK(_xldudf_CX_PUSH(AP94,CX_ENTITY,$B94,AP$11,AP$14,AP$75,),""),IF($I94=3,"",IFBLANK(_xldudf_CX_PUSH(AP94,CX_ENTITY,$B94,AP$11,AP$14,AP$75,),"")))))),"")</f>
        <v/>
      </c>
      <c r="DQ94" s="2445" t="str" cm="1">
        <f t="array" ca="1" aca="1" ref="DQ94">IFERROR(IF(AQ94*fxVal_normal=_PL!AQ94,"",IF(OR(AQ94="",NOT(ISNUMBER(AQ94)),ISERROR(AQ94),$B94=""),"",IF($I94=1,IFBLANK(_xldudf_CX_PUSH(AQ94*fxVal_normal,CX_ENTITY,$B94,AQ$11,AQ$14,AQ$75,),""),IF($I94=2,IFBLANK(_xldudf_CX_PUSH(AQ94,CX_ENTITY,$B94,AQ$11,AQ$14,AQ$75,),""),IF($I94=3,"",IFBLANK(_xldudf_CX_PUSH(AQ94,CX_ENTITY,$B94,AQ$11,AQ$14,AQ$75,),"")))))),"")</f>
        <v/>
      </c>
      <c r="DR94" s="2445" t="str" cm="1">
        <f t="array" ca="1" aca="1" ref="DR94">IFERROR(IF(AR94*fxVal_normal=_PL!AR94,"",IF(OR(AR94="",NOT(ISNUMBER(AR94)),ISERROR(AR94),$B94=""),"",IF($I94=1,IFBLANK(_xldudf_CX_PUSH(AR94*fxVal_normal,CX_ENTITY,$B94,AR$11,AR$14,AR$75,),""),IF($I94=2,IFBLANK(_xldudf_CX_PUSH(AR94,CX_ENTITY,$B94,AR$11,AR$14,AR$75,),""),IF($I94=3,"",IFBLANK(_xldudf_CX_PUSH(AR94,CX_ENTITY,$B94,AR$11,AR$14,AR$75,),"")))))),"")</f>
        <v/>
      </c>
      <c r="DS94" s="2445" t="str" cm="1">
        <f t="array" ca="1" aca="1" ref="DS94">IFERROR(IF(AS94*fxVal_normal=_PL!AS94,"",IF(OR(AS94="",NOT(ISNUMBER(AS94)),ISERROR(AS94),$B94=""),"",IF($I94=1,IFBLANK(_xldudf_CX_PUSH(AS94*fxVal_normal,CX_ENTITY,$B94,AS$11,AS$14,AS$75,),""),IF($I94=2,IFBLANK(_xldudf_CX_PUSH(AS94,CX_ENTITY,$B94,AS$11,AS$14,AS$75,),""),IF($I94=3,"",IFBLANK(_xldudf_CX_PUSH(AS94,CX_ENTITY,$B94,AS$11,AS$14,AS$75,),"")))))),"")</f>
        <v/>
      </c>
      <c r="DT94" s="2445" t="str" cm="1">
        <f t="array" ca="1" aca="1" ref="DT94">IFERROR(IF(AT94*fxVal_normal=_PL!AT94,"",IF(OR(AT94="",NOT(ISNUMBER(AT94)),ISERROR(AT94),$B94=""),"",IF($I94=1,IFBLANK(_xldudf_CX_PUSH(AT94*fxVal_normal,CX_ENTITY,$B94,AT$11,AT$14,AT$75,),""),IF($I94=2,IFBLANK(_xldudf_CX_PUSH(AT94,CX_ENTITY,$B94,AT$11,AT$14,AT$75,),""),IF($I94=3,"",IFBLANK(_xldudf_CX_PUSH(AT94,CX_ENTITY,$B94,AT$11,AT$14,AT$75,),"")))))),"")</f>
        <v/>
      </c>
      <c r="DU94" s="2445" t="str" cm="1">
        <f t="array" ca="1" aca="1" ref="DU94">IFERROR(IF(AU94*fxVal_normal=_PL!AU94,"",IF(OR(AU94="",NOT(ISNUMBER(AU94)),ISERROR(AU94),$B94=""),"",IF($I94=1,IFBLANK(_xldudf_CX_PUSH(AU94*fxVal_normal,CX_ENTITY,$B94,AU$11,AU$14,AU$75,),""),IF($I94=2,IFBLANK(_xldudf_CX_PUSH(AU94,CX_ENTITY,$B94,AU$11,AU$14,AU$75,),""),IF($I94=3,"",IFBLANK(_xldudf_CX_PUSH(AU94,CX_ENTITY,$B94,AU$11,AU$14,AU$75,),"")))))),"")</f>
        <v/>
      </c>
      <c r="DV94" s="2445" t="str" cm="1">
        <f t="array" ca="1" aca="1" ref="DV94">IFERROR(IF(AV94*fxVal_normal=_PL!AV94,"",IF(OR(AV94="",NOT(ISNUMBER(AV94)),ISERROR(AV94),$B94=""),"",IF($I94=1,IFBLANK(_xldudf_CX_PUSH(AV94*fxVal_normal,CX_ENTITY,$B94,AV$11,AV$14,AV$75,),""),IF($I94=2,IFBLANK(_xldudf_CX_PUSH(AV94,CX_ENTITY,$B94,AV$11,AV$14,AV$75,),""),IF($I94=3,"",IFBLANK(_xldudf_CX_PUSH(AV94,CX_ENTITY,$B94,AV$11,AV$14,AV$75,),"")))))),"")</f>
        <v/>
      </c>
      <c r="DW94" s="2445" t="str" cm="1">
        <f t="array" ca="1" aca="1" ref="DW94">IFERROR(IF(AW94*fxVal_normal=_PL!AW94,"",IF(OR(AW94="",NOT(ISNUMBER(AW94)),ISERROR(AW94),$B94=""),"",IF($I94=1,IFBLANK(_xldudf_CX_PUSH(AW94*fxVal_normal,CX_ENTITY,$B94,AW$11,AW$14,AW$75,),""),IF($I94=2,IFBLANK(_xldudf_CX_PUSH(AW94,CX_ENTITY,$B94,AW$11,AW$14,AW$75,),""),IF($I94=3,"",IFBLANK(_xldudf_CX_PUSH(AW94,CX_ENTITY,$B94,AW$11,AW$14,AW$75,),"")))))),"")</f>
        <v/>
      </c>
      <c r="DX94" s="2445" t="str" cm="1">
        <f t="array" ca="1" aca="1" ref="DX94">IFERROR(IF(AX94*fxVal_normal=_PL!AX94,"",IF(OR(AX94="",NOT(ISNUMBER(AX94)),ISERROR(AX94),$B94=""),"",IF($I94=1,IFBLANK(_xldudf_CX_PUSH(AX94*fxVal_normal,CX_ENTITY,$B94,AX$11,AX$14,AX$75,),""),IF($I94=2,IFBLANK(_xldudf_CX_PUSH(AX94,CX_ENTITY,$B94,AX$11,AX$14,AX$75,),""),IF($I94=3,"",IFBLANK(_xldudf_CX_PUSH(AX94,CX_ENTITY,$B94,AX$11,AX$14,AX$75,),"")))))),"")</f>
        <v/>
      </c>
      <c r="DY94" s="2445" t="str" cm="1">
        <f t="array" ca="1" aca="1" ref="DY94">IFERROR(IF(AY94*fxVal_normal=_PL!AY94,"",IF(OR(AY94="",NOT(ISNUMBER(AY94)),ISERROR(AY94),$B94=""),"",IF($I94=1,IFBLANK(_xldudf_CX_PUSH(AY94*fxVal_normal,CX_ENTITY,$B94,AY$11,AY$14,AY$75,),""),IF($I94=2,IFBLANK(_xldudf_CX_PUSH(AY94,CX_ENTITY,$B94,AY$11,AY$14,AY$75,),""),IF($I94=3,"",IFBLANK(_xldudf_CX_PUSH(AY94,CX_ENTITY,$B94,AY$11,AY$14,AY$75,),"")))))),"")</f>
        <v/>
      </c>
      <c r="DZ94" s="2445" t="str" cm="1">
        <f t="array" ca="1" aca="1" ref="DZ94">IFERROR(IF(AZ94*fxVal_normal=_PL!AZ94,"",IF(OR(AZ94="",NOT(ISNUMBER(AZ94)),ISERROR(AZ94),$B94=""),"",IF($I94=1,IFBLANK(_xldudf_CX_PUSH(AZ94*fxVal_normal,CX_ENTITY,$B94,AZ$11,AZ$14,AZ$75,),""),IF($I94=2,IFBLANK(_xldudf_CX_PUSH(AZ94,CX_ENTITY,$B94,AZ$11,AZ$14,AZ$75,),""),IF($I94=3,"",IFBLANK(_xldudf_CX_PUSH(AZ94,CX_ENTITY,$B94,AZ$11,AZ$14,AZ$75,),"")))))),"")</f>
        <v/>
      </c>
      <c r="EA94" s="2445" t="str" cm="1">
        <f t="array" ca="1" aca="1" ref="EA94">IFERROR(IF(BA94*fxVal_normal=_PL!BA94,"",IF(OR(BA94="",NOT(ISNUMBER(BA94)),ISERROR(BA94),$B94=""),"",IF($I94=1,IFBLANK(_xldudf_CX_PUSH(BA94*fxVal_normal,CX_ENTITY,$B94,BA$11,BA$14,BA$75,),""),IF($I94=2,IFBLANK(_xldudf_CX_PUSH(BA94,CX_ENTITY,$B94,BA$11,BA$14,BA$75,),""),IF($I94=3,"",IFBLANK(_xldudf_CX_PUSH(BA94,CX_ENTITY,$B94,BA$11,BA$14,BA$75,),"")))))),"")</f>
        <v/>
      </c>
      <c r="EB94" s="2445" t="str" cm="1">
        <f t="array" ca="1" aca="1" ref="EB94">IFERROR(IF(BB94*fxVal_normal=_PL!BB94,"",IF(OR(BB94="",NOT(ISNUMBER(BB94)),ISERROR(BB94),$B94=""),"",IF($I94=1,IFBLANK(_xldudf_CX_PUSH(BB94*fxVal_normal,CX_ENTITY,$B94,BB$11,BB$14,BB$75,),""),IF($I94=2,IFBLANK(_xldudf_CX_PUSH(BB94,CX_ENTITY,$B94,BB$11,BB$14,BB$75,),""),IF($I94=3,"",IFBLANK(_xldudf_CX_PUSH(BB94,CX_ENTITY,$B94,BB$11,BB$14,BB$75,),"")))))),"")</f>
        <v/>
      </c>
      <c r="EC94" s="2445" t="str" cm="1">
        <f t="array" ca="1" aca="1" ref="EC94">IFERROR(IF(BC94*fxVal_normal=_PL!BC94,"",IF(OR(BC94="",NOT(ISNUMBER(BC94)),ISERROR(BC94),$B94=""),"",IF($I94=1,IFBLANK(_xldudf_CX_PUSH(BC94*fxVal_normal,CX_ENTITY,$B94,BC$11,BC$14,BC$75,),""),IF($I94=2,IFBLANK(_xldudf_CX_PUSH(BC94,CX_ENTITY,$B94,BC$11,BC$14,BC$75,),""),IF($I94=3,"",IFBLANK(_xldudf_CX_PUSH(BC94,CX_ENTITY,$B94,BC$11,BC$14,BC$75,),"")))))),"")</f>
        <v/>
      </c>
      <c r="ED94" s="2445" t="str" cm="1">
        <f t="array" ca="1" aca="1" ref="ED94">IFERROR(IF(BD94*fxVal_normal=_PL!BD94,"",IF(OR(BD94="",NOT(ISNUMBER(BD94)),ISERROR(BD94),$B94=""),"",IF($I94=1,IFBLANK(_xldudf_CX_PUSH(BD94*fxVal_normal,CX_ENTITY,$B94,BD$11,BD$14,BD$75,),""),IF($I94=2,IFBLANK(_xldudf_CX_PUSH(BD94,CX_ENTITY,$B94,BD$11,BD$14,BD$75,),""),IF($I94=3,"",IFBLANK(_xldudf_CX_PUSH(BD94,CX_ENTITY,$B94,BD$11,BD$14,BD$75,),"")))))),"")</f>
        <v/>
      </c>
      <c r="EE94" s="2445" t="str" cm="1">
        <f t="array" ca="1" aca="1" ref="EE94">IFERROR(IF(BE94*fxVal_normal=_PL!BE94,"",IF(OR(BE94="",NOT(ISNUMBER(BE94)),ISERROR(BE94),$B94=""),"",IF($I94=1,IFBLANK(_xldudf_CX_PUSH(BE94*fxVal_normal,CX_ENTITY,$B94,BE$11,BE$14,BE$75,),""),IF($I94=2,IFBLANK(_xldudf_CX_PUSH(BE94,CX_ENTITY,$B94,BE$11,BE$14,BE$75,),""),IF($I94=3,"",IFBLANK(_xldudf_CX_PUSH(BE94,CX_ENTITY,$B94,BE$11,BE$14,BE$75,),"")))))),"")</f>
        <v/>
      </c>
      <c r="EF94" s="2445" t="str" cm="1">
        <f t="array" ca="1" aca="1" ref="EF94">IFERROR(IF(BF94*fxVal_normal=_PL!BF94,"",IF(OR(BF94="",NOT(ISNUMBER(BF94)),ISERROR(BF94),$B94=""),"",IF($I94=1,IFBLANK(_xldudf_CX_PUSH(BF94*fxVal_normal,CX_ENTITY,$B94,BF$11,BF$14,BF$75,),""),IF($I94=2,IFBLANK(_xldudf_CX_PUSH(BF94,CX_ENTITY,$B94,BF$11,BF$14,BF$75,),""),IF($I94=3,"",IFBLANK(_xldudf_CX_PUSH(BF94,CX_ENTITY,$B94,BF$11,BF$14,BF$75,),"")))))),"")</f>
        <v/>
      </c>
      <c r="EG94" s="2445" t="str" cm="1">
        <f t="array" ca="1" aca="1" ref="EG94">IFERROR(IF(BG94*fxVal_normal=_PL!BG94,"",IF(OR(BG94="",NOT(ISNUMBER(BG94)),ISERROR(BG94),$B94=""),"",IF($I94=1,IFBLANK(_xldudf_CX_PUSH(BG94*fxVal_normal,CX_ENTITY,$B94,BG$11,BG$14,BG$75,),""),IF($I94=2,IFBLANK(_xldudf_CX_PUSH(BG94,CX_ENTITY,$B94,BG$11,BG$14,BG$75,),""),IF($I94=3,"",IFBLANK(_xldudf_CX_PUSH(BG94,CX_ENTITY,$B94,BG$11,BG$14,BG$75,),"")))))),"")</f>
        <v/>
      </c>
      <c r="EH94" s="2445" t="str" cm="1">
        <f t="array" ca="1" aca="1" ref="EH94">IFERROR(IF(BH94*fxVal_normal=_PL!BH94,"",IF(OR(BH94="",NOT(ISNUMBER(BH94)),ISERROR(BH94),$B94=""),"",IF($I94=1,IFBLANK(_xldudf_CX_PUSH(BH94*fxVal_normal,CX_ENTITY,$B94,BH$11,BH$14,BH$75,),""),IF($I94=2,IFBLANK(_xldudf_CX_PUSH(BH94,CX_ENTITY,$B94,BH$11,BH$14,BH$75,),""),IF($I94=3,"",IFBLANK(_xldudf_CX_PUSH(BH94,CX_ENTITY,$B94,BH$11,BH$14,BH$75,),"")))))),"")</f>
        <v/>
      </c>
      <c r="EI94" s="2445" t="str" cm="1">
        <f t="array" ca="1" aca="1" ref="EI94">IFERROR(IF(BI94*fxVal_normal=_PL!BI94,"",IF(OR(BI94="",NOT(ISNUMBER(BI94)),ISERROR(BI94),$B94=""),"",IF($I94=1,IFBLANK(_xldudf_CX_PUSH(BI94*fxVal_normal,CX_ENTITY,$B94,BI$11,BI$14,BI$75,),""),IF($I94=2,IFBLANK(_xldudf_CX_PUSH(BI94,CX_ENTITY,$B94,BI$11,BI$14,BI$75,),""),IF($I94=3,"",IFBLANK(_xldudf_CX_PUSH(BI94,CX_ENTITY,$B94,BI$11,BI$14,BI$75,),"")))))),"")</f>
        <v/>
      </c>
      <c r="EJ94" s="2445" t="str" cm="1">
        <f t="array" ca="1" aca="1" ref="EJ94">IFERROR(IF(BJ94*fxVal_normal=_PL!BJ94,"",IF(OR(BJ94="",NOT(ISNUMBER(BJ94)),ISERROR(BJ94),$B94=""),"",IF($I94=1,IFBLANK(_xldudf_CX_PUSH(BJ94*fxVal_normal,CX_ENTITY,$B94,BJ$11,BJ$14,BJ$75,),""),IF($I94=2,IFBLANK(_xldudf_CX_PUSH(BJ94,CX_ENTITY,$B94,BJ$11,BJ$14,BJ$75,),""),IF($I94=3,"",IFBLANK(_xldudf_CX_PUSH(BJ94,CX_ENTITY,$B94,BJ$11,BJ$14,BJ$75,),"")))))),"")</f>
        <v/>
      </c>
      <c r="EK94" s="2445" t="str" cm="1">
        <f t="array" ca="1" aca="1" ref="EK94">IFERROR(IF(BK94*fxVal_normal=_PL!BK94,"",IF(OR(BK94="",NOT(ISNUMBER(BK94)),ISERROR(BK94),$B94=""),"",IF($I94=1,IFBLANK(_xldudf_CX_PUSH(BK94*fxVal_normal,CX_ENTITY,$B94,BK$11,BK$14,BK$75,),""),IF($I94=2,IFBLANK(_xldudf_CX_PUSH(BK94,CX_ENTITY,$B94,BK$11,BK$14,BK$75,),""),IF($I94=3,"",IFBLANK(_xldudf_CX_PUSH(BK94,CX_ENTITY,$B94,BK$11,BK$14,BK$75,),"")))))),"")</f>
        <v/>
      </c>
      <c r="EL94" s="2445" t="str" cm="1">
        <f t="array" ca="1" aca="1" ref="EL94">IFERROR(IF(BL94*fxVal_normal=_PL!BL94,"",IF(OR(BL94="",NOT(ISNUMBER(BL94)),ISERROR(BL94),$B94=""),"",IF($I94=1,IFBLANK(_xldudf_CX_PUSH(BL94*fxVal_normal,CX_ENTITY,$B94,BL$11,BL$14,BL$75,),""),IF($I94=2,IFBLANK(_xldudf_CX_PUSH(BL94,CX_ENTITY,$B94,BL$11,BL$14,BL$75,),""),IF($I94=3,"",IFBLANK(_xldudf_CX_PUSH(BL94,CX_ENTITY,$B94,BL$11,BL$14,BL$75,),"")))))),"")</f>
        <v/>
      </c>
      <c r="EM94" s="2445" t="str" cm="1">
        <f t="array" ca="1" aca="1" ref="EM94">IFERROR(IF(BM94*fxVal_normal=_PL!BM94,"",IF(OR(BM94="",NOT(ISNUMBER(BM94)),ISERROR(BM94),$B94=""),"",IF($I94=1,IFBLANK(_xldudf_CX_PUSH(BM94*fxVal_normal,CX_ENTITY,$B94,BM$11,BM$14,BM$75,),""),IF($I94=2,IFBLANK(_xldudf_CX_PUSH(BM94,CX_ENTITY,$B94,BM$11,BM$14,BM$75,),""),IF($I94=3,"",IFBLANK(_xldudf_CX_PUSH(BM94,CX_ENTITY,$B94,BM$11,BM$14,BM$75,),"")))))),"")</f>
        <v/>
      </c>
      <c r="EN94" s="2445" t="str" cm="1">
        <f t="array" ca="1" aca="1" ref="EN94">IFERROR(IF(BN94*fxVal_normal=_PL!BN94,"",IF(OR(BN94="",NOT(ISNUMBER(BN94)),ISERROR(BN94),$B94=""),"",IF($I94=1,IFBLANK(_xldudf_CX_PUSH(BN94*fxVal_normal,CX_ENTITY,$B94,BN$11,BN$14,BN$75,),""),IF($I94=2,IFBLANK(_xldudf_CX_PUSH(BN94,CX_ENTITY,$B94,BN$11,BN$14,BN$75,),""),IF($I94=3,"",IFBLANK(_xldudf_CX_PUSH(BN94,CX_ENTITY,$B94,BN$11,BN$14,BN$75,),"")))))),"")</f>
        <v/>
      </c>
    </row>
    <row r="95" spans="1:144" ht="21" customHeight="1">
      <c r="A95" s="1625"/>
      <c r="B95" s="2501" t="str">
        <f ca="1">_xlfn.LET(_xlpm.IsNotAttrDynamic,D95="",_xlpm.Attr,_PL!F95,_xlpm.NotInUse,Y95=D95,_xlpm.RESULT,IF(_xlpm.IsNotAttrDynamic,_xlpm.Attr,IF(_xlpm.NotInUse,"",Y95)),IF(_xlpm.RESULT="","",_xlpm.RESULT))</f>
        <v>Reported PBT</v>
      </c>
      <c r="C95" s="2501" t="str" cm="1">
        <f t="array" ref="C95">IFBLANK(_PL!C95,"")</f>
        <v>Reported PBT (Company View)</v>
      </c>
      <c r="D95" s="1548"/>
      <c r="E95" s="2440" t="e" cm="1">
        <f t="array" ca="1" aca="1" ref="E9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95:$CQ95,Z95)</f>
        <v>#NAME?</v>
      </c>
      <c r="F95" s="578"/>
      <c r="G95" s="578"/>
      <c r="H95" s="3279">
        <v>2</v>
      </c>
      <c r="I95" s="3279">
        <v>1</v>
      </c>
      <c r="J95" s="401" cm="1">
        <f t="array" ref="J95">IFBLANK(Z95,"")</f>
        <v>0</v>
      </c>
      <c r="K95" s="578" t="str">
        <f t="shared" si="39"/>
        <v>Yes</v>
      </c>
      <c r="L95" s="37"/>
      <c r="N95" s="158"/>
      <c r="O95" s="101"/>
      <c r="P95" s="52"/>
      <c r="Q95" s="101"/>
      <c r="R95" s="101"/>
      <c r="S95" s="101"/>
      <c r="T95" s="101"/>
      <c r="U95" s="39"/>
      <c r="V95" s="37"/>
      <c r="W95" s="91" t="str">
        <f t="shared" si="28"/>
        <v>Budget</v>
      </c>
      <c r="X95" s="2081">
        <f>_PL!X95</f>
        <v>0</v>
      </c>
      <c r="Y95" s="1134" t="e">
        <f t="shared" ca="1" si="36"/>
        <v>#NAME?</v>
      </c>
      <c r="Z95" s="198" cm="1">
        <f t="array" ref="Z95">_xlfn.SWITCH(TRUE,_PL!$L95=TRUE,1,_PL!$L95=FALSE,-1,_PL!$L95=-1,0,"")</f>
        <v>0</v>
      </c>
      <c r="AA95" s="200"/>
      <c r="AB95" s="1134" t="str">
        <f>_PL!AB95</f>
        <v>Reported PBT</v>
      </c>
      <c r="AC95" s="275" t="str" cm="1">
        <f t="array" ca="1" aca="1" ref="AC95">_xlfn.LET(_xlpm._termname,$AB95,_xlpm._iconname,"find",_xlpm._icon,fx_getIcon(_xlpm._iconname),_xlpm._location,_xlfn.XLOOKUP(LOWER(_xlpm._termname),LOWER(tbl_acctDef[Term]),tbl_acctDef[Term]),_xlpm._hyperlink,HYPERLINK("#"&amp;CELL("address",_xlpm._location),_xlpm._icon),IFERROR(_xlpm._hyperlink,""))</f>
        <v/>
      </c>
      <c r="AD95" s="918">
        <f t="shared" si="41" ref="AD95:BN95">SUBTOTAL(9,AD76:AD94)-SUBTOTAL(9,AD82:AD87)-N(AD79)</f>
        <v>7</v>
      </c>
      <c r="AE95" s="918">
        <f t="shared" si="41"/>
        <v>7</v>
      </c>
      <c r="AF95" s="918">
        <f t="shared" si="41"/>
        <v>7</v>
      </c>
      <c r="AG95" s="918">
        <f t="shared" si="41"/>
        <v>7</v>
      </c>
      <c r="AH95" s="918">
        <f t="shared" si="41"/>
        <v>7</v>
      </c>
      <c r="AI95" s="918">
        <f t="shared" si="41"/>
        <v>7</v>
      </c>
      <c r="AJ95" s="918">
        <f t="shared" si="41"/>
        <v>7</v>
      </c>
      <c r="AK95" s="918">
        <f t="shared" si="41"/>
        <v>7</v>
      </c>
      <c r="AL95" s="918">
        <f t="shared" si="41"/>
        <v>7</v>
      </c>
      <c r="AM95" s="918">
        <f t="shared" si="41"/>
        <v>7</v>
      </c>
      <c r="AN95" s="918">
        <f t="shared" si="41"/>
        <v>7</v>
      </c>
      <c r="AO95" s="918">
        <f t="shared" si="41"/>
        <v>7</v>
      </c>
      <c r="AP95" s="918">
        <f t="shared" si="41"/>
        <v>7</v>
      </c>
      <c r="AQ95" s="918">
        <f t="shared" si="41"/>
        <v>7</v>
      </c>
      <c r="AR95" s="918">
        <f t="shared" si="41"/>
        <v>7</v>
      </c>
      <c r="AS95" s="918">
        <f t="shared" si="41"/>
        <v>7</v>
      </c>
      <c r="AT95" s="918">
        <f t="shared" si="41"/>
        <v>7</v>
      </c>
      <c r="AU95" s="918">
        <f t="shared" si="41"/>
        <v>7</v>
      </c>
      <c r="AV95" s="918">
        <f t="shared" si="41"/>
        <v>7</v>
      </c>
      <c r="AW95" s="918">
        <f t="shared" si="41"/>
        <v>7</v>
      </c>
      <c r="AX95" s="918">
        <f t="shared" si="41"/>
        <v>7</v>
      </c>
      <c r="AY95" s="918">
        <f t="shared" si="41"/>
        <v>7</v>
      </c>
      <c r="AZ95" s="918">
        <f t="shared" si="41"/>
        <v>7</v>
      </c>
      <c r="BA95" s="918">
        <f t="shared" si="41"/>
        <v>7</v>
      </c>
      <c r="BB95" s="918">
        <f t="shared" si="41"/>
        <v>7</v>
      </c>
      <c r="BC95" s="918">
        <f t="shared" si="41"/>
        <v>7</v>
      </c>
      <c r="BD95" s="918">
        <f t="shared" si="41"/>
        <v>7</v>
      </c>
      <c r="BE95" s="918">
        <f t="shared" si="41"/>
        <v>7</v>
      </c>
      <c r="BF95" s="918">
        <f t="shared" si="41"/>
        <v>7</v>
      </c>
      <c r="BG95" s="918">
        <f t="shared" si="41"/>
        <v>7</v>
      </c>
      <c r="BH95" s="918">
        <f t="shared" si="41"/>
        <v>7</v>
      </c>
      <c r="BI95" s="918">
        <f t="shared" si="41"/>
        <v>7</v>
      </c>
      <c r="BJ95" s="918">
        <f t="shared" si="41"/>
        <v>7</v>
      </c>
      <c r="BK95" s="918">
        <f t="shared" si="41"/>
        <v>7</v>
      </c>
      <c r="BL95" s="918">
        <f t="shared" si="41"/>
        <v>7</v>
      </c>
      <c r="BM95" s="918">
        <f t="shared" si="41"/>
        <v>7</v>
      </c>
      <c r="BN95" s="918">
        <f t="shared" si="41"/>
        <v>7</v>
      </c>
      <c r="BO95" s="2096"/>
      <c r="BP95" s="2096"/>
      <c r="BQ95" s="2096"/>
      <c r="BR95" s="2096"/>
      <c r="BS95" s="2096"/>
      <c r="BT95" s="2096"/>
      <c r="BU95" s="2096"/>
      <c r="BV95" s="2096"/>
      <c r="BW95" s="2096"/>
      <c r="BX95" s="2096"/>
      <c r="BY95" s="2096"/>
      <c r="BZ95" s="2096"/>
      <c r="CA95" s="34"/>
      <c r="CC95" s="33"/>
      <c r="CD95" s="1772" t="e" cm="1">
        <f t="array" ca="1" aca="1" ref="CD95">_xlfn.LET(_xlpm.CheckBlank,SUM(PL!$AD95:$BN95)=0,IF(_xlpm.CheckBlank,"",SUM(_xlfn._xlws.FILTER(PL!$AD95:$BN95,(YEAR(PL!$AD$12:$BN$12)=PL!CD$12)*(array_timeline&lt;=PL!CD$11)))))</f>
        <v>#NAME?</v>
      </c>
      <c r="CE95" s="1772" t="e" cm="1">
        <f t="array" ca="1" aca="1" ref="CE95">_xlfn.LET(_xlpm.CheckBlank,SUM(PL!$AD95:$BN95)=0,IF(_xlpm.CheckBlank,"",SUM(_xlfn._xlws.FILTER(PL!$AD95:$BN95,(YEAR(PL!$AD$12:$BN$12)=PL!CE$12)*(array_timeline&lt;=PL!CE$11)))))</f>
        <v>#NAME?</v>
      </c>
      <c r="CF95" s="88"/>
      <c r="CG95" s="1461" t="e" cm="1">
        <f t="array" ca="1" aca="1" ref="CG95">_xlfn.LET(_xlpm.CheckBlank,SUM(PL!$AD95:$BN95)=0,IF(_xlpm.CheckBlank,"",SUM(_xlfn._xlws.FILTER(PL!$AD95:$BN95,(YEAR(PL!$AD$12:$BN$12)=PL!CG$12)*(array_timeline&lt;=PL!CG$11)))))</f>
        <v>#NAME?</v>
      </c>
      <c r="CH95" s="1461" t="e" cm="1">
        <f t="array" ca="1" aca="1" ref="CH95">_xlfn.LET(_xlpm.CheckBlank,SUM(PL!$AD95:$BN95)=0,IF(_xlpm.CheckBlank,"",SUM(_xlfn._xlws.FILTER(PL!$AD95:$BN95,(YEAR(PL!$AD$12:$BN$12)=PL!CH$12)*(array_timeline&lt;=PL!CH$11)))))</f>
        <v>#NAME?</v>
      </c>
      <c r="CI95" s="88"/>
      <c r="CJ95" s="1461" cm="1">
        <f t="array" ref="CJ95">_xlfn.LET(_xlpm.CheckBlank,SUM(PL!$AD95:$BN95)=0,IF(_xlpm.CheckBlank,"",SUM(_xlfn.TAKE(_xlfn.DROP(PL!$AD95:$BN95,,-DATEDIFF(PL!CJ$11,val_asOfDate,"M")),1,-12))))</f>
        <v>84</v>
      </c>
      <c r="CK95" s="1461" cm="1">
        <f t="array" ref="CK95">_xlfn.LET(_xlpm.CheckBlank,SUM(PL!$AD95:$BN95)=0,IF(_xlpm.CheckBlank,"",SUM(_xlfn.TAKE(_xlfn.DROP(PL!$AD95:$BN95,,-DATEDIFF(PL!CK$11,val_asOfDate,"M")),1,-12))))</f>
        <v>84</v>
      </c>
      <c r="CL95" s="88"/>
      <c r="CM95" s="2446">
        <f t="shared" si="26"/>
        <v>7</v>
      </c>
      <c r="CN95" s="2446">
        <f t="shared" si="23"/>
        <v>7</v>
      </c>
      <c r="CO95" s="1169"/>
      <c r="CP95" s="2446">
        <f t="shared" si="27"/>
        <v>7</v>
      </c>
      <c r="CQ95" s="2446">
        <f t="shared" si="24"/>
        <v>7</v>
      </c>
      <c r="CR95" s="34"/>
      <c r="CS95" s="2056"/>
      <c r="CT95" s="2085" t="e" cm="1">
        <f t="array" ca="1" aca="1" ref="CT95">IF(K95&lt;&gt;"Yes","",IF(OR(Y95="Select,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III"),"",IF(OR(Y95&lt;&gt;AB95,AND(LEN(B95)=0,NOT(OR(Y95="Select,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III")))),_xldudf_CX_PUSH(Y95,CX_ENTITY,C95,EOMONTH(val_asOfDate,0)),"")))</f>
        <v>#NAME?</v>
      </c>
      <c r="CU95" s="2085" t="e" cm="1">
        <f t="array" ca="1" aca="1" ref="CU95">IF(K95&lt;&gt;"Yes","",IF(OR(Y95="Select,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III"),"",IF(OR(Y95&lt;&gt;AB95,AND(LEN(B95)=0,NOT(OR(Y95="Select,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III")))),_xldudf_CX_PUSH(Y95,CX_ENTITY,C95,EOMONTH(val_asOfDate,1)),"")))</f>
        <v>#NAME?</v>
      </c>
      <c r="CV95" s="2085" t="e" cm="1">
        <f t="array" ca="1" aca="1" ref="CV95">IF(K95&lt;&gt;"Yes","",IF(OR(Y95="Select,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III"),"",IF(OR(Y95&lt;&gt;AB95,AND(LEN(B95)=0,NOT(OR(Y95="Select,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III")))),_xldudf_CX_PUSH(Y95,CX_ENTITY,C95,EOMONTH(val_asOfDate,2)),"")))</f>
        <v>#NAME?</v>
      </c>
      <c r="CW95" s="2085" t="e" cm="1">
        <f t="array" ca="1" aca="1" ref="CW95">IF(K95&lt;&gt;"Yes","",IF(OR(Y95="Select,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III"),"",IF(OR(Y95&lt;&gt;AB95,AND(LEN(B95)=0,NOT(OR(Y95="Select,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III")))),_xldudf_CX_PUSH(Y95,CX_ENTITY,C95,EOMONTH(val_asOfDate,3)),"")))</f>
        <v>#NAME?</v>
      </c>
      <c r="CX95" s="2443"/>
      <c r="CY95" s="1880"/>
      <c r="CZ95" s="1880"/>
      <c r="DA95" s="1880"/>
      <c r="DB95" s="1880"/>
      <c r="DC95" s="2121"/>
      <c r="DD95" s="2445" t="str" cm="1">
        <f t="array" ca="1" aca="1" ref="DD95">IFERROR(IF(AD95*fxVal_normal=_PL!AD95,"",IF(OR(AD95="",NOT(ISNUMBER(AD95)),ISERROR(AD95),$B95=""),"",IF($I95=1,IFBLANK(_xldudf_CX_PUSH(AD95*fxVal_normal,CX_ENTITY,$B95,AD$11,AD$14,AD$75,),""),IF($I95=2,IFBLANK(_xldudf_CX_PUSH(AD95,CX_ENTITY,$B95,AD$11,AD$14,AD$75,),""),IF($I95=3,"",IFBLANK(_xldudf_CX_PUSH(AD95,CX_ENTITY,$B95,AD$11,AD$14,AD$75,),"")))))),"")</f>
        <v/>
      </c>
      <c r="DE95" s="2445" t="str" cm="1">
        <f t="array" ca="1" aca="1" ref="DE95">IFERROR(IF(AE95*fxVal_normal=_PL!AE95,"",IF(OR(AE95="",NOT(ISNUMBER(AE95)),ISERROR(AE95),$B95=""),"",IF($I95=1,IFBLANK(_xldudf_CX_PUSH(AE95*fxVal_normal,CX_ENTITY,$B95,AE$11,AE$14,AE$75,),""),IF($I95=2,IFBLANK(_xldudf_CX_PUSH(AE95,CX_ENTITY,$B95,AE$11,AE$14,AE$75,),""),IF($I95=3,"",IFBLANK(_xldudf_CX_PUSH(AE95,CX_ENTITY,$B95,AE$11,AE$14,AE$75,),"")))))),"")</f>
        <v/>
      </c>
      <c r="DF95" s="2445" t="str" cm="1">
        <f t="array" ca="1" aca="1" ref="DF95">IFERROR(IF(AF95*fxVal_normal=_PL!AF95,"",IF(OR(AF95="",NOT(ISNUMBER(AF95)),ISERROR(AF95),$B95=""),"",IF($I95=1,IFBLANK(_xldudf_CX_PUSH(AF95*fxVal_normal,CX_ENTITY,$B95,AF$11,AF$14,AF$75,),""),IF($I95=2,IFBLANK(_xldudf_CX_PUSH(AF95,CX_ENTITY,$B95,AF$11,AF$14,AF$75,),""),IF($I95=3,"",IFBLANK(_xldudf_CX_PUSH(AF95,CX_ENTITY,$B95,AF$11,AF$14,AF$75,),"")))))),"")</f>
        <v/>
      </c>
      <c r="DG95" s="2445" t="str" cm="1">
        <f t="array" ca="1" aca="1" ref="DG95">IFERROR(IF(AG95*fxVal_normal=_PL!AG95,"",IF(OR(AG95="",NOT(ISNUMBER(AG95)),ISERROR(AG95),$B95=""),"",IF($I95=1,IFBLANK(_xldudf_CX_PUSH(AG95*fxVal_normal,CX_ENTITY,$B95,AG$11,AG$14,AG$75,),""),IF($I95=2,IFBLANK(_xldudf_CX_PUSH(AG95,CX_ENTITY,$B95,AG$11,AG$14,AG$75,),""),IF($I95=3,"",IFBLANK(_xldudf_CX_PUSH(AG95,CX_ENTITY,$B95,AG$11,AG$14,AG$75,),"")))))),"")</f>
        <v/>
      </c>
      <c r="DH95" s="2445" t="str" cm="1">
        <f t="array" ca="1" aca="1" ref="DH95">IFERROR(IF(AH95*fxVal_normal=_PL!AH95,"",IF(OR(AH95="",NOT(ISNUMBER(AH95)),ISERROR(AH95),$B95=""),"",IF($I95=1,IFBLANK(_xldudf_CX_PUSH(AH95*fxVal_normal,CX_ENTITY,$B95,AH$11,AH$14,AH$75,),""),IF($I95=2,IFBLANK(_xldudf_CX_PUSH(AH95,CX_ENTITY,$B95,AH$11,AH$14,AH$75,),""),IF($I95=3,"",IFBLANK(_xldudf_CX_PUSH(AH95,CX_ENTITY,$B95,AH$11,AH$14,AH$75,),"")))))),"")</f>
        <v/>
      </c>
      <c r="DI95" s="2445" t="str" cm="1">
        <f t="array" ca="1" aca="1" ref="DI95">IFERROR(IF(AI95*fxVal_normal=_PL!AI95,"",IF(OR(AI95="",NOT(ISNUMBER(AI95)),ISERROR(AI95),$B95=""),"",IF($I95=1,IFBLANK(_xldudf_CX_PUSH(AI95*fxVal_normal,CX_ENTITY,$B95,AI$11,AI$14,AI$75,),""),IF($I95=2,IFBLANK(_xldudf_CX_PUSH(AI95,CX_ENTITY,$B95,AI$11,AI$14,AI$75,),""),IF($I95=3,"",IFBLANK(_xldudf_CX_PUSH(AI95,CX_ENTITY,$B95,AI$11,AI$14,AI$75,),"")))))),"")</f>
        <v/>
      </c>
      <c r="DJ95" s="2445" t="str" cm="1">
        <f t="array" ca="1" aca="1" ref="DJ95">IFERROR(IF(AJ95*fxVal_normal=_PL!AJ95,"",IF(OR(AJ95="",NOT(ISNUMBER(AJ95)),ISERROR(AJ95),$B95=""),"",IF($I95=1,IFBLANK(_xldudf_CX_PUSH(AJ95*fxVal_normal,CX_ENTITY,$B95,AJ$11,AJ$14,AJ$75,),""),IF($I95=2,IFBLANK(_xldudf_CX_PUSH(AJ95,CX_ENTITY,$B95,AJ$11,AJ$14,AJ$75,),""),IF($I95=3,"",IFBLANK(_xldudf_CX_PUSH(AJ95,CX_ENTITY,$B95,AJ$11,AJ$14,AJ$75,),"")))))),"")</f>
        <v/>
      </c>
      <c r="DK95" s="2445" t="str" cm="1">
        <f t="array" ca="1" aca="1" ref="DK95">IFERROR(IF(AK95*fxVal_normal=_PL!AK95,"",IF(OR(AK95="",NOT(ISNUMBER(AK95)),ISERROR(AK95),$B95=""),"",IF($I95=1,IFBLANK(_xldudf_CX_PUSH(AK95*fxVal_normal,CX_ENTITY,$B95,AK$11,AK$14,AK$75,),""),IF($I95=2,IFBLANK(_xldudf_CX_PUSH(AK95,CX_ENTITY,$B95,AK$11,AK$14,AK$75,),""),IF($I95=3,"",IFBLANK(_xldudf_CX_PUSH(AK95,CX_ENTITY,$B95,AK$11,AK$14,AK$75,),"")))))),"")</f>
        <v/>
      </c>
      <c r="DL95" s="2445" t="str" cm="1">
        <f t="array" ca="1" aca="1" ref="DL95">IFERROR(IF(AL95*fxVal_normal=_PL!AL95,"",IF(OR(AL95="",NOT(ISNUMBER(AL95)),ISERROR(AL95),$B95=""),"",IF($I95=1,IFBLANK(_xldudf_CX_PUSH(AL95*fxVal_normal,CX_ENTITY,$B95,AL$11,AL$14,AL$75,),""),IF($I95=2,IFBLANK(_xldudf_CX_PUSH(AL95,CX_ENTITY,$B95,AL$11,AL$14,AL$75,),""),IF($I95=3,"",IFBLANK(_xldudf_CX_PUSH(AL95,CX_ENTITY,$B95,AL$11,AL$14,AL$75,),"")))))),"")</f>
        <v/>
      </c>
      <c r="DM95" s="2445" t="str" cm="1">
        <f t="array" ca="1" aca="1" ref="DM95">IFERROR(IF(AM95*fxVal_normal=_PL!AM95,"",IF(OR(AM95="",NOT(ISNUMBER(AM95)),ISERROR(AM95),$B95=""),"",IF($I95=1,IFBLANK(_xldudf_CX_PUSH(AM95*fxVal_normal,CX_ENTITY,$B95,AM$11,AM$14,AM$75,),""),IF($I95=2,IFBLANK(_xldudf_CX_PUSH(AM95,CX_ENTITY,$B95,AM$11,AM$14,AM$75,),""),IF($I95=3,"",IFBLANK(_xldudf_CX_PUSH(AM95,CX_ENTITY,$B95,AM$11,AM$14,AM$75,),"")))))),"")</f>
        <v/>
      </c>
      <c r="DN95" s="2445" t="str" cm="1">
        <f t="array" ca="1" aca="1" ref="DN95">IFERROR(IF(AN95*fxVal_normal=_PL!AN95,"",IF(OR(AN95="",NOT(ISNUMBER(AN95)),ISERROR(AN95),$B95=""),"",IF($I95=1,IFBLANK(_xldudf_CX_PUSH(AN95*fxVal_normal,CX_ENTITY,$B95,AN$11,AN$14,AN$75,),""),IF($I95=2,IFBLANK(_xldudf_CX_PUSH(AN95,CX_ENTITY,$B95,AN$11,AN$14,AN$75,),""),IF($I95=3,"",IFBLANK(_xldudf_CX_PUSH(AN95,CX_ENTITY,$B95,AN$11,AN$14,AN$75,),"")))))),"")</f>
        <v/>
      </c>
      <c r="DO95" s="2445" t="str" cm="1">
        <f t="array" ca="1" aca="1" ref="DO95">IFERROR(IF(AO95*fxVal_normal=_PL!AO95,"",IF(OR(AO95="",NOT(ISNUMBER(AO95)),ISERROR(AO95),$B95=""),"",IF($I95=1,IFBLANK(_xldudf_CX_PUSH(AO95*fxVal_normal,CX_ENTITY,$B95,AO$11,AO$14,AO$75,),""),IF($I95=2,IFBLANK(_xldudf_CX_PUSH(AO95,CX_ENTITY,$B95,AO$11,AO$14,AO$75,),""),IF($I95=3,"",IFBLANK(_xldudf_CX_PUSH(AO95,CX_ENTITY,$B95,AO$11,AO$14,AO$75,),"")))))),"")</f>
        <v/>
      </c>
      <c r="DP95" s="2445" t="str" cm="1">
        <f t="array" ca="1" aca="1" ref="DP95">IFERROR(IF(AP95*fxVal_normal=_PL!AP95,"",IF(OR(AP95="",NOT(ISNUMBER(AP95)),ISERROR(AP95),$B95=""),"",IF($I95=1,IFBLANK(_xldudf_CX_PUSH(AP95*fxVal_normal,CX_ENTITY,$B95,AP$11,AP$14,AP$75,),""),IF($I95=2,IFBLANK(_xldudf_CX_PUSH(AP95,CX_ENTITY,$B95,AP$11,AP$14,AP$75,),""),IF($I95=3,"",IFBLANK(_xldudf_CX_PUSH(AP95,CX_ENTITY,$B95,AP$11,AP$14,AP$75,),"")))))),"")</f>
        <v/>
      </c>
      <c r="DQ95" s="2445" t="str" cm="1">
        <f t="array" ca="1" aca="1" ref="DQ95">IFERROR(IF(AQ95*fxVal_normal=_PL!AQ95,"",IF(OR(AQ95="",NOT(ISNUMBER(AQ95)),ISERROR(AQ95),$B95=""),"",IF($I95=1,IFBLANK(_xldudf_CX_PUSH(AQ95*fxVal_normal,CX_ENTITY,$B95,AQ$11,AQ$14,AQ$75,),""),IF($I95=2,IFBLANK(_xldudf_CX_PUSH(AQ95,CX_ENTITY,$B95,AQ$11,AQ$14,AQ$75,),""),IF($I95=3,"",IFBLANK(_xldudf_CX_PUSH(AQ95,CX_ENTITY,$B95,AQ$11,AQ$14,AQ$75,),"")))))),"")</f>
        <v/>
      </c>
      <c r="DR95" s="2445" t="str" cm="1">
        <f t="array" ca="1" aca="1" ref="DR95">IFERROR(IF(AR95*fxVal_normal=_PL!AR95,"",IF(OR(AR95="",NOT(ISNUMBER(AR95)),ISERROR(AR95),$B95=""),"",IF($I95=1,IFBLANK(_xldudf_CX_PUSH(AR95*fxVal_normal,CX_ENTITY,$B95,AR$11,AR$14,AR$75,),""),IF($I95=2,IFBLANK(_xldudf_CX_PUSH(AR95,CX_ENTITY,$B95,AR$11,AR$14,AR$75,),""),IF($I95=3,"",IFBLANK(_xldudf_CX_PUSH(AR95,CX_ENTITY,$B95,AR$11,AR$14,AR$75,),"")))))),"")</f>
        <v/>
      </c>
      <c r="DS95" s="2445" t="str" cm="1">
        <f t="array" ca="1" aca="1" ref="DS95">IFERROR(IF(AS95*fxVal_normal=_PL!AS95,"",IF(OR(AS95="",NOT(ISNUMBER(AS95)),ISERROR(AS95),$B95=""),"",IF($I95=1,IFBLANK(_xldudf_CX_PUSH(AS95*fxVal_normal,CX_ENTITY,$B95,AS$11,AS$14,AS$75,),""),IF($I95=2,IFBLANK(_xldudf_CX_PUSH(AS95,CX_ENTITY,$B95,AS$11,AS$14,AS$75,),""),IF($I95=3,"",IFBLANK(_xldudf_CX_PUSH(AS95,CX_ENTITY,$B95,AS$11,AS$14,AS$75,),"")))))),"")</f>
        <v/>
      </c>
      <c r="DT95" s="2445" t="str" cm="1">
        <f t="array" ca="1" aca="1" ref="DT95">IFERROR(IF(AT95*fxVal_normal=_PL!AT95,"",IF(OR(AT95="",NOT(ISNUMBER(AT95)),ISERROR(AT95),$B95=""),"",IF($I95=1,IFBLANK(_xldudf_CX_PUSH(AT95*fxVal_normal,CX_ENTITY,$B95,AT$11,AT$14,AT$75,),""),IF($I95=2,IFBLANK(_xldudf_CX_PUSH(AT95,CX_ENTITY,$B95,AT$11,AT$14,AT$75,),""),IF($I95=3,"",IFBLANK(_xldudf_CX_PUSH(AT95,CX_ENTITY,$B95,AT$11,AT$14,AT$75,),"")))))),"")</f>
        <v/>
      </c>
      <c r="DU95" s="2445" t="str" cm="1">
        <f t="array" ca="1" aca="1" ref="DU95">IFERROR(IF(AU95*fxVal_normal=_PL!AU95,"",IF(OR(AU95="",NOT(ISNUMBER(AU95)),ISERROR(AU95),$B95=""),"",IF($I95=1,IFBLANK(_xldudf_CX_PUSH(AU95*fxVal_normal,CX_ENTITY,$B95,AU$11,AU$14,AU$75,),""),IF($I95=2,IFBLANK(_xldudf_CX_PUSH(AU95,CX_ENTITY,$B95,AU$11,AU$14,AU$75,),""),IF($I95=3,"",IFBLANK(_xldudf_CX_PUSH(AU95,CX_ENTITY,$B95,AU$11,AU$14,AU$75,),"")))))),"")</f>
        <v/>
      </c>
      <c r="DV95" s="2445" t="str" cm="1">
        <f t="array" ca="1" aca="1" ref="DV95">IFERROR(IF(AV95*fxVal_normal=_PL!AV95,"",IF(OR(AV95="",NOT(ISNUMBER(AV95)),ISERROR(AV95),$B95=""),"",IF($I95=1,IFBLANK(_xldudf_CX_PUSH(AV95*fxVal_normal,CX_ENTITY,$B95,AV$11,AV$14,AV$75,),""),IF($I95=2,IFBLANK(_xldudf_CX_PUSH(AV95,CX_ENTITY,$B95,AV$11,AV$14,AV$75,),""),IF($I95=3,"",IFBLANK(_xldudf_CX_PUSH(AV95,CX_ENTITY,$B95,AV$11,AV$14,AV$75,),"")))))),"")</f>
        <v/>
      </c>
      <c r="DW95" s="2445" t="str" cm="1">
        <f t="array" ca="1" aca="1" ref="DW95">IFERROR(IF(AW95*fxVal_normal=_PL!AW95,"",IF(OR(AW95="",NOT(ISNUMBER(AW95)),ISERROR(AW95),$B95=""),"",IF($I95=1,IFBLANK(_xldudf_CX_PUSH(AW95*fxVal_normal,CX_ENTITY,$B95,AW$11,AW$14,AW$75,),""),IF($I95=2,IFBLANK(_xldudf_CX_PUSH(AW95,CX_ENTITY,$B95,AW$11,AW$14,AW$75,),""),IF($I95=3,"",IFBLANK(_xldudf_CX_PUSH(AW95,CX_ENTITY,$B95,AW$11,AW$14,AW$75,),"")))))),"")</f>
        <v/>
      </c>
      <c r="DX95" s="2445" t="str" cm="1">
        <f t="array" ca="1" aca="1" ref="DX95">IFERROR(IF(AX95*fxVal_normal=_PL!AX95,"",IF(OR(AX95="",NOT(ISNUMBER(AX95)),ISERROR(AX95),$B95=""),"",IF($I95=1,IFBLANK(_xldudf_CX_PUSH(AX95*fxVal_normal,CX_ENTITY,$B95,AX$11,AX$14,AX$75,),""),IF($I95=2,IFBLANK(_xldudf_CX_PUSH(AX95,CX_ENTITY,$B95,AX$11,AX$14,AX$75,),""),IF($I95=3,"",IFBLANK(_xldudf_CX_PUSH(AX95,CX_ENTITY,$B95,AX$11,AX$14,AX$75,),"")))))),"")</f>
        <v/>
      </c>
      <c r="DY95" s="2445" t="str" cm="1">
        <f t="array" ca="1" aca="1" ref="DY95">IFERROR(IF(AY95*fxVal_normal=_PL!AY95,"",IF(OR(AY95="",NOT(ISNUMBER(AY95)),ISERROR(AY95),$B95=""),"",IF($I95=1,IFBLANK(_xldudf_CX_PUSH(AY95*fxVal_normal,CX_ENTITY,$B95,AY$11,AY$14,AY$75,),""),IF($I95=2,IFBLANK(_xldudf_CX_PUSH(AY95,CX_ENTITY,$B95,AY$11,AY$14,AY$75,),""),IF($I95=3,"",IFBLANK(_xldudf_CX_PUSH(AY95,CX_ENTITY,$B95,AY$11,AY$14,AY$75,),"")))))),"")</f>
        <v/>
      </c>
      <c r="DZ95" s="2445" t="str" cm="1">
        <f t="array" ca="1" aca="1" ref="DZ95">IFERROR(IF(AZ95*fxVal_normal=_PL!AZ95,"",IF(OR(AZ95="",NOT(ISNUMBER(AZ95)),ISERROR(AZ95),$B95=""),"",IF($I95=1,IFBLANK(_xldudf_CX_PUSH(AZ95*fxVal_normal,CX_ENTITY,$B95,AZ$11,AZ$14,AZ$75,),""),IF($I95=2,IFBLANK(_xldudf_CX_PUSH(AZ95,CX_ENTITY,$B95,AZ$11,AZ$14,AZ$75,),""),IF($I95=3,"",IFBLANK(_xldudf_CX_PUSH(AZ95,CX_ENTITY,$B95,AZ$11,AZ$14,AZ$75,),"")))))),"")</f>
        <v/>
      </c>
      <c r="EA95" s="2445" t="str" cm="1">
        <f t="array" ca="1" aca="1" ref="EA95">IFERROR(IF(BA95*fxVal_normal=_PL!BA95,"",IF(OR(BA95="",NOT(ISNUMBER(BA95)),ISERROR(BA95),$B95=""),"",IF($I95=1,IFBLANK(_xldudf_CX_PUSH(BA95*fxVal_normal,CX_ENTITY,$B95,BA$11,BA$14,BA$75,),""),IF($I95=2,IFBLANK(_xldudf_CX_PUSH(BA95,CX_ENTITY,$B95,BA$11,BA$14,BA$75,),""),IF($I95=3,"",IFBLANK(_xldudf_CX_PUSH(BA95,CX_ENTITY,$B95,BA$11,BA$14,BA$75,),"")))))),"")</f>
        <v/>
      </c>
      <c r="EB95" s="2445" t="str" cm="1">
        <f t="array" ca="1" aca="1" ref="EB95">IFERROR(IF(BB95*fxVal_normal=_PL!BB95,"",IF(OR(BB95="",NOT(ISNUMBER(BB95)),ISERROR(BB95),$B95=""),"",IF($I95=1,IFBLANK(_xldudf_CX_PUSH(BB95*fxVal_normal,CX_ENTITY,$B95,BB$11,BB$14,BB$75,),""),IF($I95=2,IFBLANK(_xldudf_CX_PUSH(BB95,CX_ENTITY,$B95,BB$11,BB$14,BB$75,),""),IF($I95=3,"",IFBLANK(_xldudf_CX_PUSH(BB95,CX_ENTITY,$B95,BB$11,BB$14,BB$75,),"")))))),"")</f>
        <v/>
      </c>
      <c r="EC95" s="2445" t="str" cm="1">
        <f t="array" ca="1" aca="1" ref="EC95">IFERROR(IF(BC95*fxVal_normal=_PL!BC95,"",IF(OR(BC95="",NOT(ISNUMBER(BC95)),ISERROR(BC95),$B95=""),"",IF($I95=1,IFBLANK(_xldudf_CX_PUSH(BC95*fxVal_normal,CX_ENTITY,$B95,BC$11,BC$14,BC$75,),""),IF($I95=2,IFBLANK(_xldudf_CX_PUSH(BC95,CX_ENTITY,$B95,BC$11,BC$14,BC$75,),""),IF($I95=3,"",IFBLANK(_xldudf_CX_PUSH(BC95,CX_ENTITY,$B95,BC$11,BC$14,BC$75,),"")))))),"")</f>
        <v/>
      </c>
      <c r="ED95" s="2445" t="str" cm="1">
        <f t="array" ca="1" aca="1" ref="ED95">IFERROR(IF(BD95*fxVal_normal=_PL!BD95,"",IF(OR(BD95="",NOT(ISNUMBER(BD95)),ISERROR(BD95),$B95=""),"",IF($I95=1,IFBLANK(_xldudf_CX_PUSH(BD95*fxVal_normal,CX_ENTITY,$B95,BD$11,BD$14,BD$75,),""),IF($I95=2,IFBLANK(_xldudf_CX_PUSH(BD95,CX_ENTITY,$B95,BD$11,BD$14,BD$75,),""),IF($I95=3,"",IFBLANK(_xldudf_CX_PUSH(BD95,CX_ENTITY,$B95,BD$11,BD$14,BD$75,),"")))))),"")</f>
        <v/>
      </c>
      <c r="EE95" s="2445" t="str" cm="1">
        <f t="array" ca="1" aca="1" ref="EE95">IFERROR(IF(BE95*fxVal_normal=_PL!BE95,"",IF(OR(BE95="",NOT(ISNUMBER(BE95)),ISERROR(BE95),$B95=""),"",IF($I95=1,IFBLANK(_xldudf_CX_PUSH(BE95*fxVal_normal,CX_ENTITY,$B95,BE$11,BE$14,BE$75,),""),IF($I95=2,IFBLANK(_xldudf_CX_PUSH(BE95,CX_ENTITY,$B95,BE$11,BE$14,BE$75,),""),IF($I95=3,"",IFBLANK(_xldudf_CX_PUSH(BE95,CX_ENTITY,$B95,BE$11,BE$14,BE$75,),"")))))),"")</f>
        <v/>
      </c>
      <c r="EF95" s="2445" t="str" cm="1">
        <f t="array" ca="1" aca="1" ref="EF95">IFERROR(IF(BF95*fxVal_normal=_PL!BF95,"",IF(OR(BF95="",NOT(ISNUMBER(BF95)),ISERROR(BF95),$B95=""),"",IF($I95=1,IFBLANK(_xldudf_CX_PUSH(BF95*fxVal_normal,CX_ENTITY,$B95,BF$11,BF$14,BF$75,),""),IF($I95=2,IFBLANK(_xldudf_CX_PUSH(BF95,CX_ENTITY,$B95,BF$11,BF$14,BF$75,),""),IF($I95=3,"",IFBLANK(_xldudf_CX_PUSH(BF95,CX_ENTITY,$B95,BF$11,BF$14,BF$75,),"")))))),"")</f>
        <v/>
      </c>
      <c r="EG95" s="2445" t="str" cm="1">
        <f t="array" ca="1" aca="1" ref="EG95">IFERROR(IF(BG95*fxVal_normal=_PL!BG95,"",IF(OR(BG95="",NOT(ISNUMBER(BG95)),ISERROR(BG95),$B95=""),"",IF($I95=1,IFBLANK(_xldudf_CX_PUSH(BG95*fxVal_normal,CX_ENTITY,$B95,BG$11,BG$14,BG$75,),""),IF($I95=2,IFBLANK(_xldudf_CX_PUSH(BG95,CX_ENTITY,$B95,BG$11,BG$14,BG$75,),""),IF($I95=3,"",IFBLANK(_xldudf_CX_PUSH(BG95,CX_ENTITY,$B95,BG$11,BG$14,BG$75,),"")))))),"")</f>
        <v/>
      </c>
      <c r="EH95" s="2445" t="str" cm="1">
        <f t="array" ca="1" aca="1" ref="EH95">IFERROR(IF(BH95*fxVal_normal=_PL!BH95,"",IF(OR(BH95="",NOT(ISNUMBER(BH95)),ISERROR(BH95),$B95=""),"",IF($I95=1,IFBLANK(_xldudf_CX_PUSH(BH95*fxVal_normal,CX_ENTITY,$B95,BH$11,BH$14,BH$75,),""),IF($I95=2,IFBLANK(_xldudf_CX_PUSH(BH95,CX_ENTITY,$B95,BH$11,BH$14,BH$75,),""),IF($I95=3,"",IFBLANK(_xldudf_CX_PUSH(BH95,CX_ENTITY,$B95,BH$11,BH$14,BH$75,),"")))))),"")</f>
        <v/>
      </c>
      <c r="EI95" s="2445" t="str" cm="1">
        <f t="array" ca="1" aca="1" ref="EI95">IFERROR(IF(BI95*fxVal_normal=_PL!BI95,"",IF(OR(BI95="",NOT(ISNUMBER(BI95)),ISERROR(BI95),$B95=""),"",IF($I95=1,IFBLANK(_xldudf_CX_PUSH(BI95*fxVal_normal,CX_ENTITY,$B95,BI$11,BI$14,BI$75,),""),IF($I95=2,IFBLANK(_xldudf_CX_PUSH(BI95,CX_ENTITY,$B95,BI$11,BI$14,BI$75,),""),IF($I95=3,"",IFBLANK(_xldudf_CX_PUSH(BI95,CX_ENTITY,$B95,BI$11,BI$14,BI$75,),"")))))),"")</f>
        <v/>
      </c>
      <c r="EJ95" s="2445" t="str" cm="1">
        <f t="array" ca="1" aca="1" ref="EJ95">IFERROR(IF(BJ95*fxVal_normal=_PL!BJ95,"",IF(OR(BJ95="",NOT(ISNUMBER(BJ95)),ISERROR(BJ95),$B95=""),"",IF($I95=1,IFBLANK(_xldudf_CX_PUSH(BJ95*fxVal_normal,CX_ENTITY,$B95,BJ$11,BJ$14,BJ$75,),""),IF($I95=2,IFBLANK(_xldudf_CX_PUSH(BJ95,CX_ENTITY,$B95,BJ$11,BJ$14,BJ$75,),""),IF($I95=3,"",IFBLANK(_xldudf_CX_PUSH(BJ95,CX_ENTITY,$B95,BJ$11,BJ$14,BJ$75,),"")))))),"")</f>
        <v/>
      </c>
      <c r="EK95" s="2445" t="str" cm="1">
        <f t="array" ca="1" aca="1" ref="EK95">IFERROR(IF(BK95*fxVal_normal=_PL!BK95,"",IF(OR(BK95="",NOT(ISNUMBER(BK95)),ISERROR(BK95),$B95=""),"",IF($I95=1,IFBLANK(_xldudf_CX_PUSH(BK95*fxVal_normal,CX_ENTITY,$B95,BK$11,BK$14,BK$75,),""),IF($I95=2,IFBLANK(_xldudf_CX_PUSH(BK95,CX_ENTITY,$B95,BK$11,BK$14,BK$75,),""),IF($I95=3,"",IFBLANK(_xldudf_CX_PUSH(BK95,CX_ENTITY,$B95,BK$11,BK$14,BK$75,),"")))))),"")</f>
        <v/>
      </c>
      <c r="EL95" s="2445" t="str" cm="1">
        <f t="array" ca="1" aca="1" ref="EL95">IFERROR(IF(BL95*fxVal_normal=_PL!BL95,"",IF(OR(BL95="",NOT(ISNUMBER(BL95)),ISERROR(BL95),$B95=""),"",IF($I95=1,IFBLANK(_xldudf_CX_PUSH(BL95*fxVal_normal,CX_ENTITY,$B95,BL$11,BL$14,BL$75,),""),IF($I95=2,IFBLANK(_xldudf_CX_PUSH(BL95,CX_ENTITY,$B95,BL$11,BL$14,BL$75,),""),IF($I95=3,"",IFBLANK(_xldudf_CX_PUSH(BL95,CX_ENTITY,$B95,BL$11,BL$14,BL$75,),"")))))),"")</f>
        <v/>
      </c>
      <c r="EM95" s="2445" t="str" cm="1">
        <f t="array" ca="1" aca="1" ref="EM95">IFERROR(IF(BM95*fxVal_normal=_PL!BM95,"",IF(OR(BM95="",NOT(ISNUMBER(BM95)),ISERROR(BM95),$B95=""),"",IF($I95=1,IFBLANK(_xldudf_CX_PUSH(BM95*fxVal_normal,CX_ENTITY,$B95,BM$11,BM$14,BM$75,),""),IF($I95=2,IFBLANK(_xldudf_CX_PUSH(BM95,CX_ENTITY,$B95,BM$11,BM$14,BM$75,),""),IF($I95=3,"",IFBLANK(_xldudf_CX_PUSH(BM95,CX_ENTITY,$B95,BM$11,BM$14,BM$75,),"")))))),"")</f>
        <v/>
      </c>
      <c r="EN95" s="2445" t="str" cm="1">
        <f t="array" ca="1" aca="1" ref="EN95">IFERROR(IF(BN95*fxVal_normal=_PL!BN95,"",IF(OR(BN95="",NOT(ISNUMBER(BN95)),ISERROR(BN95),$B95=""),"",IF($I95=1,IFBLANK(_xldudf_CX_PUSH(BN95*fxVal_normal,CX_ENTITY,$B95,BN$11,BN$14,BN$75,),""),IF($I95=2,IFBLANK(_xldudf_CX_PUSH(BN95,CX_ENTITY,$B95,BN$11,BN$14,BN$75,),""),IF($I95=3,"",IFBLANK(_xldudf_CX_PUSH(BN95,CX_ENTITY,$B95,BN$11,BN$14,BN$75,),"")))))),"")</f>
        <v/>
      </c>
    </row>
    <row r="96" spans="1:144" ht="21" customHeight="1">
      <c r="A96" s="1625"/>
      <c r="B96" s="2501" t="str">
        <f>_xlfn.LET(_xlpm.IsNotAttrDynamic,D96="",_xlpm.Attr,_PL!F96,_xlpm.NotInUse,Y96=D96,_xlpm.RESULT,IF(_xlpm.IsNotAttrDynamic,_xlpm.Attr,IF(_xlpm.NotInUse,"",Y96)),IF(_xlpm.RESULT="","",_xlpm.RESULT))</f>
        <v>Tax</v>
      </c>
      <c r="C96" s="2501" t="str" cm="1">
        <f t="array" ref="C96">IFBLANK(_PL!C96,"")</f>
        <v>Tax (Company View)</v>
      </c>
      <c r="D96" s="1548"/>
      <c r="E96" s="2440" t="e" cm="1">
        <f t="array" ca="1" aca="1" ref="E9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96:$CQ96,Z96)</f>
        <v>#NAME?</v>
      </c>
      <c r="F96" s="578"/>
      <c r="G96" s="578"/>
      <c r="H96" s="578">
        <v>0</v>
      </c>
      <c r="I96" s="3279">
        <v>1</v>
      </c>
      <c r="J96" s="3280" cm="1">
        <f t="array" ref="J96">IFBLANK(Z96,"")</f>
        <v>1</v>
      </c>
      <c r="K96" s="578" t="str">
        <f t="shared" si="39"/>
        <v>Yes</v>
      </c>
      <c r="L96" s="37"/>
      <c r="N96" s="158"/>
      <c r="O96" s="101"/>
      <c r="P96" s="52"/>
      <c r="Q96" s="101"/>
      <c r="R96" s="101"/>
      <c r="S96" s="101"/>
      <c r="T96" s="101"/>
      <c r="U96" s="39"/>
      <c r="V96" s="37"/>
      <c r="W96" s="91" t="str">
        <f t="shared" si="28"/>
        <v>Budget</v>
      </c>
      <c r="X96" s="2081">
        <f>_PL!X96</f>
        <v>-1</v>
      </c>
      <c r="Y96" s="3192">
        <f t="shared" si="36"/>
        <v>2</v>
      </c>
      <c r="Z96" s="3291" cm="1">
        <f t="array" ref="Z96">_xlfn.SWITCH(TRUE,_PL!$L96=TRUE,1,_PL!$L96=FALSE,-1,_PL!$L96=-1,0,"")</f>
        <v>1</v>
      </c>
      <c r="AA96" s="200"/>
      <c r="AB96" s="1134" t="str">
        <f>_PL!AB96</f>
        <v>Tax</v>
      </c>
      <c r="AC96" s="275" t="str" cm="1">
        <f t="array" ca="1" aca="1" ref="AC96">_xlfn.LET(_xlpm._termname,$AB96,_xlpm._iconname,"find",_xlpm._icon,fx_getIcon(_xlpm._iconname),_xlpm._location,_xlfn.XLOOKUP(LOWER(_xlpm._termname),LOWER(tbl_acctDef[Term]),tbl_acctDef[Term]),_xlpm._hyperlink,HYPERLINK("#"&amp;CELL("address",_xlpm._location),_xlpm._icon),IFERROR(_xlpm._hyperlink,""))</f>
        <v/>
      </c>
      <c r="AD96" s="3177">
        <v>1</v>
      </c>
      <c r="AE96" s="3177">
        <v>1</v>
      </c>
      <c r="AF96" s="3177">
        <v>1</v>
      </c>
      <c r="AG96" s="3177">
        <v>1</v>
      </c>
      <c r="AH96" s="3177">
        <v>1</v>
      </c>
      <c r="AI96" s="3177">
        <v>1</v>
      </c>
      <c r="AJ96" s="3177">
        <v>1</v>
      </c>
      <c r="AK96" s="3177">
        <v>1</v>
      </c>
      <c r="AL96" s="3177">
        <v>1</v>
      </c>
      <c r="AM96" s="3177">
        <v>1</v>
      </c>
      <c r="AN96" s="3177">
        <v>1</v>
      </c>
      <c r="AO96" s="3177">
        <v>1</v>
      </c>
      <c r="AP96" s="3177">
        <v>1</v>
      </c>
      <c r="AQ96" s="3177">
        <v>1</v>
      </c>
      <c r="AR96" s="3177">
        <v>1</v>
      </c>
      <c r="AS96" s="3177">
        <v>1</v>
      </c>
      <c r="AT96" s="3177">
        <v>1</v>
      </c>
      <c r="AU96" s="3177">
        <v>1</v>
      </c>
      <c r="AV96" s="3177">
        <v>1</v>
      </c>
      <c r="AW96" s="3177">
        <v>1</v>
      </c>
      <c r="AX96" s="3177">
        <v>1</v>
      </c>
      <c r="AY96" s="3177">
        <v>1</v>
      </c>
      <c r="AZ96" s="3177">
        <v>1</v>
      </c>
      <c r="BA96" s="3177">
        <v>1</v>
      </c>
      <c r="BB96" s="3177">
        <v>1</v>
      </c>
      <c r="BC96" s="3177">
        <v>1</v>
      </c>
      <c r="BD96" s="3177">
        <v>1</v>
      </c>
      <c r="BE96" s="3177">
        <v>1</v>
      </c>
      <c r="BF96" s="3177">
        <v>1</v>
      </c>
      <c r="BG96" s="3177">
        <v>1</v>
      </c>
      <c r="BH96" s="3177">
        <v>1</v>
      </c>
      <c r="BI96" s="3177">
        <v>1</v>
      </c>
      <c r="BJ96" s="3177">
        <v>1</v>
      </c>
      <c r="BK96" s="3177">
        <v>1</v>
      </c>
      <c r="BL96" s="3177">
        <v>1</v>
      </c>
      <c r="BM96" s="3177">
        <v>1</v>
      </c>
      <c r="BN96" s="3177">
        <v>1</v>
      </c>
      <c r="BO96" s="2442"/>
      <c r="BP96" s="2442"/>
      <c r="BQ96" s="2442"/>
      <c r="BR96" s="2442"/>
      <c r="BS96" s="2442"/>
      <c r="BT96" s="2442"/>
      <c r="BU96" s="2442"/>
      <c r="BV96" s="2442"/>
      <c r="BW96" s="2442"/>
      <c r="BX96" s="2442"/>
      <c r="BY96" s="2442"/>
      <c r="BZ96" s="2442"/>
      <c r="CA96" s="34"/>
      <c r="CC96" s="33"/>
      <c r="CD96" s="1772" t="e" cm="1">
        <f t="array" ca="1" aca="1" ref="CD96">_xlfn.LET(_xlpm.CheckBlank,SUM(PL!$AD96:$BN96)=0,IF(_xlpm.CheckBlank,"",SUM(_xlfn._xlws.FILTER(PL!$AD96:$BN96,(YEAR(PL!$AD$12:$BN$12)=PL!CD$12)*(array_timeline&lt;=PL!CD$11)))))</f>
        <v>#NAME?</v>
      </c>
      <c r="CE96" s="1772" t="e" cm="1">
        <f t="array" ca="1" aca="1" ref="CE96">_xlfn.LET(_xlpm.CheckBlank,SUM(PL!$AD96:$BN96)=0,IF(_xlpm.CheckBlank,"",SUM(_xlfn._xlws.FILTER(PL!$AD96:$BN96,(YEAR(PL!$AD$12:$BN$12)=PL!CE$12)*(array_timeline&lt;=PL!CE$11)))))</f>
        <v>#NAME?</v>
      </c>
      <c r="CF96" s="88"/>
      <c r="CG96" s="1461" t="e" cm="1">
        <f t="array" ca="1" aca="1" ref="CG96">_xlfn.LET(_xlpm.CheckBlank,SUM(PL!$AD96:$BN96)=0,IF(_xlpm.CheckBlank,"",SUM(_xlfn._xlws.FILTER(PL!$AD96:$BN96,(YEAR(PL!$AD$12:$BN$12)=PL!CG$12)*(array_timeline&lt;=PL!CG$11)))))</f>
        <v>#NAME?</v>
      </c>
      <c r="CH96" s="1461" t="e" cm="1">
        <f t="array" ca="1" aca="1" ref="CH96">_xlfn.LET(_xlpm.CheckBlank,SUM(PL!$AD96:$BN96)=0,IF(_xlpm.CheckBlank,"",SUM(_xlfn._xlws.FILTER(PL!$AD96:$BN96,(YEAR(PL!$AD$12:$BN$12)=PL!CH$12)*(array_timeline&lt;=PL!CH$11)))))</f>
        <v>#NAME?</v>
      </c>
      <c r="CI96" s="88"/>
      <c r="CJ96" s="1461" cm="1">
        <f t="array" ref="CJ96">_xlfn.LET(_xlpm.CheckBlank,SUM(PL!$AD96:$BN96)=0,IF(_xlpm.CheckBlank,"",SUM(_xlfn.TAKE(_xlfn.DROP(PL!$AD96:$BN96,,-DATEDIFF(PL!CJ$11,val_asOfDate,"M")),1,-12))))</f>
        <v>12</v>
      </c>
      <c r="CK96" s="1461" cm="1">
        <f t="array" ref="CK96">_xlfn.LET(_xlpm.CheckBlank,SUM(PL!$AD96:$BN96)=0,IF(_xlpm.CheckBlank,"",SUM(_xlfn.TAKE(_xlfn.DROP(PL!$AD96:$BN96,,-DATEDIFF(PL!CK$11,val_asOfDate,"M")),1,-12))))</f>
        <v>12</v>
      </c>
      <c r="CL96" s="88"/>
      <c r="CM96" s="3180">
        <f t="shared" si="26"/>
        <v>1</v>
      </c>
      <c r="CN96" s="3180">
        <f t="shared" si="23"/>
        <v>1</v>
      </c>
      <c r="CO96" s="1169"/>
      <c r="CP96" s="3180">
        <f t="shared" si="27"/>
        <v>1</v>
      </c>
      <c r="CQ96" s="3180">
        <f t="shared" si="24"/>
        <v>1</v>
      </c>
      <c r="CR96" s="34"/>
      <c r="CS96" s="2056"/>
      <c r="CT96" s="2085" t="e" cm="1">
        <f t="array" ca="1" aca="1" ref="CT96">IF(K96&lt;&gt;"Yes","",IF(OR(Y96="Select,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III"),"",IF(OR(Y96&lt;&gt;AB96,AND(LEN(B96)=0,NOT(OR(Y96="Select,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III")))),_xldudf_CX_PUSH(Y96,CX_ENTITY,C96,EOMONTH(val_asOfDate,0)),"")))</f>
        <v>#NAME?</v>
      </c>
      <c r="CU96" s="2085" t="e" cm="1">
        <f t="array" ca="1" aca="1" ref="CU96">IF(K96&lt;&gt;"Yes","",IF(OR(Y96="Select,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III"),"",IF(OR(Y96&lt;&gt;AB96,AND(LEN(B96)=0,NOT(OR(Y96="Select,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III")))),_xldudf_CX_PUSH(Y96,CX_ENTITY,C96,EOMONTH(val_asOfDate,1)),"")))</f>
        <v>#NAME?</v>
      </c>
      <c r="CV96" s="2085" t="e" cm="1">
        <f t="array" ca="1" aca="1" ref="CV96">IF(K96&lt;&gt;"Yes","",IF(OR(Y96="Select,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III"),"",IF(OR(Y96&lt;&gt;AB96,AND(LEN(B96)=0,NOT(OR(Y96="Select,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III")))),_xldudf_CX_PUSH(Y96,CX_ENTITY,C96,EOMONTH(val_asOfDate,2)),"")))</f>
        <v>#NAME?</v>
      </c>
      <c r="CW96" s="2085" t="e" cm="1">
        <f t="array" ca="1" aca="1" ref="CW96">IF(K96&lt;&gt;"Yes","",IF(OR(Y96="Select,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III"),"",IF(OR(Y96&lt;&gt;AB96,AND(LEN(B96)=0,NOT(OR(Y96="Select,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III")))),_xldudf_CX_PUSH(Y96,CX_ENTITY,C96,EOMONTH(val_asOfDate,3)),"")))</f>
        <v>#NAME?</v>
      </c>
      <c r="CX96" s="2443"/>
      <c r="CY96" s="1880"/>
      <c r="CZ96" s="1880"/>
      <c r="DA96" s="1880"/>
      <c r="DB96" s="1880"/>
      <c r="DC96" s="2121"/>
      <c r="DD96" s="2445" t="str" cm="1">
        <f t="array" ca="1" aca="1" ref="DD96">IFERROR(IF(AD96*fxVal_normal=_PL!AD96,"",IF(OR(AD96="",NOT(ISNUMBER(AD96)),ISERROR(AD96),$B96=""),"",IF($I96=1,IFBLANK(_xldudf_CX_PUSH(AD96*fxVal_normal,CX_ENTITY,$B96,AD$11,AD$14,AD$75,),""),IF($I96=2,IFBLANK(_xldudf_CX_PUSH(AD96,CX_ENTITY,$B96,AD$11,AD$14,AD$75,),""),IF($I96=3,"",IFBLANK(_xldudf_CX_PUSH(AD96,CX_ENTITY,$B96,AD$11,AD$14,AD$75,),"")))))),"")</f>
        <v/>
      </c>
      <c r="DE96" s="2445" t="str" cm="1">
        <f t="array" ca="1" aca="1" ref="DE96">IFERROR(IF(AE96*fxVal_normal=_PL!AE96,"",IF(OR(AE96="",NOT(ISNUMBER(AE96)),ISERROR(AE96),$B96=""),"",IF($I96=1,IFBLANK(_xldudf_CX_PUSH(AE96*fxVal_normal,CX_ENTITY,$B96,AE$11,AE$14,AE$75,),""),IF($I96=2,IFBLANK(_xldudf_CX_PUSH(AE96,CX_ENTITY,$B96,AE$11,AE$14,AE$75,),""),IF($I96=3,"",IFBLANK(_xldudf_CX_PUSH(AE96,CX_ENTITY,$B96,AE$11,AE$14,AE$75,),"")))))),"")</f>
        <v/>
      </c>
      <c r="DF96" s="2445" t="str" cm="1">
        <f t="array" ca="1" aca="1" ref="DF96">IFERROR(IF(AF96*fxVal_normal=_PL!AF96,"",IF(OR(AF96="",NOT(ISNUMBER(AF96)),ISERROR(AF96),$B96=""),"",IF($I96=1,IFBLANK(_xldudf_CX_PUSH(AF96*fxVal_normal,CX_ENTITY,$B96,AF$11,AF$14,AF$75,),""),IF($I96=2,IFBLANK(_xldudf_CX_PUSH(AF96,CX_ENTITY,$B96,AF$11,AF$14,AF$75,),""),IF($I96=3,"",IFBLANK(_xldudf_CX_PUSH(AF96,CX_ENTITY,$B96,AF$11,AF$14,AF$75,),"")))))),"")</f>
        <v/>
      </c>
      <c r="DG96" s="2445" t="str" cm="1">
        <f t="array" ca="1" aca="1" ref="DG96">IFERROR(IF(AG96*fxVal_normal=_PL!AG96,"",IF(OR(AG96="",NOT(ISNUMBER(AG96)),ISERROR(AG96),$B96=""),"",IF($I96=1,IFBLANK(_xldudf_CX_PUSH(AG96*fxVal_normal,CX_ENTITY,$B96,AG$11,AG$14,AG$75,),""),IF($I96=2,IFBLANK(_xldudf_CX_PUSH(AG96,CX_ENTITY,$B96,AG$11,AG$14,AG$75,),""),IF($I96=3,"",IFBLANK(_xldudf_CX_PUSH(AG96,CX_ENTITY,$B96,AG$11,AG$14,AG$75,),"")))))),"")</f>
        <v/>
      </c>
      <c r="DH96" s="2445" t="str" cm="1">
        <f t="array" ca="1" aca="1" ref="DH96">IFERROR(IF(AH96*fxVal_normal=_PL!AH96,"",IF(OR(AH96="",NOT(ISNUMBER(AH96)),ISERROR(AH96),$B96=""),"",IF($I96=1,IFBLANK(_xldudf_CX_PUSH(AH96*fxVal_normal,CX_ENTITY,$B96,AH$11,AH$14,AH$75,),""),IF($I96=2,IFBLANK(_xldudf_CX_PUSH(AH96,CX_ENTITY,$B96,AH$11,AH$14,AH$75,),""),IF($I96=3,"",IFBLANK(_xldudf_CX_PUSH(AH96,CX_ENTITY,$B96,AH$11,AH$14,AH$75,),"")))))),"")</f>
        <v/>
      </c>
      <c r="DI96" s="2445" t="str" cm="1">
        <f t="array" ca="1" aca="1" ref="DI96">IFERROR(IF(AI96*fxVal_normal=_PL!AI96,"",IF(OR(AI96="",NOT(ISNUMBER(AI96)),ISERROR(AI96),$B96=""),"",IF($I96=1,IFBLANK(_xldudf_CX_PUSH(AI96*fxVal_normal,CX_ENTITY,$B96,AI$11,AI$14,AI$75,),""),IF($I96=2,IFBLANK(_xldudf_CX_PUSH(AI96,CX_ENTITY,$B96,AI$11,AI$14,AI$75,),""),IF($I96=3,"",IFBLANK(_xldudf_CX_PUSH(AI96,CX_ENTITY,$B96,AI$11,AI$14,AI$75,),"")))))),"")</f>
        <v/>
      </c>
      <c r="DJ96" s="2445" t="str" cm="1">
        <f t="array" ca="1" aca="1" ref="DJ96">IFERROR(IF(AJ96*fxVal_normal=_PL!AJ96,"",IF(OR(AJ96="",NOT(ISNUMBER(AJ96)),ISERROR(AJ96),$B96=""),"",IF($I96=1,IFBLANK(_xldudf_CX_PUSH(AJ96*fxVal_normal,CX_ENTITY,$B96,AJ$11,AJ$14,AJ$75,),""),IF($I96=2,IFBLANK(_xldudf_CX_PUSH(AJ96,CX_ENTITY,$B96,AJ$11,AJ$14,AJ$75,),""),IF($I96=3,"",IFBLANK(_xldudf_CX_PUSH(AJ96,CX_ENTITY,$B96,AJ$11,AJ$14,AJ$75,),"")))))),"")</f>
        <v/>
      </c>
      <c r="DK96" s="2445" t="str" cm="1">
        <f t="array" ca="1" aca="1" ref="DK96">IFERROR(IF(AK96*fxVal_normal=_PL!AK96,"",IF(OR(AK96="",NOT(ISNUMBER(AK96)),ISERROR(AK96),$B96=""),"",IF($I96=1,IFBLANK(_xldudf_CX_PUSH(AK96*fxVal_normal,CX_ENTITY,$B96,AK$11,AK$14,AK$75,),""),IF($I96=2,IFBLANK(_xldudf_CX_PUSH(AK96,CX_ENTITY,$B96,AK$11,AK$14,AK$75,),""),IF($I96=3,"",IFBLANK(_xldudf_CX_PUSH(AK96,CX_ENTITY,$B96,AK$11,AK$14,AK$75,),"")))))),"")</f>
        <v/>
      </c>
      <c r="DL96" s="2445" t="str" cm="1">
        <f t="array" ca="1" aca="1" ref="DL96">IFERROR(IF(AL96*fxVal_normal=_PL!AL96,"",IF(OR(AL96="",NOT(ISNUMBER(AL96)),ISERROR(AL96),$B96=""),"",IF($I96=1,IFBLANK(_xldudf_CX_PUSH(AL96*fxVal_normal,CX_ENTITY,$B96,AL$11,AL$14,AL$75,),""),IF($I96=2,IFBLANK(_xldudf_CX_PUSH(AL96,CX_ENTITY,$B96,AL$11,AL$14,AL$75,),""),IF($I96=3,"",IFBLANK(_xldudf_CX_PUSH(AL96,CX_ENTITY,$B96,AL$11,AL$14,AL$75,),"")))))),"")</f>
        <v/>
      </c>
      <c r="DM96" s="2445" t="str" cm="1">
        <f t="array" ca="1" aca="1" ref="DM96">IFERROR(IF(AM96*fxVal_normal=_PL!AM96,"",IF(OR(AM96="",NOT(ISNUMBER(AM96)),ISERROR(AM96),$B96=""),"",IF($I96=1,IFBLANK(_xldudf_CX_PUSH(AM96*fxVal_normal,CX_ENTITY,$B96,AM$11,AM$14,AM$75,),""),IF($I96=2,IFBLANK(_xldudf_CX_PUSH(AM96,CX_ENTITY,$B96,AM$11,AM$14,AM$75,),""),IF($I96=3,"",IFBLANK(_xldudf_CX_PUSH(AM96,CX_ENTITY,$B96,AM$11,AM$14,AM$75,),"")))))),"")</f>
        <v/>
      </c>
      <c r="DN96" s="2445" t="str" cm="1">
        <f t="array" ca="1" aca="1" ref="DN96">IFERROR(IF(AN96*fxVal_normal=_PL!AN96,"",IF(OR(AN96="",NOT(ISNUMBER(AN96)),ISERROR(AN96),$B96=""),"",IF($I96=1,IFBLANK(_xldudf_CX_PUSH(AN96*fxVal_normal,CX_ENTITY,$B96,AN$11,AN$14,AN$75,),""),IF($I96=2,IFBLANK(_xldudf_CX_PUSH(AN96,CX_ENTITY,$B96,AN$11,AN$14,AN$75,),""),IF($I96=3,"",IFBLANK(_xldudf_CX_PUSH(AN96,CX_ENTITY,$B96,AN$11,AN$14,AN$75,),"")))))),"")</f>
        <v/>
      </c>
      <c r="DO96" s="2445" t="str" cm="1">
        <f t="array" ca="1" aca="1" ref="DO96">IFERROR(IF(AO96*fxVal_normal=_PL!AO96,"",IF(OR(AO96="",NOT(ISNUMBER(AO96)),ISERROR(AO96),$B96=""),"",IF($I96=1,IFBLANK(_xldudf_CX_PUSH(AO96*fxVal_normal,CX_ENTITY,$B96,AO$11,AO$14,AO$75,),""),IF($I96=2,IFBLANK(_xldudf_CX_PUSH(AO96,CX_ENTITY,$B96,AO$11,AO$14,AO$75,),""),IF($I96=3,"",IFBLANK(_xldudf_CX_PUSH(AO96,CX_ENTITY,$B96,AO$11,AO$14,AO$75,),"")))))),"")</f>
        <v/>
      </c>
      <c r="DP96" s="2445" t="str" cm="1">
        <f t="array" ca="1" aca="1" ref="DP96">IFERROR(IF(AP96*fxVal_normal=_PL!AP96,"",IF(OR(AP96="",NOT(ISNUMBER(AP96)),ISERROR(AP96),$B96=""),"",IF($I96=1,IFBLANK(_xldudf_CX_PUSH(AP96*fxVal_normal,CX_ENTITY,$B96,AP$11,AP$14,AP$75,),""),IF($I96=2,IFBLANK(_xldudf_CX_PUSH(AP96,CX_ENTITY,$B96,AP$11,AP$14,AP$75,),""),IF($I96=3,"",IFBLANK(_xldudf_CX_PUSH(AP96,CX_ENTITY,$B96,AP$11,AP$14,AP$75,),"")))))),"")</f>
        <v/>
      </c>
      <c r="DQ96" s="2445" t="str" cm="1">
        <f t="array" ca="1" aca="1" ref="DQ96">IFERROR(IF(AQ96*fxVal_normal=_PL!AQ96,"",IF(OR(AQ96="",NOT(ISNUMBER(AQ96)),ISERROR(AQ96),$B96=""),"",IF($I96=1,IFBLANK(_xldudf_CX_PUSH(AQ96*fxVal_normal,CX_ENTITY,$B96,AQ$11,AQ$14,AQ$75,),""),IF($I96=2,IFBLANK(_xldudf_CX_PUSH(AQ96,CX_ENTITY,$B96,AQ$11,AQ$14,AQ$75,),""),IF($I96=3,"",IFBLANK(_xldudf_CX_PUSH(AQ96,CX_ENTITY,$B96,AQ$11,AQ$14,AQ$75,),"")))))),"")</f>
        <v/>
      </c>
      <c r="DR96" s="2445" t="str" cm="1">
        <f t="array" ca="1" aca="1" ref="DR96">IFERROR(IF(AR96*fxVal_normal=_PL!AR96,"",IF(OR(AR96="",NOT(ISNUMBER(AR96)),ISERROR(AR96),$B96=""),"",IF($I96=1,IFBLANK(_xldudf_CX_PUSH(AR96*fxVal_normal,CX_ENTITY,$B96,AR$11,AR$14,AR$75,),""),IF($I96=2,IFBLANK(_xldudf_CX_PUSH(AR96,CX_ENTITY,$B96,AR$11,AR$14,AR$75,),""),IF($I96=3,"",IFBLANK(_xldudf_CX_PUSH(AR96,CX_ENTITY,$B96,AR$11,AR$14,AR$75,),"")))))),"")</f>
        <v/>
      </c>
      <c r="DS96" s="2445" t="str" cm="1">
        <f t="array" ca="1" aca="1" ref="DS96">IFERROR(IF(AS96*fxVal_normal=_PL!AS96,"",IF(OR(AS96="",NOT(ISNUMBER(AS96)),ISERROR(AS96),$B96=""),"",IF($I96=1,IFBLANK(_xldudf_CX_PUSH(AS96*fxVal_normal,CX_ENTITY,$B96,AS$11,AS$14,AS$75,),""),IF($I96=2,IFBLANK(_xldudf_CX_PUSH(AS96,CX_ENTITY,$B96,AS$11,AS$14,AS$75,),""),IF($I96=3,"",IFBLANK(_xldudf_CX_PUSH(AS96,CX_ENTITY,$B96,AS$11,AS$14,AS$75,),"")))))),"")</f>
        <v/>
      </c>
      <c r="DT96" s="2445" t="str" cm="1">
        <f t="array" ca="1" aca="1" ref="DT96">IFERROR(IF(AT96*fxVal_normal=_PL!AT96,"",IF(OR(AT96="",NOT(ISNUMBER(AT96)),ISERROR(AT96),$B96=""),"",IF($I96=1,IFBLANK(_xldudf_CX_PUSH(AT96*fxVal_normal,CX_ENTITY,$B96,AT$11,AT$14,AT$75,),""),IF($I96=2,IFBLANK(_xldudf_CX_PUSH(AT96,CX_ENTITY,$B96,AT$11,AT$14,AT$75,),""),IF($I96=3,"",IFBLANK(_xldudf_CX_PUSH(AT96,CX_ENTITY,$B96,AT$11,AT$14,AT$75,),"")))))),"")</f>
        <v/>
      </c>
      <c r="DU96" s="2445" t="str" cm="1">
        <f t="array" ca="1" aca="1" ref="DU96">IFERROR(IF(AU96*fxVal_normal=_PL!AU96,"",IF(OR(AU96="",NOT(ISNUMBER(AU96)),ISERROR(AU96),$B96=""),"",IF($I96=1,IFBLANK(_xldudf_CX_PUSH(AU96*fxVal_normal,CX_ENTITY,$B96,AU$11,AU$14,AU$75,),""),IF($I96=2,IFBLANK(_xldudf_CX_PUSH(AU96,CX_ENTITY,$B96,AU$11,AU$14,AU$75,),""),IF($I96=3,"",IFBLANK(_xldudf_CX_PUSH(AU96,CX_ENTITY,$B96,AU$11,AU$14,AU$75,),"")))))),"")</f>
        <v/>
      </c>
      <c r="DV96" s="2445" t="str" cm="1">
        <f t="array" ca="1" aca="1" ref="DV96">IFERROR(IF(AV96*fxVal_normal=_PL!AV96,"",IF(OR(AV96="",NOT(ISNUMBER(AV96)),ISERROR(AV96),$B96=""),"",IF($I96=1,IFBLANK(_xldudf_CX_PUSH(AV96*fxVal_normal,CX_ENTITY,$B96,AV$11,AV$14,AV$75,),""),IF($I96=2,IFBLANK(_xldudf_CX_PUSH(AV96,CX_ENTITY,$B96,AV$11,AV$14,AV$75,),""),IF($I96=3,"",IFBLANK(_xldudf_CX_PUSH(AV96,CX_ENTITY,$B96,AV$11,AV$14,AV$75,),"")))))),"")</f>
        <v/>
      </c>
      <c r="DW96" s="2445" t="str" cm="1">
        <f t="array" ca="1" aca="1" ref="DW96">IFERROR(IF(AW96*fxVal_normal=_PL!AW96,"",IF(OR(AW96="",NOT(ISNUMBER(AW96)),ISERROR(AW96),$B96=""),"",IF($I96=1,IFBLANK(_xldudf_CX_PUSH(AW96*fxVal_normal,CX_ENTITY,$B96,AW$11,AW$14,AW$75,),""),IF($I96=2,IFBLANK(_xldudf_CX_PUSH(AW96,CX_ENTITY,$B96,AW$11,AW$14,AW$75,),""),IF($I96=3,"",IFBLANK(_xldudf_CX_PUSH(AW96,CX_ENTITY,$B96,AW$11,AW$14,AW$75,),"")))))),"")</f>
        <v/>
      </c>
      <c r="DX96" s="2445" t="str" cm="1">
        <f t="array" ca="1" aca="1" ref="DX96">IFERROR(IF(AX96*fxVal_normal=_PL!AX96,"",IF(OR(AX96="",NOT(ISNUMBER(AX96)),ISERROR(AX96),$B96=""),"",IF($I96=1,IFBLANK(_xldudf_CX_PUSH(AX96*fxVal_normal,CX_ENTITY,$B96,AX$11,AX$14,AX$75,),""),IF($I96=2,IFBLANK(_xldudf_CX_PUSH(AX96,CX_ENTITY,$B96,AX$11,AX$14,AX$75,),""),IF($I96=3,"",IFBLANK(_xldudf_CX_PUSH(AX96,CX_ENTITY,$B96,AX$11,AX$14,AX$75,),"")))))),"")</f>
        <v/>
      </c>
      <c r="DY96" s="2445" t="str" cm="1">
        <f t="array" ca="1" aca="1" ref="DY96">IFERROR(IF(AY96*fxVal_normal=_PL!AY96,"",IF(OR(AY96="",NOT(ISNUMBER(AY96)),ISERROR(AY96),$B96=""),"",IF($I96=1,IFBLANK(_xldudf_CX_PUSH(AY96*fxVal_normal,CX_ENTITY,$B96,AY$11,AY$14,AY$75,),""),IF($I96=2,IFBLANK(_xldudf_CX_PUSH(AY96,CX_ENTITY,$B96,AY$11,AY$14,AY$75,),""),IF($I96=3,"",IFBLANK(_xldudf_CX_PUSH(AY96,CX_ENTITY,$B96,AY$11,AY$14,AY$75,),"")))))),"")</f>
        <v/>
      </c>
      <c r="DZ96" s="2445" t="str" cm="1">
        <f t="array" ca="1" aca="1" ref="DZ96">IFERROR(IF(AZ96*fxVal_normal=_PL!AZ96,"",IF(OR(AZ96="",NOT(ISNUMBER(AZ96)),ISERROR(AZ96),$B96=""),"",IF($I96=1,IFBLANK(_xldudf_CX_PUSH(AZ96*fxVal_normal,CX_ENTITY,$B96,AZ$11,AZ$14,AZ$75,),""),IF($I96=2,IFBLANK(_xldudf_CX_PUSH(AZ96,CX_ENTITY,$B96,AZ$11,AZ$14,AZ$75,),""),IF($I96=3,"",IFBLANK(_xldudf_CX_PUSH(AZ96,CX_ENTITY,$B96,AZ$11,AZ$14,AZ$75,),"")))))),"")</f>
        <v/>
      </c>
      <c r="EA96" s="2445" t="str" cm="1">
        <f t="array" ca="1" aca="1" ref="EA96">IFERROR(IF(BA96*fxVal_normal=_PL!BA96,"",IF(OR(BA96="",NOT(ISNUMBER(BA96)),ISERROR(BA96),$B96=""),"",IF($I96=1,IFBLANK(_xldudf_CX_PUSH(BA96*fxVal_normal,CX_ENTITY,$B96,BA$11,BA$14,BA$75,),""),IF($I96=2,IFBLANK(_xldudf_CX_PUSH(BA96,CX_ENTITY,$B96,BA$11,BA$14,BA$75,),""),IF($I96=3,"",IFBLANK(_xldudf_CX_PUSH(BA96,CX_ENTITY,$B96,BA$11,BA$14,BA$75,),"")))))),"")</f>
        <v/>
      </c>
      <c r="EB96" s="2445" t="str" cm="1">
        <f t="array" ca="1" aca="1" ref="EB96">IFERROR(IF(BB96*fxVal_normal=_PL!BB96,"",IF(OR(BB96="",NOT(ISNUMBER(BB96)),ISERROR(BB96),$B96=""),"",IF($I96=1,IFBLANK(_xldudf_CX_PUSH(BB96*fxVal_normal,CX_ENTITY,$B96,BB$11,BB$14,BB$75,),""),IF($I96=2,IFBLANK(_xldudf_CX_PUSH(BB96,CX_ENTITY,$B96,BB$11,BB$14,BB$75,),""),IF($I96=3,"",IFBLANK(_xldudf_CX_PUSH(BB96,CX_ENTITY,$B96,BB$11,BB$14,BB$75,),"")))))),"")</f>
        <v/>
      </c>
      <c r="EC96" s="2445" t="str" cm="1">
        <f t="array" ca="1" aca="1" ref="EC96">IFERROR(IF(BC96*fxVal_normal=_PL!BC96,"",IF(OR(BC96="",NOT(ISNUMBER(BC96)),ISERROR(BC96),$B96=""),"",IF($I96=1,IFBLANK(_xldudf_CX_PUSH(BC96*fxVal_normal,CX_ENTITY,$B96,BC$11,BC$14,BC$75,),""),IF($I96=2,IFBLANK(_xldudf_CX_PUSH(BC96,CX_ENTITY,$B96,BC$11,BC$14,BC$75,),""),IF($I96=3,"",IFBLANK(_xldudf_CX_PUSH(BC96,CX_ENTITY,$B96,BC$11,BC$14,BC$75,),"")))))),"")</f>
        <v/>
      </c>
      <c r="ED96" s="2445" t="str" cm="1">
        <f t="array" ca="1" aca="1" ref="ED96">IFERROR(IF(BD96*fxVal_normal=_PL!BD96,"",IF(OR(BD96="",NOT(ISNUMBER(BD96)),ISERROR(BD96),$B96=""),"",IF($I96=1,IFBLANK(_xldudf_CX_PUSH(BD96*fxVal_normal,CX_ENTITY,$B96,BD$11,BD$14,BD$75,),""),IF($I96=2,IFBLANK(_xldudf_CX_PUSH(BD96,CX_ENTITY,$B96,BD$11,BD$14,BD$75,),""),IF($I96=3,"",IFBLANK(_xldudf_CX_PUSH(BD96,CX_ENTITY,$B96,BD$11,BD$14,BD$75,),"")))))),"")</f>
        <v/>
      </c>
      <c r="EE96" s="2445" t="str" cm="1">
        <f t="array" ca="1" aca="1" ref="EE96">IFERROR(IF(BE96*fxVal_normal=_PL!BE96,"",IF(OR(BE96="",NOT(ISNUMBER(BE96)),ISERROR(BE96),$B96=""),"",IF($I96=1,IFBLANK(_xldudf_CX_PUSH(BE96*fxVal_normal,CX_ENTITY,$B96,BE$11,BE$14,BE$75,),""),IF($I96=2,IFBLANK(_xldudf_CX_PUSH(BE96,CX_ENTITY,$B96,BE$11,BE$14,BE$75,),""),IF($I96=3,"",IFBLANK(_xldudf_CX_PUSH(BE96,CX_ENTITY,$B96,BE$11,BE$14,BE$75,),"")))))),"")</f>
        <v/>
      </c>
      <c r="EF96" s="2445" t="str" cm="1">
        <f t="array" ca="1" aca="1" ref="EF96">IFERROR(IF(BF96*fxVal_normal=_PL!BF96,"",IF(OR(BF96="",NOT(ISNUMBER(BF96)),ISERROR(BF96),$B96=""),"",IF($I96=1,IFBLANK(_xldudf_CX_PUSH(BF96*fxVal_normal,CX_ENTITY,$B96,BF$11,BF$14,BF$75,),""),IF($I96=2,IFBLANK(_xldudf_CX_PUSH(BF96,CX_ENTITY,$B96,BF$11,BF$14,BF$75,),""),IF($I96=3,"",IFBLANK(_xldudf_CX_PUSH(BF96,CX_ENTITY,$B96,BF$11,BF$14,BF$75,),"")))))),"")</f>
        <v/>
      </c>
      <c r="EG96" s="2445" t="str" cm="1">
        <f t="array" ca="1" aca="1" ref="EG96">IFERROR(IF(BG96*fxVal_normal=_PL!BG96,"",IF(OR(BG96="",NOT(ISNUMBER(BG96)),ISERROR(BG96),$B96=""),"",IF($I96=1,IFBLANK(_xldudf_CX_PUSH(BG96*fxVal_normal,CX_ENTITY,$B96,BG$11,BG$14,BG$75,),""),IF($I96=2,IFBLANK(_xldudf_CX_PUSH(BG96,CX_ENTITY,$B96,BG$11,BG$14,BG$75,),""),IF($I96=3,"",IFBLANK(_xldudf_CX_PUSH(BG96,CX_ENTITY,$B96,BG$11,BG$14,BG$75,),"")))))),"")</f>
        <v/>
      </c>
      <c r="EH96" s="2445" t="str" cm="1">
        <f t="array" ca="1" aca="1" ref="EH96">IFERROR(IF(BH96*fxVal_normal=_PL!BH96,"",IF(OR(BH96="",NOT(ISNUMBER(BH96)),ISERROR(BH96),$B96=""),"",IF($I96=1,IFBLANK(_xldudf_CX_PUSH(BH96*fxVal_normal,CX_ENTITY,$B96,BH$11,BH$14,BH$75,),""),IF($I96=2,IFBLANK(_xldudf_CX_PUSH(BH96,CX_ENTITY,$B96,BH$11,BH$14,BH$75,),""),IF($I96=3,"",IFBLANK(_xldudf_CX_PUSH(BH96,CX_ENTITY,$B96,BH$11,BH$14,BH$75,),"")))))),"")</f>
        <v/>
      </c>
      <c r="EI96" s="2445" t="str" cm="1">
        <f t="array" ca="1" aca="1" ref="EI96">IFERROR(IF(BI96*fxVal_normal=_PL!BI96,"",IF(OR(BI96="",NOT(ISNUMBER(BI96)),ISERROR(BI96),$B96=""),"",IF($I96=1,IFBLANK(_xldudf_CX_PUSH(BI96*fxVal_normal,CX_ENTITY,$B96,BI$11,BI$14,BI$75,),""),IF($I96=2,IFBLANK(_xldudf_CX_PUSH(BI96,CX_ENTITY,$B96,BI$11,BI$14,BI$75,),""),IF($I96=3,"",IFBLANK(_xldudf_CX_PUSH(BI96,CX_ENTITY,$B96,BI$11,BI$14,BI$75,),"")))))),"")</f>
        <v/>
      </c>
      <c r="EJ96" s="2445" t="str" cm="1">
        <f t="array" ca="1" aca="1" ref="EJ96">IFERROR(IF(BJ96*fxVal_normal=_PL!BJ96,"",IF(OR(BJ96="",NOT(ISNUMBER(BJ96)),ISERROR(BJ96),$B96=""),"",IF($I96=1,IFBLANK(_xldudf_CX_PUSH(BJ96*fxVal_normal,CX_ENTITY,$B96,BJ$11,BJ$14,BJ$75,),""),IF($I96=2,IFBLANK(_xldudf_CX_PUSH(BJ96,CX_ENTITY,$B96,BJ$11,BJ$14,BJ$75,),""),IF($I96=3,"",IFBLANK(_xldudf_CX_PUSH(BJ96,CX_ENTITY,$B96,BJ$11,BJ$14,BJ$75,),"")))))),"")</f>
        <v/>
      </c>
      <c r="EK96" s="2445" t="str" cm="1">
        <f t="array" ca="1" aca="1" ref="EK96">IFERROR(IF(BK96*fxVal_normal=_PL!BK96,"",IF(OR(BK96="",NOT(ISNUMBER(BK96)),ISERROR(BK96),$B96=""),"",IF($I96=1,IFBLANK(_xldudf_CX_PUSH(BK96*fxVal_normal,CX_ENTITY,$B96,BK$11,BK$14,BK$75,),""),IF($I96=2,IFBLANK(_xldudf_CX_PUSH(BK96,CX_ENTITY,$B96,BK$11,BK$14,BK$75,),""),IF($I96=3,"",IFBLANK(_xldudf_CX_PUSH(BK96,CX_ENTITY,$B96,BK$11,BK$14,BK$75,),"")))))),"")</f>
        <v/>
      </c>
      <c r="EL96" s="2445" t="str" cm="1">
        <f t="array" ca="1" aca="1" ref="EL96">IFERROR(IF(BL96*fxVal_normal=_PL!BL96,"",IF(OR(BL96="",NOT(ISNUMBER(BL96)),ISERROR(BL96),$B96=""),"",IF($I96=1,IFBLANK(_xldudf_CX_PUSH(BL96*fxVal_normal,CX_ENTITY,$B96,BL$11,BL$14,BL$75,),""),IF($I96=2,IFBLANK(_xldudf_CX_PUSH(BL96,CX_ENTITY,$B96,BL$11,BL$14,BL$75,),""),IF($I96=3,"",IFBLANK(_xldudf_CX_PUSH(BL96,CX_ENTITY,$B96,BL$11,BL$14,BL$75,),"")))))),"")</f>
        <v/>
      </c>
      <c r="EM96" s="2445" t="str" cm="1">
        <f t="array" ca="1" aca="1" ref="EM96">IFERROR(IF(BM96*fxVal_normal=_PL!BM96,"",IF(OR(BM96="",NOT(ISNUMBER(BM96)),ISERROR(BM96),$B96=""),"",IF($I96=1,IFBLANK(_xldudf_CX_PUSH(BM96*fxVal_normal,CX_ENTITY,$B96,BM$11,BM$14,BM$75,),""),IF($I96=2,IFBLANK(_xldudf_CX_PUSH(BM96,CX_ENTITY,$B96,BM$11,BM$14,BM$75,),""),IF($I96=3,"",IFBLANK(_xldudf_CX_PUSH(BM96,CX_ENTITY,$B96,BM$11,BM$14,BM$75,),"")))))),"")</f>
        <v/>
      </c>
      <c r="EN96" s="2445" t="str" cm="1">
        <f t="array" ca="1" aca="1" ref="EN96">IFERROR(IF(BN96*fxVal_normal=_PL!BN96,"",IF(OR(BN96="",NOT(ISNUMBER(BN96)),ISERROR(BN96),$B96=""),"",IF($I96=1,IFBLANK(_xldudf_CX_PUSH(BN96*fxVal_normal,CX_ENTITY,$B96,BN$11,BN$14,BN$75,),""),IF($I96=2,IFBLANK(_xldudf_CX_PUSH(BN96,CX_ENTITY,$B96,BN$11,BN$14,BN$75,),""),IF($I96=3,"",IFBLANK(_xldudf_CX_PUSH(BN96,CX_ENTITY,$B96,BN$11,BN$14,BN$75,),"")))))),"")</f>
        <v/>
      </c>
    </row>
    <row r="97" spans="1:144" ht="21" customHeight="1">
      <c r="A97" s="2449" t="s">
        <v>22</v>
      </c>
      <c r="B97" s="2509" t="str">
        <f ca="1">_xlfn.LET(_xlpm.IsNotAttrDynamic,D97="",_xlpm.Attr,_PL!F97,_xlpm.NotInUse,Y97=D97,_xlpm.RESULT,IF(_xlpm.IsNotAttrDynamic,_xlpm.Attr,IF(_xlpm.NotInUse,"",Y97)),IF(_xlpm.RESULT="","",_xlpm.RESULT))</f>
        <v>Net Profit</v>
      </c>
      <c r="C97" s="2509" t="str" cm="1">
        <f t="array" ref="C97">IFBLANK(_PL!C97,"")</f>
        <v>Net Profit (Company View)</v>
      </c>
      <c r="D97" s="2451"/>
      <c r="E97" s="2440" t="e" cm="1">
        <f t="array" ca="1" aca="1" ref="E9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97:$CQ97,Z97)</f>
        <v>#NAME?</v>
      </c>
      <c r="F97" s="576"/>
      <c r="G97" s="576"/>
      <c r="H97" s="3277">
        <v>2</v>
      </c>
      <c r="I97" s="3277">
        <v>1</v>
      </c>
      <c r="J97" s="401" cm="1">
        <f t="array" ref="J97">IFBLANK(Z97,"")</f>
        <v>0</v>
      </c>
      <c r="K97" s="578" t="str">
        <f t="shared" si="39"/>
        <v>Yes</v>
      </c>
      <c r="L97" s="37"/>
      <c r="N97" s="158"/>
      <c r="O97" s="101"/>
      <c r="P97" s="52"/>
      <c r="Q97" s="101"/>
      <c r="R97" s="101"/>
      <c r="S97" s="101"/>
      <c r="T97" s="101"/>
      <c r="U97" s="39"/>
      <c r="V97" s="37"/>
      <c r="W97" s="268" t="str">
        <f t="shared" si="28"/>
        <v>Budget</v>
      </c>
      <c r="X97" s="2452">
        <f>_PL!X97</f>
        <v>0</v>
      </c>
      <c r="Y97" s="879" t="e">
        <f t="shared" ca="1" si="36"/>
        <v>#NAME?</v>
      </c>
      <c r="Z97" s="538" cm="1">
        <f t="array" ref="Z97">_xlfn.SWITCH(TRUE,_PL!$L97=TRUE,1,_PL!$L97=FALSE,-1,_PL!$L97=-1,0,"")</f>
        <v>0</v>
      </c>
      <c r="AA97" s="787"/>
      <c r="AB97" s="1335" t="str">
        <f>_PL!AB97</f>
        <v>Net Profit</v>
      </c>
      <c r="AC97" s="275" t="str" cm="1">
        <f t="array" ca="1" aca="1" ref="AC97">_xlfn.LET(_xlpm._termname,$AB97,_xlpm._iconname,"find",_xlpm._icon,fx_getIcon(_xlpm._iconname),_xlpm._location,_xlfn.XLOOKUP(LOWER(_xlpm._termname),LOWER(tbl_acctDef[Term]),tbl_acctDef[Term]),_xlpm._hyperlink,HYPERLINK("#"&amp;CELL("address",_xlpm._location),_xlpm._icon),IFERROR(_xlpm._hyperlink,""))</f>
        <v/>
      </c>
      <c r="AD97" s="918">
        <f t="shared" si="42" ref="AD97:BN97">SUBTOTAL(9,AD76:AD96)-SUBTOTAL(9,AD82:AD87)-N(AD79)</f>
        <v>8</v>
      </c>
      <c r="AE97" s="918">
        <f t="shared" si="42"/>
        <v>8</v>
      </c>
      <c r="AF97" s="918">
        <f t="shared" si="42"/>
        <v>8</v>
      </c>
      <c r="AG97" s="918">
        <f t="shared" si="42"/>
        <v>8</v>
      </c>
      <c r="AH97" s="918">
        <f t="shared" si="42"/>
        <v>8</v>
      </c>
      <c r="AI97" s="918">
        <f t="shared" si="42"/>
        <v>8</v>
      </c>
      <c r="AJ97" s="918">
        <f t="shared" si="42"/>
        <v>8</v>
      </c>
      <c r="AK97" s="918">
        <f t="shared" si="42"/>
        <v>8</v>
      </c>
      <c r="AL97" s="918">
        <f t="shared" si="42"/>
        <v>8</v>
      </c>
      <c r="AM97" s="918">
        <f t="shared" si="42"/>
        <v>8</v>
      </c>
      <c r="AN97" s="918">
        <f t="shared" si="42"/>
        <v>8</v>
      </c>
      <c r="AO97" s="918">
        <f t="shared" si="42"/>
        <v>8</v>
      </c>
      <c r="AP97" s="918">
        <f t="shared" si="42"/>
        <v>8</v>
      </c>
      <c r="AQ97" s="918">
        <f t="shared" si="42"/>
        <v>8</v>
      </c>
      <c r="AR97" s="918">
        <f t="shared" si="42"/>
        <v>8</v>
      </c>
      <c r="AS97" s="918">
        <f t="shared" si="42"/>
        <v>8</v>
      </c>
      <c r="AT97" s="918">
        <f t="shared" si="42"/>
        <v>8</v>
      </c>
      <c r="AU97" s="918">
        <f t="shared" si="42"/>
        <v>8</v>
      </c>
      <c r="AV97" s="918">
        <f t="shared" si="42"/>
        <v>8</v>
      </c>
      <c r="AW97" s="918">
        <f t="shared" si="42"/>
        <v>8</v>
      </c>
      <c r="AX97" s="918">
        <f t="shared" si="42"/>
        <v>8</v>
      </c>
      <c r="AY97" s="918">
        <f t="shared" si="42"/>
        <v>8</v>
      </c>
      <c r="AZ97" s="918">
        <f t="shared" si="42"/>
        <v>8</v>
      </c>
      <c r="BA97" s="918">
        <f t="shared" si="42"/>
        <v>8</v>
      </c>
      <c r="BB97" s="918">
        <f t="shared" si="42"/>
        <v>8</v>
      </c>
      <c r="BC97" s="918">
        <f t="shared" si="42"/>
        <v>8</v>
      </c>
      <c r="BD97" s="918">
        <f t="shared" si="42"/>
        <v>8</v>
      </c>
      <c r="BE97" s="918">
        <f t="shared" si="42"/>
        <v>8</v>
      </c>
      <c r="BF97" s="918">
        <f t="shared" si="42"/>
        <v>8</v>
      </c>
      <c r="BG97" s="918">
        <f t="shared" si="42"/>
        <v>8</v>
      </c>
      <c r="BH97" s="918">
        <f t="shared" si="42"/>
        <v>8</v>
      </c>
      <c r="BI97" s="918">
        <f t="shared" si="42"/>
        <v>8</v>
      </c>
      <c r="BJ97" s="918">
        <f t="shared" si="42"/>
        <v>8</v>
      </c>
      <c r="BK97" s="918">
        <f t="shared" si="42"/>
        <v>8</v>
      </c>
      <c r="BL97" s="918">
        <f t="shared" si="42"/>
        <v>8</v>
      </c>
      <c r="BM97" s="918">
        <f t="shared" si="42"/>
        <v>8</v>
      </c>
      <c r="BN97" s="918">
        <f t="shared" si="42"/>
        <v>8</v>
      </c>
      <c r="BO97" s="2096"/>
      <c r="BP97" s="2096"/>
      <c r="BQ97" s="2096"/>
      <c r="BR97" s="2096"/>
      <c r="BS97" s="2096"/>
      <c r="BT97" s="2096"/>
      <c r="BU97" s="2096"/>
      <c r="BV97" s="2096"/>
      <c r="BW97" s="2096"/>
      <c r="BX97" s="2096"/>
      <c r="BY97" s="2096"/>
      <c r="BZ97" s="2096"/>
      <c r="CA97" s="34"/>
      <c r="CC97" s="33"/>
      <c r="CD97" s="1772" t="e" cm="1">
        <f t="array" ca="1" aca="1" ref="CD97">_xlfn.LET(_xlpm.CheckBlank,SUM(PL!$AD97:$BN97)=0,IF(_xlpm.CheckBlank,"",SUM(_xlfn._xlws.FILTER(PL!$AD97:$BN97,(YEAR(PL!$AD$12:$BN$12)=PL!CD$12)*(array_timeline&lt;=PL!CD$11)))))</f>
        <v>#NAME?</v>
      </c>
      <c r="CE97" s="1772" t="e" cm="1">
        <f t="array" ca="1" aca="1" ref="CE97">_xlfn.LET(_xlpm.CheckBlank,SUM(PL!$AD97:$BN97)=0,IF(_xlpm.CheckBlank,"",SUM(_xlfn._xlws.FILTER(PL!$AD97:$BN97,(YEAR(PL!$AD$12:$BN$12)=PL!CE$12)*(array_timeline&lt;=PL!CE$11)))))</f>
        <v>#NAME?</v>
      </c>
      <c r="CF97" s="88"/>
      <c r="CG97" s="1461" t="e" cm="1">
        <f t="array" ca="1" aca="1" ref="CG97">_xlfn.LET(_xlpm.CheckBlank,SUM(PL!$AD97:$BN97)=0,IF(_xlpm.CheckBlank,"",SUM(_xlfn._xlws.FILTER(PL!$AD97:$BN97,(YEAR(PL!$AD$12:$BN$12)=PL!CG$12)*(array_timeline&lt;=PL!CG$11)))))</f>
        <v>#NAME?</v>
      </c>
      <c r="CH97" s="1461" t="e" cm="1">
        <f t="array" ca="1" aca="1" ref="CH97">_xlfn.LET(_xlpm.CheckBlank,SUM(PL!$AD97:$BN97)=0,IF(_xlpm.CheckBlank,"",SUM(_xlfn._xlws.FILTER(PL!$AD97:$BN97,(YEAR(PL!$AD$12:$BN$12)=PL!CH$12)*(array_timeline&lt;=PL!CH$11)))))</f>
        <v>#NAME?</v>
      </c>
      <c r="CI97" s="88"/>
      <c r="CJ97" s="1461" cm="1">
        <f t="array" ref="CJ97">_xlfn.LET(_xlpm.CheckBlank,SUM(PL!$AD97:$BN97)=0,IF(_xlpm.CheckBlank,"",SUM(_xlfn.TAKE(_xlfn.DROP(PL!$AD97:$BN97,,-DATEDIFF(PL!CJ$11,val_asOfDate,"M")),1,-12))))</f>
        <v>96</v>
      </c>
      <c r="CK97" s="1461" cm="1">
        <f t="array" ref="CK97">_xlfn.LET(_xlpm.CheckBlank,SUM(PL!$AD97:$BN97)=0,IF(_xlpm.CheckBlank,"",SUM(_xlfn.TAKE(_xlfn.DROP(PL!$AD97:$BN97,,-DATEDIFF(PL!CK$11,val_asOfDate,"M")),1,-12))))</f>
        <v>96</v>
      </c>
      <c r="CL97" s="88"/>
      <c r="CM97" s="1168">
        <f t="shared" si="26"/>
        <v>8</v>
      </c>
      <c r="CN97" s="1168">
        <f t="shared" si="23"/>
        <v>8</v>
      </c>
      <c r="CO97" s="1169"/>
      <c r="CP97" s="1168">
        <f t="shared" si="27"/>
        <v>8</v>
      </c>
      <c r="CQ97" s="1168">
        <f t="shared" si="24"/>
        <v>8</v>
      </c>
      <c r="CR97" s="34"/>
      <c r="CS97" s="2056"/>
      <c r="CT97" s="2085" t="e" cm="1">
        <f t="array" ca="1" aca="1" ref="CT97">IF(K97&lt;&gt;"Yes","",IF(OR(Y97="Select,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III"),"",IF(OR(Y97&lt;&gt;AB97,AND(LEN(B97)=0,NOT(OR(Y97="Select,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III")))),_xldudf_CX_PUSH(Y97,CX_ENTITY,C97,EOMONTH(val_asOfDate,0)),"")))</f>
        <v>#NAME?</v>
      </c>
      <c r="CU97" s="2085" t="e" cm="1">
        <f t="array" ca="1" aca="1" ref="CU97">IF(K97&lt;&gt;"Yes","",IF(OR(Y97="Select,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III"),"",IF(OR(Y97&lt;&gt;AB97,AND(LEN(B97)=0,NOT(OR(Y97="Select,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III")))),_xldudf_CX_PUSH(Y97,CX_ENTITY,C97,EOMONTH(val_asOfDate,1)),"")))</f>
        <v>#NAME?</v>
      </c>
      <c r="CV97" s="2085" t="e" cm="1">
        <f t="array" ca="1" aca="1" ref="CV97">IF(K97&lt;&gt;"Yes","",IF(OR(Y97="Select,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III"),"",IF(OR(Y97&lt;&gt;AB97,AND(LEN(B97)=0,NOT(OR(Y97="Select,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III")))),_xldudf_CX_PUSH(Y97,CX_ENTITY,C97,EOMONTH(val_asOfDate,2)),"")))</f>
        <v>#NAME?</v>
      </c>
      <c r="CW97" s="2085" t="e" cm="1">
        <f t="array" ca="1" aca="1" ref="CW97">IF(K97&lt;&gt;"Yes","",IF(OR(Y97="Select,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III"),"",IF(OR(Y97&lt;&gt;AB97,AND(LEN(B97)=0,NOT(OR(Y97="Select,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III")))),_xldudf_CX_PUSH(Y97,CX_ENTITY,C97,EOMONTH(val_asOfDate,3)),"")))</f>
        <v>#NAME?</v>
      </c>
      <c r="CX97" s="2443"/>
      <c r="CY97" s="1880"/>
      <c r="CZ97" s="1880"/>
      <c r="DA97" s="1880"/>
      <c r="DB97" s="1880"/>
      <c r="DC97" s="2121"/>
      <c r="DD97" s="2445" t="str" cm="1">
        <f t="array" ca="1" aca="1" ref="DD97">IFERROR(IF(AD97*fxVal_normal=_PL!AD97,"",IF(OR(AD97="",NOT(ISNUMBER(AD97)),ISERROR(AD97),$B97=""),"",IF($I97=1,IFBLANK(_xldudf_CX_PUSH(AD97*fxVal_normal,CX_ENTITY,$B97,AD$11,AD$14,AD$75,),""),IF($I97=2,IFBLANK(_xldudf_CX_PUSH(AD97,CX_ENTITY,$B97,AD$11,AD$14,AD$75,),""),IF($I97=3,"",IFBLANK(_xldudf_CX_PUSH(AD97,CX_ENTITY,$B97,AD$11,AD$14,AD$75,),"")))))),"")</f>
        <v/>
      </c>
      <c r="DE97" s="2445" t="str" cm="1">
        <f t="array" ca="1" aca="1" ref="DE97">IFERROR(IF(AE97*fxVal_normal=_PL!AE97,"",IF(OR(AE97="",NOT(ISNUMBER(AE97)),ISERROR(AE97),$B97=""),"",IF($I97=1,IFBLANK(_xldudf_CX_PUSH(AE97*fxVal_normal,CX_ENTITY,$B97,AE$11,AE$14,AE$75,),""),IF($I97=2,IFBLANK(_xldudf_CX_PUSH(AE97,CX_ENTITY,$B97,AE$11,AE$14,AE$75,),""),IF($I97=3,"",IFBLANK(_xldudf_CX_PUSH(AE97,CX_ENTITY,$B97,AE$11,AE$14,AE$75,),"")))))),"")</f>
        <v/>
      </c>
      <c r="DF97" s="2445" t="str" cm="1">
        <f t="array" ca="1" aca="1" ref="DF97">IFERROR(IF(AF97*fxVal_normal=_PL!AF97,"",IF(OR(AF97="",NOT(ISNUMBER(AF97)),ISERROR(AF97),$B97=""),"",IF($I97=1,IFBLANK(_xldudf_CX_PUSH(AF97*fxVal_normal,CX_ENTITY,$B97,AF$11,AF$14,AF$75,),""),IF($I97=2,IFBLANK(_xldudf_CX_PUSH(AF97,CX_ENTITY,$B97,AF$11,AF$14,AF$75,),""),IF($I97=3,"",IFBLANK(_xldudf_CX_PUSH(AF97,CX_ENTITY,$B97,AF$11,AF$14,AF$75,),"")))))),"")</f>
        <v/>
      </c>
      <c r="DG97" s="2445" t="str" cm="1">
        <f t="array" ca="1" aca="1" ref="DG97">IFERROR(IF(AG97*fxVal_normal=_PL!AG97,"",IF(OR(AG97="",NOT(ISNUMBER(AG97)),ISERROR(AG97),$B97=""),"",IF($I97=1,IFBLANK(_xldudf_CX_PUSH(AG97*fxVal_normal,CX_ENTITY,$B97,AG$11,AG$14,AG$75,),""),IF($I97=2,IFBLANK(_xldudf_CX_PUSH(AG97,CX_ENTITY,$B97,AG$11,AG$14,AG$75,),""),IF($I97=3,"",IFBLANK(_xldudf_CX_PUSH(AG97,CX_ENTITY,$B97,AG$11,AG$14,AG$75,),"")))))),"")</f>
        <v/>
      </c>
      <c r="DH97" s="2445" t="str" cm="1">
        <f t="array" ca="1" aca="1" ref="DH97">IFERROR(IF(AH97*fxVal_normal=_PL!AH97,"",IF(OR(AH97="",NOT(ISNUMBER(AH97)),ISERROR(AH97),$B97=""),"",IF($I97=1,IFBLANK(_xldudf_CX_PUSH(AH97*fxVal_normal,CX_ENTITY,$B97,AH$11,AH$14,AH$75,),""),IF($I97=2,IFBLANK(_xldudf_CX_PUSH(AH97,CX_ENTITY,$B97,AH$11,AH$14,AH$75,),""),IF($I97=3,"",IFBLANK(_xldudf_CX_PUSH(AH97,CX_ENTITY,$B97,AH$11,AH$14,AH$75,),"")))))),"")</f>
        <v/>
      </c>
      <c r="DI97" s="2445" t="str" cm="1">
        <f t="array" ca="1" aca="1" ref="DI97">IFERROR(IF(AI97*fxVal_normal=_PL!AI97,"",IF(OR(AI97="",NOT(ISNUMBER(AI97)),ISERROR(AI97),$B97=""),"",IF($I97=1,IFBLANK(_xldudf_CX_PUSH(AI97*fxVal_normal,CX_ENTITY,$B97,AI$11,AI$14,AI$75,),""),IF($I97=2,IFBLANK(_xldudf_CX_PUSH(AI97,CX_ENTITY,$B97,AI$11,AI$14,AI$75,),""),IF($I97=3,"",IFBLANK(_xldudf_CX_PUSH(AI97,CX_ENTITY,$B97,AI$11,AI$14,AI$75,),"")))))),"")</f>
        <v/>
      </c>
      <c r="DJ97" s="2445" t="str" cm="1">
        <f t="array" ca="1" aca="1" ref="DJ97">IFERROR(IF(AJ97*fxVal_normal=_PL!AJ97,"",IF(OR(AJ97="",NOT(ISNUMBER(AJ97)),ISERROR(AJ97),$B97=""),"",IF($I97=1,IFBLANK(_xldudf_CX_PUSH(AJ97*fxVal_normal,CX_ENTITY,$B97,AJ$11,AJ$14,AJ$75,),""),IF($I97=2,IFBLANK(_xldudf_CX_PUSH(AJ97,CX_ENTITY,$B97,AJ$11,AJ$14,AJ$75,),""),IF($I97=3,"",IFBLANK(_xldudf_CX_PUSH(AJ97,CX_ENTITY,$B97,AJ$11,AJ$14,AJ$75,),"")))))),"")</f>
        <v/>
      </c>
      <c r="DK97" s="2445" t="str" cm="1">
        <f t="array" ca="1" aca="1" ref="DK97">IFERROR(IF(AK97*fxVal_normal=_PL!AK97,"",IF(OR(AK97="",NOT(ISNUMBER(AK97)),ISERROR(AK97),$B97=""),"",IF($I97=1,IFBLANK(_xldudf_CX_PUSH(AK97*fxVal_normal,CX_ENTITY,$B97,AK$11,AK$14,AK$75,),""),IF($I97=2,IFBLANK(_xldudf_CX_PUSH(AK97,CX_ENTITY,$B97,AK$11,AK$14,AK$75,),""),IF($I97=3,"",IFBLANK(_xldudf_CX_PUSH(AK97,CX_ENTITY,$B97,AK$11,AK$14,AK$75,),"")))))),"")</f>
        <v/>
      </c>
      <c r="DL97" s="2445" t="str" cm="1">
        <f t="array" ca="1" aca="1" ref="DL97">IFERROR(IF(AL97*fxVal_normal=_PL!AL97,"",IF(OR(AL97="",NOT(ISNUMBER(AL97)),ISERROR(AL97),$B97=""),"",IF($I97=1,IFBLANK(_xldudf_CX_PUSH(AL97*fxVal_normal,CX_ENTITY,$B97,AL$11,AL$14,AL$75,),""),IF($I97=2,IFBLANK(_xldudf_CX_PUSH(AL97,CX_ENTITY,$B97,AL$11,AL$14,AL$75,),""),IF($I97=3,"",IFBLANK(_xldudf_CX_PUSH(AL97,CX_ENTITY,$B97,AL$11,AL$14,AL$75,),"")))))),"")</f>
        <v/>
      </c>
      <c r="DM97" s="2445" t="str" cm="1">
        <f t="array" ca="1" aca="1" ref="DM97">IFERROR(IF(AM97*fxVal_normal=_PL!AM97,"",IF(OR(AM97="",NOT(ISNUMBER(AM97)),ISERROR(AM97),$B97=""),"",IF($I97=1,IFBLANK(_xldudf_CX_PUSH(AM97*fxVal_normal,CX_ENTITY,$B97,AM$11,AM$14,AM$75,),""),IF($I97=2,IFBLANK(_xldudf_CX_PUSH(AM97,CX_ENTITY,$B97,AM$11,AM$14,AM$75,),""),IF($I97=3,"",IFBLANK(_xldudf_CX_PUSH(AM97,CX_ENTITY,$B97,AM$11,AM$14,AM$75,),"")))))),"")</f>
        <v/>
      </c>
      <c r="DN97" s="2445" t="str" cm="1">
        <f t="array" ca="1" aca="1" ref="DN97">IFERROR(IF(AN97*fxVal_normal=_PL!AN97,"",IF(OR(AN97="",NOT(ISNUMBER(AN97)),ISERROR(AN97),$B97=""),"",IF($I97=1,IFBLANK(_xldudf_CX_PUSH(AN97*fxVal_normal,CX_ENTITY,$B97,AN$11,AN$14,AN$75,),""),IF($I97=2,IFBLANK(_xldudf_CX_PUSH(AN97,CX_ENTITY,$B97,AN$11,AN$14,AN$75,),""),IF($I97=3,"",IFBLANK(_xldudf_CX_PUSH(AN97,CX_ENTITY,$B97,AN$11,AN$14,AN$75,),"")))))),"")</f>
        <v/>
      </c>
      <c r="DO97" s="2445" t="str" cm="1">
        <f t="array" ca="1" aca="1" ref="DO97">IFERROR(IF(AO97*fxVal_normal=_PL!AO97,"",IF(OR(AO97="",NOT(ISNUMBER(AO97)),ISERROR(AO97),$B97=""),"",IF($I97=1,IFBLANK(_xldudf_CX_PUSH(AO97*fxVal_normal,CX_ENTITY,$B97,AO$11,AO$14,AO$75,),""),IF($I97=2,IFBLANK(_xldudf_CX_PUSH(AO97,CX_ENTITY,$B97,AO$11,AO$14,AO$75,),""),IF($I97=3,"",IFBLANK(_xldudf_CX_PUSH(AO97,CX_ENTITY,$B97,AO$11,AO$14,AO$75,),"")))))),"")</f>
        <v/>
      </c>
      <c r="DP97" s="2445" t="str" cm="1">
        <f t="array" ca="1" aca="1" ref="DP97">IFERROR(IF(AP97*fxVal_normal=_PL!AP97,"",IF(OR(AP97="",NOT(ISNUMBER(AP97)),ISERROR(AP97),$B97=""),"",IF($I97=1,IFBLANK(_xldudf_CX_PUSH(AP97*fxVal_normal,CX_ENTITY,$B97,AP$11,AP$14,AP$75,),""),IF($I97=2,IFBLANK(_xldudf_CX_PUSH(AP97,CX_ENTITY,$B97,AP$11,AP$14,AP$75,),""),IF($I97=3,"",IFBLANK(_xldudf_CX_PUSH(AP97,CX_ENTITY,$B97,AP$11,AP$14,AP$75,),"")))))),"")</f>
        <v/>
      </c>
      <c r="DQ97" s="2445" t="str" cm="1">
        <f t="array" ca="1" aca="1" ref="DQ97">IFERROR(IF(AQ97*fxVal_normal=_PL!AQ97,"",IF(OR(AQ97="",NOT(ISNUMBER(AQ97)),ISERROR(AQ97),$B97=""),"",IF($I97=1,IFBLANK(_xldudf_CX_PUSH(AQ97*fxVal_normal,CX_ENTITY,$B97,AQ$11,AQ$14,AQ$75,),""),IF($I97=2,IFBLANK(_xldudf_CX_PUSH(AQ97,CX_ENTITY,$B97,AQ$11,AQ$14,AQ$75,),""),IF($I97=3,"",IFBLANK(_xldudf_CX_PUSH(AQ97,CX_ENTITY,$B97,AQ$11,AQ$14,AQ$75,),"")))))),"")</f>
        <v/>
      </c>
      <c r="DR97" s="2445" t="str" cm="1">
        <f t="array" ca="1" aca="1" ref="DR97">IFERROR(IF(AR97*fxVal_normal=_PL!AR97,"",IF(OR(AR97="",NOT(ISNUMBER(AR97)),ISERROR(AR97),$B97=""),"",IF($I97=1,IFBLANK(_xldudf_CX_PUSH(AR97*fxVal_normal,CX_ENTITY,$B97,AR$11,AR$14,AR$75,),""),IF($I97=2,IFBLANK(_xldudf_CX_PUSH(AR97,CX_ENTITY,$B97,AR$11,AR$14,AR$75,),""),IF($I97=3,"",IFBLANK(_xldudf_CX_PUSH(AR97,CX_ENTITY,$B97,AR$11,AR$14,AR$75,),"")))))),"")</f>
        <v/>
      </c>
      <c r="DS97" s="2445" t="str" cm="1">
        <f t="array" ca="1" aca="1" ref="DS97">IFERROR(IF(AS97*fxVal_normal=_PL!AS97,"",IF(OR(AS97="",NOT(ISNUMBER(AS97)),ISERROR(AS97),$B97=""),"",IF($I97=1,IFBLANK(_xldudf_CX_PUSH(AS97*fxVal_normal,CX_ENTITY,$B97,AS$11,AS$14,AS$75,),""),IF($I97=2,IFBLANK(_xldudf_CX_PUSH(AS97,CX_ENTITY,$B97,AS$11,AS$14,AS$75,),""),IF($I97=3,"",IFBLANK(_xldudf_CX_PUSH(AS97,CX_ENTITY,$B97,AS$11,AS$14,AS$75,),"")))))),"")</f>
        <v/>
      </c>
      <c r="DT97" s="2445" t="str" cm="1">
        <f t="array" ca="1" aca="1" ref="DT97">IFERROR(IF(AT97*fxVal_normal=_PL!AT97,"",IF(OR(AT97="",NOT(ISNUMBER(AT97)),ISERROR(AT97),$B97=""),"",IF($I97=1,IFBLANK(_xldudf_CX_PUSH(AT97*fxVal_normal,CX_ENTITY,$B97,AT$11,AT$14,AT$75,),""),IF($I97=2,IFBLANK(_xldudf_CX_PUSH(AT97,CX_ENTITY,$B97,AT$11,AT$14,AT$75,),""),IF($I97=3,"",IFBLANK(_xldudf_CX_PUSH(AT97,CX_ENTITY,$B97,AT$11,AT$14,AT$75,),"")))))),"")</f>
        <v/>
      </c>
      <c r="DU97" s="2445" t="str" cm="1">
        <f t="array" ca="1" aca="1" ref="DU97">IFERROR(IF(AU97*fxVal_normal=_PL!AU97,"",IF(OR(AU97="",NOT(ISNUMBER(AU97)),ISERROR(AU97),$B97=""),"",IF($I97=1,IFBLANK(_xldudf_CX_PUSH(AU97*fxVal_normal,CX_ENTITY,$B97,AU$11,AU$14,AU$75,),""),IF($I97=2,IFBLANK(_xldudf_CX_PUSH(AU97,CX_ENTITY,$B97,AU$11,AU$14,AU$75,),""),IF($I97=3,"",IFBLANK(_xldudf_CX_PUSH(AU97,CX_ENTITY,$B97,AU$11,AU$14,AU$75,),"")))))),"")</f>
        <v/>
      </c>
      <c r="DV97" s="2445" t="str" cm="1">
        <f t="array" ca="1" aca="1" ref="DV97">IFERROR(IF(AV97*fxVal_normal=_PL!AV97,"",IF(OR(AV97="",NOT(ISNUMBER(AV97)),ISERROR(AV97),$B97=""),"",IF($I97=1,IFBLANK(_xldudf_CX_PUSH(AV97*fxVal_normal,CX_ENTITY,$B97,AV$11,AV$14,AV$75,),""),IF($I97=2,IFBLANK(_xldudf_CX_PUSH(AV97,CX_ENTITY,$B97,AV$11,AV$14,AV$75,),""),IF($I97=3,"",IFBLANK(_xldudf_CX_PUSH(AV97,CX_ENTITY,$B97,AV$11,AV$14,AV$75,),"")))))),"")</f>
        <v/>
      </c>
      <c r="DW97" s="2445" t="str" cm="1">
        <f t="array" ca="1" aca="1" ref="DW97">IFERROR(IF(AW97*fxVal_normal=_PL!AW97,"",IF(OR(AW97="",NOT(ISNUMBER(AW97)),ISERROR(AW97),$B97=""),"",IF($I97=1,IFBLANK(_xldudf_CX_PUSH(AW97*fxVal_normal,CX_ENTITY,$B97,AW$11,AW$14,AW$75,),""),IF($I97=2,IFBLANK(_xldudf_CX_PUSH(AW97,CX_ENTITY,$B97,AW$11,AW$14,AW$75,),""),IF($I97=3,"",IFBLANK(_xldudf_CX_PUSH(AW97,CX_ENTITY,$B97,AW$11,AW$14,AW$75,),"")))))),"")</f>
        <v/>
      </c>
      <c r="DX97" s="2445" t="str" cm="1">
        <f t="array" ca="1" aca="1" ref="DX97">IFERROR(IF(AX97*fxVal_normal=_PL!AX97,"",IF(OR(AX97="",NOT(ISNUMBER(AX97)),ISERROR(AX97),$B97=""),"",IF($I97=1,IFBLANK(_xldudf_CX_PUSH(AX97*fxVal_normal,CX_ENTITY,$B97,AX$11,AX$14,AX$75,),""),IF($I97=2,IFBLANK(_xldudf_CX_PUSH(AX97,CX_ENTITY,$B97,AX$11,AX$14,AX$75,),""),IF($I97=3,"",IFBLANK(_xldudf_CX_PUSH(AX97,CX_ENTITY,$B97,AX$11,AX$14,AX$75,),"")))))),"")</f>
        <v/>
      </c>
      <c r="DY97" s="2445" t="str" cm="1">
        <f t="array" ca="1" aca="1" ref="DY97">IFERROR(IF(AY97*fxVal_normal=_PL!AY97,"",IF(OR(AY97="",NOT(ISNUMBER(AY97)),ISERROR(AY97),$B97=""),"",IF($I97=1,IFBLANK(_xldudf_CX_PUSH(AY97*fxVal_normal,CX_ENTITY,$B97,AY$11,AY$14,AY$75,),""),IF($I97=2,IFBLANK(_xldudf_CX_PUSH(AY97,CX_ENTITY,$B97,AY$11,AY$14,AY$75,),""),IF($I97=3,"",IFBLANK(_xldudf_CX_PUSH(AY97,CX_ENTITY,$B97,AY$11,AY$14,AY$75,),"")))))),"")</f>
        <v/>
      </c>
      <c r="DZ97" s="2445" t="str" cm="1">
        <f t="array" ca="1" aca="1" ref="DZ97">IFERROR(IF(AZ97*fxVal_normal=_PL!AZ97,"",IF(OR(AZ97="",NOT(ISNUMBER(AZ97)),ISERROR(AZ97),$B97=""),"",IF($I97=1,IFBLANK(_xldudf_CX_PUSH(AZ97*fxVal_normal,CX_ENTITY,$B97,AZ$11,AZ$14,AZ$75,),""),IF($I97=2,IFBLANK(_xldudf_CX_PUSH(AZ97,CX_ENTITY,$B97,AZ$11,AZ$14,AZ$75,),""),IF($I97=3,"",IFBLANK(_xldudf_CX_PUSH(AZ97,CX_ENTITY,$B97,AZ$11,AZ$14,AZ$75,),"")))))),"")</f>
        <v/>
      </c>
      <c r="EA97" s="2445" t="str" cm="1">
        <f t="array" ca="1" aca="1" ref="EA97">IFERROR(IF(BA97*fxVal_normal=_PL!BA97,"",IF(OR(BA97="",NOT(ISNUMBER(BA97)),ISERROR(BA97),$B97=""),"",IF($I97=1,IFBLANK(_xldudf_CX_PUSH(BA97*fxVal_normal,CX_ENTITY,$B97,BA$11,BA$14,BA$75,),""),IF($I97=2,IFBLANK(_xldudf_CX_PUSH(BA97,CX_ENTITY,$B97,BA$11,BA$14,BA$75,),""),IF($I97=3,"",IFBLANK(_xldudf_CX_PUSH(BA97,CX_ENTITY,$B97,BA$11,BA$14,BA$75,),"")))))),"")</f>
        <v/>
      </c>
      <c r="EB97" s="2445" t="str" cm="1">
        <f t="array" ca="1" aca="1" ref="EB97">IFERROR(IF(BB97*fxVal_normal=_PL!BB97,"",IF(OR(BB97="",NOT(ISNUMBER(BB97)),ISERROR(BB97),$B97=""),"",IF($I97=1,IFBLANK(_xldudf_CX_PUSH(BB97*fxVal_normal,CX_ENTITY,$B97,BB$11,BB$14,BB$75,),""),IF($I97=2,IFBLANK(_xldudf_CX_PUSH(BB97,CX_ENTITY,$B97,BB$11,BB$14,BB$75,),""),IF($I97=3,"",IFBLANK(_xldudf_CX_PUSH(BB97,CX_ENTITY,$B97,BB$11,BB$14,BB$75,),"")))))),"")</f>
        <v/>
      </c>
      <c r="EC97" s="2445" t="str" cm="1">
        <f t="array" ca="1" aca="1" ref="EC97">IFERROR(IF(BC97*fxVal_normal=_PL!BC97,"",IF(OR(BC97="",NOT(ISNUMBER(BC97)),ISERROR(BC97),$B97=""),"",IF($I97=1,IFBLANK(_xldudf_CX_PUSH(BC97*fxVal_normal,CX_ENTITY,$B97,BC$11,BC$14,BC$75,),""),IF($I97=2,IFBLANK(_xldudf_CX_PUSH(BC97,CX_ENTITY,$B97,BC$11,BC$14,BC$75,),""),IF($I97=3,"",IFBLANK(_xldudf_CX_PUSH(BC97,CX_ENTITY,$B97,BC$11,BC$14,BC$75,),"")))))),"")</f>
        <v/>
      </c>
      <c r="ED97" s="2445" t="str" cm="1">
        <f t="array" ca="1" aca="1" ref="ED97">IFERROR(IF(BD97*fxVal_normal=_PL!BD97,"",IF(OR(BD97="",NOT(ISNUMBER(BD97)),ISERROR(BD97),$B97=""),"",IF($I97=1,IFBLANK(_xldudf_CX_PUSH(BD97*fxVal_normal,CX_ENTITY,$B97,BD$11,BD$14,BD$75,),""),IF($I97=2,IFBLANK(_xldudf_CX_PUSH(BD97,CX_ENTITY,$B97,BD$11,BD$14,BD$75,),""),IF($I97=3,"",IFBLANK(_xldudf_CX_PUSH(BD97,CX_ENTITY,$B97,BD$11,BD$14,BD$75,),"")))))),"")</f>
        <v/>
      </c>
      <c r="EE97" s="2445" t="str" cm="1">
        <f t="array" ca="1" aca="1" ref="EE97">IFERROR(IF(BE97*fxVal_normal=_PL!BE97,"",IF(OR(BE97="",NOT(ISNUMBER(BE97)),ISERROR(BE97),$B97=""),"",IF($I97=1,IFBLANK(_xldudf_CX_PUSH(BE97*fxVal_normal,CX_ENTITY,$B97,BE$11,BE$14,BE$75,),""),IF($I97=2,IFBLANK(_xldudf_CX_PUSH(BE97,CX_ENTITY,$B97,BE$11,BE$14,BE$75,),""),IF($I97=3,"",IFBLANK(_xldudf_CX_PUSH(BE97,CX_ENTITY,$B97,BE$11,BE$14,BE$75,),"")))))),"")</f>
        <v/>
      </c>
      <c r="EF97" s="2445" t="str" cm="1">
        <f t="array" ca="1" aca="1" ref="EF97">IFERROR(IF(BF97*fxVal_normal=_PL!BF97,"",IF(OR(BF97="",NOT(ISNUMBER(BF97)),ISERROR(BF97),$B97=""),"",IF($I97=1,IFBLANK(_xldudf_CX_PUSH(BF97*fxVal_normal,CX_ENTITY,$B97,BF$11,BF$14,BF$75,),""),IF($I97=2,IFBLANK(_xldudf_CX_PUSH(BF97,CX_ENTITY,$B97,BF$11,BF$14,BF$75,),""),IF($I97=3,"",IFBLANK(_xldudf_CX_PUSH(BF97,CX_ENTITY,$B97,BF$11,BF$14,BF$75,),"")))))),"")</f>
        <v/>
      </c>
      <c r="EG97" s="2445" t="str" cm="1">
        <f t="array" ca="1" aca="1" ref="EG97">IFERROR(IF(BG97*fxVal_normal=_PL!BG97,"",IF(OR(BG97="",NOT(ISNUMBER(BG97)),ISERROR(BG97),$B97=""),"",IF($I97=1,IFBLANK(_xldudf_CX_PUSH(BG97*fxVal_normal,CX_ENTITY,$B97,BG$11,BG$14,BG$75,),""),IF($I97=2,IFBLANK(_xldudf_CX_PUSH(BG97,CX_ENTITY,$B97,BG$11,BG$14,BG$75,),""),IF($I97=3,"",IFBLANK(_xldudf_CX_PUSH(BG97,CX_ENTITY,$B97,BG$11,BG$14,BG$75,),"")))))),"")</f>
        <v/>
      </c>
      <c r="EH97" s="2445" t="str" cm="1">
        <f t="array" ca="1" aca="1" ref="EH97">IFERROR(IF(BH97*fxVal_normal=_PL!BH97,"",IF(OR(BH97="",NOT(ISNUMBER(BH97)),ISERROR(BH97),$B97=""),"",IF($I97=1,IFBLANK(_xldudf_CX_PUSH(BH97*fxVal_normal,CX_ENTITY,$B97,BH$11,BH$14,BH$75,),""),IF($I97=2,IFBLANK(_xldudf_CX_PUSH(BH97,CX_ENTITY,$B97,BH$11,BH$14,BH$75,),""),IF($I97=3,"",IFBLANK(_xldudf_CX_PUSH(BH97,CX_ENTITY,$B97,BH$11,BH$14,BH$75,),"")))))),"")</f>
        <v/>
      </c>
      <c r="EI97" s="2445" t="str" cm="1">
        <f t="array" ca="1" aca="1" ref="EI97">IFERROR(IF(BI97*fxVal_normal=_PL!BI97,"",IF(OR(BI97="",NOT(ISNUMBER(BI97)),ISERROR(BI97),$B97=""),"",IF($I97=1,IFBLANK(_xldudf_CX_PUSH(BI97*fxVal_normal,CX_ENTITY,$B97,BI$11,BI$14,BI$75,),""),IF($I97=2,IFBLANK(_xldudf_CX_PUSH(BI97,CX_ENTITY,$B97,BI$11,BI$14,BI$75,),""),IF($I97=3,"",IFBLANK(_xldudf_CX_PUSH(BI97,CX_ENTITY,$B97,BI$11,BI$14,BI$75,),"")))))),"")</f>
        <v/>
      </c>
      <c r="EJ97" s="2445" t="str" cm="1">
        <f t="array" ca="1" aca="1" ref="EJ97">IFERROR(IF(BJ97*fxVal_normal=_PL!BJ97,"",IF(OR(BJ97="",NOT(ISNUMBER(BJ97)),ISERROR(BJ97),$B97=""),"",IF($I97=1,IFBLANK(_xldudf_CX_PUSH(BJ97*fxVal_normal,CX_ENTITY,$B97,BJ$11,BJ$14,BJ$75,),""),IF($I97=2,IFBLANK(_xldudf_CX_PUSH(BJ97,CX_ENTITY,$B97,BJ$11,BJ$14,BJ$75,),""),IF($I97=3,"",IFBLANK(_xldudf_CX_PUSH(BJ97,CX_ENTITY,$B97,BJ$11,BJ$14,BJ$75,),"")))))),"")</f>
        <v/>
      </c>
      <c r="EK97" s="2445" t="str" cm="1">
        <f t="array" ca="1" aca="1" ref="EK97">IFERROR(IF(BK97*fxVal_normal=_PL!BK97,"",IF(OR(BK97="",NOT(ISNUMBER(BK97)),ISERROR(BK97),$B97=""),"",IF($I97=1,IFBLANK(_xldudf_CX_PUSH(BK97*fxVal_normal,CX_ENTITY,$B97,BK$11,BK$14,BK$75,),""),IF($I97=2,IFBLANK(_xldudf_CX_PUSH(BK97,CX_ENTITY,$B97,BK$11,BK$14,BK$75,),""),IF($I97=3,"",IFBLANK(_xldudf_CX_PUSH(BK97,CX_ENTITY,$B97,BK$11,BK$14,BK$75,),"")))))),"")</f>
        <v/>
      </c>
      <c r="EL97" s="2445" t="str" cm="1">
        <f t="array" ca="1" aca="1" ref="EL97">IFERROR(IF(BL97*fxVal_normal=_PL!BL97,"",IF(OR(BL97="",NOT(ISNUMBER(BL97)),ISERROR(BL97),$B97=""),"",IF($I97=1,IFBLANK(_xldudf_CX_PUSH(BL97*fxVal_normal,CX_ENTITY,$B97,BL$11,BL$14,BL$75,),""),IF($I97=2,IFBLANK(_xldudf_CX_PUSH(BL97,CX_ENTITY,$B97,BL$11,BL$14,BL$75,),""),IF($I97=3,"",IFBLANK(_xldudf_CX_PUSH(BL97,CX_ENTITY,$B97,BL$11,BL$14,BL$75,),"")))))),"")</f>
        <v/>
      </c>
      <c r="EM97" s="2445" t="str" cm="1">
        <f t="array" ca="1" aca="1" ref="EM97">IFERROR(IF(BM97*fxVal_normal=_PL!BM97,"",IF(OR(BM97="",NOT(ISNUMBER(BM97)),ISERROR(BM97),$B97=""),"",IF($I97=1,IFBLANK(_xldudf_CX_PUSH(BM97*fxVal_normal,CX_ENTITY,$B97,BM$11,BM$14,BM$75,),""),IF($I97=2,IFBLANK(_xldudf_CX_PUSH(BM97,CX_ENTITY,$B97,BM$11,BM$14,BM$75,),""),IF($I97=3,"",IFBLANK(_xldudf_CX_PUSH(BM97,CX_ENTITY,$B97,BM$11,BM$14,BM$75,),"")))))),"")</f>
        <v/>
      </c>
      <c r="EN97" s="2445" t="str" cm="1">
        <f t="array" ca="1" aca="1" ref="EN97">IFERROR(IF(BN97*fxVal_normal=_PL!BN97,"",IF(OR(BN97="",NOT(ISNUMBER(BN97)),ISERROR(BN97),$B97=""),"",IF($I97=1,IFBLANK(_xldudf_CX_PUSH(BN97*fxVal_normal,CX_ENTITY,$B97,BN$11,BN$14,BN$75,),""),IF($I97=2,IFBLANK(_xldudf_CX_PUSH(BN97,CX_ENTITY,$B97,BN$11,BN$14,BN$75,),""),IF($I97=3,"",IFBLANK(_xldudf_CX_PUSH(BN97,CX_ENTITY,$B97,BN$11,BN$14,BN$75,),"")))))),"")</f>
        <v/>
      </c>
    </row>
    <row r="98" spans="1:107" s="1880" customFormat="1" ht="15.5">
      <c r="A98" s="1626"/>
      <c r="B98" s="2620" t="str">
        <f>_xlfn.LET(_xlpm.IsNotAttrDynamic,D98="",_xlpm.Attr,_PL!F98,_xlpm.NotInUse,Y98=D98,_xlpm.RESULT,IF(_xlpm.IsNotAttrDynamic,_xlpm.Attr,IF(_xlpm.NotInUse,"",Y98)),IF(_xlpm.RESULT="","",_xlpm.RESULT))</f>
        <v/>
      </c>
      <c r="C98" s="2620" t="str" cm="1">
        <f t="array" ref="C98">IFBLANK(_PL!C98,"")</f>
        <v/>
      </c>
      <c r="D98" s="1548"/>
      <c r="E98" s="2453"/>
      <c r="F98" s="578"/>
      <c r="G98" s="578"/>
      <c r="H98" s="578"/>
      <c r="I98" s="578"/>
      <c r="J98" s="401" t="str" cm="1">
        <f t="array" ref="J98">IFBLANK(Z98,"")</f>
        <v/>
      </c>
      <c r="K98" s="578" t="str">
        <f t="shared" si="39"/>
        <v>No</v>
      </c>
      <c r="L98" s="37"/>
      <c r="M98"/>
      <c r="N98" s="158"/>
      <c r="O98" s="101"/>
      <c r="P98" s="52"/>
      <c r="Q98" s="101"/>
      <c r="R98" s="126"/>
      <c r="S98" s="101"/>
      <c r="T98" s="101"/>
      <c r="U98" s="39"/>
      <c r="V98" s="37"/>
      <c r="W98" s="198"/>
      <c r="X98" s="887"/>
      <c r="Y98" s="88"/>
      <c r="Z98" s="543"/>
      <c r="AA98" s="97"/>
      <c r="AB98" s="97"/>
      <c r="AC98" s="128" t="str">
        <f>_PL!AC98</f>
        <v/>
      </c>
      <c r="AD98" s="2473"/>
      <c r="AE98" s="2473"/>
      <c r="AF98" s="2473"/>
      <c r="AG98" s="2473"/>
      <c r="AH98" s="2473"/>
      <c r="AI98" s="2473"/>
      <c r="AJ98" s="2473"/>
      <c r="AK98" s="2473"/>
      <c r="AL98" s="2473"/>
      <c r="AM98" s="2473"/>
      <c r="AN98" s="2473"/>
      <c r="AO98" s="2473"/>
      <c r="AP98" s="2473"/>
      <c r="AQ98" s="2473"/>
      <c r="AR98" s="2473"/>
      <c r="AS98" s="2473"/>
      <c r="AT98" s="2473"/>
      <c r="AU98" s="2473"/>
      <c r="AV98" s="2473"/>
      <c r="AW98" s="2473"/>
      <c r="AX98" s="2473"/>
      <c r="AY98" s="2473"/>
      <c r="AZ98" s="2473"/>
      <c r="BA98" s="2473"/>
      <c r="BB98" s="2473"/>
      <c r="BC98" s="2473"/>
      <c r="BD98" s="2473"/>
      <c r="BE98" s="2473"/>
      <c r="BF98" s="2473"/>
      <c r="BG98" s="2473"/>
      <c r="BH98" s="2473"/>
      <c r="BI98" s="2473"/>
      <c r="BJ98" s="2473"/>
      <c r="BK98" s="2473"/>
      <c r="BL98" s="2473"/>
      <c r="BM98" s="2473"/>
      <c r="BN98" s="2473"/>
      <c r="BO98" s="2473"/>
      <c r="BP98" s="2473"/>
      <c r="BQ98" s="2473"/>
      <c r="BR98" s="2473"/>
      <c r="BS98" s="2473"/>
      <c r="BT98" s="2473"/>
      <c r="BU98" s="2473"/>
      <c r="BV98" s="2473"/>
      <c r="BW98" s="2473"/>
      <c r="BX98" s="2473"/>
      <c r="BY98" s="2473"/>
      <c r="BZ98" s="2473"/>
      <c r="CA98" s="34"/>
      <c r="CB98"/>
      <c r="CC98" s="2455"/>
      <c r="CD98" s="177"/>
      <c r="CE98" s="177"/>
      <c r="CF98" s="178"/>
      <c r="CG98" s="177"/>
      <c r="CH98" s="177"/>
      <c r="CI98" s="88"/>
      <c r="CJ98" s="2456"/>
      <c r="CK98" s="2456"/>
      <c r="CL98" s="88"/>
      <c r="CM98" s="88"/>
      <c r="CN98" s="88"/>
      <c r="CO98" s="88"/>
      <c r="CP98" s="88"/>
      <c r="CQ98" s="88"/>
      <c r="CR98" s="34"/>
      <c r="CS98" s="2056"/>
      <c r="CX98" s="2121"/>
      <c r="DC98" s="2121"/>
    </row>
    <row r="99" spans="1:147" ht="17.25" customHeight="1">
      <c r="A99" s="1626"/>
      <c r="B99" s="2620" t="str">
        <f>_xlfn.LET(_xlpm.IsNotAttrDynamic,D99="",_xlpm.Attr,_PL!F99,_xlpm.NotInUse,Y99=D99,_xlpm.RESULT,IF(_xlpm.IsNotAttrDynamic,_xlpm.Attr,IF(_xlpm.NotInUse,"",Y99)),IF(_xlpm.RESULT="","",_xlpm.RESULT))</f>
        <v/>
      </c>
      <c r="C99" s="2620" t="str" cm="1">
        <f t="array" ref="C99">IFBLANK(_PL!C99,"")</f>
        <v/>
      </c>
      <c r="D99" s="1548"/>
      <c r="E99" s="2453"/>
      <c r="F99" s="578"/>
      <c r="G99" s="578"/>
      <c r="H99" s="401"/>
      <c r="I99" s="401"/>
      <c r="J99" s="401" t="str" cm="1">
        <f t="array" ref="J99">IFBLANK(Z99,"")</f>
        <v/>
      </c>
      <c r="K99" s="578" t="str">
        <f t="shared" si="39"/>
        <v>No</v>
      </c>
      <c r="L99" s="37"/>
      <c r="N99" s="158"/>
      <c r="O99" s="2"/>
      <c r="P99" s="52"/>
      <c r="Q99" s="2"/>
      <c r="R99" s="539"/>
      <c r="S99" s="2"/>
      <c r="T99" s="2"/>
      <c r="U99" s="39"/>
      <c r="V99" s="37"/>
      <c r="W99" s="3034" t="s">
        <v>94</v>
      </c>
      <c r="X99" s="3061"/>
      <c r="Y99" s="3036" t="s">
        <v>104</v>
      </c>
      <c r="Z99" s="1258"/>
      <c r="AA99" s="1259"/>
      <c r="AB99" s="1630" t="s">
        <v>83</v>
      </c>
      <c r="AC99" s="553"/>
      <c r="AD99" s="3186" cm="1">
        <f t="array" ca="1" aca="1" ref="AD99:AD100">fx_checkComp(AD101:AD106)</f>
        <v>1</v>
      </c>
      <c r="AE99" s="3186" cm="1">
        <f t="array" ca="1" aca="1" ref="AE99:AE100">fx_checkComp(AE101:AE106)</f>
        <v>1</v>
      </c>
      <c r="AF99" s="3186" cm="1">
        <f t="array" ca="1" aca="1" ref="AF99:AF100">fx_checkComp(AF101:AF106)</f>
        <v>1</v>
      </c>
      <c r="AG99" s="3186" cm="1">
        <f t="array" ca="1" aca="1" ref="AG99:AG100">fx_checkComp(AG101:AG106)</f>
        <v>1</v>
      </c>
      <c r="AH99" s="3186" cm="1">
        <f t="array" ca="1" aca="1" ref="AH99:AH100">fx_checkComp(AH101:AH106)</f>
        <v>1</v>
      </c>
      <c r="AI99" s="3186" cm="1">
        <f t="array" ca="1" aca="1" ref="AI99:AI100">fx_checkComp(AI101:AI106)</f>
        <v>1</v>
      </c>
      <c r="AJ99" s="3186" cm="1">
        <f t="array" ca="1" aca="1" ref="AJ99:AJ100">fx_checkComp(AJ101:AJ106)</f>
        <v>1</v>
      </c>
      <c r="AK99" s="3186" cm="1">
        <f t="array" ca="1" aca="1" ref="AK99:AK100">fx_checkComp(AK101:AK106)</f>
        <v>1</v>
      </c>
      <c r="AL99" s="3186" cm="1">
        <f t="array" ca="1" aca="1" ref="AL99:AL100">fx_checkComp(AL101:AL106)</f>
        <v>1</v>
      </c>
      <c r="AM99" s="3186" cm="1">
        <f t="array" ca="1" aca="1" ref="AM99:AM100">fx_checkComp(AM101:AM106)</f>
        <v>1</v>
      </c>
      <c r="AN99" s="3186" cm="1">
        <f t="array" ca="1" aca="1" ref="AN99:AN100">fx_checkComp(AN101:AN106)</f>
        <v>1</v>
      </c>
      <c r="AO99" s="3186" cm="1">
        <f t="array" ca="1" aca="1" ref="AO99:AO100">fx_checkComp(AO101:AO106)</f>
        <v>1</v>
      </c>
      <c r="AP99" s="3186" cm="1">
        <f t="array" ca="1" aca="1" ref="AP99:AP100">fx_checkComp(AP101:AP106)</f>
        <v>1</v>
      </c>
      <c r="AQ99" s="3186" cm="1">
        <f t="array" ca="1" aca="1" ref="AQ99:AQ100">fx_checkComp(AQ101:AQ106)</f>
        <v>1</v>
      </c>
      <c r="AR99" s="3186" cm="1">
        <f t="array" ca="1" aca="1" ref="AR99:AR100">fx_checkComp(AR101:AR106)</f>
        <v>1</v>
      </c>
      <c r="AS99" s="3186" cm="1">
        <f t="array" ca="1" aca="1" ref="AS99:AS100">fx_checkComp(AS101:AS106)</f>
        <v>1</v>
      </c>
      <c r="AT99" s="3186" cm="1">
        <f t="array" ca="1" aca="1" ref="AT99:AT100">fx_checkComp(AT101:AT106)</f>
        <v>1</v>
      </c>
      <c r="AU99" s="3186" cm="1">
        <f t="array" ca="1" aca="1" ref="AU99:AU100">fx_checkComp(AU101:AU106)</f>
        <v>1</v>
      </c>
      <c r="AV99" s="3186" cm="1">
        <f t="array" ca="1" aca="1" ref="AV99:AV100">fx_checkComp(AV101:AV106)</f>
        <v>1</v>
      </c>
      <c r="AW99" s="3186" cm="1">
        <f t="array" ca="1" aca="1" ref="AW99:AW100">fx_checkComp(AW101:AW106)</f>
        <v>1</v>
      </c>
      <c r="AX99" s="3186" cm="1">
        <f t="array" ca="1" aca="1" ref="AX99:AX100">fx_checkComp(AX101:AX106)</f>
        <v>1</v>
      </c>
      <c r="AY99" s="3186" cm="1">
        <f t="array" ca="1" aca="1" ref="AY99:AY100">fx_checkComp(AY101:AY106)</f>
        <v>1</v>
      </c>
      <c r="AZ99" s="3186" cm="1">
        <f t="array" ca="1" aca="1" ref="AZ99:AZ100">fx_checkComp(AZ101:AZ106)</f>
        <v>1</v>
      </c>
      <c r="BA99" s="3186" cm="1">
        <f t="array" ca="1" aca="1" ref="BA99:BA100">fx_checkComp(BA101:BA106)</f>
        <v>1</v>
      </c>
      <c r="BB99" s="3186" cm="1">
        <f t="array" ca="1" aca="1" ref="BB99:BB100">fx_checkComp(BB101:BB106)</f>
        <v>1</v>
      </c>
      <c r="BC99" s="3186" cm="1">
        <f t="array" ca="1" aca="1" ref="BC99:BC100">fx_checkComp(BC101:BC106)</f>
        <v>1</v>
      </c>
      <c r="BD99" s="3186" cm="1">
        <f t="array" ca="1" aca="1" ref="BD99:BD100">fx_checkComp(BD101:BD106)</f>
        <v>1</v>
      </c>
      <c r="BE99" s="3186" cm="1">
        <f t="array" ca="1" aca="1" ref="BE99:BE100">fx_checkComp(BE101:BE106)</f>
        <v>1</v>
      </c>
      <c r="BF99" s="3186" cm="1">
        <f t="array" ca="1" aca="1" ref="BF99:BF100">fx_checkComp(BF101:BF106)</f>
        <v>1</v>
      </c>
      <c r="BG99" s="3186" cm="1">
        <f t="array" ca="1" aca="1" ref="BG99:BG100">fx_checkComp(BG101:BG106)</f>
        <v>1</v>
      </c>
      <c r="BH99" s="3186" cm="1">
        <f t="array" ca="1" aca="1" ref="BH99:BH100">fx_checkComp(BH101:BH106)</f>
        <v>1</v>
      </c>
      <c r="BI99" s="3186" cm="1">
        <f t="array" ca="1" aca="1" ref="BI99:BI100">fx_checkComp(BI101:BI106)</f>
        <v>1</v>
      </c>
      <c r="BJ99" s="3186" cm="1">
        <f t="array" ca="1" aca="1" ref="BJ99:BJ100">fx_checkComp(BJ101:BJ106)</f>
        <v>1</v>
      </c>
      <c r="BK99" s="3186" cm="1">
        <f t="array" ca="1" aca="1" ref="BK99:BK100">fx_checkComp(BK101:BK106)</f>
        <v>1</v>
      </c>
      <c r="BL99" s="3186" cm="1">
        <f t="array" ca="1" aca="1" ref="BL99:BL100">fx_checkComp(BL101:BL106)</f>
        <v>1</v>
      </c>
      <c r="BM99" s="3186" cm="1">
        <f t="array" ca="1" aca="1" ref="BM99:BM100">fx_checkComp(BM101:BM106)</f>
        <v>1</v>
      </c>
      <c r="BN99" s="3187" cm="1">
        <f t="array" ca="1" aca="1" ref="BN99:BN100">fx_checkComp(BN101:BN106)</f>
        <v>1</v>
      </c>
      <c r="BO99" s="1804"/>
      <c r="BP99" s="1804"/>
      <c r="BQ99" s="1804"/>
      <c r="BR99" s="1804"/>
      <c r="BS99" s="1804"/>
      <c r="BT99" s="1804"/>
      <c r="BU99" s="1804"/>
      <c r="BV99" s="1804"/>
      <c r="BW99" s="1804"/>
      <c r="BX99" s="1804"/>
      <c r="BY99" s="1804"/>
      <c r="BZ99" s="1804"/>
      <c r="CA99" s="34"/>
      <c r="CC99" s="33"/>
      <c r="CD99" s="1738"/>
      <c r="CE99" s="2510"/>
      <c r="CF99" s="3"/>
      <c r="CG99" s="1738"/>
      <c r="CH99" s="1740"/>
      <c r="CI99" s="3"/>
      <c r="CJ99" s="1511"/>
      <c r="CK99" s="2511"/>
      <c r="CL99" s="3"/>
      <c r="CM99" s="1511"/>
      <c r="CN99" s="1215"/>
      <c r="CO99" s="3"/>
      <c r="CP99" s="1511"/>
      <c r="CQ99" s="1215"/>
      <c r="CR99" s="34"/>
      <c r="CS99" s="2056"/>
      <c r="CT99" s="1880"/>
      <c r="CU99" s="1880"/>
      <c r="CV99" s="1880"/>
      <c r="CW99" s="1880"/>
      <c r="CX99" s="2121"/>
      <c r="CY99" s="1880"/>
      <c r="CZ99" s="1880"/>
      <c r="DA99" s="1880"/>
      <c r="DB99" s="1880"/>
      <c r="DC99" s="2121"/>
      <c r="DD99" s="1880"/>
      <c r="DE99" s="1880"/>
      <c r="DF99" s="1880"/>
      <c r="DG99" s="1880"/>
      <c r="DH99" s="1880"/>
      <c r="DI99" s="1880"/>
      <c r="DJ99" s="1880"/>
      <c r="DK99" s="1880"/>
      <c r="DL99" s="1880"/>
      <c r="DM99" s="1880"/>
      <c r="DN99" s="1880"/>
      <c r="DO99" s="1880"/>
      <c r="DP99" s="1880"/>
      <c r="DQ99" s="1880"/>
      <c r="DR99" s="1880"/>
      <c r="DS99" s="1880"/>
      <c r="DT99" s="1880"/>
      <c r="DU99" s="1880"/>
      <c r="DV99" s="1880"/>
      <c r="DW99" s="1880"/>
      <c r="DX99" s="1880"/>
      <c r="DY99" s="1880"/>
      <c r="DZ99" s="1880"/>
      <c r="EA99" s="1880"/>
      <c r="EB99" s="1880"/>
      <c r="EC99" s="1880"/>
      <c r="ED99" s="1880"/>
      <c r="EE99" s="1880"/>
      <c r="EF99" s="1880"/>
      <c r="EG99" s="1880"/>
      <c r="EH99" s="1880"/>
      <c r="EI99" s="1880"/>
      <c r="EJ99" s="1880"/>
      <c r="EK99" s="1880"/>
      <c r="EL99" s="1880"/>
      <c r="EM99" s="1880"/>
      <c r="EN99" s="1880"/>
      <c r="EO99" s="1880"/>
      <c r="EP99" s="1880"/>
      <c r="EQ99" s="1880"/>
    </row>
    <row r="100" spans="1:147" ht="17.25" customHeight="1">
      <c r="A100" s="2512"/>
      <c r="B100" s="2620" t="str">
        <f>_xlfn.LET(_xlpm.IsNotAttrDynamic,D100="",_xlpm.Attr,_PL!F100,_xlpm.NotInUse,Y100=D100,_xlpm.RESULT,IF(_xlpm.IsNotAttrDynamic,_xlpm.Attr,IF(_xlpm.NotInUse,"",Y100)),IF(_xlpm.RESULT="","",_xlpm.RESULT))</f>
        <v/>
      </c>
      <c r="C100" s="2620" t="str" cm="1">
        <f t="array" ref="C100">IFBLANK(_PL!C100,"")</f>
        <v/>
      </c>
      <c r="D100" s="2513"/>
      <c r="E100" s="2514"/>
      <c r="F100" s="2515"/>
      <c r="G100" s="2515"/>
      <c r="H100" s="1277"/>
      <c r="I100" s="1277"/>
      <c r="J100" s="401" t="str" cm="1">
        <f t="array" ref="J100">IFBLANK(Z100,"")</f>
        <v/>
      </c>
      <c r="K100" s="578" t="str">
        <f t="shared" si="39"/>
        <v>No</v>
      </c>
      <c r="L100" s="37"/>
      <c r="N100" s="158"/>
      <c r="O100" s="1279"/>
      <c r="P100" s="1280"/>
      <c r="Q100" s="1279"/>
      <c r="R100" s="1279"/>
      <c r="S100" s="1279"/>
      <c r="T100" s="1279"/>
      <c r="U100" s="1281"/>
      <c r="V100" s="37"/>
      <c r="W100" s="3035"/>
      <c r="X100" s="3062"/>
      <c r="Y100" s="3037"/>
      <c r="Z100" s="1233"/>
      <c r="AA100" s="1262"/>
      <c r="AB100" s="1631" t="s">
        <v>84</v>
      </c>
      <c r="AC100" s="1217"/>
      <c r="AD100" s="2462" t="str">
        <f ca="1"/>
        <v>O: 6 / 6</v>
      </c>
      <c r="AE100" s="2516" t="str">
        <f ca="1"/>
        <v>O: 6 / 6</v>
      </c>
      <c r="AF100" s="2516" t="str">
        <f ca="1"/>
        <v>O: 6 / 6</v>
      </c>
      <c r="AG100" s="2516" t="str">
        <f ca="1"/>
        <v>O: 6 / 6</v>
      </c>
      <c r="AH100" s="2516" t="str">
        <f ca="1"/>
        <v>O: 6 / 6</v>
      </c>
      <c r="AI100" s="2516" t="str">
        <f ca="1"/>
        <v>O: 6 / 6</v>
      </c>
      <c r="AJ100" s="2516" t="str">
        <f ca="1"/>
        <v>O: 6 / 6</v>
      </c>
      <c r="AK100" s="2516" t="str">
        <f ca="1"/>
        <v>O: 6 / 6</v>
      </c>
      <c r="AL100" s="2516" t="str">
        <f ca="1"/>
        <v>O: 6 / 6</v>
      </c>
      <c r="AM100" s="2516" t="str">
        <f ca="1"/>
        <v>O: 6 / 6</v>
      </c>
      <c r="AN100" s="2516" t="str">
        <f ca="1"/>
        <v>O: 6 / 6</v>
      </c>
      <c r="AO100" s="2516" t="str">
        <f ca="1"/>
        <v>O: 6 / 6</v>
      </c>
      <c r="AP100" s="2516" t="str">
        <f ca="1"/>
        <v>O: 6 / 6</v>
      </c>
      <c r="AQ100" s="2516" t="str">
        <f ca="1"/>
        <v>O: 6 / 6</v>
      </c>
      <c r="AR100" s="2516" t="str">
        <f ca="1"/>
        <v>O: 6 / 6</v>
      </c>
      <c r="AS100" s="2516" t="str">
        <f ca="1"/>
        <v>O: 6 / 6</v>
      </c>
      <c r="AT100" s="2516" t="str">
        <f ca="1"/>
        <v>O: 6 / 6</v>
      </c>
      <c r="AU100" s="2516" t="str">
        <f ca="1"/>
        <v>O: 6 / 6</v>
      </c>
      <c r="AV100" s="2516" t="str">
        <f ca="1"/>
        <v>O: 6 / 6</v>
      </c>
      <c r="AW100" s="2516" t="str">
        <f ca="1"/>
        <v>O: 6 / 6</v>
      </c>
      <c r="AX100" s="2516" t="str">
        <f ca="1"/>
        <v>O: 6 / 6</v>
      </c>
      <c r="AY100" s="2516" t="str">
        <f ca="1"/>
        <v>O: 6 / 6</v>
      </c>
      <c r="AZ100" s="2516" t="str">
        <f ca="1"/>
        <v>O: 6 / 6</v>
      </c>
      <c r="BA100" s="2516" t="str">
        <f ca="1"/>
        <v>O: 6 / 6</v>
      </c>
      <c r="BB100" s="2516" t="str">
        <f ca="1"/>
        <v>O: 6 / 6</v>
      </c>
      <c r="BC100" s="2516" t="str">
        <f ca="1"/>
        <v>O: 6 / 6</v>
      </c>
      <c r="BD100" s="2516" t="str">
        <f ca="1"/>
        <v>O: 6 / 6</v>
      </c>
      <c r="BE100" s="2516" t="str">
        <f ca="1"/>
        <v>O: 6 / 6</v>
      </c>
      <c r="BF100" s="2516" t="str">
        <f ca="1"/>
        <v>O: 6 / 6</v>
      </c>
      <c r="BG100" s="2516" t="str">
        <f ca="1"/>
        <v>O: 6 / 6</v>
      </c>
      <c r="BH100" s="2516" t="str">
        <f ca="1"/>
        <v>O: 6 / 6</v>
      </c>
      <c r="BI100" s="2516" t="str">
        <f ca="1"/>
        <v>O: 6 / 6</v>
      </c>
      <c r="BJ100" s="2516" t="str">
        <f ca="1"/>
        <v>O: 6 / 6</v>
      </c>
      <c r="BK100" s="2516" t="str">
        <f ca="1"/>
        <v>O: 6 / 6</v>
      </c>
      <c r="BL100" s="2516" t="str">
        <f ca="1"/>
        <v>O: 6 / 6</v>
      </c>
      <c r="BM100" s="2516" t="str">
        <f ca="1"/>
        <v>O: 6 / 6</v>
      </c>
      <c r="BN100" s="2517" t="str">
        <f ca="1"/>
        <v>O: 6 / 6</v>
      </c>
      <c r="BO100" s="2518"/>
      <c r="BP100" s="2518"/>
      <c r="BQ100" s="2518"/>
      <c r="BR100" s="2518"/>
      <c r="BS100" s="2518"/>
      <c r="BT100" s="2518"/>
      <c r="BU100" s="2518"/>
      <c r="BV100" s="2518"/>
      <c r="BW100" s="2518"/>
      <c r="BX100" s="2518"/>
      <c r="BY100" s="2518"/>
      <c r="BZ100" s="2518"/>
      <c r="CA100" s="1220"/>
      <c r="CB100" s="880"/>
      <c r="CC100" s="1288"/>
      <c r="CD100" s="1739"/>
      <c r="CE100" s="2519"/>
      <c r="CF100" s="1289"/>
      <c r="CG100" s="1739"/>
      <c r="CH100" s="1741"/>
      <c r="CI100" s="1289"/>
      <c r="CJ100" s="2520"/>
      <c r="CK100" s="2521"/>
      <c r="CL100" s="1289"/>
      <c r="CM100" s="2522"/>
      <c r="CN100" s="2519"/>
      <c r="CO100" s="1289"/>
      <c r="CP100" s="2522"/>
      <c r="CQ100" s="2519"/>
      <c r="CR100" s="1220"/>
      <c r="CS100" s="2056"/>
      <c r="CT100" s="1880"/>
      <c r="CU100" s="1880"/>
      <c r="CV100" s="1880"/>
      <c r="CW100" s="1880"/>
      <c r="CX100" s="2121"/>
      <c r="CY100" s="1880"/>
      <c r="CZ100" s="1880"/>
      <c r="DA100" s="1880"/>
      <c r="DB100" s="1880"/>
      <c r="DC100" s="2121"/>
      <c r="DD100" s="1880"/>
      <c r="DE100" s="1880"/>
      <c r="DF100" s="1880"/>
      <c r="DG100" s="1880"/>
      <c r="DH100" s="1880"/>
      <c r="DI100" s="1880"/>
      <c r="DJ100" s="1880"/>
      <c r="DK100" s="1880"/>
      <c r="DL100" s="1880"/>
      <c r="DM100" s="1880"/>
      <c r="DN100" s="1880"/>
      <c r="DO100" s="1880"/>
      <c r="DP100" s="1880"/>
      <c r="DQ100" s="1880"/>
      <c r="DR100" s="1880"/>
      <c r="DS100" s="1880"/>
      <c r="DT100" s="1880"/>
      <c r="DU100" s="1880"/>
      <c r="DV100" s="1880"/>
      <c r="DW100" s="1880"/>
      <c r="DX100" s="1880"/>
      <c r="DY100" s="1880"/>
      <c r="DZ100" s="1880"/>
      <c r="EA100" s="1880"/>
      <c r="EB100" s="1880"/>
      <c r="EC100" s="1880"/>
      <c r="ED100" s="1880"/>
      <c r="EE100" s="1880"/>
      <c r="EF100" s="1880"/>
      <c r="EG100" s="1880"/>
      <c r="EH100" s="1880"/>
      <c r="EI100" s="1880"/>
      <c r="EJ100" s="1880"/>
      <c r="EK100" s="1880"/>
      <c r="EL100" s="1880"/>
      <c r="EM100" s="1880"/>
      <c r="EN100" s="1880"/>
      <c r="EO100" s="1880"/>
      <c r="EP100" s="1880"/>
      <c r="EQ100" s="1880"/>
    </row>
    <row r="101" spans="1:144" ht="21" customHeight="1">
      <c r="A101" s="1626" t="s">
        <v>96</v>
      </c>
      <c r="B101" s="2501" t="str">
        <f>_xlfn.LET(_xlpm.IsNotAttrDynamic,D101="",_xlpm.Attr,_PL!F101,_xlpm.NotInUse,Y101=D101,_xlpm.RESULT,IF(_xlpm.IsNotAttrDynamic,_xlpm.Attr,IF(_xlpm.NotInUse,"",Y101)),IF(_xlpm.RESULT="","",_xlpm.RESULT))</f>
        <v>Annual Recurring Revenue (Rolling 12 months)</v>
      </c>
      <c r="C101" s="2501" t="str" cm="1">
        <f t="array" ref="C101">IFBLANK(_PL!C101,"")</f>
        <v>Annual Recurring Revenue (Rolling 12 months) (Company View)</v>
      </c>
      <c r="D101" s="1548"/>
      <c r="E101" s="2440" t="e" cm="1">
        <f t="array" ca="1" aca="1" ref="E10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101:$CQ101,Z101)</f>
        <v>#NAME?</v>
      </c>
      <c r="F101" s="578"/>
      <c r="G101" s="578"/>
      <c r="H101" s="3280">
        <v>1</v>
      </c>
      <c r="I101" s="3280">
        <v>1</v>
      </c>
      <c r="J101" s="401" cm="1">
        <f t="array" ref="J101">IFBLANK(Z101,"")</f>
        <v>-1</v>
      </c>
      <c r="K101" s="578" t="str">
        <f>IFERROR(IF(LEN(AB101)=0,"No",IF(LEN(J101)&gt;0,"Yes","No")),"")</f>
        <v>Yes</v>
      </c>
      <c r="L101" s="37"/>
      <c r="N101" s="158"/>
      <c r="O101" s="101"/>
      <c r="P101" s="52"/>
      <c r="Q101" s="101"/>
      <c r="R101" s="126"/>
      <c r="S101" s="101"/>
      <c r="T101" s="101"/>
      <c r="U101" s="39"/>
      <c r="V101" s="37"/>
      <c r="W101" s="91" t="str">
        <f t="shared" si="43" ref="W101:W110">$W$76</f>
        <v>Budget</v>
      </c>
      <c r="X101" s="2523" t="e">
        <f ca="1">_PL!X101</f>
        <v>#NAME?</v>
      </c>
      <c r="Y101" s="3199" cm="1">
        <f t="array" ref="Y101">IFBLANK(Y45,"")</f>
        <v>2</v>
      </c>
      <c r="Z101" s="198" cm="1">
        <f t="array" ref="Z101">IFBLANK(Z45,"")</f>
        <v>-1</v>
      </c>
      <c r="AA101" s="200"/>
      <c r="AB101" s="3200" cm="1">
        <f t="array" ref="AB101">IFBLANK(Y101,"")</f>
        <v>2</v>
      </c>
      <c r="AC101" s="124" t="str" cm="1">
        <f t="array" ca="1" aca="1" ref="AC101">_xlfn.LET(_xlpm._termname,$AB101,_xlpm._iconname,"find",_xlpm._icon,fx_getIcon(_xlpm._iconname),_xlpm._location,_xlfn.XLOOKUP(LOWER(_xlpm._termname),LOWER(tbl_acctDef[Term]),tbl_acctDef[Term]),_xlpm._hyperlink,HYPERLINK("#"&amp;CELL("address",_xlpm._location),_xlpm._icon),IFERROR(_xlpm._hyperlink,""))</f>
        <v/>
      </c>
      <c r="AD101" s="3193">
        <v>1</v>
      </c>
      <c r="AE101" s="3193">
        <v>1</v>
      </c>
      <c r="AF101" s="3193">
        <v>1</v>
      </c>
      <c r="AG101" s="3193">
        <v>1</v>
      </c>
      <c r="AH101" s="3193">
        <v>1</v>
      </c>
      <c r="AI101" s="3193">
        <v>1</v>
      </c>
      <c r="AJ101" s="3193">
        <v>1</v>
      </c>
      <c r="AK101" s="3193">
        <v>1</v>
      </c>
      <c r="AL101" s="3193">
        <v>1</v>
      </c>
      <c r="AM101" s="3193">
        <v>1</v>
      </c>
      <c r="AN101" s="3193">
        <v>1</v>
      </c>
      <c r="AO101" s="3193">
        <v>1</v>
      </c>
      <c r="AP101" s="3193">
        <v>1</v>
      </c>
      <c r="AQ101" s="3193">
        <v>1</v>
      </c>
      <c r="AR101" s="3193">
        <v>1</v>
      </c>
      <c r="AS101" s="3193">
        <v>1</v>
      </c>
      <c r="AT101" s="3193">
        <v>1</v>
      </c>
      <c r="AU101" s="3193">
        <v>1</v>
      </c>
      <c r="AV101" s="3193">
        <v>1</v>
      </c>
      <c r="AW101" s="3193">
        <v>1</v>
      </c>
      <c r="AX101" s="3193">
        <v>1</v>
      </c>
      <c r="AY101" s="3193">
        <v>1</v>
      </c>
      <c r="AZ101" s="3193">
        <v>1</v>
      </c>
      <c r="BA101" s="3193">
        <v>1</v>
      </c>
      <c r="BB101" s="3193">
        <v>1</v>
      </c>
      <c r="BC101" s="3193">
        <v>1</v>
      </c>
      <c r="BD101" s="3193">
        <v>1</v>
      </c>
      <c r="BE101" s="3193">
        <v>1</v>
      </c>
      <c r="BF101" s="3193">
        <v>1</v>
      </c>
      <c r="BG101" s="3193">
        <v>1</v>
      </c>
      <c r="BH101" s="3193">
        <v>1</v>
      </c>
      <c r="BI101" s="3193">
        <v>1</v>
      </c>
      <c r="BJ101" s="3193">
        <v>1</v>
      </c>
      <c r="BK101" s="3193">
        <v>1</v>
      </c>
      <c r="BL101" s="3193">
        <v>1</v>
      </c>
      <c r="BM101" s="3193">
        <v>1</v>
      </c>
      <c r="BN101" s="3193">
        <v>1</v>
      </c>
      <c r="BO101" s="2518"/>
      <c r="BP101" s="2518"/>
      <c r="BQ101" s="2518"/>
      <c r="BR101" s="2518"/>
      <c r="BS101" s="2518"/>
      <c r="BT101" s="2518"/>
      <c r="BU101" s="2518"/>
      <c r="BV101" s="2518"/>
      <c r="BW101" s="2518"/>
      <c r="BX101" s="2518"/>
      <c r="BY101" s="2518"/>
      <c r="BZ101" s="2518"/>
      <c r="CA101" s="34"/>
      <c r="CC101" s="33"/>
      <c r="CD101" s="559" t="e">
        <f ca="1">_xlfn.XLOOKUP(CD$74,array_timeline,PL!$AD101:$BN101,"")</f>
        <v>#NAME?</v>
      </c>
      <c r="CE101" s="559" t="e">
        <f ca="1">_xlfn.XLOOKUP(CE$74,array_timeline,PL!$AD$101:$BN$101,"")</f>
        <v>#NAME?</v>
      </c>
      <c r="CF101" s="3"/>
      <c r="CG101" s="1652"/>
      <c r="CH101" s="1653"/>
      <c r="CI101" s="3"/>
      <c r="CJ101" s="3201">
        <f>_xlfn.XLOOKUP(CJ$74,array_timeline,PL!$AD101:$BN101,"")</f>
        <v>1</v>
      </c>
      <c r="CK101" s="3201">
        <f>_xlfn.XLOOKUP(CK$74,array_timeline,PL!$AD$101:$BN$101,"")</f>
        <v>1</v>
      </c>
      <c r="CL101" s="3"/>
      <c r="CM101" s="3194" cm="1">
        <f t="array" ref="CM101">IFBLANK(CM45,"")</f>
        <v>1</v>
      </c>
      <c r="CN101" s="3194" cm="1">
        <f t="array" ref="CN101">IFBLANK(CN45,"")</f>
        <v>1</v>
      </c>
      <c r="CO101" s="992"/>
      <c r="CP101" s="3194" cm="1">
        <f t="array" ref="CP101">IFBLANK(CP45,"")</f>
        <v>1</v>
      </c>
      <c r="CQ101" s="3194" cm="1">
        <f t="array" ref="CQ101">IFBLANK(CQ45,"")</f>
        <v>1</v>
      </c>
      <c r="CR101" s="34"/>
      <c r="CS101" s="2056"/>
      <c r="CT101" s="2447" t="e" cm="1">
        <f t="array" ca="1" aca="1" ref="CT101">IF(Y101="","",IF(ISNUMBER(SEARCH("Select",$Y101)),"",_xldudf_CX_PUSH($Y101,CX_ENTITY,C101,val_asOfDate)))</f>
        <v>#NAME?</v>
      </c>
      <c r="CU101" s="2447" t="e" cm="1">
        <f t="array" ca="1" aca="1" ref="CU101">IF(Y101="","",IF(ISNUMBER(SEARCH("Select",$Y101)),"",_xldudf_CX_PUSH($Y101,CX_ENTITY,C101,EOMONTH(val_asOfDate,1))))</f>
        <v>#NAME?</v>
      </c>
      <c r="CV101" s="2447" t="e" cm="1">
        <f t="array" ca="1" aca="1" ref="CV101">IF(Y101="","",IF(ISNUMBER(SEARCH("Select",$Y101)),"",_xldudf_CX_PUSH($Y101,CX_ENTITY,C101,EOMONTH(val_asOfDate,2))))</f>
        <v>#NAME?</v>
      </c>
      <c r="CW101" s="2447" t="e" cm="1">
        <f t="array" ca="1" aca="1" ref="CW101">IF(Y101="","",IF(ISNUMBER(SEARCH("Select",$Y101)),"",_xldudf_CX_PUSH($Y101,CX_ENTITY,C101,EOMONTH(val_asOfDate,3))))</f>
        <v>#NAME?</v>
      </c>
      <c r="CX101" s="2443"/>
      <c r="CY101" s="2526" t="str" cm="1">
        <f t="array" ca="1" aca="1" ref="CY101">IFERROR(IF(CM101*fxVal_normal=_PL!CM101,"",IF(OR($CN101="",$CN101=0,NOT(ISNUMBER($CN101)),ISERROR($CN101),$B101=""),"",IF($I101=1,IFBLANK(_xldudf_CX_PUSH($CN101*fxVal_normal,CX_ENTITY,$B101,$CN$11,"As of",$CN$19,),""),IF($I101=2,IFBLANK(_xldudf_CX_PUSH($CN101,CX_ENTITY,$B101,$CN$11,"As of",$CN$19,),""),IF($I101=3,"",IFBLANK(_xldudf_CX_PUSH($CN101,CX_ENTITY,$B101,$CN$11,"As of",$CN$19,),"")))))),"")</f>
        <v/>
      </c>
      <c r="CZ101" s="2526" t="str" cm="1">
        <f t="array" ca="1" aca="1" ref="CZ101">IFERROR(IF(CN101*fxVal_normal=_PL!CN101,"",IF(OR($CN101="",$CN101=0,NOT(ISNUMBER($CN101)),ISERROR($CN101),$B101=""),"",IF($I101=1,IFBLANK(_xldudf_CX_PUSH($CN101*fxVal_normal,CX_ENTITY,$B101,$CN$11,"As of",$CN$19,),""),IF($I101=2,IFBLANK(_xldudf_CX_PUSH($CN101,CX_ENTITY,$B101,$CN$11,"As of",$CN$19,),""),IF($I101=3,"",IFBLANK(_xldudf_CX_PUSH($CN101,CX_ENTITY,$B101,$CN$11,"As of",$CN$19,),"")))))),"")</f>
        <v/>
      </c>
      <c r="DA101" s="2526" t="str" cm="1">
        <f t="array" ref="DA101">IFERROR(IF(CO101*fxVal_normal=_PL!CO101,"",IF(OR($CN101="",$CN101=0,NOT(ISNUMBER($CN101)),ISERROR($CN101),$B101=""),"",IF($I101=1,IFBLANK(_xldudf_CX_PUSH($CN101*fxVal_normal,CX_ENTITY,$B101,$CN$11,"As of",$CN$19,),""),IF($I101=2,IFBLANK(_xldudf_CX_PUSH($CN101,CX_ENTITY,$B101,$CN$11,"As of",$CN$19,,),""),IF($I101=3,"",IFBLANK(_xldudf_CX_PUSH($CN101,CX_ENTITY,$B101,$CN$11,"As of",$CN$19,),"")))))),"")</f>
        <v/>
      </c>
      <c r="DB101" s="2526" t="str" cm="1">
        <f t="array" ca="1" aca="1" ref="DB101">IFERROR(IF(CP101*fxVal_normal=_PL!CP101,"",IF(OR($CN101="",$CN101=0,NOT(ISNUMBER($CN101)),ISERROR($CN101),$B101=""),"",IF($I101=1,IFBLANK(_xldudf_CX_PUSH($CN101*fxVal_normal,CX_ENTITY,$B101,$CN$11,"As of",$CN$19,),""),IF($I101=2,IFBLANK(_xldudf_CX_PUSH($CN101,CX_ENTITY,$B101,$CN$11,"As of",$CN$19,),""),IF($I101=3,"",IFBLANK(_xldudf_CX_PUSH($CN101,CX_ENTITY,$B101,$CN$11,"As of",$CN$19,),"")))))),"")</f>
        <v/>
      </c>
      <c r="DC101" s="2443"/>
      <c r="DD101" s="2445" t="str" cm="1">
        <f t="array" ca="1" aca="1" ref="DD101">IFERROR(IF(AD101*fxVal_normal=_PL!AD101,"",IF(OR(AD101="",NOT(ISNUMBER(AD101)),ISERROR(AD101),$B101=""),"",IF($I101=1,IFBLANK(_xldudf_CX_PUSH(AD101*fxVal_normal,CX_ENTITY,$B101,AD$11,"As of",AD$75,),""),IF($I101=2,IFBLANK(_xldudf_CX_PUSH(AD101,CX_ENTITY,$B101,AD$11,"As of",AD$75,),""),IF($I101=3,"",IFBLANK(_xldudf_CX_PUSH(AD101,CX_ENTITY,$B101,AD$11,"As of",AD$75,),"")))))),"")</f>
        <v/>
      </c>
      <c r="DE101" s="2445" t="str" cm="1">
        <f t="array" ca="1" aca="1" ref="DE101">IFERROR(IF(AE101*fxVal_normal=_PL!AE101,"",IF(OR(AE101="",NOT(ISNUMBER(AE101)),ISERROR(AE101),$B101=""),"",IF($I101=1,IFBLANK(_xldudf_CX_PUSH(AE101*fxVal_normal,CX_ENTITY,$B101,AE$11,"As of",AE$75,),""),IF($I101=2,IFBLANK(_xldudf_CX_PUSH(AE101,CX_ENTITY,$B101,AE$11,"As of",AE$75,),""),IF($I101=3,"",IFBLANK(_xldudf_CX_PUSH(AE101,CX_ENTITY,$B101,AE$11,"As of",AE$75,),"")))))),"")</f>
        <v/>
      </c>
      <c r="DF101" s="2445" t="str" cm="1">
        <f t="array" ca="1" aca="1" ref="DF101">IFERROR(IF(AF101*fxVal_normal=_PL!AF101,"",IF(OR(AF101="",NOT(ISNUMBER(AF101)),ISERROR(AF101),$B101=""),"",IF($I101=1,IFBLANK(_xldudf_CX_PUSH(AF101*fxVal_normal,CX_ENTITY,$B101,AF$11,"As of",AF$75,),""),IF($I101=2,IFBLANK(_xldudf_CX_PUSH(AF101,CX_ENTITY,$B101,AF$11,"As of",AF$75,),""),IF($I101=3,"",IFBLANK(_xldudf_CX_PUSH(AF101,CX_ENTITY,$B101,AF$11,"As of",AF$75,),"")))))),"")</f>
        <v/>
      </c>
      <c r="DG101" s="2445" t="str" cm="1">
        <f t="array" ca="1" aca="1" ref="DG101">IFERROR(IF(AG101*fxVal_normal=_PL!AG101,"",IF(OR(AG101="",NOT(ISNUMBER(AG101)),ISERROR(AG101),$B101=""),"",IF($I101=1,IFBLANK(_xldudf_CX_PUSH(AG101*fxVal_normal,CX_ENTITY,$B101,AG$11,"As of",AG$75,),""),IF($I101=2,IFBLANK(_xldudf_CX_PUSH(AG101,CX_ENTITY,$B101,AG$11,"As of",AG$75,),""),IF($I101=3,"",IFBLANK(_xldudf_CX_PUSH(AG101,CX_ENTITY,$B101,AG$11,"As of",AG$75,),"")))))),"")</f>
        <v/>
      </c>
      <c r="DH101" s="2445" t="str" cm="1">
        <f t="array" ca="1" aca="1" ref="DH101">IFERROR(IF(AH101*fxVal_normal=_PL!AH101,"",IF(OR(AH101="",NOT(ISNUMBER(AH101)),ISERROR(AH101),$B101=""),"",IF($I101=1,IFBLANK(_xldudf_CX_PUSH(AH101*fxVal_normal,CX_ENTITY,$B101,AH$11,"As of",AH$75,),""),IF($I101=2,IFBLANK(_xldudf_CX_PUSH(AH101,CX_ENTITY,$B101,AH$11,"As of",AH$75,),""),IF($I101=3,"",IFBLANK(_xldudf_CX_PUSH(AH101,CX_ENTITY,$B101,AH$11,"As of",AH$75,),"")))))),"")</f>
        <v/>
      </c>
      <c r="DI101" s="2445" t="str" cm="1">
        <f t="array" ca="1" aca="1" ref="DI101">IFERROR(IF(AI101*fxVal_normal=_PL!AI101,"",IF(OR(AI101="",NOT(ISNUMBER(AI101)),ISERROR(AI101),$B101=""),"",IF($I101=1,IFBLANK(_xldudf_CX_PUSH(AI101*fxVal_normal,CX_ENTITY,$B101,AI$11,"As of",AI$75,),""),IF($I101=2,IFBLANK(_xldudf_CX_PUSH(AI101,CX_ENTITY,$B101,AI$11,"As of",AI$75,),""),IF($I101=3,"",IFBLANK(_xldudf_CX_PUSH(AI101,CX_ENTITY,$B101,AI$11,"As of",AI$75,),"")))))),"")</f>
        <v/>
      </c>
      <c r="DJ101" s="2445" t="str" cm="1">
        <f t="array" ca="1" aca="1" ref="DJ101">IFERROR(IF(AJ101*fxVal_normal=_PL!AJ101,"",IF(OR(AJ101="",NOT(ISNUMBER(AJ101)),ISERROR(AJ101),$B101=""),"",IF($I101=1,IFBLANK(_xldudf_CX_PUSH(AJ101*fxVal_normal,CX_ENTITY,$B101,AJ$11,"As of",AJ$75,),""),IF($I101=2,IFBLANK(_xldudf_CX_PUSH(AJ101,CX_ENTITY,$B101,AJ$11,"As of",AJ$75,),""),IF($I101=3,"",IFBLANK(_xldudf_CX_PUSH(AJ101,CX_ENTITY,$B101,AJ$11,"As of",AJ$75,),"")))))),"")</f>
        <v/>
      </c>
      <c r="DK101" s="2445" t="str" cm="1">
        <f t="array" ca="1" aca="1" ref="DK101">IFERROR(IF(AK101*fxVal_normal=_PL!AK101,"",IF(OR(AK101="",NOT(ISNUMBER(AK101)),ISERROR(AK101),$B101=""),"",IF($I101=1,IFBLANK(_xldudf_CX_PUSH(AK101*fxVal_normal,CX_ENTITY,$B101,AK$11,"As of",AK$75,),""),IF($I101=2,IFBLANK(_xldudf_CX_PUSH(AK101,CX_ENTITY,$B101,AK$11,"As of",AK$75,),""),IF($I101=3,"",IFBLANK(_xldudf_CX_PUSH(AK101,CX_ENTITY,$B101,AK$11,"As of",AK$75,),"")))))),"")</f>
        <v/>
      </c>
      <c r="DL101" s="2445" t="str" cm="1">
        <f t="array" ca="1" aca="1" ref="DL101">IFERROR(IF(AL101*fxVal_normal=_PL!AL101,"",IF(OR(AL101="",NOT(ISNUMBER(AL101)),ISERROR(AL101),$B101=""),"",IF($I101=1,IFBLANK(_xldudf_CX_PUSH(AL101*fxVal_normal,CX_ENTITY,$B101,AL$11,"As of",AL$75,),""),IF($I101=2,IFBLANK(_xldudf_CX_PUSH(AL101,CX_ENTITY,$B101,AL$11,"As of",AL$75,),""),IF($I101=3,"",IFBLANK(_xldudf_CX_PUSH(AL101,CX_ENTITY,$B101,AL$11,"As of",AL$75,),"")))))),"")</f>
        <v/>
      </c>
      <c r="DM101" s="2445" t="str" cm="1">
        <f t="array" ca="1" aca="1" ref="DM101">IFERROR(IF(AM101*fxVal_normal=_PL!AM101,"",IF(OR(AM101="",NOT(ISNUMBER(AM101)),ISERROR(AM101),$B101=""),"",IF($I101=1,IFBLANK(_xldudf_CX_PUSH(AM101*fxVal_normal,CX_ENTITY,$B101,AM$11,"As of",AM$75,),""),IF($I101=2,IFBLANK(_xldudf_CX_PUSH(AM101,CX_ENTITY,$B101,AM$11,"As of",AM$75,),""),IF($I101=3,"",IFBLANK(_xldudf_CX_PUSH(AM101,CX_ENTITY,$B101,AM$11,"As of",AM$75,),"")))))),"")</f>
        <v/>
      </c>
      <c r="DN101" s="2445" t="str" cm="1">
        <f t="array" ca="1" aca="1" ref="DN101">IFERROR(IF(AN101*fxVal_normal=_PL!AN101,"",IF(OR(AN101="",NOT(ISNUMBER(AN101)),ISERROR(AN101),$B101=""),"",IF($I101=1,IFBLANK(_xldudf_CX_PUSH(AN101*fxVal_normal,CX_ENTITY,$B101,AN$11,"As of",AN$75,),""),IF($I101=2,IFBLANK(_xldudf_CX_PUSH(AN101,CX_ENTITY,$B101,AN$11,"As of",AN$75,),""),IF($I101=3,"",IFBLANK(_xldudf_CX_PUSH(AN101,CX_ENTITY,$B101,AN$11,"As of",AN$75,),"")))))),"")</f>
        <v/>
      </c>
      <c r="DO101" s="2445" t="str" cm="1">
        <f t="array" ca="1" aca="1" ref="DO101">IFERROR(IF(AO101*fxVal_normal=_PL!AO101,"",IF(OR(AO101="",NOT(ISNUMBER(AO101)),ISERROR(AO101),$B101=""),"",IF($I101=1,IFBLANK(_xldudf_CX_PUSH(AO101*fxVal_normal,CX_ENTITY,$B101,AO$11,"As of",AO$75,),""),IF($I101=2,IFBLANK(_xldudf_CX_PUSH(AO101,CX_ENTITY,$B101,AO$11,"As of",AO$75,),""),IF($I101=3,"",IFBLANK(_xldudf_CX_PUSH(AO101,CX_ENTITY,$B101,AO$11,"As of",AO$75,),"")))))),"")</f>
        <v/>
      </c>
      <c r="DP101" s="2445" t="str" cm="1">
        <f t="array" ca="1" aca="1" ref="DP101">IFERROR(IF(AP101*fxVal_normal=_PL!AP101,"",IF(OR(AP101="",NOT(ISNUMBER(AP101)),ISERROR(AP101),$B101=""),"",IF($I101=1,IFBLANK(_xldudf_CX_PUSH(AP101*fxVal_normal,CX_ENTITY,$B101,AP$11,"As of",AP$75,),""),IF($I101=2,IFBLANK(_xldudf_CX_PUSH(AP101,CX_ENTITY,$B101,AP$11,"As of",AP$75,),""),IF($I101=3,"",IFBLANK(_xldudf_CX_PUSH(AP101,CX_ENTITY,$B101,AP$11,"As of",AP$75,),"")))))),"")</f>
        <v/>
      </c>
      <c r="DQ101" s="2445" t="str" cm="1">
        <f t="array" ca="1" aca="1" ref="DQ101">IFERROR(IF(AQ101*fxVal_normal=_PL!AQ101,"",IF(OR(AQ101="",NOT(ISNUMBER(AQ101)),ISERROR(AQ101),$B101=""),"",IF($I101=1,IFBLANK(_xldudf_CX_PUSH(AQ101*fxVal_normal,CX_ENTITY,$B101,AQ$11,"As of",AQ$75,),""),IF($I101=2,IFBLANK(_xldudf_CX_PUSH(AQ101,CX_ENTITY,$B101,AQ$11,"As of",AQ$75,),""),IF($I101=3,"",IFBLANK(_xldudf_CX_PUSH(AQ101,CX_ENTITY,$B101,AQ$11,"As of",AQ$75,),"")))))),"")</f>
        <v/>
      </c>
      <c r="DR101" s="2445" t="str" cm="1">
        <f t="array" ca="1" aca="1" ref="DR101">IFERROR(IF(AR101*fxVal_normal=_PL!AR101,"",IF(OR(AR101="",NOT(ISNUMBER(AR101)),ISERROR(AR101),$B101=""),"",IF($I101=1,IFBLANK(_xldudf_CX_PUSH(AR101*fxVal_normal,CX_ENTITY,$B101,AR$11,"As of",AR$75,),""),IF($I101=2,IFBLANK(_xldudf_CX_PUSH(AR101,CX_ENTITY,$B101,AR$11,"As of",AR$75,),""),IF($I101=3,"",IFBLANK(_xldudf_CX_PUSH(AR101,CX_ENTITY,$B101,AR$11,"As of",AR$75,),"")))))),"")</f>
        <v/>
      </c>
      <c r="DS101" s="2445" t="str" cm="1">
        <f t="array" ca="1" aca="1" ref="DS101">IFERROR(IF(AS101*fxVal_normal=_PL!AS101,"",IF(OR(AS101="",NOT(ISNUMBER(AS101)),ISERROR(AS101),$B101=""),"",IF($I101=1,IFBLANK(_xldudf_CX_PUSH(AS101*fxVal_normal,CX_ENTITY,$B101,AS$11,"As of",AS$75,),""),IF($I101=2,IFBLANK(_xldudf_CX_PUSH(AS101,CX_ENTITY,$B101,AS$11,"As of",AS$75,),""),IF($I101=3,"",IFBLANK(_xldudf_CX_PUSH(AS101,CX_ENTITY,$B101,AS$11,"As of",AS$75,),"")))))),"")</f>
        <v/>
      </c>
      <c r="DT101" s="2445" t="str" cm="1">
        <f t="array" ca="1" aca="1" ref="DT101">IFERROR(IF(AT101*fxVal_normal=_PL!AT101,"",IF(OR(AT101="",NOT(ISNUMBER(AT101)),ISERROR(AT101),$B101=""),"",IF($I101=1,IFBLANK(_xldudf_CX_PUSH(AT101*fxVal_normal,CX_ENTITY,$B101,AT$11,"As of",AT$75,),""),IF($I101=2,IFBLANK(_xldudf_CX_PUSH(AT101,CX_ENTITY,$B101,AT$11,"As of",AT$75,),""),IF($I101=3,"",IFBLANK(_xldudf_CX_PUSH(AT101,CX_ENTITY,$B101,AT$11,"As of",AT$75,),"")))))),"")</f>
        <v/>
      </c>
      <c r="DU101" s="2445" t="str" cm="1">
        <f t="array" ca="1" aca="1" ref="DU101">IFERROR(IF(AU101*fxVal_normal=_PL!AU101,"",IF(OR(AU101="",NOT(ISNUMBER(AU101)),ISERROR(AU101),$B101=""),"",IF($I101=1,IFBLANK(_xldudf_CX_PUSH(AU101*fxVal_normal,CX_ENTITY,$B101,AU$11,"As of",AU$75,),""),IF($I101=2,IFBLANK(_xldudf_CX_PUSH(AU101,CX_ENTITY,$B101,AU$11,"As of",AU$75,),""),IF($I101=3,"",IFBLANK(_xldudf_CX_PUSH(AU101,CX_ENTITY,$B101,AU$11,"As of",AU$75,),"")))))),"")</f>
        <v/>
      </c>
      <c r="DV101" s="2445" t="str" cm="1">
        <f t="array" ca="1" aca="1" ref="DV101">IFERROR(IF(AV101*fxVal_normal=_PL!AV101,"",IF(OR(AV101="",NOT(ISNUMBER(AV101)),ISERROR(AV101),$B101=""),"",IF($I101=1,IFBLANK(_xldudf_CX_PUSH(AV101*fxVal_normal,CX_ENTITY,$B101,AV$11,"As of",AV$75,),""),IF($I101=2,IFBLANK(_xldudf_CX_PUSH(AV101,CX_ENTITY,$B101,AV$11,"As of",AV$75,),""),IF($I101=3,"",IFBLANK(_xldudf_CX_PUSH(AV101,CX_ENTITY,$B101,AV$11,"As of",AV$75,),"")))))),"")</f>
        <v/>
      </c>
      <c r="DW101" s="2445" t="str" cm="1">
        <f t="array" ca="1" aca="1" ref="DW101">IFERROR(IF(AW101*fxVal_normal=_PL!AW101,"",IF(OR(AW101="",NOT(ISNUMBER(AW101)),ISERROR(AW101),$B101=""),"",IF($I101=1,IFBLANK(_xldudf_CX_PUSH(AW101*fxVal_normal,CX_ENTITY,$B101,AW$11,"As of",AW$75,),""),IF($I101=2,IFBLANK(_xldudf_CX_PUSH(AW101,CX_ENTITY,$B101,AW$11,"As of",AW$75,),""),IF($I101=3,"",IFBLANK(_xldudf_CX_PUSH(AW101,CX_ENTITY,$B101,AW$11,"As of",AW$75,),"")))))),"")</f>
        <v/>
      </c>
      <c r="DX101" s="2445" t="str" cm="1">
        <f t="array" ca="1" aca="1" ref="DX101">IFERROR(IF(AX101*fxVal_normal=_PL!AX101,"",IF(OR(AX101="",NOT(ISNUMBER(AX101)),ISERROR(AX101),$B101=""),"",IF($I101=1,IFBLANK(_xldudf_CX_PUSH(AX101*fxVal_normal,CX_ENTITY,$B101,AX$11,"As of",AX$75,),""),IF($I101=2,IFBLANK(_xldudf_CX_PUSH(AX101,CX_ENTITY,$B101,AX$11,"As of",AX$75,),""),IF($I101=3,"",IFBLANK(_xldudf_CX_PUSH(AX101,CX_ENTITY,$B101,AX$11,"As of",AX$75,),"")))))),"")</f>
        <v/>
      </c>
      <c r="DY101" s="2445" t="str" cm="1">
        <f t="array" ca="1" aca="1" ref="DY101">IFERROR(IF(AY101*fxVal_normal=_PL!AY101,"",IF(OR(AY101="",NOT(ISNUMBER(AY101)),ISERROR(AY101),$B101=""),"",IF($I101=1,IFBLANK(_xldudf_CX_PUSH(AY101*fxVal_normal,CX_ENTITY,$B101,AY$11,"As of",AY$75,),""),IF($I101=2,IFBLANK(_xldudf_CX_PUSH(AY101,CX_ENTITY,$B101,AY$11,"As of",AY$75,),""),IF($I101=3,"",IFBLANK(_xldudf_CX_PUSH(AY101,CX_ENTITY,$B101,AY$11,"As of",AY$75,),"")))))),"")</f>
        <v/>
      </c>
      <c r="DZ101" s="2445" t="str" cm="1">
        <f t="array" ca="1" aca="1" ref="DZ101">IFERROR(IF(AZ101*fxVal_normal=_PL!AZ101,"",IF(OR(AZ101="",NOT(ISNUMBER(AZ101)),ISERROR(AZ101),$B101=""),"",IF($I101=1,IFBLANK(_xldudf_CX_PUSH(AZ101*fxVal_normal,CX_ENTITY,$B101,AZ$11,"As of",AZ$75,),""),IF($I101=2,IFBLANK(_xldudf_CX_PUSH(AZ101,CX_ENTITY,$B101,AZ$11,"As of",AZ$75,),""),IF($I101=3,"",IFBLANK(_xldudf_CX_PUSH(AZ101,CX_ENTITY,$B101,AZ$11,"As of",AZ$75,),"")))))),"")</f>
        <v/>
      </c>
      <c r="EA101" s="2445" t="str" cm="1">
        <f t="array" ca="1" aca="1" ref="EA101">IFERROR(IF(BA101*fxVal_normal=_PL!BA101,"",IF(OR(BA101="",NOT(ISNUMBER(BA101)),ISERROR(BA101),$B101=""),"",IF($I101=1,IFBLANK(_xldudf_CX_PUSH(BA101*fxVal_normal,CX_ENTITY,$B101,BA$11,"As of",BA$75,),""),IF($I101=2,IFBLANK(_xldudf_CX_PUSH(BA101,CX_ENTITY,$B101,BA$11,"As of",BA$75,),""),IF($I101=3,"",IFBLANK(_xldudf_CX_PUSH(BA101,CX_ENTITY,$B101,BA$11,"As of",BA$75,),"")))))),"")</f>
        <v/>
      </c>
      <c r="EB101" s="2445" t="str" cm="1">
        <f t="array" ca="1" aca="1" ref="EB101">IFERROR(IF(BB101*fxVal_normal=_PL!BB101,"",IF(OR(BB101="",NOT(ISNUMBER(BB101)),ISERROR(BB101),$B101=""),"",IF($I101=1,IFBLANK(_xldudf_CX_PUSH(BB101*fxVal_normal,CX_ENTITY,$B101,BB$11,"As of",BB$75,),""),IF($I101=2,IFBLANK(_xldudf_CX_PUSH(BB101,CX_ENTITY,$B101,BB$11,"As of",BB$75,),""),IF($I101=3,"",IFBLANK(_xldudf_CX_PUSH(BB101,CX_ENTITY,$B101,BB$11,"As of",BB$75,),"")))))),"")</f>
        <v/>
      </c>
      <c r="EC101" s="2445" t="str" cm="1">
        <f t="array" ca="1" aca="1" ref="EC101">IFERROR(IF(BC101*fxVal_normal=_PL!BC101,"",IF(OR(BC101="",NOT(ISNUMBER(BC101)),ISERROR(BC101),$B101=""),"",IF($I101=1,IFBLANK(_xldudf_CX_PUSH(BC101*fxVal_normal,CX_ENTITY,$B101,BC$11,"As of",BC$75,),""),IF($I101=2,IFBLANK(_xldudf_CX_PUSH(BC101,CX_ENTITY,$B101,BC$11,"As of",BC$75,),""),IF($I101=3,"",IFBLANK(_xldudf_CX_PUSH(BC101,CX_ENTITY,$B101,BC$11,"As of",BC$75,),"")))))),"")</f>
        <v/>
      </c>
      <c r="ED101" s="2445" t="str" cm="1">
        <f t="array" ca="1" aca="1" ref="ED101">IFERROR(IF(BD101*fxVal_normal=_PL!BD101,"",IF(OR(BD101="",NOT(ISNUMBER(BD101)),ISERROR(BD101),$B101=""),"",IF($I101=1,IFBLANK(_xldudf_CX_PUSH(BD101*fxVal_normal,CX_ENTITY,$B101,BD$11,"As of",BD$75,),""),IF($I101=2,IFBLANK(_xldudf_CX_PUSH(BD101,CX_ENTITY,$B101,BD$11,"As of",BD$75,),""),IF($I101=3,"",IFBLANK(_xldudf_CX_PUSH(BD101,CX_ENTITY,$B101,BD$11,"As of",BD$75,),"")))))),"")</f>
        <v/>
      </c>
      <c r="EE101" s="2445" t="str" cm="1">
        <f t="array" ca="1" aca="1" ref="EE101">IFERROR(IF(BE101*fxVal_normal=_PL!BE101,"",IF(OR(BE101="",NOT(ISNUMBER(BE101)),ISERROR(BE101),$B101=""),"",IF($I101=1,IFBLANK(_xldudf_CX_PUSH(BE101*fxVal_normal,CX_ENTITY,$B101,BE$11,"As of",BE$75,),""),IF($I101=2,IFBLANK(_xldudf_CX_PUSH(BE101,CX_ENTITY,$B101,BE$11,"As of",BE$75,),""),IF($I101=3,"",IFBLANK(_xldudf_CX_PUSH(BE101,CX_ENTITY,$B101,BE$11,"As of",BE$75,),"")))))),"")</f>
        <v/>
      </c>
      <c r="EF101" s="2445" t="str" cm="1">
        <f t="array" ca="1" aca="1" ref="EF101">IFERROR(IF(BF101*fxVal_normal=_PL!BF101,"",IF(OR(BF101="",NOT(ISNUMBER(BF101)),ISERROR(BF101),$B101=""),"",IF($I101=1,IFBLANK(_xldudf_CX_PUSH(BF101*fxVal_normal,CX_ENTITY,$B101,BF$11,"As of",BF$75,),""),IF($I101=2,IFBLANK(_xldudf_CX_PUSH(BF101,CX_ENTITY,$B101,BF$11,"As of",BF$75,),""),IF($I101=3,"",IFBLANK(_xldudf_CX_PUSH(BF101,CX_ENTITY,$B101,BF$11,"As of",BF$75,),"")))))),"")</f>
        <v/>
      </c>
      <c r="EG101" s="2445" t="str" cm="1">
        <f t="array" ca="1" aca="1" ref="EG101">IFERROR(IF(BG101*fxVal_normal=_PL!BG101,"",IF(OR(BG101="",NOT(ISNUMBER(BG101)),ISERROR(BG101),$B101=""),"",IF($I101=1,IFBLANK(_xldudf_CX_PUSH(BG101*fxVal_normal,CX_ENTITY,$B101,BG$11,"As of",BG$75,),""),IF($I101=2,IFBLANK(_xldudf_CX_PUSH(BG101,CX_ENTITY,$B101,BG$11,"As of",BG$75,),""),IF($I101=3,"",IFBLANK(_xldudf_CX_PUSH(BG101,CX_ENTITY,$B101,BG$11,"As of",BG$75,),"")))))),"")</f>
        <v/>
      </c>
      <c r="EH101" s="2445" t="str" cm="1">
        <f t="array" ca="1" aca="1" ref="EH101">IFERROR(IF(BH101*fxVal_normal=_PL!BH101,"",IF(OR(BH101="",NOT(ISNUMBER(BH101)),ISERROR(BH101),$B101=""),"",IF($I101=1,IFBLANK(_xldudf_CX_PUSH(BH101*fxVal_normal,CX_ENTITY,$B101,BH$11,"As of",BH$75,),""),IF($I101=2,IFBLANK(_xldudf_CX_PUSH(BH101,CX_ENTITY,$B101,BH$11,"As of",BH$75,),""),IF($I101=3,"",IFBLANK(_xldudf_CX_PUSH(BH101,CX_ENTITY,$B101,BH$11,"As of",BH$75,),"")))))),"")</f>
        <v/>
      </c>
      <c r="EI101" s="2445" t="str" cm="1">
        <f t="array" ca="1" aca="1" ref="EI101">IFERROR(IF(BI101*fxVal_normal=_PL!BI101,"",IF(OR(BI101="",NOT(ISNUMBER(BI101)),ISERROR(BI101),$B101=""),"",IF($I101=1,IFBLANK(_xldudf_CX_PUSH(BI101*fxVal_normal,CX_ENTITY,$B101,BI$11,"As of",BI$75,),""),IF($I101=2,IFBLANK(_xldudf_CX_PUSH(BI101,CX_ENTITY,$B101,BI$11,"As of",BI$75,),""),IF($I101=3,"",IFBLANK(_xldudf_CX_PUSH(BI101,CX_ENTITY,$B101,BI$11,"As of",BI$75,),"")))))),"")</f>
        <v/>
      </c>
      <c r="EJ101" s="2445" t="str" cm="1">
        <f t="array" ca="1" aca="1" ref="EJ101">IFERROR(IF(BJ101*fxVal_normal=_PL!BJ101,"",IF(OR(BJ101="",NOT(ISNUMBER(BJ101)),ISERROR(BJ101),$B101=""),"",IF($I101=1,IFBLANK(_xldudf_CX_PUSH(BJ101*fxVal_normal,CX_ENTITY,$B101,BJ$11,"As of",BJ$75,),""),IF($I101=2,IFBLANK(_xldudf_CX_PUSH(BJ101,CX_ENTITY,$B101,BJ$11,"As of",BJ$75,),""),IF($I101=3,"",IFBLANK(_xldudf_CX_PUSH(BJ101,CX_ENTITY,$B101,BJ$11,"As of",BJ$75,),"")))))),"")</f>
        <v/>
      </c>
      <c r="EK101" s="2445" t="str" cm="1">
        <f t="array" ca="1" aca="1" ref="EK101">IFERROR(IF(BK101*fxVal_normal=_PL!BK101,"",IF(OR(BK101="",NOT(ISNUMBER(BK101)),ISERROR(BK101),$B101=""),"",IF($I101=1,IFBLANK(_xldudf_CX_PUSH(BK101*fxVal_normal,CX_ENTITY,$B101,BK$11,"As of",BK$75,),""),IF($I101=2,IFBLANK(_xldudf_CX_PUSH(BK101,CX_ENTITY,$B101,BK$11,"As of",BK$75,),""),IF($I101=3,"",IFBLANK(_xldudf_CX_PUSH(BK101,CX_ENTITY,$B101,BK$11,"As of",BK$75,),"")))))),"")</f>
        <v/>
      </c>
      <c r="EL101" s="2445" t="str" cm="1">
        <f t="array" ca="1" aca="1" ref="EL101">IFERROR(IF(BL101*fxVal_normal=_PL!BL101,"",IF(OR(BL101="",NOT(ISNUMBER(BL101)),ISERROR(BL101),$B101=""),"",IF($I101=1,IFBLANK(_xldudf_CX_PUSH(BL101*fxVal_normal,CX_ENTITY,$B101,BL$11,"As of",BL$75,),""),IF($I101=2,IFBLANK(_xldudf_CX_PUSH(BL101,CX_ENTITY,$B101,BL$11,"As of",BL$75,),""),IF($I101=3,"",IFBLANK(_xldudf_CX_PUSH(BL101,CX_ENTITY,$B101,BL$11,"As of",BL$75,),"")))))),"")</f>
        <v/>
      </c>
      <c r="EM101" s="2445" t="str" cm="1">
        <f t="array" ca="1" aca="1" ref="EM101">IFERROR(IF(BM101*fxVal_normal=_PL!BM101,"",IF(OR(BM101="",NOT(ISNUMBER(BM101)),ISERROR(BM101),$B101=""),"",IF($I101=1,IFBLANK(_xldudf_CX_PUSH(BM101*fxVal_normal,CX_ENTITY,$B101,BM$11,"As of",BM$75,),""),IF($I101=2,IFBLANK(_xldudf_CX_PUSH(BM101,CX_ENTITY,$B101,BM$11,"As of",BM$75,),""),IF($I101=3,"",IFBLANK(_xldudf_CX_PUSH(BM101,CX_ENTITY,$B101,BM$11,"As of",BM$75,),"")))))),"")</f>
        <v/>
      </c>
      <c r="EN101" s="2445" t="str" cm="1">
        <f t="array" ca="1" aca="1" ref="EN101">IFERROR(IF(BN101*fxVal_normal=_PL!BN101,"",IF(OR(BN101="",NOT(ISNUMBER(BN101)),ISERROR(BN101),$B101=""),"",IF($I101=1,IFBLANK(_xldudf_CX_PUSH(BN101*fxVal_normal,CX_ENTITY,$B101,BN$11,"As of",BN$75,),""),IF($I101=2,IFBLANK(_xldudf_CX_PUSH(BN101,CX_ENTITY,$B101,BN$11,"As of",BN$75,),""),IF($I101=3,"",IFBLANK(_xldudf_CX_PUSH(BN101,CX_ENTITY,$B101,BN$11,"As of",BN$75,),"")))))),"")</f>
        <v/>
      </c>
    </row>
    <row r="102" spans="1:144" ht="21" customHeight="1">
      <c r="A102" s="1626"/>
      <c r="B102" s="2501" t="str">
        <f>_xlfn.LET(_xlpm.IsNotAttrDynamic,D102="",_xlpm.Attr,_PL!F102,_xlpm.NotInUse,Y102=D102,_xlpm.RESULT,IF(_xlpm.IsNotAttrDynamic,_xlpm.Attr,IF(_xlpm.NotInUse,"",Y102)),IF(_xlpm.RESULT="","",_xlpm.RESULT))</f>
        <v>Custom Metric Amount 1</v>
      </c>
      <c r="C102" s="3463" t="str" cm="1">
        <f t="array" ref="C102">IFBLANK(_PL!C102,"")</f>
        <v>Custom Metric - Label 1</v>
      </c>
      <c r="D102" s="1548"/>
      <c r="E102" s="2440" t="e" cm="1">
        <f t="array" ca="1" aca="1" ref="E10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102:$CQ102,Z102)</f>
        <v>#NAME?</v>
      </c>
      <c r="F102" s="578"/>
      <c r="G102" s="578"/>
      <c r="H102" s="3280">
        <v>1</v>
      </c>
      <c r="I102" s="3280">
        <v>1</v>
      </c>
      <c r="J102" s="401" cm="1">
        <f t="array" ref="J102">IFBLANK(Z102,"")</f>
        <v>-1</v>
      </c>
      <c r="K102" s="578" t="str">
        <f>IFERROR(IF(LEN(AB102)=0,"No",IF(LEN(J102)&gt;0,"Yes","No")),"")</f>
        <v>Yes</v>
      </c>
      <c r="L102" s="37"/>
      <c r="N102" s="158"/>
      <c r="O102" s="101"/>
      <c r="P102" s="52"/>
      <c r="Q102" s="101"/>
      <c r="R102" s="126"/>
      <c r="S102" s="101"/>
      <c r="T102" s="101"/>
      <c r="U102" s="39"/>
      <c r="V102" s="37"/>
      <c r="W102" s="91" t="str">
        <f t="shared" si="43"/>
        <v>Budget</v>
      </c>
      <c r="X102" s="2523" t="e">
        <f ca="1">_PL!X102</f>
        <v>#NAME?</v>
      </c>
      <c r="Y102" s="3202" cm="1">
        <f t="array" ref="Y102">IFBLANK(Y46,"")</f>
        <v>2</v>
      </c>
      <c r="Z102" s="198" cm="1">
        <f t="array" ref="Z102">IFBLANK(Z46,"")</f>
        <v>-1</v>
      </c>
      <c r="AA102" s="200"/>
      <c r="AB102" s="3200" cm="1">
        <f t="array" ref="AB102">IFBLANK(Y102,"")</f>
        <v>2</v>
      </c>
      <c r="AC102" s="124" t="str" cm="1">
        <f t="array" ca="1" aca="1" ref="AC102">_xlfn.LET(_xlpm._termname,$AB102,_xlpm._iconname,"find",_xlpm._icon,fx_getIcon(_xlpm._iconname),_xlpm._location,_xlfn.XLOOKUP(LOWER(_xlpm._termname),LOWER(tbl_acctDef[Term]),tbl_acctDef[Term]),_xlpm._hyperlink,HYPERLINK("#"&amp;CELL("address",_xlpm._location),_xlpm._icon),IFERROR(_xlpm._hyperlink,""))</f>
        <v/>
      </c>
      <c r="AD102" s="3177">
        <v>1</v>
      </c>
      <c r="AE102" s="3177">
        <v>1</v>
      </c>
      <c r="AF102" s="3177">
        <v>1</v>
      </c>
      <c r="AG102" s="3177">
        <v>1</v>
      </c>
      <c r="AH102" s="3177">
        <v>1</v>
      </c>
      <c r="AI102" s="3177">
        <v>1</v>
      </c>
      <c r="AJ102" s="3177">
        <v>1</v>
      </c>
      <c r="AK102" s="3177">
        <v>1</v>
      </c>
      <c r="AL102" s="3177">
        <v>1</v>
      </c>
      <c r="AM102" s="3177">
        <v>1</v>
      </c>
      <c r="AN102" s="3177">
        <v>1</v>
      </c>
      <c r="AO102" s="3177">
        <v>1</v>
      </c>
      <c r="AP102" s="3177">
        <v>1</v>
      </c>
      <c r="AQ102" s="3177">
        <v>1</v>
      </c>
      <c r="AR102" s="3177">
        <v>1</v>
      </c>
      <c r="AS102" s="3177">
        <v>1</v>
      </c>
      <c r="AT102" s="3177">
        <v>1</v>
      </c>
      <c r="AU102" s="3177">
        <v>1</v>
      </c>
      <c r="AV102" s="3177">
        <v>1</v>
      </c>
      <c r="AW102" s="3177">
        <v>1</v>
      </c>
      <c r="AX102" s="3177">
        <v>1</v>
      </c>
      <c r="AY102" s="3177">
        <v>1</v>
      </c>
      <c r="AZ102" s="3177">
        <v>1</v>
      </c>
      <c r="BA102" s="3177">
        <v>1</v>
      </c>
      <c r="BB102" s="3177">
        <v>1</v>
      </c>
      <c r="BC102" s="3177">
        <v>1</v>
      </c>
      <c r="BD102" s="3177">
        <v>1</v>
      </c>
      <c r="BE102" s="3177">
        <v>1</v>
      </c>
      <c r="BF102" s="3177">
        <v>1</v>
      </c>
      <c r="BG102" s="3177">
        <v>1</v>
      </c>
      <c r="BH102" s="3177">
        <v>1</v>
      </c>
      <c r="BI102" s="3177">
        <v>1</v>
      </c>
      <c r="BJ102" s="3177">
        <v>1</v>
      </c>
      <c r="BK102" s="3177">
        <v>1</v>
      </c>
      <c r="BL102" s="3177">
        <v>1</v>
      </c>
      <c r="BM102" s="3177">
        <v>1</v>
      </c>
      <c r="BN102" s="3177">
        <v>1</v>
      </c>
      <c r="BO102" s="2518"/>
      <c r="BP102" s="2518"/>
      <c r="BQ102" s="2518"/>
      <c r="BR102" s="2518"/>
      <c r="BS102" s="2518"/>
      <c r="BT102" s="2518"/>
      <c r="BU102" s="2518"/>
      <c r="BV102" s="2518"/>
      <c r="BW102" s="2518"/>
      <c r="BX102" s="2518"/>
      <c r="BY102" s="2518"/>
      <c r="BZ102" s="2518"/>
      <c r="CA102" s="34"/>
      <c r="CC102" s="33"/>
      <c r="CD102" s="1772" t="e" cm="1">
        <f t="array" ca="1" aca="1" ref="CD102">_xlfn.LET(_xlpm.CheckBlank,SUM(PL!$AD102:$BN102)=0,IF(_xlpm.CheckBlank,"",SUM(_xlfn._xlws.FILTER(PL!$AD102:$BN102,(YEAR(PL!$AD$12:$BN$12)=PL!CD$12)*(array_timeline&lt;=PL!CD$11)))))</f>
        <v>#NAME?</v>
      </c>
      <c r="CE102" s="1772" t="e" cm="1">
        <f t="array" ca="1" aca="1" ref="CE102">_xlfn.LET(_xlpm.CheckBlank,SUM(PL!$AD102:$BN102)=0,IF(_xlpm.CheckBlank,"",SUM(_xlfn._xlws.FILTER(PL!$AD102:$BN102,(YEAR(PL!$AD$12:$BN$12)=PL!CE$12)*(array_timeline&lt;=PL!CE$11)))))</f>
        <v>#NAME?</v>
      </c>
      <c r="CF102" s="3"/>
      <c r="CG102" s="1461" t="e" cm="1">
        <f t="array" ca="1" aca="1" ref="CG102">_xlfn.LET(_xlpm.CheckBlank,SUM(PL!$AD102:$BN102)=0,IF(_xlpm.CheckBlank,"",SUM(_xlfn._xlws.FILTER(PL!$AD102:$BN102,(YEAR(PL!$AD$12:$BN$12)=PL!CG$12)*(array_timeline&lt;=PL!CG$11)))))</f>
        <v>#NAME?</v>
      </c>
      <c r="CH102" s="1461" t="e" cm="1">
        <f t="array" ca="1" aca="1" ref="CH102">_xlfn.LET(_xlpm.CheckBlank,SUM(PL!$AD102:$BN102)=0,IF(_xlpm.CheckBlank,"",SUM(_xlfn._xlws.FILTER(PL!$AD102:$BN102,(YEAR(PL!$AD$12:$BN$12)=PL!CH$12)*(array_timeline&lt;=PL!CH$11)))))</f>
        <v>#NAME?</v>
      </c>
      <c r="CI102" s="3"/>
      <c r="CJ102" s="2613" cm="1">
        <f t="array" ref="CJ102">_xlfn.LET(_xlpm.CheckBlank,SUM(PL!$AD102:$BN102)=0,IF(_xlpm.CheckBlank,"",SUM(_xlfn.TAKE(_xlfn.DROP(PL!$AD102:$BN102,,-DATEDIFF(PL!CJ$11,val_asOfDate,"M")),1,-12))))</f>
        <v>12</v>
      </c>
      <c r="CK102" s="2613" cm="1">
        <f t="array" ref="CK102">_xlfn.LET(_xlpm.CheckBlank,SUM(PL!$AD102:$BN102)=0,IF(_xlpm.CheckBlank,"",SUM(_xlfn.TAKE(_xlfn.DROP(PL!$AD102:$BN102,,-DATEDIFF(PL!CK$11,val_asOfDate,"M")),1,-12))))</f>
        <v>12</v>
      </c>
      <c r="CL102" s="3"/>
      <c r="CM102" s="3203" cm="1">
        <f t="array" ref="CM102">IFBLANK(CM46,"")</f>
        <v>1</v>
      </c>
      <c r="CN102" s="3203" cm="1">
        <f t="array" ref="CN102">IFBLANK(CN46,"")</f>
        <v>1</v>
      </c>
      <c r="CO102" s="88"/>
      <c r="CP102" s="3203" cm="1">
        <f t="array" ref="CP102">IFBLANK(CP46,"")</f>
        <v>1</v>
      </c>
      <c r="CQ102" s="3203" cm="1">
        <f t="array" ref="CQ102">IFBLANK(CQ46,"")</f>
        <v>1</v>
      </c>
      <c r="CR102" s="34"/>
      <c r="CS102" s="2056"/>
      <c r="CT102" s="2447" t="e" cm="1">
        <f t="array" ca="1" aca="1" ref="CT102">IF(Y102="","",IF(ISNUMBER(SEARCH("Select",$Y102)),"",_xldudf_CX_PUSH($Y102,CX_ENTITY,C102,val_asOfDate)))</f>
        <v>#NAME?</v>
      </c>
      <c r="CU102" s="2447" t="e" cm="1">
        <f t="array" ca="1" aca="1" ref="CU102">IF(Y102="","",IF(ISNUMBER(SEARCH("Select",$Y102)),"",_xldudf_CX_PUSH($Y102,CX_ENTITY,C102,EOMONTH(val_asOfDate,1))))</f>
        <v>#NAME?</v>
      </c>
      <c r="CV102" s="2447" t="e" cm="1">
        <f t="array" ca="1" aca="1" ref="CV102">IF(Y102="","",IF(ISNUMBER(SEARCH("Select",$Y102)),"",_xldudf_CX_PUSH($Y102,CX_ENTITY,C102,EOMONTH(val_asOfDate,2))))</f>
        <v>#NAME?</v>
      </c>
      <c r="CW102" s="2447" t="e" cm="1">
        <f t="array" ca="1" aca="1" ref="CW102">IF(Y102="","",IF(ISNUMBER(SEARCH("Select",$Y102)),"",_xldudf_CX_PUSH($Y102,CX_ENTITY,C102,EOMONTH(val_asOfDate,3))))</f>
        <v>#NAME?</v>
      </c>
      <c r="CX102" s="2443"/>
      <c r="CY102" s="2444" t="str" cm="1">
        <f t="array" ca="1" aca="1" ref="CY102">IFERROR(IF(CM102*fxVal_normal=_PL!CM102,"",IF(OR($CM102="",$CM102=0,NOT(ISNUMBER($CM102)),ISERROR($CM102),$B102=""),"",IF($I102=1,IFBLANK(_xldudf_CX_PUSH($CM102*fxVal_normal,CX_ENTITY,$B102,$CM$11,$CM$14,$CM$19,),""),IF($I102=2,IFBLANK(_xldudf_CX_PUSH($CM102,CX_ENTITY,$B102,$CM$11,$CM$14,$CM$19,),""),IF($I102=3,"",IFBLANK(_xldudf_CX_PUSH($CM102,CX_ENTITY,$B102,$CM$11,$CM$14,$CM$19,),"")))))),"")</f>
        <v/>
      </c>
      <c r="CZ102" s="2444" t="str" cm="1">
        <f t="array" ca="1" aca="1" ref="CZ102">IFERROR(IF(CN102*fxVal_normal=_PL!CN102,"",IF(OR($CN102="",$CN102=0,NOT(ISNUMBER($CN102)),ISERROR($CN102),$B102=""),"",IF($I102=1,IFBLANK(_xldudf_CX_PUSH($CN102*fxVal_normal,CX_ENTITY,$B102,$CN$11,$CN$14,$CN$19,),""),IF($I102=2,IFBLANK(_xldudf_CX_PUSH($CN102,CX_ENTITY,$B102,$CN$11,$CN$14,$CN$19,),""),IF($I102=3,"",IFBLANK(_xldudf_CX_PUSH($CN102,CX_ENTITY,$B102,$CN$11,$CN$14,$CN$19,),"")))))),"")</f>
        <v/>
      </c>
      <c r="DA102" s="2444" t="str" cm="1">
        <f t="array" ca="1" aca="1" ref="DA102">IFERROR(IF(CP102*fxVal_normal=_PL!CP102,"",IF(OR($CP102="",$CP102=0,NOT(ISNUMBER($CP102)),ISERROR($CP102),$B102=""),"",IF($I102=1,IFBLANK(_xldudf_CX_PUSH($CP102*fxVal_normal,CX_ENTITY,$B102,$CP$11,$CP$14,$CP$19,),""),IF($I102=2,IFBLANK(_xldudf_CX_PUSH($CP102,CX_ENTITY,$B102,$CP$11,$CP$14,$CP$19,),""),IF($I102=3,"",IFBLANK(_xldudf_CX_PUSH($CP102,CX_ENTITY,$B102,$CP$11,$CP$14,$CP$19,),"")))))),"")</f>
        <v/>
      </c>
      <c r="DB102" s="2444" t="str" cm="1">
        <f t="array" ca="1" aca="1" ref="DB102">IFERROR(IF(CQ102*fxVal_normal=_PL!CQ102,"",IF(OR($CQ102="",$CQ102=0,NOT(ISNUMBER($CQ102)),ISERROR($CQ102),$B102=""),"",IF($I102=1,IFBLANK(_xldudf_CX_PUSH($CQ102*fxVal_normal,CX_ENTITY,$B102,$CQ$11,$CQ$14,$CQ$19,),""),IF($I102=2,IFBLANK(_xldudf_CX_PUSH($CQ102,CX_ENTITY,$B102,$CQ$11,$CQ$14,$CQ$19,),""),IF($I102=3,"",IFBLANK(_xldudf_CX_PUSH($CQ102,CX_ENTITY,$B102,$CQ$11,$CQ$14,$CQ$19,),"")))))),"")</f>
        <v/>
      </c>
      <c r="DC102" s="2443"/>
      <c r="DD102" s="2445" t="str" cm="1">
        <f t="array" ca="1" aca="1" ref="DD102">IFERROR(IF(AD102*fxVal_normal=_PL!AD102,"",IF(OR(AD102="",NOT(ISNUMBER(AD102)),ISERROR(AD102),$B102=""),"",IF($I102=1,IFBLANK(_xldudf_CX_PUSH(AD102*fxVal_normal,CX_ENTITY,$B102,AD$11,AD$14,AD$75,),""),IF($I102=2,IFBLANK(_xldudf_CX_PUSH(AD102,CX_ENTITY,$B102,AD$11,AD$14,AD$75,),""),IF($I102=3,"",IFBLANK(_xldudf_CX_PUSH(AD102,CX_ENTITY,$B102,AD$11,AD$14,AD$75,),"")))))),"")</f>
        <v/>
      </c>
      <c r="DE102" s="2445" t="str" cm="1">
        <f t="array" ca="1" aca="1" ref="DE102">IFERROR(IF(AE102*fxVal_normal=_PL!AE102,"",IF(OR(AE102="",NOT(ISNUMBER(AE102)),ISERROR(AE102),$B102=""),"",IF($I102=1,IFBLANK(_xldudf_CX_PUSH(AE102*fxVal_normal,CX_ENTITY,$B102,AE$11,AE$14,AE$75,),""),IF($I102=2,IFBLANK(_xldudf_CX_PUSH(AE102,CX_ENTITY,$B102,AE$11,AE$14,AE$75,),""),IF($I102=3,"",IFBLANK(_xldudf_CX_PUSH(AE102,CX_ENTITY,$B102,AE$11,AE$14,AE$75,),"")))))),"")</f>
        <v/>
      </c>
      <c r="DF102" s="2445" t="str" cm="1">
        <f t="array" ca="1" aca="1" ref="DF102">IFERROR(IF(AF102*fxVal_normal=_PL!AF102,"",IF(OR(AF102="",NOT(ISNUMBER(AF102)),ISERROR(AF102),$B102=""),"",IF($I102=1,IFBLANK(_xldudf_CX_PUSH(AF102*fxVal_normal,CX_ENTITY,$B102,AF$11,AF$14,AF$75,),""),IF($I102=2,IFBLANK(_xldudf_CX_PUSH(AF102,CX_ENTITY,$B102,AF$11,AF$14,AF$75,),""),IF($I102=3,"",IFBLANK(_xldudf_CX_PUSH(AF102,CX_ENTITY,$B102,AF$11,AF$14,AF$75,),"")))))),"")</f>
        <v/>
      </c>
      <c r="DG102" s="2445" t="str" cm="1">
        <f t="array" ca="1" aca="1" ref="DG102">IFERROR(IF(AG102*fxVal_normal=_PL!AG102,"",IF(OR(AG102="",NOT(ISNUMBER(AG102)),ISERROR(AG102),$B102=""),"",IF($I102=1,IFBLANK(_xldudf_CX_PUSH(AG102*fxVal_normal,CX_ENTITY,$B102,AG$11,AG$14,AG$75,),""),IF($I102=2,IFBLANK(_xldudf_CX_PUSH(AG102,CX_ENTITY,$B102,AG$11,AG$14,AG$75,),""),IF($I102=3,"",IFBLANK(_xldudf_CX_PUSH(AG102,CX_ENTITY,$B102,AG$11,AG$14,AG$75,),"")))))),"")</f>
        <v/>
      </c>
      <c r="DH102" s="2445" t="str" cm="1">
        <f t="array" ca="1" aca="1" ref="DH102">IFERROR(IF(AH102*fxVal_normal=_PL!AH102,"",IF(OR(AH102="",NOT(ISNUMBER(AH102)),ISERROR(AH102),$B102=""),"",IF($I102=1,IFBLANK(_xldudf_CX_PUSH(AH102*fxVal_normal,CX_ENTITY,$B102,AH$11,AH$14,AH$75,),""),IF($I102=2,IFBLANK(_xldudf_CX_PUSH(AH102,CX_ENTITY,$B102,AH$11,AH$14,AH$75,),""),IF($I102=3,"",IFBLANK(_xldudf_CX_PUSH(AH102,CX_ENTITY,$B102,AH$11,AH$14,AH$75,),"")))))),"")</f>
        <v/>
      </c>
      <c r="DI102" s="2445" t="str" cm="1">
        <f t="array" ca="1" aca="1" ref="DI102">IFERROR(IF(AI102*fxVal_normal=_PL!AI102,"",IF(OR(AI102="",NOT(ISNUMBER(AI102)),ISERROR(AI102),$B102=""),"",IF($I102=1,IFBLANK(_xldudf_CX_PUSH(AI102*fxVal_normal,CX_ENTITY,$B102,AI$11,AI$14,AI$75,),""),IF($I102=2,IFBLANK(_xldudf_CX_PUSH(AI102,CX_ENTITY,$B102,AI$11,AI$14,AI$75,),""),IF($I102=3,"",IFBLANK(_xldudf_CX_PUSH(AI102,CX_ENTITY,$B102,AI$11,AI$14,AI$75,),"")))))),"")</f>
        <v/>
      </c>
      <c r="DJ102" s="2445" t="str" cm="1">
        <f t="array" ca="1" aca="1" ref="DJ102">IFERROR(IF(AJ102*fxVal_normal=_PL!AJ102,"",IF(OR(AJ102="",NOT(ISNUMBER(AJ102)),ISERROR(AJ102),$B102=""),"",IF($I102=1,IFBLANK(_xldudf_CX_PUSH(AJ102*fxVal_normal,CX_ENTITY,$B102,AJ$11,AJ$14,AJ$75,),""),IF($I102=2,IFBLANK(_xldudf_CX_PUSH(AJ102,CX_ENTITY,$B102,AJ$11,AJ$14,AJ$75,),""),IF($I102=3,"",IFBLANK(_xldudf_CX_PUSH(AJ102,CX_ENTITY,$B102,AJ$11,AJ$14,AJ$75,),"")))))),"")</f>
        <v/>
      </c>
      <c r="DK102" s="2445" t="str" cm="1">
        <f t="array" ca="1" aca="1" ref="DK102">IFERROR(IF(AK102*fxVal_normal=_PL!AK102,"",IF(OR(AK102="",NOT(ISNUMBER(AK102)),ISERROR(AK102),$B102=""),"",IF($I102=1,IFBLANK(_xldudf_CX_PUSH(AK102*fxVal_normal,CX_ENTITY,$B102,AK$11,AK$14,AK$75,),""),IF($I102=2,IFBLANK(_xldudf_CX_PUSH(AK102,CX_ENTITY,$B102,AK$11,AK$14,AK$75,),""),IF($I102=3,"",IFBLANK(_xldudf_CX_PUSH(AK102,CX_ENTITY,$B102,AK$11,AK$14,AK$75,),"")))))),"")</f>
        <v/>
      </c>
      <c r="DL102" s="2445" t="str" cm="1">
        <f t="array" ca="1" aca="1" ref="DL102">IFERROR(IF(AL102*fxVal_normal=_PL!AL102,"",IF(OR(AL102="",NOT(ISNUMBER(AL102)),ISERROR(AL102),$B102=""),"",IF($I102=1,IFBLANK(_xldudf_CX_PUSH(AL102*fxVal_normal,CX_ENTITY,$B102,AL$11,AL$14,AL$75,),""),IF($I102=2,IFBLANK(_xldudf_CX_PUSH(AL102,CX_ENTITY,$B102,AL$11,AL$14,AL$75,),""),IF($I102=3,"",IFBLANK(_xldudf_CX_PUSH(AL102,CX_ENTITY,$B102,AL$11,AL$14,AL$75,),"")))))),"")</f>
        <v/>
      </c>
      <c r="DM102" s="2445" t="str" cm="1">
        <f t="array" ca="1" aca="1" ref="DM102">IFERROR(IF(AM102*fxVal_normal=_PL!AM102,"",IF(OR(AM102="",NOT(ISNUMBER(AM102)),ISERROR(AM102),$B102=""),"",IF($I102=1,IFBLANK(_xldudf_CX_PUSH(AM102*fxVal_normal,CX_ENTITY,$B102,AM$11,AM$14,AM$75,),""),IF($I102=2,IFBLANK(_xldudf_CX_PUSH(AM102,CX_ENTITY,$B102,AM$11,AM$14,AM$75,),""),IF($I102=3,"",IFBLANK(_xldudf_CX_PUSH(AM102,CX_ENTITY,$B102,AM$11,AM$14,AM$75,),"")))))),"")</f>
        <v/>
      </c>
      <c r="DN102" s="2445" t="str" cm="1">
        <f t="array" ca="1" aca="1" ref="DN102">IFERROR(IF(AN102*fxVal_normal=_PL!AN102,"",IF(OR(AN102="",NOT(ISNUMBER(AN102)),ISERROR(AN102),$B102=""),"",IF($I102=1,IFBLANK(_xldudf_CX_PUSH(AN102*fxVal_normal,CX_ENTITY,$B102,AN$11,AN$14,AN$75,),""),IF($I102=2,IFBLANK(_xldudf_CX_PUSH(AN102,CX_ENTITY,$B102,AN$11,AN$14,AN$75,),""),IF($I102=3,"",IFBLANK(_xldudf_CX_PUSH(AN102,CX_ENTITY,$B102,AN$11,AN$14,AN$75,),"")))))),"")</f>
        <v/>
      </c>
      <c r="DO102" s="2445" t="str" cm="1">
        <f t="array" ca="1" aca="1" ref="DO102">IFERROR(IF(AO102*fxVal_normal=_PL!AO102,"",IF(OR(AO102="",NOT(ISNUMBER(AO102)),ISERROR(AO102),$B102=""),"",IF($I102=1,IFBLANK(_xldudf_CX_PUSH(AO102*fxVal_normal,CX_ENTITY,$B102,AO$11,AO$14,AO$75,),""),IF($I102=2,IFBLANK(_xldudf_CX_PUSH(AO102,CX_ENTITY,$B102,AO$11,AO$14,AO$75,),""),IF($I102=3,"",IFBLANK(_xldudf_CX_PUSH(AO102,CX_ENTITY,$B102,AO$11,AO$14,AO$75,),"")))))),"")</f>
        <v/>
      </c>
      <c r="DP102" s="2445" t="str" cm="1">
        <f t="array" ca="1" aca="1" ref="DP102">IFERROR(IF(AP102*fxVal_normal=_PL!AP102,"",IF(OR(AP102="",NOT(ISNUMBER(AP102)),ISERROR(AP102),$B102=""),"",IF($I102=1,IFBLANK(_xldudf_CX_PUSH(AP102*fxVal_normal,CX_ENTITY,$B102,AP$11,AP$14,AP$75,),""),IF($I102=2,IFBLANK(_xldudf_CX_PUSH(AP102,CX_ENTITY,$B102,AP$11,AP$14,AP$75,),""),IF($I102=3,"",IFBLANK(_xldudf_CX_PUSH(AP102,CX_ENTITY,$B102,AP$11,AP$14,AP$75,),"")))))),"")</f>
        <v/>
      </c>
      <c r="DQ102" s="2445" t="str" cm="1">
        <f t="array" ca="1" aca="1" ref="DQ102">IFERROR(IF(AQ102*fxVal_normal=_PL!AQ102,"",IF(OR(AQ102="",NOT(ISNUMBER(AQ102)),ISERROR(AQ102),$B102=""),"",IF($I102=1,IFBLANK(_xldudf_CX_PUSH(AQ102*fxVal_normal,CX_ENTITY,$B102,AQ$11,AQ$14,AQ$75,),""),IF($I102=2,IFBLANK(_xldudf_CX_PUSH(AQ102,CX_ENTITY,$B102,AQ$11,AQ$14,AQ$75,),""),IF($I102=3,"",IFBLANK(_xldudf_CX_PUSH(AQ102,CX_ENTITY,$B102,AQ$11,AQ$14,AQ$75,),"")))))),"")</f>
        <v/>
      </c>
      <c r="DR102" s="2445" t="str" cm="1">
        <f t="array" ca="1" aca="1" ref="DR102">IFERROR(IF(AR102*fxVal_normal=_PL!AR102,"",IF(OR(AR102="",NOT(ISNUMBER(AR102)),ISERROR(AR102),$B102=""),"",IF($I102=1,IFBLANK(_xldudf_CX_PUSH(AR102*fxVal_normal,CX_ENTITY,$B102,AR$11,AR$14,AR$75,),""),IF($I102=2,IFBLANK(_xldudf_CX_PUSH(AR102,CX_ENTITY,$B102,AR$11,AR$14,AR$75,),""),IF($I102=3,"",IFBLANK(_xldudf_CX_PUSH(AR102,CX_ENTITY,$B102,AR$11,AR$14,AR$75,),"")))))),"")</f>
        <v/>
      </c>
      <c r="DS102" s="2445" t="str" cm="1">
        <f t="array" ca="1" aca="1" ref="DS102">IFERROR(IF(AS102*fxVal_normal=_PL!AS102,"",IF(OR(AS102="",NOT(ISNUMBER(AS102)),ISERROR(AS102),$B102=""),"",IF($I102=1,IFBLANK(_xldudf_CX_PUSH(AS102*fxVal_normal,CX_ENTITY,$B102,AS$11,AS$14,AS$75,),""),IF($I102=2,IFBLANK(_xldudf_CX_PUSH(AS102,CX_ENTITY,$B102,AS$11,AS$14,AS$75,),""),IF($I102=3,"",IFBLANK(_xldudf_CX_PUSH(AS102,CX_ENTITY,$B102,AS$11,AS$14,AS$75,),"")))))),"")</f>
        <v/>
      </c>
      <c r="DT102" s="2445" t="str" cm="1">
        <f t="array" ca="1" aca="1" ref="DT102">IFERROR(IF(AT102*fxVal_normal=_PL!AT102,"",IF(OR(AT102="",NOT(ISNUMBER(AT102)),ISERROR(AT102),$B102=""),"",IF($I102=1,IFBLANK(_xldudf_CX_PUSH(AT102*fxVal_normal,CX_ENTITY,$B102,AT$11,AT$14,AT$75,),""),IF($I102=2,IFBLANK(_xldudf_CX_PUSH(AT102,CX_ENTITY,$B102,AT$11,AT$14,AT$75,),""),IF($I102=3,"",IFBLANK(_xldudf_CX_PUSH(AT102,CX_ENTITY,$B102,AT$11,AT$14,AT$75,),"")))))),"")</f>
        <v/>
      </c>
      <c r="DU102" s="2445" t="str" cm="1">
        <f t="array" ca="1" aca="1" ref="DU102">IFERROR(IF(AU102*fxVal_normal=_PL!AU102,"",IF(OR(AU102="",NOT(ISNUMBER(AU102)),ISERROR(AU102),$B102=""),"",IF($I102=1,IFBLANK(_xldudf_CX_PUSH(AU102*fxVal_normal,CX_ENTITY,$B102,AU$11,AU$14,AU$75,),""),IF($I102=2,IFBLANK(_xldudf_CX_PUSH(AU102,CX_ENTITY,$B102,AU$11,AU$14,AU$75,),""),IF($I102=3,"",IFBLANK(_xldudf_CX_PUSH(AU102,CX_ENTITY,$B102,AU$11,AU$14,AU$75,),"")))))),"")</f>
        <v/>
      </c>
      <c r="DV102" s="2445" t="str" cm="1">
        <f t="array" ca="1" aca="1" ref="DV102">IFERROR(IF(AV102*fxVal_normal=_PL!AV102,"",IF(OR(AV102="",NOT(ISNUMBER(AV102)),ISERROR(AV102),$B102=""),"",IF($I102=1,IFBLANK(_xldudf_CX_PUSH(AV102*fxVal_normal,CX_ENTITY,$B102,AV$11,AV$14,AV$75,),""),IF($I102=2,IFBLANK(_xldudf_CX_PUSH(AV102,CX_ENTITY,$B102,AV$11,AV$14,AV$75,),""),IF($I102=3,"",IFBLANK(_xldudf_CX_PUSH(AV102,CX_ENTITY,$B102,AV$11,AV$14,AV$75,),"")))))),"")</f>
        <v/>
      </c>
      <c r="DW102" s="2445" t="str" cm="1">
        <f t="array" ca="1" aca="1" ref="DW102">IFERROR(IF(AW102*fxVal_normal=_PL!AW102,"",IF(OR(AW102="",NOT(ISNUMBER(AW102)),ISERROR(AW102),$B102=""),"",IF($I102=1,IFBLANK(_xldudf_CX_PUSH(AW102*fxVal_normal,CX_ENTITY,$B102,AW$11,AW$14,AW$75,),""),IF($I102=2,IFBLANK(_xldudf_CX_PUSH(AW102,CX_ENTITY,$B102,AW$11,AW$14,AW$75,),""),IF($I102=3,"",IFBLANK(_xldudf_CX_PUSH(AW102,CX_ENTITY,$B102,AW$11,AW$14,AW$75,),"")))))),"")</f>
        <v/>
      </c>
      <c r="DX102" s="2445" t="str" cm="1">
        <f t="array" ca="1" aca="1" ref="DX102">IFERROR(IF(AX102*fxVal_normal=_PL!AX102,"",IF(OR(AX102="",NOT(ISNUMBER(AX102)),ISERROR(AX102),$B102=""),"",IF($I102=1,IFBLANK(_xldudf_CX_PUSH(AX102*fxVal_normal,CX_ENTITY,$B102,AX$11,AX$14,AX$75,),""),IF($I102=2,IFBLANK(_xldudf_CX_PUSH(AX102,CX_ENTITY,$B102,AX$11,AX$14,AX$75,),""),IF($I102=3,"",IFBLANK(_xldudf_CX_PUSH(AX102,CX_ENTITY,$B102,AX$11,AX$14,AX$75,),"")))))),"")</f>
        <v/>
      </c>
      <c r="DY102" s="2445" t="str" cm="1">
        <f t="array" ca="1" aca="1" ref="DY102">IFERROR(IF(AY102*fxVal_normal=_PL!AY102,"",IF(OR(AY102="",NOT(ISNUMBER(AY102)),ISERROR(AY102),$B102=""),"",IF($I102=1,IFBLANK(_xldudf_CX_PUSH(AY102*fxVal_normal,CX_ENTITY,$B102,AY$11,AY$14,AY$75,),""),IF($I102=2,IFBLANK(_xldudf_CX_PUSH(AY102,CX_ENTITY,$B102,AY$11,AY$14,AY$75,),""),IF($I102=3,"",IFBLANK(_xldudf_CX_PUSH(AY102,CX_ENTITY,$B102,AY$11,AY$14,AY$75,),"")))))),"")</f>
        <v/>
      </c>
      <c r="DZ102" s="2445" t="str" cm="1">
        <f t="array" ca="1" aca="1" ref="DZ102">IFERROR(IF(AZ102*fxVal_normal=_PL!AZ102,"",IF(OR(AZ102="",NOT(ISNUMBER(AZ102)),ISERROR(AZ102),$B102=""),"",IF($I102=1,IFBLANK(_xldudf_CX_PUSH(AZ102*fxVal_normal,CX_ENTITY,$B102,AZ$11,AZ$14,AZ$75,),""),IF($I102=2,IFBLANK(_xldudf_CX_PUSH(AZ102,CX_ENTITY,$B102,AZ$11,AZ$14,AZ$75,),""),IF($I102=3,"",IFBLANK(_xldudf_CX_PUSH(AZ102,CX_ENTITY,$B102,AZ$11,AZ$14,AZ$75,),"")))))),"")</f>
        <v/>
      </c>
      <c r="EA102" s="2445" t="str" cm="1">
        <f t="array" ca="1" aca="1" ref="EA102">IFERROR(IF(BA102*fxVal_normal=_PL!BA102,"",IF(OR(BA102="",NOT(ISNUMBER(BA102)),ISERROR(BA102),$B102=""),"",IF($I102=1,IFBLANK(_xldudf_CX_PUSH(BA102*fxVal_normal,CX_ENTITY,$B102,BA$11,BA$14,BA$75,),""),IF($I102=2,IFBLANK(_xldudf_CX_PUSH(BA102,CX_ENTITY,$B102,BA$11,BA$14,BA$75,),""),IF($I102=3,"",IFBLANK(_xldudf_CX_PUSH(BA102,CX_ENTITY,$B102,BA$11,BA$14,BA$75,),"")))))),"")</f>
        <v/>
      </c>
      <c r="EB102" s="2445" t="str" cm="1">
        <f t="array" ca="1" aca="1" ref="EB102">IFERROR(IF(BB102*fxVal_normal=_PL!BB102,"",IF(OR(BB102="",NOT(ISNUMBER(BB102)),ISERROR(BB102),$B102=""),"",IF($I102=1,IFBLANK(_xldudf_CX_PUSH(BB102*fxVal_normal,CX_ENTITY,$B102,BB$11,BB$14,BB$75,),""),IF($I102=2,IFBLANK(_xldudf_CX_PUSH(BB102,CX_ENTITY,$B102,BB$11,BB$14,BB$75,),""),IF($I102=3,"",IFBLANK(_xldudf_CX_PUSH(BB102,CX_ENTITY,$B102,BB$11,BB$14,BB$75,),"")))))),"")</f>
        <v/>
      </c>
      <c r="EC102" s="2445" t="str" cm="1">
        <f t="array" ca="1" aca="1" ref="EC102">IFERROR(IF(BC102*fxVal_normal=_PL!BC102,"",IF(OR(BC102="",NOT(ISNUMBER(BC102)),ISERROR(BC102),$B102=""),"",IF($I102=1,IFBLANK(_xldudf_CX_PUSH(BC102*fxVal_normal,CX_ENTITY,$B102,BC$11,BC$14,BC$75,),""),IF($I102=2,IFBLANK(_xldudf_CX_PUSH(BC102,CX_ENTITY,$B102,BC$11,BC$14,BC$75,),""),IF($I102=3,"",IFBLANK(_xldudf_CX_PUSH(BC102,CX_ENTITY,$B102,BC$11,BC$14,BC$75,),"")))))),"")</f>
        <v/>
      </c>
      <c r="ED102" s="2445" t="str" cm="1">
        <f t="array" ca="1" aca="1" ref="ED102">IFERROR(IF(BD102*fxVal_normal=_PL!BD102,"",IF(OR(BD102="",NOT(ISNUMBER(BD102)),ISERROR(BD102),$B102=""),"",IF($I102=1,IFBLANK(_xldudf_CX_PUSH(BD102*fxVal_normal,CX_ENTITY,$B102,BD$11,BD$14,BD$75,),""),IF($I102=2,IFBLANK(_xldudf_CX_PUSH(BD102,CX_ENTITY,$B102,BD$11,BD$14,BD$75,),""),IF($I102=3,"",IFBLANK(_xldudf_CX_PUSH(BD102,CX_ENTITY,$B102,BD$11,BD$14,BD$75,),"")))))),"")</f>
        <v/>
      </c>
      <c r="EE102" s="2445" t="str" cm="1">
        <f t="array" ca="1" aca="1" ref="EE102">IFERROR(IF(BE102*fxVal_normal=_PL!BE102,"",IF(OR(BE102="",NOT(ISNUMBER(BE102)),ISERROR(BE102),$B102=""),"",IF($I102=1,IFBLANK(_xldudf_CX_PUSH(BE102*fxVal_normal,CX_ENTITY,$B102,BE$11,BE$14,BE$75,),""),IF($I102=2,IFBLANK(_xldudf_CX_PUSH(BE102,CX_ENTITY,$B102,BE$11,BE$14,BE$75,),""),IF($I102=3,"",IFBLANK(_xldudf_CX_PUSH(BE102,CX_ENTITY,$B102,BE$11,BE$14,BE$75,),"")))))),"")</f>
        <v/>
      </c>
      <c r="EF102" s="2445" t="str" cm="1">
        <f t="array" ca="1" aca="1" ref="EF102">IFERROR(IF(BF102*fxVal_normal=_PL!BF102,"",IF(OR(BF102="",NOT(ISNUMBER(BF102)),ISERROR(BF102),$B102=""),"",IF($I102=1,IFBLANK(_xldudf_CX_PUSH(BF102*fxVal_normal,CX_ENTITY,$B102,BF$11,BF$14,BF$75,),""),IF($I102=2,IFBLANK(_xldudf_CX_PUSH(BF102,CX_ENTITY,$B102,BF$11,BF$14,BF$75,),""),IF($I102=3,"",IFBLANK(_xldudf_CX_PUSH(BF102,CX_ENTITY,$B102,BF$11,BF$14,BF$75,),"")))))),"")</f>
        <v/>
      </c>
      <c r="EG102" s="2445" t="str" cm="1">
        <f t="array" ca="1" aca="1" ref="EG102">IFERROR(IF(BG102*fxVal_normal=_PL!BG102,"",IF(OR(BG102="",NOT(ISNUMBER(BG102)),ISERROR(BG102),$B102=""),"",IF($I102=1,IFBLANK(_xldudf_CX_PUSH(BG102*fxVal_normal,CX_ENTITY,$B102,BG$11,BG$14,BG$75,),""),IF($I102=2,IFBLANK(_xldudf_CX_PUSH(BG102,CX_ENTITY,$B102,BG$11,BG$14,BG$75,),""),IF($I102=3,"",IFBLANK(_xldudf_CX_PUSH(BG102,CX_ENTITY,$B102,BG$11,BG$14,BG$75,),"")))))),"")</f>
        <v/>
      </c>
      <c r="EH102" s="2445" t="str" cm="1">
        <f t="array" ca="1" aca="1" ref="EH102">IFERROR(IF(BH102*fxVal_normal=_PL!BH102,"",IF(OR(BH102="",NOT(ISNUMBER(BH102)),ISERROR(BH102),$B102=""),"",IF($I102=1,IFBLANK(_xldudf_CX_PUSH(BH102*fxVal_normal,CX_ENTITY,$B102,BH$11,BH$14,BH$75,),""),IF($I102=2,IFBLANK(_xldudf_CX_PUSH(BH102,CX_ENTITY,$B102,BH$11,BH$14,BH$75,),""),IF($I102=3,"",IFBLANK(_xldudf_CX_PUSH(BH102,CX_ENTITY,$B102,BH$11,BH$14,BH$75,),"")))))),"")</f>
        <v/>
      </c>
      <c r="EI102" s="2445" t="str" cm="1">
        <f t="array" ca="1" aca="1" ref="EI102">IFERROR(IF(BI102*fxVal_normal=_PL!BI102,"",IF(OR(BI102="",NOT(ISNUMBER(BI102)),ISERROR(BI102),$B102=""),"",IF($I102=1,IFBLANK(_xldudf_CX_PUSH(BI102*fxVal_normal,CX_ENTITY,$B102,BI$11,BI$14,BI$75,),""),IF($I102=2,IFBLANK(_xldudf_CX_PUSH(BI102,CX_ENTITY,$B102,BI$11,BI$14,BI$75,),""),IF($I102=3,"",IFBLANK(_xldudf_CX_PUSH(BI102,CX_ENTITY,$B102,BI$11,BI$14,BI$75,),"")))))),"")</f>
        <v/>
      </c>
      <c r="EJ102" s="2445" t="str" cm="1">
        <f t="array" ca="1" aca="1" ref="EJ102">IFERROR(IF(BJ102*fxVal_normal=_PL!BJ102,"",IF(OR(BJ102="",NOT(ISNUMBER(BJ102)),ISERROR(BJ102),$B102=""),"",IF($I102=1,IFBLANK(_xldudf_CX_PUSH(BJ102*fxVal_normal,CX_ENTITY,$B102,BJ$11,BJ$14,BJ$75,),""),IF($I102=2,IFBLANK(_xldudf_CX_PUSH(BJ102,CX_ENTITY,$B102,BJ$11,BJ$14,BJ$75,),""),IF($I102=3,"",IFBLANK(_xldudf_CX_PUSH(BJ102,CX_ENTITY,$B102,BJ$11,BJ$14,BJ$75,),"")))))),"")</f>
        <v/>
      </c>
      <c r="EK102" s="2445" t="str" cm="1">
        <f t="array" ca="1" aca="1" ref="EK102">IFERROR(IF(BK102*fxVal_normal=_PL!BK102,"",IF(OR(BK102="",NOT(ISNUMBER(BK102)),ISERROR(BK102),$B102=""),"",IF($I102=1,IFBLANK(_xldudf_CX_PUSH(BK102*fxVal_normal,CX_ENTITY,$B102,BK$11,BK$14,BK$75,),""),IF($I102=2,IFBLANK(_xldudf_CX_PUSH(BK102,CX_ENTITY,$B102,BK$11,BK$14,BK$75,),""),IF($I102=3,"",IFBLANK(_xldudf_CX_PUSH(BK102,CX_ENTITY,$B102,BK$11,BK$14,BK$75,),"")))))),"")</f>
        <v/>
      </c>
      <c r="EL102" s="2445" t="str" cm="1">
        <f t="array" ca="1" aca="1" ref="EL102">IFERROR(IF(BL102*fxVal_normal=_PL!BL102,"",IF(OR(BL102="",NOT(ISNUMBER(BL102)),ISERROR(BL102),$B102=""),"",IF($I102=1,IFBLANK(_xldudf_CX_PUSH(BL102*fxVal_normal,CX_ENTITY,$B102,BL$11,BL$14,BL$75,),""),IF($I102=2,IFBLANK(_xldudf_CX_PUSH(BL102,CX_ENTITY,$B102,BL$11,BL$14,BL$75,),""),IF($I102=3,"",IFBLANK(_xldudf_CX_PUSH(BL102,CX_ENTITY,$B102,BL$11,BL$14,BL$75,),"")))))),"")</f>
        <v/>
      </c>
      <c r="EM102" s="2445" t="str" cm="1">
        <f t="array" ca="1" aca="1" ref="EM102">IFERROR(IF(BM102*fxVal_normal=_PL!BM102,"",IF(OR(BM102="",NOT(ISNUMBER(BM102)),ISERROR(BM102),$B102=""),"",IF($I102=1,IFBLANK(_xldudf_CX_PUSH(BM102*fxVal_normal,CX_ENTITY,$B102,BM$11,BM$14,BM$75,),""),IF($I102=2,IFBLANK(_xldudf_CX_PUSH(BM102,CX_ENTITY,$B102,BM$11,BM$14,BM$75,),""),IF($I102=3,"",IFBLANK(_xldudf_CX_PUSH(BM102,CX_ENTITY,$B102,BM$11,BM$14,BM$75,),"")))))),"")</f>
        <v/>
      </c>
      <c r="EN102" s="2445" t="str" cm="1">
        <f t="array" ca="1" aca="1" ref="EN102">IFERROR(IF(BN102*fxVal_normal=_PL!BN102,"",IF(OR(BN102="",NOT(ISNUMBER(BN102)),ISERROR(BN102),$B102=""),"",IF($I102=1,IFBLANK(_xldudf_CX_PUSH(BN102*fxVal_normal,CX_ENTITY,$B102,BN$11,BN$14,BN$75,),""),IF($I102=2,IFBLANK(_xldudf_CX_PUSH(BN102,CX_ENTITY,$B102,BN$11,BN$14,BN$75,),""),IF($I102=3,"",IFBLANK(_xldudf_CX_PUSH(BN102,CX_ENTITY,$B102,BN$11,BN$14,BN$75,),"")))))),"")</f>
        <v/>
      </c>
    </row>
    <row r="103" spans="1:144" ht="21" customHeight="1">
      <c r="A103" s="1626"/>
      <c r="B103" s="2501" t="str">
        <f>_xlfn.LET(_xlpm.IsNotAttrDynamic,D103="",_xlpm.Attr,_PL!F103,_xlpm.NotInUse,Y103=D103,_xlpm.RESULT,IF(_xlpm.IsNotAttrDynamic,_xlpm.Attr,IF(_xlpm.NotInUse,"",Y103)),IF(_xlpm.RESULT="","",_xlpm.RESULT))</f>
        <v>Custom Metric Amount 2</v>
      </c>
      <c r="C103" s="3463" t="str" cm="1">
        <f t="array" ref="C103">IFBLANK(_PL!C103,"")</f>
        <v>Custom Metric - Label 2</v>
      </c>
      <c r="D103" s="1548"/>
      <c r="E103" s="2440" t="e" cm="1">
        <f t="array" ca="1" aca="1" ref="E10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103:$CQ103,Z103)</f>
        <v>#NAME?</v>
      </c>
      <c r="F103" s="578"/>
      <c r="G103" s="578"/>
      <c r="H103" s="3280">
        <v>1</v>
      </c>
      <c r="I103" s="3280">
        <v>1</v>
      </c>
      <c r="J103" s="401" cm="1">
        <f t="array" ref="J103">IFBLANK(Z103,"")</f>
        <v>-1</v>
      </c>
      <c r="K103" s="578" t="str">
        <f>IFERROR(IF(LEN(AB103)=0,"No",IF(LEN(J103)&gt;0,"Yes","No")),"")</f>
        <v>Yes</v>
      </c>
      <c r="L103" s="37"/>
      <c r="N103" s="158"/>
      <c r="O103" s="101"/>
      <c r="P103" s="52"/>
      <c r="Q103" s="101"/>
      <c r="R103" s="126"/>
      <c r="S103" s="101"/>
      <c r="T103" s="101"/>
      <c r="U103" s="39"/>
      <c r="V103" s="37"/>
      <c r="W103" s="91" t="str">
        <f t="shared" si="43"/>
        <v>Budget</v>
      </c>
      <c r="X103" s="2523" t="e">
        <f ca="1">_PL!X103</f>
        <v>#NAME?</v>
      </c>
      <c r="Y103" s="3202" cm="1">
        <f t="array" ref="Y103">IFBLANK(Y47,"")</f>
        <v>2</v>
      </c>
      <c r="Z103" s="198" cm="1">
        <f t="array" ref="Z103">IFBLANK(Z47,"")</f>
        <v>-1</v>
      </c>
      <c r="AA103" s="200"/>
      <c r="AB103" s="3200" cm="1">
        <f t="array" ref="AB103">IFBLANK(Y103,"")</f>
        <v>2</v>
      </c>
      <c r="AC103" s="2527" t="str" cm="1">
        <f t="array" ca="1" aca="1" ref="AC103">_xlfn.LET(_xlpm._termname,$AB103,_xlpm._iconname,"find",_xlpm._icon,fx_getIcon(_xlpm._iconname),_xlpm._location,_xlfn.XLOOKUP(LOWER(_xlpm._termname),LOWER(tbl_acctDef[Term]),tbl_acctDef[Term]),_xlpm._hyperlink,HYPERLINK("#"&amp;CELL("address",_xlpm._location),_xlpm._icon),IFERROR(_xlpm._hyperlink,""))</f>
        <v/>
      </c>
      <c r="AD103" s="3177">
        <v>1</v>
      </c>
      <c r="AE103" s="3177">
        <v>1</v>
      </c>
      <c r="AF103" s="3177">
        <v>1</v>
      </c>
      <c r="AG103" s="3177">
        <v>1</v>
      </c>
      <c r="AH103" s="3177">
        <v>1</v>
      </c>
      <c r="AI103" s="3177">
        <v>1</v>
      </c>
      <c r="AJ103" s="3177">
        <v>1</v>
      </c>
      <c r="AK103" s="3177">
        <v>1</v>
      </c>
      <c r="AL103" s="3177">
        <v>1</v>
      </c>
      <c r="AM103" s="3177">
        <v>1</v>
      </c>
      <c r="AN103" s="3177">
        <v>1</v>
      </c>
      <c r="AO103" s="3177">
        <v>1</v>
      </c>
      <c r="AP103" s="3177">
        <v>1</v>
      </c>
      <c r="AQ103" s="3177">
        <v>1</v>
      </c>
      <c r="AR103" s="3177">
        <v>1</v>
      </c>
      <c r="AS103" s="3177">
        <v>1</v>
      </c>
      <c r="AT103" s="3177">
        <v>1</v>
      </c>
      <c r="AU103" s="3177">
        <v>1</v>
      </c>
      <c r="AV103" s="3177">
        <v>1</v>
      </c>
      <c r="AW103" s="3177">
        <v>1</v>
      </c>
      <c r="AX103" s="3177">
        <v>1</v>
      </c>
      <c r="AY103" s="3177">
        <v>1</v>
      </c>
      <c r="AZ103" s="3177">
        <v>1</v>
      </c>
      <c r="BA103" s="3177">
        <v>1</v>
      </c>
      <c r="BB103" s="3177">
        <v>1</v>
      </c>
      <c r="BC103" s="3177">
        <v>1</v>
      </c>
      <c r="BD103" s="3177">
        <v>1</v>
      </c>
      <c r="BE103" s="3177">
        <v>1</v>
      </c>
      <c r="BF103" s="3177">
        <v>1</v>
      </c>
      <c r="BG103" s="3177">
        <v>1</v>
      </c>
      <c r="BH103" s="3177">
        <v>1</v>
      </c>
      <c r="BI103" s="3177">
        <v>1</v>
      </c>
      <c r="BJ103" s="3177">
        <v>1</v>
      </c>
      <c r="BK103" s="3177">
        <v>1</v>
      </c>
      <c r="BL103" s="3177">
        <v>1</v>
      </c>
      <c r="BM103" s="3177">
        <v>1</v>
      </c>
      <c r="BN103" s="3177">
        <v>1</v>
      </c>
      <c r="BO103" s="2518"/>
      <c r="BP103" s="2518"/>
      <c r="BQ103" s="2518"/>
      <c r="BR103" s="2518"/>
      <c r="BS103" s="2518"/>
      <c r="BT103" s="2518"/>
      <c r="BU103" s="2518"/>
      <c r="BV103" s="2518"/>
      <c r="BW103" s="2518"/>
      <c r="BX103" s="2518"/>
      <c r="BY103" s="2518"/>
      <c r="BZ103" s="2518"/>
      <c r="CA103" s="34"/>
      <c r="CC103" s="33"/>
      <c r="CD103" s="1772" t="e" cm="1">
        <f t="array" ca="1" aca="1" ref="CD103">_xlfn.LET(_xlpm.CheckBlank,SUM(PL!$AD103:$BN103)=0,IF(_xlpm.CheckBlank,"",SUM(_xlfn._xlws.FILTER(PL!$AD103:$BN103,(YEAR(PL!$AD$12:$BN$12)=PL!CD$12)*(array_timeline&lt;=PL!CD$11)))))</f>
        <v>#NAME?</v>
      </c>
      <c r="CE103" s="1772" t="e" cm="1">
        <f t="array" ca="1" aca="1" ref="CE103">_xlfn.LET(_xlpm.CheckBlank,SUM(PL!$AD103:$BN103)=0,IF(_xlpm.CheckBlank,"",SUM(_xlfn._xlws.FILTER(PL!$AD103:$BN103,(YEAR(PL!$AD$12:$BN$12)=PL!CE$12)*(array_timeline&lt;=PL!CE$11)))))</f>
        <v>#NAME?</v>
      </c>
      <c r="CF103" s="3"/>
      <c r="CG103" s="1461" t="e" cm="1">
        <f t="array" ca="1" aca="1" ref="CG103">_xlfn.LET(_xlpm.CheckBlank,SUM(PL!$AD103:$BN103)=0,IF(_xlpm.CheckBlank,"",SUM(_xlfn._xlws.FILTER(PL!$AD103:$BN103,(YEAR(PL!$AD$12:$BN$12)=PL!CG$12)*(array_timeline&lt;=PL!CG$11)))))</f>
        <v>#NAME?</v>
      </c>
      <c r="CH103" s="1461" t="e" cm="1">
        <f t="array" ca="1" aca="1" ref="CH103">_xlfn.LET(_xlpm.CheckBlank,SUM(PL!$AD103:$BN103)=0,IF(_xlpm.CheckBlank,"",SUM(_xlfn._xlws.FILTER(PL!$AD103:$BN103,(YEAR(PL!$AD$12:$BN$12)=PL!CH$12)*(array_timeline&lt;=PL!CH$11)))))</f>
        <v>#NAME?</v>
      </c>
      <c r="CI103" s="3"/>
      <c r="CJ103" s="1461" cm="1">
        <f t="array" ref="CJ103">_xlfn.LET(_xlpm.CheckBlank,SUM(PL!$AD103:$BN103)=0,IF(_xlpm.CheckBlank,"",SUM(_xlfn.TAKE(_xlfn.DROP(PL!$AD103:$BN103,,-DATEDIFF(PL!CJ$11,val_asOfDate,"M")),1,-12))))</f>
        <v>12</v>
      </c>
      <c r="CK103" s="1461" cm="1">
        <f t="array" ref="CK103">_xlfn.LET(_xlpm.CheckBlank,SUM(PL!$AD103:$BN103)=0,IF(_xlpm.CheckBlank,"",SUM(_xlfn.TAKE(_xlfn.DROP(PL!$AD103:$BN103,,-DATEDIFF(PL!CK$11,val_asOfDate,"M")),1,-12))))</f>
        <v>12</v>
      </c>
      <c r="CL103" s="3"/>
      <c r="CM103" s="3203" cm="1">
        <f t="array" ref="CM103">IFBLANK(CM47,"")</f>
        <v>1</v>
      </c>
      <c r="CN103" s="3203" cm="1">
        <f t="array" ref="CN103">IFBLANK(CN47,"")</f>
        <v>1</v>
      </c>
      <c r="CO103" s="3"/>
      <c r="CP103" s="3203" cm="1">
        <f t="array" ref="CP103">IFBLANK(CP47,"")</f>
        <v>1</v>
      </c>
      <c r="CQ103" s="3203" cm="1">
        <f t="array" ref="CQ103">IFBLANK(CQ47,"")</f>
        <v>1</v>
      </c>
      <c r="CR103" s="34"/>
      <c r="CS103" s="2056"/>
      <c r="CT103" s="2447" t="e" cm="1">
        <f t="array" ca="1" aca="1" ref="CT103">IF(Y103="","",IF(ISNUMBER(SEARCH("Select",$Y103)),"",_xldudf_CX_PUSH($Y103,CX_ENTITY,C103,val_asOfDate)))</f>
        <v>#NAME?</v>
      </c>
      <c r="CU103" s="2447" t="e" cm="1">
        <f t="array" ca="1" aca="1" ref="CU103">IF(Y103="","",IF(ISNUMBER(SEARCH("Select",$Y103)),"",_xldudf_CX_PUSH($Y103,CX_ENTITY,C103,EOMONTH(val_asOfDate,1))))</f>
        <v>#NAME?</v>
      </c>
      <c r="CV103" s="2447" t="e" cm="1">
        <f t="array" ca="1" aca="1" ref="CV103">IF(Y103="","",IF(ISNUMBER(SEARCH("Select",$Y103)),"",_xldudf_CX_PUSH($Y103,CX_ENTITY,C103,EOMONTH(val_asOfDate,2))))</f>
        <v>#NAME?</v>
      </c>
      <c r="CW103" s="2447" t="e" cm="1">
        <f t="array" ca="1" aca="1" ref="CW103">IF(Y103="","",IF(ISNUMBER(SEARCH("Select",$Y103)),"",_xldudf_CX_PUSH($Y103,CX_ENTITY,C103,EOMONTH(val_asOfDate,3))))</f>
        <v>#NAME?</v>
      </c>
      <c r="CX103" s="2443"/>
      <c r="CY103" s="2444" t="str" cm="1">
        <f t="array" ca="1" aca="1" ref="CY103">IFERROR(IF(CM103*fxVal_normal=_PL!CM103,"",IF(OR($CM103="",$CM103=0,NOT(ISNUMBER($CM103)),ISERROR($CM103),$B103=""),"",IF($I103=1,IFBLANK(_xldudf_CX_PUSH($CM103*fxVal_normal,CX_ENTITY,$B103,$CM$11,$CM$14,$CM$19,),""),IF($I103=2,IFBLANK(_xldudf_CX_PUSH($CM103,CX_ENTITY,$B103,$CM$11,$CM$14,$CM$19,),""),IF($I103=3,"",IFBLANK(_xldudf_CX_PUSH($CM103,CX_ENTITY,$B103,$CM$11,$CM$14,$CM$19,),"")))))),"")</f>
        <v/>
      </c>
      <c r="CZ103" s="2444" t="str" cm="1">
        <f t="array" ca="1" aca="1" ref="CZ103">IFERROR(IF(CN103*fxVal_normal=_PL!CN103,"",IF(OR($CN103="",$CN103=0,NOT(ISNUMBER($CN103)),ISERROR($CN103),$B103=""),"",IF($I103=1,IFBLANK(_xldudf_CX_PUSH($CN103*fxVal_normal,CX_ENTITY,$B103,$CN$11,$CN$14,$CN$19,),""),IF($I103=2,IFBLANK(_xldudf_CX_PUSH($CN103,CX_ENTITY,$B103,$CN$11,$CN$14,$CN$19,),""),IF($I103=3,"",IFBLANK(_xldudf_CX_PUSH($CN103,CX_ENTITY,$B103,$CN$11,$CN$14,$CN$19,),"")))))),"")</f>
        <v/>
      </c>
      <c r="DA103" s="2444" t="str" cm="1">
        <f t="array" ca="1" aca="1" ref="DA103">IFERROR(IF(CP103*fxVal_normal=_PL!CP103,"",IF(OR($CP103="",$CP103=0,NOT(ISNUMBER($CP103)),ISERROR($CP103),$B103=""),"",IF($I103=1,IFBLANK(_xldudf_CX_PUSH($CP103*fxVal_normal,CX_ENTITY,$B103,$CP$11,$CP$14,$CP$19,),""),IF($I103=2,IFBLANK(_xldudf_CX_PUSH($CP103,CX_ENTITY,$B103,$CP$11,$CP$14,$CP$19,),""),IF($I103=3,"",IFBLANK(_xldudf_CX_PUSH($CP103,CX_ENTITY,$B103,$CP$11,$CP$14,$CP$19,),"")))))),"")</f>
        <v/>
      </c>
      <c r="DB103" s="2444" t="str" cm="1">
        <f t="array" ca="1" aca="1" ref="DB103">IFERROR(IF(CQ103*fxVal_normal=_PL!CQ103,"",IF(OR($CQ103="",$CQ103=0,NOT(ISNUMBER($CQ103)),ISERROR($CQ103),$B103=""),"",IF($I103=1,IFBLANK(_xldudf_CX_PUSH($CQ103*fxVal_normal,CX_ENTITY,$B103,$CQ$11,$CQ$14,$CQ$19,),""),IF($I103=2,IFBLANK(_xldudf_CX_PUSH($CQ103,CX_ENTITY,$B103,$CQ$11,$CQ$14,$CQ$19,),""),IF($I103=3,"",IFBLANK(_xldudf_CX_PUSH($CQ103,CX_ENTITY,$B103,$CQ$11,$CQ$14,$CQ$19,),"")))))),"")</f>
        <v/>
      </c>
      <c r="DC103" s="2443"/>
      <c r="DD103" s="2445" t="str" cm="1">
        <f t="array" ca="1" aca="1" ref="DD103">IFERROR(IF(AD103*fxVal_normal=_PL!AD103,"",IF(OR(AD103="",NOT(ISNUMBER(AD103)),ISERROR(AD103),$B103=""),"",IF($I103=1,IFBLANK(_xldudf_CX_PUSH(AD103*fxVal_normal,CX_ENTITY,$B103,AD$11,AD$14,AD$75,),""),IF($I103=2,IFBLANK(_xldudf_CX_PUSH(AD103,CX_ENTITY,$B103,AD$11,AD$14,AD$75,),""),IF($I103=3,"",IFBLANK(_xldudf_CX_PUSH(AD103,CX_ENTITY,$B103,AD$11,AD$14,AD$75,),"")))))),"")</f>
        <v/>
      </c>
      <c r="DE103" s="2445" t="str" cm="1">
        <f t="array" ca="1" aca="1" ref="DE103">IFERROR(IF(AE103*fxVal_normal=_PL!AE103,"",IF(OR(AE103="",NOT(ISNUMBER(AE103)),ISERROR(AE103),$B103=""),"",IF($I103=1,IFBLANK(_xldudf_CX_PUSH(AE103*fxVal_normal,CX_ENTITY,$B103,AE$11,AE$14,AE$75,),""),IF($I103=2,IFBLANK(_xldudf_CX_PUSH(AE103,CX_ENTITY,$B103,AE$11,AE$14,AE$75,),""),IF($I103=3,"",IFBLANK(_xldudf_CX_PUSH(AE103,CX_ENTITY,$B103,AE$11,AE$14,AE$75,),"")))))),"")</f>
        <v/>
      </c>
      <c r="DF103" s="2445" t="str" cm="1">
        <f t="array" ca="1" aca="1" ref="DF103">IFERROR(IF(AF103*fxVal_normal=_PL!AF103,"",IF(OR(AF103="",NOT(ISNUMBER(AF103)),ISERROR(AF103),$B103=""),"",IF($I103=1,IFBLANK(_xldudf_CX_PUSH(AF103*fxVal_normal,CX_ENTITY,$B103,AF$11,AF$14,AF$75,),""),IF($I103=2,IFBLANK(_xldudf_CX_PUSH(AF103,CX_ENTITY,$B103,AF$11,AF$14,AF$75,),""),IF($I103=3,"",IFBLANK(_xldudf_CX_PUSH(AF103,CX_ENTITY,$B103,AF$11,AF$14,AF$75,),"")))))),"")</f>
        <v/>
      </c>
      <c r="DG103" s="2445" t="str" cm="1">
        <f t="array" ca="1" aca="1" ref="DG103">IFERROR(IF(AG103*fxVal_normal=_PL!AG103,"",IF(OR(AG103="",NOT(ISNUMBER(AG103)),ISERROR(AG103),$B103=""),"",IF($I103=1,IFBLANK(_xldudf_CX_PUSH(AG103*fxVal_normal,CX_ENTITY,$B103,AG$11,AG$14,AG$75,),""),IF($I103=2,IFBLANK(_xldudf_CX_PUSH(AG103,CX_ENTITY,$B103,AG$11,AG$14,AG$75,),""),IF($I103=3,"",IFBLANK(_xldudf_CX_PUSH(AG103,CX_ENTITY,$B103,AG$11,AG$14,AG$75,),"")))))),"")</f>
        <v/>
      </c>
      <c r="DH103" s="2445" t="str" cm="1">
        <f t="array" ca="1" aca="1" ref="DH103">IFERROR(IF(AH103*fxVal_normal=_PL!AH103,"",IF(OR(AH103="",NOT(ISNUMBER(AH103)),ISERROR(AH103),$B103=""),"",IF($I103=1,IFBLANK(_xldudf_CX_PUSH(AH103*fxVal_normal,CX_ENTITY,$B103,AH$11,AH$14,AH$75,),""),IF($I103=2,IFBLANK(_xldudf_CX_PUSH(AH103,CX_ENTITY,$B103,AH$11,AH$14,AH$75,),""),IF($I103=3,"",IFBLANK(_xldudf_CX_PUSH(AH103,CX_ENTITY,$B103,AH$11,AH$14,AH$75,),"")))))),"")</f>
        <v/>
      </c>
      <c r="DI103" s="2445" t="str" cm="1">
        <f t="array" ca="1" aca="1" ref="DI103">IFERROR(IF(AI103*fxVal_normal=_PL!AI103,"",IF(OR(AI103="",NOT(ISNUMBER(AI103)),ISERROR(AI103),$B103=""),"",IF($I103=1,IFBLANK(_xldudf_CX_PUSH(AI103*fxVal_normal,CX_ENTITY,$B103,AI$11,AI$14,AI$75,),""),IF($I103=2,IFBLANK(_xldudf_CX_PUSH(AI103,CX_ENTITY,$B103,AI$11,AI$14,AI$75,),""),IF($I103=3,"",IFBLANK(_xldudf_CX_PUSH(AI103,CX_ENTITY,$B103,AI$11,AI$14,AI$75,),"")))))),"")</f>
        <v/>
      </c>
      <c r="DJ103" s="2445" t="str" cm="1">
        <f t="array" ca="1" aca="1" ref="DJ103">IFERROR(IF(AJ103*fxVal_normal=_PL!AJ103,"",IF(OR(AJ103="",NOT(ISNUMBER(AJ103)),ISERROR(AJ103),$B103=""),"",IF($I103=1,IFBLANK(_xldudf_CX_PUSH(AJ103*fxVal_normal,CX_ENTITY,$B103,AJ$11,AJ$14,AJ$75,),""),IF($I103=2,IFBLANK(_xldudf_CX_PUSH(AJ103,CX_ENTITY,$B103,AJ$11,AJ$14,AJ$75,),""),IF($I103=3,"",IFBLANK(_xldudf_CX_PUSH(AJ103,CX_ENTITY,$B103,AJ$11,AJ$14,AJ$75,),"")))))),"")</f>
        <v/>
      </c>
      <c r="DK103" s="2445" t="str" cm="1">
        <f t="array" ca="1" aca="1" ref="DK103">IFERROR(IF(AK103*fxVal_normal=_PL!AK103,"",IF(OR(AK103="",NOT(ISNUMBER(AK103)),ISERROR(AK103),$B103=""),"",IF($I103=1,IFBLANK(_xldudf_CX_PUSH(AK103*fxVal_normal,CX_ENTITY,$B103,AK$11,AK$14,AK$75,),""),IF($I103=2,IFBLANK(_xldudf_CX_PUSH(AK103,CX_ENTITY,$B103,AK$11,AK$14,AK$75,),""),IF($I103=3,"",IFBLANK(_xldudf_CX_PUSH(AK103,CX_ENTITY,$B103,AK$11,AK$14,AK$75,),"")))))),"")</f>
        <v/>
      </c>
      <c r="DL103" s="2445" t="str" cm="1">
        <f t="array" ca="1" aca="1" ref="DL103">IFERROR(IF(AL103*fxVal_normal=_PL!AL103,"",IF(OR(AL103="",NOT(ISNUMBER(AL103)),ISERROR(AL103),$B103=""),"",IF($I103=1,IFBLANK(_xldudf_CX_PUSH(AL103*fxVal_normal,CX_ENTITY,$B103,AL$11,AL$14,AL$75,),""),IF($I103=2,IFBLANK(_xldudf_CX_PUSH(AL103,CX_ENTITY,$B103,AL$11,AL$14,AL$75,),""),IF($I103=3,"",IFBLANK(_xldudf_CX_PUSH(AL103,CX_ENTITY,$B103,AL$11,AL$14,AL$75,),"")))))),"")</f>
        <v/>
      </c>
      <c r="DM103" s="2445" t="str" cm="1">
        <f t="array" ca="1" aca="1" ref="DM103">IFERROR(IF(AM103*fxVal_normal=_PL!AM103,"",IF(OR(AM103="",NOT(ISNUMBER(AM103)),ISERROR(AM103),$B103=""),"",IF($I103=1,IFBLANK(_xldudf_CX_PUSH(AM103*fxVal_normal,CX_ENTITY,$B103,AM$11,AM$14,AM$75,),""),IF($I103=2,IFBLANK(_xldudf_CX_PUSH(AM103,CX_ENTITY,$B103,AM$11,AM$14,AM$75,),""),IF($I103=3,"",IFBLANK(_xldudf_CX_PUSH(AM103,CX_ENTITY,$B103,AM$11,AM$14,AM$75,),"")))))),"")</f>
        <v/>
      </c>
      <c r="DN103" s="2445" t="str" cm="1">
        <f t="array" ca="1" aca="1" ref="DN103">IFERROR(IF(AN103*fxVal_normal=_PL!AN103,"",IF(OR(AN103="",NOT(ISNUMBER(AN103)),ISERROR(AN103),$B103=""),"",IF($I103=1,IFBLANK(_xldudf_CX_PUSH(AN103*fxVal_normal,CX_ENTITY,$B103,AN$11,AN$14,AN$75,),""),IF($I103=2,IFBLANK(_xldudf_CX_PUSH(AN103,CX_ENTITY,$B103,AN$11,AN$14,AN$75,),""),IF($I103=3,"",IFBLANK(_xldudf_CX_PUSH(AN103,CX_ENTITY,$B103,AN$11,AN$14,AN$75,),"")))))),"")</f>
        <v/>
      </c>
      <c r="DO103" s="2445" t="str" cm="1">
        <f t="array" ca="1" aca="1" ref="DO103">IFERROR(IF(AO103*fxVal_normal=_PL!AO103,"",IF(OR(AO103="",NOT(ISNUMBER(AO103)),ISERROR(AO103),$B103=""),"",IF($I103=1,IFBLANK(_xldudf_CX_PUSH(AO103*fxVal_normal,CX_ENTITY,$B103,AO$11,AO$14,AO$75,),""),IF($I103=2,IFBLANK(_xldudf_CX_PUSH(AO103,CX_ENTITY,$B103,AO$11,AO$14,AO$75,),""),IF($I103=3,"",IFBLANK(_xldudf_CX_PUSH(AO103,CX_ENTITY,$B103,AO$11,AO$14,AO$75,),"")))))),"")</f>
        <v/>
      </c>
      <c r="DP103" s="2445" t="str" cm="1">
        <f t="array" ca="1" aca="1" ref="DP103">IFERROR(IF(AP103*fxVal_normal=_PL!AP103,"",IF(OR(AP103="",NOT(ISNUMBER(AP103)),ISERROR(AP103),$B103=""),"",IF($I103=1,IFBLANK(_xldudf_CX_PUSH(AP103*fxVal_normal,CX_ENTITY,$B103,AP$11,AP$14,AP$75,),""),IF($I103=2,IFBLANK(_xldudf_CX_PUSH(AP103,CX_ENTITY,$B103,AP$11,AP$14,AP$75,),""),IF($I103=3,"",IFBLANK(_xldudf_CX_PUSH(AP103,CX_ENTITY,$B103,AP$11,AP$14,AP$75,),"")))))),"")</f>
        <v/>
      </c>
      <c r="DQ103" s="2445" t="str" cm="1">
        <f t="array" ca="1" aca="1" ref="DQ103">IFERROR(IF(AQ103*fxVal_normal=_PL!AQ103,"",IF(OR(AQ103="",NOT(ISNUMBER(AQ103)),ISERROR(AQ103),$B103=""),"",IF($I103=1,IFBLANK(_xldudf_CX_PUSH(AQ103*fxVal_normal,CX_ENTITY,$B103,AQ$11,AQ$14,AQ$75,),""),IF($I103=2,IFBLANK(_xldudf_CX_PUSH(AQ103,CX_ENTITY,$B103,AQ$11,AQ$14,AQ$75,),""),IF($I103=3,"",IFBLANK(_xldudf_CX_PUSH(AQ103,CX_ENTITY,$B103,AQ$11,AQ$14,AQ$75,),"")))))),"")</f>
        <v/>
      </c>
      <c r="DR103" s="2445" t="str" cm="1">
        <f t="array" ca="1" aca="1" ref="DR103">IFERROR(IF(AR103*fxVal_normal=_PL!AR103,"",IF(OR(AR103="",NOT(ISNUMBER(AR103)),ISERROR(AR103),$B103=""),"",IF($I103=1,IFBLANK(_xldudf_CX_PUSH(AR103*fxVal_normal,CX_ENTITY,$B103,AR$11,AR$14,AR$75,),""),IF($I103=2,IFBLANK(_xldudf_CX_PUSH(AR103,CX_ENTITY,$B103,AR$11,AR$14,AR$75,),""),IF($I103=3,"",IFBLANK(_xldudf_CX_PUSH(AR103,CX_ENTITY,$B103,AR$11,AR$14,AR$75,),"")))))),"")</f>
        <v/>
      </c>
      <c r="DS103" s="2445" t="str" cm="1">
        <f t="array" ca="1" aca="1" ref="DS103">IFERROR(IF(AS103*fxVal_normal=_PL!AS103,"",IF(OR(AS103="",NOT(ISNUMBER(AS103)),ISERROR(AS103),$B103=""),"",IF($I103=1,IFBLANK(_xldudf_CX_PUSH(AS103*fxVal_normal,CX_ENTITY,$B103,AS$11,AS$14,AS$75,),""),IF($I103=2,IFBLANK(_xldudf_CX_PUSH(AS103,CX_ENTITY,$B103,AS$11,AS$14,AS$75,),""),IF($I103=3,"",IFBLANK(_xldudf_CX_PUSH(AS103,CX_ENTITY,$B103,AS$11,AS$14,AS$75,),"")))))),"")</f>
        <v/>
      </c>
      <c r="DT103" s="2445" t="str" cm="1">
        <f t="array" ca="1" aca="1" ref="DT103">IFERROR(IF(AT103*fxVal_normal=_PL!AT103,"",IF(OR(AT103="",NOT(ISNUMBER(AT103)),ISERROR(AT103),$B103=""),"",IF($I103=1,IFBLANK(_xldudf_CX_PUSH(AT103*fxVal_normal,CX_ENTITY,$B103,AT$11,AT$14,AT$75,),""),IF($I103=2,IFBLANK(_xldudf_CX_PUSH(AT103,CX_ENTITY,$B103,AT$11,AT$14,AT$75,),""),IF($I103=3,"",IFBLANK(_xldudf_CX_PUSH(AT103,CX_ENTITY,$B103,AT$11,AT$14,AT$75,),"")))))),"")</f>
        <v/>
      </c>
      <c r="DU103" s="2445" t="str" cm="1">
        <f t="array" ca="1" aca="1" ref="DU103">IFERROR(IF(AU103*fxVal_normal=_PL!AU103,"",IF(OR(AU103="",NOT(ISNUMBER(AU103)),ISERROR(AU103),$B103=""),"",IF($I103=1,IFBLANK(_xldudf_CX_PUSH(AU103*fxVal_normal,CX_ENTITY,$B103,AU$11,AU$14,AU$75,),""),IF($I103=2,IFBLANK(_xldudf_CX_PUSH(AU103,CX_ENTITY,$B103,AU$11,AU$14,AU$75,),""),IF($I103=3,"",IFBLANK(_xldudf_CX_PUSH(AU103,CX_ENTITY,$B103,AU$11,AU$14,AU$75,),"")))))),"")</f>
        <v/>
      </c>
      <c r="DV103" s="2445" t="str" cm="1">
        <f t="array" ca="1" aca="1" ref="DV103">IFERROR(IF(AV103*fxVal_normal=_PL!AV103,"",IF(OR(AV103="",NOT(ISNUMBER(AV103)),ISERROR(AV103),$B103=""),"",IF($I103=1,IFBLANK(_xldudf_CX_PUSH(AV103*fxVal_normal,CX_ENTITY,$B103,AV$11,AV$14,AV$75,),""),IF($I103=2,IFBLANK(_xldudf_CX_PUSH(AV103,CX_ENTITY,$B103,AV$11,AV$14,AV$75,),""),IF($I103=3,"",IFBLANK(_xldudf_CX_PUSH(AV103,CX_ENTITY,$B103,AV$11,AV$14,AV$75,),"")))))),"")</f>
        <v/>
      </c>
      <c r="DW103" s="2445" t="str" cm="1">
        <f t="array" ca="1" aca="1" ref="DW103">IFERROR(IF(AW103*fxVal_normal=_PL!AW103,"",IF(OR(AW103="",NOT(ISNUMBER(AW103)),ISERROR(AW103),$B103=""),"",IF($I103=1,IFBLANK(_xldudf_CX_PUSH(AW103*fxVal_normal,CX_ENTITY,$B103,AW$11,AW$14,AW$75,),""),IF($I103=2,IFBLANK(_xldudf_CX_PUSH(AW103,CX_ENTITY,$B103,AW$11,AW$14,AW$75,),""),IF($I103=3,"",IFBLANK(_xldudf_CX_PUSH(AW103,CX_ENTITY,$B103,AW$11,AW$14,AW$75,),"")))))),"")</f>
        <v/>
      </c>
      <c r="DX103" s="2445" t="str" cm="1">
        <f t="array" ca="1" aca="1" ref="DX103">IFERROR(IF(AX103*fxVal_normal=_PL!AX103,"",IF(OR(AX103="",NOT(ISNUMBER(AX103)),ISERROR(AX103),$B103=""),"",IF($I103=1,IFBLANK(_xldudf_CX_PUSH(AX103*fxVal_normal,CX_ENTITY,$B103,AX$11,AX$14,AX$75,),""),IF($I103=2,IFBLANK(_xldudf_CX_PUSH(AX103,CX_ENTITY,$B103,AX$11,AX$14,AX$75,),""),IF($I103=3,"",IFBLANK(_xldudf_CX_PUSH(AX103,CX_ENTITY,$B103,AX$11,AX$14,AX$75,),"")))))),"")</f>
        <v/>
      </c>
      <c r="DY103" s="2445" t="str" cm="1">
        <f t="array" ca="1" aca="1" ref="DY103">IFERROR(IF(AY103*fxVal_normal=_PL!AY103,"",IF(OR(AY103="",NOT(ISNUMBER(AY103)),ISERROR(AY103),$B103=""),"",IF($I103=1,IFBLANK(_xldudf_CX_PUSH(AY103*fxVal_normal,CX_ENTITY,$B103,AY$11,AY$14,AY$75,),""),IF($I103=2,IFBLANK(_xldudf_CX_PUSH(AY103,CX_ENTITY,$B103,AY$11,AY$14,AY$75,),""),IF($I103=3,"",IFBLANK(_xldudf_CX_PUSH(AY103,CX_ENTITY,$B103,AY$11,AY$14,AY$75,),"")))))),"")</f>
        <v/>
      </c>
      <c r="DZ103" s="2445" t="str" cm="1">
        <f t="array" ca="1" aca="1" ref="DZ103">IFERROR(IF(AZ103*fxVal_normal=_PL!AZ103,"",IF(OR(AZ103="",NOT(ISNUMBER(AZ103)),ISERROR(AZ103),$B103=""),"",IF($I103=1,IFBLANK(_xldudf_CX_PUSH(AZ103*fxVal_normal,CX_ENTITY,$B103,AZ$11,AZ$14,AZ$75,),""),IF($I103=2,IFBLANK(_xldudf_CX_PUSH(AZ103,CX_ENTITY,$B103,AZ$11,AZ$14,AZ$75,),""),IF($I103=3,"",IFBLANK(_xldudf_CX_PUSH(AZ103,CX_ENTITY,$B103,AZ$11,AZ$14,AZ$75,),"")))))),"")</f>
        <v/>
      </c>
      <c r="EA103" s="2445" t="str" cm="1">
        <f t="array" ca="1" aca="1" ref="EA103">IFERROR(IF(BA103*fxVal_normal=_PL!BA103,"",IF(OR(BA103="",NOT(ISNUMBER(BA103)),ISERROR(BA103),$B103=""),"",IF($I103=1,IFBLANK(_xldudf_CX_PUSH(BA103*fxVal_normal,CX_ENTITY,$B103,BA$11,BA$14,BA$75,),""),IF($I103=2,IFBLANK(_xldudf_CX_PUSH(BA103,CX_ENTITY,$B103,BA$11,BA$14,BA$75,),""),IF($I103=3,"",IFBLANK(_xldudf_CX_PUSH(BA103,CX_ENTITY,$B103,BA$11,BA$14,BA$75,),"")))))),"")</f>
        <v/>
      </c>
      <c r="EB103" s="2445" t="str" cm="1">
        <f t="array" ca="1" aca="1" ref="EB103">IFERROR(IF(BB103*fxVal_normal=_PL!BB103,"",IF(OR(BB103="",NOT(ISNUMBER(BB103)),ISERROR(BB103),$B103=""),"",IF($I103=1,IFBLANK(_xldudf_CX_PUSH(BB103*fxVal_normal,CX_ENTITY,$B103,BB$11,BB$14,BB$75,),""),IF($I103=2,IFBLANK(_xldudf_CX_PUSH(BB103,CX_ENTITY,$B103,BB$11,BB$14,BB$75,),""),IF($I103=3,"",IFBLANK(_xldudf_CX_PUSH(BB103,CX_ENTITY,$B103,BB$11,BB$14,BB$75,),"")))))),"")</f>
        <v/>
      </c>
      <c r="EC103" s="2445" t="str" cm="1">
        <f t="array" ca="1" aca="1" ref="EC103">IFERROR(IF(BC103*fxVal_normal=_PL!BC103,"",IF(OR(BC103="",NOT(ISNUMBER(BC103)),ISERROR(BC103),$B103=""),"",IF($I103=1,IFBLANK(_xldudf_CX_PUSH(BC103*fxVal_normal,CX_ENTITY,$B103,BC$11,BC$14,BC$75,),""),IF($I103=2,IFBLANK(_xldudf_CX_PUSH(BC103,CX_ENTITY,$B103,BC$11,BC$14,BC$75,),""),IF($I103=3,"",IFBLANK(_xldudf_CX_PUSH(BC103,CX_ENTITY,$B103,BC$11,BC$14,BC$75,),"")))))),"")</f>
        <v/>
      </c>
      <c r="ED103" s="2445" t="str" cm="1">
        <f t="array" ca="1" aca="1" ref="ED103">IFERROR(IF(BD103*fxVal_normal=_PL!BD103,"",IF(OR(BD103="",NOT(ISNUMBER(BD103)),ISERROR(BD103),$B103=""),"",IF($I103=1,IFBLANK(_xldudf_CX_PUSH(BD103*fxVal_normal,CX_ENTITY,$B103,BD$11,BD$14,BD$75,),""),IF($I103=2,IFBLANK(_xldudf_CX_PUSH(BD103,CX_ENTITY,$B103,BD$11,BD$14,BD$75,),""),IF($I103=3,"",IFBLANK(_xldudf_CX_PUSH(BD103,CX_ENTITY,$B103,BD$11,BD$14,BD$75,),"")))))),"")</f>
        <v/>
      </c>
      <c r="EE103" s="2445" t="str" cm="1">
        <f t="array" ca="1" aca="1" ref="EE103">IFERROR(IF(BE103*fxVal_normal=_PL!BE103,"",IF(OR(BE103="",NOT(ISNUMBER(BE103)),ISERROR(BE103),$B103=""),"",IF($I103=1,IFBLANK(_xldudf_CX_PUSH(BE103*fxVal_normal,CX_ENTITY,$B103,BE$11,BE$14,BE$75,),""),IF($I103=2,IFBLANK(_xldudf_CX_PUSH(BE103,CX_ENTITY,$B103,BE$11,BE$14,BE$75,),""),IF($I103=3,"",IFBLANK(_xldudf_CX_PUSH(BE103,CX_ENTITY,$B103,BE$11,BE$14,BE$75,),"")))))),"")</f>
        <v/>
      </c>
      <c r="EF103" s="2445" t="str" cm="1">
        <f t="array" ca="1" aca="1" ref="EF103">IFERROR(IF(BF103*fxVal_normal=_PL!BF103,"",IF(OR(BF103="",NOT(ISNUMBER(BF103)),ISERROR(BF103),$B103=""),"",IF($I103=1,IFBLANK(_xldudf_CX_PUSH(BF103*fxVal_normal,CX_ENTITY,$B103,BF$11,BF$14,BF$75,),""),IF($I103=2,IFBLANK(_xldudf_CX_PUSH(BF103,CX_ENTITY,$B103,BF$11,BF$14,BF$75,),""),IF($I103=3,"",IFBLANK(_xldudf_CX_PUSH(BF103,CX_ENTITY,$B103,BF$11,BF$14,BF$75,),"")))))),"")</f>
        <v/>
      </c>
      <c r="EG103" s="2445" t="str" cm="1">
        <f t="array" ca="1" aca="1" ref="EG103">IFERROR(IF(BG103*fxVal_normal=_PL!BG103,"",IF(OR(BG103="",NOT(ISNUMBER(BG103)),ISERROR(BG103),$B103=""),"",IF($I103=1,IFBLANK(_xldudf_CX_PUSH(BG103*fxVal_normal,CX_ENTITY,$B103,BG$11,BG$14,BG$75,),""),IF($I103=2,IFBLANK(_xldudf_CX_PUSH(BG103,CX_ENTITY,$B103,BG$11,BG$14,BG$75,),""),IF($I103=3,"",IFBLANK(_xldudf_CX_PUSH(BG103,CX_ENTITY,$B103,BG$11,BG$14,BG$75,),"")))))),"")</f>
        <v/>
      </c>
      <c r="EH103" s="2445" t="str" cm="1">
        <f t="array" ca="1" aca="1" ref="EH103">IFERROR(IF(BH103*fxVal_normal=_PL!BH103,"",IF(OR(BH103="",NOT(ISNUMBER(BH103)),ISERROR(BH103),$B103=""),"",IF($I103=1,IFBLANK(_xldudf_CX_PUSH(BH103*fxVal_normal,CX_ENTITY,$B103,BH$11,BH$14,BH$75,),""),IF($I103=2,IFBLANK(_xldudf_CX_PUSH(BH103,CX_ENTITY,$B103,BH$11,BH$14,BH$75,),""),IF($I103=3,"",IFBLANK(_xldudf_CX_PUSH(BH103,CX_ENTITY,$B103,BH$11,BH$14,BH$75,),"")))))),"")</f>
        <v/>
      </c>
      <c r="EI103" s="2445" t="str" cm="1">
        <f t="array" ca="1" aca="1" ref="EI103">IFERROR(IF(BI103*fxVal_normal=_PL!BI103,"",IF(OR(BI103="",NOT(ISNUMBER(BI103)),ISERROR(BI103),$B103=""),"",IF($I103=1,IFBLANK(_xldudf_CX_PUSH(BI103*fxVal_normal,CX_ENTITY,$B103,BI$11,BI$14,BI$75,),""),IF($I103=2,IFBLANK(_xldudf_CX_PUSH(BI103,CX_ENTITY,$B103,BI$11,BI$14,BI$75,),""),IF($I103=3,"",IFBLANK(_xldudf_CX_PUSH(BI103,CX_ENTITY,$B103,BI$11,BI$14,BI$75,),"")))))),"")</f>
        <v/>
      </c>
      <c r="EJ103" s="2445" t="str" cm="1">
        <f t="array" ca="1" aca="1" ref="EJ103">IFERROR(IF(BJ103*fxVal_normal=_PL!BJ103,"",IF(OR(BJ103="",NOT(ISNUMBER(BJ103)),ISERROR(BJ103),$B103=""),"",IF($I103=1,IFBLANK(_xldudf_CX_PUSH(BJ103*fxVal_normal,CX_ENTITY,$B103,BJ$11,BJ$14,BJ$75,),""),IF($I103=2,IFBLANK(_xldudf_CX_PUSH(BJ103,CX_ENTITY,$B103,BJ$11,BJ$14,BJ$75,),""),IF($I103=3,"",IFBLANK(_xldudf_CX_PUSH(BJ103,CX_ENTITY,$B103,BJ$11,BJ$14,BJ$75,),"")))))),"")</f>
        <v/>
      </c>
      <c r="EK103" s="2445" t="str" cm="1">
        <f t="array" ca="1" aca="1" ref="EK103">IFERROR(IF(BK103*fxVal_normal=_PL!BK103,"",IF(OR(BK103="",NOT(ISNUMBER(BK103)),ISERROR(BK103),$B103=""),"",IF($I103=1,IFBLANK(_xldudf_CX_PUSH(BK103*fxVal_normal,CX_ENTITY,$B103,BK$11,BK$14,BK$75,),""),IF($I103=2,IFBLANK(_xldudf_CX_PUSH(BK103,CX_ENTITY,$B103,BK$11,BK$14,BK$75,),""),IF($I103=3,"",IFBLANK(_xldudf_CX_PUSH(BK103,CX_ENTITY,$B103,BK$11,BK$14,BK$75,),"")))))),"")</f>
        <v/>
      </c>
      <c r="EL103" s="2445" t="str" cm="1">
        <f t="array" ca="1" aca="1" ref="EL103">IFERROR(IF(BL103*fxVal_normal=_PL!BL103,"",IF(OR(BL103="",NOT(ISNUMBER(BL103)),ISERROR(BL103),$B103=""),"",IF($I103=1,IFBLANK(_xldudf_CX_PUSH(BL103*fxVal_normal,CX_ENTITY,$B103,BL$11,BL$14,BL$75,),""),IF($I103=2,IFBLANK(_xldudf_CX_PUSH(BL103,CX_ENTITY,$B103,BL$11,BL$14,BL$75,),""),IF($I103=3,"",IFBLANK(_xldudf_CX_PUSH(BL103,CX_ENTITY,$B103,BL$11,BL$14,BL$75,),"")))))),"")</f>
        <v/>
      </c>
      <c r="EM103" s="2445" t="str" cm="1">
        <f t="array" ca="1" aca="1" ref="EM103">IFERROR(IF(BM103*fxVal_normal=_PL!BM103,"",IF(OR(BM103="",NOT(ISNUMBER(BM103)),ISERROR(BM103),$B103=""),"",IF($I103=1,IFBLANK(_xldudf_CX_PUSH(BM103*fxVal_normal,CX_ENTITY,$B103,BM$11,BM$14,BM$75,),""),IF($I103=2,IFBLANK(_xldudf_CX_PUSH(BM103,CX_ENTITY,$B103,BM$11,BM$14,BM$75,),""),IF($I103=3,"",IFBLANK(_xldudf_CX_PUSH(BM103,CX_ENTITY,$B103,BM$11,BM$14,BM$75,),"")))))),"")</f>
        <v/>
      </c>
      <c r="EN103" s="2445" t="str" cm="1">
        <f t="array" ca="1" aca="1" ref="EN103">IFERROR(IF(BN103*fxVal_normal=_PL!BN103,"",IF(OR(BN103="",NOT(ISNUMBER(BN103)),ISERROR(BN103),$B103=""),"",IF($I103=1,IFBLANK(_xldudf_CX_PUSH(BN103*fxVal_normal,CX_ENTITY,$B103,BN$11,BN$14,BN$75,),""),IF($I103=2,IFBLANK(_xldudf_CX_PUSH(BN103,CX_ENTITY,$B103,BN$11,BN$14,BN$75,),""),IF($I103=3,"",IFBLANK(_xldudf_CX_PUSH(BN103,CX_ENTITY,$B103,BN$11,BN$14,BN$75,),"")))))),"")</f>
        <v/>
      </c>
    </row>
    <row r="104" spans="1:144" ht="21" customHeight="1">
      <c r="A104" s="1626"/>
      <c r="B104" s="2501" t="str">
        <f>_xlfn.LET(_xlpm.IsNotAttrDynamic,D104="",_xlpm.Attr,_PL!F104,_xlpm.NotInUse,Y104=D104,_xlpm.RESULT,IF(_xlpm.IsNotAttrDynamic,_xlpm.Attr,IF(_xlpm.NotInUse,"",Y104)),IF(_xlpm.RESULT="","",_xlpm.RESULT))</f>
        <v>Custom Metric Amount 3</v>
      </c>
      <c r="C104" s="3463" t="str" cm="1">
        <f t="array" ref="C104">IFBLANK(_PL!C104,"")</f>
        <v>Custom Metric - Label 3</v>
      </c>
      <c r="D104" s="1548"/>
      <c r="E104" s="2440" t="e" cm="1">
        <f t="array" ca="1" aca="1" ref="E10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104:$CQ104,Z104)</f>
        <v>#NAME?</v>
      </c>
      <c r="F104" s="578"/>
      <c r="G104" s="578"/>
      <c r="H104" s="3280">
        <v>1</v>
      </c>
      <c r="I104" s="3280">
        <v>1</v>
      </c>
      <c r="J104" s="401" cm="1">
        <f t="array" ref="J104">IFBLANK(Z104,"")</f>
        <v>-1</v>
      </c>
      <c r="K104" s="578" t="str">
        <f>IFERROR(IF(LEN(AB104)=0,"No",IF(LEN(J104)&gt;0,"Yes","No")),"")</f>
        <v>Yes</v>
      </c>
      <c r="L104" s="37"/>
      <c r="N104" s="158"/>
      <c r="O104" s="101"/>
      <c r="P104" s="52"/>
      <c r="Q104" s="101"/>
      <c r="R104" s="126"/>
      <c r="S104" s="101"/>
      <c r="T104" s="101"/>
      <c r="U104" s="39"/>
      <c r="V104" s="37"/>
      <c r="W104" s="91" t="str">
        <f t="shared" si="43"/>
        <v>Budget</v>
      </c>
      <c r="X104" s="2523" t="e">
        <f ca="1">_PL!X104</f>
        <v>#NAME?</v>
      </c>
      <c r="Y104" s="3202" cm="1">
        <f t="array" ref="Y104">IFBLANK(Y48,"")</f>
        <v>2</v>
      </c>
      <c r="Z104" s="198" cm="1">
        <f t="array" ref="Z104">IFBLANK(Z48,"")</f>
        <v>-1</v>
      </c>
      <c r="AA104" s="200"/>
      <c r="AB104" s="3200" cm="1">
        <f t="array" ref="AB104">IFBLANK(Y104,"")</f>
        <v>2</v>
      </c>
      <c r="AC104" s="2527" t="str" cm="1">
        <f t="array" ca="1" aca="1" ref="AC104">_xlfn.LET(_xlpm._termname,$AB104,_xlpm._iconname,"find",_xlpm._icon,fx_getIcon(_xlpm._iconname),_xlpm._location,_xlfn.XLOOKUP(LOWER(_xlpm._termname),LOWER(tbl_acctDef[Term]),tbl_acctDef[Term]),_xlpm._hyperlink,HYPERLINK("#"&amp;CELL("address",_xlpm._location),_xlpm._icon),IFERROR(_xlpm._hyperlink,""))</f>
        <v/>
      </c>
      <c r="AD104" s="3177">
        <v>1</v>
      </c>
      <c r="AE104" s="3177">
        <v>1</v>
      </c>
      <c r="AF104" s="3177">
        <v>1</v>
      </c>
      <c r="AG104" s="3177">
        <v>1</v>
      </c>
      <c r="AH104" s="3177">
        <v>1</v>
      </c>
      <c r="AI104" s="3177">
        <v>1</v>
      </c>
      <c r="AJ104" s="3177">
        <v>1</v>
      </c>
      <c r="AK104" s="3177">
        <v>1</v>
      </c>
      <c r="AL104" s="3177">
        <v>1</v>
      </c>
      <c r="AM104" s="3177">
        <v>1</v>
      </c>
      <c r="AN104" s="3177">
        <v>1</v>
      </c>
      <c r="AO104" s="3177">
        <v>1</v>
      </c>
      <c r="AP104" s="3177">
        <v>1</v>
      </c>
      <c r="AQ104" s="3177">
        <v>1</v>
      </c>
      <c r="AR104" s="3177">
        <v>1</v>
      </c>
      <c r="AS104" s="3177">
        <v>1</v>
      </c>
      <c r="AT104" s="3177">
        <v>1</v>
      </c>
      <c r="AU104" s="3177">
        <v>1</v>
      </c>
      <c r="AV104" s="3177">
        <v>1</v>
      </c>
      <c r="AW104" s="3177">
        <v>1</v>
      </c>
      <c r="AX104" s="3177">
        <v>1</v>
      </c>
      <c r="AY104" s="3177">
        <v>1</v>
      </c>
      <c r="AZ104" s="3177">
        <v>1</v>
      </c>
      <c r="BA104" s="3177">
        <v>1</v>
      </c>
      <c r="BB104" s="3177">
        <v>1</v>
      </c>
      <c r="BC104" s="3177">
        <v>1</v>
      </c>
      <c r="BD104" s="3177">
        <v>1</v>
      </c>
      <c r="BE104" s="3177">
        <v>1</v>
      </c>
      <c r="BF104" s="3177">
        <v>1</v>
      </c>
      <c r="BG104" s="3177">
        <v>1</v>
      </c>
      <c r="BH104" s="3177">
        <v>1</v>
      </c>
      <c r="BI104" s="3177">
        <v>1</v>
      </c>
      <c r="BJ104" s="3177">
        <v>1</v>
      </c>
      <c r="BK104" s="3177">
        <v>1</v>
      </c>
      <c r="BL104" s="3177">
        <v>1</v>
      </c>
      <c r="BM104" s="3177">
        <v>1</v>
      </c>
      <c r="BN104" s="3177">
        <v>1</v>
      </c>
      <c r="BO104" s="2518"/>
      <c r="BP104" s="2518"/>
      <c r="BQ104" s="2518"/>
      <c r="BR104" s="2518"/>
      <c r="BS104" s="2518"/>
      <c r="BT104" s="2518"/>
      <c r="BU104" s="2518"/>
      <c r="BV104" s="2518"/>
      <c r="BW104" s="2518"/>
      <c r="BX104" s="2518"/>
      <c r="BY104" s="2518"/>
      <c r="BZ104" s="2518"/>
      <c r="CA104" s="34"/>
      <c r="CC104" s="33"/>
      <c r="CD104" s="1772" t="e" cm="1">
        <f t="array" ca="1" aca="1" ref="CD104">_xlfn.LET(_xlpm.CheckBlank,SUM(PL!$AD104:$BN104)=0,IF(_xlpm.CheckBlank,"",SUM(_xlfn._xlws.FILTER(PL!$AD104:$BN104,(YEAR(PL!$AD$12:$BN$12)=PL!CD$12)*(array_timeline&lt;=PL!CD$11)))))</f>
        <v>#NAME?</v>
      </c>
      <c r="CE104" s="1772" t="e" cm="1">
        <f t="array" ca="1" aca="1" ref="CE104">_xlfn.LET(_xlpm.CheckBlank,SUM(PL!$AD104:$BN104)=0,IF(_xlpm.CheckBlank,"",SUM(_xlfn._xlws.FILTER(PL!$AD104:$BN104,(YEAR(PL!$AD$12:$BN$12)=PL!CE$12)*(array_timeline&lt;=PL!CE$11)))))</f>
        <v>#NAME?</v>
      </c>
      <c r="CF104" s="3"/>
      <c r="CG104" s="1461" t="e" cm="1">
        <f t="array" ca="1" aca="1" ref="CG104">_xlfn.LET(_xlpm.CheckBlank,SUM(PL!$AD104:$BN104)=0,IF(_xlpm.CheckBlank,"",SUM(_xlfn._xlws.FILTER(PL!$AD104:$BN104,(YEAR(PL!$AD$12:$BN$12)=PL!CG$12)*(array_timeline&lt;=PL!CG$11)))))</f>
        <v>#NAME?</v>
      </c>
      <c r="CH104" s="1461" t="e" cm="1">
        <f t="array" ca="1" aca="1" ref="CH104">_xlfn.LET(_xlpm.CheckBlank,SUM(PL!$AD104:$BN104)=0,IF(_xlpm.CheckBlank,"",SUM(_xlfn._xlws.FILTER(PL!$AD104:$BN104,(YEAR(PL!$AD$12:$BN$12)=PL!CH$12)*(array_timeline&lt;=PL!CH$11)))))</f>
        <v>#NAME?</v>
      </c>
      <c r="CI104" s="3"/>
      <c r="CJ104" s="1461" cm="1">
        <f t="array" ref="CJ104">_xlfn.LET(_xlpm.CheckBlank,SUM(PL!$AD104:$BN104)=0,IF(_xlpm.CheckBlank,"",SUM(_xlfn.TAKE(_xlfn.DROP(PL!$AD104:$BN104,,-DATEDIFF(PL!CJ$11,val_asOfDate,"M")),1,-12))))</f>
        <v>12</v>
      </c>
      <c r="CK104" s="1461" cm="1">
        <f t="array" ref="CK104">_xlfn.LET(_xlpm.CheckBlank,SUM(PL!$AD104:$BN104)=0,IF(_xlpm.CheckBlank,"",SUM(_xlfn.TAKE(_xlfn.DROP(PL!$AD104:$BN104,,-DATEDIFF(PL!CK$11,val_asOfDate,"M")),1,-12))))</f>
        <v>12</v>
      </c>
      <c r="CL104" s="3"/>
      <c r="CM104" s="3203" cm="1">
        <f t="array" ref="CM104">IFBLANK(CM48,"")</f>
        <v>1</v>
      </c>
      <c r="CN104" s="3203" cm="1">
        <f t="array" ref="CN104">IFBLANK(CN48,"")</f>
        <v>1</v>
      </c>
      <c r="CO104" s="3"/>
      <c r="CP104" s="3203" cm="1">
        <f t="array" ref="CP104">IFBLANK(CP48,"")</f>
        <v>1</v>
      </c>
      <c r="CQ104" s="3203" cm="1">
        <f t="array" ref="CQ104">IFBLANK(CQ48,"")</f>
        <v>1</v>
      </c>
      <c r="CR104" s="34"/>
      <c r="CS104" s="2056"/>
      <c r="CT104" s="2447" t="e" cm="1">
        <f t="array" ca="1" aca="1" ref="CT104">IF(Y104="","",IF(ISNUMBER(SEARCH("Select",$Y104)),"",_xldudf_CX_PUSH($Y104,CX_ENTITY,C104,val_asOfDate)))</f>
        <v>#NAME?</v>
      </c>
      <c r="CU104" s="2447" t="e" cm="1">
        <f t="array" ca="1" aca="1" ref="CU104">IF(Y104="","",IF(ISNUMBER(SEARCH("Select",$Y104)),"",_xldudf_CX_PUSH($Y104,CX_ENTITY,C104,EOMONTH(val_asOfDate,1))))</f>
        <v>#NAME?</v>
      </c>
      <c r="CV104" s="2447" t="e" cm="1">
        <f t="array" ca="1" aca="1" ref="CV104">IF(Y104="","",IF(ISNUMBER(SEARCH("Select",$Y104)),"",_xldudf_CX_PUSH($Y104,CX_ENTITY,C104,EOMONTH(val_asOfDate,2))))</f>
        <v>#NAME?</v>
      </c>
      <c r="CW104" s="2447" t="e" cm="1">
        <f t="array" ca="1" aca="1" ref="CW104">IF(Y104="","",IF(ISNUMBER(SEARCH("Select",$Y104)),"",_xldudf_CX_PUSH($Y104,CX_ENTITY,C104,EOMONTH(val_asOfDate,3))))</f>
        <v>#NAME?</v>
      </c>
      <c r="CX104" s="2443"/>
      <c r="CY104" s="2444" t="str" cm="1">
        <f t="array" ca="1" aca="1" ref="CY104">IFERROR(IF(CM104*fxVal_normal=_PL!CM104,"",IF(OR($CM104="",$CM104=0,NOT(ISNUMBER($CM104)),ISERROR($CM104),$B104=""),"",IF($I104=1,IFBLANK(_xldudf_CX_PUSH($CM104*fxVal_normal,CX_ENTITY,$B104,$CM$11,$CM$14,$CM$19,),""),IF($I104=2,IFBLANK(_xldudf_CX_PUSH($CM104,CX_ENTITY,$B104,$CM$11,$CM$14,$CM$19,),""),IF($I104=3,"",IFBLANK(_xldudf_CX_PUSH($CM104,CX_ENTITY,$B104,$CM$11,$CM$14,$CM$19,),"")))))),"")</f>
        <v/>
      </c>
      <c r="CZ104" s="2444" t="str" cm="1">
        <f t="array" ca="1" aca="1" ref="CZ104">IFERROR(IF(CN104*fxVal_normal=_PL!CN104,"",IF(OR($CN104="",$CN104=0,NOT(ISNUMBER($CN104)),ISERROR($CN104),$B104=""),"",IF($I104=1,IFBLANK(_xldudf_CX_PUSH($CN104*fxVal_normal,CX_ENTITY,$B104,$CN$11,$CN$14,$CN$19,),""),IF($I104=2,IFBLANK(_xldudf_CX_PUSH($CN104,CX_ENTITY,$B104,$CN$11,$CN$14,$CN$19,),""),IF($I104=3,"",IFBLANK(_xldudf_CX_PUSH($CN104,CX_ENTITY,$B104,$CN$11,$CN$14,$CN$19,),"")))))),"")</f>
        <v/>
      </c>
      <c r="DA104" s="2444" t="str" cm="1">
        <f t="array" ca="1" aca="1" ref="DA104">IFERROR(IF(CP104*fxVal_normal=_PL!CP104,"",IF(OR($CP104="",$CP104=0,NOT(ISNUMBER($CP104)),ISERROR($CP104),$B104=""),"",IF($I104=1,IFBLANK(_xldudf_CX_PUSH($CP104*fxVal_normal,CX_ENTITY,$B104,$CP$11,$CP$14,$CP$19,),""),IF($I104=2,IFBLANK(_xldudf_CX_PUSH($CP104,CX_ENTITY,$B104,$CP$11,$CP$14,$CP$19,),""),IF($I104=3,"",IFBLANK(_xldudf_CX_PUSH($CP104,CX_ENTITY,$B104,$CP$11,$CP$14,$CP$19,),"")))))),"")</f>
        <v/>
      </c>
      <c r="DB104" s="2444" t="str" cm="1">
        <f t="array" ca="1" aca="1" ref="DB104">IFERROR(IF(CQ104*fxVal_normal=_PL!CQ104,"",IF(OR($CQ104="",$CQ104=0,NOT(ISNUMBER($CQ104)),ISERROR($CQ104),$B104=""),"",IF($I104=1,IFBLANK(_xldudf_CX_PUSH($CQ104*fxVal_normal,CX_ENTITY,$B104,$CQ$11,$CQ$14,$CQ$19,),""),IF($I104=2,IFBLANK(_xldudf_CX_PUSH($CQ104,CX_ENTITY,$B104,$CQ$11,$CQ$14,$CQ$19,),""),IF($I104=3,"",IFBLANK(_xldudf_CX_PUSH($CQ104,CX_ENTITY,$B104,$CQ$11,$CQ$14,$CQ$19,),"")))))),"")</f>
        <v/>
      </c>
      <c r="DC104" s="2443"/>
      <c r="DD104" s="2445" t="str" cm="1">
        <f t="array" ca="1" aca="1" ref="DD104">IFERROR(IF(AD104*fxVal_normal=_PL!AD104,"",IF(OR(AD104="",NOT(ISNUMBER(AD104)),ISERROR(AD104),$B104=""),"",IF($I104=1,IFBLANK(_xldudf_CX_PUSH(AD104*fxVal_normal,CX_ENTITY,$B104,AD$11,AD$14,AD$75,),""),IF($I104=2,IFBLANK(_xldudf_CX_PUSH(AD104,CX_ENTITY,$B104,AD$11,AD$14,AD$75,),""),IF($I104=3,"",IFBLANK(_xldudf_CX_PUSH(AD104,CX_ENTITY,$B104,AD$11,AD$14,AD$75,),"")))))),"")</f>
        <v/>
      </c>
      <c r="DE104" s="2445" t="str" cm="1">
        <f t="array" ca="1" aca="1" ref="DE104">IFERROR(IF(AE104*fxVal_normal=_PL!AE104,"",IF(OR(AE104="",NOT(ISNUMBER(AE104)),ISERROR(AE104),$B104=""),"",IF($I104=1,IFBLANK(_xldudf_CX_PUSH(AE104*fxVal_normal,CX_ENTITY,$B104,AE$11,AE$14,AE$75,),""),IF($I104=2,IFBLANK(_xldudf_CX_PUSH(AE104,CX_ENTITY,$B104,AE$11,AE$14,AE$75,),""),IF($I104=3,"",IFBLANK(_xldudf_CX_PUSH(AE104,CX_ENTITY,$B104,AE$11,AE$14,AE$75,),"")))))),"")</f>
        <v/>
      </c>
      <c r="DF104" s="2445" t="str" cm="1">
        <f t="array" ca="1" aca="1" ref="DF104">IFERROR(IF(AF104*fxVal_normal=_PL!AF104,"",IF(OR(AF104="",NOT(ISNUMBER(AF104)),ISERROR(AF104),$B104=""),"",IF($I104=1,IFBLANK(_xldudf_CX_PUSH(AF104*fxVal_normal,CX_ENTITY,$B104,AF$11,AF$14,AF$75,),""),IF($I104=2,IFBLANK(_xldudf_CX_PUSH(AF104,CX_ENTITY,$B104,AF$11,AF$14,AF$75,),""),IF($I104=3,"",IFBLANK(_xldudf_CX_PUSH(AF104,CX_ENTITY,$B104,AF$11,AF$14,AF$75,),"")))))),"")</f>
        <v/>
      </c>
      <c r="DG104" s="2445" t="str" cm="1">
        <f t="array" ca="1" aca="1" ref="DG104">IFERROR(IF(AG104*fxVal_normal=_PL!AG104,"",IF(OR(AG104="",NOT(ISNUMBER(AG104)),ISERROR(AG104),$B104=""),"",IF($I104=1,IFBLANK(_xldudf_CX_PUSH(AG104*fxVal_normal,CX_ENTITY,$B104,AG$11,AG$14,AG$75,),""),IF($I104=2,IFBLANK(_xldudf_CX_PUSH(AG104,CX_ENTITY,$B104,AG$11,AG$14,AG$75,),""),IF($I104=3,"",IFBLANK(_xldudf_CX_PUSH(AG104,CX_ENTITY,$B104,AG$11,AG$14,AG$75,),"")))))),"")</f>
        <v/>
      </c>
      <c r="DH104" s="2445" t="str" cm="1">
        <f t="array" ca="1" aca="1" ref="DH104">IFERROR(IF(AH104*fxVal_normal=_PL!AH104,"",IF(OR(AH104="",NOT(ISNUMBER(AH104)),ISERROR(AH104),$B104=""),"",IF($I104=1,IFBLANK(_xldudf_CX_PUSH(AH104*fxVal_normal,CX_ENTITY,$B104,AH$11,AH$14,AH$75,),""),IF($I104=2,IFBLANK(_xldudf_CX_PUSH(AH104,CX_ENTITY,$B104,AH$11,AH$14,AH$75,),""),IF($I104=3,"",IFBLANK(_xldudf_CX_PUSH(AH104,CX_ENTITY,$B104,AH$11,AH$14,AH$75,),"")))))),"")</f>
        <v/>
      </c>
      <c r="DI104" s="2445" t="str" cm="1">
        <f t="array" ca="1" aca="1" ref="DI104">IFERROR(IF(AI104*fxVal_normal=_PL!AI104,"",IF(OR(AI104="",NOT(ISNUMBER(AI104)),ISERROR(AI104),$B104=""),"",IF($I104=1,IFBLANK(_xldudf_CX_PUSH(AI104*fxVal_normal,CX_ENTITY,$B104,AI$11,AI$14,AI$75,),""),IF($I104=2,IFBLANK(_xldudf_CX_PUSH(AI104,CX_ENTITY,$B104,AI$11,AI$14,AI$75,),""),IF($I104=3,"",IFBLANK(_xldudf_CX_PUSH(AI104,CX_ENTITY,$B104,AI$11,AI$14,AI$75,),"")))))),"")</f>
        <v/>
      </c>
      <c r="DJ104" s="2445" t="str" cm="1">
        <f t="array" ca="1" aca="1" ref="DJ104">IFERROR(IF(AJ104*fxVal_normal=_PL!AJ104,"",IF(OR(AJ104="",NOT(ISNUMBER(AJ104)),ISERROR(AJ104),$B104=""),"",IF($I104=1,IFBLANK(_xldudf_CX_PUSH(AJ104*fxVal_normal,CX_ENTITY,$B104,AJ$11,AJ$14,AJ$75,),""),IF($I104=2,IFBLANK(_xldudf_CX_PUSH(AJ104,CX_ENTITY,$B104,AJ$11,AJ$14,AJ$75,),""),IF($I104=3,"",IFBLANK(_xldudf_CX_PUSH(AJ104,CX_ENTITY,$B104,AJ$11,AJ$14,AJ$75,),"")))))),"")</f>
        <v/>
      </c>
      <c r="DK104" s="2445" t="str" cm="1">
        <f t="array" ca="1" aca="1" ref="DK104">IFERROR(IF(AK104*fxVal_normal=_PL!AK104,"",IF(OR(AK104="",NOT(ISNUMBER(AK104)),ISERROR(AK104),$B104=""),"",IF($I104=1,IFBLANK(_xldudf_CX_PUSH(AK104*fxVal_normal,CX_ENTITY,$B104,AK$11,AK$14,AK$75,),""),IF($I104=2,IFBLANK(_xldudf_CX_PUSH(AK104,CX_ENTITY,$B104,AK$11,AK$14,AK$75,),""),IF($I104=3,"",IFBLANK(_xldudf_CX_PUSH(AK104,CX_ENTITY,$B104,AK$11,AK$14,AK$75,),"")))))),"")</f>
        <v/>
      </c>
      <c r="DL104" s="2445" t="str" cm="1">
        <f t="array" ca="1" aca="1" ref="DL104">IFERROR(IF(AL104*fxVal_normal=_PL!AL104,"",IF(OR(AL104="",NOT(ISNUMBER(AL104)),ISERROR(AL104),$B104=""),"",IF($I104=1,IFBLANK(_xldudf_CX_PUSH(AL104*fxVal_normal,CX_ENTITY,$B104,AL$11,AL$14,AL$75,),""),IF($I104=2,IFBLANK(_xldudf_CX_PUSH(AL104,CX_ENTITY,$B104,AL$11,AL$14,AL$75,),""),IF($I104=3,"",IFBLANK(_xldudf_CX_PUSH(AL104,CX_ENTITY,$B104,AL$11,AL$14,AL$75,),"")))))),"")</f>
        <v/>
      </c>
      <c r="DM104" s="2445" t="str" cm="1">
        <f t="array" ca="1" aca="1" ref="DM104">IFERROR(IF(AM104*fxVal_normal=_PL!AM104,"",IF(OR(AM104="",NOT(ISNUMBER(AM104)),ISERROR(AM104),$B104=""),"",IF($I104=1,IFBLANK(_xldudf_CX_PUSH(AM104*fxVal_normal,CX_ENTITY,$B104,AM$11,AM$14,AM$75,),""),IF($I104=2,IFBLANK(_xldudf_CX_PUSH(AM104,CX_ENTITY,$B104,AM$11,AM$14,AM$75,),""),IF($I104=3,"",IFBLANK(_xldudf_CX_PUSH(AM104,CX_ENTITY,$B104,AM$11,AM$14,AM$75,),"")))))),"")</f>
        <v/>
      </c>
      <c r="DN104" s="2445" t="str" cm="1">
        <f t="array" ca="1" aca="1" ref="DN104">IFERROR(IF(AN104*fxVal_normal=_PL!AN104,"",IF(OR(AN104="",NOT(ISNUMBER(AN104)),ISERROR(AN104),$B104=""),"",IF($I104=1,IFBLANK(_xldudf_CX_PUSH(AN104*fxVal_normal,CX_ENTITY,$B104,AN$11,AN$14,AN$75,),""),IF($I104=2,IFBLANK(_xldudf_CX_PUSH(AN104,CX_ENTITY,$B104,AN$11,AN$14,AN$75,),""),IF($I104=3,"",IFBLANK(_xldudf_CX_PUSH(AN104,CX_ENTITY,$B104,AN$11,AN$14,AN$75,),"")))))),"")</f>
        <v/>
      </c>
      <c r="DO104" s="2445" t="str" cm="1">
        <f t="array" ca="1" aca="1" ref="DO104">IFERROR(IF(AO104*fxVal_normal=_PL!AO104,"",IF(OR(AO104="",NOT(ISNUMBER(AO104)),ISERROR(AO104),$B104=""),"",IF($I104=1,IFBLANK(_xldudf_CX_PUSH(AO104*fxVal_normal,CX_ENTITY,$B104,AO$11,AO$14,AO$75,),""),IF($I104=2,IFBLANK(_xldudf_CX_PUSH(AO104,CX_ENTITY,$B104,AO$11,AO$14,AO$75,),""),IF($I104=3,"",IFBLANK(_xldudf_CX_PUSH(AO104,CX_ENTITY,$B104,AO$11,AO$14,AO$75,),"")))))),"")</f>
        <v/>
      </c>
      <c r="DP104" s="2445" t="str" cm="1">
        <f t="array" ca="1" aca="1" ref="DP104">IFERROR(IF(AP104*fxVal_normal=_PL!AP104,"",IF(OR(AP104="",NOT(ISNUMBER(AP104)),ISERROR(AP104),$B104=""),"",IF($I104=1,IFBLANK(_xldudf_CX_PUSH(AP104*fxVal_normal,CX_ENTITY,$B104,AP$11,AP$14,AP$75,),""),IF($I104=2,IFBLANK(_xldudf_CX_PUSH(AP104,CX_ENTITY,$B104,AP$11,AP$14,AP$75,),""),IF($I104=3,"",IFBLANK(_xldudf_CX_PUSH(AP104,CX_ENTITY,$B104,AP$11,AP$14,AP$75,),"")))))),"")</f>
        <v/>
      </c>
      <c r="DQ104" s="2445" t="str" cm="1">
        <f t="array" ca="1" aca="1" ref="DQ104">IFERROR(IF(AQ104*fxVal_normal=_PL!AQ104,"",IF(OR(AQ104="",NOT(ISNUMBER(AQ104)),ISERROR(AQ104),$B104=""),"",IF($I104=1,IFBLANK(_xldudf_CX_PUSH(AQ104*fxVal_normal,CX_ENTITY,$B104,AQ$11,AQ$14,AQ$75,),""),IF($I104=2,IFBLANK(_xldudf_CX_PUSH(AQ104,CX_ENTITY,$B104,AQ$11,AQ$14,AQ$75,),""),IF($I104=3,"",IFBLANK(_xldudf_CX_PUSH(AQ104,CX_ENTITY,$B104,AQ$11,AQ$14,AQ$75,),"")))))),"")</f>
        <v/>
      </c>
      <c r="DR104" s="2445" t="str" cm="1">
        <f t="array" ca="1" aca="1" ref="DR104">IFERROR(IF(AR104*fxVal_normal=_PL!AR104,"",IF(OR(AR104="",NOT(ISNUMBER(AR104)),ISERROR(AR104),$B104=""),"",IF($I104=1,IFBLANK(_xldudf_CX_PUSH(AR104*fxVal_normal,CX_ENTITY,$B104,AR$11,AR$14,AR$75,),""),IF($I104=2,IFBLANK(_xldudf_CX_PUSH(AR104,CX_ENTITY,$B104,AR$11,AR$14,AR$75,),""),IF($I104=3,"",IFBLANK(_xldudf_CX_PUSH(AR104,CX_ENTITY,$B104,AR$11,AR$14,AR$75,),"")))))),"")</f>
        <v/>
      </c>
      <c r="DS104" s="2445" t="str" cm="1">
        <f t="array" ca="1" aca="1" ref="DS104">IFERROR(IF(AS104*fxVal_normal=_PL!AS104,"",IF(OR(AS104="",NOT(ISNUMBER(AS104)),ISERROR(AS104),$B104=""),"",IF($I104=1,IFBLANK(_xldudf_CX_PUSH(AS104*fxVal_normal,CX_ENTITY,$B104,AS$11,AS$14,AS$75,),""),IF($I104=2,IFBLANK(_xldudf_CX_PUSH(AS104,CX_ENTITY,$B104,AS$11,AS$14,AS$75,),""),IF($I104=3,"",IFBLANK(_xldudf_CX_PUSH(AS104,CX_ENTITY,$B104,AS$11,AS$14,AS$75,),"")))))),"")</f>
        <v/>
      </c>
      <c r="DT104" s="2445" t="str" cm="1">
        <f t="array" ca="1" aca="1" ref="DT104">IFERROR(IF(AT104*fxVal_normal=_PL!AT104,"",IF(OR(AT104="",NOT(ISNUMBER(AT104)),ISERROR(AT104),$B104=""),"",IF($I104=1,IFBLANK(_xldudf_CX_PUSH(AT104*fxVal_normal,CX_ENTITY,$B104,AT$11,AT$14,AT$75,),""),IF($I104=2,IFBLANK(_xldudf_CX_PUSH(AT104,CX_ENTITY,$B104,AT$11,AT$14,AT$75,),""),IF($I104=3,"",IFBLANK(_xldudf_CX_PUSH(AT104,CX_ENTITY,$B104,AT$11,AT$14,AT$75,),"")))))),"")</f>
        <v/>
      </c>
      <c r="DU104" s="2445" t="str" cm="1">
        <f t="array" ca="1" aca="1" ref="DU104">IFERROR(IF(AU104*fxVal_normal=_PL!AU104,"",IF(OR(AU104="",NOT(ISNUMBER(AU104)),ISERROR(AU104),$B104=""),"",IF($I104=1,IFBLANK(_xldudf_CX_PUSH(AU104*fxVal_normal,CX_ENTITY,$B104,AU$11,AU$14,AU$75,),""),IF($I104=2,IFBLANK(_xldudf_CX_PUSH(AU104,CX_ENTITY,$B104,AU$11,AU$14,AU$75,),""),IF($I104=3,"",IFBLANK(_xldudf_CX_PUSH(AU104,CX_ENTITY,$B104,AU$11,AU$14,AU$75,),"")))))),"")</f>
        <v/>
      </c>
      <c r="DV104" s="2445" t="str" cm="1">
        <f t="array" ca="1" aca="1" ref="DV104">IFERROR(IF(AV104*fxVal_normal=_PL!AV104,"",IF(OR(AV104="",NOT(ISNUMBER(AV104)),ISERROR(AV104),$B104=""),"",IF($I104=1,IFBLANK(_xldudf_CX_PUSH(AV104*fxVal_normal,CX_ENTITY,$B104,AV$11,AV$14,AV$75,),""),IF($I104=2,IFBLANK(_xldudf_CX_PUSH(AV104,CX_ENTITY,$B104,AV$11,AV$14,AV$75,),""),IF($I104=3,"",IFBLANK(_xldudf_CX_PUSH(AV104,CX_ENTITY,$B104,AV$11,AV$14,AV$75,),"")))))),"")</f>
        <v/>
      </c>
      <c r="DW104" s="2445" t="str" cm="1">
        <f t="array" ca="1" aca="1" ref="DW104">IFERROR(IF(AW104*fxVal_normal=_PL!AW104,"",IF(OR(AW104="",NOT(ISNUMBER(AW104)),ISERROR(AW104),$B104=""),"",IF($I104=1,IFBLANK(_xldudf_CX_PUSH(AW104*fxVal_normal,CX_ENTITY,$B104,AW$11,AW$14,AW$75,),""),IF($I104=2,IFBLANK(_xldudf_CX_PUSH(AW104,CX_ENTITY,$B104,AW$11,AW$14,AW$75,),""),IF($I104=3,"",IFBLANK(_xldudf_CX_PUSH(AW104,CX_ENTITY,$B104,AW$11,AW$14,AW$75,),"")))))),"")</f>
        <v/>
      </c>
      <c r="DX104" s="2445" t="str" cm="1">
        <f t="array" ca="1" aca="1" ref="DX104">IFERROR(IF(AX104*fxVal_normal=_PL!AX104,"",IF(OR(AX104="",NOT(ISNUMBER(AX104)),ISERROR(AX104),$B104=""),"",IF($I104=1,IFBLANK(_xldudf_CX_PUSH(AX104*fxVal_normal,CX_ENTITY,$B104,AX$11,AX$14,AX$75,),""),IF($I104=2,IFBLANK(_xldudf_CX_PUSH(AX104,CX_ENTITY,$B104,AX$11,AX$14,AX$75,),""),IF($I104=3,"",IFBLANK(_xldudf_CX_PUSH(AX104,CX_ENTITY,$B104,AX$11,AX$14,AX$75,),"")))))),"")</f>
        <v/>
      </c>
      <c r="DY104" s="2445" t="str" cm="1">
        <f t="array" ca="1" aca="1" ref="DY104">IFERROR(IF(AY104*fxVal_normal=_PL!AY104,"",IF(OR(AY104="",NOT(ISNUMBER(AY104)),ISERROR(AY104),$B104=""),"",IF($I104=1,IFBLANK(_xldudf_CX_PUSH(AY104*fxVal_normal,CX_ENTITY,$B104,AY$11,AY$14,AY$75,),""),IF($I104=2,IFBLANK(_xldudf_CX_PUSH(AY104,CX_ENTITY,$B104,AY$11,AY$14,AY$75,),""),IF($I104=3,"",IFBLANK(_xldudf_CX_PUSH(AY104,CX_ENTITY,$B104,AY$11,AY$14,AY$75,),"")))))),"")</f>
        <v/>
      </c>
      <c r="DZ104" s="2445" t="str" cm="1">
        <f t="array" ca="1" aca="1" ref="DZ104">IFERROR(IF(AZ104*fxVal_normal=_PL!AZ104,"",IF(OR(AZ104="",NOT(ISNUMBER(AZ104)),ISERROR(AZ104),$B104=""),"",IF($I104=1,IFBLANK(_xldudf_CX_PUSH(AZ104*fxVal_normal,CX_ENTITY,$B104,AZ$11,AZ$14,AZ$75,),""),IF($I104=2,IFBLANK(_xldudf_CX_PUSH(AZ104,CX_ENTITY,$B104,AZ$11,AZ$14,AZ$75,),""),IF($I104=3,"",IFBLANK(_xldudf_CX_PUSH(AZ104,CX_ENTITY,$B104,AZ$11,AZ$14,AZ$75,),"")))))),"")</f>
        <v/>
      </c>
      <c r="EA104" s="2445" t="str" cm="1">
        <f t="array" ca="1" aca="1" ref="EA104">IFERROR(IF(BA104*fxVal_normal=_PL!BA104,"",IF(OR(BA104="",NOT(ISNUMBER(BA104)),ISERROR(BA104),$B104=""),"",IF($I104=1,IFBLANK(_xldudf_CX_PUSH(BA104*fxVal_normal,CX_ENTITY,$B104,BA$11,BA$14,BA$75,),""),IF($I104=2,IFBLANK(_xldudf_CX_PUSH(BA104,CX_ENTITY,$B104,BA$11,BA$14,BA$75,),""),IF($I104=3,"",IFBLANK(_xldudf_CX_PUSH(BA104,CX_ENTITY,$B104,BA$11,BA$14,BA$75,),"")))))),"")</f>
        <v/>
      </c>
      <c r="EB104" s="2445" t="str" cm="1">
        <f t="array" ca="1" aca="1" ref="EB104">IFERROR(IF(BB104*fxVal_normal=_PL!BB104,"",IF(OR(BB104="",NOT(ISNUMBER(BB104)),ISERROR(BB104),$B104=""),"",IF($I104=1,IFBLANK(_xldudf_CX_PUSH(BB104*fxVal_normal,CX_ENTITY,$B104,BB$11,BB$14,BB$75,),""),IF($I104=2,IFBLANK(_xldudf_CX_PUSH(BB104,CX_ENTITY,$B104,BB$11,BB$14,BB$75,),""),IF($I104=3,"",IFBLANK(_xldudf_CX_PUSH(BB104,CX_ENTITY,$B104,BB$11,BB$14,BB$75,),"")))))),"")</f>
        <v/>
      </c>
      <c r="EC104" s="2445" t="str" cm="1">
        <f t="array" ca="1" aca="1" ref="EC104">IFERROR(IF(BC104*fxVal_normal=_PL!BC104,"",IF(OR(BC104="",NOT(ISNUMBER(BC104)),ISERROR(BC104),$B104=""),"",IF($I104=1,IFBLANK(_xldudf_CX_PUSH(BC104*fxVal_normal,CX_ENTITY,$B104,BC$11,BC$14,BC$75,),""),IF($I104=2,IFBLANK(_xldudf_CX_PUSH(BC104,CX_ENTITY,$B104,BC$11,BC$14,BC$75,),""),IF($I104=3,"",IFBLANK(_xldudf_CX_PUSH(BC104,CX_ENTITY,$B104,BC$11,BC$14,BC$75,),"")))))),"")</f>
        <v/>
      </c>
      <c r="ED104" s="2445" t="str" cm="1">
        <f t="array" ca="1" aca="1" ref="ED104">IFERROR(IF(BD104*fxVal_normal=_PL!BD104,"",IF(OR(BD104="",NOT(ISNUMBER(BD104)),ISERROR(BD104),$B104=""),"",IF($I104=1,IFBLANK(_xldudf_CX_PUSH(BD104*fxVal_normal,CX_ENTITY,$B104,BD$11,BD$14,BD$75,),""),IF($I104=2,IFBLANK(_xldudf_CX_PUSH(BD104,CX_ENTITY,$B104,BD$11,BD$14,BD$75,),""),IF($I104=3,"",IFBLANK(_xldudf_CX_PUSH(BD104,CX_ENTITY,$B104,BD$11,BD$14,BD$75,),"")))))),"")</f>
        <v/>
      </c>
      <c r="EE104" s="2445" t="str" cm="1">
        <f t="array" ca="1" aca="1" ref="EE104">IFERROR(IF(BE104*fxVal_normal=_PL!BE104,"",IF(OR(BE104="",NOT(ISNUMBER(BE104)),ISERROR(BE104),$B104=""),"",IF($I104=1,IFBLANK(_xldudf_CX_PUSH(BE104*fxVal_normal,CX_ENTITY,$B104,BE$11,BE$14,BE$75,),""),IF($I104=2,IFBLANK(_xldudf_CX_PUSH(BE104,CX_ENTITY,$B104,BE$11,BE$14,BE$75,),""),IF($I104=3,"",IFBLANK(_xldudf_CX_PUSH(BE104,CX_ENTITY,$B104,BE$11,BE$14,BE$75,),"")))))),"")</f>
        <v/>
      </c>
      <c r="EF104" s="2445" t="str" cm="1">
        <f t="array" ca="1" aca="1" ref="EF104">IFERROR(IF(BF104*fxVal_normal=_PL!BF104,"",IF(OR(BF104="",NOT(ISNUMBER(BF104)),ISERROR(BF104),$B104=""),"",IF($I104=1,IFBLANK(_xldudf_CX_PUSH(BF104*fxVal_normal,CX_ENTITY,$B104,BF$11,BF$14,BF$75,),""),IF($I104=2,IFBLANK(_xldudf_CX_PUSH(BF104,CX_ENTITY,$B104,BF$11,BF$14,BF$75,),""),IF($I104=3,"",IFBLANK(_xldudf_CX_PUSH(BF104,CX_ENTITY,$B104,BF$11,BF$14,BF$75,),"")))))),"")</f>
        <v/>
      </c>
      <c r="EG104" s="2445" t="str" cm="1">
        <f t="array" ca="1" aca="1" ref="EG104">IFERROR(IF(BG104*fxVal_normal=_PL!BG104,"",IF(OR(BG104="",NOT(ISNUMBER(BG104)),ISERROR(BG104),$B104=""),"",IF($I104=1,IFBLANK(_xldudf_CX_PUSH(BG104*fxVal_normal,CX_ENTITY,$B104,BG$11,BG$14,BG$75,),""),IF($I104=2,IFBLANK(_xldudf_CX_PUSH(BG104,CX_ENTITY,$B104,BG$11,BG$14,BG$75,),""),IF($I104=3,"",IFBLANK(_xldudf_CX_PUSH(BG104,CX_ENTITY,$B104,BG$11,BG$14,BG$75,),"")))))),"")</f>
        <v/>
      </c>
      <c r="EH104" s="2445" t="str" cm="1">
        <f t="array" ca="1" aca="1" ref="EH104">IFERROR(IF(BH104*fxVal_normal=_PL!BH104,"",IF(OR(BH104="",NOT(ISNUMBER(BH104)),ISERROR(BH104),$B104=""),"",IF($I104=1,IFBLANK(_xldudf_CX_PUSH(BH104*fxVal_normal,CX_ENTITY,$B104,BH$11,BH$14,BH$75,),""),IF($I104=2,IFBLANK(_xldudf_CX_PUSH(BH104,CX_ENTITY,$B104,BH$11,BH$14,BH$75,),""),IF($I104=3,"",IFBLANK(_xldudf_CX_PUSH(BH104,CX_ENTITY,$B104,BH$11,BH$14,BH$75,),"")))))),"")</f>
        <v/>
      </c>
      <c r="EI104" s="2445" t="str" cm="1">
        <f t="array" ca="1" aca="1" ref="EI104">IFERROR(IF(BI104*fxVal_normal=_PL!BI104,"",IF(OR(BI104="",NOT(ISNUMBER(BI104)),ISERROR(BI104),$B104=""),"",IF($I104=1,IFBLANK(_xldudf_CX_PUSH(BI104*fxVal_normal,CX_ENTITY,$B104,BI$11,BI$14,BI$75,),""),IF($I104=2,IFBLANK(_xldudf_CX_PUSH(BI104,CX_ENTITY,$B104,BI$11,BI$14,BI$75,),""),IF($I104=3,"",IFBLANK(_xldudf_CX_PUSH(BI104,CX_ENTITY,$B104,BI$11,BI$14,BI$75,),"")))))),"")</f>
        <v/>
      </c>
      <c r="EJ104" s="2445" t="str" cm="1">
        <f t="array" ca="1" aca="1" ref="EJ104">IFERROR(IF(BJ104*fxVal_normal=_PL!BJ104,"",IF(OR(BJ104="",NOT(ISNUMBER(BJ104)),ISERROR(BJ104),$B104=""),"",IF($I104=1,IFBLANK(_xldudf_CX_PUSH(BJ104*fxVal_normal,CX_ENTITY,$B104,BJ$11,BJ$14,BJ$75,),""),IF($I104=2,IFBLANK(_xldudf_CX_PUSH(BJ104,CX_ENTITY,$B104,BJ$11,BJ$14,BJ$75,),""),IF($I104=3,"",IFBLANK(_xldudf_CX_PUSH(BJ104,CX_ENTITY,$B104,BJ$11,BJ$14,BJ$75,),"")))))),"")</f>
        <v/>
      </c>
      <c r="EK104" s="2445" t="str" cm="1">
        <f t="array" ca="1" aca="1" ref="EK104">IFERROR(IF(BK104*fxVal_normal=_PL!BK104,"",IF(OR(BK104="",NOT(ISNUMBER(BK104)),ISERROR(BK104),$B104=""),"",IF($I104=1,IFBLANK(_xldudf_CX_PUSH(BK104*fxVal_normal,CX_ENTITY,$B104,BK$11,BK$14,BK$75,),""),IF($I104=2,IFBLANK(_xldudf_CX_PUSH(BK104,CX_ENTITY,$B104,BK$11,BK$14,BK$75,),""),IF($I104=3,"",IFBLANK(_xldudf_CX_PUSH(BK104,CX_ENTITY,$B104,BK$11,BK$14,BK$75,),"")))))),"")</f>
        <v/>
      </c>
      <c r="EL104" s="2445" t="str" cm="1">
        <f t="array" ca="1" aca="1" ref="EL104">IFERROR(IF(BL104*fxVal_normal=_PL!BL104,"",IF(OR(BL104="",NOT(ISNUMBER(BL104)),ISERROR(BL104),$B104=""),"",IF($I104=1,IFBLANK(_xldudf_CX_PUSH(BL104*fxVal_normal,CX_ENTITY,$B104,BL$11,BL$14,BL$75,),""),IF($I104=2,IFBLANK(_xldudf_CX_PUSH(BL104,CX_ENTITY,$B104,BL$11,BL$14,BL$75,),""),IF($I104=3,"",IFBLANK(_xldudf_CX_PUSH(BL104,CX_ENTITY,$B104,BL$11,BL$14,BL$75,),"")))))),"")</f>
        <v/>
      </c>
      <c r="EM104" s="2445" t="str" cm="1">
        <f t="array" ca="1" aca="1" ref="EM104">IFERROR(IF(BM104*fxVal_normal=_PL!BM104,"",IF(OR(BM104="",NOT(ISNUMBER(BM104)),ISERROR(BM104),$B104=""),"",IF($I104=1,IFBLANK(_xldudf_CX_PUSH(BM104*fxVal_normal,CX_ENTITY,$B104,BM$11,BM$14,BM$75,),""),IF($I104=2,IFBLANK(_xldudf_CX_PUSH(BM104,CX_ENTITY,$B104,BM$11,BM$14,BM$75,),""),IF($I104=3,"",IFBLANK(_xldudf_CX_PUSH(BM104,CX_ENTITY,$B104,BM$11,BM$14,BM$75,),"")))))),"")</f>
        <v/>
      </c>
      <c r="EN104" s="2445" t="str" cm="1">
        <f t="array" ca="1" aca="1" ref="EN104">IFERROR(IF(BN104*fxVal_normal=_PL!BN104,"",IF(OR(BN104="",NOT(ISNUMBER(BN104)),ISERROR(BN104),$B104=""),"",IF($I104=1,IFBLANK(_xldudf_CX_PUSH(BN104*fxVal_normal,CX_ENTITY,$B104,BN$11,BN$14,BN$75,),""),IF($I104=2,IFBLANK(_xldudf_CX_PUSH(BN104,CX_ENTITY,$B104,BN$11,BN$14,BN$75,),""),IF($I104=3,"",IFBLANK(_xldudf_CX_PUSH(BN104,CX_ENTITY,$B104,BN$11,BN$14,BN$75,),"")))))),"")</f>
        <v/>
      </c>
    </row>
    <row r="105" spans="1:144" ht="21" customHeight="1">
      <c r="A105" s="1626"/>
      <c r="B105" s="2501" t="str">
        <f>_xlfn.LET(_xlpm.IsNotAttrDynamic,D105="",_xlpm.Attr,_PL!F105,_xlpm.NotInUse,Y105=D105,_xlpm.RESULT,IF(_xlpm.IsNotAttrDynamic,_xlpm.Attr,IF(_xlpm.NotInUse,"",Y105)),IF(_xlpm.RESULT="","",_xlpm.RESULT))</f>
        <v>Custom Metric Amount 4</v>
      </c>
      <c r="C105" s="3463" t="str" cm="1">
        <f t="array" ref="C105">IFBLANK(_PL!C105,"")</f>
        <v>Custom Metric - Label 4</v>
      </c>
      <c r="D105" s="1548"/>
      <c r="E105" s="2440" t="e" cm="1">
        <f t="array" ca="1" aca="1" ref="E10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105:$CQ105,Z105)</f>
        <v>#NAME?</v>
      </c>
      <c r="F105" s="578"/>
      <c r="G105" s="578"/>
      <c r="H105" s="3280">
        <v>1</v>
      </c>
      <c r="I105" s="3280">
        <v>1</v>
      </c>
      <c r="J105" s="401" cm="1">
        <f t="array" ref="J105">IFBLANK(Z105,"")</f>
        <v>-1</v>
      </c>
      <c r="K105" s="578" t="str">
        <f>IFERROR(IF(LEN(AB105)=0,"No",IF(LEN(J105)&gt;0,"Yes","No")),"")</f>
        <v>Yes</v>
      </c>
      <c r="L105" s="37"/>
      <c r="N105" s="158"/>
      <c r="O105" s="101"/>
      <c r="P105" s="52"/>
      <c r="Q105" s="101"/>
      <c r="R105" s="126"/>
      <c r="S105" s="101"/>
      <c r="T105" s="101"/>
      <c r="U105" s="39"/>
      <c r="V105" s="37"/>
      <c r="W105" s="91" t="str">
        <f t="shared" si="43"/>
        <v>Budget</v>
      </c>
      <c r="X105" s="2523" t="e">
        <f ca="1">_PL!X105</f>
        <v>#NAME?</v>
      </c>
      <c r="Y105" s="3202" cm="1">
        <f t="array" ref="Y105">IFBLANK(Y49,"")</f>
        <v>2</v>
      </c>
      <c r="Z105" s="198" cm="1">
        <f t="array" ref="Z105">IFBLANK(Z49,"")</f>
        <v>-1</v>
      </c>
      <c r="AA105" s="200"/>
      <c r="AB105" s="3200" cm="1">
        <f t="array" ref="AB105">IFBLANK(Y105,"")</f>
        <v>2</v>
      </c>
      <c r="AC105" s="2527" t="str" cm="1">
        <f t="array" ca="1" aca="1" ref="AC105">_xlfn.LET(_xlpm._termname,$AB105,_xlpm._iconname,"find",_xlpm._icon,fx_getIcon(_xlpm._iconname),_xlpm._location,_xlfn.XLOOKUP(LOWER(_xlpm._termname),LOWER(tbl_acctDef[Term]),tbl_acctDef[Term]),_xlpm._hyperlink,HYPERLINK("#"&amp;CELL("address",_xlpm._location),_xlpm._icon),IFERROR(_xlpm._hyperlink,""))</f>
        <v/>
      </c>
      <c r="AD105" s="3177">
        <v>1</v>
      </c>
      <c r="AE105" s="3177">
        <v>1</v>
      </c>
      <c r="AF105" s="3177">
        <v>1</v>
      </c>
      <c r="AG105" s="3177">
        <v>1</v>
      </c>
      <c r="AH105" s="3177">
        <v>1</v>
      </c>
      <c r="AI105" s="3177">
        <v>1</v>
      </c>
      <c r="AJ105" s="3177">
        <v>1</v>
      </c>
      <c r="AK105" s="3177">
        <v>1</v>
      </c>
      <c r="AL105" s="3177">
        <v>1</v>
      </c>
      <c r="AM105" s="3177">
        <v>1</v>
      </c>
      <c r="AN105" s="3177">
        <v>1</v>
      </c>
      <c r="AO105" s="3177">
        <v>1</v>
      </c>
      <c r="AP105" s="3177">
        <v>1</v>
      </c>
      <c r="AQ105" s="3177">
        <v>1</v>
      </c>
      <c r="AR105" s="3177">
        <v>1</v>
      </c>
      <c r="AS105" s="3177">
        <v>1</v>
      </c>
      <c r="AT105" s="3177">
        <v>1</v>
      </c>
      <c r="AU105" s="3177">
        <v>1</v>
      </c>
      <c r="AV105" s="3177">
        <v>1</v>
      </c>
      <c r="AW105" s="3177">
        <v>1</v>
      </c>
      <c r="AX105" s="3177">
        <v>1</v>
      </c>
      <c r="AY105" s="3177">
        <v>1</v>
      </c>
      <c r="AZ105" s="3177">
        <v>1</v>
      </c>
      <c r="BA105" s="3177">
        <v>1</v>
      </c>
      <c r="BB105" s="3177">
        <v>1</v>
      </c>
      <c r="BC105" s="3177">
        <v>1</v>
      </c>
      <c r="BD105" s="3177">
        <v>1</v>
      </c>
      <c r="BE105" s="3177">
        <v>1</v>
      </c>
      <c r="BF105" s="3177">
        <v>1</v>
      </c>
      <c r="BG105" s="3177">
        <v>1</v>
      </c>
      <c r="BH105" s="3177">
        <v>1</v>
      </c>
      <c r="BI105" s="3177">
        <v>1</v>
      </c>
      <c r="BJ105" s="3177">
        <v>1</v>
      </c>
      <c r="BK105" s="3177">
        <v>1</v>
      </c>
      <c r="BL105" s="3177">
        <v>1</v>
      </c>
      <c r="BM105" s="3177">
        <v>1</v>
      </c>
      <c r="BN105" s="3177">
        <v>1</v>
      </c>
      <c r="BO105" s="2518"/>
      <c r="BP105" s="2518"/>
      <c r="BQ105" s="2518"/>
      <c r="BR105" s="2518"/>
      <c r="BS105" s="2518"/>
      <c r="BT105" s="2518"/>
      <c r="BU105" s="2518"/>
      <c r="BV105" s="2518"/>
      <c r="BW105" s="2518"/>
      <c r="BX105" s="2518"/>
      <c r="BY105" s="2518"/>
      <c r="BZ105" s="2518"/>
      <c r="CA105" s="34"/>
      <c r="CC105" s="33"/>
      <c r="CD105" s="1772" t="e" cm="1">
        <f t="array" ca="1" aca="1" ref="CD105">_xlfn.LET(_xlpm.CheckBlank,SUM(PL!$AD105:$BN105)=0,IF(_xlpm.CheckBlank,"",SUM(_xlfn._xlws.FILTER(PL!$AD105:$BN105,(YEAR(PL!$AD$12:$BN$12)=PL!CD$12)*(array_timeline&lt;=PL!CD$11)))))</f>
        <v>#NAME?</v>
      </c>
      <c r="CE105" s="1772" t="e" cm="1">
        <f t="array" ca="1" aca="1" ref="CE105">_xlfn.LET(_xlpm.CheckBlank,SUM(PL!$AD105:$BN105)=0,IF(_xlpm.CheckBlank,"",SUM(_xlfn._xlws.FILTER(PL!$AD105:$BN105,(YEAR(PL!$AD$12:$BN$12)=PL!CE$12)*(array_timeline&lt;=PL!CE$11)))))</f>
        <v>#NAME?</v>
      </c>
      <c r="CF105" s="3"/>
      <c r="CG105" s="1461" t="e" cm="1">
        <f t="array" ca="1" aca="1" ref="CG105">_xlfn.LET(_xlpm.CheckBlank,SUM(PL!$AD105:$BN105)=0,IF(_xlpm.CheckBlank,"",SUM(_xlfn._xlws.FILTER(PL!$AD105:$BN105,(YEAR(PL!$AD$12:$BN$12)=PL!CG$12)*(array_timeline&lt;=PL!CG$11)))))</f>
        <v>#NAME?</v>
      </c>
      <c r="CH105" s="1461" t="e" cm="1">
        <f t="array" ca="1" aca="1" ref="CH105">_xlfn.LET(_xlpm.CheckBlank,SUM(PL!$AD105:$BN105)=0,IF(_xlpm.CheckBlank,"",SUM(_xlfn._xlws.FILTER(PL!$AD105:$BN105,(YEAR(PL!$AD$12:$BN$12)=PL!CH$12)*(array_timeline&lt;=PL!CH$11)))))</f>
        <v>#NAME?</v>
      </c>
      <c r="CI105" s="3"/>
      <c r="CJ105" s="1461" cm="1">
        <f t="array" ref="CJ105">_xlfn.LET(_xlpm.CheckBlank,SUM(PL!$AD105:$BN105)=0,IF(_xlpm.CheckBlank,"",SUM(_xlfn.TAKE(_xlfn.DROP(PL!$AD105:$BN105,,-DATEDIFF(PL!CJ$11,val_asOfDate,"M")),1,-12))))</f>
        <v>12</v>
      </c>
      <c r="CK105" s="1461" cm="1">
        <f t="array" ref="CK105">_xlfn.LET(_xlpm.CheckBlank,SUM(PL!$AD105:$BN105)=0,IF(_xlpm.CheckBlank,"",SUM(_xlfn.TAKE(_xlfn.DROP(PL!$AD105:$BN105,,-DATEDIFF(PL!CK$11,val_asOfDate,"M")),1,-12))))</f>
        <v>12</v>
      </c>
      <c r="CL105" s="3"/>
      <c r="CM105" s="3203" cm="1">
        <f t="array" ref="CM105">IFBLANK(CM49,"")</f>
        <v>1</v>
      </c>
      <c r="CN105" s="3203" cm="1">
        <f t="array" ref="CN105">IFBLANK(CN49,"")</f>
        <v>1</v>
      </c>
      <c r="CO105" s="3"/>
      <c r="CP105" s="3203" cm="1">
        <f t="array" ref="CP105">IFBLANK(CP49,"")</f>
        <v>1</v>
      </c>
      <c r="CQ105" s="3203" cm="1">
        <f t="array" ref="CQ105">IFBLANK(CQ49,"")</f>
        <v>1</v>
      </c>
      <c r="CR105" s="34"/>
      <c r="CS105" s="2056"/>
      <c r="CT105" s="2447" t="e" cm="1">
        <f t="array" ca="1" aca="1" ref="CT105">IF(Y105="","",IF(ISNUMBER(SEARCH("Select",$Y105)),"",_xldudf_CX_PUSH($Y105,CX_ENTITY,C105,val_asOfDate)))</f>
        <v>#NAME?</v>
      </c>
      <c r="CU105" s="2447" t="e" cm="1">
        <f t="array" ca="1" aca="1" ref="CU105">IF(Y105="","",IF(ISNUMBER(SEARCH("Select",$Y105)),"",_xldudf_CX_PUSH($Y105,CX_ENTITY,C105,EOMONTH(val_asOfDate,1))))</f>
        <v>#NAME?</v>
      </c>
      <c r="CV105" s="2447" t="e" cm="1">
        <f t="array" ca="1" aca="1" ref="CV105">IF(Y105="","",IF(ISNUMBER(SEARCH("Select",$Y105)),"",_xldudf_CX_PUSH($Y105,CX_ENTITY,C105,EOMONTH(val_asOfDate,2))))</f>
        <v>#NAME?</v>
      </c>
      <c r="CW105" s="2447" t="e" cm="1">
        <f t="array" ca="1" aca="1" ref="CW105">IF(Y105="","",IF(ISNUMBER(SEARCH("Select",$Y105)),"",_xldudf_CX_PUSH($Y105,CX_ENTITY,C105,EOMONTH(val_asOfDate,3))))</f>
        <v>#NAME?</v>
      </c>
      <c r="CX105" s="2443"/>
      <c r="CY105" s="2444" t="str" cm="1">
        <f t="array" ca="1" aca="1" ref="CY105">IFERROR(IF(CM105*fxVal_normal=_PL!CM105,"",IF(OR($CM105="",$CM105=0,NOT(ISNUMBER($CM105)),ISERROR($CM105),$B105=""),"",IF($I105=1,IFBLANK(_xldudf_CX_PUSH($CM105*fxVal_normal,CX_ENTITY,$B105,$CM$11,$CM$14,$CM$19,),""),IF($I105=2,IFBLANK(_xldudf_CX_PUSH($CM105,CX_ENTITY,$B105,$CM$11,$CM$14,$CM$19,),""),IF($I105=3,"",IFBLANK(_xldudf_CX_PUSH($CM105,CX_ENTITY,$B105,$CM$11,$CM$14,$CM$19,),"")))))),"")</f>
        <v/>
      </c>
      <c r="CZ105" s="2444" t="str" cm="1">
        <f t="array" ca="1" aca="1" ref="CZ105">IFERROR(IF(CN105*fxVal_normal=_PL!CN105,"",IF(OR($CN105="",$CN105=0,NOT(ISNUMBER($CN105)),ISERROR($CN105),$B105=""),"",IF($I105=1,IFBLANK(_xldudf_CX_PUSH($CN105*fxVal_normal,CX_ENTITY,$B105,$CN$11,$CN$14,$CN$19,),""),IF($I105=2,IFBLANK(_xldudf_CX_PUSH($CN105,CX_ENTITY,$B105,$CN$11,$CN$14,$CN$19,),""),IF($I105=3,"",IFBLANK(_xldudf_CX_PUSH($CN105,CX_ENTITY,$B105,$CN$11,$CN$14,$CN$19,),"")))))),"")</f>
        <v/>
      </c>
      <c r="DA105" s="2444" t="str" cm="1">
        <f t="array" ca="1" aca="1" ref="DA105">IFERROR(IF(CP105*fxVal_normal=_PL!CP105,"",IF(OR($CP105="",$CP105=0,NOT(ISNUMBER($CP105)),ISERROR($CP105),$B105=""),"",IF($I105=1,IFBLANK(_xldudf_CX_PUSH($CP105*fxVal_normal,CX_ENTITY,$B105,$CP$11,$CP$14,$CP$19,),""),IF($I105=2,IFBLANK(_xldudf_CX_PUSH($CP105,CX_ENTITY,$B105,$CP$11,$CP$14,$CP$19,),""),IF($I105=3,"",IFBLANK(_xldudf_CX_PUSH($CP105,CX_ENTITY,$B105,$CP$11,$CP$14,$CP$19,),"")))))),"")</f>
        <v/>
      </c>
      <c r="DB105" s="2444" t="str" cm="1">
        <f t="array" ca="1" aca="1" ref="DB105">IFERROR(IF(CQ105*fxVal_normal=_PL!CQ105,"",IF(OR($CQ105="",$CQ105=0,NOT(ISNUMBER($CQ105)),ISERROR($CQ105),$B105=""),"",IF($I105=1,IFBLANK(_xldudf_CX_PUSH($CQ105*fxVal_normal,CX_ENTITY,$B105,$CQ$11,$CQ$14,$CQ$19,),""),IF($I105=2,IFBLANK(_xldudf_CX_PUSH($CQ105,CX_ENTITY,$B105,$CQ$11,$CQ$14,$CQ$19,),""),IF($I105=3,"",IFBLANK(_xldudf_CX_PUSH($CQ105,CX_ENTITY,$B105,$CQ$11,$CQ$14,$CQ$19,),"")))))),"")</f>
        <v/>
      </c>
      <c r="DC105" s="2443"/>
      <c r="DD105" s="2445" t="str" cm="1">
        <f t="array" ca="1" aca="1" ref="DD105">IFERROR(IF(AD105*fxVal_normal=_PL!AD105,"",IF(OR(AD105="",NOT(ISNUMBER(AD105)),ISERROR(AD105),$B105=""),"",IF($I105=1,IFBLANK(_xldudf_CX_PUSH(AD105*fxVal_normal,CX_ENTITY,$B105,AD$11,AD$14,AD$75,),""),IF($I105=2,IFBLANK(_xldudf_CX_PUSH(AD105,CX_ENTITY,$B105,AD$11,AD$14,AD$75,),""),IF($I105=3,"",IFBLANK(_xldudf_CX_PUSH(AD105,CX_ENTITY,$B105,AD$11,AD$14,AD$75,),"")))))),"")</f>
        <v/>
      </c>
      <c r="DE105" s="2445" t="str" cm="1">
        <f t="array" ca="1" aca="1" ref="DE105">IFERROR(IF(AE105*fxVal_normal=_PL!AE105,"",IF(OR(AE105="",NOT(ISNUMBER(AE105)),ISERROR(AE105),$B105=""),"",IF($I105=1,IFBLANK(_xldudf_CX_PUSH(AE105*fxVal_normal,CX_ENTITY,$B105,AE$11,AE$14,AE$75,),""),IF($I105=2,IFBLANK(_xldudf_CX_PUSH(AE105,CX_ENTITY,$B105,AE$11,AE$14,AE$75,),""),IF($I105=3,"",IFBLANK(_xldudf_CX_PUSH(AE105,CX_ENTITY,$B105,AE$11,AE$14,AE$75,),"")))))),"")</f>
        <v/>
      </c>
      <c r="DF105" s="2445" t="str" cm="1">
        <f t="array" ca="1" aca="1" ref="DF105">IFERROR(IF(AF105*fxVal_normal=_PL!AF105,"",IF(OR(AF105="",NOT(ISNUMBER(AF105)),ISERROR(AF105),$B105=""),"",IF($I105=1,IFBLANK(_xldudf_CX_PUSH(AF105*fxVal_normal,CX_ENTITY,$B105,AF$11,AF$14,AF$75,),""),IF($I105=2,IFBLANK(_xldudf_CX_PUSH(AF105,CX_ENTITY,$B105,AF$11,AF$14,AF$75,),""),IF($I105=3,"",IFBLANK(_xldudf_CX_PUSH(AF105,CX_ENTITY,$B105,AF$11,AF$14,AF$75,),"")))))),"")</f>
        <v/>
      </c>
      <c r="DG105" s="2445" t="str" cm="1">
        <f t="array" ca="1" aca="1" ref="DG105">IFERROR(IF(AG105*fxVal_normal=_PL!AG105,"",IF(OR(AG105="",NOT(ISNUMBER(AG105)),ISERROR(AG105),$B105=""),"",IF($I105=1,IFBLANK(_xldudf_CX_PUSH(AG105*fxVal_normal,CX_ENTITY,$B105,AG$11,AG$14,AG$75,),""),IF($I105=2,IFBLANK(_xldudf_CX_PUSH(AG105,CX_ENTITY,$B105,AG$11,AG$14,AG$75,),""),IF($I105=3,"",IFBLANK(_xldudf_CX_PUSH(AG105,CX_ENTITY,$B105,AG$11,AG$14,AG$75,),"")))))),"")</f>
        <v/>
      </c>
      <c r="DH105" s="2445" t="str" cm="1">
        <f t="array" ca="1" aca="1" ref="DH105">IFERROR(IF(AH105*fxVal_normal=_PL!AH105,"",IF(OR(AH105="",NOT(ISNUMBER(AH105)),ISERROR(AH105),$B105=""),"",IF($I105=1,IFBLANK(_xldudf_CX_PUSH(AH105*fxVal_normal,CX_ENTITY,$B105,AH$11,AH$14,AH$75,),""),IF($I105=2,IFBLANK(_xldudf_CX_PUSH(AH105,CX_ENTITY,$B105,AH$11,AH$14,AH$75,),""),IF($I105=3,"",IFBLANK(_xldudf_CX_PUSH(AH105,CX_ENTITY,$B105,AH$11,AH$14,AH$75,),"")))))),"")</f>
        <v/>
      </c>
      <c r="DI105" s="2445" t="str" cm="1">
        <f t="array" ca="1" aca="1" ref="DI105">IFERROR(IF(AI105*fxVal_normal=_PL!AI105,"",IF(OR(AI105="",NOT(ISNUMBER(AI105)),ISERROR(AI105),$B105=""),"",IF($I105=1,IFBLANK(_xldudf_CX_PUSH(AI105*fxVal_normal,CX_ENTITY,$B105,AI$11,AI$14,AI$75,),""),IF($I105=2,IFBLANK(_xldudf_CX_PUSH(AI105,CX_ENTITY,$B105,AI$11,AI$14,AI$75,),""),IF($I105=3,"",IFBLANK(_xldudf_CX_PUSH(AI105,CX_ENTITY,$B105,AI$11,AI$14,AI$75,),"")))))),"")</f>
        <v/>
      </c>
      <c r="DJ105" s="2445" t="str" cm="1">
        <f t="array" ca="1" aca="1" ref="DJ105">IFERROR(IF(AJ105*fxVal_normal=_PL!AJ105,"",IF(OR(AJ105="",NOT(ISNUMBER(AJ105)),ISERROR(AJ105),$B105=""),"",IF($I105=1,IFBLANK(_xldudf_CX_PUSH(AJ105*fxVal_normal,CX_ENTITY,$B105,AJ$11,AJ$14,AJ$75,),""),IF($I105=2,IFBLANK(_xldudf_CX_PUSH(AJ105,CX_ENTITY,$B105,AJ$11,AJ$14,AJ$75,),""),IF($I105=3,"",IFBLANK(_xldudf_CX_PUSH(AJ105,CX_ENTITY,$B105,AJ$11,AJ$14,AJ$75,),"")))))),"")</f>
        <v/>
      </c>
      <c r="DK105" s="2445" t="str" cm="1">
        <f t="array" ca="1" aca="1" ref="DK105">IFERROR(IF(AK105*fxVal_normal=_PL!AK105,"",IF(OR(AK105="",NOT(ISNUMBER(AK105)),ISERROR(AK105),$B105=""),"",IF($I105=1,IFBLANK(_xldudf_CX_PUSH(AK105*fxVal_normal,CX_ENTITY,$B105,AK$11,AK$14,AK$75,),""),IF($I105=2,IFBLANK(_xldudf_CX_PUSH(AK105,CX_ENTITY,$B105,AK$11,AK$14,AK$75,),""),IF($I105=3,"",IFBLANK(_xldudf_CX_PUSH(AK105,CX_ENTITY,$B105,AK$11,AK$14,AK$75,),"")))))),"")</f>
        <v/>
      </c>
      <c r="DL105" s="2445" t="str" cm="1">
        <f t="array" ca="1" aca="1" ref="DL105">IFERROR(IF(AL105*fxVal_normal=_PL!AL105,"",IF(OR(AL105="",NOT(ISNUMBER(AL105)),ISERROR(AL105),$B105=""),"",IF($I105=1,IFBLANK(_xldudf_CX_PUSH(AL105*fxVal_normal,CX_ENTITY,$B105,AL$11,AL$14,AL$75,),""),IF($I105=2,IFBLANK(_xldudf_CX_PUSH(AL105,CX_ENTITY,$B105,AL$11,AL$14,AL$75,),""),IF($I105=3,"",IFBLANK(_xldudf_CX_PUSH(AL105,CX_ENTITY,$B105,AL$11,AL$14,AL$75,),"")))))),"")</f>
        <v/>
      </c>
      <c r="DM105" s="2445" t="str" cm="1">
        <f t="array" ca="1" aca="1" ref="DM105">IFERROR(IF(AM105*fxVal_normal=_PL!AM105,"",IF(OR(AM105="",NOT(ISNUMBER(AM105)),ISERROR(AM105),$B105=""),"",IF($I105=1,IFBLANK(_xldudf_CX_PUSH(AM105*fxVal_normal,CX_ENTITY,$B105,AM$11,AM$14,AM$75,),""),IF($I105=2,IFBLANK(_xldudf_CX_PUSH(AM105,CX_ENTITY,$B105,AM$11,AM$14,AM$75,),""),IF($I105=3,"",IFBLANK(_xldudf_CX_PUSH(AM105,CX_ENTITY,$B105,AM$11,AM$14,AM$75,),"")))))),"")</f>
        <v/>
      </c>
      <c r="DN105" s="2445" t="str" cm="1">
        <f t="array" ca="1" aca="1" ref="DN105">IFERROR(IF(AN105*fxVal_normal=_PL!AN105,"",IF(OR(AN105="",NOT(ISNUMBER(AN105)),ISERROR(AN105),$B105=""),"",IF($I105=1,IFBLANK(_xldudf_CX_PUSH(AN105*fxVal_normal,CX_ENTITY,$B105,AN$11,AN$14,AN$75,),""),IF($I105=2,IFBLANK(_xldudf_CX_PUSH(AN105,CX_ENTITY,$B105,AN$11,AN$14,AN$75,),""),IF($I105=3,"",IFBLANK(_xldudf_CX_PUSH(AN105,CX_ENTITY,$B105,AN$11,AN$14,AN$75,),"")))))),"")</f>
        <v/>
      </c>
      <c r="DO105" s="2445" t="str" cm="1">
        <f t="array" ca="1" aca="1" ref="DO105">IFERROR(IF(AO105*fxVal_normal=_PL!AO105,"",IF(OR(AO105="",NOT(ISNUMBER(AO105)),ISERROR(AO105),$B105=""),"",IF($I105=1,IFBLANK(_xldudf_CX_PUSH(AO105*fxVal_normal,CX_ENTITY,$B105,AO$11,AO$14,AO$75,),""),IF($I105=2,IFBLANK(_xldudf_CX_PUSH(AO105,CX_ENTITY,$B105,AO$11,AO$14,AO$75,),""),IF($I105=3,"",IFBLANK(_xldudf_CX_PUSH(AO105,CX_ENTITY,$B105,AO$11,AO$14,AO$75,),"")))))),"")</f>
        <v/>
      </c>
      <c r="DP105" s="2445" t="str" cm="1">
        <f t="array" ca="1" aca="1" ref="DP105">IFERROR(IF(AP105*fxVal_normal=_PL!AP105,"",IF(OR(AP105="",NOT(ISNUMBER(AP105)),ISERROR(AP105),$B105=""),"",IF($I105=1,IFBLANK(_xldudf_CX_PUSH(AP105*fxVal_normal,CX_ENTITY,$B105,AP$11,AP$14,AP$75,),""),IF($I105=2,IFBLANK(_xldudf_CX_PUSH(AP105,CX_ENTITY,$B105,AP$11,AP$14,AP$75,),""),IF($I105=3,"",IFBLANK(_xldudf_CX_PUSH(AP105,CX_ENTITY,$B105,AP$11,AP$14,AP$75,),"")))))),"")</f>
        <v/>
      </c>
      <c r="DQ105" s="2445" t="str" cm="1">
        <f t="array" ca="1" aca="1" ref="DQ105">IFERROR(IF(AQ105*fxVal_normal=_PL!AQ105,"",IF(OR(AQ105="",NOT(ISNUMBER(AQ105)),ISERROR(AQ105),$B105=""),"",IF($I105=1,IFBLANK(_xldudf_CX_PUSH(AQ105*fxVal_normal,CX_ENTITY,$B105,AQ$11,AQ$14,AQ$75,),""),IF($I105=2,IFBLANK(_xldudf_CX_PUSH(AQ105,CX_ENTITY,$B105,AQ$11,AQ$14,AQ$75,),""),IF($I105=3,"",IFBLANK(_xldudf_CX_PUSH(AQ105,CX_ENTITY,$B105,AQ$11,AQ$14,AQ$75,),"")))))),"")</f>
        <v/>
      </c>
      <c r="DR105" s="2445" t="str" cm="1">
        <f t="array" ca="1" aca="1" ref="DR105">IFERROR(IF(AR105*fxVal_normal=_PL!AR105,"",IF(OR(AR105="",NOT(ISNUMBER(AR105)),ISERROR(AR105),$B105=""),"",IF($I105=1,IFBLANK(_xldudf_CX_PUSH(AR105*fxVal_normal,CX_ENTITY,$B105,AR$11,AR$14,AR$75,),""),IF($I105=2,IFBLANK(_xldudf_CX_PUSH(AR105,CX_ENTITY,$B105,AR$11,AR$14,AR$75,),""),IF($I105=3,"",IFBLANK(_xldudf_CX_PUSH(AR105,CX_ENTITY,$B105,AR$11,AR$14,AR$75,),"")))))),"")</f>
        <v/>
      </c>
      <c r="DS105" s="2445" t="str" cm="1">
        <f t="array" ca="1" aca="1" ref="DS105">IFERROR(IF(AS105*fxVal_normal=_PL!AS105,"",IF(OR(AS105="",NOT(ISNUMBER(AS105)),ISERROR(AS105),$B105=""),"",IF($I105=1,IFBLANK(_xldudf_CX_PUSH(AS105*fxVal_normal,CX_ENTITY,$B105,AS$11,AS$14,AS$75,),""),IF($I105=2,IFBLANK(_xldudf_CX_PUSH(AS105,CX_ENTITY,$B105,AS$11,AS$14,AS$75,),""),IF($I105=3,"",IFBLANK(_xldudf_CX_PUSH(AS105,CX_ENTITY,$B105,AS$11,AS$14,AS$75,),"")))))),"")</f>
        <v/>
      </c>
      <c r="DT105" s="2445" t="str" cm="1">
        <f t="array" ca="1" aca="1" ref="DT105">IFERROR(IF(AT105*fxVal_normal=_PL!AT105,"",IF(OR(AT105="",NOT(ISNUMBER(AT105)),ISERROR(AT105),$B105=""),"",IF($I105=1,IFBLANK(_xldudf_CX_PUSH(AT105*fxVal_normal,CX_ENTITY,$B105,AT$11,AT$14,AT$75,),""),IF($I105=2,IFBLANK(_xldudf_CX_PUSH(AT105,CX_ENTITY,$B105,AT$11,AT$14,AT$75,),""),IF($I105=3,"",IFBLANK(_xldudf_CX_PUSH(AT105,CX_ENTITY,$B105,AT$11,AT$14,AT$75,),"")))))),"")</f>
        <v/>
      </c>
      <c r="DU105" s="2445" t="str" cm="1">
        <f t="array" ca="1" aca="1" ref="DU105">IFERROR(IF(AU105*fxVal_normal=_PL!AU105,"",IF(OR(AU105="",NOT(ISNUMBER(AU105)),ISERROR(AU105),$B105=""),"",IF($I105=1,IFBLANK(_xldudf_CX_PUSH(AU105*fxVal_normal,CX_ENTITY,$B105,AU$11,AU$14,AU$75,),""),IF($I105=2,IFBLANK(_xldudf_CX_PUSH(AU105,CX_ENTITY,$B105,AU$11,AU$14,AU$75,),""),IF($I105=3,"",IFBLANK(_xldudf_CX_PUSH(AU105,CX_ENTITY,$B105,AU$11,AU$14,AU$75,),"")))))),"")</f>
        <v/>
      </c>
      <c r="DV105" s="2445" t="str" cm="1">
        <f t="array" ca="1" aca="1" ref="DV105">IFERROR(IF(AV105*fxVal_normal=_PL!AV105,"",IF(OR(AV105="",NOT(ISNUMBER(AV105)),ISERROR(AV105),$B105=""),"",IF($I105=1,IFBLANK(_xldudf_CX_PUSH(AV105*fxVal_normal,CX_ENTITY,$B105,AV$11,AV$14,AV$75,),""),IF($I105=2,IFBLANK(_xldudf_CX_PUSH(AV105,CX_ENTITY,$B105,AV$11,AV$14,AV$75,),""),IF($I105=3,"",IFBLANK(_xldudf_CX_PUSH(AV105,CX_ENTITY,$B105,AV$11,AV$14,AV$75,),"")))))),"")</f>
        <v/>
      </c>
      <c r="DW105" s="2445" t="str" cm="1">
        <f t="array" ca="1" aca="1" ref="DW105">IFERROR(IF(AW105*fxVal_normal=_PL!AW105,"",IF(OR(AW105="",NOT(ISNUMBER(AW105)),ISERROR(AW105),$B105=""),"",IF($I105=1,IFBLANK(_xldudf_CX_PUSH(AW105*fxVal_normal,CX_ENTITY,$B105,AW$11,AW$14,AW$75,),""),IF($I105=2,IFBLANK(_xldudf_CX_PUSH(AW105,CX_ENTITY,$B105,AW$11,AW$14,AW$75,),""),IF($I105=3,"",IFBLANK(_xldudf_CX_PUSH(AW105,CX_ENTITY,$B105,AW$11,AW$14,AW$75,),"")))))),"")</f>
        <v/>
      </c>
      <c r="DX105" s="2445" t="str" cm="1">
        <f t="array" ca="1" aca="1" ref="DX105">IFERROR(IF(AX105*fxVal_normal=_PL!AX105,"",IF(OR(AX105="",NOT(ISNUMBER(AX105)),ISERROR(AX105),$B105=""),"",IF($I105=1,IFBLANK(_xldudf_CX_PUSH(AX105*fxVal_normal,CX_ENTITY,$B105,AX$11,AX$14,AX$75,),""),IF($I105=2,IFBLANK(_xldudf_CX_PUSH(AX105,CX_ENTITY,$B105,AX$11,AX$14,AX$75,),""),IF($I105=3,"",IFBLANK(_xldudf_CX_PUSH(AX105,CX_ENTITY,$B105,AX$11,AX$14,AX$75,),"")))))),"")</f>
        <v/>
      </c>
      <c r="DY105" s="2445" t="str" cm="1">
        <f t="array" ca="1" aca="1" ref="DY105">IFERROR(IF(AY105*fxVal_normal=_PL!AY105,"",IF(OR(AY105="",NOT(ISNUMBER(AY105)),ISERROR(AY105),$B105=""),"",IF($I105=1,IFBLANK(_xldudf_CX_PUSH(AY105*fxVal_normal,CX_ENTITY,$B105,AY$11,AY$14,AY$75,),""),IF($I105=2,IFBLANK(_xldudf_CX_PUSH(AY105,CX_ENTITY,$B105,AY$11,AY$14,AY$75,),""),IF($I105=3,"",IFBLANK(_xldudf_CX_PUSH(AY105,CX_ENTITY,$B105,AY$11,AY$14,AY$75,),"")))))),"")</f>
        <v/>
      </c>
      <c r="DZ105" s="2445" t="str" cm="1">
        <f t="array" ca="1" aca="1" ref="DZ105">IFERROR(IF(AZ105*fxVal_normal=_PL!AZ105,"",IF(OR(AZ105="",NOT(ISNUMBER(AZ105)),ISERROR(AZ105),$B105=""),"",IF($I105=1,IFBLANK(_xldudf_CX_PUSH(AZ105*fxVal_normal,CX_ENTITY,$B105,AZ$11,AZ$14,AZ$75,),""),IF($I105=2,IFBLANK(_xldudf_CX_PUSH(AZ105,CX_ENTITY,$B105,AZ$11,AZ$14,AZ$75,),""),IF($I105=3,"",IFBLANK(_xldudf_CX_PUSH(AZ105,CX_ENTITY,$B105,AZ$11,AZ$14,AZ$75,),"")))))),"")</f>
        <v/>
      </c>
      <c r="EA105" s="2445" t="str" cm="1">
        <f t="array" ca="1" aca="1" ref="EA105">IFERROR(IF(BA105*fxVal_normal=_PL!BA105,"",IF(OR(BA105="",NOT(ISNUMBER(BA105)),ISERROR(BA105),$B105=""),"",IF($I105=1,IFBLANK(_xldudf_CX_PUSH(BA105*fxVal_normal,CX_ENTITY,$B105,BA$11,BA$14,BA$75,),""),IF($I105=2,IFBLANK(_xldudf_CX_PUSH(BA105,CX_ENTITY,$B105,BA$11,BA$14,BA$75,),""),IF($I105=3,"",IFBLANK(_xldudf_CX_PUSH(BA105,CX_ENTITY,$B105,BA$11,BA$14,BA$75,),"")))))),"")</f>
        <v/>
      </c>
      <c r="EB105" s="2445" t="str" cm="1">
        <f t="array" ca="1" aca="1" ref="EB105">IFERROR(IF(BB105*fxVal_normal=_PL!BB105,"",IF(OR(BB105="",NOT(ISNUMBER(BB105)),ISERROR(BB105),$B105=""),"",IF($I105=1,IFBLANK(_xldudf_CX_PUSH(BB105*fxVal_normal,CX_ENTITY,$B105,BB$11,BB$14,BB$75,),""),IF($I105=2,IFBLANK(_xldudf_CX_PUSH(BB105,CX_ENTITY,$B105,BB$11,BB$14,BB$75,),""),IF($I105=3,"",IFBLANK(_xldudf_CX_PUSH(BB105,CX_ENTITY,$B105,BB$11,BB$14,BB$75,),"")))))),"")</f>
        <v/>
      </c>
      <c r="EC105" s="2445" t="str" cm="1">
        <f t="array" ca="1" aca="1" ref="EC105">IFERROR(IF(BC105*fxVal_normal=_PL!BC105,"",IF(OR(BC105="",NOT(ISNUMBER(BC105)),ISERROR(BC105),$B105=""),"",IF($I105=1,IFBLANK(_xldudf_CX_PUSH(BC105*fxVal_normal,CX_ENTITY,$B105,BC$11,BC$14,BC$75,),""),IF($I105=2,IFBLANK(_xldudf_CX_PUSH(BC105,CX_ENTITY,$B105,BC$11,BC$14,BC$75,),""),IF($I105=3,"",IFBLANK(_xldudf_CX_PUSH(BC105,CX_ENTITY,$B105,BC$11,BC$14,BC$75,),"")))))),"")</f>
        <v/>
      </c>
      <c r="ED105" s="2445" t="str" cm="1">
        <f t="array" ca="1" aca="1" ref="ED105">IFERROR(IF(BD105*fxVal_normal=_PL!BD105,"",IF(OR(BD105="",NOT(ISNUMBER(BD105)),ISERROR(BD105),$B105=""),"",IF($I105=1,IFBLANK(_xldudf_CX_PUSH(BD105*fxVal_normal,CX_ENTITY,$B105,BD$11,BD$14,BD$75,),""),IF($I105=2,IFBLANK(_xldudf_CX_PUSH(BD105,CX_ENTITY,$B105,BD$11,BD$14,BD$75,),""),IF($I105=3,"",IFBLANK(_xldudf_CX_PUSH(BD105,CX_ENTITY,$B105,BD$11,BD$14,BD$75,),"")))))),"")</f>
        <v/>
      </c>
      <c r="EE105" s="2445" t="str" cm="1">
        <f t="array" ca="1" aca="1" ref="EE105">IFERROR(IF(BE105*fxVal_normal=_PL!BE105,"",IF(OR(BE105="",NOT(ISNUMBER(BE105)),ISERROR(BE105),$B105=""),"",IF($I105=1,IFBLANK(_xldudf_CX_PUSH(BE105*fxVal_normal,CX_ENTITY,$B105,BE$11,BE$14,BE$75,),""),IF($I105=2,IFBLANK(_xldudf_CX_PUSH(BE105,CX_ENTITY,$B105,BE$11,BE$14,BE$75,),""),IF($I105=3,"",IFBLANK(_xldudf_CX_PUSH(BE105,CX_ENTITY,$B105,BE$11,BE$14,BE$75,),"")))))),"")</f>
        <v/>
      </c>
      <c r="EF105" s="2445" t="str" cm="1">
        <f t="array" ca="1" aca="1" ref="EF105">IFERROR(IF(BF105*fxVal_normal=_PL!BF105,"",IF(OR(BF105="",NOT(ISNUMBER(BF105)),ISERROR(BF105),$B105=""),"",IF($I105=1,IFBLANK(_xldudf_CX_PUSH(BF105*fxVal_normal,CX_ENTITY,$B105,BF$11,BF$14,BF$75,),""),IF($I105=2,IFBLANK(_xldudf_CX_PUSH(BF105,CX_ENTITY,$B105,BF$11,BF$14,BF$75,),""),IF($I105=3,"",IFBLANK(_xldudf_CX_PUSH(BF105,CX_ENTITY,$B105,BF$11,BF$14,BF$75,),"")))))),"")</f>
        <v/>
      </c>
      <c r="EG105" s="2445" t="str" cm="1">
        <f t="array" ca="1" aca="1" ref="EG105">IFERROR(IF(BG105*fxVal_normal=_PL!BG105,"",IF(OR(BG105="",NOT(ISNUMBER(BG105)),ISERROR(BG105),$B105=""),"",IF($I105=1,IFBLANK(_xldudf_CX_PUSH(BG105*fxVal_normal,CX_ENTITY,$B105,BG$11,BG$14,BG$75,),""),IF($I105=2,IFBLANK(_xldudf_CX_PUSH(BG105,CX_ENTITY,$B105,BG$11,BG$14,BG$75,),""),IF($I105=3,"",IFBLANK(_xldudf_CX_PUSH(BG105,CX_ENTITY,$B105,BG$11,BG$14,BG$75,),"")))))),"")</f>
        <v/>
      </c>
      <c r="EH105" s="2445" t="str" cm="1">
        <f t="array" ca="1" aca="1" ref="EH105">IFERROR(IF(BH105*fxVal_normal=_PL!BH105,"",IF(OR(BH105="",NOT(ISNUMBER(BH105)),ISERROR(BH105),$B105=""),"",IF($I105=1,IFBLANK(_xldudf_CX_PUSH(BH105*fxVal_normal,CX_ENTITY,$B105,BH$11,BH$14,BH$75,),""),IF($I105=2,IFBLANK(_xldudf_CX_PUSH(BH105,CX_ENTITY,$B105,BH$11,BH$14,BH$75,),""),IF($I105=3,"",IFBLANK(_xldudf_CX_PUSH(BH105,CX_ENTITY,$B105,BH$11,BH$14,BH$75,),"")))))),"")</f>
        <v/>
      </c>
      <c r="EI105" s="2445" t="str" cm="1">
        <f t="array" ca="1" aca="1" ref="EI105">IFERROR(IF(BI105*fxVal_normal=_PL!BI105,"",IF(OR(BI105="",NOT(ISNUMBER(BI105)),ISERROR(BI105),$B105=""),"",IF($I105=1,IFBLANK(_xldudf_CX_PUSH(BI105*fxVal_normal,CX_ENTITY,$B105,BI$11,BI$14,BI$75,),""),IF($I105=2,IFBLANK(_xldudf_CX_PUSH(BI105,CX_ENTITY,$B105,BI$11,BI$14,BI$75,),""),IF($I105=3,"",IFBLANK(_xldudf_CX_PUSH(BI105,CX_ENTITY,$B105,BI$11,BI$14,BI$75,),"")))))),"")</f>
        <v/>
      </c>
      <c r="EJ105" s="2445" t="str" cm="1">
        <f t="array" ca="1" aca="1" ref="EJ105">IFERROR(IF(BJ105*fxVal_normal=_PL!BJ105,"",IF(OR(BJ105="",NOT(ISNUMBER(BJ105)),ISERROR(BJ105),$B105=""),"",IF($I105=1,IFBLANK(_xldudf_CX_PUSH(BJ105*fxVal_normal,CX_ENTITY,$B105,BJ$11,BJ$14,BJ$75,),""),IF($I105=2,IFBLANK(_xldudf_CX_PUSH(BJ105,CX_ENTITY,$B105,BJ$11,BJ$14,BJ$75,),""),IF($I105=3,"",IFBLANK(_xldudf_CX_PUSH(BJ105,CX_ENTITY,$B105,BJ$11,BJ$14,BJ$75,),"")))))),"")</f>
        <v/>
      </c>
      <c r="EK105" s="2445" t="str" cm="1">
        <f t="array" ca="1" aca="1" ref="EK105">IFERROR(IF(BK105*fxVal_normal=_PL!BK105,"",IF(OR(BK105="",NOT(ISNUMBER(BK105)),ISERROR(BK105),$B105=""),"",IF($I105=1,IFBLANK(_xldudf_CX_PUSH(BK105*fxVal_normal,CX_ENTITY,$B105,BK$11,BK$14,BK$75,),""),IF($I105=2,IFBLANK(_xldudf_CX_PUSH(BK105,CX_ENTITY,$B105,BK$11,BK$14,BK$75,),""),IF($I105=3,"",IFBLANK(_xldudf_CX_PUSH(BK105,CX_ENTITY,$B105,BK$11,BK$14,BK$75,),"")))))),"")</f>
        <v/>
      </c>
      <c r="EL105" s="2445" t="str" cm="1">
        <f t="array" ca="1" aca="1" ref="EL105">IFERROR(IF(BL105*fxVal_normal=_PL!BL105,"",IF(OR(BL105="",NOT(ISNUMBER(BL105)),ISERROR(BL105),$B105=""),"",IF($I105=1,IFBLANK(_xldudf_CX_PUSH(BL105*fxVal_normal,CX_ENTITY,$B105,BL$11,BL$14,BL$75,),""),IF($I105=2,IFBLANK(_xldudf_CX_PUSH(BL105,CX_ENTITY,$B105,BL$11,BL$14,BL$75,),""),IF($I105=3,"",IFBLANK(_xldudf_CX_PUSH(BL105,CX_ENTITY,$B105,BL$11,BL$14,BL$75,),"")))))),"")</f>
        <v/>
      </c>
      <c r="EM105" s="2445" t="str" cm="1">
        <f t="array" ca="1" aca="1" ref="EM105">IFERROR(IF(BM105*fxVal_normal=_PL!BM105,"",IF(OR(BM105="",NOT(ISNUMBER(BM105)),ISERROR(BM105),$B105=""),"",IF($I105=1,IFBLANK(_xldudf_CX_PUSH(BM105*fxVal_normal,CX_ENTITY,$B105,BM$11,BM$14,BM$75,),""),IF($I105=2,IFBLANK(_xldudf_CX_PUSH(BM105,CX_ENTITY,$B105,BM$11,BM$14,BM$75,),""),IF($I105=3,"",IFBLANK(_xldudf_CX_PUSH(BM105,CX_ENTITY,$B105,BM$11,BM$14,BM$75,),"")))))),"")</f>
        <v/>
      </c>
      <c r="EN105" s="2445" t="str" cm="1">
        <f t="array" ca="1" aca="1" ref="EN105">IFERROR(IF(BN105*fxVal_normal=_PL!BN105,"",IF(OR(BN105="",NOT(ISNUMBER(BN105)),ISERROR(BN105),$B105=""),"",IF($I105=1,IFBLANK(_xldudf_CX_PUSH(BN105*fxVal_normal,CX_ENTITY,$B105,BN$11,BN$14,BN$75,),""),IF($I105=2,IFBLANK(_xldudf_CX_PUSH(BN105,CX_ENTITY,$B105,BN$11,BN$14,BN$75,),""),IF($I105=3,"",IFBLANK(_xldudf_CX_PUSH(BN105,CX_ENTITY,$B105,BN$11,BN$14,BN$75,),"")))))),"")</f>
        <v/>
      </c>
    </row>
    <row r="106" spans="1:144" ht="21" customHeight="1">
      <c r="A106" s="1626"/>
      <c r="B106" s="2501" t="str">
        <f>_xlfn.LET(_xlpm.IsNotAttrDynamic,D106="",_xlpm.Attr,_PL!F106,_xlpm.NotInUse,Y106=D106,_xlpm.RESULT,IF(_xlpm.IsNotAttrDynamic,_xlpm.Attr,IF(_xlpm.NotInUse,"",Y106)),IF(_xlpm.RESULT="","",_xlpm.RESULT))</f>
        <v>Custom Metric Amount 5</v>
      </c>
      <c r="C106" s="3463" t="str" cm="1">
        <f t="array" ref="C106">IFBLANK(_PL!C106,"")</f>
        <v>Custom Metric - Label 5</v>
      </c>
      <c r="D106" s="1548"/>
      <c r="E106" s="2440" t="e" cm="1">
        <f t="array" ca="1" aca="1" ref="E10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106:$CQ106,Z106)</f>
        <v>#NAME?</v>
      </c>
      <c r="F106" s="578"/>
      <c r="G106" s="578"/>
      <c r="H106" s="3280">
        <v>1</v>
      </c>
      <c r="I106" s="3280">
        <v>1</v>
      </c>
      <c r="J106" s="401" cm="1">
        <f t="array" ref="J106">IFBLANK(Z106,"")</f>
        <v>-1</v>
      </c>
      <c r="K106" s="578" t="str">
        <f t="shared" si="39"/>
        <v>Yes</v>
      </c>
      <c r="L106" s="37"/>
      <c r="N106" s="158"/>
      <c r="O106" s="101"/>
      <c r="P106" s="52"/>
      <c r="Q106" s="101"/>
      <c r="R106" s="126"/>
      <c r="S106" s="101"/>
      <c r="T106" s="101"/>
      <c r="U106" s="39"/>
      <c r="V106" s="37"/>
      <c r="W106" s="91" t="str">
        <f t="shared" si="43"/>
        <v>Budget</v>
      </c>
      <c r="X106" s="2523" t="e">
        <f ca="1">_PL!X106</f>
        <v>#NAME?</v>
      </c>
      <c r="Y106" s="3202" cm="1">
        <f t="array" ref="Y106">IFBLANK(Y50,"")</f>
        <v>2</v>
      </c>
      <c r="Z106" s="198" cm="1">
        <f t="array" ref="Z106">IFBLANK(Z50,"")</f>
        <v>-1</v>
      </c>
      <c r="AA106" s="200"/>
      <c r="AB106" s="3200" cm="1">
        <f t="array" ref="AB106">IFBLANK(Y106,"")</f>
        <v>2</v>
      </c>
      <c r="AC106" s="2527" t="str" cm="1">
        <f t="array" ca="1" aca="1" ref="AC106">_xlfn.LET(_xlpm._termname,$AB106,_xlpm._iconname,"find",_xlpm._icon,fx_getIcon(_xlpm._iconname),_xlpm._location,_xlfn.XLOOKUP(LOWER(_xlpm._termname),LOWER(tbl_acctDef[Term]),tbl_acctDef[Term]),_xlpm._hyperlink,HYPERLINK("#"&amp;CELL("address",_xlpm._location),_xlpm._icon),IFERROR(_xlpm._hyperlink,""))</f>
        <v/>
      </c>
      <c r="AD106" s="3177">
        <v>1</v>
      </c>
      <c r="AE106" s="3177">
        <v>1</v>
      </c>
      <c r="AF106" s="3177">
        <v>1</v>
      </c>
      <c r="AG106" s="3177">
        <v>1</v>
      </c>
      <c r="AH106" s="3177">
        <v>1</v>
      </c>
      <c r="AI106" s="3177">
        <v>1</v>
      </c>
      <c r="AJ106" s="3177">
        <v>1</v>
      </c>
      <c r="AK106" s="3177">
        <v>1</v>
      </c>
      <c r="AL106" s="3177">
        <v>1</v>
      </c>
      <c r="AM106" s="3177">
        <v>1</v>
      </c>
      <c r="AN106" s="3177">
        <v>1</v>
      </c>
      <c r="AO106" s="3177">
        <v>1</v>
      </c>
      <c r="AP106" s="3177">
        <v>1</v>
      </c>
      <c r="AQ106" s="3177">
        <v>1</v>
      </c>
      <c r="AR106" s="3177">
        <v>1</v>
      </c>
      <c r="AS106" s="3177">
        <v>1</v>
      </c>
      <c r="AT106" s="3177">
        <v>1</v>
      </c>
      <c r="AU106" s="3177">
        <v>1</v>
      </c>
      <c r="AV106" s="3177">
        <v>1</v>
      </c>
      <c r="AW106" s="3177">
        <v>1</v>
      </c>
      <c r="AX106" s="3177">
        <v>1</v>
      </c>
      <c r="AY106" s="3177">
        <v>1</v>
      </c>
      <c r="AZ106" s="3177">
        <v>1</v>
      </c>
      <c r="BA106" s="3177">
        <v>1</v>
      </c>
      <c r="BB106" s="3177">
        <v>1</v>
      </c>
      <c r="BC106" s="3177">
        <v>1</v>
      </c>
      <c r="BD106" s="3177">
        <v>1</v>
      </c>
      <c r="BE106" s="3177">
        <v>1</v>
      </c>
      <c r="BF106" s="3177">
        <v>1</v>
      </c>
      <c r="BG106" s="3177">
        <v>1</v>
      </c>
      <c r="BH106" s="3177">
        <v>1</v>
      </c>
      <c r="BI106" s="3177">
        <v>1</v>
      </c>
      <c r="BJ106" s="3177">
        <v>1</v>
      </c>
      <c r="BK106" s="3177">
        <v>1</v>
      </c>
      <c r="BL106" s="3177">
        <v>1</v>
      </c>
      <c r="BM106" s="3177">
        <v>1</v>
      </c>
      <c r="BN106" s="3177">
        <v>1</v>
      </c>
      <c r="BO106" s="2518"/>
      <c r="BP106" s="2518"/>
      <c r="BQ106" s="2518"/>
      <c r="BR106" s="2518"/>
      <c r="BS106" s="2518"/>
      <c r="BT106" s="2518"/>
      <c r="BU106" s="2518"/>
      <c r="BV106" s="2518"/>
      <c r="BW106" s="2518"/>
      <c r="BX106" s="2518"/>
      <c r="BY106" s="2518"/>
      <c r="BZ106" s="2518"/>
      <c r="CA106" s="34"/>
      <c r="CC106" s="33"/>
      <c r="CD106" s="1772" t="e" cm="1">
        <f t="array" ca="1" aca="1" ref="CD106">_xlfn.LET(_xlpm.CheckBlank,SUM(PL!$AD106:$BN106)=0,IF(_xlpm.CheckBlank,"",SUM(_xlfn._xlws.FILTER(PL!$AD106:$BN106,(YEAR(PL!$AD$12:$BN$12)=PL!CD$12)*(array_timeline&lt;=PL!CD$11)))))</f>
        <v>#NAME?</v>
      </c>
      <c r="CE106" s="1772" t="e" cm="1">
        <f t="array" ca="1" aca="1" ref="CE106">_xlfn.LET(_xlpm.CheckBlank,SUM(PL!$AD106:$BN106)=0,IF(_xlpm.CheckBlank,"",SUM(_xlfn._xlws.FILTER(PL!$AD106:$BN106,(YEAR(PL!$AD$12:$BN$12)=PL!CE$12)*(array_timeline&lt;=PL!CE$11)))))</f>
        <v>#NAME?</v>
      </c>
      <c r="CF106" s="3"/>
      <c r="CG106" s="1461" t="e" cm="1">
        <f t="array" ca="1" aca="1" ref="CG106">_xlfn.LET(_xlpm.CheckBlank,SUM(PL!$AD106:$BN106)=0,IF(_xlpm.CheckBlank,"",SUM(_xlfn._xlws.FILTER(PL!$AD106:$BN106,(YEAR(PL!$AD$12:$BN$12)=PL!CG$12)*(array_timeline&lt;=PL!CG$11)))))</f>
        <v>#NAME?</v>
      </c>
      <c r="CH106" s="1461" t="e" cm="1">
        <f t="array" ca="1" aca="1" ref="CH106">_xlfn.LET(_xlpm.CheckBlank,SUM(PL!$AD106:$BN106)=0,IF(_xlpm.CheckBlank,"",SUM(_xlfn._xlws.FILTER(PL!$AD106:$BN106,(YEAR(PL!$AD$12:$BN$12)=PL!CH$12)*(array_timeline&lt;=PL!CH$11)))))</f>
        <v>#NAME?</v>
      </c>
      <c r="CI106" s="3"/>
      <c r="CJ106" s="1461" cm="1">
        <f t="array" ref="CJ106">_xlfn.LET(_xlpm.CheckBlank,SUM(PL!$AD106:$BN106)=0,IF(_xlpm.CheckBlank,"",SUM(_xlfn.TAKE(_xlfn.DROP(PL!$AD106:$BN106,,-DATEDIFF(PL!CJ$11,val_asOfDate,"M")),1,-12))))</f>
        <v>12</v>
      </c>
      <c r="CK106" s="1461" cm="1">
        <f t="array" ref="CK106">_xlfn.LET(_xlpm.CheckBlank,SUM(PL!$AD106:$BN106)=0,IF(_xlpm.CheckBlank,"",SUM(_xlfn.TAKE(_xlfn.DROP(PL!$AD106:$BN106,,-DATEDIFF(PL!CK$11,val_asOfDate,"M")),1,-12))))</f>
        <v>12</v>
      </c>
      <c r="CL106" s="3"/>
      <c r="CM106" s="3195" cm="1">
        <f t="array" ref="CM106">IFBLANK(CM50,"")</f>
        <v>1</v>
      </c>
      <c r="CN106" s="3195" cm="1">
        <f t="array" ref="CN106">IFBLANK(CN50,"")</f>
        <v>1</v>
      </c>
      <c r="CO106" s="3"/>
      <c r="CP106" s="3195" cm="1">
        <f t="array" ref="CP106">IFBLANK(CP50,"")</f>
        <v>1</v>
      </c>
      <c r="CQ106" s="3195" cm="1">
        <f t="array" ref="CQ106">IFBLANK(CQ50,"")</f>
        <v>1</v>
      </c>
      <c r="CR106" s="34"/>
      <c r="CS106" s="2056"/>
      <c r="CT106" s="2447" t="e" cm="1">
        <f t="array" ca="1" aca="1" ref="CT106">IF(Y106="","",IF(ISNUMBER(SEARCH("Select",$Y106)),"",_xldudf_CX_PUSH($Y106,CX_ENTITY,C106,val_asOfDate)))</f>
        <v>#NAME?</v>
      </c>
      <c r="CU106" s="2447" t="e" cm="1">
        <f t="array" ca="1" aca="1" ref="CU106">IF(Y106="","",IF(ISNUMBER(SEARCH("Select",$Y106)),"",_xldudf_CX_PUSH($Y106,CX_ENTITY,C106,EOMONTH(val_asOfDate,1))))</f>
        <v>#NAME?</v>
      </c>
      <c r="CV106" s="2447" t="e" cm="1">
        <f t="array" ca="1" aca="1" ref="CV106">IF(Y106="","",IF(ISNUMBER(SEARCH("Select",$Y106)),"",_xldudf_CX_PUSH($Y106,CX_ENTITY,C106,EOMONTH(val_asOfDate,2))))</f>
        <v>#NAME?</v>
      </c>
      <c r="CW106" s="2447" t="e" cm="1">
        <f t="array" ca="1" aca="1" ref="CW106">IF(Y106="","",IF(ISNUMBER(SEARCH("Select",$Y106)),"",_xldudf_CX_PUSH($Y106,CX_ENTITY,C106,EOMONTH(val_asOfDate,3))))</f>
        <v>#NAME?</v>
      </c>
      <c r="CX106" s="2443"/>
      <c r="CY106" s="2444" t="str" cm="1">
        <f t="array" ca="1" aca="1" ref="CY106">IFERROR(IF(CM106*fxVal_normal=_PL!CM110,"",IF(OR($CM106="",$CM106=0,NOT(ISNUMBER($CM106)),ISERROR($CM106),$B106=""),"",IF($I106=1,IFBLANK(_xldudf_CX_PUSH($CM106*fxVal_normal,CX_ENTITY,$B106,$CM$11,$CM$14,$CM$19,),""),IF($I106=2,IFBLANK(_xldudf_CX_PUSH($CM106,CX_ENTITY,$B106,$CM$11,$CM$14,$CM$19,),""),IF($I106=3,"",IFBLANK(_xldudf_CX_PUSH($CM106,CX_ENTITY,$B106,$CM$11,$CM$14,$CM$19,),"")))))),"")</f>
        <v/>
      </c>
      <c r="CZ106" s="2444" t="str" cm="1">
        <f t="array" ca="1" aca="1" ref="CZ106">IFERROR(IF(CN106*fxVal_normal=_PL!CN110,"",IF(OR($CN106="",$CN106=0,NOT(ISNUMBER($CN106)),ISERROR($CN106),$B106=""),"",IF($I106=1,IFBLANK(_xldudf_CX_PUSH($CN106*fxVal_normal,CX_ENTITY,$B106,$CN$11,$CN$14,$CN$19,),""),IF($I106=2,IFBLANK(_xldudf_CX_PUSH($CN106,CX_ENTITY,$B106,$CN$11,$CN$14,$CN$19,),""),IF($I106=3,"",IFBLANK(_xldudf_CX_PUSH($CN106,CX_ENTITY,$B106,$CN$11,$CN$14,$CN$19,),"")))))),"")</f>
        <v/>
      </c>
      <c r="DA106" s="2444" t="str" cm="1">
        <f t="array" ca="1" aca="1" ref="DA106">IFERROR(IF(CP106*fxVal_normal=_PL!CP110,"",IF(OR($CP106="",$CP106=0,NOT(ISNUMBER($CP106)),ISERROR($CP106),$B106=""),"",IF($I106=1,IFBLANK(_xldudf_CX_PUSH($CP106*fxVal_normal,CX_ENTITY,$B106,$CP$11,$CP$14,$CP$19,),""),IF($I106=2,IFBLANK(_xldudf_CX_PUSH($CP106,CX_ENTITY,$B106,$CP$11,$CP$14,$CP$19,),""),IF($I106=3,"",IFBLANK(_xldudf_CX_PUSH($CP106,CX_ENTITY,$B106,$CP$11,$CP$14,$CP$19,),"")))))),"")</f>
        <v/>
      </c>
      <c r="DB106" s="2444" t="str" cm="1">
        <f t="array" ca="1" aca="1" ref="DB106">IFERROR(IF(CQ106*fxVal_normal=_PL!CQ110,"",IF(OR($CQ106="",$CQ106=0,NOT(ISNUMBER($CQ106)),ISERROR($CQ106),$B106=""),"",IF($I106=1,IFBLANK(_xldudf_CX_PUSH($CQ106*fxVal_normal,CX_ENTITY,$B106,$CQ$11,$CQ$14,$CQ$19,),""),IF($I106=2,IFBLANK(_xldudf_CX_PUSH($CQ106,CX_ENTITY,$B106,$CQ$11,$CQ$14,$CQ$19,),""),IF($I106=3,"",IFBLANK(_xldudf_CX_PUSH($CQ106,CX_ENTITY,$B106,$CQ$11,$CQ$14,$CQ$19,),"")))))),"")</f>
        <v/>
      </c>
      <c r="DC106" s="2443"/>
      <c r="DD106" s="2445" t="str" cm="1">
        <f t="array" ca="1" aca="1" ref="DD106">IFERROR(IF(AD106*fxVal_normal=_PL!AD110,"",IF(OR(AD106="",NOT(ISNUMBER(AD106)),ISERROR(AD106),$B106=""),"",IF($I106=1,IFBLANK(_xldudf_CX_PUSH(AD106*fxVal_normal,CX_ENTITY,$B106,AD$11,AD$14,AD$75,),""),IF($I106=2,IFBLANK(_xldudf_CX_PUSH(AD106,CX_ENTITY,$B106,AD$11,AD$14,AD$75,),""),IF($I106=3,"",IFBLANK(_xldudf_CX_PUSH(AD106,CX_ENTITY,$B106,AD$11,AD$14,AD$75,),"")))))),"")</f>
        <v/>
      </c>
      <c r="DE106" s="2445" t="str" cm="1">
        <f t="array" ca="1" aca="1" ref="DE106">IFERROR(IF(AE106*fxVal_normal=_PL!AE110,"",IF(OR(AE106="",NOT(ISNUMBER(AE106)),ISERROR(AE106),$B106=""),"",IF($I106=1,IFBLANK(_xldudf_CX_PUSH(AE106*fxVal_normal,CX_ENTITY,$B106,AE$11,AE$14,AE$75,),""),IF($I106=2,IFBLANK(_xldudf_CX_PUSH(AE106,CX_ENTITY,$B106,AE$11,AE$14,AE$75,),""),IF($I106=3,"",IFBLANK(_xldudf_CX_PUSH(AE106,CX_ENTITY,$B106,AE$11,AE$14,AE$75,),"")))))),"")</f>
        <v/>
      </c>
      <c r="DF106" s="2445" t="str" cm="1">
        <f t="array" ca="1" aca="1" ref="DF106">IFERROR(IF(AF106*fxVal_normal=_PL!AF110,"",IF(OR(AF106="",NOT(ISNUMBER(AF106)),ISERROR(AF106),$B106=""),"",IF($I106=1,IFBLANK(_xldudf_CX_PUSH(AF106*fxVal_normal,CX_ENTITY,$B106,AF$11,AF$14,AF$75,),""),IF($I106=2,IFBLANK(_xldudf_CX_PUSH(AF106,CX_ENTITY,$B106,AF$11,AF$14,AF$75,),""),IF($I106=3,"",IFBLANK(_xldudf_CX_PUSH(AF106,CX_ENTITY,$B106,AF$11,AF$14,AF$75,),"")))))),"")</f>
        <v/>
      </c>
      <c r="DG106" s="2445" t="str" cm="1">
        <f t="array" ca="1" aca="1" ref="DG106">IFERROR(IF(AG106*fxVal_normal=_PL!AG110,"",IF(OR(AG106="",NOT(ISNUMBER(AG106)),ISERROR(AG106),$B106=""),"",IF($I106=1,IFBLANK(_xldudf_CX_PUSH(AG106*fxVal_normal,CX_ENTITY,$B106,AG$11,AG$14,AG$75,),""),IF($I106=2,IFBLANK(_xldudf_CX_PUSH(AG106,CX_ENTITY,$B106,AG$11,AG$14,AG$75,),""),IF($I106=3,"",IFBLANK(_xldudf_CX_PUSH(AG106,CX_ENTITY,$B106,AG$11,AG$14,AG$75,),"")))))),"")</f>
        <v/>
      </c>
      <c r="DH106" s="2445" t="str" cm="1">
        <f t="array" ca="1" aca="1" ref="DH106">IFERROR(IF(AH106*fxVal_normal=_PL!AH110,"",IF(OR(AH106="",NOT(ISNUMBER(AH106)),ISERROR(AH106),$B106=""),"",IF($I106=1,IFBLANK(_xldudf_CX_PUSH(AH106*fxVal_normal,CX_ENTITY,$B106,AH$11,AH$14,AH$75,),""),IF($I106=2,IFBLANK(_xldudf_CX_PUSH(AH106,CX_ENTITY,$B106,AH$11,AH$14,AH$75,),""),IF($I106=3,"",IFBLANK(_xldudf_CX_PUSH(AH106,CX_ENTITY,$B106,AH$11,AH$14,AH$75,),"")))))),"")</f>
        <v/>
      </c>
      <c r="DI106" s="2445" t="str" cm="1">
        <f t="array" ca="1" aca="1" ref="DI106">IFERROR(IF(AI106*fxVal_normal=_PL!AI110,"",IF(OR(AI106="",NOT(ISNUMBER(AI106)),ISERROR(AI106),$B106=""),"",IF($I106=1,IFBLANK(_xldudf_CX_PUSH(AI106*fxVal_normal,CX_ENTITY,$B106,AI$11,AI$14,AI$75,),""),IF($I106=2,IFBLANK(_xldudf_CX_PUSH(AI106,CX_ENTITY,$B106,AI$11,AI$14,AI$75,),""),IF($I106=3,"",IFBLANK(_xldudf_CX_PUSH(AI106,CX_ENTITY,$B106,AI$11,AI$14,AI$75,),"")))))),"")</f>
        <v/>
      </c>
      <c r="DJ106" s="2445" t="str" cm="1">
        <f t="array" ca="1" aca="1" ref="DJ106">IFERROR(IF(AJ106*fxVal_normal=_PL!AJ110,"",IF(OR(AJ106="",NOT(ISNUMBER(AJ106)),ISERROR(AJ106),$B106=""),"",IF($I106=1,IFBLANK(_xldudf_CX_PUSH(AJ106*fxVal_normal,CX_ENTITY,$B106,AJ$11,AJ$14,AJ$75,),""),IF($I106=2,IFBLANK(_xldudf_CX_PUSH(AJ106,CX_ENTITY,$B106,AJ$11,AJ$14,AJ$75,),""),IF($I106=3,"",IFBLANK(_xldudf_CX_PUSH(AJ106,CX_ENTITY,$B106,AJ$11,AJ$14,AJ$75,),"")))))),"")</f>
        <v/>
      </c>
      <c r="DK106" s="2445" t="str" cm="1">
        <f t="array" ca="1" aca="1" ref="DK106">IFERROR(IF(AK106*fxVal_normal=_PL!AK110,"",IF(OR(AK106="",NOT(ISNUMBER(AK106)),ISERROR(AK106),$B106=""),"",IF($I106=1,IFBLANK(_xldudf_CX_PUSH(AK106*fxVal_normal,CX_ENTITY,$B106,AK$11,AK$14,AK$75,),""),IF($I106=2,IFBLANK(_xldudf_CX_PUSH(AK106,CX_ENTITY,$B106,AK$11,AK$14,AK$75,),""),IF($I106=3,"",IFBLANK(_xldudf_CX_PUSH(AK106,CX_ENTITY,$B106,AK$11,AK$14,AK$75,),"")))))),"")</f>
        <v/>
      </c>
      <c r="DL106" s="2445" t="str" cm="1">
        <f t="array" ca="1" aca="1" ref="DL106">IFERROR(IF(AL106*fxVal_normal=_PL!AL110,"",IF(OR(AL106="",NOT(ISNUMBER(AL106)),ISERROR(AL106),$B106=""),"",IF($I106=1,IFBLANK(_xldudf_CX_PUSH(AL106*fxVal_normal,CX_ENTITY,$B106,AL$11,AL$14,AL$75,),""),IF($I106=2,IFBLANK(_xldudf_CX_PUSH(AL106,CX_ENTITY,$B106,AL$11,AL$14,AL$75,),""),IF($I106=3,"",IFBLANK(_xldudf_CX_PUSH(AL106,CX_ENTITY,$B106,AL$11,AL$14,AL$75,),"")))))),"")</f>
        <v/>
      </c>
      <c r="DM106" s="2445" t="str" cm="1">
        <f t="array" ca="1" aca="1" ref="DM106">IFERROR(IF(AM106*fxVal_normal=_PL!AM110,"",IF(OR(AM106="",NOT(ISNUMBER(AM106)),ISERROR(AM106),$B106=""),"",IF($I106=1,IFBLANK(_xldudf_CX_PUSH(AM106*fxVal_normal,CX_ENTITY,$B106,AM$11,AM$14,AM$75,),""),IF($I106=2,IFBLANK(_xldudf_CX_PUSH(AM106,CX_ENTITY,$B106,AM$11,AM$14,AM$75,),""),IF($I106=3,"",IFBLANK(_xldudf_CX_PUSH(AM106,CX_ENTITY,$B106,AM$11,AM$14,AM$75,),"")))))),"")</f>
        <v/>
      </c>
      <c r="DN106" s="2445" t="str" cm="1">
        <f t="array" ca="1" aca="1" ref="DN106">IFERROR(IF(AN106*fxVal_normal=_PL!AN110,"",IF(OR(AN106="",NOT(ISNUMBER(AN106)),ISERROR(AN106),$B106=""),"",IF($I106=1,IFBLANK(_xldudf_CX_PUSH(AN106*fxVal_normal,CX_ENTITY,$B106,AN$11,AN$14,AN$75,),""),IF($I106=2,IFBLANK(_xldudf_CX_PUSH(AN106,CX_ENTITY,$B106,AN$11,AN$14,AN$75,),""),IF($I106=3,"",IFBLANK(_xldudf_CX_PUSH(AN106,CX_ENTITY,$B106,AN$11,AN$14,AN$75,),"")))))),"")</f>
        <v/>
      </c>
      <c r="DO106" s="2445" t="str" cm="1">
        <f t="array" ca="1" aca="1" ref="DO106">IFERROR(IF(AO106*fxVal_normal=_PL!AO110,"",IF(OR(AO106="",NOT(ISNUMBER(AO106)),ISERROR(AO106),$B106=""),"",IF($I106=1,IFBLANK(_xldudf_CX_PUSH(AO106*fxVal_normal,CX_ENTITY,$B106,AO$11,AO$14,AO$75,),""),IF($I106=2,IFBLANK(_xldudf_CX_PUSH(AO106,CX_ENTITY,$B106,AO$11,AO$14,AO$75,),""),IF($I106=3,"",IFBLANK(_xldudf_CX_PUSH(AO106,CX_ENTITY,$B106,AO$11,AO$14,AO$75,),"")))))),"")</f>
        <v/>
      </c>
      <c r="DP106" s="2445" t="str" cm="1">
        <f t="array" ca="1" aca="1" ref="DP106">IFERROR(IF(AP106*fxVal_normal=_PL!AP110,"",IF(OR(AP106="",NOT(ISNUMBER(AP106)),ISERROR(AP106),$B106=""),"",IF($I106=1,IFBLANK(_xldudf_CX_PUSH(AP106*fxVal_normal,CX_ENTITY,$B106,AP$11,AP$14,AP$75,),""),IF($I106=2,IFBLANK(_xldudf_CX_PUSH(AP106,CX_ENTITY,$B106,AP$11,AP$14,AP$75,),""),IF($I106=3,"",IFBLANK(_xldudf_CX_PUSH(AP106,CX_ENTITY,$B106,AP$11,AP$14,AP$75,),"")))))),"")</f>
        <v/>
      </c>
      <c r="DQ106" s="2445" t="str" cm="1">
        <f t="array" ca="1" aca="1" ref="DQ106">IFERROR(IF(AQ106*fxVal_normal=_PL!AQ110,"",IF(OR(AQ106="",NOT(ISNUMBER(AQ106)),ISERROR(AQ106),$B106=""),"",IF($I106=1,IFBLANK(_xldudf_CX_PUSH(AQ106*fxVal_normal,CX_ENTITY,$B106,AQ$11,AQ$14,AQ$75,),""),IF($I106=2,IFBLANK(_xldudf_CX_PUSH(AQ106,CX_ENTITY,$B106,AQ$11,AQ$14,AQ$75,),""),IF($I106=3,"",IFBLANK(_xldudf_CX_PUSH(AQ106,CX_ENTITY,$B106,AQ$11,AQ$14,AQ$75,),"")))))),"")</f>
        <v/>
      </c>
      <c r="DR106" s="2445" t="str" cm="1">
        <f t="array" ca="1" aca="1" ref="DR106">IFERROR(IF(AR106*fxVal_normal=_PL!AR110,"",IF(OR(AR106="",NOT(ISNUMBER(AR106)),ISERROR(AR106),$B106=""),"",IF($I106=1,IFBLANK(_xldudf_CX_PUSH(AR106*fxVal_normal,CX_ENTITY,$B106,AR$11,AR$14,AR$75,),""),IF($I106=2,IFBLANK(_xldudf_CX_PUSH(AR106,CX_ENTITY,$B106,AR$11,AR$14,AR$75,),""),IF($I106=3,"",IFBLANK(_xldudf_CX_PUSH(AR106,CX_ENTITY,$B106,AR$11,AR$14,AR$75,),"")))))),"")</f>
        <v/>
      </c>
      <c r="DS106" s="2445" t="str" cm="1">
        <f t="array" ca="1" aca="1" ref="DS106">IFERROR(IF(AS106*fxVal_normal=_PL!AS110,"",IF(OR(AS106="",NOT(ISNUMBER(AS106)),ISERROR(AS106),$B106=""),"",IF($I106=1,IFBLANK(_xldudf_CX_PUSH(AS106*fxVal_normal,CX_ENTITY,$B106,AS$11,AS$14,AS$75,),""),IF($I106=2,IFBLANK(_xldudf_CX_PUSH(AS106,CX_ENTITY,$B106,AS$11,AS$14,AS$75,),""),IF($I106=3,"",IFBLANK(_xldudf_CX_PUSH(AS106,CX_ENTITY,$B106,AS$11,AS$14,AS$75,),"")))))),"")</f>
        <v/>
      </c>
      <c r="DT106" s="2445" t="str" cm="1">
        <f t="array" ca="1" aca="1" ref="DT106">IFERROR(IF(AT106*fxVal_normal=_PL!AT110,"",IF(OR(AT106="",NOT(ISNUMBER(AT106)),ISERROR(AT106),$B106=""),"",IF($I106=1,IFBLANK(_xldudf_CX_PUSH(AT106*fxVal_normal,CX_ENTITY,$B106,AT$11,AT$14,AT$75,),""),IF($I106=2,IFBLANK(_xldudf_CX_PUSH(AT106,CX_ENTITY,$B106,AT$11,AT$14,AT$75,),""),IF($I106=3,"",IFBLANK(_xldudf_CX_PUSH(AT106,CX_ENTITY,$B106,AT$11,AT$14,AT$75,),"")))))),"")</f>
        <v/>
      </c>
      <c r="DU106" s="2445" t="str" cm="1">
        <f t="array" ca="1" aca="1" ref="DU106">IFERROR(IF(AU106*fxVal_normal=_PL!AU110,"",IF(OR(AU106="",NOT(ISNUMBER(AU106)),ISERROR(AU106),$B106=""),"",IF($I106=1,IFBLANK(_xldudf_CX_PUSH(AU106*fxVal_normal,CX_ENTITY,$B106,AU$11,AU$14,AU$75,),""),IF($I106=2,IFBLANK(_xldudf_CX_PUSH(AU106,CX_ENTITY,$B106,AU$11,AU$14,AU$75,),""),IF($I106=3,"",IFBLANK(_xldudf_CX_PUSH(AU106,CX_ENTITY,$B106,AU$11,AU$14,AU$75,),"")))))),"")</f>
        <v/>
      </c>
      <c r="DV106" s="2445" t="str" cm="1">
        <f t="array" ca="1" aca="1" ref="DV106">IFERROR(IF(AV106*fxVal_normal=_PL!AV110,"",IF(OR(AV106="",NOT(ISNUMBER(AV106)),ISERROR(AV106),$B106=""),"",IF($I106=1,IFBLANK(_xldudf_CX_PUSH(AV106*fxVal_normal,CX_ENTITY,$B106,AV$11,AV$14,AV$75,),""),IF($I106=2,IFBLANK(_xldudf_CX_PUSH(AV106,CX_ENTITY,$B106,AV$11,AV$14,AV$75,),""),IF($I106=3,"",IFBLANK(_xldudf_CX_PUSH(AV106,CX_ENTITY,$B106,AV$11,AV$14,AV$75,),"")))))),"")</f>
        <v/>
      </c>
      <c r="DW106" s="2445" t="str" cm="1">
        <f t="array" ca="1" aca="1" ref="DW106">IFERROR(IF(AW106*fxVal_normal=_PL!AW110,"",IF(OR(AW106="",NOT(ISNUMBER(AW106)),ISERROR(AW106),$B106=""),"",IF($I106=1,IFBLANK(_xldudf_CX_PUSH(AW106*fxVal_normal,CX_ENTITY,$B106,AW$11,AW$14,AW$75,),""),IF($I106=2,IFBLANK(_xldudf_CX_PUSH(AW106,CX_ENTITY,$B106,AW$11,AW$14,AW$75,),""),IF($I106=3,"",IFBLANK(_xldudf_CX_PUSH(AW106,CX_ENTITY,$B106,AW$11,AW$14,AW$75,),"")))))),"")</f>
        <v/>
      </c>
      <c r="DX106" s="2445" t="str" cm="1">
        <f t="array" ca="1" aca="1" ref="DX106">IFERROR(IF(AX106*fxVal_normal=_PL!AX110,"",IF(OR(AX106="",NOT(ISNUMBER(AX106)),ISERROR(AX106),$B106=""),"",IF($I106=1,IFBLANK(_xldudf_CX_PUSH(AX106*fxVal_normal,CX_ENTITY,$B106,AX$11,AX$14,AX$75,),""),IF($I106=2,IFBLANK(_xldudf_CX_PUSH(AX106,CX_ENTITY,$B106,AX$11,AX$14,AX$75,),""),IF($I106=3,"",IFBLANK(_xldudf_CX_PUSH(AX106,CX_ENTITY,$B106,AX$11,AX$14,AX$75,),"")))))),"")</f>
        <v/>
      </c>
      <c r="DY106" s="2445" t="str" cm="1">
        <f t="array" ca="1" aca="1" ref="DY106">IFERROR(IF(AY106*fxVal_normal=_PL!AY110,"",IF(OR(AY106="",NOT(ISNUMBER(AY106)),ISERROR(AY106),$B106=""),"",IF($I106=1,IFBLANK(_xldudf_CX_PUSH(AY106*fxVal_normal,CX_ENTITY,$B106,AY$11,AY$14,AY$75,),""),IF($I106=2,IFBLANK(_xldudf_CX_PUSH(AY106,CX_ENTITY,$B106,AY$11,AY$14,AY$75,),""),IF($I106=3,"",IFBLANK(_xldudf_CX_PUSH(AY106,CX_ENTITY,$B106,AY$11,AY$14,AY$75,),"")))))),"")</f>
        <v/>
      </c>
      <c r="DZ106" s="2445" t="str" cm="1">
        <f t="array" ca="1" aca="1" ref="DZ106">IFERROR(IF(AZ106*fxVal_normal=_PL!AZ110,"",IF(OR(AZ106="",NOT(ISNUMBER(AZ106)),ISERROR(AZ106),$B106=""),"",IF($I106=1,IFBLANK(_xldudf_CX_PUSH(AZ106*fxVal_normal,CX_ENTITY,$B106,AZ$11,AZ$14,AZ$75,),""),IF($I106=2,IFBLANK(_xldudf_CX_PUSH(AZ106,CX_ENTITY,$B106,AZ$11,AZ$14,AZ$75,),""),IF($I106=3,"",IFBLANK(_xldudf_CX_PUSH(AZ106,CX_ENTITY,$B106,AZ$11,AZ$14,AZ$75,),"")))))),"")</f>
        <v/>
      </c>
      <c r="EA106" s="2445" t="str" cm="1">
        <f t="array" ca="1" aca="1" ref="EA106">IFERROR(IF(BA106*fxVal_normal=_PL!BA110,"",IF(OR(BA106="",NOT(ISNUMBER(BA106)),ISERROR(BA106),$B106=""),"",IF($I106=1,IFBLANK(_xldudf_CX_PUSH(BA106*fxVal_normal,CX_ENTITY,$B106,BA$11,BA$14,BA$75,),""),IF($I106=2,IFBLANK(_xldudf_CX_PUSH(BA106,CX_ENTITY,$B106,BA$11,BA$14,BA$75,),""),IF($I106=3,"",IFBLANK(_xldudf_CX_PUSH(BA106,CX_ENTITY,$B106,BA$11,BA$14,BA$75,),"")))))),"")</f>
        <v/>
      </c>
      <c r="EB106" s="2445" t="str" cm="1">
        <f t="array" ca="1" aca="1" ref="EB106">IFERROR(IF(BB106*fxVal_normal=_PL!BB110,"",IF(OR(BB106="",NOT(ISNUMBER(BB106)),ISERROR(BB106),$B106=""),"",IF($I106=1,IFBLANK(_xldudf_CX_PUSH(BB106*fxVal_normal,CX_ENTITY,$B106,BB$11,BB$14,BB$75,),""),IF($I106=2,IFBLANK(_xldudf_CX_PUSH(BB106,CX_ENTITY,$B106,BB$11,BB$14,BB$75,),""),IF($I106=3,"",IFBLANK(_xldudf_CX_PUSH(BB106,CX_ENTITY,$B106,BB$11,BB$14,BB$75,),"")))))),"")</f>
        <v/>
      </c>
      <c r="EC106" s="2445" t="str" cm="1">
        <f t="array" ca="1" aca="1" ref="EC106">IFERROR(IF(BC106*fxVal_normal=_PL!BC110,"",IF(OR(BC106="",NOT(ISNUMBER(BC106)),ISERROR(BC106),$B106=""),"",IF($I106=1,IFBLANK(_xldudf_CX_PUSH(BC106*fxVal_normal,CX_ENTITY,$B106,BC$11,BC$14,BC$75,),""),IF($I106=2,IFBLANK(_xldudf_CX_PUSH(BC106,CX_ENTITY,$B106,BC$11,BC$14,BC$75,),""),IF($I106=3,"",IFBLANK(_xldudf_CX_PUSH(BC106,CX_ENTITY,$B106,BC$11,BC$14,BC$75,),"")))))),"")</f>
        <v/>
      </c>
      <c r="ED106" s="2445" t="str" cm="1">
        <f t="array" ca="1" aca="1" ref="ED106">IFERROR(IF(BD106*fxVal_normal=_PL!BD110,"",IF(OR(BD106="",NOT(ISNUMBER(BD106)),ISERROR(BD106),$B106=""),"",IF($I106=1,IFBLANK(_xldudf_CX_PUSH(BD106*fxVal_normal,CX_ENTITY,$B106,BD$11,BD$14,BD$75,),""),IF($I106=2,IFBLANK(_xldudf_CX_PUSH(BD106,CX_ENTITY,$B106,BD$11,BD$14,BD$75,),""),IF($I106=3,"",IFBLANK(_xldudf_CX_PUSH(BD106,CX_ENTITY,$B106,BD$11,BD$14,BD$75,),"")))))),"")</f>
        <v/>
      </c>
      <c r="EE106" s="2445" t="str" cm="1">
        <f t="array" ca="1" aca="1" ref="EE106">IFERROR(IF(BE106*fxVal_normal=_PL!BE110,"",IF(OR(BE106="",NOT(ISNUMBER(BE106)),ISERROR(BE106),$B106=""),"",IF($I106=1,IFBLANK(_xldudf_CX_PUSH(BE106*fxVal_normal,CX_ENTITY,$B106,BE$11,BE$14,BE$75,),""),IF($I106=2,IFBLANK(_xldudf_CX_PUSH(BE106,CX_ENTITY,$B106,BE$11,BE$14,BE$75,),""),IF($I106=3,"",IFBLANK(_xldudf_CX_PUSH(BE106,CX_ENTITY,$B106,BE$11,BE$14,BE$75,),"")))))),"")</f>
        <v/>
      </c>
      <c r="EF106" s="2445" t="str" cm="1">
        <f t="array" ca="1" aca="1" ref="EF106">IFERROR(IF(BF106*fxVal_normal=_PL!BF110,"",IF(OR(BF106="",NOT(ISNUMBER(BF106)),ISERROR(BF106),$B106=""),"",IF($I106=1,IFBLANK(_xldudf_CX_PUSH(BF106*fxVal_normal,CX_ENTITY,$B106,BF$11,BF$14,BF$75,),""),IF($I106=2,IFBLANK(_xldudf_CX_PUSH(BF106,CX_ENTITY,$B106,BF$11,BF$14,BF$75,),""),IF($I106=3,"",IFBLANK(_xldudf_CX_PUSH(BF106,CX_ENTITY,$B106,BF$11,BF$14,BF$75,),"")))))),"")</f>
        <v/>
      </c>
      <c r="EG106" s="2445" t="str" cm="1">
        <f t="array" ca="1" aca="1" ref="EG106">IFERROR(IF(BG106*fxVal_normal=_PL!BG110,"",IF(OR(BG106="",NOT(ISNUMBER(BG106)),ISERROR(BG106),$B106=""),"",IF($I106=1,IFBLANK(_xldudf_CX_PUSH(BG106*fxVal_normal,CX_ENTITY,$B106,BG$11,BG$14,BG$75,),""),IF($I106=2,IFBLANK(_xldudf_CX_PUSH(BG106,CX_ENTITY,$B106,BG$11,BG$14,BG$75,),""),IF($I106=3,"",IFBLANK(_xldudf_CX_PUSH(BG106,CX_ENTITY,$B106,BG$11,BG$14,BG$75,),"")))))),"")</f>
        <v/>
      </c>
      <c r="EH106" s="2445" t="str" cm="1">
        <f t="array" ca="1" aca="1" ref="EH106">IFERROR(IF(BH106*fxVal_normal=_PL!BH110,"",IF(OR(BH106="",NOT(ISNUMBER(BH106)),ISERROR(BH106),$B106=""),"",IF($I106=1,IFBLANK(_xldudf_CX_PUSH(BH106*fxVal_normal,CX_ENTITY,$B106,BH$11,BH$14,BH$75,),""),IF($I106=2,IFBLANK(_xldudf_CX_PUSH(BH106,CX_ENTITY,$B106,BH$11,BH$14,BH$75,),""),IF($I106=3,"",IFBLANK(_xldudf_CX_PUSH(BH106,CX_ENTITY,$B106,BH$11,BH$14,BH$75,),"")))))),"")</f>
        <v/>
      </c>
      <c r="EI106" s="2445" t="str" cm="1">
        <f t="array" ca="1" aca="1" ref="EI106">IFERROR(IF(BI106*fxVal_normal=_PL!BI110,"",IF(OR(BI106="",NOT(ISNUMBER(BI106)),ISERROR(BI106),$B106=""),"",IF($I106=1,IFBLANK(_xldudf_CX_PUSH(BI106*fxVal_normal,CX_ENTITY,$B106,BI$11,BI$14,BI$75,),""),IF($I106=2,IFBLANK(_xldudf_CX_PUSH(BI106,CX_ENTITY,$B106,BI$11,BI$14,BI$75,),""),IF($I106=3,"",IFBLANK(_xldudf_CX_PUSH(BI106,CX_ENTITY,$B106,BI$11,BI$14,BI$75,),"")))))),"")</f>
        <v/>
      </c>
      <c r="EJ106" s="2445" t="str" cm="1">
        <f t="array" ca="1" aca="1" ref="EJ106">IFERROR(IF(BJ106*fxVal_normal=_PL!BJ110,"",IF(OR(BJ106="",NOT(ISNUMBER(BJ106)),ISERROR(BJ106),$B106=""),"",IF($I106=1,IFBLANK(_xldudf_CX_PUSH(BJ106*fxVal_normal,CX_ENTITY,$B106,BJ$11,BJ$14,BJ$75,),""),IF($I106=2,IFBLANK(_xldudf_CX_PUSH(BJ106,CX_ENTITY,$B106,BJ$11,BJ$14,BJ$75,),""),IF($I106=3,"",IFBLANK(_xldudf_CX_PUSH(BJ106,CX_ENTITY,$B106,BJ$11,BJ$14,BJ$75,),"")))))),"")</f>
        <v/>
      </c>
      <c r="EK106" s="2445" t="str" cm="1">
        <f t="array" ca="1" aca="1" ref="EK106">IFERROR(IF(BK106*fxVal_normal=_PL!BK110,"",IF(OR(BK106="",NOT(ISNUMBER(BK106)),ISERROR(BK106),$B106=""),"",IF($I106=1,IFBLANK(_xldudf_CX_PUSH(BK106*fxVal_normal,CX_ENTITY,$B106,BK$11,BK$14,BK$75,),""),IF($I106=2,IFBLANK(_xldudf_CX_PUSH(BK106,CX_ENTITY,$B106,BK$11,BK$14,BK$75,),""),IF($I106=3,"",IFBLANK(_xldudf_CX_PUSH(BK106,CX_ENTITY,$B106,BK$11,BK$14,BK$75,),"")))))),"")</f>
        <v/>
      </c>
      <c r="EL106" s="2445" t="str" cm="1">
        <f t="array" ca="1" aca="1" ref="EL106">IFERROR(IF(BL106*fxVal_normal=_PL!BL110,"",IF(OR(BL106="",NOT(ISNUMBER(BL106)),ISERROR(BL106),$B106=""),"",IF($I106=1,IFBLANK(_xldudf_CX_PUSH(BL106*fxVal_normal,CX_ENTITY,$B106,BL$11,BL$14,BL$75,),""),IF($I106=2,IFBLANK(_xldudf_CX_PUSH(BL106,CX_ENTITY,$B106,BL$11,BL$14,BL$75,),""),IF($I106=3,"",IFBLANK(_xldudf_CX_PUSH(BL106,CX_ENTITY,$B106,BL$11,BL$14,BL$75,),"")))))),"")</f>
        <v/>
      </c>
      <c r="EM106" s="2445" t="str" cm="1">
        <f t="array" ca="1" aca="1" ref="EM106">IFERROR(IF(BM106*fxVal_normal=_PL!BM110,"",IF(OR(BM106="",NOT(ISNUMBER(BM106)),ISERROR(BM106),$B106=""),"",IF($I106=1,IFBLANK(_xldudf_CX_PUSH(BM106*fxVal_normal,CX_ENTITY,$B106,BM$11,BM$14,BM$75,),""),IF($I106=2,IFBLANK(_xldudf_CX_PUSH(BM106,CX_ENTITY,$B106,BM$11,BM$14,BM$75,),""),IF($I106=3,"",IFBLANK(_xldudf_CX_PUSH(BM106,CX_ENTITY,$B106,BM$11,BM$14,BM$75,),"")))))),"")</f>
        <v/>
      </c>
      <c r="EN106" s="2445" t="str" cm="1">
        <f t="array" ca="1" aca="1" ref="EN106">IFERROR(IF(BN106*fxVal_normal=_PL!BN110,"",IF(OR(BN106="",NOT(ISNUMBER(BN106)),ISERROR(BN106),$B106=""),"",IF($I106=1,IFBLANK(_xldudf_CX_PUSH(BN106*fxVal_normal,CX_ENTITY,$B106,BN$11,BN$14,BN$75,),""),IF($I106=2,IFBLANK(_xldudf_CX_PUSH(BN106,CX_ENTITY,$B106,BN$11,BN$14,BN$75,),""),IF($I106=3,"",IFBLANK(_xldudf_CX_PUSH(BN106,CX_ENTITY,$B106,BN$11,BN$14,BN$75,),"")))))),"")</f>
        <v/>
      </c>
    </row>
    <row r="107" spans="1:144" ht="21" customHeight="1">
      <c r="A107" s="1626"/>
      <c r="B107" s="2501" t="str">
        <f>_xlfn.LET(_xlpm.IsNotAttrDynamic,D107="",_xlpm.Attr,_PL!F107,_xlpm.NotInUse,Y107=D107,_xlpm.RESULT,IF(_xlpm.IsNotAttrDynamic,_xlpm.Attr,IF(_xlpm.NotInUse,"",Y107)),IF(_xlpm.RESULT="","",_xlpm.RESULT))</f>
        <v>Custom Metric Amount 6</v>
      </c>
      <c r="C107" s="3463" t="str" cm="1">
        <f t="array" ref="C107">IFBLANK(_PL!C107,"")</f>
        <v>Custom Metric - Label 6</v>
      </c>
      <c r="D107" s="1548"/>
      <c r="E107" s="2440" t="e" cm="1">
        <f t="array" ca="1" aca="1" ref="E10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107:$CQ107,Z107)</f>
        <v>#NAME?</v>
      </c>
      <c r="F107" s="578"/>
      <c r="G107" s="578"/>
      <c r="H107" s="3280">
        <v>1</v>
      </c>
      <c r="I107" s="3280">
        <v>1</v>
      </c>
      <c r="J107" s="401" cm="1">
        <f t="array" ref="J107">IFBLANK(Z107,"")</f>
        <v>-1</v>
      </c>
      <c r="K107" s="578" t="str">
        <f>IFERROR(IF(LEN(AB107)=0,"No",IF(LEN(J107)&gt;0,"Yes","No")),"")</f>
        <v>Yes</v>
      </c>
      <c r="L107" s="37"/>
      <c r="N107" s="158"/>
      <c r="O107" s="101"/>
      <c r="P107" s="52"/>
      <c r="Q107" s="101"/>
      <c r="R107" s="126"/>
      <c r="S107" s="101"/>
      <c r="T107" s="101"/>
      <c r="U107" s="39"/>
      <c r="V107" s="37"/>
      <c r="W107" s="91" t="str">
        <f t="shared" si="43"/>
        <v>Budget</v>
      </c>
      <c r="X107" s="2523" t="e">
        <f ca="1">_PL!X107</f>
        <v>#NAME?</v>
      </c>
      <c r="Y107" s="3202" cm="1">
        <f t="array" ref="Y107">IFBLANK(Y51,"")</f>
        <v>2</v>
      </c>
      <c r="Z107" s="198" cm="1">
        <f t="array" ref="Z107">IFBLANK(Z51,"")</f>
        <v>-1</v>
      </c>
      <c r="AA107" s="200"/>
      <c r="AB107" s="3200" cm="1">
        <f t="array" ref="AB107">IFBLANK(Y107,"")</f>
        <v>2</v>
      </c>
      <c r="AC107" s="2527" t="str" cm="1">
        <f t="array" ca="1" aca="1" ref="AC107">_xlfn.LET(_xlpm._termname,$AB107,_xlpm._iconname,"find",_xlpm._icon,fx_getIcon(_xlpm._iconname),_xlpm._location,_xlfn.XLOOKUP(LOWER(_xlpm._termname),LOWER(tbl_acctDef[Term]),tbl_acctDef[Term]),_xlpm._hyperlink,HYPERLINK("#"&amp;CELL("address",_xlpm._location),_xlpm._icon),IFERROR(_xlpm._hyperlink,""))</f>
        <v/>
      </c>
      <c r="AD107" s="3177">
        <v>1</v>
      </c>
      <c r="AE107" s="3177">
        <v>1</v>
      </c>
      <c r="AF107" s="3177">
        <v>1</v>
      </c>
      <c r="AG107" s="3177">
        <v>1</v>
      </c>
      <c r="AH107" s="3177">
        <v>1</v>
      </c>
      <c r="AI107" s="3177">
        <v>1</v>
      </c>
      <c r="AJ107" s="3177">
        <v>1</v>
      </c>
      <c r="AK107" s="3177">
        <v>1</v>
      </c>
      <c r="AL107" s="3177">
        <v>1</v>
      </c>
      <c r="AM107" s="3177">
        <v>1</v>
      </c>
      <c r="AN107" s="3177">
        <v>1</v>
      </c>
      <c r="AO107" s="3177">
        <v>1</v>
      </c>
      <c r="AP107" s="3177">
        <v>1</v>
      </c>
      <c r="AQ107" s="3177">
        <v>1</v>
      </c>
      <c r="AR107" s="3177">
        <v>1</v>
      </c>
      <c r="AS107" s="3177">
        <v>1</v>
      </c>
      <c r="AT107" s="3177">
        <v>1</v>
      </c>
      <c r="AU107" s="3177">
        <v>1</v>
      </c>
      <c r="AV107" s="3177">
        <v>1</v>
      </c>
      <c r="AW107" s="3177">
        <v>1</v>
      </c>
      <c r="AX107" s="3177">
        <v>1</v>
      </c>
      <c r="AY107" s="3177">
        <v>1</v>
      </c>
      <c r="AZ107" s="3177">
        <v>1</v>
      </c>
      <c r="BA107" s="3177">
        <v>1</v>
      </c>
      <c r="BB107" s="3177">
        <v>1</v>
      </c>
      <c r="BC107" s="3177">
        <v>1</v>
      </c>
      <c r="BD107" s="3177">
        <v>1</v>
      </c>
      <c r="BE107" s="3177">
        <v>1</v>
      </c>
      <c r="BF107" s="3177">
        <v>1</v>
      </c>
      <c r="BG107" s="3177">
        <v>1</v>
      </c>
      <c r="BH107" s="3177">
        <v>1</v>
      </c>
      <c r="BI107" s="3177">
        <v>1</v>
      </c>
      <c r="BJ107" s="3177">
        <v>1</v>
      </c>
      <c r="BK107" s="3177">
        <v>1</v>
      </c>
      <c r="BL107" s="3177">
        <v>1</v>
      </c>
      <c r="BM107" s="3177">
        <v>1</v>
      </c>
      <c r="BN107" s="3177">
        <v>1</v>
      </c>
      <c r="BO107" s="2518"/>
      <c r="BP107" s="2518"/>
      <c r="BQ107" s="2518"/>
      <c r="BR107" s="2518"/>
      <c r="BS107" s="2518"/>
      <c r="BT107" s="2518"/>
      <c r="BU107" s="2518"/>
      <c r="BV107" s="2518"/>
      <c r="BW107" s="2518"/>
      <c r="BX107" s="2518"/>
      <c r="BY107" s="2518"/>
      <c r="BZ107" s="2518"/>
      <c r="CA107" s="34"/>
      <c r="CC107" s="33"/>
      <c r="CD107" s="1772" t="e" cm="1">
        <f t="array" ca="1" aca="1" ref="CD107">_xlfn.LET(_xlpm.CheckBlank,SUM(PL!$AD107:$BN107)=0,IF(_xlpm.CheckBlank,"",SUM(_xlfn._xlws.FILTER(PL!$AD107:$BN107,(YEAR(PL!$AD$12:$BN$12)=PL!CD$12)*(array_timeline&lt;=PL!CD$11)))))</f>
        <v>#NAME?</v>
      </c>
      <c r="CE107" s="1772" t="e" cm="1">
        <f t="array" ca="1" aca="1" ref="CE107">_xlfn.LET(_xlpm.CheckBlank,SUM(PL!$AD107:$BN107)=0,IF(_xlpm.CheckBlank,"",SUM(_xlfn._xlws.FILTER(PL!$AD107:$BN107,(YEAR(PL!$AD$12:$BN$12)=PL!CE$12)*(array_timeline&lt;=PL!CE$11)))))</f>
        <v>#NAME?</v>
      </c>
      <c r="CF107" s="3"/>
      <c r="CG107" s="1461" t="e" cm="1">
        <f t="array" ca="1" aca="1" ref="CG107">_xlfn.LET(_xlpm.CheckBlank,SUM(PL!$AD107:$BN107)=0,IF(_xlpm.CheckBlank,"",SUM(_xlfn._xlws.FILTER(PL!$AD107:$BN107,(YEAR(PL!$AD$12:$BN$12)=PL!CG$12)*(array_timeline&lt;=PL!CG$11)))))</f>
        <v>#NAME?</v>
      </c>
      <c r="CH107" s="1461" t="e" cm="1">
        <f t="array" ca="1" aca="1" ref="CH107">_xlfn.LET(_xlpm.CheckBlank,SUM(PL!$AD107:$BN107)=0,IF(_xlpm.CheckBlank,"",SUM(_xlfn._xlws.FILTER(PL!$AD107:$BN107,(YEAR(PL!$AD$12:$BN$12)=PL!CH$12)*(array_timeline&lt;=PL!CH$11)))))</f>
        <v>#NAME?</v>
      </c>
      <c r="CI107" s="3"/>
      <c r="CJ107" s="1461" cm="1">
        <f t="array" ref="CJ107">_xlfn.LET(_xlpm.CheckBlank,SUM(PL!$AD107:$BN107)=0,IF(_xlpm.CheckBlank,"",SUM(_xlfn.TAKE(_xlfn.DROP(PL!$AD107:$BN107,,-DATEDIFF(PL!CJ$11,val_asOfDate,"M")),1,-12))))</f>
        <v>12</v>
      </c>
      <c r="CK107" s="1461" cm="1">
        <f t="array" ref="CK107">_xlfn.LET(_xlpm.CheckBlank,SUM(PL!$AD107:$BN107)=0,IF(_xlpm.CheckBlank,"",SUM(_xlfn.TAKE(_xlfn.DROP(PL!$AD107:$BN107,,-DATEDIFF(PL!CK$11,val_asOfDate,"M")),1,-12))))</f>
        <v>12</v>
      </c>
      <c r="CL107" s="3"/>
      <c r="CM107" s="3203" cm="1">
        <f t="array" ref="CM107">IFBLANK(CM51,"")</f>
        <v>1</v>
      </c>
      <c r="CN107" s="3203" cm="1">
        <f t="array" ref="CN107">IFBLANK(CN51,"")</f>
        <v>1</v>
      </c>
      <c r="CO107" s="3"/>
      <c r="CP107" s="3203" cm="1">
        <f t="array" ref="CP107">IFBLANK(CP51,"")</f>
        <v>1</v>
      </c>
      <c r="CQ107" s="3203" cm="1">
        <f t="array" ref="CQ107">IFBLANK(CQ51,"")</f>
        <v>1</v>
      </c>
      <c r="CR107" s="34"/>
      <c r="CS107" s="2056"/>
      <c r="CT107" s="2447" t="e" cm="1">
        <f t="array" ca="1" aca="1" ref="CT107">IF(Y107="","",IF(ISNUMBER(SEARCH("Select",$Y107)),"",_xldudf_CX_PUSH($Y107,CX_ENTITY,C107,val_asOfDate)))</f>
        <v>#NAME?</v>
      </c>
      <c r="CU107" s="2447" t="e" cm="1">
        <f t="array" ca="1" aca="1" ref="CU107">IF(Y107="","",IF(ISNUMBER(SEARCH("Select",$Y107)),"",_xldudf_CX_PUSH($Y107,CX_ENTITY,C107,EOMONTH(val_asOfDate,1))))</f>
        <v>#NAME?</v>
      </c>
      <c r="CV107" s="2447" t="e" cm="1">
        <f t="array" ca="1" aca="1" ref="CV107">IF(Y107="","",IF(ISNUMBER(SEARCH("Select",$Y107)),"",_xldudf_CX_PUSH($Y107,CX_ENTITY,C107,EOMONTH(val_asOfDate,2))))</f>
        <v>#NAME?</v>
      </c>
      <c r="CW107" s="2447" t="e" cm="1">
        <f t="array" ca="1" aca="1" ref="CW107">IF(Y107="","",IF(ISNUMBER(SEARCH("Select",$Y107)),"",_xldudf_CX_PUSH($Y107,CX_ENTITY,C107,EOMONTH(val_asOfDate,3))))</f>
        <v>#NAME?</v>
      </c>
      <c r="CX107" s="2443"/>
      <c r="CY107" s="2444" t="str" cm="1">
        <f t="array" ca="1" aca="1" ref="CY107">IFERROR(IF(CM107*fxVal_normal=_PL!CM107,"",IF(OR($CM107="",$CM107=0,NOT(ISNUMBER($CM107)),ISERROR($CM107),$B107=""),"",IF($I107=1,IFBLANK(_xldudf_CX_PUSH($CM107*fxVal_normal,CX_ENTITY,$B107,$CM$11,$CM$14,$CM$19,),""),IF($I107=2,IFBLANK(_xldudf_CX_PUSH($CM107,CX_ENTITY,$B107,$CM$11,$CM$14,$CM$19,),""),IF($I107=3,"",IFBLANK(_xldudf_CX_PUSH($CM107,CX_ENTITY,$B107,$CM$11,$CM$14,$CM$19,),"")))))),"")</f>
        <v/>
      </c>
      <c r="CZ107" s="2444" t="str" cm="1">
        <f t="array" ca="1" aca="1" ref="CZ107">IFERROR(IF(CN107*fxVal_normal=_PL!CN107,"",IF(OR($CN107="",$CN107=0,NOT(ISNUMBER($CN107)),ISERROR($CN107),$B107=""),"",IF($I107=1,IFBLANK(_xldudf_CX_PUSH($CN107*fxVal_normal,CX_ENTITY,$B107,$CN$11,$CN$14,$CN$19,),""),IF($I107=2,IFBLANK(_xldudf_CX_PUSH($CN107,CX_ENTITY,$B107,$CN$11,$CN$14,$CN$19,),""),IF($I107=3,"",IFBLANK(_xldudf_CX_PUSH($CN107,CX_ENTITY,$B107,$CN$11,$CN$14,$CN$19,),"")))))),"")</f>
        <v/>
      </c>
      <c r="DA107" s="2444" t="str" cm="1">
        <f t="array" ca="1" aca="1" ref="DA107">IFERROR(IF(CP107*fxVal_normal=_PL!CP107,"",IF(OR($CP107="",$CP107=0,NOT(ISNUMBER($CP107)),ISERROR($CP107),$B107=""),"",IF($I107=1,IFBLANK(_xldudf_CX_PUSH($CP107*fxVal_normal,CX_ENTITY,$B107,$CP$11,$CP$14,$CP$19,),""),IF($I107=2,IFBLANK(_xldudf_CX_PUSH($CP107,CX_ENTITY,$B107,$CP$11,$CP$14,$CP$19,),""),IF($I107=3,"",IFBLANK(_xldudf_CX_PUSH($CP107,CX_ENTITY,$B107,$CP$11,$CP$14,$CP$19,),"")))))),"")</f>
        <v/>
      </c>
      <c r="DB107" s="2444" t="str" cm="1">
        <f t="array" ca="1" aca="1" ref="DB107">IFERROR(IF(CQ107*fxVal_normal=_PL!CQ107,"",IF(OR($CQ107="",$CQ107=0,NOT(ISNUMBER($CQ107)),ISERROR($CQ107),$B107=""),"",IF($I107=1,IFBLANK(_xldudf_CX_PUSH($CQ107*fxVal_normal,CX_ENTITY,$B107,$CQ$11,$CQ$14,$CQ$19,),""),IF($I107=2,IFBLANK(_xldudf_CX_PUSH($CQ107,CX_ENTITY,$B107,$CQ$11,$CQ$14,$CQ$19,),""),IF($I107=3,"",IFBLANK(_xldudf_CX_PUSH($CQ107,CX_ENTITY,$B107,$CQ$11,$CQ$14,$CQ$19,),"")))))),"")</f>
        <v/>
      </c>
      <c r="DC107" s="2443"/>
      <c r="DD107" s="2445" t="str" cm="1">
        <f t="array" ca="1" aca="1" ref="DD107">IFERROR(IF(AD107*fxVal_normal=_PL!AD107,"",IF(OR(AD107="",NOT(ISNUMBER(AD107)),ISERROR(AD107),$B107=""),"",IF($I107=1,IFBLANK(_xldudf_CX_PUSH(AD107*fxVal_normal,CX_ENTITY,$B107,AD$11,AD$14,AD$75,),""),IF($I107=2,IFBLANK(_xldudf_CX_PUSH(AD107,CX_ENTITY,$B107,AD$11,AD$14,AD$75,),""),IF($I107=3,"",IFBLANK(_xldudf_CX_PUSH(AD107,CX_ENTITY,$B107,AD$11,AD$14,AD$75,),"")))))),"")</f>
        <v/>
      </c>
      <c r="DE107" s="2445" t="str" cm="1">
        <f t="array" ca="1" aca="1" ref="DE107">IFERROR(IF(AE107*fxVal_normal=_PL!AE107,"",IF(OR(AE107="",NOT(ISNUMBER(AE107)),ISERROR(AE107),$B107=""),"",IF($I107=1,IFBLANK(_xldudf_CX_PUSH(AE107*fxVal_normal,CX_ENTITY,$B107,AE$11,AE$14,AE$75,),""),IF($I107=2,IFBLANK(_xldudf_CX_PUSH(AE107,CX_ENTITY,$B107,AE$11,AE$14,AE$75,),""),IF($I107=3,"",IFBLANK(_xldudf_CX_PUSH(AE107,CX_ENTITY,$B107,AE$11,AE$14,AE$75,),"")))))),"")</f>
        <v/>
      </c>
      <c r="DF107" s="2445" t="str" cm="1">
        <f t="array" ca="1" aca="1" ref="DF107">IFERROR(IF(AF107*fxVal_normal=_PL!AF107,"",IF(OR(AF107="",NOT(ISNUMBER(AF107)),ISERROR(AF107),$B107=""),"",IF($I107=1,IFBLANK(_xldudf_CX_PUSH(AF107*fxVal_normal,CX_ENTITY,$B107,AF$11,AF$14,AF$75,),""),IF($I107=2,IFBLANK(_xldudf_CX_PUSH(AF107,CX_ENTITY,$B107,AF$11,AF$14,AF$75,),""),IF($I107=3,"",IFBLANK(_xldudf_CX_PUSH(AF107,CX_ENTITY,$B107,AF$11,AF$14,AF$75,),"")))))),"")</f>
        <v/>
      </c>
      <c r="DG107" s="2445" t="str" cm="1">
        <f t="array" ca="1" aca="1" ref="DG107">IFERROR(IF(AG107*fxVal_normal=_PL!AG107,"",IF(OR(AG107="",NOT(ISNUMBER(AG107)),ISERROR(AG107),$B107=""),"",IF($I107=1,IFBLANK(_xldudf_CX_PUSH(AG107*fxVal_normal,CX_ENTITY,$B107,AG$11,AG$14,AG$75,),""),IF($I107=2,IFBLANK(_xldudf_CX_PUSH(AG107,CX_ENTITY,$B107,AG$11,AG$14,AG$75,),""),IF($I107=3,"",IFBLANK(_xldudf_CX_PUSH(AG107,CX_ENTITY,$B107,AG$11,AG$14,AG$75,),"")))))),"")</f>
        <v/>
      </c>
      <c r="DH107" s="2445" t="str" cm="1">
        <f t="array" ca="1" aca="1" ref="DH107">IFERROR(IF(AH107*fxVal_normal=_PL!AH107,"",IF(OR(AH107="",NOT(ISNUMBER(AH107)),ISERROR(AH107),$B107=""),"",IF($I107=1,IFBLANK(_xldudf_CX_PUSH(AH107*fxVal_normal,CX_ENTITY,$B107,AH$11,AH$14,AH$75,),""),IF($I107=2,IFBLANK(_xldudf_CX_PUSH(AH107,CX_ENTITY,$B107,AH$11,AH$14,AH$75,),""),IF($I107=3,"",IFBLANK(_xldudf_CX_PUSH(AH107,CX_ENTITY,$B107,AH$11,AH$14,AH$75,),"")))))),"")</f>
        <v/>
      </c>
      <c r="DI107" s="2445" t="str" cm="1">
        <f t="array" ca="1" aca="1" ref="DI107">IFERROR(IF(AI107*fxVal_normal=_PL!AI107,"",IF(OR(AI107="",NOT(ISNUMBER(AI107)),ISERROR(AI107),$B107=""),"",IF($I107=1,IFBLANK(_xldudf_CX_PUSH(AI107*fxVal_normal,CX_ENTITY,$B107,AI$11,AI$14,AI$75,),""),IF($I107=2,IFBLANK(_xldudf_CX_PUSH(AI107,CX_ENTITY,$B107,AI$11,AI$14,AI$75,),""),IF($I107=3,"",IFBLANK(_xldudf_CX_PUSH(AI107,CX_ENTITY,$B107,AI$11,AI$14,AI$75,),"")))))),"")</f>
        <v/>
      </c>
      <c r="DJ107" s="2445" t="str" cm="1">
        <f t="array" ca="1" aca="1" ref="DJ107">IFERROR(IF(AJ107*fxVal_normal=_PL!AJ107,"",IF(OR(AJ107="",NOT(ISNUMBER(AJ107)),ISERROR(AJ107),$B107=""),"",IF($I107=1,IFBLANK(_xldudf_CX_PUSH(AJ107*fxVal_normal,CX_ENTITY,$B107,AJ$11,AJ$14,AJ$75,),""),IF($I107=2,IFBLANK(_xldudf_CX_PUSH(AJ107,CX_ENTITY,$B107,AJ$11,AJ$14,AJ$75,),""),IF($I107=3,"",IFBLANK(_xldudf_CX_PUSH(AJ107,CX_ENTITY,$B107,AJ$11,AJ$14,AJ$75,),"")))))),"")</f>
        <v/>
      </c>
      <c r="DK107" s="2445" t="str" cm="1">
        <f t="array" ca="1" aca="1" ref="DK107">IFERROR(IF(AK107*fxVal_normal=_PL!AK107,"",IF(OR(AK107="",NOT(ISNUMBER(AK107)),ISERROR(AK107),$B107=""),"",IF($I107=1,IFBLANK(_xldudf_CX_PUSH(AK107*fxVal_normal,CX_ENTITY,$B107,AK$11,AK$14,AK$75,),""),IF($I107=2,IFBLANK(_xldudf_CX_PUSH(AK107,CX_ENTITY,$B107,AK$11,AK$14,AK$75,),""),IF($I107=3,"",IFBLANK(_xldudf_CX_PUSH(AK107,CX_ENTITY,$B107,AK$11,AK$14,AK$75,),"")))))),"")</f>
        <v/>
      </c>
      <c r="DL107" s="2445" t="str" cm="1">
        <f t="array" ca="1" aca="1" ref="DL107">IFERROR(IF(AL107*fxVal_normal=_PL!AL107,"",IF(OR(AL107="",NOT(ISNUMBER(AL107)),ISERROR(AL107),$B107=""),"",IF($I107=1,IFBLANK(_xldudf_CX_PUSH(AL107*fxVal_normal,CX_ENTITY,$B107,AL$11,AL$14,AL$75,),""),IF($I107=2,IFBLANK(_xldudf_CX_PUSH(AL107,CX_ENTITY,$B107,AL$11,AL$14,AL$75,),""),IF($I107=3,"",IFBLANK(_xldudf_CX_PUSH(AL107,CX_ENTITY,$B107,AL$11,AL$14,AL$75,),"")))))),"")</f>
        <v/>
      </c>
      <c r="DM107" s="2445" t="str" cm="1">
        <f t="array" ca="1" aca="1" ref="DM107">IFERROR(IF(AM107*fxVal_normal=_PL!AM107,"",IF(OR(AM107="",NOT(ISNUMBER(AM107)),ISERROR(AM107),$B107=""),"",IF($I107=1,IFBLANK(_xldudf_CX_PUSH(AM107*fxVal_normal,CX_ENTITY,$B107,AM$11,AM$14,AM$75,),""),IF($I107=2,IFBLANK(_xldudf_CX_PUSH(AM107,CX_ENTITY,$B107,AM$11,AM$14,AM$75,),""),IF($I107=3,"",IFBLANK(_xldudf_CX_PUSH(AM107,CX_ENTITY,$B107,AM$11,AM$14,AM$75,),"")))))),"")</f>
        <v/>
      </c>
      <c r="DN107" s="2445" t="str" cm="1">
        <f t="array" ca="1" aca="1" ref="DN107">IFERROR(IF(AN107*fxVal_normal=_PL!AN107,"",IF(OR(AN107="",NOT(ISNUMBER(AN107)),ISERROR(AN107),$B107=""),"",IF($I107=1,IFBLANK(_xldudf_CX_PUSH(AN107*fxVal_normal,CX_ENTITY,$B107,AN$11,AN$14,AN$75,),""),IF($I107=2,IFBLANK(_xldudf_CX_PUSH(AN107,CX_ENTITY,$B107,AN$11,AN$14,AN$75,),""),IF($I107=3,"",IFBLANK(_xldudf_CX_PUSH(AN107,CX_ENTITY,$B107,AN$11,AN$14,AN$75,),"")))))),"")</f>
        <v/>
      </c>
      <c r="DO107" s="2445" t="str" cm="1">
        <f t="array" ca="1" aca="1" ref="DO107">IFERROR(IF(AO107*fxVal_normal=_PL!AO107,"",IF(OR(AO107="",NOT(ISNUMBER(AO107)),ISERROR(AO107),$B107=""),"",IF($I107=1,IFBLANK(_xldudf_CX_PUSH(AO107*fxVal_normal,CX_ENTITY,$B107,AO$11,AO$14,AO$75,),""),IF($I107=2,IFBLANK(_xldudf_CX_PUSH(AO107,CX_ENTITY,$B107,AO$11,AO$14,AO$75,),""),IF($I107=3,"",IFBLANK(_xldudf_CX_PUSH(AO107,CX_ENTITY,$B107,AO$11,AO$14,AO$75,),"")))))),"")</f>
        <v/>
      </c>
      <c r="DP107" s="2445" t="str" cm="1">
        <f t="array" ca="1" aca="1" ref="DP107">IFERROR(IF(AP107*fxVal_normal=_PL!AP107,"",IF(OR(AP107="",NOT(ISNUMBER(AP107)),ISERROR(AP107),$B107=""),"",IF($I107=1,IFBLANK(_xldudf_CX_PUSH(AP107*fxVal_normal,CX_ENTITY,$B107,AP$11,AP$14,AP$75,),""),IF($I107=2,IFBLANK(_xldudf_CX_PUSH(AP107,CX_ENTITY,$B107,AP$11,AP$14,AP$75,),""),IF($I107=3,"",IFBLANK(_xldudf_CX_PUSH(AP107,CX_ENTITY,$B107,AP$11,AP$14,AP$75,),"")))))),"")</f>
        <v/>
      </c>
      <c r="DQ107" s="2445" t="str" cm="1">
        <f t="array" ca="1" aca="1" ref="DQ107">IFERROR(IF(AQ107*fxVal_normal=_PL!AQ107,"",IF(OR(AQ107="",NOT(ISNUMBER(AQ107)),ISERROR(AQ107),$B107=""),"",IF($I107=1,IFBLANK(_xldudf_CX_PUSH(AQ107*fxVal_normal,CX_ENTITY,$B107,AQ$11,AQ$14,AQ$75,),""),IF($I107=2,IFBLANK(_xldudf_CX_PUSH(AQ107,CX_ENTITY,$B107,AQ$11,AQ$14,AQ$75,),""),IF($I107=3,"",IFBLANK(_xldudf_CX_PUSH(AQ107,CX_ENTITY,$B107,AQ$11,AQ$14,AQ$75,),"")))))),"")</f>
        <v/>
      </c>
      <c r="DR107" s="2445" t="str" cm="1">
        <f t="array" ca="1" aca="1" ref="DR107">IFERROR(IF(AR107*fxVal_normal=_PL!AR107,"",IF(OR(AR107="",NOT(ISNUMBER(AR107)),ISERROR(AR107),$B107=""),"",IF($I107=1,IFBLANK(_xldudf_CX_PUSH(AR107*fxVal_normal,CX_ENTITY,$B107,AR$11,AR$14,AR$75,),""),IF($I107=2,IFBLANK(_xldudf_CX_PUSH(AR107,CX_ENTITY,$B107,AR$11,AR$14,AR$75,),""),IF($I107=3,"",IFBLANK(_xldudf_CX_PUSH(AR107,CX_ENTITY,$B107,AR$11,AR$14,AR$75,),"")))))),"")</f>
        <v/>
      </c>
      <c r="DS107" s="2445" t="str" cm="1">
        <f t="array" ca="1" aca="1" ref="DS107">IFERROR(IF(AS107*fxVal_normal=_PL!AS107,"",IF(OR(AS107="",NOT(ISNUMBER(AS107)),ISERROR(AS107),$B107=""),"",IF($I107=1,IFBLANK(_xldudf_CX_PUSH(AS107*fxVal_normal,CX_ENTITY,$B107,AS$11,AS$14,AS$75,),""),IF($I107=2,IFBLANK(_xldudf_CX_PUSH(AS107,CX_ENTITY,$B107,AS$11,AS$14,AS$75,),""),IF($I107=3,"",IFBLANK(_xldudf_CX_PUSH(AS107,CX_ENTITY,$B107,AS$11,AS$14,AS$75,),"")))))),"")</f>
        <v/>
      </c>
      <c r="DT107" s="2445" t="str" cm="1">
        <f t="array" ca="1" aca="1" ref="DT107">IFERROR(IF(AT107*fxVal_normal=_PL!AT107,"",IF(OR(AT107="",NOT(ISNUMBER(AT107)),ISERROR(AT107),$B107=""),"",IF($I107=1,IFBLANK(_xldudf_CX_PUSH(AT107*fxVal_normal,CX_ENTITY,$B107,AT$11,AT$14,AT$75,),""),IF($I107=2,IFBLANK(_xldudf_CX_PUSH(AT107,CX_ENTITY,$B107,AT$11,AT$14,AT$75,),""),IF($I107=3,"",IFBLANK(_xldudf_CX_PUSH(AT107,CX_ENTITY,$B107,AT$11,AT$14,AT$75,),"")))))),"")</f>
        <v/>
      </c>
      <c r="DU107" s="2445" t="str" cm="1">
        <f t="array" ca="1" aca="1" ref="DU107">IFERROR(IF(AU107*fxVal_normal=_PL!AU107,"",IF(OR(AU107="",NOT(ISNUMBER(AU107)),ISERROR(AU107),$B107=""),"",IF($I107=1,IFBLANK(_xldudf_CX_PUSH(AU107*fxVal_normal,CX_ENTITY,$B107,AU$11,AU$14,AU$75,),""),IF($I107=2,IFBLANK(_xldudf_CX_PUSH(AU107,CX_ENTITY,$B107,AU$11,AU$14,AU$75,),""),IF($I107=3,"",IFBLANK(_xldudf_CX_PUSH(AU107,CX_ENTITY,$B107,AU$11,AU$14,AU$75,),"")))))),"")</f>
        <v/>
      </c>
      <c r="DV107" s="2445" t="str" cm="1">
        <f t="array" ca="1" aca="1" ref="DV107">IFERROR(IF(AV107*fxVal_normal=_PL!AV107,"",IF(OR(AV107="",NOT(ISNUMBER(AV107)),ISERROR(AV107),$B107=""),"",IF($I107=1,IFBLANK(_xldudf_CX_PUSH(AV107*fxVal_normal,CX_ENTITY,$B107,AV$11,AV$14,AV$75,),""),IF($I107=2,IFBLANK(_xldudf_CX_PUSH(AV107,CX_ENTITY,$B107,AV$11,AV$14,AV$75,),""),IF($I107=3,"",IFBLANK(_xldudf_CX_PUSH(AV107,CX_ENTITY,$B107,AV$11,AV$14,AV$75,),"")))))),"")</f>
        <v/>
      </c>
      <c r="DW107" s="2445" t="str" cm="1">
        <f t="array" ca="1" aca="1" ref="DW107">IFERROR(IF(AW107*fxVal_normal=_PL!AW107,"",IF(OR(AW107="",NOT(ISNUMBER(AW107)),ISERROR(AW107),$B107=""),"",IF($I107=1,IFBLANK(_xldudf_CX_PUSH(AW107*fxVal_normal,CX_ENTITY,$B107,AW$11,AW$14,AW$75,),""),IF($I107=2,IFBLANK(_xldudf_CX_PUSH(AW107,CX_ENTITY,$B107,AW$11,AW$14,AW$75,),""),IF($I107=3,"",IFBLANK(_xldudf_CX_PUSH(AW107,CX_ENTITY,$B107,AW$11,AW$14,AW$75,),"")))))),"")</f>
        <v/>
      </c>
      <c r="DX107" s="2445" t="str" cm="1">
        <f t="array" ca="1" aca="1" ref="DX107">IFERROR(IF(AX107*fxVal_normal=_PL!AX107,"",IF(OR(AX107="",NOT(ISNUMBER(AX107)),ISERROR(AX107),$B107=""),"",IF($I107=1,IFBLANK(_xldudf_CX_PUSH(AX107*fxVal_normal,CX_ENTITY,$B107,AX$11,AX$14,AX$75,),""),IF($I107=2,IFBLANK(_xldudf_CX_PUSH(AX107,CX_ENTITY,$B107,AX$11,AX$14,AX$75,),""),IF($I107=3,"",IFBLANK(_xldudf_CX_PUSH(AX107,CX_ENTITY,$B107,AX$11,AX$14,AX$75,),"")))))),"")</f>
        <v/>
      </c>
      <c r="DY107" s="2445" t="str" cm="1">
        <f t="array" ca="1" aca="1" ref="DY107">IFERROR(IF(AY107*fxVal_normal=_PL!AY107,"",IF(OR(AY107="",NOT(ISNUMBER(AY107)),ISERROR(AY107),$B107=""),"",IF($I107=1,IFBLANK(_xldudf_CX_PUSH(AY107*fxVal_normal,CX_ENTITY,$B107,AY$11,AY$14,AY$75,),""),IF($I107=2,IFBLANK(_xldudf_CX_PUSH(AY107,CX_ENTITY,$B107,AY$11,AY$14,AY$75,),""),IF($I107=3,"",IFBLANK(_xldudf_CX_PUSH(AY107,CX_ENTITY,$B107,AY$11,AY$14,AY$75,),"")))))),"")</f>
        <v/>
      </c>
      <c r="DZ107" s="2445" t="str" cm="1">
        <f t="array" ca="1" aca="1" ref="DZ107">IFERROR(IF(AZ107*fxVal_normal=_PL!AZ107,"",IF(OR(AZ107="",NOT(ISNUMBER(AZ107)),ISERROR(AZ107),$B107=""),"",IF($I107=1,IFBLANK(_xldudf_CX_PUSH(AZ107*fxVal_normal,CX_ENTITY,$B107,AZ$11,AZ$14,AZ$75,),""),IF($I107=2,IFBLANK(_xldudf_CX_PUSH(AZ107,CX_ENTITY,$B107,AZ$11,AZ$14,AZ$75,),""),IF($I107=3,"",IFBLANK(_xldudf_CX_PUSH(AZ107,CX_ENTITY,$B107,AZ$11,AZ$14,AZ$75,),"")))))),"")</f>
        <v/>
      </c>
      <c r="EA107" s="2445" t="str" cm="1">
        <f t="array" ca="1" aca="1" ref="EA107">IFERROR(IF(BA107*fxVal_normal=_PL!BA107,"",IF(OR(BA107="",NOT(ISNUMBER(BA107)),ISERROR(BA107),$B107=""),"",IF($I107=1,IFBLANK(_xldudf_CX_PUSH(BA107*fxVal_normal,CX_ENTITY,$B107,BA$11,BA$14,BA$75,),""),IF($I107=2,IFBLANK(_xldudf_CX_PUSH(BA107,CX_ENTITY,$B107,BA$11,BA$14,BA$75,),""),IF($I107=3,"",IFBLANK(_xldudf_CX_PUSH(BA107,CX_ENTITY,$B107,BA$11,BA$14,BA$75,),"")))))),"")</f>
        <v/>
      </c>
      <c r="EB107" s="2445" t="str" cm="1">
        <f t="array" ca="1" aca="1" ref="EB107">IFERROR(IF(BB107*fxVal_normal=_PL!BB107,"",IF(OR(BB107="",NOT(ISNUMBER(BB107)),ISERROR(BB107),$B107=""),"",IF($I107=1,IFBLANK(_xldudf_CX_PUSH(BB107*fxVal_normal,CX_ENTITY,$B107,BB$11,BB$14,BB$75,),""),IF($I107=2,IFBLANK(_xldudf_CX_PUSH(BB107,CX_ENTITY,$B107,BB$11,BB$14,BB$75,),""),IF($I107=3,"",IFBLANK(_xldudf_CX_PUSH(BB107,CX_ENTITY,$B107,BB$11,BB$14,BB$75,),"")))))),"")</f>
        <v/>
      </c>
      <c r="EC107" s="2445" t="str" cm="1">
        <f t="array" ca="1" aca="1" ref="EC107">IFERROR(IF(BC107*fxVal_normal=_PL!BC107,"",IF(OR(BC107="",NOT(ISNUMBER(BC107)),ISERROR(BC107),$B107=""),"",IF($I107=1,IFBLANK(_xldudf_CX_PUSH(BC107*fxVal_normal,CX_ENTITY,$B107,BC$11,BC$14,BC$75,),""),IF($I107=2,IFBLANK(_xldudf_CX_PUSH(BC107,CX_ENTITY,$B107,BC$11,BC$14,BC$75,),""),IF($I107=3,"",IFBLANK(_xldudf_CX_PUSH(BC107,CX_ENTITY,$B107,BC$11,BC$14,BC$75,),"")))))),"")</f>
        <v/>
      </c>
      <c r="ED107" s="2445" t="str" cm="1">
        <f t="array" ca="1" aca="1" ref="ED107">IFERROR(IF(BD107*fxVal_normal=_PL!BD107,"",IF(OR(BD107="",NOT(ISNUMBER(BD107)),ISERROR(BD107),$B107=""),"",IF($I107=1,IFBLANK(_xldudf_CX_PUSH(BD107*fxVal_normal,CX_ENTITY,$B107,BD$11,BD$14,BD$75,),""),IF($I107=2,IFBLANK(_xldudf_CX_PUSH(BD107,CX_ENTITY,$B107,BD$11,BD$14,BD$75,),""),IF($I107=3,"",IFBLANK(_xldudf_CX_PUSH(BD107,CX_ENTITY,$B107,BD$11,BD$14,BD$75,),"")))))),"")</f>
        <v/>
      </c>
      <c r="EE107" s="2445" t="str" cm="1">
        <f t="array" ca="1" aca="1" ref="EE107">IFERROR(IF(BE107*fxVal_normal=_PL!BE107,"",IF(OR(BE107="",NOT(ISNUMBER(BE107)),ISERROR(BE107),$B107=""),"",IF($I107=1,IFBLANK(_xldudf_CX_PUSH(BE107*fxVal_normal,CX_ENTITY,$B107,BE$11,BE$14,BE$75,),""),IF($I107=2,IFBLANK(_xldudf_CX_PUSH(BE107,CX_ENTITY,$B107,BE$11,BE$14,BE$75,),""),IF($I107=3,"",IFBLANK(_xldudf_CX_PUSH(BE107,CX_ENTITY,$B107,BE$11,BE$14,BE$75,),"")))))),"")</f>
        <v/>
      </c>
      <c r="EF107" s="2445" t="str" cm="1">
        <f t="array" ca="1" aca="1" ref="EF107">IFERROR(IF(BF107*fxVal_normal=_PL!BF107,"",IF(OR(BF107="",NOT(ISNUMBER(BF107)),ISERROR(BF107),$B107=""),"",IF($I107=1,IFBLANK(_xldudf_CX_PUSH(BF107*fxVal_normal,CX_ENTITY,$B107,BF$11,BF$14,BF$75,),""),IF($I107=2,IFBLANK(_xldudf_CX_PUSH(BF107,CX_ENTITY,$B107,BF$11,BF$14,BF$75,),""),IF($I107=3,"",IFBLANK(_xldudf_CX_PUSH(BF107,CX_ENTITY,$B107,BF$11,BF$14,BF$75,),"")))))),"")</f>
        <v/>
      </c>
      <c r="EG107" s="2445" t="str" cm="1">
        <f t="array" ca="1" aca="1" ref="EG107">IFERROR(IF(BG107*fxVal_normal=_PL!BG107,"",IF(OR(BG107="",NOT(ISNUMBER(BG107)),ISERROR(BG107),$B107=""),"",IF($I107=1,IFBLANK(_xldudf_CX_PUSH(BG107*fxVal_normal,CX_ENTITY,$B107,BG$11,BG$14,BG$75,),""),IF($I107=2,IFBLANK(_xldudf_CX_PUSH(BG107,CX_ENTITY,$B107,BG$11,BG$14,BG$75,),""),IF($I107=3,"",IFBLANK(_xldudf_CX_PUSH(BG107,CX_ENTITY,$B107,BG$11,BG$14,BG$75,),"")))))),"")</f>
        <v/>
      </c>
      <c r="EH107" s="2445" t="str" cm="1">
        <f t="array" ca="1" aca="1" ref="EH107">IFERROR(IF(BH107*fxVal_normal=_PL!BH107,"",IF(OR(BH107="",NOT(ISNUMBER(BH107)),ISERROR(BH107),$B107=""),"",IF($I107=1,IFBLANK(_xldudf_CX_PUSH(BH107*fxVal_normal,CX_ENTITY,$B107,BH$11,BH$14,BH$75,),""),IF($I107=2,IFBLANK(_xldudf_CX_PUSH(BH107,CX_ENTITY,$B107,BH$11,BH$14,BH$75,),""),IF($I107=3,"",IFBLANK(_xldudf_CX_PUSH(BH107,CX_ENTITY,$B107,BH$11,BH$14,BH$75,),"")))))),"")</f>
        <v/>
      </c>
      <c r="EI107" s="2445" t="str" cm="1">
        <f t="array" ca="1" aca="1" ref="EI107">IFERROR(IF(BI107*fxVal_normal=_PL!BI107,"",IF(OR(BI107="",NOT(ISNUMBER(BI107)),ISERROR(BI107),$B107=""),"",IF($I107=1,IFBLANK(_xldudf_CX_PUSH(BI107*fxVal_normal,CX_ENTITY,$B107,BI$11,BI$14,BI$75,),""),IF($I107=2,IFBLANK(_xldudf_CX_PUSH(BI107,CX_ENTITY,$B107,BI$11,BI$14,BI$75,),""),IF($I107=3,"",IFBLANK(_xldudf_CX_PUSH(BI107,CX_ENTITY,$B107,BI$11,BI$14,BI$75,),"")))))),"")</f>
        <v/>
      </c>
      <c r="EJ107" s="2445" t="str" cm="1">
        <f t="array" ca="1" aca="1" ref="EJ107">IFERROR(IF(BJ107*fxVal_normal=_PL!BJ107,"",IF(OR(BJ107="",NOT(ISNUMBER(BJ107)),ISERROR(BJ107),$B107=""),"",IF($I107=1,IFBLANK(_xldudf_CX_PUSH(BJ107*fxVal_normal,CX_ENTITY,$B107,BJ$11,BJ$14,BJ$75,),""),IF($I107=2,IFBLANK(_xldudf_CX_PUSH(BJ107,CX_ENTITY,$B107,BJ$11,BJ$14,BJ$75,),""),IF($I107=3,"",IFBLANK(_xldudf_CX_PUSH(BJ107,CX_ENTITY,$B107,BJ$11,BJ$14,BJ$75,),"")))))),"")</f>
        <v/>
      </c>
      <c r="EK107" s="2445" t="str" cm="1">
        <f t="array" ca="1" aca="1" ref="EK107">IFERROR(IF(BK107*fxVal_normal=_PL!BK107,"",IF(OR(BK107="",NOT(ISNUMBER(BK107)),ISERROR(BK107),$B107=""),"",IF($I107=1,IFBLANK(_xldudf_CX_PUSH(BK107*fxVal_normal,CX_ENTITY,$B107,BK$11,BK$14,BK$75,),""),IF($I107=2,IFBLANK(_xldudf_CX_PUSH(BK107,CX_ENTITY,$B107,BK$11,BK$14,BK$75,),""),IF($I107=3,"",IFBLANK(_xldudf_CX_PUSH(BK107,CX_ENTITY,$B107,BK$11,BK$14,BK$75,),"")))))),"")</f>
        <v/>
      </c>
      <c r="EL107" s="2445" t="str" cm="1">
        <f t="array" ca="1" aca="1" ref="EL107">IFERROR(IF(BL107*fxVal_normal=_PL!BL107,"",IF(OR(BL107="",NOT(ISNUMBER(BL107)),ISERROR(BL107),$B107=""),"",IF($I107=1,IFBLANK(_xldudf_CX_PUSH(BL107*fxVal_normal,CX_ENTITY,$B107,BL$11,BL$14,BL$75,),""),IF($I107=2,IFBLANK(_xldudf_CX_PUSH(BL107,CX_ENTITY,$B107,BL$11,BL$14,BL$75,),""),IF($I107=3,"",IFBLANK(_xldudf_CX_PUSH(BL107,CX_ENTITY,$B107,BL$11,BL$14,BL$75,),"")))))),"")</f>
        <v/>
      </c>
      <c r="EM107" s="2445" t="str" cm="1">
        <f t="array" ca="1" aca="1" ref="EM107">IFERROR(IF(BM107*fxVal_normal=_PL!BM107,"",IF(OR(BM107="",NOT(ISNUMBER(BM107)),ISERROR(BM107),$B107=""),"",IF($I107=1,IFBLANK(_xldudf_CX_PUSH(BM107*fxVal_normal,CX_ENTITY,$B107,BM$11,BM$14,BM$75,),""),IF($I107=2,IFBLANK(_xldudf_CX_PUSH(BM107,CX_ENTITY,$B107,BM$11,BM$14,BM$75,),""),IF($I107=3,"",IFBLANK(_xldudf_CX_PUSH(BM107,CX_ENTITY,$B107,BM$11,BM$14,BM$75,),"")))))),"")</f>
        <v/>
      </c>
      <c r="EN107" s="2445" t="str" cm="1">
        <f t="array" ca="1" aca="1" ref="EN107">IFERROR(IF(BN107*fxVal_normal=_PL!BN107,"",IF(OR(BN107="",NOT(ISNUMBER(BN107)),ISERROR(BN107),$B107=""),"",IF($I107=1,IFBLANK(_xldudf_CX_PUSH(BN107*fxVal_normal,CX_ENTITY,$B107,BN$11,BN$14,BN$75,),""),IF($I107=2,IFBLANK(_xldudf_CX_PUSH(BN107,CX_ENTITY,$B107,BN$11,BN$14,BN$75,),""),IF($I107=3,"",IFBLANK(_xldudf_CX_PUSH(BN107,CX_ENTITY,$B107,BN$11,BN$14,BN$75,),"")))))),"")</f>
        <v/>
      </c>
    </row>
    <row r="108" spans="1:144" ht="21" customHeight="1">
      <c r="A108" s="1626"/>
      <c r="B108" s="2501" t="str">
        <f>_xlfn.LET(_xlpm.IsNotAttrDynamic,D108="",_xlpm.Attr,_PL!F108,_xlpm.NotInUse,Y108=D108,_xlpm.RESULT,IF(_xlpm.IsNotAttrDynamic,_xlpm.Attr,IF(_xlpm.NotInUse,"",Y108)),IF(_xlpm.RESULT="","",_xlpm.RESULT))</f>
        <v>Custom Metric Amount 7</v>
      </c>
      <c r="C108" s="3463" t="str" cm="1">
        <f t="array" ref="C108">IFBLANK(_PL!C108,"")</f>
        <v>Custom Metric - Label 7</v>
      </c>
      <c r="D108" s="1548"/>
      <c r="E108" s="2440" t="e" cm="1">
        <f t="array" ca="1" aca="1" ref="E10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108:$CQ108,Z108)</f>
        <v>#NAME?</v>
      </c>
      <c r="F108" s="578"/>
      <c r="G108" s="578"/>
      <c r="H108" s="3280">
        <v>1</v>
      </c>
      <c r="I108" s="3280">
        <v>1</v>
      </c>
      <c r="J108" s="401" cm="1">
        <f t="array" ref="J108">IFBLANK(Z108,"")</f>
        <v>-1</v>
      </c>
      <c r="K108" s="578" t="str">
        <f>IFERROR(IF(LEN(AB108)=0,"No",IF(LEN(J108)&gt;0,"Yes","No")),"")</f>
        <v>Yes</v>
      </c>
      <c r="L108" s="37"/>
      <c r="N108" s="158"/>
      <c r="O108" s="101"/>
      <c r="P108" s="52"/>
      <c r="Q108" s="101"/>
      <c r="R108" s="126"/>
      <c r="S108" s="101"/>
      <c r="T108" s="101"/>
      <c r="U108" s="39"/>
      <c r="V108" s="37"/>
      <c r="W108" s="91" t="str">
        <f t="shared" si="43"/>
        <v>Budget</v>
      </c>
      <c r="X108" s="2523" t="e">
        <f ca="1">_PL!X108</f>
        <v>#NAME?</v>
      </c>
      <c r="Y108" s="3202" cm="1">
        <f t="array" ref="Y108">IFBLANK(Y52,"")</f>
        <v>2</v>
      </c>
      <c r="Z108" s="198" cm="1">
        <f t="array" ref="Z108">IFBLANK(Z52,"")</f>
        <v>-1</v>
      </c>
      <c r="AA108" s="200"/>
      <c r="AB108" s="3200" cm="1">
        <f t="array" ref="AB108">IFBLANK(Y108,"")</f>
        <v>2</v>
      </c>
      <c r="AC108" s="2527" t="str" cm="1">
        <f t="array" ca="1" aca="1" ref="AC108">_xlfn.LET(_xlpm._termname,$AB108,_xlpm._iconname,"find",_xlpm._icon,fx_getIcon(_xlpm._iconname),_xlpm._location,_xlfn.XLOOKUP(LOWER(_xlpm._termname),LOWER(tbl_acctDef[Term]),tbl_acctDef[Term]),_xlpm._hyperlink,HYPERLINK("#"&amp;CELL("address",_xlpm._location),_xlpm._icon),IFERROR(_xlpm._hyperlink,""))</f>
        <v/>
      </c>
      <c r="AD108" s="3177">
        <v>1</v>
      </c>
      <c r="AE108" s="3177">
        <v>1</v>
      </c>
      <c r="AF108" s="3177">
        <v>1</v>
      </c>
      <c r="AG108" s="3177">
        <v>1</v>
      </c>
      <c r="AH108" s="3177">
        <v>1</v>
      </c>
      <c r="AI108" s="3177">
        <v>1</v>
      </c>
      <c r="AJ108" s="3177">
        <v>1</v>
      </c>
      <c r="AK108" s="3177">
        <v>1</v>
      </c>
      <c r="AL108" s="3177">
        <v>1</v>
      </c>
      <c r="AM108" s="3177">
        <v>1</v>
      </c>
      <c r="AN108" s="3177">
        <v>1</v>
      </c>
      <c r="AO108" s="3177">
        <v>1</v>
      </c>
      <c r="AP108" s="3177">
        <v>1</v>
      </c>
      <c r="AQ108" s="3177">
        <v>1</v>
      </c>
      <c r="AR108" s="3177">
        <v>1</v>
      </c>
      <c r="AS108" s="3177">
        <v>1</v>
      </c>
      <c r="AT108" s="3177">
        <v>1</v>
      </c>
      <c r="AU108" s="3177">
        <v>1</v>
      </c>
      <c r="AV108" s="3177">
        <v>1</v>
      </c>
      <c r="AW108" s="3177">
        <v>1</v>
      </c>
      <c r="AX108" s="3177">
        <v>1</v>
      </c>
      <c r="AY108" s="3177">
        <v>1</v>
      </c>
      <c r="AZ108" s="3177">
        <v>1</v>
      </c>
      <c r="BA108" s="3177">
        <v>1</v>
      </c>
      <c r="BB108" s="3177">
        <v>1</v>
      </c>
      <c r="BC108" s="3177">
        <v>1</v>
      </c>
      <c r="BD108" s="3177">
        <v>1</v>
      </c>
      <c r="BE108" s="3177">
        <v>1</v>
      </c>
      <c r="BF108" s="3177">
        <v>1</v>
      </c>
      <c r="BG108" s="3177">
        <v>1</v>
      </c>
      <c r="BH108" s="3177">
        <v>1</v>
      </c>
      <c r="BI108" s="3177">
        <v>1</v>
      </c>
      <c r="BJ108" s="3177">
        <v>1</v>
      </c>
      <c r="BK108" s="3177">
        <v>1</v>
      </c>
      <c r="BL108" s="3177">
        <v>1</v>
      </c>
      <c r="BM108" s="3177">
        <v>1</v>
      </c>
      <c r="BN108" s="3177">
        <v>1</v>
      </c>
      <c r="BO108" s="2518"/>
      <c r="BP108" s="2518"/>
      <c r="BQ108" s="2518"/>
      <c r="BR108" s="2518"/>
      <c r="BS108" s="2518"/>
      <c r="BT108" s="2518"/>
      <c r="BU108" s="2518"/>
      <c r="BV108" s="2518"/>
      <c r="BW108" s="2518"/>
      <c r="BX108" s="2518"/>
      <c r="BY108" s="2518"/>
      <c r="BZ108" s="2518"/>
      <c r="CA108" s="34"/>
      <c r="CC108" s="33"/>
      <c r="CD108" s="1772" t="e" cm="1">
        <f t="array" ca="1" aca="1" ref="CD108">_xlfn.LET(_xlpm.CheckBlank,SUM(PL!$AD108:$BN108)=0,IF(_xlpm.CheckBlank,"",SUM(_xlfn._xlws.FILTER(PL!$AD108:$BN108,(YEAR(PL!$AD$12:$BN$12)=PL!CD$12)*(array_timeline&lt;=PL!CD$11)))))</f>
        <v>#NAME?</v>
      </c>
      <c r="CE108" s="1772" t="e" cm="1">
        <f t="array" ca="1" aca="1" ref="CE108">_xlfn.LET(_xlpm.CheckBlank,SUM(PL!$AD108:$BN108)=0,IF(_xlpm.CheckBlank,"",SUM(_xlfn._xlws.FILTER(PL!$AD108:$BN108,(YEAR(PL!$AD$12:$BN$12)=PL!CE$12)*(array_timeline&lt;=PL!CE$11)))))</f>
        <v>#NAME?</v>
      </c>
      <c r="CF108" s="3"/>
      <c r="CG108" s="1461" t="e" cm="1">
        <f t="array" ca="1" aca="1" ref="CG108">_xlfn.LET(_xlpm.CheckBlank,SUM(PL!$AD108:$BN108)=0,IF(_xlpm.CheckBlank,"",SUM(_xlfn._xlws.FILTER(PL!$AD108:$BN108,(YEAR(PL!$AD$12:$BN$12)=PL!CG$12)*(array_timeline&lt;=PL!CG$11)))))</f>
        <v>#NAME?</v>
      </c>
      <c r="CH108" s="1461" t="e" cm="1">
        <f t="array" ca="1" aca="1" ref="CH108">_xlfn.LET(_xlpm.CheckBlank,SUM(PL!$AD108:$BN108)=0,IF(_xlpm.CheckBlank,"",SUM(_xlfn._xlws.FILTER(PL!$AD108:$BN108,(YEAR(PL!$AD$12:$BN$12)=PL!CH$12)*(array_timeline&lt;=PL!CH$11)))))</f>
        <v>#NAME?</v>
      </c>
      <c r="CI108" s="3"/>
      <c r="CJ108" s="1461" cm="1">
        <f t="array" ref="CJ108">_xlfn.LET(_xlpm.CheckBlank,SUM(PL!$AD108:$BN108)=0,IF(_xlpm.CheckBlank,"",SUM(_xlfn.TAKE(_xlfn.DROP(PL!$AD108:$BN108,,-DATEDIFF(PL!CJ$11,val_asOfDate,"M")),1,-12))))</f>
        <v>12</v>
      </c>
      <c r="CK108" s="1461" cm="1">
        <f t="array" ref="CK108">_xlfn.LET(_xlpm.CheckBlank,SUM(PL!$AD108:$BN108)=0,IF(_xlpm.CheckBlank,"",SUM(_xlfn.TAKE(_xlfn.DROP(PL!$AD108:$BN108,,-DATEDIFF(PL!CK$11,val_asOfDate,"M")),1,-12))))</f>
        <v>12</v>
      </c>
      <c r="CL108" s="3"/>
      <c r="CM108" s="3203" cm="1">
        <f t="array" ref="CM108">IFBLANK(CM52,"")</f>
        <v>1</v>
      </c>
      <c r="CN108" s="3203" cm="1">
        <f t="array" ref="CN108">IFBLANK(CN52,"")</f>
        <v>1</v>
      </c>
      <c r="CO108" s="3"/>
      <c r="CP108" s="3203" cm="1">
        <f t="array" ref="CP108">IFBLANK(CP52,"")</f>
        <v>1</v>
      </c>
      <c r="CQ108" s="3203" cm="1">
        <f t="array" ref="CQ108">IFBLANK(CQ52,"")</f>
        <v>1</v>
      </c>
      <c r="CR108" s="34"/>
      <c r="CS108" s="2056"/>
      <c r="CT108" s="2447" t="e" cm="1">
        <f t="array" ca="1" aca="1" ref="CT108">IF(Y108="","",IF(ISNUMBER(SEARCH("Select",$Y108)),"",_xldudf_CX_PUSH($Y108,CX_ENTITY,C108,val_asOfDate)))</f>
        <v>#NAME?</v>
      </c>
      <c r="CU108" s="2447" t="e" cm="1">
        <f t="array" ca="1" aca="1" ref="CU108">IF(Y108="","",IF(ISNUMBER(SEARCH("Select",$Y108)),"",_xldudf_CX_PUSH($Y108,CX_ENTITY,C108,EOMONTH(val_asOfDate,1))))</f>
        <v>#NAME?</v>
      </c>
      <c r="CV108" s="2447" t="e" cm="1">
        <f t="array" ca="1" aca="1" ref="CV108">IF(Y108="","",IF(ISNUMBER(SEARCH("Select",$Y108)),"",_xldudf_CX_PUSH($Y108,CX_ENTITY,C108,EOMONTH(val_asOfDate,2))))</f>
        <v>#NAME?</v>
      </c>
      <c r="CW108" s="2447" t="e" cm="1">
        <f t="array" ca="1" aca="1" ref="CW108">IF(Y108="","",IF(ISNUMBER(SEARCH("Select",$Y108)),"",_xldudf_CX_PUSH($Y108,CX_ENTITY,C108,EOMONTH(val_asOfDate,3))))</f>
        <v>#NAME?</v>
      </c>
      <c r="CX108" s="2443"/>
      <c r="CY108" s="2444" t="str" cm="1">
        <f t="array" ca="1" aca="1" ref="CY108">IFERROR(IF(CM108*fxVal_normal=_PL!CM108,"",IF(OR($CM108="",$CM108=0,NOT(ISNUMBER($CM108)),ISERROR($CM108),$B108=""),"",IF($I108=1,IFBLANK(_xldudf_CX_PUSH($CM108*fxVal_normal,CX_ENTITY,$B108,$CM$11,$CM$14,$CM$19,),""),IF($I108=2,IFBLANK(_xldudf_CX_PUSH($CM108,CX_ENTITY,$B108,$CM$11,$CM$14,$CM$19,),""),IF($I108=3,"",IFBLANK(_xldudf_CX_PUSH($CM108,CX_ENTITY,$B108,$CM$11,$CM$14,$CM$19,),"")))))),"")</f>
        <v/>
      </c>
      <c r="CZ108" s="2444" t="str" cm="1">
        <f t="array" ca="1" aca="1" ref="CZ108">IFERROR(IF(CN108*fxVal_normal=_PL!CN108,"",IF(OR($CN108="",$CN108=0,NOT(ISNUMBER($CN108)),ISERROR($CN108),$B108=""),"",IF($I108=1,IFBLANK(_xldudf_CX_PUSH($CN108*fxVal_normal,CX_ENTITY,$B108,$CN$11,$CN$14,$CN$19,),""),IF($I108=2,IFBLANK(_xldudf_CX_PUSH($CN108,CX_ENTITY,$B108,$CN$11,$CN$14,$CN$19,),""),IF($I108=3,"",IFBLANK(_xldudf_CX_PUSH($CN108,CX_ENTITY,$B108,$CN$11,$CN$14,$CN$19,),"")))))),"")</f>
        <v/>
      </c>
      <c r="DA108" s="2444" t="str" cm="1">
        <f t="array" ca="1" aca="1" ref="DA108">IFERROR(IF(CP108*fxVal_normal=_PL!CP108,"",IF(OR($CP108="",$CP108=0,NOT(ISNUMBER($CP108)),ISERROR($CP108),$B108=""),"",IF($I108=1,IFBLANK(_xldudf_CX_PUSH($CP108*fxVal_normal,CX_ENTITY,$B108,$CP$11,$CP$14,$CP$19,),""),IF($I108=2,IFBLANK(_xldudf_CX_PUSH($CP108,CX_ENTITY,$B108,$CP$11,$CP$14,$CP$19,),""),IF($I108=3,"",IFBLANK(_xldudf_CX_PUSH($CP108,CX_ENTITY,$B108,$CP$11,$CP$14,$CP$19,),"")))))),"")</f>
        <v/>
      </c>
      <c r="DB108" s="2444" t="str" cm="1">
        <f t="array" ca="1" aca="1" ref="DB108">IFERROR(IF(CQ108*fxVal_normal=_PL!CQ108,"",IF(OR($CQ108="",$CQ108=0,NOT(ISNUMBER($CQ108)),ISERROR($CQ108),$B108=""),"",IF($I108=1,IFBLANK(_xldudf_CX_PUSH($CQ108*fxVal_normal,CX_ENTITY,$B108,$CQ$11,$CQ$14,$CQ$19,),""),IF($I108=2,IFBLANK(_xldudf_CX_PUSH($CQ108,CX_ENTITY,$B108,$CQ$11,$CQ$14,$CQ$19,),""),IF($I108=3,"",IFBLANK(_xldudf_CX_PUSH($CQ108,CX_ENTITY,$B108,$CQ$11,$CQ$14,$CQ$19,),"")))))),"")</f>
        <v/>
      </c>
      <c r="DC108" s="2443"/>
      <c r="DD108" s="2445" t="str" cm="1">
        <f t="array" ca="1" aca="1" ref="DD108">IFERROR(IF(AD108*fxVal_normal=_PL!AD108,"",IF(OR(AD108="",NOT(ISNUMBER(AD108)),ISERROR(AD108),$B108=""),"",IF($I108=1,IFBLANK(_xldudf_CX_PUSH(AD108*fxVal_normal,CX_ENTITY,$B108,AD$11,AD$14,AD$75,),""),IF($I108=2,IFBLANK(_xldudf_CX_PUSH(AD108,CX_ENTITY,$B108,AD$11,AD$14,AD$75,),""),IF($I108=3,"",IFBLANK(_xldudf_CX_PUSH(AD108,CX_ENTITY,$B108,AD$11,AD$14,AD$75,),"")))))),"")</f>
        <v/>
      </c>
      <c r="DE108" s="2445" t="str" cm="1">
        <f t="array" ca="1" aca="1" ref="DE108">IFERROR(IF(AE108*fxVal_normal=_PL!AE108,"",IF(OR(AE108="",NOT(ISNUMBER(AE108)),ISERROR(AE108),$B108=""),"",IF($I108=1,IFBLANK(_xldudf_CX_PUSH(AE108*fxVal_normal,CX_ENTITY,$B108,AE$11,AE$14,AE$75,),""),IF($I108=2,IFBLANK(_xldudf_CX_PUSH(AE108,CX_ENTITY,$B108,AE$11,AE$14,AE$75,),""),IF($I108=3,"",IFBLANK(_xldudf_CX_PUSH(AE108,CX_ENTITY,$B108,AE$11,AE$14,AE$75,),"")))))),"")</f>
        <v/>
      </c>
      <c r="DF108" s="2445" t="str" cm="1">
        <f t="array" ca="1" aca="1" ref="DF108">IFERROR(IF(AF108*fxVal_normal=_PL!AF108,"",IF(OR(AF108="",NOT(ISNUMBER(AF108)),ISERROR(AF108),$B108=""),"",IF($I108=1,IFBLANK(_xldudf_CX_PUSH(AF108*fxVal_normal,CX_ENTITY,$B108,AF$11,AF$14,AF$75,),""),IF($I108=2,IFBLANK(_xldudf_CX_PUSH(AF108,CX_ENTITY,$B108,AF$11,AF$14,AF$75,),""),IF($I108=3,"",IFBLANK(_xldudf_CX_PUSH(AF108,CX_ENTITY,$B108,AF$11,AF$14,AF$75,),"")))))),"")</f>
        <v/>
      </c>
      <c r="DG108" s="2445" t="str" cm="1">
        <f t="array" ca="1" aca="1" ref="DG108">IFERROR(IF(AG108*fxVal_normal=_PL!AG108,"",IF(OR(AG108="",NOT(ISNUMBER(AG108)),ISERROR(AG108),$B108=""),"",IF($I108=1,IFBLANK(_xldudf_CX_PUSH(AG108*fxVal_normal,CX_ENTITY,$B108,AG$11,AG$14,AG$75,),""),IF($I108=2,IFBLANK(_xldudf_CX_PUSH(AG108,CX_ENTITY,$B108,AG$11,AG$14,AG$75,),""),IF($I108=3,"",IFBLANK(_xldudf_CX_PUSH(AG108,CX_ENTITY,$B108,AG$11,AG$14,AG$75,),"")))))),"")</f>
        <v/>
      </c>
      <c r="DH108" s="2445" t="str" cm="1">
        <f t="array" ca="1" aca="1" ref="DH108">IFERROR(IF(AH108*fxVal_normal=_PL!AH108,"",IF(OR(AH108="",NOT(ISNUMBER(AH108)),ISERROR(AH108),$B108=""),"",IF($I108=1,IFBLANK(_xldudf_CX_PUSH(AH108*fxVal_normal,CX_ENTITY,$B108,AH$11,AH$14,AH$75,),""),IF($I108=2,IFBLANK(_xldudf_CX_PUSH(AH108,CX_ENTITY,$B108,AH$11,AH$14,AH$75,),""),IF($I108=3,"",IFBLANK(_xldudf_CX_PUSH(AH108,CX_ENTITY,$B108,AH$11,AH$14,AH$75,),"")))))),"")</f>
        <v/>
      </c>
      <c r="DI108" s="2445" t="str" cm="1">
        <f t="array" ca="1" aca="1" ref="DI108">IFERROR(IF(AI108*fxVal_normal=_PL!AI108,"",IF(OR(AI108="",NOT(ISNUMBER(AI108)),ISERROR(AI108),$B108=""),"",IF($I108=1,IFBLANK(_xldudf_CX_PUSH(AI108*fxVal_normal,CX_ENTITY,$B108,AI$11,AI$14,AI$75,),""),IF($I108=2,IFBLANK(_xldudf_CX_PUSH(AI108,CX_ENTITY,$B108,AI$11,AI$14,AI$75,),""),IF($I108=3,"",IFBLANK(_xldudf_CX_PUSH(AI108,CX_ENTITY,$B108,AI$11,AI$14,AI$75,),"")))))),"")</f>
        <v/>
      </c>
      <c r="DJ108" s="2445" t="str" cm="1">
        <f t="array" ca="1" aca="1" ref="DJ108">IFERROR(IF(AJ108*fxVal_normal=_PL!AJ108,"",IF(OR(AJ108="",NOT(ISNUMBER(AJ108)),ISERROR(AJ108),$B108=""),"",IF($I108=1,IFBLANK(_xldudf_CX_PUSH(AJ108*fxVal_normal,CX_ENTITY,$B108,AJ$11,AJ$14,AJ$75,),""),IF($I108=2,IFBLANK(_xldudf_CX_PUSH(AJ108,CX_ENTITY,$B108,AJ$11,AJ$14,AJ$75,),""),IF($I108=3,"",IFBLANK(_xldudf_CX_PUSH(AJ108,CX_ENTITY,$B108,AJ$11,AJ$14,AJ$75,),"")))))),"")</f>
        <v/>
      </c>
      <c r="DK108" s="2445" t="str" cm="1">
        <f t="array" ca="1" aca="1" ref="DK108">IFERROR(IF(AK108*fxVal_normal=_PL!AK108,"",IF(OR(AK108="",NOT(ISNUMBER(AK108)),ISERROR(AK108),$B108=""),"",IF($I108=1,IFBLANK(_xldudf_CX_PUSH(AK108*fxVal_normal,CX_ENTITY,$B108,AK$11,AK$14,AK$75,),""),IF($I108=2,IFBLANK(_xldudf_CX_PUSH(AK108,CX_ENTITY,$B108,AK$11,AK$14,AK$75,),""),IF($I108=3,"",IFBLANK(_xldudf_CX_PUSH(AK108,CX_ENTITY,$B108,AK$11,AK$14,AK$75,),"")))))),"")</f>
        <v/>
      </c>
      <c r="DL108" s="2445" t="str" cm="1">
        <f t="array" ca="1" aca="1" ref="DL108">IFERROR(IF(AL108*fxVal_normal=_PL!AL108,"",IF(OR(AL108="",NOT(ISNUMBER(AL108)),ISERROR(AL108),$B108=""),"",IF($I108=1,IFBLANK(_xldudf_CX_PUSH(AL108*fxVal_normal,CX_ENTITY,$B108,AL$11,AL$14,AL$75,),""),IF($I108=2,IFBLANK(_xldudf_CX_PUSH(AL108,CX_ENTITY,$B108,AL$11,AL$14,AL$75,),""),IF($I108=3,"",IFBLANK(_xldudf_CX_PUSH(AL108,CX_ENTITY,$B108,AL$11,AL$14,AL$75,),"")))))),"")</f>
        <v/>
      </c>
      <c r="DM108" s="2445" t="str" cm="1">
        <f t="array" ca="1" aca="1" ref="DM108">IFERROR(IF(AM108*fxVal_normal=_PL!AM108,"",IF(OR(AM108="",NOT(ISNUMBER(AM108)),ISERROR(AM108),$B108=""),"",IF($I108=1,IFBLANK(_xldudf_CX_PUSH(AM108*fxVal_normal,CX_ENTITY,$B108,AM$11,AM$14,AM$75,),""),IF($I108=2,IFBLANK(_xldudf_CX_PUSH(AM108,CX_ENTITY,$B108,AM$11,AM$14,AM$75,),""),IF($I108=3,"",IFBLANK(_xldudf_CX_PUSH(AM108,CX_ENTITY,$B108,AM$11,AM$14,AM$75,),"")))))),"")</f>
        <v/>
      </c>
      <c r="DN108" s="2445" t="str" cm="1">
        <f t="array" ca="1" aca="1" ref="DN108">IFERROR(IF(AN108*fxVal_normal=_PL!AN108,"",IF(OR(AN108="",NOT(ISNUMBER(AN108)),ISERROR(AN108),$B108=""),"",IF($I108=1,IFBLANK(_xldudf_CX_PUSH(AN108*fxVal_normal,CX_ENTITY,$B108,AN$11,AN$14,AN$75,),""),IF($I108=2,IFBLANK(_xldudf_CX_PUSH(AN108,CX_ENTITY,$B108,AN$11,AN$14,AN$75,),""),IF($I108=3,"",IFBLANK(_xldudf_CX_PUSH(AN108,CX_ENTITY,$B108,AN$11,AN$14,AN$75,),"")))))),"")</f>
        <v/>
      </c>
      <c r="DO108" s="2445" t="str" cm="1">
        <f t="array" ca="1" aca="1" ref="DO108">IFERROR(IF(AO108*fxVal_normal=_PL!AO108,"",IF(OR(AO108="",NOT(ISNUMBER(AO108)),ISERROR(AO108),$B108=""),"",IF($I108=1,IFBLANK(_xldudf_CX_PUSH(AO108*fxVal_normal,CX_ENTITY,$B108,AO$11,AO$14,AO$75,),""),IF($I108=2,IFBLANK(_xldudf_CX_PUSH(AO108,CX_ENTITY,$B108,AO$11,AO$14,AO$75,),""),IF($I108=3,"",IFBLANK(_xldudf_CX_PUSH(AO108,CX_ENTITY,$B108,AO$11,AO$14,AO$75,),"")))))),"")</f>
        <v/>
      </c>
      <c r="DP108" s="2445" t="str" cm="1">
        <f t="array" ca="1" aca="1" ref="DP108">IFERROR(IF(AP108*fxVal_normal=_PL!AP108,"",IF(OR(AP108="",NOT(ISNUMBER(AP108)),ISERROR(AP108),$B108=""),"",IF($I108=1,IFBLANK(_xldudf_CX_PUSH(AP108*fxVal_normal,CX_ENTITY,$B108,AP$11,AP$14,AP$75,),""),IF($I108=2,IFBLANK(_xldudf_CX_PUSH(AP108,CX_ENTITY,$B108,AP$11,AP$14,AP$75,),""),IF($I108=3,"",IFBLANK(_xldudf_CX_PUSH(AP108,CX_ENTITY,$B108,AP$11,AP$14,AP$75,),"")))))),"")</f>
        <v/>
      </c>
      <c r="DQ108" s="2445" t="str" cm="1">
        <f t="array" ca="1" aca="1" ref="DQ108">IFERROR(IF(AQ108*fxVal_normal=_PL!AQ108,"",IF(OR(AQ108="",NOT(ISNUMBER(AQ108)),ISERROR(AQ108),$B108=""),"",IF($I108=1,IFBLANK(_xldudf_CX_PUSH(AQ108*fxVal_normal,CX_ENTITY,$B108,AQ$11,AQ$14,AQ$75,),""),IF($I108=2,IFBLANK(_xldudf_CX_PUSH(AQ108,CX_ENTITY,$B108,AQ$11,AQ$14,AQ$75,),""),IF($I108=3,"",IFBLANK(_xldudf_CX_PUSH(AQ108,CX_ENTITY,$B108,AQ$11,AQ$14,AQ$75,),"")))))),"")</f>
        <v/>
      </c>
      <c r="DR108" s="2445" t="str" cm="1">
        <f t="array" ca="1" aca="1" ref="DR108">IFERROR(IF(AR108*fxVal_normal=_PL!AR108,"",IF(OR(AR108="",NOT(ISNUMBER(AR108)),ISERROR(AR108),$B108=""),"",IF($I108=1,IFBLANK(_xldudf_CX_PUSH(AR108*fxVal_normal,CX_ENTITY,$B108,AR$11,AR$14,AR$75,),""),IF($I108=2,IFBLANK(_xldudf_CX_PUSH(AR108,CX_ENTITY,$B108,AR$11,AR$14,AR$75,),""),IF($I108=3,"",IFBLANK(_xldudf_CX_PUSH(AR108,CX_ENTITY,$B108,AR$11,AR$14,AR$75,),"")))))),"")</f>
        <v/>
      </c>
      <c r="DS108" s="2445" t="str" cm="1">
        <f t="array" ca="1" aca="1" ref="DS108">IFERROR(IF(AS108*fxVal_normal=_PL!AS108,"",IF(OR(AS108="",NOT(ISNUMBER(AS108)),ISERROR(AS108),$B108=""),"",IF($I108=1,IFBLANK(_xldudf_CX_PUSH(AS108*fxVal_normal,CX_ENTITY,$B108,AS$11,AS$14,AS$75,),""),IF($I108=2,IFBLANK(_xldudf_CX_PUSH(AS108,CX_ENTITY,$B108,AS$11,AS$14,AS$75,),""),IF($I108=3,"",IFBLANK(_xldudf_CX_PUSH(AS108,CX_ENTITY,$B108,AS$11,AS$14,AS$75,),"")))))),"")</f>
        <v/>
      </c>
      <c r="DT108" s="2445" t="str" cm="1">
        <f t="array" ca="1" aca="1" ref="DT108">IFERROR(IF(AT108*fxVal_normal=_PL!AT108,"",IF(OR(AT108="",NOT(ISNUMBER(AT108)),ISERROR(AT108),$B108=""),"",IF($I108=1,IFBLANK(_xldudf_CX_PUSH(AT108*fxVal_normal,CX_ENTITY,$B108,AT$11,AT$14,AT$75,),""),IF($I108=2,IFBLANK(_xldudf_CX_PUSH(AT108,CX_ENTITY,$B108,AT$11,AT$14,AT$75,),""),IF($I108=3,"",IFBLANK(_xldudf_CX_PUSH(AT108,CX_ENTITY,$B108,AT$11,AT$14,AT$75,),"")))))),"")</f>
        <v/>
      </c>
      <c r="DU108" s="2445" t="str" cm="1">
        <f t="array" ca="1" aca="1" ref="DU108">IFERROR(IF(AU108*fxVal_normal=_PL!AU108,"",IF(OR(AU108="",NOT(ISNUMBER(AU108)),ISERROR(AU108),$B108=""),"",IF($I108=1,IFBLANK(_xldudf_CX_PUSH(AU108*fxVal_normal,CX_ENTITY,$B108,AU$11,AU$14,AU$75,),""),IF($I108=2,IFBLANK(_xldudf_CX_PUSH(AU108,CX_ENTITY,$B108,AU$11,AU$14,AU$75,),""),IF($I108=3,"",IFBLANK(_xldudf_CX_PUSH(AU108,CX_ENTITY,$B108,AU$11,AU$14,AU$75,),"")))))),"")</f>
        <v/>
      </c>
      <c r="DV108" s="2445" t="str" cm="1">
        <f t="array" ca="1" aca="1" ref="DV108">IFERROR(IF(AV108*fxVal_normal=_PL!AV108,"",IF(OR(AV108="",NOT(ISNUMBER(AV108)),ISERROR(AV108),$B108=""),"",IF($I108=1,IFBLANK(_xldudf_CX_PUSH(AV108*fxVal_normal,CX_ENTITY,$B108,AV$11,AV$14,AV$75,),""),IF($I108=2,IFBLANK(_xldudf_CX_PUSH(AV108,CX_ENTITY,$B108,AV$11,AV$14,AV$75,),""),IF($I108=3,"",IFBLANK(_xldudf_CX_PUSH(AV108,CX_ENTITY,$B108,AV$11,AV$14,AV$75,),"")))))),"")</f>
        <v/>
      </c>
      <c r="DW108" s="2445" t="str" cm="1">
        <f t="array" ca="1" aca="1" ref="DW108">IFERROR(IF(AW108*fxVal_normal=_PL!AW108,"",IF(OR(AW108="",NOT(ISNUMBER(AW108)),ISERROR(AW108),$B108=""),"",IF($I108=1,IFBLANK(_xldudf_CX_PUSH(AW108*fxVal_normal,CX_ENTITY,$B108,AW$11,AW$14,AW$75,),""),IF($I108=2,IFBLANK(_xldudf_CX_PUSH(AW108,CX_ENTITY,$B108,AW$11,AW$14,AW$75,),""),IF($I108=3,"",IFBLANK(_xldudf_CX_PUSH(AW108,CX_ENTITY,$B108,AW$11,AW$14,AW$75,),"")))))),"")</f>
        <v/>
      </c>
      <c r="DX108" s="2445" t="str" cm="1">
        <f t="array" ca="1" aca="1" ref="DX108">IFERROR(IF(AX108*fxVal_normal=_PL!AX108,"",IF(OR(AX108="",NOT(ISNUMBER(AX108)),ISERROR(AX108),$B108=""),"",IF($I108=1,IFBLANK(_xldudf_CX_PUSH(AX108*fxVal_normal,CX_ENTITY,$B108,AX$11,AX$14,AX$75,),""),IF($I108=2,IFBLANK(_xldudf_CX_PUSH(AX108,CX_ENTITY,$B108,AX$11,AX$14,AX$75,),""),IF($I108=3,"",IFBLANK(_xldudf_CX_PUSH(AX108,CX_ENTITY,$B108,AX$11,AX$14,AX$75,),"")))))),"")</f>
        <v/>
      </c>
      <c r="DY108" s="2445" t="str" cm="1">
        <f t="array" ca="1" aca="1" ref="DY108">IFERROR(IF(AY108*fxVal_normal=_PL!AY108,"",IF(OR(AY108="",NOT(ISNUMBER(AY108)),ISERROR(AY108),$B108=""),"",IF($I108=1,IFBLANK(_xldudf_CX_PUSH(AY108*fxVal_normal,CX_ENTITY,$B108,AY$11,AY$14,AY$75,),""),IF($I108=2,IFBLANK(_xldudf_CX_PUSH(AY108,CX_ENTITY,$B108,AY$11,AY$14,AY$75,),""),IF($I108=3,"",IFBLANK(_xldudf_CX_PUSH(AY108,CX_ENTITY,$B108,AY$11,AY$14,AY$75,),"")))))),"")</f>
        <v/>
      </c>
      <c r="DZ108" s="2445" t="str" cm="1">
        <f t="array" ca="1" aca="1" ref="DZ108">IFERROR(IF(AZ108*fxVal_normal=_PL!AZ108,"",IF(OR(AZ108="",NOT(ISNUMBER(AZ108)),ISERROR(AZ108),$B108=""),"",IF($I108=1,IFBLANK(_xldudf_CX_PUSH(AZ108*fxVal_normal,CX_ENTITY,$B108,AZ$11,AZ$14,AZ$75,),""),IF($I108=2,IFBLANK(_xldudf_CX_PUSH(AZ108,CX_ENTITY,$B108,AZ$11,AZ$14,AZ$75,),""),IF($I108=3,"",IFBLANK(_xldudf_CX_PUSH(AZ108,CX_ENTITY,$B108,AZ$11,AZ$14,AZ$75,),"")))))),"")</f>
        <v/>
      </c>
      <c r="EA108" s="2445" t="str" cm="1">
        <f t="array" ca="1" aca="1" ref="EA108">IFERROR(IF(BA108*fxVal_normal=_PL!BA108,"",IF(OR(BA108="",NOT(ISNUMBER(BA108)),ISERROR(BA108),$B108=""),"",IF($I108=1,IFBLANK(_xldudf_CX_PUSH(BA108*fxVal_normal,CX_ENTITY,$B108,BA$11,BA$14,BA$75,),""),IF($I108=2,IFBLANK(_xldudf_CX_PUSH(BA108,CX_ENTITY,$B108,BA$11,BA$14,BA$75,),""),IF($I108=3,"",IFBLANK(_xldudf_CX_PUSH(BA108,CX_ENTITY,$B108,BA$11,BA$14,BA$75,),"")))))),"")</f>
        <v/>
      </c>
      <c r="EB108" s="2445" t="str" cm="1">
        <f t="array" ca="1" aca="1" ref="EB108">IFERROR(IF(BB108*fxVal_normal=_PL!BB108,"",IF(OR(BB108="",NOT(ISNUMBER(BB108)),ISERROR(BB108),$B108=""),"",IF($I108=1,IFBLANK(_xldudf_CX_PUSH(BB108*fxVal_normal,CX_ENTITY,$B108,BB$11,BB$14,BB$75,),""),IF($I108=2,IFBLANK(_xldudf_CX_PUSH(BB108,CX_ENTITY,$B108,BB$11,BB$14,BB$75,),""),IF($I108=3,"",IFBLANK(_xldudf_CX_PUSH(BB108,CX_ENTITY,$B108,BB$11,BB$14,BB$75,),"")))))),"")</f>
        <v/>
      </c>
      <c r="EC108" s="2445" t="str" cm="1">
        <f t="array" ca="1" aca="1" ref="EC108">IFERROR(IF(BC108*fxVal_normal=_PL!BC108,"",IF(OR(BC108="",NOT(ISNUMBER(BC108)),ISERROR(BC108),$B108=""),"",IF($I108=1,IFBLANK(_xldudf_CX_PUSH(BC108*fxVal_normal,CX_ENTITY,$B108,BC$11,BC$14,BC$75,),""),IF($I108=2,IFBLANK(_xldudf_CX_PUSH(BC108,CX_ENTITY,$B108,BC$11,BC$14,BC$75,),""),IF($I108=3,"",IFBLANK(_xldudf_CX_PUSH(BC108,CX_ENTITY,$B108,BC$11,BC$14,BC$75,),"")))))),"")</f>
        <v/>
      </c>
      <c r="ED108" s="2445" t="str" cm="1">
        <f t="array" ca="1" aca="1" ref="ED108">IFERROR(IF(BD108*fxVal_normal=_PL!BD108,"",IF(OR(BD108="",NOT(ISNUMBER(BD108)),ISERROR(BD108),$B108=""),"",IF($I108=1,IFBLANK(_xldudf_CX_PUSH(BD108*fxVal_normal,CX_ENTITY,$B108,BD$11,BD$14,BD$75,),""),IF($I108=2,IFBLANK(_xldudf_CX_PUSH(BD108,CX_ENTITY,$B108,BD$11,BD$14,BD$75,),""),IF($I108=3,"",IFBLANK(_xldudf_CX_PUSH(BD108,CX_ENTITY,$B108,BD$11,BD$14,BD$75,),"")))))),"")</f>
        <v/>
      </c>
      <c r="EE108" s="2445" t="str" cm="1">
        <f t="array" ca="1" aca="1" ref="EE108">IFERROR(IF(BE108*fxVal_normal=_PL!BE108,"",IF(OR(BE108="",NOT(ISNUMBER(BE108)),ISERROR(BE108),$B108=""),"",IF($I108=1,IFBLANK(_xldudf_CX_PUSH(BE108*fxVal_normal,CX_ENTITY,$B108,BE$11,BE$14,BE$75,),""),IF($I108=2,IFBLANK(_xldudf_CX_PUSH(BE108,CX_ENTITY,$B108,BE$11,BE$14,BE$75,),""),IF($I108=3,"",IFBLANK(_xldudf_CX_PUSH(BE108,CX_ENTITY,$B108,BE$11,BE$14,BE$75,),"")))))),"")</f>
        <v/>
      </c>
      <c r="EF108" s="2445" t="str" cm="1">
        <f t="array" ca="1" aca="1" ref="EF108">IFERROR(IF(BF108*fxVal_normal=_PL!BF108,"",IF(OR(BF108="",NOT(ISNUMBER(BF108)),ISERROR(BF108),$B108=""),"",IF($I108=1,IFBLANK(_xldudf_CX_PUSH(BF108*fxVal_normal,CX_ENTITY,$B108,BF$11,BF$14,BF$75,),""),IF($I108=2,IFBLANK(_xldudf_CX_PUSH(BF108,CX_ENTITY,$B108,BF$11,BF$14,BF$75,),""),IF($I108=3,"",IFBLANK(_xldudf_CX_PUSH(BF108,CX_ENTITY,$B108,BF$11,BF$14,BF$75,),"")))))),"")</f>
        <v/>
      </c>
      <c r="EG108" s="2445" t="str" cm="1">
        <f t="array" ca="1" aca="1" ref="EG108">IFERROR(IF(BG108*fxVal_normal=_PL!BG108,"",IF(OR(BG108="",NOT(ISNUMBER(BG108)),ISERROR(BG108),$B108=""),"",IF($I108=1,IFBLANK(_xldudf_CX_PUSH(BG108*fxVal_normal,CX_ENTITY,$B108,BG$11,BG$14,BG$75,),""),IF($I108=2,IFBLANK(_xldudf_CX_PUSH(BG108,CX_ENTITY,$B108,BG$11,BG$14,BG$75,),""),IF($I108=3,"",IFBLANK(_xldudf_CX_PUSH(BG108,CX_ENTITY,$B108,BG$11,BG$14,BG$75,),"")))))),"")</f>
        <v/>
      </c>
      <c r="EH108" s="2445" t="str" cm="1">
        <f t="array" ca="1" aca="1" ref="EH108">IFERROR(IF(BH108*fxVal_normal=_PL!BH108,"",IF(OR(BH108="",NOT(ISNUMBER(BH108)),ISERROR(BH108),$B108=""),"",IF($I108=1,IFBLANK(_xldudf_CX_PUSH(BH108*fxVal_normal,CX_ENTITY,$B108,BH$11,BH$14,BH$75,),""),IF($I108=2,IFBLANK(_xldudf_CX_PUSH(BH108,CX_ENTITY,$B108,BH$11,BH$14,BH$75,),""),IF($I108=3,"",IFBLANK(_xldudf_CX_PUSH(BH108,CX_ENTITY,$B108,BH$11,BH$14,BH$75,),"")))))),"")</f>
        <v/>
      </c>
      <c r="EI108" s="2445" t="str" cm="1">
        <f t="array" ca="1" aca="1" ref="EI108">IFERROR(IF(BI108*fxVal_normal=_PL!BI108,"",IF(OR(BI108="",NOT(ISNUMBER(BI108)),ISERROR(BI108),$B108=""),"",IF($I108=1,IFBLANK(_xldudf_CX_PUSH(BI108*fxVal_normal,CX_ENTITY,$B108,BI$11,BI$14,BI$75,),""),IF($I108=2,IFBLANK(_xldudf_CX_PUSH(BI108,CX_ENTITY,$B108,BI$11,BI$14,BI$75,),""),IF($I108=3,"",IFBLANK(_xldudf_CX_PUSH(BI108,CX_ENTITY,$B108,BI$11,BI$14,BI$75,),"")))))),"")</f>
        <v/>
      </c>
      <c r="EJ108" s="2445" t="str" cm="1">
        <f t="array" ca="1" aca="1" ref="EJ108">IFERROR(IF(BJ108*fxVal_normal=_PL!BJ108,"",IF(OR(BJ108="",NOT(ISNUMBER(BJ108)),ISERROR(BJ108),$B108=""),"",IF($I108=1,IFBLANK(_xldudf_CX_PUSH(BJ108*fxVal_normal,CX_ENTITY,$B108,BJ$11,BJ$14,BJ$75,),""),IF($I108=2,IFBLANK(_xldudf_CX_PUSH(BJ108,CX_ENTITY,$B108,BJ$11,BJ$14,BJ$75,),""),IF($I108=3,"",IFBLANK(_xldudf_CX_PUSH(BJ108,CX_ENTITY,$B108,BJ$11,BJ$14,BJ$75,),"")))))),"")</f>
        <v/>
      </c>
      <c r="EK108" s="2445" t="str" cm="1">
        <f t="array" ca="1" aca="1" ref="EK108">IFERROR(IF(BK108*fxVal_normal=_PL!BK108,"",IF(OR(BK108="",NOT(ISNUMBER(BK108)),ISERROR(BK108),$B108=""),"",IF($I108=1,IFBLANK(_xldudf_CX_PUSH(BK108*fxVal_normal,CX_ENTITY,$B108,BK$11,BK$14,BK$75,),""),IF($I108=2,IFBLANK(_xldudf_CX_PUSH(BK108,CX_ENTITY,$B108,BK$11,BK$14,BK$75,),""),IF($I108=3,"",IFBLANK(_xldudf_CX_PUSH(BK108,CX_ENTITY,$B108,BK$11,BK$14,BK$75,),"")))))),"")</f>
        <v/>
      </c>
      <c r="EL108" s="2445" t="str" cm="1">
        <f t="array" ca="1" aca="1" ref="EL108">IFERROR(IF(BL108*fxVal_normal=_PL!BL108,"",IF(OR(BL108="",NOT(ISNUMBER(BL108)),ISERROR(BL108),$B108=""),"",IF($I108=1,IFBLANK(_xldudf_CX_PUSH(BL108*fxVal_normal,CX_ENTITY,$B108,BL$11,BL$14,BL$75,),""),IF($I108=2,IFBLANK(_xldudf_CX_PUSH(BL108,CX_ENTITY,$B108,BL$11,BL$14,BL$75,),""),IF($I108=3,"",IFBLANK(_xldudf_CX_PUSH(BL108,CX_ENTITY,$B108,BL$11,BL$14,BL$75,),"")))))),"")</f>
        <v/>
      </c>
      <c r="EM108" s="2445" t="str" cm="1">
        <f t="array" ca="1" aca="1" ref="EM108">IFERROR(IF(BM108*fxVal_normal=_PL!BM108,"",IF(OR(BM108="",NOT(ISNUMBER(BM108)),ISERROR(BM108),$B108=""),"",IF($I108=1,IFBLANK(_xldudf_CX_PUSH(BM108*fxVal_normal,CX_ENTITY,$B108,BM$11,BM$14,BM$75,),""),IF($I108=2,IFBLANK(_xldudf_CX_PUSH(BM108,CX_ENTITY,$B108,BM$11,BM$14,BM$75,),""),IF($I108=3,"",IFBLANK(_xldudf_CX_PUSH(BM108,CX_ENTITY,$B108,BM$11,BM$14,BM$75,),"")))))),"")</f>
        <v/>
      </c>
      <c r="EN108" s="2445" t="str" cm="1">
        <f t="array" ca="1" aca="1" ref="EN108">IFERROR(IF(BN108*fxVal_normal=_PL!BN108,"",IF(OR(BN108="",NOT(ISNUMBER(BN108)),ISERROR(BN108),$B108=""),"",IF($I108=1,IFBLANK(_xldudf_CX_PUSH(BN108*fxVal_normal,CX_ENTITY,$B108,BN$11,BN$14,BN$75,),""),IF($I108=2,IFBLANK(_xldudf_CX_PUSH(BN108,CX_ENTITY,$B108,BN$11,BN$14,BN$75,),""),IF($I108=3,"",IFBLANK(_xldudf_CX_PUSH(BN108,CX_ENTITY,$B108,BN$11,BN$14,BN$75,),"")))))),"")</f>
        <v/>
      </c>
    </row>
    <row r="109" spans="1:144" ht="21" customHeight="1">
      <c r="A109" s="1626"/>
      <c r="B109" s="2501" t="str">
        <f>_xlfn.LET(_xlpm.IsNotAttrDynamic,D109="",_xlpm.Attr,_PL!F109,_xlpm.NotInUse,Y109=D109,_xlpm.RESULT,IF(_xlpm.IsNotAttrDynamic,_xlpm.Attr,IF(_xlpm.NotInUse,"",Y109)),IF(_xlpm.RESULT="","",_xlpm.RESULT))</f>
        <v>Custom Metric Amount 8</v>
      </c>
      <c r="C109" s="3463" t="str" cm="1">
        <f t="array" ref="C109">IFBLANK(_PL!C109,"")</f>
        <v>Custom Metric - Label 8</v>
      </c>
      <c r="D109" s="1548"/>
      <c r="E109" s="2440" t="e" cm="1">
        <f t="array" ca="1" aca="1" ref="E10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109:$CQ109,Z109)</f>
        <v>#NAME?</v>
      </c>
      <c r="F109" s="578"/>
      <c r="G109" s="578"/>
      <c r="H109" s="3280">
        <v>1</v>
      </c>
      <c r="I109" s="3280">
        <v>1</v>
      </c>
      <c r="J109" s="401" cm="1">
        <f t="array" ref="J109">IFBLANK(Z109,"")</f>
        <v>-1</v>
      </c>
      <c r="K109" s="578" t="str">
        <f>IFERROR(IF(LEN(AB109)=0,"No",IF(LEN(J109)&gt;0,"Yes","No")),"")</f>
        <v>Yes</v>
      </c>
      <c r="L109" s="37"/>
      <c r="N109" s="158"/>
      <c r="O109" s="101"/>
      <c r="P109" s="52"/>
      <c r="Q109" s="101"/>
      <c r="R109" s="126"/>
      <c r="S109" s="101"/>
      <c r="T109" s="101"/>
      <c r="U109" s="39"/>
      <c r="V109" s="37"/>
      <c r="W109" s="91" t="str">
        <f t="shared" si="43"/>
        <v>Budget</v>
      </c>
      <c r="X109" s="2523" t="e">
        <f ca="1">_PL!X109</f>
        <v>#NAME?</v>
      </c>
      <c r="Y109" s="3202" cm="1">
        <f t="array" ref="Y109">IFBLANK(Y53,"")</f>
        <v>2</v>
      </c>
      <c r="Z109" s="198" cm="1">
        <f t="array" ref="Z109">IFBLANK(Z53,"")</f>
        <v>-1</v>
      </c>
      <c r="AA109" s="200"/>
      <c r="AB109" s="3200" cm="1">
        <f t="array" ref="AB109">IFBLANK(Y109,"")</f>
        <v>2</v>
      </c>
      <c r="AC109" s="2527" t="str" cm="1">
        <f t="array" ca="1" aca="1" ref="AC109">_xlfn.LET(_xlpm._termname,$AB109,_xlpm._iconname,"find",_xlpm._icon,fx_getIcon(_xlpm._iconname),_xlpm._location,_xlfn.XLOOKUP(LOWER(_xlpm._termname),LOWER(tbl_acctDef[Term]),tbl_acctDef[Term]),_xlpm._hyperlink,HYPERLINK("#"&amp;CELL("address",_xlpm._location),_xlpm._icon),IFERROR(_xlpm._hyperlink,""))</f>
        <v/>
      </c>
      <c r="AD109" s="3177">
        <v>1</v>
      </c>
      <c r="AE109" s="3177">
        <v>1</v>
      </c>
      <c r="AF109" s="3177">
        <v>1</v>
      </c>
      <c r="AG109" s="3177">
        <v>1</v>
      </c>
      <c r="AH109" s="3177">
        <v>1</v>
      </c>
      <c r="AI109" s="3177">
        <v>1</v>
      </c>
      <c r="AJ109" s="3177">
        <v>1</v>
      </c>
      <c r="AK109" s="3177">
        <v>1</v>
      </c>
      <c r="AL109" s="3177">
        <v>1</v>
      </c>
      <c r="AM109" s="3177">
        <v>1</v>
      </c>
      <c r="AN109" s="3177">
        <v>1</v>
      </c>
      <c r="AO109" s="3177">
        <v>1</v>
      </c>
      <c r="AP109" s="3177">
        <v>1</v>
      </c>
      <c r="AQ109" s="3177">
        <v>1</v>
      </c>
      <c r="AR109" s="3177">
        <v>1</v>
      </c>
      <c r="AS109" s="3177">
        <v>1</v>
      </c>
      <c r="AT109" s="3177">
        <v>1</v>
      </c>
      <c r="AU109" s="3177">
        <v>1</v>
      </c>
      <c r="AV109" s="3177">
        <v>1</v>
      </c>
      <c r="AW109" s="3177">
        <v>1</v>
      </c>
      <c r="AX109" s="3177">
        <v>1</v>
      </c>
      <c r="AY109" s="3177">
        <v>1</v>
      </c>
      <c r="AZ109" s="3177">
        <v>1</v>
      </c>
      <c r="BA109" s="3177">
        <v>1</v>
      </c>
      <c r="BB109" s="3177">
        <v>1</v>
      </c>
      <c r="BC109" s="3177">
        <v>1</v>
      </c>
      <c r="BD109" s="3177">
        <v>1</v>
      </c>
      <c r="BE109" s="3177">
        <v>1</v>
      </c>
      <c r="BF109" s="3177">
        <v>1</v>
      </c>
      <c r="BG109" s="3177">
        <v>1</v>
      </c>
      <c r="BH109" s="3177">
        <v>1</v>
      </c>
      <c r="BI109" s="3177">
        <v>1</v>
      </c>
      <c r="BJ109" s="3177">
        <v>1</v>
      </c>
      <c r="BK109" s="3177">
        <v>1</v>
      </c>
      <c r="BL109" s="3177">
        <v>1</v>
      </c>
      <c r="BM109" s="3177">
        <v>1</v>
      </c>
      <c r="BN109" s="3177">
        <v>1</v>
      </c>
      <c r="BO109" s="2518"/>
      <c r="BP109" s="2518"/>
      <c r="BQ109" s="2518"/>
      <c r="BR109" s="2518"/>
      <c r="BS109" s="2518"/>
      <c r="BT109" s="2518"/>
      <c r="BU109" s="2518"/>
      <c r="BV109" s="2518"/>
      <c r="BW109" s="2518"/>
      <c r="BX109" s="2518"/>
      <c r="BY109" s="2518"/>
      <c r="BZ109" s="2518"/>
      <c r="CA109" s="34"/>
      <c r="CC109" s="33"/>
      <c r="CD109" s="1772" t="e" cm="1">
        <f t="array" ca="1" aca="1" ref="CD109">_xlfn.LET(_xlpm.CheckBlank,SUM(PL!$AD109:$BN109)=0,IF(_xlpm.CheckBlank,"",SUM(_xlfn._xlws.FILTER(PL!$AD109:$BN109,(YEAR(PL!$AD$12:$BN$12)=PL!CD$12)*(array_timeline&lt;=PL!CD$11)))))</f>
        <v>#NAME?</v>
      </c>
      <c r="CE109" s="1772" t="e" cm="1">
        <f t="array" ca="1" aca="1" ref="CE109">_xlfn.LET(_xlpm.CheckBlank,SUM(PL!$AD109:$BN109)=0,IF(_xlpm.CheckBlank,"",SUM(_xlfn._xlws.FILTER(PL!$AD109:$BN109,(YEAR(PL!$AD$12:$BN$12)=PL!CE$12)*(array_timeline&lt;=PL!CE$11)))))</f>
        <v>#NAME?</v>
      </c>
      <c r="CF109" s="3"/>
      <c r="CG109" s="1461" t="e" cm="1">
        <f t="array" ca="1" aca="1" ref="CG109">_xlfn.LET(_xlpm.CheckBlank,SUM(PL!$AD109:$BN109)=0,IF(_xlpm.CheckBlank,"",SUM(_xlfn._xlws.FILTER(PL!$AD109:$BN109,(YEAR(PL!$AD$12:$BN$12)=PL!CG$12)*(array_timeline&lt;=PL!CG$11)))))</f>
        <v>#NAME?</v>
      </c>
      <c r="CH109" s="1461" t="e" cm="1">
        <f t="array" ca="1" aca="1" ref="CH109">_xlfn.LET(_xlpm.CheckBlank,SUM(PL!$AD109:$BN109)=0,IF(_xlpm.CheckBlank,"",SUM(_xlfn._xlws.FILTER(PL!$AD109:$BN109,(YEAR(PL!$AD$12:$BN$12)=PL!CH$12)*(array_timeline&lt;=PL!CH$11)))))</f>
        <v>#NAME?</v>
      </c>
      <c r="CI109" s="3"/>
      <c r="CJ109" s="1461" cm="1">
        <f t="array" ref="CJ109">_xlfn.LET(_xlpm.CheckBlank,SUM(PL!$AD109:$BN109)=0,IF(_xlpm.CheckBlank,"",SUM(_xlfn.TAKE(_xlfn.DROP(PL!$AD109:$BN109,,-DATEDIFF(PL!CJ$11,val_asOfDate,"M")),1,-12))))</f>
        <v>12</v>
      </c>
      <c r="CK109" s="1461" cm="1">
        <f t="array" ref="CK109">_xlfn.LET(_xlpm.CheckBlank,SUM(PL!$AD109:$BN109)=0,IF(_xlpm.CheckBlank,"",SUM(_xlfn.TAKE(_xlfn.DROP(PL!$AD109:$BN109,,-DATEDIFF(PL!CK$11,val_asOfDate,"M")),1,-12))))</f>
        <v>12</v>
      </c>
      <c r="CL109" s="3"/>
      <c r="CM109" s="3203" cm="1">
        <f t="array" ref="CM109">IFBLANK(CM53,"")</f>
        <v>1</v>
      </c>
      <c r="CN109" s="3203" cm="1">
        <f t="array" ref="CN109">IFBLANK(CN53,"")</f>
        <v>1</v>
      </c>
      <c r="CO109" s="3"/>
      <c r="CP109" s="3203" cm="1">
        <f t="array" ref="CP109">IFBLANK(CP53,"")</f>
        <v>1</v>
      </c>
      <c r="CQ109" s="3203" cm="1">
        <f t="array" ref="CQ109">IFBLANK(CQ53,"")</f>
        <v>1</v>
      </c>
      <c r="CR109" s="34"/>
      <c r="CS109" s="2056"/>
      <c r="CT109" s="2447" t="e" cm="1">
        <f t="array" ca="1" aca="1" ref="CT109">IF(Y109="","",IF(ISNUMBER(SEARCH("Select",$Y109)),"",_xldudf_CX_PUSH($Y109,CX_ENTITY,C109,val_asOfDate)))</f>
        <v>#NAME?</v>
      </c>
      <c r="CU109" s="2447" t="e" cm="1">
        <f t="array" ca="1" aca="1" ref="CU109">IF(Y109="","",IF(ISNUMBER(SEARCH("Select",$Y109)),"",_xldudf_CX_PUSH($Y109,CX_ENTITY,C109,EOMONTH(val_asOfDate,1))))</f>
        <v>#NAME?</v>
      </c>
      <c r="CV109" s="2447" t="e" cm="1">
        <f t="array" ca="1" aca="1" ref="CV109">IF(Y109="","",IF(ISNUMBER(SEARCH("Select",$Y109)),"",_xldudf_CX_PUSH($Y109,CX_ENTITY,C109,EOMONTH(val_asOfDate,2))))</f>
        <v>#NAME?</v>
      </c>
      <c r="CW109" s="2447" t="e" cm="1">
        <f t="array" ca="1" aca="1" ref="CW109">IF(Y109="","",IF(ISNUMBER(SEARCH("Select",$Y109)),"",_xldudf_CX_PUSH($Y109,CX_ENTITY,C109,EOMONTH(val_asOfDate,3))))</f>
        <v>#NAME?</v>
      </c>
      <c r="CX109" s="2443"/>
      <c r="CY109" s="2444" t="str" cm="1">
        <f t="array" ca="1" aca="1" ref="CY109">IFERROR(IF(CM109*fxVal_normal=_PL!CM109,"",IF(OR($CM109="",$CM109=0,NOT(ISNUMBER($CM109)),ISERROR($CM109),$B109=""),"",IF($I109=1,IFBLANK(_xldudf_CX_PUSH($CM109*fxVal_normal,CX_ENTITY,$B109,$CM$11,$CM$14,$CM$19,),""),IF($I109=2,IFBLANK(_xldudf_CX_PUSH($CM109,CX_ENTITY,$B109,$CM$11,$CM$14,$CM$19,),""),IF($I109=3,"",IFBLANK(_xldudf_CX_PUSH($CM109,CX_ENTITY,$B109,$CM$11,$CM$14,$CM$19,),"")))))),"")</f>
        <v/>
      </c>
      <c r="CZ109" s="2444" t="str" cm="1">
        <f t="array" ca="1" aca="1" ref="CZ109">IFERROR(IF(CN109*fxVal_normal=_PL!CN109,"",IF(OR($CN109="",$CN109=0,NOT(ISNUMBER($CN109)),ISERROR($CN109),$B109=""),"",IF($I109=1,IFBLANK(_xldudf_CX_PUSH($CN109*fxVal_normal,CX_ENTITY,$B109,$CN$11,$CN$14,$CN$19,),""),IF($I109=2,IFBLANK(_xldudf_CX_PUSH($CN109,CX_ENTITY,$B109,$CN$11,$CN$14,$CN$19,),""),IF($I109=3,"",IFBLANK(_xldudf_CX_PUSH($CN109,CX_ENTITY,$B109,$CN$11,$CN$14,$CN$19,),"")))))),"")</f>
        <v/>
      </c>
      <c r="DA109" s="2444" t="str" cm="1">
        <f t="array" ca="1" aca="1" ref="DA109">IFERROR(IF(CP109*fxVal_normal=_PL!CP109,"",IF(OR($CP109="",$CP109=0,NOT(ISNUMBER($CP109)),ISERROR($CP109),$B109=""),"",IF($I109=1,IFBLANK(_xldudf_CX_PUSH($CP109*fxVal_normal,CX_ENTITY,$B109,$CP$11,$CP$14,$CP$19,),""),IF($I109=2,IFBLANK(_xldudf_CX_PUSH($CP109,CX_ENTITY,$B109,$CP$11,$CP$14,$CP$19,),""),IF($I109=3,"",IFBLANK(_xldudf_CX_PUSH($CP109,CX_ENTITY,$B109,$CP$11,$CP$14,$CP$19,),"")))))),"")</f>
        <v/>
      </c>
      <c r="DB109" s="2444" t="str" cm="1">
        <f t="array" ca="1" aca="1" ref="DB109">IFERROR(IF(CQ109*fxVal_normal=_PL!CQ109,"",IF(OR($CQ109="",$CQ109=0,NOT(ISNUMBER($CQ109)),ISERROR($CQ109),$B109=""),"",IF($I109=1,IFBLANK(_xldudf_CX_PUSH($CQ109*fxVal_normal,CX_ENTITY,$B109,$CQ$11,$CQ$14,$CQ$19,),""),IF($I109=2,IFBLANK(_xldudf_CX_PUSH($CQ109,CX_ENTITY,$B109,$CQ$11,$CQ$14,$CQ$19,),""),IF($I109=3,"",IFBLANK(_xldudf_CX_PUSH($CQ109,CX_ENTITY,$B109,$CQ$11,$CQ$14,$CQ$19,),"")))))),"")</f>
        <v/>
      </c>
      <c r="DC109" s="2443"/>
      <c r="DD109" s="2445" t="str" cm="1">
        <f t="array" ca="1" aca="1" ref="DD109">IFERROR(IF(AD109*fxVal_normal=_PL!AD109,"",IF(OR(AD109="",NOT(ISNUMBER(AD109)),ISERROR(AD109),$B109=""),"",IF($I109=1,IFBLANK(_xldudf_CX_PUSH(AD109*fxVal_normal,CX_ENTITY,$B109,AD$11,AD$14,AD$75,),""),IF($I109=2,IFBLANK(_xldudf_CX_PUSH(AD109,CX_ENTITY,$B109,AD$11,AD$14,AD$75,),""),IF($I109=3,"",IFBLANK(_xldudf_CX_PUSH(AD109,CX_ENTITY,$B109,AD$11,AD$14,AD$75,),"")))))),"")</f>
        <v/>
      </c>
      <c r="DE109" s="2445" t="str" cm="1">
        <f t="array" ca="1" aca="1" ref="DE109">IFERROR(IF(AE109*fxVal_normal=_PL!AE109,"",IF(OR(AE109="",NOT(ISNUMBER(AE109)),ISERROR(AE109),$B109=""),"",IF($I109=1,IFBLANK(_xldudf_CX_PUSH(AE109*fxVal_normal,CX_ENTITY,$B109,AE$11,AE$14,AE$75,),""),IF($I109=2,IFBLANK(_xldudf_CX_PUSH(AE109,CX_ENTITY,$B109,AE$11,AE$14,AE$75,),""),IF($I109=3,"",IFBLANK(_xldudf_CX_PUSH(AE109,CX_ENTITY,$B109,AE$11,AE$14,AE$75,),"")))))),"")</f>
        <v/>
      </c>
      <c r="DF109" s="2445" t="str" cm="1">
        <f t="array" ca="1" aca="1" ref="DF109">IFERROR(IF(AF109*fxVal_normal=_PL!AF109,"",IF(OR(AF109="",NOT(ISNUMBER(AF109)),ISERROR(AF109),$B109=""),"",IF($I109=1,IFBLANK(_xldudf_CX_PUSH(AF109*fxVal_normal,CX_ENTITY,$B109,AF$11,AF$14,AF$75,),""),IF($I109=2,IFBLANK(_xldudf_CX_PUSH(AF109,CX_ENTITY,$B109,AF$11,AF$14,AF$75,),""),IF($I109=3,"",IFBLANK(_xldudf_CX_PUSH(AF109,CX_ENTITY,$B109,AF$11,AF$14,AF$75,),"")))))),"")</f>
        <v/>
      </c>
      <c r="DG109" s="2445" t="str" cm="1">
        <f t="array" ca="1" aca="1" ref="DG109">IFERROR(IF(AG109*fxVal_normal=_PL!AG109,"",IF(OR(AG109="",NOT(ISNUMBER(AG109)),ISERROR(AG109),$B109=""),"",IF($I109=1,IFBLANK(_xldudf_CX_PUSH(AG109*fxVal_normal,CX_ENTITY,$B109,AG$11,AG$14,AG$75,),""),IF($I109=2,IFBLANK(_xldudf_CX_PUSH(AG109,CX_ENTITY,$B109,AG$11,AG$14,AG$75,),""),IF($I109=3,"",IFBLANK(_xldudf_CX_PUSH(AG109,CX_ENTITY,$B109,AG$11,AG$14,AG$75,),"")))))),"")</f>
        <v/>
      </c>
      <c r="DH109" s="2445" t="str" cm="1">
        <f t="array" ca="1" aca="1" ref="DH109">IFERROR(IF(AH109*fxVal_normal=_PL!AH109,"",IF(OR(AH109="",NOT(ISNUMBER(AH109)),ISERROR(AH109),$B109=""),"",IF($I109=1,IFBLANK(_xldudf_CX_PUSH(AH109*fxVal_normal,CX_ENTITY,$B109,AH$11,AH$14,AH$75,),""),IF($I109=2,IFBLANK(_xldudf_CX_PUSH(AH109,CX_ENTITY,$B109,AH$11,AH$14,AH$75,),""),IF($I109=3,"",IFBLANK(_xldudf_CX_PUSH(AH109,CX_ENTITY,$B109,AH$11,AH$14,AH$75,),"")))))),"")</f>
        <v/>
      </c>
      <c r="DI109" s="2445" t="str" cm="1">
        <f t="array" ca="1" aca="1" ref="DI109">IFERROR(IF(AI109*fxVal_normal=_PL!AI109,"",IF(OR(AI109="",NOT(ISNUMBER(AI109)),ISERROR(AI109),$B109=""),"",IF($I109=1,IFBLANK(_xldudf_CX_PUSH(AI109*fxVal_normal,CX_ENTITY,$B109,AI$11,AI$14,AI$75,),""),IF($I109=2,IFBLANK(_xldudf_CX_PUSH(AI109,CX_ENTITY,$B109,AI$11,AI$14,AI$75,),""),IF($I109=3,"",IFBLANK(_xldudf_CX_PUSH(AI109,CX_ENTITY,$B109,AI$11,AI$14,AI$75,),"")))))),"")</f>
        <v/>
      </c>
      <c r="DJ109" s="2445" t="str" cm="1">
        <f t="array" ca="1" aca="1" ref="DJ109">IFERROR(IF(AJ109*fxVal_normal=_PL!AJ109,"",IF(OR(AJ109="",NOT(ISNUMBER(AJ109)),ISERROR(AJ109),$B109=""),"",IF($I109=1,IFBLANK(_xldudf_CX_PUSH(AJ109*fxVal_normal,CX_ENTITY,$B109,AJ$11,AJ$14,AJ$75,),""),IF($I109=2,IFBLANK(_xldudf_CX_PUSH(AJ109,CX_ENTITY,$B109,AJ$11,AJ$14,AJ$75,),""),IF($I109=3,"",IFBLANK(_xldudf_CX_PUSH(AJ109,CX_ENTITY,$B109,AJ$11,AJ$14,AJ$75,),"")))))),"")</f>
        <v/>
      </c>
      <c r="DK109" s="2445" t="str" cm="1">
        <f t="array" ca="1" aca="1" ref="DK109">IFERROR(IF(AK109*fxVal_normal=_PL!AK109,"",IF(OR(AK109="",NOT(ISNUMBER(AK109)),ISERROR(AK109),$B109=""),"",IF($I109=1,IFBLANK(_xldudf_CX_PUSH(AK109*fxVal_normal,CX_ENTITY,$B109,AK$11,AK$14,AK$75,),""),IF($I109=2,IFBLANK(_xldudf_CX_PUSH(AK109,CX_ENTITY,$B109,AK$11,AK$14,AK$75,),""),IF($I109=3,"",IFBLANK(_xldudf_CX_PUSH(AK109,CX_ENTITY,$B109,AK$11,AK$14,AK$75,),"")))))),"")</f>
        <v/>
      </c>
      <c r="DL109" s="2445" t="str" cm="1">
        <f t="array" ca="1" aca="1" ref="DL109">IFERROR(IF(AL109*fxVal_normal=_PL!AL109,"",IF(OR(AL109="",NOT(ISNUMBER(AL109)),ISERROR(AL109),$B109=""),"",IF($I109=1,IFBLANK(_xldudf_CX_PUSH(AL109*fxVal_normal,CX_ENTITY,$B109,AL$11,AL$14,AL$75,),""),IF($I109=2,IFBLANK(_xldudf_CX_PUSH(AL109,CX_ENTITY,$B109,AL$11,AL$14,AL$75,),""),IF($I109=3,"",IFBLANK(_xldudf_CX_PUSH(AL109,CX_ENTITY,$B109,AL$11,AL$14,AL$75,),"")))))),"")</f>
        <v/>
      </c>
      <c r="DM109" s="2445" t="str" cm="1">
        <f t="array" ca="1" aca="1" ref="DM109">IFERROR(IF(AM109*fxVal_normal=_PL!AM109,"",IF(OR(AM109="",NOT(ISNUMBER(AM109)),ISERROR(AM109),$B109=""),"",IF($I109=1,IFBLANK(_xldudf_CX_PUSH(AM109*fxVal_normal,CX_ENTITY,$B109,AM$11,AM$14,AM$75,),""),IF($I109=2,IFBLANK(_xldudf_CX_PUSH(AM109,CX_ENTITY,$B109,AM$11,AM$14,AM$75,),""),IF($I109=3,"",IFBLANK(_xldudf_CX_PUSH(AM109,CX_ENTITY,$B109,AM$11,AM$14,AM$75,),"")))))),"")</f>
        <v/>
      </c>
      <c r="DN109" s="2445" t="str" cm="1">
        <f t="array" ca="1" aca="1" ref="DN109">IFERROR(IF(AN109*fxVal_normal=_PL!AN109,"",IF(OR(AN109="",NOT(ISNUMBER(AN109)),ISERROR(AN109),$B109=""),"",IF($I109=1,IFBLANK(_xldudf_CX_PUSH(AN109*fxVal_normal,CX_ENTITY,$B109,AN$11,AN$14,AN$75,),""),IF($I109=2,IFBLANK(_xldudf_CX_PUSH(AN109,CX_ENTITY,$B109,AN$11,AN$14,AN$75,),""),IF($I109=3,"",IFBLANK(_xldudf_CX_PUSH(AN109,CX_ENTITY,$B109,AN$11,AN$14,AN$75,),"")))))),"")</f>
        <v/>
      </c>
      <c r="DO109" s="2445" t="str" cm="1">
        <f t="array" ca="1" aca="1" ref="DO109">IFERROR(IF(AO109*fxVal_normal=_PL!AO109,"",IF(OR(AO109="",NOT(ISNUMBER(AO109)),ISERROR(AO109),$B109=""),"",IF($I109=1,IFBLANK(_xldudf_CX_PUSH(AO109*fxVal_normal,CX_ENTITY,$B109,AO$11,AO$14,AO$75,),""),IF($I109=2,IFBLANK(_xldudf_CX_PUSH(AO109,CX_ENTITY,$B109,AO$11,AO$14,AO$75,),""),IF($I109=3,"",IFBLANK(_xldudf_CX_PUSH(AO109,CX_ENTITY,$B109,AO$11,AO$14,AO$75,),"")))))),"")</f>
        <v/>
      </c>
      <c r="DP109" s="2445" t="str" cm="1">
        <f t="array" ca="1" aca="1" ref="DP109">IFERROR(IF(AP109*fxVal_normal=_PL!AP109,"",IF(OR(AP109="",NOT(ISNUMBER(AP109)),ISERROR(AP109),$B109=""),"",IF($I109=1,IFBLANK(_xldudf_CX_PUSH(AP109*fxVal_normal,CX_ENTITY,$B109,AP$11,AP$14,AP$75,),""),IF($I109=2,IFBLANK(_xldudf_CX_PUSH(AP109,CX_ENTITY,$B109,AP$11,AP$14,AP$75,),""),IF($I109=3,"",IFBLANK(_xldudf_CX_PUSH(AP109,CX_ENTITY,$B109,AP$11,AP$14,AP$75,),"")))))),"")</f>
        <v/>
      </c>
      <c r="DQ109" s="2445" t="str" cm="1">
        <f t="array" ca="1" aca="1" ref="DQ109">IFERROR(IF(AQ109*fxVal_normal=_PL!AQ109,"",IF(OR(AQ109="",NOT(ISNUMBER(AQ109)),ISERROR(AQ109),$B109=""),"",IF($I109=1,IFBLANK(_xldudf_CX_PUSH(AQ109*fxVal_normal,CX_ENTITY,$B109,AQ$11,AQ$14,AQ$75,),""),IF($I109=2,IFBLANK(_xldudf_CX_PUSH(AQ109,CX_ENTITY,$B109,AQ$11,AQ$14,AQ$75,),""),IF($I109=3,"",IFBLANK(_xldudf_CX_PUSH(AQ109,CX_ENTITY,$B109,AQ$11,AQ$14,AQ$75,),"")))))),"")</f>
        <v/>
      </c>
      <c r="DR109" s="2445" t="str" cm="1">
        <f t="array" ca="1" aca="1" ref="DR109">IFERROR(IF(AR109*fxVal_normal=_PL!AR109,"",IF(OR(AR109="",NOT(ISNUMBER(AR109)),ISERROR(AR109),$B109=""),"",IF($I109=1,IFBLANK(_xldudf_CX_PUSH(AR109*fxVal_normal,CX_ENTITY,$B109,AR$11,AR$14,AR$75,),""),IF($I109=2,IFBLANK(_xldudf_CX_PUSH(AR109,CX_ENTITY,$B109,AR$11,AR$14,AR$75,),""),IF($I109=3,"",IFBLANK(_xldudf_CX_PUSH(AR109,CX_ENTITY,$B109,AR$11,AR$14,AR$75,),"")))))),"")</f>
        <v/>
      </c>
      <c r="DS109" s="2445" t="str" cm="1">
        <f t="array" ca="1" aca="1" ref="DS109">IFERROR(IF(AS109*fxVal_normal=_PL!AS109,"",IF(OR(AS109="",NOT(ISNUMBER(AS109)),ISERROR(AS109),$B109=""),"",IF($I109=1,IFBLANK(_xldudf_CX_PUSH(AS109*fxVal_normal,CX_ENTITY,$B109,AS$11,AS$14,AS$75,),""),IF($I109=2,IFBLANK(_xldudf_CX_PUSH(AS109,CX_ENTITY,$B109,AS$11,AS$14,AS$75,),""),IF($I109=3,"",IFBLANK(_xldudf_CX_PUSH(AS109,CX_ENTITY,$B109,AS$11,AS$14,AS$75,),"")))))),"")</f>
        <v/>
      </c>
      <c r="DT109" s="2445" t="str" cm="1">
        <f t="array" ca="1" aca="1" ref="DT109">IFERROR(IF(AT109*fxVal_normal=_PL!AT109,"",IF(OR(AT109="",NOT(ISNUMBER(AT109)),ISERROR(AT109),$B109=""),"",IF($I109=1,IFBLANK(_xldudf_CX_PUSH(AT109*fxVal_normal,CX_ENTITY,$B109,AT$11,AT$14,AT$75,),""),IF($I109=2,IFBLANK(_xldudf_CX_PUSH(AT109,CX_ENTITY,$B109,AT$11,AT$14,AT$75,),""),IF($I109=3,"",IFBLANK(_xldudf_CX_PUSH(AT109,CX_ENTITY,$B109,AT$11,AT$14,AT$75,),"")))))),"")</f>
        <v/>
      </c>
      <c r="DU109" s="2445" t="str" cm="1">
        <f t="array" ca="1" aca="1" ref="DU109">IFERROR(IF(AU109*fxVal_normal=_PL!AU109,"",IF(OR(AU109="",NOT(ISNUMBER(AU109)),ISERROR(AU109),$B109=""),"",IF($I109=1,IFBLANK(_xldudf_CX_PUSH(AU109*fxVal_normal,CX_ENTITY,$B109,AU$11,AU$14,AU$75,),""),IF($I109=2,IFBLANK(_xldudf_CX_PUSH(AU109,CX_ENTITY,$B109,AU$11,AU$14,AU$75,),""),IF($I109=3,"",IFBLANK(_xldudf_CX_PUSH(AU109,CX_ENTITY,$B109,AU$11,AU$14,AU$75,),"")))))),"")</f>
        <v/>
      </c>
      <c r="DV109" s="2445" t="str" cm="1">
        <f t="array" ca="1" aca="1" ref="DV109">IFERROR(IF(AV109*fxVal_normal=_PL!AV109,"",IF(OR(AV109="",NOT(ISNUMBER(AV109)),ISERROR(AV109),$B109=""),"",IF($I109=1,IFBLANK(_xldudf_CX_PUSH(AV109*fxVal_normal,CX_ENTITY,$B109,AV$11,AV$14,AV$75,),""),IF($I109=2,IFBLANK(_xldudf_CX_PUSH(AV109,CX_ENTITY,$B109,AV$11,AV$14,AV$75,),""),IF($I109=3,"",IFBLANK(_xldudf_CX_PUSH(AV109,CX_ENTITY,$B109,AV$11,AV$14,AV$75,),"")))))),"")</f>
        <v/>
      </c>
      <c r="DW109" s="2445" t="str" cm="1">
        <f t="array" ca="1" aca="1" ref="DW109">IFERROR(IF(AW109*fxVal_normal=_PL!AW109,"",IF(OR(AW109="",NOT(ISNUMBER(AW109)),ISERROR(AW109),$B109=""),"",IF($I109=1,IFBLANK(_xldudf_CX_PUSH(AW109*fxVal_normal,CX_ENTITY,$B109,AW$11,AW$14,AW$75,),""),IF($I109=2,IFBLANK(_xldudf_CX_PUSH(AW109,CX_ENTITY,$B109,AW$11,AW$14,AW$75,),""),IF($I109=3,"",IFBLANK(_xldudf_CX_PUSH(AW109,CX_ENTITY,$B109,AW$11,AW$14,AW$75,),"")))))),"")</f>
        <v/>
      </c>
      <c r="DX109" s="2445" t="str" cm="1">
        <f t="array" ca="1" aca="1" ref="DX109">IFERROR(IF(AX109*fxVal_normal=_PL!AX109,"",IF(OR(AX109="",NOT(ISNUMBER(AX109)),ISERROR(AX109),$B109=""),"",IF($I109=1,IFBLANK(_xldudf_CX_PUSH(AX109*fxVal_normal,CX_ENTITY,$B109,AX$11,AX$14,AX$75,),""),IF($I109=2,IFBLANK(_xldudf_CX_PUSH(AX109,CX_ENTITY,$B109,AX$11,AX$14,AX$75,),""),IF($I109=3,"",IFBLANK(_xldudf_CX_PUSH(AX109,CX_ENTITY,$B109,AX$11,AX$14,AX$75,),"")))))),"")</f>
        <v/>
      </c>
      <c r="DY109" s="2445" t="str" cm="1">
        <f t="array" ca="1" aca="1" ref="DY109">IFERROR(IF(AY109*fxVal_normal=_PL!AY109,"",IF(OR(AY109="",NOT(ISNUMBER(AY109)),ISERROR(AY109),$B109=""),"",IF($I109=1,IFBLANK(_xldudf_CX_PUSH(AY109*fxVal_normal,CX_ENTITY,$B109,AY$11,AY$14,AY$75,),""),IF($I109=2,IFBLANK(_xldudf_CX_PUSH(AY109,CX_ENTITY,$B109,AY$11,AY$14,AY$75,),""),IF($I109=3,"",IFBLANK(_xldudf_CX_PUSH(AY109,CX_ENTITY,$B109,AY$11,AY$14,AY$75,),"")))))),"")</f>
        <v/>
      </c>
      <c r="DZ109" s="2445" t="str" cm="1">
        <f t="array" ca="1" aca="1" ref="DZ109">IFERROR(IF(AZ109*fxVal_normal=_PL!AZ109,"",IF(OR(AZ109="",NOT(ISNUMBER(AZ109)),ISERROR(AZ109),$B109=""),"",IF($I109=1,IFBLANK(_xldudf_CX_PUSH(AZ109*fxVal_normal,CX_ENTITY,$B109,AZ$11,AZ$14,AZ$75,),""),IF($I109=2,IFBLANK(_xldudf_CX_PUSH(AZ109,CX_ENTITY,$B109,AZ$11,AZ$14,AZ$75,),""),IF($I109=3,"",IFBLANK(_xldudf_CX_PUSH(AZ109,CX_ENTITY,$B109,AZ$11,AZ$14,AZ$75,),"")))))),"")</f>
        <v/>
      </c>
      <c r="EA109" s="2445" t="str" cm="1">
        <f t="array" ca="1" aca="1" ref="EA109">IFERROR(IF(BA109*fxVal_normal=_PL!BA109,"",IF(OR(BA109="",NOT(ISNUMBER(BA109)),ISERROR(BA109),$B109=""),"",IF($I109=1,IFBLANK(_xldudf_CX_PUSH(BA109*fxVal_normal,CX_ENTITY,$B109,BA$11,BA$14,BA$75,),""),IF($I109=2,IFBLANK(_xldudf_CX_PUSH(BA109,CX_ENTITY,$B109,BA$11,BA$14,BA$75,),""),IF($I109=3,"",IFBLANK(_xldudf_CX_PUSH(BA109,CX_ENTITY,$B109,BA$11,BA$14,BA$75,),"")))))),"")</f>
        <v/>
      </c>
      <c r="EB109" s="2445" t="str" cm="1">
        <f t="array" ca="1" aca="1" ref="EB109">IFERROR(IF(BB109*fxVal_normal=_PL!BB109,"",IF(OR(BB109="",NOT(ISNUMBER(BB109)),ISERROR(BB109),$B109=""),"",IF($I109=1,IFBLANK(_xldudf_CX_PUSH(BB109*fxVal_normal,CX_ENTITY,$B109,BB$11,BB$14,BB$75,),""),IF($I109=2,IFBLANK(_xldudf_CX_PUSH(BB109,CX_ENTITY,$B109,BB$11,BB$14,BB$75,),""),IF($I109=3,"",IFBLANK(_xldudf_CX_PUSH(BB109,CX_ENTITY,$B109,BB$11,BB$14,BB$75,),"")))))),"")</f>
        <v/>
      </c>
      <c r="EC109" s="2445" t="str" cm="1">
        <f t="array" ca="1" aca="1" ref="EC109">IFERROR(IF(BC109*fxVal_normal=_PL!BC109,"",IF(OR(BC109="",NOT(ISNUMBER(BC109)),ISERROR(BC109),$B109=""),"",IF($I109=1,IFBLANK(_xldudf_CX_PUSH(BC109*fxVal_normal,CX_ENTITY,$B109,BC$11,BC$14,BC$75,),""),IF($I109=2,IFBLANK(_xldudf_CX_PUSH(BC109,CX_ENTITY,$B109,BC$11,BC$14,BC$75,),""),IF($I109=3,"",IFBLANK(_xldudf_CX_PUSH(BC109,CX_ENTITY,$B109,BC$11,BC$14,BC$75,),"")))))),"")</f>
        <v/>
      </c>
      <c r="ED109" s="2445" t="str" cm="1">
        <f t="array" ca="1" aca="1" ref="ED109">IFERROR(IF(BD109*fxVal_normal=_PL!BD109,"",IF(OR(BD109="",NOT(ISNUMBER(BD109)),ISERROR(BD109),$B109=""),"",IF($I109=1,IFBLANK(_xldudf_CX_PUSH(BD109*fxVal_normal,CX_ENTITY,$B109,BD$11,BD$14,BD$75,),""),IF($I109=2,IFBLANK(_xldudf_CX_PUSH(BD109,CX_ENTITY,$B109,BD$11,BD$14,BD$75,),""),IF($I109=3,"",IFBLANK(_xldudf_CX_PUSH(BD109,CX_ENTITY,$B109,BD$11,BD$14,BD$75,),"")))))),"")</f>
        <v/>
      </c>
      <c r="EE109" s="2445" t="str" cm="1">
        <f t="array" ca="1" aca="1" ref="EE109">IFERROR(IF(BE109*fxVal_normal=_PL!BE109,"",IF(OR(BE109="",NOT(ISNUMBER(BE109)),ISERROR(BE109),$B109=""),"",IF($I109=1,IFBLANK(_xldudf_CX_PUSH(BE109*fxVal_normal,CX_ENTITY,$B109,BE$11,BE$14,BE$75,),""),IF($I109=2,IFBLANK(_xldudf_CX_PUSH(BE109,CX_ENTITY,$B109,BE$11,BE$14,BE$75,),""),IF($I109=3,"",IFBLANK(_xldudf_CX_PUSH(BE109,CX_ENTITY,$B109,BE$11,BE$14,BE$75,),"")))))),"")</f>
        <v/>
      </c>
      <c r="EF109" s="2445" t="str" cm="1">
        <f t="array" ca="1" aca="1" ref="EF109">IFERROR(IF(BF109*fxVal_normal=_PL!BF109,"",IF(OR(BF109="",NOT(ISNUMBER(BF109)),ISERROR(BF109),$B109=""),"",IF($I109=1,IFBLANK(_xldudf_CX_PUSH(BF109*fxVal_normal,CX_ENTITY,$B109,BF$11,BF$14,BF$75,),""),IF($I109=2,IFBLANK(_xldudf_CX_PUSH(BF109,CX_ENTITY,$B109,BF$11,BF$14,BF$75,),""),IF($I109=3,"",IFBLANK(_xldudf_CX_PUSH(BF109,CX_ENTITY,$B109,BF$11,BF$14,BF$75,),"")))))),"")</f>
        <v/>
      </c>
      <c r="EG109" s="2445" t="str" cm="1">
        <f t="array" ca="1" aca="1" ref="EG109">IFERROR(IF(BG109*fxVal_normal=_PL!BG109,"",IF(OR(BG109="",NOT(ISNUMBER(BG109)),ISERROR(BG109),$B109=""),"",IF($I109=1,IFBLANK(_xldudf_CX_PUSH(BG109*fxVal_normal,CX_ENTITY,$B109,BG$11,BG$14,BG$75,),""),IF($I109=2,IFBLANK(_xldudf_CX_PUSH(BG109,CX_ENTITY,$B109,BG$11,BG$14,BG$75,),""),IF($I109=3,"",IFBLANK(_xldudf_CX_PUSH(BG109,CX_ENTITY,$B109,BG$11,BG$14,BG$75,),"")))))),"")</f>
        <v/>
      </c>
      <c r="EH109" s="2445" t="str" cm="1">
        <f t="array" ca="1" aca="1" ref="EH109">IFERROR(IF(BH109*fxVal_normal=_PL!BH109,"",IF(OR(BH109="",NOT(ISNUMBER(BH109)),ISERROR(BH109),$B109=""),"",IF($I109=1,IFBLANK(_xldudf_CX_PUSH(BH109*fxVal_normal,CX_ENTITY,$B109,BH$11,BH$14,BH$75,),""),IF($I109=2,IFBLANK(_xldudf_CX_PUSH(BH109,CX_ENTITY,$B109,BH$11,BH$14,BH$75,),""),IF($I109=3,"",IFBLANK(_xldudf_CX_PUSH(BH109,CX_ENTITY,$B109,BH$11,BH$14,BH$75,),"")))))),"")</f>
        <v/>
      </c>
      <c r="EI109" s="2445" t="str" cm="1">
        <f t="array" ca="1" aca="1" ref="EI109">IFERROR(IF(BI109*fxVal_normal=_PL!BI109,"",IF(OR(BI109="",NOT(ISNUMBER(BI109)),ISERROR(BI109),$B109=""),"",IF($I109=1,IFBLANK(_xldudf_CX_PUSH(BI109*fxVal_normal,CX_ENTITY,$B109,BI$11,BI$14,BI$75,),""),IF($I109=2,IFBLANK(_xldudf_CX_PUSH(BI109,CX_ENTITY,$B109,BI$11,BI$14,BI$75,),""),IF($I109=3,"",IFBLANK(_xldudf_CX_PUSH(BI109,CX_ENTITY,$B109,BI$11,BI$14,BI$75,),"")))))),"")</f>
        <v/>
      </c>
      <c r="EJ109" s="2445" t="str" cm="1">
        <f t="array" ca="1" aca="1" ref="EJ109">IFERROR(IF(BJ109*fxVal_normal=_PL!BJ109,"",IF(OR(BJ109="",NOT(ISNUMBER(BJ109)),ISERROR(BJ109),$B109=""),"",IF($I109=1,IFBLANK(_xldudf_CX_PUSH(BJ109*fxVal_normal,CX_ENTITY,$B109,BJ$11,BJ$14,BJ$75,),""),IF($I109=2,IFBLANK(_xldudf_CX_PUSH(BJ109,CX_ENTITY,$B109,BJ$11,BJ$14,BJ$75,),""),IF($I109=3,"",IFBLANK(_xldudf_CX_PUSH(BJ109,CX_ENTITY,$B109,BJ$11,BJ$14,BJ$75,),"")))))),"")</f>
        <v/>
      </c>
      <c r="EK109" s="2445" t="str" cm="1">
        <f t="array" ca="1" aca="1" ref="EK109">IFERROR(IF(BK109*fxVal_normal=_PL!BK109,"",IF(OR(BK109="",NOT(ISNUMBER(BK109)),ISERROR(BK109),$B109=""),"",IF($I109=1,IFBLANK(_xldudf_CX_PUSH(BK109*fxVal_normal,CX_ENTITY,$B109,BK$11,BK$14,BK$75,),""),IF($I109=2,IFBLANK(_xldudf_CX_PUSH(BK109,CX_ENTITY,$B109,BK$11,BK$14,BK$75,),""),IF($I109=3,"",IFBLANK(_xldudf_CX_PUSH(BK109,CX_ENTITY,$B109,BK$11,BK$14,BK$75,),"")))))),"")</f>
        <v/>
      </c>
      <c r="EL109" s="2445" t="str" cm="1">
        <f t="array" ca="1" aca="1" ref="EL109">IFERROR(IF(BL109*fxVal_normal=_PL!BL109,"",IF(OR(BL109="",NOT(ISNUMBER(BL109)),ISERROR(BL109),$B109=""),"",IF($I109=1,IFBLANK(_xldudf_CX_PUSH(BL109*fxVal_normal,CX_ENTITY,$B109,BL$11,BL$14,BL$75,),""),IF($I109=2,IFBLANK(_xldudf_CX_PUSH(BL109,CX_ENTITY,$B109,BL$11,BL$14,BL$75,),""),IF($I109=3,"",IFBLANK(_xldudf_CX_PUSH(BL109,CX_ENTITY,$B109,BL$11,BL$14,BL$75,),"")))))),"")</f>
        <v/>
      </c>
      <c r="EM109" s="2445" t="str" cm="1">
        <f t="array" ca="1" aca="1" ref="EM109">IFERROR(IF(BM109*fxVal_normal=_PL!BM109,"",IF(OR(BM109="",NOT(ISNUMBER(BM109)),ISERROR(BM109),$B109=""),"",IF($I109=1,IFBLANK(_xldudf_CX_PUSH(BM109*fxVal_normal,CX_ENTITY,$B109,BM$11,BM$14,BM$75,),""),IF($I109=2,IFBLANK(_xldudf_CX_PUSH(BM109,CX_ENTITY,$B109,BM$11,BM$14,BM$75,),""),IF($I109=3,"",IFBLANK(_xldudf_CX_PUSH(BM109,CX_ENTITY,$B109,BM$11,BM$14,BM$75,),"")))))),"")</f>
        <v/>
      </c>
      <c r="EN109" s="2445" t="str" cm="1">
        <f t="array" ca="1" aca="1" ref="EN109">IFERROR(IF(BN109*fxVal_normal=_PL!BN109,"",IF(OR(BN109="",NOT(ISNUMBER(BN109)),ISERROR(BN109),$B109=""),"",IF($I109=1,IFBLANK(_xldudf_CX_PUSH(BN109*fxVal_normal,CX_ENTITY,$B109,BN$11,BN$14,BN$75,),""),IF($I109=2,IFBLANK(_xldudf_CX_PUSH(BN109,CX_ENTITY,$B109,BN$11,BN$14,BN$75,),""),IF($I109=3,"",IFBLANK(_xldudf_CX_PUSH(BN109,CX_ENTITY,$B109,BN$11,BN$14,BN$75,),"")))))),"")</f>
        <v/>
      </c>
    </row>
    <row r="110" spans="1:144" ht="21" customHeight="1">
      <c r="A110" s="1626" t="s">
        <v>22</v>
      </c>
      <c r="B110" s="2501" t="str">
        <f>_xlfn.LET(_xlpm.IsNotAttrDynamic,D110="",_xlpm.Attr,_PL!F110,_xlpm.NotInUse,Y110=D110,_xlpm.RESULT,IF(_xlpm.IsNotAttrDynamic,_xlpm.Attr,IF(_xlpm.NotInUse,"",Y110)),IF(_xlpm.RESULT="","",_xlpm.RESULT))</f>
        <v>Custom Metric Amount 9</v>
      </c>
      <c r="C110" s="2501" t="str" cm="1">
        <f t="array" ref="C110">IFBLANK(_PL!C110,"")</f>
        <v>Custom Metric - Label 9</v>
      </c>
      <c r="D110" s="1548"/>
      <c r="E110" s="2440" t="e" cm="1">
        <f t="array" ca="1" aca="1" ref="E11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110:$CQ110,Z110)</f>
        <v>#NAME?</v>
      </c>
      <c r="F110" s="578"/>
      <c r="G110" s="578"/>
      <c r="H110" s="3280">
        <v>1</v>
      </c>
      <c r="I110" s="3280">
        <v>1</v>
      </c>
      <c r="J110" s="401" cm="1">
        <f t="array" ref="J110">IFBLANK(Z110,"")</f>
        <v>-1</v>
      </c>
      <c r="K110" s="578" t="str">
        <f>IFERROR(IF(LEN(AB110)=0,"No",IF(LEN(J110)&gt;0,"Yes","No")),"")</f>
        <v>Yes</v>
      </c>
      <c r="L110" s="37"/>
      <c r="N110" s="158"/>
      <c r="O110" s="101"/>
      <c r="P110" s="52"/>
      <c r="Q110" s="101"/>
      <c r="R110" s="126"/>
      <c r="S110" s="101"/>
      <c r="T110" s="101"/>
      <c r="U110" s="39"/>
      <c r="V110" s="37"/>
      <c r="W110" s="268" t="str">
        <f t="shared" si="43"/>
        <v>Budget</v>
      </c>
      <c r="X110" s="2523" t="e">
        <f ca="1">_PL!X110</f>
        <v>#NAME?</v>
      </c>
      <c r="Y110" s="3204" cm="1">
        <f t="array" ref="Y110">IFBLANK(Y54,"")</f>
        <v>2</v>
      </c>
      <c r="Z110" s="198" cm="1">
        <f t="array" ref="Z110">IFBLANK(Z54,"")</f>
        <v>-1</v>
      </c>
      <c r="AA110" s="787"/>
      <c r="AB110" s="3200" cm="1">
        <f t="array" ref="AB110">IFBLANK(Y110,"")</f>
        <v>2</v>
      </c>
      <c r="AC110" s="2527" t="str" cm="1">
        <f t="array" ca="1" aca="1" ref="AC110">_xlfn.LET(_xlpm._termname,$AB110,_xlpm._iconname,"find",_xlpm._icon,fx_getIcon(_xlpm._iconname),_xlpm._location,_xlfn.XLOOKUP(LOWER(_xlpm._termname),LOWER(tbl_acctDef[Term]),tbl_acctDef[Term]),_xlpm._hyperlink,HYPERLINK("#"&amp;CELL("address",_xlpm._location),_xlpm._icon),IFERROR(_xlpm._hyperlink,""))</f>
        <v/>
      </c>
      <c r="AD110" s="3185">
        <v>1</v>
      </c>
      <c r="AE110" s="3185">
        <v>1</v>
      </c>
      <c r="AF110" s="3185">
        <v>1</v>
      </c>
      <c r="AG110" s="3185">
        <v>1</v>
      </c>
      <c r="AH110" s="3185">
        <v>1</v>
      </c>
      <c r="AI110" s="3185">
        <v>1</v>
      </c>
      <c r="AJ110" s="3185">
        <v>1</v>
      </c>
      <c r="AK110" s="3185">
        <v>1</v>
      </c>
      <c r="AL110" s="3185">
        <v>1</v>
      </c>
      <c r="AM110" s="3185">
        <v>1</v>
      </c>
      <c r="AN110" s="3185">
        <v>1</v>
      </c>
      <c r="AO110" s="3185">
        <v>1</v>
      </c>
      <c r="AP110" s="3185">
        <v>1</v>
      </c>
      <c r="AQ110" s="3185">
        <v>1</v>
      </c>
      <c r="AR110" s="3185">
        <v>1</v>
      </c>
      <c r="AS110" s="3185">
        <v>1</v>
      </c>
      <c r="AT110" s="3185">
        <v>1</v>
      </c>
      <c r="AU110" s="3185">
        <v>1</v>
      </c>
      <c r="AV110" s="3185">
        <v>1</v>
      </c>
      <c r="AW110" s="3185">
        <v>1</v>
      </c>
      <c r="AX110" s="3185">
        <v>1</v>
      </c>
      <c r="AY110" s="3185">
        <v>1</v>
      </c>
      <c r="AZ110" s="3185">
        <v>1</v>
      </c>
      <c r="BA110" s="3185">
        <v>1</v>
      </c>
      <c r="BB110" s="3185">
        <v>1</v>
      </c>
      <c r="BC110" s="3185">
        <v>1</v>
      </c>
      <c r="BD110" s="3185">
        <v>1</v>
      </c>
      <c r="BE110" s="3185">
        <v>1</v>
      </c>
      <c r="BF110" s="3185">
        <v>1</v>
      </c>
      <c r="BG110" s="3185">
        <v>1</v>
      </c>
      <c r="BH110" s="3185">
        <v>1</v>
      </c>
      <c r="BI110" s="3185">
        <v>1</v>
      </c>
      <c r="BJ110" s="3185">
        <v>1</v>
      </c>
      <c r="BK110" s="3185">
        <v>1</v>
      </c>
      <c r="BL110" s="3185">
        <v>1</v>
      </c>
      <c r="BM110" s="3185">
        <v>1</v>
      </c>
      <c r="BN110" s="3185">
        <v>1</v>
      </c>
      <c r="BO110" s="2518"/>
      <c r="BP110" s="2518"/>
      <c r="BQ110" s="2518"/>
      <c r="BR110" s="2518"/>
      <c r="BS110" s="2518"/>
      <c r="BT110" s="2518"/>
      <c r="BU110" s="2518"/>
      <c r="BV110" s="2518"/>
      <c r="BW110" s="2518"/>
      <c r="BX110" s="2518"/>
      <c r="BY110" s="2518"/>
      <c r="BZ110" s="2518"/>
      <c r="CA110" s="34"/>
      <c r="CC110" s="33"/>
      <c r="CD110" s="1772" t="e" cm="1">
        <f t="array" ca="1" aca="1" ref="CD110">_xlfn.LET(_xlpm.CheckBlank,SUM(PL!$AD110:$BN110)=0,IF(_xlpm.CheckBlank,"",SUM(_xlfn._xlws.FILTER(PL!$AD110:$BN110,(YEAR(PL!$AD$12:$BN$12)=PL!CD$12)*(array_timeline&lt;=PL!CD$11)))))</f>
        <v>#NAME?</v>
      </c>
      <c r="CE110" s="1772" t="e" cm="1">
        <f t="array" ca="1" aca="1" ref="CE110">_xlfn.LET(_xlpm.CheckBlank,SUM(PL!$AD110:$BN110)=0,IF(_xlpm.CheckBlank,"",SUM(_xlfn._xlws.FILTER(PL!$AD110:$BN110,(YEAR(PL!$AD$12:$BN$12)=PL!CE$12)*(array_timeline&lt;=PL!CE$11)))))</f>
        <v>#NAME?</v>
      </c>
      <c r="CF110" s="3"/>
      <c r="CG110" s="1461" t="e" cm="1">
        <f t="array" ca="1" aca="1" ref="CG110">_xlfn.LET(_xlpm.CheckBlank,SUM(PL!$AD110:$BN110)=0,IF(_xlpm.CheckBlank,"",SUM(_xlfn._xlws.FILTER(PL!$AD110:$BN110,(YEAR(PL!$AD$12:$BN$12)=PL!CG$12)*(array_timeline&lt;=PL!CG$11)))))</f>
        <v>#NAME?</v>
      </c>
      <c r="CH110" s="1461" t="e" cm="1">
        <f t="array" ca="1" aca="1" ref="CH110">_xlfn.LET(_xlpm.CheckBlank,SUM(PL!$AD110:$BN110)=0,IF(_xlpm.CheckBlank,"",SUM(_xlfn._xlws.FILTER(PL!$AD110:$BN110,(YEAR(PL!$AD$12:$BN$12)=PL!CH$12)*(array_timeline&lt;=PL!CH$11)))))</f>
        <v>#NAME?</v>
      </c>
      <c r="CI110" s="3"/>
      <c r="CJ110" s="1461" cm="1">
        <f t="array" ref="CJ110">_xlfn.LET(_xlpm.CheckBlank,SUM(PL!$AD110:$BN110)=0,IF(_xlpm.CheckBlank,"",SUM(_xlfn.TAKE(_xlfn.DROP(PL!$AD110:$BN110,,-DATEDIFF(PL!CJ$11,val_asOfDate,"M")),1,-12))))</f>
        <v>12</v>
      </c>
      <c r="CK110" s="1461" cm="1">
        <f t="array" ref="CK110">_xlfn.LET(_xlpm.CheckBlank,SUM(PL!$AD110:$BN110)=0,IF(_xlpm.CheckBlank,"",SUM(_xlfn.TAKE(_xlfn.DROP(PL!$AD110:$BN110,,-DATEDIFF(PL!CK$11,val_asOfDate,"M")),1,-12))))</f>
        <v>12</v>
      </c>
      <c r="CL110" s="3"/>
      <c r="CM110" s="3195" cm="1">
        <f t="array" ref="CM110">IFBLANK(CM54,"")</f>
        <v>1</v>
      </c>
      <c r="CN110" s="3195" cm="1">
        <f t="array" ref="CN110">IFBLANK(CN54,"")</f>
        <v>1</v>
      </c>
      <c r="CO110" s="3"/>
      <c r="CP110" s="3195" cm="1">
        <f t="array" ref="CP110">IFBLANK(CP54,"")</f>
        <v>1</v>
      </c>
      <c r="CQ110" s="3195" cm="1">
        <f t="array" ref="CQ110">IFBLANK(CQ54,"")</f>
        <v>1</v>
      </c>
      <c r="CR110" s="34"/>
      <c r="CS110" s="2056"/>
      <c r="CT110" s="2447" t="e" cm="1">
        <f t="array" ca="1" aca="1" ref="CT110">IF(Y110="","",IF(ISNUMBER(SEARCH("Select",$Y110)),"",_xldudf_CX_PUSH($Y110,CX_ENTITY,C110,val_asOfDate)))</f>
        <v>#NAME?</v>
      </c>
      <c r="CU110" s="2447" t="e" cm="1">
        <f t="array" ca="1" aca="1" ref="CU110">IF(Y110="","",IF(ISNUMBER(SEARCH("Select",$Y110)),"",_xldudf_CX_PUSH($Y110,CX_ENTITY,C110,EOMONTH(val_asOfDate,1))))</f>
        <v>#NAME?</v>
      </c>
      <c r="CV110" s="2447" t="e" cm="1">
        <f t="array" ca="1" aca="1" ref="CV110">IF(Y110="","",IF(ISNUMBER(SEARCH("Select",$Y110)),"",_xldudf_CX_PUSH($Y110,CX_ENTITY,C110,EOMONTH(val_asOfDate,2))))</f>
        <v>#NAME?</v>
      </c>
      <c r="CW110" s="2447" t="e" cm="1">
        <f t="array" ca="1" aca="1" ref="CW110">IF(Y110="","",IF(ISNUMBER(SEARCH("Select",$Y110)),"",_xldudf_CX_PUSH($Y110,CX_ENTITY,C110,EOMONTH(val_asOfDate,3))))</f>
        <v>#NAME?</v>
      </c>
      <c r="CX110" s="2443"/>
      <c r="CY110" s="2444" t="str" cm="1">
        <f t="array" ca="1" aca="1" ref="CY110">IFERROR(IF(CM110*fxVal_normal=_PL!CM114,"",IF(OR($CM110="",$CM110=0,NOT(ISNUMBER($CM110)),ISERROR($CM110),$B110=""),"",IF($I110=1,IFBLANK(_xldudf_CX_PUSH($CM110*fxVal_normal,CX_ENTITY,$B110,$CM$11,$CM$14,$CM$19,),""),IF($I110=2,IFBLANK(_xldudf_CX_PUSH($CM110,CX_ENTITY,$B110,$CM$11,$CM$14,$CM$19,),""),IF($I110=3,"",IFBLANK(_xldudf_CX_PUSH($CM110,CX_ENTITY,$B110,$CM$11,$CM$14,$CM$19,),"")))))),"")</f>
        <v/>
      </c>
      <c r="CZ110" s="2444" t="str" cm="1">
        <f t="array" ca="1" aca="1" ref="CZ110">IFERROR(IF(CN110*fxVal_normal=_PL!CN114,"",IF(OR($CN110="",$CN110=0,NOT(ISNUMBER($CN110)),ISERROR($CN110),$B110=""),"",IF($I110=1,IFBLANK(_xldudf_CX_PUSH($CN110*fxVal_normal,CX_ENTITY,$B110,$CN$11,$CN$14,$CN$19,),""),IF($I110=2,IFBLANK(_xldudf_CX_PUSH($CN110,CX_ENTITY,$B110,$CN$11,$CN$14,$CN$19,),""),IF($I110=3,"",IFBLANK(_xldudf_CX_PUSH($CN110,CX_ENTITY,$B110,$CN$11,$CN$14,$CN$19,),"")))))),"")</f>
        <v/>
      </c>
      <c r="DA110" s="2444" t="str" cm="1">
        <f t="array" ca="1" aca="1" ref="DA110">IFERROR(IF(CP110*fxVal_normal=_PL!CP114,"",IF(OR($CP110="",$CP110=0,NOT(ISNUMBER($CP110)),ISERROR($CP110),$B110=""),"",IF($I110=1,IFBLANK(_xldudf_CX_PUSH($CP110*fxVal_normal,CX_ENTITY,$B110,$CP$11,$CP$14,$CP$19,),""),IF($I110=2,IFBLANK(_xldudf_CX_PUSH($CP110,CX_ENTITY,$B110,$CP$11,$CP$14,$CP$19,),""),IF($I110=3,"",IFBLANK(_xldudf_CX_PUSH($CP110,CX_ENTITY,$B110,$CP$11,$CP$14,$CP$19,),"")))))),"")</f>
        <v/>
      </c>
      <c r="DB110" s="2444" t="str" cm="1">
        <f t="array" ca="1" aca="1" ref="DB110">IFERROR(IF(CQ110*fxVal_normal=_PL!CQ114,"",IF(OR($CQ110="",$CQ110=0,NOT(ISNUMBER($CQ110)),ISERROR($CQ110),$B110=""),"",IF($I110=1,IFBLANK(_xldudf_CX_PUSH($CQ110*fxVal_normal,CX_ENTITY,$B110,$CQ$11,$CQ$14,$CQ$19,),""),IF($I110=2,IFBLANK(_xldudf_CX_PUSH($CQ110,CX_ENTITY,$B110,$CQ$11,$CQ$14,$CQ$19,),""),IF($I110=3,"",IFBLANK(_xldudf_CX_PUSH($CQ110,CX_ENTITY,$B110,$CQ$11,$CQ$14,$CQ$19,),"")))))),"")</f>
        <v/>
      </c>
      <c r="DC110" s="2443"/>
      <c r="DD110" s="2445" t="str" cm="1">
        <f t="array" ca="1" aca="1" ref="DD110">IFERROR(IF(AD110*fxVal_normal=_PL!AD114,"",IF(OR(AD110="",NOT(ISNUMBER(AD110)),ISERROR(AD110),$B110=""),"",IF($I110=1,IFBLANK(_xldudf_CX_PUSH(AD110*fxVal_normal,CX_ENTITY,$B110,AD$11,AD$14,AD$75,),""),IF($I110=2,IFBLANK(_xldudf_CX_PUSH(AD110,CX_ENTITY,$B110,AD$11,AD$14,AD$75,),""),IF($I110=3,"",IFBLANK(_xldudf_CX_PUSH(AD110,CX_ENTITY,$B110,AD$11,AD$14,AD$75,),"")))))),"")</f>
        <v/>
      </c>
      <c r="DE110" s="2445" t="str" cm="1">
        <f t="array" ca="1" aca="1" ref="DE110">IFERROR(IF(AE110*fxVal_normal=_PL!AE114,"",IF(OR(AE110="",NOT(ISNUMBER(AE110)),ISERROR(AE110),$B110=""),"",IF($I110=1,IFBLANK(_xldudf_CX_PUSH(AE110*fxVal_normal,CX_ENTITY,$B110,AE$11,AE$14,AE$75,),""),IF($I110=2,IFBLANK(_xldudf_CX_PUSH(AE110,CX_ENTITY,$B110,AE$11,AE$14,AE$75,),""),IF($I110=3,"",IFBLANK(_xldudf_CX_PUSH(AE110,CX_ENTITY,$B110,AE$11,AE$14,AE$75,),"")))))),"")</f>
        <v/>
      </c>
      <c r="DF110" s="2445" t="str" cm="1">
        <f t="array" ca="1" aca="1" ref="DF110">IFERROR(IF(AF110*fxVal_normal=_PL!AF114,"",IF(OR(AF110="",NOT(ISNUMBER(AF110)),ISERROR(AF110),$B110=""),"",IF($I110=1,IFBLANK(_xldudf_CX_PUSH(AF110*fxVal_normal,CX_ENTITY,$B110,AF$11,AF$14,AF$75,),""),IF($I110=2,IFBLANK(_xldudf_CX_PUSH(AF110,CX_ENTITY,$B110,AF$11,AF$14,AF$75,),""),IF($I110=3,"",IFBLANK(_xldudf_CX_PUSH(AF110,CX_ENTITY,$B110,AF$11,AF$14,AF$75,),"")))))),"")</f>
        <v/>
      </c>
      <c r="DG110" s="2445" t="str" cm="1">
        <f t="array" ca="1" aca="1" ref="DG110">IFERROR(IF(AG110*fxVal_normal=_PL!AG114,"",IF(OR(AG110="",NOT(ISNUMBER(AG110)),ISERROR(AG110),$B110=""),"",IF($I110=1,IFBLANK(_xldudf_CX_PUSH(AG110*fxVal_normal,CX_ENTITY,$B110,AG$11,AG$14,AG$75,),""),IF($I110=2,IFBLANK(_xldudf_CX_PUSH(AG110,CX_ENTITY,$B110,AG$11,AG$14,AG$75,),""),IF($I110=3,"",IFBLANK(_xldudf_CX_PUSH(AG110,CX_ENTITY,$B110,AG$11,AG$14,AG$75,),"")))))),"")</f>
        <v/>
      </c>
      <c r="DH110" s="2445" t="str" cm="1">
        <f t="array" ca="1" aca="1" ref="DH110">IFERROR(IF(AH110*fxVal_normal=_PL!AH114,"",IF(OR(AH110="",NOT(ISNUMBER(AH110)),ISERROR(AH110),$B110=""),"",IF($I110=1,IFBLANK(_xldudf_CX_PUSH(AH110*fxVal_normal,CX_ENTITY,$B110,AH$11,AH$14,AH$75,),""),IF($I110=2,IFBLANK(_xldudf_CX_PUSH(AH110,CX_ENTITY,$B110,AH$11,AH$14,AH$75,),""),IF($I110=3,"",IFBLANK(_xldudf_CX_PUSH(AH110,CX_ENTITY,$B110,AH$11,AH$14,AH$75,),"")))))),"")</f>
        <v/>
      </c>
      <c r="DI110" s="2445" t="str" cm="1">
        <f t="array" ca="1" aca="1" ref="DI110">IFERROR(IF(AI110*fxVal_normal=_PL!AI114,"",IF(OR(AI110="",NOT(ISNUMBER(AI110)),ISERROR(AI110),$B110=""),"",IF($I110=1,IFBLANK(_xldudf_CX_PUSH(AI110*fxVal_normal,CX_ENTITY,$B110,AI$11,AI$14,AI$75,),""),IF($I110=2,IFBLANK(_xldudf_CX_PUSH(AI110,CX_ENTITY,$B110,AI$11,AI$14,AI$75,),""),IF($I110=3,"",IFBLANK(_xldudf_CX_PUSH(AI110,CX_ENTITY,$B110,AI$11,AI$14,AI$75,),"")))))),"")</f>
        <v/>
      </c>
      <c r="DJ110" s="2445" t="str" cm="1">
        <f t="array" ca="1" aca="1" ref="DJ110">IFERROR(IF(AJ110*fxVal_normal=_PL!AJ114,"",IF(OR(AJ110="",NOT(ISNUMBER(AJ110)),ISERROR(AJ110),$B110=""),"",IF($I110=1,IFBLANK(_xldudf_CX_PUSH(AJ110*fxVal_normal,CX_ENTITY,$B110,AJ$11,AJ$14,AJ$75,),""),IF($I110=2,IFBLANK(_xldudf_CX_PUSH(AJ110,CX_ENTITY,$B110,AJ$11,AJ$14,AJ$75,),""),IF($I110=3,"",IFBLANK(_xldudf_CX_PUSH(AJ110,CX_ENTITY,$B110,AJ$11,AJ$14,AJ$75,),"")))))),"")</f>
        <v/>
      </c>
      <c r="DK110" s="2445" t="str" cm="1">
        <f t="array" ca="1" aca="1" ref="DK110">IFERROR(IF(AK110*fxVal_normal=_PL!AK114,"",IF(OR(AK110="",NOT(ISNUMBER(AK110)),ISERROR(AK110),$B110=""),"",IF($I110=1,IFBLANK(_xldudf_CX_PUSH(AK110*fxVal_normal,CX_ENTITY,$B110,AK$11,AK$14,AK$75,),""),IF($I110=2,IFBLANK(_xldudf_CX_PUSH(AK110,CX_ENTITY,$B110,AK$11,AK$14,AK$75,),""),IF($I110=3,"",IFBLANK(_xldudf_CX_PUSH(AK110,CX_ENTITY,$B110,AK$11,AK$14,AK$75,),"")))))),"")</f>
        <v/>
      </c>
      <c r="DL110" s="2445" t="str" cm="1">
        <f t="array" ca="1" aca="1" ref="DL110">IFERROR(IF(AL110*fxVal_normal=_PL!AL114,"",IF(OR(AL110="",NOT(ISNUMBER(AL110)),ISERROR(AL110),$B110=""),"",IF($I110=1,IFBLANK(_xldudf_CX_PUSH(AL110*fxVal_normal,CX_ENTITY,$B110,AL$11,AL$14,AL$75,),""),IF($I110=2,IFBLANK(_xldudf_CX_PUSH(AL110,CX_ENTITY,$B110,AL$11,AL$14,AL$75,),""),IF($I110=3,"",IFBLANK(_xldudf_CX_PUSH(AL110,CX_ENTITY,$B110,AL$11,AL$14,AL$75,),"")))))),"")</f>
        <v/>
      </c>
      <c r="DM110" s="2445" t="str" cm="1">
        <f t="array" ca="1" aca="1" ref="DM110">IFERROR(IF(AM110*fxVal_normal=_PL!AM114,"",IF(OR(AM110="",NOT(ISNUMBER(AM110)),ISERROR(AM110),$B110=""),"",IF($I110=1,IFBLANK(_xldudf_CX_PUSH(AM110*fxVal_normal,CX_ENTITY,$B110,AM$11,AM$14,AM$75,),""),IF($I110=2,IFBLANK(_xldudf_CX_PUSH(AM110,CX_ENTITY,$B110,AM$11,AM$14,AM$75,),""),IF($I110=3,"",IFBLANK(_xldudf_CX_PUSH(AM110,CX_ENTITY,$B110,AM$11,AM$14,AM$75,),"")))))),"")</f>
        <v/>
      </c>
      <c r="DN110" s="2445" t="str" cm="1">
        <f t="array" ca="1" aca="1" ref="DN110">IFERROR(IF(AN110*fxVal_normal=_PL!AN114,"",IF(OR(AN110="",NOT(ISNUMBER(AN110)),ISERROR(AN110),$B110=""),"",IF($I110=1,IFBLANK(_xldudf_CX_PUSH(AN110*fxVal_normal,CX_ENTITY,$B110,AN$11,AN$14,AN$75,),""),IF($I110=2,IFBLANK(_xldudf_CX_PUSH(AN110,CX_ENTITY,$B110,AN$11,AN$14,AN$75,),""),IF($I110=3,"",IFBLANK(_xldudf_CX_PUSH(AN110,CX_ENTITY,$B110,AN$11,AN$14,AN$75,),"")))))),"")</f>
        <v/>
      </c>
      <c r="DO110" s="2445" t="str" cm="1">
        <f t="array" ca="1" aca="1" ref="DO110">IFERROR(IF(AO110*fxVal_normal=_PL!AO114,"",IF(OR(AO110="",NOT(ISNUMBER(AO110)),ISERROR(AO110),$B110=""),"",IF($I110=1,IFBLANK(_xldudf_CX_PUSH(AO110*fxVal_normal,CX_ENTITY,$B110,AO$11,AO$14,AO$75,),""),IF($I110=2,IFBLANK(_xldudf_CX_PUSH(AO110,CX_ENTITY,$B110,AO$11,AO$14,AO$75,),""),IF($I110=3,"",IFBLANK(_xldudf_CX_PUSH(AO110,CX_ENTITY,$B110,AO$11,AO$14,AO$75,),"")))))),"")</f>
        <v/>
      </c>
      <c r="DP110" s="2445" t="str" cm="1">
        <f t="array" ca="1" aca="1" ref="DP110">IFERROR(IF(AP110*fxVal_normal=_PL!AP114,"",IF(OR(AP110="",NOT(ISNUMBER(AP110)),ISERROR(AP110),$B110=""),"",IF($I110=1,IFBLANK(_xldudf_CX_PUSH(AP110*fxVal_normal,CX_ENTITY,$B110,AP$11,AP$14,AP$75,),""),IF($I110=2,IFBLANK(_xldudf_CX_PUSH(AP110,CX_ENTITY,$B110,AP$11,AP$14,AP$75,),""),IF($I110=3,"",IFBLANK(_xldudf_CX_PUSH(AP110,CX_ENTITY,$B110,AP$11,AP$14,AP$75,),"")))))),"")</f>
        <v/>
      </c>
      <c r="DQ110" s="2445" t="str" cm="1">
        <f t="array" ca="1" aca="1" ref="DQ110">IFERROR(IF(AQ110*fxVal_normal=_PL!AQ114,"",IF(OR(AQ110="",NOT(ISNUMBER(AQ110)),ISERROR(AQ110),$B110=""),"",IF($I110=1,IFBLANK(_xldudf_CX_PUSH(AQ110*fxVal_normal,CX_ENTITY,$B110,AQ$11,AQ$14,AQ$75,),""),IF($I110=2,IFBLANK(_xldudf_CX_PUSH(AQ110,CX_ENTITY,$B110,AQ$11,AQ$14,AQ$75,),""),IF($I110=3,"",IFBLANK(_xldudf_CX_PUSH(AQ110,CX_ENTITY,$B110,AQ$11,AQ$14,AQ$75,),"")))))),"")</f>
        <v/>
      </c>
      <c r="DR110" s="2445" t="str" cm="1">
        <f t="array" ca="1" aca="1" ref="DR110">IFERROR(IF(AR110*fxVal_normal=_PL!AR114,"",IF(OR(AR110="",NOT(ISNUMBER(AR110)),ISERROR(AR110),$B110=""),"",IF($I110=1,IFBLANK(_xldudf_CX_PUSH(AR110*fxVal_normal,CX_ENTITY,$B110,AR$11,AR$14,AR$75,),""),IF($I110=2,IFBLANK(_xldudf_CX_PUSH(AR110,CX_ENTITY,$B110,AR$11,AR$14,AR$75,),""),IF($I110=3,"",IFBLANK(_xldudf_CX_PUSH(AR110,CX_ENTITY,$B110,AR$11,AR$14,AR$75,),"")))))),"")</f>
        <v/>
      </c>
      <c r="DS110" s="2445" t="str" cm="1">
        <f t="array" ca="1" aca="1" ref="DS110">IFERROR(IF(AS110*fxVal_normal=_PL!AS114,"",IF(OR(AS110="",NOT(ISNUMBER(AS110)),ISERROR(AS110),$B110=""),"",IF($I110=1,IFBLANK(_xldudf_CX_PUSH(AS110*fxVal_normal,CX_ENTITY,$B110,AS$11,AS$14,AS$75,),""),IF($I110=2,IFBLANK(_xldudf_CX_PUSH(AS110,CX_ENTITY,$B110,AS$11,AS$14,AS$75,),""),IF($I110=3,"",IFBLANK(_xldudf_CX_PUSH(AS110,CX_ENTITY,$B110,AS$11,AS$14,AS$75,),"")))))),"")</f>
        <v/>
      </c>
      <c r="DT110" s="2445" t="str" cm="1">
        <f t="array" ca="1" aca="1" ref="DT110">IFERROR(IF(AT110*fxVal_normal=_PL!AT114,"",IF(OR(AT110="",NOT(ISNUMBER(AT110)),ISERROR(AT110),$B110=""),"",IF($I110=1,IFBLANK(_xldudf_CX_PUSH(AT110*fxVal_normal,CX_ENTITY,$B110,AT$11,AT$14,AT$75,),""),IF($I110=2,IFBLANK(_xldudf_CX_PUSH(AT110,CX_ENTITY,$B110,AT$11,AT$14,AT$75,),""),IF($I110=3,"",IFBLANK(_xldudf_CX_PUSH(AT110,CX_ENTITY,$B110,AT$11,AT$14,AT$75,),"")))))),"")</f>
        <v/>
      </c>
      <c r="DU110" s="2445" t="str" cm="1">
        <f t="array" ca="1" aca="1" ref="DU110">IFERROR(IF(AU110*fxVal_normal=_PL!AU114,"",IF(OR(AU110="",NOT(ISNUMBER(AU110)),ISERROR(AU110),$B110=""),"",IF($I110=1,IFBLANK(_xldudf_CX_PUSH(AU110*fxVal_normal,CX_ENTITY,$B110,AU$11,AU$14,AU$75,),""),IF($I110=2,IFBLANK(_xldudf_CX_PUSH(AU110,CX_ENTITY,$B110,AU$11,AU$14,AU$75,),""),IF($I110=3,"",IFBLANK(_xldudf_CX_PUSH(AU110,CX_ENTITY,$B110,AU$11,AU$14,AU$75,),"")))))),"")</f>
        <v/>
      </c>
      <c r="DV110" s="2445" t="str" cm="1">
        <f t="array" ca="1" aca="1" ref="DV110">IFERROR(IF(AV110*fxVal_normal=_PL!AV114,"",IF(OR(AV110="",NOT(ISNUMBER(AV110)),ISERROR(AV110),$B110=""),"",IF($I110=1,IFBLANK(_xldudf_CX_PUSH(AV110*fxVal_normal,CX_ENTITY,$B110,AV$11,AV$14,AV$75,),""),IF($I110=2,IFBLANK(_xldudf_CX_PUSH(AV110,CX_ENTITY,$B110,AV$11,AV$14,AV$75,),""),IF($I110=3,"",IFBLANK(_xldudf_CX_PUSH(AV110,CX_ENTITY,$B110,AV$11,AV$14,AV$75,),"")))))),"")</f>
        <v/>
      </c>
      <c r="DW110" s="2445" t="str" cm="1">
        <f t="array" ca="1" aca="1" ref="DW110">IFERROR(IF(AW110*fxVal_normal=_PL!AW114,"",IF(OR(AW110="",NOT(ISNUMBER(AW110)),ISERROR(AW110),$B110=""),"",IF($I110=1,IFBLANK(_xldudf_CX_PUSH(AW110*fxVal_normal,CX_ENTITY,$B110,AW$11,AW$14,AW$75,),""),IF($I110=2,IFBLANK(_xldudf_CX_PUSH(AW110,CX_ENTITY,$B110,AW$11,AW$14,AW$75,),""),IF($I110=3,"",IFBLANK(_xldudf_CX_PUSH(AW110,CX_ENTITY,$B110,AW$11,AW$14,AW$75,),"")))))),"")</f>
        <v/>
      </c>
      <c r="DX110" s="2445" t="str" cm="1">
        <f t="array" ca="1" aca="1" ref="DX110">IFERROR(IF(AX110*fxVal_normal=_PL!AX114,"",IF(OR(AX110="",NOT(ISNUMBER(AX110)),ISERROR(AX110),$B110=""),"",IF($I110=1,IFBLANK(_xldudf_CX_PUSH(AX110*fxVal_normal,CX_ENTITY,$B110,AX$11,AX$14,AX$75,),""),IF($I110=2,IFBLANK(_xldudf_CX_PUSH(AX110,CX_ENTITY,$B110,AX$11,AX$14,AX$75,),""),IF($I110=3,"",IFBLANK(_xldudf_CX_PUSH(AX110,CX_ENTITY,$B110,AX$11,AX$14,AX$75,),"")))))),"")</f>
        <v/>
      </c>
      <c r="DY110" s="2445" t="str" cm="1">
        <f t="array" ca="1" aca="1" ref="DY110">IFERROR(IF(AY110*fxVal_normal=_PL!AY114,"",IF(OR(AY110="",NOT(ISNUMBER(AY110)),ISERROR(AY110),$B110=""),"",IF($I110=1,IFBLANK(_xldudf_CX_PUSH(AY110*fxVal_normal,CX_ENTITY,$B110,AY$11,AY$14,AY$75,),""),IF($I110=2,IFBLANK(_xldudf_CX_PUSH(AY110,CX_ENTITY,$B110,AY$11,AY$14,AY$75,),""),IF($I110=3,"",IFBLANK(_xldudf_CX_PUSH(AY110,CX_ENTITY,$B110,AY$11,AY$14,AY$75,),"")))))),"")</f>
        <v/>
      </c>
      <c r="DZ110" s="2445" t="str" cm="1">
        <f t="array" ca="1" aca="1" ref="DZ110">IFERROR(IF(AZ110*fxVal_normal=_PL!AZ114,"",IF(OR(AZ110="",NOT(ISNUMBER(AZ110)),ISERROR(AZ110),$B110=""),"",IF($I110=1,IFBLANK(_xldudf_CX_PUSH(AZ110*fxVal_normal,CX_ENTITY,$B110,AZ$11,AZ$14,AZ$75,),""),IF($I110=2,IFBLANK(_xldudf_CX_PUSH(AZ110,CX_ENTITY,$B110,AZ$11,AZ$14,AZ$75,),""),IF($I110=3,"",IFBLANK(_xldudf_CX_PUSH(AZ110,CX_ENTITY,$B110,AZ$11,AZ$14,AZ$75,),"")))))),"")</f>
        <v/>
      </c>
      <c r="EA110" s="2445" t="str" cm="1">
        <f t="array" ca="1" aca="1" ref="EA110">IFERROR(IF(BA110*fxVal_normal=_PL!BA114,"",IF(OR(BA110="",NOT(ISNUMBER(BA110)),ISERROR(BA110),$B110=""),"",IF($I110=1,IFBLANK(_xldudf_CX_PUSH(BA110*fxVal_normal,CX_ENTITY,$B110,BA$11,BA$14,BA$75,),""),IF($I110=2,IFBLANK(_xldudf_CX_PUSH(BA110,CX_ENTITY,$B110,BA$11,BA$14,BA$75,),""),IF($I110=3,"",IFBLANK(_xldudf_CX_PUSH(BA110,CX_ENTITY,$B110,BA$11,BA$14,BA$75,),"")))))),"")</f>
        <v/>
      </c>
      <c r="EB110" s="2445" t="str" cm="1">
        <f t="array" ca="1" aca="1" ref="EB110">IFERROR(IF(BB110*fxVal_normal=_PL!BB114,"",IF(OR(BB110="",NOT(ISNUMBER(BB110)),ISERROR(BB110),$B110=""),"",IF($I110=1,IFBLANK(_xldudf_CX_PUSH(BB110*fxVal_normal,CX_ENTITY,$B110,BB$11,BB$14,BB$75,),""),IF($I110=2,IFBLANK(_xldudf_CX_PUSH(BB110,CX_ENTITY,$B110,BB$11,BB$14,BB$75,),""),IF($I110=3,"",IFBLANK(_xldudf_CX_PUSH(BB110,CX_ENTITY,$B110,BB$11,BB$14,BB$75,),"")))))),"")</f>
        <v/>
      </c>
      <c r="EC110" s="2445" t="str" cm="1">
        <f t="array" ca="1" aca="1" ref="EC110">IFERROR(IF(BC110*fxVal_normal=_PL!BC114,"",IF(OR(BC110="",NOT(ISNUMBER(BC110)),ISERROR(BC110),$B110=""),"",IF($I110=1,IFBLANK(_xldudf_CX_PUSH(BC110*fxVal_normal,CX_ENTITY,$B110,BC$11,BC$14,BC$75,),""),IF($I110=2,IFBLANK(_xldudf_CX_PUSH(BC110,CX_ENTITY,$B110,BC$11,BC$14,BC$75,),""),IF($I110=3,"",IFBLANK(_xldudf_CX_PUSH(BC110,CX_ENTITY,$B110,BC$11,BC$14,BC$75,),"")))))),"")</f>
        <v/>
      </c>
      <c r="ED110" s="2445" t="str" cm="1">
        <f t="array" ca="1" aca="1" ref="ED110">IFERROR(IF(BD110*fxVal_normal=_PL!BD114,"",IF(OR(BD110="",NOT(ISNUMBER(BD110)),ISERROR(BD110),$B110=""),"",IF($I110=1,IFBLANK(_xldudf_CX_PUSH(BD110*fxVal_normal,CX_ENTITY,$B110,BD$11,BD$14,BD$75,),""),IF($I110=2,IFBLANK(_xldudf_CX_PUSH(BD110,CX_ENTITY,$B110,BD$11,BD$14,BD$75,),""),IF($I110=3,"",IFBLANK(_xldudf_CX_PUSH(BD110,CX_ENTITY,$B110,BD$11,BD$14,BD$75,),"")))))),"")</f>
        <v/>
      </c>
      <c r="EE110" s="2445" t="str" cm="1">
        <f t="array" ca="1" aca="1" ref="EE110">IFERROR(IF(BE110*fxVal_normal=_PL!BE114,"",IF(OR(BE110="",NOT(ISNUMBER(BE110)),ISERROR(BE110),$B110=""),"",IF($I110=1,IFBLANK(_xldudf_CX_PUSH(BE110*fxVal_normal,CX_ENTITY,$B110,BE$11,BE$14,BE$75,),""),IF($I110=2,IFBLANK(_xldudf_CX_PUSH(BE110,CX_ENTITY,$B110,BE$11,BE$14,BE$75,),""),IF($I110=3,"",IFBLANK(_xldudf_CX_PUSH(BE110,CX_ENTITY,$B110,BE$11,BE$14,BE$75,),"")))))),"")</f>
        <v/>
      </c>
      <c r="EF110" s="2445" t="str" cm="1">
        <f t="array" ca="1" aca="1" ref="EF110">IFERROR(IF(BF110*fxVal_normal=_PL!BF114,"",IF(OR(BF110="",NOT(ISNUMBER(BF110)),ISERROR(BF110),$B110=""),"",IF($I110=1,IFBLANK(_xldudf_CX_PUSH(BF110*fxVal_normal,CX_ENTITY,$B110,BF$11,BF$14,BF$75,),""),IF($I110=2,IFBLANK(_xldudf_CX_PUSH(BF110,CX_ENTITY,$B110,BF$11,BF$14,BF$75,),""),IF($I110=3,"",IFBLANK(_xldudf_CX_PUSH(BF110,CX_ENTITY,$B110,BF$11,BF$14,BF$75,),"")))))),"")</f>
        <v/>
      </c>
      <c r="EG110" s="2445" t="str" cm="1">
        <f t="array" ca="1" aca="1" ref="EG110">IFERROR(IF(BG110*fxVal_normal=_PL!BG114,"",IF(OR(BG110="",NOT(ISNUMBER(BG110)),ISERROR(BG110),$B110=""),"",IF($I110=1,IFBLANK(_xldudf_CX_PUSH(BG110*fxVal_normal,CX_ENTITY,$B110,BG$11,BG$14,BG$75,),""),IF($I110=2,IFBLANK(_xldudf_CX_PUSH(BG110,CX_ENTITY,$B110,BG$11,BG$14,BG$75,),""),IF($I110=3,"",IFBLANK(_xldudf_CX_PUSH(BG110,CX_ENTITY,$B110,BG$11,BG$14,BG$75,),"")))))),"")</f>
        <v/>
      </c>
      <c r="EH110" s="2445" t="str" cm="1">
        <f t="array" ca="1" aca="1" ref="EH110">IFERROR(IF(BH110*fxVal_normal=_PL!BH114,"",IF(OR(BH110="",NOT(ISNUMBER(BH110)),ISERROR(BH110),$B110=""),"",IF($I110=1,IFBLANK(_xldudf_CX_PUSH(BH110*fxVal_normal,CX_ENTITY,$B110,BH$11,BH$14,BH$75,),""),IF($I110=2,IFBLANK(_xldudf_CX_PUSH(BH110,CX_ENTITY,$B110,BH$11,BH$14,BH$75,),""),IF($I110=3,"",IFBLANK(_xldudf_CX_PUSH(BH110,CX_ENTITY,$B110,BH$11,BH$14,BH$75,),"")))))),"")</f>
        <v/>
      </c>
      <c r="EI110" s="2445" t="str" cm="1">
        <f t="array" ca="1" aca="1" ref="EI110">IFERROR(IF(BI110*fxVal_normal=_PL!BI114,"",IF(OR(BI110="",NOT(ISNUMBER(BI110)),ISERROR(BI110),$B110=""),"",IF($I110=1,IFBLANK(_xldudf_CX_PUSH(BI110*fxVal_normal,CX_ENTITY,$B110,BI$11,BI$14,BI$75,),""),IF($I110=2,IFBLANK(_xldudf_CX_PUSH(BI110,CX_ENTITY,$B110,BI$11,BI$14,BI$75,),""),IF($I110=3,"",IFBLANK(_xldudf_CX_PUSH(BI110,CX_ENTITY,$B110,BI$11,BI$14,BI$75,),"")))))),"")</f>
        <v/>
      </c>
      <c r="EJ110" s="2445" t="str" cm="1">
        <f t="array" ca="1" aca="1" ref="EJ110">IFERROR(IF(BJ110*fxVal_normal=_PL!BJ114,"",IF(OR(BJ110="",NOT(ISNUMBER(BJ110)),ISERROR(BJ110),$B110=""),"",IF($I110=1,IFBLANK(_xldudf_CX_PUSH(BJ110*fxVal_normal,CX_ENTITY,$B110,BJ$11,BJ$14,BJ$75,),""),IF($I110=2,IFBLANK(_xldudf_CX_PUSH(BJ110,CX_ENTITY,$B110,BJ$11,BJ$14,BJ$75,),""),IF($I110=3,"",IFBLANK(_xldudf_CX_PUSH(BJ110,CX_ENTITY,$B110,BJ$11,BJ$14,BJ$75,),"")))))),"")</f>
        <v/>
      </c>
      <c r="EK110" s="2445" t="str" cm="1">
        <f t="array" ca="1" aca="1" ref="EK110">IFERROR(IF(BK110*fxVal_normal=_PL!BK114,"",IF(OR(BK110="",NOT(ISNUMBER(BK110)),ISERROR(BK110),$B110=""),"",IF($I110=1,IFBLANK(_xldudf_CX_PUSH(BK110*fxVal_normal,CX_ENTITY,$B110,BK$11,BK$14,BK$75,),""),IF($I110=2,IFBLANK(_xldudf_CX_PUSH(BK110,CX_ENTITY,$B110,BK$11,BK$14,BK$75,),""),IF($I110=3,"",IFBLANK(_xldudf_CX_PUSH(BK110,CX_ENTITY,$B110,BK$11,BK$14,BK$75,),"")))))),"")</f>
        <v/>
      </c>
      <c r="EL110" s="2445" t="str" cm="1">
        <f t="array" ca="1" aca="1" ref="EL110">IFERROR(IF(BL110*fxVal_normal=_PL!BL114,"",IF(OR(BL110="",NOT(ISNUMBER(BL110)),ISERROR(BL110),$B110=""),"",IF($I110=1,IFBLANK(_xldudf_CX_PUSH(BL110*fxVal_normal,CX_ENTITY,$B110,BL$11,BL$14,BL$75,),""),IF($I110=2,IFBLANK(_xldudf_CX_PUSH(BL110,CX_ENTITY,$B110,BL$11,BL$14,BL$75,),""),IF($I110=3,"",IFBLANK(_xldudf_CX_PUSH(BL110,CX_ENTITY,$B110,BL$11,BL$14,BL$75,),"")))))),"")</f>
        <v/>
      </c>
      <c r="EM110" s="2445" t="str" cm="1">
        <f t="array" ca="1" aca="1" ref="EM110">IFERROR(IF(BM110*fxVal_normal=_PL!BM114,"",IF(OR(BM110="",NOT(ISNUMBER(BM110)),ISERROR(BM110),$B110=""),"",IF($I110=1,IFBLANK(_xldudf_CX_PUSH(BM110*fxVal_normal,CX_ENTITY,$B110,BM$11,BM$14,BM$75,),""),IF($I110=2,IFBLANK(_xldudf_CX_PUSH(BM110,CX_ENTITY,$B110,BM$11,BM$14,BM$75,),""),IF($I110=3,"",IFBLANK(_xldudf_CX_PUSH(BM110,CX_ENTITY,$B110,BM$11,BM$14,BM$75,),"")))))),"")</f>
        <v/>
      </c>
      <c r="EN110" s="2445" t="str" cm="1">
        <f t="array" ca="1" aca="1" ref="EN110">IFERROR(IF(BN110*fxVal_normal=_PL!BN114,"",IF(OR(BN110="",NOT(ISNUMBER(BN110)),ISERROR(BN110),$B110=""),"",IF($I110=1,IFBLANK(_xldudf_CX_PUSH(BN110*fxVal_normal,CX_ENTITY,$B110,BN$11,BN$14,BN$75,),""),IF($I110=2,IFBLANK(_xldudf_CX_PUSH(BN110,CX_ENTITY,$B110,BN$11,BN$14,BN$75,),""),IF($I110=3,"",IFBLANK(_xldudf_CX_PUSH(BN110,CX_ENTITY,$B110,BN$11,BN$14,BN$75,),"")))))),"")</f>
        <v/>
      </c>
    </row>
    <row r="111" spans="1:152" ht="15.5">
      <c r="A111" s="1625"/>
      <c r="B111" s="2621" t="str">
        <f>_xlfn.LET(_xlpm.IsNotAttrDynamic,D111="",_xlpm.Attr,_PL!F111,_xlpm.NotInUse,Y111=D111,_xlpm.RESULT,IF(_xlpm.IsNotAttrDynamic,_xlpm.Attr,IF(_xlpm.NotInUse,"",Y111)),IF(_xlpm.RESULT="","",_xlpm.RESULT))</f>
        <v/>
      </c>
      <c r="C111" s="2621" t="str" cm="1">
        <f t="array" ref="C111">IFBLANK(_PL!C111,"")</f>
        <v/>
      </c>
      <c r="D111" s="1548"/>
      <c r="E111" s="578"/>
      <c r="F111" s="578"/>
      <c r="G111" s="578"/>
      <c r="H111" s="578"/>
      <c r="I111" s="578"/>
      <c r="J111" s="401" t="str" cm="1">
        <f t="array" ref="J111">IFBLANK(Z111,"")</f>
        <v/>
      </c>
      <c r="K111" s="578" t="str">
        <f t="shared" si="39"/>
        <v>No</v>
      </c>
      <c r="L111" s="37"/>
      <c r="N111" s="158"/>
      <c r="O111" s="101"/>
      <c r="P111" s="52"/>
      <c r="Q111" s="101"/>
      <c r="R111" s="126"/>
      <c r="S111" s="101"/>
      <c r="T111" s="101"/>
      <c r="U111" s="39"/>
      <c r="V111" s="37"/>
      <c r="W111" s="1862"/>
      <c r="X111" s="889"/>
      <c r="Y111" s="88"/>
      <c r="Z111" s="548"/>
      <c r="AA111" s="193"/>
      <c r="AB111" s="97"/>
      <c r="AC111" s="128"/>
      <c r="AD111" s="2473"/>
      <c r="AE111" s="2473"/>
      <c r="AF111" s="2473"/>
      <c r="AG111" s="2473"/>
      <c r="AH111" s="2473"/>
      <c r="AI111" s="2473"/>
      <c r="AJ111" s="2473"/>
      <c r="AK111" s="2473"/>
      <c r="AL111" s="2473"/>
      <c r="AM111" s="2473"/>
      <c r="AN111" s="2473"/>
      <c r="AO111" s="2473"/>
      <c r="AP111" s="2473"/>
      <c r="AQ111" s="2473"/>
      <c r="AR111" s="2473"/>
      <c r="AS111" s="2473"/>
      <c r="AT111" s="2473"/>
      <c r="AU111" s="2473"/>
      <c r="AV111" s="2473"/>
      <c r="AW111" s="2473"/>
      <c r="AX111" s="2473"/>
      <c r="AY111" s="2473"/>
      <c r="AZ111" s="2473"/>
      <c r="BA111" s="2473"/>
      <c r="BB111" s="2473"/>
      <c r="BC111" s="2473"/>
      <c r="BD111" s="2473"/>
      <c r="BE111" s="2473"/>
      <c r="BF111" s="2473"/>
      <c r="BG111" s="2473"/>
      <c r="BH111" s="2473"/>
      <c r="BI111" s="2473"/>
      <c r="BJ111" s="2473"/>
      <c r="BK111" s="2473"/>
      <c r="BL111" s="2473"/>
      <c r="BM111" s="2473"/>
      <c r="BN111" s="2473"/>
      <c r="BO111" s="2473"/>
      <c r="BP111" s="2473"/>
      <c r="BQ111" s="2473"/>
      <c r="BR111" s="2473"/>
      <c r="BS111" s="2473"/>
      <c r="BT111" s="2473"/>
      <c r="BU111" s="2473"/>
      <c r="BV111" s="2473"/>
      <c r="BW111" s="2473"/>
      <c r="BX111" s="2473"/>
      <c r="BY111" s="2473"/>
      <c r="BZ111" s="2473"/>
      <c r="CA111" s="34"/>
      <c r="CC111" s="2455"/>
      <c r="CD111" s="177"/>
      <c r="CE111" s="177"/>
      <c r="CF111" s="178"/>
      <c r="CG111" s="177"/>
      <c r="CH111" s="177"/>
      <c r="CI111" s="88"/>
      <c r="CJ111" s="2456"/>
      <c r="CK111" s="2456"/>
      <c r="CL111" s="88"/>
      <c r="CM111" s="2528"/>
      <c r="CN111" s="2529"/>
      <c r="CO111" s="88"/>
      <c r="CP111" s="2528"/>
      <c r="CQ111" s="2529"/>
      <c r="CR111" s="34"/>
      <c r="CS111" s="2056"/>
      <c r="CT111" s="1880"/>
      <c r="CU111" s="1880"/>
      <c r="CV111" s="1880"/>
      <c r="CW111" s="1880"/>
      <c r="CX111" s="2121"/>
      <c r="CY111" s="1880"/>
      <c r="CZ111" s="1880"/>
      <c r="DA111" s="1880"/>
      <c r="DB111" s="1880"/>
      <c r="DC111" s="2121"/>
      <c r="DD111" s="1880"/>
      <c r="DE111" s="1880"/>
      <c r="DF111" s="1880"/>
      <c r="DG111" s="1880"/>
      <c r="DH111" s="1880"/>
      <c r="DI111" s="1880"/>
      <c r="DJ111" s="1880"/>
      <c r="DK111" s="1880"/>
      <c r="DL111" s="1880"/>
      <c r="DM111" s="1880"/>
      <c r="DN111" s="1880"/>
      <c r="DO111" s="1880"/>
      <c r="DP111" s="1880"/>
      <c r="DQ111" s="1880"/>
      <c r="DR111" s="1880"/>
      <c r="DS111" s="1880"/>
      <c r="DT111" s="1880"/>
      <c r="DU111" s="1880"/>
      <c r="DV111" s="1880"/>
      <c r="DW111" s="1880"/>
      <c r="DX111" s="1880"/>
      <c r="DY111" s="1880"/>
      <c r="DZ111" s="1880"/>
      <c r="EA111" s="1880"/>
      <c r="EB111" s="1880"/>
      <c r="EC111" s="1880"/>
      <c r="ED111" s="1880"/>
      <c r="EE111" s="1880"/>
      <c r="EF111" s="1880"/>
      <c r="EG111" s="1880"/>
      <c r="EH111" s="1880"/>
      <c r="EI111" s="1880"/>
      <c r="EJ111" s="1880"/>
      <c r="EK111" s="1880"/>
      <c r="EL111" s="1880"/>
      <c r="EM111" s="1880"/>
      <c r="EN111" s="1880"/>
      <c r="EO111" s="1880"/>
      <c r="EP111" s="1880"/>
      <c r="EQ111" s="1880"/>
      <c r="ER111" s="1880"/>
      <c r="ES111" s="1880"/>
      <c r="ET111" s="1880"/>
      <c r="EU111" s="1880"/>
      <c r="EV111" s="1880"/>
    </row>
    <row r="112" spans="1:152" ht="36.75" customHeight="1">
      <c r="A112" s="1626"/>
      <c r="B112" s="2621" t="str">
        <f>_xlfn.LET(_xlpm.IsNotAttrDynamic,D112="",_xlpm.Attr,_PL!F112,_xlpm.NotInUse,Y112=D112,_xlpm.RESULT,IF(_xlpm.IsNotAttrDynamic,_xlpm.Attr,IF(_xlpm.NotInUse,"",Y112)),IF(_xlpm.RESULT="","",_xlpm.RESULT))</f>
        <v/>
      </c>
      <c r="C112" s="2621" t="str" cm="1">
        <f t="array" ref="C112">IFBLANK(_PL!C112,"")</f>
        <v/>
      </c>
      <c r="D112" s="1548"/>
      <c r="E112" s="2453"/>
      <c r="F112" s="578"/>
      <c r="G112" s="578"/>
      <c r="H112" s="401"/>
      <c r="I112" s="401"/>
      <c r="J112" s="401" t="str" cm="1">
        <f t="array" ref="J112">IFBLANK(Z112,"")</f>
        <v/>
      </c>
      <c r="K112" s="578" t="str">
        <f t="shared" si="39"/>
        <v>No</v>
      </c>
      <c r="L112" s="37"/>
      <c r="N112" s="158"/>
      <c r="O112" s="2"/>
      <c r="P112" s="52"/>
      <c r="Q112" s="2"/>
      <c r="R112" s="539"/>
      <c r="S112" s="2"/>
      <c r="T112" s="2"/>
      <c r="U112" s="39"/>
      <c r="V112" s="37"/>
      <c r="W112" s="2530" t="s">
        <v>94</v>
      </c>
      <c r="X112" s="1275"/>
      <c r="Y112" s="2475" t="s">
        <v>105</v>
      </c>
      <c r="Z112" s="1258"/>
      <c r="AA112" s="1259"/>
      <c r="AB112" s="1258"/>
      <c r="AC112" s="125"/>
      <c r="AD112" s="2531"/>
      <c r="AE112" s="2531"/>
      <c r="AF112" s="2531"/>
      <c r="AG112" s="2531"/>
      <c r="AH112" s="2531"/>
      <c r="AI112" s="2531"/>
      <c r="AJ112" s="2531"/>
      <c r="AK112" s="2531"/>
      <c r="AL112" s="2531"/>
      <c r="AM112" s="2531"/>
      <c r="AN112" s="2531"/>
      <c r="AO112" s="2531"/>
      <c r="AP112" s="2531"/>
      <c r="AQ112" s="2531"/>
      <c r="AR112" s="2531"/>
      <c r="AS112" s="2531"/>
      <c r="AT112" s="2531"/>
      <c r="AU112" s="2531"/>
      <c r="AV112" s="2531"/>
      <c r="AW112" s="2531"/>
      <c r="AX112" s="2531"/>
      <c r="AY112" s="2531"/>
      <c r="AZ112" s="2531"/>
      <c r="BA112" s="2531"/>
      <c r="BB112" s="2531"/>
      <c r="BC112" s="2531"/>
      <c r="BD112" s="2531"/>
      <c r="BE112" s="2531"/>
      <c r="BF112" s="2531"/>
      <c r="BG112" s="2531"/>
      <c r="BH112" s="2531"/>
      <c r="BI112" s="2531"/>
      <c r="BJ112" s="2531"/>
      <c r="BK112" s="2531"/>
      <c r="BL112" s="2531"/>
      <c r="BM112" s="2531"/>
      <c r="BN112" s="2532"/>
      <c r="BO112" s="2484"/>
      <c r="BP112" s="2484"/>
      <c r="BQ112" s="2484"/>
      <c r="BR112" s="2484"/>
      <c r="BS112" s="2484"/>
      <c r="BT112" s="2484"/>
      <c r="BU112" s="2484"/>
      <c r="BV112" s="2484"/>
      <c r="BW112" s="2484"/>
      <c r="BX112" s="2484"/>
      <c r="BY112" s="2484"/>
      <c r="BZ112" s="2484"/>
      <c r="CA112" s="34"/>
      <c r="CC112" s="33"/>
      <c r="CD112" s="700"/>
      <c r="CE112" s="701"/>
      <c r="CF112" s="3"/>
      <c r="CG112" s="700"/>
      <c r="CH112" s="701"/>
      <c r="CI112" s="3"/>
      <c r="CJ112" s="700"/>
      <c r="CK112" s="701"/>
      <c r="CL112" s="3"/>
      <c r="CM112" s="700"/>
      <c r="CN112" s="701"/>
      <c r="CO112" s="3"/>
      <c r="CP112" s="700"/>
      <c r="CQ112" s="701"/>
      <c r="CR112" s="34"/>
      <c r="CS112" s="2056"/>
      <c r="CT112" s="1880"/>
      <c r="CU112" s="1880"/>
      <c r="CV112" s="1880"/>
      <c r="CW112" s="1880"/>
      <c r="CX112" s="2121"/>
      <c r="CY112" s="1880"/>
      <c r="CZ112" s="1880"/>
      <c r="DA112" s="1880"/>
      <c r="DB112" s="1880"/>
      <c r="DC112" s="2121"/>
      <c r="DD112" s="1880"/>
      <c r="DE112" s="1880"/>
      <c r="DF112" s="1880"/>
      <c r="DG112" s="1880"/>
      <c r="DH112" s="1880"/>
      <c r="DI112" s="1880"/>
      <c r="DJ112" s="1880"/>
      <c r="DK112" s="1880"/>
      <c r="DL112" s="1880"/>
      <c r="DM112" s="1880"/>
      <c r="DN112" s="1880"/>
      <c r="DO112" s="1880"/>
      <c r="DP112" s="1880"/>
      <c r="DQ112" s="1880"/>
      <c r="DR112" s="1880"/>
      <c r="DS112" s="1880"/>
      <c r="DT112" s="1880"/>
      <c r="DU112" s="1880"/>
      <c r="DV112" s="1880"/>
      <c r="DW112" s="1880"/>
      <c r="DX112" s="1880"/>
      <c r="DY112" s="1880"/>
      <c r="DZ112" s="1880"/>
      <c r="EA112" s="1880"/>
      <c r="EB112" s="1880"/>
      <c r="EC112" s="1880"/>
      <c r="ED112" s="1880"/>
      <c r="EE112" s="1880"/>
      <c r="EF112" s="1880"/>
      <c r="EG112" s="1880"/>
      <c r="EH112" s="1880"/>
      <c r="EI112" s="1880"/>
      <c r="EJ112" s="1880"/>
      <c r="EK112" s="1880"/>
      <c r="EL112" s="1880"/>
      <c r="EM112" s="1880"/>
      <c r="EN112" s="1880"/>
      <c r="EO112" s="1880"/>
      <c r="EP112" s="1880"/>
      <c r="EQ112" s="1880"/>
      <c r="ER112" s="1880"/>
      <c r="ES112" s="1880"/>
      <c r="ET112" s="1880"/>
      <c r="EU112" s="1880"/>
      <c r="EV112" s="1880"/>
    </row>
    <row r="113" spans="1:144" ht="21" customHeight="1">
      <c r="A113" s="1626" t="s">
        <v>96</v>
      </c>
      <c r="B113" s="2501" t="str">
        <f ca="1">_xlfn.LET(_xlpm.IsNotAttrDynamic,D113="",_xlpm.Attr,_PL!F113,_xlpm.NotInUse,Y113=D113,_xlpm.RESULT,IF(_xlpm.IsNotAttrDynamic,_xlpm.Attr,IF(_xlpm.NotInUse,"",Y113)),IF(_xlpm.RESULT="","",_xlpm.RESULT))</f>
        <v>Custom Metric Amount 1 [Calculated]</v>
      </c>
      <c r="C113" s="2501" t="str" cm="1">
        <f t="array" ref="C113">IFBLANK(_PL!C113,"")</f>
        <v>Custom Metric - Label 1 [Calculated]</v>
      </c>
      <c r="D113" s="1548"/>
      <c r="E113" s="2440" cm="1">
        <f t="array" ca="1" aca="1" ref="E113:G11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113:$CC113,Z113)</f>
        <v>0</v>
      </c>
      <c r="F113" s="578">
        <f ca="1"/>
        <v>0</v>
      </c>
      <c r="G113" s="578" t="str">
        <f ca="1"/>
        <v>A</v>
      </c>
      <c r="H113" s="3280">
        <v>1</v>
      </c>
      <c r="I113" s="3280">
        <v>1</v>
      </c>
      <c r="J113" s="401" cm="1">
        <f t="array" ref="J113">IFBLANK(Z113,"")</f>
        <v>0</v>
      </c>
      <c r="K113" s="578" t="str">
        <f ca="1" t="shared" si="44" ref="K113:K122">IFERROR(IF(LEN(AB113)=0,"No",IF(LEN(J113)&gt;0,"Yes","No")),"")</f>
        <v>Yes</v>
      </c>
      <c r="L113" s="37"/>
      <c r="N113" s="158"/>
      <c r="O113" s="101"/>
      <c r="P113" s="52"/>
      <c r="Q113" s="101"/>
      <c r="R113" s="126"/>
      <c r="S113" s="101"/>
      <c r="T113" s="101"/>
      <c r="U113" s="39"/>
      <c r="V113" s="37"/>
      <c r="W113" s="269" t="str">
        <f t="shared" si="45" ref="W113:W122">$W$76</f>
        <v>Budget</v>
      </c>
      <c r="X113" s="2523" t="e">
        <f ca="1">_PL!X113</f>
        <v>#NAME?</v>
      </c>
      <c r="Y113" s="2375" t="str" cm="1">
        <f t="array" ca="1" aca="1" ref="Y113">_xlfn.LET(_xlpm._location,_xlfn.XLOOKUP("Custom Metric 1 - Calculation (Actual)",$Y$249:$Y$338,$Y$249:$Y$338),_xlpm._hyperlink,HYPERLINK("#"&amp;CELL("address",_xlpm._location),"Define your first custom metric!"),_xlpm.list,_xlfn._xlws.FILTER($Y$249:$Y$338,($X$249:$X$338=0)*ISNUMBER($X$249:$X$338)*($W$249:$W$338=$W113)*NOT(ISNUMBER(SEARCH("please",$Y$249:$Y$338)))),IFERROR(_xlpm.list,_xlpm._hyperlink))</f>
        <v>Define your first custom metric!</v>
      </c>
      <c r="Z113" s="878" cm="1">
        <f t="array" ref="Z113">IFBLANK(Z57,"")</f>
        <v>0</v>
      </c>
      <c r="AA113" s="877" t="str" cm="1">
        <f t="array" ca="1" aca="1" ref="AA113">IFERROR(_xlfn.LET(_xlpm._termname,$Y113,_xlpm._icon,"Define",_xlpm._location,_xlfn.XLOOKUP(_xlpm._termname,$Y$249:$Y$338,$Y$249:$Y$338),_xlpm._hyperlink,HYPERLINK("#"&amp;CELL("address",_xlpm._location),_xlpm._icon),IF(Y113="","",_xlpm._hyperlink)),"")</f>
        <v/>
      </c>
      <c r="AB113" s="2525" t="str" cm="1">
        <f t="array" ca="1" aca="1" ref="AB113:AB122">IF(Y113:Y122="","",Y113:Y122)</f>
        <v>Define your first custom metric!</v>
      </c>
      <c r="AC113" s="124" t="str" cm="1">
        <f t="array" ca="1" aca="1" ref="AC113">_xlfn.LET(_xlpm._termname,$AB113,_xlpm._iconname,"find",_xlpm._icon,fx_getIcon(_xlpm._iconname),_xlpm._location,_xlfn.XLOOKUP(LOWER(_xlpm._termname),LOWER(tbl_acctDef[Term]),tbl_acctDef[Term]),_xlpm._hyperlink,HYPERLINK("#"&amp;CELL("address",_xlpm._location),_xlpm._icon),IFERROR(_xlpm._hyperlink,""))</f>
        <v/>
      </c>
      <c r="AD113" s="1661" t="str" cm="1">
        <f t="array" ca="1" aca="1" ref="AD113">IFERROR(IF($Y113="","",_xlfn.XLOOKUP($W113&amp;$Y113,$W$250:$W$338&amp;$Y$250:$Y$338,$AD$250:$BN$338)),"")</f>
        <v/>
      </c>
      <c r="AE113" s="1661"/>
      <c r="AF113" s="1661"/>
      <c r="AG113" s="1661"/>
      <c r="AH113" s="1661"/>
      <c r="AI113" s="1661"/>
      <c r="AJ113" s="1661"/>
      <c r="AK113" s="1661"/>
      <c r="AL113" s="1661"/>
      <c r="AM113" s="1661"/>
      <c r="AN113" s="1661"/>
      <c r="AO113" s="1661"/>
      <c r="AP113" s="1661"/>
      <c r="AQ113" s="1661"/>
      <c r="AR113" s="1661"/>
      <c r="AS113" s="1661"/>
      <c r="AT113" s="1661"/>
      <c r="AU113" s="1661"/>
      <c r="AV113" s="1661"/>
      <c r="AW113" s="1661"/>
      <c r="AX113" s="1661"/>
      <c r="AY113" s="1661"/>
      <c r="AZ113" s="1661"/>
      <c r="BA113" s="1661"/>
      <c r="BB113" s="1661"/>
      <c r="BC113" s="1661"/>
      <c r="BD113" s="1661"/>
      <c r="BE113" s="1661"/>
      <c r="BF113" s="1661"/>
      <c r="BG113" s="1661"/>
      <c r="BH113" s="1661"/>
      <c r="BI113" s="1661"/>
      <c r="BJ113" s="1661"/>
      <c r="BK113" s="1661"/>
      <c r="BL113" s="1661"/>
      <c r="BM113" s="1661"/>
      <c r="BN113" s="1661"/>
      <c r="BO113" s="2533"/>
      <c r="BP113" s="2533"/>
      <c r="BQ113" s="2533"/>
      <c r="BR113" s="2533"/>
      <c r="BS113" s="2533"/>
      <c r="BT113" s="2533"/>
      <c r="BU113" s="2533"/>
      <c r="BV113" s="2533"/>
      <c r="BW113" s="2533"/>
      <c r="BX113" s="2533"/>
      <c r="BY113" s="2533"/>
      <c r="BZ113" s="2533"/>
      <c r="CA113" s="34"/>
      <c r="CC113" s="33"/>
      <c r="CD113" s="1772" t="str" cm="1">
        <f t="array" ca="1" aca="1" ref="CD113">_xlfn.LET(_xlpm.CheckBlank,SUM(PL!$AD113:$BN113)=0,IF(_xlpm.CheckBlank,"",SUM(_xlfn._xlws.FILTER(PL!$AD113:$BN113,(YEAR(PL!$AD$12:$BN$12)=PL!CD$12)*(array_timeline&lt;=PL!CD$11)))))</f>
        <v/>
      </c>
      <c r="CE113" s="1772" t="str" cm="1">
        <f t="array" ca="1" aca="1" ref="CE113">_xlfn.LET(_xlpm.CheckBlank,SUM(PL!$AD113:$BN113)=0,IF(_xlpm.CheckBlank,"",SUM(_xlfn._xlws.FILTER(PL!$AD113:$BN113,(YEAR(PL!$AD$12:$BN$12)=PL!CE$12)*(array_timeline&lt;=PL!CE$11)))))</f>
        <v/>
      </c>
      <c r="CF113" s="88"/>
      <c r="CG113" s="1461" t="str" cm="1">
        <f t="array" ca="1" aca="1" ref="CG113">_xlfn.LET(_xlpm.CheckBlank,SUM(PL!$AD113:$BN113)=0,IF(_xlpm.CheckBlank,"",SUM(_xlfn._xlws.FILTER(PL!$AD113:$BN113,(YEAR(PL!$AD$12:$BN$12)=PL!CG$12)*(array_timeline&lt;=PL!CG$11)))))</f>
        <v/>
      </c>
      <c r="CH113" s="1461" t="str" cm="1">
        <f t="array" ca="1" aca="1" ref="CH113">_xlfn.LET(_xlpm.CheckBlank,SUM(PL!$AD113:$BN113)=0,IF(_xlpm.CheckBlank,"",SUM(_xlfn._xlws.FILTER(PL!$AD113:$BN113,(YEAR(PL!$AD$12:$BN$12)=PL!CH$12)*(array_timeline&lt;=PL!CH$11)))))</f>
        <v/>
      </c>
      <c r="CI113" s="88"/>
      <c r="CJ113" s="1461" t="str" cm="1">
        <f t="array" ca="1" aca="1" ref="CJ113">_xlfn.LET(_xlpm.CheckBlank,SUM(PL!$AD113:$BN113)=0,IF(_xlpm.CheckBlank,"",SUM(_xlfn.TAKE(_xlfn.DROP(PL!$AD113:$BN113,,-DATEDIFF(PL!CJ$11,val_asOfDate,"M")),1,-12))))</f>
        <v/>
      </c>
      <c r="CK113" s="1461" t="str" cm="1">
        <f t="array" ca="1" aca="1" ref="CK113">_xlfn.LET(_xlpm.CheckBlank,SUM(PL!$AD113:$BN113)=0,IF(_xlpm.CheckBlank,"",SUM(_xlfn.TAKE(_xlfn.DROP(PL!$AD113:$BN113,,-DATEDIFF(PL!CK$11,val_asOfDate,"M")),1,-12))))</f>
        <v/>
      </c>
      <c r="CL113" s="88"/>
      <c r="CM113" s="2659" t="e" cm="1">
        <f t="array" ca="1" aca="1" ref="CM113">IF($Y113="","",_xlfn.XLOOKUP($W113&amp;$Y113,$W$250:$W$338&amp;$Y$250:$Y$338,$CM$250:$CN$338))</f>
        <v>#N/A</v>
      </c>
      <c r="CN113" s="2357"/>
      <c r="CO113" s="992"/>
      <c r="CP113" s="2659" t="e" cm="1">
        <f t="array" ca="1" aca="1" ref="CP113">IF($Y113="","",_xlfn.XLOOKUP($W113&amp;$Y113,$W$250:$W$338&amp;$Y$250:$Y$338,$CP$250:$CQ$338))</f>
        <v>#N/A</v>
      </c>
      <c r="CQ113" s="2357"/>
      <c r="CR113" s="34"/>
      <c r="CS113" s="2056"/>
      <c r="CT113" s="2616"/>
      <c r="CU113" s="2616"/>
      <c r="CV113" s="2616"/>
      <c r="CW113" s="2616"/>
      <c r="CX113" s="2443"/>
      <c r="CY113" s="2444" t="str" cm="1">
        <f t="array" ca="1" aca="1" ref="CY113">IFERROR(IF(CM113*fxVal_normal=_PL!CM113,"",IF(OR($CM113="",$CM113=0,NOT(ISNUMBER($CM113)),ISERROR($CM113),$B113=""),"",IF($I113=1,IFBLANK(_xldudf_CX_PUSH($CM113*fxVal_normal,CX_ENTITY,$B113,$CM$11,$CM$14,$CM$19,),""),IF($I113=2,IFBLANK(_xldudf_CX_PUSH($CM113,CX_ENTITY,$B113,$CM$11,$CM$14,$CM$19,),""),IF($I113=3,"",IFBLANK(_xldudf_CX_PUSH($CM113,CX_ENTITY,$B113,$CM$11,$CM$14,$CM$19,),"")))))),"")</f>
        <v/>
      </c>
      <c r="CZ113" s="2444" t="str" cm="1">
        <f t="array" ca="1" aca="1" ref="CZ113">IFERROR(IF(CN113*fxVal_normal=_PL!CN113,"",IF(OR($CN113="",$CN113=0,NOT(ISNUMBER($CN113)),ISERROR($CN113),$B113=""),"",IF($I113=1,IFBLANK(_xldudf_CX_PUSH($CN113*fxVal_normal,CX_ENTITY,$B113,$CN$11,$CN$14,$CN$19,),""),IF($I113=2,IFBLANK(_xldudf_CX_PUSH($CN113,CX_ENTITY,$B113,$CN$11,$CN$14,$CN$19,),""),IF($I113=3,"",IFBLANK(_xldudf_CX_PUSH($CN113,CX_ENTITY,$B113,$CN$11,$CN$14,$CN$19,),"")))))),"")</f>
        <v/>
      </c>
      <c r="DA113" s="2444" t="str" cm="1">
        <f t="array" ca="1" aca="1" ref="DA113">IFERROR(IF(CP113*fxVal_normal=_PL!CP113,"",IF(OR($CP113="",$CP113=0,NOT(ISNUMBER($CP113)),ISERROR($CP113),$B113=""),"",IF($I113=1,IFBLANK(_xldudf_CX_PUSH($CP113*fxVal_normal,CX_ENTITY,$B113,$CP$11,$CP$14,$CP$19,),""),IF($I113=2,IFBLANK(_xldudf_CX_PUSH($CP113,CX_ENTITY,$B113,$CP$11,$CP$14,$CP$19,),""),IF($I113=3,"",IFBLANK(_xldudf_CX_PUSH($CP113,CX_ENTITY,$B113,$CP$11,$CP$14,$CP$19,),"")))))),"")</f>
        <v/>
      </c>
      <c r="DB113" s="2444" t="str" cm="1">
        <f t="array" ca="1" aca="1" ref="DB113">IFERROR(IF(CQ113*fxVal_normal=_PL!CQ113,"",IF(OR($CQ113="",$CQ113=0,NOT(ISNUMBER($CQ113)),ISERROR($CQ113),$B113=""),"",IF($I113=1,IFBLANK(_xldudf_CX_PUSH($CQ113*fxVal_normal,CX_ENTITY,$B113,$CQ$11,$CQ$14,$CQ$19,),""),IF($I113=2,IFBLANK(_xldudf_CX_PUSH($CQ113,CX_ENTITY,$B113,$CQ$11,$CQ$14,$CQ$19,),""),IF($I113=3,"",IFBLANK(_xldudf_CX_PUSH($CQ113,CX_ENTITY,$B113,$CQ$11,$CQ$14,$CQ$19,),"")))))),"")</f>
        <v/>
      </c>
      <c r="DC113" s="2443"/>
      <c r="DD113" s="2445" t="str" cm="1">
        <f t="array" ca="1" aca="1" ref="DD113">IFERROR(IF(AD113*fxVal_normal=_PL!AD113,"",IF(OR(AD113="",NOT(ISNUMBER(AD113)),ISERROR(AD113),$B113=""),"",IF($I113=1,IFBLANK(_xldudf_CX_PUSH(AD113*fxVal_normal,CX_ENTITY,$B113,AD$11,AD$14,AD$75,),""),IF($I113=2,IFBLANK(_xldudf_CX_PUSH(AD113,CX_ENTITY,$B113,AD$11,AD$14,AD$75,),""),IF($I113=3,"",IFBLANK(_xldudf_CX_PUSH(AD113,CX_ENTITY,$B113,AD$11,AD$14,AD$75,),"")))))),"")</f>
        <v/>
      </c>
      <c r="DE113" s="2445" t="str" cm="1">
        <f t="array" ca="1" aca="1" ref="DE113">IFERROR(IF(AE113*fxVal_normal=_PL!AE113,"",IF(OR(AE113="",NOT(ISNUMBER(AE113)),ISERROR(AE113),$B113=""),"",IF($I113=1,IFBLANK(_xldudf_CX_PUSH(AE113*fxVal_normal,CX_ENTITY,$B113,AE$11,AE$14,AE$75,),""),IF($I113=2,IFBLANK(_xldudf_CX_PUSH(AE113,CX_ENTITY,$B113,AE$11,AE$14,AE$75,),""),IF($I113=3,"",IFBLANK(_xldudf_CX_PUSH(AE113,CX_ENTITY,$B113,AE$11,AE$14,AE$75,),"")))))),"")</f>
        <v/>
      </c>
      <c r="DF113" s="2445" t="str" cm="1">
        <f t="array" ca="1" aca="1" ref="DF113">IFERROR(IF(AF113*fxVal_normal=_PL!AF113,"",IF(OR(AF113="",NOT(ISNUMBER(AF113)),ISERROR(AF113),$B113=""),"",IF($I113=1,IFBLANK(_xldudf_CX_PUSH(AF113*fxVal_normal,CX_ENTITY,$B113,AF$11,AF$14,AF$75,),""),IF($I113=2,IFBLANK(_xldudf_CX_PUSH(AF113,CX_ENTITY,$B113,AF$11,AF$14,AF$75,),""),IF($I113=3,"",IFBLANK(_xldudf_CX_PUSH(AF113,CX_ENTITY,$B113,AF$11,AF$14,AF$75,),"")))))),"")</f>
        <v/>
      </c>
      <c r="DG113" s="2445" t="str" cm="1">
        <f t="array" ca="1" aca="1" ref="DG113">IFERROR(IF(AG113*fxVal_normal=_PL!AG113,"",IF(OR(AG113="",NOT(ISNUMBER(AG113)),ISERROR(AG113),$B113=""),"",IF($I113=1,IFBLANK(_xldudf_CX_PUSH(AG113*fxVal_normal,CX_ENTITY,$B113,AG$11,AG$14,AG$75,),""),IF($I113=2,IFBLANK(_xldudf_CX_PUSH(AG113,CX_ENTITY,$B113,AG$11,AG$14,AG$75,),""),IF($I113=3,"",IFBLANK(_xldudf_CX_PUSH(AG113,CX_ENTITY,$B113,AG$11,AG$14,AG$75,),"")))))),"")</f>
        <v/>
      </c>
      <c r="DH113" s="2445" t="str" cm="1">
        <f t="array" ca="1" aca="1" ref="DH113">IFERROR(IF(AH113*fxVal_normal=_PL!AH113,"",IF(OR(AH113="",NOT(ISNUMBER(AH113)),ISERROR(AH113),$B113=""),"",IF($I113=1,IFBLANK(_xldudf_CX_PUSH(AH113*fxVal_normal,CX_ENTITY,$B113,AH$11,AH$14,AH$75,),""),IF($I113=2,IFBLANK(_xldudf_CX_PUSH(AH113,CX_ENTITY,$B113,AH$11,AH$14,AH$75,),""),IF($I113=3,"",IFBLANK(_xldudf_CX_PUSH(AH113,CX_ENTITY,$B113,AH$11,AH$14,AH$75,),"")))))),"")</f>
        <v/>
      </c>
      <c r="DI113" s="2445" t="str" cm="1">
        <f t="array" ca="1" aca="1" ref="DI113">IFERROR(IF(AI113*fxVal_normal=_PL!AI113,"",IF(OR(AI113="",NOT(ISNUMBER(AI113)),ISERROR(AI113),$B113=""),"",IF($I113=1,IFBLANK(_xldudf_CX_PUSH(AI113*fxVal_normal,CX_ENTITY,$B113,AI$11,AI$14,AI$75,),""),IF($I113=2,IFBLANK(_xldudf_CX_PUSH(AI113,CX_ENTITY,$B113,AI$11,AI$14,AI$75,),""),IF($I113=3,"",IFBLANK(_xldudf_CX_PUSH(AI113,CX_ENTITY,$B113,AI$11,AI$14,AI$75,),"")))))),"")</f>
        <v/>
      </c>
      <c r="DJ113" s="2445" t="str" cm="1">
        <f t="array" ca="1" aca="1" ref="DJ113">IFERROR(IF(AJ113*fxVal_normal=_PL!AJ113,"",IF(OR(AJ113="",NOT(ISNUMBER(AJ113)),ISERROR(AJ113),$B113=""),"",IF($I113=1,IFBLANK(_xldudf_CX_PUSH(AJ113*fxVal_normal,CX_ENTITY,$B113,AJ$11,AJ$14,AJ$75,),""),IF($I113=2,IFBLANK(_xldudf_CX_PUSH(AJ113,CX_ENTITY,$B113,AJ$11,AJ$14,AJ$75,),""),IF($I113=3,"",IFBLANK(_xldudf_CX_PUSH(AJ113,CX_ENTITY,$B113,AJ$11,AJ$14,AJ$75,),"")))))),"")</f>
        <v/>
      </c>
      <c r="DK113" s="2445" t="str" cm="1">
        <f t="array" ca="1" aca="1" ref="DK113">IFERROR(IF(AK113*fxVal_normal=_PL!AK113,"",IF(OR(AK113="",NOT(ISNUMBER(AK113)),ISERROR(AK113),$B113=""),"",IF($I113=1,IFBLANK(_xldudf_CX_PUSH(AK113*fxVal_normal,CX_ENTITY,$B113,AK$11,AK$14,AK$75,),""),IF($I113=2,IFBLANK(_xldudf_CX_PUSH(AK113,CX_ENTITY,$B113,AK$11,AK$14,AK$75,),""),IF($I113=3,"",IFBLANK(_xldudf_CX_PUSH(AK113,CX_ENTITY,$B113,AK$11,AK$14,AK$75,),"")))))),"")</f>
        <v/>
      </c>
      <c r="DL113" s="2445" t="str" cm="1">
        <f t="array" ca="1" aca="1" ref="DL113">IFERROR(IF(AL113*fxVal_normal=_PL!AL113,"",IF(OR(AL113="",NOT(ISNUMBER(AL113)),ISERROR(AL113),$B113=""),"",IF($I113=1,IFBLANK(_xldudf_CX_PUSH(AL113*fxVal_normal,CX_ENTITY,$B113,AL$11,AL$14,AL$75,),""),IF($I113=2,IFBLANK(_xldudf_CX_PUSH(AL113,CX_ENTITY,$B113,AL$11,AL$14,AL$75,),""),IF($I113=3,"",IFBLANK(_xldudf_CX_PUSH(AL113,CX_ENTITY,$B113,AL$11,AL$14,AL$75,),"")))))),"")</f>
        <v/>
      </c>
      <c r="DM113" s="2445" t="str" cm="1">
        <f t="array" ca="1" aca="1" ref="DM113">IFERROR(IF(AM113*fxVal_normal=_PL!AM113,"",IF(OR(AM113="",NOT(ISNUMBER(AM113)),ISERROR(AM113),$B113=""),"",IF($I113=1,IFBLANK(_xldudf_CX_PUSH(AM113*fxVal_normal,CX_ENTITY,$B113,AM$11,AM$14,AM$75,),""),IF($I113=2,IFBLANK(_xldudf_CX_PUSH(AM113,CX_ENTITY,$B113,AM$11,AM$14,AM$75,),""),IF($I113=3,"",IFBLANK(_xldudf_CX_PUSH(AM113,CX_ENTITY,$B113,AM$11,AM$14,AM$75,),"")))))),"")</f>
        <v/>
      </c>
      <c r="DN113" s="2445" t="str" cm="1">
        <f t="array" ca="1" aca="1" ref="DN113">IFERROR(IF(AN113*fxVal_normal=_PL!AN113,"",IF(OR(AN113="",NOT(ISNUMBER(AN113)),ISERROR(AN113),$B113=""),"",IF($I113=1,IFBLANK(_xldudf_CX_PUSH(AN113*fxVal_normal,CX_ENTITY,$B113,AN$11,AN$14,AN$75,),""),IF($I113=2,IFBLANK(_xldudf_CX_PUSH(AN113,CX_ENTITY,$B113,AN$11,AN$14,AN$75,),""),IF($I113=3,"",IFBLANK(_xldudf_CX_PUSH(AN113,CX_ENTITY,$B113,AN$11,AN$14,AN$75,),"")))))),"")</f>
        <v/>
      </c>
      <c r="DO113" s="2445" t="str" cm="1">
        <f t="array" ca="1" aca="1" ref="DO113">IFERROR(IF(AO113*fxVal_normal=_PL!AO113,"",IF(OR(AO113="",NOT(ISNUMBER(AO113)),ISERROR(AO113),$B113=""),"",IF($I113=1,IFBLANK(_xldudf_CX_PUSH(AO113*fxVal_normal,CX_ENTITY,$B113,AO$11,AO$14,AO$75,),""),IF($I113=2,IFBLANK(_xldudf_CX_PUSH(AO113,CX_ENTITY,$B113,AO$11,AO$14,AO$75,),""),IF($I113=3,"",IFBLANK(_xldudf_CX_PUSH(AO113,CX_ENTITY,$B113,AO$11,AO$14,AO$75,),"")))))),"")</f>
        <v/>
      </c>
      <c r="DP113" s="2445" t="str" cm="1">
        <f t="array" ca="1" aca="1" ref="DP113">IFERROR(IF(AP113*fxVal_normal=_PL!AP113,"",IF(OR(AP113="",NOT(ISNUMBER(AP113)),ISERROR(AP113),$B113=""),"",IF($I113=1,IFBLANK(_xldudf_CX_PUSH(AP113*fxVal_normal,CX_ENTITY,$B113,AP$11,AP$14,AP$75,),""),IF($I113=2,IFBLANK(_xldudf_CX_PUSH(AP113,CX_ENTITY,$B113,AP$11,AP$14,AP$75,),""),IF($I113=3,"",IFBLANK(_xldudf_CX_PUSH(AP113,CX_ENTITY,$B113,AP$11,AP$14,AP$75,),"")))))),"")</f>
        <v/>
      </c>
      <c r="DQ113" s="2445" t="str" cm="1">
        <f t="array" ca="1" aca="1" ref="DQ113">IFERROR(IF(AQ113*fxVal_normal=_PL!AQ113,"",IF(OR(AQ113="",NOT(ISNUMBER(AQ113)),ISERROR(AQ113),$B113=""),"",IF($I113=1,IFBLANK(_xldudf_CX_PUSH(AQ113*fxVal_normal,CX_ENTITY,$B113,AQ$11,AQ$14,AQ$75,),""),IF($I113=2,IFBLANK(_xldudf_CX_PUSH(AQ113,CX_ENTITY,$B113,AQ$11,AQ$14,AQ$75,),""),IF($I113=3,"",IFBLANK(_xldudf_CX_PUSH(AQ113,CX_ENTITY,$B113,AQ$11,AQ$14,AQ$75,),"")))))),"")</f>
        <v/>
      </c>
      <c r="DR113" s="2445" t="str" cm="1">
        <f t="array" ca="1" aca="1" ref="DR113">IFERROR(IF(AR113*fxVal_normal=_PL!AR113,"",IF(OR(AR113="",NOT(ISNUMBER(AR113)),ISERROR(AR113),$B113=""),"",IF($I113=1,IFBLANK(_xldudf_CX_PUSH(AR113*fxVal_normal,CX_ENTITY,$B113,AR$11,AR$14,AR$75,),""),IF($I113=2,IFBLANK(_xldudf_CX_PUSH(AR113,CX_ENTITY,$B113,AR$11,AR$14,AR$75,),""),IF($I113=3,"",IFBLANK(_xldudf_CX_PUSH(AR113,CX_ENTITY,$B113,AR$11,AR$14,AR$75,),"")))))),"")</f>
        <v/>
      </c>
      <c r="DS113" s="2445" t="str" cm="1">
        <f t="array" ca="1" aca="1" ref="DS113">IFERROR(IF(AS113*fxVal_normal=_PL!AS113,"",IF(OR(AS113="",NOT(ISNUMBER(AS113)),ISERROR(AS113),$B113=""),"",IF($I113=1,IFBLANK(_xldudf_CX_PUSH(AS113*fxVal_normal,CX_ENTITY,$B113,AS$11,AS$14,AS$75,),""),IF($I113=2,IFBLANK(_xldudf_CX_PUSH(AS113,CX_ENTITY,$B113,AS$11,AS$14,AS$75,),""),IF($I113=3,"",IFBLANK(_xldudf_CX_PUSH(AS113,CX_ENTITY,$B113,AS$11,AS$14,AS$75,),"")))))),"")</f>
        <v/>
      </c>
      <c r="DT113" s="2445" t="str" cm="1">
        <f t="array" ca="1" aca="1" ref="DT113">IFERROR(IF(AT113*fxVal_normal=_PL!AT113,"",IF(OR(AT113="",NOT(ISNUMBER(AT113)),ISERROR(AT113),$B113=""),"",IF($I113=1,IFBLANK(_xldudf_CX_PUSH(AT113*fxVal_normal,CX_ENTITY,$B113,AT$11,AT$14,AT$75,),""),IF($I113=2,IFBLANK(_xldudf_CX_PUSH(AT113,CX_ENTITY,$B113,AT$11,AT$14,AT$75,),""),IF($I113=3,"",IFBLANK(_xldudf_CX_PUSH(AT113,CX_ENTITY,$B113,AT$11,AT$14,AT$75,),"")))))),"")</f>
        <v/>
      </c>
      <c r="DU113" s="2445" t="str" cm="1">
        <f t="array" ca="1" aca="1" ref="DU113">IFERROR(IF(AU113*fxVal_normal=_PL!AU113,"",IF(OR(AU113="",NOT(ISNUMBER(AU113)),ISERROR(AU113),$B113=""),"",IF($I113=1,IFBLANK(_xldudf_CX_PUSH(AU113*fxVal_normal,CX_ENTITY,$B113,AU$11,AU$14,AU$75,),""),IF($I113=2,IFBLANK(_xldudf_CX_PUSH(AU113,CX_ENTITY,$B113,AU$11,AU$14,AU$75,),""),IF($I113=3,"",IFBLANK(_xldudf_CX_PUSH(AU113,CX_ENTITY,$B113,AU$11,AU$14,AU$75,),"")))))),"")</f>
        <v/>
      </c>
      <c r="DV113" s="2445" t="str" cm="1">
        <f t="array" ca="1" aca="1" ref="DV113">IFERROR(IF(AV113*fxVal_normal=_PL!AV113,"",IF(OR(AV113="",NOT(ISNUMBER(AV113)),ISERROR(AV113),$B113=""),"",IF($I113=1,IFBLANK(_xldudf_CX_PUSH(AV113*fxVal_normal,CX_ENTITY,$B113,AV$11,AV$14,AV$75,),""),IF($I113=2,IFBLANK(_xldudf_CX_PUSH(AV113,CX_ENTITY,$B113,AV$11,AV$14,AV$75,),""),IF($I113=3,"",IFBLANK(_xldudf_CX_PUSH(AV113,CX_ENTITY,$B113,AV$11,AV$14,AV$75,),"")))))),"")</f>
        <v/>
      </c>
      <c r="DW113" s="2445" t="str" cm="1">
        <f t="array" ca="1" aca="1" ref="DW113">IFERROR(IF(AW113*fxVal_normal=_PL!AW113,"",IF(OR(AW113="",NOT(ISNUMBER(AW113)),ISERROR(AW113),$B113=""),"",IF($I113=1,IFBLANK(_xldudf_CX_PUSH(AW113*fxVal_normal,CX_ENTITY,$B113,AW$11,AW$14,AW$75,),""),IF($I113=2,IFBLANK(_xldudf_CX_PUSH(AW113,CX_ENTITY,$B113,AW$11,AW$14,AW$75,),""),IF($I113=3,"",IFBLANK(_xldudf_CX_PUSH(AW113,CX_ENTITY,$B113,AW$11,AW$14,AW$75,),"")))))),"")</f>
        <v/>
      </c>
      <c r="DX113" s="2445" t="str" cm="1">
        <f t="array" ca="1" aca="1" ref="DX113">IFERROR(IF(AX113*fxVal_normal=_PL!AX113,"",IF(OR(AX113="",NOT(ISNUMBER(AX113)),ISERROR(AX113),$B113=""),"",IF($I113=1,IFBLANK(_xldudf_CX_PUSH(AX113*fxVal_normal,CX_ENTITY,$B113,AX$11,AX$14,AX$75,),""),IF($I113=2,IFBLANK(_xldudf_CX_PUSH(AX113,CX_ENTITY,$B113,AX$11,AX$14,AX$75,),""),IF($I113=3,"",IFBLANK(_xldudf_CX_PUSH(AX113,CX_ENTITY,$B113,AX$11,AX$14,AX$75,),"")))))),"")</f>
        <v/>
      </c>
      <c r="DY113" s="2445" t="str" cm="1">
        <f t="array" ca="1" aca="1" ref="DY113">IFERROR(IF(AY113*fxVal_normal=_PL!AY113,"",IF(OR(AY113="",NOT(ISNUMBER(AY113)),ISERROR(AY113),$B113=""),"",IF($I113=1,IFBLANK(_xldudf_CX_PUSH(AY113*fxVal_normal,CX_ENTITY,$B113,AY$11,AY$14,AY$75,),""),IF($I113=2,IFBLANK(_xldudf_CX_PUSH(AY113,CX_ENTITY,$B113,AY$11,AY$14,AY$75,),""),IF($I113=3,"",IFBLANK(_xldudf_CX_PUSH(AY113,CX_ENTITY,$B113,AY$11,AY$14,AY$75,),"")))))),"")</f>
        <v/>
      </c>
      <c r="DZ113" s="2445" t="str" cm="1">
        <f t="array" ca="1" aca="1" ref="DZ113">IFERROR(IF(AZ113*fxVal_normal=_PL!AZ113,"",IF(OR(AZ113="",NOT(ISNUMBER(AZ113)),ISERROR(AZ113),$B113=""),"",IF($I113=1,IFBLANK(_xldudf_CX_PUSH(AZ113*fxVal_normal,CX_ENTITY,$B113,AZ$11,AZ$14,AZ$75,),""),IF($I113=2,IFBLANK(_xldudf_CX_PUSH(AZ113,CX_ENTITY,$B113,AZ$11,AZ$14,AZ$75,),""),IF($I113=3,"",IFBLANK(_xldudf_CX_PUSH(AZ113,CX_ENTITY,$B113,AZ$11,AZ$14,AZ$75,),"")))))),"")</f>
        <v/>
      </c>
      <c r="EA113" s="2445" t="str" cm="1">
        <f t="array" ca="1" aca="1" ref="EA113">IFERROR(IF(BA113*fxVal_normal=_PL!BA113,"",IF(OR(BA113="",NOT(ISNUMBER(BA113)),ISERROR(BA113),$B113=""),"",IF($I113=1,IFBLANK(_xldudf_CX_PUSH(BA113*fxVal_normal,CX_ENTITY,$B113,BA$11,BA$14,BA$75,),""),IF($I113=2,IFBLANK(_xldudf_CX_PUSH(BA113,CX_ENTITY,$B113,BA$11,BA$14,BA$75,),""),IF($I113=3,"",IFBLANK(_xldudf_CX_PUSH(BA113,CX_ENTITY,$B113,BA$11,BA$14,BA$75,),"")))))),"")</f>
        <v/>
      </c>
      <c r="EB113" s="2445" t="str" cm="1">
        <f t="array" ca="1" aca="1" ref="EB113">IFERROR(IF(BB113*fxVal_normal=_PL!BB113,"",IF(OR(BB113="",NOT(ISNUMBER(BB113)),ISERROR(BB113),$B113=""),"",IF($I113=1,IFBLANK(_xldudf_CX_PUSH(BB113*fxVal_normal,CX_ENTITY,$B113,BB$11,BB$14,BB$75,),""),IF($I113=2,IFBLANK(_xldudf_CX_PUSH(BB113,CX_ENTITY,$B113,BB$11,BB$14,BB$75,),""),IF($I113=3,"",IFBLANK(_xldudf_CX_PUSH(BB113,CX_ENTITY,$B113,BB$11,BB$14,BB$75,),"")))))),"")</f>
        <v/>
      </c>
      <c r="EC113" s="2445" t="str" cm="1">
        <f t="array" ca="1" aca="1" ref="EC113">IFERROR(IF(BC113*fxVal_normal=_PL!BC113,"",IF(OR(BC113="",NOT(ISNUMBER(BC113)),ISERROR(BC113),$B113=""),"",IF($I113=1,IFBLANK(_xldudf_CX_PUSH(BC113*fxVal_normal,CX_ENTITY,$B113,BC$11,BC$14,BC$75,),""),IF($I113=2,IFBLANK(_xldudf_CX_PUSH(BC113,CX_ENTITY,$B113,BC$11,BC$14,BC$75,),""),IF($I113=3,"",IFBLANK(_xldudf_CX_PUSH(BC113,CX_ENTITY,$B113,BC$11,BC$14,BC$75,),"")))))),"")</f>
        <v/>
      </c>
      <c r="ED113" s="2445" t="str" cm="1">
        <f t="array" ca="1" aca="1" ref="ED113">IFERROR(IF(BD113*fxVal_normal=_PL!BD113,"",IF(OR(BD113="",NOT(ISNUMBER(BD113)),ISERROR(BD113),$B113=""),"",IF($I113=1,IFBLANK(_xldudf_CX_PUSH(BD113*fxVal_normal,CX_ENTITY,$B113,BD$11,BD$14,BD$75,),""),IF($I113=2,IFBLANK(_xldudf_CX_PUSH(BD113,CX_ENTITY,$B113,BD$11,BD$14,BD$75,),""),IF($I113=3,"",IFBLANK(_xldudf_CX_PUSH(BD113,CX_ENTITY,$B113,BD$11,BD$14,BD$75,),"")))))),"")</f>
        <v/>
      </c>
      <c r="EE113" s="2445" t="str" cm="1">
        <f t="array" ca="1" aca="1" ref="EE113">IFERROR(IF(BE113*fxVal_normal=_PL!BE113,"",IF(OR(BE113="",NOT(ISNUMBER(BE113)),ISERROR(BE113),$B113=""),"",IF($I113=1,IFBLANK(_xldudf_CX_PUSH(BE113*fxVal_normal,CX_ENTITY,$B113,BE$11,BE$14,BE$75,),""),IF($I113=2,IFBLANK(_xldudf_CX_PUSH(BE113,CX_ENTITY,$B113,BE$11,BE$14,BE$75,),""),IF($I113=3,"",IFBLANK(_xldudf_CX_PUSH(BE113,CX_ENTITY,$B113,BE$11,BE$14,BE$75,),"")))))),"")</f>
        <v/>
      </c>
      <c r="EF113" s="2445" t="str" cm="1">
        <f t="array" ca="1" aca="1" ref="EF113">IFERROR(IF(BF113*fxVal_normal=_PL!BF113,"",IF(OR(BF113="",NOT(ISNUMBER(BF113)),ISERROR(BF113),$B113=""),"",IF($I113=1,IFBLANK(_xldudf_CX_PUSH(BF113*fxVal_normal,CX_ENTITY,$B113,BF$11,BF$14,BF$75,),""),IF($I113=2,IFBLANK(_xldudf_CX_PUSH(BF113,CX_ENTITY,$B113,BF$11,BF$14,BF$75,),""),IF($I113=3,"",IFBLANK(_xldudf_CX_PUSH(BF113,CX_ENTITY,$B113,BF$11,BF$14,BF$75,),"")))))),"")</f>
        <v/>
      </c>
      <c r="EG113" s="2445" t="str" cm="1">
        <f t="array" ca="1" aca="1" ref="EG113">IFERROR(IF(BG113*fxVal_normal=_PL!BG113,"",IF(OR(BG113="",NOT(ISNUMBER(BG113)),ISERROR(BG113),$B113=""),"",IF($I113=1,IFBLANK(_xldudf_CX_PUSH(BG113*fxVal_normal,CX_ENTITY,$B113,BG$11,BG$14,BG$75,),""),IF($I113=2,IFBLANK(_xldudf_CX_PUSH(BG113,CX_ENTITY,$B113,BG$11,BG$14,BG$75,),""),IF($I113=3,"",IFBLANK(_xldudf_CX_PUSH(BG113,CX_ENTITY,$B113,BG$11,BG$14,BG$75,),"")))))),"")</f>
        <v/>
      </c>
      <c r="EH113" s="2445" t="str" cm="1">
        <f t="array" ca="1" aca="1" ref="EH113">IFERROR(IF(BH113*fxVal_normal=_PL!BH113,"",IF(OR(BH113="",NOT(ISNUMBER(BH113)),ISERROR(BH113),$B113=""),"",IF($I113=1,IFBLANK(_xldudf_CX_PUSH(BH113*fxVal_normal,CX_ENTITY,$B113,BH$11,BH$14,BH$75,),""),IF($I113=2,IFBLANK(_xldudf_CX_PUSH(BH113,CX_ENTITY,$B113,BH$11,BH$14,BH$75,),""),IF($I113=3,"",IFBLANK(_xldudf_CX_PUSH(BH113,CX_ENTITY,$B113,BH$11,BH$14,BH$75,),"")))))),"")</f>
        <v/>
      </c>
      <c r="EI113" s="2445" t="str" cm="1">
        <f t="array" ca="1" aca="1" ref="EI113">IFERROR(IF(BI113*fxVal_normal=_PL!BI113,"",IF(OR(BI113="",NOT(ISNUMBER(BI113)),ISERROR(BI113),$B113=""),"",IF($I113=1,IFBLANK(_xldudf_CX_PUSH(BI113*fxVal_normal,CX_ENTITY,$B113,BI$11,BI$14,BI$75,),""),IF($I113=2,IFBLANK(_xldudf_CX_PUSH(BI113,CX_ENTITY,$B113,BI$11,BI$14,BI$75,),""),IF($I113=3,"",IFBLANK(_xldudf_CX_PUSH(BI113,CX_ENTITY,$B113,BI$11,BI$14,BI$75,),"")))))),"")</f>
        <v/>
      </c>
      <c r="EJ113" s="2445" t="str" cm="1">
        <f t="array" ca="1" aca="1" ref="EJ113">IFERROR(IF(BJ113*fxVal_normal=_PL!BJ113,"",IF(OR(BJ113="",NOT(ISNUMBER(BJ113)),ISERROR(BJ113),$B113=""),"",IF($I113=1,IFBLANK(_xldudf_CX_PUSH(BJ113*fxVal_normal,CX_ENTITY,$B113,BJ$11,BJ$14,BJ$75,),""),IF($I113=2,IFBLANK(_xldudf_CX_PUSH(BJ113,CX_ENTITY,$B113,BJ$11,BJ$14,BJ$75,),""),IF($I113=3,"",IFBLANK(_xldudf_CX_PUSH(BJ113,CX_ENTITY,$B113,BJ$11,BJ$14,BJ$75,),"")))))),"")</f>
        <v/>
      </c>
      <c r="EK113" s="2445" t="str" cm="1">
        <f t="array" ca="1" aca="1" ref="EK113">IFERROR(IF(BK113*fxVal_normal=_PL!BK113,"",IF(OR(BK113="",NOT(ISNUMBER(BK113)),ISERROR(BK113),$B113=""),"",IF($I113=1,IFBLANK(_xldudf_CX_PUSH(BK113*fxVal_normal,CX_ENTITY,$B113,BK$11,BK$14,BK$75,),""),IF($I113=2,IFBLANK(_xldudf_CX_PUSH(BK113,CX_ENTITY,$B113,BK$11,BK$14,BK$75,),""),IF($I113=3,"",IFBLANK(_xldudf_CX_PUSH(BK113,CX_ENTITY,$B113,BK$11,BK$14,BK$75,),"")))))),"")</f>
        <v/>
      </c>
      <c r="EL113" s="2445" t="str" cm="1">
        <f t="array" ca="1" aca="1" ref="EL113">IFERROR(IF(BL113*fxVal_normal=_PL!BL113,"",IF(OR(BL113="",NOT(ISNUMBER(BL113)),ISERROR(BL113),$B113=""),"",IF($I113=1,IFBLANK(_xldudf_CX_PUSH(BL113*fxVal_normal,CX_ENTITY,$B113,BL$11,BL$14,BL$75,),""),IF($I113=2,IFBLANK(_xldudf_CX_PUSH(BL113,CX_ENTITY,$B113,BL$11,BL$14,BL$75,),""),IF($I113=3,"",IFBLANK(_xldudf_CX_PUSH(BL113,CX_ENTITY,$B113,BL$11,BL$14,BL$75,),"")))))),"")</f>
        <v/>
      </c>
      <c r="EM113" s="2445" t="str" cm="1">
        <f t="array" ca="1" aca="1" ref="EM113">IFERROR(IF(BM113*fxVal_normal=_PL!BM113,"",IF(OR(BM113="",NOT(ISNUMBER(BM113)),ISERROR(BM113),$B113=""),"",IF($I113=1,IFBLANK(_xldudf_CX_PUSH(BM113*fxVal_normal,CX_ENTITY,$B113,BM$11,BM$14,BM$75,),""),IF($I113=2,IFBLANK(_xldudf_CX_PUSH(BM113,CX_ENTITY,$B113,BM$11,BM$14,BM$75,),""),IF($I113=3,"",IFBLANK(_xldudf_CX_PUSH(BM113,CX_ENTITY,$B113,BM$11,BM$14,BM$75,),"")))))),"")</f>
        <v/>
      </c>
      <c r="EN113" s="2445" t="str" cm="1">
        <f t="array" ca="1" aca="1" ref="EN113">IFERROR(IF(BN113*fxVal_normal=_PL!BN113,"",IF(OR(BN113="",NOT(ISNUMBER(BN113)),ISERROR(BN113),$B113=""),"",IF($I113=1,IFBLANK(_xldudf_CX_PUSH(BN113*fxVal_normal,CX_ENTITY,$B113,BN$11,BN$14,BN$75,),""),IF($I113=2,IFBLANK(_xldudf_CX_PUSH(BN113,CX_ENTITY,$B113,BN$11,BN$14,BN$75,),""),IF($I113=3,"",IFBLANK(_xldudf_CX_PUSH(BN113,CX_ENTITY,$B113,BN$11,BN$14,BN$75,),"")))))),"")</f>
        <v/>
      </c>
    </row>
    <row r="114" spans="1:144" ht="21" customHeight="1">
      <c r="A114" s="1626"/>
      <c r="B114" s="2501" t="str">
        <f>_xlfn.LET(_xlpm.IsNotAttrDynamic,D114="",_xlpm.Attr,_PL!F114,_xlpm.NotInUse,Y114=D114,_xlpm.RESULT,IF(_xlpm.IsNotAttrDynamic,_xlpm.Attr,IF(_xlpm.NotInUse,"",Y114)),IF(_xlpm.RESULT="","",_xlpm.RESULT))</f>
        <v>Custom Metric Amount 2 [Calculated]</v>
      </c>
      <c r="C114" s="2501" t="str" cm="1">
        <f t="array" ref="C114">IFBLANK(_PL!C114,"")</f>
        <v>Custom Metric - Label 2 [Calculated]</v>
      </c>
      <c r="D114" s="1548"/>
      <c r="E114" s="2440" cm="1">
        <f t="array" ca="1" aca="1" ref="E114:G11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114:$CC114,Z114)</f>
        <v>0</v>
      </c>
      <c r="F114" s="578">
        <f ca="1"/>
        <v>0</v>
      </c>
      <c r="G114" s="578" t="str">
        <f ca="1"/>
        <v>A</v>
      </c>
      <c r="H114" s="3280">
        <v>1</v>
      </c>
      <c r="I114" s="3280">
        <v>1</v>
      </c>
      <c r="J114" s="401" cm="1">
        <f t="array" ref="J114">IFBLANK(Z114,"")</f>
        <v>0</v>
      </c>
      <c r="K114" s="578" t="str">
        <f t="shared" ca="1" si="44"/>
        <v>No</v>
      </c>
      <c r="L114" s="37"/>
      <c r="N114" s="158"/>
      <c r="O114" s="101"/>
      <c r="P114" s="52"/>
      <c r="Q114" s="101"/>
      <c r="R114" s="126"/>
      <c r="S114" s="101"/>
      <c r="T114" s="101"/>
      <c r="U114" s="39"/>
      <c r="V114" s="37"/>
      <c r="W114" s="91" t="str">
        <f t="shared" si="45"/>
        <v>Budget</v>
      </c>
      <c r="X114" s="2523" t="e">
        <f ca="1">_PL!X114</f>
        <v>#NAME?</v>
      </c>
      <c r="Y114" s="2371"/>
      <c r="Z114" s="198" cm="1">
        <f t="array" ref="Z114">IFBLANK(Z58,"")</f>
        <v>0</v>
      </c>
      <c r="AA114" s="200" t="str" cm="1">
        <f t="array" ca="1" aca="1" ref="AA114">_xlfn.LET(_xlpm._termname,$Y114,_xlpm._icon,"Define",_xlpm._location,_xlfn.XLOOKUP(_xlpm._termname,$Y$249:$Y$338,$Y$249:$Y$338),_xlpm._hyperlink,HYPERLINK("#"&amp;CELL("address",_xlpm._location),_xlpm._icon),IF(Y114="","",_xlpm._hyperlink))</f>
        <v/>
      </c>
      <c r="AB114" s="2525" t="str">
        <f ca="1"/>
        <v/>
      </c>
      <c r="AC114" s="124" t="str" cm="1">
        <f t="array" ca="1" aca="1" ref="AC114">_xlfn.LET(_xlpm._termname,$AB114,_xlpm._iconname,"find",_xlpm._icon,fx_getIcon(_xlpm._iconname),_xlpm._location,_xlfn.XLOOKUP(LOWER(_xlpm._termname),LOWER(tbl_acctDef[Term]),tbl_acctDef[Term]),_xlpm._hyperlink,HYPERLINK("#"&amp;CELL("address",_xlpm._location),_xlpm._icon),IFERROR(_xlpm._hyperlink,""))</f>
        <v/>
      </c>
      <c r="AD114" s="1661" t="str" cm="1">
        <f t="array" ref="AD114">IF($Y114="","",_xlfn.XLOOKUP($W114&amp;$Y114,$W$250:$W$338&amp;$Y$250:$Y$338,$AD$250:$BN$338))</f>
        <v/>
      </c>
      <c r="AE114" s="3464"/>
      <c r="AF114" s="3464"/>
      <c r="AG114" s="3464"/>
      <c r="AH114" s="3464"/>
      <c r="AI114" s="3464"/>
      <c r="AJ114" s="3464"/>
      <c r="AK114" s="3464"/>
      <c r="AL114" s="3464"/>
      <c r="AM114" s="3464"/>
      <c r="AN114" s="3464"/>
      <c r="AO114" s="3464"/>
      <c r="AP114" s="3464"/>
      <c r="AQ114" s="3464"/>
      <c r="AR114" s="3464"/>
      <c r="AS114" s="3464"/>
      <c r="AT114" s="3464"/>
      <c r="AU114" s="3464"/>
      <c r="AV114" s="3464"/>
      <c r="AW114" s="3464"/>
      <c r="AX114" s="3464"/>
      <c r="AY114" s="3464"/>
      <c r="AZ114" s="3464"/>
      <c r="BA114" s="3464"/>
      <c r="BB114" s="3464"/>
      <c r="BC114" s="3464"/>
      <c r="BD114" s="3464"/>
      <c r="BE114" s="3464"/>
      <c r="BF114" s="3464"/>
      <c r="BG114" s="3464"/>
      <c r="BH114" s="3464"/>
      <c r="BI114" s="3464"/>
      <c r="BJ114" s="3464"/>
      <c r="BK114" s="3464"/>
      <c r="BL114" s="3464"/>
      <c r="BM114" s="3464"/>
      <c r="BN114" s="3464"/>
      <c r="BO114" s="2533"/>
      <c r="BP114" s="2533"/>
      <c r="BQ114" s="2533"/>
      <c r="BR114" s="2533"/>
      <c r="BS114" s="2533"/>
      <c r="BT114" s="2533"/>
      <c r="BU114" s="2533"/>
      <c r="BV114" s="2533"/>
      <c r="BW114" s="2533"/>
      <c r="BX114" s="2533"/>
      <c r="BY114" s="2533"/>
      <c r="BZ114" s="2533"/>
      <c r="CA114" s="34"/>
      <c r="CC114" s="33"/>
      <c r="CD114" s="1772" t="str" cm="1">
        <f t="array" ref="CD114">_xlfn.LET(_xlpm.CheckBlank,SUM(PL!$AD114:$BN114)=0,IF(_xlpm.CheckBlank,"",SUM(_xlfn._xlws.FILTER(PL!$AD114:$BN114,(YEAR(PL!$AD$12:$BN$12)=PL!CD$12)*(array_timeline&lt;=PL!CD$11)))))</f>
        <v/>
      </c>
      <c r="CE114" s="1772" t="str" cm="1">
        <f t="array" ref="CE114">_xlfn.LET(_xlpm.CheckBlank,SUM(PL!$AD114:$BN114)=0,IF(_xlpm.CheckBlank,"",SUM(_xlfn._xlws.FILTER(PL!$AD114:$BN114,(YEAR(PL!$AD$12:$BN$12)=PL!CE$12)*(array_timeline&lt;=PL!CE$11)))))</f>
        <v/>
      </c>
      <c r="CF114" s="88"/>
      <c r="CG114" s="1461" t="str" cm="1">
        <f t="array" ref="CG114">_xlfn.LET(_xlpm.CheckBlank,SUM(PL!$AD114:$BN114)=0,IF(_xlpm.CheckBlank,"",SUM(_xlfn._xlws.FILTER(PL!$AD114:$BN114,(YEAR(PL!$AD$12:$BN$12)=PL!CG$12)*(array_timeline&lt;=PL!CG$11)))))</f>
        <v/>
      </c>
      <c r="CH114" s="1461" t="str" cm="1">
        <f t="array" ref="CH114">_xlfn.LET(_xlpm.CheckBlank,SUM(PL!$AD114:$BN114)=0,IF(_xlpm.CheckBlank,"",SUM(_xlfn._xlws.FILTER(PL!$AD114:$BN114,(YEAR(PL!$AD$12:$BN$12)=PL!CH$12)*(array_timeline&lt;=PL!CH$11)))))</f>
        <v/>
      </c>
      <c r="CI114" s="88"/>
      <c r="CJ114" s="1461" t="str" cm="1">
        <f t="array" ref="CJ114">_xlfn.LET(_xlpm.CheckBlank,SUM(PL!$AD114:$BN114)=0,IF(_xlpm.CheckBlank,"",SUM(_xlfn.TAKE(_xlfn.DROP(PL!$AD114:$BN114,,-DATEDIFF(PL!CJ$11,val_asOfDate,"M")),1,-12))))</f>
        <v/>
      </c>
      <c r="CK114" s="1461" t="str" cm="1">
        <f t="array" ref="CK114">_xlfn.LET(_xlpm.CheckBlank,SUM(PL!$AD114:$BN114)=0,IF(_xlpm.CheckBlank,"",SUM(_xlfn.TAKE(_xlfn.DROP(PL!$AD114:$BN114,,-DATEDIFF(PL!CK$11,val_asOfDate,"M")),1,-12))))</f>
        <v/>
      </c>
      <c r="CL114" s="88"/>
      <c r="CM114" s="2357" t="str" cm="1">
        <f t="array" ref="CM114">IF($Y114="","",_xlfn.XLOOKUP($W114&amp;$Y114,$W$250:$W$338&amp;$Y$250:$Y$338,$CM$250:$CN$338))</f>
        <v/>
      </c>
      <c r="CN114" s="3462"/>
      <c r="CO114" s="88"/>
      <c r="CP114" s="2357" t="str" cm="1">
        <f t="array" ref="CP114">IF($Y114="","",_xlfn.XLOOKUP($W114&amp;$Y114,$W$250:$W$338&amp;$Y$250:$Y$338,$CP$250:$CQ$338))</f>
        <v/>
      </c>
      <c r="CQ114" s="3462"/>
      <c r="CR114" s="34"/>
      <c r="CS114" s="2056"/>
      <c r="CT114" s="2616"/>
      <c r="CU114" s="2616"/>
      <c r="CV114" s="2616"/>
      <c r="CW114" s="2616"/>
      <c r="CX114" s="2443"/>
      <c r="CY114" s="2444" t="str" cm="1">
        <f t="array" ca="1" aca="1" ref="CY114">IFERROR(IF(CM114*fxVal_normal=_PL!CM114,"",IF(OR($CM114="",$CM114=0,NOT(ISNUMBER($CM114)),ISERROR($CM114),$B114=""),"",IF($I114=1,IFBLANK(_xldudf_CX_PUSH($CM114*fxVal_normal,CX_ENTITY,$B114,$CM$11,$CM$14,$CM$19,),""),IF($I114=2,IFBLANK(_xldudf_CX_PUSH($CM114,CX_ENTITY,$B114,$CM$11,$CM$14,$CM$19,),""),IF($I114=3,"",IFBLANK(_xldudf_CX_PUSH($CM114,CX_ENTITY,$B114,$CM$11,$CM$14,$CM$19,),"")))))),"")</f>
        <v/>
      </c>
      <c r="CZ114" s="2444" t="str" cm="1">
        <f t="array" ca="1" aca="1" ref="CZ114">IFERROR(IF(CN114*fxVal_normal=_PL!CN114,"",IF(OR($CN114="",$CN114=0,NOT(ISNUMBER($CN114)),ISERROR($CN114),$B114=""),"",IF($I114=1,IFBLANK(_xldudf_CX_PUSH($CN114*fxVal_normal,CX_ENTITY,$B114,$CN$11,$CN$14,$CN$19,),""),IF($I114=2,IFBLANK(_xldudf_CX_PUSH($CN114,CX_ENTITY,$B114,$CN$11,$CN$14,$CN$19,),""),IF($I114=3,"",IFBLANK(_xldudf_CX_PUSH($CN114,CX_ENTITY,$B114,$CN$11,$CN$14,$CN$19,),"")))))),"")</f>
        <v/>
      </c>
      <c r="DA114" s="2444" t="str" cm="1">
        <f t="array" ca="1" aca="1" ref="DA114">IFERROR(IF(CP114*fxVal_normal=_PL!CP114,"",IF(OR($CP114="",$CP114=0,NOT(ISNUMBER($CP114)),ISERROR($CP114),$B114=""),"",IF($I114=1,IFBLANK(_xldudf_CX_PUSH($CP114*fxVal_normal,CX_ENTITY,$B114,$CP$11,$CP$14,$CP$19,),""),IF($I114=2,IFBLANK(_xldudf_CX_PUSH($CP114,CX_ENTITY,$B114,$CP$11,$CP$14,$CP$19,),""),IF($I114=3,"",IFBLANK(_xldudf_CX_PUSH($CP114,CX_ENTITY,$B114,$CP$11,$CP$14,$CP$19,),"")))))),"")</f>
        <v/>
      </c>
      <c r="DB114" s="2444" t="str" cm="1">
        <f t="array" ca="1" aca="1" ref="DB114">IFERROR(IF(CQ114*fxVal_normal=_PL!CQ114,"",IF(OR($CQ114="",$CQ114=0,NOT(ISNUMBER($CQ114)),ISERROR($CQ114),$B114=""),"",IF($I114=1,IFBLANK(_xldudf_CX_PUSH($CQ114*fxVal_normal,CX_ENTITY,$B114,$CQ$11,$CQ$14,$CQ$19,),""),IF($I114=2,IFBLANK(_xldudf_CX_PUSH($CQ114,CX_ENTITY,$B114,$CQ$11,$CQ$14,$CQ$19,),""),IF($I114=3,"",IFBLANK(_xldudf_CX_PUSH($CQ114,CX_ENTITY,$B114,$CQ$11,$CQ$14,$CQ$19,),"")))))),"")</f>
        <v/>
      </c>
      <c r="DC114" s="2443"/>
      <c r="DD114" s="2445" t="str" cm="1">
        <f t="array" ca="1" aca="1" ref="DD114">IFERROR(IF(AD114*fxVal_normal=_PL!AD114,"",IF(OR(AD114="",NOT(ISNUMBER(AD114)),ISERROR(AD114),$B114=""),"",IF($I114=1,IFBLANK(_xldudf_CX_PUSH(AD114*fxVal_normal,CX_ENTITY,$B114,AD$11,AD$14,AD$75,),""),IF($I114=2,IFBLANK(_xldudf_CX_PUSH(AD114,CX_ENTITY,$B114,AD$11,AD$14,AD$75,),""),IF($I114=3,"",IFBLANK(_xldudf_CX_PUSH(AD114,CX_ENTITY,$B114,AD$11,AD$14,AD$75,),"")))))),"")</f>
        <v/>
      </c>
      <c r="DE114" s="2445" t="str" cm="1">
        <f t="array" ca="1" aca="1" ref="DE114">IFERROR(IF(AE114*fxVal_normal=_PL!AE114,"",IF(OR(AE114="",NOT(ISNUMBER(AE114)),ISERROR(AE114),$B114=""),"",IF($I114=1,IFBLANK(_xldudf_CX_PUSH(AE114*fxVal_normal,CX_ENTITY,$B114,AE$11,AE$14,AE$75,),""),IF($I114=2,IFBLANK(_xldudf_CX_PUSH(AE114,CX_ENTITY,$B114,AE$11,AE$14,AE$75,),""),IF($I114=3,"",IFBLANK(_xldudf_CX_PUSH(AE114,CX_ENTITY,$B114,AE$11,AE$14,AE$75,),"")))))),"")</f>
        <v/>
      </c>
      <c r="DF114" s="2445" t="str" cm="1">
        <f t="array" ca="1" aca="1" ref="DF114">IFERROR(IF(AF114*fxVal_normal=_PL!AF114,"",IF(OR(AF114="",NOT(ISNUMBER(AF114)),ISERROR(AF114),$B114=""),"",IF($I114=1,IFBLANK(_xldudf_CX_PUSH(AF114*fxVal_normal,CX_ENTITY,$B114,AF$11,AF$14,AF$75,),""),IF($I114=2,IFBLANK(_xldudf_CX_PUSH(AF114,CX_ENTITY,$B114,AF$11,AF$14,AF$75,),""),IF($I114=3,"",IFBLANK(_xldudf_CX_PUSH(AF114,CX_ENTITY,$B114,AF$11,AF$14,AF$75,),"")))))),"")</f>
        <v/>
      </c>
      <c r="DG114" s="2445" t="str" cm="1">
        <f t="array" ca="1" aca="1" ref="DG114">IFERROR(IF(AG114*fxVal_normal=_PL!AG114,"",IF(OR(AG114="",NOT(ISNUMBER(AG114)),ISERROR(AG114),$B114=""),"",IF($I114=1,IFBLANK(_xldudf_CX_PUSH(AG114*fxVal_normal,CX_ENTITY,$B114,AG$11,AG$14,AG$75,),""),IF($I114=2,IFBLANK(_xldudf_CX_PUSH(AG114,CX_ENTITY,$B114,AG$11,AG$14,AG$75,),""),IF($I114=3,"",IFBLANK(_xldudf_CX_PUSH(AG114,CX_ENTITY,$B114,AG$11,AG$14,AG$75,),"")))))),"")</f>
        <v/>
      </c>
      <c r="DH114" s="2445" t="str" cm="1">
        <f t="array" ca="1" aca="1" ref="DH114">IFERROR(IF(AH114*fxVal_normal=_PL!AH114,"",IF(OR(AH114="",NOT(ISNUMBER(AH114)),ISERROR(AH114),$B114=""),"",IF($I114=1,IFBLANK(_xldudf_CX_PUSH(AH114*fxVal_normal,CX_ENTITY,$B114,AH$11,AH$14,AH$75,),""),IF($I114=2,IFBLANK(_xldudf_CX_PUSH(AH114,CX_ENTITY,$B114,AH$11,AH$14,AH$75,),""),IF($I114=3,"",IFBLANK(_xldudf_CX_PUSH(AH114,CX_ENTITY,$B114,AH$11,AH$14,AH$75,),"")))))),"")</f>
        <v/>
      </c>
      <c r="DI114" s="2445" t="str" cm="1">
        <f t="array" ca="1" aca="1" ref="DI114">IFERROR(IF(AI114*fxVal_normal=_PL!AI114,"",IF(OR(AI114="",NOT(ISNUMBER(AI114)),ISERROR(AI114),$B114=""),"",IF($I114=1,IFBLANK(_xldudf_CX_PUSH(AI114*fxVal_normal,CX_ENTITY,$B114,AI$11,AI$14,AI$75,),""),IF($I114=2,IFBLANK(_xldudf_CX_PUSH(AI114,CX_ENTITY,$B114,AI$11,AI$14,AI$75,),""),IF($I114=3,"",IFBLANK(_xldudf_CX_PUSH(AI114,CX_ENTITY,$B114,AI$11,AI$14,AI$75,),"")))))),"")</f>
        <v/>
      </c>
      <c r="DJ114" s="2445" t="str" cm="1">
        <f t="array" ca="1" aca="1" ref="DJ114">IFERROR(IF(AJ114*fxVal_normal=_PL!AJ114,"",IF(OR(AJ114="",NOT(ISNUMBER(AJ114)),ISERROR(AJ114),$B114=""),"",IF($I114=1,IFBLANK(_xldudf_CX_PUSH(AJ114*fxVal_normal,CX_ENTITY,$B114,AJ$11,AJ$14,AJ$75,),""),IF($I114=2,IFBLANK(_xldudf_CX_PUSH(AJ114,CX_ENTITY,$B114,AJ$11,AJ$14,AJ$75,),""),IF($I114=3,"",IFBLANK(_xldudf_CX_PUSH(AJ114,CX_ENTITY,$B114,AJ$11,AJ$14,AJ$75,),"")))))),"")</f>
        <v/>
      </c>
      <c r="DK114" s="2445" t="str" cm="1">
        <f t="array" ca="1" aca="1" ref="DK114">IFERROR(IF(AK114*fxVal_normal=_PL!AK114,"",IF(OR(AK114="",NOT(ISNUMBER(AK114)),ISERROR(AK114),$B114=""),"",IF($I114=1,IFBLANK(_xldudf_CX_PUSH(AK114*fxVal_normal,CX_ENTITY,$B114,AK$11,AK$14,AK$75,),""),IF($I114=2,IFBLANK(_xldudf_CX_PUSH(AK114,CX_ENTITY,$B114,AK$11,AK$14,AK$75,),""),IF($I114=3,"",IFBLANK(_xldudf_CX_PUSH(AK114,CX_ENTITY,$B114,AK$11,AK$14,AK$75,),"")))))),"")</f>
        <v/>
      </c>
      <c r="DL114" s="2445" t="str" cm="1">
        <f t="array" ca="1" aca="1" ref="DL114">IFERROR(IF(AL114*fxVal_normal=_PL!AL114,"",IF(OR(AL114="",NOT(ISNUMBER(AL114)),ISERROR(AL114),$B114=""),"",IF($I114=1,IFBLANK(_xldudf_CX_PUSH(AL114*fxVal_normal,CX_ENTITY,$B114,AL$11,AL$14,AL$75,),""),IF($I114=2,IFBLANK(_xldudf_CX_PUSH(AL114,CX_ENTITY,$B114,AL$11,AL$14,AL$75,),""),IF($I114=3,"",IFBLANK(_xldudf_CX_PUSH(AL114,CX_ENTITY,$B114,AL$11,AL$14,AL$75,),"")))))),"")</f>
        <v/>
      </c>
      <c r="DM114" s="2445" t="str" cm="1">
        <f t="array" ca="1" aca="1" ref="DM114">IFERROR(IF(AM114*fxVal_normal=_PL!AM114,"",IF(OR(AM114="",NOT(ISNUMBER(AM114)),ISERROR(AM114),$B114=""),"",IF($I114=1,IFBLANK(_xldudf_CX_PUSH(AM114*fxVal_normal,CX_ENTITY,$B114,AM$11,AM$14,AM$75,),""),IF($I114=2,IFBLANK(_xldudf_CX_PUSH(AM114,CX_ENTITY,$B114,AM$11,AM$14,AM$75,),""),IF($I114=3,"",IFBLANK(_xldudf_CX_PUSH(AM114,CX_ENTITY,$B114,AM$11,AM$14,AM$75,),"")))))),"")</f>
        <v/>
      </c>
      <c r="DN114" s="2445" t="str" cm="1">
        <f t="array" ca="1" aca="1" ref="DN114">IFERROR(IF(AN114*fxVal_normal=_PL!AN114,"",IF(OR(AN114="",NOT(ISNUMBER(AN114)),ISERROR(AN114),$B114=""),"",IF($I114=1,IFBLANK(_xldudf_CX_PUSH(AN114*fxVal_normal,CX_ENTITY,$B114,AN$11,AN$14,AN$75,),""),IF($I114=2,IFBLANK(_xldudf_CX_PUSH(AN114,CX_ENTITY,$B114,AN$11,AN$14,AN$75,),""),IF($I114=3,"",IFBLANK(_xldudf_CX_PUSH(AN114,CX_ENTITY,$B114,AN$11,AN$14,AN$75,),"")))))),"")</f>
        <v/>
      </c>
      <c r="DO114" s="2445" t="str" cm="1">
        <f t="array" ca="1" aca="1" ref="DO114">IFERROR(IF(AO114*fxVal_normal=_PL!AO114,"",IF(OR(AO114="",NOT(ISNUMBER(AO114)),ISERROR(AO114),$B114=""),"",IF($I114=1,IFBLANK(_xldudf_CX_PUSH(AO114*fxVal_normal,CX_ENTITY,$B114,AO$11,AO$14,AO$75,),""),IF($I114=2,IFBLANK(_xldudf_CX_PUSH(AO114,CX_ENTITY,$B114,AO$11,AO$14,AO$75,),""),IF($I114=3,"",IFBLANK(_xldudf_CX_PUSH(AO114,CX_ENTITY,$B114,AO$11,AO$14,AO$75,),"")))))),"")</f>
        <v/>
      </c>
      <c r="DP114" s="2445" t="str" cm="1">
        <f t="array" ca="1" aca="1" ref="DP114">IFERROR(IF(AP114*fxVal_normal=_PL!AP114,"",IF(OR(AP114="",NOT(ISNUMBER(AP114)),ISERROR(AP114),$B114=""),"",IF($I114=1,IFBLANK(_xldudf_CX_PUSH(AP114*fxVal_normal,CX_ENTITY,$B114,AP$11,AP$14,AP$75,),""),IF($I114=2,IFBLANK(_xldudf_CX_PUSH(AP114,CX_ENTITY,$B114,AP$11,AP$14,AP$75,),""),IF($I114=3,"",IFBLANK(_xldudf_CX_PUSH(AP114,CX_ENTITY,$B114,AP$11,AP$14,AP$75,),"")))))),"")</f>
        <v/>
      </c>
      <c r="DQ114" s="2445" t="str" cm="1">
        <f t="array" ca="1" aca="1" ref="DQ114">IFERROR(IF(AQ114*fxVal_normal=_PL!AQ114,"",IF(OR(AQ114="",NOT(ISNUMBER(AQ114)),ISERROR(AQ114),$B114=""),"",IF($I114=1,IFBLANK(_xldudf_CX_PUSH(AQ114*fxVal_normal,CX_ENTITY,$B114,AQ$11,AQ$14,AQ$75,),""),IF($I114=2,IFBLANK(_xldudf_CX_PUSH(AQ114,CX_ENTITY,$B114,AQ$11,AQ$14,AQ$75,),""),IF($I114=3,"",IFBLANK(_xldudf_CX_PUSH(AQ114,CX_ENTITY,$B114,AQ$11,AQ$14,AQ$75,),"")))))),"")</f>
        <v/>
      </c>
      <c r="DR114" s="2445" t="str" cm="1">
        <f t="array" ca="1" aca="1" ref="DR114">IFERROR(IF(AR114*fxVal_normal=_PL!AR114,"",IF(OR(AR114="",NOT(ISNUMBER(AR114)),ISERROR(AR114),$B114=""),"",IF($I114=1,IFBLANK(_xldudf_CX_PUSH(AR114*fxVal_normal,CX_ENTITY,$B114,AR$11,AR$14,AR$75,),""),IF($I114=2,IFBLANK(_xldudf_CX_PUSH(AR114,CX_ENTITY,$B114,AR$11,AR$14,AR$75,),""),IF($I114=3,"",IFBLANK(_xldudf_CX_PUSH(AR114,CX_ENTITY,$B114,AR$11,AR$14,AR$75,),"")))))),"")</f>
        <v/>
      </c>
      <c r="DS114" s="2445" t="str" cm="1">
        <f t="array" ca="1" aca="1" ref="DS114">IFERROR(IF(AS114*fxVal_normal=_PL!AS114,"",IF(OR(AS114="",NOT(ISNUMBER(AS114)),ISERROR(AS114),$B114=""),"",IF($I114=1,IFBLANK(_xldudf_CX_PUSH(AS114*fxVal_normal,CX_ENTITY,$B114,AS$11,AS$14,AS$75,),""),IF($I114=2,IFBLANK(_xldudf_CX_PUSH(AS114,CX_ENTITY,$B114,AS$11,AS$14,AS$75,),""),IF($I114=3,"",IFBLANK(_xldudf_CX_PUSH(AS114,CX_ENTITY,$B114,AS$11,AS$14,AS$75,),"")))))),"")</f>
        <v/>
      </c>
      <c r="DT114" s="2445" t="str" cm="1">
        <f t="array" ca="1" aca="1" ref="DT114">IFERROR(IF(AT114*fxVal_normal=_PL!AT114,"",IF(OR(AT114="",NOT(ISNUMBER(AT114)),ISERROR(AT114),$B114=""),"",IF($I114=1,IFBLANK(_xldudf_CX_PUSH(AT114*fxVal_normal,CX_ENTITY,$B114,AT$11,AT$14,AT$75,),""),IF($I114=2,IFBLANK(_xldudf_CX_PUSH(AT114,CX_ENTITY,$B114,AT$11,AT$14,AT$75,),""),IF($I114=3,"",IFBLANK(_xldudf_CX_PUSH(AT114,CX_ENTITY,$B114,AT$11,AT$14,AT$75,),"")))))),"")</f>
        <v/>
      </c>
      <c r="DU114" s="2445" t="str" cm="1">
        <f t="array" ca="1" aca="1" ref="DU114">IFERROR(IF(AU114*fxVal_normal=_PL!AU114,"",IF(OR(AU114="",NOT(ISNUMBER(AU114)),ISERROR(AU114),$B114=""),"",IF($I114=1,IFBLANK(_xldudf_CX_PUSH(AU114*fxVal_normal,CX_ENTITY,$B114,AU$11,AU$14,AU$75,),""),IF($I114=2,IFBLANK(_xldudf_CX_PUSH(AU114,CX_ENTITY,$B114,AU$11,AU$14,AU$75,),""),IF($I114=3,"",IFBLANK(_xldudf_CX_PUSH(AU114,CX_ENTITY,$B114,AU$11,AU$14,AU$75,),"")))))),"")</f>
        <v/>
      </c>
      <c r="DV114" s="2445" t="str" cm="1">
        <f t="array" ca="1" aca="1" ref="DV114">IFERROR(IF(AV114*fxVal_normal=_PL!AV114,"",IF(OR(AV114="",NOT(ISNUMBER(AV114)),ISERROR(AV114),$B114=""),"",IF($I114=1,IFBLANK(_xldudf_CX_PUSH(AV114*fxVal_normal,CX_ENTITY,$B114,AV$11,AV$14,AV$75,),""),IF($I114=2,IFBLANK(_xldudf_CX_PUSH(AV114,CX_ENTITY,$B114,AV$11,AV$14,AV$75,),""),IF($I114=3,"",IFBLANK(_xldudf_CX_PUSH(AV114,CX_ENTITY,$B114,AV$11,AV$14,AV$75,),"")))))),"")</f>
        <v/>
      </c>
      <c r="DW114" s="2445" t="str" cm="1">
        <f t="array" ca="1" aca="1" ref="DW114">IFERROR(IF(AW114*fxVal_normal=_PL!AW114,"",IF(OR(AW114="",NOT(ISNUMBER(AW114)),ISERROR(AW114),$B114=""),"",IF($I114=1,IFBLANK(_xldudf_CX_PUSH(AW114*fxVal_normal,CX_ENTITY,$B114,AW$11,AW$14,AW$75,),""),IF($I114=2,IFBLANK(_xldudf_CX_PUSH(AW114,CX_ENTITY,$B114,AW$11,AW$14,AW$75,),""),IF($I114=3,"",IFBLANK(_xldudf_CX_PUSH(AW114,CX_ENTITY,$B114,AW$11,AW$14,AW$75,),"")))))),"")</f>
        <v/>
      </c>
      <c r="DX114" s="2445" t="str" cm="1">
        <f t="array" ca="1" aca="1" ref="DX114">IFERROR(IF(AX114*fxVal_normal=_PL!AX114,"",IF(OR(AX114="",NOT(ISNUMBER(AX114)),ISERROR(AX114),$B114=""),"",IF($I114=1,IFBLANK(_xldudf_CX_PUSH(AX114*fxVal_normal,CX_ENTITY,$B114,AX$11,AX$14,AX$75,),""),IF($I114=2,IFBLANK(_xldudf_CX_PUSH(AX114,CX_ENTITY,$B114,AX$11,AX$14,AX$75,),""),IF($I114=3,"",IFBLANK(_xldudf_CX_PUSH(AX114,CX_ENTITY,$B114,AX$11,AX$14,AX$75,),"")))))),"")</f>
        <v/>
      </c>
      <c r="DY114" s="2445" t="str" cm="1">
        <f t="array" ca="1" aca="1" ref="DY114">IFERROR(IF(AY114*fxVal_normal=_PL!AY114,"",IF(OR(AY114="",NOT(ISNUMBER(AY114)),ISERROR(AY114),$B114=""),"",IF($I114=1,IFBLANK(_xldudf_CX_PUSH(AY114*fxVal_normal,CX_ENTITY,$B114,AY$11,AY$14,AY$75,),""),IF($I114=2,IFBLANK(_xldudf_CX_PUSH(AY114,CX_ENTITY,$B114,AY$11,AY$14,AY$75,),""),IF($I114=3,"",IFBLANK(_xldudf_CX_PUSH(AY114,CX_ENTITY,$B114,AY$11,AY$14,AY$75,),"")))))),"")</f>
        <v/>
      </c>
      <c r="DZ114" s="2445" t="str" cm="1">
        <f t="array" ca="1" aca="1" ref="DZ114">IFERROR(IF(AZ114*fxVal_normal=_PL!AZ114,"",IF(OR(AZ114="",NOT(ISNUMBER(AZ114)),ISERROR(AZ114),$B114=""),"",IF($I114=1,IFBLANK(_xldudf_CX_PUSH(AZ114*fxVal_normal,CX_ENTITY,$B114,AZ$11,AZ$14,AZ$75,),""),IF($I114=2,IFBLANK(_xldudf_CX_PUSH(AZ114,CX_ENTITY,$B114,AZ$11,AZ$14,AZ$75,),""),IF($I114=3,"",IFBLANK(_xldudf_CX_PUSH(AZ114,CX_ENTITY,$B114,AZ$11,AZ$14,AZ$75,),"")))))),"")</f>
        <v/>
      </c>
      <c r="EA114" s="2445" t="str" cm="1">
        <f t="array" ca="1" aca="1" ref="EA114">IFERROR(IF(BA114*fxVal_normal=_PL!BA114,"",IF(OR(BA114="",NOT(ISNUMBER(BA114)),ISERROR(BA114),$B114=""),"",IF($I114=1,IFBLANK(_xldudf_CX_PUSH(BA114*fxVal_normal,CX_ENTITY,$B114,BA$11,BA$14,BA$75,),""),IF($I114=2,IFBLANK(_xldudf_CX_PUSH(BA114,CX_ENTITY,$B114,BA$11,BA$14,BA$75,),""),IF($I114=3,"",IFBLANK(_xldudf_CX_PUSH(BA114,CX_ENTITY,$B114,BA$11,BA$14,BA$75,),"")))))),"")</f>
        <v/>
      </c>
      <c r="EB114" s="2445" t="str" cm="1">
        <f t="array" ca="1" aca="1" ref="EB114">IFERROR(IF(BB114*fxVal_normal=_PL!BB114,"",IF(OR(BB114="",NOT(ISNUMBER(BB114)),ISERROR(BB114),$B114=""),"",IF($I114=1,IFBLANK(_xldudf_CX_PUSH(BB114*fxVal_normal,CX_ENTITY,$B114,BB$11,BB$14,BB$75,),""),IF($I114=2,IFBLANK(_xldudf_CX_PUSH(BB114,CX_ENTITY,$B114,BB$11,BB$14,BB$75,),""),IF($I114=3,"",IFBLANK(_xldudf_CX_PUSH(BB114,CX_ENTITY,$B114,BB$11,BB$14,BB$75,),"")))))),"")</f>
        <v/>
      </c>
      <c r="EC114" s="2445" t="str" cm="1">
        <f t="array" ca="1" aca="1" ref="EC114">IFERROR(IF(BC114*fxVal_normal=_PL!BC114,"",IF(OR(BC114="",NOT(ISNUMBER(BC114)),ISERROR(BC114),$B114=""),"",IF($I114=1,IFBLANK(_xldudf_CX_PUSH(BC114*fxVal_normal,CX_ENTITY,$B114,BC$11,BC$14,BC$75,),""),IF($I114=2,IFBLANK(_xldudf_CX_PUSH(BC114,CX_ENTITY,$B114,BC$11,BC$14,BC$75,),""),IF($I114=3,"",IFBLANK(_xldudf_CX_PUSH(BC114,CX_ENTITY,$B114,BC$11,BC$14,BC$75,),"")))))),"")</f>
        <v/>
      </c>
      <c r="ED114" s="2445" t="str" cm="1">
        <f t="array" ca="1" aca="1" ref="ED114">IFERROR(IF(BD114*fxVal_normal=_PL!BD114,"",IF(OR(BD114="",NOT(ISNUMBER(BD114)),ISERROR(BD114),$B114=""),"",IF($I114=1,IFBLANK(_xldudf_CX_PUSH(BD114*fxVal_normal,CX_ENTITY,$B114,BD$11,BD$14,BD$75,),""),IF($I114=2,IFBLANK(_xldudf_CX_PUSH(BD114,CX_ENTITY,$B114,BD$11,BD$14,BD$75,),""),IF($I114=3,"",IFBLANK(_xldudf_CX_PUSH(BD114,CX_ENTITY,$B114,BD$11,BD$14,BD$75,),"")))))),"")</f>
        <v/>
      </c>
      <c r="EE114" s="2445" t="str" cm="1">
        <f t="array" ca="1" aca="1" ref="EE114">IFERROR(IF(BE114*fxVal_normal=_PL!BE114,"",IF(OR(BE114="",NOT(ISNUMBER(BE114)),ISERROR(BE114),$B114=""),"",IF($I114=1,IFBLANK(_xldudf_CX_PUSH(BE114*fxVal_normal,CX_ENTITY,$B114,BE$11,BE$14,BE$75,),""),IF($I114=2,IFBLANK(_xldudf_CX_PUSH(BE114,CX_ENTITY,$B114,BE$11,BE$14,BE$75,),""),IF($I114=3,"",IFBLANK(_xldudf_CX_PUSH(BE114,CX_ENTITY,$B114,BE$11,BE$14,BE$75,),"")))))),"")</f>
        <v/>
      </c>
      <c r="EF114" s="2445" t="str" cm="1">
        <f t="array" ca="1" aca="1" ref="EF114">IFERROR(IF(BF114*fxVal_normal=_PL!BF114,"",IF(OR(BF114="",NOT(ISNUMBER(BF114)),ISERROR(BF114),$B114=""),"",IF($I114=1,IFBLANK(_xldudf_CX_PUSH(BF114*fxVal_normal,CX_ENTITY,$B114,BF$11,BF$14,BF$75,),""),IF($I114=2,IFBLANK(_xldudf_CX_PUSH(BF114,CX_ENTITY,$B114,BF$11,BF$14,BF$75,),""),IF($I114=3,"",IFBLANK(_xldudf_CX_PUSH(BF114,CX_ENTITY,$B114,BF$11,BF$14,BF$75,),"")))))),"")</f>
        <v/>
      </c>
      <c r="EG114" s="2445" t="str" cm="1">
        <f t="array" ca="1" aca="1" ref="EG114">IFERROR(IF(BG114*fxVal_normal=_PL!BG114,"",IF(OR(BG114="",NOT(ISNUMBER(BG114)),ISERROR(BG114),$B114=""),"",IF($I114=1,IFBLANK(_xldudf_CX_PUSH(BG114*fxVal_normal,CX_ENTITY,$B114,BG$11,BG$14,BG$75,),""),IF($I114=2,IFBLANK(_xldudf_CX_PUSH(BG114,CX_ENTITY,$B114,BG$11,BG$14,BG$75,),""),IF($I114=3,"",IFBLANK(_xldudf_CX_PUSH(BG114,CX_ENTITY,$B114,BG$11,BG$14,BG$75,),"")))))),"")</f>
        <v/>
      </c>
      <c r="EH114" s="2445" t="str" cm="1">
        <f t="array" ca="1" aca="1" ref="EH114">IFERROR(IF(BH114*fxVal_normal=_PL!BH114,"",IF(OR(BH114="",NOT(ISNUMBER(BH114)),ISERROR(BH114),$B114=""),"",IF($I114=1,IFBLANK(_xldudf_CX_PUSH(BH114*fxVal_normal,CX_ENTITY,$B114,BH$11,BH$14,BH$75,),""),IF($I114=2,IFBLANK(_xldudf_CX_PUSH(BH114,CX_ENTITY,$B114,BH$11,BH$14,BH$75,),""),IF($I114=3,"",IFBLANK(_xldudf_CX_PUSH(BH114,CX_ENTITY,$B114,BH$11,BH$14,BH$75,),"")))))),"")</f>
        <v/>
      </c>
      <c r="EI114" s="2445" t="str" cm="1">
        <f t="array" ca="1" aca="1" ref="EI114">IFERROR(IF(BI114*fxVal_normal=_PL!BI114,"",IF(OR(BI114="",NOT(ISNUMBER(BI114)),ISERROR(BI114),$B114=""),"",IF($I114=1,IFBLANK(_xldudf_CX_PUSH(BI114*fxVal_normal,CX_ENTITY,$B114,BI$11,BI$14,BI$75,),""),IF($I114=2,IFBLANK(_xldudf_CX_PUSH(BI114,CX_ENTITY,$B114,BI$11,BI$14,BI$75,),""),IF($I114=3,"",IFBLANK(_xldudf_CX_PUSH(BI114,CX_ENTITY,$B114,BI$11,BI$14,BI$75,),"")))))),"")</f>
        <v/>
      </c>
      <c r="EJ114" s="2445" t="str" cm="1">
        <f t="array" ca="1" aca="1" ref="EJ114">IFERROR(IF(BJ114*fxVal_normal=_PL!BJ114,"",IF(OR(BJ114="",NOT(ISNUMBER(BJ114)),ISERROR(BJ114),$B114=""),"",IF($I114=1,IFBLANK(_xldudf_CX_PUSH(BJ114*fxVal_normal,CX_ENTITY,$B114,BJ$11,BJ$14,BJ$75,),""),IF($I114=2,IFBLANK(_xldudf_CX_PUSH(BJ114,CX_ENTITY,$B114,BJ$11,BJ$14,BJ$75,),""),IF($I114=3,"",IFBLANK(_xldudf_CX_PUSH(BJ114,CX_ENTITY,$B114,BJ$11,BJ$14,BJ$75,),"")))))),"")</f>
        <v/>
      </c>
      <c r="EK114" s="2445" t="str" cm="1">
        <f t="array" ca="1" aca="1" ref="EK114">IFERROR(IF(BK114*fxVal_normal=_PL!BK114,"",IF(OR(BK114="",NOT(ISNUMBER(BK114)),ISERROR(BK114),$B114=""),"",IF($I114=1,IFBLANK(_xldudf_CX_PUSH(BK114*fxVal_normal,CX_ENTITY,$B114,BK$11,BK$14,BK$75,),""),IF($I114=2,IFBLANK(_xldudf_CX_PUSH(BK114,CX_ENTITY,$B114,BK$11,BK$14,BK$75,),""),IF($I114=3,"",IFBLANK(_xldudf_CX_PUSH(BK114,CX_ENTITY,$B114,BK$11,BK$14,BK$75,),"")))))),"")</f>
        <v/>
      </c>
      <c r="EL114" s="2445" t="str" cm="1">
        <f t="array" ca="1" aca="1" ref="EL114">IFERROR(IF(BL114*fxVal_normal=_PL!BL114,"",IF(OR(BL114="",NOT(ISNUMBER(BL114)),ISERROR(BL114),$B114=""),"",IF($I114=1,IFBLANK(_xldudf_CX_PUSH(BL114*fxVal_normal,CX_ENTITY,$B114,BL$11,BL$14,BL$75,),""),IF($I114=2,IFBLANK(_xldudf_CX_PUSH(BL114,CX_ENTITY,$B114,BL$11,BL$14,BL$75,),""),IF($I114=3,"",IFBLANK(_xldudf_CX_PUSH(BL114,CX_ENTITY,$B114,BL$11,BL$14,BL$75,),"")))))),"")</f>
        <v/>
      </c>
      <c r="EM114" s="2445" t="str" cm="1">
        <f t="array" ca="1" aca="1" ref="EM114">IFERROR(IF(BM114*fxVal_normal=_PL!BM114,"",IF(OR(BM114="",NOT(ISNUMBER(BM114)),ISERROR(BM114),$B114=""),"",IF($I114=1,IFBLANK(_xldudf_CX_PUSH(BM114*fxVal_normal,CX_ENTITY,$B114,BM$11,BM$14,BM$75,),""),IF($I114=2,IFBLANK(_xldudf_CX_PUSH(BM114,CX_ENTITY,$B114,BM$11,BM$14,BM$75,),""),IF($I114=3,"",IFBLANK(_xldudf_CX_PUSH(BM114,CX_ENTITY,$B114,BM$11,BM$14,BM$75,),"")))))),"")</f>
        <v/>
      </c>
      <c r="EN114" s="2445" t="str" cm="1">
        <f t="array" ca="1" aca="1" ref="EN114">IFERROR(IF(BN114*fxVal_normal=_PL!BN114,"",IF(OR(BN114="",NOT(ISNUMBER(BN114)),ISERROR(BN114),$B114=""),"",IF($I114=1,IFBLANK(_xldudf_CX_PUSH(BN114*fxVal_normal,CX_ENTITY,$B114,BN$11,BN$14,BN$75,),""),IF($I114=2,IFBLANK(_xldudf_CX_PUSH(BN114,CX_ENTITY,$B114,BN$11,BN$14,BN$75,),""),IF($I114=3,"",IFBLANK(_xldudf_CX_PUSH(BN114,CX_ENTITY,$B114,BN$11,BN$14,BN$75,),"")))))),"")</f>
        <v/>
      </c>
    </row>
    <row r="115" spans="1:144" ht="21" customHeight="1">
      <c r="A115" s="1626"/>
      <c r="B115" s="2501" t="str">
        <f>_xlfn.LET(_xlpm.IsNotAttrDynamic,D115="",_xlpm.Attr,_PL!F115,_xlpm.NotInUse,Y115=D115,_xlpm.RESULT,IF(_xlpm.IsNotAttrDynamic,_xlpm.Attr,IF(_xlpm.NotInUse,"",Y115)),IF(_xlpm.RESULT="","",_xlpm.RESULT))</f>
        <v>Custom Metric Amount 3 [Calculated]</v>
      </c>
      <c r="C115" s="2501" t="str" cm="1">
        <f t="array" ref="C115">IFBLANK(_PL!C115,"")</f>
        <v>Custom Metric - Label 3 [Calculated]</v>
      </c>
      <c r="D115" s="1548"/>
      <c r="E115" s="2440" cm="1">
        <f t="array" ca="1" aca="1" ref="E115:G11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115:$CQ115,Z115)</f>
        <v>0</v>
      </c>
      <c r="F115" s="578">
        <f ca="1"/>
        <v>0</v>
      </c>
      <c r="G115" s="578" t="str">
        <f ca="1"/>
        <v>O</v>
      </c>
      <c r="H115" s="3280">
        <v>1</v>
      </c>
      <c r="I115" s="3280">
        <v>1</v>
      </c>
      <c r="J115" s="401" cm="1">
        <f t="array" ref="J115">IFBLANK(Z115,"")</f>
        <v>-1</v>
      </c>
      <c r="K115" s="578" t="str">
        <f t="shared" ca="1" si="44"/>
        <v>No</v>
      </c>
      <c r="L115" s="37"/>
      <c r="N115" s="158"/>
      <c r="O115" s="101"/>
      <c r="P115" s="52"/>
      <c r="Q115" s="101"/>
      <c r="R115" s="126"/>
      <c r="S115" s="101"/>
      <c r="T115" s="101"/>
      <c r="U115" s="39"/>
      <c r="V115" s="37"/>
      <c r="W115" s="91" t="str">
        <f t="shared" si="45"/>
        <v>Budget</v>
      </c>
      <c r="X115" s="2523" t="e">
        <f ca="1">_PL!X115</f>
        <v>#NAME?</v>
      </c>
      <c r="Y115" s="2371"/>
      <c r="Z115" s="198" cm="1">
        <f t="array" ref="Z115">IFBLANK(Z59,"")</f>
        <v>-1</v>
      </c>
      <c r="AA115" s="200" t="str" cm="1">
        <f t="array" ca="1" aca="1" ref="AA115">_xlfn.LET(_xlpm._termname,$Y115,_xlpm._icon,"Define",_xlpm._location,_xlfn.XLOOKUP(_xlpm._termname,$Y$249:$Y$338,$Y$249:$Y$338),_xlpm._hyperlink,HYPERLINK("#"&amp;CELL("address",_xlpm._location),_xlpm._icon),IF(Y115="","",_xlpm._hyperlink))</f>
        <v/>
      </c>
      <c r="AB115" s="2525" t="str">
        <f ca="1"/>
        <v/>
      </c>
      <c r="AC115" s="124" t="str" cm="1">
        <f t="array" ca="1" aca="1" ref="AC115">_xlfn.LET(_xlpm._termname,$AB115,_xlpm._iconname,"find",_xlpm._icon,fx_getIcon(_xlpm._iconname),_xlpm._location,_xlfn.XLOOKUP(LOWER(_xlpm._termname),LOWER(tbl_acctDef[Term]),tbl_acctDef[Term]),_xlpm._hyperlink,HYPERLINK("#"&amp;CELL("address",_xlpm._location),_xlpm._icon),IFERROR(_xlpm._hyperlink,""))</f>
        <v/>
      </c>
      <c r="AD115" s="1661" t="str" cm="1">
        <f t="array" ref="AD115">IF($Y115="","",_xlfn.XLOOKUP($W115&amp;$Y115,$W$250:$W$338&amp;$Y$250:$Y$338,$AD$250:$BN$338))</f>
        <v/>
      </c>
      <c r="AE115" s="3465"/>
      <c r="AF115" s="3465"/>
      <c r="AG115" s="3465"/>
      <c r="AH115" s="3465"/>
      <c r="AI115" s="3465"/>
      <c r="AJ115" s="3465"/>
      <c r="AK115" s="3465"/>
      <c r="AL115" s="3465"/>
      <c r="AM115" s="3465"/>
      <c r="AN115" s="3465"/>
      <c r="AO115" s="3465"/>
      <c r="AP115" s="3465"/>
      <c r="AQ115" s="3465"/>
      <c r="AR115" s="3465"/>
      <c r="AS115" s="3465"/>
      <c r="AT115" s="3465"/>
      <c r="AU115" s="3465"/>
      <c r="AV115" s="3465"/>
      <c r="AW115" s="3465"/>
      <c r="AX115" s="3465"/>
      <c r="AY115" s="3465"/>
      <c r="AZ115" s="3465"/>
      <c r="BA115" s="3465"/>
      <c r="BB115" s="3465"/>
      <c r="BC115" s="3465"/>
      <c r="BD115" s="3465"/>
      <c r="BE115" s="3465"/>
      <c r="BF115" s="3465"/>
      <c r="BG115" s="3465"/>
      <c r="BH115" s="3465"/>
      <c r="BI115" s="3465"/>
      <c r="BJ115" s="3465"/>
      <c r="BK115" s="3465"/>
      <c r="BL115" s="3465"/>
      <c r="BM115" s="3465"/>
      <c r="BN115" s="3465"/>
      <c r="BO115" s="2536"/>
      <c r="BP115" s="2536"/>
      <c r="BQ115" s="2536"/>
      <c r="BR115" s="2536"/>
      <c r="BS115" s="2536"/>
      <c r="BT115" s="2536"/>
      <c r="BU115" s="2536"/>
      <c r="BV115" s="2536"/>
      <c r="BW115" s="2536"/>
      <c r="BX115" s="2536"/>
      <c r="BY115" s="2536"/>
      <c r="BZ115" s="2536"/>
      <c r="CA115" s="34"/>
      <c r="CC115" s="33"/>
      <c r="CD115" s="1772" t="str" cm="1">
        <f t="array" ref="CD115">_xlfn.LET(_xlpm.CheckBlank,SUM(PL!$AD115:$BN115)=0,IF(_xlpm.CheckBlank,"",SUM(_xlfn._xlws.FILTER(PL!$AD115:$BN115,(YEAR(PL!$AD$12:$BN$12)=PL!CD$12)*(array_timeline&lt;=PL!CD$11)))))</f>
        <v/>
      </c>
      <c r="CE115" s="1772" t="str" cm="1">
        <f t="array" ref="CE115">_xlfn.LET(_xlpm.CheckBlank,SUM(PL!$AD115:$BN115)=0,IF(_xlpm.CheckBlank,"",SUM(_xlfn._xlws.FILTER(PL!$AD115:$BN115,(YEAR(PL!$AD$12:$BN$12)=PL!CE$12)*(array_timeline&lt;=PL!CE$11)))))</f>
        <v/>
      </c>
      <c r="CF115" s="88"/>
      <c r="CG115" s="1461" t="str" cm="1">
        <f t="array" ref="CG115">_xlfn.LET(_xlpm.CheckBlank,SUM(PL!$AD115:$BN115)=0,IF(_xlpm.CheckBlank,"",SUM(_xlfn._xlws.FILTER(PL!$AD115:$BN115,(YEAR(PL!$AD$12:$BN$12)=PL!CG$12)*(array_timeline&lt;=PL!CG$11)))))</f>
        <v/>
      </c>
      <c r="CH115" s="1461" t="str" cm="1">
        <f t="array" ref="CH115">_xlfn.LET(_xlpm.CheckBlank,SUM(PL!$AD115:$BN115)=0,IF(_xlpm.CheckBlank,"",SUM(_xlfn._xlws.FILTER(PL!$AD115:$BN115,(YEAR(PL!$AD$12:$BN$12)=PL!CH$12)*(array_timeline&lt;=PL!CH$11)))))</f>
        <v/>
      </c>
      <c r="CI115" s="88"/>
      <c r="CJ115" s="1461" t="str" cm="1">
        <f t="array" ref="CJ115">_xlfn.LET(_xlpm.CheckBlank,SUM(PL!$AD115:$BN115)=0,IF(_xlpm.CheckBlank,"",SUM(_xlfn.TAKE(_xlfn.DROP(PL!$AD115:$BN115,,-DATEDIFF(PL!CJ$11,val_asOfDate,"M")),1,-12))))</f>
        <v/>
      </c>
      <c r="CK115" s="1461" t="str" cm="1">
        <f t="array" ref="CK115">_xlfn.LET(_xlpm.CheckBlank,SUM(PL!$AD115:$BN115)=0,IF(_xlpm.CheckBlank,"",SUM(_xlfn.TAKE(_xlfn.DROP(PL!$AD115:$BN115,,-DATEDIFF(PL!CK$11,val_asOfDate,"M")),1,-12))))</f>
        <v/>
      </c>
      <c r="CL115" s="88"/>
      <c r="CM115" s="2357" t="str" cm="1">
        <f t="array" ref="CM115">IF($Y115="","",_xlfn.XLOOKUP($W115&amp;$Y115,$W$250:$W$338&amp;$Y$250:$Y$338,$CM$250:$CN$338))</f>
        <v/>
      </c>
      <c r="CN115" s="3462"/>
      <c r="CO115" s="3"/>
      <c r="CP115" s="2357" t="str" cm="1">
        <f t="array" ref="CP115">IF($Y115="","",_xlfn.XLOOKUP($W115&amp;$Y115,$W$250:$W$338&amp;$Y$250:$Y$338,$CP$250:$CQ$338))</f>
        <v/>
      </c>
      <c r="CQ115" s="3462"/>
      <c r="CR115" s="34"/>
      <c r="CS115" s="2056"/>
      <c r="CT115" s="2616"/>
      <c r="CU115" s="2616"/>
      <c r="CV115" s="2616"/>
      <c r="CW115" s="2616"/>
      <c r="CX115" s="2443"/>
      <c r="CY115" s="2444" t="str" cm="1">
        <f t="array" ref="CY115">IFERROR(IF(CM115*fxVal_normal=_PL!CM115,"",IF(OR($CM115="",$CM115=0,NOT(ISNUMBER($CM115)),ISERROR($CM115),$B115=""),"",IF($I115=1,IFBLANK(_xldudf_CX_PUSH($CM115*fxVal_normal,CX_ENTITY,$B115,$CM$11,$CM$14,$CM$19,),""),IF($I115=2,IFBLANK(_xldudf_CX_PUSH($CM115,CX_ENTITY,$B115,$CM$11,$CM$14,$CM$19,),""),IF($I115=3,"",IFBLANK(_xldudf_CX_PUSH($CM115,CX_ENTITY,$B115,$CM$11,$CM$14,$CM$19,),"")))))),"")</f>
        <v/>
      </c>
      <c r="CZ115" s="2444" t="str" cm="1">
        <f t="array" ref="CZ115">IFERROR(IF(CN115*fxVal_normal=_PL!CN115,"",IF(OR($CN115="",$CN115=0,NOT(ISNUMBER($CN115)),ISERROR($CN115),$B115=""),"",IF($I115=1,IFBLANK(_xldudf_CX_PUSH($CN115*fxVal_normal,CX_ENTITY,$B115,$CN$11,$CN$14,$CN$19,),""),IF($I115=2,IFBLANK(_xldudf_CX_PUSH($CN115,CX_ENTITY,$B115,$CN$11,$CN$14,$CN$19,),""),IF($I115=3,"",IFBLANK(_xldudf_CX_PUSH($CN115,CX_ENTITY,$B115,$CN$11,$CN$14,$CN$19,),"")))))),"")</f>
        <v/>
      </c>
      <c r="DA115" s="2444" t="str" cm="1">
        <f t="array" ref="DA115">IFERROR(IF(CP115*fxVal_normal=_PL!CP115,"",IF(OR($CP115="",$CP115=0,NOT(ISNUMBER($CP115)),ISERROR($CP115),$B115=""),"",IF($I115=1,IFBLANK(_xldudf_CX_PUSH($CP115*fxVal_normal,CX_ENTITY,$B115,$CP$11,$CP$14,$CP$19,),""),IF($I115=2,IFBLANK(_xldudf_CX_PUSH($CP115,CX_ENTITY,$B115,$CP$11,$CP$14,$CP$19,),""),IF($I115=3,"",IFBLANK(_xldudf_CX_PUSH($CP115,CX_ENTITY,$B115,$CP$11,$CP$14,$CP$19,),"")))))),"")</f>
        <v/>
      </c>
      <c r="DB115" s="2444" t="str" cm="1">
        <f t="array" ref="DB115">IFERROR(IF(CQ115*fxVal_normal=_PL!CQ115,"",IF(OR($CQ115="",$CQ115=0,NOT(ISNUMBER($CQ115)),ISERROR($CQ115),$B115=""),"",IF($I115=1,IFBLANK(_xldudf_CX_PUSH($CQ115*fxVal_normal,CX_ENTITY,$B115,$CQ$11,$CQ$14,$CQ$19,),""),IF($I115=2,IFBLANK(_xldudf_CX_PUSH($CQ115,CX_ENTITY,$B115,$CQ$11,$CQ$14,$CQ$19,),""),IF($I115=3,"",IFBLANK(_xldudf_CX_PUSH($CQ115,CX_ENTITY,$B115,$CQ$11,$CQ$14,$CQ$19,),"")))))),"")</f>
        <v/>
      </c>
      <c r="DC115" s="2443"/>
      <c r="DD115" s="2445" t="str" cm="1">
        <f t="array" ca="1" aca="1" ref="DD115">IFERROR(IF(AD115*fxVal_normal=_PL!AD115,"",IF(OR(AD115="",NOT(ISNUMBER(AD115)),ISERROR(AD115),$B115=""),"",IF($I115=1,IFBLANK(_xldudf_CX_PUSH(AD115*fxVal_normal,CX_ENTITY,$B115,AD$11,AD$14,AD$75,),""),IF($I115=2,IFBLANK(_xldudf_CX_PUSH(AD115,CX_ENTITY,$B115,AD$11,AD$14,AD$75,),""),IF($I115=3,"",IFBLANK(_xldudf_CX_PUSH(AD115,CX_ENTITY,$B115,AD$11,AD$14,AD$75,),"")))))),"")</f>
        <v/>
      </c>
      <c r="DE115" s="2445" t="str" cm="1">
        <f t="array" ca="1" aca="1" ref="DE115">IFERROR(IF(AE115*fxVal_normal=_PL!AE115,"",IF(OR(AE115="",NOT(ISNUMBER(AE115)),ISERROR(AE115),$B115=""),"",IF($I115=1,IFBLANK(_xldudf_CX_PUSH(AE115*fxVal_normal,CX_ENTITY,$B115,AE$11,AE$14,AE$75,),""),IF($I115=2,IFBLANK(_xldudf_CX_PUSH(AE115,CX_ENTITY,$B115,AE$11,AE$14,AE$75,),""),IF($I115=3,"",IFBLANK(_xldudf_CX_PUSH(AE115,CX_ENTITY,$B115,AE$11,AE$14,AE$75,),"")))))),"")</f>
        <v/>
      </c>
      <c r="DF115" s="2445" t="str" cm="1">
        <f t="array" ca="1" aca="1" ref="DF115">IFERROR(IF(AF115*fxVal_normal=_PL!AF115,"",IF(OR(AF115="",NOT(ISNUMBER(AF115)),ISERROR(AF115),$B115=""),"",IF($I115=1,IFBLANK(_xldudf_CX_PUSH(AF115*fxVal_normal,CX_ENTITY,$B115,AF$11,AF$14,AF$75,),""),IF($I115=2,IFBLANK(_xldudf_CX_PUSH(AF115,CX_ENTITY,$B115,AF$11,AF$14,AF$75,),""),IF($I115=3,"",IFBLANK(_xldudf_CX_PUSH(AF115,CX_ENTITY,$B115,AF$11,AF$14,AF$75,),"")))))),"")</f>
        <v/>
      </c>
      <c r="DG115" s="2445" t="str" cm="1">
        <f t="array" ca="1" aca="1" ref="DG115">IFERROR(IF(AG115*fxVal_normal=_PL!AG115,"",IF(OR(AG115="",NOT(ISNUMBER(AG115)),ISERROR(AG115),$B115=""),"",IF($I115=1,IFBLANK(_xldudf_CX_PUSH(AG115*fxVal_normal,CX_ENTITY,$B115,AG$11,AG$14,AG$75,),""),IF($I115=2,IFBLANK(_xldudf_CX_PUSH(AG115,CX_ENTITY,$B115,AG$11,AG$14,AG$75,),""),IF($I115=3,"",IFBLANK(_xldudf_CX_PUSH(AG115,CX_ENTITY,$B115,AG$11,AG$14,AG$75,),"")))))),"")</f>
        <v/>
      </c>
      <c r="DH115" s="2445" t="str" cm="1">
        <f t="array" ca="1" aca="1" ref="DH115">IFERROR(IF(AH115*fxVal_normal=_PL!AH115,"",IF(OR(AH115="",NOT(ISNUMBER(AH115)),ISERROR(AH115),$B115=""),"",IF($I115=1,IFBLANK(_xldudf_CX_PUSH(AH115*fxVal_normal,CX_ENTITY,$B115,AH$11,AH$14,AH$75,),""),IF($I115=2,IFBLANK(_xldudf_CX_PUSH(AH115,CX_ENTITY,$B115,AH$11,AH$14,AH$75,),""),IF($I115=3,"",IFBLANK(_xldudf_CX_PUSH(AH115,CX_ENTITY,$B115,AH$11,AH$14,AH$75,),"")))))),"")</f>
        <v/>
      </c>
      <c r="DI115" s="2445" t="str" cm="1">
        <f t="array" ca="1" aca="1" ref="DI115">IFERROR(IF(AI115*fxVal_normal=_PL!AI115,"",IF(OR(AI115="",NOT(ISNUMBER(AI115)),ISERROR(AI115),$B115=""),"",IF($I115=1,IFBLANK(_xldudf_CX_PUSH(AI115*fxVal_normal,CX_ENTITY,$B115,AI$11,AI$14,AI$75,),""),IF($I115=2,IFBLANK(_xldudf_CX_PUSH(AI115,CX_ENTITY,$B115,AI$11,AI$14,AI$75,),""),IF($I115=3,"",IFBLANK(_xldudf_CX_PUSH(AI115,CX_ENTITY,$B115,AI$11,AI$14,AI$75,),"")))))),"")</f>
        <v/>
      </c>
      <c r="DJ115" s="2445" t="str" cm="1">
        <f t="array" ca="1" aca="1" ref="DJ115">IFERROR(IF(AJ115*fxVal_normal=_PL!AJ115,"",IF(OR(AJ115="",NOT(ISNUMBER(AJ115)),ISERROR(AJ115),$B115=""),"",IF($I115=1,IFBLANK(_xldudf_CX_PUSH(AJ115*fxVal_normal,CX_ENTITY,$B115,AJ$11,AJ$14,AJ$75,),""),IF($I115=2,IFBLANK(_xldudf_CX_PUSH(AJ115,CX_ENTITY,$B115,AJ$11,AJ$14,AJ$75,),""),IF($I115=3,"",IFBLANK(_xldudf_CX_PUSH(AJ115,CX_ENTITY,$B115,AJ$11,AJ$14,AJ$75,),"")))))),"")</f>
        <v/>
      </c>
      <c r="DK115" s="2445" t="str" cm="1">
        <f t="array" ca="1" aca="1" ref="DK115">IFERROR(IF(AK115*fxVal_normal=_PL!AK115,"",IF(OR(AK115="",NOT(ISNUMBER(AK115)),ISERROR(AK115),$B115=""),"",IF($I115=1,IFBLANK(_xldudf_CX_PUSH(AK115*fxVal_normal,CX_ENTITY,$B115,AK$11,AK$14,AK$75,),""),IF($I115=2,IFBLANK(_xldudf_CX_PUSH(AK115,CX_ENTITY,$B115,AK$11,AK$14,AK$75,),""),IF($I115=3,"",IFBLANK(_xldudf_CX_PUSH(AK115,CX_ENTITY,$B115,AK$11,AK$14,AK$75,),"")))))),"")</f>
        <v/>
      </c>
      <c r="DL115" s="2445" t="str" cm="1">
        <f t="array" ca="1" aca="1" ref="DL115">IFERROR(IF(AL115*fxVal_normal=_PL!AL115,"",IF(OR(AL115="",NOT(ISNUMBER(AL115)),ISERROR(AL115),$B115=""),"",IF($I115=1,IFBLANK(_xldudf_CX_PUSH(AL115*fxVal_normal,CX_ENTITY,$B115,AL$11,AL$14,AL$75,),""),IF($I115=2,IFBLANK(_xldudf_CX_PUSH(AL115,CX_ENTITY,$B115,AL$11,AL$14,AL$75,),""),IF($I115=3,"",IFBLANK(_xldudf_CX_PUSH(AL115,CX_ENTITY,$B115,AL$11,AL$14,AL$75,),"")))))),"")</f>
        <v/>
      </c>
      <c r="DM115" s="2445" t="str" cm="1">
        <f t="array" ca="1" aca="1" ref="DM115">IFERROR(IF(AM115*fxVal_normal=_PL!AM115,"",IF(OR(AM115="",NOT(ISNUMBER(AM115)),ISERROR(AM115),$B115=""),"",IF($I115=1,IFBLANK(_xldudf_CX_PUSH(AM115*fxVal_normal,CX_ENTITY,$B115,AM$11,AM$14,AM$75,),""),IF($I115=2,IFBLANK(_xldudf_CX_PUSH(AM115,CX_ENTITY,$B115,AM$11,AM$14,AM$75,),""),IF($I115=3,"",IFBLANK(_xldudf_CX_PUSH(AM115,CX_ENTITY,$B115,AM$11,AM$14,AM$75,),"")))))),"")</f>
        <v/>
      </c>
      <c r="DN115" s="2445" t="str" cm="1">
        <f t="array" ca="1" aca="1" ref="DN115">IFERROR(IF(AN115*fxVal_normal=_PL!AN115,"",IF(OR(AN115="",NOT(ISNUMBER(AN115)),ISERROR(AN115),$B115=""),"",IF($I115=1,IFBLANK(_xldudf_CX_PUSH(AN115*fxVal_normal,CX_ENTITY,$B115,AN$11,AN$14,AN$75,),""),IF($I115=2,IFBLANK(_xldudf_CX_PUSH(AN115,CX_ENTITY,$B115,AN$11,AN$14,AN$75,),""),IF($I115=3,"",IFBLANK(_xldudf_CX_PUSH(AN115,CX_ENTITY,$B115,AN$11,AN$14,AN$75,),"")))))),"")</f>
        <v/>
      </c>
      <c r="DO115" s="2445" t="str" cm="1">
        <f t="array" ca="1" aca="1" ref="DO115">IFERROR(IF(AO115*fxVal_normal=_PL!AO115,"",IF(OR(AO115="",NOT(ISNUMBER(AO115)),ISERROR(AO115),$B115=""),"",IF($I115=1,IFBLANK(_xldudf_CX_PUSH(AO115*fxVal_normal,CX_ENTITY,$B115,AO$11,AO$14,AO$75,),""),IF($I115=2,IFBLANK(_xldudf_CX_PUSH(AO115,CX_ENTITY,$B115,AO$11,AO$14,AO$75,),""),IF($I115=3,"",IFBLANK(_xldudf_CX_PUSH(AO115,CX_ENTITY,$B115,AO$11,AO$14,AO$75,),"")))))),"")</f>
        <v/>
      </c>
      <c r="DP115" s="2445" t="str" cm="1">
        <f t="array" ca="1" aca="1" ref="DP115">IFERROR(IF(AP115*fxVal_normal=_PL!AP115,"",IF(OR(AP115="",NOT(ISNUMBER(AP115)),ISERROR(AP115),$B115=""),"",IF($I115=1,IFBLANK(_xldudf_CX_PUSH(AP115*fxVal_normal,CX_ENTITY,$B115,AP$11,AP$14,AP$75,),""),IF($I115=2,IFBLANK(_xldudf_CX_PUSH(AP115,CX_ENTITY,$B115,AP$11,AP$14,AP$75,),""),IF($I115=3,"",IFBLANK(_xldudf_CX_PUSH(AP115,CX_ENTITY,$B115,AP$11,AP$14,AP$75,),"")))))),"")</f>
        <v/>
      </c>
      <c r="DQ115" s="2445" t="str" cm="1">
        <f t="array" ca="1" aca="1" ref="DQ115">IFERROR(IF(AQ115*fxVal_normal=_PL!AQ115,"",IF(OR(AQ115="",NOT(ISNUMBER(AQ115)),ISERROR(AQ115),$B115=""),"",IF($I115=1,IFBLANK(_xldudf_CX_PUSH(AQ115*fxVal_normal,CX_ENTITY,$B115,AQ$11,AQ$14,AQ$75,),""),IF($I115=2,IFBLANK(_xldudf_CX_PUSH(AQ115,CX_ENTITY,$B115,AQ$11,AQ$14,AQ$75,),""),IF($I115=3,"",IFBLANK(_xldudf_CX_PUSH(AQ115,CX_ENTITY,$B115,AQ$11,AQ$14,AQ$75,),"")))))),"")</f>
        <v/>
      </c>
      <c r="DR115" s="2445" t="str" cm="1">
        <f t="array" ca="1" aca="1" ref="DR115">IFERROR(IF(AR115*fxVal_normal=_PL!AR115,"",IF(OR(AR115="",NOT(ISNUMBER(AR115)),ISERROR(AR115),$B115=""),"",IF($I115=1,IFBLANK(_xldudf_CX_PUSH(AR115*fxVal_normal,CX_ENTITY,$B115,AR$11,AR$14,AR$75,),""),IF($I115=2,IFBLANK(_xldudf_CX_PUSH(AR115,CX_ENTITY,$B115,AR$11,AR$14,AR$75,),""),IF($I115=3,"",IFBLANK(_xldudf_CX_PUSH(AR115,CX_ENTITY,$B115,AR$11,AR$14,AR$75,),"")))))),"")</f>
        <v/>
      </c>
      <c r="DS115" s="2445" t="str" cm="1">
        <f t="array" ca="1" aca="1" ref="DS115">IFERROR(IF(AS115*fxVal_normal=_PL!AS115,"",IF(OR(AS115="",NOT(ISNUMBER(AS115)),ISERROR(AS115),$B115=""),"",IF($I115=1,IFBLANK(_xldudf_CX_PUSH(AS115*fxVal_normal,CX_ENTITY,$B115,AS$11,AS$14,AS$75,),""),IF($I115=2,IFBLANK(_xldudf_CX_PUSH(AS115,CX_ENTITY,$B115,AS$11,AS$14,AS$75,),""),IF($I115=3,"",IFBLANK(_xldudf_CX_PUSH(AS115,CX_ENTITY,$B115,AS$11,AS$14,AS$75,),"")))))),"")</f>
        <v/>
      </c>
      <c r="DT115" s="2445" t="str" cm="1">
        <f t="array" ca="1" aca="1" ref="DT115">IFERROR(IF(AT115*fxVal_normal=_PL!AT115,"",IF(OR(AT115="",NOT(ISNUMBER(AT115)),ISERROR(AT115),$B115=""),"",IF($I115=1,IFBLANK(_xldudf_CX_PUSH(AT115*fxVal_normal,CX_ENTITY,$B115,AT$11,AT$14,AT$75,),""),IF($I115=2,IFBLANK(_xldudf_CX_PUSH(AT115,CX_ENTITY,$B115,AT$11,AT$14,AT$75,),""),IF($I115=3,"",IFBLANK(_xldudf_CX_PUSH(AT115,CX_ENTITY,$B115,AT$11,AT$14,AT$75,),"")))))),"")</f>
        <v/>
      </c>
      <c r="DU115" s="2445" t="str" cm="1">
        <f t="array" ca="1" aca="1" ref="DU115">IFERROR(IF(AU115*fxVal_normal=_PL!AU115,"",IF(OR(AU115="",NOT(ISNUMBER(AU115)),ISERROR(AU115),$B115=""),"",IF($I115=1,IFBLANK(_xldudf_CX_PUSH(AU115*fxVal_normal,CX_ENTITY,$B115,AU$11,AU$14,AU$75,),""),IF($I115=2,IFBLANK(_xldudf_CX_PUSH(AU115,CX_ENTITY,$B115,AU$11,AU$14,AU$75,),""),IF($I115=3,"",IFBLANK(_xldudf_CX_PUSH(AU115,CX_ENTITY,$B115,AU$11,AU$14,AU$75,),"")))))),"")</f>
        <v/>
      </c>
      <c r="DV115" s="2445" t="str" cm="1">
        <f t="array" ca="1" aca="1" ref="DV115">IFERROR(IF(AV115*fxVal_normal=_PL!AV115,"",IF(OR(AV115="",NOT(ISNUMBER(AV115)),ISERROR(AV115),$B115=""),"",IF($I115=1,IFBLANK(_xldudf_CX_PUSH(AV115*fxVal_normal,CX_ENTITY,$B115,AV$11,AV$14,AV$75,),""),IF($I115=2,IFBLANK(_xldudf_CX_PUSH(AV115,CX_ENTITY,$B115,AV$11,AV$14,AV$75,),""),IF($I115=3,"",IFBLANK(_xldudf_CX_PUSH(AV115,CX_ENTITY,$B115,AV$11,AV$14,AV$75,),"")))))),"")</f>
        <v/>
      </c>
      <c r="DW115" s="2445" t="str" cm="1">
        <f t="array" ca="1" aca="1" ref="DW115">IFERROR(IF(AW115*fxVal_normal=_PL!AW115,"",IF(OR(AW115="",NOT(ISNUMBER(AW115)),ISERROR(AW115),$B115=""),"",IF($I115=1,IFBLANK(_xldudf_CX_PUSH(AW115*fxVal_normal,CX_ENTITY,$B115,AW$11,AW$14,AW$75,),""),IF($I115=2,IFBLANK(_xldudf_CX_PUSH(AW115,CX_ENTITY,$B115,AW$11,AW$14,AW$75,),""),IF($I115=3,"",IFBLANK(_xldudf_CX_PUSH(AW115,CX_ENTITY,$B115,AW$11,AW$14,AW$75,),"")))))),"")</f>
        <v/>
      </c>
      <c r="DX115" s="2445" t="str" cm="1">
        <f t="array" ca="1" aca="1" ref="DX115">IFERROR(IF(AX115*fxVal_normal=_PL!AX115,"",IF(OR(AX115="",NOT(ISNUMBER(AX115)),ISERROR(AX115),$B115=""),"",IF($I115=1,IFBLANK(_xldudf_CX_PUSH(AX115*fxVal_normal,CX_ENTITY,$B115,AX$11,AX$14,AX$75,),""),IF($I115=2,IFBLANK(_xldudf_CX_PUSH(AX115,CX_ENTITY,$B115,AX$11,AX$14,AX$75,),""),IF($I115=3,"",IFBLANK(_xldudf_CX_PUSH(AX115,CX_ENTITY,$B115,AX$11,AX$14,AX$75,),"")))))),"")</f>
        <v/>
      </c>
      <c r="DY115" s="2445" t="str" cm="1">
        <f t="array" ca="1" aca="1" ref="DY115">IFERROR(IF(AY115*fxVal_normal=_PL!AY115,"",IF(OR(AY115="",NOT(ISNUMBER(AY115)),ISERROR(AY115),$B115=""),"",IF($I115=1,IFBLANK(_xldudf_CX_PUSH(AY115*fxVal_normal,CX_ENTITY,$B115,AY$11,AY$14,AY$75,),""),IF($I115=2,IFBLANK(_xldudf_CX_PUSH(AY115,CX_ENTITY,$B115,AY$11,AY$14,AY$75,),""),IF($I115=3,"",IFBLANK(_xldudf_CX_PUSH(AY115,CX_ENTITY,$B115,AY$11,AY$14,AY$75,),"")))))),"")</f>
        <v/>
      </c>
      <c r="DZ115" s="2445" t="str" cm="1">
        <f t="array" ca="1" aca="1" ref="DZ115">IFERROR(IF(AZ115*fxVal_normal=_PL!AZ115,"",IF(OR(AZ115="",NOT(ISNUMBER(AZ115)),ISERROR(AZ115),$B115=""),"",IF($I115=1,IFBLANK(_xldudf_CX_PUSH(AZ115*fxVal_normal,CX_ENTITY,$B115,AZ$11,AZ$14,AZ$75,),""),IF($I115=2,IFBLANK(_xldudf_CX_PUSH(AZ115,CX_ENTITY,$B115,AZ$11,AZ$14,AZ$75,),""),IF($I115=3,"",IFBLANK(_xldudf_CX_PUSH(AZ115,CX_ENTITY,$B115,AZ$11,AZ$14,AZ$75,),"")))))),"")</f>
        <v/>
      </c>
      <c r="EA115" s="2445" t="str" cm="1">
        <f t="array" ca="1" aca="1" ref="EA115">IFERROR(IF(BA115*fxVal_normal=_PL!BA115,"",IF(OR(BA115="",NOT(ISNUMBER(BA115)),ISERROR(BA115),$B115=""),"",IF($I115=1,IFBLANK(_xldudf_CX_PUSH(BA115*fxVal_normal,CX_ENTITY,$B115,BA$11,BA$14,BA$75,),""),IF($I115=2,IFBLANK(_xldudf_CX_PUSH(BA115,CX_ENTITY,$B115,BA$11,BA$14,BA$75,),""),IF($I115=3,"",IFBLANK(_xldudf_CX_PUSH(BA115,CX_ENTITY,$B115,BA$11,BA$14,BA$75,),"")))))),"")</f>
        <v/>
      </c>
      <c r="EB115" s="2445" t="str" cm="1">
        <f t="array" ca="1" aca="1" ref="EB115">IFERROR(IF(BB115*fxVal_normal=_PL!BB115,"",IF(OR(BB115="",NOT(ISNUMBER(BB115)),ISERROR(BB115),$B115=""),"",IF($I115=1,IFBLANK(_xldudf_CX_PUSH(BB115*fxVal_normal,CX_ENTITY,$B115,BB$11,BB$14,BB$75,),""),IF($I115=2,IFBLANK(_xldudf_CX_PUSH(BB115,CX_ENTITY,$B115,BB$11,BB$14,BB$75,),""),IF($I115=3,"",IFBLANK(_xldudf_CX_PUSH(BB115,CX_ENTITY,$B115,BB$11,BB$14,BB$75,),"")))))),"")</f>
        <v/>
      </c>
      <c r="EC115" s="2445" t="str" cm="1">
        <f t="array" ca="1" aca="1" ref="EC115">IFERROR(IF(BC115*fxVal_normal=_PL!BC115,"",IF(OR(BC115="",NOT(ISNUMBER(BC115)),ISERROR(BC115),$B115=""),"",IF($I115=1,IFBLANK(_xldudf_CX_PUSH(BC115*fxVal_normal,CX_ENTITY,$B115,BC$11,BC$14,BC$75,),""),IF($I115=2,IFBLANK(_xldudf_CX_PUSH(BC115,CX_ENTITY,$B115,BC$11,BC$14,BC$75,),""),IF($I115=3,"",IFBLANK(_xldudf_CX_PUSH(BC115,CX_ENTITY,$B115,BC$11,BC$14,BC$75,),"")))))),"")</f>
        <v/>
      </c>
      <c r="ED115" s="2445" t="str" cm="1">
        <f t="array" ca="1" aca="1" ref="ED115">IFERROR(IF(BD115*fxVal_normal=_PL!BD115,"",IF(OR(BD115="",NOT(ISNUMBER(BD115)),ISERROR(BD115),$B115=""),"",IF($I115=1,IFBLANK(_xldudf_CX_PUSH(BD115*fxVal_normal,CX_ENTITY,$B115,BD$11,BD$14,BD$75,),""),IF($I115=2,IFBLANK(_xldudf_CX_PUSH(BD115,CX_ENTITY,$B115,BD$11,BD$14,BD$75,),""),IF($I115=3,"",IFBLANK(_xldudf_CX_PUSH(BD115,CX_ENTITY,$B115,BD$11,BD$14,BD$75,),"")))))),"")</f>
        <v/>
      </c>
      <c r="EE115" s="2445" t="str" cm="1">
        <f t="array" ca="1" aca="1" ref="EE115">IFERROR(IF(BE115*fxVal_normal=_PL!BE115,"",IF(OR(BE115="",NOT(ISNUMBER(BE115)),ISERROR(BE115),$B115=""),"",IF($I115=1,IFBLANK(_xldudf_CX_PUSH(BE115*fxVal_normal,CX_ENTITY,$B115,BE$11,BE$14,BE$75,),""),IF($I115=2,IFBLANK(_xldudf_CX_PUSH(BE115,CX_ENTITY,$B115,BE$11,BE$14,BE$75,),""),IF($I115=3,"",IFBLANK(_xldudf_CX_PUSH(BE115,CX_ENTITY,$B115,BE$11,BE$14,BE$75,),"")))))),"")</f>
        <v/>
      </c>
      <c r="EF115" s="2445" t="str" cm="1">
        <f t="array" ca="1" aca="1" ref="EF115">IFERROR(IF(BF115*fxVal_normal=_PL!BF115,"",IF(OR(BF115="",NOT(ISNUMBER(BF115)),ISERROR(BF115),$B115=""),"",IF($I115=1,IFBLANK(_xldudf_CX_PUSH(BF115*fxVal_normal,CX_ENTITY,$B115,BF$11,BF$14,BF$75,),""),IF($I115=2,IFBLANK(_xldudf_CX_PUSH(BF115,CX_ENTITY,$B115,BF$11,BF$14,BF$75,),""),IF($I115=3,"",IFBLANK(_xldudf_CX_PUSH(BF115,CX_ENTITY,$B115,BF$11,BF$14,BF$75,),"")))))),"")</f>
        <v/>
      </c>
      <c r="EG115" s="2445" t="str" cm="1">
        <f t="array" ca="1" aca="1" ref="EG115">IFERROR(IF(BG115*fxVal_normal=_PL!BG115,"",IF(OR(BG115="",NOT(ISNUMBER(BG115)),ISERROR(BG115),$B115=""),"",IF($I115=1,IFBLANK(_xldudf_CX_PUSH(BG115*fxVal_normal,CX_ENTITY,$B115,BG$11,BG$14,BG$75,),""),IF($I115=2,IFBLANK(_xldudf_CX_PUSH(BG115,CX_ENTITY,$B115,BG$11,BG$14,BG$75,),""),IF($I115=3,"",IFBLANK(_xldudf_CX_PUSH(BG115,CX_ENTITY,$B115,BG$11,BG$14,BG$75,),"")))))),"")</f>
        <v/>
      </c>
      <c r="EH115" s="2445" t="str" cm="1">
        <f t="array" ca="1" aca="1" ref="EH115">IFERROR(IF(BH115*fxVal_normal=_PL!BH115,"",IF(OR(BH115="",NOT(ISNUMBER(BH115)),ISERROR(BH115),$B115=""),"",IF($I115=1,IFBLANK(_xldudf_CX_PUSH(BH115*fxVal_normal,CX_ENTITY,$B115,BH$11,BH$14,BH$75,),""),IF($I115=2,IFBLANK(_xldudf_CX_PUSH(BH115,CX_ENTITY,$B115,BH$11,BH$14,BH$75,),""),IF($I115=3,"",IFBLANK(_xldudf_CX_PUSH(BH115,CX_ENTITY,$B115,BH$11,BH$14,BH$75,),"")))))),"")</f>
        <v/>
      </c>
      <c r="EI115" s="2445" t="str" cm="1">
        <f t="array" ca="1" aca="1" ref="EI115">IFERROR(IF(BI115*fxVal_normal=_PL!BI115,"",IF(OR(BI115="",NOT(ISNUMBER(BI115)),ISERROR(BI115),$B115=""),"",IF($I115=1,IFBLANK(_xldudf_CX_PUSH(BI115*fxVal_normal,CX_ENTITY,$B115,BI$11,BI$14,BI$75,),""),IF($I115=2,IFBLANK(_xldudf_CX_PUSH(BI115,CX_ENTITY,$B115,BI$11,BI$14,BI$75,),""),IF($I115=3,"",IFBLANK(_xldudf_CX_PUSH(BI115,CX_ENTITY,$B115,BI$11,BI$14,BI$75,),"")))))),"")</f>
        <v/>
      </c>
      <c r="EJ115" s="2445" t="str" cm="1">
        <f t="array" ca="1" aca="1" ref="EJ115">IFERROR(IF(BJ115*fxVal_normal=_PL!BJ115,"",IF(OR(BJ115="",NOT(ISNUMBER(BJ115)),ISERROR(BJ115),$B115=""),"",IF($I115=1,IFBLANK(_xldudf_CX_PUSH(BJ115*fxVal_normal,CX_ENTITY,$B115,BJ$11,BJ$14,BJ$75,),""),IF($I115=2,IFBLANK(_xldudf_CX_PUSH(BJ115,CX_ENTITY,$B115,BJ$11,BJ$14,BJ$75,),""),IF($I115=3,"",IFBLANK(_xldudf_CX_PUSH(BJ115,CX_ENTITY,$B115,BJ$11,BJ$14,BJ$75,),"")))))),"")</f>
        <v/>
      </c>
      <c r="EK115" s="2445" t="str" cm="1">
        <f t="array" ca="1" aca="1" ref="EK115">IFERROR(IF(BK115*fxVal_normal=_PL!BK115,"",IF(OR(BK115="",NOT(ISNUMBER(BK115)),ISERROR(BK115),$B115=""),"",IF($I115=1,IFBLANK(_xldudf_CX_PUSH(BK115*fxVal_normal,CX_ENTITY,$B115,BK$11,BK$14,BK$75,),""),IF($I115=2,IFBLANK(_xldudf_CX_PUSH(BK115,CX_ENTITY,$B115,BK$11,BK$14,BK$75,),""),IF($I115=3,"",IFBLANK(_xldudf_CX_PUSH(BK115,CX_ENTITY,$B115,BK$11,BK$14,BK$75,),"")))))),"")</f>
        <v/>
      </c>
      <c r="EL115" s="2445" t="str" cm="1">
        <f t="array" ca="1" aca="1" ref="EL115">IFERROR(IF(BL115*fxVal_normal=_PL!BL115,"",IF(OR(BL115="",NOT(ISNUMBER(BL115)),ISERROR(BL115),$B115=""),"",IF($I115=1,IFBLANK(_xldudf_CX_PUSH(BL115*fxVal_normal,CX_ENTITY,$B115,BL$11,BL$14,BL$75,),""),IF($I115=2,IFBLANK(_xldudf_CX_PUSH(BL115,CX_ENTITY,$B115,BL$11,BL$14,BL$75,),""),IF($I115=3,"",IFBLANK(_xldudf_CX_PUSH(BL115,CX_ENTITY,$B115,BL$11,BL$14,BL$75,),"")))))),"")</f>
        <v/>
      </c>
      <c r="EM115" s="2445" t="str" cm="1">
        <f t="array" ca="1" aca="1" ref="EM115">IFERROR(IF(BM115*fxVal_normal=_PL!BM115,"",IF(OR(BM115="",NOT(ISNUMBER(BM115)),ISERROR(BM115),$B115=""),"",IF($I115=1,IFBLANK(_xldudf_CX_PUSH(BM115*fxVal_normal,CX_ENTITY,$B115,BM$11,BM$14,BM$75,),""),IF($I115=2,IFBLANK(_xldudf_CX_PUSH(BM115,CX_ENTITY,$B115,BM$11,BM$14,BM$75,),""),IF($I115=3,"",IFBLANK(_xldudf_CX_PUSH(BM115,CX_ENTITY,$B115,BM$11,BM$14,BM$75,),"")))))),"")</f>
        <v/>
      </c>
      <c r="EN115" s="2445" t="str" cm="1">
        <f t="array" ca="1" aca="1" ref="EN115">IFERROR(IF(BN115*fxVal_normal=_PL!BN115,"",IF(OR(BN115="",NOT(ISNUMBER(BN115)),ISERROR(BN115),$B115=""),"",IF($I115=1,IFBLANK(_xldudf_CX_PUSH(BN115*fxVal_normal,CX_ENTITY,$B115,BN$11,BN$14,BN$75,),""),IF($I115=2,IFBLANK(_xldudf_CX_PUSH(BN115,CX_ENTITY,$B115,BN$11,BN$14,BN$75,),""),IF($I115=3,"",IFBLANK(_xldudf_CX_PUSH(BN115,CX_ENTITY,$B115,BN$11,BN$14,BN$75,),"")))))),"")</f>
        <v/>
      </c>
    </row>
    <row r="116" spans="1:144" ht="21" customHeight="1">
      <c r="A116" s="1626"/>
      <c r="B116" s="2501" t="str">
        <f>_xlfn.LET(_xlpm.IsNotAttrDynamic,D116="",_xlpm.Attr,_PL!F116,_xlpm.NotInUse,Y116=D116,_xlpm.RESULT,IF(_xlpm.IsNotAttrDynamic,_xlpm.Attr,IF(_xlpm.NotInUse,"",Y116)),IF(_xlpm.RESULT="","",_xlpm.RESULT))</f>
        <v>Custom Metric Amount 4 [Calculated]</v>
      </c>
      <c r="C116" s="2501" t="str" cm="1">
        <f t="array" ref="C116">IFBLANK(_PL!C116,"")</f>
        <v>Custom Metric - Label 4 [Calculated]</v>
      </c>
      <c r="D116" s="1548"/>
      <c r="E116" s="2440" cm="1">
        <f t="array" ca="1" aca="1" ref="E116:G11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116:$CQ116,Z116)</f>
        <v>0</v>
      </c>
      <c r="F116" s="578">
        <f ca="1"/>
        <v>0</v>
      </c>
      <c r="G116" s="578" t="str">
        <f ca="1"/>
        <v/>
      </c>
      <c r="H116" s="3280">
        <v>1</v>
      </c>
      <c r="I116" s="3280">
        <v>1</v>
      </c>
      <c r="J116" s="401" t="str" cm="1">
        <f t="array" ref="J116">IFBLANK(Z116,"")</f>
        <v/>
      </c>
      <c r="K116" s="578" t="str">
        <f t="shared" ca="1" si="44"/>
        <v>No</v>
      </c>
      <c r="L116" s="37"/>
      <c r="N116" s="158"/>
      <c r="O116" s="101"/>
      <c r="P116" s="52"/>
      <c r="Q116" s="101"/>
      <c r="R116" s="126"/>
      <c r="S116" s="101"/>
      <c r="T116" s="101"/>
      <c r="U116" s="39"/>
      <c r="V116" s="37"/>
      <c r="W116" s="91" t="str">
        <f t="shared" si="45"/>
        <v>Budget</v>
      </c>
      <c r="X116" s="2523" t="e">
        <f ca="1">_PL!X116</f>
        <v>#NAME?</v>
      </c>
      <c r="Y116" s="2371"/>
      <c r="Z116" s="198" t="str" cm="1">
        <f t="array" ref="Z116">IFBLANK(Z60,"")</f>
        <v/>
      </c>
      <c r="AA116" s="200" t="str" cm="1">
        <f t="array" ca="1" aca="1" ref="AA116">_xlfn.LET(_xlpm._termname,$Y116,_xlpm._icon,"Define",_xlpm._location,_xlfn.XLOOKUP(_xlpm._termname,$Y$249:$Y$338,$Y$249:$Y$338),_xlpm._hyperlink,HYPERLINK("#"&amp;CELL("address",_xlpm._location),_xlpm._icon),IF(Y116="","",_xlpm._hyperlink))</f>
        <v/>
      </c>
      <c r="AB116" s="2525" t="str">
        <f ca="1"/>
        <v/>
      </c>
      <c r="AC116" s="124" t="str" cm="1">
        <f t="array" ca="1" aca="1" ref="AC116">_xlfn.LET(_xlpm._termname,$AB116,_xlpm._iconname,"find",_xlpm._icon,fx_getIcon(_xlpm._iconname),_xlpm._location,_xlfn.XLOOKUP(LOWER(_xlpm._termname),LOWER(tbl_acctDef[Term]),tbl_acctDef[Term]),_xlpm._hyperlink,HYPERLINK("#"&amp;CELL("address",_xlpm._location),_xlpm._icon),IFERROR(_xlpm._hyperlink,""))</f>
        <v/>
      </c>
      <c r="AD116" s="1661" t="str" cm="1">
        <f t="array" ref="AD116">IF($Y116="","",_xlfn.XLOOKUP($W116&amp;$Y116,$W$250:$W$338&amp;$Y$250:$Y$338,$AD$250:$BN$338))</f>
        <v/>
      </c>
      <c r="AE116" s="3466"/>
      <c r="AF116" s="3466"/>
      <c r="AG116" s="3466"/>
      <c r="AH116" s="3466"/>
      <c r="AI116" s="3466"/>
      <c r="AJ116" s="3466"/>
      <c r="AK116" s="3466"/>
      <c r="AL116" s="3466"/>
      <c r="AM116" s="3466"/>
      <c r="AN116" s="3466"/>
      <c r="AO116" s="3466"/>
      <c r="AP116" s="3466"/>
      <c r="AQ116" s="3466"/>
      <c r="AR116" s="3466"/>
      <c r="AS116" s="3466"/>
      <c r="AT116" s="3466"/>
      <c r="AU116" s="3466"/>
      <c r="AV116" s="3466"/>
      <c r="AW116" s="3466"/>
      <c r="AX116" s="3466"/>
      <c r="AY116" s="3466"/>
      <c r="AZ116" s="3466"/>
      <c r="BA116" s="3466"/>
      <c r="BB116" s="3466"/>
      <c r="BC116" s="3466"/>
      <c r="BD116" s="3466"/>
      <c r="BE116" s="3466"/>
      <c r="BF116" s="3466"/>
      <c r="BG116" s="3466"/>
      <c r="BH116" s="3466"/>
      <c r="BI116" s="3466"/>
      <c r="BJ116" s="3466"/>
      <c r="BK116" s="3466"/>
      <c r="BL116" s="3466"/>
      <c r="BM116" s="3466"/>
      <c r="BN116" s="3466"/>
      <c r="BO116" s="2536"/>
      <c r="BP116" s="2536"/>
      <c r="BQ116" s="2536"/>
      <c r="BR116" s="2536"/>
      <c r="BS116" s="2536"/>
      <c r="BT116" s="2536"/>
      <c r="BU116" s="2536"/>
      <c r="BV116" s="2536"/>
      <c r="BW116" s="2536"/>
      <c r="BX116" s="2536"/>
      <c r="BY116" s="2536"/>
      <c r="BZ116" s="2536"/>
      <c r="CA116" s="34"/>
      <c r="CC116" s="33"/>
      <c r="CD116" s="1772" t="str" cm="1">
        <f t="array" ref="CD116">_xlfn.LET(_xlpm.CheckBlank,SUM(PL!$AD116:$BN116)=0,IF(_xlpm.CheckBlank,"",SUM(_xlfn._xlws.FILTER(PL!$AD116:$BN116,(YEAR(PL!$AD$12:$BN$12)=PL!CD$12)*(array_timeline&lt;=PL!CD$11)))))</f>
        <v/>
      </c>
      <c r="CE116" s="1772" t="str" cm="1">
        <f t="array" ref="CE116">_xlfn.LET(_xlpm.CheckBlank,SUM(PL!$AD116:$BN116)=0,IF(_xlpm.CheckBlank,"",SUM(_xlfn._xlws.FILTER(PL!$AD116:$BN116,(YEAR(PL!$AD$12:$BN$12)=PL!CE$12)*(array_timeline&lt;=PL!CE$11)))))</f>
        <v/>
      </c>
      <c r="CF116" s="3"/>
      <c r="CG116" s="1461" t="str" cm="1">
        <f t="array" ref="CG116">_xlfn.LET(_xlpm.CheckBlank,SUM(PL!$AD116:$BN116)=0,IF(_xlpm.CheckBlank,"",SUM(_xlfn._xlws.FILTER(PL!$AD116:$BN116,(YEAR(PL!$AD$12:$BN$12)=PL!CG$12)*(array_timeline&lt;=PL!CG$11)))))</f>
        <v/>
      </c>
      <c r="CH116" s="1461" t="str" cm="1">
        <f t="array" ref="CH116">_xlfn.LET(_xlpm.CheckBlank,SUM(PL!$AD116:$BN116)=0,IF(_xlpm.CheckBlank,"",SUM(_xlfn._xlws.FILTER(PL!$AD116:$BN116,(YEAR(PL!$AD$12:$BN$12)=PL!CH$12)*(array_timeline&lt;=PL!CH$11)))))</f>
        <v/>
      </c>
      <c r="CI116" s="3"/>
      <c r="CJ116" s="1461" t="str" cm="1">
        <f t="array" ref="CJ116">_xlfn.LET(_xlpm.CheckBlank,SUM(PL!$AD116:$BN116)=0,IF(_xlpm.CheckBlank,"",SUM(_xlfn.TAKE(_xlfn.DROP(PL!$AD116:$BN116,,-DATEDIFF(PL!CJ$11,val_asOfDate,"M")),1,-12))))</f>
        <v/>
      </c>
      <c r="CK116" s="1461" t="str" cm="1">
        <f t="array" ref="CK116">_xlfn.LET(_xlpm.CheckBlank,SUM(PL!$AD116:$BN116)=0,IF(_xlpm.CheckBlank,"",SUM(_xlfn.TAKE(_xlfn.DROP(PL!$AD116:$BN116,,-DATEDIFF(PL!CK$11,val_asOfDate,"M")),1,-12))))</f>
        <v/>
      </c>
      <c r="CL116" s="3"/>
      <c r="CM116" s="2357" t="str" cm="1">
        <f t="array" ref="CM116">IF($Y116="","",_xlfn.XLOOKUP($W116&amp;$Y116,$W$250:$W$338&amp;$Y$250:$Y$338,$CM$250:$CN$338))</f>
        <v/>
      </c>
      <c r="CN116" s="3462"/>
      <c r="CO116" s="3"/>
      <c r="CP116" s="2357" t="str" cm="1">
        <f t="array" ref="CP116">IF($Y116="","",_xlfn.XLOOKUP($W116&amp;$Y116,$W$250:$W$338&amp;$Y$250:$Y$338,$CP$250:$CQ$338))</f>
        <v/>
      </c>
      <c r="CQ116" s="3462"/>
      <c r="CR116" s="34"/>
      <c r="CS116" s="2056"/>
      <c r="CT116" s="2616"/>
      <c r="CU116" s="2616"/>
      <c r="CV116" s="2616"/>
      <c r="CW116" s="2616"/>
      <c r="CX116" s="2443"/>
      <c r="CY116" s="2444" t="str" cm="1">
        <f t="array" ref="CY116">IFERROR(IF(CM116*fxVal_normal=_PL!CM116,"",IF(OR($CM116="",$CM116=0,NOT(ISNUMBER($CM116)),ISERROR($CM116),$B116=""),"",IF($I116=1,IFBLANK(_xldudf_CX_PUSH($CM116*fxVal_normal,CX_ENTITY,$B116,$CM$11,$CM$14,$CM$19,),""),IF($I116=2,IFBLANK(_xldudf_CX_PUSH($CM116,CX_ENTITY,$B116,$CM$11,$CM$14,$CM$19,),""),IF($I116=3,"",IFBLANK(_xldudf_CX_PUSH($CM116,CX_ENTITY,$B116,$CM$11,$CM$14,$CM$19,),"")))))),"")</f>
        <v/>
      </c>
      <c r="CZ116" s="2444" t="str" cm="1">
        <f t="array" ref="CZ116">IFERROR(IF(CN116*fxVal_normal=_PL!CN116,"",IF(OR($CN116="",$CN116=0,NOT(ISNUMBER($CN116)),ISERROR($CN116),$B116=""),"",IF($I116=1,IFBLANK(_xldudf_CX_PUSH($CN116*fxVal_normal,CX_ENTITY,$B116,$CN$11,$CN$14,$CN$19,),""),IF($I116=2,IFBLANK(_xldudf_CX_PUSH($CN116,CX_ENTITY,$B116,$CN$11,$CN$14,$CN$19,),""),IF($I116=3,"",IFBLANK(_xldudf_CX_PUSH($CN116,CX_ENTITY,$B116,$CN$11,$CN$14,$CN$19,),"")))))),"")</f>
        <v/>
      </c>
      <c r="DA116" s="2444" t="str" cm="1">
        <f t="array" ref="DA116">IFERROR(IF(CP116*fxVal_normal=_PL!CP116,"",IF(OR($CP116="",$CP116=0,NOT(ISNUMBER($CP116)),ISERROR($CP116),$B116=""),"",IF($I116=1,IFBLANK(_xldudf_CX_PUSH($CP116*fxVal_normal,CX_ENTITY,$B116,$CP$11,$CP$14,$CP$19,),""),IF($I116=2,IFBLANK(_xldudf_CX_PUSH($CP116,CX_ENTITY,$B116,$CP$11,$CP$14,$CP$19,),""),IF($I116=3,"",IFBLANK(_xldudf_CX_PUSH($CP116,CX_ENTITY,$B116,$CP$11,$CP$14,$CP$19,),"")))))),"")</f>
        <v/>
      </c>
      <c r="DB116" s="2444" t="str" cm="1">
        <f t="array" ref="DB116">IFERROR(IF(CQ116*fxVal_normal=_PL!CQ116,"",IF(OR($CQ116="",$CQ116=0,NOT(ISNUMBER($CQ116)),ISERROR($CQ116),$B116=""),"",IF($I116=1,IFBLANK(_xldudf_CX_PUSH($CQ116*fxVal_normal,CX_ENTITY,$B116,$CQ$11,$CQ$14,$CQ$19,),""),IF($I116=2,IFBLANK(_xldudf_CX_PUSH($CQ116,CX_ENTITY,$B116,$CQ$11,$CQ$14,$CQ$19,),""),IF($I116=3,"",IFBLANK(_xldudf_CX_PUSH($CQ116,CX_ENTITY,$B116,$CQ$11,$CQ$14,$CQ$19,),"")))))),"")</f>
        <v/>
      </c>
      <c r="DC116" s="2443"/>
      <c r="DD116" s="2445" t="str" cm="1">
        <f t="array" ca="1" aca="1" ref="DD116">IFERROR(IF(AD116*fxVal_normal=_PL!AD116,"",IF(OR(AD116="",NOT(ISNUMBER(AD116)),ISERROR(AD116),$B116=""),"",IF($I116=1,IFBLANK(_xldudf_CX_PUSH(AD116*fxVal_normal,CX_ENTITY,$B116,AD$11,AD$14,AD$75,),""),IF($I116=2,IFBLANK(_xldudf_CX_PUSH(AD116,CX_ENTITY,$B116,AD$11,AD$14,AD$75,),""),IF($I116=3,"",IFBLANK(_xldudf_CX_PUSH(AD116,CX_ENTITY,$B116,AD$11,AD$14,AD$75,),"")))))),"")</f>
        <v/>
      </c>
      <c r="DE116" s="2445" t="str" cm="1">
        <f t="array" ca="1" aca="1" ref="DE116">IFERROR(IF(AE116*fxVal_normal=_PL!AE116,"",IF(OR(AE116="",NOT(ISNUMBER(AE116)),ISERROR(AE116),$B116=""),"",IF($I116=1,IFBLANK(_xldudf_CX_PUSH(AE116*fxVal_normal,CX_ENTITY,$B116,AE$11,AE$14,AE$75,),""),IF($I116=2,IFBLANK(_xldudf_CX_PUSH(AE116,CX_ENTITY,$B116,AE$11,AE$14,AE$75,),""),IF($I116=3,"",IFBLANK(_xldudf_CX_PUSH(AE116,CX_ENTITY,$B116,AE$11,AE$14,AE$75,),"")))))),"")</f>
        <v/>
      </c>
      <c r="DF116" s="2445" t="str" cm="1">
        <f t="array" ca="1" aca="1" ref="DF116">IFERROR(IF(AF116*fxVal_normal=_PL!AF116,"",IF(OR(AF116="",NOT(ISNUMBER(AF116)),ISERROR(AF116),$B116=""),"",IF($I116=1,IFBLANK(_xldudf_CX_PUSH(AF116*fxVal_normal,CX_ENTITY,$B116,AF$11,AF$14,AF$75,),""),IF($I116=2,IFBLANK(_xldudf_CX_PUSH(AF116,CX_ENTITY,$B116,AF$11,AF$14,AF$75,),""),IF($I116=3,"",IFBLANK(_xldudf_CX_PUSH(AF116,CX_ENTITY,$B116,AF$11,AF$14,AF$75,),"")))))),"")</f>
        <v/>
      </c>
      <c r="DG116" s="2445" t="str" cm="1">
        <f t="array" ca="1" aca="1" ref="DG116">IFERROR(IF(AG116*fxVal_normal=_PL!AG116,"",IF(OR(AG116="",NOT(ISNUMBER(AG116)),ISERROR(AG116),$B116=""),"",IF($I116=1,IFBLANK(_xldudf_CX_PUSH(AG116*fxVal_normal,CX_ENTITY,$B116,AG$11,AG$14,AG$75,),""),IF($I116=2,IFBLANK(_xldudf_CX_PUSH(AG116,CX_ENTITY,$B116,AG$11,AG$14,AG$75,),""),IF($I116=3,"",IFBLANK(_xldudf_CX_PUSH(AG116,CX_ENTITY,$B116,AG$11,AG$14,AG$75,),"")))))),"")</f>
        <v/>
      </c>
      <c r="DH116" s="2445" t="str" cm="1">
        <f t="array" ca="1" aca="1" ref="DH116">IFERROR(IF(AH116*fxVal_normal=_PL!AH116,"",IF(OR(AH116="",NOT(ISNUMBER(AH116)),ISERROR(AH116),$B116=""),"",IF($I116=1,IFBLANK(_xldudf_CX_PUSH(AH116*fxVal_normal,CX_ENTITY,$B116,AH$11,AH$14,AH$75,),""),IF($I116=2,IFBLANK(_xldudf_CX_PUSH(AH116,CX_ENTITY,$B116,AH$11,AH$14,AH$75,),""),IF($I116=3,"",IFBLANK(_xldudf_CX_PUSH(AH116,CX_ENTITY,$B116,AH$11,AH$14,AH$75,),"")))))),"")</f>
        <v/>
      </c>
      <c r="DI116" s="2445" t="str" cm="1">
        <f t="array" ca="1" aca="1" ref="DI116">IFERROR(IF(AI116*fxVal_normal=_PL!AI116,"",IF(OR(AI116="",NOT(ISNUMBER(AI116)),ISERROR(AI116),$B116=""),"",IF($I116=1,IFBLANK(_xldudf_CX_PUSH(AI116*fxVal_normal,CX_ENTITY,$B116,AI$11,AI$14,AI$75,),""),IF($I116=2,IFBLANK(_xldudf_CX_PUSH(AI116,CX_ENTITY,$B116,AI$11,AI$14,AI$75,),""),IF($I116=3,"",IFBLANK(_xldudf_CX_PUSH(AI116,CX_ENTITY,$B116,AI$11,AI$14,AI$75,),"")))))),"")</f>
        <v/>
      </c>
      <c r="DJ116" s="2445" t="str" cm="1">
        <f t="array" ca="1" aca="1" ref="DJ116">IFERROR(IF(AJ116*fxVal_normal=_PL!AJ116,"",IF(OR(AJ116="",NOT(ISNUMBER(AJ116)),ISERROR(AJ116),$B116=""),"",IF($I116=1,IFBLANK(_xldudf_CX_PUSH(AJ116*fxVal_normal,CX_ENTITY,$B116,AJ$11,AJ$14,AJ$75,),""),IF($I116=2,IFBLANK(_xldudf_CX_PUSH(AJ116,CX_ENTITY,$B116,AJ$11,AJ$14,AJ$75,),""),IF($I116=3,"",IFBLANK(_xldudf_CX_PUSH(AJ116,CX_ENTITY,$B116,AJ$11,AJ$14,AJ$75,),"")))))),"")</f>
        <v/>
      </c>
      <c r="DK116" s="2445" t="str" cm="1">
        <f t="array" ca="1" aca="1" ref="DK116">IFERROR(IF(AK116*fxVal_normal=_PL!AK116,"",IF(OR(AK116="",NOT(ISNUMBER(AK116)),ISERROR(AK116),$B116=""),"",IF($I116=1,IFBLANK(_xldudf_CX_PUSH(AK116*fxVal_normal,CX_ENTITY,$B116,AK$11,AK$14,AK$75,),""),IF($I116=2,IFBLANK(_xldudf_CX_PUSH(AK116,CX_ENTITY,$B116,AK$11,AK$14,AK$75,),""),IF($I116=3,"",IFBLANK(_xldudf_CX_PUSH(AK116,CX_ENTITY,$B116,AK$11,AK$14,AK$75,),"")))))),"")</f>
        <v/>
      </c>
      <c r="DL116" s="2445" t="str" cm="1">
        <f t="array" ca="1" aca="1" ref="DL116">IFERROR(IF(AL116*fxVal_normal=_PL!AL116,"",IF(OR(AL116="",NOT(ISNUMBER(AL116)),ISERROR(AL116),$B116=""),"",IF($I116=1,IFBLANK(_xldudf_CX_PUSH(AL116*fxVal_normal,CX_ENTITY,$B116,AL$11,AL$14,AL$75,),""),IF($I116=2,IFBLANK(_xldudf_CX_PUSH(AL116,CX_ENTITY,$B116,AL$11,AL$14,AL$75,),""),IF($I116=3,"",IFBLANK(_xldudf_CX_PUSH(AL116,CX_ENTITY,$B116,AL$11,AL$14,AL$75,),"")))))),"")</f>
        <v/>
      </c>
      <c r="DM116" s="2445" t="str" cm="1">
        <f t="array" ca="1" aca="1" ref="DM116">IFERROR(IF(AM116*fxVal_normal=_PL!AM116,"",IF(OR(AM116="",NOT(ISNUMBER(AM116)),ISERROR(AM116),$B116=""),"",IF($I116=1,IFBLANK(_xldudf_CX_PUSH(AM116*fxVal_normal,CX_ENTITY,$B116,AM$11,AM$14,AM$75,),""),IF($I116=2,IFBLANK(_xldudf_CX_PUSH(AM116,CX_ENTITY,$B116,AM$11,AM$14,AM$75,),""),IF($I116=3,"",IFBLANK(_xldudf_CX_PUSH(AM116,CX_ENTITY,$B116,AM$11,AM$14,AM$75,),"")))))),"")</f>
        <v/>
      </c>
      <c r="DN116" s="2445" t="str" cm="1">
        <f t="array" ca="1" aca="1" ref="DN116">IFERROR(IF(AN116*fxVal_normal=_PL!AN116,"",IF(OR(AN116="",NOT(ISNUMBER(AN116)),ISERROR(AN116),$B116=""),"",IF($I116=1,IFBLANK(_xldudf_CX_PUSH(AN116*fxVal_normal,CX_ENTITY,$B116,AN$11,AN$14,AN$75,),""),IF($I116=2,IFBLANK(_xldudf_CX_PUSH(AN116,CX_ENTITY,$B116,AN$11,AN$14,AN$75,),""),IF($I116=3,"",IFBLANK(_xldudf_CX_PUSH(AN116,CX_ENTITY,$B116,AN$11,AN$14,AN$75,),"")))))),"")</f>
        <v/>
      </c>
      <c r="DO116" s="2445" t="str" cm="1">
        <f t="array" ca="1" aca="1" ref="DO116">IFERROR(IF(AO116*fxVal_normal=_PL!AO116,"",IF(OR(AO116="",NOT(ISNUMBER(AO116)),ISERROR(AO116),$B116=""),"",IF($I116=1,IFBLANK(_xldudf_CX_PUSH(AO116*fxVal_normal,CX_ENTITY,$B116,AO$11,AO$14,AO$75,),""),IF($I116=2,IFBLANK(_xldudf_CX_PUSH(AO116,CX_ENTITY,$B116,AO$11,AO$14,AO$75,),""),IF($I116=3,"",IFBLANK(_xldudf_CX_PUSH(AO116,CX_ENTITY,$B116,AO$11,AO$14,AO$75,),"")))))),"")</f>
        <v/>
      </c>
      <c r="DP116" s="2445" t="str" cm="1">
        <f t="array" ca="1" aca="1" ref="DP116">IFERROR(IF(AP116*fxVal_normal=_PL!AP116,"",IF(OR(AP116="",NOT(ISNUMBER(AP116)),ISERROR(AP116),$B116=""),"",IF($I116=1,IFBLANK(_xldudf_CX_PUSH(AP116*fxVal_normal,CX_ENTITY,$B116,AP$11,AP$14,AP$75,),""),IF($I116=2,IFBLANK(_xldudf_CX_PUSH(AP116,CX_ENTITY,$B116,AP$11,AP$14,AP$75,),""),IF($I116=3,"",IFBLANK(_xldudf_CX_PUSH(AP116,CX_ENTITY,$B116,AP$11,AP$14,AP$75,),"")))))),"")</f>
        <v/>
      </c>
      <c r="DQ116" s="2445" t="str" cm="1">
        <f t="array" ca="1" aca="1" ref="DQ116">IFERROR(IF(AQ116*fxVal_normal=_PL!AQ116,"",IF(OR(AQ116="",NOT(ISNUMBER(AQ116)),ISERROR(AQ116),$B116=""),"",IF($I116=1,IFBLANK(_xldudf_CX_PUSH(AQ116*fxVal_normal,CX_ENTITY,$B116,AQ$11,AQ$14,AQ$75,),""),IF($I116=2,IFBLANK(_xldudf_CX_PUSH(AQ116,CX_ENTITY,$B116,AQ$11,AQ$14,AQ$75,),""),IF($I116=3,"",IFBLANK(_xldudf_CX_PUSH(AQ116,CX_ENTITY,$B116,AQ$11,AQ$14,AQ$75,),"")))))),"")</f>
        <v/>
      </c>
      <c r="DR116" s="2445" t="str" cm="1">
        <f t="array" ca="1" aca="1" ref="DR116">IFERROR(IF(AR116*fxVal_normal=_PL!AR116,"",IF(OR(AR116="",NOT(ISNUMBER(AR116)),ISERROR(AR116),$B116=""),"",IF($I116=1,IFBLANK(_xldudf_CX_PUSH(AR116*fxVal_normal,CX_ENTITY,$B116,AR$11,AR$14,AR$75,),""),IF($I116=2,IFBLANK(_xldudf_CX_PUSH(AR116,CX_ENTITY,$B116,AR$11,AR$14,AR$75,),""),IF($I116=3,"",IFBLANK(_xldudf_CX_PUSH(AR116,CX_ENTITY,$B116,AR$11,AR$14,AR$75,),"")))))),"")</f>
        <v/>
      </c>
      <c r="DS116" s="2445" t="str" cm="1">
        <f t="array" ca="1" aca="1" ref="DS116">IFERROR(IF(AS116*fxVal_normal=_PL!AS116,"",IF(OR(AS116="",NOT(ISNUMBER(AS116)),ISERROR(AS116),$B116=""),"",IF($I116=1,IFBLANK(_xldudf_CX_PUSH(AS116*fxVal_normal,CX_ENTITY,$B116,AS$11,AS$14,AS$75,),""),IF($I116=2,IFBLANK(_xldudf_CX_PUSH(AS116,CX_ENTITY,$B116,AS$11,AS$14,AS$75,),""),IF($I116=3,"",IFBLANK(_xldudf_CX_PUSH(AS116,CX_ENTITY,$B116,AS$11,AS$14,AS$75,),"")))))),"")</f>
        <v/>
      </c>
      <c r="DT116" s="2445" t="str" cm="1">
        <f t="array" ca="1" aca="1" ref="DT116">IFERROR(IF(AT116*fxVal_normal=_PL!AT116,"",IF(OR(AT116="",NOT(ISNUMBER(AT116)),ISERROR(AT116),$B116=""),"",IF($I116=1,IFBLANK(_xldudf_CX_PUSH(AT116*fxVal_normal,CX_ENTITY,$B116,AT$11,AT$14,AT$75,),""),IF($I116=2,IFBLANK(_xldudf_CX_PUSH(AT116,CX_ENTITY,$B116,AT$11,AT$14,AT$75,),""),IF($I116=3,"",IFBLANK(_xldudf_CX_PUSH(AT116,CX_ENTITY,$B116,AT$11,AT$14,AT$75,),"")))))),"")</f>
        <v/>
      </c>
      <c r="DU116" s="2445" t="str" cm="1">
        <f t="array" ca="1" aca="1" ref="DU116">IFERROR(IF(AU116*fxVal_normal=_PL!AU116,"",IF(OR(AU116="",NOT(ISNUMBER(AU116)),ISERROR(AU116),$B116=""),"",IF($I116=1,IFBLANK(_xldudf_CX_PUSH(AU116*fxVal_normal,CX_ENTITY,$B116,AU$11,AU$14,AU$75,),""),IF($I116=2,IFBLANK(_xldudf_CX_PUSH(AU116,CX_ENTITY,$B116,AU$11,AU$14,AU$75,),""),IF($I116=3,"",IFBLANK(_xldudf_CX_PUSH(AU116,CX_ENTITY,$B116,AU$11,AU$14,AU$75,),"")))))),"")</f>
        <v/>
      </c>
      <c r="DV116" s="2445" t="str" cm="1">
        <f t="array" ca="1" aca="1" ref="DV116">IFERROR(IF(AV116*fxVal_normal=_PL!AV116,"",IF(OR(AV116="",NOT(ISNUMBER(AV116)),ISERROR(AV116),$B116=""),"",IF($I116=1,IFBLANK(_xldudf_CX_PUSH(AV116*fxVal_normal,CX_ENTITY,$B116,AV$11,AV$14,AV$75,),""),IF($I116=2,IFBLANK(_xldudf_CX_PUSH(AV116,CX_ENTITY,$B116,AV$11,AV$14,AV$75,),""),IF($I116=3,"",IFBLANK(_xldudf_CX_PUSH(AV116,CX_ENTITY,$B116,AV$11,AV$14,AV$75,),"")))))),"")</f>
        <v/>
      </c>
      <c r="DW116" s="2445" t="str" cm="1">
        <f t="array" ca="1" aca="1" ref="DW116">IFERROR(IF(AW116*fxVal_normal=_PL!AW116,"",IF(OR(AW116="",NOT(ISNUMBER(AW116)),ISERROR(AW116),$B116=""),"",IF($I116=1,IFBLANK(_xldudf_CX_PUSH(AW116*fxVal_normal,CX_ENTITY,$B116,AW$11,AW$14,AW$75,),""),IF($I116=2,IFBLANK(_xldudf_CX_PUSH(AW116,CX_ENTITY,$B116,AW$11,AW$14,AW$75,),""),IF($I116=3,"",IFBLANK(_xldudf_CX_PUSH(AW116,CX_ENTITY,$B116,AW$11,AW$14,AW$75,),"")))))),"")</f>
        <v/>
      </c>
      <c r="DX116" s="2445" t="str" cm="1">
        <f t="array" ca="1" aca="1" ref="DX116">IFERROR(IF(AX116*fxVal_normal=_PL!AX116,"",IF(OR(AX116="",NOT(ISNUMBER(AX116)),ISERROR(AX116),$B116=""),"",IF($I116=1,IFBLANK(_xldudf_CX_PUSH(AX116*fxVal_normal,CX_ENTITY,$B116,AX$11,AX$14,AX$75,),""),IF($I116=2,IFBLANK(_xldudf_CX_PUSH(AX116,CX_ENTITY,$B116,AX$11,AX$14,AX$75,),""),IF($I116=3,"",IFBLANK(_xldudf_CX_PUSH(AX116,CX_ENTITY,$B116,AX$11,AX$14,AX$75,),"")))))),"")</f>
        <v/>
      </c>
      <c r="DY116" s="2445" t="str" cm="1">
        <f t="array" ca="1" aca="1" ref="DY116">IFERROR(IF(AY116*fxVal_normal=_PL!AY116,"",IF(OR(AY116="",NOT(ISNUMBER(AY116)),ISERROR(AY116),$B116=""),"",IF($I116=1,IFBLANK(_xldudf_CX_PUSH(AY116*fxVal_normal,CX_ENTITY,$B116,AY$11,AY$14,AY$75,),""),IF($I116=2,IFBLANK(_xldudf_CX_PUSH(AY116,CX_ENTITY,$B116,AY$11,AY$14,AY$75,),""),IF($I116=3,"",IFBLANK(_xldudf_CX_PUSH(AY116,CX_ENTITY,$B116,AY$11,AY$14,AY$75,),"")))))),"")</f>
        <v/>
      </c>
      <c r="DZ116" s="2445" t="str" cm="1">
        <f t="array" ca="1" aca="1" ref="DZ116">IFERROR(IF(AZ116*fxVal_normal=_PL!AZ116,"",IF(OR(AZ116="",NOT(ISNUMBER(AZ116)),ISERROR(AZ116),$B116=""),"",IF($I116=1,IFBLANK(_xldudf_CX_PUSH(AZ116*fxVal_normal,CX_ENTITY,$B116,AZ$11,AZ$14,AZ$75,),""),IF($I116=2,IFBLANK(_xldudf_CX_PUSH(AZ116,CX_ENTITY,$B116,AZ$11,AZ$14,AZ$75,),""),IF($I116=3,"",IFBLANK(_xldudf_CX_PUSH(AZ116,CX_ENTITY,$B116,AZ$11,AZ$14,AZ$75,),"")))))),"")</f>
        <v/>
      </c>
      <c r="EA116" s="2445" t="str" cm="1">
        <f t="array" ca="1" aca="1" ref="EA116">IFERROR(IF(BA116*fxVal_normal=_PL!BA116,"",IF(OR(BA116="",NOT(ISNUMBER(BA116)),ISERROR(BA116),$B116=""),"",IF($I116=1,IFBLANK(_xldudf_CX_PUSH(BA116*fxVal_normal,CX_ENTITY,$B116,BA$11,BA$14,BA$75,),""),IF($I116=2,IFBLANK(_xldudf_CX_PUSH(BA116,CX_ENTITY,$B116,BA$11,BA$14,BA$75,),""),IF($I116=3,"",IFBLANK(_xldudf_CX_PUSH(BA116,CX_ENTITY,$B116,BA$11,BA$14,BA$75,),"")))))),"")</f>
        <v/>
      </c>
      <c r="EB116" s="2445" t="str" cm="1">
        <f t="array" ca="1" aca="1" ref="EB116">IFERROR(IF(BB116*fxVal_normal=_PL!BB116,"",IF(OR(BB116="",NOT(ISNUMBER(BB116)),ISERROR(BB116),$B116=""),"",IF($I116=1,IFBLANK(_xldudf_CX_PUSH(BB116*fxVal_normal,CX_ENTITY,$B116,BB$11,BB$14,BB$75,),""),IF($I116=2,IFBLANK(_xldudf_CX_PUSH(BB116,CX_ENTITY,$B116,BB$11,BB$14,BB$75,),""),IF($I116=3,"",IFBLANK(_xldudf_CX_PUSH(BB116,CX_ENTITY,$B116,BB$11,BB$14,BB$75,),"")))))),"")</f>
        <v/>
      </c>
      <c r="EC116" s="2445" t="str" cm="1">
        <f t="array" ca="1" aca="1" ref="EC116">IFERROR(IF(BC116*fxVal_normal=_PL!BC116,"",IF(OR(BC116="",NOT(ISNUMBER(BC116)),ISERROR(BC116),$B116=""),"",IF($I116=1,IFBLANK(_xldudf_CX_PUSH(BC116*fxVal_normal,CX_ENTITY,$B116,BC$11,BC$14,BC$75,),""),IF($I116=2,IFBLANK(_xldudf_CX_PUSH(BC116,CX_ENTITY,$B116,BC$11,BC$14,BC$75,),""),IF($I116=3,"",IFBLANK(_xldudf_CX_PUSH(BC116,CX_ENTITY,$B116,BC$11,BC$14,BC$75,),"")))))),"")</f>
        <v/>
      </c>
      <c r="ED116" s="2445" t="str" cm="1">
        <f t="array" ca="1" aca="1" ref="ED116">IFERROR(IF(BD116*fxVal_normal=_PL!BD116,"",IF(OR(BD116="",NOT(ISNUMBER(BD116)),ISERROR(BD116),$B116=""),"",IF($I116=1,IFBLANK(_xldudf_CX_PUSH(BD116*fxVal_normal,CX_ENTITY,$B116,BD$11,BD$14,BD$75,),""),IF($I116=2,IFBLANK(_xldudf_CX_PUSH(BD116,CX_ENTITY,$B116,BD$11,BD$14,BD$75,),""),IF($I116=3,"",IFBLANK(_xldudf_CX_PUSH(BD116,CX_ENTITY,$B116,BD$11,BD$14,BD$75,),"")))))),"")</f>
        <v/>
      </c>
      <c r="EE116" s="2445" t="str" cm="1">
        <f t="array" ca="1" aca="1" ref="EE116">IFERROR(IF(BE116*fxVal_normal=_PL!BE116,"",IF(OR(BE116="",NOT(ISNUMBER(BE116)),ISERROR(BE116),$B116=""),"",IF($I116=1,IFBLANK(_xldudf_CX_PUSH(BE116*fxVal_normal,CX_ENTITY,$B116,BE$11,BE$14,BE$75,),""),IF($I116=2,IFBLANK(_xldudf_CX_PUSH(BE116,CX_ENTITY,$B116,BE$11,BE$14,BE$75,),""),IF($I116=3,"",IFBLANK(_xldudf_CX_PUSH(BE116,CX_ENTITY,$B116,BE$11,BE$14,BE$75,),"")))))),"")</f>
        <v/>
      </c>
      <c r="EF116" s="2445" t="str" cm="1">
        <f t="array" ca="1" aca="1" ref="EF116">IFERROR(IF(BF116*fxVal_normal=_PL!BF116,"",IF(OR(BF116="",NOT(ISNUMBER(BF116)),ISERROR(BF116),$B116=""),"",IF($I116=1,IFBLANK(_xldudf_CX_PUSH(BF116*fxVal_normal,CX_ENTITY,$B116,BF$11,BF$14,BF$75,),""),IF($I116=2,IFBLANK(_xldudf_CX_PUSH(BF116,CX_ENTITY,$B116,BF$11,BF$14,BF$75,),""),IF($I116=3,"",IFBLANK(_xldudf_CX_PUSH(BF116,CX_ENTITY,$B116,BF$11,BF$14,BF$75,),"")))))),"")</f>
        <v/>
      </c>
      <c r="EG116" s="2445" t="str" cm="1">
        <f t="array" ca="1" aca="1" ref="EG116">IFERROR(IF(BG116*fxVal_normal=_PL!BG116,"",IF(OR(BG116="",NOT(ISNUMBER(BG116)),ISERROR(BG116),$B116=""),"",IF($I116=1,IFBLANK(_xldudf_CX_PUSH(BG116*fxVal_normal,CX_ENTITY,$B116,BG$11,BG$14,BG$75,),""),IF($I116=2,IFBLANK(_xldudf_CX_PUSH(BG116,CX_ENTITY,$B116,BG$11,BG$14,BG$75,),""),IF($I116=3,"",IFBLANK(_xldudf_CX_PUSH(BG116,CX_ENTITY,$B116,BG$11,BG$14,BG$75,),"")))))),"")</f>
        <v/>
      </c>
      <c r="EH116" s="2445" t="str" cm="1">
        <f t="array" ca="1" aca="1" ref="EH116">IFERROR(IF(BH116*fxVal_normal=_PL!BH116,"",IF(OR(BH116="",NOT(ISNUMBER(BH116)),ISERROR(BH116),$B116=""),"",IF($I116=1,IFBLANK(_xldudf_CX_PUSH(BH116*fxVal_normal,CX_ENTITY,$B116,BH$11,BH$14,BH$75,),""),IF($I116=2,IFBLANK(_xldudf_CX_PUSH(BH116,CX_ENTITY,$B116,BH$11,BH$14,BH$75,),""),IF($I116=3,"",IFBLANK(_xldudf_CX_PUSH(BH116,CX_ENTITY,$B116,BH$11,BH$14,BH$75,),"")))))),"")</f>
        <v/>
      </c>
      <c r="EI116" s="2445" t="str" cm="1">
        <f t="array" ca="1" aca="1" ref="EI116">IFERROR(IF(BI116*fxVal_normal=_PL!BI116,"",IF(OR(BI116="",NOT(ISNUMBER(BI116)),ISERROR(BI116),$B116=""),"",IF($I116=1,IFBLANK(_xldudf_CX_PUSH(BI116*fxVal_normal,CX_ENTITY,$B116,BI$11,BI$14,BI$75,),""),IF($I116=2,IFBLANK(_xldudf_CX_PUSH(BI116,CX_ENTITY,$B116,BI$11,BI$14,BI$75,),""),IF($I116=3,"",IFBLANK(_xldudf_CX_PUSH(BI116,CX_ENTITY,$B116,BI$11,BI$14,BI$75,),"")))))),"")</f>
        <v/>
      </c>
      <c r="EJ116" s="2445" t="str" cm="1">
        <f t="array" ca="1" aca="1" ref="EJ116">IFERROR(IF(BJ116*fxVal_normal=_PL!BJ116,"",IF(OR(BJ116="",NOT(ISNUMBER(BJ116)),ISERROR(BJ116),$B116=""),"",IF($I116=1,IFBLANK(_xldudf_CX_PUSH(BJ116*fxVal_normal,CX_ENTITY,$B116,BJ$11,BJ$14,BJ$75,),""),IF($I116=2,IFBLANK(_xldudf_CX_PUSH(BJ116,CX_ENTITY,$B116,BJ$11,BJ$14,BJ$75,),""),IF($I116=3,"",IFBLANK(_xldudf_CX_PUSH(BJ116,CX_ENTITY,$B116,BJ$11,BJ$14,BJ$75,),"")))))),"")</f>
        <v/>
      </c>
      <c r="EK116" s="2445" t="str" cm="1">
        <f t="array" ca="1" aca="1" ref="EK116">IFERROR(IF(BK116*fxVal_normal=_PL!BK116,"",IF(OR(BK116="",NOT(ISNUMBER(BK116)),ISERROR(BK116),$B116=""),"",IF($I116=1,IFBLANK(_xldudf_CX_PUSH(BK116*fxVal_normal,CX_ENTITY,$B116,BK$11,BK$14,BK$75,),""),IF($I116=2,IFBLANK(_xldudf_CX_PUSH(BK116,CX_ENTITY,$B116,BK$11,BK$14,BK$75,),""),IF($I116=3,"",IFBLANK(_xldudf_CX_PUSH(BK116,CX_ENTITY,$B116,BK$11,BK$14,BK$75,),"")))))),"")</f>
        <v/>
      </c>
      <c r="EL116" s="2445" t="str" cm="1">
        <f t="array" ca="1" aca="1" ref="EL116">IFERROR(IF(BL116*fxVal_normal=_PL!BL116,"",IF(OR(BL116="",NOT(ISNUMBER(BL116)),ISERROR(BL116),$B116=""),"",IF($I116=1,IFBLANK(_xldudf_CX_PUSH(BL116*fxVal_normal,CX_ENTITY,$B116,BL$11,BL$14,BL$75,),""),IF($I116=2,IFBLANK(_xldudf_CX_PUSH(BL116,CX_ENTITY,$B116,BL$11,BL$14,BL$75,),""),IF($I116=3,"",IFBLANK(_xldudf_CX_PUSH(BL116,CX_ENTITY,$B116,BL$11,BL$14,BL$75,),"")))))),"")</f>
        <v/>
      </c>
      <c r="EM116" s="2445" t="str" cm="1">
        <f t="array" ca="1" aca="1" ref="EM116">IFERROR(IF(BM116*fxVal_normal=_PL!BM116,"",IF(OR(BM116="",NOT(ISNUMBER(BM116)),ISERROR(BM116),$B116=""),"",IF($I116=1,IFBLANK(_xldudf_CX_PUSH(BM116*fxVal_normal,CX_ENTITY,$B116,BM$11,BM$14,BM$75,),""),IF($I116=2,IFBLANK(_xldudf_CX_PUSH(BM116,CX_ENTITY,$B116,BM$11,BM$14,BM$75,),""),IF($I116=3,"",IFBLANK(_xldudf_CX_PUSH(BM116,CX_ENTITY,$B116,BM$11,BM$14,BM$75,),"")))))),"")</f>
        <v/>
      </c>
      <c r="EN116" s="2445" t="str" cm="1">
        <f t="array" ca="1" aca="1" ref="EN116">IFERROR(IF(BN116*fxVal_normal=_PL!BN116,"",IF(OR(BN116="",NOT(ISNUMBER(BN116)),ISERROR(BN116),$B116=""),"",IF($I116=1,IFBLANK(_xldudf_CX_PUSH(BN116*fxVal_normal,CX_ENTITY,$B116,BN$11,BN$14,BN$75,),""),IF($I116=2,IFBLANK(_xldudf_CX_PUSH(BN116,CX_ENTITY,$B116,BN$11,BN$14,BN$75,),""),IF($I116=3,"",IFBLANK(_xldudf_CX_PUSH(BN116,CX_ENTITY,$B116,BN$11,BN$14,BN$75,),"")))))),"")</f>
        <v/>
      </c>
    </row>
    <row r="117" spans="1:144" ht="21" customHeight="1">
      <c r="A117" s="1626"/>
      <c r="B117" s="2501" t="str">
        <f>_xlfn.LET(_xlpm.IsNotAttrDynamic,D117="",_xlpm.Attr,_PL!F117,_xlpm.NotInUse,Y117=D117,_xlpm.RESULT,IF(_xlpm.IsNotAttrDynamic,_xlpm.Attr,IF(_xlpm.NotInUse,"",Y117)),IF(_xlpm.RESULT="","",_xlpm.RESULT))</f>
        <v>Custom Metric Amount 5 [Calculated]</v>
      </c>
      <c r="C117" s="2501" t="str" cm="1">
        <f t="array" ref="C117">IFBLANK(_PL!C117,"")</f>
        <v>Custom Metric - Label 5 [Calculated]</v>
      </c>
      <c r="D117" s="1548"/>
      <c r="E117" s="2440" cm="1">
        <f t="array" ca="1" aca="1" ref="E117:G11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117:$CQ117,Z117)</f>
        <v>0</v>
      </c>
      <c r="F117" s="578">
        <f ca="1"/>
        <v>0</v>
      </c>
      <c r="G117" s="578" t="str">
        <f ca="1"/>
        <v/>
      </c>
      <c r="H117" s="3280">
        <v>1</v>
      </c>
      <c r="I117" s="3280">
        <v>1</v>
      </c>
      <c r="J117" s="401" t="str" cm="1">
        <f t="array" ref="J117">IFBLANK(Z117,"")</f>
        <v/>
      </c>
      <c r="K117" s="578" t="str">
        <f t="shared" ca="1" si="44"/>
        <v>No</v>
      </c>
      <c r="L117" s="37"/>
      <c r="N117" s="158"/>
      <c r="O117" s="101"/>
      <c r="P117" s="52"/>
      <c r="Q117" s="101"/>
      <c r="R117" s="126"/>
      <c r="S117" s="101"/>
      <c r="T117" s="101"/>
      <c r="U117" s="39"/>
      <c r="V117" s="37"/>
      <c r="W117" s="91" t="str">
        <f t="shared" si="45"/>
        <v>Budget</v>
      </c>
      <c r="X117" s="2523" t="e">
        <f ca="1">_PL!X117</f>
        <v>#NAME?</v>
      </c>
      <c r="Y117" s="2371"/>
      <c r="Z117" s="198" t="str" cm="1">
        <f t="array" ref="Z117">IFBLANK(Z61,"")</f>
        <v/>
      </c>
      <c r="AA117" s="200" t="str" cm="1">
        <f t="array" ca="1" aca="1" ref="AA117">_xlfn.LET(_xlpm._termname,$Y117,_xlpm._icon,"Define",_xlpm._location,_xlfn.XLOOKUP(_xlpm._termname,$Y$249:$Y$338,$Y$249:$Y$338),_xlpm._hyperlink,HYPERLINK("#"&amp;CELL("address",_xlpm._location),_xlpm._icon),IF(Y117="","",_xlpm._hyperlink))</f>
        <v/>
      </c>
      <c r="AB117" s="2525" t="str">
        <f ca="1"/>
        <v/>
      </c>
      <c r="AC117" s="124" t="str" cm="1">
        <f t="array" ca="1" aca="1" ref="AC117">_xlfn.LET(_xlpm._termname,$AB117,_xlpm._iconname,"find",_xlpm._icon,fx_getIcon(_xlpm._iconname),_xlpm._location,_xlfn.XLOOKUP(LOWER(_xlpm._termname),LOWER(tbl_acctDef[Term]),tbl_acctDef[Term]),_xlpm._hyperlink,HYPERLINK("#"&amp;CELL("address",_xlpm._location),_xlpm._icon),IFERROR(_xlpm._hyperlink,""))</f>
        <v/>
      </c>
      <c r="AD117" s="1661" t="str" cm="1">
        <f t="array" ref="AD117">IF($Y117="","",_xlfn.XLOOKUP($W117&amp;$Y117,$W$250:$W$338&amp;$Y$250:$Y$338,$AD$250:$BN$338))</f>
        <v/>
      </c>
      <c r="AE117" s="3466"/>
      <c r="AF117" s="3466"/>
      <c r="AG117" s="3466"/>
      <c r="AH117" s="3466"/>
      <c r="AI117" s="3466"/>
      <c r="AJ117" s="3466"/>
      <c r="AK117" s="3466"/>
      <c r="AL117" s="3466"/>
      <c r="AM117" s="3466"/>
      <c r="AN117" s="3466"/>
      <c r="AO117" s="3466"/>
      <c r="AP117" s="3466"/>
      <c r="AQ117" s="3466"/>
      <c r="AR117" s="3466"/>
      <c r="AS117" s="3466"/>
      <c r="AT117" s="3466"/>
      <c r="AU117" s="3466"/>
      <c r="AV117" s="3466"/>
      <c r="AW117" s="3466"/>
      <c r="AX117" s="3466"/>
      <c r="AY117" s="3466"/>
      <c r="AZ117" s="3466"/>
      <c r="BA117" s="3466"/>
      <c r="BB117" s="3466"/>
      <c r="BC117" s="3466"/>
      <c r="BD117" s="3466"/>
      <c r="BE117" s="3466"/>
      <c r="BF117" s="3466"/>
      <c r="BG117" s="3466"/>
      <c r="BH117" s="3466"/>
      <c r="BI117" s="3466"/>
      <c r="BJ117" s="3466"/>
      <c r="BK117" s="3466"/>
      <c r="BL117" s="3466"/>
      <c r="BM117" s="3466"/>
      <c r="BN117" s="3466"/>
      <c r="BO117" s="2536"/>
      <c r="BP117" s="2536"/>
      <c r="BQ117" s="2536"/>
      <c r="BR117" s="2536"/>
      <c r="BS117" s="2536"/>
      <c r="BT117" s="2536"/>
      <c r="BU117" s="2536"/>
      <c r="BV117" s="2536"/>
      <c r="BW117" s="2536"/>
      <c r="BX117" s="2536"/>
      <c r="BY117" s="2536"/>
      <c r="BZ117" s="2536"/>
      <c r="CA117" s="34"/>
      <c r="CC117" s="33"/>
      <c r="CD117" s="1772" t="str" cm="1">
        <f t="array" ref="CD117">_xlfn.LET(_xlpm.CheckBlank,SUM(PL!$AD117:$BN117)=0,IF(_xlpm.CheckBlank,"",SUM(_xlfn._xlws.FILTER(PL!$AD117:$BN117,(YEAR(PL!$AD$12:$BN$12)=PL!CD$12)*(array_timeline&lt;=PL!CD$11)))))</f>
        <v/>
      </c>
      <c r="CE117" s="1772" t="str" cm="1">
        <f t="array" ref="CE117">_xlfn.LET(_xlpm.CheckBlank,SUM(PL!$AD117:$BN117)=0,IF(_xlpm.CheckBlank,"",SUM(_xlfn._xlws.FILTER(PL!$AD117:$BN117,(YEAR(PL!$AD$12:$BN$12)=PL!CE$12)*(array_timeline&lt;=PL!CE$11)))))</f>
        <v/>
      </c>
      <c r="CF117" s="3"/>
      <c r="CG117" s="1461" t="str" cm="1">
        <f t="array" ref="CG117">_xlfn.LET(_xlpm.CheckBlank,SUM(PL!$AD117:$BN117)=0,IF(_xlpm.CheckBlank,"",SUM(_xlfn._xlws.FILTER(PL!$AD117:$BN117,(YEAR(PL!$AD$12:$BN$12)=PL!CG$12)*(array_timeline&lt;=PL!CG$11)))))</f>
        <v/>
      </c>
      <c r="CH117" s="1461" t="str" cm="1">
        <f t="array" ref="CH117">_xlfn.LET(_xlpm.CheckBlank,SUM(PL!$AD117:$BN117)=0,IF(_xlpm.CheckBlank,"",SUM(_xlfn._xlws.FILTER(PL!$AD117:$BN117,(YEAR(PL!$AD$12:$BN$12)=PL!CH$12)*(array_timeline&lt;=PL!CH$11)))))</f>
        <v/>
      </c>
      <c r="CI117" s="3"/>
      <c r="CJ117" s="1461" t="str" cm="1">
        <f t="array" ref="CJ117">_xlfn.LET(_xlpm.CheckBlank,SUM(PL!$AD117:$BN117)=0,IF(_xlpm.CheckBlank,"",SUM(_xlfn.TAKE(_xlfn.DROP(PL!$AD117:$BN117,,-DATEDIFF(PL!CJ$11,val_asOfDate,"M")),1,-12))))</f>
        <v/>
      </c>
      <c r="CK117" s="1461" t="str" cm="1">
        <f t="array" ref="CK117">_xlfn.LET(_xlpm.CheckBlank,SUM(PL!$AD117:$BN117)=0,IF(_xlpm.CheckBlank,"",SUM(_xlfn.TAKE(_xlfn.DROP(PL!$AD117:$BN117,,-DATEDIFF(PL!CK$11,val_asOfDate,"M")),1,-12))))</f>
        <v/>
      </c>
      <c r="CL117" s="3"/>
      <c r="CM117" s="2357" t="str" cm="1">
        <f t="array" ref="CM117">IF($Y117="","",_xlfn.XLOOKUP($W117&amp;$Y117,$W$250:$W$338&amp;$Y$250:$Y$338,$CM$250:$CN$338))</f>
        <v/>
      </c>
      <c r="CN117" s="3462"/>
      <c r="CO117" s="3"/>
      <c r="CP117" s="2357" t="str" cm="1">
        <f t="array" ref="CP117">IF($Y117="","",_xlfn.XLOOKUP($W117&amp;$Y117,$W$250:$W$338&amp;$Y$250:$Y$338,$CP$250:$CQ$338))</f>
        <v/>
      </c>
      <c r="CQ117" s="3462"/>
      <c r="CR117" s="34"/>
      <c r="CS117" s="2056"/>
      <c r="CT117" s="2616"/>
      <c r="CU117" s="2616"/>
      <c r="CV117" s="2616"/>
      <c r="CW117" s="2616"/>
      <c r="CX117" s="2443"/>
      <c r="CY117" s="2444" t="str" cm="1">
        <f t="array" ref="CY117">IFERROR(IF(CM117*fxVal_normal=_PL!CM117,"",IF(OR($CM117="",$CM117=0,NOT(ISNUMBER($CM117)),ISERROR($CM117),$B117=""),"",IF($I117=1,IFBLANK(_xldudf_CX_PUSH($CM117*fxVal_normal,CX_ENTITY,$B117,$CM$11,$CM$14,$CM$19,),""),IF($I117=2,IFBLANK(_xldudf_CX_PUSH($CM117,CX_ENTITY,$B117,$CM$11,$CM$14,$CM$19,),""),IF($I117=3,"",IFBLANK(_xldudf_CX_PUSH($CM117,CX_ENTITY,$B117,$CM$11,$CM$14,$CM$19,),"")))))),"")</f>
        <v/>
      </c>
      <c r="CZ117" s="2444" t="str" cm="1">
        <f t="array" ref="CZ117">IFERROR(IF(CN117*fxVal_normal=_PL!CN117,"",IF(OR($CN117="",$CN117=0,NOT(ISNUMBER($CN117)),ISERROR($CN117),$B117=""),"",IF($I117=1,IFBLANK(_xldudf_CX_PUSH($CN117*fxVal_normal,CX_ENTITY,$B117,$CN$11,$CN$14,$CN$19,),""),IF($I117=2,IFBLANK(_xldudf_CX_PUSH($CN117,CX_ENTITY,$B117,$CN$11,$CN$14,$CN$19,),""),IF($I117=3,"",IFBLANK(_xldudf_CX_PUSH($CN117,CX_ENTITY,$B117,$CN$11,$CN$14,$CN$19,),"")))))),"")</f>
        <v/>
      </c>
      <c r="DA117" s="2444" t="str" cm="1">
        <f t="array" ref="DA117">IFERROR(IF(CP117*fxVal_normal=_PL!CP117,"",IF(OR($CP117="",$CP117=0,NOT(ISNUMBER($CP117)),ISERROR($CP117),$B117=""),"",IF($I117=1,IFBLANK(_xldudf_CX_PUSH($CP117*fxVal_normal,CX_ENTITY,$B117,$CP$11,$CP$14,$CP$19,),""),IF($I117=2,IFBLANK(_xldudf_CX_PUSH($CP117,CX_ENTITY,$B117,$CP$11,$CP$14,$CP$19,),""),IF($I117=3,"",IFBLANK(_xldudf_CX_PUSH($CP117,CX_ENTITY,$B117,$CP$11,$CP$14,$CP$19,),"")))))),"")</f>
        <v/>
      </c>
      <c r="DB117" s="2444" t="str" cm="1">
        <f t="array" ref="DB117">IFERROR(IF(CQ117*fxVal_normal=_PL!CQ117,"",IF(OR($CQ117="",$CQ117=0,NOT(ISNUMBER($CQ117)),ISERROR($CQ117),$B117=""),"",IF($I117=1,IFBLANK(_xldudf_CX_PUSH($CQ117*fxVal_normal,CX_ENTITY,$B117,$CQ$11,$CQ$14,$CQ$19,),""),IF($I117=2,IFBLANK(_xldudf_CX_PUSH($CQ117,CX_ENTITY,$B117,$CQ$11,$CQ$14,$CQ$19,),""),IF($I117=3,"",IFBLANK(_xldudf_CX_PUSH($CQ117,CX_ENTITY,$B117,$CQ$11,$CQ$14,$CQ$19,),"")))))),"")</f>
        <v/>
      </c>
      <c r="DC117" s="2443"/>
      <c r="DD117" s="2445" t="str" cm="1">
        <f t="array" ca="1" aca="1" ref="DD117">IFERROR(IF(AD117*fxVal_normal=_PL!AD117,"",IF(OR(AD117="",NOT(ISNUMBER(AD117)),ISERROR(AD117),$B117=""),"",IF($I117=1,IFBLANK(_xldudf_CX_PUSH(AD117*fxVal_normal,CX_ENTITY,$B117,AD$11,AD$14,AD$75,),""),IF($I117=2,IFBLANK(_xldudf_CX_PUSH(AD117,CX_ENTITY,$B117,AD$11,AD$14,AD$75,),""),IF($I117=3,"",IFBLANK(_xldudf_CX_PUSH(AD117,CX_ENTITY,$B117,AD$11,AD$14,AD$75,),"")))))),"")</f>
        <v/>
      </c>
      <c r="DE117" s="2445" t="str" cm="1">
        <f t="array" ca="1" aca="1" ref="DE117">IFERROR(IF(AE117*fxVal_normal=_PL!AE117,"",IF(OR(AE117="",NOT(ISNUMBER(AE117)),ISERROR(AE117),$B117=""),"",IF($I117=1,IFBLANK(_xldudf_CX_PUSH(AE117*fxVal_normal,CX_ENTITY,$B117,AE$11,AE$14,AE$75,),""),IF($I117=2,IFBLANK(_xldudf_CX_PUSH(AE117,CX_ENTITY,$B117,AE$11,AE$14,AE$75,),""),IF($I117=3,"",IFBLANK(_xldudf_CX_PUSH(AE117,CX_ENTITY,$B117,AE$11,AE$14,AE$75,),"")))))),"")</f>
        <v/>
      </c>
      <c r="DF117" s="2445" t="str" cm="1">
        <f t="array" ca="1" aca="1" ref="DF117">IFERROR(IF(AF117*fxVal_normal=_PL!AF117,"",IF(OR(AF117="",NOT(ISNUMBER(AF117)),ISERROR(AF117),$B117=""),"",IF($I117=1,IFBLANK(_xldudf_CX_PUSH(AF117*fxVal_normal,CX_ENTITY,$B117,AF$11,AF$14,AF$75,),""),IF($I117=2,IFBLANK(_xldudf_CX_PUSH(AF117,CX_ENTITY,$B117,AF$11,AF$14,AF$75,),""),IF($I117=3,"",IFBLANK(_xldudf_CX_PUSH(AF117,CX_ENTITY,$B117,AF$11,AF$14,AF$75,),"")))))),"")</f>
        <v/>
      </c>
      <c r="DG117" s="2445" t="str" cm="1">
        <f t="array" ca="1" aca="1" ref="DG117">IFERROR(IF(AG117*fxVal_normal=_PL!AG117,"",IF(OR(AG117="",NOT(ISNUMBER(AG117)),ISERROR(AG117),$B117=""),"",IF($I117=1,IFBLANK(_xldudf_CX_PUSH(AG117*fxVal_normal,CX_ENTITY,$B117,AG$11,AG$14,AG$75,),""),IF($I117=2,IFBLANK(_xldudf_CX_PUSH(AG117,CX_ENTITY,$B117,AG$11,AG$14,AG$75,),""),IF($I117=3,"",IFBLANK(_xldudf_CX_PUSH(AG117,CX_ENTITY,$B117,AG$11,AG$14,AG$75,),"")))))),"")</f>
        <v/>
      </c>
      <c r="DH117" s="2445" t="str" cm="1">
        <f t="array" ca="1" aca="1" ref="DH117">IFERROR(IF(AH117*fxVal_normal=_PL!AH117,"",IF(OR(AH117="",NOT(ISNUMBER(AH117)),ISERROR(AH117),$B117=""),"",IF($I117=1,IFBLANK(_xldudf_CX_PUSH(AH117*fxVal_normal,CX_ENTITY,$B117,AH$11,AH$14,AH$75,),""),IF($I117=2,IFBLANK(_xldudf_CX_PUSH(AH117,CX_ENTITY,$B117,AH$11,AH$14,AH$75,),""),IF($I117=3,"",IFBLANK(_xldudf_CX_PUSH(AH117,CX_ENTITY,$B117,AH$11,AH$14,AH$75,),"")))))),"")</f>
        <v/>
      </c>
      <c r="DI117" s="2445" t="str" cm="1">
        <f t="array" ca="1" aca="1" ref="DI117">IFERROR(IF(AI117*fxVal_normal=_PL!AI117,"",IF(OR(AI117="",NOT(ISNUMBER(AI117)),ISERROR(AI117),$B117=""),"",IF($I117=1,IFBLANK(_xldudf_CX_PUSH(AI117*fxVal_normal,CX_ENTITY,$B117,AI$11,AI$14,AI$75,),""),IF($I117=2,IFBLANK(_xldudf_CX_PUSH(AI117,CX_ENTITY,$B117,AI$11,AI$14,AI$75,),""),IF($I117=3,"",IFBLANK(_xldudf_CX_PUSH(AI117,CX_ENTITY,$B117,AI$11,AI$14,AI$75,),"")))))),"")</f>
        <v/>
      </c>
      <c r="DJ117" s="2445" t="str" cm="1">
        <f t="array" ca="1" aca="1" ref="DJ117">IFERROR(IF(AJ117*fxVal_normal=_PL!AJ117,"",IF(OR(AJ117="",NOT(ISNUMBER(AJ117)),ISERROR(AJ117),$B117=""),"",IF($I117=1,IFBLANK(_xldudf_CX_PUSH(AJ117*fxVal_normal,CX_ENTITY,$B117,AJ$11,AJ$14,AJ$75,),""),IF($I117=2,IFBLANK(_xldudf_CX_PUSH(AJ117,CX_ENTITY,$B117,AJ$11,AJ$14,AJ$75,),""),IF($I117=3,"",IFBLANK(_xldudf_CX_PUSH(AJ117,CX_ENTITY,$B117,AJ$11,AJ$14,AJ$75,),"")))))),"")</f>
        <v/>
      </c>
      <c r="DK117" s="2445" t="str" cm="1">
        <f t="array" ca="1" aca="1" ref="DK117">IFERROR(IF(AK117*fxVal_normal=_PL!AK117,"",IF(OR(AK117="",NOT(ISNUMBER(AK117)),ISERROR(AK117),$B117=""),"",IF($I117=1,IFBLANK(_xldudf_CX_PUSH(AK117*fxVal_normal,CX_ENTITY,$B117,AK$11,AK$14,AK$75,),""),IF($I117=2,IFBLANK(_xldudf_CX_PUSH(AK117,CX_ENTITY,$B117,AK$11,AK$14,AK$75,),""),IF($I117=3,"",IFBLANK(_xldudf_CX_PUSH(AK117,CX_ENTITY,$B117,AK$11,AK$14,AK$75,),"")))))),"")</f>
        <v/>
      </c>
      <c r="DL117" s="2445" t="str" cm="1">
        <f t="array" ca="1" aca="1" ref="DL117">IFERROR(IF(AL117*fxVal_normal=_PL!AL117,"",IF(OR(AL117="",NOT(ISNUMBER(AL117)),ISERROR(AL117),$B117=""),"",IF($I117=1,IFBLANK(_xldudf_CX_PUSH(AL117*fxVal_normal,CX_ENTITY,$B117,AL$11,AL$14,AL$75,),""),IF($I117=2,IFBLANK(_xldudf_CX_PUSH(AL117,CX_ENTITY,$B117,AL$11,AL$14,AL$75,),""),IF($I117=3,"",IFBLANK(_xldudf_CX_PUSH(AL117,CX_ENTITY,$B117,AL$11,AL$14,AL$75,),"")))))),"")</f>
        <v/>
      </c>
      <c r="DM117" s="2445" t="str" cm="1">
        <f t="array" ca="1" aca="1" ref="DM117">IFERROR(IF(AM117*fxVal_normal=_PL!AM117,"",IF(OR(AM117="",NOT(ISNUMBER(AM117)),ISERROR(AM117),$B117=""),"",IF($I117=1,IFBLANK(_xldudf_CX_PUSH(AM117*fxVal_normal,CX_ENTITY,$B117,AM$11,AM$14,AM$75,),""),IF($I117=2,IFBLANK(_xldudf_CX_PUSH(AM117,CX_ENTITY,$B117,AM$11,AM$14,AM$75,),""),IF($I117=3,"",IFBLANK(_xldudf_CX_PUSH(AM117,CX_ENTITY,$B117,AM$11,AM$14,AM$75,),"")))))),"")</f>
        <v/>
      </c>
      <c r="DN117" s="2445" t="str" cm="1">
        <f t="array" ca="1" aca="1" ref="DN117">IFERROR(IF(AN117*fxVal_normal=_PL!AN117,"",IF(OR(AN117="",NOT(ISNUMBER(AN117)),ISERROR(AN117),$B117=""),"",IF($I117=1,IFBLANK(_xldudf_CX_PUSH(AN117*fxVal_normal,CX_ENTITY,$B117,AN$11,AN$14,AN$75,),""),IF($I117=2,IFBLANK(_xldudf_CX_PUSH(AN117,CX_ENTITY,$B117,AN$11,AN$14,AN$75,),""),IF($I117=3,"",IFBLANK(_xldudf_CX_PUSH(AN117,CX_ENTITY,$B117,AN$11,AN$14,AN$75,),"")))))),"")</f>
        <v/>
      </c>
      <c r="DO117" s="2445" t="str" cm="1">
        <f t="array" ca="1" aca="1" ref="DO117">IFERROR(IF(AO117*fxVal_normal=_PL!AO117,"",IF(OR(AO117="",NOT(ISNUMBER(AO117)),ISERROR(AO117),$B117=""),"",IF($I117=1,IFBLANK(_xldudf_CX_PUSH(AO117*fxVal_normal,CX_ENTITY,$B117,AO$11,AO$14,AO$75,),""),IF($I117=2,IFBLANK(_xldudf_CX_PUSH(AO117,CX_ENTITY,$B117,AO$11,AO$14,AO$75,),""),IF($I117=3,"",IFBLANK(_xldudf_CX_PUSH(AO117,CX_ENTITY,$B117,AO$11,AO$14,AO$75,),"")))))),"")</f>
        <v/>
      </c>
      <c r="DP117" s="2445" t="str" cm="1">
        <f t="array" ca="1" aca="1" ref="DP117">IFERROR(IF(AP117*fxVal_normal=_PL!AP117,"",IF(OR(AP117="",NOT(ISNUMBER(AP117)),ISERROR(AP117),$B117=""),"",IF($I117=1,IFBLANK(_xldudf_CX_PUSH(AP117*fxVal_normal,CX_ENTITY,$B117,AP$11,AP$14,AP$75,),""),IF($I117=2,IFBLANK(_xldudf_CX_PUSH(AP117,CX_ENTITY,$B117,AP$11,AP$14,AP$75,),""),IF($I117=3,"",IFBLANK(_xldudf_CX_PUSH(AP117,CX_ENTITY,$B117,AP$11,AP$14,AP$75,),"")))))),"")</f>
        <v/>
      </c>
      <c r="DQ117" s="2445" t="str" cm="1">
        <f t="array" ca="1" aca="1" ref="DQ117">IFERROR(IF(AQ117*fxVal_normal=_PL!AQ117,"",IF(OR(AQ117="",NOT(ISNUMBER(AQ117)),ISERROR(AQ117),$B117=""),"",IF($I117=1,IFBLANK(_xldudf_CX_PUSH(AQ117*fxVal_normal,CX_ENTITY,$B117,AQ$11,AQ$14,AQ$75,),""),IF($I117=2,IFBLANK(_xldudf_CX_PUSH(AQ117,CX_ENTITY,$B117,AQ$11,AQ$14,AQ$75,),""),IF($I117=3,"",IFBLANK(_xldudf_CX_PUSH(AQ117,CX_ENTITY,$B117,AQ$11,AQ$14,AQ$75,),"")))))),"")</f>
        <v/>
      </c>
      <c r="DR117" s="2445" t="str" cm="1">
        <f t="array" ca="1" aca="1" ref="DR117">IFERROR(IF(AR117*fxVal_normal=_PL!AR117,"",IF(OR(AR117="",NOT(ISNUMBER(AR117)),ISERROR(AR117),$B117=""),"",IF($I117=1,IFBLANK(_xldudf_CX_PUSH(AR117*fxVal_normal,CX_ENTITY,$B117,AR$11,AR$14,AR$75,),""),IF($I117=2,IFBLANK(_xldudf_CX_PUSH(AR117,CX_ENTITY,$B117,AR$11,AR$14,AR$75,),""),IF($I117=3,"",IFBLANK(_xldudf_CX_PUSH(AR117,CX_ENTITY,$B117,AR$11,AR$14,AR$75,),"")))))),"")</f>
        <v/>
      </c>
      <c r="DS117" s="2445" t="str" cm="1">
        <f t="array" ca="1" aca="1" ref="DS117">IFERROR(IF(AS117*fxVal_normal=_PL!AS117,"",IF(OR(AS117="",NOT(ISNUMBER(AS117)),ISERROR(AS117),$B117=""),"",IF($I117=1,IFBLANK(_xldudf_CX_PUSH(AS117*fxVal_normal,CX_ENTITY,$B117,AS$11,AS$14,AS$75,),""),IF($I117=2,IFBLANK(_xldudf_CX_PUSH(AS117,CX_ENTITY,$B117,AS$11,AS$14,AS$75,),""),IF($I117=3,"",IFBLANK(_xldudf_CX_PUSH(AS117,CX_ENTITY,$B117,AS$11,AS$14,AS$75,),"")))))),"")</f>
        <v/>
      </c>
      <c r="DT117" s="2445" t="str" cm="1">
        <f t="array" ca="1" aca="1" ref="DT117">IFERROR(IF(AT117*fxVal_normal=_PL!AT117,"",IF(OR(AT117="",NOT(ISNUMBER(AT117)),ISERROR(AT117),$B117=""),"",IF($I117=1,IFBLANK(_xldudf_CX_PUSH(AT117*fxVal_normal,CX_ENTITY,$B117,AT$11,AT$14,AT$75,),""),IF($I117=2,IFBLANK(_xldudf_CX_PUSH(AT117,CX_ENTITY,$B117,AT$11,AT$14,AT$75,),""),IF($I117=3,"",IFBLANK(_xldudf_CX_PUSH(AT117,CX_ENTITY,$B117,AT$11,AT$14,AT$75,),"")))))),"")</f>
        <v/>
      </c>
      <c r="DU117" s="2445" t="str" cm="1">
        <f t="array" ca="1" aca="1" ref="DU117">IFERROR(IF(AU117*fxVal_normal=_PL!AU117,"",IF(OR(AU117="",NOT(ISNUMBER(AU117)),ISERROR(AU117),$B117=""),"",IF($I117=1,IFBLANK(_xldudf_CX_PUSH(AU117*fxVal_normal,CX_ENTITY,$B117,AU$11,AU$14,AU$75,),""),IF($I117=2,IFBLANK(_xldudf_CX_PUSH(AU117,CX_ENTITY,$B117,AU$11,AU$14,AU$75,),""),IF($I117=3,"",IFBLANK(_xldudf_CX_PUSH(AU117,CX_ENTITY,$B117,AU$11,AU$14,AU$75,),"")))))),"")</f>
        <v/>
      </c>
      <c r="DV117" s="2445" t="str" cm="1">
        <f t="array" ca="1" aca="1" ref="DV117">IFERROR(IF(AV117*fxVal_normal=_PL!AV117,"",IF(OR(AV117="",NOT(ISNUMBER(AV117)),ISERROR(AV117),$B117=""),"",IF($I117=1,IFBLANK(_xldudf_CX_PUSH(AV117*fxVal_normal,CX_ENTITY,$B117,AV$11,AV$14,AV$75,),""),IF($I117=2,IFBLANK(_xldudf_CX_PUSH(AV117,CX_ENTITY,$B117,AV$11,AV$14,AV$75,),""),IF($I117=3,"",IFBLANK(_xldudf_CX_PUSH(AV117,CX_ENTITY,$B117,AV$11,AV$14,AV$75,),"")))))),"")</f>
        <v/>
      </c>
      <c r="DW117" s="2445" t="str" cm="1">
        <f t="array" ca="1" aca="1" ref="DW117">IFERROR(IF(AW117*fxVal_normal=_PL!AW117,"",IF(OR(AW117="",NOT(ISNUMBER(AW117)),ISERROR(AW117),$B117=""),"",IF($I117=1,IFBLANK(_xldudf_CX_PUSH(AW117*fxVal_normal,CX_ENTITY,$B117,AW$11,AW$14,AW$75,),""),IF($I117=2,IFBLANK(_xldudf_CX_PUSH(AW117,CX_ENTITY,$B117,AW$11,AW$14,AW$75,),""),IF($I117=3,"",IFBLANK(_xldudf_CX_PUSH(AW117,CX_ENTITY,$B117,AW$11,AW$14,AW$75,),"")))))),"")</f>
        <v/>
      </c>
      <c r="DX117" s="2445" t="str" cm="1">
        <f t="array" ca="1" aca="1" ref="DX117">IFERROR(IF(AX117*fxVal_normal=_PL!AX117,"",IF(OR(AX117="",NOT(ISNUMBER(AX117)),ISERROR(AX117),$B117=""),"",IF($I117=1,IFBLANK(_xldudf_CX_PUSH(AX117*fxVal_normal,CX_ENTITY,$B117,AX$11,AX$14,AX$75,),""),IF($I117=2,IFBLANK(_xldudf_CX_PUSH(AX117,CX_ENTITY,$B117,AX$11,AX$14,AX$75,),""),IF($I117=3,"",IFBLANK(_xldudf_CX_PUSH(AX117,CX_ENTITY,$B117,AX$11,AX$14,AX$75,),"")))))),"")</f>
        <v/>
      </c>
      <c r="DY117" s="2445" t="str" cm="1">
        <f t="array" ca="1" aca="1" ref="DY117">IFERROR(IF(AY117*fxVal_normal=_PL!AY117,"",IF(OR(AY117="",NOT(ISNUMBER(AY117)),ISERROR(AY117),$B117=""),"",IF($I117=1,IFBLANK(_xldudf_CX_PUSH(AY117*fxVal_normal,CX_ENTITY,$B117,AY$11,AY$14,AY$75,),""),IF($I117=2,IFBLANK(_xldudf_CX_PUSH(AY117,CX_ENTITY,$B117,AY$11,AY$14,AY$75,),""),IF($I117=3,"",IFBLANK(_xldudf_CX_PUSH(AY117,CX_ENTITY,$B117,AY$11,AY$14,AY$75,),"")))))),"")</f>
        <v/>
      </c>
      <c r="DZ117" s="2445" t="str" cm="1">
        <f t="array" ca="1" aca="1" ref="DZ117">IFERROR(IF(AZ117*fxVal_normal=_PL!AZ117,"",IF(OR(AZ117="",NOT(ISNUMBER(AZ117)),ISERROR(AZ117),$B117=""),"",IF($I117=1,IFBLANK(_xldudf_CX_PUSH(AZ117*fxVal_normal,CX_ENTITY,$B117,AZ$11,AZ$14,AZ$75,),""),IF($I117=2,IFBLANK(_xldudf_CX_PUSH(AZ117,CX_ENTITY,$B117,AZ$11,AZ$14,AZ$75,),""),IF($I117=3,"",IFBLANK(_xldudf_CX_PUSH(AZ117,CX_ENTITY,$B117,AZ$11,AZ$14,AZ$75,),"")))))),"")</f>
        <v/>
      </c>
      <c r="EA117" s="2445" t="str" cm="1">
        <f t="array" ca="1" aca="1" ref="EA117">IFERROR(IF(BA117*fxVal_normal=_PL!BA117,"",IF(OR(BA117="",NOT(ISNUMBER(BA117)),ISERROR(BA117),$B117=""),"",IF($I117=1,IFBLANK(_xldudf_CX_PUSH(BA117*fxVal_normal,CX_ENTITY,$B117,BA$11,BA$14,BA$75,),""),IF($I117=2,IFBLANK(_xldudf_CX_PUSH(BA117,CX_ENTITY,$B117,BA$11,BA$14,BA$75,),""),IF($I117=3,"",IFBLANK(_xldudf_CX_PUSH(BA117,CX_ENTITY,$B117,BA$11,BA$14,BA$75,),"")))))),"")</f>
        <v/>
      </c>
      <c r="EB117" s="2445" t="str" cm="1">
        <f t="array" ca="1" aca="1" ref="EB117">IFERROR(IF(BB117*fxVal_normal=_PL!BB117,"",IF(OR(BB117="",NOT(ISNUMBER(BB117)),ISERROR(BB117),$B117=""),"",IF($I117=1,IFBLANK(_xldudf_CX_PUSH(BB117*fxVal_normal,CX_ENTITY,$B117,BB$11,BB$14,BB$75,),""),IF($I117=2,IFBLANK(_xldudf_CX_PUSH(BB117,CX_ENTITY,$B117,BB$11,BB$14,BB$75,),""),IF($I117=3,"",IFBLANK(_xldudf_CX_PUSH(BB117,CX_ENTITY,$B117,BB$11,BB$14,BB$75,),"")))))),"")</f>
        <v/>
      </c>
      <c r="EC117" s="2445" t="str" cm="1">
        <f t="array" ca="1" aca="1" ref="EC117">IFERROR(IF(BC117*fxVal_normal=_PL!BC117,"",IF(OR(BC117="",NOT(ISNUMBER(BC117)),ISERROR(BC117),$B117=""),"",IF($I117=1,IFBLANK(_xldudf_CX_PUSH(BC117*fxVal_normal,CX_ENTITY,$B117,BC$11,BC$14,BC$75,),""),IF($I117=2,IFBLANK(_xldudf_CX_PUSH(BC117,CX_ENTITY,$B117,BC$11,BC$14,BC$75,),""),IF($I117=3,"",IFBLANK(_xldudf_CX_PUSH(BC117,CX_ENTITY,$B117,BC$11,BC$14,BC$75,),"")))))),"")</f>
        <v/>
      </c>
      <c r="ED117" s="2445" t="str" cm="1">
        <f t="array" ca="1" aca="1" ref="ED117">IFERROR(IF(BD117*fxVal_normal=_PL!BD117,"",IF(OR(BD117="",NOT(ISNUMBER(BD117)),ISERROR(BD117),$B117=""),"",IF($I117=1,IFBLANK(_xldudf_CX_PUSH(BD117*fxVal_normal,CX_ENTITY,$B117,BD$11,BD$14,BD$75,),""),IF($I117=2,IFBLANK(_xldudf_CX_PUSH(BD117,CX_ENTITY,$B117,BD$11,BD$14,BD$75,),""),IF($I117=3,"",IFBLANK(_xldudf_CX_PUSH(BD117,CX_ENTITY,$B117,BD$11,BD$14,BD$75,),"")))))),"")</f>
        <v/>
      </c>
      <c r="EE117" s="2445" t="str" cm="1">
        <f t="array" ca="1" aca="1" ref="EE117">IFERROR(IF(BE117*fxVal_normal=_PL!BE117,"",IF(OR(BE117="",NOT(ISNUMBER(BE117)),ISERROR(BE117),$B117=""),"",IF($I117=1,IFBLANK(_xldudf_CX_PUSH(BE117*fxVal_normal,CX_ENTITY,$B117,BE$11,BE$14,BE$75,),""),IF($I117=2,IFBLANK(_xldudf_CX_PUSH(BE117,CX_ENTITY,$B117,BE$11,BE$14,BE$75,),""),IF($I117=3,"",IFBLANK(_xldudf_CX_PUSH(BE117,CX_ENTITY,$B117,BE$11,BE$14,BE$75,),"")))))),"")</f>
        <v/>
      </c>
      <c r="EF117" s="2445" t="str" cm="1">
        <f t="array" ca="1" aca="1" ref="EF117">IFERROR(IF(BF117*fxVal_normal=_PL!BF117,"",IF(OR(BF117="",NOT(ISNUMBER(BF117)),ISERROR(BF117),$B117=""),"",IF($I117=1,IFBLANK(_xldudf_CX_PUSH(BF117*fxVal_normal,CX_ENTITY,$B117,BF$11,BF$14,BF$75,),""),IF($I117=2,IFBLANK(_xldudf_CX_PUSH(BF117,CX_ENTITY,$B117,BF$11,BF$14,BF$75,),""),IF($I117=3,"",IFBLANK(_xldudf_CX_PUSH(BF117,CX_ENTITY,$B117,BF$11,BF$14,BF$75,),"")))))),"")</f>
        <v/>
      </c>
      <c r="EG117" s="2445" t="str" cm="1">
        <f t="array" ca="1" aca="1" ref="EG117">IFERROR(IF(BG117*fxVal_normal=_PL!BG117,"",IF(OR(BG117="",NOT(ISNUMBER(BG117)),ISERROR(BG117),$B117=""),"",IF($I117=1,IFBLANK(_xldudf_CX_PUSH(BG117*fxVal_normal,CX_ENTITY,$B117,BG$11,BG$14,BG$75,),""),IF($I117=2,IFBLANK(_xldudf_CX_PUSH(BG117,CX_ENTITY,$B117,BG$11,BG$14,BG$75,),""),IF($I117=3,"",IFBLANK(_xldudf_CX_PUSH(BG117,CX_ENTITY,$B117,BG$11,BG$14,BG$75,),"")))))),"")</f>
        <v/>
      </c>
      <c r="EH117" s="2445" t="str" cm="1">
        <f t="array" ca="1" aca="1" ref="EH117">IFERROR(IF(BH117*fxVal_normal=_PL!BH117,"",IF(OR(BH117="",NOT(ISNUMBER(BH117)),ISERROR(BH117),$B117=""),"",IF($I117=1,IFBLANK(_xldudf_CX_PUSH(BH117*fxVal_normal,CX_ENTITY,$B117,BH$11,BH$14,BH$75,),""),IF($I117=2,IFBLANK(_xldudf_CX_PUSH(BH117,CX_ENTITY,$B117,BH$11,BH$14,BH$75,),""),IF($I117=3,"",IFBLANK(_xldudf_CX_PUSH(BH117,CX_ENTITY,$B117,BH$11,BH$14,BH$75,),"")))))),"")</f>
        <v/>
      </c>
      <c r="EI117" s="2445" t="str" cm="1">
        <f t="array" ca="1" aca="1" ref="EI117">IFERROR(IF(BI117*fxVal_normal=_PL!BI117,"",IF(OR(BI117="",NOT(ISNUMBER(BI117)),ISERROR(BI117),$B117=""),"",IF($I117=1,IFBLANK(_xldudf_CX_PUSH(BI117*fxVal_normal,CX_ENTITY,$B117,BI$11,BI$14,BI$75,),""),IF($I117=2,IFBLANK(_xldudf_CX_PUSH(BI117,CX_ENTITY,$B117,BI$11,BI$14,BI$75,),""),IF($I117=3,"",IFBLANK(_xldudf_CX_PUSH(BI117,CX_ENTITY,$B117,BI$11,BI$14,BI$75,),"")))))),"")</f>
        <v/>
      </c>
      <c r="EJ117" s="2445" t="str" cm="1">
        <f t="array" ca="1" aca="1" ref="EJ117">IFERROR(IF(BJ117*fxVal_normal=_PL!BJ117,"",IF(OR(BJ117="",NOT(ISNUMBER(BJ117)),ISERROR(BJ117),$B117=""),"",IF($I117=1,IFBLANK(_xldudf_CX_PUSH(BJ117*fxVal_normal,CX_ENTITY,$B117,BJ$11,BJ$14,BJ$75,),""),IF($I117=2,IFBLANK(_xldudf_CX_PUSH(BJ117,CX_ENTITY,$B117,BJ$11,BJ$14,BJ$75,),""),IF($I117=3,"",IFBLANK(_xldudf_CX_PUSH(BJ117,CX_ENTITY,$B117,BJ$11,BJ$14,BJ$75,),"")))))),"")</f>
        <v/>
      </c>
      <c r="EK117" s="2445" t="str" cm="1">
        <f t="array" ca="1" aca="1" ref="EK117">IFERROR(IF(BK117*fxVal_normal=_PL!BK117,"",IF(OR(BK117="",NOT(ISNUMBER(BK117)),ISERROR(BK117),$B117=""),"",IF($I117=1,IFBLANK(_xldudf_CX_PUSH(BK117*fxVal_normal,CX_ENTITY,$B117,BK$11,BK$14,BK$75,),""),IF($I117=2,IFBLANK(_xldudf_CX_PUSH(BK117,CX_ENTITY,$B117,BK$11,BK$14,BK$75,),""),IF($I117=3,"",IFBLANK(_xldudf_CX_PUSH(BK117,CX_ENTITY,$B117,BK$11,BK$14,BK$75,),"")))))),"")</f>
        <v/>
      </c>
      <c r="EL117" s="2445" t="str" cm="1">
        <f t="array" ca="1" aca="1" ref="EL117">IFERROR(IF(BL117*fxVal_normal=_PL!BL117,"",IF(OR(BL117="",NOT(ISNUMBER(BL117)),ISERROR(BL117),$B117=""),"",IF($I117=1,IFBLANK(_xldudf_CX_PUSH(BL117*fxVal_normal,CX_ENTITY,$B117,BL$11,BL$14,BL$75,),""),IF($I117=2,IFBLANK(_xldudf_CX_PUSH(BL117,CX_ENTITY,$B117,BL$11,BL$14,BL$75,),""),IF($I117=3,"",IFBLANK(_xldudf_CX_PUSH(BL117,CX_ENTITY,$B117,BL$11,BL$14,BL$75,),"")))))),"")</f>
        <v/>
      </c>
      <c r="EM117" s="2445" t="str" cm="1">
        <f t="array" ca="1" aca="1" ref="EM117">IFERROR(IF(BM117*fxVal_normal=_PL!BM117,"",IF(OR(BM117="",NOT(ISNUMBER(BM117)),ISERROR(BM117),$B117=""),"",IF($I117=1,IFBLANK(_xldudf_CX_PUSH(BM117*fxVal_normal,CX_ENTITY,$B117,BM$11,BM$14,BM$75,),""),IF($I117=2,IFBLANK(_xldudf_CX_PUSH(BM117,CX_ENTITY,$B117,BM$11,BM$14,BM$75,),""),IF($I117=3,"",IFBLANK(_xldudf_CX_PUSH(BM117,CX_ENTITY,$B117,BM$11,BM$14,BM$75,),"")))))),"")</f>
        <v/>
      </c>
      <c r="EN117" s="2445" t="str" cm="1">
        <f t="array" ca="1" aca="1" ref="EN117">IFERROR(IF(BN117*fxVal_normal=_PL!BN117,"",IF(OR(BN117="",NOT(ISNUMBER(BN117)),ISERROR(BN117),$B117=""),"",IF($I117=1,IFBLANK(_xldudf_CX_PUSH(BN117*fxVal_normal,CX_ENTITY,$B117,BN$11,BN$14,BN$75,),""),IF($I117=2,IFBLANK(_xldudf_CX_PUSH(BN117,CX_ENTITY,$B117,BN$11,BN$14,BN$75,),""),IF($I117=3,"",IFBLANK(_xldudf_CX_PUSH(BN117,CX_ENTITY,$B117,BN$11,BN$14,BN$75,),"")))))),"")</f>
        <v/>
      </c>
    </row>
    <row r="118" spans="1:144" ht="21" customHeight="1">
      <c r="A118" s="1626" t="s">
        <v>22</v>
      </c>
      <c r="B118" s="2537" t="str">
        <f>_xlfn.LET(_xlpm.IsNotAttrDynamic,D118="",_xlpm.Attr,_PL!F118,_xlpm.NotInUse,Y118=D118,_xlpm.RESULT,IF(_xlpm.IsNotAttrDynamic,_xlpm.Attr,IF(_xlpm.NotInUse,"",Y118)),IF(_xlpm.RESULT="","",_xlpm.RESULT))</f>
        <v>Custom Metric Amount 6 [Calculated]</v>
      </c>
      <c r="C118" s="2537" t="str" cm="1">
        <f t="array" ref="C118">IFBLANK(_PL!C118,"")</f>
        <v>Custom Metric - Label 6 [Calculated]</v>
      </c>
      <c r="D118" s="1548"/>
      <c r="E118" s="2440" cm="1">
        <f t="array" ca="1" aca="1" ref="E118:G11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118:$CQ118,Z118)</f>
        <v>0</v>
      </c>
      <c r="F118" s="578">
        <f ca="1"/>
        <v>0</v>
      </c>
      <c r="G118" s="578" t="str">
        <f ca="1"/>
        <v/>
      </c>
      <c r="H118" s="3280">
        <v>1</v>
      </c>
      <c r="I118" s="3280">
        <v>1</v>
      </c>
      <c r="J118" s="401" t="str" cm="1">
        <f t="array" ref="J118">IFBLANK(Z118,"")</f>
        <v/>
      </c>
      <c r="K118" s="578" t="str">
        <f t="shared" ca="1" si="44"/>
        <v>No</v>
      </c>
      <c r="L118" s="37"/>
      <c r="N118" s="158"/>
      <c r="O118" s="101"/>
      <c r="P118" s="52"/>
      <c r="Q118" s="101"/>
      <c r="R118" s="126"/>
      <c r="S118" s="101"/>
      <c r="T118" s="101"/>
      <c r="U118" s="39"/>
      <c r="V118" s="37"/>
      <c r="W118" s="91" t="str">
        <f t="shared" si="45"/>
        <v>Budget</v>
      </c>
      <c r="X118" s="2523" t="e">
        <f ca="1">_PL!X118</f>
        <v>#NAME?</v>
      </c>
      <c r="Y118" s="2371"/>
      <c r="Z118" s="198" t="str" cm="1">
        <f t="array" ref="Z118">IFBLANK(Z62,"")</f>
        <v/>
      </c>
      <c r="AA118" s="200" t="str" cm="1">
        <f t="array" ca="1" aca="1" ref="AA118">_xlfn.LET(_xlpm._termname,$Y118,_xlpm._icon,"Define",_xlpm._location,_xlfn.XLOOKUP(_xlpm._termname,$Y$249:$Y$338,$Y$249:$Y$338),_xlpm._hyperlink,HYPERLINK("#"&amp;CELL("address",_xlpm._location),_xlpm._icon),IF(Y118="","",_xlpm._hyperlink))</f>
        <v/>
      </c>
      <c r="AB118" s="2525" t="str">
        <f ca="1"/>
        <v/>
      </c>
      <c r="AC118" s="124" t="str" cm="1">
        <f t="array" ca="1" aca="1" ref="AC118">_xlfn.LET(_xlpm._termname,$AB118,_xlpm._iconname,"find",_xlpm._icon,fx_getIcon(_xlpm._iconname),_xlpm._location,_xlfn.XLOOKUP(LOWER(_xlpm._termname),LOWER(tbl_acctDef[Term]),tbl_acctDef[Term]),_xlpm._hyperlink,HYPERLINK("#"&amp;CELL("address",_xlpm._location),_xlpm._icon),IFERROR(_xlpm._hyperlink,""))</f>
        <v/>
      </c>
      <c r="AD118" s="1661" t="str" cm="1">
        <f t="array" ref="AD118">IF($Y118="","",_xlfn.XLOOKUP($W118&amp;$Y118,$W$250:$W$338&amp;$Y$250:$Y$338,$AD$250:$BN$338))</f>
        <v/>
      </c>
      <c r="AE118" s="2534"/>
      <c r="AF118" s="2534"/>
      <c r="AG118" s="2534"/>
      <c r="AH118" s="2534"/>
      <c r="AI118" s="2534"/>
      <c r="AJ118" s="2534"/>
      <c r="AK118" s="2534"/>
      <c r="AL118" s="2534"/>
      <c r="AM118" s="2534"/>
      <c r="AN118" s="2534"/>
      <c r="AO118" s="2534"/>
      <c r="AP118" s="2534"/>
      <c r="AQ118" s="2534"/>
      <c r="AR118" s="2534"/>
      <c r="AS118" s="2534"/>
      <c r="AT118" s="2534"/>
      <c r="AU118" s="2534"/>
      <c r="AV118" s="2534"/>
      <c r="AW118" s="2534"/>
      <c r="AX118" s="2534"/>
      <c r="AY118" s="2534"/>
      <c r="AZ118" s="2534"/>
      <c r="BA118" s="2534"/>
      <c r="BB118" s="2534"/>
      <c r="BC118" s="2534"/>
      <c r="BD118" s="2534"/>
      <c r="BE118" s="2534"/>
      <c r="BF118" s="2534"/>
      <c r="BG118" s="2534"/>
      <c r="BH118" s="2534"/>
      <c r="BI118" s="2534"/>
      <c r="BJ118" s="2534"/>
      <c r="BK118" s="2534"/>
      <c r="BL118" s="2534"/>
      <c r="BM118" s="2534"/>
      <c r="BN118" s="2538"/>
      <c r="BO118" s="2536"/>
      <c r="BP118" s="2536"/>
      <c r="BQ118" s="2536"/>
      <c r="BR118" s="2536"/>
      <c r="BS118" s="2536"/>
      <c r="BT118" s="2536"/>
      <c r="BU118" s="2536"/>
      <c r="BV118" s="2536"/>
      <c r="BW118" s="2536"/>
      <c r="BX118" s="2536"/>
      <c r="BY118" s="2536"/>
      <c r="BZ118" s="2536"/>
      <c r="CA118" s="34"/>
      <c r="CC118" s="33"/>
      <c r="CD118" s="1772" t="str" cm="1">
        <f t="array" ref="CD118">_xlfn.LET(_xlpm.CheckBlank,SUM(PL!$AD118:$BN118)=0,IF(_xlpm.CheckBlank,"",SUM(_xlfn._xlws.FILTER(PL!$AD118:$BN118,(YEAR(PL!$AD$12:$BN$12)=PL!CD$12)*(array_timeline&lt;=PL!CD$11)))))</f>
        <v/>
      </c>
      <c r="CE118" s="1772" t="str" cm="1">
        <f t="array" ref="CE118">_xlfn.LET(_xlpm.CheckBlank,SUM(PL!$AD118:$BN118)=0,IF(_xlpm.CheckBlank,"",SUM(_xlfn._xlws.FILTER(PL!$AD118:$BN118,(YEAR(PL!$AD$12:$BN$12)=PL!CE$12)*(array_timeline&lt;=PL!CE$11)))))</f>
        <v/>
      </c>
      <c r="CF118" s="3"/>
      <c r="CG118" s="1461" t="str" cm="1">
        <f t="array" ref="CG118">_xlfn.LET(_xlpm.CheckBlank,SUM(PL!$AD118:$BN118)=0,IF(_xlpm.CheckBlank,"",SUM(_xlfn._xlws.FILTER(PL!$AD118:$BN118,(YEAR(PL!$AD$12:$BN$12)=PL!CG$12)*(array_timeline&lt;=PL!CG$11)))))</f>
        <v/>
      </c>
      <c r="CH118" s="1461" t="str" cm="1">
        <f t="array" ref="CH118">_xlfn.LET(_xlpm.CheckBlank,SUM(PL!$AD118:$BN118)=0,IF(_xlpm.CheckBlank,"",SUM(_xlfn._xlws.FILTER(PL!$AD118:$BN118,(YEAR(PL!$AD$12:$BN$12)=PL!CH$12)*(array_timeline&lt;=PL!CH$11)))))</f>
        <v/>
      </c>
      <c r="CI118" s="3"/>
      <c r="CJ118" s="1461" t="str" cm="1">
        <f t="array" ref="CJ118">_xlfn.LET(_xlpm.CheckBlank,SUM(PL!$AD118:$BN118)=0,IF(_xlpm.CheckBlank,"",SUM(_xlfn.TAKE(_xlfn.DROP(PL!$AD118:$BN118,,-DATEDIFF(PL!CJ$11,val_asOfDate,"M")),1,-12))))</f>
        <v/>
      </c>
      <c r="CK118" s="1461" t="str" cm="1">
        <f t="array" ref="CK118">_xlfn.LET(_xlpm.CheckBlank,SUM(PL!$AD118:$BN118)=0,IF(_xlpm.CheckBlank,"",SUM(_xlfn.TAKE(_xlfn.DROP(PL!$AD118:$BN118,,-DATEDIFF(PL!CK$11,val_asOfDate,"M")),1,-12))))</f>
        <v/>
      </c>
      <c r="CL118" s="3"/>
      <c r="CM118" s="2357" t="str" cm="1">
        <f t="array" ref="CM118">IF($Y118="","",_xlfn.XLOOKUP($W118&amp;$Y118,$W$250:$W$338&amp;$Y$250:$Y$338,$CM$250:$CN$338))</f>
        <v/>
      </c>
      <c r="CN118" s="2357"/>
      <c r="CO118" s="3"/>
      <c r="CP118" s="2357" t="str" cm="1">
        <f t="array" ref="CP118">IF($Y118="","",_xlfn.XLOOKUP($W118&amp;$Y118,$W$250:$W$338&amp;$Y$250:$Y$338,$CP$250:$CQ$338))</f>
        <v/>
      </c>
      <c r="CQ118" s="2357"/>
      <c r="CR118" s="34"/>
      <c r="CS118" s="2056"/>
      <c r="CT118" s="2616"/>
      <c r="CU118" s="2616"/>
      <c r="CV118" s="2616"/>
      <c r="CW118" s="2616"/>
      <c r="CX118" s="2443"/>
      <c r="CY118" s="2444" t="str" cm="1">
        <f t="array" ref="CY118">IFERROR(IF(CM118*fxVal_normal=_PL!CM118,"",IF(OR($CM118="",$CM118=0,NOT(ISNUMBER($CM118)),ISERROR($CM118),$B118=""),"",IF($I118=1,IFBLANK(_xldudf_CX_PUSH($CM118*fxVal_normal,CX_ENTITY,$B118,$CM$11,$CM$14,$CM$19,),""),IF($I118=2,IFBLANK(_xldudf_CX_PUSH($CM118,CX_ENTITY,$B118,$CM$11,$CM$14,$CM$19,),""),IF($I118=3,"",IFBLANK(_xldudf_CX_PUSH($CM118,CX_ENTITY,$B118,$CM$11,$CM$14,$CM$19,),"")))))),"")</f>
        <v/>
      </c>
      <c r="CZ118" s="2444" t="str" cm="1">
        <f t="array" ref="CZ118">IFERROR(IF(CN118*fxVal_normal=_PL!CN118,"",IF(OR($CN118="",$CN118=0,NOT(ISNUMBER($CN118)),ISERROR($CN118),$B118=""),"",IF($I118=1,IFBLANK(_xldudf_CX_PUSH($CN118*fxVal_normal,CX_ENTITY,$B118,$CN$11,$CN$14,$CN$19,),""),IF($I118=2,IFBLANK(_xldudf_CX_PUSH($CN118,CX_ENTITY,$B118,$CN$11,$CN$14,$CN$19,),""),IF($I118=3,"",IFBLANK(_xldudf_CX_PUSH($CN118,CX_ENTITY,$B118,$CN$11,$CN$14,$CN$19,),"")))))),"")</f>
        <v/>
      </c>
      <c r="DA118" s="2444" t="str" cm="1">
        <f t="array" ref="DA118">IFERROR(IF(CP118*fxVal_normal=_PL!CP118,"",IF(OR($CP118="",$CP118=0,NOT(ISNUMBER($CP118)),ISERROR($CP118),$B118=""),"",IF($I118=1,IFBLANK(_xldudf_CX_PUSH($CP118*fxVal_normal,CX_ENTITY,$B118,$CP$11,$CP$14,$CP$19,),""),IF($I118=2,IFBLANK(_xldudf_CX_PUSH($CP118,CX_ENTITY,$B118,$CP$11,$CP$14,$CP$19,),""),IF($I118=3,"",IFBLANK(_xldudf_CX_PUSH($CP118,CX_ENTITY,$B118,$CP$11,$CP$14,$CP$19,),"")))))),"")</f>
        <v/>
      </c>
      <c r="DB118" s="2444" t="str" cm="1">
        <f t="array" ref="DB118">IFERROR(IF(CQ118*fxVal_normal=_PL!CQ118,"",IF(OR($CQ118="",$CQ118=0,NOT(ISNUMBER($CQ118)),ISERROR($CQ118),$B118=""),"",IF($I118=1,IFBLANK(_xldudf_CX_PUSH($CQ118*fxVal_normal,CX_ENTITY,$B118,$CQ$11,$CQ$14,$CQ$19,),""),IF($I118=2,IFBLANK(_xldudf_CX_PUSH($CQ118,CX_ENTITY,$B118,$CQ$11,$CQ$14,$CQ$19,),""),IF($I118=3,"",IFBLANK(_xldudf_CX_PUSH($CQ118,CX_ENTITY,$B118,$CQ$11,$CQ$14,$CQ$19,),"")))))),"")</f>
        <v/>
      </c>
      <c r="DC118" s="2443"/>
      <c r="DD118" s="2445" t="str" cm="1">
        <f t="array" ca="1" aca="1" ref="DD118">IFERROR(IF(AD118*fxVal_normal=_PL!AD118,"",IF(OR(AD118="",NOT(ISNUMBER(AD118)),ISERROR(AD118),$B118=""),"",IF($I118=1,IFBLANK(_xldudf_CX_PUSH(AD118*fxVal_normal,CX_ENTITY,$B118,AD$11,AD$14,AD$75,),""),IF($I118=2,IFBLANK(_xldudf_CX_PUSH(AD118,CX_ENTITY,$B118,AD$11,AD$14,AD$75,),""),IF($I118=3,"",IFBLANK(_xldudf_CX_PUSH(AD118,CX_ENTITY,$B118,AD$11,AD$14,AD$75,),"")))))),"")</f>
        <v/>
      </c>
      <c r="DE118" s="2445" t="str" cm="1">
        <f t="array" ca="1" aca="1" ref="DE118">IFERROR(IF(AE118*fxVal_normal=_PL!AE118,"",IF(OR(AE118="",NOT(ISNUMBER(AE118)),ISERROR(AE118),$B118=""),"",IF($I118=1,IFBLANK(_xldudf_CX_PUSH(AE118*fxVal_normal,CX_ENTITY,$B118,AE$11,AE$14,AE$75,),""),IF($I118=2,IFBLANK(_xldudf_CX_PUSH(AE118,CX_ENTITY,$B118,AE$11,AE$14,AE$75,),""),IF($I118=3,"",IFBLANK(_xldudf_CX_PUSH(AE118,CX_ENTITY,$B118,AE$11,AE$14,AE$75,),"")))))),"")</f>
        <v/>
      </c>
      <c r="DF118" s="2445" t="str" cm="1">
        <f t="array" ca="1" aca="1" ref="DF118">IFERROR(IF(AF118*fxVal_normal=_PL!AF118,"",IF(OR(AF118="",NOT(ISNUMBER(AF118)),ISERROR(AF118),$B118=""),"",IF($I118=1,IFBLANK(_xldudf_CX_PUSH(AF118*fxVal_normal,CX_ENTITY,$B118,AF$11,AF$14,AF$75,),""),IF($I118=2,IFBLANK(_xldudf_CX_PUSH(AF118,CX_ENTITY,$B118,AF$11,AF$14,AF$75,),""),IF($I118=3,"",IFBLANK(_xldudf_CX_PUSH(AF118,CX_ENTITY,$B118,AF$11,AF$14,AF$75,),"")))))),"")</f>
        <v/>
      </c>
      <c r="DG118" s="2445" t="str" cm="1">
        <f t="array" ca="1" aca="1" ref="DG118">IFERROR(IF(AG118*fxVal_normal=_PL!AG118,"",IF(OR(AG118="",NOT(ISNUMBER(AG118)),ISERROR(AG118),$B118=""),"",IF($I118=1,IFBLANK(_xldudf_CX_PUSH(AG118*fxVal_normal,CX_ENTITY,$B118,AG$11,AG$14,AG$75,),""),IF($I118=2,IFBLANK(_xldudf_CX_PUSH(AG118,CX_ENTITY,$B118,AG$11,AG$14,AG$75,),""),IF($I118=3,"",IFBLANK(_xldudf_CX_PUSH(AG118,CX_ENTITY,$B118,AG$11,AG$14,AG$75,),"")))))),"")</f>
        <v/>
      </c>
      <c r="DH118" s="2445" t="str" cm="1">
        <f t="array" ca="1" aca="1" ref="DH118">IFERROR(IF(AH118*fxVal_normal=_PL!AH118,"",IF(OR(AH118="",NOT(ISNUMBER(AH118)),ISERROR(AH118),$B118=""),"",IF($I118=1,IFBLANK(_xldudf_CX_PUSH(AH118*fxVal_normal,CX_ENTITY,$B118,AH$11,AH$14,AH$75,),""),IF($I118=2,IFBLANK(_xldudf_CX_PUSH(AH118,CX_ENTITY,$B118,AH$11,AH$14,AH$75,),""),IF($I118=3,"",IFBLANK(_xldudf_CX_PUSH(AH118,CX_ENTITY,$B118,AH$11,AH$14,AH$75,),"")))))),"")</f>
        <v/>
      </c>
      <c r="DI118" s="2445" t="str" cm="1">
        <f t="array" ca="1" aca="1" ref="DI118">IFERROR(IF(AI118*fxVal_normal=_PL!AI118,"",IF(OR(AI118="",NOT(ISNUMBER(AI118)),ISERROR(AI118),$B118=""),"",IF($I118=1,IFBLANK(_xldudf_CX_PUSH(AI118*fxVal_normal,CX_ENTITY,$B118,AI$11,AI$14,AI$75,),""),IF($I118=2,IFBLANK(_xldudf_CX_PUSH(AI118,CX_ENTITY,$B118,AI$11,AI$14,AI$75,),""),IF($I118=3,"",IFBLANK(_xldudf_CX_PUSH(AI118,CX_ENTITY,$B118,AI$11,AI$14,AI$75,),"")))))),"")</f>
        <v/>
      </c>
      <c r="DJ118" s="2445" t="str" cm="1">
        <f t="array" ca="1" aca="1" ref="DJ118">IFERROR(IF(AJ118*fxVal_normal=_PL!AJ118,"",IF(OR(AJ118="",NOT(ISNUMBER(AJ118)),ISERROR(AJ118),$B118=""),"",IF($I118=1,IFBLANK(_xldudf_CX_PUSH(AJ118*fxVal_normal,CX_ENTITY,$B118,AJ$11,AJ$14,AJ$75,),""),IF($I118=2,IFBLANK(_xldudf_CX_PUSH(AJ118,CX_ENTITY,$B118,AJ$11,AJ$14,AJ$75,),""),IF($I118=3,"",IFBLANK(_xldudf_CX_PUSH(AJ118,CX_ENTITY,$B118,AJ$11,AJ$14,AJ$75,),"")))))),"")</f>
        <v/>
      </c>
      <c r="DK118" s="2445" t="str" cm="1">
        <f t="array" ca="1" aca="1" ref="DK118">IFERROR(IF(AK118*fxVal_normal=_PL!AK118,"",IF(OR(AK118="",NOT(ISNUMBER(AK118)),ISERROR(AK118),$B118=""),"",IF($I118=1,IFBLANK(_xldudf_CX_PUSH(AK118*fxVal_normal,CX_ENTITY,$B118,AK$11,AK$14,AK$75,),""),IF($I118=2,IFBLANK(_xldudf_CX_PUSH(AK118,CX_ENTITY,$B118,AK$11,AK$14,AK$75,),""),IF($I118=3,"",IFBLANK(_xldudf_CX_PUSH(AK118,CX_ENTITY,$B118,AK$11,AK$14,AK$75,),"")))))),"")</f>
        <v/>
      </c>
      <c r="DL118" s="2445" t="str" cm="1">
        <f t="array" ca="1" aca="1" ref="DL118">IFERROR(IF(AL118*fxVal_normal=_PL!AL118,"",IF(OR(AL118="",NOT(ISNUMBER(AL118)),ISERROR(AL118),$B118=""),"",IF($I118=1,IFBLANK(_xldudf_CX_PUSH(AL118*fxVal_normal,CX_ENTITY,$B118,AL$11,AL$14,AL$75,),""),IF($I118=2,IFBLANK(_xldudf_CX_PUSH(AL118,CX_ENTITY,$B118,AL$11,AL$14,AL$75,),""),IF($I118=3,"",IFBLANK(_xldudf_CX_PUSH(AL118,CX_ENTITY,$B118,AL$11,AL$14,AL$75,),"")))))),"")</f>
        <v/>
      </c>
      <c r="DM118" s="2445" t="str" cm="1">
        <f t="array" ca="1" aca="1" ref="DM118">IFERROR(IF(AM118*fxVal_normal=_PL!AM118,"",IF(OR(AM118="",NOT(ISNUMBER(AM118)),ISERROR(AM118),$B118=""),"",IF($I118=1,IFBLANK(_xldudf_CX_PUSH(AM118*fxVal_normal,CX_ENTITY,$B118,AM$11,AM$14,AM$75,),""),IF($I118=2,IFBLANK(_xldudf_CX_PUSH(AM118,CX_ENTITY,$B118,AM$11,AM$14,AM$75,),""),IF($I118=3,"",IFBLANK(_xldudf_CX_PUSH(AM118,CX_ENTITY,$B118,AM$11,AM$14,AM$75,),"")))))),"")</f>
        <v/>
      </c>
      <c r="DN118" s="2445" t="str" cm="1">
        <f t="array" ca="1" aca="1" ref="DN118">IFERROR(IF(AN118*fxVal_normal=_PL!AN118,"",IF(OR(AN118="",NOT(ISNUMBER(AN118)),ISERROR(AN118),$B118=""),"",IF($I118=1,IFBLANK(_xldudf_CX_PUSH(AN118*fxVal_normal,CX_ENTITY,$B118,AN$11,AN$14,AN$75,),""),IF($I118=2,IFBLANK(_xldudf_CX_PUSH(AN118,CX_ENTITY,$B118,AN$11,AN$14,AN$75,),""),IF($I118=3,"",IFBLANK(_xldudf_CX_PUSH(AN118,CX_ENTITY,$B118,AN$11,AN$14,AN$75,),"")))))),"")</f>
        <v/>
      </c>
      <c r="DO118" s="2445" t="str" cm="1">
        <f t="array" ca="1" aca="1" ref="DO118">IFERROR(IF(AO118*fxVal_normal=_PL!AO118,"",IF(OR(AO118="",NOT(ISNUMBER(AO118)),ISERROR(AO118),$B118=""),"",IF($I118=1,IFBLANK(_xldudf_CX_PUSH(AO118*fxVal_normal,CX_ENTITY,$B118,AO$11,AO$14,AO$75,),""),IF($I118=2,IFBLANK(_xldudf_CX_PUSH(AO118,CX_ENTITY,$B118,AO$11,AO$14,AO$75,),""),IF($I118=3,"",IFBLANK(_xldudf_CX_PUSH(AO118,CX_ENTITY,$B118,AO$11,AO$14,AO$75,),"")))))),"")</f>
        <v/>
      </c>
      <c r="DP118" s="2445" t="str" cm="1">
        <f t="array" ca="1" aca="1" ref="DP118">IFERROR(IF(AP118*fxVal_normal=_PL!AP118,"",IF(OR(AP118="",NOT(ISNUMBER(AP118)),ISERROR(AP118),$B118=""),"",IF($I118=1,IFBLANK(_xldudf_CX_PUSH(AP118*fxVal_normal,CX_ENTITY,$B118,AP$11,AP$14,AP$75,),""),IF($I118=2,IFBLANK(_xldudf_CX_PUSH(AP118,CX_ENTITY,$B118,AP$11,AP$14,AP$75,),""),IF($I118=3,"",IFBLANK(_xldudf_CX_PUSH(AP118,CX_ENTITY,$B118,AP$11,AP$14,AP$75,),"")))))),"")</f>
        <v/>
      </c>
      <c r="DQ118" s="2445" t="str" cm="1">
        <f t="array" ca="1" aca="1" ref="DQ118">IFERROR(IF(AQ118*fxVal_normal=_PL!AQ118,"",IF(OR(AQ118="",NOT(ISNUMBER(AQ118)),ISERROR(AQ118),$B118=""),"",IF($I118=1,IFBLANK(_xldudf_CX_PUSH(AQ118*fxVal_normal,CX_ENTITY,$B118,AQ$11,AQ$14,AQ$75,),""),IF($I118=2,IFBLANK(_xldudf_CX_PUSH(AQ118,CX_ENTITY,$B118,AQ$11,AQ$14,AQ$75,),""),IF($I118=3,"",IFBLANK(_xldudf_CX_PUSH(AQ118,CX_ENTITY,$B118,AQ$11,AQ$14,AQ$75,),"")))))),"")</f>
        <v/>
      </c>
      <c r="DR118" s="2445" t="str" cm="1">
        <f t="array" ca="1" aca="1" ref="DR118">IFERROR(IF(AR118*fxVal_normal=_PL!AR118,"",IF(OR(AR118="",NOT(ISNUMBER(AR118)),ISERROR(AR118),$B118=""),"",IF($I118=1,IFBLANK(_xldudf_CX_PUSH(AR118*fxVal_normal,CX_ENTITY,$B118,AR$11,AR$14,AR$75,),""),IF($I118=2,IFBLANK(_xldudf_CX_PUSH(AR118,CX_ENTITY,$B118,AR$11,AR$14,AR$75,),""),IF($I118=3,"",IFBLANK(_xldudf_CX_PUSH(AR118,CX_ENTITY,$B118,AR$11,AR$14,AR$75,),"")))))),"")</f>
        <v/>
      </c>
      <c r="DS118" s="2445" t="str" cm="1">
        <f t="array" ca="1" aca="1" ref="DS118">IFERROR(IF(AS118*fxVal_normal=_PL!AS118,"",IF(OR(AS118="",NOT(ISNUMBER(AS118)),ISERROR(AS118),$B118=""),"",IF($I118=1,IFBLANK(_xldudf_CX_PUSH(AS118*fxVal_normal,CX_ENTITY,$B118,AS$11,AS$14,AS$75,),""),IF($I118=2,IFBLANK(_xldudf_CX_PUSH(AS118,CX_ENTITY,$B118,AS$11,AS$14,AS$75,),""),IF($I118=3,"",IFBLANK(_xldudf_CX_PUSH(AS118,CX_ENTITY,$B118,AS$11,AS$14,AS$75,),"")))))),"")</f>
        <v/>
      </c>
      <c r="DT118" s="2445" t="str" cm="1">
        <f t="array" ca="1" aca="1" ref="DT118">IFERROR(IF(AT118*fxVal_normal=_PL!AT118,"",IF(OR(AT118="",NOT(ISNUMBER(AT118)),ISERROR(AT118),$B118=""),"",IF($I118=1,IFBLANK(_xldudf_CX_PUSH(AT118*fxVal_normal,CX_ENTITY,$B118,AT$11,AT$14,AT$75,),""),IF($I118=2,IFBLANK(_xldudf_CX_PUSH(AT118,CX_ENTITY,$B118,AT$11,AT$14,AT$75,),""),IF($I118=3,"",IFBLANK(_xldudf_CX_PUSH(AT118,CX_ENTITY,$B118,AT$11,AT$14,AT$75,),"")))))),"")</f>
        <v/>
      </c>
      <c r="DU118" s="2445" t="str" cm="1">
        <f t="array" ca="1" aca="1" ref="DU118">IFERROR(IF(AU118*fxVal_normal=_PL!AU118,"",IF(OR(AU118="",NOT(ISNUMBER(AU118)),ISERROR(AU118),$B118=""),"",IF($I118=1,IFBLANK(_xldudf_CX_PUSH(AU118*fxVal_normal,CX_ENTITY,$B118,AU$11,AU$14,AU$75,),""),IF($I118=2,IFBLANK(_xldudf_CX_PUSH(AU118,CX_ENTITY,$B118,AU$11,AU$14,AU$75,),""),IF($I118=3,"",IFBLANK(_xldudf_CX_PUSH(AU118,CX_ENTITY,$B118,AU$11,AU$14,AU$75,),"")))))),"")</f>
        <v/>
      </c>
      <c r="DV118" s="2445" t="str" cm="1">
        <f t="array" ca="1" aca="1" ref="DV118">IFERROR(IF(AV118*fxVal_normal=_PL!AV118,"",IF(OR(AV118="",NOT(ISNUMBER(AV118)),ISERROR(AV118),$B118=""),"",IF($I118=1,IFBLANK(_xldudf_CX_PUSH(AV118*fxVal_normal,CX_ENTITY,$B118,AV$11,AV$14,AV$75,),""),IF($I118=2,IFBLANK(_xldudf_CX_PUSH(AV118,CX_ENTITY,$B118,AV$11,AV$14,AV$75,),""),IF($I118=3,"",IFBLANK(_xldudf_CX_PUSH(AV118,CX_ENTITY,$B118,AV$11,AV$14,AV$75,),"")))))),"")</f>
        <v/>
      </c>
      <c r="DW118" s="2445" t="str" cm="1">
        <f t="array" ca="1" aca="1" ref="DW118">IFERROR(IF(AW118*fxVal_normal=_PL!AW118,"",IF(OR(AW118="",NOT(ISNUMBER(AW118)),ISERROR(AW118),$B118=""),"",IF($I118=1,IFBLANK(_xldudf_CX_PUSH(AW118*fxVal_normal,CX_ENTITY,$B118,AW$11,AW$14,AW$75,),""),IF($I118=2,IFBLANK(_xldudf_CX_PUSH(AW118,CX_ENTITY,$B118,AW$11,AW$14,AW$75,),""),IF($I118=3,"",IFBLANK(_xldudf_CX_PUSH(AW118,CX_ENTITY,$B118,AW$11,AW$14,AW$75,),"")))))),"")</f>
        <v/>
      </c>
      <c r="DX118" s="2445" t="str" cm="1">
        <f t="array" ca="1" aca="1" ref="DX118">IFERROR(IF(AX118*fxVal_normal=_PL!AX118,"",IF(OR(AX118="",NOT(ISNUMBER(AX118)),ISERROR(AX118),$B118=""),"",IF($I118=1,IFBLANK(_xldudf_CX_PUSH(AX118*fxVal_normal,CX_ENTITY,$B118,AX$11,AX$14,AX$75,),""),IF($I118=2,IFBLANK(_xldudf_CX_PUSH(AX118,CX_ENTITY,$B118,AX$11,AX$14,AX$75,),""),IF($I118=3,"",IFBLANK(_xldudf_CX_PUSH(AX118,CX_ENTITY,$B118,AX$11,AX$14,AX$75,),"")))))),"")</f>
        <v/>
      </c>
      <c r="DY118" s="2445" t="str" cm="1">
        <f t="array" ca="1" aca="1" ref="DY118">IFERROR(IF(AY118*fxVal_normal=_PL!AY118,"",IF(OR(AY118="",NOT(ISNUMBER(AY118)),ISERROR(AY118),$B118=""),"",IF($I118=1,IFBLANK(_xldudf_CX_PUSH(AY118*fxVal_normal,CX_ENTITY,$B118,AY$11,AY$14,AY$75,),""),IF($I118=2,IFBLANK(_xldudf_CX_PUSH(AY118,CX_ENTITY,$B118,AY$11,AY$14,AY$75,),""),IF($I118=3,"",IFBLANK(_xldudf_CX_PUSH(AY118,CX_ENTITY,$B118,AY$11,AY$14,AY$75,),"")))))),"")</f>
        <v/>
      </c>
      <c r="DZ118" s="2445" t="str" cm="1">
        <f t="array" ca="1" aca="1" ref="DZ118">IFERROR(IF(AZ118*fxVal_normal=_PL!AZ118,"",IF(OR(AZ118="",NOT(ISNUMBER(AZ118)),ISERROR(AZ118),$B118=""),"",IF($I118=1,IFBLANK(_xldudf_CX_PUSH(AZ118*fxVal_normal,CX_ENTITY,$B118,AZ$11,AZ$14,AZ$75,),""),IF($I118=2,IFBLANK(_xldudf_CX_PUSH(AZ118,CX_ENTITY,$B118,AZ$11,AZ$14,AZ$75,),""),IF($I118=3,"",IFBLANK(_xldudf_CX_PUSH(AZ118,CX_ENTITY,$B118,AZ$11,AZ$14,AZ$75,),"")))))),"")</f>
        <v/>
      </c>
      <c r="EA118" s="2445" t="str" cm="1">
        <f t="array" ca="1" aca="1" ref="EA118">IFERROR(IF(BA118*fxVal_normal=_PL!BA118,"",IF(OR(BA118="",NOT(ISNUMBER(BA118)),ISERROR(BA118),$B118=""),"",IF($I118=1,IFBLANK(_xldudf_CX_PUSH(BA118*fxVal_normal,CX_ENTITY,$B118,BA$11,BA$14,BA$75,),""),IF($I118=2,IFBLANK(_xldudf_CX_PUSH(BA118,CX_ENTITY,$B118,BA$11,BA$14,BA$75,),""),IF($I118=3,"",IFBLANK(_xldudf_CX_PUSH(BA118,CX_ENTITY,$B118,BA$11,BA$14,BA$75,),"")))))),"")</f>
        <v/>
      </c>
      <c r="EB118" s="2445" t="str" cm="1">
        <f t="array" ca="1" aca="1" ref="EB118">IFERROR(IF(BB118*fxVal_normal=_PL!BB118,"",IF(OR(BB118="",NOT(ISNUMBER(BB118)),ISERROR(BB118),$B118=""),"",IF($I118=1,IFBLANK(_xldudf_CX_PUSH(BB118*fxVal_normal,CX_ENTITY,$B118,BB$11,BB$14,BB$75,),""),IF($I118=2,IFBLANK(_xldudf_CX_PUSH(BB118,CX_ENTITY,$B118,BB$11,BB$14,BB$75,),""),IF($I118=3,"",IFBLANK(_xldudf_CX_PUSH(BB118,CX_ENTITY,$B118,BB$11,BB$14,BB$75,),"")))))),"")</f>
        <v/>
      </c>
      <c r="EC118" s="2445" t="str" cm="1">
        <f t="array" ca="1" aca="1" ref="EC118">IFERROR(IF(BC118*fxVal_normal=_PL!BC118,"",IF(OR(BC118="",NOT(ISNUMBER(BC118)),ISERROR(BC118),$B118=""),"",IF($I118=1,IFBLANK(_xldudf_CX_PUSH(BC118*fxVal_normal,CX_ENTITY,$B118,BC$11,BC$14,BC$75,),""),IF($I118=2,IFBLANK(_xldudf_CX_PUSH(BC118,CX_ENTITY,$B118,BC$11,BC$14,BC$75,),""),IF($I118=3,"",IFBLANK(_xldudf_CX_PUSH(BC118,CX_ENTITY,$B118,BC$11,BC$14,BC$75,),"")))))),"")</f>
        <v/>
      </c>
      <c r="ED118" s="2445" t="str" cm="1">
        <f t="array" ca="1" aca="1" ref="ED118">IFERROR(IF(BD118*fxVal_normal=_PL!BD118,"",IF(OR(BD118="",NOT(ISNUMBER(BD118)),ISERROR(BD118),$B118=""),"",IF($I118=1,IFBLANK(_xldudf_CX_PUSH(BD118*fxVal_normal,CX_ENTITY,$B118,BD$11,BD$14,BD$75,),""),IF($I118=2,IFBLANK(_xldudf_CX_PUSH(BD118,CX_ENTITY,$B118,BD$11,BD$14,BD$75,),""),IF($I118=3,"",IFBLANK(_xldudf_CX_PUSH(BD118,CX_ENTITY,$B118,BD$11,BD$14,BD$75,),"")))))),"")</f>
        <v/>
      </c>
      <c r="EE118" s="2445" t="str" cm="1">
        <f t="array" ca="1" aca="1" ref="EE118">IFERROR(IF(BE118*fxVal_normal=_PL!BE118,"",IF(OR(BE118="",NOT(ISNUMBER(BE118)),ISERROR(BE118),$B118=""),"",IF($I118=1,IFBLANK(_xldudf_CX_PUSH(BE118*fxVal_normal,CX_ENTITY,$B118,BE$11,BE$14,BE$75,),""),IF($I118=2,IFBLANK(_xldudf_CX_PUSH(BE118,CX_ENTITY,$B118,BE$11,BE$14,BE$75,),""),IF($I118=3,"",IFBLANK(_xldudf_CX_PUSH(BE118,CX_ENTITY,$B118,BE$11,BE$14,BE$75,),"")))))),"")</f>
        <v/>
      </c>
      <c r="EF118" s="2445" t="str" cm="1">
        <f t="array" ca="1" aca="1" ref="EF118">IFERROR(IF(BF118*fxVal_normal=_PL!BF118,"",IF(OR(BF118="",NOT(ISNUMBER(BF118)),ISERROR(BF118),$B118=""),"",IF($I118=1,IFBLANK(_xldudf_CX_PUSH(BF118*fxVal_normal,CX_ENTITY,$B118,BF$11,BF$14,BF$75,),""),IF($I118=2,IFBLANK(_xldudf_CX_PUSH(BF118,CX_ENTITY,$B118,BF$11,BF$14,BF$75,),""),IF($I118=3,"",IFBLANK(_xldudf_CX_PUSH(BF118,CX_ENTITY,$B118,BF$11,BF$14,BF$75,),"")))))),"")</f>
        <v/>
      </c>
      <c r="EG118" s="2445" t="str" cm="1">
        <f t="array" ca="1" aca="1" ref="EG118">IFERROR(IF(BG118*fxVal_normal=_PL!BG118,"",IF(OR(BG118="",NOT(ISNUMBER(BG118)),ISERROR(BG118),$B118=""),"",IF($I118=1,IFBLANK(_xldudf_CX_PUSH(BG118*fxVal_normal,CX_ENTITY,$B118,BG$11,BG$14,BG$75,),""),IF($I118=2,IFBLANK(_xldudf_CX_PUSH(BG118,CX_ENTITY,$B118,BG$11,BG$14,BG$75,),""),IF($I118=3,"",IFBLANK(_xldudf_CX_PUSH(BG118,CX_ENTITY,$B118,BG$11,BG$14,BG$75,),"")))))),"")</f>
        <v/>
      </c>
      <c r="EH118" s="2445" t="str" cm="1">
        <f t="array" ca="1" aca="1" ref="EH118">IFERROR(IF(BH118*fxVal_normal=_PL!BH118,"",IF(OR(BH118="",NOT(ISNUMBER(BH118)),ISERROR(BH118),$B118=""),"",IF($I118=1,IFBLANK(_xldudf_CX_PUSH(BH118*fxVal_normal,CX_ENTITY,$B118,BH$11,BH$14,BH$75,),""),IF($I118=2,IFBLANK(_xldudf_CX_PUSH(BH118,CX_ENTITY,$B118,BH$11,BH$14,BH$75,),""),IF($I118=3,"",IFBLANK(_xldudf_CX_PUSH(BH118,CX_ENTITY,$B118,BH$11,BH$14,BH$75,),"")))))),"")</f>
        <v/>
      </c>
      <c r="EI118" s="2445" t="str" cm="1">
        <f t="array" ca="1" aca="1" ref="EI118">IFERROR(IF(BI118*fxVal_normal=_PL!BI118,"",IF(OR(BI118="",NOT(ISNUMBER(BI118)),ISERROR(BI118),$B118=""),"",IF($I118=1,IFBLANK(_xldudf_CX_PUSH(BI118*fxVal_normal,CX_ENTITY,$B118,BI$11,BI$14,BI$75,),""),IF($I118=2,IFBLANK(_xldudf_CX_PUSH(BI118,CX_ENTITY,$B118,BI$11,BI$14,BI$75,),""),IF($I118=3,"",IFBLANK(_xldudf_CX_PUSH(BI118,CX_ENTITY,$B118,BI$11,BI$14,BI$75,),"")))))),"")</f>
        <v/>
      </c>
      <c r="EJ118" s="2445" t="str" cm="1">
        <f t="array" ca="1" aca="1" ref="EJ118">IFERROR(IF(BJ118*fxVal_normal=_PL!BJ118,"",IF(OR(BJ118="",NOT(ISNUMBER(BJ118)),ISERROR(BJ118),$B118=""),"",IF($I118=1,IFBLANK(_xldudf_CX_PUSH(BJ118*fxVal_normal,CX_ENTITY,$B118,BJ$11,BJ$14,BJ$75,),""),IF($I118=2,IFBLANK(_xldudf_CX_PUSH(BJ118,CX_ENTITY,$B118,BJ$11,BJ$14,BJ$75,),""),IF($I118=3,"",IFBLANK(_xldudf_CX_PUSH(BJ118,CX_ENTITY,$B118,BJ$11,BJ$14,BJ$75,),"")))))),"")</f>
        <v/>
      </c>
      <c r="EK118" s="2445" t="str" cm="1">
        <f t="array" ca="1" aca="1" ref="EK118">IFERROR(IF(BK118*fxVal_normal=_PL!BK118,"",IF(OR(BK118="",NOT(ISNUMBER(BK118)),ISERROR(BK118),$B118=""),"",IF($I118=1,IFBLANK(_xldudf_CX_PUSH(BK118*fxVal_normal,CX_ENTITY,$B118,BK$11,BK$14,BK$75,),""),IF($I118=2,IFBLANK(_xldudf_CX_PUSH(BK118,CX_ENTITY,$B118,BK$11,BK$14,BK$75,),""),IF($I118=3,"",IFBLANK(_xldudf_CX_PUSH(BK118,CX_ENTITY,$B118,BK$11,BK$14,BK$75,),"")))))),"")</f>
        <v/>
      </c>
      <c r="EL118" s="2445" t="str" cm="1">
        <f t="array" ca="1" aca="1" ref="EL118">IFERROR(IF(BL118*fxVal_normal=_PL!BL118,"",IF(OR(BL118="",NOT(ISNUMBER(BL118)),ISERROR(BL118),$B118=""),"",IF($I118=1,IFBLANK(_xldudf_CX_PUSH(BL118*fxVal_normal,CX_ENTITY,$B118,BL$11,BL$14,BL$75,),""),IF($I118=2,IFBLANK(_xldudf_CX_PUSH(BL118,CX_ENTITY,$B118,BL$11,BL$14,BL$75,),""),IF($I118=3,"",IFBLANK(_xldudf_CX_PUSH(BL118,CX_ENTITY,$B118,BL$11,BL$14,BL$75,),"")))))),"")</f>
        <v/>
      </c>
      <c r="EM118" s="2445" t="str" cm="1">
        <f t="array" ca="1" aca="1" ref="EM118">IFERROR(IF(BM118*fxVal_normal=_PL!BM118,"",IF(OR(BM118="",NOT(ISNUMBER(BM118)),ISERROR(BM118),$B118=""),"",IF($I118=1,IFBLANK(_xldudf_CX_PUSH(BM118*fxVal_normal,CX_ENTITY,$B118,BM$11,BM$14,BM$75,),""),IF($I118=2,IFBLANK(_xldudf_CX_PUSH(BM118,CX_ENTITY,$B118,BM$11,BM$14,BM$75,),""),IF($I118=3,"",IFBLANK(_xldudf_CX_PUSH(BM118,CX_ENTITY,$B118,BM$11,BM$14,BM$75,),"")))))),"")</f>
        <v/>
      </c>
      <c r="EN118" s="2445" t="str" cm="1">
        <f t="array" ca="1" aca="1" ref="EN118">IFERROR(IF(BN118*fxVal_normal=_PL!BN118,"",IF(OR(BN118="",NOT(ISNUMBER(BN118)),ISERROR(BN118),$B118=""),"",IF($I118=1,IFBLANK(_xldudf_CX_PUSH(BN118*fxVal_normal,CX_ENTITY,$B118,BN$11,BN$14,BN$75,),""),IF($I118=2,IFBLANK(_xldudf_CX_PUSH(BN118,CX_ENTITY,$B118,BN$11,BN$14,BN$75,),""),IF($I118=3,"",IFBLANK(_xldudf_CX_PUSH(BN118,CX_ENTITY,$B118,BN$11,BN$14,BN$75,),"")))))),"")</f>
        <v/>
      </c>
    </row>
    <row r="119" spans="1:144" ht="21" customHeight="1">
      <c r="A119" s="1626"/>
      <c r="B119" s="2537" t="str">
        <f>_xlfn.LET(_xlpm.IsNotAttrDynamic,D119="",_xlpm.Attr,_PL!F119,_xlpm.NotInUse,Y119=D119,_xlpm.RESULT,IF(_xlpm.IsNotAttrDynamic,_xlpm.Attr,IF(_xlpm.NotInUse,"",Y119)),IF(_xlpm.RESULT="","",_xlpm.RESULT))</f>
        <v>Custom Metric Amount 7 [Calculated]</v>
      </c>
      <c r="C119" s="2537" t="str" cm="1">
        <f t="array" ref="C119">IFBLANK(_PL!C119,"")</f>
        <v>Custom Metric - Label 7 [Calculated]</v>
      </c>
      <c r="D119" s="1548"/>
      <c r="E119" s="2440" cm="1">
        <f t="array" ca="1" aca="1" ref="E119:G11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119:$CQ119,Z119)</f>
        <v>0</v>
      </c>
      <c r="F119" s="578">
        <f ca="1"/>
        <v>0</v>
      </c>
      <c r="G119" s="578" t="str">
        <f ca="1"/>
        <v/>
      </c>
      <c r="H119" s="3280">
        <v>1</v>
      </c>
      <c r="I119" s="3280">
        <v>1</v>
      </c>
      <c r="J119" s="401" t="str" cm="1">
        <f t="array" ref="J119">IFBLANK(Z119,"")</f>
        <v/>
      </c>
      <c r="K119" s="578" t="str">
        <f t="shared" ca="1" si="44"/>
        <v>No</v>
      </c>
      <c r="L119" s="37"/>
      <c r="N119" s="158"/>
      <c r="O119" s="101"/>
      <c r="P119" s="52"/>
      <c r="Q119" s="101"/>
      <c r="R119" s="126"/>
      <c r="S119" s="101"/>
      <c r="T119" s="101"/>
      <c r="U119" s="39"/>
      <c r="V119" s="37"/>
      <c r="W119" s="91" t="str">
        <f t="shared" si="45"/>
        <v>Budget</v>
      </c>
      <c r="X119" s="2523" t="e">
        <f ca="1">_PL!X119</f>
        <v>#NAME?</v>
      </c>
      <c r="Y119" s="2371"/>
      <c r="Z119" s="198" t="str" cm="1">
        <f t="array" ref="Z119">IFBLANK(Z63,"")</f>
        <v/>
      </c>
      <c r="AA119" s="200" t="str" cm="1">
        <f t="array" ca="1" aca="1" ref="AA119">_xlfn.LET(_xlpm._termname,$Y119,_xlpm._icon,"Define",_xlpm._location,_xlfn.XLOOKUP(_xlpm._termname,$Y$249:$Y$338,$Y$249:$Y$338),_xlpm._hyperlink,HYPERLINK("#"&amp;CELL("address",_xlpm._location),_xlpm._icon),IF(Y119="","",_xlpm._hyperlink))</f>
        <v/>
      </c>
      <c r="AB119" s="2525" t="str">
        <f ca="1"/>
        <v/>
      </c>
      <c r="AC119" s="124" t="str" cm="1">
        <f t="array" ca="1" aca="1" ref="AC119">_xlfn.LET(_xlpm._termname,$AB119,_xlpm._iconname,"find",_xlpm._icon,fx_getIcon(_xlpm._iconname),_xlpm._location,_xlfn.XLOOKUP(LOWER(_xlpm._termname),LOWER(tbl_acctDef[Term]),tbl_acctDef[Term]),_xlpm._hyperlink,HYPERLINK("#"&amp;CELL("address",_xlpm._location),_xlpm._icon),IFERROR(_xlpm._hyperlink,""))</f>
        <v/>
      </c>
      <c r="AD119" s="1661" t="str" cm="1">
        <f t="array" ref="AD119">IF($Y119="","",_xlfn.XLOOKUP($W119&amp;$Y119,$W$250:$W$338&amp;$Y$250:$Y$338,$AD$250:$BN$338))</f>
        <v/>
      </c>
      <c r="AE119" s="2534"/>
      <c r="AF119" s="2534"/>
      <c r="AG119" s="2534"/>
      <c r="AH119" s="2534"/>
      <c r="AI119" s="2534"/>
      <c r="AJ119" s="2534"/>
      <c r="AK119" s="2534"/>
      <c r="AL119" s="2534"/>
      <c r="AM119" s="2534"/>
      <c r="AN119" s="2534"/>
      <c r="AO119" s="2534"/>
      <c r="AP119" s="2534"/>
      <c r="AQ119" s="2534"/>
      <c r="AR119" s="2534"/>
      <c r="AS119" s="2534"/>
      <c r="AT119" s="2534"/>
      <c r="AU119" s="2534"/>
      <c r="AV119" s="2534"/>
      <c r="AW119" s="2534"/>
      <c r="AX119" s="2534"/>
      <c r="AY119" s="2534"/>
      <c r="AZ119" s="2534"/>
      <c r="BA119" s="2534"/>
      <c r="BB119" s="2534"/>
      <c r="BC119" s="2534"/>
      <c r="BD119" s="2534"/>
      <c r="BE119" s="2534"/>
      <c r="BF119" s="2534"/>
      <c r="BG119" s="2534"/>
      <c r="BH119" s="2534"/>
      <c r="BI119" s="2534"/>
      <c r="BJ119" s="2534"/>
      <c r="BK119" s="2534"/>
      <c r="BL119" s="2534"/>
      <c r="BM119" s="2534"/>
      <c r="BN119" s="2535"/>
      <c r="BO119" s="2536"/>
      <c r="BP119" s="2536"/>
      <c r="BQ119" s="2536"/>
      <c r="BR119" s="2536"/>
      <c r="BS119" s="2536"/>
      <c r="BT119" s="2536"/>
      <c r="BU119" s="2536"/>
      <c r="BV119" s="2536"/>
      <c r="BW119" s="2536"/>
      <c r="BX119" s="2536"/>
      <c r="BY119" s="2536"/>
      <c r="BZ119" s="2536"/>
      <c r="CA119" s="34"/>
      <c r="CC119" s="33"/>
      <c r="CD119" s="1772" t="str" cm="1">
        <f t="array" ref="CD119">_xlfn.LET(_xlpm.CheckBlank,SUM(PL!$AD119:$BN119)=0,IF(_xlpm.CheckBlank,"",SUM(_xlfn._xlws.FILTER(PL!$AD119:$BN119,(YEAR(PL!$AD$12:$BN$12)=PL!CD$12)*(array_timeline&lt;=PL!CD$11)))))</f>
        <v/>
      </c>
      <c r="CE119" s="1772" t="str" cm="1">
        <f t="array" ref="CE119">_xlfn.LET(_xlpm.CheckBlank,SUM(PL!$AD119:$BN119)=0,IF(_xlpm.CheckBlank,"",SUM(_xlfn._xlws.FILTER(PL!$AD119:$BN119,(YEAR(PL!$AD$12:$BN$12)=PL!CE$12)*(array_timeline&lt;=PL!CE$11)))))</f>
        <v/>
      </c>
      <c r="CF119" s="88"/>
      <c r="CG119" s="1461" t="str" cm="1">
        <f t="array" ref="CG119">_xlfn.LET(_xlpm.CheckBlank,SUM(PL!$AD119:$BN119)=0,IF(_xlpm.CheckBlank,"",SUM(_xlfn._xlws.FILTER(PL!$AD119:$BN119,(YEAR(PL!$AD$12:$BN$12)=PL!CG$12)*(array_timeline&lt;=PL!CG$11)))))</f>
        <v/>
      </c>
      <c r="CH119" s="1461" t="str" cm="1">
        <f t="array" ref="CH119">_xlfn.LET(_xlpm.CheckBlank,SUM(PL!$AD119:$BN119)=0,IF(_xlpm.CheckBlank,"",SUM(_xlfn._xlws.FILTER(PL!$AD119:$BN119,(YEAR(PL!$AD$12:$BN$12)=PL!CH$12)*(array_timeline&lt;=PL!CH$11)))))</f>
        <v/>
      </c>
      <c r="CI119" s="88"/>
      <c r="CJ119" s="1461" t="str" cm="1">
        <f t="array" ref="CJ119">_xlfn.LET(_xlpm.CheckBlank,SUM(PL!$AD119:$BN119)=0,IF(_xlpm.CheckBlank,"",SUM(_xlfn.TAKE(_xlfn.DROP(PL!$AD119:$BN119,,-DATEDIFF(PL!CJ$11,val_asOfDate,"M")),1,-12))))</f>
        <v/>
      </c>
      <c r="CK119" s="1461" t="str" cm="1">
        <f t="array" ref="CK119">_xlfn.LET(_xlpm.CheckBlank,SUM(PL!$AD119:$BN119)=0,IF(_xlpm.CheckBlank,"",SUM(_xlfn.TAKE(_xlfn.DROP(PL!$AD119:$BN119,,-DATEDIFF(PL!CK$11,val_asOfDate,"M")),1,-12))))</f>
        <v/>
      </c>
      <c r="CL119" s="88"/>
      <c r="CM119" s="2357" t="str" cm="1">
        <f t="array" ref="CM119">IF($Y119="","",_xlfn.XLOOKUP($W119&amp;$Y119,$W$250:$W$338&amp;$Y$250:$Y$338,$CM$250:$CN$338))</f>
        <v/>
      </c>
      <c r="CN119" s="2357"/>
      <c r="CO119" s="3"/>
      <c r="CP119" s="2357" t="str" cm="1">
        <f t="array" ref="CP119">IF($Y119="","",_xlfn.XLOOKUP($W119&amp;$Y119,$W$250:$W$338&amp;$Y$250:$Y$338,$CP$250:$CQ$338))</f>
        <v/>
      </c>
      <c r="CQ119" s="2357"/>
      <c r="CR119" s="34"/>
      <c r="CS119" s="2056"/>
      <c r="CT119" s="2616"/>
      <c r="CU119" s="2616"/>
      <c r="CV119" s="2616"/>
      <c r="CW119" s="2616"/>
      <c r="CX119" s="2443"/>
      <c r="CY119" s="2444" t="str" cm="1">
        <f t="array" ref="CY119">IFERROR(IF(CM119*fxVal_normal=_PL!CM123,"",IF(OR($CM119="",$CM119=0,NOT(ISNUMBER($CM119)),ISERROR($CM119),$B119=""),"",IF($I119=1,IFBLANK(_xldudf_CX_PUSH($CM119*fxVal_normal,CX_ENTITY,$B119,$CM$11,$CM$14,$CM$19,),""),IF($I119=2,IFBLANK(_xldudf_CX_PUSH($CM119,CX_ENTITY,$B119,$CM$11,$CM$14,$CM$19,),""),IF($I119=3,"",IFBLANK(_xldudf_CX_PUSH($CM119,CX_ENTITY,$B119,$CM$11,$CM$14,$CM$19,),"")))))),"")</f>
        <v/>
      </c>
      <c r="CZ119" s="2444" t="str" cm="1">
        <f t="array" ref="CZ119">IFERROR(IF(CN119*fxVal_normal=_PL!CN123,"",IF(OR($CN119="",$CN119=0,NOT(ISNUMBER($CN119)),ISERROR($CN119),$B119=""),"",IF($I119=1,IFBLANK(_xldudf_CX_PUSH($CN119*fxVal_normal,CX_ENTITY,$B119,$CN$11,$CN$14,$CN$19,),""),IF($I119=2,IFBLANK(_xldudf_CX_PUSH($CN119,CX_ENTITY,$B119,$CN$11,$CN$14,$CN$19,),""),IF($I119=3,"",IFBLANK(_xldudf_CX_PUSH($CN119,CX_ENTITY,$B119,$CN$11,$CN$14,$CN$19,),"")))))),"")</f>
        <v/>
      </c>
      <c r="DA119" s="2444" t="str" cm="1">
        <f t="array" ref="DA119">IFERROR(IF(CP119*fxVal_normal=_PL!CP123,"",IF(OR($CP119="",$CP119=0,NOT(ISNUMBER($CP119)),ISERROR($CP119),$B119=""),"",IF($I119=1,IFBLANK(_xldudf_CX_PUSH($CP119*fxVal_normal,CX_ENTITY,$B119,$CP$11,$CP$14,$CP$19,),""),IF($I119=2,IFBLANK(_xldudf_CX_PUSH($CP119,CX_ENTITY,$B119,$CP$11,$CP$14,$CP$19,),""),IF($I119=3,"",IFBLANK(_xldudf_CX_PUSH($CP119,CX_ENTITY,$B119,$CP$11,$CP$14,$CP$19,),"")))))),"")</f>
        <v/>
      </c>
      <c r="DB119" s="2444" t="str" cm="1">
        <f t="array" ref="DB119">IFERROR(IF(CQ119*fxVal_normal=_PL!CQ123,"",IF(OR($CQ119="",$CQ119=0,NOT(ISNUMBER($CQ119)),ISERROR($CQ119),$B119=""),"",IF($I119=1,IFBLANK(_xldudf_CX_PUSH($CQ119*fxVal_normal,CX_ENTITY,$B119,$CQ$11,$CQ$14,$CQ$19,),""),IF($I119=2,IFBLANK(_xldudf_CX_PUSH($CQ119,CX_ENTITY,$B119,$CQ$11,$CQ$14,$CQ$19,),""),IF($I119=3,"",IFBLANK(_xldudf_CX_PUSH($CQ119,CX_ENTITY,$B119,$CQ$11,$CQ$14,$CQ$19,),"")))))),"")</f>
        <v/>
      </c>
      <c r="DC119" s="2443"/>
      <c r="DD119" s="2445" t="str" cm="1">
        <f t="array" ref="DD119">IFERROR(IF(AD119*fxVal_normal=_PL!AD123,"",IF(OR(AD119="",NOT(ISNUMBER(AD119)),ISERROR(AD119),$B119=""),"",IF($I119=1,IFBLANK(_xldudf_CX_PUSH(AD119*fxVal_normal,CX_ENTITY,$B119,AD$11,AD$14,AD$75,),""),IF($I119=2,IFBLANK(_xldudf_CX_PUSH(AD119,CX_ENTITY,$B119,AD$11,AD$14,AD$75,),""),IF($I119=3,"",IFBLANK(_xldudf_CX_PUSH(AD119,CX_ENTITY,$B119,AD$11,AD$14,AD$75,),"")))))),"")</f>
        <v/>
      </c>
      <c r="DE119" s="2445" t="str" cm="1">
        <f t="array" ref="DE119">IFERROR(IF(AE119*fxVal_normal=_PL!AE123,"",IF(OR(AE119="",NOT(ISNUMBER(AE119)),ISERROR(AE119),$B119=""),"",IF($I119=1,IFBLANK(_xldudf_CX_PUSH(AE119*fxVal_normal,CX_ENTITY,$B119,AE$11,AE$14,AE$75,),""),IF($I119=2,IFBLANK(_xldudf_CX_PUSH(AE119,CX_ENTITY,$B119,AE$11,AE$14,AE$75,),""),IF($I119=3,"",IFBLANK(_xldudf_CX_PUSH(AE119,CX_ENTITY,$B119,AE$11,AE$14,AE$75,),"")))))),"")</f>
        <v/>
      </c>
      <c r="DF119" s="2445" t="str" cm="1">
        <f t="array" ref="DF119">IFERROR(IF(AF119*fxVal_normal=_PL!AF123,"",IF(OR(AF119="",NOT(ISNUMBER(AF119)),ISERROR(AF119),$B119=""),"",IF($I119=1,IFBLANK(_xldudf_CX_PUSH(AF119*fxVal_normal,CX_ENTITY,$B119,AF$11,AF$14,AF$75,),""),IF($I119=2,IFBLANK(_xldudf_CX_PUSH(AF119,CX_ENTITY,$B119,AF$11,AF$14,AF$75,),""),IF($I119=3,"",IFBLANK(_xldudf_CX_PUSH(AF119,CX_ENTITY,$B119,AF$11,AF$14,AF$75,),"")))))),"")</f>
        <v/>
      </c>
      <c r="DG119" s="2445" t="str" cm="1">
        <f t="array" ref="DG119">IFERROR(IF(AG119*fxVal_normal=_PL!AG123,"",IF(OR(AG119="",NOT(ISNUMBER(AG119)),ISERROR(AG119),$B119=""),"",IF($I119=1,IFBLANK(_xldudf_CX_PUSH(AG119*fxVal_normal,CX_ENTITY,$B119,AG$11,AG$14,AG$75,),""),IF($I119=2,IFBLANK(_xldudf_CX_PUSH(AG119,CX_ENTITY,$B119,AG$11,AG$14,AG$75,),""),IF($I119=3,"",IFBLANK(_xldudf_CX_PUSH(AG119,CX_ENTITY,$B119,AG$11,AG$14,AG$75,),"")))))),"")</f>
        <v/>
      </c>
      <c r="DH119" s="2445" t="str" cm="1">
        <f t="array" ref="DH119">IFERROR(IF(AH119*fxVal_normal=_PL!AH123,"",IF(OR(AH119="",NOT(ISNUMBER(AH119)),ISERROR(AH119),$B119=""),"",IF($I119=1,IFBLANK(_xldudf_CX_PUSH(AH119*fxVal_normal,CX_ENTITY,$B119,AH$11,AH$14,AH$75,),""),IF($I119=2,IFBLANK(_xldudf_CX_PUSH(AH119,CX_ENTITY,$B119,AH$11,AH$14,AH$75,),""),IF($I119=3,"",IFBLANK(_xldudf_CX_PUSH(AH119,CX_ENTITY,$B119,AH$11,AH$14,AH$75,),"")))))),"")</f>
        <v/>
      </c>
      <c r="DI119" s="2445" t="str" cm="1">
        <f t="array" ref="DI119">IFERROR(IF(AI119*fxVal_normal=_PL!AI123,"",IF(OR(AI119="",NOT(ISNUMBER(AI119)),ISERROR(AI119),$B119=""),"",IF($I119=1,IFBLANK(_xldudf_CX_PUSH(AI119*fxVal_normal,CX_ENTITY,$B119,AI$11,AI$14,AI$75,),""),IF($I119=2,IFBLANK(_xldudf_CX_PUSH(AI119,CX_ENTITY,$B119,AI$11,AI$14,AI$75,),""),IF($I119=3,"",IFBLANK(_xldudf_CX_PUSH(AI119,CX_ENTITY,$B119,AI$11,AI$14,AI$75,),"")))))),"")</f>
        <v/>
      </c>
      <c r="DJ119" s="2445" t="str" cm="1">
        <f t="array" ref="DJ119">IFERROR(IF(AJ119*fxVal_normal=_PL!AJ123,"",IF(OR(AJ119="",NOT(ISNUMBER(AJ119)),ISERROR(AJ119),$B119=""),"",IF($I119=1,IFBLANK(_xldudf_CX_PUSH(AJ119*fxVal_normal,CX_ENTITY,$B119,AJ$11,AJ$14,AJ$75,),""),IF($I119=2,IFBLANK(_xldudf_CX_PUSH(AJ119,CX_ENTITY,$B119,AJ$11,AJ$14,AJ$75,),""),IF($I119=3,"",IFBLANK(_xldudf_CX_PUSH(AJ119,CX_ENTITY,$B119,AJ$11,AJ$14,AJ$75,),"")))))),"")</f>
        <v/>
      </c>
      <c r="DK119" s="2445" t="str" cm="1">
        <f t="array" ref="DK119">IFERROR(IF(AK119*fxVal_normal=_PL!AK123,"",IF(OR(AK119="",NOT(ISNUMBER(AK119)),ISERROR(AK119),$B119=""),"",IF($I119=1,IFBLANK(_xldudf_CX_PUSH(AK119*fxVal_normal,CX_ENTITY,$B119,AK$11,AK$14,AK$75,),""),IF($I119=2,IFBLANK(_xldudf_CX_PUSH(AK119,CX_ENTITY,$B119,AK$11,AK$14,AK$75,),""),IF($I119=3,"",IFBLANK(_xldudf_CX_PUSH(AK119,CX_ENTITY,$B119,AK$11,AK$14,AK$75,),"")))))),"")</f>
        <v/>
      </c>
      <c r="DL119" s="2445" t="str" cm="1">
        <f t="array" ref="DL119">IFERROR(IF(AL119*fxVal_normal=_PL!AL123,"",IF(OR(AL119="",NOT(ISNUMBER(AL119)),ISERROR(AL119),$B119=""),"",IF($I119=1,IFBLANK(_xldudf_CX_PUSH(AL119*fxVal_normal,CX_ENTITY,$B119,AL$11,AL$14,AL$75,),""),IF($I119=2,IFBLANK(_xldudf_CX_PUSH(AL119,CX_ENTITY,$B119,AL$11,AL$14,AL$75,),""),IF($I119=3,"",IFBLANK(_xldudf_CX_PUSH(AL119,CX_ENTITY,$B119,AL$11,AL$14,AL$75,),"")))))),"")</f>
        <v/>
      </c>
      <c r="DM119" s="2445" t="str" cm="1">
        <f t="array" ref="DM119">IFERROR(IF(AM119*fxVal_normal=_PL!AM123,"",IF(OR(AM119="",NOT(ISNUMBER(AM119)),ISERROR(AM119),$B119=""),"",IF($I119=1,IFBLANK(_xldudf_CX_PUSH(AM119*fxVal_normal,CX_ENTITY,$B119,AM$11,AM$14,AM$75,),""),IF($I119=2,IFBLANK(_xldudf_CX_PUSH(AM119,CX_ENTITY,$B119,AM$11,AM$14,AM$75,),""),IF($I119=3,"",IFBLANK(_xldudf_CX_PUSH(AM119,CX_ENTITY,$B119,AM$11,AM$14,AM$75,),"")))))),"")</f>
        <v/>
      </c>
      <c r="DN119" s="2445" t="str" cm="1">
        <f t="array" ref="DN119">IFERROR(IF(AN119*fxVal_normal=_PL!AN123,"",IF(OR(AN119="",NOT(ISNUMBER(AN119)),ISERROR(AN119),$B119=""),"",IF($I119=1,IFBLANK(_xldudf_CX_PUSH(AN119*fxVal_normal,CX_ENTITY,$B119,AN$11,AN$14,AN$75,),""),IF($I119=2,IFBLANK(_xldudf_CX_PUSH(AN119,CX_ENTITY,$B119,AN$11,AN$14,AN$75,),""),IF($I119=3,"",IFBLANK(_xldudf_CX_PUSH(AN119,CX_ENTITY,$B119,AN$11,AN$14,AN$75,),"")))))),"")</f>
        <v/>
      </c>
      <c r="DO119" s="2445" t="str" cm="1">
        <f t="array" ref="DO119">IFERROR(IF(AO119*fxVal_normal=_PL!AO123,"",IF(OR(AO119="",NOT(ISNUMBER(AO119)),ISERROR(AO119),$B119=""),"",IF($I119=1,IFBLANK(_xldudf_CX_PUSH(AO119*fxVal_normal,CX_ENTITY,$B119,AO$11,AO$14,AO$75,),""),IF($I119=2,IFBLANK(_xldudf_CX_PUSH(AO119,CX_ENTITY,$B119,AO$11,AO$14,AO$75,),""),IF($I119=3,"",IFBLANK(_xldudf_CX_PUSH(AO119,CX_ENTITY,$B119,AO$11,AO$14,AO$75,),"")))))),"")</f>
        <v/>
      </c>
      <c r="DP119" s="2445" t="str" cm="1">
        <f t="array" ref="DP119">IFERROR(IF(AP119*fxVal_normal=_PL!AP123,"",IF(OR(AP119="",NOT(ISNUMBER(AP119)),ISERROR(AP119),$B119=""),"",IF($I119=1,IFBLANK(_xldudf_CX_PUSH(AP119*fxVal_normal,CX_ENTITY,$B119,AP$11,AP$14,AP$75,),""),IF($I119=2,IFBLANK(_xldudf_CX_PUSH(AP119,CX_ENTITY,$B119,AP$11,AP$14,AP$75,),""),IF($I119=3,"",IFBLANK(_xldudf_CX_PUSH(AP119,CX_ENTITY,$B119,AP$11,AP$14,AP$75,),"")))))),"")</f>
        <v/>
      </c>
      <c r="DQ119" s="2445" t="str" cm="1">
        <f t="array" ref="DQ119">IFERROR(IF(AQ119*fxVal_normal=_PL!AQ123,"",IF(OR(AQ119="",NOT(ISNUMBER(AQ119)),ISERROR(AQ119),$B119=""),"",IF($I119=1,IFBLANK(_xldudf_CX_PUSH(AQ119*fxVal_normal,CX_ENTITY,$B119,AQ$11,AQ$14,AQ$75,),""),IF($I119=2,IFBLANK(_xldudf_CX_PUSH(AQ119,CX_ENTITY,$B119,AQ$11,AQ$14,AQ$75,),""),IF($I119=3,"",IFBLANK(_xldudf_CX_PUSH(AQ119,CX_ENTITY,$B119,AQ$11,AQ$14,AQ$75,),"")))))),"")</f>
        <v/>
      </c>
      <c r="DR119" s="2445" t="str" cm="1">
        <f t="array" ref="DR119">IFERROR(IF(AR119*fxVal_normal=_PL!AR123,"",IF(OR(AR119="",NOT(ISNUMBER(AR119)),ISERROR(AR119),$B119=""),"",IF($I119=1,IFBLANK(_xldudf_CX_PUSH(AR119*fxVal_normal,CX_ENTITY,$B119,AR$11,AR$14,AR$75,),""),IF($I119=2,IFBLANK(_xldudf_CX_PUSH(AR119,CX_ENTITY,$B119,AR$11,AR$14,AR$75,),""),IF($I119=3,"",IFBLANK(_xldudf_CX_PUSH(AR119,CX_ENTITY,$B119,AR$11,AR$14,AR$75,),"")))))),"")</f>
        <v/>
      </c>
      <c r="DS119" s="2445" t="str" cm="1">
        <f t="array" ref="DS119">IFERROR(IF(AS119*fxVal_normal=_PL!AS123,"",IF(OR(AS119="",NOT(ISNUMBER(AS119)),ISERROR(AS119),$B119=""),"",IF($I119=1,IFBLANK(_xldudf_CX_PUSH(AS119*fxVal_normal,CX_ENTITY,$B119,AS$11,AS$14,AS$75,),""),IF($I119=2,IFBLANK(_xldudf_CX_PUSH(AS119,CX_ENTITY,$B119,AS$11,AS$14,AS$75,),""),IF($I119=3,"",IFBLANK(_xldudf_CX_PUSH(AS119,CX_ENTITY,$B119,AS$11,AS$14,AS$75,),"")))))),"")</f>
        <v/>
      </c>
      <c r="DT119" s="2445" t="str" cm="1">
        <f t="array" ref="DT119">IFERROR(IF(AT119*fxVal_normal=_PL!AT123,"",IF(OR(AT119="",NOT(ISNUMBER(AT119)),ISERROR(AT119),$B119=""),"",IF($I119=1,IFBLANK(_xldudf_CX_PUSH(AT119*fxVal_normal,CX_ENTITY,$B119,AT$11,AT$14,AT$75,),""),IF($I119=2,IFBLANK(_xldudf_CX_PUSH(AT119,CX_ENTITY,$B119,AT$11,AT$14,AT$75,),""),IF($I119=3,"",IFBLANK(_xldudf_CX_PUSH(AT119,CX_ENTITY,$B119,AT$11,AT$14,AT$75,),"")))))),"")</f>
        <v/>
      </c>
      <c r="DU119" s="2445" t="str" cm="1">
        <f t="array" ref="DU119">IFERROR(IF(AU119*fxVal_normal=_PL!AU123,"",IF(OR(AU119="",NOT(ISNUMBER(AU119)),ISERROR(AU119),$B119=""),"",IF($I119=1,IFBLANK(_xldudf_CX_PUSH(AU119*fxVal_normal,CX_ENTITY,$B119,AU$11,AU$14,AU$75,),""),IF($I119=2,IFBLANK(_xldudf_CX_PUSH(AU119,CX_ENTITY,$B119,AU$11,AU$14,AU$75,),""),IF($I119=3,"",IFBLANK(_xldudf_CX_PUSH(AU119,CX_ENTITY,$B119,AU$11,AU$14,AU$75,),"")))))),"")</f>
        <v/>
      </c>
      <c r="DV119" s="2445" t="str" cm="1">
        <f t="array" ref="DV119">IFERROR(IF(AV119*fxVal_normal=_PL!AV123,"",IF(OR(AV119="",NOT(ISNUMBER(AV119)),ISERROR(AV119),$B119=""),"",IF($I119=1,IFBLANK(_xldudf_CX_PUSH(AV119*fxVal_normal,CX_ENTITY,$B119,AV$11,AV$14,AV$75,),""),IF($I119=2,IFBLANK(_xldudf_CX_PUSH(AV119,CX_ENTITY,$B119,AV$11,AV$14,AV$75,),""),IF($I119=3,"",IFBLANK(_xldudf_CX_PUSH(AV119,CX_ENTITY,$B119,AV$11,AV$14,AV$75,),"")))))),"")</f>
        <v/>
      </c>
      <c r="DW119" s="2445" t="str" cm="1">
        <f t="array" ref="DW119">IFERROR(IF(AW119*fxVal_normal=_PL!AW123,"",IF(OR(AW119="",NOT(ISNUMBER(AW119)),ISERROR(AW119),$B119=""),"",IF($I119=1,IFBLANK(_xldudf_CX_PUSH(AW119*fxVal_normal,CX_ENTITY,$B119,AW$11,AW$14,AW$75,),""),IF($I119=2,IFBLANK(_xldudf_CX_PUSH(AW119,CX_ENTITY,$B119,AW$11,AW$14,AW$75,),""),IF($I119=3,"",IFBLANK(_xldudf_CX_PUSH(AW119,CX_ENTITY,$B119,AW$11,AW$14,AW$75,),"")))))),"")</f>
        <v/>
      </c>
      <c r="DX119" s="2445" t="str" cm="1">
        <f t="array" ref="DX119">IFERROR(IF(AX119*fxVal_normal=_PL!AX123,"",IF(OR(AX119="",NOT(ISNUMBER(AX119)),ISERROR(AX119),$B119=""),"",IF($I119=1,IFBLANK(_xldudf_CX_PUSH(AX119*fxVal_normal,CX_ENTITY,$B119,AX$11,AX$14,AX$75,),""),IF($I119=2,IFBLANK(_xldudf_CX_PUSH(AX119,CX_ENTITY,$B119,AX$11,AX$14,AX$75,),""),IF($I119=3,"",IFBLANK(_xldudf_CX_PUSH(AX119,CX_ENTITY,$B119,AX$11,AX$14,AX$75,),"")))))),"")</f>
        <v/>
      </c>
      <c r="DY119" s="2445" t="str" cm="1">
        <f t="array" ref="DY119">IFERROR(IF(AY119*fxVal_normal=_PL!AY123,"",IF(OR(AY119="",NOT(ISNUMBER(AY119)),ISERROR(AY119),$B119=""),"",IF($I119=1,IFBLANK(_xldudf_CX_PUSH(AY119*fxVal_normal,CX_ENTITY,$B119,AY$11,AY$14,AY$75,),""),IF($I119=2,IFBLANK(_xldudf_CX_PUSH(AY119,CX_ENTITY,$B119,AY$11,AY$14,AY$75,),""),IF($I119=3,"",IFBLANK(_xldudf_CX_PUSH(AY119,CX_ENTITY,$B119,AY$11,AY$14,AY$75,),"")))))),"")</f>
        <v/>
      </c>
      <c r="DZ119" s="2445" t="str" cm="1">
        <f t="array" ref="DZ119">IFERROR(IF(AZ119*fxVal_normal=_PL!AZ123,"",IF(OR(AZ119="",NOT(ISNUMBER(AZ119)),ISERROR(AZ119),$B119=""),"",IF($I119=1,IFBLANK(_xldudf_CX_PUSH(AZ119*fxVal_normal,CX_ENTITY,$B119,AZ$11,AZ$14,AZ$75,),""),IF($I119=2,IFBLANK(_xldudf_CX_PUSH(AZ119,CX_ENTITY,$B119,AZ$11,AZ$14,AZ$75,),""),IF($I119=3,"",IFBLANK(_xldudf_CX_PUSH(AZ119,CX_ENTITY,$B119,AZ$11,AZ$14,AZ$75,),"")))))),"")</f>
        <v/>
      </c>
      <c r="EA119" s="2445" t="str" cm="1">
        <f t="array" ref="EA119">IFERROR(IF(BA119*fxVal_normal=_PL!BA123,"",IF(OR(BA119="",NOT(ISNUMBER(BA119)),ISERROR(BA119),$B119=""),"",IF($I119=1,IFBLANK(_xldudf_CX_PUSH(BA119*fxVal_normal,CX_ENTITY,$B119,BA$11,BA$14,BA$75,),""),IF($I119=2,IFBLANK(_xldudf_CX_PUSH(BA119,CX_ENTITY,$B119,BA$11,BA$14,BA$75,),""),IF($I119=3,"",IFBLANK(_xldudf_CX_PUSH(BA119,CX_ENTITY,$B119,BA$11,BA$14,BA$75,),"")))))),"")</f>
        <v/>
      </c>
      <c r="EB119" s="2445" t="str" cm="1">
        <f t="array" ref="EB119">IFERROR(IF(BB119*fxVal_normal=_PL!BB123,"",IF(OR(BB119="",NOT(ISNUMBER(BB119)),ISERROR(BB119),$B119=""),"",IF($I119=1,IFBLANK(_xldudf_CX_PUSH(BB119*fxVal_normal,CX_ENTITY,$B119,BB$11,BB$14,BB$75,),""),IF($I119=2,IFBLANK(_xldudf_CX_PUSH(BB119,CX_ENTITY,$B119,BB$11,BB$14,BB$75,),""),IF($I119=3,"",IFBLANK(_xldudf_CX_PUSH(BB119,CX_ENTITY,$B119,BB$11,BB$14,BB$75,),"")))))),"")</f>
        <v/>
      </c>
      <c r="EC119" s="2445" t="str" cm="1">
        <f t="array" ref="EC119">IFERROR(IF(BC119*fxVal_normal=_PL!BC123,"",IF(OR(BC119="",NOT(ISNUMBER(BC119)),ISERROR(BC119),$B119=""),"",IF($I119=1,IFBLANK(_xldudf_CX_PUSH(BC119*fxVal_normal,CX_ENTITY,$B119,BC$11,BC$14,BC$75,),""),IF($I119=2,IFBLANK(_xldudf_CX_PUSH(BC119,CX_ENTITY,$B119,BC$11,BC$14,BC$75,),""),IF($I119=3,"",IFBLANK(_xldudf_CX_PUSH(BC119,CX_ENTITY,$B119,BC$11,BC$14,BC$75,),"")))))),"")</f>
        <v/>
      </c>
      <c r="ED119" s="2445" t="str" cm="1">
        <f t="array" ref="ED119">IFERROR(IF(BD119*fxVal_normal=_PL!BD123,"",IF(OR(BD119="",NOT(ISNUMBER(BD119)),ISERROR(BD119),$B119=""),"",IF($I119=1,IFBLANK(_xldudf_CX_PUSH(BD119*fxVal_normal,CX_ENTITY,$B119,BD$11,BD$14,BD$75,),""),IF($I119=2,IFBLANK(_xldudf_CX_PUSH(BD119,CX_ENTITY,$B119,BD$11,BD$14,BD$75,),""),IF($I119=3,"",IFBLANK(_xldudf_CX_PUSH(BD119,CX_ENTITY,$B119,BD$11,BD$14,BD$75,),"")))))),"")</f>
        <v/>
      </c>
      <c r="EE119" s="2445" t="str" cm="1">
        <f t="array" ref="EE119">IFERROR(IF(BE119*fxVal_normal=_PL!BE123,"",IF(OR(BE119="",NOT(ISNUMBER(BE119)),ISERROR(BE119),$B119=""),"",IF($I119=1,IFBLANK(_xldudf_CX_PUSH(BE119*fxVal_normal,CX_ENTITY,$B119,BE$11,BE$14,BE$75,),""),IF($I119=2,IFBLANK(_xldudf_CX_PUSH(BE119,CX_ENTITY,$B119,BE$11,BE$14,BE$75,),""),IF($I119=3,"",IFBLANK(_xldudf_CX_PUSH(BE119,CX_ENTITY,$B119,BE$11,BE$14,BE$75,),"")))))),"")</f>
        <v/>
      </c>
      <c r="EF119" s="2445" t="str" cm="1">
        <f t="array" ref="EF119">IFERROR(IF(BF119*fxVal_normal=_PL!BF123,"",IF(OR(BF119="",NOT(ISNUMBER(BF119)),ISERROR(BF119),$B119=""),"",IF($I119=1,IFBLANK(_xldudf_CX_PUSH(BF119*fxVal_normal,CX_ENTITY,$B119,BF$11,BF$14,BF$75,),""),IF($I119=2,IFBLANK(_xldudf_CX_PUSH(BF119,CX_ENTITY,$B119,BF$11,BF$14,BF$75,),""),IF($I119=3,"",IFBLANK(_xldudf_CX_PUSH(BF119,CX_ENTITY,$B119,BF$11,BF$14,BF$75,),"")))))),"")</f>
        <v/>
      </c>
      <c r="EG119" s="2445" t="str" cm="1">
        <f t="array" ref="EG119">IFERROR(IF(BG119*fxVal_normal=_PL!BG123,"",IF(OR(BG119="",NOT(ISNUMBER(BG119)),ISERROR(BG119),$B119=""),"",IF($I119=1,IFBLANK(_xldudf_CX_PUSH(BG119*fxVal_normal,CX_ENTITY,$B119,BG$11,BG$14,BG$75,),""),IF($I119=2,IFBLANK(_xldudf_CX_PUSH(BG119,CX_ENTITY,$B119,BG$11,BG$14,BG$75,),""),IF($I119=3,"",IFBLANK(_xldudf_CX_PUSH(BG119,CX_ENTITY,$B119,BG$11,BG$14,BG$75,),"")))))),"")</f>
        <v/>
      </c>
      <c r="EH119" s="2445" t="str" cm="1">
        <f t="array" ref="EH119">IFERROR(IF(BH119*fxVal_normal=_PL!BH123,"",IF(OR(BH119="",NOT(ISNUMBER(BH119)),ISERROR(BH119),$B119=""),"",IF($I119=1,IFBLANK(_xldudf_CX_PUSH(BH119*fxVal_normal,CX_ENTITY,$B119,BH$11,BH$14,BH$75,),""),IF($I119=2,IFBLANK(_xldudf_CX_PUSH(BH119,CX_ENTITY,$B119,BH$11,BH$14,BH$75,),""),IF($I119=3,"",IFBLANK(_xldudf_CX_PUSH(BH119,CX_ENTITY,$B119,BH$11,BH$14,BH$75,),"")))))),"")</f>
        <v/>
      </c>
      <c r="EI119" s="2445" t="str" cm="1">
        <f t="array" ref="EI119">IFERROR(IF(BI119*fxVal_normal=_PL!BI123,"",IF(OR(BI119="",NOT(ISNUMBER(BI119)),ISERROR(BI119),$B119=""),"",IF($I119=1,IFBLANK(_xldudf_CX_PUSH(BI119*fxVal_normal,CX_ENTITY,$B119,BI$11,BI$14,BI$75,),""),IF($I119=2,IFBLANK(_xldudf_CX_PUSH(BI119,CX_ENTITY,$B119,BI$11,BI$14,BI$75,),""),IF($I119=3,"",IFBLANK(_xldudf_CX_PUSH(BI119,CX_ENTITY,$B119,BI$11,BI$14,BI$75,),"")))))),"")</f>
        <v/>
      </c>
      <c r="EJ119" s="2445" t="str" cm="1">
        <f t="array" ref="EJ119">IFERROR(IF(BJ119*fxVal_normal=_PL!BJ123,"",IF(OR(BJ119="",NOT(ISNUMBER(BJ119)),ISERROR(BJ119),$B119=""),"",IF($I119=1,IFBLANK(_xldudf_CX_PUSH(BJ119*fxVal_normal,CX_ENTITY,$B119,BJ$11,BJ$14,BJ$75,),""),IF($I119=2,IFBLANK(_xldudf_CX_PUSH(BJ119,CX_ENTITY,$B119,BJ$11,BJ$14,BJ$75,),""),IF($I119=3,"",IFBLANK(_xldudf_CX_PUSH(BJ119,CX_ENTITY,$B119,BJ$11,BJ$14,BJ$75,),"")))))),"")</f>
        <v/>
      </c>
      <c r="EK119" s="2445" t="str" cm="1">
        <f t="array" ref="EK119">IFERROR(IF(BK119*fxVal_normal=_PL!BK123,"",IF(OR(BK119="",NOT(ISNUMBER(BK119)),ISERROR(BK119),$B119=""),"",IF($I119=1,IFBLANK(_xldudf_CX_PUSH(BK119*fxVal_normal,CX_ENTITY,$B119,BK$11,BK$14,BK$75,),""),IF($I119=2,IFBLANK(_xldudf_CX_PUSH(BK119,CX_ENTITY,$B119,BK$11,BK$14,BK$75,),""),IF($I119=3,"",IFBLANK(_xldudf_CX_PUSH(BK119,CX_ENTITY,$B119,BK$11,BK$14,BK$75,),"")))))),"")</f>
        <v/>
      </c>
      <c r="EL119" s="2445" t="str" cm="1">
        <f t="array" ref="EL119">IFERROR(IF(BL119*fxVal_normal=_PL!BL123,"",IF(OR(BL119="",NOT(ISNUMBER(BL119)),ISERROR(BL119),$B119=""),"",IF($I119=1,IFBLANK(_xldudf_CX_PUSH(BL119*fxVal_normal,CX_ENTITY,$B119,BL$11,BL$14,BL$75,),""),IF($I119=2,IFBLANK(_xldudf_CX_PUSH(BL119,CX_ENTITY,$B119,BL$11,BL$14,BL$75,),""),IF($I119=3,"",IFBLANK(_xldudf_CX_PUSH(BL119,CX_ENTITY,$B119,BL$11,BL$14,BL$75,),"")))))),"")</f>
        <v/>
      </c>
      <c r="EM119" s="2445" t="str" cm="1">
        <f t="array" ref="EM119">IFERROR(IF(BM119*fxVal_normal=_PL!BM123,"",IF(OR(BM119="",NOT(ISNUMBER(BM119)),ISERROR(BM119),$B119=""),"",IF($I119=1,IFBLANK(_xldudf_CX_PUSH(BM119*fxVal_normal,CX_ENTITY,$B119,BM$11,BM$14,BM$75,),""),IF($I119=2,IFBLANK(_xldudf_CX_PUSH(BM119,CX_ENTITY,$B119,BM$11,BM$14,BM$75,),""),IF($I119=3,"",IFBLANK(_xldudf_CX_PUSH(BM119,CX_ENTITY,$B119,BM$11,BM$14,BM$75,),"")))))),"")</f>
        <v/>
      </c>
      <c r="EN119" s="2445" t="str" cm="1">
        <f t="array" ref="EN119">IFERROR(IF(BN119*fxVal_normal=_PL!BN123,"",IF(OR(BN119="",NOT(ISNUMBER(BN119)),ISERROR(BN119),$B119=""),"",IF($I119=1,IFBLANK(_xldudf_CX_PUSH(BN119*fxVal_normal,CX_ENTITY,$B119,BN$11,BN$14,BN$75,),""),IF($I119=2,IFBLANK(_xldudf_CX_PUSH(BN119,CX_ENTITY,$B119,BN$11,BN$14,BN$75,),""),IF($I119=3,"",IFBLANK(_xldudf_CX_PUSH(BN119,CX_ENTITY,$B119,BN$11,BN$14,BN$75,),"")))))),"")</f>
        <v/>
      </c>
    </row>
    <row r="120" spans="1:144" ht="21" customHeight="1">
      <c r="A120" s="1626"/>
      <c r="B120" s="2537" t="str">
        <f>_xlfn.LET(_xlpm.IsNotAttrDynamic,D120="",_xlpm.Attr,_PL!F120,_xlpm.NotInUse,Y120=D120,_xlpm.RESULT,IF(_xlpm.IsNotAttrDynamic,_xlpm.Attr,IF(_xlpm.NotInUse,"",Y120)),IF(_xlpm.RESULT="","",_xlpm.RESULT))</f>
        <v>Custom Metric Amount 8 [Calculated]</v>
      </c>
      <c r="C120" s="2537" t="str" cm="1">
        <f t="array" ref="C120">IFBLANK(_PL!C120,"")</f>
        <v>Custom Metric - Label 8 [Calculated]</v>
      </c>
      <c r="D120" s="1548"/>
      <c r="E120" s="2440" cm="1">
        <f t="array" ca="1" aca="1" ref="E120:G12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120:$CQ120,Z120)</f>
        <v>0</v>
      </c>
      <c r="F120" s="578">
        <f ca="1"/>
        <v>0</v>
      </c>
      <c r="G120" s="578" t="str">
        <f ca="1"/>
        <v/>
      </c>
      <c r="H120" s="3280">
        <v>1</v>
      </c>
      <c r="I120" s="3280">
        <v>1</v>
      </c>
      <c r="J120" s="401" t="str" cm="1">
        <f t="array" ref="J120">IFBLANK(Z120,"")</f>
        <v/>
      </c>
      <c r="K120" s="578" t="str">
        <f t="shared" ca="1" si="44"/>
        <v>No</v>
      </c>
      <c r="L120" s="37"/>
      <c r="N120" s="158"/>
      <c r="O120" s="101"/>
      <c r="P120" s="52"/>
      <c r="Q120" s="101"/>
      <c r="R120" s="126"/>
      <c r="S120" s="101"/>
      <c r="T120" s="101"/>
      <c r="U120" s="39"/>
      <c r="V120" s="37"/>
      <c r="W120" s="91" t="str">
        <f t="shared" si="45"/>
        <v>Budget</v>
      </c>
      <c r="X120" s="2523" t="e">
        <f ca="1">_PL!X120</f>
        <v>#NAME?</v>
      </c>
      <c r="Y120" s="2371"/>
      <c r="Z120" s="198" t="str" cm="1">
        <f t="array" ref="Z120">IFBLANK(Z64,"")</f>
        <v/>
      </c>
      <c r="AA120" s="200" t="str" cm="1">
        <f t="array" ca="1" aca="1" ref="AA120">_xlfn.LET(_xlpm._termname,$Y120,_xlpm._icon,"Define",_xlpm._location,_xlfn.XLOOKUP(_xlpm._termname,$Y$249:$Y$338,$Y$249:$Y$338),_xlpm._hyperlink,HYPERLINK("#"&amp;CELL("address",_xlpm._location),_xlpm._icon),IF(Y120="","",_xlpm._hyperlink))</f>
        <v/>
      </c>
      <c r="AB120" s="2525" t="str">
        <f ca="1"/>
        <v/>
      </c>
      <c r="AC120" s="124" t="str" cm="1">
        <f t="array" ca="1" aca="1" ref="AC120">_xlfn.LET(_xlpm._termname,$AB120,_xlpm._iconname,"find",_xlpm._icon,fx_getIcon(_xlpm._iconname),_xlpm._location,_xlfn.XLOOKUP(LOWER(_xlpm._termname),LOWER(tbl_acctDef[Term]),tbl_acctDef[Term]),_xlpm._hyperlink,HYPERLINK("#"&amp;CELL("address",_xlpm._location),_xlpm._icon),IFERROR(_xlpm._hyperlink,""))</f>
        <v/>
      </c>
      <c r="AD120" s="1661" t="str" cm="1">
        <f t="array" ref="AD120">IF($Y120="","",_xlfn.XLOOKUP($W120&amp;$Y120,$W$250:$W$338&amp;$Y$250:$Y$338,$AD$250:$BN$338))</f>
        <v/>
      </c>
      <c r="AE120" s="2534"/>
      <c r="AF120" s="2534"/>
      <c r="AG120" s="2534"/>
      <c r="AH120" s="2534"/>
      <c r="AI120" s="2534"/>
      <c r="AJ120" s="2534"/>
      <c r="AK120" s="2534"/>
      <c r="AL120" s="2534"/>
      <c r="AM120" s="2534"/>
      <c r="AN120" s="2534"/>
      <c r="AO120" s="2534"/>
      <c r="AP120" s="2534"/>
      <c r="AQ120" s="2534"/>
      <c r="AR120" s="2534"/>
      <c r="AS120" s="2534"/>
      <c r="AT120" s="2534"/>
      <c r="AU120" s="2534"/>
      <c r="AV120" s="2534"/>
      <c r="AW120" s="2534"/>
      <c r="AX120" s="2534"/>
      <c r="AY120" s="2534"/>
      <c r="AZ120" s="2534"/>
      <c r="BA120" s="2534"/>
      <c r="BB120" s="2534"/>
      <c r="BC120" s="2534"/>
      <c r="BD120" s="2534"/>
      <c r="BE120" s="2534"/>
      <c r="BF120" s="2534"/>
      <c r="BG120" s="2534"/>
      <c r="BH120" s="2534"/>
      <c r="BI120" s="2534"/>
      <c r="BJ120" s="2534"/>
      <c r="BK120" s="2534"/>
      <c r="BL120" s="2534"/>
      <c r="BM120" s="2534"/>
      <c r="BN120" s="2535"/>
      <c r="BO120" s="2536"/>
      <c r="BP120" s="2536"/>
      <c r="BQ120" s="2536"/>
      <c r="BR120" s="2536"/>
      <c r="BS120" s="2536"/>
      <c r="BT120" s="2536"/>
      <c r="BU120" s="2536"/>
      <c r="BV120" s="2536"/>
      <c r="BW120" s="2536"/>
      <c r="BX120" s="2536"/>
      <c r="BY120" s="2536"/>
      <c r="BZ120" s="2536"/>
      <c r="CA120" s="34"/>
      <c r="CC120" s="33"/>
      <c r="CD120" s="1772" t="str" cm="1">
        <f t="array" ref="CD120">_xlfn.LET(_xlpm.CheckBlank,SUM(PL!$AD120:$BN120)=0,IF(_xlpm.CheckBlank,"",SUM(_xlfn._xlws.FILTER(PL!$AD120:$BN120,(YEAR(PL!$AD$12:$BN$12)=PL!CD$12)*(array_timeline&lt;=PL!CD$11)))))</f>
        <v/>
      </c>
      <c r="CE120" s="1772" t="str" cm="1">
        <f t="array" ref="CE120">_xlfn.LET(_xlpm.CheckBlank,SUM(PL!$AD120:$BN120)=0,IF(_xlpm.CheckBlank,"",SUM(_xlfn._xlws.FILTER(PL!$AD120:$BN120,(YEAR(PL!$AD$12:$BN$12)=PL!CE$12)*(array_timeline&lt;=PL!CE$11)))))</f>
        <v/>
      </c>
      <c r="CF120" s="3"/>
      <c r="CG120" s="1461" t="str" cm="1">
        <f t="array" ref="CG120">_xlfn.LET(_xlpm.CheckBlank,SUM(PL!$AD120:$BN120)=0,IF(_xlpm.CheckBlank,"",SUM(_xlfn._xlws.FILTER(PL!$AD120:$BN120,(YEAR(PL!$AD$12:$BN$12)=PL!CG$12)*(array_timeline&lt;=PL!CG$11)))))</f>
        <v/>
      </c>
      <c r="CH120" s="1461" t="str" cm="1">
        <f t="array" ref="CH120">_xlfn.LET(_xlpm.CheckBlank,SUM(PL!$AD120:$BN120)=0,IF(_xlpm.CheckBlank,"",SUM(_xlfn._xlws.FILTER(PL!$AD120:$BN120,(YEAR(PL!$AD$12:$BN$12)=PL!CH$12)*(array_timeline&lt;=PL!CH$11)))))</f>
        <v/>
      </c>
      <c r="CI120" s="3"/>
      <c r="CJ120" s="1461" t="str" cm="1">
        <f t="array" ref="CJ120">_xlfn.LET(_xlpm.CheckBlank,SUM(PL!$AD120:$BN120)=0,IF(_xlpm.CheckBlank,"",SUM(_xlfn.TAKE(_xlfn.DROP(PL!$AD120:$BN120,,-DATEDIFF(PL!CJ$11,val_asOfDate,"M")),1,-12))))</f>
        <v/>
      </c>
      <c r="CK120" s="1461" t="str" cm="1">
        <f t="array" ref="CK120">_xlfn.LET(_xlpm.CheckBlank,SUM(PL!$AD120:$BN120)=0,IF(_xlpm.CheckBlank,"",SUM(_xlfn.TAKE(_xlfn.DROP(PL!$AD120:$BN120,,-DATEDIFF(PL!CK$11,val_asOfDate,"M")),1,-12))))</f>
        <v/>
      </c>
      <c r="CL120" s="3"/>
      <c r="CM120" s="2357" t="str" cm="1">
        <f t="array" ref="CM120">IF($Y120="","",_xlfn.XLOOKUP($W120&amp;$Y120,$W$250:$W$338&amp;$Y$250:$Y$338,$CM$250:$CN$338))</f>
        <v/>
      </c>
      <c r="CN120" s="2357"/>
      <c r="CO120" s="3"/>
      <c r="CP120" s="2357" t="str" cm="1">
        <f t="array" ref="CP120">IF($Y120="","",_xlfn.XLOOKUP($W120&amp;$Y120,$W$250:$W$338&amp;$Y$250:$Y$338,$CP$250:$CQ$338))</f>
        <v/>
      </c>
      <c r="CQ120" s="2357"/>
      <c r="CR120" s="34"/>
      <c r="CS120" s="2056"/>
      <c r="CT120" s="2616"/>
      <c r="CU120" s="2616"/>
      <c r="CV120" s="2616"/>
      <c r="CW120" s="2616"/>
      <c r="CX120" s="2443"/>
      <c r="CY120" s="2444" t="str" cm="1">
        <f t="array" ref="CY120">IFERROR(IF(CM120*fxVal_normal=_PL!CM124,"",IF(OR($CM120="",$CM120=0,NOT(ISNUMBER($CM120)),ISERROR($CM120),$B120=""),"",IF($I120=1,IFBLANK(_xldudf_CX_PUSH($CM120*fxVal_normal,CX_ENTITY,$B120,$CM$11,$CM$14,$CM$19,),""),IF($I120=2,IFBLANK(_xldudf_CX_PUSH($CM120,CX_ENTITY,$B120,$CM$11,$CM$14,$CM$19,),""),IF($I120=3,"",IFBLANK(_xldudf_CX_PUSH($CM120,CX_ENTITY,$B120,$CM$11,$CM$14,$CM$19,),"")))))),"")</f>
        <v/>
      </c>
      <c r="CZ120" s="2444" t="str" cm="1">
        <f t="array" ref="CZ120">IFERROR(IF(CN120*fxVal_normal=_PL!CN124,"",IF(OR($CN120="",$CN120=0,NOT(ISNUMBER($CN120)),ISERROR($CN120),$B120=""),"",IF($I120=1,IFBLANK(_xldudf_CX_PUSH($CN120*fxVal_normal,CX_ENTITY,$B120,$CN$11,$CN$14,$CN$19,),""),IF($I120=2,IFBLANK(_xldudf_CX_PUSH($CN120,CX_ENTITY,$B120,$CN$11,$CN$14,$CN$19,),""),IF($I120=3,"",IFBLANK(_xldudf_CX_PUSH($CN120,CX_ENTITY,$B120,$CN$11,$CN$14,$CN$19,),"")))))),"")</f>
        <v/>
      </c>
      <c r="DA120" s="2444" t="str" cm="1">
        <f t="array" ref="DA120">IFERROR(IF(CP120*fxVal_normal=_PL!CP124,"",IF(OR($CP120="",$CP120=0,NOT(ISNUMBER($CP120)),ISERROR($CP120),$B120=""),"",IF($I120=1,IFBLANK(_xldudf_CX_PUSH($CP120*fxVal_normal,CX_ENTITY,$B120,$CP$11,$CP$14,$CP$19,),""),IF($I120=2,IFBLANK(_xldudf_CX_PUSH($CP120,CX_ENTITY,$B120,$CP$11,$CP$14,$CP$19,),""),IF($I120=3,"",IFBLANK(_xldudf_CX_PUSH($CP120,CX_ENTITY,$B120,$CP$11,$CP$14,$CP$19,),"")))))),"")</f>
        <v/>
      </c>
      <c r="DB120" s="2444" t="str" cm="1">
        <f t="array" ref="DB120">IFERROR(IF(CQ120*fxVal_normal=_PL!CQ124,"",IF(OR($CQ120="",$CQ120=0,NOT(ISNUMBER($CQ120)),ISERROR($CQ120),$B120=""),"",IF($I120=1,IFBLANK(_xldudf_CX_PUSH($CQ120*fxVal_normal,CX_ENTITY,$B120,$CQ$11,$CQ$14,$CQ$19,),""),IF($I120=2,IFBLANK(_xldudf_CX_PUSH($CQ120,CX_ENTITY,$B120,$CQ$11,$CQ$14,$CQ$19,),""),IF($I120=3,"",IFBLANK(_xldudf_CX_PUSH($CQ120,CX_ENTITY,$B120,$CQ$11,$CQ$14,$CQ$19,),"")))))),"")</f>
        <v/>
      </c>
      <c r="DC120" s="2443"/>
      <c r="DD120" s="2445" t="str" cm="1">
        <f t="array" ref="DD120">IFERROR(IF(AD120*fxVal_normal=_PL!AD124,"",IF(OR(AD120="",NOT(ISNUMBER(AD120)),ISERROR(AD120),$B120=""),"",IF($I120=1,IFBLANK(_xldudf_CX_PUSH(AD120*fxVal_normal,CX_ENTITY,$B120,AD$11,AD$14,AD$75,),""),IF($I120=2,IFBLANK(_xldudf_CX_PUSH(AD120,CX_ENTITY,$B120,AD$11,AD$14,AD$75,),""),IF($I120=3,"",IFBLANK(_xldudf_CX_PUSH(AD120,CX_ENTITY,$B120,AD$11,AD$14,AD$75,),"")))))),"")</f>
        <v/>
      </c>
      <c r="DE120" s="2445" t="str" cm="1">
        <f t="array" ref="DE120">IFERROR(IF(AE120*fxVal_normal=_PL!AE124,"",IF(OR(AE120="",NOT(ISNUMBER(AE120)),ISERROR(AE120),$B120=""),"",IF($I120=1,IFBLANK(_xldudf_CX_PUSH(AE120*fxVal_normal,CX_ENTITY,$B120,AE$11,AE$14,AE$75,),""),IF($I120=2,IFBLANK(_xldudf_CX_PUSH(AE120,CX_ENTITY,$B120,AE$11,AE$14,AE$75,),""),IF($I120=3,"",IFBLANK(_xldudf_CX_PUSH(AE120,CX_ENTITY,$B120,AE$11,AE$14,AE$75,),"")))))),"")</f>
        <v/>
      </c>
      <c r="DF120" s="2445" t="str" cm="1">
        <f t="array" ref="DF120">IFERROR(IF(AF120*fxVal_normal=_PL!AF124,"",IF(OR(AF120="",NOT(ISNUMBER(AF120)),ISERROR(AF120),$B120=""),"",IF($I120=1,IFBLANK(_xldudf_CX_PUSH(AF120*fxVal_normal,CX_ENTITY,$B120,AF$11,AF$14,AF$75,),""),IF($I120=2,IFBLANK(_xldudf_CX_PUSH(AF120,CX_ENTITY,$B120,AF$11,AF$14,AF$75,),""),IF($I120=3,"",IFBLANK(_xldudf_CX_PUSH(AF120,CX_ENTITY,$B120,AF$11,AF$14,AF$75,),"")))))),"")</f>
        <v/>
      </c>
      <c r="DG120" s="2445" t="str" cm="1">
        <f t="array" ref="DG120">IFERROR(IF(AG120*fxVal_normal=_PL!AG124,"",IF(OR(AG120="",NOT(ISNUMBER(AG120)),ISERROR(AG120),$B120=""),"",IF($I120=1,IFBLANK(_xldudf_CX_PUSH(AG120*fxVal_normal,CX_ENTITY,$B120,AG$11,AG$14,AG$75,),""),IF($I120=2,IFBLANK(_xldudf_CX_PUSH(AG120,CX_ENTITY,$B120,AG$11,AG$14,AG$75,),""),IF($I120=3,"",IFBLANK(_xldudf_CX_PUSH(AG120,CX_ENTITY,$B120,AG$11,AG$14,AG$75,),"")))))),"")</f>
        <v/>
      </c>
      <c r="DH120" s="2445" t="str" cm="1">
        <f t="array" ref="DH120">IFERROR(IF(AH120*fxVal_normal=_PL!AH124,"",IF(OR(AH120="",NOT(ISNUMBER(AH120)),ISERROR(AH120),$B120=""),"",IF($I120=1,IFBLANK(_xldudf_CX_PUSH(AH120*fxVal_normal,CX_ENTITY,$B120,AH$11,AH$14,AH$75,),""),IF($I120=2,IFBLANK(_xldudf_CX_PUSH(AH120,CX_ENTITY,$B120,AH$11,AH$14,AH$75,),""),IF($I120=3,"",IFBLANK(_xldudf_CX_PUSH(AH120,CX_ENTITY,$B120,AH$11,AH$14,AH$75,),"")))))),"")</f>
        <v/>
      </c>
      <c r="DI120" s="2445" t="str" cm="1">
        <f t="array" ref="DI120">IFERROR(IF(AI120*fxVal_normal=_PL!AI124,"",IF(OR(AI120="",NOT(ISNUMBER(AI120)),ISERROR(AI120),$B120=""),"",IF($I120=1,IFBLANK(_xldudf_CX_PUSH(AI120*fxVal_normal,CX_ENTITY,$B120,AI$11,AI$14,AI$75,),""),IF($I120=2,IFBLANK(_xldudf_CX_PUSH(AI120,CX_ENTITY,$B120,AI$11,AI$14,AI$75,),""),IF($I120=3,"",IFBLANK(_xldudf_CX_PUSH(AI120,CX_ENTITY,$B120,AI$11,AI$14,AI$75,),"")))))),"")</f>
        <v/>
      </c>
      <c r="DJ120" s="2445" t="str" cm="1">
        <f t="array" ref="DJ120">IFERROR(IF(AJ120*fxVal_normal=_PL!AJ124,"",IF(OR(AJ120="",NOT(ISNUMBER(AJ120)),ISERROR(AJ120),$B120=""),"",IF($I120=1,IFBLANK(_xldudf_CX_PUSH(AJ120*fxVal_normal,CX_ENTITY,$B120,AJ$11,AJ$14,AJ$75,),""),IF($I120=2,IFBLANK(_xldudf_CX_PUSH(AJ120,CX_ENTITY,$B120,AJ$11,AJ$14,AJ$75,),""),IF($I120=3,"",IFBLANK(_xldudf_CX_PUSH(AJ120,CX_ENTITY,$B120,AJ$11,AJ$14,AJ$75,),"")))))),"")</f>
        <v/>
      </c>
      <c r="DK120" s="2445" t="str" cm="1">
        <f t="array" ref="DK120">IFERROR(IF(AK120*fxVal_normal=_PL!AK124,"",IF(OR(AK120="",NOT(ISNUMBER(AK120)),ISERROR(AK120),$B120=""),"",IF($I120=1,IFBLANK(_xldudf_CX_PUSH(AK120*fxVal_normal,CX_ENTITY,$B120,AK$11,AK$14,AK$75,),""),IF($I120=2,IFBLANK(_xldudf_CX_PUSH(AK120,CX_ENTITY,$B120,AK$11,AK$14,AK$75,),""),IF($I120=3,"",IFBLANK(_xldudf_CX_PUSH(AK120,CX_ENTITY,$B120,AK$11,AK$14,AK$75,),"")))))),"")</f>
        <v/>
      </c>
      <c r="DL120" s="2445" t="str" cm="1">
        <f t="array" ref="DL120">IFERROR(IF(AL120*fxVal_normal=_PL!AL124,"",IF(OR(AL120="",NOT(ISNUMBER(AL120)),ISERROR(AL120),$B120=""),"",IF($I120=1,IFBLANK(_xldudf_CX_PUSH(AL120*fxVal_normal,CX_ENTITY,$B120,AL$11,AL$14,AL$75,),""),IF($I120=2,IFBLANK(_xldudf_CX_PUSH(AL120,CX_ENTITY,$B120,AL$11,AL$14,AL$75,),""),IF($I120=3,"",IFBLANK(_xldudf_CX_PUSH(AL120,CX_ENTITY,$B120,AL$11,AL$14,AL$75,),"")))))),"")</f>
        <v/>
      </c>
      <c r="DM120" s="2445" t="str" cm="1">
        <f t="array" ref="DM120">IFERROR(IF(AM120*fxVal_normal=_PL!AM124,"",IF(OR(AM120="",NOT(ISNUMBER(AM120)),ISERROR(AM120),$B120=""),"",IF($I120=1,IFBLANK(_xldudf_CX_PUSH(AM120*fxVal_normal,CX_ENTITY,$B120,AM$11,AM$14,AM$75,),""),IF($I120=2,IFBLANK(_xldudf_CX_PUSH(AM120,CX_ENTITY,$B120,AM$11,AM$14,AM$75,),""),IF($I120=3,"",IFBLANK(_xldudf_CX_PUSH(AM120,CX_ENTITY,$B120,AM$11,AM$14,AM$75,),"")))))),"")</f>
        <v/>
      </c>
      <c r="DN120" s="2445" t="str" cm="1">
        <f t="array" ref="DN120">IFERROR(IF(AN120*fxVal_normal=_PL!AN124,"",IF(OR(AN120="",NOT(ISNUMBER(AN120)),ISERROR(AN120),$B120=""),"",IF($I120=1,IFBLANK(_xldudf_CX_PUSH(AN120*fxVal_normal,CX_ENTITY,$B120,AN$11,AN$14,AN$75,),""),IF($I120=2,IFBLANK(_xldudf_CX_PUSH(AN120,CX_ENTITY,$B120,AN$11,AN$14,AN$75,),""),IF($I120=3,"",IFBLANK(_xldudf_CX_PUSH(AN120,CX_ENTITY,$B120,AN$11,AN$14,AN$75,),"")))))),"")</f>
        <v/>
      </c>
      <c r="DO120" s="2445" t="str" cm="1">
        <f t="array" ref="DO120">IFERROR(IF(AO120*fxVal_normal=_PL!AO124,"",IF(OR(AO120="",NOT(ISNUMBER(AO120)),ISERROR(AO120),$B120=""),"",IF($I120=1,IFBLANK(_xldudf_CX_PUSH(AO120*fxVal_normal,CX_ENTITY,$B120,AO$11,AO$14,AO$75,),""),IF($I120=2,IFBLANK(_xldudf_CX_PUSH(AO120,CX_ENTITY,$B120,AO$11,AO$14,AO$75,),""),IF($I120=3,"",IFBLANK(_xldudf_CX_PUSH(AO120,CX_ENTITY,$B120,AO$11,AO$14,AO$75,),"")))))),"")</f>
        <v/>
      </c>
      <c r="DP120" s="2445" t="str" cm="1">
        <f t="array" ref="DP120">IFERROR(IF(AP120*fxVal_normal=_PL!AP124,"",IF(OR(AP120="",NOT(ISNUMBER(AP120)),ISERROR(AP120),$B120=""),"",IF($I120=1,IFBLANK(_xldudf_CX_PUSH(AP120*fxVal_normal,CX_ENTITY,$B120,AP$11,AP$14,AP$75,),""),IF($I120=2,IFBLANK(_xldudf_CX_PUSH(AP120,CX_ENTITY,$B120,AP$11,AP$14,AP$75,),""),IF($I120=3,"",IFBLANK(_xldudf_CX_PUSH(AP120,CX_ENTITY,$B120,AP$11,AP$14,AP$75,),"")))))),"")</f>
        <v/>
      </c>
      <c r="DQ120" s="2445" t="str" cm="1">
        <f t="array" ref="DQ120">IFERROR(IF(AQ120*fxVal_normal=_PL!AQ124,"",IF(OR(AQ120="",NOT(ISNUMBER(AQ120)),ISERROR(AQ120),$B120=""),"",IF($I120=1,IFBLANK(_xldudf_CX_PUSH(AQ120*fxVal_normal,CX_ENTITY,$B120,AQ$11,AQ$14,AQ$75,),""),IF($I120=2,IFBLANK(_xldudf_CX_PUSH(AQ120,CX_ENTITY,$B120,AQ$11,AQ$14,AQ$75,),""),IF($I120=3,"",IFBLANK(_xldudf_CX_PUSH(AQ120,CX_ENTITY,$B120,AQ$11,AQ$14,AQ$75,),"")))))),"")</f>
        <v/>
      </c>
      <c r="DR120" s="2445" t="str" cm="1">
        <f t="array" ref="DR120">IFERROR(IF(AR120*fxVal_normal=_PL!AR124,"",IF(OR(AR120="",NOT(ISNUMBER(AR120)),ISERROR(AR120),$B120=""),"",IF($I120=1,IFBLANK(_xldudf_CX_PUSH(AR120*fxVal_normal,CX_ENTITY,$B120,AR$11,AR$14,AR$75,),""),IF($I120=2,IFBLANK(_xldudf_CX_PUSH(AR120,CX_ENTITY,$B120,AR$11,AR$14,AR$75,),""),IF($I120=3,"",IFBLANK(_xldudf_CX_PUSH(AR120,CX_ENTITY,$B120,AR$11,AR$14,AR$75,),"")))))),"")</f>
        <v/>
      </c>
      <c r="DS120" s="2445" t="str" cm="1">
        <f t="array" ref="DS120">IFERROR(IF(AS120*fxVal_normal=_PL!AS124,"",IF(OR(AS120="",NOT(ISNUMBER(AS120)),ISERROR(AS120),$B120=""),"",IF($I120=1,IFBLANK(_xldudf_CX_PUSH(AS120*fxVal_normal,CX_ENTITY,$B120,AS$11,AS$14,AS$75,),""),IF($I120=2,IFBLANK(_xldudf_CX_PUSH(AS120,CX_ENTITY,$B120,AS$11,AS$14,AS$75,),""),IF($I120=3,"",IFBLANK(_xldudf_CX_PUSH(AS120,CX_ENTITY,$B120,AS$11,AS$14,AS$75,),"")))))),"")</f>
        <v/>
      </c>
      <c r="DT120" s="2445" t="str" cm="1">
        <f t="array" ref="DT120">IFERROR(IF(AT120*fxVal_normal=_PL!AT124,"",IF(OR(AT120="",NOT(ISNUMBER(AT120)),ISERROR(AT120),$B120=""),"",IF($I120=1,IFBLANK(_xldudf_CX_PUSH(AT120*fxVal_normal,CX_ENTITY,$B120,AT$11,AT$14,AT$75,),""),IF($I120=2,IFBLANK(_xldudf_CX_PUSH(AT120,CX_ENTITY,$B120,AT$11,AT$14,AT$75,),""),IF($I120=3,"",IFBLANK(_xldudf_CX_PUSH(AT120,CX_ENTITY,$B120,AT$11,AT$14,AT$75,),"")))))),"")</f>
        <v/>
      </c>
      <c r="DU120" s="2445" t="str" cm="1">
        <f t="array" ref="DU120">IFERROR(IF(AU120*fxVal_normal=_PL!AU124,"",IF(OR(AU120="",NOT(ISNUMBER(AU120)),ISERROR(AU120),$B120=""),"",IF($I120=1,IFBLANK(_xldudf_CX_PUSH(AU120*fxVal_normal,CX_ENTITY,$B120,AU$11,AU$14,AU$75,),""),IF($I120=2,IFBLANK(_xldudf_CX_PUSH(AU120,CX_ENTITY,$B120,AU$11,AU$14,AU$75,),""),IF($I120=3,"",IFBLANK(_xldudf_CX_PUSH(AU120,CX_ENTITY,$B120,AU$11,AU$14,AU$75,),"")))))),"")</f>
        <v/>
      </c>
      <c r="DV120" s="2445" t="str" cm="1">
        <f t="array" ref="DV120">IFERROR(IF(AV120*fxVal_normal=_PL!AV124,"",IF(OR(AV120="",NOT(ISNUMBER(AV120)),ISERROR(AV120),$B120=""),"",IF($I120=1,IFBLANK(_xldudf_CX_PUSH(AV120*fxVal_normal,CX_ENTITY,$B120,AV$11,AV$14,AV$75,),""),IF($I120=2,IFBLANK(_xldudf_CX_PUSH(AV120,CX_ENTITY,$B120,AV$11,AV$14,AV$75,),""),IF($I120=3,"",IFBLANK(_xldudf_CX_PUSH(AV120,CX_ENTITY,$B120,AV$11,AV$14,AV$75,),"")))))),"")</f>
        <v/>
      </c>
      <c r="DW120" s="2445" t="str" cm="1">
        <f t="array" ref="DW120">IFERROR(IF(AW120*fxVal_normal=_PL!AW124,"",IF(OR(AW120="",NOT(ISNUMBER(AW120)),ISERROR(AW120),$B120=""),"",IF($I120=1,IFBLANK(_xldudf_CX_PUSH(AW120*fxVal_normal,CX_ENTITY,$B120,AW$11,AW$14,AW$75,),""),IF($I120=2,IFBLANK(_xldudf_CX_PUSH(AW120,CX_ENTITY,$B120,AW$11,AW$14,AW$75,),""),IF($I120=3,"",IFBLANK(_xldudf_CX_PUSH(AW120,CX_ENTITY,$B120,AW$11,AW$14,AW$75,),"")))))),"")</f>
        <v/>
      </c>
      <c r="DX120" s="2445" t="str" cm="1">
        <f t="array" ref="DX120">IFERROR(IF(AX120*fxVal_normal=_PL!AX124,"",IF(OR(AX120="",NOT(ISNUMBER(AX120)),ISERROR(AX120),$B120=""),"",IF($I120=1,IFBLANK(_xldudf_CX_PUSH(AX120*fxVal_normal,CX_ENTITY,$B120,AX$11,AX$14,AX$75,),""),IF($I120=2,IFBLANK(_xldudf_CX_PUSH(AX120,CX_ENTITY,$B120,AX$11,AX$14,AX$75,),""),IF($I120=3,"",IFBLANK(_xldudf_CX_PUSH(AX120,CX_ENTITY,$B120,AX$11,AX$14,AX$75,),"")))))),"")</f>
        <v/>
      </c>
      <c r="DY120" s="2445" t="str" cm="1">
        <f t="array" ref="DY120">IFERROR(IF(AY120*fxVal_normal=_PL!AY124,"",IF(OR(AY120="",NOT(ISNUMBER(AY120)),ISERROR(AY120),$B120=""),"",IF($I120=1,IFBLANK(_xldudf_CX_PUSH(AY120*fxVal_normal,CX_ENTITY,$B120,AY$11,AY$14,AY$75,),""),IF($I120=2,IFBLANK(_xldudf_CX_PUSH(AY120,CX_ENTITY,$B120,AY$11,AY$14,AY$75,),""),IF($I120=3,"",IFBLANK(_xldudf_CX_PUSH(AY120,CX_ENTITY,$B120,AY$11,AY$14,AY$75,),"")))))),"")</f>
        <v/>
      </c>
      <c r="DZ120" s="2445" t="str" cm="1">
        <f t="array" ref="DZ120">IFERROR(IF(AZ120*fxVal_normal=_PL!AZ124,"",IF(OR(AZ120="",NOT(ISNUMBER(AZ120)),ISERROR(AZ120),$B120=""),"",IF($I120=1,IFBLANK(_xldudf_CX_PUSH(AZ120*fxVal_normal,CX_ENTITY,$B120,AZ$11,AZ$14,AZ$75,),""),IF($I120=2,IFBLANK(_xldudf_CX_PUSH(AZ120,CX_ENTITY,$B120,AZ$11,AZ$14,AZ$75,),""),IF($I120=3,"",IFBLANK(_xldudf_CX_PUSH(AZ120,CX_ENTITY,$B120,AZ$11,AZ$14,AZ$75,),"")))))),"")</f>
        <v/>
      </c>
      <c r="EA120" s="2445" t="str" cm="1">
        <f t="array" ref="EA120">IFERROR(IF(BA120*fxVal_normal=_PL!BA124,"",IF(OR(BA120="",NOT(ISNUMBER(BA120)),ISERROR(BA120),$B120=""),"",IF($I120=1,IFBLANK(_xldudf_CX_PUSH(BA120*fxVal_normal,CX_ENTITY,$B120,BA$11,BA$14,BA$75,),""),IF($I120=2,IFBLANK(_xldudf_CX_PUSH(BA120,CX_ENTITY,$B120,BA$11,BA$14,BA$75,),""),IF($I120=3,"",IFBLANK(_xldudf_CX_PUSH(BA120,CX_ENTITY,$B120,BA$11,BA$14,BA$75,),"")))))),"")</f>
        <v/>
      </c>
      <c r="EB120" s="2445" t="str" cm="1">
        <f t="array" ref="EB120">IFERROR(IF(BB120*fxVal_normal=_PL!BB124,"",IF(OR(BB120="",NOT(ISNUMBER(BB120)),ISERROR(BB120),$B120=""),"",IF($I120=1,IFBLANK(_xldudf_CX_PUSH(BB120*fxVal_normal,CX_ENTITY,$B120,BB$11,BB$14,BB$75,),""),IF($I120=2,IFBLANK(_xldudf_CX_PUSH(BB120,CX_ENTITY,$B120,BB$11,BB$14,BB$75,),""),IF($I120=3,"",IFBLANK(_xldudf_CX_PUSH(BB120,CX_ENTITY,$B120,BB$11,BB$14,BB$75,),"")))))),"")</f>
        <v/>
      </c>
      <c r="EC120" s="2445" t="str" cm="1">
        <f t="array" ref="EC120">IFERROR(IF(BC120*fxVal_normal=_PL!BC124,"",IF(OR(BC120="",NOT(ISNUMBER(BC120)),ISERROR(BC120),$B120=""),"",IF($I120=1,IFBLANK(_xldudf_CX_PUSH(BC120*fxVal_normal,CX_ENTITY,$B120,BC$11,BC$14,BC$75,),""),IF($I120=2,IFBLANK(_xldudf_CX_PUSH(BC120,CX_ENTITY,$B120,BC$11,BC$14,BC$75,),""),IF($I120=3,"",IFBLANK(_xldudf_CX_PUSH(BC120,CX_ENTITY,$B120,BC$11,BC$14,BC$75,),"")))))),"")</f>
        <v/>
      </c>
      <c r="ED120" s="2445" t="str" cm="1">
        <f t="array" ref="ED120">IFERROR(IF(BD120*fxVal_normal=_PL!BD124,"",IF(OR(BD120="",NOT(ISNUMBER(BD120)),ISERROR(BD120),$B120=""),"",IF($I120=1,IFBLANK(_xldudf_CX_PUSH(BD120*fxVal_normal,CX_ENTITY,$B120,BD$11,BD$14,BD$75,),""),IF($I120=2,IFBLANK(_xldudf_CX_PUSH(BD120,CX_ENTITY,$B120,BD$11,BD$14,BD$75,),""),IF($I120=3,"",IFBLANK(_xldudf_CX_PUSH(BD120,CX_ENTITY,$B120,BD$11,BD$14,BD$75,),"")))))),"")</f>
        <v/>
      </c>
      <c r="EE120" s="2445" t="str" cm="1">
        <f t="array" ref="EE120">IFERROR(IF(BE120*fxVal_normal=_PL!BE124,"",IF(OR(BE120="",NOT(ISNUMBER(BE120)),ISERROR(BE120),$B120=""),"",IF($I120=1,IFBLANK(_xldudf_CX_PUSH(BE120*fxVal_normal,CX_ENTITY,$B120,BE$11,BE$14,BE$75,),""),IF($I120=2,IFBLANK(_xldudf_CX_PUSH(BE120,CX_ENTITY,$B120,BE$11,BE$14,BE$75,),""),IF($I120=3,"",IFBLANK(_xldudf_CX_PUSH(BE120,CX_ENTITY,$B120,BE$11,BE$14,BE$75,),"")))))),"")</f>
        <v/>
      </c>
      <c r="EF120" s="2445" t="str" cm="1">
        <f t="array" ref="EF120">IFERROR(IF(BF120*fxVal_normal=_PL!BF124,"",IF(OR(BF120="",NOT(ISNUMBER(BF120)),ISERROR(BF120),$B120=""),"",IF($I120=1,IFBLANK(_xldudf_CX_PUSH(BF120*fxVal_normal,CX_ENTITY,$B120,BF$11,BF$14,BF$75,),""),IF($I120=2,IFBLANK(_xldudf_CX_PUSH(BF120,CX_ENTITY,$B120,BF$11,BF$14,BF$75,),""),IF($I120=3,"",IFBLANK(_xldudf_CX_PUSH(BF120,CX_ENTITY,$B120,BF$11,BF$14,BF$75,),"")))))),"")</f>
        <v/>
      </c>
      <c r="EG120" s="2445" t="str" cm="1">
        <f t="array" ref="EG120">IFERROR(IF(BG120*fxVal_normal=_PL!BG124,"",IF(OR(BG120="",NOT(ISNUMBER(BG120)),ISERROR(BG120),$B120=""),"",IF($I120=1,IFBLANK(_xldudf_CX_PUSH(BG120*fxVal_normal,CX_ENTITY,$B120,BG$11,BG$14,BG$75,),""),IF($I120=2,IFBLANK(_xldudf_CX_PUSH(BG120,CX_ENTITY,$B120,BG$11,BG$14,BG$75,),""),IF($I120=3,"",IFBLANK(_xldudf_CX_PUSH(BG120,CX_ENTITY,$B120,BG$11,BG$14,BG$75,),"")))))),"")</f>
        <v/>
      </c>
      <c r="EH120" s="2445" t="str" cm="1">
        <f t="array" ref="EH120">IFERROR(IF(BH120*fxVal_normal=_PL!BH124,"",IF(OR(BH120="",NOT(ISNUMBER(BH120)),ISERROR(BH120),$B120=""),"",IF($I120=1,IFBLANK(_xldudf_CX_PUSH(BH120*fxVal_normal,CX_ENTITY,$B120,BH$11,BH$14,BH$75,),""),IF($I120=2,IFBLANK(_xldudf_CX_PUSH(BH120,CX_ENTITY,$B120,BH$11,BH$14,BH$75,),""),IF($I120=3,"",IFBLANK(_xldudf_CX_PUSH(BH120,CX_ENTITY,$B120,BH$11,BH$14,BH$75,),"")))))),"")</f>
        <v/>
      </c>
      <c r="EI120" s="2445" t="str" cm="1">
        <f t="array" ref="EI120">IFERROR(IF(BI120*fxVal_normal=_PL!BI124,"",IF(OR(BI120="",NOT(ISNUMBER(BI120)),ISERROR(BI120),$B120=""),"",IF($I120=1,IFBLANK(_xldudf_CX_PUSH(BI120*fxVal_normal,CX_ENTITY,$B120,BI$11,BI$14,BI$75,),""),IF($I120=2,IFBLANK(_xldudf_CX_PUSH(BI120,CX_ENTITY,$B120,BI$11,BI$14,BI$75,),""),IF($I120=3,"",IFBLANK(_xldudf_CX_PUSH(BI120,CX_ENTITY,$B120,BI$11,BI$14,BI$75,),"")))))),"")</f>
        <v/>
      </c>
      <c r="EJ120" s="2445" t="str" cm="1">
        <f t="array" ref="EJ120">IFERROR(IF(BJ120*fxVal_normal=_PL!BJ124,"",IF(OR(BJ120="",NOT(ISNUMBER(BJ120)),ISERROR(BJ120),$B120=""),"",IF($I120=1,IFBLANK(_xldudf_CX_PUSH(BJ120*fxVal_normal,CX_ENTITY,$B120,BJ$11,BJ$14,BJ$75,),""),IF($I120=2,IFBLANK(_xldudf_CX_PUSH(BJ120,CX_ENTITY,$B120,BJ$11,BJ$14,BJ$75,),""),IF($I120=3,"",IFBLANK(_xldudf_CX_PUSH(BJ120,CX_ENTITY,$B120,BJ$11,BJ$14,BJ$75,),"")))))),"")</f>
        <v/>
      </c>
      <c r="EK120" s="2445" t="str" cm="1">
        <f t="array" ref="EK120">IFERROR(IF(BK120*fxVal_normal=_PL!BK124,"",IF(OR(BK120="",NOT(ISNUMBER(BK120)),ISERROR(BK120),$B120=""),"",IF($I120=1,IFBLANK(_xldudf_CX_PUSH(BK120*fxVal_normal,CX_ENTITY,$B120,BK$11,BK$14,BK$75,),""),IF($I120=2,IFBLANK(_xldudf_CX_PUSH(BK120,CX_ENTITY,$B120,BK$11,BK$14,BK$75,),""),IF($I120=3,"",IFBLANK(_xldudf_CX_PUSH(BK120,CX_ENTITY,$B120,BK$11,BK$14,BK$75,),"")))))),"")</f>
        <v/>
      </c>
      <c r="EL120" s="2445" t="str" cm="1">
        <f t="array" ref="EL120">IFERROR(IF(BL120*fxVal_normal=_PL!BL124,"",IF(OR(BL120="",NOT(ISNUMBER(BL120)),ISERROR(BL120),$B120=""),"",IF($I120=1,IFBLANK(_xldudf_CX_PUSH(BL120*fxVal_normal,CX_ENTITY,$B120,BL$11,BL$14,BL$75,),""),IF($I120=2,IFBLANK(_xldudf_CX_PUSH(BL120,CX_ENTITY,$B120,BL$11,BL$14,BL$75,),""),IF($I120=3,"",IFBLANK(_xldudf_CX_PUSH(BL120,CX_ENTITY,$B120,BL$11,BL$14,BL$75,),"")))))),"")</f>
        <v/>
      </c>
      <c r="EM120" s="2445" t="str" cm="1">
        <f t="array" ref="EM120">IFERROR(IF(BM120*fxVal_normal=_PL!BM124,"",IF(OR(BM120="",NOT(ISNUMBER(BM120)),ISERROR(BM120),$B120=""),"",IF($I120=1,IFBLANK(_xldudf_CX_PUSH(BM120*fxVal_normal,CX_ENTITY,$B120,BM$11,BM$14,BM$75,),""),IF($I120=2,IFBLANK(_xldudf_CX_PUSH(BM120,CX_ENTITY,$B120,BM$11,BM$14,BM$75,),""),IF($I120=3,"",IFBLANK(_xldudf_CX_PUSH(BM120,CX_ENTITY,$B120,BM$11,BM$14,BM$75,),"")))))),"")</f>
        <v/>
      </c>
      <c r="EN120" s="2445" t="str" cm="1">
        <f t="array" ref="EN120">IFERROR(IF(BN120*fxVal_normal=_PL!BN124,"",IF(OR(BN120="",NOT(ISNUMBER(BN120)),ISERROR(BN120),$B120=""),"",IF($I120=1,IFBLANK(_xldudf_CX_PUSH(BN120*fxVal_normal,CX_ENTITY,$B120,BN$11,BN$14,BN$75,),""),IF($I120=2,IFBLANK(_xldudf_CX_PUSH(BN120,CX_ENTITY,$B120,BN$11,BN$14,BN$75,),""),IF($I120=3,"",IFBLANK(_xldudf_CX_PUSH(BN120,CX_ENTITY,$B120,BN$11,BN$14,BN$75,),"")))))),"")</f>
        <v/>
      </c>
    </row>
    <row r="121" spans="1:144" ht="21" customHeight="1">
      <c r="A121" s="1626"/>
      <c r="B121" s="2537" t="str">
        <f>_xlfn.LET(_xlpm.IsNotAttrDynamic,D121="",_xlpm.Attr,_PL!F121,_xlpm.NotInUse,Y121=D121,_xlpm.RESULT,IF(_xlpm.IsNotAttrDynamic,_xlpm.Attr,IF(_xlpm.NotInUse,"",Y121)),IF(_xlpm.RESULT="","",_xlpm.RESULT))</f>
        <v>Custom Metric Amount 9 [Calculated]</v>
      </c>
      <c r="C121" s="2537" t="str" cm="1">
        <f t="array" ref="C121">IFBLANK(_PL!C121,"")</f>
        <v>Custom Metric - Label 9 [Calculated]</v>
      </c>
      <c r="D121" s="1548"/>
      <c r="E121" s="2440" cm="1">
        <f t="array" ca="1" aca="1" ref="E121:G12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121:$CQ121,Z121)</f>
        <v>0</v>
      </c>
      <c r="F121" s="578">
        <f ca="1"/>
        <v>0</v>
      </c>
      <c r="G121" s="578" t="str">
        <f ca="1"/>
        <v/>
      </c>
      <c r="H121" s="3280">
        <v>1</v>
      </c>
      <c r="I121" s="3280">
        <v>1</v>
      </c>
      <c r="J121" s="401" t="str" cm="1">
        <f t="array" ref="J121">IFBLANK(Z121,"")</f>
        <v/>
      </c>
      <c r="K121" s="578" t="str">
        <f t="shared" ca="1" si="44"/>
        <v>No</v>
      </c>
      <c r="L121" s="37"/>
      <c r="N121" s="158"/>
      <c r="O121" s="101"/>
      <c r="P121" s="52"/>
      <c r="Q121" s="101"/>
      <c r="R121" s="126"/>
      <c r="S121" s="101"/>
      <c r="T121" s="101"/>
      <c r="U121" s="39"/>
      <c r="V121" s="37"/>
      <c r="W121" s="91" t="str">
        <f t="shared" si="45"/>
        <v>Budget</v>
      </c>
      <c r="X121" s="2523" t="e">
        <f ca="1">_PL!X121</f>
        <v>#NAME?</v>
      </c>
      <c r="Y121" s="2371"/>
      <c r="Z121" s="198" t="str" cm="1">
        <f t="array" ref="Z121">IFBLANK(Z65,"")</f>
        <v/>
      </c>
      <c r="AA121" s="200" t="str" cm="1">
        <f t="array" ca="1" aca="1" ref="AA121">_xlfn.LET(_xlpm._termname,$Y121,_xlpm._icon,"Define",_xlpm._location,_xlfn.XLOOKUP(_xlpm._termname,$Y$249:$Y$338,$Y$249:$Y$338),_xlpm._hyperlink,HYPERLINK("#"&amp;CELL("address",_xlpm._location),_xlpm._icon),IF(Y121="","",_xlpm._hyperlink))</f>
        <v/>
      </c>
      <c r="AB121" s="2525" t="str">
        <f ca="1"/>
        <v/>
      </c>
      <c r="AC121" s="124" t="str" cm="1">
        <f t="array" ca="1" aca="1" ref="AC121">_xlfn.LET(_xlpm._termname,$AB121,_xlpm._iconname,"find",_xlpm._icon,fx_getIcon(_xlpm._iconname),_xlpm._location,_xlfn.XLOOKUP(LOWER(_xlpm._termname),LOWER(tbl_acctDef[Term]),tbl_acctDef[Term]),_xlpm._hyperlink,HYPERLINK("#"&amp;CELL("address",_xlpm._location),_xlpm._icon),IFERROR(_xlpm._hyperlink,""))</f>
        <v/>
      </c>
      <c r="AD121" s="1661" t="str" cm="1">
        <f t="array" ref="AD121">IF($Y121="","",_xlfn.XLOOKUP($W121&amp;$Y121,$W$250:$W$338&amp;$Y$250:$Y$338,$AD$250:$BN$338))</f>
        <v/>
      </c>
      <c r="AE121" s="2534"/>
      <c r="AF121" s="2534"/>
      <c r="AG121" s="2534"/>
      <c r="AH121" s="2534"/>
      <c r="AI121" s="2534"/>
      <c r="AJ121" s="2534"/>
      <c r="AK121" s="2534"/>
      <c r="AL121" s="2534"/>
      <c r="AM121" s="2534"/>
      <c r="AN121" s="2534"/>
      <c r="AO121" s="2534"/>
      <c r="AP121" s="2534"/>
      <c r="AQ121" s="2534"/>
      <c r="AR121" s="2534"/>
      <c r="AS121" s="2534"/>
      <c r="AT121" s="2534"/>
      <c r="AU121" s="2534"/>
      <c r="AV121" s="2534"/>
      <c r="AW121" s="2534"/>
      <c r="AX121" s="2534"/>
      <c r="AY121" s="2534"/>
      <c r="AZ121" s="2534"/>
      <c r="BA121" s="2534"/>
      <c r="BB121" s="2534"/>
      <c r="BC121" s="2534"/>
      <c r="BD121" s="2534"/>
      <c r="BE121" s="2534"/>
      <c r="BF121" s="2534"/>
      <c r="BG121" s="2534"/>
      <c r="BH121" s="2534"/>
      <c r="BI121" s="2534"/>
      <c r="BJ121" s="2534"/>
      <c r="BK121" s="2534"/>
      <c r="BL121" s="2534"/>
      <c r="BM121" s="2534"/>
      <c r="BN121" s="2535"/>
      <c r="BO121" s="2536"/>
      <c r="BP121" s="2536"/>
      <c r="BQ121" s="2536"/>
      <c r="BR121" s="2536"/>
      <c r="BS121" s="2536"/>
      <c r="BT121" s="2536"/>
      <c r="BU121" s="2536"/>
      <c r="BV121" s="2536"/>
      <c r="BW121" s="2536"/>
      <c r="BX121" s="2536"/>
      <c r="BY121" s="2536"/>
      <c r="BZ121" s="2536"/>
      <c r="CA121" s="34"/>
      <c r="CC121" s="33"/>
      <c r="CD121" s="1772" t="str" cm="1">
        <f t="array" ref="CD121">_xlfn.LET(_xlpm.CheckBlank,SUM(PL!$AD121:$BN121)=0,IF(_xlpm.CheckBlank,"",SUM(_xlfn._xlws.FILTER(PL!$AD121:$BN121,(YEAR(PL!$AD$12:$BN$12)=PL!CD$12)*(array_timeline&lt;=PL!CD$11)))))</f>
        <v/>
      </c>
      <c r="CE121" s="1772" t="str" cm="1">
        <f t="array" ref="CE121">_xlfn.LET(_xlpm.CheckBlank,SUM(PL!$AD121:$BN121)=0,IF(_xlpm.CheckBlank,"",SUM(_xlfn._xlws.FILTER(PL!$AD121:$BN121,(YEAR(PL!$AD$12:$BN$12)=PL!CE$12)*(array_timeline&lt;=PL!CE$11)))))</f>
        <v/>
      </c>
      <c r="CF121" s="3"/>
      <c r="CG121" s="1461" t="str" cm="1">
        <f t="array" ref="CG121">_xlfn.LET(_xlpm.CheckBlank,SUM(PL!$AD121:$BN121)=0,IF(_xlpm.CheckBlank,"",SUM(_xlfn._xlws.FILTER(PL!$AD121:$BN121,(YEAR(PL!$AD$12:$BN$12)=PL!CG$12)*(array_timeline&lt;=PL!CG$11)))))</f>
        <v/>
      </c>
      <c r="CH121" s="1461" t="str" cm="1">
        <f t="array" ref="CH121">_xlfn.LET(_xlpm.CheckBlank,SUM(PL!$AD121:$BN121)=0,IF(_xlpm.CheckBlank,"",SUM(_xlfn._xlws.FILTER(PL!$AD121:$BN121,(YEAR(PL!$AD$12:$BN$12)=PL!CH$12)*(array_timeline&lt;=PL!CH$11)))))</f>
        <v/>
      </c>
      <c r="CI121" s="3"/>
      <c r="CJ121" s="1461" t="str" cm="1">
        <f t="array" ref="CJ121">_xlfn.LET(_xlpm.CheckBlank,SUM(PL!$AD121:$BN121)=0,IF(_xlpm.CheckBlank,"",SUM(_xlfn.TAKE(_xlfn.DROP(PL!$AD121:$BN121,,-DATEDIFF(PL!CJ$11,val_asOfDate,"M")),1,-12))))</f>
        <v/>
      </c>
      <c r="CK121" s="1461" t="str" cm="1">
        <f t="array" ref="CK121">_xlfn.LET(_xlpm.CheckBlank,SUM(PL!$AD121:$BN121)=0,IF(_xlpm.CheckBlank,"",SUM(_xlfn.TAKE(_xlfn.DROP(PL!$AD121:$BN121,,-DATEDIFF(PL!CK$11,val_asOfDate,"M")),1,-12))))</f>
        <v/>
      </c>
      <c r="CL121" s="3"/>
      <c r="CM121" s="2357" t="str" cm="1">
        <f t="array" ref="CM121">IF($Y121="","",_xlfn.XLOOKUP($W121&amp;$Y121,$W$250:$W$338&amp;$Y$250:$Y$338,$CM$250:$CN$338))</f>
        <v/>
      </c>
      <c r="CN121" s="2357"/>
      <c r="CO121" s="3"/>
      <c r="CP121" s="2357" t="str" cm="1">
        <f t="array" ref="CP121">IF($Y121="","",_xlfn.XLOOKUP($W121&amp;$Y121,$W$250:$W$338&amp;$Y$250:$Y$338,$CP$250:$CQ$338))</f>
        <v/>
      </c>
      <c r="CQ121" s="2357"/>
      <c r="CR121" s="34"/>
      <c r="CS121" s="2056"/>
      <c r="CT121" s="2616"/>
      <c r="CU121" s="2616"/>
      <c r="CV121" s="2616"/>
      <c r="CW121" s="2616"/>
      <c r="CX121" s="2443"/>
      <c r="CY121" s="2444" t="str" cm="1">
        <f t="array" ref="CY121">IFERROR(IF(CM121*fxVal_normal=_PL!CM125,"",IF(OR($CM121="",$CM121=0,NOT(ISNUMBER($CM121)),ISERROR($CM121),$B121=""),"",IF($I121=1,IFBLANK(_xldudf_CX_PUSH($CM121*fxVal_normal,CX_ENTITY,$B121,$CM$11,$CM$14,$CM$19,),""),IF($I121=2,IFBLANK(_xldudf_CX_PUSH($CM121,CX_ENTITY,$B121,$CM$11,$CM$14,$CM$19,),""),IF($I121=3,"",IFBLANK(_xldudf_CX_PUSH($CM121,CX_ENTITY,$B121,$CM$11,$CM$14,$CM$19,),"")))))),"")</f>
        <v/>
      </c>
      <c r="CZ121" s="2444" t="str" cm="1">
        <f t="array" ref="CZ121">IFERROR(IF(CN121*fxVal_normal=_PL!CN125,"",IF(OR($CN121="",$CN121=0,NOT(ISNUMBER($CN121)),ISERROR($CN121),$B121=""),"",IF($I121=1,IFBLANK(_xldudf_CX_PUSH($CN121*fxVal_normal,CX_ENTITY,$B121,$CN$11,$CN$14,$CN$19,),""),IF($I121=2,IFBLANK(_xldudf_CX_PUSH($CN121,CX_ENTITY,$B121,$CN$11,$CN$14,$CN$19,),""),IF($I121=3,"",IFBLANK(_xldudf_CX_PUSH($CN121,CX_ENTITY,$B121,$CN$11,$CN$14,$CN$19,),"")))))),"")</f>
        <v/>
      </c>
      <c r="DA121" s="2444" t="str" cm="1">
        <f t="array" ref="DA121">IFERROR(IF(CP121*fxVal_normal=_PL!CP125,"",IF(OR($CP121="",$CP121=0,NOT(ISNUMBER($CP121)),ISERROR($CP121),$B121=""),"",IF($I121=1,IFBLANK(_xldudf_CX_PUSH($CP121*fxVal_normal,CX_ENTITY,$B121,$CP$11,$CP$14,$CP$19,),""),IF($I121=2,IFBLANK(_xldudf_CX_PUSH($CP121,CX_ENTITY,$B121,$CP$11,$CP$14,$CP$19,),""),IF($I121=3,"",IFBLANK(_xldudf_CX_PUSH($CP121,CX_ENTITY,$B121,$CP$11,$CP$14,$CP$19,),"")))))),"")</f>
        <v/>
      </c>
      <c r="DB121" s="2444" t="str" cm="1">
        <f t="array" ref="DB121">IFERROR(IF(CQ121*fxVal_normal=_PL!CQ125,"",IF(OR($CQ121="",$CQ121=0,NOT(ISNUMBER($CQ121)),ISERROR($CQ121),$B121=""),"",IF($I121=1,IFBLANK(_xldudf_CX_PUSH($CQ121*fxVal_normal,CX_ENTITY,$B121,$CQ$11,$CQ$14,$CQ$19,),""),IF($I121=2,IFBLANK(_xldudf_CX_PUSH($CQ121,CX_ENTITY,$B121,$CQ$11,$CQ$14,$CQ$19,),""),IF($I121=3,"",IFBLANK(_xldudf_CX_PUSH($CQ121,CX_ENTITY,$B121,$CQ$11,$CQ$14,$CQ$19,),"")))))),"")</f>
        <v/>
      </c>
      <c r="DC121" s="2443"/>
      <c r="DD121" s="2445" t="str" cm="1">
        <f t="array" ref="DD121">IFERROR(IF(AD121*fxVal_normal=_PL!AD125,"",IF(OR(AD121="",NOT(ISNUMBER(AD121)),ISERROR(AD121),$B121=""),"",IF($I121=1,IFBLANK(_xldudf_CX_PUSH(AD121*fxVal_normal,CX_ENTITY,$B121,AD$11,AD$14,AD$75,),""),IF($I121=2,IFBLANK(_xldudf_CX_PUSH(AD121,CX_ENTITY,$B121,AD$11,AD$14,AD$75,),""),IF($I121=3,"",IFBLANK(_xldudf_CX_PUSH(AD121,CX_ENTITY,$B121,AD$11,AD$14,AD$75,),"")))))),"")</f>
        <v/>
      </c>
      <c r="DE121" s="2445" t="str" cm="1">
        <f t="array" ref="DE121">IFERROR(IF(AE121*fxVal_normal=_PL!AE125,"",IF(OR(AE121="",NOT(ISNUMBER(AE121)),ISERROR(AE121),$B121=""),"",IF($I121=1,IFBLANK(_xldudf_CX_PUSH(AE121*fxVal_normal,CX_ENTITY,$B121,AE$11,AE$14,AE$75,),""),IF($I121=2,IFBLANK(_xldudf_CX_PUSH(AE121,CX_ENTITY,$B121,AE$11,AE$14,AE$75,),""),IF($I121=3,"",IFBLANK(_xldudf_CX_PUSH(AE121,CX_ENTITY,$B121,AE$11,AE$14,AE$75,),"")))))),"")</f>
        <v/>
      </c>
      <c r="DF121" s="2445" t="str" cm="1">
        <f t="array" ref="DF121">IFERROR(IF(AF121*fxVal_normal=_PL!AF125,"",IF(OR(AF121="",NOT(ISNUMBER(AF121)),ISERROR(AF121),$B121=""),"",IF($I121=1,IFBLANK(_xldudf_CX_PUSH(AF121*fxVal_normal,CX_ENTITY,$B121,AF$11,AF$14,AF$75,),""),IF($I121=2,IFBLANK(_xldudf_CX_PUSH(AF121,CX_ENTITY,$B121,AF$11,AF$14,AF$75,),""),IF($I121=3,"",IFBLANK(_xldudf_CX_PUSH(AF121,CX_ENTITY,$B121,AF$11,AF$14,AF$75,),"")))))),"")</f>
        <v/>
      </c>
      <c r="DG121" s="2445" t="str" cm="1">
        <f t="array" ref="DG121">IFERROR(IF(AG121*fxVal_normal=_PL!AG125,"",IF(OR(AG121="",NOT(ISNUMBER(AG121)),ISERROR(AG121),$B121=""),"",IF($I121=1,IFBLANK(_xldudf_CX_PUSH(AG121*fxVal_normal,CX_ENTITY,$B121,AG$11,AG$14,AG$75,),""),IF($I121=2,IFBLANK(_xldudf_CX_PUSH(AG121,CX_ENTITY,$B121,AG$11,AG$14,AG$75,),""),IF($I121=3,"",IFBLANK(_xldudf_CX_PUSH(AG121,CX_ENTITY,$B121,AG$11,AG$14,AG$75,),"")))))),"")</f>
        <v/>
      </c>
      <c r="DH121" s="2445" t="str" cm="1">
        <f t="array" ref="DH121">IFERROR(IF(AH121*fxVal_normal=_PL!AH125,"",IF(OR(AH121="",NOT(ISNUMBER(AH121)),ISERROR(AH121),$B121=""),"",IF($I121=1,IFBLANK(_xldudf_CX_PUSH(AH121*fxVal_normal,CX_ENTITY,$B121,AH$11,AH$14,AH$75,),""),IF($I121=2,IFBLANK(_xldudf_CX_PUSH(AH121,CX_ENTITY,$B121,AH$11,AH$14,AH$75,),""),IF($I121=3,"",IFBLANK(_xldudf_CX_PUSH(AH121,CX_ENTITY,$B121,AH$11,AH$14,AH$75,),"")))))),"")</f>
        <v/>
      </c>
      <c r="DI121" s="2445" t="str" cm="1">
        <f t="array" ref="DI121">IFERROR(IF(AI121*fxVal_normal=_PL!AI125,"",IF(OR(AI121="",NOT(ISNUMBER(AI121)),ISERROR(AI121),$B121=""),"",IF($I121=1,IFBLANK(_xldudf_CX_PUSH(AI121*fxVal_normal,CX_ENTITY,$B121,AI$11,AI$14,AI$75,),""),IF($I121=2,IFBLANK(_xldudf_CX_PUSH(AI121,CX_ENTITY,$B121,AI$11,AI$14,AI$75,),""),IF($I121=3,"",IFBLANK(_xldudf_CX_PUSH(AI121,CX_ENTITY,$B121,AI$11,AI$14,AI$75,),"")))))),"")</f>
        <v/>
      </c>
      <c r="DJ121" s="2445" t="str" cm="1">
        <f t="array" ref="DJ121">IFERROR(IF(AJ121*fxVal_normal=_PL!AJ125,"",IF(OR(AJ121="",NOT(ISNUMBER(AJ121)),ISERROR(AJ121),$B121=""),"",IF($I121=1,IFBLANK(_xldudf_CX_PUSH(AJ121*fxVal_normal,CX_ENTITY,$B121,AJ$11,AJ$14,AJ$75,),""),IF($I121=2,IFBLANK(_xldudf_CX_PUSH(AJ121,CX_ENTITY,$B121,AJ$11,AJ$14,AJ$75,),""),IF($I121=3,"",IFBLANK(_xldudf_CX_PUSH(AJ121,CX_ENTITY,$B121,AJ$11,AJ$14,AJ$75,),"")))))),"")</f>
        <v/>
      </c>
      <c r="DK121" s="2445" t="str" cm="1">
        <f t="array" ref="DK121">IFERROR(IF(AK121*fxVal_normal=_PL!AK125,"",IF(OR(AK121="",NOT(ISNUMBER(AK121)),ISERROR(AK121),$B121=""),"",IF($I121=1,IFBLANK(_xldudf_CX_PUSH(AK121*fxVal_normal,CX_ENTITY,$B121,AK$11,AK$14,AK$75,),""),IF($I121=2,IFBLANK(_xldudf_CX_PUSH(AK121,CX_ENTITY,$B121,AK$11,AK$14,AK$75,),""),IF($I121=3,"",IFBLANK(_xldudf_CX_PUSH(AK121,CX_ENTITY,$B121,AK$11,AK$14,AK$75,),"")))))),"")</f>
        <v/>
      </c>
      <c r="DL121" s="2445" t="str" cm="1">
        <f t="array" ref="DL121">IFERROR(IF(AL121*fxVal_normal=_PL!AL125,"",IF(OR(AL121="",NOT(ISNUMBER(AL121)),ISERROR(AL121),$B121=""),"",IF($I121=1,IFBLANK(_xldudf_CX_PUSH(AL121*fxVal_normal,CX_ENTITY,$B121,AL$11,AL$14,AL$75,),""),IF($I121=2,IFBLANK(_xldudf_CX_PUSH(AL121,CX_ENTITY,$B121,AL$11,AL$14,AL$75,),""),IF($I121=3,"",IFBLANK(_xldudf_CX_PUSH(AL121,CX_ENTITY,$B121,AL$11,AL$14,AL$75,),"")))))),"")</f>
        <v/>
      </c>
      <c r="DM121" s="2445" t="str" cm="1">
        <f t="array" ref="DM121">IFERROR(IF(AM121*fxVal_normal=_PL!AM125,"",IF(OR(AM121="",NOT(ISNUMBER(AM121)),ISERROR(AM121),$B121=""),"",IF($I121=1,IFBLANK(_xldudf_CX_PUSH(AM121*fxVal_normal,CX_ENTITY,$B121,AM$11,AM$14,AM$75,),""),IF($I121=2,IFBLANK(_xldudf_CX_PUSH(AM121,CX_ENTITY,$B121,AM$11,AM$14,AM$75,),""),IF($I121=3,"",IFBLANK(_xldudf_CX_PUSH(AM121,CX_ENTITY,$B121,AM$11,AM$14,AM$75,),"")))))),"")</f>
        <v/>
      </c>
      <c r="DN121" s="2445" t="str" cm="1">
        <f t="array" ref="DN121">IFERROR(IF(AN121*fxVal_normal=_PL!AN125,"",IF(OR(AN121="",NOT(ISNUMBER(AN121)),ISERROR(AN121),$B121=""),"",IF($I121=1,IFBLANK(_xldudf_CX_PUSH(AN121*fxVal_normal,CX_ENTITY,$B121,AN$11,AN$14,AN$75,),""),IF($I121=2,IFBLANK(_xldudf_CX_PUSH(AN121,CX_ENTITY,$B121,AN$11,AN$14,AN$75,),""),IF($I121=3,"",IFBLANK(_xldudf_CX_PUSH(AN121,CX_ENTITY,$B121,AN$11,AN$14,AN$75,),"")))))),"")</f>
        <v/>
      </c>
      <c r="DO121" s="2445" t="str" cm="1">
        <f t="array" ref="DO121">IFERROR(IF(AO121*fxVal_normal=_PL!AO125,"",IF(OR(AO121="",NOT(ISNUMBER(AO121)),ISERROR(AO121),$B121=""),"",IF($I121=1,IFBLANK(_xldudf_CX_PUSH(AO121*fxVal_normal,CX_ENTITY,$B121,AO$11,AO$14,AO$75,),""),IF($I121=2,IFBLANK(_xldudf_CX_PUSH(AO121,CX_ENTITY,$B121,AO$11,AO$14,AO$75,),""),IF($I121=3,"",IFBLANK(_xldudf_CX_PUSH(AO121,CX_ENTITY,$B121,AO$11,AO$14,AO$75,),"")))))),"")</f>
        <v/>
      </c>
      <c r="DP121" s="2445" t="str" cm="1">
        <f t="array" ref="DP121">IFERROR(IF(AP121*fxVal_normal=_PL!AP125,"",IF(OR(AP121="",NOT(ISNUMBER(AP121)),ISERROR(AP121),$B121=""),"",IF($I121=1,IFBLANK(_xldudf_CX_PUSH(AP121*fxVal_normal,CX_ENTITY,$B121,AP$11,AP$14,AP$75,),""),IF($I121=2,IFBLANK(_xldudf_CX_PUSH(AP121,CX_ENTITY,$B121,AP$11,AP$14,AP$75,),""),IF($I121=3,"",IFBLANK(_xldudf_CX_PUSH(AP121,CX_ENTITY,$B121,AP$11,AP$14,AP$75,),"")))))),"")</f>
        <v/>
      </c>
      <c r="DQ121" s="2445" t="str" cm="1">
        <f t="array" ref="DQ121">IFERROR(IF(AQ121*fxVal_normal=_PL!AQ125,"",IF(OR(AQ121="",NOT(ISNUMBER(AQ121)),ISERROR(AQ121),$B121=""),"",IF($I121=1,IFBLANK(_xldudf_CX_PUSH(AQ121*fxVal_normal,CX_ENTITY,$B121,AQ$11,AQ$14,AQ$75,),""),IF($I121=2,IFBLANK(_xldudf_CX_PUSH(AQ121,CX_ENTITY,$B121,AQ$11,AQ$14,AQ$75,),""),IF($I121=3,"",IFBLANK(_xldudf_CX_PUSH(AQ121,CX_ENTITY,$B121,AQ$11,AQ$14,AQ$75,),"")))))),"")</f>
        <v/>
      </c>
      <c r="DR121" s="2445" t="str" cm="1">
        <f t="array" ref="DR121">IFERROR(IF(AR121*fxVal_normal=_PL!AR125,"",IF(OR(AR121="",NOT(ISNUMBER(AR121)),ISERROR(AR121),$B121=""),"",IF($I121=1,IFBLANK(_xldudf_CX_PUSH(AR121*fxVal_normal,CX_ENTITY,$B121,AR$11,AR$14,AR$75,),""),IF($I121=2,IFBLANK(_xldudf_CX_PUSH(AR121,CX_ENTITY,$B121,AR$11,AR$14,AR$75,),""),IF($I121=3,"",IFBLANK(_xldudf_CX_PUSH(AR121,CX_ENTITY,$B121,AR$11,AR$14,AR$75,),"")))))),"")</f>
        <v/>
      </c>
      <c r="DS121" s="2445" t="str" cm="1">
        <f t="array" ref="DS121">IFERROR(IF(AS121*fxVal_normal=_PL!AS125,"",IF(OR(AS121="",NOT(ISNUMBER(AS121)),ISERROR(AS121),$B121=""),"",IF($I121=1,IFBLANK(_xldudf_CX_PUSH(AS121*fxVal_normal,CX_ENTITY,$B121,AS$11,AS$14,AS$75,),""),IF($I121=2,IFBLANK(_xldudf_CX_PUSH(AS121,CX_ENTITY,$B121,AS$11,AS$14,AS$75,),""),IF($I121=3,"",IFBLANK(_xldudf_CX_PUSH(AS121,CX_ENTITY,$B121,AS$11,AS$14,AS$75,),"")))))),"")</f>
        <v/>
      </c>
      <c r="DT121" s="2445" t="str" cm="1">
        <f t="array" ref="DT121">IFERROR(IF(AT121*fxVal_normal=_PL!AT125,"",IF(OR(AT121="",NOT(ISNUMBER(AT121)),ISERROR(AT121),$B121=""),"",IF($I121=1,IFBLANK(_xldudf_CX_PUSH(AT121*fxVal_normal,CX_ENTITY,$B121,AT$11,AT$14,AT$75,),""),IF($I121=2,IFBLANK(_xldudf_CX_PUSH(AT121,CX_ENTITY,$B121,AT$11,AT$14,AT$75,),""),IF($I121=3,"",IFBLANK(_xldudf_CX_PUSH(AT121,CX_ENTITY,$B121,AT$11,AT$14,AT$75,),"")))))),"")</f>
        <v/>
      </c>
      <c r="DU121" s="2445" t="str" cm="1">
        <f t="array" ref="DU121">IFERROR(IF(AU121*fxVal_normal=_PL!AU125,"",IF(OR(AU121="",NOT(ISNUMBER(AU121)),ISERROR(AU121),$B121=""),"",IF($I121=1,IFBLANK(_xldudf_CX_PUSH(AU121*fxVal_normal,CX_ENTITY,$B121,AU$11,AU$14,AU$75,),""),IF($I121=2,IFBLANK(_xldudf_CX_PUSH(AU121,CX_ENTITY,$B121,AU$11,AU$14,AU$75,),""),IF($I121=3,"",IFBLANK(_xldudf_CX_PUSH(AU121,CX_ENTITY,$B121,AU$11,AU$14,AU$75,),"")))))),"")</f>
        <v/>
      </c>
      <c r="DV121" s="2445" t="str" cm="1">
        <f t="array" ref="DV121">IFERROR(IF(AV121*fxVal_normal=_PL!AV125,"",IF(OR(AV121="",NOT(ISNUMBER(AV121)),ISERROR(AV121),$B121=""),"",IF($I121=1,IFBLANK(_xldudf_CX_PUSH(AV121*fxVal_normal,CX_ENTITY,$B121,AV$11,AV$14,AV$75,),""),IF($I121=2,IFBLANK(_xldudf_CX_PUSH(AV121,CX_ENTITY,$B121,AV$11,AV$14,AV$75,),""),IF($I121=3,"",IFBLANK(_xldudf_CX_PUSH(AV121,CX_ENTITY,$B121,AV$11,AV$14,AV$75,),"")))))),"")</f>
        <v/>
      </c>
      <c r="DW121" s="2445" t="str" cm="1">
        <f t="array" ref="DW121">IFERROR(IF(AW121*fxVal_normal=_PL!AW125,"",IF(OR(AW121="",NOT(ISNUMBER(AW121)),ISERROR(AW121),$B121=""),"",IF($I121=1,IFBLANK(_xldudf_CX_PUSH(AW121*fxVal_normal,CX_ENTITY,$B121,AW$11,AW$14,AW$75,),""),IF($I121=2,IFBLANK(_xldudf_CX_PUSH(AW121,CX_ENTITY,$B121,AW$11,AW$14,AW$75,),""),IF($I121=3,"",IFBLANK(_xldudf_CX_PUSH(AW121,CX_ENTITY,$B121,AW$11,AW$14,AW$75,),"")))))),"")</f>
        <v/>
      </c>
      <c r="DX121" s="2445" t="str" cm="1">
        <f t="array" ref="DX121">IFERROR(IF(AX121*fxVal_normal=_PL!AX125,"",IF(OR(AX121="",NOT(ISNUMBER(AX121)),ISERROR(AX121),$B121=""),"",IF($I121=1,IFBLANK(_xldudf_CX_PUSH(AX121*fxVal_normal,CX_ENTITY,$B121,AX$11,AX$14,AX$75,),""),IF($I121=2,IFBLANK(_xldudf_CX_PUSH(AX121,CX_ENTITY,$B121,AX$11,AX$14,AX$75,),""),IF($I121=3,"",IFBLANK(_xldudf_CX_PUSH(AX121,CX_ENTITY,$B121,AX$11,AX$14,AX$75,),"")))))),"")</f>
        <v/>
      </c>
      <c r="DY121" s="2445" t="str" cm="1">
        <f t="array" ref="DY121">IFERROR(IF(AY121*fxVal_normal=_PL!AY125,"",IF(OR(AY121="",NOT(ISNUMBER(AY121)),ISERROR(AY121),$B121=""),"",IF($I121=1,IFBLANK(_xldudf_CX_PUSH(AY121*fxVal_normal,CX_ENTITY,$B121,AY$11,AY$14,AY$75,),""),IF($I121=2,IFBLANK(_xldudf_CX_PUSH(AY121,CX_ENTITY,$B121,AY$11,AY$14,AY$75,),""),IF($I121=3,"",IFBLANK(_xldudf_CX_PUSH(AY121,CX_ENTITY,$B121,AY$11,AY$14,AY$75,),"")))))),"")</f>
        <v/>
      </c>
      <c r="DZ121" s="2445" t="str" cm="1">
        <f t="array" ref="DZ121">IFERROR(IF(AZ121*fxVal_normal=_PL!AZ125,"",IF(OR(AZ121="",NOT(ISNUMBER(AZ121)),ISERROR(AZ121),$B121=""),"",IF($I121=1,IFBLANK(_xldudf_CX_PUSH(AZ121*fxVal_normal,CX_ENTITY,$B121,AZ$11,AZ$14,AZ$75,),""),IF($I121=2,IFBLANK(_xldudf_CX_PUSH(AZ121,CX_ENTITY,$B121,AZ$11,AZ$14,AZ$75,),""),IF($I121=3,"",IFBLANK(_xldudf_CX_PUSH(AZ121,CX_ENTITY,$B121,AZ$11,AZ$14,AZ$75,),"")))))),"")</f>
        <v/>
      </c>
      <c r="EA121" s="2445" t="str" cm="1">
        <f t="array" ref="EA121">IFERROR(IF(BA121*fxVal_normal=_PL!BA125,"",IF(OR(BA121="",NOT(ISNUMBER(BA121)),ISERROR(BA121),$B121=""),"",IF($I121=1,IFBLANK(_xldudf_CX_PUSH(BA121*fxVal_normal,CX_ENTITY,$B121,BA$11,BA$14,BA$75,),""),IF($I121=2,IFBLANK(_xldudf_CX_PUSH(BA121,CX_ENTITY,$B121,BA$11,BA$14,BA$75,),""),IF($I121=3,"",IFBLANK(_xldudf_CX_PUSH(BA121,CX_ENTITY,$B121,BA$11,BA$14,BA$75,),"")))))),"")</f>
        <v/>
      </c>
      <c r="EB121" s="2445" t="str" cm="1">
        <f t="array" ref="EB121">IFERROR(IF(BB121*fxVal_normal=_PL!BB125,"",IF(OR(BB121="",NOT(ISNUMBER(BB121)),ISERROR(BB121),$B121=""),"",IF($I121=1,IFBLANK(_xldudf_CX_PUSH(BB121*fxVal_normal,CX_ENTITY,$B121,BB$11,BB$14,BB$75,),""),IF($I121=2,IFBLANK(_xldudf_CX_PUSH(BB121,CX_ENTITY,$B121,BB$11,BB$14,BB$75,),""),IF($I121=3,"",IFBLANK(_xldudf_CX_PUSH(BB121,CX_ENTITY,$B121,BB$11,BB$14,BB$75,),"")))))),"")</f>
        <v/>
      </c>
      <c r="EC121" s="2445" t="str" cm="1">
        <f t="array" ref="EC121">IFERROR(IF(BC121*fxVal_normal=_PL!BC125,"",IF(OR(BC121="",NOT(ISNUMBER(BC121)),ISERROR(BC121),$B121=""),"",IF($I121=1,IFBLANK(_xldudf_CX_PUSH(BC121*fxVal_normal,CX_ENTITY,$B121,BC$11,BC$14,BC$75,),""),IF($I121=2,IFBLANK(_xldudf_CX_PUSH(BC121,CX_ENTITY,$B121,BC$11,BC$14,BC$75,),""),IF($I121=3,"",IFBLANK(_xldudf_CX_PUSH(BC121,CX_ENTITY,$B121,BC$11,BC$14,BC$75,),"")))))),"")</f>
        <v/>
      </c>
      <c r="ED121" s="2445" t="str" cm="1">
        <f t="array" ref="ED121">IFERROR(IF(BD121*fxVal_normal=_PL!BD125,"",IF(OR(BD121="",NOT(ISNUMBER(BD121)),ISERROR(BD121),$B121=""),"",IF($I121=1,IFBLANK(_xldudf_CX_PUSH(BD121*fxVal_normal,CX_ENTITY,$B121,BD$11,BD$14,BD$75,),""),IF($I121=2,IFBLANK(_xldudf_CX_PUSH(BD121,CX_ENTITY,$B121,BD$11,BD$14,BD$75,),""),IF($I121=3,"",IFBLANK(_xldudf_CX_PUSH(BD121,CX_ENTITY,$B121,BD$11,BD$14,BD$75,),"")))))),"")</f>
        <v/>
      </c>
      <c r="EE121" s="2445" t="str" cm="1">
        <f t="array" ref="EE121">IFERROR(IF(BE121*fxVal_normal=_PL!BE125,"",IF(OR(BE121="",NOT(ISNUMBER(BE121)),ISERROR(BE121),$B121=""),"",IF($I121=1,IFBLANK(_xldudf_CX_PUSH(BE121*fxVal_normal,CX_ENTITY,$B121,BE$11,BE$14,BE$75,),""),IF($I121=2,IFBLANK(_xldudf_CX_PUSH(BE121,CX_ENTITY,$B121,BE$11,BE$14,BE$75,),""),IF($I121=3,"",IFBLANK(_xldudf_CX_PUSH(BE121,CX_ENTITY,$B121,BE$11,BE$14,BE$75,),"")))))),"")</f>
        <v/>
      </c>
      <c r="EF121" s="2445" t="str" cm="1">
        <f t="array" ref="EF121">IFERROR(IF(BF121*fxVal_normal=_PL!BF125,"",IF(OR(BF121="",NOT(ISNUMBER(BF121)),ISERROR(BF121),$B121=""),"",IF($I121=1,IFBLANK(_xldudf_CX_PUSH(BF121*fxVal_normal,CX_ENTITY,$B121,BF$11,BF$14,BF$75,),""),IF($I121=2,IFBLANK(_xldudf_CX_PUSH(BF121,CX_ENTITY,$B121,BF$11,BF$14,BF$75,),""),IF($I121=3,"",IFBLANK(_xldudf_CX_PUSH(BF121,CX_ENTITY,$B121,BF$11,BF$14,BF$75,),"")))))),"")</f>
        <v/>
      </c>
      <c r="EG121" s="2445" t="str" cm="1">
        <f t="array" ref="EG121">IFERROR(IF(BG121*fxVal_normal=_PL!BG125,"",IF(OR(BG121="",NOT(ISNUMBER(BG121)),ISERROR(BG121),$B121=""),"",IF($I121=1,IFBLANK(_xldudf_CX_PUSH(BG121*fxVal_normal,CX_ENTITY,$B121,BG$11,BG$14,BG$75,),""),IF($I121=2,IFBLANK(_xldudf_CX_PUSH(BG121,CX_ENTITY,$B121,BG$11,BG$14,BG$75,),""),IF($I121=3,"",IFBLANK(_xldudf_CX_PUSH(BG121,CX_ENTITY,$B121,BG$11,BG$14,BG$75,),"")))))),"")</f>
        <v/>
      </c>
      <c r="EH121" s="2445" t="str" cm="1">
        <f t="array" ref="EH121">IFERROR(IF(BH121*fxVal_normal=_PL!BH125,"",IF(OR(BH121="",NOT(ISNUMBER(BH121)),ISERROR(BH121),$B121=""),"",IF($I121=1,IFBLANK(_xldudf_CX_PUSH(BH121*fxVal_normal,CX_ENTITY,$B121,BH$11,BH$14,BH$75,),""),IF($I121=2,IFBLANK(_xldudf_CX_PUSH(BH121,CX_ENTITY,$B121,BH$11,BH$14,BH$75,),""),IF($I121=3,"",IFBLANK(_xldudf_CX_PUSH(BH121,CX_ENTITY,$B121,BH$11,BH$14,BH$75,),"")))))),"")</f>
        <v/>
      </c>
      <c r="EI121" s="2445" t="str" cm="1">
        <f t="array" ref="EI121">IFERROR(IF(BI121*fxVal_normal=_PL!BI125,"",IF(OR(BI121="",NOT(ISNUMBER(BI121)),ISERROR(BI121),$B121=""),"",IF($I121=1,IFBLANK(_xldudf_CX_PUSH(BI121*fxVal_normal,CX_ENTITY,$B121,BI$11,BI$14,BI$75,),""),IF($I121=2,IFBLANK(_xldudf_CX_PUSH(BI121,CX_ENTITY,$B121,BI$11,BI$14,BI$75,),""),IF($I121=3,"",IFBLANK(_xldudf_CX_PUSH(BI121,CX_ENTITY,$B121,BI$11,BI$14,BI$75,),"")))))),"")</f>
        <v/>
      </c>
      <c r="EJ121" s="2445" t="str" cm="1">
        <f t="array" ref="EJ121">IFERROR(IF(BJ121*fxVal_normal=_PL!BJ125,"",IF(OR(BJ121="",NOT(ISNUMBER(BJ121)),ISERROR(BJ121),$B121=""),"",IF($I121=1,IFBLANK(_xldudf_CX_PUSH(BJ121*fxVal_normal,CX_ENTITY,$B121,BJ$11,BJ$14,BJ$75,),""),IF($I121=2,IFBLANK(_xldudf_CX_PUSH(BJ121,CX_ENTITY,$B121,BJ$11,BJ$14,BJ$75,),""),IF($I121=3,"",IFBLANK(_xldudf_CX_PUSH(BJ121,CX_ENTITY,$B121,BJ$11,BJ$14,BJ$75,),"")))))),"")</f>
        <v/>
      </c>
      <c r="EK121" s="2445" t="str" cm="1">
        <f t="array" ref="EK121">IFERROR(IF(BK121*fxVal_normal=_PL!BK125,"",IF(OR(BK121="",NOT(ISNUMBER(BK121)),ISERROR(BK121),$B121=""),"",IF($I121=1,IFBLANK(_xldudf_CX_PUSH(BK121*fxVal_normal,CX_ENTITY,$B121,BK$11,BK$14,BK$75,),""),IF($I121=2,IFBLANK(_xldudf_CX_PUSH(BK121,CX_ENTITY,$B121,BK$11,BK$14,BK$75,),""),IF($I121=3,"",IFBLANK(_xldudf_CX_PUSH(BK121,CX_ENTITY,$B121,BK$11,BK$14,BK$75,),"")))))),"")</f>
        <v/>
      </c>
      <c r="EL121" s="2445" t="str" cm="1">
        <f t="array" ref="EL121">IFERROR(IF(BL121*fxVal_normal=_PL!BL125,"",IF(OR(BL121="",NOT(ISNUMBER(BL121)),ISERROR(BL121),$B121=""),"",IF($I121=1,IFBLANK(_xldudf_CX_PUSH(BL121*fxVal_normal,CX_ENTITY,$B121,BL$11,BL$14,BL$75,),""),IF($I121=2,IFBLANK(_xldudf_CX_PUSH(BL121,CX_ENTITY,$B121,BL$11,BL$14,BL$75,),""),IF($I121=3,"",IFBLANK(_xldudf_CX_PUSH(BL121,CX_ENTITY,$B121,BL$11,BL$14,BL$75,),"")))))),"")</f>
        <v/>
      </c>
      <c r="EM121" s="2445" t="str" cm="1">
        <f t="array" ref="EM121">IFERROR(IF(BM121*fxVal_normal=_PL!BM125,"",IF(OR(BM121="",NOT(ISNUMBER(BM121)),ISERROR(BM121),$B121=""),"",IF($I121=1,IFBLANK(_xldudf_CX_PUSH(BM121*fxVal_normal,CX_ENTITY,$B121,BM$11,BM$14,BM$75,),""),IF($I121=2,IFBLANK(_xldudf_CX_PUSH(BM121,CX_ENTITY,$B121,BM$11,BM$14,BM$75,),""),IF($I121=3,"",IFBLANK(_xldudf_CX_PUSH(BM121,CX_ENTITY,$B121,BM$11,BM$14,BM$75,),"")))))),"")</f>
        <v/>
      </c>
      <c r="EN121" s="2445" t="str" cm="1">
        <f t="array" ref="EN121">IFERROR(IF(BN121*fxVal_normal=_PL!BN125,"",IF(OR(BN121="",NOT(ISNUMBER(BN121)),ISERROR(BN121),$B121=""),"",IF($I121=1,IFBLANK(_xldudf_CX_PUSH(BN121*fxVal_normal,CX_ENTITY,$B121,BN$11,BN$14,BN$75,),""),IF($I121=2,IFBLANK(_xldudf_CX_PUSH(BN121,CX_ENTITY,$B121,BN$11,BN$14,BN$75,),""),IF($I121=3,"",IFBLANK(_xldudf_CX_PUSH(BN121,CX_ENTITY,$B121,BN$11,BN$14,BN$75,),"")))))),"")</f>
        <v/>
      </c>
    </row>
    <row r="122" spans="1:144" ht="21" customHeight="1">
      <c r="A122" s="1626" t="s">
        <v>22</v>
      </c>
      <c r="B122" s="2509" t="str">
        <f>_xlfn.LET(_xlpm.IsNotAttrDynamic,D122="",_xlpm.Attr,_PL!F122,_xlpm.NotInUse,Y122=D122,_xlpm.RESULT,IF(_xlpm.IsNotAttrDynamic,_xlpm.Attr,IF(_xlpm.NotInUse,"",Y122)),IF(_xlpm.RESULT="","",_xlpm.RESULT))</f>
        <v>Custom Metric Amount 10 [Calculated]</v>
      </c>
      <c r="C122" s="2509" t="str" cm="1">
        <f t="array" ref="C122">IFBLANK(_PL!C122,"")</f>
        <v>Custom Metric - Label 10 [Calculated]</v>
      </c>
      <c r="D122" s="1548"/>
      <c r="E122" s="2440" cm="1">
        <f t="array" ca="1" aca="1" ref="E122:G12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122:$CQ122,Z122)</f>
        <v>0</v>
      </c>
      <c r="F122" s="578">
        <f ca="1"/>
        <v>0</v>
      </c>
      <c r="G122" s="578" t="str">
        <f ca="1"/>
        <v/>
      </c>
      <c r="H122" s="3280">
        <v>1</v>
      </c>
      <c r="I122" s="3280">
        <v>1</v>
      </c>
      <c r="J122" s="401" t="str" cm="1">
        <f t="array" ref="J122">IFBLANK(Z122,"")</f>
        <v/>
      </c>
      <c r="K122" s="578" t="str">
        <f t="shared" ca="1" si="44"/>
        <v>No</v>
      </c>
      <c r="L122" s="37"/>
      <c r="N122" s="158"/>
      <c r="O122" s="101"/>
      <c r="P122" s="52"/>
      <c r="Q122" s="101"/>
      <c r="R122" s="126"/>
      <c r="S122" s="101"/>
      <c r="T122" s="101"/>
      <c r="U122" s="39"/>
      <c r="V122" s="37"/>
      <c r="W122" s="555" t="str">
        <f t="shared" si="45"/>
        <v>Budget</v>
      </c>
      <c r="X122" s="2523" t="e">
        <f ca="1">_PL!X122</f>
        <v>#NAME?</v>
      </c>
      <c r="Y122" s="2371"/>
      <c r="Z122" s="538" t="str" cm="1">
        <f t="array" ref="Z122">IFBLANK(Z66,"")</f>
        <v/>
      </c>
      <c r="AA122" s="787" t="str" cm="1">
        <f t="array" ca="1" aca="1" ref="AA122">_xlfn.LET(_xlpm._termname,$Y122,_xlpm._icon,"Define",_xlpm._location,_xlfn.XLOOKUP(_xlpm._termname,$Y$249:$Y$338,$Y$249:$Y$338),_xlpm._hyperlink,HYPERLINK("#"&amp;CELL("address",_xlpm._location),_xlpm._icon),IF(Y122="","",_xlpm._hyperlink))</f>
        <v/>
      </c>
      <c r="AB122" s="2525" t="str">
        <f ca="1"/>
        <v/>
      </c>
      <c r="AC122" s="124" t="str" cm="1">
        <f t="array" ca="1" aca="1" ref="AC122">_xlfn.LET(_xlpm._termname,$AB122,_xlpm._iconname,"find",_xlpm._icon,fx_getIcon(_xlpm._iconname),_xlpm._location,_xlfn.XLOOKUP(LOWER(_xlpm._termname),LOWER(tbl_acctDef[Term]),tbl_acctDef[Term]),_xlpm._hyperlink,HYPERLINK("#"&amp;CELL("address",_xlpm._location),_xlpm._icon),IFERROR(_xlpm._hyperlink,""))</f>
        <v/>
      </c>
      <c r="AD122" s="1661" t="str" cm="1">
        <f t="array" ref="AD122">IF($Y122="","",_xlfn.XLOOKUP($W122&amp;$Y122,$W$250:$W$338&amp;$Y$250:$Y$338,$AD$250:$BN$338))</f>
        <v/>
      </c>
      <c r="AE122" s="2534"/>
      <c r="AF122" s="2534"/>
      <c r="AG122" s="2534"/>
      <c r="AH122" s="2534"/>
      <c r="AI122" s="2534"/>
      <c r="AJ122" s="2534"/>
      <c r="AK122" s="2534"/>
      <c r="AL122" s="2534"/>
      <c r="AM122" s="2534"/>
      <c r="AN122" s="2534"/>
      <c r="AO122" s="2534"/>
      <c r="AP122" s="2534"/>
      <c r="AQ122" s="2534"/>
      <c r="AR122" s="2534"/>
      <c r="AS122" s="2534"/>
      <c r="AT122" s="2534"/>
      <c r="AU122" s="2534"/>
      <c r="AV122" s="2534"/>
      <c r="AW122" s="2534"/>
      <c r="AX122" s="2534"/>
      <c r="AY122" s="2534"/>
      <c r="AZ122" s="2534"/>
      <c r="BA122" s="2534"/>
      <c r="BB122" s="2534"/>
      <c r="BC122" s="2534"/>
      <c r="BD122" s="2534"/>
      <c r="BE122" s="2534"/>
      <c r="BF122" s="2534"/>
      <c r="BG122" s="2534"/>
      <c r="BH122" s="2534"/>
      <c r="BI122" s="2534"/>
      <c r="BJ122" s="2534"/>
      <c r="BK122" s="2534"/>
      <c r="BL122" s="2534"/>
      <c r="BM122" s="2534"/>
      <c r="BN122" s="2538"/>
      <c r="BO122" s="2536"/>
      <c r="BP122" s="2536"/>
      <c r="BQ122" s="2536"/>
      <c r="BR122" s="2536"/>
      <c r="BS122" s="2536"/>
      <c r="BT122" s="2536"/>
      <c r="BU122" s="2536"/>
      <c r="BV122" s="2536"/>
      <c r="BW122" s="2536"/>
      <c r="BX122" s="2536"/>
      <c r="BY122" s="2536"/>
      <c r="BZ122" s="2536"/>
      <c r="CA122" s="34"/>
      <c r="CC122" s="33"/>
      <c r="CD122" s="1772" t="str" cm="1">
        <f t="array" ref="CD122">_xlfn.LET(_xlpm.CheckBlank,SUM(PL!$AD122:$BN122)=0,IF(_xlpm.CheckBlank,"",SUM(_xlfn._xlws.FILTER(PL!$AD122:$BN122,(YEAR(PL!$AD$12:$BN$12)=PL!CD$12)*(array_timeline&lt;=PL!CD$11)))))</f>
        <v/>
      </c>
      <c r="CE122" s="1772" t="str" cm="1">
        <f t="array" ref="CE122">_xlfn.LET(_xlpm.CheckBlank,SUM(PL!$AD122:$BN122)=0,IF(_xlpm.CheckBlank,"",SUM(_xlfn._xlws.FILTER(PL!$AD122:$BN122,(YEAR(PL!$AD$12:$BN$12)=PL!CE$12)*(array_timeline&lt;=PL!CE$11)))))</f>
        <v/>
      </c>
      <c r="CF122" s="3"/>
      <c r="CG122" s="1461" t="str" cm="1">
        <f t="array" ref="CG122">_xlfn.LET(_xlpm.CheckBlank,SUM(PL!$AD122:$BN122)=0,IF(_xlpm.CheckBlank,"",SUM(_xlfn._xlws.FILTER(PL!$AD122:$BN122,(YEAR(PL!$AD$12:$BN$12)=PL!CG$12)*(array_timeline&lt;=PL!CG$11)))))</f>
        <v/>
      </c>
      <c r="CH122" s="1461" t="str" cm="1">
        <f t="array" ref="CH122">_xlfn.LET(_xlpm.CheckBlank,SUM(PL!$AD122:$BN122)=0,IF(_xlpm.CheckBlank,"",SUM(_xlfn._xlws.FILTER(PL!$AD122:$BN122,(YEAR(PL!$AD$12:$BN$12)=PL!CH$12)*(array_timeline&lt;=PL!CH$11)))))</f>
        <v/>
      </c>
      <c r="CI122" s="3"/>
      <c r="CJ122" s="1461" t="str" cm="1">
        <f t="array" ref="CJ122">_xlfn.LET(_xlpm.CheckBlank,SUM(PL!$AD122:$BN122)=0,IF(_xlpm.CheckBlank,"",SUM(_xlfn.TAKE(_xlfn.DROP(PL!$AD122:$BN122,,-DATEDIFF(PL!CJ$11,val_asOfDate,"M")),1,-12))))</f>
        <v/>
      </c>
      <c r="CK122" s="1461" t="str" cm="1">
        <f t="array" ref="CK122">_xlfn.LET(_xlpm.CheckBlank,SUM(PL!$AD122:$BN122)=0,IF(_xlpm.CheckBlank,"",SUM(_xlfn.TAKE(_xlfn.DROP(PL!$AD122:$BN122,,-DATEDIFF(PL!CK$11,val_asOfDate,"M")),1,-12))))</f>
        <v/>
      </c>
      <c r="CL122" s="3"/>
      <c r="CM122" s="2357" t="str" cm="1">
        <f t="array" ref="CM122">IF($Y122="","",_xlfn.XLOOKUP($W122&amp;$Y122,$W$250:$W$338&amp;$Y$250:$Y$338,$CM$250:$CN$338))</f>
        <v/>
      </c>
      <c r="CN122" s="2357"/>
      <c r="CO122" s="3"/>
      <c r="CP122" s="2357" t="str" cm="1">
        <f t="array" ref="CP122">IFBLANK(CP66,"")</f>
        <v/>
      </c>
      <c r="CQ122" s="2357" t="str" cm="1">
        <f t="array" ref="CQ122">IFBLANK(CQ66,"")</f>
        <v/>
      </c>
      <c r="CR122" s="34"/>
      <c r="CS122" s="2056"/>
      <c r="CT122" s="2616"/>
      <c r="CU122" s="2616"/>
      <c r="CV122" s="2616"/>
      <c r="CW122" s="2616"/>
      <c r="CX122" s="2443"/>
      <c r="CY122" s="2444" t="str" cm="1">
        <f t="array" ref="CY122">IFERROR(IF(CM122*fxVal_normal=_PL!CM126,"",IF(OR($CM122="",$CM122=0,NOT(ISNUMBER($CM122)),ISERROR($CM122),$B122=""),"",IF($I122=1,IFBLANK(_xldudf_CX_PUSH($CM122*fxVal_normal,CX_ENTITY,$B122,$CM$11,$CM$14,$CM$19,),""),IF($I122=2,IFBLANK(_xldudf_CX_PUSH($CM122,CX_ENTITY,$B122,$CM$11,$CM$14,$CM$19,),""),IF($I122=3,"",IFBLANK(_xldudf_CX_PUSH($CM122,CX_ENTITY,$B122,$CM$11,$CM$14,$CM$19,),"")))))),"")</f>
        <v/>
      </c>
      <c r="CZ122" s="2444" t="str" cm="1">
        <f t="array" ref="CZ122">IFERROR(IF(CN122*fxVal_normal=_PL!CN126,"",IF(OR($CN122="",$CN122=0,NOT(ISNUMBER($CN122)),ISERROR($CN122),$B122=""),"",IF($I122=1,IFBLANK(_xldudf_CX_PUSH($CN122*fxVal_normal,CX_ENTITY,$B122,$CN$11,$CN$14,$CN$19,),""),IF($I122=2,IFBLANK(_xldudf_CX_PUSH($CN122,CX_ENTITY,$B122,$CN$11,$CN$14,$CN$19,),""),IF($I122=3,"",IFBLANK(_xldudf_CX_PUSH($CN122,CX_ENTITY,$B122,$CN$11,$CN$14,$CN$19,),"")))))),"")</f>
        <v/>
      </c>
      <c r="DA122" s="2444" t="str" cm="1">
        <f t="array" ref="DA122">IFERROR(IF(CP122*fxVal_normal=_PL!CP126,"",IF(OR($CP122="",$CP122=0,NOT(ISNUMBER($CP122)),ISERROR($CP122),$B122=""),"",IF($I122=1,IFBLANK(_xldudf_CX_PUSH($CP122*fxVal_normal,CX_ENTITY,$B122,$CP$11,$CP$14,$CP$19,),""),IF($I122=2,IFBLANK(_xldudf_CX_PUSH($CP122,CX_ENTITY,$B122,$CP$11,$CP$14,$CP$19,),""),IF($I122=3,"",IFBLANK(_xldudf_CX_PUSH($CP122,CX_ENTITY,$B122,$CP$11,$CP$14,$CP$19,),"")))))),"")</f>
        <v/>
      </c>
      <c r="DB122" s="2444" t="str" cm="1">
        <f t="array" ref="DB122">IFERROR(IF(CQ122*fxVal_normal=_PL!CQ126,"",IF(OR($CQ122="",$CQ122=0,NOT(ISNUMBER($CQ122)),ISERROR($CQ122),$B122=""),"",IF($I122=1,IFBLANK(_xldudf_CX_PUSH($CQ122*fxVal_normal,CX_ENTITY,$B122,$CQ$11,$CQ$14,$CQ$19,),""),IF($I122=2,IFBLANK(_xldudf_CX_PUSH($CQ122,CX_ENTITY,$B122,$CQ$11,$CQ$14,$CQ$19,),""),IF($I122=3,"",IFBLANK(_xldudf_CX_PUSH($CQ122,CX_ENTITY,$B122,$CQ$11,$CQ$14,$CQ$19,),"")))))),"")</f>
        <v/>
      </c>
      <c r="DC122" s="2443"/>
      <c r="DD122" s="2445" t="str" cm="1">
        <f t="array" ref="DD122">IFERROR(IF(AD122*fxVal_normal=_PL!AD126,"",IF(OR(AD122="",NOT(ISNUMBER(AD122)),ISERROR(AD122),$B122=""),"",IF($I122=1,IFBLANK(_xldudf_CX_PUSH(AD122*fxVal_normal,CX_ENTITY,$B122,AD$11,AD$14,AD$75,),""),IF($I122=2,IFBLANK(_xldudf_CX_PUSH(AD122,CX_ENTITY,$B122,AD$11,AD$14,AD$75,),""),IF($I122=3,"",IFBLANK(_xldudf_CX_PUSH(AD122,CX_ENTITY,$B122,AD$11,AD$14,AD$75,),"")))))),"")</f>
        <v/>
      </c>
      <c r="DE122" s="2445" t="str" cm="1">
        <f t="array" ref="DE122">IFERROR(IF(AE122*fxVal_normal=_PL!AE126,"",IF(OR(AE122="",NOT(ISNUMBER(AE122)),ISERROR(AE122),$B122=""),"",IF($I122=1,IFBLANK(_xldudf_CX_PUSH(AE122*fxVal_normal,CX_ENTITY,$B122,AE$11,AE$14,AE$75,),""),IF($I122=2,IFBLANK(_xldudf_CX_PUSH(AE122,CX_ENTITY,$B122,AE$11,AE$14,AE$75,),""),IF($I122=3,"",IFBLANK(_xldudf_CX_PUSH(AE122,CX_ENTITY,$B122,AE$11,AE$14,AE$75,),"")))))),"")</f>
        <v/>
      </c>
      <c r="DF122" s="2445" t="str" cm="1">
        <f t="array" ref="DF122">IFERROR(IF(AF122*fxVal_normal=_PL!AF126,"",IF(OR(AF122="",NOT(ISNUMBER(AF122)),ISERROR(AF122),$B122=""),"",IF($I122=1,IFBLANK(_xldudf_CX_PUSH(AF122*fxVal_normal,CX_ENTITY,$B122,AF$11,AF$14,AF$75,),""),IF($I122=2,IFBLANK(_xldudf_CX_PUSH(AF122,CX_ENTITY,$B122,AF$11,AF$14,AF$75,),""),IF($I122=3,"",IFBLANK(_xldudf_CX_PUSH(AF122,CX_ENTITY,$B122,AF$11,AF$14,AF$75,),"")))))),"")</f>
        <v/>
      </c>
      <c r="DG122" s="2445" t="str" cm="1">
        <f t="array" ref="DG122">IFERROR(IF(AG122*fxVal_normal=_PL!AG126,"",IF(OR(AG122="",NOT(ISNUMBER(AG122)),ISERROR(AG122),$B122=""),"",IF($I122=1,IFBLANK(_xldudf_CX_PUSH(AG122*fxVal_normal,CX_ENTITY,$B122,AG$11,AG$14,AG$75,),""),IF($I122=2,IFBLANK(_xldudf_CX_PUSH(AG122,CX_ENTITY,$B122,AG$11,AG$14,AG$75,),""),IF($I122=3,"",IFBLANK(_xldudf_CX_PUSH(AG122,CX_ENTITY,$B122,AG$11,AG$14,AG$75,),"")))))),"")</f>
        <v/>
      </c>
      <c r="DH122" s="2445" t="str" cm="1">
        <f t="array" ref="DH122">IFERROR(IF(AH122*fxVal_normal=_PL!AH126,"",IF(OR(AH122="",NOT(ISNUMBER(AH122)),ISERROR(AH122),$B122=""),"",IF($I122=1,IFBLANK(_xldudf_CX_PUSH(AH122*fxVal_normal,CX_ENTITY,$B122,AH$11,AH$14,AH$75,),""),IF($I122=2,IFBLANK(_xldudf_CX_PUSH(AH122,CX_ENTITY,$B122,AH$11,AH$14,AH$75,),""),IF($I122=3,"",IFBLANK(_xldudf_CX_PUSH(AH122,CX_ENTITY,$B122,AH$11,AH$14,AH$75,),"")))))),"")</f>
        <v/>
      </c>
      <c r="DI122" s="2445" t="str" cm="1">
        <f t="array" ref="DI122">IFERROR(IF(AI122*fxVal_normal=_PL!AI126,"",IF(OR(AI122="",NOT(ISNUMBER(AI122)),ISERROR(AI122),$B122=""),"",IF($I122=1,IFBLANK(_xldudf_CX_PUSH(AI122*fxVal_normal,CX_ENTITY,$B122,AI$11,AI$14,AI$75,),""),IF($I122=2,IFBLANK(_xldudf_CX_PUSH(AI122,CX_ENTITY,$B122,AI$11,AI$14,AI$75,),""),IF($I122=3,"",IFBLANK(_xldudf_CX_PUSH(AI122,CX_ENTITY,$B122,AI$11,AI$14,AI$75,),"")))))),"")</f>
        <v/>
      </c>
      <c r="DJ122" s="2445" t="str" cm="1">
        <f t="array" ref="DJ122">IFERROR(IF(AJ122*fxVal_normal=_PL!AJ126,"",IF(OR(AJ122="",NOT(ISNUMBER(AJ122)),ISERROR(AJ122),$B122=""),"",IF($I122=1,IFBLANK(_xldudf_CX_PUSH(AJ122*fxVal_normal,CX_ENTITY,$B122,AJ$11,AJ$14,AJ$75,),""),IF($I122=2,IFBLANK(_xldudf_CX_PUSH(AJ122,CX_ENTITY,$B122,AJ$11,AJ$14,AJ$75,),""),IF($I122=3,"",IFBLANK(_xldudf_CX_PUSH(AJ122,CX_ENTITY,$B122,AJ$11,AJ$14,AJ$75,),"")))))),"")</f>
        <v/>
      </c>
      <c r="DK122" s="2445" t="str" cm="1">
        <f t="array" ref="DK122">IFERROR(IF(AK122*fxVal_normal=_PL!AK126,"",IF(OR(AK122="",NOT(ISNUMBER(AK122)),ISERROR(AK122),$B122=""),"",IF($I122=1,IFBLANK(_xldudf_CX_PUSH(AK122*fxVal_normal,CX_ENTITY,$B122,AK$11,AK$14,AK$75,),""),IF($I122=2,IFBLANK(_xldudf_CX_PUSH(AK122,CX_ENTITY,$B122,AK$11,AK$14,AK$75,),""),IF($I122=3,"",IFBLANK(_xldudf_CX_PUSH(AK122,CX_ENTITY,$B122,AK$11,AK$14,AK$75,),"")))))),"")</f>
        <v/>
      </c>
      <c r="DL122" s="2445" t="str" cm="1">
        <f t="array" ref="DL122">IFERROR(IF(AL122*fxVal_normal=_PL!AL126,"",IF(OR(AL122="",NOT(ISNUMBER(AL122)),ISERROR(AL122),$B122=""),"",IF($I122=1,IFBLANK(_xldudf_CX_PUSH(AL122*fxVal_normal,CX_ENTITY,$B122,AL$11,AL$14,AL$75,),""),IF($I122=2,IFBLANK(_xldudf_CX_PUSH(AL122,CX_ENTITY,$B122,AL$11,AL$14,AL$75,),""),IF($I122=3,"",IFBLANK(_xldudf_CX_PUSH(AL122,CX_ENTITY,$B122,AL$11,AL$14,AL$75,),"")))))),"")</f>
        <v/>
      </c>
      <c r="DM122" s="2445" t="str" cm="1">
        <f t="array" ref="DM122">IFERROR(IF(AM122*fxVal_normal=_PL!AM126,"",IF(OR(AM122="",NOT(ISNUMBER(AM122)),ISERROR(AM122),$B122=""),"",IF($I122=1,IFBLANK(_xldudf_CX_PUSH(AM122*fxVal_normal,CX_ENTITY,$B122,AM$11,AM$14,AM$75,),""),IF($I122=2,IFBLANK(_xldudf_CX_PUSH(AM122,CX_ENTITY,$B122,AM$11,AM$14,AM$75,),""),IF($I122=3,"",IFBLANK(_xldudf_CX_PUSH(AM122,CX_ENTITY,$B122,AM$11,AM$14,AM$75,),"")))))),"")</f>
        <v/>
      </c>
      <c r="DN122" s="2445" t="str" cm="1">
        <f t="array" ref="DN122">IFERROR(IF(AN122*fxVal_normal=_PL!AN126,"",IF(OR(AN122="",NOT(ISNUMBER(AN122)),ISERROR(AN122),$B122=""),"",IF($I122=1,IFBLANK(_xldudf_CX_PUSH(AN122*fxVal_normal,CX_ENTITY,$B122,AN$11,AN$14,AN$75,),""),IF($I122=2,IFBLANK(_xldudf_CX_PUSH(AN122,CX_ENTITY,$B122,AN$11,AN$14,AN$75,),""),IF($I122=3,"",IFBLANK(_xldudf_CX_PUSH(AN122,CX_ENTITY,$B122,AN$11,AN$14,AN$75,),"")))))),"")</f>
        <v/>
      </c>
      <c r="DO122" s="2445" t="str" cm="1">
        <f t="array" ref="DO122">IFERROR(IF(AO122*fxVal_normal=_PL!AO126,"",IF(OR(AO122="",NOT(ISNUMBER(AO122)),ISERROR(AO122),$B122=""),"",IF($I122=1,IFBLANK(_xldudf_CX_PUSH(AO122*fxVal_normal,CX_ENTITY,$B122,AO$11,AO$14,AO$75,),""),IF($I122=2,IFBLANK(_xldudf_CX_PUSH(AO122,CX_ENTITY,$B122,AO$11,AO$14,AO$75,),""),IF($I122=3,"",IFBLANK(_xldudf_CX_PUSH(AO122,CX_ENTITY,$B122,AO$11,AO$14,AO$75,),"")))))),"")</f>
        <v/>
      </c>
      <c r="DP122" s="2445" t="str" cm="1">
        <f t="array" ref="DP122">IFERROR(IF(AP122*fxVal_normal=_PL!AP126,"",IF(OR(AP122="",NOT(ISNUMBER(AP122)),ISERROR(AP122),$B122=""),"",IF($I122=1,IFBLANK(_xldudf_CX_PUSH(AP122*fxVal_normal,CX_ENTITY,$B122,AP$11,AP$14,AP$75,),""),IF($I122=2,IFBLANK(_xldudf_CX_PUSH(AP122,CX_ENTITY,$B122,AP$11,AP$14,AP$75,),""),IF($I122=3,"",IFBLANK(_xldudf_CX_PUSH(AP122,CX_ENTITY,$B122,AP$11,AP$14,AP$75,),"")))))),"")</f>
        <v/>
      </c>
      <c r="DQ122" s="2445" t="str" cm="1">
        <f t="array" ref="DQ122">IFERROR(IF(AQ122*fxVal_normal=_PL!AQ126,"",IF(OR(AQ122="",NOT(ISNUMBER(AQ122)),ISERROR(AQ122),$B122=""),"",IF($I122=1,IFBLANK(_xldudf_CX_PUSH(AQ122*fxVal_normal,CX_ENTITY,$B122,AQ$11,AQ$14,AQ$75,),""),IF($I122=2,IFBLANK(_xldudf_CX_PUSH(AQ122,CX_ENTITY,$B122,AQ$11,AQ$14,AQ$75,),""),IF($I122=3,"",IFBLANK(_xldudf_CX_PUSH(AQ122,CX_ENTITY,$B122,AQ$11,AQ$14,AQ$75,),"")))))),"")</f>
        <v/>
      </c>
      <c r="DR122" s="2445" t="str" cm="1">
        <f t="array" ref="DR122">IFERROR(IF(AR122*fxVal_normal=_PL!AR126,"",IF(OR(AR122="",NOT(ISNUMBER(AR122)),ISERROR(AR122),$B122=""),"",IF($I122=1,IFBLANK(_xldudf_CX_PUSH(AR122*fxVal_normal,CX_ENTITY,$B122,AR$11,AR$14,AR$75,),""),IF($I122=2,IFBLANK(_xldudf_CX_PUSH(AR122,CX_ENTITY,$B122,AR$11,AR$14,AR$75,),""),IF($I122=3,"",IFBLANK(_xldudf_CX_PUSH(AR122,CX_ENTITY,$B122,AR$11,AR$14,AR$75,),"")))))),"")</f>
        <v/>
      </c>
      <c r="DS122" s="2445" t="str" cm="1">
        <f t="array" ref="DS122">IFERROR(IF(AS122*fxVal_normal=_PL!AS126,"",IF(OR(AS122="",NOT(ISNUMBER(AS122)),ISERROR(AS122),$B122=""),"",IF($I122=1,IFBLANK(_xldudf_CX_PUSH(AS122*fxVal_normal,CX_ENTITY,$B122,AS$11,AS$14,AS$75,),""),IF($I122=2,IFBLANK(_xldudf_CX_PUSH(AS122,CX_ENTITY,$B122,AS$11,AS$14,AS$75,),""),IF($I122=3,"",IFBLANK(_xldudf_CX_PUSH(AS122,CX_ENTITY,$B122,AS$11,AS$14,AS$75,),"")))))),"")</f>
        <v/>
      </c>
      <c r="DT122" s="2445" t="str" cm="1">
        <f t="array" ref="DT122">IFERROR(IF(AT122*fxVal_normal=_PL!AT126,"",IF(OR(AT122="",NOT(ISNUMBER(AT122)),ISERROR(AT122),$B122=""),"",IF($I122=1,IFBLANK(_xldudf_CX_PUSH(AT122*fxVal_normal,CX_ENTITY,$B122,AT$11,AT$14,AT$75,),""),IF($I122=2,IFBLANK(_xldudf_CX_PUSH(AT122,CX_ENTITY,$B122,AT$11,AT$14,AT$75,),""),IF($I122=3,"",IFBLANK(_xldudf_CX_PUSH(AT122,CX_ENTITY,$B122,AT$11,AT$14,AT$75,),"")))))),"")</f>
        <v/>
      </c>
      <c r="DU122" s="2445" t="str" cm="1">
        <f t="array" ref="DU122">IFERROR(IF(AU122*fxVal_normal=_PL!AU126,"",IF(OR(AU122="",NOT(ISNUMBER(AU122)),ISERROR(AU122),$B122=""),"",IF($I122=1,IFBLANK(_xldudf_CX_PUSH(AU122*fxVal_normal,CX_ENTITY,$B122,AU$11,AU$14,AU$75,),""),IF($I122=2,IFBLANK(_xldudf_CX_PUSH(AU122,CX_ENTITY,$B122,AU$11,AU$14,AU$75,),""),IF($I122=3,"",IFBLANK(_xldudf_CX_PUSH(AU122,CX_ENTITY,$B122,AU$11,AU$14,AU$75,),"")))))),"")</f>
        <v/>
      </c>
      <c r="DV122" s="2445" t="str" cm="1">
        <f t="array" ref="DV122">IFERROR(IF(AV122*fxVal_normal=_PL!AV126,"",IF(OR(AV122="",NOT(ISNUMBER(AV122)),ISERROR(AV122),$B122=""),"",IF($I122=1,IFBLANK(_xldudf_CX_PUSH(AV122*fxVal_normal,CX_ENTITY,$B122,AV$11,AV$14,AV$75,),""),IF($I122=2,IFBLANK(_xldudf_CX_PUSH(AV122,CX_ENTITY,$B122,AV$11,AV$14,AV$75,),""),IF($I122=3,"",IFBLANK(_xldudf_CX_PUSH(AV122,CX_ENTITY,$B122,AV$11,AV$14,AV$75,),"")))))),"")</f>
        <v/>
      </c>
      <c r="DW122" s="2445" t="str" cm="1">
        <f t="array" ref="DW122">IFERROR(IF(AW122*fxVal_normal=_PL!AW126,"",IF(OR(AW122="",NOT(ISNUMBER(AW122)),ISERROR(AW122),$B122=""),"",IF($I122=1,IFBLANK(_xldudf_CX_PUSH(AW122*fxVal_normal,CX_ENTITY,$B122,AW$11,AW$14,AW$75,),""),IF($I122=2,IFBLANK(_xldudf_CX_PUSH(AW122,CX_ENTITY,$B122,AW$11,AW$14,AW$75,),""),IF($I122=3,"",IFBLANK(_xldudf_CX_PUSH(AW122,CX_ENTITY,$B122,AW$11,AW$14,AW$75,),"")))))),"")</f>
        <v/>
      </c>
      <c r="DX122" s="2445" t="str" cm="1">
        <f t="array" ref="DX122">IFERROR(IF(AX122*fxVal_normal=_PL!AX126,"",IF(OR(AX122="",NOT(ISNUMBER(AX122)),ISERROR(AX122),$B122=""),"",IF($I122=1,IFBLANK(_xldudf_CX_PUSH(AX122*fxVal_normal,CX_ENTITY,$B122,AX$11,AX$14,AX$75,),""),IF($I122=2,IFBLANK(_xldudf_CX_PUSH(AX122,CX_ENTITY,$B122,AX$11,AX$14,AX$75,),""),IF($I122=3,"",IFBLANK(_xldudf_CX_PUSH(AX122,CX_ENTITY,$B122,AX$11,AX$14,AX$75,),"")))))),"")</f>
        <v/>
      </c>
      <c r="DY122" s="2445" t="str" cm="1">
        <f t="array" ref="DY122">IFERROR(IF(AY122*fxVal_normal=_PL!AY126,"",IF(OR(AY122="",NOT(ISNUMBER(AY122)),ISERROR(AY122),$B122=""),"",IF($I122=1,IFBLANK(_xldudf_CX_PUSH(AY122*fxVal_normal,CX_ENTITY,$B122,AY$11,AY$14,AY$75,),""),IF($I122=2,IFBLANK(_xldudf_CX_PUSH(AY122,CX_ENTITY,$B122,AY$11,AY$14,AY$75,),""),IF($I122=3,"",IFBLANK(_xldudf_CX_PUSH(AY122,CX_ENTITY,$B122,AY$11,AY$14,AY$75,),"")))))),"")</f>
        <v/>
      </c>
      <c r="DZ122" s="2445" t="str" cm="1">
        <f t="array" ref="DZ122">IFERROR(IF(AZ122*fxVal_normal=_PL!AZ126,"",IF(OR(AZ122="",NOT(ISNUMBER(AZ122)),ISERROR(AZ122),$B122=""),"",IF($I122=1,IFBLANK(_xldudf_CX_PUSH(AZ122*fxVal_normal,CX_ENTITY,$B122,AZ$11,AZ$14,AZ$75,),""),IF($I122=2,IFBLANK(_xldudf_CX_PUSH(AZ122,CX_ENTITY,$B122,AZ$11,AZ$14,AZ$75,),""),IF($I122=3,"",IFBLANK(_xldudf_CX_PUSH(AZ122,CX_ENTITY,$B122,AZ$11,AZ$14,AZ$75,),"")))))),"")</f>
        <v/>
      </c>
      <c r="EA122" s="2445" t="str" cm="1">
        <f t="array" ref="EA122">IFERROR(IF(BA122*fxVal_normal=_PL!BA126,"",IF(OR(BA122="",NOT(ISNUMBER(BA122)),ISERROR(BA122),$B122=""),"",IF($I122=1,IFBLANK(_xldudf_CX_PUSH(BA122*fxVal_normal,CX_ENTITY,$B122,BA$11,BA$14,BA$75,),""),IF($I122=2,IFBLANK(_xldudf_CX_PUSH(BA122,CX_ENTITY,$B122,BA$11,BA$14,BA$75,),""),IF($I122=3,"",IFBLANK(_xldudf_CX_PUSH(BA122,CX_ENTITY,$B122,BA$11,BA$14,BA$75,),"")))))),"")</f>
        <v/>
      </c>
      <c r="EB122" s="2445" t="str" cm="1">
        <f t="array" ref="EB122">IFERROR(IF(BB122*fxVal_normal=_PL!BB126,"",IF(OR(BB122="",NOT(ISNUMBER(BB122)),ISERROR(BB122),$B122=""),"",IF($I122=1,IFBLANK(_xldudf_CX_PUSH(BB122*fxVal_normal,CX_ENTITY,$B122,BB$11,BB$14,BB$75,),""),IF($I122=2,IFBLANK(_xldudf_CX_PUSH(BB122,CX_ENTITY,$B122,BB$11,BB$14,BB$75,),""),IF($I122=3,"",IFBLANK(_xldudf_CX_PUSH(BB122,CX_ENTITY,$B122,BB$11,BB$14,BB$75,),"")))))),"")</f>
        <v/>
      </c>
      <c r="EC122" s="2445" t="str" cm="1">
        <f t="array" ref="EC122">IFERROR(IF(BC122*fxVal_normal=_PL!BC126,"",IF(OR(BC122="",NOT(ISNUMBER(BC122)),ISERROR(BC122),$B122=""),"",IF($I122=1,IFBLANK(_xldudf_CX_PUSH(BC122*fxVal_normal,CX_ENTITY,$B122,BC$11,BC$14,BC$75,),""),IF($I122=2,IFBLANK(_xldudf_CX_PUSH(BC122,CX_ENTITY,$B122,BC$11,BC$14,BC$75,),""),IF($I122=3,"",IFBLANK(_xldudf_CX_PUSH(BC122,CX_ENTITY,$B122,BC$11,BC$14,BC$75,),"")))))),"")</f>
        <v/>
      </c>
      <c r="ED122" s="2445" t="str" cm="1">
        <f t="array" ref="ED122">IFERROR(IF(BD122*fxVal_normal=_PL!BD126,"",IF(OR(BD122="",NOT(ISNUMBER(BD122)),ISERROR(BD122),$B122=""),"",IF($I122=1,IFBLANK(_xldudf_CX_PUSH(BD122*fxVal_normal,CX_ENTITY,$B122,BD$11,BD$14,BD$75,),""),IF($I122=2,IFBLANK(_xldudf_CX_PUSH(BD122,CX_ENTITY,$B122,BD$11,BD$14,BD$75,),""),IF($I122=3,"",IFBLANK(_xldudf_CX_PUSH(BD122,CX_ENTITY,$B122,BD$11,BD$14,BD$75,),"")))))),"")</f>
        <v/>
      </c>
      <c r="EE122" s="2445" t="str" cm="1">
        <f t="array" ref="EE122">IFERROR(IF(BE122*fxVal_normal=_PL!BE126,"",IF(OR(BE122="",NOT(ISNUMBER(BE122)),ISERROR(BE122),$B122=""),"",IF($I122=1,IFBLANK(_xldudf_CX_PUSH(BE122*fxVal_normal,CX_ENTITY,$B122,BE$11,BE$14,BE$75,),""),IF($I122=2,IFBLANK(_xldudf_CX_PUSH(BE122,CX_ENTITY,$B122,BE$11,BE$14,BE$75,),""),IF($I122=3,"",IFBLANK(_xldudf_CX_PUSH(BE122,CX_ENTITY,$B122,BE$11,BE$14,BE$75,),"")))))),"")</f>
        <v/>
      </c>
      <c r="EF122" s="2445" t="str" cm="1">
        <f t="array" ref="EF122">IFERROR(IF(BF122*fxVal_normal=_PL!BF126,"",IF(OR(BF122="",NOT(ISNUMBER(BF122)),ISERROR(BF122),$B122=""),"",IF($I122=1,IFBLANK(_xldudf_CX_PUSH(BF122*fxVal_normal,CX_ENTITY,$B122,BF$11,BF$14,BF$75,),""),IF($I122=2,IFBLANK(_xldudf_CX_PUSH(BF122,CX_ENTITY,$B122,BF$11,BF$14,BF$75,),""),IF($I122=3,"",IFBLANK(_xldudf_CX_PUSH(BF122,CX_ENTITY,$B122,BF$11,BF$14,BF$75,),"")))))),"")</f>
        <v/>
      </c>
      <c r="EG122" s="2445" t="str" cm="1">
        <f t="array" ref="EG122">IFERROR(IF(BG122*fxVal_normal=_PL!BG126,"",IF(OR(BG122="",NOT(ISNUMBER(BG122)),ISERROR(BG122),$B122=""),"",IF($I122=1,IFBLANK(_xldudf_CX_PUSH(BG122*fxVal_normal,CX_ENTITY,$B122,BG$11,BG$14,BG$75,),""),IF($I122=2,IFBLANK(_xldudf_CX_PUSH(BG122,CX_ENTITY,$B122,BG$11,BG$14,BG$75,),""),IF($I122=3,"",IFBLANK(_xldudf_CX_PUSH(BG122,CX_ENTITY,$B122,BG$11,BG$14,BG$75,),"")))))),"")</f>
        <v/>
      </c>
      <c r="EH122" s="2445" t="str" cm="1">
        <f t="array" ref="EH122">IFERROR(IF(BH122*fxVal_normal=_PL!BH126,"",IF(OR(BH122="",NOT(ISNUMBER(BH122)),ISERROR(BH122),$B122=""),"",IF($I122=1,IFBLANK(_xldudf_CX_PUSH(BH122*fxVal_normal,CX_ENTITY,$B122,BH$11,BH$14,BH$75,),""),IF($I122=2,IFBLANK(_xldudf_CX_PUSH(BH122,CX_ENTITY,$B122,BH$11,BH$14,BH$75,),""),IF($I122=3,"",IFBLANK(_xldudf_CX_PUSH(BH122,CX_ENTITY,$B122,BH$11,BH$14,BH$75,),"")))))),"")</f>
        <v/>
      </c>
      <c r="EI122" s="2445" t="str" cm="1">
        <f t="array" ref="EI122">IFERROR(IF(BI122*fxVal_normal=_PL!BI126,"",IF(OR(BI122="",NOT(ISNUMBER(BI122)),ISERROR(BI122),$B122=""),"",IF($I122=1,IFBLANK(_xldudf_CX_PUSH(BI122*fxVal_normal,CX_ENTITY,$B122,BI$11,BI$14,BI$75,),""),IF($I122=2,IFBLANK(_xldudf_CX_PUSH(BI122,CX_ENTITY,$B122,BI$11,BI$14,BI$75,),""),IF($I122=3,"",IFBLANK(_xldudf_CX_PUSH(BI122,CX_ENTITY,$B122,BI$11,BI$14,BI$75,),"")))))),"")</f>
        <v/>
      </c>
      <c r="EJ122" s="2445" t="str" cm="1">
        <f t="array" ref="EJ122">IFERROR(IF(BJ122*fxVal_normal=_PL!BJ126,"",IF(OR(BJ122="",NOT(ISNUMBER(BJ122)),ISERROR(BJ122),$B122=""),"",IF($I122=1,IFBLANK(_xldudf_CX_PUSH(BJ122*fxVal_normal,CX_ENTITY,$B122,BJ$11,BJ$14,BJ$75,),""),IF($I122=2,IFBLANK(_xldudf_CX_PUSH(BJ122,CX_ENTITY,$B122,BJ$11,BJ$14,BJ$75,),""),IF($I122=3,"",IFBLANK(_xldudf_CX_PUSH(BJ122,CX_ENTITY,$B122,BJ$11,BJ$14,BJ$75,),"")))))),"")</f>
        <v/>
      </c>
      <c r="EK122" s="2445" t="str" cm="1">
        <f t="array" ref="EK122">IFERROR(IF(BK122*fxVal_normal=_PL!BK126,"",IF(OR(BK122="",NOT(ISNUMBER(BK122)),ISERROR(BK122),$B122=""),"",IF($I122=1,IFBLANK(_xldudf_CX_PUSH(BK122*fxVal_normal,CX_ENTITY,$B122,BK$11,BK$14,BK$75,),""),IF($I122=2,IFBLANK(_xldudf_CX_PUSH(BK122,CX_ENTITY,$B122,BK$11,BK$14,BK$75,),""),IF($I122=3,"",IFBLANK(_xldudf_CX_PUSH(BK122,CX_ENTITY,$B122,BK$11,BK$14,BK$75,),"")))))),"")</f>
        <v/>
      </c>
      <c r="EL122" s="2445" t="str" cm="1">
        <f t="array" ref="EL122">IFERROR(IF(BL122*fxVal_normal=_PL!BL126,"",IF(OR(BL122="",NOT(ISNUMBER(BL122)),ISERROR(BL122),$B122=""),"",IF($I122=1,IFBLANK(_xldudf_CX_PUSH(BL122*fxVal_normal,CX_ENTITY,$B122,BL$11,BL$14,BL$75,),""),IF($I122=2,IFBLANK(_xldudf_CX_PUSH(BL122,CX_ENTITY,$B122,BL$11,BL$14,BL$75,),""),IF($I122=3,"",IFBLANK(_xldudf_CX_PUSH(BL122,CX_ENTITY,$B122,BL$11,BL$14,BL$75,),"")))))),"")</f>
        <v/>
      </c>
      <c r="EM122" s="2445" t="str" cm="1">
        <f t="array" ref="EM122">IFERROR(IF(BM122*fxVal_normal=_PL!BM126,"",IF(OR(BM122="",NOT(ISNUMBER(BM122)),ISERROR(BM122),$B122=""),"",IF($I122=1,IFBLANK(_xldudf_CX_PUSH(BM122*fxVal_normal,CX_ENTITY,$B122,BM$11,BM$14,BM$75,),""),IF($I122=2,IFBLANK(_xldudf_CX_PUSH(BM122,CX_ENTITY,$B122,BM$11,BM$14,BM$75,),""),IF($I122=3,"",IFBLANK(_xldudf_CX_PUSH(BM122,CX_ENTITY,$B122,BM$11,BM$14,BM$75,),"")))))),"")</f>
        <v/>
      </c>
      <c r="EN122" s="2445" t="str" cm="1">
        <f t="array" ref="EN122">IFERROR(IF(BN122*fxVal_normal=_PL!BN126,"",IF(OR(BN122="",NOT(ISNUMBER(BN122)),ISERROR(BN122),$B122=""),"",IF($I122=1,IFBLANK(_xldudf_CX_PUSH(BN122*fxVal_normal,CX_ENTITY,$B122,BN$11,BN$14,BN$75,),""),IF($I122=2,IFBLANK(_xldudf_CX_PUSH(BN122,CX_ENTITY,$B122,BN$11,BN$14,BN$75,),""),IF($I122=3,"",IFBLANK(_xldudf_CX_PUSH(BN122,CX_ENTITY,$B122,BN$11,BN$14,BN$75,),"")))))),"")</f>
        <v/>
      </c>
    </row>
    <row r="123" spans="1:149" ht="15.5">
      <c r="A123" s="1625"/>
      <c r="B123" s="2439" t="str">
        <f>_xlfn.LET(_xlpm.IsNotAttrDynamic,D123="",_xlpm.Attr,_PL!F123,_xlpm.NotInUse,Y123=D123,_xlpm.RESULT,IF(_xlpm.IsNotAttrDynamic,_xlpm.Attr,IF(_xlpm.NotInUse,"",Y123)),IF(_xlpm.RESULT="","",_xlpm.RESULT))</f>
        <v/>
      </c>
      <c r="C123" s="2439" t="str" cm="1">
        <f t="array" ref="C123">IFBLANK(_PL!C123,"")</f>
        <v/>
      </c>
      <c r="D123" s="1548"/>
      <c r="E123" s="2453"/>
      <c r="F123" s="578"/>
      <c r="G123" s="578"/>
      <c r="H123" s="578"/>
      <c r="I123" s="578"/>
      <c r="J123" s="401"/>
      <c r="K123" s="578" t="str">
        <f t="shared" si="39"/>
        <v>No</v>
      </c>
      <c r="L123" s="37"/>
      <c r="N123" s="158"/>
      <c r="O123" s="101"/>
      <c r="P123" s="52"/>
      <c r="Q123" s="101"/>
      <c r="R123" s="126"/>
      <c r="S123" s="101"/>
      <c r="T123" s="101"/>
      <c r="U123" s="39"/>
      <c r="V123" s="37"/>
      <c r="W123" s="878"/>
      <c r="X123" s="890"/>
      <c r="Y123" s="88"/>
      <c r="Z123" s="556"/>
      <c r="AA123" s="377"/>
      <c r="AB123" s="97"/>
      <c r="AC123" s="128"/>
      <c r="AD123" s="2473"/>
      <c r="AE123" s="2473"/>
      <c r="AF123" s="2473"/>
      <c r="AG123" s="2473"/>
      <c r="AH123" s="2473"/>
      <c r="AI123" s="2473"/>
      <c r="AJ123" s="2473"/>
      <c r="AK123" s="2473"/>
      <c r="AL123" s="2473"/>
      <c r="AM123" s="2473"/>
      <c r="AN123" s="2473"/>
      <c r="AO123" s="2473"/>
      <c r="AP123" s="2473"/>
      <c r="AQ123" s="2473"/>
      <c r="AR123" s="2473"/>
      <c r="AS123" s="2473"/>
      <c r="AT123" s="2473"/>
      <c r="AU123" s="2473"/>
      <c r="AV123" s="2473"/>
      <c r="AW123" s="2473"/>
      <c r="AX123" s="2473"/>
      <c r="AY123" s="2473"/>
      <c r="AZ123" s="2473"/>
      <c r="BA123" s="2473"/>
      <c r="BB123" s="2473"/>
      <c r="BC123" s="2473"/>
      <c r="BD123" s="2473"/>
      <c r="BE123" s="2473"/>
      <c r="BF123" s="2473"/>
      <c r="BG123" s="2473"/>
      <c r="BH123" s="2473"/>
      <c r="BI123" s="2473"/>
      <c r="BJ123" s="2473"/>
      <c r="BK123" s="2473"/>
      <c r="BL123" s="2473"/>
      <c r="BM123" s="2473"/>
      <c r="BN123" s="2473"/>
      <c r="BO123" s="2473"/>
      <c r="BP123" s="2473"/>
      <c r="BQ123" s="2473"/>
      <c r="BR123" s="2473"/>
      <c r="BS123" s="2473"/>
      <c r="BT123" s="2473"/>
      <c r="BU123" s="2473"/>
      <c r="BV123" s="2473"/>
      <c r="BW123" s="2473"/>
      <c r="BX123" s="2473"/>
      <c r="BY123" s="2473"/>
      <c r="BZ123" s="2473"/>
      <c r="CA123" s="34"/>
      <c r="CC123" s="2455"/>
      <c r="CD123" s="177"/>
      <c r="CE123" s="177"/>
      <c r="CF123" s="178"/>
      <c r="CG123" s="177"/>
      <c r="CH123" s="177"/>
      <c r="CI123" s="88"/>
      <c r="CJ123" s="2456"/>
      <c r="CK123" s="2456"/>
      <c r="CL123" s="88"/>
      <c r="CM123" s="2456"/>
      <c r="CN123" s="2457"/>
      <c r="CO123" s="88"/>
      <c r="CP123" s="2456"/>
      <c r="CQ123" s="2457"/>
      <c r="CR123" s="34"/>
      <c r="CS123" s="2056"/>
      <c r="CT123" s="1880"/>
      <c r="CU123" s="1880"/>
      <c r="CV123" s="1880"/>
      <c r="CW123" s="1880"/>
      <c r="CX123" s="2121"/>
      <c r="CY123" s="1880"/>
      <c r="CZ123" s="1880"/>
      <c r="DA123" s="1880"/>
      <c r="DB123" s="1880"/>
      <c r="DC123" s="2121"/>
      <c r="DD123" s="1880"/>
      <c r="DE123" s="1880"/>
      <c r="DF123" s="1880"/>
      <c r="DG123" s="1880"/>
      <c r="DH123" s="1880"/>
      <c r="DI123" s="1880"/>
      <c r="DJ123" s="1880"/>
      <c r="DK123" s="1880"/>
      <c r="DL123" s="1880"/>
      <c r="DM123" s="1880"/>
      <c r="DN123" s="1880"/>
      <c r="DO123" s="1880"/>
      <c r="DP123" s="1880"/>
      <c r="DQ123" s="1880"/>
      <c r="DR123" s="1880"/>
      <c r="DS123" s="1880"/>
      <c r="DT123" s="1880"/>
      <c r="DU123" s="1880"/>
      <c r="DV123" s="1880"/>
      <c r="DW123" s="1880"/>
      <c r="DX123" s="1880"/>
      <c r="DY123" s="1880"/>
      <c r="DZ123" s="1880"/>
      <c r="EA123" s="1880"/>
      <c r="EB123" s="1880"/>
      <c r="EC123" s="1880"/>
      <c r="ED123" s="1880"/>
      <c r="EE123" s="1880"/>
      <c r="EF123" s="1880"/>
      <c r="EG123" s="1880"/>
      <c r="EH123" s="1880"/>
      <c r="EI123" s="1880"/>
      <c r="EJ123" s="1880"/>
      <c r="EK123" s="1880"/>
      <c r="EL123" s="1880"/>
      <c r="EM123" s="1880"/>
      <c r="EN123" s="1880"/>
      <c r="EO123" s="1880"/>
      <c r="EP123" s="1880"/>
      <c r="EQ123" s="1880"/>
      <c r="ER123" s="1880"/>
      <c r="ES123" s="1880"/>
    </row>
    <row r="124" spans="1:149" ht="15.5">
      <c r="A124" s="1625"/>
      <c r="B124" s="2439" t="str">
        <f>_xlfn.LET(_xlpm.IsNotAttrDynamic,D124="",_xlpm.Attr,_PL!F124,_xlpm.NotInUse,Y124=D124,_xlpm.RESULT,IF(_xlpm.IsNotAttrDynamic,_xlpm.Attr,IF(_xlpm.NotInUse,"",Y124)),IF(_xlpm.RESULT="","",_xlpm.RESULT))</f>
        <v/>
      </c>
      <c r="C124" s="2439" t="str" cm="1">
        <f t="array" ref="C124">IFBLANK(_PL!C124,"")</f>
        <v/>
      </c>
      <c r="D124" s="1548"/>
      <c r="E124" s="2453"/>
      <c r="F124" s="578"/>
      <c r="G124" s="578"/>
      <c r="H124" s="578"/>
      <c r="I124" s="578"/>
      <c r="J124" s="401"/>
      <c r="K124" s="578" t="str">
        <f t="shared" si="39"/>
        <v>No</v>
      </c>
      <c r="L124" s="37"/>
      <c r="N124" s="158"/>
      <c r="O124" s="101"/>
      <c r="P124" s="137"/>
      <c r="Q124" s="137"/>
      <c r="R124" s="140"/>
      <c r="S124" s="101"/>
      <c r="T124" s="101"/>
      <c r="U124" s="39"/>
      <c r="V124" s="37"/>
      <c r="W124" s="198"/>
      <c r="X124" s="887"/>
      <c r="Y124" s="88"/>
      <c r="Z124" s="543"/>
      <c r="AA124" s="97"/>
      <c r="AB124" s="97"/>
      <c r="AC124" s="128"/>
      <c r="AD124" s="88"/>
      <c r="AE124" s="88"/>
      <c r="AF124" s="88"/>
      <c r="AG124" s="88"/>
      <c r="AH124" s="88"/>
      <c r="AI124" s="88"/>
      <c r="AJ124" s="88"/>
      <c r="AK124" s="88"/>
      <c r="AL124" s="88"/>
      <c r="AM124" s="88"/>
      <c r="AN124" s="88"/>
      <c r="AO124" s="88"/>
      <c r="AP124" s="88"/>
      <c r="AQ124" s="88"/>
      <c r="AR124" s="88"/>
      <c r="AS124" s="88"/>
      <c r="AT124" s="781"/>
      <c r="AU124" s="782"/>
      <c r="AV124" s="782"/>
      <c r="AW124" s="782"/>
      <c r="AX124" s="782"/>
      <c r="AY124" s="782"/>
      <c r="AZ124" s="782"/>
      <c r="BA124" s="782"/>
      <c r="BB124" s="782"/>
      <c r="BC124" s="782"/>
      <c r="BD124" s="782"/>
      <c r="BE124" s="782"/>
      <c r="BF124" s="782"/>
      <c r="BG124" s="782"/>
      <c r="BH124" s="782"/>
      <c r="BI124" s="782"/>
      <c r="BJ124" s="783"/>
      <c r="BK124" s="783"/>
      <c r="BL124" s="783"/>
      <c r="BM124" s="783"/>
      <c r="BN124" s="783"/>
      <c r="BO124" s="783"/>
      <c r="BP124" s="783"/>
      <c r="BQ124" s="783"/>
      <c r="BR124" s="783"/>
      <c r="BS124" s="783"/>
      <c r="BT124" s="783"/>
      <c r="BU124" s="783"/>
      <c r="BV124" s="783"/>
      <c r="BW124" s="783"/>
      <c r="BX124" s="783"/>
      <c r="BY124" s="783"/>
      <c r="BZ124" s="783"/>
      <c r="CA124" s="34"/>
      <c r="CC124" s="181"/>
      <c r="CD124" s="296"/>
      <c r="CE124" s="296"/>
      <c r="CF124" s="296"/>
      <c r="CG124" s="296"/>
      <c r="CH124" s="296"/>
      <c r="CI124" s="296"/>
      <c r="CJ124" s="296"/>
      <c r="CK124" s="296"/>
      <c r="CL124" s="88"/>
      <c r="CM124" s="88"/>
      <c r="CN124" s="88"/>
      <c r="CO124" s="88"/>
      <c r="CP124" s="88"/>
      <c r="CQ124" s="88"/>
      <c r="CR124" s="34"/>
      <c r="CS124" s="2056"/>
      <c r="CT124" s="1880"/>
      <c r="CU124" s="1880"/>
      <c r="CV124" s="1880"/>
      <c r="CW124" s="1880"/>
      <c r="CX124" s="2121"/>
      <c r="CY124" s="1880"/>
      <c r="CZ124" s="1880"/>
      <c r="DA124" s="1880"/>
      <c r="DB124" s="1880"/>
      <c r="DC124" s="2121"/>
      <c r="DD124" s="1880"/>
      <c r="DE124" s="1880"/>
      <c r="DF124" s="1880"/>
      <c r="DG124" s="1880"/>
      <c r="DH124" s="1880"/>
      <c r="DI124" s="1880"/>
      <c r="DJ124" s="1880"/>
      <c r="DK124" s="1880"/>
      <c r="DL124" s="1880"/>
      <c r="DM124" s="1880"/>
      <c r="DN124" s="1880"/>
      <c r="DO124" s="1880"/>
      <c r="DP124" s="1880"/>
      <c r="DQ124" s="1880"/>
      <c r="DR124" s="1880"/>
      <c r="DS124" s="1880"/>
      <c r="DT124" s="1880"/>
      <c r="DU124" s="1880"/>
      <c r="DV124" s="1880"/>
      <c r="DW124" s="1880"/>
      <c r="DX124" s="1880"/>
      <c r="DY124" s="1880"/>
      <c r="DZ124" s="1880"/>
      <c r="EA124" s="1880"/>
      <c r="EB124" s="1880"/>
      <c r="EC124" s="1880"/>
      <c r="ED124" s="1880"/>
      <c r="EE124" s="1880"/>
      <c r="EF124" s="1880"/>
      <c r="EG124" s="1880"/>
      <c r="EH124" s="1880"/>
      <c r="EI124" s="1880"/>
      <c r="EJ124" s="1880"/>
      <c r="EK124" s="1880"/>
      <c r="EL124" s="1880"/>
      <c r="EM124" s="1880"/>
      <c r="EN124" s="1880"/>
      <c r="EO124" s="1880"/>
      <c r="EP124" s="1880"/>
      <c r="EQ124" s="1880"/>
      <c r="ER124" s="1880"/>
      <c r="ES124" s="1880"/>
    </row>
    <row r="125" spans="1:149" ht="29.5">
      <c r="A125" s="1625"/>
      <c r="B125" s="2439" t="str">
        <f>_xlfn.LET(_xlpm.IsNotAttrDynamic,D125="",_xlpm.Attr,_PL!F125,_xlpm.NotInUse,Y125=D125,_xlpm.RESULT,IF(_xlpm.IsNotAttrDynamic,_xlpm.Attr,IF(_xlpm.NotInUse,"",Y125)),IF(_xlpm.RESULT="","",_xlpm.RESULT))</f>
        <v/>
      </c>
      <c r="C125" s="2439" t="str" cm="1">
        <f t="array" ref="C125">IFBLANK(_PL!C125,"")</f>
        <v/>
      </c>
      <c r="D125" s="1548"/>
      <c r="E125" s="2453"/>
      <c r="F125" s="578"/>
      <c r="G125" s="578"/>
      <c r="H125" s="578"/>
      <c r="I125" s="578"/>
      <c r="J125" s="401"/>
      <c r="K125" s="578" t="str">
        <f t="shared" si="39"/>
        <v>No</v>
      </c>
      <c r="L125" s="37"/>
      <c r="N125" s="158"/>
      <c r="O125" s="101"/>
      <c r="P125" s="137"/>
      <c r="Q125" s="137"/>
      <c r="R125" s="140"/>
      <c r="S125" s="101"/>
      <c r="T125" s="101"/>
      <c r="U125" s="39"/>
      <c r="V125" s="37"/>
      <c r="W125" s="198"/>
      <c r="X125" s="887"/>
      <c r="Y125" s="2539" t="s">
        <v>108</v>
      </c>
      <c r="Z125" s="788"/>
      <c r="AA125" s="97"/>
      <c r="AB125" s="97"/>
      <c r="AC125" s="128"/>
      <c r="AD125" s="88"/>
      <c r="AE125" s="88"/>
      <c r="AF125" s="88"/>
      <c r="AG125" s="88"/>
      <c r="AH125" s="88"/>
      <c r="AI125" s="88"/>
      <c r="AJ125" s="88"/>
      <c r="AK125" s="88"/>
      <c r="AL125" s="88"/>
      <c r="AM125" s="88"/>
      <c r="AN125" s="88"/>
      <c r="AO125" s="88"/>
      <c r="AP125" s="88"/>
      <c r="AQ125" s="88"/>
      <c r="AR125" s="88"/>
      <c r="AS125" s="88"/>
      <c r="AT125" s="88"/>
      <c r="AU125" s="783"/>
      <c r="AV125" s="783"/>
      <c r="AW125" s="783"/>
      <c r="AX125" s="783"/>
      <c r="AY125" s="783"/>
      <c r="AZ125" s="783"/>
      <c r="BA125" s="783"/>
      <c r="BB125" s="783"/>
      <c r="BC125" s="783"/>
      <c r="BD125" s="783"/>
      <c r="BE125" s="783"/>
      <c r="BF125" s="783"/>
      <c r="BG125" s="783"/>
      <c r="BH125" s="783"/>
      <c r="BI125" s="783"/>
      <c r="BJ125" s="783"/>
      <c r="BK125" s="783"/>
      <c r="BL125" s="783"/>
      <c r="BM125" s="783"/>
      <c r="BN125" s="783"/>
      <c r="BO125" s="783"/>
      <c r="BP125" s="783"/>
      <c r="BQ125" s="783"/>
      <c r="BR125" s="783"/>
      <c r="BS125" s="783"/>
      <c r="BT125" s="783"/>
      <c r="BU125" s="783"/>
      <c r="BV125" s="783"/>
      <c r="BW125" s="783"/>
      <c r="BX125" s="783"/>
      <c r="BY125" s="783"/>
      <c r="BZ125" s="783"/>
      <c r="CA125" s="34"/>
      <c r="CC125" s="50"/>
      <c r="CD125" s="172"/>
      <c r="CE125" s="172"/>
      <c r="CF125" s="172"/>
      <c r="CG125" s="172"/>
      <c r="CH125" s="172"/>
      <c r="CI125" s="172"/>
      <c r="CJ125" s="172"/>
      <c r="CK125" s="172"/>
      <c r="CL125" s="88"/>
      <c r="CM125" s="88"/>
      <c r="CN125" s="88"/>
      <c r="CO125" s="88"/>
      <c r="CP125" s="88"/>
      <c r="CQ125" s="88"/>
      <c r="CR125" s="34"/>
      <c r="CS125" s="2056"/>
      <c r="CT125" s="1880"/>
      <c r="CU125" s="1880"/>
      <c r="CV125" s="1880"/>
      <c r="CW125" s="1880"/>
      <c r="CX125" s="2121"/>
      <c r="CY125" s="1880"/>
      <c r="CZ125" s="1880"/>
      <c r="DA125" s="1880"/>
      <c r="DB125" s="1880"/>
      <c r="DC125" s="2121"/>
      <c r="DD125" s="1880"/>
      <c r="DE125" s="1880"/>
      <c r="DF125" s="1880"/>
      <c r="DG125" s="1880"/>
      <c r="DH125" s="1880"/>
      <c r="DI125" s="1880"/>
      <c r="DJ125" s="1880"/>
      <c r="DK125" s="1880"/>
      <c r="DL125" s="1880"/>
      <c r="DM125" s="1880"/>
      <c r="DN125" s="1880"/>
      <c r="DO125" s="1880"/>
      <c r="DP125" s="1880"/>
      <c r="DQ125" s="1880"/>
      <c r="DR125" s="1880"/>
      <c r="DS125" s="1880"/>
      <c r="DT125" s="1880"/>
      <c r="DU125" s="1880"/>
      <c r="DV125" s="1880"/>
      <c r="DW125" s="1880"/>
      <c r="DX125" s="1880"/>
      <c r="DY125" s="1880"/>
      <c r="DZ125" s="1880"/>
      <c r="EA125" s="1880"/>
      <c r="EB125" s="1880"/>
      <c r="EC125" s="1880"/>
      <c r="ED125" s="1880"/>
      <c r="EE125" s="1880"/>
      <c r="EF125" s="1880"/>
      <c r="EG125" s="1880"/>
      <c r="EH125" s="1880"/>
      <c r="EI125" s="1880"/>
      <c r="EJ125" s="1880"/>
      <c r="EK125" s="1880"/>
      <c r="EL125" s="1880"/>
      <c r="EM125" s="1880"/>
      <c r="EN125" s="1880"/>
      <c r="EO125" s="1880"/>
      <c r="EP125" s="1880"/>
      <c r="EQ125" s="1880"/>
      <c r="ER125" s="1880"/>
      <c r="ES125" s="1880"/>
    </row>
    <row r="126" spans="1:149" ht="17.5">
      <c r="A126" s="1625"/>
      <c r="B126" s="2439" t="str">
        <f>_xlfn.LET(_xlpm.IsNotAttrDynamic,D126="",_xlpm.Attr,_PL!F126,_xlpm.NotInUse,Y126=D126,_xlpm.RESULT,IF(_xlpm.IsNotAttrDynamic,_xlpm.Attr,IF(_xlpm.NotInUse,"",Y126)),IF(_xlpm.RESULT="","",_xlpm.RESULT))</f>
        <v/>
      </c>
      <c r="C126" s="2439" t="str" cm="1">
        <f t="array" ref="C126">IFBLANK(_PL!C126,"")</f>
        <v/>
      </c>
      <c r="D126" s="1548"/>
      <c r="E126" s="2453"/>
      <c r="F126" s="578"/>
      <c r="G126" s="578"/>
      <c r="H126" s="578"/>
      <c r="I126" s="578"/>
      <c r="J126" s="401"/>
      <c r="K126" s="578" t="str">
        <f t="shared" si="39"/>
        <v>No</v>
      </c>
      <c r="L126" s="37"/>
      <c r="N126" s="158"/>
      <c r="O126" s="101"/>
      <c r="P126" s="52"/>
      <c r="Q126" s="2"/>
      <c r="R126" s="140"/>
      <c r="S126" s="101"/>
      <c r="T126" s="101"/>
      <c r="U126" s="39"/>
      <c r="V126" s="37"/>
      <c r="W126" s="198"/>
      <c r="X126" s="887"/>
      <c r="Y126" s="864"/>
      <c r="Z126" s="788"/>
      <c r="AA126" s="97"/>
      <c r="AB126" s="97"/>
      <c r="AC126" s="128"/>
      <c r="AD126" s="998"/>
      <c r="AE126" s="88"/>
      <c r="AF126" s="88"/>
      <c r="AG126" s="88"/>
      <c r="AH126" s="88"/>
      <c r="AI126" s="88"/>
      <c r="AJ126" s="88"/>
      <c r="AK126" s="88"/>
      <c r="AL126" s="88"/>
      <c r="AM126" s="88"/>
      <c r="AN126" s="88"/>
      <c r="AO126" s="88"/>
      <c r="AP126" s="88"/>
      <c r="AQ126" s="88"/>
      <c r="AR126" s="88"/>
      <c r="AS126" s="88"/>
      <c r="AT126" s="88"/>
      <c r="AU126" s="783"/>
      <c r="AV126" s="783"/>
      <c r="AW126" s="783"/>
      <c r="AX126" s="783"/>
      <c r="AY126" s="783"/>
      <c r="AZ126" s="783"/>
      <c r="BA126" s="783"/>
      <c r="BB126" s="783"/>
      <c r="BC126" s="783"/>
      <c r="BD126" s="783"/>
      <c r="BE126" s="783"/>
      <c r="BF126" s="783"/>
      <c r="BG126" s="783"/>
      <c r="BH126" s="783"/>
      <c r="BI126" s="783"/>
      <c r="BJ126" s="783"/>
      <c r="BK126" s="783"/>
      <c r="BL126" s="783"/>
      <c r="BM126" s="783"/>
      <c r="BN126" s="783"/>
      <c r="BO126" s="783"/>
      <c r="BP126" s="783"/>
      <c r="BQ126" s="783"/>
      <c r="BR126" s="783"/>
      <c r="BS126" s="783"/>
      <c r="BT126" s="783"/>
      <c r="BU126" s="783"/>
      <c r="BV126" s="783"/>
      <c r="BW126" s="783"/>
      <c r="BX126" s="783"/>
      <c r="BY126" s="783"/>
      <c r="BZ126" s="783"/>
      <c r="CA126" s="34"/>
      <c r="CC126" s="50"/>
      <c r="CD126" s="172"/>
      <c r="CE126" s="172"/>
      <c r="CF126" s="172"/>
      <c r="CG126" s="172"/>
      <c r="CH126" s="172"/>
      <c r="CI126" s="172"/>
      <c r="CJ126" s="172"/>
      <c r="CK126" s="172"/>
      <c r="CL126" s="88"/>
      <c r="CM126" s="88"/>
      <c r="CN126" s="88"/>
      <c r="CO126" s="88"/>
      <c r="CP126" s="88"/>
      <c r="CQ126" s="88"/>
      <c r="CR126" s="34"/>
      <c r="CS126" s="2056"/>
      <c r="CT126" s="1880"/>
      <c r="CU126" s="1880"/>
      <c r="CV126" s="1880"/>
      <c r="CW126" s="1880"/>
      <c r="CX126" s="2121"/>
      <c r="CY126" s="1880"/>
      <c r="CZ126" s="1880"/>
      <c r="DA126" s="1880"/>
      <c r="DB126" s="1880"/>
      <c r="DC126" s="2121"/>
      <c r="DD126" s="1880"/>
      <c r="DE126" s="1880"/>
      <c r="DF126" s="1880"/>
      <c r="DG126" s="1880"/>
      <c r="DH126" s="1880"/>
      <c r="DI126" s="1880"/>
      <c r="DJ126" s="1880"/>
      <c r="DK126" s="1880"/>
      <c r="DL126" s="1880"/>
      <c r="DM126" s="1880"/>
      <c r="DN126" s="1880"/>
      <c r="DO126" s="1880"/>
      <c r="DP126" s="1880"/>
      <c r="DQ126" s="1880"/>
      <c r="DR126" s="1880"/>
      <c r="DS126" s="1880"/>
      <c r="DT126" s="1880"/>
      <c r="DU126" s="1880"/>
      <c r="DV126" s="1880"/>
      <c r="DW126" s="1880"/>
      <c r="DX126" s="1880"/>
      <c r="DY126" s="1880"/>
      <c r="DZ126" s="1880"/>
      <c r="EA126" s="1880"/>
      <c r="EB126" s="1880"/>
      <c r="EC126" s="1880"/>
      <c r="ED126" s="1880"/>
      <c r="EE126" s="1880"/>
      <c r="EF126" s="1880"/>
      <c r="EG126" s="1880"/>
      <c r="EH126" s="1880"/>
      <c r="EI126" s="1880"/>
      <c r="EJ126" s="1880"/>
      <c r="EK126" s="1880"/>
      <c r="EL126" s="1880"/>
      <c r="EM126" s="1880"/>
      <c r="EN126" s="1880"/>
      <c r="EO126" s="1880"/>
      <c r="EP126" s="1880"/>
      <c r="EQ126" s="1880"/>
      <c r="ER126" s="1880"/>
      <c r="ES126" s="1880"/>
    </row>
    <row r="127" spans="1:149" ht="32.5">
      <c r="A127" s="1625"/>
      <c r="B127" s="2439" t="str">
        <f>_xlfn.LET(_xlpm.IsNotAttrDynamic,D127="",_xlpm.Attr,_PL!F127,_xlpm.NotInUse,Y127=D127,_xlpm.RESULT,IF(_xlpm.IsNotAttrDynamic,_xlpm.Attr,IF(_xlpm.NotInUse,"",Y127)),IF(_xlpm.RESULT="","",_xlpm.RESULT))</f>
        <v/>
      </c>
      <c r="C127" s="2439" t="str" cm="1">
        <f t="array" ref="C127">IFBLANK(_PL!C127,"")</f>
        <v/>
      </c>
      <c r="D127" s="1548"/>
      <c r="E127" s="2453"/>
      <c r="F127" s="578"/>
      <c r="G127" s="578"/>
      <c r="H127" s="578"/>
      <c r="I127" s="578"/>
      <c r="J127" s="401"/>
      <c r="K127" s="578" t="str">
        <f t="shared" si="39"/>
        <v>No</v>
      </c>
      <c r="L127" s="37"/>
      <c r="N127" s="158"/>
      <c r="O127" s="101"/>
      <c r="P127" s="52"/>
      <c r="Q127" s="2"/>
      <c r="R127" s="140"/>
      <c r="S127" s="101"/>
      <c r="T127" s="101"/>
      <c r="U127" s="39"/>
      <c r="V127" s="37"/>
      <c r="W127" s="198"/>
      <c r="X127" s="887"/>
      <c r="Y127" s="23"/>
      <c r="Z127" s="788"/>
      <c r="AA127" s="97"/>
      <c r="AB127" s="97"/>
      <c r="AC127" s="128"/>
      <c r="AD127" s="88"/>
      <c r="AE127" s="88"/>
      <c r="AF127" s="88"/>
      <c r="AG127" s="88"/>
      <c r="AH127" s="88"/>
      <c r="AI127" s="88"/>
      <c r="AJ127" s="88"/>
      <c r="AK127" s="88"/>
      <c r="AL127" s="88"/>
      <c r="AM127" s="88"/>
      <c r="AN127" s="88"/>
      <c r="AO127" s="88"/>
      <c r="AP127" s="88"/>
      <c r="AQ127" s="88"/>
      <c r="AR127" s="88"/>
      <c r="AS127" s="88"/>
      <c r="AT127" s="88"/>
      <c r="AU127" s="783"/>
      <c r="AV127" s="783"/>
      <c r="AW127" s="783"/>
      <c r="AX127" s="783"/>
      <c r="AY127" s="783"/>
      <c r="AZ127" s="783"/>
      <c r="BA127" s="783"/>
      <c r="BB127" s="783"/>
      <c r="BC127" s="783"/>
      <c r="BD127" s="783"/>
      <c r="BE127" s="783"/>
      <c r="BF127" s="783"/>
      <c r="BG127" s="783"/>
      <c r="BH127" s="783"/>
      <c r="BI127" s="783"/>
      <c r="BJ127" s="783"/>
      <c r="BK127" s="783"/>
      <c r="BL127" s="783"/>
      <c r="BM127" s="783"/>
      <c r="BN127" s="783"/>
      <c r="BO127" s="783"/>
      <c r="BP127" s="783"/>
      <c r="BQ127" s="783"/>
      <c r="BR127" s="783"/>
      <c r="BS127" s="783"/>
      <c r="BT127" s="783"/>
      <c r="BU127" s="783"/>
      <c r="BV127" s="783"/>
      <c r="BW127" s="783"/>
      <c r="BX127" s="783"/>
      <c r="BY127" s="783"/>
      <c r="BZ127" s="783"/>
      <c r="CA127" s="34"/>
      <c r="CC127" s="50"/>
      <c r="CD127" s="3018" t="s">
        <v>41</v>
      </c>
      <c r="CE127" s="3019"/>
      <c r="CF127" s="1472"/>
      <c r="CG127" s="3026" t="s">
        <v>109</v>
      </c>
      <c r="CH127" s="3027"/>
      <c r="CI127" s="1473"/>
      <c r="CJ127" s="3022" t="s">
        <v>43</v>
      </c>
      <c r="CK127" s="3023"/>
      <c r="CL127" s="1473"/>
      <c r="CM127" s="3015" t="s">
        <v>44</v>
      </c>
      <c r="CN127" s="3016"/>
      <c r="CO127" s="1470"/>
      <c r="CP127" s="3015" t="s">
        <v>45</v>
      </c>
      <c r="CQ127" s="3016"/>
      <c r="CR127" s="34"/>
      <c r="CS127" s="2056"/>
      <c r="CT127" s="1880"/>
      <c r="CU127" s="1880"/>
      <c r="CV127" s="1880"/>
      <c r="CW127" s="1880"/>
      <c r="CX127" s="2121"/>
      <c r="CY127" s="1880"/>
      <c r="CZ127" s="1880"/>
      <c r="DA127" s="1880"/>
      <c r="DB127" s="1880"/>
      <c r="DC127" s="2121"/>
      <c r="DD127" s="1880"/>
      <c r="DE127" s="1880"/>
      <c r="DF127" s="1880"/>
      <c r="DG127" s="1880"/>
      <c r="DH127" s="1880"/>
      <c r="DI127" s="1880"/>
      <c r="DJ127" s="1880"/>
      <c r="DK127" s="1880"/>
      <c r="DL127" s="1880"/>
      <c r="DM127" s="1880"/>
      <c r="DN127" s="1880"/>
      <c r="DO127" s="1880"/>
      <c r="DP127" s="1880"/>
      <c r="DQ127" s="1880"/>
      <c r="DR127" s="1880"/>
      <c r="DS127" s="1880"/>
      <c r="DT127" s="1880"/>
      <c r="DU127" s="1880"/>
      <c r="DV127" s="1880"/>
      <c r="DW127" s="1880"/>
      <c r="DX127" s="1880"/>
      <c r="DY127" s="1880"/>
      <c r="DZ127" s="1880"/>
      <c r="EA127" s="1880"/>
      <c r="EB127" s="1880"/>
      <c r="EC127" s="1880"/>
      <c r="ED127" s="1880"/>
      <c r="EE127" s="1880"/>
      <c r="EF127" s="1880"/>
      <c r="EG127" s="1880"/>
      <c r="EH127" s="1880"/>
      <c r="EI127" s="1880"/>
      <c r="EJ127" s="1880"/>
      <c r="EK127" s="1880"/>
      <c r="EL127" s="1880"/>
      <c r="EM127" s="1880"/>
      <c r="EN127" s="1880"/>
      <c r="EO127" s="1880"/>
      <c r="EP127" s="1880"/>
      <c r="EQ127" s="1880"/>
      <c r="ER127" s="1880"/>
      <c r="ES127" s="1880"/>
    </row>
    <row r="128" spans="1:149" ht="18">
      <c r="A128" s="2427"/>
      <c r="B128" s="2439" t="str">
        <f>_xlfn.LET(_xlpm.IsNotAttrDynamic,D128="",_xlpm.Attr,_PL!F128,_xlpm.NotInUse,Y128=D128,_xlpm.RESULT,IF(_xlpm.IsNotAttrDynamic,_xlpm.Attr,IF(_xlpm.NotInUse,"",Y128)),IF(_xlpm.RESULT="","",_xlpm.RESULT))</f>
        <v/>
      </c>
      <c r="C128" s="2439" t="str" cm="1">
        <f t="array" ref="C128">IFBLANK(_PL!C128,"")</f>
        <v/>
      </c>
      <c r="D128" s="2458"/>
      <c r="E128" s="572"/>
      <c r="F128" s="2459"/>
      <c r="G128" s="578"/>
      <c r="H128" s="578"/>
      <c r="I128" s="578"/>
      <c r="J128" s="401"/>
      <c r="K128" s="578" t="str">
        <f t="shared" si="39"/>
        <v>No</v>
      </c>
      <c r="L128" s="37"/>
      <c r="N128" s="158"/>
      <c r="O128" s="101"/>
      <c r="P128" s="52"/>
      <c r="Q128" s="2"/>
      <c r="R128" s="140"/>
      <c r="S128" s="101"/>
      <c r="T128" s="101"/>
      <c r="U128" s="39"/>
      <c r="V128" s="37"/>
      <c r="W128" s="3038" t="str">
        <f>_PL!W128</f>
        <v>Actual</v>
      </c>
      <c r="X128" s="1247"/>
      <c r="Y128" s="3040" t="s">
        <v>110</v>
      </c>
      <c r="Z128" s="1248" t="s">
        <v>82</v>
      </c>
      <c r="AA128" s="1249"/>
      <c r="AB128" s="1630" t="s">
        <v>83</v>
      </c>
      <c r="AC128" s="1273"/>
      <c r="AD128" s="859" cm="1">
        <f t="array" ca="1" aca="1" ref="AD128:AD129">fx_checkComp(AD133:AD136)</f>
        <v>100</v>
      </c>
      <c r="AE128" s="859" cm="1">
        <f t="array" ca="1" aca="1" ref="AE128:AE129">fx_checkComp(AE133:AE136)</f>
        <v>100</v>
      </c>
      <c r="AF128" s="859" cm="1">
        <f t="array" ca="1" aca="1" ref="AF128:AF129">fx_checkComp(AF133:AF136)</f>
        <v>100</v>
      </c>
      <c r="AG128" s="859" cm="1">
        <f t="array" ca="1" aca="1" ref="AG128:AG129">fx_checkComp(AG133:AG136)</f>
        <v>100</v>
      </c>
      <c r="AH128" s="859" cm="1">
        <f t="array" ca="1" aca="1" ref="AH128:AH129">fx_checkComp(AH133:AH136)</f>
        <v>100</v>
      </c>
      <c r="AI128" s="859" cm="1">
        <f t="array" ca="1" aca="1" ref="AI128:AI129">fx_checkComp(AI133:AI136)</f>
        <v>100</v>
      </c>
      <c r="AJ128" s="859" cm="1">
        <f t="array" ca="1" aca="1" ref="AJ128:AJ129">fx_checkComp(AJ133:AJ136)</f>
        <v>100</v>
      </c>
      <c r="AK128" s="859" cm="1">
        <f t="array" ca="1" aca="1" ref="AK128:AK129">fx_checkComp(AK133:AK136)</f>
        <v>100</v>
      </c>
      <c r="AL128" s="859" cm="1">
        <f t="array" ca="1" aca="1" ref="AL128:AL129">fx_checkComp(AL133:AL136)</f>
        <v>100</v>
      </c>
      <c r="AM128" s="859" cm="1">
        <f t="array" ca="1" aca="1" ref="AM128:AM129">fx_checkComp(AM133:AM136)</f>
        <v>100</v>
      </c>
      <c r="AN128" s="859" cm="1">
        <f t="array" ca="1" aca="1" ref="AN128:AN129">fx_checkComp(AN133:AN136)</f>
        <v>100</v>
      </c>
      <c r="AO128" s="859" cm="1">
        <f t="array" ca="1" aca="1" ref="AO128:AO129">fx_checkComp(AO133:AO136)</f>
        <v>100</v>
      </c>
      <c r="AP128" s="859" cm="1">
        <f t="array" ca="1" aca="1" ref="AP128:AP129">fx_checkComp(AP133:AP136)</f>
        <v>100</v>
      </c>
      <c r="AQ128" s="859" cm="1">
        <f t="array" ca="1" aca="1" ref="AQ128:AQ129">fx_checkComp(AQ133:AQ136)</f>
        <v>100</v>
      </c>
      <c r="AR128" s="859" cm="1">
        <f t="array" ca="1" aca="1" ref="AR128:AR129">fx_checkComp(AR133:AR136)</f>
        <v>100</v>
      </c>
      <c r="AS128" s="859" cm="1">
        <f t="array" ca="1" aca="1" ref="AS128:AS129">fx_checkComp(AS133:AS136)</f>
        <v>100</v>
      </c>
      <c r="AT128" s="859" cm="1">
        <f t="array" ca="1" aca="1" ref="AT128:AT129">fx_checkComp(AT133:AT136)</f>
        <v>100</v>
      </c>
      <c r="AU128" s="859" cm="1">
        <f t="array" ca="1" aca="1" ref="AU128:AU129">fx_checkComp(AU133:AU136)</f>
        <v>100</v>
      </c>
      <c r="AV128" s="859" cm="1">
        <f t="array" ca="1" aca="1" ref="AV128:AV129">fx_checkComp(AV133:AV136)</f>
        <v>100</v>
      </c>
      <c r="AW128" s="859" cm="1">
        <f t="array" ca="1" aca="1" ref="AW128:AW129">fx_checkComp(AW133:AW136)</f>
        <v>100</v>
      </c>
      <c r="AX128" s="859" cm="1">
        <f t="array" ca="1" aca="1" ref="AX128:AX129">fx_checkComp(AX133:AX136)</f>
        <v>100</v>
      </c>
      <c r="AY128" s="859" cm="1">
        <f t="array" ca="1" aca="1" ref="AY128:AY129">fx_checkComp(AY133:AY136)</f>
        <v>100</v>
      </c>
      <c r="AZ128" s="859" cm="1">
        <f t="array" ca="1" aca="1" ref="AZ128:AZ129">fx_checkComp(AZ133:AZ136)</f>
        <v>100</v>
      </c>
      <c r="BA128" s="859" cm="1">
        <f t="array" ca="1" aca="1" ref="BA128:BA129">fx_checkComp(BA133:BA136)</f>
        <v>100</v>
      </c>
      <c r="BB128" s="859" cm="1">
        <f t="array" ca="1" aca="1" ref="BB128:BB129">fx_checkComp(BB133:BB136)</f>
        <v>100</v>
      </c>
      <c r="BC128" s="859" cm="1">
        <f t="array" ca="1" aca="1" ref="BC128:BC129">fx_checkComp(BC133:BC136)</f>
        <v>100</v>
      </c>
      <c r="BD128" s="859" cm="1">
        <f t="array" ca="1" aca="1" ref="BD128:BD129">fx_checkComp(BD133:BD136)</f>
        <v>100</v>
      </c>
      <c r="BE128" s="859" cm="1">
        <f t="array" ca="1" aca="1" ref="BE128:BE129">fx_checkComp(BE133:BE136)</f>
        <v>100</v>
      </c>
      <c r="BF128" s="859" cm="1">
        <f t="array" ca="1" aca="1" ref="BF128:BF129">fx_checkComp(BF133:BF136)</f>
        <v>100</v>
      </c>
      <c r="BG128" s="859" cm="1">
        <f t="array" ca="1" aca="1" ref="BG128:BG129">fx_checkComp(BG133:BG136)</f>
        <v>100</v>
      </c>
      <c r="BH128" s="859" cm="1">
        <f t="array" ca="1" aca="1" ref="BH128:BH129">fx_checkComp(BH133:BH136)</f>
        <v>100</v>
      </c>
      <c r="BI128" s="859" cm="1">
        <f t="array" ca="1" aca="1" ref="BI128:BI129">fx_checkComp(BI133:BI136)</f>
        <v>100</v>
      </c>
      <c r="BJ128" s="859" cm="1">
        <f t="array" ca="1" aca="1" ref="BJ128:BJ129">fx_checkComp(BJ133:BJ136)</f>
        <v>100</v>
      </c>
      <c r="BK128" s="859" cm="1">
        <f t="array" ca="1" aca="1" ref="BK128:BK129">fx_checkComp(BK133:BK136)</f>
        <v>100</v>
      </c>
      <c r="BL128" s="859" cm="1">
        <f t="array" ca="1" aca="1" ref="BL128:BL129">fx_checkComp(BL133:BL136)</f>
        <v>100</v>
      </c>
      <c r="BM128" s="859" cm="1">
        <f t="array" ca="1" aca="1" ref="BM128:BM129">fx_checkComp(BM133:BM136)</f>
        <v>100</v>
      </c>
      <c r="BN128" s="1215" cm="1">
        <f t="array" ca="1" aca="1" ref="BN128:BN129">fx_checkComp(BN133:BN136)</f>
        <v>100</v>
      </c>
      <c r="BO128" s="1804"/>
      <c r="BP128" s="1804"/>
      <c r="BQ128" s="1804"/>
      <c r="BR128" s="1804"/>
      <c r="BS128" s="1804"/>
      <c r="BT128" s="1804"/>
      <c r="BU128" s="1804"/>
      <c r="BV128" s="1804"/>
      <c r="BW128" s="1804"/>
      <c r="BX128" s="1804"/>
      <c r="BY128" s="1804"/>
      <c r="BZ128" s="1804"/>
      <c r="CA128" s="34"/>
      <c r="CC128" s="33"/>
      <c r="CD128" s="1343" t="e" cm="1">
        <f t="array" ca="1" aca="1" ref="CD128">YEAR(val_currentFYE)-2</f>
        <v>#NAME?</v>
      </c>
      <c r="CE128" s="1344" t="e" cm="1">
        <f t="array" ca="1" aca="1" ref="CE128">YEAR(val_currentFYE)-1</f>
        <v>#NAME?</v>
      </c>
      <c r="CF128" s="88"/>
      <c r="CG128" s="1350" t="e" cm="1">
        <f t="array" ca="1" aca="1" ref="CG128">YEAR(val_currentFYE)</f>
        <v>#NAME?</v>
      </c>
      <c r="CH128" s="1351" t="e" cm="1">
        <f t="array" ca="1" aca="1" ref="CH128">YEAR(val_currentFYE)</f>
        <v>#NAME?</v>
      </c>
      <c r="CI128" s="170"/>
      <c r="CJ128" s="208" t="s">
        <v>54</v>
      </c>
      <c r="CK128" s="209" t="s">
        <v>54</v>
      </c>
      <c r="CL128" s="88"/>
      <c r="CM128" s="1664" cm="1">
        <f t="array" ca="1" aca="1" ref="CM128:CM129">fx_checkComp(CM133:CM136)</f>
        <v>100</v>
      </c>
      <c r="CN128" s="1665" cm="1">
        <f t="array" ca="1" aca="1" ref="CN128:CN129">fx_checkComp(CN133:CN136)</f>
        <v>100</v>
      </c>
      <c r="CO128" s="88"/>
      <c r="CP128" s="1664" cm="1">
        <f t="array" ca="1" aca="1" ref="CP128:CP129">fx_checkComp(CP133:CP136)</f>
        <v>100</v>
      </c>
      <c r="CQ128" s="1665" cm="1">
        <f t="array" ca="1" aca="1" ref="CQ128:CQ129">fx_checkComp(CQ133:CQ136)</f>
        <v>100</v>
      </c>
      <c r="CR128" s="34"/>
      <c r="CS128" s="2056"/>
      <c r="CT128" s="1880"/>
      <c r="CU128" s="1880"/>
      <c r="CV128" s="1880"/>
      <c r="CW128" s="1880"/>
      <c r="CX128" s="2121"/>
      <c r="CY128" s="1880"/>
      <c r="CZ128" s="1880"/>
      <c r="DA128" s="1880"/>
      <c r="DB128" s="1880"/>
      <c r="DC128" s="2121"/>
      <c r="DD128" s="1880"/>
      <c r="DE128" s="1880"/>
      <c r="DF128" s="1880"/>
      <c r="DG128" s="1880"/>
      <c r="DH128" s="1880"/>
      <c r="DI128" s="1880"/>
      <c r="DJ128" s="1880"/>
      <c r="DK128" s="1880"/>
      <c r="DL128" s="1880"/>
      <c r="DM128" s="1880"/>
      <c r="DN128" s="1880"/>
      <c r="DO128" s="1880"/>
      <c r="DP128" s="1880"/>
      <c r="DQ128" s="1880"/>
      <c r="DR128" s="1880"/>
      <c r="DS128" s="1880"/>
      <c r="DT128" s="1880"/>
      <c r="DU128" s="1880"/>
      <c r="DV128" s="1880"/>
      <c r="DW128" s="1880"/>
      <c r="DX128" s="1880"/>
      <c r="DY128" s="1880"/>
      <c r="DZ128" s="1880"/>
      <c r="EA128" s="1880"/>
      <c r="EB128" s="1880"/>
      <c r="EC128" s="1880"/>
      <c r="ED128" s="1880"/>
      <c r="EE128" s="1880"/>
      <c r="EF128" s="1880"/>
      <c r="EG128" s="1880"/>
      <c r="EH128" s="1880"/>
      <c r="EI128" s="1880"/>
      <c r="EJ128" s="1880"/>
      <c r="EK128" s="1880"/>
      <c r="EL128" s="1880"/>
      <c r="EM128" s="1880"/>
      <c r="EN128" s="1880"/>
      <c r="EO128" s="1880"/>
      <c r="EP128" s="1880"/>
      <c r="EQ128" s="1880"/>
      <c r="ER128" s="1880"/>
      <c r="ES128" s="1880"/>
    </row>
    <row r="129" spans="1:149" ht="18">
      <c r="A129" s="2427"/>
      <c r="B129" s="2439" t="str">
        <f>_xlfn.LET(_xlpm.IsNotAttrDynamic,D129="",_xlpm.Attr,_PL!F129,_xlpm.NotInUse,Y129=D129,_xlpm.RESULT,IF(_xlpm.IsNotAttrDynamic,_xlpm.Attr,IF(_xlpm.NotInUse,"",Y129)),IF(_xlpm.RESULT="","",_xlpm.RESULT))</f>
        <v/>
      </c>
      <c r="C129" s="2439" t="str" cm="1">
        <f t="array" ref="C129">IFBLANK(_PL!C129,"")</f>
        <v/>
      </c>
      <c r="D129" s="2458"/>
      <c r="E129" s="572"/>
      <c r="F129" s="2459"/>
      <c r="G129" s="578"/>
      <c r="H129" s="578"/>
      <c r="I129" s="578"/>
      <c r="J129" s="401"/>
      <c r="K129" s="578" t="str">
        <f t="shared" si="39"/>
        <v>No</v>
      </c>
      <c r="L129" s="37"/>
      <c r="N129" s="158"/>
      <c r="O129" s="101"/>
      <c r="P129" s="52"/>
      <c r="Q129" s="2"/>
      <c r="R129" s="140"/>
      <c r="S129" s="101"/>
      <c r="T129" s="101"/>
      <c r="U129" s="39"/>
      <c r="V129" s="37"/>
      <c r="W129" s="3039"/>
      <c r="X129" s="1250"/>
      <c r="Y129" s="3041"/>
      <c r="Z129" s="1251"/>
      <c r="AA129" s="1252"/>
      <c r="AB129" s="1631" t="s">
        <v>84</v>
      </c>
      <c r="AC129" s="1162"/>
      <c r="AD129" s="2430" t="str">
        <f ca="1"/>
        <v>O: 0 / 0</v>
      </c>
      <c r="AE129" s="2430" t="str">
        <f ca="1"/>
        <v>O: 0 / 0</v>
      </c>
      <c r="AF129" s="2430" t="str">
        <f ca="1"/>
        <v>O: 0 / 0</v>
      </c>
      <c r="AG129" s="2430" t="str">
        <f ca="1"/>
        <v>O: 0 / 0</v>
      </c>
      <c r="AH129" s="2430" t="str">
        <f ca="1"/>
        <v>O: 0 / 0</v>
      </c>
      <c r="AI129" s="2430" t="str">
        <f ca="1"/>
        <v>O: 0 / 0</v>
      </c>
      <c r="AJ129" s="2430" t="str">
        <f ca="1"/>
        <v>O: 0 / 0</v>
      </c>
      <c r="AK129" s="2430" t="str">
        <f ca="1"/>
        <v>O: 0 / 0</v>
      </c>
      <c r="AL129" s="2430" t="str">
        <f ca="1"/>
        <v>O: 0 / 0</v>
      </c>
      <c r="AM129" s="2430" t="str">
        <f ca="1"/>
        <v>O: 0 / 0</v>
      </c>
      <c r="AN129" s="2430" t="str">
        <f ca="1"/>
        <v>O: 0 / 0</v>
      </c>
      <c r="AO129" s="2430" t="str">
        <f ca="1"/>
        <v>O: 0 / 0</v>
      </c>
      <c r="AP129" s="2430" t="str">
        <f ca="1"/>
        <v>O: 0 / 0</v>
      </c>
      <c r="AQ129" s="2430" t="str">
        <f ca="1"/>
        <v>O: 0 / 0</v>
      </c>
      <c r="AR129" s="2430" t="str">
        <f ca="1"/>
        <v>O: 0 / 0</v>
      </c>
      <c r="AS129" s="2430" t="str">
        <f ca="1"/>
        <v>O: 0 / 0</v>
      </c>
      <c r="AT129" s="2430" t="str">
        <f ca="1"/>
        <v>O: 0 / 0</v>
      </c>
      <c r="AU129" s="2430" t="str">
        <f ca="1"/>
        <v>O: 0 / 0</v>
      </c>
      <c r="AV129" s="2430" t="str">
        <f ca="1"/>
        <v>O: 0 / 0</v>
      </c>
      <c r="AW129" s="2430" t="str">
        <f ca="1"/>
        <v>O: 0 / 0</v>
      </c>
      <c r="AX129" s="2430" t="str">
        <f ca="1"/>
        <v>O: 0 / 0</v>
      </c>
      <c r="AY129" s="2430" t="str">
        <f ca="1"/>
        <v>O: 0 / 0</v>
      </c>
      <c r="AZ129" s="2430" t="str">
        <f ca="1"/>
        <v>O: 0 / 0</v>
      </c>
      <c r="BA129" s="2430" t="str">
        <f ca="1"/>
        <v>O: 0 / 0</v>
      </c>
      <c r="BB129" s="2430" t="str">
        <f ca="1"/>
        <v>O: 0 / 0</v>
      </c>
      <c r="BC129" s="2430" t="str">
        <f ca="1"/>
        <v>O: 0 / 0</v>
      </c>
      <c r="BD129" s="2430" t="str">
        <f ca="1"/>
        <v>O: 0 / 0</v>
      </c>
      <c r="BE129" s="2430" t="str">
        <f ca="1"/>
        <v>O: 0 / 0</v>
      </c>
      <c r="BF129" s="2430" t="str">
        <f ca="1"/>
        <v>O: 0 / 0</v>
      </c>
      <c r="BG129" s="2430" t="str">
        <f ca="1"/>
        <v>O: 0 / 0</v>
      </c>
      <c r="BH129" s="2430" t="str">
        <f ca="1"/>
        <v>O: 0 / 0</v>
      </c>
      <c r="BI129" s="2430" t="str">
        <f ca="1"/>
        <v>O: 0 / 0</v>
      </c>
      <c r="BJ129" s="2430" t="str">
        <f ca="1"/>
        <v>O: 0 / 0</v>
      </c>
      <c r="BK129" s="2430" t="str">
        <f ca="1"/>
        <v>O: 0 / 0</v>
      </c>
      <c r="BL129" s="2430" t="str">
        <f ca="1"/>
        <v>O: 0 / 0</v>
      </c>
      <c r="BM129" s="2430" t="str">
        <f ca="1"/>
        <v>O: 0 / 0</v>
      </c>
      <c r="BN129" s="2431" t="str">
        <f ca="1"/>
        <v>O: 0 / 0</v>
      </c>
      <c r="BO129" s="2432"/>
      <c r="BP129" s="2432"/>
      <c r="BQ129" s="2432"/>
      <c r="BR129" s="2432"/>
      <c r="BS129" s="2432"/>
      <c r="BT129" s="2432"/>
      <c r="BU129" s="2432"/>
      <c r="BV129" s="2432"/>
      <c r="BW129" s="2432"/>
      <c r="BX129" s="2432"/>
      <c r="BY129" s="2432"/>
      <c r="BZ129" s="2432"/>
      <c r="CA129" s="34"/>
      <c r="CC129" s="33"/>
      <c r="CD129" s="1341"/>
      <c r="CE129" s="1342"/>
      <c r="CF129" s="88"/>
      <c r="CG129" s="1350"/>
      <c r="CH129" s="1351"/>
      <c r="CI129" s="170"/>
      <c r="CJ129" s="1348"/>
      <c r="CK129" s="1349"/>
      <c r="CL129" s="88"/>
      <c r="CM129" s="1666" t="str">
        <f ca="1"/>
        <v>O: 0 / 0</v>
      </c>
      <c r="CN129" s="1667" t="str">
        <f ca="1"/>
        <v>O: 0 / 0</v>
      </c>
      <c r="CO129" s="869"/>
      <c r="CP129" s="1666" t="str">
        <f ca="1"/>
        <v>O: 0 / 0</v>
      </c>
      <c r="CQ129" s="1667" t="str">
        <f ca="1"/>
        <v>O: 0 / 0</v>
      </c>
      <c r="CR129" s="34"/>
      <c r="CS129" s="2056"/>
      <c r="CT129" s="1880"/>
      <c r="CU129" s="1880"/>
      <c r="CV129" s="1880"/>
      <c r="CW129" s="1880"/>
      <c r="CX129" s="2121"/>
      <c r="CY129" s="1880"/>
      <c r="CZ129" s="1880"/>
      <c r="DA129" s="1880"/>
      <c r="DB129" s="1880"/>
      <c r="DC129" s="2121"/>
      <c r="DD129" s="1880"/>
      <c r="DE129" s="1880"/>
      <c r="DF129" s="1880"/>
      <c r="DG129" s="1880"/>
      <c r="DH129" s="1880"/>
      <c r="DI129" s="1880"/>
      <c r="DJ129" s="1880"/>
      <c r="DK129" s="1880"/>
      <c r="DL129" s="1880"/>
      <c r="DM129" s="1880"/>
      <c r="DN129" s="1880"/>
      <c r="DO129" s="1880"/>
      <c r="DP129" s="1880"/>
      <c r="DQ129" s="1880"/>
      <c r="DR129" s="1880"/>
      <c r="DS129" s="1880"/>
      <c r="DT129" s="1880"/>
      <c r="DU129" s="1880"/>
      <c r="DV129" s="1880"/>
      <c r="DW129" s="1880"/>
      <c r="DX129" s="1880"/>
      <c r="DY129" s="1880"/>
      <c r="DZ129" s="1880"/>
      <c r="EA129" s="1880"/>
      <c r="EB129" s="1880"/>
      <c r="EC129" s="1880"/>
      <c r="ED129" s="1880"/>
      <c r="EE129" s="1880"/>
      <c r="EF129" s="1880"/>
      <c r="EG129" s="1880"/>
      <c r="EH129" s="1880"/>
      <c r="EI129" s="1880"/>
      <c r="EJ129" s="1880"/>
      <c r="EK129" s="1880"/>
      <c r="EL129" s="1880"/>
      <c r="EM129" s="1880"/>
      <c r="EN129" s="1880"/>
      <c r="EO129" s="1880"/>
      <c r="EP129" s="1880"/>
      <c r="EQ129" s="1880"/>
      <c r="ER129" s="1880"/>
      <c r="ES129" s="1880"/>
    </row>
    <row r="130" spans="1:149" ht="30.75" customHeight="1">
      <c r="A130" s="1628"/>
      <c r="B130" s="2540" t="str">
        <f>_xlfn.LET(_xlpm.IsNotAttrDynamic,D130="",_xlpm.Attr,_PL!F130,_xlpm.NotInUse,Y130=D130,_xlpm.RESULT,IF(_xlpm.IsNotAttrDynamic,_xlpm.Attr,IF(_xlpm.NotInUse,"",Y130)),IF(_xlpm.RESULT="","",_xlpm.RESULT))</f>
        <v/>
      </c>
      <c r="C130" s="2540" t="str" cm="1">
        <f t="array" ref="C130">IFBLANK(_PL!C130,"")</f>
        <v/>
      </c>
      <c r="D130" s="1549"/>
      <c r="E130" s="2453"/>
      <c r="F130" s="572"/>
      <c r="G130" s="572"/>
      <c r="H130" s="572"/>
      <c r="I130" s="572">
        <v>3</v>
      </c>
      <c r="J130" s="401"/>
      <c r="K130" s="578" t="str">
        <f t="shared" si="39"/>
        <v>No</v>
      </c>
      <c r="L130" s="37"/>
      <c r="N130" s="158"/>
      <c r="O130" s="101"/>
      <c r="P130" s="52"/>
      <c r="Q130" s="2"/>
      <c r="R130" s="140"/>
      <c r="S130" s="101"/>
      <c r="T130" s="101"/>
      <c r="U130" s="39"/>
      <c r="V130" s="37"/>
      <c r="W130" s="161"/>
      <c r="X130" s="887"/>
      <c r="Y130" s="155"/>
      <c r="Z130" s="789"/>
      <c r="AA130" s="163"/>
      <c r="AB130" s="273"/>
      <c r="AC130" s="1164"/>
      <c r="AD130" s="2493" cm="1">
        <f t="array" ref="AD130:BN130">array_timeline</f>
        <v>44926</v>
      </c>
      <c r="AE130" s="2493">
        <v>44957</v>
      </c>
      <c r="AF130" s="2493">
        <v>44985</v>
      </c>
      <c r="AG130" s="2493">
        <v>45016</v>
      </c>
      <c r="AH130" s="2493">
        <v>45046</v>
      </c>
      <c r="AI130" s="2493">
        <v>45077</v>
      </c>
      <c r="AJ130" s="2493">
        <v>45107</v>
      </c>
      <c r="AK130" s="2493">
        <v>45138</v>
      </c>
      <c r="AL130" s="2493">
        <v>45169</v>
      </c>
      <c r="AM130" s="2493">
        <v>45199</v>
      </c>
      <c r="AN130" s="2493">
        <v>45230</v>
      </c>
      <c r="AO130" s="2493">
        <v>45260</v>
      </c>
      <c r="AP130" s="2493">
        <v>45291</v>
      </c>
      <c r="AQ130" s="2493">
        <v>45322</v>
      </c>
      <c r="AR130" s="2493">
        <v>45351</v>
      </c>
      <c r="AS130" s="2493">
        <v>45382</v>
      </c>
      <c r="AT130" s="2493">
        <v>45412</v>
      </c>
      <c r="AU130" s="2493">
        <v>45443</v>
      </c>
      <c r="AV130" s="2493">
        <v>45473</v>
      </c>
      <c r="AW130" s="2493">
        <v>45504</v>
      </c>
      <c r="AX130" s="2493">
        <v>45535</v>
      </c>
      <c r="AY130" s="2493">
        <v>45565</v>
      </c>
      <c r="AZ130" s="2493">
        <v>45596</v>
      </c>
      <c r="BA130" s="2493">
        <v>45626</v>
      </c>
      <c r="BB130" s="2493">
        <v>45657</v>
      </c>
      <c r="BC130" s="2493">
        <v>45688</v>
      </c>
      <c r="BD130" s="2493">
        <v>45716</v>
      </c>
      <c r="BE130" s="2493">
        <v>45747</v>
      </c>
      <c r="BF130" s="2493">
        <v>45777</v>
      </c>
      <c r="BG130" s="2493">
        <v>45808</v>
      </c>
      <c r="BH130" s="2493">
        <v>45838</v>
      </c>
      <c r="BI130" s="2493">
        <v>45869</v>
      </c>
      <c r="BJ130" s="2493">
        <v>45900</v>
      </c>
      <c r="BK130" s="2493">
        <v>45930</v>
      </c>
      <c r="BL130" s="2493">
        <v>45961</v>
      </c>
      <c r="BM130" s="2493">
        <v>45991</v>
      </c>
      <c r="BN130" s="2541">
        <v>46022</v>
      </c>
      <c r="BO130" s="2495"/>
      <c r="BP130" s="2495"/>
      <c r="BQ130" s="2495"/>
      <c r="BR130" s="2495"/>
      <c r="BS130" s="2495"/>
      <c r="BT130" s="2495"/>
      <c r="BU130" s="2495"/>
      <c r="BV130" s="2495"/>
      <c r="BW130" s="2495"/>
      <c r="BX130" s="2495"/>
      <c r="BY130" s="2495"/>
      <c r="BZ130" s="2495"/>
      <c r="CA130" s="34"/>
      <c r="CC130" s="2542"/>
      <c r="CD130" s="1722" t="e" cm="1">
        <f t="array" ca="1" aca="1" ref="CD130">EOMONTH(val_currentFYE,-24)</f>
        <v>#NAME?</v>
      </c>
      <c r="CE130" s="1723" t="e" cm="1">
        <f t="array" ca="1" aca="1" ref="CE130">EOMONTH(val_currentFYE,-12)</f>
        <v>#NAME?</v>
      </c>
      <c r="CF130" s="277"/>
      <c r="CG130" s="1732">
        <f>EOMONTH(val_asOfDate,-1)</f>
        <v>45991</v>
      </c>
      <c r="CH130" s="1733">
        <f>EOMONTH(val_asOfDate,0)</f>
        <v>46022</v>
      </c>
      <c r="CI130" s="276"/>
      <c r="CJ130" s="1730">
        <f>EOMONTH(val_asOfDate,-1)</f>
        <v>45991</v>
      </c>
      <c r="CK130" s="1731">
        <f>EOMONTH(val_asOfDate,0)</f>
        <v>46022</v>
      </c>
      <c r="CL130" s="88"/>
      <c r="CM130" s="2543" t="e" cm="1">
        <f t="array" ca="1" aca="1" ref="CM130">val_currentFYE</f>
        <v>#NAME?</v>
      </c>
      <c r="CN130" s="2544" t="e" cm="1">
        <f t="array" ca="1" aca="1" ref="CN130">val_currentFYE</f>
        <v>#NAME?</v>
      </c>
      <c r="CO130" s="97"/>
      <c r="CP130" s="2543" t="e" cm="1">
        <f t="array" ca="1" aca="1" ref="CP130">EOMONTH(val_currentFYE,12)</f>
        <v>#NAME?</v>
      </c>
      <c r="CQ130" s="2543" t="e" cm="1">
        <f t="array" ca="1" aca="1" ref="CQ130">EOMONTH(val_currentFYE,12)</f>
        <v>#NAME?</v>
      </c>
      <c r="CR130" s="34"/>
      <c r="CS130" s="2056"/>
      <c r="CT130" s="1880"/>
      <c r="CU130" s="1880"/>
      <c r="CV130" s="1880"/>
      <c r="CW130" s="1880"/>
      <c r="CX130" s="2121"/>
      <c r="CY130" s="1880"/>
      <c r="CZ130" s="1880"/>
      <c r="DA130" s="1880"/>
      <c r="DB130" s="1880"/>
      <c r="DC130" s="2121"/>
      <c r="DD130" s="1880"/>
      <c r="DE130" s="1880"/>
      <c r="DF130" s="1880"/>
      <c r="DG130" s="1880"/>
      <c r="DH130" s="1880"/>
      <c r="DI130" s="1880"/>
      <c r="DJ130" s="1880"/>
      <c r="DK130" s="1880"/>
      <c r="DL130" s="1880"/>
      <c r="DM130" s="1880"/>
      <c r="DN130" s="1880"/>
      <c r="DO130" s="1880"/>
      <c r="DP130" s="1880"/>
      <c r="DQ130" s="1880"/>
      <c r="DR130" s="1880"/>
      <c r="DS130" s="1880"/>
      <c r="DT130" s="1880"/>
      <c r="DU130" s="1880"/>
      <c r="DV130" s="1880"/>
      <c r="DW130" s="1880"/>
      <c r="DX130" s="1880"/>
      <c r="DY130" s="1880"/>
      <c r="DZ130" s="1880"/>
      <c r="EA130" s="1880"/>
      <c r="EB130" s="1880"/>
      <c r="EC130" s="1880"/>
      <c r="ED130" s="1880"/>
      <c r="EE130" s="1880"/>
      <c r="EF130" s="1880"/>
      <c r="EG130" s="1880"/>
      <c r="EH130" s="1880"/>
      <c r="EI130" s="1880"/>
      <c r="EJ130" s="1880"/>
      <c r="EK130" s="1880"/>
      <c r="EL130" s="1880"/>
      <c r="EM130" s="1880"/>
      <c r="EN130" s="1880"/>
      <c r="EO130" s="1880"/>
      <c r="EP130" s="1880"/>
      <c r="EQ130" s="1880"/>
      <c r="ER130" s="1880"/>
      <c r="ES130" s="1880"/>
    </row>
    <row r="131" spans="1:149" ht="30.75" customHeight="1">
      <c r="A131" s="2449"/>
      <c r="B131" s="2450" t="str">
        <f>_xlfn.LET(_xlpm.IsNotAttrDynamic,D131="",_xlpm.Attr,_PL!F131,_xlpm.NotInUse,Y131=D131,_xlpm.RESULT,IF(_xlpm.IsNotAttrDynamic,_xlpm.Attr,IF(_xlpm.NotInUse,"",Y131)),IF(_xlpm.RESULT="","",_xlpm.RESULT))</f>
        <v/>
      </c>
      <c r="C131" s="2450" t="str" cm="1">
        <f t="array" ref="C131">IFBLANK(_PL!C131,"")</f>
        <v/>
      </c>
      <c r="D131" s="2451"/>
      <c r="E131" s="2545"/>
      <c r="F131" s="576"/>
      <c r="G131" s="576"/>
      <c r="H131" s="2546"/>
      <c r="I131" s="2546"/>
      <c r="J131" s="2546"/>
      <c r="K131" s="578" t="str">
        <f t="shared" si="39"/>
        <v>No</v>
      </c>
      <c r="L131" s="37"/>
      <c r="N131" s="158"/>
      <c r="O131" s="101"/>
      <c r="P131" s="52"/>
      <c r="Q131" s="2"/>
      <c r="R131" s="140"/>
      <c r="S131" s="101"/>
      <c r="T131" s="101"/>
      <c r="U131" s="39"/>
      <c r="V131" s="37"/>
      <c r="W131" s="751" t="s">
        <v>94</v>
      </c>
      <c r="X131" s="896"/>
      <c r="Y131" s="764" t="s">
        <v>111</v>
      </c>
      <c r="Z131" s="790"/>
      <c r="AA131" s="193"/>
      <c r="AB131" s="193"/>
      <c r="AC131" s="125"/>
      <c r="AD131" s="2641" t="str">
        <f>$W$128</f>
        <v>Actual</v>
      </c>
      <c r="AE131" s="2641" t="str">
        <f t="shared" si="46" ref="AE131:BN131">$W$128</f>
        <v>Actual</v>
      </c>
      <c r="AF131" s="2641" t="str">
        <f t="shared" si="46"/>
        <v>Actual</v>
      </c>
      <c r="AG131" s="2641" t="str">
        <f t="shared" si="46"/>
        <v>Actual</v>
      </c>
      <c r="AH131" s="2641" t="str">
        <f t="shared" si="46"/>
        <v>Actual</v>
      </c>
      <c r="AI131" s="2641" t="str">
        <f t="shared" si="46"/>
        <v>Actual</v>
      </c>
      <c r="AJ131" s="2641" t="str">
        <f t="shared" si="46"/>
        <v>Actual</v>
      </c>
      <c r="AK131" s="2641" t="str">
        <f t="shared" si="46"/>
        <v>Actual</v>
      </c>
      <c r="AL131" s="2641" t="str">
        <f t="shared" si="46"/>
        <v>Actual</v>
      </c>
      <c r="AM131" s="2641" t="str">
        <f t="shared" si="46"/>
        <v>Actual</v>
      </c>
      <c r="AN131" s="2641" t="str">
        <f t="shared" si="46"/>
        <v>Actual</v>
      </c>
      <c r="AO131" s="2641" t="str">
        <f t="shared" si="46"/>
        <v>Actual</v>
      </c>
      <c r="AP131" s="2641" t="str">
        <f t="shared" si="46"/>
        <v>Actual</v>
      </c>
      <c r="AQ131" s="2641" t="str">
        <f t="shared" si="46"/>
        <v>Actual</v>
      </c>
      <c r="AR131" s="2641" t="str">
        <f t="shared" si="46"/>
        <v>Actual</v>
      </c>
      <c r="AS131" s="2641" t="str">
        <f t="shared" si="46"/>
        <v>Actual</v>
      </c>
      <c r="AT131" s="2641" t="str">
        <f t="shared" si="46"/>
        <v>Actual</v>
      </c>
      <c r="AU131" s="2641" t="str">
        <f t="shared" si="46"/>
        <v>Actual</v>
      </c>
      <c r="AV131" s="2641" t="str">
        <f t="shared" si="46"/>
        <v>Actual</v>
      </c>
      <c r="AW131" s="2641" t="str">
        <f t="shared" si="46"/>
        <v>Actual</v>
      </c>
      <c r="AX131" s="2641" t="str">
        <f t="shared" si="46"/>
        <v>Actual</v>
      </c>
      <c r="AY131" s="2641" t="str">
        <f t="shared" si="46"/>
        <v>Actual</v>
      </c>
      <c r="AZ131" s="2641" t="str">
        <f t="shared" si="46"/>
        <v>Actual</v>
      </c>
      <c r="BA131" s="2641" t="str">
        <f t="shared" si="46"/>
        <v>Actual</v>
      </c>
      <c r="BB131" s="2641" t="str">
        <f t="shared" si="46"/>
        <v>Actual</v>
      </c>
      <c r="BC131" s="2641" t="str">
        <f t="shared" si="46"/>
        <v>Actual</v>
      </c>
      <c r="BD131" s="2641" t="str">
        <f t="shared" si="46"/>
        <v>Actual</v>
      </c>
      <c r="BE131" s="2641" t="str">
        <f t="shared" si="46"/>
        <v>Actual</v>
      </c>
      <c r="BF131" s="2641" t="str">
        <f t="shared" si="46"/>
        <v>Actual</v>
      </c>
      <c r="BG131" s="2641" t="str">
        <f t="shared" si="46"/>
        <v>Actual</v>
      </c>
      <c r="BH131" s="2641" t="str">
        <f t="shared" si="46"/>
        <v>Actual</v>
      </c>
      <c r="BI131" s="2641" t="str">
        <f t="shared" si="46"/>
        <v>Actual</v>
      </c>
      <c r="BJ131" s="2641" t="str">
        <f t="shared" si="46"/>
        <v>Actual</v>
      </c>
      <c r="BK131" s="2641" t="str">
        <f t="shared" si="46"/>
        <v>Actual</v>
      </c>
      <c r="BL131" s="2641" t="str">
        <f t="shared" si="46"/>
        <v>Actual</v>
      </c>
      <c r="BM131" s="2641" t="str">
        <f t="shared" si="46"/>
        <v>Actual</v>
      </c>
      <c r="BN131" s="2641" t="str">
        <f t="shared" si="46"/>
        <v>Actual</v>
      </c>
      <c r="BO131" s="2070"/>
      <c r="BP131" s="2070"/>
      <c r="BQ131" s="2070"/>
      <c r="BR131" s="2070"/>
      <c r="BS131" s="2070"/>
      <c r="BT131" s="2070"/>
      <c r="BU131" s="2070"/>
      <c r="BV131" s="2070"/>
      <c r="BW131" s="2070"/>
      <c r="BX131" s="2070"/>
      <c r="BY131" s="2070"/>
      <c r="BZ131" s="2070"/>
      <c r="CA131" s="34"/>
      <c r="CC131" s="58"/>
      <c r="CD131" s="1720" t="str" cm="1">
        <f t="array" ref="CD131">fx_scenarioConverter($W128)</f>
        <v>Actual</v>
      </c>
      <c r="CE131" s="1721" t="str" cm="1">
        <f t="array" ref="CE131">fx_scenarioConverter($W128)</f>
        <v>Actual</v>
      </c>
      <c r="CF131" s="128"/>
      <c r="CG131" s="1734" t="str" cm="1">
        <f t="array" ref="CG131">fx_scenarioConverter($W128)</f>
        <v>Actual</v>
      </c>
      <c r="CH131" s="1735" t="str" cm="1">
        <f t="array" ref="CH131">fx_scenarioConverter($W128)</f>
        <v>Actual</v>
      </c>
      <c r="CI131" s="207"/>
      <c r="CJ131" s="1724" t="str" cm="1">
        <f t="array" ref="CJ131">fx_scenarioConverter($W128)</f>
        <v>Actual</v>
      </c>
      <c r="CK131" s="1725" t="str" cm="1">
        <f t="array" ref="CK131">fx_scenarioConverter($W128)</f>
        <v>Actual</v>
      </c>
      <c r="CL131" s="88"/>
      <c r="CM131" s="1198" t="str">
        <f>CM$19</f>
        <v>Original Budget</v>
      </c>
      <c r="CN131" s="1198" t="str">
        <f>CN$19</f>
        <v>LE</v>
      </c>
      <c r="CO131" s="88"/>
      <c r="CP131" s="1198" t="str">
        <f>CP$19</f>
        <v>Original Budget</v>
      </c>
      <c r="CQ131" s="1198" t="str">
        <f>CQ$19</f>
        <v>LE</v>
      </c>
      <c r="CR131" s="34"/>
      <c r="CS131" s="2056"/>
      <c r="CT131" s="1880"/>
      <c r="CU131" s="1880"/>
      <c r="CV131" s="1880"/>
      <c r="CW131" s="1880"/>
      <c r="CX131" s="2121"/>
      <c r="CY131" s="1880"/>
      <c r="CZ131" s="1880"/>
      <c r="DA131" s="1880"/>
      <c r="DB131" s="1880"/>
      <c r="DC131" s="2121"/>
      <c r="DD131" s="1880"/>
      <c r="DE131" s="1880"/>
      <c r="DF131" s="1880"/>
      <c r="DG131" s="1880"/>
      <c r="DH131" s="1880"/>
      <c r="DI131" s="1880"/>
      <c r="DJ131" s="1880"/>
      <c r="DK131" s="1880"/>
      <c r="DL131" s="1880"/>
      <c r="DM131" s="1880"/>
      <c r="DN131" s="1880"/>
      <c r="DO131" s="1880"/>
      <c r="DP131" s="1880"/>
      <c r="DQ131" s="1880"/>
      <c r="DR131" s="1880"/>
      <c r="DS131" s="1880"/>
      <c r="DT131" s="1880"/>
      <c r="DU131" s="1880"/>
      <c r="DV131" s="1880"/>
      <c r="DW131" s="1880"/>
      <c r="DX131" s="1880"/>
      <c r="DY131" s="1880"/>
      <c r="DZ131" s="1880"/>
      <c r="EA131" s="1880"/>
      <c r="EB131" s="1880"/>
      <c r="EC131" s="1880"/>
      <c r="ED131" s="1880"/>
      <c r="EE131" s="1880"/>
      <c r="EF131" s="1880"/>
      <c r="EG131" s="1880"/>
      <c r="EH131" s="1880"/>
      <c r="EI131" s="1880"/>
      <c r="EJ131" s="1880"/>
      <c r="EK131" s="1880"/>
      <c r="EL131" s="1880"/>
      <c r="EM131" s="1880"/>
      <c r="EN131" s="1880"/>
      <c r="EO131" s="1880"/>
      <c r="EP131" s="1880"/>
      <c r="EQ131" s="1880"/>
      <c r="ER131" s="1880"/>
      <c r="ES131" s="1880"/>
    </row>
    <row r="132" spans="1:144" ht="21" customHeight="1">
      <c r="A132" s="1625" t="s">
        <v>112</v>
      </c>
      <c r="B132" s="3205">
        <f>_xlfn.LET(_xlpm.IsNotAttrDynamic,D132="",_xlpm.Attr,_PL!F132,_xlpm.NotInUse,Y132=D132,_xlpm.RESULT,IF(_xlpm.IsNotAttrDynamic,_xlpm.Attr,IF(_xlpm.NotInUse,"",Y132)),IF(_xlpm.RESULT="","",_xlpm.RESULT))</f>
        <v>2</v>
      </c>
      <c r="C132" s="3467" t="str" cm="1">
        <f t="array" ref="C132">IFBLANK(_PL!C132,"")</f>
        <v>Organic Growth Breakdown Top Line Label</v>
      </c>
      <c r="D132" s="1548" t="s">
        <v>113</v>
      </c>
      <c r="E132" s="2440" t="e" cm="1">
        <f t="array" ca="1" aca="1" ref="E13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132:$CQ132,Z132)</f>
        <v>#NAME?</v>
      </c>
      <c r="F132" s="578"/>
      <c r="G132" s="578"/>
      <c r="H132" s="3294">
        <v>2</v>
      </c>
      <c r="I132" s="3294">
        <v>1</v>
      </c>
      <c r="J132" s="401" cm="1">
        <f t="array" ref="J132">IFBLANK(Z132,"")</f>
        <v>0</v>
      </c>
      <c r="K132" s="578" t="str">
        <f t="shared" si="47" ref="K132:K164">IFERROR(IF(LEN(AB132)=0,"No",IF(LEN(J132)&gt;0,"Yes","No")),"")</f>
        <v>Yes</v>
      </c>
      <c r="L132" s="37"/>
      <c r="N132" s="158"/>
      <c r="O132" s="101"/>
      <c r="P132" s="52"/>
      <c r="Q132" s="2"/>
      <c r="R132" s="101"/>
      <c r="S132" s="101"/>
      <c r="T132" s="101"/>
      <c r="U132" s="39"/>
      <c r="V132" s="37"/>
      <c r="W132" s="91" t="str" cm="1">
        <f t="array" ref="W132">fx_scenarioConverter(W128)</f>
        <v>Actual</v>
      </c>
      <c r="X132" s="1007" t="e" vm="4">
        <f>_PL!X132</f>
        <v>#VALUE!</v>
      </c>
      <c r="Y132" s="3206">
        <v>2</v>
      </c>
      <c r="Z132" s="878">
        <f>_PL!Z132</f>
        <v>0</v>
      </c>
      <c r="AA132" s="903"/>
      <c r="AB132" s="1135" t="str">
        <f>_PL!AB132</f>
        <v>Top Line Name</v>
      </c>
      <c r="AC132" s="124" t="str" cm="1">
        <f t="array" ca="1" aca="1" ref="AC132">_xlfn.LET(_xlpm._termname,$AB132,_xlpm._iconname,"find",_xlpm._icon,fx_getIcon(_xlpm._iconname),_xlpm._location,_xlfn.XLOOKUP(LOWER(_xlpm._termname),LOWER(tbl_acctDef[Term]),tbl_acctDef[Term]),_xlpm._hyperlink,HYPERLINK("#"&amp;CELL("address",_xlpm._location),_xlpm._icon),IFERROR(_xlpm._hyperlink,""))</f>
        <v/>
      </c>
      <c r="AD132" s="3207" cm="1">
        <f t="array" ref="AD132:BN132">_xlfn.LET(_xlpm.findRow,_xlfn.XMATCH($W132&amp;$Y132,$W$20:$W$118&amp;$AB$20:$AB$118,0),_xlpm.Choose,_xlfn.CHOOSEROWS($AD$20:$BN$118,_xlpm.findRow),_xlpm.RESULT,IF(ISERROR(_xlpm.findRow),"",_xlpm.Choose),_xlpm.RESULT)</f>
        <v>1</v>
      </c>
      <c r="AE132" s="3208">
        <v>1</v>
      </c>
      <c r="AF132" s="3208">
        <v>1</v>
      </c>
      <c r="AG132" s="3208">
        <v>1</v>
      </c>
      <c r="AH132" s="3208">
        <v>1</v>
      </c>
      <c r="AI132" s="3208">
        <v>1</v>
      </c>
      <c r="AJ132" s="3208">
        <v>1</v>
      </c>
      <c r="AK132" s="3208">
        <v>1</v>
      </c>
      <c r="AL132" s="3208">
        <v>1</v>
      </c>
      <c r="AM132" s="3208">
        <v>1</v>
      </c>
      <c r="AN132" s="3208">
        <v>1</v>
      </c>
      <c r="AO132" s="3208">
        <v>1</v>
      </c>
      <c r="AP132" s="3208">
        <v>1</v>
      </c>
      <c r="AQ132" s="3208">
        <v>1</v>
      </c>
      <c r="AR132" s="3208">
        <v>1</v>
      </c>
      <c r="AS132" s="3208">
        <v>1</v>
      </c>
      <c r="AT132" s="3208">
        <v>1</v>
      </c>
      <c r="AU132" s="3208">
        <v>1</v>
      </c>
      <c r="AV132" s="3208">
        <v>1</v>
      </c>
      <c r="AW132" s="3208">
        <v>1</v>
      </c>
      <c r="AX132" s="3208">
        <v>1</v>
      </c>
      <c r="AY132" s="3208">
        <v>1</v>
      </c>
      <c r="AZ132" s="3208">
        <v>1</v>
      </c>
      <c r="BA132" s="3208">
        <v>1</v>
      </c>
      <c r="BB132" s="3208">
        <v>1</v>
      </c>
      <c r="BC132" s="3208">
        <v>1</v>
      </c>
      <c r="BD132" s="3208">
        <v>1</v>
      </c>
      <c r="BE132" s="3208">
        <v>1</v>
      </c>
      <c r="BF132" s="3208">
        <v>1</v>
      </c>
      <c r="BG132" s="3208">
        <v>1</v>
      </c>
      <c r="BH132" s="3208">
        <v>1</v>
      </c>
      <c r="BI132" s="3208">
        <v>1</v>
      </c>
      <c r="BJ132" s="3208">
        <v>1</v>
      </c>
      <c r="BK132" s="3208">
        <v>1</v>
      </c>
      <c r="BL132" s="3208">
        <v>1</v>
      </c>
      <c r="BM132" s="3208">
        <v>1</v>
      </c>
      <c r="BN132" s="3208">
        <v>1</v>
      </c>
      <c r="BO132" s="2105"/>
      <c r="BP132" s="2105"/>
      <c r="BQ132" s="2105"/>
      <c r="BR132" s="2105"/>
      <c r="BS132" s="2105"/>
      <c r="BT132" s="2105"/>
      <c r="BU132" s="2105"/>
      <c r="BV132" s="2105"/>
      <c r="BW132" s="2105"/>
      <c r="BX132" s="2105"/>
      <c r="BY132" s="2105"/>
      <c r="BZ132" s="2105"/>
      <c r="CA132" s="34"/>
      <c r="CC132" s="50"/>
      <c r="CD132" s="1461" t="e" cm="1">
        <f t="array" ca="1" aca="1" ref="CD132">_xlfn.LET(_xlpm.CheckBlank,SUM(PL!$AD132:$BN132)=0,IF(_xlpm.CheckBlank,"",SUM(_xlfn._xlws.FILTER(PL!$AD132:$BN132,(YEAR(PL!$AD$12:$BN$12)=PL!CD$12)*(array_timeline&lt;=PL!CD$11)))))</f>
        <v>#NAME?</v>
      </c>
      <c r="CE132" s="1461" t="e" cm="1">
        <f t="array" ca="1" aca="1" ref="CE132">_xlfn.LET(_xlpm.CheckBlank,SUM(PL!$AD132:$BN132)=0,IF(_xlpm.CheckBlank,"",SUM(_xlfn._xlws.FILTER(PL!$AD132:$BN132,(YEAR(PL!$AD$12:$BN$12)=PL!CE$12)*(array_timeline&lt;=PL!CE$11)))))</f>
        <v>#NAME?</v>
      </c>
      <c r="CF132" s="88"/>
      <c r="CG132" s="1461" t="e" cm="1">
        <f t="array" ca="1" aca="1" ref="CG132">_xlfn.LET(_xlpm.CheckBlank,SUM(PL!$AD132:$BN132)=0,IF(_xlpm.CheckBlank,"",SUM(_xlfn._xlws.FILTER(PL!$AD132:$BN132,(YEAR(PL!$AD$12:$BN$12)=PL!CG$12)*(array_timeline&lt;=PL!CG$11)))))</f>
        <v>#NAME?</v>
      </c>
      <c r="CH132" s="1461" t="e" cm="1">
        <f t="array" ca="1" aca="1" ref="CH132">_xlfn.LET(_xlpm.CheckBlank,SUM(PL!$AD132:$BN132)=0,IF(_xlpm.CheckBlank,"",SUM(_xlfn._xlws.FILTER(PL!$AD132:$BN132,(YEAR(PL!$AD$12:$BN$12)=PL!CH$12)*(array_timeline&lt;=PL!CH$11)))))</f>
        <v>#NAME?</v>
      </c>
      <c r="CI132" s="88"/>
      <c r="CJ132" s="1461" cm="1">
        <f t="array" ref="CJ132">_xlfn.LET(_xlpm.CheckBlank,SUM(PL!$AD132:$BN132)=0,IF(_xlpm.CheckBlank,"",SUM(_xlfn.TAKE(_xlfn.DROP(PL!$AD132:$BN132,,-DATEDIFF(PL!CJ$11,val_asOfDate,"M")),1,-12))))</f>
        <v>12</v>
      </c>
      <c r="CK132" s="1461" cm="1">
        <f t="array" ref="CK132">_xlfn.LET(_xlpm.CheckBlank,SUM(PL!$AD132:$BN132)=0,IF(_xlpm.CheckBlank,"",SUM(_xlfn.TAKE(_xlfn.DROP(PL!$AD132:$BN132,,-DATEDIFF(PL!CK$11,val_asOfDate,"M")),1,-12))))</f>
        <v>12</v>
      </c>
      <c r="CL132" s="88"/>
      <c r="CM132" s="3209" cm="1">
        <f t="array" ref="CM132:CN132">_xlfn.LET(_xlpm.findRow,_xlfn.XMATCH($W132&amp;$Y132,$W$20:$W$118&amp;$AB$20:$AB$118,0),_xlpm.Choose,_xlfn.CHOOSEROWS(CM$20:CN$118,_xlpm.findRow),_xlpm.RESULT,IF(ISERROR(_xlpm.findRow),"",_xlpm.Choose),_xlpm.RESULT)</f>
        <v>1</v>
      </c>
      <c r="CN132" s="3210">
        <v>1</v>
      </c>
      <c r="CO132" s="88"/>
      <c r="CP132" s="3209" cm="1">
        <f t="array" ref="CP132:CQ132">_xlfn.LET(_xlpm.findRow,_xlfn.XMATCH($W132&amp;$Y132,$W$20:$W$118&amp;$AB$20:$AB$118,0),_xlpm.Choose,_xlfn.CHOOSEROWS(CP$20:CQ$118,_xlpm.findRow),_xlpm.RESULT,IF(ISERROR(_xlpm.findRow),"",_xlpm.Choose),_xlpm.RESULT)</f>
        <v>1</v>
      </c>
      <c r="CQ132" s="3210">
        <v>1</v>
      </c>
      <c r="CR132" s="34"/>
      <c r="CS132" s="2056"/>
      <c r="CT132" s="2447" t="e" cm="1">
        <f t="array" ca="1" aca="1" ref="CT132">IF(ISNUMBER(SEARCH("Select",$Y132)),"",_xldudf_CX_PUSH($Y132,CX_ENTITY,C132,val_asOfDate))</f>
        <v>#NAME?</v>
      </c>
      <c r="CU132" s="2447" t="e" cm="1">
        <f t="array" ca="1" aca="1" ref="CU132">IF(ISNUMBER(SEARCH("Select",$Y132)),"",_xldudf_CX_PUSH($Y132,CX_ENTITY,C132,EOMONTH(val_asOfDate,1)))</f>
        <v>#NAME?</v>
      </c>
      <c r="CV132" s="2447" t="e" cm="1">
        <f t="array" ca="1" aca="1" ref="CV132">IF(ISNUMBER(SEARCH("Select",$Y132)),"",_xldudf_CX_PUSH($Y132,CX_ENTITY,C132,EOMONTH(val_asOfDate,2)))</f>
        <v>#NAME?</v>
      </c>
      <c r="CW132" s="2447" t="e" cm="1">
        <f t="array" ca="1" aca="1" ref="CW132">IF(ISNUMBER(SEARCH("Select",$Y132)),"",_xldudf_CX_PUSH($Y132,CX_ENTITY,C132,EOMONTH(val_asOfDate,3)))</f>
        <v>#NAME?</v>
      </c>
      <c r="CX132" s="2443"/>
      <c r="CY132" s="2444" t="str" cm="1">
        <f t="array" ca="1" aca="1" ref="CY132">IFERROR(IF(CM132*fxVal_normal=_PL!CM132,"",IF(OR($CM132="",$CM132=0,NOT(ISNUMBER($CM132)),ISERROR($CM132),$B132=""),"",IF($I132=1,IFBLANK(_xldudf_CX_PUSH($CM132*fxVal_normal,CX_ENTITY,$B132,$CM$11,$CM$14,$CM$19,),""),IF($I132=2,IFBLANK(_xldudf_CX_PUSH($CM132,CX_ENTITY,$B132,$CM$11,$CM$14,$CM$19,),""),IF($I132=3,"",IFBLANK(_xldudf_CX_PUSH($CM132,CX_ENTITY,$B132,$CM$11,$CM$14,$CM$19,),"")))))),"")</f>
        <v/>
      </c>
      <c r="CZ132" s="2444" t="str" cm="1">
        <f t="array" ca="1" aca="1" ref="CZ132">IFERROR(IF(CN132*fxVal_normal=_PL!CN132,"",IF(OR($CN132="",$CN132=0,NOT(ISNUMBER($CN132)),ISERROR($CN132),$B132=""),"",IF($I132=1,IFBLANK(_xldudf_CX_PUSH($CN132*fxVal_normal,CX_ENTITY,$B132,$CN$11,$CN$14,$CN$19,),""),IF($I132=2,IFBLANK(_xldudf_CX_PUSH($CN132,CX_ENTITY,$B132,$CN$11,$CN$14,$CN$19,),""),IF($I132=3,"",IFBLANK(_xldudf_CX_PUSH($CN132,CX_ENTITY,$B132,$CN$11,$CN$14,$CN$19,),"")))))),"")</f>
        <v/>
      </c>
      <c r="DA132" s="2444" t="str" cm="1">
        <f t="array" ca="1" aca="1" ref="DA132">IFERROR(IF(CP132*fxVal_normal=_PL!CP132,"",IF(OR($CP132="",$CP132=0,NOT(ISNUMBER($CP132)),ISERROR($CP132),$B132=""),"",IF($I132=1,IFBLANK(_xldudf_CX_PUSH($CP132*fxVal_normal,CX_ENTITY,$B132,$CP$11,$CP$14,$CP$19,),""),IF($I132=2,IFBLANK(_xldudf_CX_PUSH($CP132,CX_ENTITY,$B132,$CP$11,$CP$14,$CP$19,),""),IF($I132=3,"",IFBLANK(_xldudf_CX_PUSH($CP132,CX_ENTITY,$B132,$CP$11,$CP$14,$CP$19,),"")))))),"")</f>
        <v/>
      </c>
      <c r="DB132" s="2444" t="str" cm="1">
        <f t="array" ca="1" aca="1" ref="DB132">IFERROR(IF(CQ132*fxVal_normal=_PL!CQ132,"",IF(OR($CQ132="",$CQ132=0,NOT(ISNUMBER($CQ132)),ISERROR($CQ132),$B132=""),"",IF($I132=1,IFBLANK(_xldudf_CX_PUSH($CQ132*fxVal_normal,CX_ENTITY,$B132,$CQ$11,$CQ$14,$CQ$19,),""),IF($I132=2,IFBLANK(_xldudf_CX_PUSH($CQ132,CX_ENTITY,$B132,$CQ$11,$CQ$14,$CQ$19,),""),IF($I132=3,"",IFBLANK(_xldudf_CX_PUSH($CQ132,CX_ENTITY,$B132,$CQ$11,$CQ$14,$CQ$19,),"")))))),"")</f>
        <v/>
      </c>
      <c r="DC132" s="2443"/>
      <c r="DD132" s="2445" t="str" cm="1">
        <f t="array" ca="1" aca="1" ref="DD132">IFERROR(IF(AD132*fxVal_normal=_PL!AD132,"",IF(OR(AD132="",NOT(ISNUMBER(AD132)),ISERROR(AD132),$B132=""),"",IF($I132=1,IFBLANK(_xldudf_CX_PUSH(AD132*fxVal_normal,CX_ENTITY,$B132,AD$11,AD$14,AD$131,),""),IF($I132=2,IFBLANK(_xldudf_CX_PUSH(AD132,CX_ENTITY,$B132,AD$11,AD$14,AD$131,),""),IF($I132=3,"",IFBLANK(_xldudf_CX_PUSH(AD132,CX_ENTITY,$B132,AD$11,AD$14,AD$131,),"")))))),"")</f>
        <v/>
      </c>
      <c r="DE132" s="2445" t="str" cm="1">
        <f t="array" ca="1" aca="1" ref="DE132">IFERROR(IF(AE132*fxVal_normal=_PL!AE132,"",IF(OR(AE132="",NOT(ISNUMBER(AE132)),ISERROR(AE132),$B132=""),"",IF($I132=1,IFBLANK(_xldudf_CX_PUSH(AE132*fxVal_normal,CX_ENTITY,$B132,AE$11,AE$14,AE$131,),""),IF($I132=2,IFBLANK(_xldudf_CX_PUSH(AE132,CX_ENTITY,$B132,AE$11,AE$14,AE$131,),""),IF($I132=3,"",IFBLANK(_xldudf_CX_PUSH(AE132,CX_ENTITY,$B132,AE$11,AE$14,AE$131,),"")))))),"")</f>
        <v/>
      </c>
      <c r="DF132" s="2445" t="str" cm="1">
        <f t="array" ca="1" aca="1" ref="DF132">IFERROR(IF(AF132*fxVal_normal=_PL!AF132,"",IF(OR(AF132="",NOT(ISNUMBER(AF132)),ISERROR(AF132),$B132=""),"",IF($I132=1,IFBLANK(_xldudf_CX_PUSH(AF132*fxVal_normal,CX_ENTITY,$B132,AF$11,AF$14,AF$131,),""),IF($I132=2,IFBLANK(_xldudf_CX_PUSH(AF132,CX_ENTITY,$B132,AF$11,AF$14,AF$131,),""),IF($I132=3,"",IFBLANK(_xldudf_CX_PUSH(AF132,CX_ENTITY,$B132,AF$11,AF$14,AF$131,),"")))))),"")</f>
        <v/>
      </c>
      <c r="DG132" s="2445" t="str" cm="1">
        <f t="array" ca="1" aca="1" ref="DG132">IFERROR(IF(AG132*fxVal_normal=_PL!AG132,"",IF(OR(AG132="",NOT(ISNUMBER(AG132)),ISERROR(AG132),$B132=""),"",IF($I132=1,IFBLANK(_xldudf_CX_PUSH(AG132*fxVal_normal,CX_ENTITY,$B132,AG$11,AG$14,AG$131,),""),IF($I132=2,IFBLANK(_xldudf_CX_PUSH(AG132,CX_ENTITY,$B132,AG$11,AG$14,AG$131,),""),IF($I132=3,"",IFBLANK(_xldudf_CX_PUSH(AG132,CX_ENTITY,$B132,AG$11,AG$14,AG$131,),"")))))),"")</f>
        <v/>
      </c>
      <c r="DH132" s="2445" t="str" cm="1">
        <f t="array" ca="1" aca="1" ref="DH132">IFERROR(IF(AH132*fxVal_normal=_PL!AH132,"",IF(OR(AH132="",NOT(ISNUMBER(AH132)),ISERROR(AH132),$B132=""),"",IF($I132=1,IFBLANK(_xldudf_CX_PUSH(AH132*fxVal_normal,CX_ENTITY,$B132,AH$11,AH$14,AH$131,),""),IF($I132=2,IFBLANK(_xldudf_CX_PUSH(AH132,CX_ENTITY,$B132,AH$11,AH$14,AH$131,),""),IF($I132=3,"",IFBLANK(_xldudf_CX_PUSH(AH132,CX_ENTITY,$B132,AH$11,AH$14,AH$131,),"")))))),"")</f>
        <v/>
      </c>
      <c r="DI132" s="2445" t="str" cm="1">
        <f t="array" ca="1" aca="1" ref="DI132">IFERROR(IF(AI132*fxVal_normal=_PL!AI132,"",IF(OR(AI132="",NOT(ISNUMBER(AI132)),ISERROR(AI132),$B132=""),"",IF($I132=1,IFBLANK(_xldudf_CX_PUSH(AI132*fxVal_normal,CX_ENTITY,$B132,AI$11,AI$14,AI$131,),""),IF($I132=2,IFBLANK(_xldudf_CX_PUSH(AI132,CX_ENTITY,$B132,AI$11,AI$14,AI$131,),""),IF($I132=3,"",IFBLANK(_xldudf_CX_PUSH(AI132,CX_ENTITY,$B132,AI$11,AI$14,AI$131,),"")))))),"")</f>
        <v/>
      </c>
      <c r="DJ132" s="2445" t="str" cm="1">
        <f t="array" ca="1" aca="1" ref="DJ132">IFERROR(IF(AJ132*fxVal_normal=_PL!AJ132,"",IF(OR(AJ132="",NOT(ISNUMBER(AJ132)),ISERROR(AJ132),$B132=""),"",IF($I132=1,IFBLANK(_xldudf_CX_PUSH(AJ132*fxVal_normal,CX_ENTITY,$B132,AJ$11,AJ$14,AJ$131,),""),IF($I132=2,IFBLANK(_xldudf_CX_PUSH(AJ132,CX_ENTITY,$B132,AJ$11,AJ$14,AJ$131,),""),IF($I132=3,"",IFBLANK(_xldudf_CX_PUSH(AJ132,CX_ENTITY,$B132,AJ$11,AJ$14,AJ$131,),"")))))),"")</f>
        <v/>
      </c>
      <c r="DK132" s="2445" t="str" cm="1">
        <f t="array" ca="1" aca="1" ref="DK132">IFERROR(IF(AK132*fxVal_normal=_PL!AK132,"",IF(OR(AK132="",NOT(ISNUMBER(AK132)),ISERROR(AK132),$B132=""),"",IF($I132=1,IFBLANK(_xldudf_CX_PUSH(AK132*fxVal_normal,CX_ENTITY,$B132,AK$11,AK$14,AK$131,),""),IF($I132=2,IFBLANK(_xldudf_CX_PUSH(AK132,CX_ENTITY,$B132,AK$11,AK$14,AK$131,),""),IF($I132=3,"",IFBLANK(_xldudf_CX_PUSH(AK132,CX_ENTITY,$B132,AK$11,AK$14,AK$131,),"")))))),"")</f>
        <v/>
      </c>
      <c r="DL132" s="2445" t="str" cm="1">
        <f t="array" ca="1" aca="1" ref="DL132">IFERROR(IF(AL132*fxVal_normal=_PL!AL132,"",IF(OR(AL132="",NOT(ISNUMBER(AL132)),ISERROR(AL132),$B132=""),"",IF($I132=1,IFBLANK(_xldudf_CX_PUSH(AL132*fxVal_normal,CX_ENTITY,$B132,AL$11,AL$14,AL$131,),""),IF($I132=2,IFBLANK(_xldudf_CX_PUSH(AL132,CX_ENTITY,$B132,AL$11,AL$14,AL$131,),""),IF($I132=3,"",IFBLANK(_xldudf_CX_PUSH(AL132,CX_ENTITY,$B132,AL$11,AL$14,AL$131,),"")))))),"")</f>
        <v/>
      </c>
      <c r="DM132" s="2445" t="str" cm="1">
        <f t="array" ca="1" aca="1" ref="DM132">IFERROR(IF(AM132*fxVal_normal=_PL!AM132,"",IF(OR(AM132="",NOT(ISNUMBER(AM132)),ISERROR(AM132),$B132=""),"",IF($I132=1,IFBLANK(_xldudf_CX_PUSH(AM132*fxVal_normal,CX_ENTITY,$B132,AM$11,AM$14,AM$131,),""),IF($I132=2,IFBLANK(_xldudf_CX_PUSH(AM132,CX_ENTITY,$B132,AM$11,AM$14,AM$131,),""),IF($I132=3,"",IFBLANK(_xldudf_CX_PUSH(AM132,CX_ENTITY,$B132,AM$11,AM$14,AM$131,),"")))))),"")</f>
        <v/>
      </c>
      <c r="DN132" s="2445" t="str" cm="1">
        <f t="array" ca="1" aca="1" ref="DN132">IFERROR(IF(AN132*fxVal_normal=_PL!AN132,"",IF(OR(AN132="",NOT(ISNUMBER(AN132)),ISERROR(AN132),$B132=""),"",IF($I132=1,IFBLANK(_xldudf_CX_PUSH(AN132*fxVal_normal,CX_ENTITY,$B132,AN$11,AN$14,AN$131,),""),IF($I132=2,IFBLANK(_xldudf_CX_PUSH(AN132,CX_ENTITY,$B132,AN$11,AN$14,AN$131,),""),IF($I132=3,"",IFBLANK(_xldudf_CX_PUSH(AN132,CX_ENTITY,$B132,AN$11,AN$14,AN$131,),"")))))),"")</f>
        <v/>
      </c>
      <c r="DO132" s="2445" t="str" cm="1">
        <f t="array" ca="1" aca="1" ref="DO132">IFERROR(IF(AO132*fxVal_normal=_PL!AO132,"",IF(OR(AO132="",NOT(ISNUMBER(AO132)),ISERROR(AO132),$B132=""),"",IF($I132=1,IFBLANK(_xldudf_CX_PUSH(AO132*fxVal_normal,CX_ENTITY,$B132,AO$11,AO$14,AO$131,),""),IF($I132=2,IFBLANK(_xldudf_CX_PUSH(AO132,CX_ENTITY,$B132,AO$11,AO$14,AO$131,),""),IF($I132=3,"",IFBLANK(_xldudf_CX_PUSH(AO132,CX_ENTITY,$B132,AO$11,AO$14,AO$131,),"")))))),"")</f>
        <v/>
      </c>
      <c r="DP132" s="2445" t="str" cm="1">
        <f t="array" ca="1" aca="1" ref="DP132">IFERROR(IF(AP132*fxVal_normal=_PL!AP132,"",IF(OR(AP132="",NOT(ISNUMBER(AP132)),ISERROR(AP132),$B132=""),"",IF($I132=1,IFBLANK(_xldudf_CX_PUSH(AP132*fxVal_normal,CX_ENTITY,$B132,AP$11,AP$14,AP$131,),""),IF($I132=2,IFBLANK(_xldudf_CX_PUSH(AP132,CX_ENTITY,$B132,AP$11,AP$14,AP$131,),""),IF($I132=3,"",IFBLANK(_xldudf_CX_PUSH(AP132,CX_ENTITY,$B132,AP$11,AP$14,AP$131,),"")))))),"")</f>
        <v/>
      </c>
      <c r="DQ132" s="2445" t="str" cm="1">
        <f t="array" ca="1" aca="1" ref="DQ132">IFERROR(IF(AQ132*fxVal_normal=_PL!AQ132,"",IF(OR(AQ132="",NOT(ISNUMBER(AQ132)),ISERROR(AQ132),$B132=""),"",IF($I132=1,IFBLANK(_xldudf_CX_PUSH(AQ132*fxVal_normal,CX_ENTITY,$B132,AQ$11,AQ$14,AQ$131,),""),IF($I132=2,IFBLANK(_xldudf_CX_PUSH(AQ132,CX_ENTITY,$B132,AQ$11,AQ$14,AQ$131,),""),IF($I132=3,"",IFBLANK(_xldudf_CX_PUSH(AQ132,CX_ENTITY,$B132,AQ$11,AQ$14,AQ$131,),"")))))),"")</f>
        <v/>
      </c>
      <c r="DR132" s="2445" t="str" cm="1">
        <f t="array" ca="1" aca="1" ref="DR132">IFERROR(IF(AR132*fxVal_normal=_PL!AR132,"",IF(OR(AR132="",NOT(ISNUMBER(AR132)),ISERROR(AR132),$B132=""),"",IF($I132=1,IFBLANK(_xldudf_CX_PUSH(AR132*fxVal_normal,CX_ENTITY,$B132,AR$11,AR$14,AR$131,),""),IF($I132=2,IFBLANK(_xldudf_CX_PUSH(AR132,CX_ENTITY,$B132,AR$11,AR$14,AR$131,),""),IF($I132=3,"",IFBLANK(_xldudf_CX_PUSH(AR132,CX_ENTITY,$B132,AR$11,AR$14,AR$131,),"")))))),"")</f>
        <v/>
      </c>
      <c r="DS132" s="2445" t="str" cm="1">
        <f t="array" ca="1" aca="1" ref="DS132">IFERROR(IF(AS132*fxVal_normal=_PL!AS132,"",IF(OR(AS132="",NOT(ISNUMBER(AS132)),ISERROR(AS132),$B132=""),"",IF($I132=1,IFBLANK(_xldudf_CX_PUSH(AS132*fxVal_normal,CX_ENTITY,$B132,AS$11,AS$14,AS$131,),""),IF($I132=2,IFBLANK(_xldudf_CX_PUSH(AS132,CX_ENTITY,$B132,AS$11,AS$14,AS$131,),""),IF($I132=3,"",IFBLANK(_xldudf_CX_PUSH(AS132,CX_ENTITY,$B132,AS$11,AS$14,AS$131,),"")))))),"")</f>
        <v/>
      </c>
      <c r="DT132" s="2445" t="str" cm="1">
        <f t="array" ca="1" aca="1" ref="DT132">IFERROR(IF(AT132*fxVal_normal=_PL!AT132,"",IF(OR(AT132="",NOT(ISNUMBER(AT132)),ISERROR(AT132),$B132=""),"",IF($I132=1,IFBLANK(_xldudf_CX_PUSH(AT132*fxVal_normal,CX_ENTITY,$B132,AT$11,AT$14,AT$131,),""),IF($I132=2,IFBLANK(_xldudf_CX_PUSH(AT132,CX_ENTITY,$B132,AT$11,AT$14,AT$131,),""),IF($I132=3,"",IFBLANK(_xldudf_CX_PUSH(AT132,CX_ENTITY,$B132,AT$11,AT$14,AT$131,),"")))))),"")</f>
        <v/>
      </c>
      <c r="DU132" s="2445" t="str" cm="1">
        <f t="array" ca="1" aca="1" ref="DU132">IFERROR(IF(AU132*fxVal_normal=_PL!AU132,"",IF(OR(AU132="",NOT(ISNUMBER(AU132)),ISERROR(AU132),$B132=""),"",IF($I132=1,IFBLANK(_xldudf_CX_PUSH(AU132*fxVal_normal,CX_ENTITY,$B132,AU$11,AU$14,AU$131,),""),IF($I132=2,IFBLANK(_xldudf_CX_PUSH(AU132,CX_ENTITY,$B132,AU$11,AU$14,AU$131,),""),IF($I132=3,"",IFBLANK(_xldudf_CX_PUSH(AU132,CX_ENTITY,$B132,AU$11,AU$14,AU$131,),"")))))),"")</f>
        <v/>
      </c>
      <c r="DV132" s="2445" t="str" cm="1">
        <f t="array" ca="1" aca="1" ref="DV132">IFERROR(IF(AV132*fxVal_normal=_PL!AV132,"",IF(OR(AV132="",NOT(ISNUMBER(AV132)),ISERROR(AV132),$B132=""),"",IF($I132=1,IFBLANK(_xldudf_CX_PUSH(AV132*fxVal_normal,CX_ENTITY,$B132,AV$11,AV$14,AV$131,),""),IF($I132=2,IFBLANK(_xldudf_CX_PUSH(AV132,CX_ENTITY,$B132,AV$11,AV$14,AV$131,),""),IF($I132=3,"",IFBLANK(_xldudf_CX_PUSH(AV132,CX_ENTITY,$B132,AV$11,AV$14,AV$131,),"")))))),"")</f>
        <v/>
      </c>
      <c r="DW132" s="2445" t="str" cm="1">
        <f t="array" ca="1" aca="1" ref="DW132">IFERROR(IF(AW132*fxVal_normal=_PL!AW132,"",IF(OR(AW132="",NOT(ISNUMBER(AW132)),ISERROR(AW132),$B132=""),"",IF($I132=1,IFBLANK(_xldudf_CX_PUSH(AW132*fxVal_normal,CX_ENTITY,$B132,AW$11,AW$14,AW$131,),""),IF($I132=2,IFBLANK(_xldudf_CX_PUSH(AW132,CX_ENTITY,$B132,AW$11,AW$14,AW$131,),""),IF($I132=3,"",IFBLANK(_xldudf_CX_PUSH(AW132,CX_ENTITY,$B132,AW$11,AW$14,AW$131,),"")))))),"")</f>
        <v/>
      </c>
      <c r="DX132" s="2445" t="str" cm="1">
        <f t="array" ca="1" aca="1" ref="DX132">IFERROR(IF(AX132*fxVal_normal=_PL!AX132,"",IF(OR(AX132="",NOT(ISNUMBER(AX132)),ISERROR(AX132),$B132=""),"",IF($I132=1,IFBLANK(_xldudf_CX_PUSH(AX132*fxVal_normal,CX_ENTITY,$B132,AX$11,AX$14,AX$131,),""),IF($I132=2,IFBLANK(_xldudf_CX_PUSH(AX132,CX_ENTITY,$B132,AX$11,AX$14,AX$131,),""),IF($I132=3,"",IFBLANK(_xldudf_CX_PUSH(AX132,CX_ENTITY,$B132,AX$11,AX$14,AX$131,),"")))))),"")</f>
        <v/>
      </c>
      <c r="DY132" s="2445" t="str" cm="1">
        <f t="array" ca="1" aca="1" ref="DY132">IFERROR(IF(AY132*fxVal_normal=_PL!AY132,"",IF(OR(AY132="",NOT(ISNUMBER(AY132)),ISERROR(AY132),$B132=""),"",IF($I132=1,IFBLANK(_xldudf_CX_PUSH(AY132*fxVal_normal,CX_ENTITY,$B132,AY$11,AY$14,AY$131,),""),IF($I132=2,IFBLANK(_xldudf_CX_PUSH(AY132,CX_ENTITY,$B132,AY$11,AY$14,AY$131,),""),IF($I132=3,"",IFBLANK(_xldudf_CX_PUSH(AY132,CX_ENTITY,$B132,AY$11,AY$14,AY$131,),"")))))),"")</f>
        <v/>
      </c>
      <c r="DZ132" s="2445" t="str" cm="1">
        <f t="array" ca="1" aca="1" ref="DZ132">IFERROR(IF(AZ132*fxVal_normal=_PL!AZ132,"",IF(OR(AZ132="",NOT(ISNUMBER(AZ132)),ISERROR(AZ132),$B132=""),"",IF($I132=1,IFBLANK(_xldudf_CX_PUSH(AZ132*fxVal_normal,CX_ENTITY,$B132,AZ$11,AZ$14,AZ$131,),""),IF($I132=2,IFBLANK(_xldudf_CX_PUSH(AZ132,CX_ENTITY,$B132,AZ$11,AZ$14,AZ$131,),""),IF($I132=3,"",IFBLANK(_xldudf_CX_PUSH(AZ132,CX_ENTITY,$B132,AZ$11,AZ$14,AZ$131,),"")))))),"")</f>
        <v/>
      </c>
      <c r="EA132" s="2445" t="str" cm="1">
        <f t="array" ca="1" aca="1" ref="EA132">IFERROR(IF(BA132*fxVal_normal=_PL!BA132,"",IF(OR(BA132="",NOT(ISNUMBER(BA132)),ISERROR(BA132),$B132=""),"",IF($I132=1,IFBLANK(_xldudf_CX_PUSH(BA132*fxVal_normal,CX_ENTITY,$B132,BA$11,BA$14,BA$131,),""),IF($I132=2,IFBLANK(_xldudf_CX_PUSH(BA132,CX_ENTITY,$B132,BA$11,BA$14,BA$131,),""),IF($I132=3,"",IFBLANK(_xldudf_CX_PUSH(BA132,CX_ENTITY,$B132,BA$11,BA$14,BA$131,),"")))))),"")</f>
        <v/>
      </c>
      <c r="EB132" s="2445" t="str" cm="1">
        <f t="array" ca="1" aca="1" ref="EB132">IFERROR(IF(BB132*fxVal_normal=_PL!BB132,"",IF(OR(BB132="",NOT(ISNUMBER(BB132)),ISERROR(BB132),$B132=""),"",IF($I132=1,IFBLANK(_xldudf_CX_PUSH(BB132*fxVal_normal,CX_ENTITY,$B132,BB$11,BB$14,BB$131,),""),IF($I132=2,IFBLANK(_xldudf_CX_PUSH(BB132,CX_ENTITY,$B132,BB$11,BB$14,BB$131,),""),IF($I132=3,"",IFBLANK(_xldudf_CX_PUSH(BB132,CX_ENTITY,$B132,BB$11,BB$14,BB$131,),"")))))),"")</f>
        <v/>
      </c>
      <c r="EC132" s="2445" t="str" cm="1">
        <f t="array" ca="1" aca="1" ref="EC132">IFERROR(IF(BC132*fxVal_normal=_PL!BC132,"",IF(OR(BC132="",NOT(ISNUMBER(BC132)),ISERROR(BC132),$B132=""),"",IF($I132=1,IFBLANK(_xldudf_CX_PUSH(BC132*fxVal_normal,CX_ENTITY,$B132,BC$11,BC$14,BC$131,),""),IF($I132=2,IFBLANK(_xldudf_CX_PUSH(BC132,CX_ENTITY,$B132,BC$11,BC$14,BC$131,),""),IF($I132=3,"",IFBLANK(_xldudf_CX_PUSH(BC132,CX_ENTITY,$B132,BC$11,BC$14,BC$131,),"")))))),"")</f>
        <v/>
      </c>
      <c r="ED132" s="2445" t="str" cm="1">
        <f t="array" ca="1" aca="1" ref="ED132">IFERROR(IF(BD132*fxVal_normal=_PL!BD132,"",IF(OR(BD132="",NOT(ISNUMBER(BD132)),ISERROR(BD132),$B132=""),"",IF($I132=1,IFBLANK(_xldudf_CX_PUSH(BD132*fxVal_normal,CX_ENTITY,$B132,BD$11,BD$14,BD$131,),""),IF($I132=2,IFBLANK(_xldudf_CX_PUSH(BD132,CX_ENTITY,$B132,BD$11,BD$14,BD$131,),""),IF($I132=3,"",IFBLANK(_xldudf_CX_PUSH(BD132,CX_ENTITY,$B132,BD$11,BD$14,BD$131,),"")))))),"")</f>
        <v/>
      </c>
      <c r="EE132" s="2445" t="str" cm="1">
        <f t="array" ca="1" aca="1" ref="EE132">IFERROR(IF(BE132*fxVal_normal=_PL!BE132,"",IF(OR(BE132="",NOT(ISNUMBER(BE132)),ISERROR(BE132),$B132=""),"",IF($I132=1,IFBLANK(_xldudf_CX_PUSH(BE132*fxVal_normal,CX_ENTITY,$B132,BE$11,BE$14,BE$131,),""),IF($I132=2,IFBLANK(_xldudf_CX_PUSH(BE132,CX_ENTITY,$B132,BE$11,BE$14,BE$131,),""),IF($I132=3,"",IFBLANK(_xldudf_CX_PUSH(BE132,CX_ENTITY,$B132,BE$11,BE$14,BE$131,),"")))))),"")</f>
        <v/>
      </c>
      <c r="EF132" s="2445" t="str" cm="1">
        <f t="array" ca="1" aca="1" ref="EF132">IFERROR(IF(BF132*fxVal_normal=_PL!BF132,"",IF(OR(BF132="",NOT(ISNUMBER(BF132)),ISERROR(BF132),$B132=""),"",IF($I132=1,IFBLANK(_xldudf_CX_PUSH(BF132*fxVal_normal,CX_ENTITY,$B132,BF$11,BF$14,BF$131,),""),IF($I132=2,IFBLANK(_xldudf_CX_PUSH(BF132,CX_ENTITY,$B132,BF$11,BF$14,BF$131,),""),IF($I132=3,"",IFBLANK(_xldudf_CX_PUSH(BF132,CX_ENTITY,$B132,BF$11,BF$14,BF$131,),"")))))),"")</f>
        <v/>
      </c>
      <c r="EG132" s="2445" t="str" cm="1">
        <f t="array" ca="1" aca="1" ref="EG132">IFERROR(IF(BG132*fxVal_normal=_PL!BG132,"",IF(OR(BG132="",NOT(ISNUMBER(BG132)),ISERROR(BG132),$B132=""),"",IF($I132=1,IFBLANK(_xldudf_CX_PUSH(BG132*fxVal_normal,CX_ENTITY,$B132,BG$11,BG$14,BG$131,),""),IF($I132=2,IFBLANK(_xldudf_CX_PUSH(BG132,CX_ENTITY,$B132,BG$11,BG$14,BG$131,),""),IF($I132=3,"",IFBLANK(_xldudf_CX_PUSH(BG132,CX_ENTITY,$B132,BG$11,BG$14,BG$131,),"")))))),"")</f>
        <v/>
      </c>
      <c r="EH132" s="2445" t="str" cm="1">
        <f t="array" ca="1" aca="1" ref="EH132">IFERROR(IF(BH132*fxVal_normal=_PL!BH132,"",IF(OR(BH132="",NOT(ISNUMBER(BH132)),ISERROR(BH132),$B132=""),"",IF($I132=1,IFBLANK(_xldudf_CX_PUSH(BH132*fxVal_normal,CX_ENTITY,$B132,BH$11,BH$14,BH$131,),""),IF($I132=2,IFBLANK(_xldudf_CX_PUSH(BH132,CX_ENTITY,$B132,BH$11,BH$14,BH$131,),""),IF($I132=3,"",IFBLANK(_xldudf_CX_PUSH(BH132,CX_ENTITY,$B132,BH$11,BH$14,BH$131,),"")))))),"")</f>
        <v/>
      </c>
      <c r="EI132" s="2445" t="str" cm="1">
        <f t="array" ca="1" aca="1" ref="EI132">IFERROR(IF(BI132*fxVal_normal=_PL!BI132,"",IF(OR(BI132="",NOT(ISNUMBER(BI132)),ISERROR(BI132),$B132=""),"",IF($I132=1,IFBLANK(_xldudf_CX_PUSH(BI132*fxVal_normal,CX_ENTITY,$B132,BI$11,BI$14,BI$131,),""),IF($I132=2,IFBLANK(_xldudf_CX_PUSH(BI132,CX_ENTITY,$B132,BI$11,BI$14,BI$131,),""),IF($I132=3,"",IFBLANK(_xldudf_CX_PUSH(BI132,CX_ENTITY,$B132,BI$11,BI$14,BI$131,),"")))))),"")</f>
        <v/>
      </c>
      <c r="EJ132" s="2445" t="str" cm="1">
        <f t="array" ca="1" aca="1" ref="EJ132">IFERROR(IF(BJ132*fxVal_normal=_PL!BJ132,"",IF(OR(BJ132="",NOT(ISNUMBER(BJ132)),ISERROR(BJ132),$B132=""),"",IF($I132=1,IFBLANK(_xldudf_CX_PUSH(BJ132*fxVal_normal,CX_ENTITY,$B132,BJ$11,BJ$14,BJ$131,),""),IF($I132=2,IFBLANK(_xldudf_CX_PUSH(BJ132,CX_ENTITY,$B132,BJ$11,BJ$14,BJ$131,),""),IF($I132=3,"",IFBLANK(_xldudf_CX_PUSH(BJ132,CX_ENTITY,$B132,BJ$11,BJ$14,BJ$131,),"")))))),"")</f>
        <v/>
      </c>
      <c r="EK132" s="2445" t="str" cm="1">
        <f t="array" ca="1" aca="1" ref="EK132">IFERROR(IF(BK132*fxVal_normal=_PL!BK132,"",IF(OR(BK132="",NOT(ISNUMBER(BK132)),ISERROR(BK132),$B132=""),"",IF($I132=1,IFBLANK(_xldudf_CX_PUSH(BK132*fxVal_normal,CX_ENTITY,$B132,BK$11,BK$14,BK$131,),""),IF($I132=2,IFBLANK(_xldudf_CX_PUSH(BK132,CX_ENTITY,$B132,BK$11,BK$14,BK$131,),""),IF($I132=3,"",IFBLANK(_xldudf_CX_PUSH(BK132,CX_ENTITY,$B132,BK$11,BK$14,BK$131,),"")))))),"")</f>
        <v/>
      </c>
      <c r="EL132" s="2445" t="str" cm="1">
        <f t="array" ca="1" aca="1" ref="EL132">IFERROR(IF(BL132*fxVal_normal=_PL!BL132,"",IF(OR(BL132="",NOT(ISNUMBER(BL132)),ISERROR(BL132),$B132=""),"",IF($I132=1,IFBLANK(_xldudf_CX_PUSH(BL132*fxVal_normal,CX_ENTITY,$B132,BL$11,BL$14,BL$131,),""),IF($I132=2,IFBLANK(_xldudf_CX_PUSH(BL132,CX_ENTITY,$B132,BL$11,BL$14,BL$131,),""),IF($I132=3,"",IFBLANK(_xldudf_CX_PUSH(BL132,CX_ENTITY,$B132,BL$11,BL$14,BL$131,),"")))))),"")</f>
        <v/>
      </c>
      <c r="EM132" s="2445" t="str" cm="1">
        <f t="array" ca="1" aca="1" ref="EM132">IFERROR(IF(BM132*fxVal_normal=_PL!BM132,"",IF(OR(BM132="",NOT(ISNUMBER(BM132)),ISERROR(BM132),$B132=""),"",IF($I132=1,IFBLANK(_xldudf_CX_PUSH(BM132*fxVal_normal,CX_ENTITY,$B132,BM$11,BM$14,BM$131,),""),IF($I132=2,IFBLANK(_xldudf_CX_PUSH(BM132,CX_ENTITY,$B132,BM$11,BM$14,BM$131,),""),IF($I132=3,"",IFBLANK(_xldudf_CX_PUSH(BM132,CX_ENTITY,$B132,BM$11,BM$14,BM$131,),"")))))),"")</f>
        <v/>
      </c>
      <c r="EN132" s="2445" t="str" cm="1">
        <f t="array" ca="1" aca="1" ref="EN132">IFERROR(IF(BN132*fxVal_normal=_PL!BN132,"",IF(OR(BN132="",NOT(ISNUMBER(BN132)),ISERROR(BN132),$B132=""),"",IF($I132=1,IFBLANK(_xldudf_CX_PUSH(BN132*fxVal_normal,CX_ENTITY,$B132,BN$11,BN$14,BN$131,),""),IF($I132=2,IFBLANK(_xldudf_CX_PUSH(BN132,CX_ENTITY,$B132,BN$11,BN$14,BN$131,),""),IF($I132=3,"",IFBLANK(_xldudf_CX_PUSH(BN132,CX_ENTITY,$B132,BN$11,BN$14,BN$131,),"")))))),"")</f>
        <v/>
      </c>
    </row>
    <row r="133" spans="1:144" ht="21" customHeight="1">
      <c r="A133" s="1625"/>
      <c r="B133" s="2501" t="str">
        <f>_xlfn.LET(_xlpm.IsNotAttrDynamic,D133="",_xlpm.Attr,_PL!F133,_xlpm.NotInUse,Y133=D133,_xlpm.RESULT,IF(_xlpm.IsNotAttrDynamic,_xlpm.Attr,IF(_xlpm.NotInUse,"",Y133)),IF(_xlpm.RESULT="","",_xlpm.RESULT))</f>
        <v>o/w Inorganic Revenue</v>
      </c>
      <c r="C133" s="2501" t="str" cm="1">
        <f t="array" ref="C133">IFBLANK(_PL!C133,"")</f>
        <v/>
      </c>
      <c r="D133" s="1548"/>
      <c r="E133" s="2440" t="e" cm="1">
        <f t="array" ca="1" aca="1" ref="E13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133:$CQ133,Z133)</f>
        <v>#NAME?</v>
      </c>
      <c r="F133" s="578"/>
      <c r="G133" s="578"/>
      <c r="H133" s="3282">
        <v>1</v>
      </c>
      <c r="I133" s="3282">
        <v>1</v>
      </c>
      <c r="J133" s="3280" cm="1">
        <f t="array" ref="J133">IFBLANK(Z133,"")</f>
        <v>1</v>
      </c>
      <c r="K133" s="578" t="str">
        <f t="shared" si="47"/>
        <v>Yes</v>
      </c>
      <c r="L133" s="37"/>
      <c r="N133" s="158"/>
      <c r="O133" s="101"/>
      <c r="P133" s="52"/>
      <c r="Q133" s="2"/>
      <c r="R133" s="101"/>
      <c r="S133" s="101"/>
      <c r="T133" s="101"/>
      <c r="U133" s="39"/>
      <c r="V133" s="37"/>
      <c r="W133" s="91" t="str">
        <f>W132</f>
        <v>Actual</v>
      </c>
      <c r="X133" s="3313">
        <f>_PL!X133</f>
        <v>1</v>
      </c>
      <c r="Y133" s="509" t="str">
        <f>_PL!Y133</f>
        <v>of which Inorganic Top Line</v>
      </c>
      <c r="Z133" s="3291">
        <f>_PL!Z133</f>
        <v>1</v>
      </c>
      <c r="AA133" s="97"/>
      <c r="AB133" s="301" t="str">
        <f>_PL!AB133</f>
        <v>of which Inorganic Top Line</v>
      </c>
      <c r="AC133" s="2547" t="e" vm="5" cm="1">
        <f t="array" ca="1" aca="1" ref="AC133">_xlfn.LET(_xlpm._termname,$AB133,_xlpm._iconname,"find",_xlpm._icon,fx_getIcon(_xlpm._iconname),_xlpm._location,_xlfn.XLOOKUP(LOWER(_xlpm._termname),LOWER(tbl_acctDef[Term]),tbl_acctDef[Term]),_xlpm._hyperlink,HYPERLINK("#"&amp;CELL("address",_xlpm._location),_xlpm._icon),IFERROR(_xlpm._hyperlink,""))</f>
        <v>#VALUE!</v>
      </c>
      <c r="AD133" s="3175">
        <v>1</v>
      </c>
      <c r="AE133" s="3175">
        <v>1</v>
      </c>
      <c r="AF133" s="3175">
        <v>1</v>
      </c>
      <c r="AG133" s="3175">
        <v>1</v>
      </c>
      <c r="AH133" s="3175">
        <v>1</v>
      </c>
      <c r="AI133" s="3175">
        <v>1</v>
      </c>
      <c r="AJ133" s="3175">
        <v>1</v>
      </c>
      <c r="AK133" s="3175">
        <v>1</v>
      </c>
      <c r="AL133" s="3175">
        <v>1</v>
      </c>
      <c r="AM133" s="3175">
        <v>1</v>
      </c>
      <c r="AN133" s="3175">
        <v>1</v>
      </c>
      <c r="AO133" s="3175">
        <v>1</v>
      </c>
      <c r="AP133" s="3175">
        <v>1</v>
      </c>
      <c r="AQ133" s="3175">
        <v>1</v>
      </c>
      <c r="AR133" s="3175">
        <v>1</v>
      </c>
      <c r="AS133" s="3175">
        <v>1</v>
      </c>
      <c r="AT133" s="3175">
        <v>1</v>
      </c>
      <c r="AU133" s="3175">
        <v>1</v>
      </c>
      <c r="AV133" s="3175">
        <v>1</v>
      </c>
      <c r="AW133" s="3175">
        <v>1</v>
      </c>
      <c r="AX133" s="3175">
        <v>1</v>
      </c>
      <c r="AY133" s="3175">
        <v>1</v>
      </c>
      <c r="AZ133" s="3175">
        <v>1</v>
      </c>
      <c r="BA133" s="3175">
        <v>1</v>
      </c>
      <c r="BB133" s="3175">
        <v>1</v>
      </c>
      <c r="BC133" s="3175">
        <v>1</v>
      </c>
      <c r="BD133" s="3175">
        <v>1</v>
      </c>
      <c r="BE133" s="3175">
        <v>1</v>
      </c>
      <c r="BF133" s="3175">
        <v>1</v>
      </c>
      <c r="BG133" s="3175">
        <v>1</v>
      </c>
      <c r="BH133" s="3175">
        <v>1</v>
      </c>
      <c r="BI133" s="3175">
        <v>1</v>
      </c>
      <c r="BJ133" s="3175">
        <v>1</v>
      </c>
      <c r="BK133" s="3175">
        <v>1</v>
      </c>
      <c r="BL133" s="3175">
        <v>1</v>
      </c>
      <c r="BM133" s="3175">
        <v>1</v>
      </c>
      <c r="BN133" s="3175">
        <v>1</v>
      </c>
      <c r="BO133" s="2442"/>
      <c r="BP133" s="2442"/>
      <c r="BQ133" s="2442"/>
      <c r="BR133" s="2442"/>
      <c r="BS133" s="2442"/>
      <c r="BT133" s="2442"/>
      <c r="BU133" s="2442"/>
      <c r="BV133" s="2442"/>
      <c r="BW133" s="2442"/>
      <c r="BX133" s="2442"/>
      <c r="BY133" s="2442"/>
      <c r="BZ133" s="2442"/>
      <c r="CA133" s="34"/>
      <c r="CC133" s="50"/>
      <c r="CD133" s="1461" t="e" cm="1">
        <f t="array" ca="1" aca="1" ref="CD133">_xlfn.LET(_xlpm.CheckBlank,SUM(PL!$AD133:$BN133)=0,IF(_xlpm.CheckBlank,"",SUM(_xlfn._xlws.FILTER(PL!$AD133:$BN133,(YEAR(PL!$AD$12:$BN$12)=PL!CD$12)*(array_timeline&lt;=PL!CD$11)))))</f>
        <v>#NAME?</v>
      </c>
      <c r="CE133" s="1461" t="e" cm="1">
        <f t="array" ca="1" aca="1" ref="CE133">_xlfn.LET(_xlpm.CheckBlank,SUM(PL!$AD133:$BN133)=0,IF(_xlpm.CheckBlank,"",SUM(_xlfn._xlws.FILTER(PL!$AD133:$BN133,(YEAR(PL!$AD$12:$BN$12)=PL!CE$12)*(array_timeline&lt;=PL!CE$11)))))</f>
        <v>#NAME?</v>
      </c>
      <c r="CF133" s="88"/>
      <c r="CG133" s="1461" t="e" cm="1">
        <f t="array" ca="1" aca="1" ref="CG133">_xlfn.LET(_xlpm.CheckBlank,SUM(PL!$AD133:$BN133)=0,IF(_xlpm.CheckBlank,"",SUM(_xlfn._xlws.FILTER(PL!$AD133:$BN133,(YEAR(PL!$AD$12:$BN$12)=PL!CG$12)*(array_timeline&lt;=PL!CG$11)))))</f>
        <v>#NAME?</v>
      </c>
      <c r="CH133" s="1461" t="e" cm="1">
        <f t="array" ca="1" aca="1" ref="CH133">_xlfn.LET(_xlpm.CheckBlank,SUM(PL!$AD133:$BN133)=0,IF(_xlpm.CheckBlank,"",SUM(_xlfn._xlws.FILTER(PL!$AD133:$BN133,(YEAR(PL!$AD$12:$BN$12)=PL!CH$12)*(array_timeline&lt;=PL!CH$11)))))</f>
        <v>#NAME?</v>
      </c>
      <c r="CI133" s="88"/>
      <c r="CJ133" s="1461" cm="1">
        <f t="array" ref="CJ133">_xlfn.LET(_xlpm.CheckBlank,SUM(PL!$AD133:$BN133)=0,IF(_xlpm.CheckBlank,"",SUM(_xlfn.TAKE(_xlfn.DROP(PL!$AD133:$BN133,,-DATEDIFF(PL!CJ$11,val_asOfDate,"M")),1,-12))))</f>
        <v>12</v>
      </c>
      <c r="CK133" s="1461" cm="1">
        <f t="array" ref="CK133">_xlfn.LET(_xlpm.CheckBlank,SUM(PL!$AD133:$BN133)=0,IF(_xlpm.CheckBlank,"",SUM(_xlfn.TAKE(_xlfn.DROP(PL!$AD133:$BN133,,-DATEDIFF(PL!CK$11,val_asOfDate,"M")),1,-12))))</f>
        <v>12</v>
      </c>
      <c r="CL133" s="88"/>
      <c r="CM133" s="3175">
        <v>1</v>
      </c>
      <c r="CN133" s="3175">
        <v>1</v>
      </c>
      <c r="CO133" s="1169"/>
      <c r="CP133" s="3175">
        <v>1</v>
      </c>
      <c r="CQ133" s="3175">
        <v>1</v>
      </c>
      <c r="CR133" s="34"/>
      <c r="CS133" s="2056"/>
      <c r="CT133" s="2085" t="str" cm="1">
        <f t="array" ref="CT133">IF(K133&lt;&gt;"Yes","",IF(OR(Y133="Select,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III"),"",IF(OR(Y133&lt;&gt;AB133,AND(LEN(B133)=0,NOT(OR(Y133="Select,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III")))),_xldudf_CX_PUSH(Y133,CX_ENTITY,C133,EOMONTH(val_asOfDate,0)),"")))</f>
        <v/>
      </c>
      <c r="CU133" s="2085" t="str" cm="1">
        <f t="array" ref="CU133">IF(K133&lt;&gt;"Yes","",IF(OR(Y133="Select,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III"),"",IF(OR(Y133&lt;&gt;AB133,AND(LEN(B133)=0,NOT(OR(Y133="Select,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III")))),_xldudf_CX_PUSH(Y133,CX_ENTITY,C133,EOMONTH(val_asOfDate,1)),"")))</f>
        <v/>
      </c>
      <c r="CV133" s="2085" t="str" cm="1">
        <f t="array" ref="CV133">IF(K133&lt;&gt;"Yes","",IF(OR(Y133="Select,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III"),"",IF(OR(Y133&lt;&gt;AB133,AND(LEN(B133)=0,NOT(OR(Y133="Select,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III")))),_xldudf_CX_PUSH(Y133,CX_ENTITY,C133,EOMONTH(val_asOfDate,2)),"")))</f>
        <v/>
      </c>
      <c r="CW133" s="2085" t="str" cm="1">
        <f t="array" ref="CW133">IF(K133&lt;&gt;"Yes","",IF(OR(Y133="Select,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III"),"",IF(OR(Y133&lt;&gt;AB133,AND(LEN(B133)=0,NOT(OR(Y133="Select,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III")))),_xldudf_CX_PUSH(Y133,CX_ENTITY,C133,EOMONTH(val_asOfDate,3)),"")))</f>
        <v/>
      </c>
      <c r="CX133" s="2443"/>
      <c r="CY133" s="2444" t="str" cm="1">
        <f t="array" ca="1" aca="1" ref="CY133">IFERROR(IF(CM133*fxVal_normal=_PL!CM133,"",IF(OR($CM133="",$CM133=0,NOT(ISNUMBER($CM133)),ISERROR($CM133),$B133=""),"",IF($I133=1,IFBLANK(_xldudf_CX_PUSH($CM133*fxVal_normal,CX_ENTITY,$B133,$CM$11,$CM$14,$CM$19,),""),IF($I133=2,IFBLANK(_xldudf_CX_PUSH($CM133,CX_ENTITY,$B133,$CM$11,$CM$14,$CM$19,),""),IF($I133=3,"",IFBLANK(_xldudf_CX_PUSH($CM133,CX_ENTITY,$B133,$CM$11,$CM$14,$CM$19,),"")))))),"")</f>
        <v/>
      </c>
      <c r="CZ133" s="2444" t="str" cm="1">
        <f t="array" ca="1" aca="1" ref="CZ133">IFERROR(IF(CN133*fxVal_normal=_PL!CN133,"",IF(OR($CN133="",$CN133=0,NOT(ISNUMBER($CN133)),ISERROR($CN133),$B133=""),"",IF($I133=1,IFBLANK(_xldudf_CX_PUSH($CN133*fxVal_normal,CX_ENTITY,$B133,$CN$11,$CN$14,$CN$19,),""),IF($I133=2,IFBLANK(_xldudf_CX_PUSH($CN133,CX_ENTITY,$B133,$CN$11,$CN$14,$CN$19,),""),IF($I133=3,"",IFBLANK(_xldudf_CX_PUSH($CN133,CX_ENTITY,$B133,$CN$11,$CN$14,$CN$19,),"")))))),"")</f>
        <v/>
      </c>
      <c r="DA133" s="2444" t="str" cm="1">
        <f t="array" ca="1" aca="1" ref="DA133">IFERROR(IF(CP133*fxVal_normal=_PL!CP133,"",IF(OR($CP133="",$CP133=0,NOT(ISNUMBER($CP133)),ISERROR($CP133),$B133=""),"",IF($I133=1,IFBLANK(_xldudf_CX_PUSH($CP133*fxVal_normal,CX_ENTITY,$B133,$CP$11,$CP$14,$CP$19,),""),IF($I133=2,IFBLANK(_xldudf_CX_PUSH($CP133,CX_ENTITY,$B133,$CP$11,$CP$14,$CP$19,),""),IF($I133=3,"",IFBLANK(_xldudf_CX_PUSH($CP133,CX_ENTITY,$B133,$CP$11,$CP$14,$CP$19,),"")))))),"")</f>
        <v/>
      </c>
      <c r="DB133" s="2444" t="str" cm="1">
        <f t="array" ca="1" aca="1" ref="DB133">IFERROR(IF(CQ133*fxVal_normal=_PL!CQ133,"",IF(OR($CQ133="",$CQ133=0,NOT(ISNUMBER($CQ133)),ISERROR($CQ133),$B133=""),"",IF($I133=1,IFBLANK(_xldudf_CX_PUSH($CQ133*fxVal_normal,CX_ENTITY,$B133,$CQ$11,$CQ$14,$CQ$19,),""),IF($I133=2,IFBLANK(_xldudf_CX_PUSH($CQ133,CX_ENTITY,$B133,$CQ$11,$CQ$14,$CQ$19,),""),IF($I133=3,"",IFBLANK(_xldudf_CX_PUSH($CQ133,CX_ENTITY,$B133,$CQ$11,$CQ$14,$CQ$19,),"")))))),"")</f>
        <v/>
      </c>
      <c r="DC133" s="2443"/>
      <c r="DD133" s="2445" t="str" cm="1">
        <f t="array" ca="1" aca="1" ref="DD133">IFERROR(IF(AD133*fxVal_normal=_PL!AD133,"",IF(OR(AD133="",NOT(ISNUMBER(AD133)),ISERROR(AD133),$B133=""),"",IF($I133=1,IFBLANK(_xldudf_CX_PUSH(AD133*fxVal_normal,CX_ENTITY,$B133,AD$11,AD$14,AD$131,),""),IF($I133=2,IFBLANK(_xldudf_CX_PUSH(AD133,CX_ENTITY,$B133,AD$11,AD$14,AD$131,),""),IF($I133=3,"",IFBLANK(_xldudf_CX_PUSH(AD133,CX_ENTITY,$B133,AD$11,AD$14,AD$131,),"")))))),"")</f>
        <v/>
      </c>
      <c r="DE133" s="2445" t="str" cm="1">
        <f t="array" ca="1" aca="1" ref="DE133">IFERROR(IF(AE133*fxVal_normal=_PL!AE133,"",IF(OR(AE133="",NOT(ISNUMBER(AE133)),ISERROR(AE133),$B133=""),"",IF($I133=1,IFBLANK(_xldudf_CX_PUSH(AE133*fxVal_normal,CX_ENTITY,$B133,AE$11,AE$14,AE$131,),""),IF($I133=2,IFBLANK(_xldudf_CX_PUSH(AE133,CX_ENTITY,$B133,AE$11,AE$14,AE$131,),""),IF($I133=3,"",IFBLANK(_xldudf_CX_PUSH(AE133,CX_ENTITY,$B133,AE$11,AE$14,AE$131,),"")))))),"")</f>
        <v/>
      </c>
      <c r="DF133" s="2445" t="str" cm="1">
        <f t="array" ca="1" aca="1" ref="DF133">IFERROR(IF(AF133*fxVal_normal=_PL!AF133,"",IF(OR(AF133="",NOT(ISNUMBER(AF133)),ISERROR(AF133),$B133=""),"",IF($I133=1,IFBLANK(_xldudf_CX_PUSH(AF133*fxVal_normal,CX_ENTITY,$B133,AF$11,AF$14,AF$131,),""),IF($I133=2,IFBLANK(_xldudf_CX_PUSH(AF133,CX_ENTITY,$B133,AF$11,AF$14,AF$131,),""),IF($I133=3,"",IFBLANK(_xldudf_CX_PUSH(AF133,CX_ENTITY,$B133,AF$11,AF$14,AF$131,),"")))))),"")</f>
        <v/>
      </c>
      <c r="DG133" s="2445" t="str" cm="1">
        <f t="array" ca="1" aca="1" ref="DG133">IFERROR(IF(AG133*fxVal_normal=_PL!AG133,"",IF(OR(AG133="",NOT(ISNUMBER(AG133)),ISERROR(AG133),$B133=""),"",IF($I133=1,IFBLANK(_xldudf_CX_PUSH(AG133*fxVal_normal,CX_ENTITY,$B133,AG$11,AG$14,AG$131,),""),IF($I133=2,IFBLANK(_xldudf_CX_PUSH(AG133,CX_ENTITY,$B133,AG$11,AG$14,AG$131,),""),IF($I133=3,"",IFBLANK(_xldudf_CX_PUSH(AG133,CX_ENTITY,$B133,AG$11,AG$14,AG$131,),"")))))),"")</f>
        <v/>
      </c>
      <c r="DH133" s="2445" t="str" cm="1">
        <f t="array" ca="1" aca="1" ref="DH133">IFERROR(IF(AH133*fxVal_normal=_PL!AH133,"",IF(OR(AH133="",NOT(ISNUMBER(AH133)),ISERROR(AH133),$B133=""),"",IF($I133=1,IFBLANK(_xldudf_CX_PUSH(AH133*fxVal_normal,CX_ENTITY,$B133,AH$11,AH$14,AH$131,),""),IF($I133=2,IFBLANK(_xldudf_CX_PUSH(AH133,CX_ENTITY,$B133,AH$11,AH$14,AH$131,),""),IF($I133=3,"",IFBLANK(_xldudf_CX_PUSH(AH133,CX_ENTITY,$B133,AH$11,AH$14,AH$131,),"")))))),"")</f>
        <v/>
      </c>
      <c r="DI133" s="2445" t="str" cm="1">
        <f t="array" ca="1" aca="1" ref="DI133">IFERROR(IF(AI133*fxVal_normal=_PL!AI133,"",IF(OR(AI133="",NOT(ISNUMBER(AI133)),ISERROR(AI133),$B133=""),"",IF($I133=1,IFBLANK(_xldudf_CX_PUSH(AI133*fxVal_normal,CX_ENTITY,$B133,AI$11,AI$14,AI$131,),""),IF($I133=2,IFBLANK(_xldudf_CX_PUSH(AI133,CX_ENTITY,$B133,AI$11,AI$14,AI$131,),""),IF($I133=3,"",IFBLANK(_xldudf_CX_PUSH(AI133,CX_ENTITY,$B133,AI$11,AI$14,AI$131,),"")))))),"")</f>
        <v/>
      </c>
      <c r="DJ133" s="2445" t="str" cm="1">
        <f t="array" ca="1" aca="1" ref="DJ133">IFERROR(IF(AJ133*fxVal_normal=_PL!AJ133,"",IF(OR(AJ133="",NOT(ISNUMBER(AJ133)),ISERROR(AJ133),$B133=""),"",IF($I133=1,IFBLANK(_xldudf_CX_PUSH(AJ133*fxVal_normal,CX_ENTITY,$B133,AJ$11,AJ$14,AJ$131,),""),IF($I133=2,IFBLANK(_xldudf_CX_PUSH(AJ133,CX_ENTITY,$B133,AJ$11,AJ$14,AJ$131,),""),IF($I133=3,"",IFBLANK(_xldudf_CX_PUSH(AJ133,CX_ENTITY,$B133,AJ$11,AJ$14,AJ$131,),"")))))),"")</f>
        <v/>
      </c>
      <c r="DK133" s="2445" t="str" cm="1">
        <f t="array" ca="1" aca="1" ref="DK133">IFERROR(IF(AK133*fxVal_normal=_PL!AK133,"",IF(OR(AK133="",NOT(ISNUMBER(AK133)),ISERROR(AK133),$B133=""),"",IF($I133=1,IFBLANK(_xldudf_CX_PUSH(AK133*fxVal_normal,CX_ENTITY,$B133,AK$11,AK$14,AK$131,),""),IF($I133=2,IFBLANK(_xldudf_CX_PUSH(AK133,CX_ENTITY,$B133,AK$11,AK$14,AK$131,),""),IF($I133=3,"",IFBLANK(_xldudf_CX_PUSH(AK133,CX_ENTITY,$B133,AK$11,AK$14,AK$131,),"")))))),"")</f>
        <v/>
      </c>
      <c r="DL133" s="2445" t="str" cm="1">
        <f t="array" ca="1" aca="1" ref="DL133">IFERROR(IF(AL133*fxVal_normal=_PL!AL133,"",IF(OR(AL133="",NOT(ISNUMBER(AL133)),ISERROR(AL133),$B133=""),"",IF($I133=1,IFBLANK(_xldudf_CX_PUSH(AL133*fxVal_normal,CX_ENTITY,$B133,AL$11,AL$14,AL$131,),""),IF($I133=2,IFBLANK(_xldudf_CX_PUSH(AL133,CX_ENTITY,$B133,AL$11,AL$14,AL$131,),""),IF($I133=3,"",IFBLANK(_xldudf_CX_PUSH(AL133,CX_ENTITY,$B133,AL$11,AL$14,AL$131,),"")))))),"")</f>
        <v/>
      </c>
      <c r="DM133" s="2445" t="str" cm="1">
        <f t="array" ca="1" aca="1" ref="DM133">IFERROR(IF(AM133*fxVal_normal=_PL!AM133,"",IF(OR(AM133="",NOT(ISNUMBER(AM133)),ISERROR(AM133),$B133=""),"",IF($I133=1,IFBLANK(_xldudf_CX_PUSH(AM133*fxVal_normal,CX_ENTITY,$B133,AM$11,AM$14,AM$131,),""),IF($I133=2,IFBLANK(_xldudf_CX_PUSH(AM133,CX_ENTITY,$B133,AM$11,AM$14,AM$131,),""),IF($I133=3,"",IFBLANK(_xldudf_CX_PUSH(AM133,CX_ENTITY,$B133,AM$11,AM$14,AM$131,),"")))))),"")</f>
        <v/>
      </c>
      <c r="DN133" s="2445" t="str" cm="1">
        <f t="array" ca="1" aca="1" ref="DN133">IFERROR(IF(AN133*fxVal_normal=_PL!AN133,"",IF(OR(AN133="",NOT(ISNUMBER(AN133)),ISERROR(AN133),$B133=""),"",IF($I133=1,IFBLANK(_xldudf_CX_PUSH(AN133*fxVal_normal,CX_ENTITY,$B133,AN$11,AN$14,AN$131,),""),IF($I133=2,IFBLANK(_xldudf_CX_PUSH(AN133,CX_ENTITY,$B133,AN$11,AN$14,AN$131,),""),IF($I133=3,"",IFBLANK(_xldudf_CX_PUSH(AN133,CX_ENTITY,$B133,AN$11,AN$14,AN$131,),"")))))),"")</f>
        <v/>
      </c>
      <c r="DO133" s="2445" t="str" cm="1">
        <f t="array" ca="1" aca="1" ref="DO133">IFERROR(IF(AO133*fxVal_normal=_PL!AO133,"",IF(OR(AO133="",NOT(ISNUMBER(AO133)),ISERROR(AO133),$B133=""),"",IF($I133=1,IFBLANK(_xldudf_CX_PUSH(AO133*fxVal_normal,CX_ENTITY,$B133,AO$11,AO$14,AO$131,),""),IF($I133=2,IFBLANK(_xldudf_CX_PUSH(AO133,CX_ENTITY,$B133,AO$11,AO$14,AO$131,),""),IF($I133=3,"",IFBLANK(_xldudf_CX_PUSH(AO133,CX_ENTITY,$B133,AO$11,AO$14,AO$131,),"")))))),"")</f>
        <v/>
      </c>
      <c r="DP133" s="2445" t="str" cm="1">
        <f t="array" ca="1" aca="1" ref="DP133">IFERROR(IF(AP133*fxVal_normal=_PL!AP133,"",IF(OR(AP133="",NOT(ISNUMBER(AP133)),ISERROR(AP133),$B133=""),"",IF($I133=1,IFBLANK(_xldudf_CX_PUSH(AP133*fxVal_normal,CX_ENTITY,$B133,AP$11,AP$14,AP$131,),""),IF($I133=2,IFBLANK(_xldudf_CX_PUSH(AP133,CX_ENTITY,$B133,AP$11,AP$14,AP$131,),""),IF($I133=3,"",IFBLANK(_xldudf_CX_PUSH(AP133,CX_ENTITY,$B133,AP$11,AP$14,AP$131,),"")))))),"")</f>
        <v/>
      </c>
      <c r="DQ133" s="2445" t="str" cm="1">
        <f t="array" ca="1" aca="1" ref="DQ133">IFERROR(IF(AQ133*fxVal_normal=_PL!AQ133,"",IF(OR(AQ133="",NOT(ISNUMBER(AQ133)),ISERROR(AQ133),$B133=""),"",IF($I133=1,IFBLANK(_xldudf_CX_PUSH(AQ133*fxVal_normal,CX_ENTITY,$B133,AQ$11,AQ$14,AQ$131,),""),IF($I133=2,IFBLANK(_xldudf_CX_PUSH(AQ133,CX_ENTITY,$B133,AQ$11,AQ$14,AQ$131,),""),IF($I133=3,"",IFBLANK(_xldudf_CX_PUSH(AQ133,CX_ENTITY,$B133,AQ$11,AQ$14,AQ$131,),"")))))),"")</f>
        <v/>
      </c>
      <c r="DR133" s="2445" t="str" cm="1">
        <f t="array" ca="1" aca="1" ref="DR133">IFERROR(IF(AR133*fxVal_normal=_PL!AR133,"",IF(OR(AR133="",NOT(ISNUMBER(AR133)),ISERROR(AR133),$B133=""),"",IF($I133=1,IFBLANK(_xldudf_CX_PUSH(AR133*fxVal_normal,CX_ENTITY,$B133,AR$11,AR$14,AR$131,),""),IF($I133=2,IFBLANK(_xldudf_CX_PUSH(AR133,CX_ENTITY,$B133,AR$11,AR$14,AR$131,),""),IF($I133=3,"",IFBLANK(_xldudf_CX_PUSH(AR133,CX_ENTITY,$B133,AR$11,AR$14,AR$131,),"")))))),"")</f>
        <v/>
      </c>
      <c r="DS133" s="2445" t="str" cm="1">
        <f t="array" ca="1" aca="1" ref="DS133">IFERROR(IF(AS133*fxVal_normal=_PL!AS133,"",IF(OR(AS133="",NOT(ISNUMBER(AS133)),ISERROR(AS133),$B133=""),"",IF($I133=1,IFBLANK(_xldudf_CX_PUSH(AS133*fxVal_normal,CX_ENTITY,$B133,AS$11,AS$14,AS$131,),""),IF($I133=2,IFBLANK(_xldudf_CX_PUSH(AS133,CX_ENTITY,$B133,AS$11,AS$14,AS$131,),""),IF($I133=3,"",IFBLANK(_xldudf_CX_PUSH(AS133,CX_ENTITY,$B133,AS$11,AS$14,AS$131,),"")))))),"")</f>
        <v/>
      </c>
      <c r="DT133" s="2445" t="str" cm="1">
        <f t="array" ca="1" aca="1" ref="DT133">IFERROR(IF(AT133*fxVal_normal=_PL!AT133,"",IF(OR(AT133="",NOT(ISNUMBER(AT133)),ISERROR(AT133),$B133=""),"",IF($I133=1,IFBLANK(_xldudf_CX_PUSH(AT133*fxVal_normal,CX_ENTITY,$B133,AT$11,AT$14,AT$131,),""),IF($I133=2,IFBLANK(_xldudf_CX_PUSH(AT133,CX_ENTITY,$B133,AT$11,AT$14,AT$131,),""),IF($I133=3,"",IFBLANK(_xldudf_CX_PUSH(AT133,CX_ENTITY,$B133,AT$11,AT$14,AT$131,),"")))))),"")</f>
        <v/>
      </c>
      <c r="DU133" s="2445" t="str" cm="1">
        <f t="array" ca="1" aca="1" ref="DU133">IFERROR(IF(AU133*fxVal_normal=_PL!AU133,"",IF(OR(AU133="",NOT(ISNUMBER(AU133)),ISERROR(AU133),$B133=""),"",IF($I133=1,IFBLANK(_xldudf_CX_PUSH(AU133*fxVal_normal,CX_ENTITY,$B133,AU$11,AU$14,AU$131,),""),IF($I133=2,IFBLANK(_xldudf_CX_PUSH(AU133,CX_ENTITY,$B133,AU$11,AU$14,AU$131,),""),IF($I133=3,"",IFBLANK(_xldudf_CX_PUSH(AU133,CX_ENTITY,$B133,AU$11,AU$14,AU$131,),"")))))),"")</f>
        <v/>
      </c>
      <c r="DV133" s="2445" t="str" cm="1">
        <f t="array" ca="1" aca="1" ref="DV133">IFERROR(IF(AV133*fxVal_normal=_PL!AV133,"",IF(OR(AV133="",NOT(ISNUMBER(AV133)),ISERROR(AV133),$B133=""),"",IF($I133=1,IFBLANK(_xldudf_CX_PUSH(AV133*fxVal_normal,CX_ENTITY,$B133,AV$11,AV$14,AV$131,),""),IF($I133=2,IFBLANK(_xldudf_CX_PUSH(AV133,CX_ENTITY,$B133,AV$11,AV$14,AV$131,),""),IF($I133=3,"",IFBLANK(_xldudf_CX_PUSH(AV133,CX_ENTITY,$B133,AV$11,AV$14,AV$131,),"")))))),"")</f>
        <v/>
      </c>
      <c r="DW133" s="2445" t="str" cm="1">
        <f t="array" ca="1" aca="1" ref="DW133">IFERROR(IF(AW133*fxVal_normal=_PL!AW133,"",IF(OR(AW133="",NOT(ISNUMBER(AW133)),ISERROR(AW133),$B133=""),"",IF($I133=1,IFBLANK(_xldudf_CX_PUSH(AW133*fxVal_normal,CX_ENTITY,$B133,AW$11,AW$14,AW$131,),""),IF($I133=2,IFBLANK(_xldudf_CX_PUSH(AW133,CX_ENTITY,$B133,AW$11,AW$14,AW$131,),""),IF($I133=3,"",IFBLANK(_xldudf_CX_PUSH(AW133,CX_ENTITY,$B133,AW$11,AW$14,AW$131,),"")))))),"")</f>
        <v/>
      </c>
      <c r="DX133" s="2445" t="str" cm="1">
        <f t="array" ca="1" aca="1" ref="DX133">IFERROR(IF(AX133*fxVal_normal=_PL!AX133,"",IF(OR(AX133="",NOT(ISNUMBER(AX133)),ISERROR(AX133),$B133=""),"",IF($I133=1,IFBLANK(_xldudf_CX_PUSH(AX133*fxVal_normal,CX_ENTITY,$B133,AX$11,AX$14,AX$131,),""),IF($I133=2,IFBLANK(_xldudf_CX_PUSH(AX133,CX_ENTITY,$B133,AX$11,AX$14,AX$131,),""),IF($I133=3,"",IFBLANK(_xldudf_CX_PUSH(AX133,CX_ENTITY,$B133,AX$11,AX$14,AX$131,),"")))))),"")</f>
        <v/>
      </c>
      <c r="DY133" s="2445" t="str" cm="1">
        <f t="array" ca="1" aca="1" ref="DY133">IFERROR(IF(AY133*fxVal_normal=_PL!AY133,"",IF(OR(AY133="",NOT(ISNUMBER(AY133)),ISERROR(AY133),$B133=""),"",IF($I133=1,IFBLANK(_xldudf_CX_PUSH(AY133*fxVal_normal,CX_ENTITY,$B133,AY$11,AY$14,AY$131,),""),IF($I133=2,IFBLANK(_xldudf_CX_PUSH(AY133,CX_ENTITY,$B133,AY$11,AY$14,AY$131,),""),IF($I133=3,"",IFBLANK(_xldudf_CX_PUSH(AY133,CX_ENTITY,$B133,AY$11,AY$14,AY$131,),"")))))),"")</f>
        <v/>
      </c>
      <c r="DZ133" s="2445" t="str" cm="1">
        <f t="array" ca="1" aca="1" ref="DZ133">IFERROR(IF(AZ133*fxVal_normal=_PL!AZ133,"",IF(OR(AZ133="",NOT(ISNUMBER(AZ133)),ISERROR(AZ133),$B133=""),"",IF($I133=1,IFBLANK(_xldudf_CX_PUSH(AZ133*fxVal_normal,CX_ENTITY,$B133,AZ$11,AZ$14,AZ$131,),""),IF($I133=2,IFBLANK(_xldudf_CX_PUSH(AZ133,CX_ENTITY,$B133,AZ$11,AZ$14,AZ$131,),""),IF($I133=3,"",IFBLANK(_xldudf_CX_PUSH(AZ133,CX_ENTITY,$B133,AZ$11,AZ$14,AZ$131,),"")))))),"")</f>
        <v/>
      </c>
      <c r="EA133" s="2445" t="str" cm="1">
        <f t="array" ca="1" aca="1" ref="EA133">IFERROR(IF(BA133*fxVal_normal=_PL!BA133,"",IF(OR(BA133="",NOT(ISNUMBER(BA133)),ISERROR(BA133),$B133=""),"",IF($I133=1,IFBLANK(_xldudf_CX_PUSH(BA133*fxVal_normal,CX_ENTITY,$B133,BA$11,BA$14,BA$131,),""),IF($I133=2,IFBLANK(_xldudf_CX_PUSH(BA133,CX_ENTITY,$B133,BA$11,BA$14,BA$131,),""),IF($I133=3,"",IFBLANK(_xldudf_CX_PUSH(BA133,CX_ENTITY,$B133,BA$11,BA$14,BA$131,),"")))))),"")</f>
        <v/>
      </c>
      <c r="EB133" s="2445" t="str" cm="1">
        <f t="array" ca="1" aca="1" ref="EB133">IFERROR(IF(BB133*fxVal_normal=_PL!BB133,"",IF(OR(BB133="",NOT(ISNUMBER(BB133)),ISERROR(BB133),$B133=""),"",IF($I133=1,IFBLANK(_xldudf_CX_PUSH(BB133*fxVal_normal,CX_ENTITY,$B133,BB$11,BB$14,BB$131,),""),IF($I133=2,IFBLANK(_xldudf_CX_PUSH(BB133,CX_ENTITY,$B133,BB$11,BB$14,BB$131,),""),IF($I133=3,"",IFBLANK(_xldudf_CX_PUSH(BB133,CX_ENTITY,$B133,BB$11,BB$14,BB$131,),"")))))),"")</f>
        <v/>
      </c>
      <c r="EC133" s="2445" t="str" cm="1">
        <f t="array" ca="1" aca="1" ref="EC133">IFERROR(IF(BC133*fxVal_normal=_PL!BC133,"",IF(OR(BC133="",NOT(ISNUMBER(BC133)),ISERROR(BC133),$B133=""),"",IF($I133=1,IFBLANK(_xldudf_CX_PUSH(BC133*fxVal_normal,CX_ENTITY,$B133,BC$11,BC$14,BC$131,),""),IF($I133=2,IFBLANK(_xldudf_CX_PUSH(BC133,CX_ENTITY,$B133,BC$11,BC$14,BC$131,),""),IF($I133=3,"",IFBLANK(_xldudf_CX_PUSH(BC133,CX_ENTITY,$B133,BC$11,BC$14,BC$131,),"")))))),"")</f>
        <v/>
      </c>
      <c r="ED133" s="2445" t="str" cm="1">
        <f t="array" ca="1" aca="1" ref="ED133">IFERROR(IF(BD133*fxVal_normal=_PL!BD133,"",IF(OR(BD133="",NOT(ISNUMBER(BD133)),ISERROR(BD133),$B133=""),"",IF($I133=1,IFBLANK(_xldudf_CX_PUSH(BD133*fxVal_normal,CX_ENTITY,$B133,BD$11,BD$14,BD$131,),""),IF($I133=2,IFBLANK(_xldudf_CX_PUSH(BD133,CX_ENTITY,$B133,BD$11,BD$14,BD$131,),""),IF($I133=3,"",IFBLANK(_xldudf_CX_PUSH(BD133,CX_ENTITY,$B133,BD$11,BD$14,BD$131,),"")))))),"")</f>
        <v/>
      </c>
      <c r="EE133" s="2445" t="str" cm="1">
        <f t="array" ca="1" aca="1" ref="EE133">IFERROR(IF(BE133*fxVal_normal=_PL!BE133,"",IF(OR(BE133="",NOT(ISNUMBER(BE133)),ISERROR(BE133),$B133=""),"",IF($I133=1,IFBLANK(_xldudf_CX_PUSH(BE133*fxVal_normal,CX_ENTITY,$B133,BE$11,BE$14,BE$131,),""),IF($I133=2,IFBLANK(_xldudf_CX_PUSH(BE133,CX_ENTITY,$B133,BE$11,BE$14,BE$131,),""),IF($I133=3,"",IFBLANK(_xldudf_CX_PUSH(BE133,CX_ENTITY,$B133,BE$11,BE$14,BE$131,),"")))))),"")</f>
        <v/>
      </c>
      <c r="EF133" s="2445" t="str" cm="1">
        <f t="array" ca="1" aca="1" ref="EF133">IFERROR(IF(BF133*fxVal_normal=_PL!BF133,"",IF(OR(BF133="",NOT(ISNUMBER(BF133)),ISERROR(BF133),$B133=""),"",IF($I133=1,IFBLANK(_xldudf_CX_PUSH(BF133*fxVal_normal,CX_ENTITY,$B133,BF$11,BF$14,BF$131,),""),IF($I133=2,IFBLANK(_xldudf_CX_PUSH(BF133,CX_ENTITY,$B133,BF$11,BF$14,BF$131,),""),IF($I133=3,"",IFBLANK(_xldudf_CX_PUSH(BF133,CX_ENTITY,$B133,BF$11,BF$14,BF$131,),"")))))),"")</f>
        <v/>
      </c>
      <c r="EG133" s="2445" t="str" cm="1">
        <f t="array" ca="1" aca="1" ref="EG133">IFERROR(IF(BG133*fxVal_normal=_PL!BG133,"",IF(OR(BG133="",NOT(ISNUMBER(BG133)),ISERROR(BG133),$B133=""),"",IF($I133=1,IFBLANK(_xldudf_CX_PUSH(BG133*fxVal_normal,CX_ENTITY,$B133,BG$11,BG$14,BG$131,),""),IF($I133=2,IFBLANK(_xldudf_CX_PUSH(BG133,CX_ENTITY,$B133,BG$11,BG$14,BG$131,),""),IF($I133=3,"",IFBLANK(_xldudf_CX_PUSH(BG133,CX_ENTITY,$B133,BG$11,BG$14,BG$131,),"")))))),"")</f>
        <v/>
      </c>
      <c r="EH133" s="2445" t="str" cm="1">
        <f t="array" ca="1" aca="1" ref="EH133">IFERROR(IF(BH133*fxVal_normal=_PL!BH133,"",IF(OR(BH133="",NOT(ISNUMBER(BH133)),ISERROR(BH133),$B133=""),"",IF($I133=1,IFBLANK(_xldudf_CX_PUSH(BH133*fxVal_normal,CX_ENTITY,$B133,BH$11,BH$14,BH$131,),""),IF($I133=2,IFBLANK(_xldudf_CX_PUSH(BH133,CX_ENTITY,$B133,BH$11,BH$14,BH$131,),""),IF($I133=3,"",IFBLANK(_xldudf_CX_PUSH(BH133,CX_ENTITY,$B133,BH$11,BH$14,BH$131,),"")))))),"")</f>
        <v/>
      </c>
      <c r="EI133" s="2445" t="str" cm="1">
        <f t="array" ca="1" aca="1" ref="EI133">IFERROR(IF(BI133*fxVal_normal=_PL!BI133,"",IF(OR(BI133="",NOT(ISNUMBER(BI133)),ISERROR(BI133),$B133=""),"",IF($I133=1,IFBLANK(_xldudf_CX_PUSH(BI133*fxVal_normal,CX_ENTITY,$B133,BI$11,BI$14,BI$131,),""),IF($I133=2,IFBLANK(_xldudf_CX_PUSH(BI133,CX_ENTITY,$B133,BI$11,BI$14,BI$131,),""),IF($I133=3,"",IFBLANK(_xldudf_CX_PUSH(BI133,CX_ENTITY,$B133,BI$11,BI$14,BI$131,),"")))))),"")</f>
        <v/>
      </c>
      <c r="EJ133" s="2445" t="str" cm="1">
        <f t="array" ca="1" aca="1" ref="EJ133">IFERROR(IF(BJ133*fxVal_normal=_PL!BJ133,"",IF(OR(BJ133="",NOT(ISNUMBER(BJ133)),ISERROR(BJ133),$B133=""),"",IF($I133=1,IFBLANK(_xldudf_CX_PUSH(BJ133*fxVal_normal,CX_ENTITY,$B133,BJ$11,BJ$14,BJ$131,),""),IF($I133=2,IFBLANK(_xldudf_CX_PUSH(BJ133,CX_ENTITY,$B133,BJ$11,BJ$14,BJ$131,),""),IF($I133=3,"",IFBLANK(_xldudf_CX_PUSH(BJ133,CX_ENTITY,$B133,BJ$11,BJ$14,BJ$131,),"")))))),"")</f>
        <v/>
      </c>
      <c r="EK133" s="2445" t="str" cm="1">
        <f t="array" ca="1" aca="1" ref="EK133">IFERROR(IF(BK133*fxVal_normal=_PL!BK133,"",IF(OR(BK133="",NOT(ISNUMBER(BK133)),ISERROR(BK133),$B133=""),"",IF($I133=1,IFBLANK(_xldudf_CX_PUSH(BK133*fxVal_normal,CX_ENTITY,$B133,BK$11,BK$14,BK$131,),""),IF($I133=2,IFBLANK(_xldudf_CX_PUSH(BK133,CX_ENTITY,$B133,BK$11,BK$14,BK$131,),""),IF($I133=3,"",IFBLANK(_xldudf_CX_PUSH(BK133,CX_ENTITY,$B133,BK$11,BK$14,BK$131,),"")))))),"")</f>
        <v/>
      </c>
      <c r="EL133" s="2445" t="str" cm="1">
        <f t="array" ca="1" aca="1" ref="EL133">IFERROR(IF(BL133*fxVal_normal=_PL!BL133,"",IF(OR(BL133="",NOT(ISNUMBER(BL133)),ISERROR(BL133),$B133=""),"",IF($I133=1,IFBLANK(_xldudf_CX_PUSH(BL133*fxVal_normal,CX_ENTITY,$B133,BL$11,BL$14,BL$131,),""),IF($I133=2,IFBLANK(_xldudf_CX_PUSH(BL133,CX_ENTITY,$B133,BL$11,BL$14,BL$131,),""),IF($I133=3,"",IFBLANK(_xldudf_CX_PUSH(BL133,CX_ENTITY,$B133,BL$11,BL$14,BL$131,),"")))))),"")</f>
        <v/>
      </c>
      <c r="EM133" s="2445" t="str" cm="1">
        <f t="array" ca="1" aca="1" ref="EM133">IFERROR(IF(BM133*fxVal_normal=_PL!BM133,"",IF(OR(BM133="",NOT(ISNUMBER(BM133)),ISERROR(BM133),$B133=""),"",IF($I133=1,IFBLANK(_xldudf_CX_PUSH(BM133*fxVal_normal,CX_ENTITY,$B133,BM$11,BM$14,BM$131,),""),IF($I133=2,IFBLANK(_xldudf_CX_PUSH(BM133,CX_ENTITY,$B133,BM$11,BM$14,BM$131,),""),IF($I133=3,"",IFBLANK(_xldudf_CX_PUSH(BM133,CX_ENTITY,$B133,BM$11,BM$14,BM$131,),"")))))),"")</f>
        <v/>
      </c>
      <c r="EN133" s="2445" t="str" cm="1">
        <f t="array" ca="1" aca="1" ref="EN133">IFERROR(IF(BN133*fxVal_normal=_PL!BN133,"",IF(OR(BN133="",NOT(ISNUMBER(BN133)),ISERROR(BN133),$B133=""),"",IF($I133=1,IFBLANK(_xldudf_CX_PUSH(BN133*fxVal_normal,CX_ENTITY,$B133,BN$11,BN$14,BN$131,),""),IF($I133=2,IFBLANK(_xldudf_CX_PUSH(BN133,CX_ENTITY,$B133,BN$11,BN$14,BN$131,),""),IF($I133=3,"",IFBLANK(_xldudf_CX_PUSH(BN133,CX_ENTITY,$B133,BN$11,BN$14,BN$131,),"")))))),"")</f>
        <v/>
      </c>
    </row>
    <row r="134" spans="1:144" ht="21" customHeight="1">
      <c r="A134" s="1625"/>
      <c r="B134" s="2501" t="str">
        <f>_xlfn.LET(_xlpm.IsNotAttrDynamic,D134="",_xlpm.Attr,_PL!F134,_xlpm.NotInUse,Y134=D134,_xlpm.RESULT,IF(_xlpm.IsNotAttrDynamic,_xlpm.Attr,IF(_xlpm.NotInUse,"",Y134)),IF(_xlpm.RESULT="","",_xlpm.RESULT))</f>
        <v>o/w Organic Revenue</v>
      </c>
      <c r="C134" s="2501" t="str" cm="1">
        <f t="array" ref="C134">IFBLANK(_PL!C134,"")</f>
        <v/>
      </c>
      <c r="D134" s="1548"/>
      <c r="E134" s="2440" t="e" cm="1">
        <f t="array" ca="1" aca="1" ref="E13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134:$CQ134,Z134)</f>
        <v>#NAME?</v>
      </c>
      <c r="F134" s="578"/>
      <c r="G134" s="578"/>
      <c r="H134" s="3282">
        <v>1</v>
      </c>
      <c r="I134" s="3282">
        <v>1</v>
      </c>
      <c r="J134" s="3280" cm="1">
        <f t="array" ref="J134">IFBLANK(Z134,"")</f>
        <v>1</v>
      </c>
      <c r="K134" s="578" t="str">
        <f t="shared" si="47"/>
        <v>Yes</v>
      </c>
      <c r="L134" s="37"/>
      <c r="N134" s="158"/>
      <c r="O134" s="101"/>
      <c r="P134" s="52"/>
      <c r="Q134" s="2"/>
      <c r="R134" s="101"/>
      <c r="S134" s="101"/>
      <c r="T134" s="101"/>
      <c r="U134" s="39"/>
      <c r="V134" s="37"/>
      <c r="W134" s="91" t="str">
        <f>W132</f>
        <v>Actual</v>
      </c>
      <c r="X134" s="3313">
        <f>_PL!X134</f>
        <v>1</v>
      </c>
      <c r="Y134" s="509" t="str">
        <f>_PL!Y134</f>
        <v>of which Organic Top Line</v>
      </c>
      <c r="Z134" s="3291">
        <f>_PL!Z134</f>
        <v>1</v>
      </c>
      <c r="AA134" s="97"/>
      <c r="AB134" s="33" t="str">
        <f>_PL!AB134</f>
        <v>of which Organic Top Line</v>
      </c>
      <c r="AC134" s="2548" t="e" vm="5" cm="1">
        <f t="array" ca="1" aca="1" ref="AC134">_xlfn.LET(_xlpm._termname,$AB134,_xlpm._iconname,"find",_xlpm._icon,fx_getIcon(_xlpm._iconname),_xlpm._location,_xlfn.XLOOKUP(LOWER(_xlpm._termname),LOWER(tbl_acctDef[Term]),tbl_acctDef[Term]),_xlpm._hyperlink,HYPERLINK("#"&amp;CELL("address",_xlpm._location),_xlpm._icon),IFERROR(_xlpm._hyperlink,""))</f>
        <v>#VALUE!</v>
      </c>
      <c r="AD134" s="3177">
        <v>1</v>
      </c>
      <c r="AE134" s="3177">
        <v>1</v>
      </c>
      <c r="AF134" s="3177">
        <v>1</v>
      </c>
      <c r="AG134" s="3177">
        <v>1</v>
      </c>
      <c r="AH134" s="3177">
        <v>1</v>
      </c>
      <c r="AI134" s="3177">
        <v>1</v>
      </c>
      <c r="AJ134" s="3177">
        <v>1</v>
      </c>
      <c r="AK134" s="3177">
        <v>1</v>
      </c>
      <c r="AL134" s="3177">
        <v>1</v>
      </c>
      <c r="AM134" s="3177">
        <v>1</v>
      </c>
      <c r="AN134" s="3177">
        <v>1</v>
      </c>
      <c r="AO134" s="3177">
        <v>1</v>
      </c>
      <c r="AP134" s="3177">
        <v>1</v>
      </c>
      <c r="AQ134" s="3177">
        <v>1</v>
      </c>
      <c r="AR134" s="3177">
        <v>1</v>
      </c>
      <c r="AS134" s="3177">
        <v>1</v>
      </c>
      <c r="AT134" s="3177">
        <v>1</v>
      </c>
      <c r="AU134" s="3177">
        <v>1</v>
      </c>
      <c r="AV134" s="3177">
        <v>1</v>
      </c>
      <c r="AW134" s="3177">
        <v>1</v>
      </c>
      <c r="AX134" s="3177">
        <v>1</v>
      </c>
      <c r="AY134" s="3177">
        <v>1</v>
      </c>
      <c r="AZ134" s="3177">
        <v>1</v>
      </c>
      <c r="BA134" s="3177">
        <v>1</v>
      </c>
      <c r="BB134" s="3177">
        <v>1</v>
      </c>
      <c r="BC134" s="3177">
        <v>1</v>
      </c>
      <c r="BD134" s="3177">
        <v>1</v>
      </c>
      <c r="BE134" s="3177">
        <v>1</v>
      </c>
      <c r="BF134" s="3177">
        <v>1</v>
      </c>
      <c r="BG134" s="3177">
        <v>1</v>
      </c>
      <c r="BH134" s="3177">
        <v>1</v>
      </c>
      <c r="BI134" s="3177">
        <v>1</v>
      </c>
      <c r="BJ134" s="3177">
        <v>1</v>
      </c>
      <c r="BK134" s="3177">
        <v>1</v>
      </c>
      <c r="BL134" s="3177">
        <v>1</v>
      </c>
      <c r="BM134" s="3177">
        <v>1</v>
      </c>
      <c r="BN134" s="3177">
        <v>1</v>
      </c>
      <c r="BO134" s="2442"/>
      <c r="BP134" s="2442"/>
      <c r="BQ134" s="2442"/>
      <c r="BR134" s="2442"/>
      <c r="BS134" s="2442"/>
      <c r="BT134" s="2442"/>
      <c r="BU134" s="2442"/>
      <c r="BV134" s="2442"/>
      <c r="BW134" s="2442"/>
      <c r="BX134" s="2442"/>
      <c r="BY134" s="2442"/>
      <c r="BZ134" s="2442"/>
      <c r="CA134" s="34"/>
      <c r="CC134" s="50"/>
      <c r="CD134" s="1461" t="e" cm="1">
        <f t="array" ca="1" aca="1" ref="CD134">_xlfn.LET(_xlpm.CheckBlank,SUM(PL!$AD134:$BN134)=0,IF(_xlpm.CheckBlank,"",SUM(_xlfn._xlws.FILTER(PL!$AD134:$BN134,(YEAR(PL!$AD$12:$BN$12)=PL!CD$12)*(array_timeline&lt;=PL!CD$11)))))</f>
        <v>#NAME?</v>
      </c>
      <c r="CE134" s="1461" t="e" cm="1">
        <f t="array" ca="1" aca="1" ref="CE134">_xlfn.LET(_xlpm.CheckBlank,SUM(PL!$AD134:$BN134)=0,IF(_xlpm.CheckBlank,"",SUM(_xlfn._xlws.FILTER(PL!$AD134:$BN134,(YEAR(PL!$AD$12:$BN$12)=PL!CE$12)*(array_timeline&lt;=PL!CE$11)))))</f>
        <v>#NAME?</v>
      </c>
      <c r="CF134" s="88"/>
      <c r="CG134" s="1461" t="e" cm="1">
        <f t="array" ca="1" aca="1" ref="CG134">_xlfn.LET(_xlpm.CheckBlank,SUM(PL!$AD134:$BN134)=0,IF(_xlpm.CheckBlank,"",SUM(_xlfn._xlws.FILTER(PL!$AD134:$BN134,(YEAR(PL!$AD$12:$BN$12)=PL!CG$12)*(array_timeline&lt;=PL!CG$11)))))</f>
        <v>#NAME?</v>
      </c>
      <c r="CH134" s="1461" t="e" cm="1">
        <f t="array" ca="1" aca="1" ref="CH134">_xlfn.LET(_xlpm.CheckBlank,SUM(PL!$AD134:$BN134)=0,IF(_xlpm.CheckBlank,"",SUM(_xlfn._xlws.FILTER(PL!$AD134:$BN134,(YEAR(PL!$AD$12:$BN$12)=PL!CH$12)*(array_timeline&lt;=PL!CH$11)))))</f>
        <v>#NAME?</v>
      </c>
      <c r="CI134" s="88"/>
      <c r="CJ134" s="1461" cm="1">
        <f t="array" ref="CJ134">_xlfn.LET(_xlpm.CheckBlank,SUM(PL!$AD134:$BN134)=0,IF(_xlpm.CheckBlank,"",SUM(_xlfn.TAKE(_xlfn.DROP(PL!$AD134:$BN134,,-DATEDIFF(PL!CJ$11,val_asOfDate,"M")),1,-12))))</f>
        <v>12</v>
      </c>
      <c r="CK134" s="1461" cm="1">
        <f t="array" ref="CK134">_xlfn.LET(_xlpm.CheckBlank,SUM(PL!$AD134:$BN134)=0,IF(_xlpm.CheckBlank,"",SUM(_xlfn.TAKE(_xlfn.DROP(PL!$AD134:$BN134,,-DATEDIFF(PL!CK$11,val_asOfDate,"M")),1,-12))))</f>
        <v>12</v>
      </c>
      <c r="CL134" s="88"/>
      <c r="CM134" s="3177">
        <v>1</v>
      </c>
      <c r="CN134" s="3177">
        <v>1</v>
      </c>
      <c r="CO134" s="1169"/>
      <c r="CP134" s="3177">
        <v>1</v>
      </c>
      <c r="CQ134" s="3177">
        <v>1</v>
      </c>
      <c r="CR134" s="34"/>
      <c r="CS134" s="2056"/>
      <c r="CT134" s="2085" t="str" cm="1">
        <f t="array" ref="CT134">IF(K134&lt;&gt;"Yes","",IF(OR(Y134="Select,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III"),"",IF(OR(Y134&lt;&gt;AB134,AND(LEN(B134)=0,NOT(OR(Y134="Select,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III")))),_xldudf_CX_PUSH(Y134,CX_ENTITY,C134,EOMONTH(val_asOfDate,0)),"")))</f>
        <v/>
      </c>
      <c r="CU134" s="2085" t="str" cm="1">
        <f t="array" ref="CU134">IF(K134&lt;&gt;"Yes","",IF(OR(Y134="Select,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III"),"",IF(OR(Y134&lt;&gt;AB134,AND(LEN(B134)=0,NOT(OR(Y134="Select,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III")))),_xldudf_CX_PUSH(Y134,CX_ENTITY,C134,EOMONTH(val_asOfDate,1)),"")))</f>
        <v/>
      </c>
      <c r="CV134" s="2085" t="str" cm="1">
        <f t="array" ref="CV134">IF(K134&lt;&gt;"Yes","",IF(OR(Y134="Select,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III"),"",IF(OR(Y134&lt;&gt;AB134,AND(LEN(B134)=0,NOT(OR(Y134="Select,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III")))),_xldudf_CX_PUSH(Y134,CX_ENTITY,C134,EOMONTH(val_asOfDate,2)),"")))</f>
        <v/>
      </c>
      <c r="CW134" s="2085" t="str" cm="1">
        <f t="array" ref="CW134">IF(K134&lt;&gt;"Yes","",IF(OR(Y134="Select,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III"),"",IF(OR(Y134&lt;&gt;AB134,AND(LEN(B134)=0,NOT(OR(Y134="Select,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III")))),_xldudf_CX_PUSH(Y134,CX_ENTITY,C134,EOMONTH(val_asOfDate,3)),"")))</f>
        <v/>
      </c>
      <c r="CX134" s="2443"/>
      <c r="CY134" s="2444" t="str" cm="1">
        <f t="array" ca="1" aca="1" ref="CY134">IFERROR(IF(CM134*fxVal_normal=_PL!CM134,"",IF(OR($CM134="",$CM134=0,NOT(ISNUMBER($CM134)),ISERROR($CM134),$B134=""),"",IF($I134=1,IFBLANK(_xldudf_CX_PUSH($CM134*fxVal_normal,CX_ENTITY,$B134,$CM$11,$CM$14,$CM$19,),""),IF($I134=2,IFBLANK(_xldudf_CX_PUSH($CM134,CX_ENTITY,$B134,$CM$11,$CM$14,$CM$19,),""),IF($I134=3,"",IFBLANK(_xldudf_CX_PUSH($CM134,CX_ENTITY,$B134,$CM$11,$CM$14,$CM$19,),"")))))),"")</f>
        <v/>
      </c>
      <c r="CZ134" s="2444" t="str" cm="1">
        <f t="array" ca="1" aca="1" ref="CZ134">IFERROR(IF(CN134*fxVal_normal=_PL!CN134,"",IF(OR($CN134="",$CN134=0,NOT(ISNUMBER($CN134)),ISERROR($CN134),$B134=""),"",IF($I134=1,IFBLANK(_xldudf_CX_PUSH($CN134*fxVal_normal,CX_ENTITY,$B134,$CN$11,$CN$14,$CN$19,),""),IF($I134=2,IFBLANK(_xldudf_CX_PUSH($CN134,CX_ENTITY,$B134,$CN$11,$CN$14,$CN$19,),""),IF($I134=3,"",IFBLANK(_xldudf_CX_PUSH($CN134,CX_ENTITY,$B134,$CN$11,$CN$14,$CN$19,),"")))))),"")</f>
        <v/>
      </c>
      <c r="DA134" s="2444" t="str" cm="1">
        <f t="array" ca="1" aca="1" ref="DA134">IFERROR(IF(CP134*fxVal_normal=_PL!CP134,"",IF(OR($CP134="",$CP134=0,NOT(ISNUMBER($CP134)),ISERROR($CP134),$B134=""),"",IF($I134=1,IFBLANK(_xldudf_CX_PUSH($CP134*fxVal_normal,CX_ENTITY,$B134,$CP$11,$CP$14,$CP$19,),""),IF($I134=2,IFBLANK(_xldudf_CX_PUSH($CP134,CX_ENTITY,$B134,$CP$11,$CP$14,$CP$19,),""),IF($I134=3,"",IFBLANK(_xldudf_CX_PUSH($CP134,CX_ENTITY,$B134,$CP$11,$CP$14,$CP$19,),"")))))),"")</f>
        <v/>
      </c>
      <c r="DB134" s="2444" t="str" cm="1">
        <f t="array" ca="1" aca="1" ref="DB134">IFERROR(IF(CQ134*fxVal_normal=_PL!CQ134,"",IF(OR($CQ134="",$CQ134=0,NOT(ISNUMBER($CQ134)),ISERROR($CQ134),$B134=""),"",IF($I134=1,IFBLANK(_xldudf_CX_PUSH($CQ134*fxVal_normal,CX_ENTITY,$B134,$CQ$11,$CQ$14,$CQ$19,),""),IF($I134=2,IFBLANK(_xldudf_CX_PUSH($CQ134,CX_ENTITY,$B134,$CQ$11,$CQ$14,$CQ$19,),""),IF($I134=3,"",IFBLANK(_xldudf_CX_PUSH($CQ134,CX_ENTITY,$B134,$CQ$11,$CQ$14,$CQ$19,),"")))))),"")</f>
        <v/>
      </c>
      <c r="DC134" s="2443"/>
      <c r="DD134" s="2445" t="str" cm="1">
        <f t="array" ca="1" aca="1" ref="DD134">IFERROR(IF(AD134*fxVal_normal=_PL!AD134,"",IF(OR(AD134="",NOT(ISNUMBER(AD134)),ISERROR(AD134),$B134=""),"",IF($I134=1,IFBLANK(_xldudf_CX_PUSH(AD134*fxVal_normal,CX_ENTITY,$B134,AD$11,AD$14,AD$131,),""),IF($I134=2,IFBLANK(_xldudf_CX_PUSH(AD134,CX_ENTITY,$B134,AD$11,AD$14,AD$131,),""),IF($I134=3,"",IFBLANK(_xldudf_CX_PUSH(AD134,CX_ENTITY,$B134,AD$11,AD$14,AD$131,),"")))))),"")</f>
        <v/>
      </c>
      <c r="DE134" s="2445" t="str" cm="1">
        <f t="array" ca="1" aca="1" ref="DE134">IFERROR(IF(AE134*fxVal_normal=_PL!AE134,"",IF(OR(AE134="",NOT(ISNUMBER(AE134)),ISERROR(AE134),$B134=""),"",IF($I134=1,IFBLANK(_xldudf_CX_PUSH(AE134*fxVal_normal,CX_ENTITY,$B134,AE$11,AE$14,AE$131,),""),IF($I134=2,IFBLANK(_xldudf_CX_PUSH(AE134,CX_ENTITY,$B134,AE$11,AE$14,AE$131,),""),IF($I134=3,"",IFBLANK(_xldudf_CX_PUSH(AE134,CX_ENTITY,$B134,AE$11,AE$14,AE$131,),"")))))),"")</f>
        <v/>
      </c>
      <c r="DF134" s="2445" t="str" cm="1">
        <f t="array" ca="1" aca="1" ref="DF134">IFERROR(IF(AF134*fxVal_normal=_PL!AF134,"",IF(OR(AF134="",NOT(ISNUMBER(AF134)),ISERROR(AF134),$B134=""),"",IF($I134=1,IFBLANK(_xldudf_CX_PUSH(AF134*fxVal_normal,CX_ENTITY,$B134,AF$11,AF$14,AF$131,),""),IF($I134=2,IFBLANK(_xldudf_CX_PUSH(AF134,CX_ENTITY,$B134,AF$11,AF$14,AF$131,),""),IF($I134=3,"",IFBLANK(_xldudf_CX_PUSH(AF134,CX_ENTITY,$B134,AF$11,AF$14,AF$131,),"")))))),"")</f>
        <v/>
      </c>
      <c r="DG134" s="2445" t="str" cm="1">
        <f t="array" ca="1" aca="1" ref="DG134">IFERROR(IF(AG134*fxVal_normal=_PL!AG134,"",IF(OR(AG134="",NOT(ISNUMBER(AG134)),ISERROR(AG134),$B134=""),"",IF($I134=1,IFBLANK(_xldudf_CX_PUSH(AG134*fxVal_normal,CX_ENTITY,$B134,AG$11,AG$14,AG$131,),""),IF($I134=2,IFBLANK(_xldudf_CX_PUSH(AG134,CX_ENTITY,$B134,AG$11,AG$14,AG$131,),""),IF($I134=3,"",IFBLANK(_xldudf_CX_PUSH(AG134,CX_ENTITY,$B134,AG$11,AG$14,AG$131,),"")))))),"")</f>
        <v/>
      </c>
      <c r="DH134" s="2445" t="str" cm="1">
        <f t="array" ca="1" aca="1" ref="DH134">IFERROR(IF(AH134*fxVal_normal=_PL!AH134,"",IF(OR(AH134="",NOT(ISNUMBER(AH134)),ISERROR(AH134),$B134=""),"",IF($I134=1,IFBLANK(_xldudf_CX_PUSH(AH134*fxVal_normal,CX_ENTITY,$B134,AH$11,AH$14,AH$131,),""),IF($I134=2,IFBLANK(_xldudf_CX_PUSH(AH134,CX_ENTITY,$B134,AH$11,AH$14,AH$131,),""),IF($I134=3,"",IFBLANK(_xldudf_CX_PUSH(AH134,CX_ENTITY,$B134,AH$11,AH$14,AH$131,),"")))))),"")</f>
        <v/>
      </c>
      <c r="DI134" s="2445" t="str" cm="1">
        <f t="array" ca="1" aca="1" ref="DI134">IFERROR(IF(AI134*fxVal_normal=_PL!AI134,"",IF(OR(AI134="",NOT(ISNUMBER(AI134)),ISERROR(AI134),$B134=""),"",IF($I134=1,IFBLANK(_xldudf_CX_PUSH(AI134*fxVal_normal,CX_ENTITY,$B134,AI$11,AI$14,AI$131,),""),IF($I134=2,IFBLANK(_xldudf_CX_PUSH(AI134,CX_ENTITY,$B134,AI$11,AI$14,AI$131,),""),IF($I134=3,"",IFBLANK(_xldudf_CX_PUSH(AI134,CX_ENTITY,$B134,AI$11,AI$14,AI$131,),"")))))),"")</f>
        <v/>
      </c>
      <c r="DJ134" s="2445" t="str" cm="1">
        <f t="array" ca="1" aca="1" ref="DJ134">IFERROR(IF(AJ134*fxVal_normal=_PL!AJ134,"",IF(OR(AJ134="",NOT(ISNUMBER(AJ134)),ISERROR(AJ134),$B134=""),"",IF($I134=1,IFBLANK(_xldudf_CX_PUSH(AJ134*fxVal_normal,CX_ENTITY,$B134,AJ$11,AJ$14,AJ$131,),""),IF($I134=2,IFBLANK(_xldudf_CX_PUSH(AJ134,CX_ENTITY,$B134,AJ$11,AJ$14,AJ$131,),""),IF($I134=3,"",IFBLANK(_xldudf_CX_PUSH(AJ134,CX_ENTITY,$B134,AJ$11,AJ$14,AJ$131,),"")))))),"")</f>
        <v/>
      </c>
      <c r="DK134" s="2445" t="str" cm="1">
        <f t="array" ca="1" aca="1" ref="DK134">IFERROR(IF(AK134*fxVal_normal=_PL!AK134,"",IF(OR(AK134="",NOT(ISNUMBER(AK134)),ISERROR(AK134),$B134=""),"",IF($I134=1,IFBLANK(_xldudf_CX_PUSH(AK134*fxVal_normal,CX_ENTITY,$B134,AK$11,AK$14,AK$131,),""),IF($I134=2,IFBLANK(_xldudf_CX_PUSH(AK134,CX_ENTITY,$B134,AK$11,AK$14,AK$131,),""),IF($I134=3,"",IFBLANK(_xldudf_CX_PUSH(AK134,CX_ENTITY,$B134,AK$11,AK$14,AK$131,),"")))))),"")</f>
        <v/>
      </c>
      <c r="DL134" s="2445" t="str" cm="1">
        <f t="array" ca="1" aca="1" ref="DL134">IFERROR(IF(AL134*fxVal_normal=_PL!AL134,"",IF(OR(AL134="",NOT(ISNUMBER(AL134)),ISERROR(AL134),$B134=""),"",IF($I134=1,IFBLANK(_xldudf_CX_PUSH(AL134*fxVal_normal,CX_ENTITY,$B134,AL$11,AL$14,AL$131,),""),IF($I134=2,IFBLANK(_xldudf_CX_PUSH(AL134,CX_ENTITY,$B134,AL$11,AL$14,AL$131,),""),IF($I134=3,"",IFBLANK(_xldudf_CX_PUSH(AL134,CX_ENTITY,$B134,AL$11,AL$14,AL$131,),"")))))),"")</f>
        <v/>
      </c>
      <c r="DM134" s="2445" t="str" cm="1">
        <f t="array" ca="1" aca="1" ref="DM134">IFERROR(IF(AM134*fxVal_normal=_PL!AM134,"",IF(OR(AM134="",NOT(ISNUMBER(AM134)),ISERROR(AM134),$B134=""),"",IF($I134=1,IFBLANK(_xldudf_CX_PUSH(AM134*fxVal_normal,CX_ENTITY,$B134,AM$11,AM$14,AM$131,),""),IF($I134=2,IFBLANK(_xldudf_CX_PUSH(AM134,CX_ENTITY,$B134,AM$11,AM$14,AM$131,),""),IF($I134=3,"",IFBLANK(_xldudf_CX_PUSH(AM134,CX_ENTITY,$B134,AM$11,AM$14,AM$131,),"")))))),"")</f>
        <v/>
      </c>
      <c r="DN134" s="2445" t="str" cm="1">
        <f t="array" ca="1" aca="1" ref="DN134">IFERROR(IF(AN134*fxVal_normal=_PL!AN134,"",IF(OR(AN134="",NOT(ISNUMBER(AN134)),ISERROR(AN134),$B134=""),"",IF($I134=1,IFBLANK(_xldudf_CX_PUSH(AN134*fxVal_normal,CX_ENTITY,$B134,AN$11,AN$14,AN$131,),""),IF($I134=2,IFBLANK(_xldudf_CX_PUSH(AN134,CX_ENTITY,$B134,AN$11,AN$14,AN$131,),""),IF($I134=3,"",IFBLANK(_xldudf_CX_PUSH(AN134,CX_ENTITY,$B134,AN$11,AN$14,AN$131,),"")))))),"")</f>
        <v/>
      </c>
      <c r="DO134" s="2445" t="str" cm="1">
        <f t="array" ca="1" aca="1" ref="DO134">IFERROR(IF(AO134*fxVal_normal=_PL!AO134,"",IF(OR(AO134="",NOT(ISNUMBER(AO134)),ISERROR(AO134),$B134=""),"",IF($I134=1,IFBLANK(_xldudf_CX_PUSH(AO134*fxVal_normal,CX_ENTITY,$B134,AO$11,AO$14,AO$131,),""),IF($I134=2,IFBLANK(_xldudf_CX_PUSH(AO134,CX_ENTITY,$B134,AO$11,AO$14,AO$131,),""),IF($I134=3,"",IFBLANK(_xldudf_CX_PUSH(AO134,CX_ENTITY,$B134,AO$11,AO$14,AO$131,),"")))))),"")</f>
        <v/>
      </c>
      <c r="DP134" s="2445" t="str" cm="1">
        <f t="array" ca="1" aca="1" ref="DP134">IFERROR(IF(AP134*fxVal_normal=_PL!AP134,"",IF(OR(AP134="",NOT(ISNUMBER(AP134)),ISERROR(AP134),$B134=""),"",IF($I134=1,IFBLANK(_xldudf_CX_PUSH(AP134*fxVal_normal,CX_ENTITY,$B134,AP$11,AP$14,AP$131,),""),IF($I134=2,IFBLANK(_xldudf_CX_PUSH(AP134,CX_ENTITY,$B134,AP$11,AP$14,AP$131,),""),IF($I134=3,"",IFBLANK(_xldudf_CX_PUSH(AP134,CX_ENTITY,$B134,AP$11,AP$14,AP$131,),"")))))),"")</f>
        <v/>
      </c>
      <c r="DQ134" s="2445" t="str" cm="1">
        <f t="array" ca="1" aca="1" ref="DQ134">IFERROR(IF(AQ134*fxVal_normal=_PL!AQ134,"",IF(OR(AQ134="",NOT(ISNUMBER(AQ134)),ISERROR(AQ134),$B134=""),"",IF($I134=1,IFBLANK(_xldudf_CX_PUSH(AQ134*fxVal_normal,CX_ENTITY,$B134,AQ$11,AQ$14,AQ$131,),""),IF($I134=2,IFBLANK(_xldudf_CX_PUSH(AQ134,CX_ENTITY,$B134,AQ$11,AQ$14,AQ$131,),""),IF($I134=3,"",IFBLANK(_xldudf_CX_PUSH(AQ134,CX_ENTITY,$B134,AQ$11,AQ$14,AQ$131,),"")))))),"")</f>
        <v/>
      </c>
      <c r="DR134" s="2445" t="str" cm="1">
        <f t="array" ca="1" aca="1" ref="DR134">IFERROR(IF(AR134*fxVal_normal=_PL!AR134,"",IF(OR(AR134="",NOT(ISNUMBER(AR134)),ISERROR(AR134),$B134=""),"",IF($I134=1,IFBLANK(_xldudf_CX_PUSH(AR134*fxVal_normal,CX_ENTITY,$B134,AR$11,AR$14,AR$131,),""),IF($I134=2,IFBLANK(_xldudf_CX_PUSH(AR134,CX_ENTITY,$B134,AR$11,AR$14,AR$131,),""),IF($I134=3,"",IFBLANK(_xldudf_CX_PUSH(AR134,CX_ENTITY,$B134,AR$11,AR$14,AR$131,),"")))))),"")</f>
        <v/>
      </c>
      <c r="DS134" s="2445" t="str" cm="1">
        <f t="array" ca="1" aca="1" ref="DS134">IFERROR(IF(AS134*fxVal_normal=_PL!AS134,"",IF(OR(AS134="",NOT(ISNUMBER(AS134)),ISERROR(AS134),$B134=""),"",IF($I134=1,IFBLANK(_xldudf_CX_PUSH(AS134*fxVal_normal,CX_ENTITY,$B134,AS$11,AS$14,AS$131,),""),IF($I134=2,IFBLANK(_xldudf_CX_PUSH(AS134,CX_ENTITY,$B134,AS$11,AS$14,AS$131,),""),IF($I134=3,"",IFBLANK(_xldudf_CX_PUSH(AS134,CX_ENTITY,$B134,AS$11,AS$14,AS$131,),"")))))),"")</f>
        <v/>
      </c>
      <c r="DT134" s="2445" t="str" cm="1">
        <f t="array" ca="1" aca="1" ref="DT134">IFERROR(IF(AT134*fxVal_normal=_PL!AT134,"",IF(OR(AT134="",NOT(ISNUMBER(AT134)),ISERROR(AT134),$B134=""),"",IF($I134=1,IFBLANK(_xldudf_CX_PUSH(AT134*fxVal_normal,CX_ENTITY,$B134,AT$11,AT$14,AT$131,),""),IF($I134=2,IFBLANK(_xldudf_CX_PUSH(AT134,CX_ENTITY,$B134,AT$11,AT$14,AT$131,),""),IF($I134=3,"",IFBLANK(_xldudf_CX_PUSH(AT134,CX_ENTITY,$B134,AT$11,AT$14,AT$131,),"")))))),"")</f>
        <v/>
      </c>
      <c r="DU134" s="2445" t="str" cm="1">
        <f t="array" ca="1" aca="1" ref="DU134">IFERROR(IF(AU134*fxVal_normal=_PL!AU134,"",IF(OR(AU134="",NOT(ISNUMBER(AU134)),ISERROR(AU134),$B134=""),"",IF($I134=1,IFBLANK(_xldudf_CX_PUSH(AU134*fxVal_normal,CX_ENTITY,$B134,AU$11,AU$14,AU$131,),""),IF($I134=2,IFBLANK(_xldudf_CX_PUSH(AU134,CX_ENTITY,$B134,AU$11,AU$14,AU$131,),""),IF($I134=3,"",IFBLANK(_xldudf_CX_PUSH(AU134,CX_ENTITY,$B134,AU$11,AU$14,AU$131,),"")))))),"")</f>
        <v/>
      </c>
      <c r="DV134" s="2445" t="str" cm="1">
        <f t="array" ca="1" aca="1" ref="DV134">IFERROR(IF(AV134*fxVal_normal=_PL!AV134,"",IF(OR(AV134="",NOT(ISNUMBER(AV134)),ISERROR(AV134),$B134=""),"",IF($I134=1,IFBLANK(_xldudf_CX_PUSH(AV134*fxVal_normal,CX_ENTITY,$B134,AV$11,AV$14,AV$131,),""),IF($I134=2,IFBLANK(_xldudf_CX_PUSH(AV134,CX_ENTITY,$B134,AV$11,AV$14,AV$131,),""),IF($I134=3,"",IFBLANK(_xldudf_CX_PUSH(AV134,CX_ENTITY,$B134,AV$11,AV$14,AV$131,),"")))))),"")</f>
        <v/>
      </c>
      <c r="DW134" s="2445" t="str" cm="1">
        <f t="array" ca="1" aca="1" ref="DW134">IFERROR(IF(AW134*fxVal_normal=_PL!AW134,"",IF(OR(AW134="",NOT(ISNUMBER(AW134)),ISERROR(AW134),$B134=""),"",IF($I134=1,IFBLANK(_xldudf_CX_PUSH(AW134*fxVal_normal,CX_ENTITY,$B134,AW$11,AW$14,AW$131,),""),IF($I134=2,IFBLANK(_xldudf_CX_PUSH(AW134,CX_ENTITY,$B134,AW$11,AW$14,AW$131,),""),IF($I134=3,"",IFBLANK(_xldudf_CX_PUSH(AW134,CX_ENTITY,$B134,AW$11,AW$14,AW$131,),"")))))),"")</f>
        <v/>
      </c>
      <c r="DX134" s="2445" t="str" cm="1">
        <f t="array" ca="1" aca="1" ref="DX134">IFERROR(IF(AX134*fxVal_normal=_PL!AX134,"",IF(OR(AX134="",NOT(ISNUMBER(AX134)),ISERROR(AX134),$B134=""),"",IF($I134=1,IFBLANK(_xldudf_CX_PUSH(AX134*fxVal_normal,CX_ENTITY,$B134,AX$11,AX$14,AX$131,),""),IF($I134=2,IFBLANK(_xldudf_CX_PUSH(AX134,CX_ENTITY,$B134,AX$11,AX$14,AX$131,),""),IF($I134=3,"",IFBLANK(_xldudf_CX_PUSH(AX134,CX_ENTITY,$B134,AX$11,AX$14,AX$131,),"")))))),"")</f>
        <v/>
      </c>
      <c r="DY134" s="2445" t="str" cm="1">
        <f t="array" ca="1" aca="1" ref="DY134">IFERROR(IF(AY134*fxVal_normal=_PL!AY134,"",IF(OR(AY134="",NOT(ISNUMBER(AY134)),ISERROR(AY134),$B134=""),"",IF($I134=1,IFBLANK(_xldudf_CX_PUSH(AY134*fxVal_normal,CX_ENTITY,$B134,AY$11,AY$14,AY$131,),""),IF($I134=2,IFBLANK(_xldudf_CX_PUSH(AY134,CX_ENTITY,$B134,AY$11,AY$14,AY$131,),""),IF($I134=3,"",IFBLANK(_xldudf_CX_PUSH(AY134,CX_ENTITY,$B134,AY$11,AY$14,AY$131,),"")))))),"")</f>
        <v/>
      </c>
      <c r="DZ134" s="2445" t="str" cm="1">
        <f t="array" ca="1" aca="1" ref="DZ134">IFERROR(IF(AZ134*fxVal_normal=_PL!AZ134,"",IF(OR(AZ134="",NOT(ISNUMBER(AZ134)),ISERROR(AZ134),$B134=""),"",IF($I134=1,IFBLANK(_xldudf_CX_PUSH(AZ134*fxVal_normal,CX_ENTITY,$B134,AZ$11,AZ$14,AZ$131,),""),IF($I134=2,IFBLANK(_xldudf_CX_PUSH(AZ134,CX_ENTITY,$B134,AZ$11,AZ$14,AZ$131,),""),IF($I134=3,"",IFBLANK(_xldudf_CX_PUSH(AZ134,CX_ENTITY,$B134,AZ$11,AZ$14,AZ$131,),"")))))),"")</f>
        <v/>
      </c>
      <c r="EA134" s="2445" t="str" cm="1">
        <f t="array" ca="1" aca="1" ref="EA134">IFERROR(IF(BA134*fxVal_normal=_PL!BA134,"",IF(OR(BA134="",NOT(ISNUMBER(BA134)),ISERROR(BA134),$B134=""),"",IF($I134=1,IFBLANK(_xldudf_CX_PUSH(BA134*fxVal_normal,CX_ENTITY,$B134,BA$11,BA$14,BA$131,),""),IF($I134=2,IFBLANK(_xldudf_CX_PUSH(BA134,CX_ENTITY,$B134,BA$11,BA$14,BA$131,),""),IF($I134=3,"",IFBLANK(_xldudf_CX_PUSH(BA134,CX_ENTITY,$B134,BA$11,BA$14,BA$131,),"")))))),"")</f>
        <v/>
      </c>
      <c r="EB134" s="2445" t="str" cm="1">
        <f t="array" ca="1" aca="1" ref="EB134">IFERROR(IF(BB134*fxVal_normal=_PL!BB134,"",IF(OR(BB134="",NOT(ISNUMBER(BB134)),ISERROR(BB134),$B134=""),"",IF($I134=1,IFBLANK(_xldudf_CX_PUSH(BB134*fxVal_normal,CX_ENTITY,$B134,BB$11,BB$14,BB$131,),""),IF($I134=2,IFBLANK(_xldudf_CX_PUSH(BB134,CX_ENTITY,$B134,BB$11,BB$14,BB$131,),""),IF($I134=3,"",IFBLANK(_xldudf_CX_PUSH(BB134,CX_ENTITY,$B134,BB$11,BB$14,BB$131,),"")))))),"")</f>
        <v/>
      </c>
      <c r="EC134" s="2445" t="str" cm="1">
        <f t="array" ca="1" aca="1" ref="EC134">IFERROR(IF(BC134*fxVal_normal=_PL!BC134,"",IF(OR(BC134="",NOT(ISNUMBER(BC134)),ISERROR(BC134),$B134=""),"",IF($I134=1,IFBLANK(_xldudf_CX_PUSH(BC134*fxVal_normal,CX_ENTITY,$B134,BC$11,BC$14,BC$131,),""),IF($I134=2,IFBLANK(_xldudf_CX_PUSH(BC134,CX_ENTITY,$B134,BC$11,BC$14,BC$131,),""),IF($I134=3,"",IFBLANK(_xldudf_CX_PUSH(BC134,CX_ENTITY,$B134,BC$11,BC$14,BC$131,),"")))))),"")</f>
        <v/>
      </c>
      <c r="ED134" s="2445" t="str" cm="1">
        <f t="array" ca="1" aca="1" ref="ED134">IFERROR(IF(BD134*fxVal_normal=_PL!BD134,"",IF(OR(BD134="",NOT(ISNUMBER(BD134)),ISERROR(BD134),$B134=""),"",IF($I134=1,IFBLANK(_xldudf_CX_PUSH(BD134*fxVal_normal,CX_ENTITY,$B134,BD$11,BD$14,BD$131,),""),IF($I134=2,IFBLANK(_xldudf_CX_PUSH(BD134,CX_ENTITY,$B134,BD$11,BD$14,BD$131,),""),IF($I134=3,"",IFBLANK(_xldudf_CX_PUSH(BD134,CX_ENTITY,$B134,BD$11,BD$14,BD$131,),"")))))),"")</f>
        <v/>
      </c>
      <c r="EE134" s="2445" t="str" cm="1">
        <f t="array" ca="1" aca="1" ref="EE134">IFERROR(IF(BE134*fxVal_normal=_PL!BE134,"",IF(OR(BE134="",NOT(ISNUMBER(BE134)),ISERROR(BE134),$B134=""),"",IF($I134=1,IFBLANK(_xldudf_CX_PUSH(BE134*fxVal_normal,CX_ENTITY,$B134,BE$11,BE$14,BE$131,),""),IF($I134=2,IFBLANK(_xldudf_CX_PUSH(BE134,CX_ENTITY,$B134,BE$11,BE$14,BE$131,),""),IF($I134=3,"",IFBLANK(_xldudf_CX_PUSH(BE134,CX_ENTITY,$B134,BE$11,BE$14,BE$131,),"")))))),"")</f>
        <v/>
      </c>
      <c r="EF134" s="2445" t="str" cm="1">
        <f t="array" ca="1" aca="1" ref="EF134">IFERROR(IF(BF134*fxVal_normal=_PL!BF134,"",IF(OR(BF134="",NOT(ISNUMBER(BF134)),ISERROR(BF134),$B134=""),"",IF($I134=1,IFBLANK(_xldudf_CX_PUSH(BF134*fxVal_normal,CX_ENTITY,$B134,BF$11,BF$14,BF$131,),""),IF($I134=2,IFBLANK(_xldudf_CX_PUSH(BF134,CX_ENTITY,$B134,BF$11,BF$14,BF$131,),""),IF($I134=3,"",IFBLANK(_xldudf_CX_PUSH(BF134,CX_ENTITY,$B134,BF$11,BF$14,BF$131,),"")))))),"")</f>
        <v/>
      </c>
      <c r="EG134" s="2445" t="str" cm="1">
        <f t="array" ca="1" aca="1" ref="EG134">IFERROR(IF(BG134*fxVal_normal=_PL!BG134,"",IF(OR(BG134="",NOT(ISNUMBER(BG134)),ISERROR(BG134),$B134=""),"",IF($I134=1,IFBLANK(_xldudf_CX_PUSH(BG134*fxVal_normal,CX_ENTITY,$B134,BG$11,BG$14,BG$131,),""),IF($I134=2,IFBLANK(_xldudf_CX_PUSH(BG134,CX_ENTITY,$B134,BG$11,BG$14,BG$131,),""),IF($I134=3,"",IFBLANK(_xldudf_CX_PUSH(BG134,CX_ENTITY,$B134,BG$11,BG$14,BG$131,),"")))))),"")</f>
        <v/>
      </c>
      <c r="EH134" s="2445" t="str" cm="1">
        <f t="array" ca="1" aca="1" ref="EH134">IFERROR(IF(BH134*fxVal_normal=_PL!BH134,"",IF(OR(BH134="",NOT(ISNUMBER(BH134)),ISERROR(BH134),$B134=""),"",IF($I134=1,IFBLANK(_xldudf_CX_PUSH(BH134*fxVal_normal,CX_ENTITY,$B134,BH$11,BH$14,BH$131,),""),IF($I134=2,IFBLANK(_xldudf_CX_PUSH(BH134,CX_ENTITY,$B134,BH$11,BH$14,BH$131,),""),IF($I134=3,"",IFBLANK(_xldudf_CX_PUSH(BH134,CX_ENTITY,$B134,BH$11,BH$14,BH$131,),"")))))),"")</f>
        <v/>
      </c>
      <c r="EI134" s="2445" t="str" cm="1">
        <f t="array" ca="1" aca="1" ref="EI134">IFERROR(IF(BI134*fxVal_normal=_PL!BI134,"",IF(OR(BI134="",NOT(ISNUMBER(BI134)),ISERROR(BI134),$B134=""),"",IF($I134=1,IFBLANK(_xldudf_CX_PUSH(BI134*fxVal_normal,CX_ENTITY,$B134,BI$11,BI$14,BI$131,),""),IF($I134=2,IFBLANK(_xldudf_CX_PUSH(BI134,CX_ENTITY,$B134,BI$11,BI$14,BI$131,),""),IF($I134=3,"",IFBLANK(_xldudf_CX_PUSH(BI134,CX_ENTITY,$B134,BI$11,BI$14,BI$131,),"")))))),"")</f>
        <v/>
      </c>
      <c r="EJ134" s="2445" t="str" cm="1">
        <f t="array" ca="1" aca="1" ref="EJ134">IFERROR(IF(BJ134*fxVal_normal=_PL!BJ134,"",IF(OR(BJ134="",NOT(ISNUMBER(BJ134)),ISERROR(BJ134),$B134=""),"",IF($I134=1,IFBLANK(_xldudf_CX_PUSH(BJ134*fxVal_normal,CX_ENTITY,$B134,BJ$11,BJ$14,BJ$131,),""),IF($I134=2,IFBLANK(_xldudf_CX_PUSH(BJ134,CX_ENTITY,$B134,BJ$11,BJ$14,BJ$131,),""),IF($I134=3,"",IFBLANK(_xldudf_CX_PUSH(BJ134,CX_ENTITY,$B134,BJ$11,BJ$14,BJ$131,),"")))))),"")</f>
        <v/>
      </c>
      <c r="EK134" s="2445" t="str" cm="1">
        <f t="array" ca="1" aca="1" ref="EK134">IFERROR(IF(BK134*fxVal_normal=_PL!BK134,"",IF(OR(BK134="",NOT(ISNUMBER(BK134)),ISERROR(BK134),$B134=""),"",IF($I134=1,IFBLANK(_xldudf_CX_PUSH(BK134*fxVal_normal,CX_ENTITY,$B134,BK$11,BK$14,BK$131,),""),IF($I134=2,IFBLANK(_xldudf_CX_PUSH(BK134,CX_ENTITY,$B134,BK$11,BK$14,BK$131,),""),IF($I134=3,"",IFBLANK(_xldudf_CX_PUSH(BK134,CX_ENTITY,$B134,BK$11,BK$14,BK$131,),"")))))),"")</f>
        <v/>
      </c>
      <c r="EL134" s="2445" t="str" cm="1">
        <f t="array" ca="1" aca="1" ref="EL134">IFERROR(IF(BL134*fxVal_normal=_PL!BL134,"",IF(OR(BL134="",NOT(ISNUMBER(BL134)),ISERROR(BL134),$B134=""),"",IF($I134=1,IFBLANK(_xldudf_CX_PUSH(BL134*fxVal_normal,CX_ENTITY,$B134,BL$11,BL$14,BL$131,),""),IF($I134=2,IFBLANK(_xldudf_CX_PUSH(BL134,CX_ENTITY,$B134,BL$11,BL$14,BL$131,),""),IF($I134=3,"",IFBLANK(_xldudf_CX_PUSH(BL134,CX_ENTITY,$B134,BL$11,BL$14,BL$131,),"")))))),"")</f>
        <v/>
      </c>
      <c r="EM134" s="2445" t="str" cm="1">
        <f t="array" ca="1" aca="1" ref="EM134">IFERROR(IF(BM134*fxVal_normal=_PL!BM134,"",IF(OR(BM134="",NOT(ISNUMBER(BM134)),ISERROR(BM134),$B134=""),"",IF($I134=1,IFBLANK(_xldudf_CX_PUSH(BM134*fxVal_normal,CX_ENTITY,$B134,BM$11,BM$14,BM$131,),""),IF($I134=2,IFBLANK(_xldudf_CX_PUSH(BM134,CX_ENTITY,$B134,BM$11,BM$14,BM$131,),""),IF($I134=3,"",IFBLANK(_xldudf_CX_PUSH(BM134,CX_ENTITY,$B134,BM$11,BM$14,BM$131,),"")))))),"")</f>
        <v/>
      </c>
      <c r="EN134" s="2445" t="str" cm="1">
        <f t="array" ca="1" aca="1" ref="EN134">IFERROR(IF(BN134*fxVal_normal=_PL!BN134,"",IF(OR(BN134="",NOT(ISNUMBER(BN134)),ISERROR(BN134),$B134=""),"",IF($I134=1,IFBLANK(_xldudf_CX_PUSH(BN134*fxVal_normal,CX_ENTITY,$B134,BN$11,BN$14,BN$131,),""),IF($I134=2,IFBLANK(_xldudf_CX_PUSH(BN134,CX_ENTITY,$B134,BN$11,BN$14,BN$131,),""),IF($I134=3,"",IFBLANK(_xldudf_CX_PUSH(BN134,CX_ENTITY,$B134,BN$11,BN$14,BN$131,),"")))))),"")</f>
        <v/>
      </c>
    </row>
    <row r="135" spans="1:144" ht="21" customHeight="1">
      <c r="A135" s="1625"/>
      <c r="B135" s="2501" t="str">
        <f>_xlfn.LET(_xlpm.IsNotAttrDynamic,D135="",_xlpm.Attr,_PL!F135,_xlpm.NotInUse,Y135=D135,_xlpm.RESULT,IF(_xlpm.IsNotAttrDynamic,_xlpm.Attr,IF(_xlpm.NotInUse,"",Y135)),IF(_xlpm.RESULT="","",_xlpm.RESULT))</f>
        <v>o/w Organic Volume Growth</v>
      </c>
      <c r="C135" s="2501" t="str" cm="1">
        <f t="array" ref="C135">IFBLANK(_PL!C135,"")</f>
        <v/>
      </c>
      <c r="D135" s="1548"/>
      <c r="E135" s="2440" t="e" cm="1">
        <f t="array" ca="1" aca="1" ref="E13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135:$CQ135,Z135)</f>
        <v>#NAME?</v>
      </c>
      <c r="F135" s="578"/>
      <c r="G135" s="578"/>
      <c r="H135" s="3282">
        <v>1</v>
      </c>
      <c r="I135" s="3282">
        <v>2</v>
      </c>
      <c r="J135" s="3280" cm="1">
        <f t="array" ref="J135">IFBLANK(Z135,"")</f>
        <v>1</v>
      </c>
      <c r="K135" s="578" t="str">
        <f t="shared" si="47"/>
        <v>Yes</v>
      </c>
      <c r="L135" s="37"/>
      <c r="N135" s="158"/>
      <c r="O135" s="101"/>
      <c r="P135" s="52"/>
      <c r="Q135" s="2"/>
      <c r="R135" s="101"/>
      <c r="S135" s="101"/>
      <c r="T135" s="101"/>
      <c r="U135" s="39"/>
      <c r="V135" s="37"/>
      <c r="W135" s="91" t="str">
        <f>W132</f>
        <v>Actual</v>
      </c>
      <c r="X135" s="1959"/>
      <c r="Y135" s="509" t="str">
        <f>_PL!Y135</f>
        <v>of which Organic Top Line  Volume Growth</v>
      </c>
      <c r="Z135" s="3291">
        <f>_PL!Z135</f>
        <v>1</v>
      </c>
      <c r="AA135" s="97"/>
      <c r="AB135" s="33" t="str">
        <f>_PL!AB135</f>
        <v>of which Organic Top Line  Volume Growth</v>
      </c>
      <c r="AC135" s="2548" t="e" vm="5" cm="1">
        <f t="array" ca="1" aca="1" ref="AC135">_xlfn.LET(_xlpm._termname,$AB135,_xlpm._iconname,"find",_xlpm._icon,fx_getIcon(_xlpm._iconname),_xlpm._location,_xlfn.XLOOKUP(LOWER(_xlpm._termname),LOWER(tbl_acctDef[Term]),tbl_acctDef[Term]),_xlpm._hyperlink,HYPERLINK("#"&amp;CELL("address",_xlpm._location),_xlpm._icon),IFERROR(_xlpm._hyperlink,""))</f>
        <v>#VALUE!</v>
      </c>
      <c r="AD135" s="3177">
        <v>1</v>
      </c>
      <c r="AE135" s="3177">
        <v>1</v>
      </c>
      <c r="AF135" s="3177">
        <v>1</v>
      </c>
      <c r="AG135" s="3177">
        <v>1</v>
      </c>
      <c r="AH135" s="3177">
        <v>1</v>
      </c>
      <c r="AI135" s="3177">
        <v>1</v>
      </c>
      <c r="AJ135" s="3177">
        <v>1</v>
      </c>
      <c r="AK135" s="3177">
        <v>1</v>
      </c>
      <c r="AL135" s="3177">
        <v>1</v>
      </c>
      <c r="AM135" s="3177">
        <v>1</v>
      </c>
      <c r="AN135" s="3177">
        <v>1</v>
      </c>
      <c r="AO135" s="3177">
        <v>1</v>
      </c>
      <c r="AP135" s="3177">
        <v>1</v>
      </c>
      <c r="AQ135" s="3177">
        <v>1</v>
      </c>
      <c r="AR135" s="3177">
        <v>1</v>
      </c>
      <c r="AS135" s="3177">
        <v>1</v>
      </c>
      <c r="AT135" s="3177">
        <v>1</v>
      </c>
      <c r="AU135" s="3177">
        <v>1</v>
      </c>
      <c r="AV135" s="3177">
        <v>1</v>
      </c>
      <c r="AW135" s="3177">
        <v>1</v>
      </c>
      <c r="AX135" s="3177">
        <v>1</v>
      </c>
      <c r="AY135" s="3177">
        <v>1</v>
      </c>
      <c r="AZ135" s="3177">
        <v>1</v>
      </c>
      <c r="BA135" s="3177">
        <v>1</v>
      </c>
      <c r="BB135" s="3177">
        <v>1</v>
      </c>
      <c r="BC135" s="3177">
        <v>1</v>
      </c>
      <c r="BD135" s="3177">
        <v>1</v>
      </c>
      <c r="BE135" s="3177">
        <v>1</v>
      </c>
      <c r="BF135" s="3177">
        <v>1</v>
      </c>
      <c r="BG135" s="3177">
        <v>1</v>
      </c>
      <c r="BH135" s="3177">
        <v>1</v>
      </c>
      <c r="BI135" s="3177">
        <v>1</v>
      </c>
      <c r="BJ135" s="3177">
        <v>1</v>
      </c>
      <c r="BK135" s="3177">
        <v>1</v>
      </c>
      <c r="BL135" s="3177">
        <v>1</v>
      </c>
      <c r="BM135" s="3177">
        <v>1</v>
      </c>
      <c r="BN135" s="3177">
        <v>1</v>
      </c>
      <c r="BO135" s="2442"/>
      <c r="BP135" s="2442"/>
      <c r="BQ135" s="2442"/>
      <c r="BR135" s="2442"/>
      <c r="BS135" s="2442"/>
      <c r="BT135" s="2442"/>
      <c r="BU135" s="2442"/>
      <c r="BV135" s="2442"/>
      <c r="BW135" s="2442"/>
      <c r="BX135" s="2442"/>
      <c r="BY135" s="2442"/>
      <c r="BZ135" s="2442"/>
      <c r="CA135" s="34"/>
      <c r="CC135" s="50"/>
      <c r="CD135" s="1461" t="e" cm="1">
        <f t="array" ca="1" aca="1" ref="CD135">_xlfn.LET(_xlpm.CheckBlank,SUM(PL!$AD135:$BN135)=0,IF(_xlpm.CheckBlank,"",SUM(_xlfn._xlws.FILTER(PL!$AD135:$BN135,(YEAR(PL!$AD$12:$BN$12)=PL!CD$12)*(array_timeline&lt;=PL!CD$11)))))</f>
        <v>#NAME?</v>
      </c>
      <c r="CE135" s="1461" t="e" cm="1">
        <f t="array" ca="1" aca="1" ref="CE135">_xlfn.LET(_xlpm.CheckBlank,SUM(PL!$AD135:$BN135)=0,IF(_xlpm.CheckBlank,"",SUM(_xlfn._xlws.FILTER(PL!$AD135:$BN135,(YEAR(PL!$AD$12:$BN$12)=PL!CE$12)*(array_timeline&lt;=PL!CE$11)))))</f>
        <v>#NAME?</v>
      </c>
      <c r="CF135" s="1169"/>
      <c r="CG135" s="1461" t="e" cm="1">
        <f t="array" ca="1" aca="1" ref="CG135">_xlfn.LET(_xlpm.CheckBlank,SUM(PL!$AD135:$BN135)=0,IF(_xlpm.CheckBlank,"",SUM(_xlfn._xlws.FILTER(PL!$AD135:$BN135,(YEAR(PL!$AD$12:$BN$12)=PL!CG$12)*(array_timeline&lt;=PL!CG$11)))))</f>
        <v>#NAME?</v>
      </c>
      <c r="CH135" s="1461" t="e" cm="1">
        <f t="array" ca="1" aca="1" ref="CH135">_xlfn.LET(_xlpm.CheckBlank,SUM(PL!$AD135:$BN135)=0,IF(_xlpm.CheckBlank,"",SUM(_xlfn._xlws.FILTER(PL!$AD135:$BN135,(YEAR(PL!$AD$12:$BN$12)=PL!CH$12)*(array_timeline&lt;=PL!CH$11)))))</f>
        <v>#NAME?</v>
      </c>
      <c r="CI135" s="2549"/>
      <c r="CJ135" s="1461" cm="1">
        <f t="array" ref="CJ135">_xlfn.LET(_xlpm.CheckBlank,SUM(PL!$AD135:$BN135)=0,IF(_xlpm.CheckBlank,"",SUM(_xlfn.TAKE(_xlfn.DROP(PL!$AD135:$BN135,,-DATEDIFF(PL!CJ$11,val_asOfDate,"M")),1,-12))))</f>
        <v>12</v>
      </c>
      <c r="CK135" s="1461" cm="1">
        <f t="array" ref="CK135">_xlfn.LET(_xlpm.CheckBlank,SUM(PL!$AD135:$BN135)=0,IF(_xlpm.CheckBlank,"",SUM(_xlfn.TAKE(_xlfn.DROP(PL!$AD135:$BN135,,-DATEDIFF(PL!CK$11,val_asOfDate,"M")),1,-12))))</f>
        <v>12</v>
      </c>
      <c r="CL135" s="88"/>
      <c r="CM135" s="3177">
        <v>1</v>
      </c>
      <c r="CN135" s="3177">
        <v>1</v>
      </c>
      <c r="CO135" s="1169"/>
      <c r="CP135" s="3177">
        <v>1</v>
      </c>
      <c r="CQ135" s="3177">
        <v>1</v>
      </c>
      <c r="CR135" s="34"/>
      <c r="CS135" s="2056"/>
      <c r="CT135" s="2085" t="str" cm="1">
        <f t="array" ref="CT135">IF(K135&lt;&gt;"Yes","",IF(OR(Y135="Select,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III"),"",IF(OR(Y135&lt;&gt;AB135,AND(LEN(B135)=0,NOT(OR(Y135="Select,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III")))),_xldudf_CX_PUSH(Y135,CX_ENTITY,C135,EOMONTH(val_asOfDate,0)),"")))</f>
        <v/>
      </c>
      <c r="CU135" s="2085" t="str" cm="1">
        <f t="array" ref="CU135">IF(K135&lt;&gt;"Yes","",IF(OR(Y135="Select,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III"),"",IF(OR(Y135&lt;&gt;AB135,AND(LEN(B135)=0,NOT(OR(Y135="Select,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III")))),_xldudf_CX_PUSH(Y135,CX_ENTITY,C135,EOMONTH(val_asOfDate,1)),"")))</f>
        <v/>
      </c>
      <c r="CV135" s="2085" t="str" cm="1">
        <f t="array" ref="CV135">IF(K135&lt;&gt;"Yes","",IF(OR(Y135="Select,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III"),"",IF(OR(Y135&lt;&gt;AB135,AND(LEN(B135)=0,NOT(OR(Y135="Select,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III")))),_xldudf_CX_PUSH(Y135,CX_ENTITY,C135,EOMONTH(val_asOfDate,2)),"")))</f>
        <v/>
      </c>
      <c r="CW135" s="2085" t="str" cm="1">
        <f t="array" ref="CW135">IF(K135&lt;&gt;"Yes","",IF(OR(Y135="Select,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III"),"",IF(OR(Y135&lt;&gt;AB135,AND(LEN(B135)=0,NOT(OR(Y135="Select,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III")))),_xldudf_CX_PUSH(Y135,CX_ENTITY,C135,EOMONTH(val_asOfDate,3)),"")))</f>
        <v/>
      </c>
      <c r="CX135" s="2443"/>
      <c r="CY135" s="2447" t="e" cm="1">
        <f t="array" ca="1" aca="1" ref="CY135">IF(CM135=_PL!CM135,"",IF(OR($CM135="",$CM135=0,NOT(ISNUMBER($CM135)),ISERROR($CM135),$B135=""),"",IF($I135=1,IFBLANK(_xldudf_CX_PUSH($CM135*fxVal_normal,CX_ENTITY,$B135,$CM$11,$CM$14,$CM$19,),""),IF($I135=2,IFBLANK(_xldudf_CX_PUSH($CM135,CX_ENTITY,$B135,$CM$11,$CM$14,$CM$19,),""),IF($I135=3,"",IFBLANK(_xldudf_CX_PUSH($CM135,CX_ENTITY,$B135,$CM$11,$CM$14,$CM$19,),""))))))</f>
        <v>#NAME?</v>
      </c>
      <c r="CZ135" s="2447" t="e" cm="1">
        <f t="array" ca="1" aca="1" ref="CZ135">IF(CN135=_PL!CN135,"",IF(OR($CN135="",$CN135=0,NOT(ISNUMBER($CN135)),ISERROR($CN135),$B135=""),"",IF($I135=1,IFBLANK(_xldudf_CX_PUSH($CN135*fxVal_normal,CX_ENTITY,$B135,$CN$11,$CN$14,$CN$19,),""),IF($I135=2,IFBLANK(_xldudf_CX_PUSH($CN135,CX_ENTITY,$B135,$CN$11,$CN$14,$CN$19,),""),IF($I135=3,"",IFBLANK(_xldudf_CX_PUSH($CN135,CX_ENTITY,$B135,$CN$11,$CN$14,$CN$19,),""))))))</f>
        <v>#NAME?</v>
      </c>
      <c r="DA135" s="2447" t="e" cm="1">
        <f t="array" ca="1" aca="1" ref="DA135">IF(CP135=_PL!CP135,"",IF(OR($CP135="",$CP135=0,NOT(ISNUMBER($CP135)),ISERROR($CP135),$B135=""),"",IF($I135=1,IFBLANK(_xldudf_CX_PUSH($CP135*fxVal_normal,CX_ENTITY,$B135,$CP$11,$CP$14,$CP$19,),""),IF($I135=2,IFBLANK(_xldudf_CX_PUSH($CP135,CX_ENTITY,$B135,$CP$11,$CP$14,$CP$19,),""),IF($I135=3,"",IFBLANK(_xldudf_CX_PUSH($CP135,CX_ENTITY,$B135,$CP$11,$CP$14,$CP$19,),""))))))</f>
        <v>#NAME?</v>
      </c>
      <c r="DB135" s="2447" t="e" cm="1">
        <f t="array" ca="1" aca="1" ref="DB135">IF(CQ135=_PL!CQ135,"",IF(OR($CQ135="",$CQ135=0,NOT(ISNUMBER($CQ135)),ISERROR($CQ135),$B135=""),"",IF($I135=1,IFBLANK(_xldudf_CX_PUSH($CQ135*fxVal_normal,CX_ENTITY,$B135,$CQ$11,$CQ$14,$CQ$19,),""),IF($I135=2,IFBLANK(_xldudf_CX_PUSH($CQ135,CX_ENTITY,$B135,$CQ$11,$CQ$14,$CQ$19,),""),IF($I135=3,"",IFBLANK(_xldudf_CX_PUSH($CQ135,CX_ENTITY,$B135,$CQ$11,$CQ$14,$CQ$19,),""))))))</f>
        <v>#NAME?</v>
      </c>
      <c r="DC135" s="2443"/>
      <c r="DD135" s="2445" t="str" cm="1">
        <f t="array" ca="1" aca="1" ref="DD135">IFERROR(IF(AD135*fxVal_normal=_PL!AD135,"",IF(OR(AD135="",NOT(ISNUMBER(AD135)),ISERROR(AD135),$B135=""),"",IF($I135=1,IFBLANK(_xldudf_CX_PUSH(AD135*fxVal_normal,CX_ENTITY,$B135,AD$11,AD$14,AD$131,),""),IF($I135=2,IFBLANK(_xldudf_CX_PUSH(AD135,CX_ENTITY,$B135,AD$11,AD$14,AD$131,),""),IF($I135=3,"",IFBLANK(_xldudf_CX_PUSH(AD135,CX_ENTITY,$B135,AD$11,AD$14,AD$131,),"")))))),"")</f>
        <v/>
      </c>
      <c r="DE135" s="2445" t="str" cm="1">
        <f t="array" ca="1" aca="1" ref="DE135">IFERROR(IF(AE135*fxVal_normal=_PL!AE135,"",IF(OR(AE135="",NOT(ISNUMBER(AE135)),ISERROR(AE135),$B135=""),"",IF($I135=1,IFBLANK(_xldudf_CX_PUSH(AE135*fxVal_normal,CX_ENTITY,$B135,AE$11,AE$14,AE$131,),""),IF($I135=2,IFBLANK(_xldudf_CX_PUSH(AE135,CX_ENTITY,$B135,AE$11,AE$14,AE$131,),""),IF($I135=3,"",IFBLANK(_xldudf_CX_PUSH(AE135,CX_ENTITY,$B135,AE$11,AE$14,AE$131,),"")))))),"")</f>
        <v/>
      </c>
      <c r="DF135" s="2445" t="str" cm="1">
        <f t="array" ca="1" aca="1" ref="DF135">IFERROR(IF(AF135*fxVal_normal=_PL!AF135,"",IF(OR(AF135="",NOT(ISNUMBER(AF135)),ISERROR(AF135),$B135=""),"",IF($I135=1,IFBLANK(_xldudf_CX_PUSH(AF135*fxVal_normal,CX_ENTITY,$B135,AF$11,AF$14,AF$131,),""),IF($I135=2,IFBLANK(_xldudf_CX_PUSH(AF135,CX_ENTITY,$B135,AF$11,AF$14,AF$131,),""),IF($I135=3,"",IFBLANK(_xldudf_CX_PUSH(AF135,CX_ENTITY,$B135,AF$11,AF$14,AF$131,),"")))))),"")</f>
        <v/>
      </c>
      <c r="DG135" s="2445" t="str" cm="1">
        <f t="array" ca="1" aca="1" ref="DG135">IFERROR(IF(AG135*fxVal_normal=_PL!AG135,"",IF(OR(AG135="",NOT(ISNUMBER(AG135)),ISERROR(AG135),$B135=""),"",IF($I135=1,IFBLANK(_xldudf_CX_PUSH(AG135*fxVal_normal,CX_ENTITY,$B135,AG$11,AG$14,AG$131,),""),IF($I135=2,IFBLANK(_xldudf_CX_PUSH(AG135,CX_ENTITY,$B135,AG$11,AG$14,AG$131,),""),IF($I135=3,"",IFBLANK(_xldudf_CX_PUSH(AG135,CX_ENTITY,$B135,AG$11,AG$14,AG$131,),"")))))),"")</f>
        <v/>
      </c>
      <c r="DH135" s="2445" t="str" cm="1">
        <f t="array" ca="1" aca="1" ref="DH135">IFERROR(IF(AH135*fxVal_normal=_PL!AH135,"",IF(OR(AH135="",NOT(ISNUMBER(AH135)),ISERROR(AH135),$B135=""),"",IF($I135=1,IFBLANK(_xldudf_CX_PUSH(AH135*fxVal_normal,CX_ENTITY,$B135,AH$11,AH$14,AH$131,),""),IF($I135=2,IFBLANK(_xldudf_CX_PUSH(AH135,CX_ENTITY,$B135,AH$11,AH$14,AH$131,),""),IF($I135=3,"",IFBLANK(_xldudf_CX_PUSH(AH135,CX_ENTITY,$B135,AH$11,AH$14,AH$131,),"")))))),"")</f>
        <v/>
      </c>
      <c r="DI135" s="2445" t="str" cm="1">
        <f t="array" ca="1" aca="1" ref="DI135">IFERROR(IF(AI135*fxVal_normal=_PL!AI135,"",IF(OR(AI135="",NOT(ISNUMBER(AI135)),ISERROR(AI135),$B135=""),"",IF($I135=1,IFBLANK(_xldudf_CX_PUSH(AI135*fxVal_normal,CX_ENTITY,$B135,AI$11,AI$14,AI$131,),""),IF($I135=2,IFBLANK(_xldudf_CX_PUSH(AI135,CX_ENTITY,$B135,AI$11,AI$14,AI$131,),""),IF($I135=3,"",IFBLANK(_xldudf_CX_PUSH(AI135,CX_ENTITY,$B135,AI$11,AI$14,AI$131,),"")))))),"")</f>
        <v/>
      </c>
      <c r="DJ135" s="2445" t="str" cm="1">
        <f t="array" ca="1" aca="1" ref="DJ135">IFERROR(IF(AJ135*fxVal_normal=_PL!AJ135,"",IF(OR(AJ135="",NOT(ISNUMBER(AJ135)),ISERROR(AJ135),$B135=""),"",IF($I135=1,IFBLANK(_xldudf_CX_PUSH(AJ135*fxVal_normal,CX_ENTITY,$B135,AJ$11,AJ$14,AJ$131,),""),IF($I135=2,IFBLANK(_xldudf_CX_PUSH(AJ135,CX_ENTITY,$B135,AJ$11,AJ$14,AJ$131,),""),IF($I135=3,"",IFBLANK(_xldudf_CX_PUSH(AJ135,CX_ENTITY,$B135,AJ$11,AJ$14,AJ$131,),"")))))),"")</f>
        <v/>
      </c>
      <c r="DK135" s="2445" t="str" cm="1">
        <f t="array" ca="1" aca="1" ref="DK135">IFERROR(IF(AK135*fxVal_normal=_PL!AK135,"",IF(OR(AK135="",NOT(ISNUMBER(AK135)),ISERROR(AK135),$B135=""),"",IF($I135=1,IFBLANK(_xldudf_CX_PUSH(AK135*fxVal_normal,CX_ENTITY,$B135,AK$11,AK$14,AK$131,),""),IF($I135=2,IFBLANK(_xldudf_CX_PUSH(AK135,CX_ENTITY,$B135,AK$11,AK$14,AK$131,),""),IF($I135=3,"",IFBLANK(_xldudf_CX_PUSH(AK135,CX_ENTITY,$B135,AK$11,AK$14,AK$131,),"")))))),"")</f>
        <v/>
      </c>
      <c r="DL135" s="2445" t="str" cm="1">
        <f t="array" ca="1" aca="1" ref="DL135">IFERROR(IF(AL135*fxVal_normal=_PL!AL135,"",IF(OR(AL135="",NOT(ISNUMBER(AL135)),ISERROR(AL135),$B135=""),"",IF($I135=1,IFBLANK(_xldudf_CX_PUSH(AL135*fxVal_normal,CX_ENTITY,$B135,AL$11,AL$14,AL$131,),""),IF($I135=2,IFBLANK(_xldudf_CX_PUSH(AL135,CX_ENTITY,$B135,AL$11,AL$14,AL$131,),""),IF($I135=3,"",IFBLANK(_xldudf_CX_PUSH(AL135,CX_ENTITY,$B135,AL$11,AL$14,AL$131,),"")))))),"")</f>
        <v/>
      </c>
      <c r="DM135" s="2445" t="str" cm="1">
        <f t="array" ca="1" aca="1" ref="DM135">IFERROR(IF(AM135*fxVal_normal=_PL!AM135,"",IF(OR(AM135="",NOT(ISNUMBER(AM135)),ISERROR(AM135),$B135=""),"",IF($I135=1,IFBLANK(_xldudf_CX_PUSH(AM135*fxVal_normal,CX_ENTITY,$B135,AM$11,AM$14,AM$131,),""),IF($I135=2,IFBLANK(_xldudf_CX_PUSH(AM135,CX_ENTITY,$B135,AM$11,AM$14,AM$131,),""),IF($I135=3,"",IFBLANK(_xldudf_CX_PUSH(AM135,CX_ENTITY,$B135,AM$11,AM$14,AM$131,),"")))))),"")</f>
        <v/>
      </c>
      <c r="DN135" s="2445" t="str" cm="1">
        <f t="array" ca="1" aca="1" ref="DN135">IFERROR(IF(AN135*fxVal_normal=_PL!AN135,"",IF(OR(AN135="",NOT(ISNUMBER(AN135)),ISERROR(AN135),$B135=""),"",IF($I135=1,IFBLANK(_xldudf_CX_PUSH(AN135*fxVal_normal,CX_ENTITY,$B135,AN$11,AN$14,AN$131,),""),IF($I135=2,IFBLANK(_xldudf_CX_PUSH(AN135,CX_ENTITY,$B135,AN$11,AN$14,AN$131,),""),IF($I135=3,"",IFBLANK(_xldudf_CX_PUSH(AN135,CX_ENTITY,$B135,AN$11,AN$14,AN$131,),"")))))),"")</f>
        <v/>
      </c>
      <c r="DO135" s="2445" t="str" cm="1">
        <f t="array" ca="1" aca="1" ref="DO135">IFERROR(IF(AO135*fxVal_normal=_PL!AO135,"",IF(OR(AO135="",NOT(ISNUMBER(AO135)),ISERROR(AO135),$B135=""),"",IF($I135=1,IFBLANK(_xldudf_CX_PUSH(AO135*fxVal_normal,CX_ENTITY,$B135,AO$11,AO$14,AO$131,),""),IF($I135=2,IFBLANK(_xldudf_CX_PUSH(AO135,CX_ENTITY,$B135,AO$11,AO$14,AO$131,),""),IF($I135=3,"",IFBLANK(_xldudf_CX_PUSH(AO135,CX_ENTITY,$B135,AO$11,AO$14,AO$131,),"")))))),"")</f>
        <v/>
      </c>
      <c r="DP135" s="2445" t="str" cm="1">
        <f t="array" ca="1" aca="1" ref="DP135">IFERROR(IF(AP135*fxVal_normal=_PL!AP135,"",IF(OR(AP135="",NOT(ISNUMBER(AP135)),ISERROR(AP135),$B135=""),"",IF($I135=1,IFBLANK(_xldudf_CX_PUSH(AP135*fxVal_normal,CX_ENTITY,$B135,AP$11,AP$14,AP$131,),""),IF($I135=2,IFBLANK(_xldudf_CX_PUSH(AP135,CX_ENTITY,$B135,AP$11,AP$14,AP$131,),""),IF($I135=3,"",IFBLANK(_xldudf_CX_PUSH(AP135,CX_ENTITY,$B135,AP$11,AP$14,AP$131,),"")))))),"")</f>
        <v/>
      </c>
      <c r="DQ135" s="2445" t="str" cm="1">
        <f t="array" ca="1" aca="1" ref="DQ135">IFERROR(IF(AQ135*fxVal_normal=_PL!AQ135,"",IF(OR(AQ135="",NOT(ISNUMBER(AQ135)),ISERROR(AQ135),$B135=""),"",IF($I135=1,IFBLANK(_xldudf_CX_PUSH(AQ135*fxVal_normal,CX_ENTITY,$B135,AQ$11,AQ$14,AQ$131,),""),IF($I135=2,IFBLANK(_xldudf_CX_PUSH(AQ135,CX_ENTITY,$B135,AQ$11,AQ$14,AQ$131,),""),IF($I135=3,"",IFBLANK(_xldudf_CX_PUSH(AQ135,CX_ENTITY,$B135,AQ$11,AQ$14,AQ$131,),"")))))),"")</f>
        <v/>
      </c>
      <c r="DR135" s="2445" t="str" cm="1">
        <f t="array" ca="1" aca="1" ref="DR135">IFERROR(IF(AR135*fxVal_normal=_PL!AR135,"",IF(OR(AR135="",NOT(ISNUMBER(AR135)),ISERROR(AR135),$B135=""),"",IF($I135=1,IFBLANK(_xldudf_CX_PUSH(AR135*fxVal_normal,CX_ENTITY,$B135,AR$11,AR$14,AR$131,),""),IF($I135=2,IFBLANK(_xldudf_CX_PUSH(AR135,CX_ENTITY,$B135,AR$11,AR$14,AR$131,),""),IF($I135=3,"",IFBLANK(_xldudf_CX_PUSH(AR135,CX_ENTITY,$B135,AR$11,AR$14,AR$131,),"")))))),"")</f>
        <v/>
      </c>
      <c r="DS135" s="2445" t="str" cm="1">
        <f t="array" ca="1" aca="1" ref="DS135">IFERROR(IF(AS135*fxVal_normal=_PL!AS135,"",IF(OR(AS135="",NOT(ISNUMBER(AS135)),ISERROR(AS135),$B135=""),"",IF($I135=1,IFBLANK(_xldudf_CX_PUSH(AS135*fxVal_normal,CX_ENTITY,$B135,AS$11,AS$14,AS$131,),""),IF($I135=2,IFBLANK(_xldudf_CX_PUSH(AS135,CX_ENTITY,$B135,AS$11,AS$14,AS$131,),""),IF($I135=3,"",IFBLANK(_xldudf_CX_PUSH(AS135,CX_ENTITY,$B135,AS$11,AS$14,AS$131,),"")))))),"")</f>
        <v/>
      </c>
      <c r="DT135" s="2445" t="str" cm="1">
        <f t="array" ca="1" aca="1" ref="DT135">IFERROR(IF(AT135*fxVal_normal=_PL!AT135,"",IF(OR(AT135="",NOT(ISNUMBER(AT135)),ISERROR(AT135),$B135=""),"",IF($I135=1,IFBLANK(_xldudf_CX_PUSH(AT135*fxVal_normal,CX_ENTITY,$B135,AT$11,AT$14,AT$131,),""),IF($I135=2,IFBLANK(_xldudf_CX_PUSH(AT135,CX_ENTITY,$B135,AT$11,AT$14,AT$131,),""),IF($I135=3,"",IFBLANK(_xldudf_CX_PUSH(AT135,CX_ENTITY,$B135,AT$11,AT$14,AT$131,),"")))))),"")</f>
        <v/>
      </c>
      <c r="DU135" s="2445" t="str" cm="1">
        <f t="array" ca="1" aca="1" ref="DU135">IFERROR(IF(AU135*fxVal_normal=_PL!AU135,"",IF(OR(AU135="",NOT(ISNUMBER(AU135)),ISERROR(AU135),$B135=""),"",IF($I135=1,IFBLANK(_xldudf_CX_PUSH(AU135*fxVal_normal,CX_ENTITY,$B135,AU$11,AU$14,AU$131,),""),IF($I135=2,IFBLANK(_xldudf_CX_PUSH(AU135,CX_ENTITY,$B135,AU$11,AU$14,AU$131,),""),IF($I135=3,"",IFBLANK(_xldudf_CX_PUSH(AU135,CX_ENTITY,$B135,AU$11,AU$14,AU$131,),"")))))),"")</f>
        <v/>
      </c>
      <c r="DV135" s="2445" t="str" cm="1">
        <f t="array" ca="1" aca="1" ref="DV135">IFERROR(IF(AV135*fxVal_normal=_PL!AV135,"",IF(OR(AV135="",NOT(ISNUMBER(AV135)),ISERROR(AV135),$B135=""),"",IF($I135=1,IFBLANK(_xldudf_CX_PUSH(AV135*fxVal_normal,CX_ENTITY,$B135,AV$11,AV$14,AV$131,),""),IF($I135=2,IFBLANK(_xldudf_CX_PUSH(AV135,CX_ENTITY,$B135,AV$11,AV$14,AV$131,),""),IF($I135=3,"",IFBLANK(_xldudf_CX_PUSH(AV135,CX_ENTITY,$B135,AV$11,AV$14,AV$131,),"")))))),"")</f>
        <v/>
      </c>
      <c r="DW135" s="2445" t="str" cm="1">
        <f t="array" ca="1" aca="1" ref="DW135">IFERROR(IF(AW135*fxVal_normal=_PL!AW135,"",IF(OR(AW135="",NOT(ISNUMBER(AW135)),ISERROR(AW135),$B135=""),"",IF($I135=1,IFBLANK(_xldudf_CX_PUSH(AW135*fxVal_normal,CX_ENTITY,$B135,AW$11,AW$14,AW$131,),""),IF($I135=2,IFBLANK(_xldudf_CX_PUSH(AW135,CX_ENTITY,$B135,AW$11,AW$14,AW$131,),""),IF($I135=3,"",IFBLANK(_xldudf_CX_PUSH(AW135,CX_ENTITY,$B135,AW$11,AW$14,AW$131,),"")))))),"")</f>
        <v/>
      </c>
      <c r="DX135" s="2445" t="str" cm="1">
        <f t="array" ca="1" aca="1" ref="DX135">IFERROR(IF(AX135*fxVal_normal=_PL!AX135,"",IF(OR(AX135="",NOT(ISNUMBER(AX135)),ISERROR(AX135),$B135=""),"",IF($I135=1,IFBLANK(_xldudf_CX_PUSH(AX135*fxVal_normal,CX_ENTITY,$B135,AX$11,AX$14,AX$131,),""),IF($I135=2,IFBLANK(_xldudf_CX_PUSH(AX135,CX_ENTITY,$B135,AX$11,AX$14,AX$131,),""),IF($I135=3,"",IFBLANK(_xldudf_CX_PUSH(AX135,CX_ENTITY,$B135,AX$11,AX$14,AX$131,),"")))))),"")</f>
        <v/>
      </c>
      <c r="DY135" s="2445" t="str" cm="1">
        <f t="array" ca="1" aca="1" ref="DY135">IFERROR(IF(AY135*fxVal_normal=_PL!AY135,"",IF(OR(AY135="",NOT(ISNUMBER(AY135)),ISERROR(AY135),$B135=""),"",IF($I135=1,IFBLANK(_xldudf_CX_PUSH(AY135*fxVal_normal,CX_ENTITY,$B135,AY$11,AY$14,AY$131,),""),IF($I135=2,IFBLANK(_xldudf_CX_PUSH(AY135,CX_ENTITY,$B135,AY$11,AY$14,AY$131,),""),IF($I135=3,"",IFBLANK(_xldudf_CX_PUSH(AY135,CX_ENTITY,$B135,AY$11,AY$14,AY$131,),"")))))),"")</f>
        <v/>
      </c>
      <c r="DZ135" s="2445" t="str" cm="1">
        <f t="array" ca="1" aca="1" ref="DZ135">IFERROR(IF(AZ135*fxVal_normal=_PL!AZ135,"",IF(OR(AZ135="",NOT(ISNUMBER(AZ135)),ISERROR(AZ135),$B135=""),"",IF($I135=1,IFBLANK(_xldudf_CX_PUSH(AZ135*fxVal_normal,CX_ENTITY,$B135,AZ$11,AZ$14,AZ$131,),""),IF($I135=2,IFBLANK(_xldudf_CX_PUSH(AZ135,CX_ENTITY,$B135,AZ$11,AZ$14,AZ$131,),""),IF($I135=3,"",IFBLANK(_xldudf_CX_PUSH(AZ135,CX_ENTITY,$B135,AZ$11,AZ$14,AZ$131,),"")))))),"")</f>
        <v/>
      </c>
      <c r="EA135" s="2445" t="str" cm="1">
        <f t="array" ca="1" aca="1" ref="EA135">IFERROR(IF(BA135*fxVal_normal=_PL!BA135,"",IF(OR(BA135="",NOT(ISNUMBER(BA135)),ISERROR(BA135),$B135=""),"",IF($I135=1,IFBLANK(_xldudf_CX_PUSH(BA135*fxVal_normal,CX_ENTITY,$B135,BA$11,BA$14,BA$131,),""),IF($I135=2,IFBLANK(_xldudf_CX_PUSH(BA135,CX_ENTITY,$B135,BA$11,BA$14,BA$131,),""),IF($I135=3,"",IFBLANK(_xldudf_CX_PUSH(BA135,CX_ENTITY,$B135,BA$11,BA$14,BA$131,),"")))))),"")</f>
        <v/>
      </c>
      <c r="EB135" s="2445" t="str" cm="1">
        <f t="array" ca="1" aca="1" ref="EB135">IFERROR(IF(BB135*fxVal_normal=_PL!BB135,"",IF(OR(BB135="",NOT(ISNUMBER(BB135)),ISERROR(BB135),$B135=""),"",IF($I135=1,IFBLANK(_xldudf_CX_PUSH(BB135*fxVal_normal,CX_ENTITY,$B135,BB$11,BB$14,BB$131,),""),IF($I135=2,IFBLANK(_xldudf_CX_PUSH(BB135,CX_ENTITY,$B135,BB$11,BB$14,BB$131,),""),IF($I135=3,"",IFBLANK(_xldudf_CX_PUSH(BB135,CX_ENTITY,$B135,BB$11,BB$14,BB$131,),"")))))),"")</f>
        <v/>
      </c>
      <c r="EC135" s="2445" t="str" cm="1">
        <f t="array" ca="1" aca="1" ref="EC135">IFERROR(IF(BC135*fxVal_normal=_PL!BC135,"",IF(OR(BC135="",NOT(ISNUMBER(BC135)),ISERROR(BC135),$B135=""),"",IF($I135=1,IFBLANK(_xldudf_CX_PUSH(BC135*fxVal_normal,CX_ENTITY,$B135,BC$11,BC$14,BC$131,),""),IF($I135=2,IFBLANK(_xldudf_CX_PUSH(BC135,CX_ENTITY,$B135,BC$11,BC$14,BC$131,),""),IF($I135=3,"",IFBLANK(_xldudf_CX_PUSH(BC135,CX_ENTITY,$B135,BC$11,BC$14,BC$131,),"")))))),"")</f>
        <v/>
      </c>
      <c r="ED135" s="2445" t="str" cm="1">
        <f t="array" ca="1" aca="1" ref="ED135">IFERROR(IF(BD135*fxVal_normal=_PL!BD135,"",IF(OR(BD135="",NOT(ISNUMBER(BD135)),ISERROR(BD135),$B135=""),"",IF($I135=1,IFBLANK(_xldudf_CX_PUSH(BD135*fxVal_normal,CX_ENTITY,$B135,BD$11,BD$14,BD$131,),""),IF($I135=2,IFBLANK(_xldudf_CX_PUSH(BD135,CX_ENTITY,$B135,BD$11,BD$14,BD$131,),""),IF($I135=3,"",IFBLANK(_xldudf_CX_PUSH(BD135,CX_ENTITY,$B135,BD$11,BD$14,BD$131,),"")))))),"")</f>
        <v/>
      </c>
      <c r="EE135" s="2445" t="str" cm="1">
        <f t="array" ca="1" aca="1" ref="EE135">IFERROR(IF(BE135*fxVal_normal=_PL!BE135,"",IF(OR(BE135="",NOT(ISNUMBER(BE135)),ISERROR(BE135),$B135=""),"",IF($I135=1,IFBLANK(_xldudf_CX_PUSH(BE135*fxVal_normal,CX_ENTITY,$B135,BE$11,BE$14,BE$131,),""),IF($I135=2,IFBLANK(_xldudf_CX_PUSH(BE135,CX_ENTITY,$B135,BE$11,BE$14,BE$131,),""),IF($I135=3,"",IFBLANK(_xldudf_CX_PUSH(BE135,CX_ENTITY,$B135,BE$11,BE$14,BE$131,),"")))))),"")</f>
        <v/>
      </c>
      <c r="EF135" s="2445" t="str" cm="1">
        <f t="array" ca="1" aca="1" ref="EF135">IFERROR(IF(BF135*fxVal_normal=_PL!BF135,"",IF(OR(BF135="",NOT(ISNUMBER(BF135)),ISERROR(BF135),$B135=""),"",IF($I135=1,IFBLANK(_xldudf_CX_PUSH(BF135*fxVal_normal,CX_ENTITY,$B135,BF$11,BF$14,BF$131,),""),IF($I135=2,IFBLANK(_xldudf_CX_PUSH(BF135,CX_ENTITY,$B135,BF$11,BF$14,BF$131,),""),IF($I135=3,"",IFBLANK(_xldudf_CX_PUSH(BF135,CX_ENTITY,$B135,BF$11,BF$14,BF$131,),"")))))),"")</f>
        <v/>
      </c>
      <c r="EG135" s="2445" t="str" cm="1">
        <f t="array" ca="1" aca="1" ref="EG135">IFERROR(IF(BG135*fxVal_normal=_PL!BG135,"",IF(OR(BG135="",NOT(ISNUMBER(BG135)),ISERROR(BG135),$B135=""),"",IF($I135=1,IFBLANK(_xldudf_CX_PUSH(BG135*fxVal_normal,CX_ENTITY,$B135,BG$11,BG$14,BG$131,),""),IF($I135=2,IFBLANK(_xldudf_CX_PUSH(BG135,CX_ENTITY,$B135,BG$11,BG$14,BG$131,),""),IF($I135=3,"",IFBLANK(_xldudf_CX_PUSH(BG135,CX_ENTITY,$B135,BG$11,BG$14,BG$131,),"")))))),"")</f>
        <v/>
      </c>
      <c r="EH135" s="2445" t="str" cm="1">
        <f t="array" ca="1" aca="1" ref="EH135">IFERROR(IF(BH135*fxVal_normal=_PL!BH135,"",IF(OR(BH135="",NOT(ISNUMBER(BH135)),ISERROR(BH135),$B135=""),"",IF($I135=1,IFBLANK(_xldudf_CX_PUSH(BH135*fxVal_normal,CX_ENTITY,$B135,BH$11,BH$14,BH$131,),""),IF($I135=2,IFBLANK(_xldudf_CX_PUSH(BH135,CX_ENTITY,$B135,BH$11,BH$14,BH$131,),""),IF($I135=3,"",IFBLANK(_xldudf_CX_PUSH(BH135,CX_ENTITY,$B135,BH$11,BH$14,BH$131,),"")))))),"")</f>
        <v/>
      </c>
      <c r="EI135" s="2445" t="str" cm="1">
        <f t="array" ca="1" aca="1" ref="EI135">IFERROR(IF(BI135*fxVal_normal=_PL!BI135,"",IF(OR(BI135="",NOT(ISNUMBER(BI135)),ISERROR(BI135),$B135=""),"",IF($I135=1,IFBLANK(_xldudf_CX_PUSH(BI135*fxVal_normal,CX_ENTITY,$B135,BI$11,BI$14,BI$131,),""),IF($I135=2,IFBLANK(_xldudf_CX_PUSH(BI135,CX_ENTITY,$B135,BI$11,BI$14,BI$131,),""),IF($I135=3,"",IFBLANK(_xldudf_CX_PUSH(BI135,CX_ENTITY,$B135,BI$11,BI$14,BI$131,),"")))))),"")</f>
        <v/>
      </c>
      <c r="EJ135" s="2445" t="str" cm="1">
        <f t="array" ca="1" aca="1" ref="EJ135">IFERROR(IF(BJ135*fxVal_normal=_PL!BJ135,"",IF(OR(BJ135="",NOT(ISNUMBER(BJ135)),ISERROR(BJ135),$B135=""),"",IF($I135=1,IFBLANK(_xldudf_CX_PUSH(BJ135*fxVal_normal,CX_ENTITY,$B135,BJ$11,BJ$14,BJ$131,),""),IF($I135=2,IFBLANK(_xldudf_CX_PUSH(BJ135,CX_ENTITY,$B135,BJ$11,BJ$14,BJ$131,),""),IF($I135=3,"",IFBLANK(_xldudf_CX_PUSH(BJ135,CX_ENTITY,$B135,BJ$11,BJ$14,BJ$131,),"")))))),"")</f>
        <v/>
      </c>
      <c r="EK135" s="2445" t="str" cm="1">
        <f t="array" ca="1" aca="1" ref="EK135">IFERROR(IF(BK135*fxVal_normal=_PL!BK135,"",IF(OR(BK135="",NOT(ISNUMBER(BK135)),ISERROR(BK135),$B135=""),"",IF($I135=1,IFBLANK(_xldudf_CX_PUSH(BK135*fxVal_normal,CX_ENTITY,$B135,BK$11,BK$14,BK$131,),""),IF($I135=2,IFBLANK(_xldudf_CX_PUSH(BK135,CX_ENTITY,$B135,BK$11,BK$14,BK$131,),""),IF($I135=3,"",IFBLANK(_xldudf_CX_PUSH(BK135,CX_ENTITY,$B135,BK$11,BK$14,BK$131,),"")))))),"")</f>
        <v/>
      </c>
      <c r="EL135" s="2445" t="str" cm="1">
        <f t="array" ca="1" aca="1" ref="EL135">IFERROR(IF(BL135*fxVal_normal=_PL!BL135,"",IF(OR(BL135="",NOT(ISNUMBER(BL135)),ISERROR(BL135),$B135=""),"",IF($I135=1,IFBLANK(_xldudf_CX_PUSH(BL135*fxVal_normal,CX_ENTITY,$B135,BL$11,BL$14,BL$131,),""),IF($I135=2,IFBLANK(_xldudf_CX_PUSH(BL135,CX_ENTITY,$B135,BL$11,BL$14,BL$131,),""),IF($I135=3,"",IFBLANK(_xldudf_CX_PUSH(BL135,CX_ENTITY,$B135,BL$11,BL$14,BL$131,),"")))))),"")</f>
        <v/>
      </c>
      <c r="EM135" s="2445" t="str" cm="1">
        <f t="array" ca="1" aca="1" ref="EM135">IFERROR(IF(BM135*fxVal_normal=_PL!BM135,"",IF(OR(BM135="",NOT(ISNUMBER(BM135)),ISERROR(BM135),$B135=""),"",IF($I135=1,IFBLANK(_xldudf_CX_PUSH(BM135*fxVal_normal,CX_ENTITY,$B135,BM$11,BM$14,BM$131,),""),IF($I135=2,IFBLANK(_xldudf_CX_PUSH(BM135,CX_ENTITY,$B135,BM$11,BM$14,BM$131,),""),IF($I135=3,"",IFBLANK(_xldudf_CX_PUSH(BM135,CX_ENTITY,$B135,BM$11,BM$14,BM$131,),"")))))),"")</f>
        <v/>
      </c>
      <c r="EN135" s="2445" t="str" cm="1">
        <f t="array" ca="1" aca="1" ref="EN135">IFERROR(IF(BN135*fxVal_normal=_PL!BN135,"",IF(OR(BN135="",NOT(ISNUMBER(BN135)),ISERROR(BN135),$B135=""),"",IF($I135=1,IFBLANK(_xldudf_CX_PUSH(BN135*fxVal_normal,CX_ENTITY,$B135,BN$11,BN$14,BN$131,),""),IF($I135=2,IFBLANK(_xldudf_CX_PUSH(BN135,CX_ENTITY,$B135,BN$11,BN$14,BN$131,),""),IF($I135=3,"",IFBLANK(_xldudf_CX_PUSH(BN135,CX_ENTITY,$B135,BN$11,BN$14,BN$131,),"")))))),"")</f>
        <v/>
      </c>
    </row>
    <row r="136" spans="1:144" ht="21" customHeight="1">
      <c r="A136" s="1625"/>
      <c r="B136" s="2501" t="str">
        <f>_xlfn.LET(_xlpm.IsNotAttrDynamic,D136="",_xlpm.Attr,_PL!F136,_xlpm.NotInUse,Y136=D136,_xlpm.RESULT,IF(_xlpm.IsNotAttrDynamic,_xlpm.Attr,IF(_xlpm.NotInUse,"",Y136)),IF(_xlpm.RESULT="","",_xlpm.RESULT))</f>
        <v>o/w Organic Volume Growth - YTD</v>
      </c>
      <c r="C136" s="2501" t="str" cm="1">
        <f t="array" ref="C136">IFBLANK(_PL!C136,"")</f>
        <v/>
      </c>
      <c r="D136" s="1548"/>
      <c r="E136" s="2440" t="e" cm="1">
        <f t="array" ca="1" aca="1" ref="E13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136:$CQ136,Z136)</f>
        <v>#NAME?</v>
      </c>
      <c r="F136" s="578"/>
      <c r="G136" s="578"/>
      <c r="H136" s="3279">
        <v>1</v>
      </c>
      <c r="I136" s="3279">
        <v>2</v>
      </c>
      <c r="J136" s="3280" cm="1">
        <f t="array" ref="J136">IFBLANK(Z136,"")</f>
        <v>1</v>
      </c>
      <c r="K136" s="578" t="str">
        <f t="shared" si="47"/>
        <v>Yes</v>
      </c>
      <c r="L136" s="37"/>
      <c r="N136" s="158"/>
      <c r="O136" s="101"/>
      <c r="P136" s="52"/>
      <c r="Q136" s="2"/>
      <c r="R136" s="101"/>
      <c r="S136" s="101"/>
      <c r="T136" s="101"/>
      <c r="U136" s="39"/>
      <c r="V136" s="37"/>
      <c r="W136" s="91" t="str">
        <f>W132</f>
        <v>Actual</v>
      </c>
      <c r="X136" s="1959"/>
      <c r="Y136" s="509" t="str">
        <f>_PL!Y136</f>
        <v>of which Organic Top Line Volume Growth (YTD)</v>
      </c>
      <c r="Z136" s="3291">
        <f>_PL!Z136</f>
        <v>1</v>
      </c>
      <c r="AA136" s="97"/>
      <c r="AB136" s="33" t="str">
        <f>_PL!AB136</f>
        <v>of which Organic Top Line Volume Growth (YTD)</v>
      </c>
      <c r="AC136" s="2550" t="e" vm="5" cm="1">
        <f t="array" ca="1" aca="1" ref="AC136">_xlfn.LET(_xlpm._termname,$AB136,_xlpm._iconname,"find",_xlpm._icon,fx_getIcon(_xlpm._iconname),_xlpm._location,_xlfn.XLOOKUP(LOWER(_xlpm._termname),LOWER(tbl_acctDef[Term]),tbl_acctDef[Term]),_xlpm._hyperlink,HYPERLINK("#"&amp;CELL("address",_xlpm._location),_xlpm._icon),IFERROR(_xlpm._hyperlink,""))</f>
        <v>#VALUE!</v>
      </c>
      <c r="AD136" s="3177">
        <v>1</v>
      </c>
      <c r="AE136" s="3177">
        <v>1</v>
      </c>
      <c r="AF136" s="3177">
        <v>1</v>
      </c>
      <c r="AG136" s="3177">
        <v>1</v>
      </c>
      <c r="AH136" s="3177">
        <v>1</v>
      </c>
      <c r="AI136" s="3177">
        <v>1</v>
      </c>
      <c r="AJ136" s="3177">
        <v>1</v>
      </c>
      <c r="AK136" s="3177">
        <v>1</v>
      </c>
      <c r="AL136" s="3177">
        <v>1</v>
      </c>
      <c r="AM136" s="3177">
        <v>1</v>
      </c>
      <c r="AN136" s="3177">
        <v>1</v>
      </c>
      <c r="AO136" s="3177">
        <v>1</v>
      </c>
      <c r="AP136" s="3177">
        <v>1</v>
      </c>
      <c r="AQ136" s="3177">
        <v>1</v>
      </c>
      <c r="AR136" s="3177">
        <v>1</v>
      </c>
      <c r="AS136" s="3177">
        <v>1</v>
      </c>
      <c r="AT136" s="3177">
        <v>1</v>
      </c>
      <c r="AU136" s="3177">
        <v>1</v>
      </c>
      <c r="AV136" s="3177">
        <v>1</v>
      </c>
      <c r="AW136" s="3177">
        <v>1</v>
      </c>
      <c r="AX136" s="3177">
        <v>1</v>
      </c>
      <c r="AY136" s="3177">
        <v>1</v>
      </c>
      <c r="AZ136" s="3177">
        <v>1</v>
      </c>
      <c r="BA136" s="3177">
        <v>1</v>
      </c>
      <c r="BB136" s="3177">
        <v>1</v>
      </c>
      <c r="BC136" s="3177">
        <v>1</v>
      </c>
      <c r="BD136" s="3177">
        <v>1</v>
      </c>
      <c r="BE136" s="3177">
        <v>1</v>
      </c>
      <c r="BF136" s="3177">
        <v>1</v>
      </c>
      <c r="BG136" s="3177">
        <v>1</v>
      </c>
      <c r="BH136" s="3177">
        <v>1</v>
      </c>
      <c r="BI136" s="3177">
        <v>1</v>
      </c>
      <c r="BJ136" s="3177">
        <v>1</v>
      </c>
      <c r="BK136" s="3177">
        <v>1</v>
      </c>
      <c r="BL136" s="3177">
        <v>1</v>
      </c>
      <c r="BM136" s="3177">
        <v>1</v>
      </c>
      <c r="BN136" s="3177">
        <v>1</v>
      </c>
      <c r="BO136" s="2442"/>
      <c r="BP136" s="2442"/>
      <c r="BQ136" s="2442"/>
      <c r="BR136" s="2442"/>
      <c r="BS136" s="2442"/>
      <c r="BT136" s="2442"/>
      <c r="BU136" s="2442"/>
      <c r="BV136" s="2442"/>
      <c r="BW136" s="2442"/>
      <c r="BX136" s="2442"/>
      <c r="BY136" s="2442"/>
      <c r="BZ136" s="2442"/>
      <c r="CA136" s="34"/>
      <c r="CC136" s="50"/>
      <c r="CD136" s="1461" t="e" cm="1">
        <f t="array" ca="1" aca="1" ref="CD136">_xlfn.LET(_xlpm.CheckBlank,SUM(PL!$AD136:$BN136)=0,IF(_xlpm.CheckBlank,"",SUM(_xlfn._xlws.FILTER(PL!$AD136:$BN136,(YEAR(PL!$AD$12:$BN$12)=PL!CD$12)*(array_timeline&lt;=PL!CD$11)))))</f>
        <v>#NAME?</v>
      </c>
      <c r="CE136" s="1461" t="e" cm="1">
        <f t="array" ca="1" aca="1" ref="CE136">_xlfn.LET(_xlpm.CheckBlank,SUM(PL!$AD136:$BN136)=0,IF(_xlpm.CheckBlank,"",SUM(_xlfn._xlws.FILTER(PL!$AD136:$BN136,(YEAR(PL!$AD$12:$BN$12)=PL!CE$12)*(array_timeline&lt;=PL!CE$11)))))</f>
        <v>#NAME?</v>
      </c>
      <c r="CF136" s="1169"/>
      <c r="CG136" s="1461" t="e" cm="1">
        <f t="array" ca="1" aca="1" ref="CG136">_xlfn.LET(_xlpm.CheckBlank,SUM(PL!$AD136:$BN136)=0,IF(_xlpm.CheckBlank,"",SUM(_xlfn._xlws.FILTER(PL!$AD136:$BN136,(YEAR(PL!$AD$12:$BN$12)=PL!CG$12)*(array_timeline&lt;=PL!CG$11)))))</f>
        <v>#NAME?</v>
      </c>
      <c r="CH136" s="1461" t="e" cm="1">
        <f t="array" ca="1" aca="1" ref="CH136">_xlfn.LET(_xlpm.CheckBlank,SUM(PL!$AD136:$BN136)=0,IF(_xlpm.CheckBlank,"",SUM(_xlfn._xlws.FILTER(PL!$AD136:$BN136,(YEAR(PL!$AD$12:$BN$12)=PL!CH$12)*(array_timeline&lt;=PL!CH$11)))))</f>
        <v>#NAME?</v>
      </c>
      <c r="CI136" s="2549"/>
      <c r="CJ136" s="1461" cm="1">
        <f t="array" ref="CJ136">_xlfn.LET(_xlpm.CheckBlank,SUM(PL!$AD136:$BN136)=0,IF(_xlpm.CheckBlank,"",SUM(_xlfn.TAKE(_xlfn.DROP(PL!$AD136:$BN136,,-DATEDIFF(PL!CJ$11,val_asOfDate,"M")),1,-12))))</f>
        <v>12</v>
      </c>
      <c r="CK136" s="1461" cm="1">
        <f t="array" ref="CK136">_xlfn.LET(_xlpm.CheckBlank,SUM(PL!$AD136:$BN136)=0,IF(_xlpm.CheckBlank,"",SUM(_xlfn.TAKE(_xlfn.DROP(PL!$AD136:$BN136,,-DATEDIFF(PL!CK$11,val_asOfDate,"M")),1,-12))))</f>
        <v>12</v>
      </c>
      <c r="CL136" s="88"/>
      <c r="CM136" s="3177">
        <v>1</v>
      </c>
      <c r="CN136" s="3177">
        <v>1</v>
      </c>
      <c r="CO136" s="1169"/>
      <c r="CP136" s="3177">
        <v>1</v>
      </c>
      <c r="CQ136" s="3177">
        <v>1</v>
      </c>
      <c r="CR136" s="34"/>
      <c r="CS136" s="2056"/>
      <c r="CT136" s="2085" t="str" cm="1">
        <f t="array" ref="CT136">IF(K136&lt;&gt;"Yes","",IF(OR(Y136="Select,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III"),"",IF(OR(Y136&lt;&gt;AB136,AND(LEN(B136)=0,NOT(OR(Y136="Select,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III")))),_xldudf_CX_PUSH(Y136,CX_ENTITY,C136,EOMONTH(val_asOfDate,0)),"")))</f>
        <v/>
      </c>
      <c r="CU136" s="2085" t="str" cm="1">
        <f t="array" ref="CU136">IF(K136&lt;&gt;"Yes","",IF(OR(Y136="Select,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III"),"",IF(OR(Y136&lt;&gt;AB136,AND(LEN(B136)=0,NOT(OR(Y136="Select,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III")))),_xldudf_CX_PUSH(Y136,CX_ENTITY,C136,EOMONTH(val_asOfDate,1)),"")))</f>
        <v/>
      </c>
      <c r="CV136" s="2085" t="str" cm="1">
        <f t="array" ref="CV136">IF(K136&lt;&gt;"Yes","",IF(OR(Y136="Select,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III"),"",IF(OR(Y136&lt;&gt;AB136,AND(LEN(B136)=0,NOT(OR(Y136="Select,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III")))),_xldudf_CX_PUSH(Y136,CX_ENTITY,C136,EOMONTH(val_asOfDate,2)),"")))</f>
        <v/>
      </c>
      <c r="CW136" s="2085" t="str" cm="1">
        <f t="array" ref="CW136">IF(K136&lt;&gt;"Yes","",IF(OR(Y136="Select,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III"),"",IF(OR(Y136&lt;&gt;AB136,AND(LEN(B136)=0,NOT(OR(Y136="Select,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III")))),_xldudf_CX_PUSH(Y136,CX_ENTITY,C136,EOMONTH(val_asOfDate,3)),"")))</f>
        <v/>
      </c>
      <c r="CX136" s="2443"/>
      <c r="CY136" s="2447" t="e" cm="1">
        <f t="array" ca="1" aca="1" ref="CY136">IF(CM136=_PL!CM136,"",IF(OR($CM136="",$CM136=0,NOT(ISNUMBER($CM136)),ISERROR($CM136),$B136=""),"",IF($I136=1,IFBLANK(_xldudf_CX_PUSH($CM136*fxVal_normal,CX_ENTITY,$B136,$CM$11,$CM$14,$CM$19,),""),IF($I136=2,IFBLANK(_xldudf_CX_PUSH($CM136,CX_ENTITY,$B136,$CM$11,$CM$14,$CM$19,),""),IF($I136=3,"",IFBLANK(_xldudf_CX_PUSH($CM136,CX_ENTITY,$B136,$CM$11,$CM$14,$CM$19,),""))))))</f>
        <v>#NAME?</v>
      </c>
      <c r="CZ136" s="2447" t="e" cm="1">
        <f t="array" ca="1" aca="1" ref="CZ136">IF(CN136=_PL!CN136,"",IF(OR($CN136="",$CN136=0,NOT(ISNUMBER($CN136)),ISERROR($CN136),$B136=""),"",IF($I136=1,IFBLANK(_xldudf_CX_PUSH($CN136*fxVal_normal,CX_ENTITY,$B136,$CN$11,$CN$14,$CN$19,),""),IF($I136=2,IFBLANK(_xldudf_CX_PUSH($CN136,CX_ENTITY,$B136,$CN$11,$CN$14,$CN$19,),""),IF($I136=3,"",IFBLANK(_xldudf_CX_PUSH($CN136,CX_ENTITY,$B136,$CN$11,$CN$14,$CN$19,),""))))))</f>
        <v>#NAME?</v>
      </c>
      <c r="DA136" s="2447" t="e" cm="1">
        <f t="array" ca="1" aca="1" ref="DA136">IF(CP136=_PL!CP136,"",IF(OR($CP136="",$CP136=0,NOT(ISNUMBER($CP136)),ISERROR($CP136),$B136=""),"",IF($I136=1,IFBLANK(_xldudf_CX_PUSH($CP136*fxVal_normal,CX_ENTITY,$B136,$CP$11,$CP$14,$CP$19,),""),IF($I136=2,IFBLANK(_xldudf_CX_PUSH($CP136,CX_ENTITY,$B136,$CP$11,$CP$14,$CP$19,),""),IF($I136=3,"",IFBLANK(_xldudf_CX_PUSH($CP136,CX_ENTITY,$B136,$CP$11,$CP$14,$CP$19,),""))))))</f>
        <v>#NAME?</v>
      </c>
      <c r="DB136" s="2447" t="e" cm="1">
        <f t="array" ca="1" aca="1" ref="DB136">IF(CQ136=_PL!CQ136,"",IF(OR($CQ136="",$CQ136=0,NOT(ISNUMBER($CQ136)),ISERROR($CQ136),$B136=""),"",IF($I136=1,IFBLANK(_xldudf_CX_PUSH($CQ136*fxVal_normal,CX_ENTITY,$B136,$CQ$11,$CQ$14,$CQ$19,),""),IF($I136=2,IFBLANK(_xldudf_CX_PUSH($CQ136,CX_ENTITY,$B136,$CQ$11,$CQ$14,$CQ$19,),""),IF($I136=3,"",IFBLANK(_xldudf_CX_PUSH($CQ136,CX_ENTITY,$B136,$CQ$11,$CQ$14,$CQ$19,),""))))))</f>
        <v>#NAME?</v>
      </c>
      <c r="DC136" s="2443"/>
      <c r="DD136" s="2445" t="str" cm="1">
        <f t="array" ca="1" aca="1" ref="DD136">IFERROR(IF(AD136*fxVal_normal=_PL!AD136,"",IF(OR(AD136="",NOT(ISNUMBER(AD136)),ISERROR(AD136),$B136=""),"",IF($I136=1,IFBLANK(_xldudf_CX_PUSH(AD136*fxVal_normal,CX_ENTITY,$B136,AD$11,AD$14,AD$131,),""),IF($I136=2,IFBLANK(_xldudf_CX_PUSH(AD136,CX_ENTITY,$B136,AD$11,AD$14,AD$131,),""),IF($I136=3,"",IFBLANK(_xldudf_CX_PUSH(AD136,CX_ENTITY,$B136,AD$11,AD$14,AD$131,),"")))))),"")</f>
        <v/>
      </c>
      <c r="DE136" s="2445" t="str" cm="1">
        <f t="array" ca="1" aca="1" ref="DE136">IFERROR(IF(AE136*fxVal_normal=_PL!AE136,"",IF(OR(AE136="",NOT(ISNUMBER(AE136)),ISERROR(AE136),$B136=""),"",IF($I136=1,IFBLANK(_xldudf_CX_PUSH(AE136*fxVal_normal,CX_ENTITY,$B136,AE$11,AE$14,AE$131,),""),IF($I136=2,IFBLANK(_xldudf_CX_PUSH(AE136,CX_ENTITY,$B136,AE$11,AE$14,AE$131,),""),IF($I136=3,"",IFBLANK(_xldudf_CX_PUSH(AE136,CX_ENTITY,$B136,AE$11,AE$14,AE$131,),"")))))),"")</f>
        <v/>
      </c>
      <c r="DF136" s="2445" t="str" cm="1">
        <f t="array" ca="1" aca="1" ref="DF136">IFERROR(IF(AF136*fxVal_normal=_PL!AF136,"",IF(OR(AF136="",NOT(ISNUMBER(AF136)),ISERROR(AF136),$B136=""),"",IF($I136=1,IFBLANK(_xldudf_CX_PUSH(AF136*fxVal_normal,CX_ENTITY,$B136,AF$11,AF$14,AF$131,),""),IF($I136=2,IFBLANK(_xldudf_CX_PUSH(AF136,CX_ENTITY,$B136,AF$11,AF$14,AF$131,),""),IF($I136=3,"",IFBLANK(_xldudf_CX_PUSH(AF136,CX_ENTITY,$B136,AF$11,AF$14,AF$131,),"")))))),"")</f>
        <v/>
      </c>
      <c r="DG136" s="2445" t="str" cm="1">
        <f t="array" ca="1" aca="1" ref="DG136">IFERROR(IF(AG136*fxVal_normal=_PL!AG136,"",IF(OR(AG136="",NOT(ISNUMBER(AG136)),ISERROR(AG136),$B136=""),"",IF($I136=1,IFBLANK(_xldudf_CX_PUSH(AG136*fxVal_normal,CX_ENTITY,$B136,AG$11,AG$14,AG$131,),""),IF($I136=2,IFBLANK(_xldudf_CX_PUSH(AG136,CX_ENTITY,$B136,AG$11,AG$14,AG$131,),""),IF($I136=3,"",IFBLANK(_xldudf_CX_PUSH(AG136,CX_ENTITY,$B136,AG$11,AG$14,AG$131,),"")))))),"")</f>
        <v/>
      </c>
      <c r="DH136" s="2445" t="str" cm="1">
        <f t="array" ca="1" aca="1" ref="DH136">IFERROR(IF(AH136*fxVal_normal=_PL!AH136,"",IF(OR(AH136="",NOT(ISNUMBER(AH136)),ISERROR(AH136),$B136=""),"",IF($I136=1,IFBLANK(_xldudf_CX_PUSH(AH136*fxVal_normal,CX_ENTITY,$B136,AH$11,AH$14,AH$131,),""),IF($I136=2,IFBLANK(_xldudf_CX_PUSH(AH136,CX_ENTITY,$B136,AH$11,AH$14,AH$131,),""),IF($I136=3,"",IFBLANK(_xldudf_CX_PUSH(AH136,CX_ENTITY,$B136,AH$11,AH$14,AH$131,),"")))))),"")</f>
        <v/>
      </c>
      <c r="DI136" s="2445" t="str" cm="1">
        <f t="array" ca="1" aca="1" ref="DI136">IFERROR(IF(AI136*fxVal_normal=_PL!AI136,"",IF(OR(AI136="",NOT(ISNUMBER(AI136)),ISERROR(AI136),$B136=""),"",IF($I136=1,IFBLANK(_xldudf_CX_PUSH(AI136*fxVal_normal,CX_ENTITY,$B136,AI$11,AI$14,AI$131,),""),IF($I136=2,IFBLANK(_xldudf_CX_PUSH(AI136,CX_ENTITY,$B136,AI$11,AI$14,AI$131,),""),IF($I136=3,"",IFBLANK(_xldudf_CX_PUSH(AI136,CX_ENTITY,$B136,AI$11,AI$14,AI$131,),"")))))),"")</f>
        <v/>
      </c>
      <c r="DJ136" s="2445" t="str" cm="1">
        <f t="array" ca="1" aca="1" ref="DJ136">IFERROR(IF(AJ136*fxVal_normal=_PL!AJ136,"",IF(OR(AJ136="",NOT(ISNUMBER(AJ136)),ISERROR(AJ136),$B136=""),"",IF($I136=1,IFBLANK(_xldudf_CX_PUSH(AJ136*fxVal_normal,CX_ENTITY,$B136,AJ$11,AJ$14,AJ$131,),""),IF($I136=2,IFBLANK(_xldudf_CX_PUSH(AJ136,CX_ENTITY,$B136,AJ$11,AJ$14,AJ$131,),""),IF($I136=3,"",IFBLANK(_xldudf_CX_PUSH(AJ136,CX_ENTITY,$B136,AJ$11,AJ$14,AJ$131,),"")))))),"")</f>
        <v/>
      </c>
      <c r="DK136" s="2445" t="str" cm="1">
        <f t="array" ca="1" aca="1" ref="DK136">IFERROR(IF(AK136*fxVal_normal=_PL!AK136,"",IF(OR(AK136="",NOT(ISNUMBER(AK136)),ISERROR(AK136),$B136=""),"",IF($I136=1,IFBLANK(_xldudf_CX_PUSH(AK136*fxVal_normal,CX_ENTITY,$B136,AK$11,AK$14,AK$131,),""),IF($I136=2,IFBLANK(_xldudf_CX_PUSH(AK136,CX_ENTITY,$B136,AK$11,AK$14,AK$131,),""),IF($I136=3,"",IFBLANK(_xldudf_CX_PUSH(AK136,CX_ENTITY,$B136,AK$11,AK$14,AK$131,),"")))))),"")</f>
        <v/>
      </c>
      <c r="DL136" s="2445" t="str" cm="1">
        <f t="array" ca="1" aca="1" ref="DL136">IFERROR(IF(AL136*fxVal_normal=_PL!AL136,"",IF(OR(AL136="",NOT(ISNUMBER(AL136)),ISERROR(AL136),$B136=""),"",IF($I136=1,IFBLANK(_xldudf_CX_PUSH(AL136*fxVal_normal,CX_ENTITY,$B136,AL$11,AL$14,AL$131,),""),IF($I136=2,IFBLANK(_xldudf_CX_PUSH(AL136,CX_ENTITY,$B136,AL$11,AL$14,AL$131,),""),IF($I136=3,"",IFBLANK(_xldudf_CX_PUSH(AL136,CX_ENTITY,$B136,AL$11,AL$14,AL$131,),"")))))),"")</f>
        <v/>
      </c>
      <c r="DM136" s="2445" t="str" cm="1">
        <f t="array" ca="1" aca="1" ref="DM136">IFERROR(IF(AM136*fxVal_normal=_PL!AM136,"",IF(OR(AM136="",NOT(ISNUMBER(AM136)),ISERROR(AM136),$B136=""),"",IF($I136=1,IFBLANK(_xldudf_CX_PUSH(AM136*fxVal_normal,CX_ENTITY,$B136,AM$11,AM$14,AM$131,),""),IF($I136=2,IFBLANK(_xldudf_CX_PUSH(AM136,CX_ENTITY,$B136,AM$11,AM$14,AM$131,),""),IF($I136=3,"",IFBLANK(_xldudf_CX_PUSH(AM136,CX_ENTITY,$B136,AM$11,AM$14,AM$131,),"")))))),"")</f>
        <v/>
      </c>
      <c r="DN136" s="2445" t="str" cm="1">
        <f t="array" ca="1" aca="1" ref="DN136">IFERROR(IF(AN136*fxVal_normal=_PL!AN136,"",IF(OR(AN136="",NOT(ISNUMBER(AN136)),ISERROR(AN136),$B136=""),"",IF($I136=1,IFBLANK(_xldudf_CX_PUSH(AN136*fxVal_normal,CX_ENTITY,$B136,AN$11,AN$14,AN$131,),""),IF($I136=2,IFBLANK(_xldudf_CX_PUSH(AN136,CX_ENTITY,$B136,AN$11,AN$14,AN$131,),""),IF($I136=3,"",IFBLANK(_xldudf_CX_PUSH(AN136,CX_ENTITY,$B136,AN$11,AN$14,AN$131,),"")))))),"")</f>
        <v/>
      </c>
      <c r="DO136" s="2445" t="str" cm="1">
        <f t="array" ca="1" aca="1" ref="DO136">IFERROR(IF(AO136*fxVal_normal=_PL!AO136,"",IF(OR(AO136="",NOT(ISNUMBER(AO136)),ISERROR(AO136),$B136=""),"",IF($I136=1,IFBLANK(_xldudf_CX_PUSH(AO136*fxVal_normal,CX_ENTITY,$B136,AO$11,AO$14,AO$131,),""),IF($I136=2,IFBLANK(_xldudf_CX_PUSH(AO136,CX_ENTITY,$B136,AO$11,AO$14,AO$131,),""),IF($I136=3,"",IFBLANK(_xldudf_CX_PUSH(AO136,CX_ENTITY,$B136,AO$11,AO$14,AO$131,),"")))))),"")</f>
        <v/>
      </c>
      <c r="DP136" s="2445" t="str" cm="1">
        <f t="array" ca="1" aca="1" ref="DP136">IFERROR(IF(AP136*fxVal_normal=_PL!AP136,"",IF(OR(AP136="",NOT(ISNUMBER(AP136)),ISERROR(AP136),$B136=""),"",IF($I136=1,IFBLANK(_xldudf_CX_PUSH(AP136*fxVal_normal,CX_ENTITY,$B136,AP$11,AP$14,AP$131,),""),IF($I136=2,IFBLANK(_xldudf_CX_PUSH(AP136,CX_ENTITY,$B136,AP$11,AP$14,AP$131,),""),IF($I136=3,"",IFBLANK(_xldudf_CX_PUSH(AP136,CX_ENTITY,$B136,AP$11,AP$14,AP$131,),"")))))),"")</f>
        <v/>
      </c>
      <c r="DQ136" s="2445" t="str" cm="1">
        <f t="array" ca="1" aca="1" ref="DQ136">IFERROR(IF(AQ136*fxVal_normal=_PL!AQ136,"",IF(OR(AQ136="",NOT(ISNUMBER(AQ136)),ISERROR(AQ136),$B136=""),"",IF($I136=1,IFBLANK(_xldudf_CX_PUSH(AQ136*fxVal_normal,CX_ENTITY,$B136,AQ$11,AQ$14,AQ$131,),""),IF($I136=2,IFBLANK(_xldudf_CX_PUSH(AQ136,CX_ENTITY,$B136,AQ$11,AQ$14,AQ$131,),""),IF($I136=3,"",IFBLANK(_xldudf_CX_PUSH(AQ136,CX_ENTITY,$B136,AQ$11,AQ$14,AQ$131,),"")))))),"")</f>
        <v/>
      </c>
      <c r="DR136" s="2445" t="str" cm="1">
        <f t="array" ca="1" aca="1" ref="DR136">IFERROR(IF(AR136*fxVal_normal=_PL!AR136,"",IF(OR(AR136="",NOT(ISNUMBER(AR136)),ISERROR(AR136),$B136=""),"",IF($I136=1,IFBLANK(_xldudf_CX_PUSH(AR136*fxVal_normal,CX_ENTITY,$B136,AR$11,AR$14,AR$131,),""),IF($I136=2,IFBLANK(_xldudf_CX_PUSH(AR136,CX_ENTITY,$B136,AR$11,AR$14,AR$131,),""),IF($I136=3,"",IFBLANK(_xldudf_CX_PUSH(AR136,CX_ENTITY,$B136,AR$11,AR$14,AR$131,),"")))))),"")</f>
        <v/>
      </c>
      <c r="DS136" s="2445" t="str" cm="1">
        <f t="array" ca="1" aca="1" ref="DS136">IFERROR(IF(AS136*fxVal_normal=_PL!AS136,"",IF(OR(AS136="",NOT(ISNUMBER(AS136)),ISERROR(AS136),$B136=""),"",IF($I136=1,IFBLANK(_xldudf_CX_PUSH(AS136*fxVal_normal,CX_ENTITY,$B136,AS$11,AS$14,AS$131,),""),IF($I136=2,IFBLANK(_xldudf_CX_PUSH(AS136,CX_ENTITY,$B136,AS$11,AS$14,AS$131,),""),IF($I136=3,"",IFBLANK(_xldudf_CX_PUSH(AS136,CX_ENTITY,$B136,AS$11,AS$14,AS$131,),"")))))),"")</f>
        <v/>
      </c>
      <c r="DT136" s="2445" t="str" cm="1">
        <f t="array" ca="1" aca="1" ref="DT136">IFERROR(IF(AT136*fxVal_normal=_PL!AT136,"",IF(OR(AT136="",NOT(ISNUMBER(AT136)),ISERROR(AT136),$B136=""),"",IF($I136=1,IFBLANK(_xldudf_CX_PUSH(AT136*fxVal_normal,CX_ENTITY,$B136,AT$11,AT$14,AT$131,),""),IF($I136=2,IFBLANK(_xldudf_CX_PUSH(AT136,CX_ENTITY,$B136,AT$11,AT$14,AT$131,),""),IF($I136=3,"",IFBLANK(_xldudf_CX_PUSH(AT136,CX_ENTITY,$B136,AT$11,AT$14,AT$131,),"")))))),"")</f>
        <v/>
      </c>
      <c r="DU136" s="2445" t="str" cm="1">
        <f t="array" ca="1" aca="1" ref="DU136">IFERROR(IF(AU136*fxVal_normal=_PL!AU136,"",IF(OR(AU136="",NOT(ISNUMBER(AU136)),ISERROR(AU136),$B136=""),"",IF($I136=1,IFBLANK(_xldudf_CX_PUSH(AU136*fxVal_normal,CX_ENTITY,$B136,AU$11,AU$14,AU$131,),""),IF($I136=2,IFBLANK(_xldudf_CX_PUSH(AU136,CX_ENTITY,$B136,AU$11,AU$14,AU$131,),""),IF($I136=3,"",IFBLANK(_xldudf_CX_PUSH(AU136,CX_ENTITY,$B136,AU$11,AU$14,AU$131,),"")))))),"")</f>
        <v/>
      </c>
      <c r="DV136" s="2445" t="str" cm="1">
        <f t="array" ca="1" aca="1" ref="DV136">IFERROR(IF(AV136*fxVal_normal=_PL!AV136,"",IF(OR(AV136="",NOT(ISNUMBER(AV136)),ISERROR(AV136),$B136=""),"",IF($I136=1,IFBLANK(_xldudf_CX_PUSH(AV136*fxVal_normal,CX_ENTITY,$B136,AV$11,AV$14,AV$131,),""),IF($I136=2,IFBLANK(_xldudf_CX_PUSH(AV136,CX_ENTITY,$B136,AV$11,AV$14,AV$131,),""),IF($I136=3,"",IFBLANK(_xldudf_CX_PUSH(AV136,CX_ENTITY,$B136,AV$11,AV$14,AV$131,),"")))))),"")</f>
        <v/>
      </c>
      <c r="DW136" s="2445" t="str" cm="1">
        <f t="array" ca="1" aca="1" ref="DW136">IFERROR(IF(AW136*fxVal_normal=_PL!AW136,"",IF(OR(AW136="",NOT(ISNUMBER(AW136)),ISERROR(AW136),$B136=""),"",IF($I136=1,IFBLANK(_xldudf_CX_PUSH(AW136*fxVal_normal,CX_ENTITY,$B136,AW$11,AW$14,AW$131,),""),IF($I136=2,IFBLANK(_xldudf_CX_PUSH(AW136,CX_ENTITY,$B136,AW$11,AW$14,AW$131,),""),IF($I136=3,"",IFBLANK(_xldudf_CX_PUSH(AW136,CX_ENTITY,$B136,AW$11,AW$14,AW$131,),"")))))),"")</f>
        <v/>
      </c>
      <c r="DX136" s="2445" t="str" cm="1">
        <f t="array" ca="1" aca="1" ref="DX136">IFERROR(IF(AX136*fxVal_normal=_PL!AX136,"",IF(OR(AX136="",NOT(ISNUMBER(AX136)),ISERROR(AX136),$B136=""),"",IF($I136=1,IFBLANK(_xldudf_CX_PUSH(AX136*fxVal_normal,CX_ENTITY,$B136,AX$11,AX$14,AX$131,),""),IF($I136=2,IFBLANK(_xldudf_CX_PUSH(AX136,CX_ENTITY,$B136,AX$11,AX$14,AX$131,),""),IF($I136=3,"",IFBLANK(_xldudf_CX_PUSH(AX136,CX_ENTITY,$B136,AX$11,AX$14,AX$131,),"")))))),"")</f>
        <v/>
      </c>
      <c r="DY136" s="2445" t="str" cm="1">
        <f t="array" ca="1" aca="1" ref="DY136">IFERROR(IF(AY136*fxVal_normal=_PL!AY136,"",IF(OR(AY136="",NOT(ISNUMBER(AY136)),ISERROR(AY136),$B136=""),"",IF($I136=1,IFBLANK(_xldudf_CX_PUSH(AY136*fxVal_normal,CX_ENTITY,$B136,AY$11,AY$14,AY$131,),""),IF($I136=2,IFBLANK(_xldudf_CX_PUSH(AY136,CX_ENTITY,$B136,AY$11,AY$14,AY$131,),""),IF($I136=3,"",IFBLANK(_xldudf_CX_PUSH(AY136,CX_ENTITY,$B136,AY$11,AY$14,AY$131,),"")))))),"")</f>
        <v/>
      </c>
      <c r="DZ136" s="2445" t="str" cm="1">
        <f t="array" ca="1" aca="1" ref="DZ136">IFERROR(IF(AZ136*fxVal_normal=_PL!AZ136,"",IF(OR(AZ136="",NOT(ISNUMBER(AZ136)),ISERROR(AZ136),$B136=""),"",IF($I136=1,IFBLANK(_xldudf_CX_PUSH(AZ136*fxVal_normal,CX_ENTITY,$B136,AZ$11,AZ$14,AZ$131,),""),IF($I136=2,IFBLANK(_xldudf_CX_PUSH(AZ136,CX_ENTITY,$B136,AZ$11,AZ$14,AZ$131,),""),IF($I136=3,"",IFBLANK(_xldudf_CX_PUSH(AZ136,CX_ENTITY,$B136,AZ$11,AZ$14,AZ$131,),"")))))),"")</f>
        <v/>
      </c>
      <c r="EA136" s="2445" t="str" cm="1">
        <f t="array" ca="1" aca="1" ref="EA136">IFERROR(IF(BA136*fxVal_normal=_PL!BA136,"",IF(OR(BA136="",NOT(ISNUMBER(BA136)),ISERROR(BA136),$B136=""),"",IF($I136=1,IFBLANK(_xldudf_CX_PUSH(BA136*fxVal_normal,CX_ENTITY,$B136,BA$11,BA$14,BA$131,),""),IF($I136=2,IFBLANK(_xldudf_CX_PUSH(BA136,CX_ENTITY,$B136,BA$11,BA$14,BA$131,),""),IF($I136=3,"",IFBLANK(_xldudf_CX_PUSH(BA136,CX_ENTITY,$B136,BA$11,BA$14,BA$131,),"")))))),"")</f>
        <v/>
      </c>
      <c r="EB136" s="2445" t="str" cm="1">
        <f t="array" ca="1" aca="1" ref="EB136">IFERROR(IF(BB136*fxVal_normal=_PL!BB136,"",IF(OR(BB136="",NOT(ISNUMBER(BB136)),ISERROR(BB136),$B136=""),"",IF($I136=1,IFBLANK(_xldudf_CX_PUSH(BB136*fxVal_normal,CX_ENTITY,$B136,BB$11,BB$14,BB$131,),""),IF($I136=2,IFBLANK(_xldudf_CX_PUSH(BB136,CX_ENTITY,$B136,BB$11,BB$14,BB$131,),""),IF($I136=3,"",IFBLANK(_xldudf_CX_PUSH(BB136,CX_ENTITY,$B136,BB$11,BB$14,BB$131,),"")))))),"")</f>
        <v/>
      </c>
      <c r="EC136" s="2445" t="str" cm="1">
        <f t="array" ca="1" aca="1" ref="EC136">IFERROR(IF(BC136*fxVal_normal=_PL!BC136,"",IF(OR(BC136="",NOT(ISNUMBER(BC136)),ISERROR(BC136),$B136=""),"",IF($I136=1,IFBLANK(_xldudf_CX_PUSH(BC136*fxVal_normal,CX_ENTITY,$B136,BC$11,BC$14,BC$131,),""),IF($I136=2,IFBLANK(_xldudf_CX_PUSH(BC136,CX_ENTITY,$B136,BC$11,BC$14,BC$131,),""),IF($I136=3,"",IFBLANK(_xldudf_CX_PUSH(BC136,CX_ENTITY,$B136,BC$11,BC$14,BC$131,),"")))))),"")</f>
        <v/>
      </c>
      <c r="ED136" s="2445" t="str" cm="1">
        <f t="array" ca="1" aca="1" ref="ED136">IFERROR(IF(BD136*fxVal_normal=_PL!BD136,"",IF(OR(BD136="",NOT(ISNUMBER(BD136)),ISERROR(BD136),$B136=""),"",IF($I136=1,IFBLANK(_xldudf_CX_PUSH(BD136*fxVal_normal,CX_ENTITY,$B136,BD$11,BD$14,BD$131,),""),IF($I136=2,IFBLANK(_xldudf_CX_PUSH(BD136,CX_ENTITY,$B136,BD$11,BD$14,BD$131,),""),IF($I136=3,"",IFBLANK(_xldudf_CX_PUSH(BD136,CX_ENTITY,$B136,BD$11,BD$14,BD$131,),"")))))),"")</f>
        <v/>
      </c>
      <c r="EE136" s="2445" t="str" cm="1">
        <f t="array" ca="1" aca="1" ref="EE136">IFERROR(IF(BE136*fxVal_normal=_PL!BE136,"",IF(OR(BE136="",NOT(ISNUMBER(BE136)),ISERROR(BE136),$B136=""),"",IF($I136=1,IFBLANK(_xldudf_CX_PUSH(BE136*fxVal_normal,CX_ENTITY,$B136,BE$11,BE$14,BE$131,),""),IF($I136=2,IFBLANK(_xldudf_CX_PUSH(BE136,CX_ENTITY,$B136,BE$11,BE$14,BE$131,),""),IF($I136=3,"",IFBLANK(_xldudf_CX_PUSH(BE136,CX_ENTITY,$B136,BE$11,BE$14,BE$131,),"")))))),"")</f>
        <v/>
      </c>
      <c r="EF136" s="2445" t="str" cm="1">
        <f t="array" ca="1" aca="1" ref="EF136">IFERROR(IF(BF136*fxVal_normal=_PL!BF136,"",IF(OR(BF136="",NOT(ISNUMBER(BF136)),ISERROR(BF136),$B136=""),"",IF($I136=1,IFBLANK(_xldudf_CX_PUSH(BF136*fxVal_normal,CX_ENTITY,$B136,BF$11,BF$14,BF$131,),""),IF($I136=2,IFBLANK(_xldudf_CX_PUSH(BF136,CX_ENTITY,$B136,BF$11,BF$14,BF$131,),""),IF($I136=3,"",IFBLANK(_xldudf_CX_PUSH(BF136,CX_ENTITY,$B136,BF$11,BF$14,BF$131,),"")))))),"")</f>
        <v/>
      </c>
      <c r="EG136" s="2445" t="str" cm="1">
        <f t="array" ca="1" aca="1" ref="EG136">IFERROR(IF(BG136*fxVal_normal=_PL!BG136,"",IF(OR(BG136="",NOT(ISNUMBER(BG136)),ISERROR(BG136),$B136=""),"",IF($I136=1,IFBLANK(_xldudf_CX_PUSH(BG136*fxVal_normal,CX_ENTITY,$B136,BG$11,BG$14,BG$131,),""),IF($I136=2,IFBLANK(_xldudf_CX_PUSH(BG136,CX_ENTITY,$B136,BG$11,BG$14,BG$131,),""),IF($I136=3,"",IFBLANK(_xldudf_CX_PUSH(BG136,CX_ENTITY,$B136,BG$11,BG$14,BG$131,),"")))))),"")</f>
        <v/>
      </c>
      <c r="EH136" s="2445" t="str" cm="1">
        <f t="array" ca="1" aca="1" ref="EH136">IFERROR(IF(BH136*fxVal_normal=_PL!BH136,"",IF(OR(BH136="",NOT(ISNUMBER(BH136)),ISERROR(BH136),$B136=""),"",IF($I136=1,IFBLANK(_xldudf_CX_PUSH(BH136*fxVal_normal,CX_ENTITY,$B136,BH$11,BH$14,BH$131,),""),IF($I136=2,IFBLANK(_xldudf_CX_PUSH(BH136,CX_ENTITY,$B136,BH$11,BH$14,BH$131,),""),IF($I136=3,"",IFBLANK(_xldudf_CX_PUSH(BH136,CX_ENTITY,$B136,BH$11,BH$14,BH$131,),"")))))),"")</f>
        <v/>
      </c>
      <c r="EI136" s="2445" t="str" cm="1">
        <f t="array" ca="1" aca="1" ref="EI136">IFERROR(IF(BI136*fxVal_normal=_PL!BI136,"",IF(OR(BI136="",NOT(ISNUMBER(BI136)),ISERROR(BI136),$B136=""),"",IF($I136=1,IFBLANK(_xldudf_CX_PUSH(BI136*fxVal_normal,CX_ENTITY,$B136,BI$11,BI$14,BI$131,),""),IF($I136=2,IFBLANK(_xldudf_CX_PUSH(BI136,CX_ENTITY,$B136,BI$11,BI$14,BI$131,),""),IF($I136=3,"",IFBLANK(_xldudf_CX_PUSH(BI136,CX_ENTITY,$B136,BI$11,BI$14,BI$131,),"")))))),"")</f>
        <v/>
      </c>
      <c r="EJ136" s="2445" t="str" cm="1">
        <f t="array" ca="1" aca="1" ref="EJ136">IFERROR(IF(BJ136*fxVal_normal=_PL!BJ136,"",IF(OR(BJ136="",NOT(ISNUMBER(BJ136)),ISERROR(BJ136),$B136=""),"",IF($I136=1,IFBLANK(_xldudf_CX_PUSH(BJ136*fxVal_normal,CX_ENTITY,$B136,BJ$11,BJ$14,BJ$131,),""),IF($I136=2,IFBLANK(_xldudf_CX_PUSH(BJ136,CX_ENTITY,$B136,BJ$11,BJ$14,BJ$131,),""),IF($I136=3,"",IFBLANK(_xldudf_CX_PUSH(BJ136,CX_ENTITY,$B136,BJ$11,BJ$14,BJ$131,),"")))))),"")</f>
        <v/>
      </c>
      <c r="EK136" s="2445" t="str" cm="1">
        <f t="array" ca="1" aca="1" ref="EK136">IFERROR(IF(BK136*fxVal_normal=_PL!BK136,"",IF(OR(BK136="",NOT(ISNUMBER(BK136)),ISERROR(BK136),$B136=""),"",IF($I136=1,IFBLANK(_xldudf_CX_PUSH(BK136*fxVal_normal,CX_ENTITY,$B136,BK$11,BK$14,BK$131,),""),IF($I136=2,IFBLANK(_xldudf_CX_PUSH(BK136,CX_ENTITY,$B136,BK$11,BK$14,BK$131,),""),IF($I136=3,"",IFBLANK(_xldudf_CX_PUSH(BK136,CX_ENTITY,$B136,BK$11,BK$14,BK$131,),"")))))),"")</f>
        <v/>
      </c>
      <c r="EL136" s="2445" t="str" cm="1">
        <f t="array" ca="1" aca="1" ref="EL136">IFERROR(IF(BL136*fxVal_normal=_PL!BL136,"",IF(OR(BL136="",NOT(ISNUMBER(BL136)),ISERROR(BL136),$B136=""),"",IF($I136=1,IFBLANK(_xldudf_CX_PUSH(BL136*fxVal_normal,CX_ENTITY,$B136,BL$11,BL$14,BL$131,),""),IF($I136=2,IFBLANK(_xldudf_CX_PUSH(BL136,CX_ENTITY,$B136,BL$11,BL$14,BL$131,),""),IF($I136=3,"",IFBLANK(_xldudf_CX_PUSH(BL136,CX_ENTITY,$B136,BL$11,BL$14,BL$131,),"")))))),"")</f>
        <v/>
      </c>
      <c r="EM136" s="2445" t="str" cm="1">
        <f t="array" ca="1" aca="1" ref="EM136">IFERROR(IF(BM136*fxVal_normal=_PL!BM136,"",IF(OR(BM136="",NOT(ISNUMBER(BM136)),ISERROR(BM136),$B136=""),"",IF($I136=1,IFBLANK(_xldudf_CX_PUSH(BM136*fxVal_normal,CX_ENTITY,$B136,BM$11,BM$14,BM$131,),""),IF($I136=2,IFBLANK(_xldudf_CX_PUSH(BM136,CX_ENTITY,$B136,BM$11,BM$14,BM$131,),""),IF($I136=3,"",IFBLANK(_xldudf_CX_PUSH(BM136,CX_ENTITY,$B136,BM$11,BM$14,BM$131,),"")))))),"")</f>
        <v/>
      </c>
      <c r="EN136" s="2445" t="str" cm="1">
        <f t="array" ca="1" aca="1" ref="EN136">IFERROR(IF(BN136*fxVal_normal=_PL!BN136,"",IF(OR(BN136="",NOT(ISNUMBER(BN136)),ISERROR(BN136),$B136=""),"",IF($I136=1,IFBLANK(_xldudf_CX_PUSH(BN136*fxVal_normal,CX_ENTITY,$B136,BN$11,BN$14,BN$131,),""),IF($I136=2,IFBLANK(_xldudf_CX_PUSH(BN136,CX_ENTITY,$B136,BN$11,BN$14,BN$131,),""),IF($I136=3,"",IFBLANK(_xldudf_CX_PUSH(BN136,CX_ENTITY,$B136,BN$11,BN$14,BN$131,),"")))))),"")</f>
        <v/>
      </c>
    </row>
    <row r="137" spans="1:144" ht="21" customHeight="1">
      <c r="A137" s="1625"/>
      <c r="B137" s="2501" t="s">
        <v>114</v>
      </c>
      <c r="C137" s="2501"/>
      <c r="D137" s="1548"/>
      <c r="E137" s="2440" t="e" cm="1">
        <f t="array" ca="1" aca="1" ref="E13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137:$CQ137,Z137)</f>
        <v>#NAME?</v>
      </c>
      <c r="F137" s="578"/>
      <c r="G137" s="578"/>
      <c r="H137" s="3279">
        <v>1</v>
      </c>
      <c r="I137" s="3334">
        <v>2</v>
      </c>
      <c r="J137" s="3280" cm="1">
        <f t="array" ref="J137">IFBLANK(Z137,"")</f>
        <v>1</v>
      </c>
      <c r="K137" s="578"/>
      <c r="L137" s="37"/>
      <c r="N137" s="158"/>
      <c r="O137" s="101"/>
      <c r="P137" s="52"/>
      <c r="Q137" s="2"/>
      <c r="R137" s="101"/>
      <c r="S137" s="101"/>
      <c r="T137" s="101"/>
      <c r="U137" s="39"/>
      <c r="V137" s="37"/>
      <c r="W137" s="91" t="str">
        <f>W133</f>
        <v>Actual</v>
      </c>
      <c r="X137" s="1959"/>
      <c r="Y137" s="509" t="str">
        <f>_PL!Y137</f>
        <v>of which Organic Top Line Volume Growth (LTM)</v>
      </c>
      <c r="Z137" s="3291">
        <f>_PL!Z137</f>
        <v>1</v>
      </c>
      <c r="AA137" s="97"/>
      <c r="AB137" s="33" t="str">
        <f>_PL!AB137</f>
        <v>of which Organic Top Line Volume Growth (LTM)</v>
      </c>
      <c r="AC137" s="2550" t="str" cm="1">
        <f t="array" ca="1" aca="1" ref="AC137">_xlfn.LET(_xlpm._termname,$AB137,_xlpm._iconname,"find",_xlpm._icon,fx_getIcon(_xlpm._iconname),_xlpm._location,_xlfn.XLOOKUP(LOWER(_xlpm._termname),LOWER(tbl_acctDef[Term]),tbl_acctDef[Term]),_xlpm._hyperlink,HYPERLINK("#"&amp;CELL("address",_xlpm._location),_xlpm._icon),IFERROR(_xlpm._hyperlink,""))</f>
        <v/>
      </c>
      <c r="AD137" s="3177">
        <v>1</v>
      </c>
      <c r="AE137" s="3177">
        <v>1</v>
      </c>
      <c r="AF137" s="3177">
        <v>1</v>
      </c>
      <c r="AG137" s="3177">
        <v>1</v>
      </c>
      <c r="AH137" s="3177">
        <v>1</v>
      </c>
      <c r="AI137" s="3177">
        <v>1</v>
      </c>
      <c r="AJ137" s="3177">
        <v>1</v>
      </c>
      <c r="AK137" s="3177">
        <v>1</v>
      </c>
      <c r="AL137" s="3177">
        <v>1</v>
      </c>
      <c r="AM137" s="3177">
        <v>1</v>
      </c>
      <c r="AN137" s="3177">
        <v>1</v>
      </c>
      <c r="AO137" s="3177">
        <v>1</v>
      </c>
      <c r="AP137" s="3177">
        <v>1</v>
      </c>
      <c r="AQ137" s="3177">
        <v>1</v>
      </c>
      <c r="AR137" s="3177">
        <v>1</v>
      </c>
      <c r="AS137" s="3177">
        <v>1</v>
      </c>
      <c r="AT137" s="3177">
        <v>1</v>
      </c>
      <c r="AU137" s="3177">
        <v>1</v>
      </c>
      <c r="AV137" s="3177">
        <v>1</v>
      </c>
      <c r="AW137" s="3177">
        <v>1</v>
      </c>
      <c r="AX137" s="3177">
        <v>1</v>
      </c>
      <c r="AY137" s="3177">
        <v>1</v>
      </c>
      <c r="AZ137" s="3177">
        <v>1</v>
      </c>
      <c r="BA137" s="3177">
        <v>1</v>
      </c>
      <c r="BB137" s="3177">
        <v>1</v>
      </c>
      <c r="BC137" s="3177">
        <v>1</v>
      </c>
      <c r="BD137" s="3177">
        <v>1</v>
      </c>
      <c r="BE137" s="3177">
        <v>1</v>
      </c>
      <c r="BF137" s="3177">
        <v>1</v>
      </c>
      <c r="BG137" s="3177">
        <v>1</v>
      </c>
      <c r="BH137" s="3177">
        <v>1</v>
      </c>
      <c r="BI137" s="3177">
        <v>1</v>
      </c>
      <c r="BJ137" s="3177">
        <v>1</v>
      </c>
      <c r="BK137" s="3177">
        <v>1</v>
      </c>
      <c r="BL137" s="3177">
        <v>1</v>
      </c>
      <c r="BM137" s="3177">
        <v>1</v>
      </c>
      <c r="BN137" s="3177">
        <v>1</v>
      </c>
      <c r="BO137" s="2442"/>
      <c r="BP137" s="2442"/>
      <c r="BQ137" s="2442"/>
      <c r="BR137" s="2442"/>
      <c r="BS137" s="2442"/>
      <c r="BT137" s="2442"/>
      <c r="BU137" s="2442"/>
      <c r="BV137" s="2442"/>
      <c r="BW137" s="2442"/>
      <c r="BX137" s="2442"/>
      <c r="BY137" s="2442"/>
      <c r="BZ137" s="2442"/>
      <c r="CA137" s="34"/>
      <c r="CC137" s="50"/>
      <c r="CD137" s="1461" t="e" cm="1">
        <f t="array" ca="1" aca="1" ref="CD137">_xlfn.LET(_xlpm.CheckBlank,SUM(PL!$AD137:$BN137)=0,IF(_xlpm.CheckBlank,"",SUM(_xlfn._xlws.FILTER(PL!$AD137:$BN137,(YEAR(PL!$AD$12:$BN$12)=PL!CD$12)*(array_timeline&lt;=PL!CD$11)))))</f>
        <v>#NAME?</v>
      </c>
      <c r="CE137" s="1461" t="e" cm="1">
        <f t="array" ca="1" aca="1" ref="CE137">_xlfn.LET(_xlpm.CheckBlank,SUM(PL!$AD137:$BN137)=0,IF(_xlpm.CheckBlank,"",SUM(_xlfn._xlws.FILTER(PL!$AD137:$BN137,(YEAR(PL!$AD$12:$BN$12)=PL!CE$12)*(array_timeline&lt;=PL!CE$11)))))</f>
        <v>#NAME?</v>
      </c>
      <c r="CF137" s="1169"/>
      <c r="CG137" s="1461" t="e" cm="1">
        <f t="array" ca="1" aca="1" ref="CG137">_xlfn.LET(_xlpm.CheckBlank,SUM(PL!$AD137:$BN137)=0,IF(_xlpm.CheckBlank,"",SUM(_xlfn._xlws.FILTER(PL!$AD137:$BN137,(YEAR(PL!$AD$12:$BN$12)=PL!CG$12)*(array_timeline&lt;=PL!CG$11)))))</f>
        <v>#NAME?</v>
      </c>
      <c r="CH137" s="1461" t="e" cm="1">
        <f t="array" ca="1" aca="1" ref="CH137">_xlfn.LET(_xlpm.CheckBlank,SUM(PL!$AD137:$BN137)=0,IF(_xlpm.CheckBlank,"",SUM(_xlfn._xlws.FILTER(PL!$AD137:$BN137,(YEAR(PL!$AD$12:$BN$12)=PL!CH$12)*(array_timeline&lt;=PL!CH$11)))))</f>
        <v>#NAME?</v>
      </c>
      <c r="CI137" s="2549"/>
      <c r="CJ137" s="1461" cm="1">
        <f t="array" ref="CJ137">_xlfn.LET(_xlpm.CheckBlank,SUM(PL!$AD137:$BN137)=0,IF(_xlpm.CheckBlank,"",SUM(_xlfn.TAKE(_xlfn.DROP(PL!$AD137:$BN137,,-DATEDIFF(PL!CJ$11,val_asOfDate,"M")),1,-12))))</f>
        <v>12</v>
      </c>
      <c r="CK137" s="1461" cm="1">
        <f t="array" ref="CK137">_xlfn.LET(_xlpm.CheckBlank,SUM(PL!$AD137:$BN137)=0,IF(_xlpm.CheckBlank,"",SUM(_xlfn.TAKE(_xlfn.DROP(PL!$AD137:$BN137,,-DATEDIFF(PL!CK$11,val_asOfDate,"M")),1,-12))))</f>
        <v>12</v>
      </c>
      <c r="CL137" s="88"/>
      <c r="CM137" s="3177">
        <v>1</v>
      </c>
      <c r="CN137" s="3177">
        <v>1</v>
      </c>
      <c r="CO137" s="1169"/>
      <c r="CP137" s="3177">
        <v>1</v>
      </c>
      <c r="CQ137" s="3177">
        <v>1</v>
      </c>
      <c r="CR137" s="34"/>
      <c r="CS137" s="2056"/>
      <c r="CT137" s="2085" t="str" cm="1">
        <f t="array" ref="CT137">IF(K137&lt;&gt;"Yes","",IF(OR(Y137="Select,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III"),"",IF(OR(Y137&lt;&gt;AB137,AND(LEN(B137)=0,NOT(OR(Y137="Select,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III")))),_xldudf_CX_PUSH(Y137,CX_ENTITY,C137,EOMONTH(val_asOfDate,0)),"")))</f>
        <v/>
      </c>
      <c r="CU137" s="2085" t="str" cm="1">
        <f t="array" ref="CU137">IF(K137&lt;&gt;"Yes","",IF(OR(Y137="Select,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III"),"",IF(OR(Y137&lt;&gt;AB137,AND(LEN(B137)=0,NOT(OR(Y137="Select,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III")))),_xldudf_CX_PUSH(Y137,CX_ENTITY,C137,EOMONTH(val_asOfDate,1)),"")))</f>
        <v/>
      </c>
      <c r="CV137" s="2085" t="str" cm="1">
        <f t="array" ref="CV137">IF(K137&lt;&gt;"Yes","",IF(OR(Y137="Select,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III"),"",IF(OR(Y137&lt;&gt;AB137,AND(LEN(B137)=0,NOT(OR(Y137="Select,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III")))),_xldudf_CX_PUSH(Y137,CX_ENTITY,C137,EOMONTH(val_asOfDate,2)),"")))</f>
        <v/>
      </c>
      <c r="CW137" s="2085" t="str" cm="1">
        <f t="array" ref="CW137">IF(K137&lt;&gt;"Yes","",IF(OR(Y137="Select,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III"),"",IF(OR(Y137&lt;&gt;AB137,AND(LEN(B137)=0,NOT(OR(Y137="Select,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III")))),_xldudf_CX_PUSH(Y137,CX_ENTITY,C137,EOMONTH(val_asOfDate,3)),"")))</f>
        <v/>
      </c>
      <c r="CX137" s="2443"/>
      <c r="CY137" s="2447" t="e" cm="1">
        <f t="array" ca="1" aca="1" ref="CY137">IF(CM137=_PL!CM137,"",IF(OR($CM137="",$CM137=0,NOT(ISNUMBER($CM137)),ISERROR($CM137),$B137=""),"",IF($I137=1,IFBLANK(_xldudf_CX_PUSH($CM137*fxVal_normal,CX_ENTITY,$B137,$CM$11,$CM$14,$CM$19,),""),IF($I137=2,IFBLANK(_xldudf_CX_PUSH($CM137,CX_ENTITY,$B137,$CM$11,$CM$14,$CM$19,),""),IF($I137=3,"",IFBLANK(_xldudf_CX_PUSH($CM137,CX_ENTITY,$B137,$CM$11,$CM$14,$CM$19,),""))))))</f>
        <v>#NAME?</v>
      </c>
      <c r="CZ137" s="2447" t="e" cm="1">
        <f t="array" ca="1" aca="1" ref="CZ137">IF(CN137=_PL!CN137,"",IF(OR($CN137="",$CN137=0,NOT(ISNUMBER($CN137)),ISERROR($CN137),$B137=""),"",IF($I137=1,IFBLANK(_xldudf_CX_PUSH($CN137*fxVal_normal,CX_ENTITY,$B137,$CN$11,$CN$14,$CN$19,),""),IF($I137=2,IFBLANK(_xldudf_CX_PUSH($CN137,CX_ENTITY,$B137,$CN$11,$CN$14,$CN$19,),""),IF($I137=3,"",IFBLANK(_xldudf_CX_PUSH($CN137,CX_ENTITY,$B137,$CN$11,$CN$14,$CN$19,),""))))))</f>
        <v>#NAME?</v>
      </c>
      <c r="DA137" s="2447" t="e" cm="1">
        <f t="array" ca="1" aca="1" ref="DA137">IF(CP137=_PL!CP137,"",IF(OR($CP137="",$CP137=0,NOT(ISNUMBER($CP137)),ISERROR($CP137),$B137=""),"",IF($I137=1,IFBLANK(_xldudf_CX_PUSH($CP137*fxVal_normal,CX_ENTITY,$B137,$CP$11,$CP$14,$CP$19,),""),IF($I137=2,IFBLANK(_xldudf_CX_PUSH($CP137,CX_ENTITY,$B137,$CP$11,$CP$14,$CP$19,),""),IF($I137=3,"",IFBLANK(_xldudf_CX_PUSH($CP137,CX_ENTITY,$B137,$CP$11,$CP$14,$CP$19,),""))))))</f>
        <v>#NAME?</v>
      </c>
      <c r="DB137" s="2447" t="e" cm="1">
        <f t="array" ca="1" aca="1" ref="DB137">IF(CQ137=_PL!CQ137,"",IF(OR($CQ137="",$CQ137=0,NOT(ISNUMBER($CQ137)),ISERROR($CQ137),$B137=""),"",IF($I137=1,IFBLANK(_xldudf_CX_PUSH($CQ137*fxVal_normal,CX_ENTITY,$B137,$CQ$11,$CQ$14,$CQ$19,),""),IF($I137=2,IFBLANK(_xldudf_CX_PUSH($CQ137,CX_ENTITY,$B137,$CQ$11,$CQ$14,$CQ$19,),""),IF($I137=3,"",IFBLANK(_xldudf_CX_PUSH($CQ137,CX_ENTITY,$B137,$CQ$11,$CQ$14,$CQ$19,),""))))))</f>
        <v>#NAME?</v>
      </c>
      <c r="DC137" s="2443"/>
      <c r="DD137" s="2445" t="str" cm="1">
        <f t="array" ca="1" aca="1" ref="DD137">IFERROR(IF(AD137*fxVal_normal=_PL!AD137,"",IF(OR(AD137="",NOT(ISNUMBER(AD137)),ISERROR(AD137),$B137=""),"",IF($I137=1,IFBLANK(_xldudf_CX_PUSH(AD137*fxVal_normal,CX_ENTITY,$B137,AD$11,AD$14,AD$131,),""),IF($I137=2,IFBLANK(_xldudf_CX_PUSH(AD137,CX_ENTITY,$B137,AD$11,AD$14,AD$131,),""),IF($I137=3,"",IFBLANK(_xldudf_CX_PUSH(AD137,CX_ENTITY,$B137,AD$11,AD$14,AD$131,),"")))))),"")</f>
        <v/>
      </c>
      <c r="DE137" s="2445" t="str" cm="1">
        <f t="array" ca="1" aca="1" ref="DE137">IFERROR(IF(AE137*fxVal_normal=_PL!AE137,"",IF(OR(AE137="",NOT(ISNUMBER(AE137)),ISERROR(AE137),$B137=""),"",IF($I137=1,IFBLANK(_xldudf_CX_PUSH(AE137*fxVal_normal,CX_ENTITY,$B137,AE$11,AE$14,AE$131,),""),IF($I137=2,IFBLANK(_xldudf_CX_PUSH(AE137,CX_ENTITY,$B137,AE$11,AE$14,AE$131,),""),IF($I137=3,"",IFBLANK(_xldudf_CX_PUSH(AE137,CX_ENTITY,$B137,AE$11,AE$14,AE$131,),"")))))),"")</f>
        <v/>
      </c>
      <c r="DF137" s="2445" t="str" cm="1">
        <f t="array" ca="1" aca="1" ref="DF137">IFERROR(IF(AF137*fxVal_normal=_PL!AF137,"",IF(OR(AF137="",NOT(ISNUMBER(AF137)),ISERROR(AF137),$B137=""),"",IF($I137=1,IFBLANK(_xldudf_CX_PUSH(AF137*fxVal_normal,CX_ENTITY,$B137,AF$11,AF$14,AF$131,),""),IF($I137=2,IFBLANK(_xldudf_CX_PUSH(AF137,CX_ENTITY,$B137,AF$11,AF$14,AF$131,),""),IF($I137=3,"",IFBLANK(_xldudf_CX_PUSH(AF137,CX_ENTITY,$B137,AF$11,AF$14,AF$131,),"")))))),"")</f>
        <v/>
      </c>
      <c r="DG137" s="2445" t="str" cm="1">
        <f t="array" ca="1" aca="1" ref="DG137">IFERROR(IF(AG137*fxVal_normal=_PL!AG137,"",IF(OR(AG137="",NOT(ISNUMBER(AG137)),ISERROR(AG137),$B137=""),"",IF($I137=1,IFBLANK(_xldudf_CX_PUSH(AG137*fxVal_normal,CX_ENTITY,$B137,AG$11,AG$14,AG$131,),""),IF($I137=2,IFBLANK(_xldudf_CX_PUSH(AG137,CX_ENTITY,$B137,AG$11,AG$14,AG$131,),""),IF($I137=3,"",IFBLANK(_xldudf_CX_PUSH(AG137,CX_ENTITY,$B137,AG$11,AG$14,AG$131,),"")))))),"")</f>
        <v/>
      </c>
      <c r="DH137" s="2445" t="str" cm="1">
        <f t="array" ca="1" aca="1" ref="DH137">IFERROR(IF(AH137*fxVal_normal=_PL!AH137,"",IF(OR(AH137="",NOT(ISNUMBER(AH137)),ISERROR(AH137),$B137=""),"",IF($I137=1,IFBLANK(_xldudf_CX_PUSH(AH137*fxVal_normal,CX_ENTITY,$B137,AH$11,AH$14,AH$131,),""),IF($I137=2,IFBLANK(_xldudf_CX_PUSH(AH137,CX_ENTITY,$B137,AH$11,AH$14,AH$131,),""),IF($I137=3,"",IFBLANK(_xldudf_CX_PUSH(AH137,CX_ENTITY,$B137,AH$11,AH$14,AH$131,),"")))))),"")</f>
        <v/>
      </c>
      <c r="DI137" s="2445" t="str" cm="1">
        <f t="array" ca="1" aca="1" ref="DI137">IFERROR(IF(AI137*fxVal_normal=_PL!AI137,"",IF(OR(AI137="",NOT(ISNUMBER(AI137)),ISERROR(AI137),$B137=""),"",IF($I137=1,IFBLANK(_xldudf_CX_PUSH(AI137*fxVal_normal,CX_ENTITY,$B137,AI$11,AI$14,AI$131,),""),IF($I137=2,IFBLANK(_xldudf_CX_PUSH(AI137,CX_ENTITY,$B137,AI$11,AI$14,AI$131,),""),IF($I137=3,"",IFBLANK(_xldudf_CX_PUSH(AI137,CX_ENTITY,$B137,AI$11,AI$14,AI$131,),"")))))),"")</f>
        <v/>
      </c>
      <c r="DJ137" s="2445" t="str" cm="1">
        <f t="array" ca="1" aca="1" ref="DJ137">IFERROR(IF(AJ137*fxVal_normal=_PL!AJ137,"",IF(OR(AJ137="",NOT(ISNUMBER(AJ137)),ISERROR(AJ137),$B137=""),"",IF($I137=1,IFBLANK(_xldudf_CX_PUSH(AJ137*fxVal_normal,CX_ENTITY,$B137,AJ$11,AJ$14,AJ$131,),""),IF($I137=2,IFBLANK(_xldudf_CX_PUSH(AJ137,CX_ENTITY,$B137,AJ$11,AJ$14,AJ$131,),""),IF($I137=3,"",IFBLANK(_xldudf_CX_PUSH(AJ137,CX_ENTITY,$B137,AJ$11,AJ$14,AJ$131,),"")))))),"")</f>
        <v/>
      </c>
      <c r="DK137" s="2445" t="str" cm="1">
        <f t="array" ca="1" aca="1" ref="DK137">IFERROR(IF(AK137*fxVal_normal=_PL!AK137,"",IF(OR(AK137="",NOT(ISNUMBER(AK137)),ISERROR(AK137),$B137=""),"",IF($I137=1,IFBLANK(_xldudf_CX_PUSH(AK137*fxVal_normal,CX_ENTITY,$B137,AK$11,AK$14,AK$131,),""),IF($I137=2,IFBLANK(_xldudf_CX_PUSH(AK137,CX_ENTITY,$B137,AK$11,AK$14,AK$131,),""),IF($I137=3,"",IFBLANK(_xldudf_CX_PUSH(AK137,CX_ENTITY,$B137,AK$11,AK$14,AK$131,),"")))))),"")</f>
        <v/>
      </c>
      <c r="DL137" s="2445" t="str" cm="1">
        <f t="array" ca="1" aca="1" ref="DL137">IFERROR(IF(AL137*fxVal_normal=_PL!AL137,"",IF(OR(AL137="",NOT(ISNUMBER(AL137)),ISERROR(AL137),$B137=""),"",IF($I137=1,IFBLANK(_xldudf_CX_PUSH(AL137*fxVal_normal,CX_ENTITY,$B137,AL$11,AL$14,AL$131,),""),IF($I137=2,IFBLANK(_xldudf_CX_PUSH(AL137,CX_ENTITY,$B137,AL$11,AL$14,AL$131,),""),IF($I137=3,"",IFBLANK(_xldudf_CX_PUSH(AL137,CX_ENTITY,$B137,AL$11,AL$14,AL$131,),"")))))),"")</f>
        <v/>
      </c>
      <c r="DM137" s="2445" t="str" cm="1">
        <f t="array" ca="1" aca="1" ref="DM137">IFERROR(IF(AM137*fxVal_normal=_PL!AM137,"",IF(OR(AM137="",NOT(ISNUMBER(AM137)),ISERROR(AM137),$B137=""),"",IF($I137=1,IFBLANK(_xldudf_CX_PUSH(AM137*fxVal_normal,CX_ENTITY,$B137,AM$11,AM$14,AM$131,),""),IF($I137=2,IFBLANK(_xldudf_CX_PUSH(AM137,CX_ENTITY,$B137,AM$11,AM$14,AM$131,),""),IF($I137=3,"",IFBLANK(_xldudf_CX_PUSH(AM137,CX_ENTITY,$B137,AM$11,AM$14,AM$131,),"")))))),"")</f>
        <v/>
      </c>
      <c r="DN137" s="2445" t="str" cm="1">
        <f t="array" ca="1" aca="1" ref="DN137">IFERROR(IF(AN137*fxVal_normal=_PL!AN137,"",IF(OR(AN137="",NOT(ISNUMBER(AN137)),ISERROR(AN137),$B137=""),"",IF($I137=1,IFBLANK(_xldudf_CX_PUSH(AN137*fxVal_normal,CX_ENTITY,$B137,AN$11,AN$14,AN$131,),""),IF($I137=2,IFBLANK(_xldudf_CX_PUSH(AN137,CX_ENTITY,$B137,AN$11,AN$14,AN$131,),""),IF($I137=3,"",IFBLANK(_xldudf_CX_PUSH(AN137,CX_ENTITY,$B137,AN$11,AN$14,AN$131,),"")))))),"")</f>
        <v/>
      </c>
      <c r="DO137" s="2445" t="str" cm="1">
        <f t="array" ca="1" aca="1" ref="DO137">IFERROR(IF(AO137*fxVal_normal=_PL!AO137,"",IF(OR(AO137="",NOT(ISNUMBER(AO137)),ISERROR(AO137),$B137=""),"",IF($I137=1,IFBLANK(_xldudf_CX_PUSH(AO137*fxVal_normal,CX_ENTITY,$B137,AO$11,AO$14,AO$131,),""),IF($I137=2,IFBLANK(_xldudf_CX_PUSH(AO137,CX_ENTITY,$B137,AO$11,AO$14,AO$131,),""),IF($I137=3,"",IFBLANK(_xldudf_CX_PUSH(AO137,CX_ENTITY,$B137,AO$11,AO$14,AO$131,),"")))))),"")</f>
        <v/>
      </c>
      <c r="DP137" s="2445" t="str" cm="1">
        <f t="array" ca="1" aca="1" ref="DP137">IFERROR(IF(AP137*fxVal_normal=_PL!AP137,"",IF(OR(AP137="",NOT(ISNUMBER(AP137)),ISERROR(AP137),$B137=""),"",IF($I137=1,IFBLANK(_xldudf_CX_PUSH(AP137*fxVal_normal,CX_ENTITY,$B137,AP$11,AP$14,AP$131,),""),IF($I137=2,IFBLANK(_xldudf_CX_PUSH(AP137,CX_ENTITY,$B137,AP$11,AP$14,AP$131,),""),IF($I137=3,"",IFBLANK(_xldudf_CX_PUSH(AP137,CX_ENTITY,$B137,AP$11,AP$14,AP$131,),"")))))),"")</f>
        <v/>
      </c>
      <c r="DQ137" s="2445" t="str" cm="1">
        <f t="array" ca="1" aca="1" ref="DQ137">IFERROR(IF(AQ137*fxVal_normal=_PL!AQ137,"",IF(OR(AQ137="",NOT(ISNUMBER(AQ137)),ISERROR(AQ137),$B137=""),"",IF($I137=1,IFBLANK(_xldudf_CX_PUSH(AQ137*fxVal_normal,CX_ENTITY,$B137,AQ$11,AQ$14,AQ$131,),""),IF($I137=2,IFBLANK(_xldudf_CX_PUSH(AQ137,CX_ENTITY,$B137,AQ$11,AQ$14,AQ$131,),""),IF($I137=3,"",IFBLANK(_xldudf_CX_PUSH(AQ137,CX_ENTITY,$B137,AQ$11,AQ$14,AQ$131,),"")))))),"")</f>
        <v/>
      </c>
      <c r="DR137" s="2445" t="str" cm="1">
        <f t="array" ca="1" aca="1" ref="DR137">IFERROR(IF(AR137*fxVal_normal=_PL!AR137,"",IF(OR(AR137="",NOT(ISNUMBER(AR137)),ISERROR(AR137),$B137=""),"",IF($I137=1,IFBLANK(_xldudf_CX_PUSH(AR137*fxVal_normal,CX_ENTITY,$B137,AR$11,AR$14,AR$131,),""),IF($I137=2,IFBLANK(_xldudf_CX_PUSH(AR137,CX_ENTITY,$B137,AR$11,AR$14,AR$131,),""),IF($I137=3,"",IFBLANK(_xldudf_CX_PUSH(AR137,CX_ENTITY,$B137,AR$11,AR$14,AR$131,),"")))))),"")</f>
        <v/>
      </c>
      <c r="DS137" s="2445" t="str" cm="1">
        <f t="array" ca="1" aca="1" ref="DS137">IFERROR(IF(AS137*fxVal_normal=_PL!AS137,"",IF(OR(AS137="",NOT(ISNUMBER(AS137)),ISERROR(AS137),$B137=""),"",IF($I137=1,IFBLANK(_xldudf_CX_PUSH(AS137*fxVal_normal,CX_ENTITY,$B137,AS$11,AS$14,AS$131,),""),IF($I137=2,IFBLANK(_xldudf_CX_PUSH(AS137,CX_ENTITY,$B137,AS$11,AS$14,AS$131,),""),IF($I137=3,"",IFBLANK(_xldudf_CX_PUSH(AS137,CX_ENTITY,$B137,AS$11,AS$14,AS$131,),"")))))),"")</f>
        <v/>
      </c>
      <c r="DT137" s="2445" t="str" cm="1">
        <f t="array" ca="1" aca="1" ref="DT137">IFERROR(IF(AT137*fxVal_normal=_PL!AT137,"",IF(OR(AT137="",NOT(ISNUMBER(AT137)),ISERROR(AT137),$B137=""),"",IF($I137=1,IFBLANK(_xldudf_CX_PUSH(AT137*fxVal_normal,CX_ENTITY,$B137,AT$11,AT$14,AT$131,),""),IF($I137=2,IFBLANK(_xldudf_CX_PUSH(AT137,CX_ENTITY,$B137,AT$11,AT$14,AT$131,),""),IF($I137=3,"",IFBLANK(_xldudf_CX_PUSH(AT137,CX_ENTITY,$B137,AT$11,AT$14,AT$131,),"")))))),"")</f>
        <v/>
      </c>
      <c r="DU137" s="2445" t="str" cm="1">
        <f t="array" ca="1" aca="1" ref="DU137">IFERROR(IF(AU137*fxVal_normal=_PL!AU137,"",IF(OR(AU137="",NOT(ISNUMBER(AU137)),ISERROR(AU137),$B137=""),"",IF($I137=1,IFBLANK(_xldudf_CX_PUSH(AU137*fxVal_normal,CX_ENTITY,$B137,AU$11,AU$14,AU$131,),""),IF($I137=2,IFBLANK(_xldudf_CX_PUSH(AU137,CX_ENTITY,$B137,AU$11,AU$14,AU$131,),""),IF($I137=3,"",IFBLANK(_xldudf_CX_PUSH(AU137,CX_ENTITY,$B137,AU$11,AU$14,AU$131,),"")))))),"")</f>
        <v/>
      </c>
      <c r="DV137" s="2445" t="str" cm="1">
        <f t="array" ca="1" aca="1" ref="DV137">IFERROR(IF(AV137*fxVal_normal=_PL!AV137,"",IF(OR(AV137="",NOT(ISNUMBER(AV137)),ISERROR(AV137),$B137=""),"",IF($I137=1,IFBLANK(_xldudf_CX_PUSH(AV137*fxVal_normal,CX_ENTITY,$B137,AV$11,AV$14,AV$131,),""),IF($I137=2,IFBLANK(_xldudf_CX_PUSH(AV137,CX_ENTITY,$B137,AV$11,AV$14,AV$131,),""),IF($I137=3,"",IFBLANK(_xldudf_CX_PUSH(AV137,CX_ENTITY,$B137,AV$11,AV$14,AV$131,),"")))))),"")</f>
        <v/>
      </c>
      <c r="DW137" s="2445" t="str" cm="1">
        <f t="array" ca="1" aca="1" ref="DW137">IFERROR(IF(AW137*fxVal_normal=_PL!AW137,"",IF(OR(AW137="",NOT(ISNUMBER(AW137)),ISERROR(AW137),$B137=""),"",IF($I137=1,IFBLANK(_xldudf_CX_PUSH(AW137*fxVal_normal,CX_ENTITY,$B137,AW$11,AW$14,AW$131,),""),IF($I137=2,IFBLANK(_xldudf_CX_PUSH(AW137,CX_ENTITY,$B137,AW$11,AW$14,AW$131,),""),IF($I137=3,"",IFBLANK(_xldudf_CX_PUSH(AW137,CX_ENTITY,$B137,AW$11,AW$14,AW$131,),"")))))),"")</f>
        <v/>
      </c>
      <c r="DX137" s="2445" t="str" cm="1">
        <f t="array" ca="1" aca="1" ref="DX137">IFERROR(IF(AX137*fxVal_normal=_PL!AX137,"",IF(OR(AX137="",NOT(ISNUMBER(AX137)),ISERROR(AX137),$B137=""),"",IF($I137=1,IFBLANK(_xldudf_CX_PUSH(AX137*fxVal_normal,CX_ENTITY,$B137,AX$11,AX$14,AX$131,),""),IF($I137=2,IFBLANK(_xldudf_CX_PUSH(AX137,CX_ENTITY,$B137,AX$11,AX$14,AX$131,),""),IF($I137=3,"",IFBLANK(_xldudf_CX_PUSH(AX137,CX_ENTITY,$B137,AX$11,AX$14,AX$131,),"")))))),"")</f>
        <v/>
      </c>
      <c r="DY137" s="2445" t="str" cm="1">
        <f t="array" ca="1" aca="1" ref="DY137">IFERROR(IF(AY137*fxVal_normal=_PL!AY137,"",IF(OR(AY137="",NOT(ISNUMBER(AY137)),ISERROR(AY137),$B137=""),"",IF($I137=1,IFBLANK(_xldudf_CX_PUSH(AY137*fxVal_normal,CX_ENTITY,$B137,AY$11,AY$14,AY$131,),""),IF($I137=2,IFBLANK(_xldudf_CX_PUSH(AY137,CX_ENTITY,$B137,AY$11,AY$14,AY$131,),""),IF($I137=3,"",IFBLANK(_xldudf_CX_PUSH(AY137,CX_ENTITY,$B137,AY$11,AY$14,AY$131,),"")))))),"")</f>
        <v/>
      </c>
      <c r="DZ137" s="2445" t="str" cm="1">
        <f t="array" ca="1" aca="1" ref="DZ137">IFERROR(IF(AZ137*fxVal_normal=_PL!AZ137,"",IF(OR(AZ137="",NOT(ISNUMBER(AZ137)),ISERROR(AZ137),$B137=""),"",IF($I137=1,IFBLANK(_xldudf_CX_PUSH(AZ137*fxVal_normal,CX_ENTITY,$B137,AZ$11,AZ$14,AZ$131,),""),IF($I137=2,IFBLANK(_xldudf_CX_PUSH(AZ137,CX_ENTITY,$B137,AZ$11,AZ$14,AZ$131,),""),IF($I137=3,"",IFBLANK(_xldudf_CX_PUSH(AZ137,CX_ENTITY,$B137,AZ$11,AZ$14,AZ$131,),"")))))),"")</f>
        <v/>
      </c>
      <c r="EA137" s="2445" t="str" cm="1">
        <f t="array" ca="1" aca="1" ref="EA137">IFERROR(IF(BA137*fxVal_normal=_PL!BA137,"",IF(OR(BA137="",NOT(ISNUMBER(BA137)),ISERROR(BA137),$B137=""),"",IF($I137=1,IFBLANK(_xldudf_CX_PUSH(BA137*fxVal_normal,CX_ENTITY,$B137,BA$11,BA$14,BA$131,),""),IF($I137=2,IFBLANK(_xldudf_CX_PUSH(BA137,CX_ENTITY,$B137,BA$11,BA$14,BA$131,),""),IF($I137=3,"",IFBLANK(_xldudf_CX_PUSH(BA137,CX_ENTITY,$B137,BA$11,BA$14,BA$131,),"")))))),"")</f>
        <v/>
      </c>
      <c r="EB137" s="2445" t="str" cm="1">
        <f t="array" ca="1" aca="1" ref="EB137">IFERROR(IF(BB137*fxVal_normal=_PL!BB137,"",IF(OR(BB137="",NOT(ISNUMBER(BB137)),ISERROR(BB137),$B137=""),"",IF($I137=1,IFBLANK(_xldudf_CX_PUSH(BB137*fxVal_normal,CX_ENTITY,$B137,BB$11,BB$14,BB$131,),""),IF($I137=2,IFBLANK(_xldudf_CX_PUSH(BB137,CX_ENTITY,$B137,BB$11,BB$14,BB$131,),""),IF($I137=3,"",IFBLANK(_xldudf_CX_PUSH(BB137,CX_ENTITY,$B137,BB$11,BB$14,BB$131,),"")))))),"")</f>
        <v/>
      </c>
      <c r="EC137" s="2445" t="str" cm="1">
        <f t="array" ca="1" aca="1" ref="EC137">IFERROR(IF(BC137*fxVal_normal=_PL!BC137,"",IF(OR(BC137="",NOT(ISNUMBER(BC137)),ISERROR(BC137),$B137=""),"",IF($I137=1,IFBLANK(_xldudf_CX_PUSH(BC137*fxVal_normal,CX_ENTITY,$B137,BC$11,BC$14,BC$131,),""),IF($I137=2,IFBLANK(_xldudf_CX_PUSH(BC137,CX_ENTITY,$B137,BC$11,BC$14,BC$131,),""),IF($I137=3,"",IFBLANK(_xldudf_CX_PUSH(BC137,CX_ENTITY,$B137,BC$11,BC$14,BC$131,),"")))))),"")</f>
        <v/>
      </c>
      <c r="ED137" s="2445" t="str" cm="1">
        <f t="array" ca="1" aca="1" ref="ED137">IFERROR(IF(BD137*fxVal_normal=_PL!BD137,"",IF(OR(BD137="",NOT(ISNUMBER(BD137)),ISERROR(BD137),$B137=""),"",IF($I137=1,IFBLANK(_xldudf_CX_PUSH(BD137*fxVal_normal,CX_ENTITY,$B137,BD$11,BD$14,BD$131,),""),IF($I137=2,IFBLANK(_xldudf_CX_PUSH(BD137,CX_ENTITY,$B137,BD$11,BD$14,BD$131,),""),IF($I137=3,"",IFBLANK(_xldudf_CX_PUSH(BD137,CX_ENTITY,$B137,BD$11,BD$14,BD$131,),"")))))),"")</f>
        <v/>
      </c>
      <c r="EE137" s="2445" t="str" cm="1">
        <f t="array" ca="1" aca="1" ref="EE137">IFERROR(IF(BE137*fxVal_normal=_PL!BE137,"",IF(OR(BE137="",NOT(ISNUMBER(BE137)),ISERROR(BE137),$B137=""),"",IF($I137=1,IFBLANK(_xldudf_CX_PUSH(BE137*fxVal_normal,CX_ENTITY,$B137,BE$11,BE$14,BE$131,),""),IF($I137=2,IFBLANK(_xldudf_CX_PUSH(BE137,CX_ENTITY,$B137,BE$11,BE$14,BE$131,),""),IF($I137=3,"",IFBLANK(_xldudf_CX_PUSH(BE137,CX_ENTITY,$B137,BE$11,BE$14,BE$131,),"")))))),"")</f>
        <v/>
      </c>
      <c r="EF137" s="2445" t="str" cm="1">
        <f t="array" ca="1" aca="1" ref="EF137">IFERROR(IF(BF137*fxVal_normal=_PL!BF137,"",IF(OR(BF137="",NOT(ISNUMBER(BF137)),ISERROR(BF137),$B137=""),"",IF($I137=1,IFBLANK(_xldudf_CX_PUSH(BF137*fxVal_normal,CX_ENTITY,$B137,BF$11,BF$14,BF$131,),""),IF($I137=2,IFBLANK(_xldudf_CX_PUSH(BF137,CX_ENTITY,$B137,BF$11,BF$14,BF$131,),""),IF($I137=3,"",IFBLANK(_xldudf_CX_PUSH(BF137,CX_ENTITY,$B137,BF$11,BF$14,BF$131,),"")))))),"")</f>
        <v/>
      </c>
      <c r="EG137" s="2445" t="str" cm="1">
        <f t="array" ca="1" aca="1" ref="EG137">IFERROR(IF(BG137*fxVal_normal=_PL!BG137,"",IF(OR(BG137="",NOT(ISNUMBER(BG137)),ISERROR(BG137),$B137=""),"",IF($I137=1,IFBLANK(_xldudf_CX_PUSH(BG137*fxVal_normal,CX_ENTITY,$B137,BG$11,BG$14,BG$131,),""),IF($I137=2,IFBLANK(_xldudf_CX_PUSH(BG137,CX_ENTITY,$B137,BG$11,BG$14,BG$131,),""),IF($I137=3,"",IFBLANK(_xldudf_CX_PUSH(BG137,CX_ENTITY,$B137,BG$11,BG$14,BG$131,),"")))))),"")</f>
        <v/>
      </c>
      <c r="EH137" s="2445" t="str" cm="1">
        <f t="array" ca="1" aca="1" ref="EH137">IFERROR(IF(BH137*fxVal_normal=_PL!BH137,"",IF(OR(BH137="",NOT(ISNUMBER(BH137)),ISERROR(BH137),$B137=""),"",IF($I137=1,IFBLANK(_xldudf_CX_PUSH(BH137*fxVal_normal,CX_ENTITY,$B137,BH$11,BH$14,BH$131,),""),IF($I137=2,IFBLANK(_xldudf_CX_PUSH(BH137,CX_ENTITY,$B137,BH$11,BH$14,BH$131,),""),IF($I137=3,"",IFBLANK(_xldudf_CX_PUSH(BH137,CX_ENTITY,$B137,BH$11,BH$14,BH$131,),"")))))),"")</f>
        <v/>
      </c>
      <c r="EI137" s="2445" t="str" cm="1">
        <f t="array" ca="1" aca="1" ref="EI137">IFERROR(IF(BI137*fxVal_normal=_PL!BI137,"",IF(OR(BI137="",NOT(ISNUMBER(BI137)),ISERROR(BI137),$B137=""),"",IF($I137=1,IFBLANK(_xldudf_CX_PUSH(BI137*fxVal_normal,CX_ENTITY,$B137,BI$11,BI$14,BI$131,),""),IF($I137=2,IFBLANK(_xldudf_CX_PUSH(BI137,CX_ENTITY,$B137,BI$11,BI$14,BI$131,),""),IF($I137=3,"",IFBLANK(_xldudf_CX_PUSH(BI137,CX_ENTITY,$B137,BI$11,BI$14,BI$131,),"")))))),"")</f>
        <v/>
      </c>
      <c r="EJ137" s="2445" t="str" cm="1">
        <f t="array" ca="1" aca="1" ref="EJ137">IFERROR(IF(BJ137*fxVal_normal=_PL!BJ137,"",IF(OR(BJ137="",NOT(ISNUMBER(BJ137)),ISERROR(BJ137),$B137=""),"",IF($I137=1,IFBLANK(_xldudf_CX_PUSH(BJ137*fxVal_normal,CX_ENTITY,$B137,BJ$11,BJ$14,BJ$131,),""),IF($I137=2,IFBLANK(_xldudf_CX_PUSH(BJ137,CX_ENTITY,$B137,BJ$11,BJ$14,BJ$131,),""),IF($I137=3,"",IFBLANK(_xldudf_CX_PUSH(BJ137,CX_ENTITY,$B137,BJ$11,BJ$14,BJ$131,),"")))))),"")</f>
        <v/>
      </c>
      <c r="EK137" s="2445" t="str" cm="1">
        <f t="array" ca="1" aca="1" ref="EK137">IFERROR(IF(BK137*fxVal_normal=_PL!BK137,"",IF(OR(BK137="",NOT(ISNUMBER(BK137)),ISERROR(BK137),$B137=""),"",IF($I137=1,IFBLANK(_xldudf_CX_PUSH(BK137*fxVal_normal,CX_ENTITY,$B137,BK$11,BK$14,BK$131,),""),IF($I137=2,IFBLANK(_xldudf_CX_PUSH(BK137,CX_ENTITY,$B137,BK$11,BK$14,BK$131,),""),IF($I137=3,"",IFBLANK(_xldudf_CX_PUSH(BK137,CX_ENTITY,$B137,BK$11,BK$14,BK$131,),"")))))),"")</f>
        <v/>
      </c>
      <c r="EL137" s="2445" t="str" cm="1">
        <f t="array" ca="1" aca="1" ref="EL137">IFERROR(IF(BL137*fxVal_normal=_PL!BL137,"",IF(OR(BL137="",NOT(ISNUMBER(BL137)),ISERROR(BL137),$B137=""),"",IF($I137=1,IFBLANK(_xldudf_CX_PUSH(BL137*fxVal_normal,CX_ENTITY,$B137,BL$11,BL$14,BL$131,),""),IF($I137=2,IFBLANK(_xldudf_CX_PUSH(BL137,CX_ENTITY,$B137,BL$11,BL$14,BL$131,),""),IF($I137=3,"",IFBLANK(_xldudf_CX_PUSH(BL137,CX_ENTITY,$B137,BL$11,BL$14,BL$131,),"")))))),"")</f>
        <v/>
      </c>
      <c r="EM137" s="2445" t="str" cm="1">
        <f t="array" ca="1" aca="1" ref="EM137">IFERROR(IF(BM137*fxVal_normal=_PL!BM137,"",IF(OR(BM137="",NOT(ISNUMBER(BM137)),ISERROR(BM137),$B137=""),"",IF($I137=1,IFBLANK(_xldudf_CX_PUSH(BM137*fxVal_normal,CX_ENTITY,$B137,BM$11,BM$14,BM$131,),""),IF($I137=2,IFBLANK(_xldudf_CX_PUSH(BM137,CX_ENTITY,$B137,BM$11,BM$14,BM$131,),""),IF($I137=3,"",IFBLANK(_xldudf_CX_PUSH(BM137,CX_ENTITY,$B137,BM$11,BM$14,BM$131,),"")))))),"")</f>
        <v/>
      </c>
      <c r="EN137" s="2445" t="str" cm="1">
        <f t="array" ca="1" aca="1" ref="EN137">IFERROR(IF(BN137*fxVal_normal=_PL!BN137,"",IF(OR(BN137="",NOT(ISNUMBER(BN137)),ISERROR(BN137),$B137=""),"",IF($I137=1,IFBLANK(_xldudf_CX_PUSH(BN137*fxVal_normal,CX_ENTITY,$B137,BN$11,BN$14,BN$131,),""),IF($I137=2,IFBLANK(_xldudf_CX_PUSH(BN137,CX_ENTITY,$B137,BN$11,BN$14,BN$131,),""),IF($I137=3,"",IFBLANK(_xldudf_CX_PUSH(BN137,CX_ENTITY,$B137,BN$11,BN$14,BN$131,),"")))))),"")</f>
        <v/>
      </c>
    </row>
    <row r="138" spans="1:156" ht="21" customHeight="1">
      <c r="A138" s="2449" t="s">
        <v>22</v>
      </c>
      <c r="B138" s="2501" t="str">
        <f>_xlfn.LET(_xlpm.IsNotAttrDynamic,D138="",_xlpm.Attr,_PL!F138,_xlpm.NotInUse,Y138=D138,_xlpm.RESULT,IF(_xlpm.IsNotAttrDynamic,_xlpm.Attr,IF(_xlpm.NotInUse,"",Y138)),IF(_xlpm.RESULT="","",_xlpm.RESULT))</f>
        <v/>
      </c>
      <c r="C138" s="2501" t="str" cm="1">
        <f t="array" ref="C138">IFBLANK(_PL!C138,"")</f>
        <v/>
      </c>
      <c r="D138" s="1548"/>
      <c r="E138" s="2440" t="e" cm="1">
        <f t="array" ca="1" aca="1" ref="E13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138:$CQ138,Z138)</f>
        <v>#NAME?</v>
      </c>
      <c r="F138" s="576"/>
      <c r="G138" s="576"/>
      <c r="H138" s="3297">
        <v>2</v>
      </c>
      <c r="I138" s="3297">
        <v>1</v>
      </c>
      <c r="J138" s="401" cm="1">
        <f t="array" ref="J138">IFBLANK(Z138,"")</f>
        <v>0</v>
      </c>
      <c r="K138" s="578" t="str">
        <f t="shared" si="47"/>
        <v>Yes</v>
      </c>
      <c r="L138" s="37"/>
      <c r="N138" s="158"/>
      <c r="O138" s="101"/>
      <c r="P138" s="52"/>
      <c r="Q138" s="2"/>
      <c r="R138" s="101"/>
      <c r="S138" s="101"/>
      <c r="T138" s="101"/>
      <c r="U138" s="39"/>
      <c r="V138" s="37"/>
      <c r="W138" s="268" t="str">
        <f>W132</f>
        <v>Actual</v>
      </c>
      <c r="X138" s="2551">
        <f>_PL!X138</f>
        <v>0</v>
      </c>
      <c r="Y138" s="270" t="str">
        <f>_PL!Y138</f>
        <v>Check Sum</v>
      </c>
      <c r="Z138" s="538">
        <f>_PL!Z138</f>
        <v>0</v>
      </c>
      <c r="AA138" s="904"/>
      <c r="AB138" s="1136" t="s">
        <v>115</v>
      </c>
      <c r="AC138" s="124" t="str" cm="1">
        <f t="array" ca="1" aca="1" ref="AC138">_xlfn.LET(_xlpm._termname,$AB138,_xlpm._iconname,"find",_xlpm._icon,fx_getIcon(_xlpm._iconname),_xlpm._location,_xlfn.XLOOKUP(LOWER(_xlpm._termname),LOWER(tbl_acctDef[Term]),tbl_acctDef[Term]),_xlpm._hyperlink,HYPERLINK("#"&amp;CELL("address",_xlpm._location),_xlpm._icon),IFERROR(_xlpm._hyperlink,""))</f>
        <v/>
      </c>
      <c r="AD138" s="3211">
        <f>IF(ISNUMBER(AD132),IF(ABS(SUM(AD133:AD134)-AD132)&lt;0.1,0,1),"")</f>
        <v>1</v>
      </c>
      <c r="AE138" s="3211">
        <f t="shared" si="48" ref="AE138:BN138">IF(ISNUMBER(AE132),IF(ABS(SUM(AE133:AE134)-AE132)&lt;0.1,0,1),"")</f>
        <v>1</v>
      </c>
      <c r="AF138" s="3211">
        <f t="shared" si="48"/>
        <v>1</v>
      </c>
      <c r="AG138" s="3211">
        <f t="shared" si="48"/>
        <v>1</v>
      </c>
      <c r="AH138" s="3211">
        <f t="shared" si="48"/>
        <v>1</v>
      </c>
      <c r="AI138" s="3211">
        <f t="shared" si="48"/>
        <v>1</v>
      </c>
      <c r="AJ138" s="3211">
        <f t="shared" si="48"/>
        <v>1</v>
      </c>
      <c r="AK138" s="3211">
        <f t="shared" si="48"/>
        <v>1</v>
      </c>
      <c r="AL138" s="3211">
        <f t="shared" si="48"/>
        <v>1</v>
      </c>
      <c r="AM138" s="3211">
        <f t="shared" si="48"/>
        <v>1</v>
      </c>
      <c r="AN138" s="3211">
        <f t="shared" si="48"/>
        <v>1</v>
      </c>
      <c r="AO138" s="3211">
        <f t="shared" si="48"/>
        <v>1</v>
      </c>
      <c r="AP138" s="3211">
        <f t="shared" si="48"/>
        <v>1</v>
      </c>
      <c r="AQ138" s="3211">
        <f t="shared" si="48"/>
        <v>1</v>
      </c>
      <c r="AR138" s="3211">
        <f t="shared" si="48"/>
        <v>1</v>
      </c>
      <c r="AS138" s="3211">
        <f t="shared" si="48"/>
        <v>1</v>
      </c>
      <c r="AT138" s="3211">
        <f t="shared" si="48"/>
        <v>1</v>
      </c>
      <c r="AU138" s="3211">
        <f t="shared" si="48"/>
        <v>1</v>
      </c>
      <c r="AV138" s="3211">
        <f t="shared" si="48"/>
        <v>1</v>
      </c>
      <c r="AW138" s="3211">
        <f t="shared" si="48"/>
        <v>1</v>
      </c>
      <c r="AX138" s="3211">
        <f t="shared" si="48"/>
        <v>1</v>
      </c>
      <c r="AY138" s="3211">
        <f t="shared" si="48"/>
        <v>1</v>
      </c>
      <c r="AZ138" s="3211">
        <f t="shared" si="48"/>
        <v>1</v>
      </c>
      <c r="BA138" s="3211">
        <f t="shared" si="48"/>
        <v>1</v>
      </c>
      <c r="BB138" s="3211">
        <f t="shared" si="48"/>
        <v>1</v>
      </c>
      <c r="BC138" s="3211">
        <f t="shared" si="48"/>
        <v>1</v>
      </c>
      <c r="BD138" s="3211">
        <f t="shared" si="48"/>
        <v>1</v>
      </c>
      <c r="BE138" s="3211">
        <f t="shared" si="48"/>
        <v>1</v>
      </c>
      <c r="BF138" s="3211">
        <f t="shared" si="48"/>
        <v>1</v>
      </c>
      <c r="BG138" s="3211">
        <f t="shared" si="48"/>
        <v>1</v>
      </c>
      <c r="BH138" s="3211">
        <f t="shared" si="48"/>
        <v>1</v>
      </c>
      <c r="BI138" s="3211">
        <f t="shared" si="48"/>
        <v>1</v>
      </c>
      <c r="BJ138" s="3211">
        <f t="shared" si="48"/>
        <v>1</v>
      </c>
      <c r="BK138" s="3211">
        <f t="shared" si="48"/>
        <v>1</v>
      </c>
      <c r="BL138" s="3211">
        <f t="shared" si="48"/>
        <v>1</v>
      </c>
      <c r="BM138" s="3211">
        <f t="shared" si="48"/>
        <v>1</v>
      </c>
      <c r="BN138" s="3211">
        <f t="shared" si="48"/>
        <v>1</v>
      </c>
      <c r="BO138" s="2120"/>
      <c r="BP138" s="2120"/>
      <c r="BQ138" s="2120"/>
      <c r="BR138" s="2120"/>
      <c r="BS138" s="2120"/>
      <c r="BT138" s="2120"/>
      <c r="BU138" s="2120"/>
      <c r="BV138" s="2120"/>
      <c r="BW138" s="2120"/>
      <c r="BX138" s="2120"/>
      <c r="BY138" s="2120"/>
      <c r="BZ138" s="2120"/>
      <c r="CA138" s="34"/>
      <c r="CC138" s="50"/>
      <c r="CD138" s="1461" t="e" cm="1">
        <f t="array" ca="1" aca="1" ref="CD138">_xlfn.LET(_xlpm.CheckBlank,SUM(PL!$AD138:$BN138)=0,IF(_xlpm.CheckBlank,"",SUM(_xlfn._xlws.FILTER(PL!$AD138:$BN138,(YEAR(PL!$AD$12:$BN$12)=PL!CD$12)*(array_timeline&lt;=PL!CD$11)))))</f>
        <v>#NAME?</v>
      </c>
      <c r="CE138" s="1461" t="e" cm="1">
        <f t="array" ca="1" aca="1" ref="CE138">_xlfn.LET(_xlpm.CheckBlank,SUM(PL!$AD138:$BN138)=0,IF(_xlpm.CheckBlank,"",SUM(_xlfn._xlws.FILTER(PL!$AD138:$BN138,(YEAR(PL!$AD$12:$BN$12)=PL!CE$12)*(array_timeline&lt;=PL!CE$11)))))</f>
        <v>#NAME?</v>
      </c>
      <c r="CF138" s="88"/>
      <c r="CG138" s="1461" t="e" cm="1">
        <f t="array" ca="1" aca="1" ref="CG138">_xlfn.LET(_xlpm.CheckBlank,SUM(PL!$AD138:$BN138)=0,IF(_xlpm.CheckBlank,"",SUM(_xlfn._xlws.FILTER(PL!$AD138:$BN138,(YEAR(PL!$AD$12:$BN$12)=PL!CG$12)*(array_timeline&lt;=PL!CG$11)))))</f>
        <v>#NAME?</v>
      </c>
      <c r="CH138" s="1461" t="e" cm="1">
        <f t="array" ca="1" aca="1" ref="CH138">_xlfn.LET(_xlpm.CheckBlank,SUM(PL!$AD138:$BN138)=0,IF(_xlpm.CheckBlank,"",SUM(_xlfn._xlws.FILTER(PL!$AD138:$BN138,(YEAR(PL!$AD$12:$BN$12)=PL!CH$12)*(array_timeline&lt;=PL!CH$11)))))</f>
        <v>#NAME?</v>
      </c>
      <c r="CI138" s="88"/>
      <c r="CJ138" s="1461">
        <f>_xlfn.LET(_xlpm.CheckBlank,SUM(PL!$AD138:$BN138)=0,IF(_xlpm.CheckBlank,"",SUM(_xlfn.TAKE(_xlfn.DROP(PL!$AB138:$BN138,,-1),1,-12))))</f>
        <v>12</v>
      </c>
      <c r="CK138" s="1461">
        <f>_xlfn.LET(_xlpm.CheckBlank,SUM(PL!$AD138:$BN138)=0,IF(_xlpm.CheckBlank,"",SUM(_xlfn.TAKE(PL!$AB138:$BN138,1,-12))))</f>
        <v>12</v>
      </c>
      <c r="CL138" s="88"/>
      <c r="CM138" s="3212">
        <f>IF(ISNUMBER(CM132),IF(ABS(SUM(CM133:CM134)-CM132)&lt;0.1,0,1),"")</f>
        <v>1</v>
      </c>
      <c r="CN138" s="3212">
        <f>IF(ISNUMBER(CN132),IF(ABS(SUM(CN133:CN134)-CN132)&lt;0.1,0,1),"")</f>
        <v>1</v>
      </c>
      <c r="CO138" s="1169"/>
      <c r="CP138" s="3212">
        <f>IF(ISNUMBER(CP132),IF(ABS(SUM(CP133:CP134)-CP132)&lt;0.1,0,1),"")</f>
        <v>1</v>
      </c>
      <c r="CQ138" s="3212">
        <f>IF(ISNUMBER(CQ132),IF(ABS(SUM(CQ133:CQ134)-CQ132)&lt;0.1,0,1),"")</f>
        <v>1</v>
      </c>
      <c r="CR138" s="34"/>
      <c r="CS138" s="2056"/>
      <c r="CT138" s="1880"/>
      <c r="CU138" s="1880"/>
      <c r="CV138" s="1880"/>
      <c r="CW138" s="1880"/>
      <c r="CX138" s="2121"/>
      <c r="CY138" s="1880"/>
      <c r="CZ138" s="1880"/>
      <c r="DA138" s="1880"/>
      <c r="DB138" s="1880"/>
      <c r="DC138" s="2121"/>
      <c r="DD138" s="1880"/>
      <c r="DE138" s="1880"/>
      <c r="DF138" s="1880"/>
      <c r="DG138" s="1880"/>
      <c r="DH138" s="1880"/>
      <c r="DI138" s="1880"/>
      <c r="DJ138" s="1880"/>
      <c r="DK138" s="1880"/>
      <c r="DL138" s="1880"/>
      <c r="DM138" s="1880"/>
      <c r="DN138" s="1880"/>
      <c r="DO138" s="1880"/>
      <c r="DP138" s="1880"/>
      <c r="DQ138" s="1880"/>
      <c r="DR138" s="1880"/>
      <c r="DS138" s="1880"/>
      <c r="DT138" s="1880"/>
      <c r="DU138" s="1880"/>
      <c r="DV138" s="1880"/>
      <c r="DW138" s="1880"/>
      <c r="DX138" s="1880"/>
      <c r="DY138" s="1880"/>
      <c r="DZ138" s="1880"/>
      <c r="EA138" s="1880"/>
      <c r="EB138" s="1880"/>
      <c r="EC138" s="1880"/>
      <c r="ED138" s="1880"/>
      <c r="EE138" s="1880"/>
      <c r="EF138" s="1880"/>
      <c r="EG138" s="1880"/>
      <c r="EH138" s="1880"/>
      <c r="EI138" s="1880"/>
      <c r="EJ138" s="1880"/>
      <c r="EK138" s="1880"/>
      <c r="EL138" s="1880"/>
      <c r="EM138" s="1880"/>
      <c r="EN138" s="1880"/>
      <c r="EO138" s="1880"/>
      <c r="EP138" s="1880"/>
      <c r="EQ138" s="1880"/>
      <c r="ER138" s="1880"/>
      <c r="ES138" s="1880"/>
      <c r="ET138" s="1880"/>
      <c r="EU138" s="1880"/>
      <c r="EV138" s="1880"/>
      <c r="EW138" s="1880"/>
      <c r="EX138" s="1880"/>
      <c r="EY138" s="1880"/>
      <c r="EZ138" s="1880"/>
    </row>
    <row r="139" spans="1:157" ht="32.5">
      <c r="A139" s="1625"/>
      <c r="B139" s="2439" t="str">
        <f>_xlfn.LET(_xlpm.IsNotAttrDynamic,D139="",_xlpm.Attr,_PL!F139,_xlpm.NotInUse,Y139=D139,_xlpm.RESULT,IF(_xlpm.IsNotAttrDynamic,_xlpm.Attr,IF(_xlpm.NotInUse,"",Y139)),IF(_xlpm.RESULT="","",_xlpm.RESULT))</f>
        <v/>
      </c>
      <c r="C139" s="2439" t="str" cm="1">
        <f t="array" ref="C139">IFBLANK(_PL!C139,"")</f>
        <v/>
      </c>
      <c r="D139" s="1548"/>
      <c r="E139" s="2453"/>
      <c r="F139" s="578"/>
      <c r="G139" s="578"/>
      <c r="H139" s="578"/>
      <c r="I139" s="578"/>
      <c r="J139" s="401"/>
      <c r="K139" s="578" t="str">
        <f t="shared" si="47"/>
        <v>No</v>
      </c>
      <c r="L139" s="37"/>
      <c r="N139" s="158"/>
      <c r="O139" s="101"/>
      <c r="P139" s="52"/>
      <c r="Q139" s="2"/>
      <c r="R139" s="101"/>
      <c r="S139" s="101"/>
      <c r="T139" s="101"/>
      <c r="U139" s="39"/>
      <c r="V139" s="37"/>
      <c r="W139" s="283"/>
      <c r="X139" s="887"/>
      <c r="Y139" s="2552"/>
      <c r="Z139" s="2553"/>
      <c r="AA139" s="2554"/>
      <c r="AB139" s="2555"/>
      <c r="AC139" s="2556"/>
      <c r="AD139" s="2556"/>
      <c r="AE139" s="2556"/>
      <c r="AF139" s="2556"/>
      <c r="AG139" s="2556"/>
      <c r="AH139" s="2556"/>
      <c r="AI139" s="2556"/>
      <c r="AJ139" s="2556"/>
      <c r="AK139" s="2556"/>
      <c r="AL139" s="2556"/>
      <c r="AM139" s="2556"/>
      <c r="AN139" s="2556"/>
      <c r="AO139" s="2556"/>
      <c r="AP139" s="2556"/>
      <c r="AQ139" s="2556"/>
      <c r="AR139" s="2556"/>
      <c r="AS139" s="2556"/>
      <c r="AT139" s="2556"/>
      <c r="AU139" s="2556"/>
      <c r="AV139" s="2556"/>
      <c r="AW139" s="2556"/>
      <c r="AX139" s="2556"/>
      <c r="AY139" s="2556"/>
      <c r="AZ139" s="2556"/>
      <c r="BA139" s="2556"/>
      <c r="BB139" s="2556"/>
      <c r="BC139" s="2556"/>
      <c r="BD139" s="2556"/>
      <c r="BE139" s="2556"/>
      <c r="BF139" s="2556"/>
      <c r="BG139" s="2556"/>
      <c r="BH139" s="2556"/>
      <c r="BI139" s="2556"/>
      <c r="BJ139" s="2556"/>
      <c r="BK139" s="2556"/>
      <c r="BL139" s="2556"/>
      <c r="BM139" s="2556"/>
      <c r="BN139" s="2556"/>
      <c r="BO139" s="2556"/>
      <c r="BP139" s="2556"/>
      <c r="BQ139" s="2556"/>
      <c r="BR139" s="2556"/>
      <c r="BS139" s="2556"/>
      <c r="BT139" s="2556"/>
      <c r="BU139" s="2556"/>
      <c r="BV139" s="2556"/>
      <c r="BW139" s="2556"/>
      <c r="BX139" s="2556"/>
      <c r="BY139" s="2556"/>
      <c r="BZ139" s="2556"/>
      <c r="CA139" s="34"/>
      <c r="CC139" s="50"/>
      <c r="CD139" s="294"/>
      <c r="CE139" s="294"/>
      <c r="CF139" s="294"/>
      <c r="CG139" s="294"/>
      <c r="CH139" s="294"/>
      <c r="CI139" s="293"/>
      <c r="CJ139" s="295"/>
      <c r="CK139" s="295"/>
      <c r="CL139" s="88"/>
      <c r="CM139" s="88"/>
      <c r="CN139" s="88"/>
      <c r="CO139" s="88"/>
      <c r="CP139" s="88"/>
      <c r="CQ139" s="88"/>
      <c r="CR139" s="34"/>
      <c r="CS139" s="2056"/>
      <c r="CT139" s="1880"/>
      <c r="CU139" s="1880"/>
      <c r="CV139" s="1880"/>
      <c r="CW139" s="1880"/>
      <c r="CX139" s="2121"/>
      <c r="CY139" s="1880"/>
      <c r="CZ139" s="1880"/>
      <c r="DA139" s="1880"/>
      <c r="DB139" s="1880"/>
      <c r="DC139" s="2121"/>
      <c r="DD139" s="1880"/>
      <c r="DE139" s="1880"/>
      <c r="DF139" s="1880"/>
      <c r="DG139" s="1880"/>
      <c r="DH139" s="1880"/>
      <c r="DI139" s="1880"/>
      <c r="DJ139" s="1880"/>
      <c r="DK139" s="1880"/>
      <c r="DL139" s="1880"/>
      <c r="DM139" s="1880"/>
      <c r="DN139" s="1880"/>
      <c r="DO139" s="1880"/>
      <c r="DP139" s="1880"/>
      <c r="DQ139" s="1880"/>
      <c r="DR139" s="1880"/>
      <c r="DS139" s="1880"/>
      <c r="DT139" s="1880"/>
      <c r="DU139" s="1880"/>
      <c r="DV139" s="1880"/>
      <c r="DW139" s="1880"/>
      <c r="DX139" s="1880"/>
      <c r="DY139" s="1880"/>
      <c r="DZ139" s="1880"/>
      <c r="EA139" s="1880"/>
      <c r="EB139" s="1880"/>
      <c r="EC139" s="1880"/>
      <c r="ED139" s="1880"/>
      <c r="EE139" s="1880"/>
      <c r="EF139" s="1880"/>
      <c r="EG139" s="1880"/>
      <c r="EH139" s="1880"/>
      <c r="EI139" s="1880"/>
      <c r="EJ139" s="1880"/>
      <c r="EK139" s="1880"/>
      <c r="EL139" s="1880"/>
      <c r="EM139" s="1880"/>
      <c r="EN139" s="1880"/>
      <c r="EO139" s="1880"/>
      <c r="EP139" s="1880"/>
      <c r="EQ139" s="1880"/>
      <c r="ER139" s="1880"/>
      <c r="ES139" s="1880"/>
      <c r="ET139" s="1880"/>
      <c r="EU139" s="1880"/>
      <c r="EV139" s="1880"/>
      <c r="EW139" s="1880"/>
      <c r="EX139" s="1880"/>
      <c r="EY139" s="1880"/>
      <c r="EZ139" s="1880"/>
      <c r="FA139" s="1880"/>
    </row>
    <row r="140" spans="1:157" ht="15.5">
      <c r="A140" s="1625"/>
      <c r="B140" s="2439" t="str">
        <f>_xlfn.LET(_xlpm.IsNotAttrDynamic,D140="",_xlpm.Attr,_PL!F140,_xlpm.NotInUse,Y140=D140,_xlpm.RESULT,IF(_xlpm.IsNotAttrDynamic,_xlpm.Attr,IF(_xlpm.NotInUse,"",Y140)),IF(_xlpm.RESULT="","",_xlpm.RESULT))</f>
        <v/>
      </c>
      <c r="C140" s="2439" t="str" cm="1">
        <f t="array" ref="C140">IFBLANK(_PL!C140,"")</f>
        <v/>
      </c>
      <c r="D140" s="1548"/>
      <c r="E140" s="2453"/>
      <c r="F140" s="578"/>
      <c r="G140" s="578"/>
      <c r="H140" s="578"/>
      <c r="I140" s="578"/>
      <c r="J140" s="401"/>
      <c r="K140" s="578" t="str">
        <f t="shared" si="47"/>
        <v>No</v>
      </c>
      <c r="L140" s="37"/>
      <c r="N140" s="158"/>
      <c r="O140" s="101"/>
      <c r="P140" s="52"/>
      <c r="Q140" s="101"/>
      <c r="R140" s="101"/>
      <c r="S140" s="101"/>
      <c r="T140" s="101"/>
      <c r="U140" s="39"/>
      <c r="V140" s="37"/>
      <c r="W140" s="91"/>
      <c r="X140" s="898"/>
      <c r="Y140" s="2557"/>
      <c r="Z140" s="2558"/>
      <c r="AA140" s="2557"/>
      <c r="AB140" s="2557"/>
      <c r="AC140" s="2557"/>
      <c r="AD140" s="2557"/>
      <c r="AE140" s="2557"/>
      <c r="AF140" s="2559"/>
      <c r="AG140" s="2559"/>
      <c r="AH140" s="2559"/>
      <c r="AI140" s="2559"/>
      <c r="AJ140" s="2559"/>
      <c r="AK140" s="2559"/>
      <c r="AL140" s="2559"/>
      <c r="AM140" s="2559"/>
      <c r="AN140" s="2559"/>
      <c r="AO140" s="2559"/>
      <c r="AP140" s="2559"/>
      <c r="AQ140" s="2559"/>
      <c r="AR140" s="2559"/>
      <c r="AS140" s="2559"/>
      <c r="AT140" s="2559"/>
      <c r="AU140" s="2559"/>
      <c r="AV140" s="2559"/>
      <c r="AW140" s="2559"/>
      <c r="AX140" s="2559"/>
      <c r="AY140" s="2559"/>
      <c r="AZ140" s="2559"/>
      <c r="BA140" s="2559"/>
      <c r="BB140" s="2559"/>
      <c r="BC140" s="2559"/>
      <c r="BD140" s="2559"/>
      <c r="BE140" s="2559"/>
      <c r="BF140" s="2559"/>
      <c r="BG140" s="2559"/>
      <c r="BH140" s="2559"/>
      <c r="BI140" s="2559"/>
      <c r="BJ140" s="2559"/>
      <c r="BK140" s="2559"/>
      <c r="BL140" s="2559"/>
      <c r="BM140" s="2559"/>
      <c r="BN140" s="2559"/>
      <c r="BO140" s="2559"/>
      <c r="BP140" s="2559"/>
      <c r="BQ140" s="2559"/>
      <c r="BR140" s="2559"/>
      <c r="BS140" s="2559"/>
      <c r="BT140" s="2559"/>
      <c r="BU140" s="2559"/>
      <c r="BV140" s="2559"/>
      <c r="BW140" s="2559"/>
      <c r="BX140" s="2559"/>
      <c r="BY140" s="2559"/>
      <c r="BZ140" s="2559"/>
      <c r="CA140" s="34"/>
      <c r="CC140" s="50"/>
      <c r="CD140" s="294"/>
      <c r="CE140" s="294"/>
      <c r="CF140" s="294"/>
      <c r="CG140" s="294"/>
      <c r="CH140" s="294"/>
      <c r="CI140" s="293"/>
      <c r="CJ140" s="295"/>
      <c r="CK140" s="295"/>
      <c r="CL140" s="88"/>
      <c r="CM140" s="88"/>
      <c r="CN140" s="88"/>
      <c r="CO140" s="88"/>
      <c r="CP140" s="88"/>
      <c r="CQ140" s="88"/>
      <c r="CR140" s="34"/>
      <c r="CS140" s="2056"/>
      <c r="CT140" s="1880"/>
      <c r="CU140" s="1880"/>
      <c r="CV140" s="1880"/>
      <c r="CW140" s="1880"/>
      <c r="CX140" s="2121"/>
      <c r="CY140" s="1880"/>
      <c r="CZ140" s="1880"/>
      <c r="DA140" s="1880"/>
      <c r="DB140" s="1880"/>
      <c r="DC140" s="2121"/>
      <c r="DD140" s="1880"/>
      <c r="DE140" s="1880"/>
      <c r="DF140" s="1880"/>
      <c r="DG140" s="1880"/>
      <c r="DH140" s="1880"/>
      <c r="DI140" s="1880"/>
      <c r="DJ140" s="1880"/>
      <c r="DK140" s="1880"/>
      <c r="DL140" s="1880"/>
      <c r="DM140" s="1880"/>
      <c r="DN140" s="1880"/>
      <c r="DO140" s="1880"/>
      <c r="DP140" s="1880"/>
      <c r="DQ140" s="1880"/>
      <c r="DR140" s="1880"/>
      <c r="DS140" s="1880"/>
      <c r="DT140" s="1880"/>
      <c r="DU140" s="1880"/>
      <c r="DV140" s="1880"/>
      <c r="DW140" s="1880"/>
      <c r="DX140" s="1880"/>
      <c r="DY140" s="1880"/>
      <c r="DZ140" s="1880"/>
      <c r="EA140" s="1880"/>
      <c r="EB140" s="1880"/>
      <c r="EC140" s="1880"/>
      <c r="ED140" s="1880"/>
      <c r="EE140" s="1880"/>
      <c r="EF140" s="1880"/>
      <c r="EG140" s="1880"/>
      <c r="EH140" s="1880"/>
      <c r="EI140" s="1880"/>
      <c r="EJ140" s="1880"/>
      <c r="EK140" s="1880"/>
      <c r="EL140" s="1880"/>
      <c r="EM140" s="1880"/>
      <c r="EN140" s="1880"/>
      <c r="EO140" s="1880"/>
      <c r="EP140" s="1880"/>
      <c r="EQ140" s="1880"/>
      <c r="ER140" s="1880"/>
      <c r="ES140" s="1880"/>
      <c r="ET140" s="1880"/>
      <c r="EU140" s="1880"/>
      <c r="EV140" s="1880"/>
      <c r="EW140" s="1880"/>
      <c r="EX140" s="1880"/>
      <c r="EY140" s="1880"/>
      <c r="EZ140" s="1880"/>
      <c r="FA140" s="1880"/>
    </row>
    <row r="141" spans="1:157" ht="29.5">
      <c r="A141" s="1625"/>
      <c r="B141" s="2439" t="str">
        <f>_xlfn.LET(_xlpm.IsNotAttrDynamic,D141="",_xlpm.Attr,_PL!F141,_xlpm.NotInUse,Y141=D141,_xlpm.RESULT,IF(_xlpm.IsNotAttrDynamic,_xlpm.Attr,IF(_xlpm.NotInUse,"",Y141)),IF(_xlpm.RESULT="","",_xlpm.RESULT))</f>
        <v/>
      </c>
      <c r="C141" s="2439" t="str" cm="1">
        <f t="array" ref="C141">IFBLANK(_PL!C141,"")</f>
        <v/>
      </c>
      <c r="D141" s="1548"/>
      <c r="E141" s="2453"/>
      <c r="F141" s="578"/>
      <c r="G141" s="578"/>
      <c r="H141" s="578"/>
      <c r="I141" s="578"/>
      <c r="J141" s="401"/>
      <c r="K141" s="578" t="str">
        <f t="shared" si="47"/>
        <v>No</v>
      </c>
      <c r="L141" s="37"/>
      <c r="N141" s="158"/>
      <c r="O141" s="101"/>
      <c r="P141" s="52"/>
      <c r="Q141" s="101"/>
      <c r="R141" s="101"/>
      <c r="S141" s="101"/>
      <c r="T141" s="101"/>
      <c r="U141" s="39"/>
      <c r="V141" s="37"/>
      <c r="W141" s="91"/>
      <c r="X141" s="887"/>
      <c r="Y141" s="2539" t="s">
        <v>116</v>
      </c>
      <c r="Z141" s="788"/>
      <c r="AA141" s="97"/>
      <c r="AB141" s="97"/>
      <c r="AC141" s="128"/>
      <c r="AD141" s="998"/>
      <c r="AE141" s="88"/>
      <c r="AF141" s="88"/>
      <c r="AG141" s="88"/>
      <c r="AH141" s="88"/>
      <c r="AI141" s="88"/>
      <c r="AJ141" s="88"/>
      <c r="AK141" s="88"/>
      <c r="AL141" s="88"/>
      <c r="AM141" s="88"/>
      <c r="AN141" s="88"/>
      <c r="AO141" s="88"/>
      <c r="AP141" s="88"/>
      <c r="AQ141" s="88"/>
      <c r="AR141" s="88"/>
      <c r="AS141" s="88"/>
      <c r="AT141" s="88"/>
      <c r="AU141" s="783"/>
      <c r="AV141" s="783"/>
      <c r="AW141" s="783"/>
      <c r="AX141" s="783"/>
      <c r="AY141" s="783"/>
      <c r="AZ141" s="783"/>
      <c r="BA141" s="783"/>
      <c r="BB141" s="783"/>
      <c r="BC141" s="783"/>
      <c r="BD141" s="783"/>
      <c r="BE141" s="783"/>
      <c r="BF141" s="783"/>
      <c r="BG141" s="783"/>
      <c r="BH141" s="783"/>
      <c r="BI141" s="783"/>
      <c r="BJ141" s="783"/>
      <c r="BK141" s="783"/>
      <c r="BL141" s="783"/>
      <c r="BM141" s="783"/>
      <c r="BN141" s="783"/>
      <c r="BO141" s="783"/>
      <c r="BP141" s="783"/>
      <c r="BQ141" s="783"/>
      <c r="BR141" s="783"/>
      <c r="BS141" s="783"/>
      <c r="BT141" s="783"/>
      <c r="BU141" s="783"/>
      <c r="BV141" s="783"/>
      <c r="BW141" s="783"/>
      <c r="BX141" s="783"/>
      <c r="BY141" s="783"/>
      <c r="BZ141" s="783"/>
      <c r="CA141" s="34"/>
      <c r="CC141" s="50"/>
      <c r="CD141" s="294"/>
      <c r="CE141" s="294"/>
      <c r="CF141" s="294"/>
      <c r="CG141" s="294"/>
      <c r="CH141" s="294"/>
      <c r="CI141" s="293"/>
      <c r="CJ141" s="295"/>
      <c r="CK141" s="295"/>
      <c r="CL141" s="88"/>
      <c r="CM141" s="88"/>
      <c r="CN141" s="88"/>
      <c r="CO141" s="88"/>
      <c r="CP141" s="88"/>
      <c r="CQ141" s="88"/>
      <c r="CR141" s="34"/>
      <c r="CS141" s="2056"/>
      <c r="CT141" s="1880"/>
      <c r="CU141" s="1880"/>
      <c r="CV141" s="1880"/>
      <c r="CW141" s="1880"/>
      <c r="CX141" s="2121"/>
      <c r="CY141" s="1880"/>
      <c r="CZ141" s="1880"/>
      <c r="DA141" s="1880"/>
      <c r="DB141" s="1880"/>
      <c r="DC141" s="2121"/>
      <c r="DD141" s="1880"/>
      <c r="DE141" s="1880"/>
      <c r="DF141" s="1880"/>
      <c r="DG141" s="1880"/>
      <c r="DH141" s="1880"/>
      <c r="DI141" s="1880"/>
      <c r="DJ141" s="1880"/>
      <c r="DK141" s="1880"/>
      <c r="DL141" s="1880"/>
      <c r="DM141" s="1880"/>
      <c r="DN141" s="1880"/>
      <c r="DO141" s="1880"/>
      <c r="DP141" s="1880"/>
      <c r="DQ141" s="1880"/>
      <c r="DR141" s="1880"/>
      <c r="DS141" s="1880"/>
      <c r="DT141" s="1880"/>
      <c r="DU141" s="1880"/>
      <c r="DV141" s="1880"/>
      <c r="DW141" s="1880"/>
      <c r="DX141" s="1880"/>
      <c r="DY141" s="1880"/>
      <c r="DZ141" s="1880"/>
      <c r="EA141" s="1880"/>
      <c r="EB141" s="1880"/>
      <c r="EC141" s="1880"/>
      <c r="ED141" s="1880"/>
      <c r="EE141" s="1880"/>
      <c r="EF141" s="1880"/>
      <c r="EG141" s="1880"/>
      <c r="EH141" s="1880"/>
      <c r="EI141" s="1880"/>
      <c r="EJ141" s="1880"/>
      <c r="EK141" s="1880"/>
      <c r="EL141" s="1880"/>
      <c r="EM141" s="1880"/>
      <c r="EN141" s="1880"/>
      <c r="EO141" s="1880"/>
      <c r="EP141" s="1880"/>
      <c r="EQ141" s="1880"/>
      <c r="ER141" s="1880"/>
      <c r="ES141" s="1880"/>
      <c r="ET141" s="1880"/>
      <c r="EU141" s="1880"/>
      <c r="EV141" s="1880"/>
      <c r="EW141" s="1880"/>
      <c r="EX141" s="1880"/>
      <c r="EY141" s="1880"/>
      <c r="EZ141" s="1880"/>
      <c r="FA141" s="1880"/>
    </row>
    <row r="142" spans="1:157" ht="32.5">
      <c r="A142" s="1625"/>
      <c r="B142" s="2439" t="str">
        <f>_xlfn.LET(_xlpm.IsNotAttrDynamic,D142="",_xlpm.Attr,_PL!F142,_xlpm.NotInUse,Y142=D142,_xlpm.RESULT,IF(_xlpm.IsNotAttrDynamic,_xlpm.Attr,IF(_xlpm.NotInUse,"",Y142)),IF(_xlpm.RESULT="","",_xlpm.RESULT))</f>
        <v/>
      </c>
      <c r="C142" s="2439" t="str" cm="1">
        <f t="array" ref="C142">IFBLANK(_PL!C142,"")</f>
        <v/>
      </c>
      <c r="D142" s="1548"/>
      <c r="E142" s="2453"/>
      <c r="F142" s="578"/>
      <c r="G142" s="578"/>
      <c r="H142" s="578"/>
      <c r="I142" s="578"/>
      <c r="J142" s="401"/>
      <c r="K142" s="578" t="str">
        <f t="shared" si="47"/>
        <v>No</v>
      </c>
      <c r="L142" s="37"/>
      <c r="N142" s="158"/>
      <c r="O142" s="101"/>
      <c r="P142" s="101"/>
      <c r="Q142" s="101"/>
      <c r="R142" s="101"/>
      <c r="S142" s="101"/>
      <c r="T142" s="101"/>
      <c r="U142" s="39"/>
      <c r="V142" s="37"/>
      <c r="W142" s="91"/>
      <c r="X142" s="887"/>
      <c r="Y142" s="23"/>
      <c r="Z142" s="788"/>
      <c r="AA142" s="97"/>
      <c r="AB142" s="97"/>
      <c r="AC142" s="128"/>
      <c r="AD142" s="88"/>
      <c r="AE142" s="88"/>
      <c r="AF142" s="88"/>
      <c r="AG142" s="88"/>
      <c r="AH142" s="88"/>
      <c r="AI142" s="88"/>
      <c r="AJ142" s="88"/>
      <c r="AK142" s="88"/>
      <c r="AL142" s="88"/>
      <c r="AM142" s="88"/>
      <c r="AN142" s="88"/>
      <c r="AO142" s="88"/>
      <c r="AP142" s="88"/>
      <c r="AQ142" s="88"/>
      <c r="AR142" s="88"/>
      <c r="AS142" s="88"/>
      <c r="AT142" s="88"/>
      <c r="AU142" s="783"/>
      <c r="AV142" s="783"/>
      <c r="AW142" s="783"/>
      <c r="AX142" s="783"/>
      <c r="AY142" s="783"/>
      <c r="AZ142" s="783"/>
      <c r="BA142" s="783"/>
      <c r="BB142" s="783"/>
      <c r="BC142" s="783"/>
      <c r="BD142" s="783"/>
      <c r="BE142" s="783"/>
      <c r="BF142" s="783"/>
      <c r="BG142" s="783"/>
      <c r="BH142" s="783"/>
      <c r="BI142" s="783"/>
      <c r="BJ142" s="783"/>
      <c r="BK142" s="783"/>
      <c r="BL142" s="783"/>
      <c r="BM142" s="783"/>
      <c r="BN142" s="783"/>
      <c r="BO142" s="783"/>
      <c r="BP142" s="783"/>
      <c r="BQ142" s="783"/>
      <c r="BR142" s="783"/>
      <c r="BS142" s="783"/>
      <c r="BT142" s="783"/>
      <c r="BU142" s="783"/>
      <c r="BV142" s="783"/>
      <c r="BW142" s="783"/>
      <c r="BX142" s="783"/>
      <c r="BY142" s="783"/>
      <c r="BZ142" s="783"/>
      <c r="CA142" s="34"/>
      <c r="CC142" s="50"/>
      <c r="CD142" s="3018" t="s">
        <v>41</v>
      </c>
      <c r="CE142" s="3019"/>
      <c r="CF142" s="1472"/>
      <c r="CG142" s="3026" t="s">
        <v>109</v>
      </c>
      <c r="CH142" s="3027"/>
      <c r="CI142" s="1473"/>
      <c r="CJ142" s="3022" t="s">
        <v>43</v>
      </c>
      <c r="CK142" s="3023"/>
      <c r="CL142" s="2353"/>
      <c r="CM142" s="3015" t="s">
        <v>44</v>
      </c>
      <c r="CN142" s="3016"/>
      <c r="CO142" s="1470"/>
      <c r="CP142" s="3015" t="s">
        <v>45</v>
      </c>
      <c r="CQ142" s="3016"/>
      <c r="CR142" s="34"/>
      <c r="CS142" s="2056"/>
      <c r="CT142" s="1880"/>
      <c r="CU142" s="1880"/>
      <c r="CV142" s="1880"/>
      <c r="CW142" s="1880"/>
      <c r="CX142" s="2121"/>
      <c r="CY142" s="1880"/>
      <c r="CZ142" s="1880"/>
      <c r="DA142" s="1880"/>
      <c r="DB142" s="1880"/>
      <c r="DC142" s="2121"/>
      <c r="DD142" s="1880"/>
      <c r="DE142" s="1880"/>
      <c r="DF142" s="1880"/>
      <c r="DG142" s="1880"/>
      <c r="DH142" s="1880"/>
      <c r="DI142" s="1880"/>
      <c r="DJ142" s="1880"/>
      <c r="DK142" s="1880"/>
      <c r="DL142" s="1880"/>
      <c r="DM142" s="1880"/>
      <c r="DN142" s="1880"/>
      <c r="DO142" s="1880"/>
      <c r="DP142" s="1880"/>
      <c r="DQ142" s="1880"/>
      <c r="DR142" s="1880"/>
      <c r="DS142" s="1880"/>
      <c r="DT142" s="1880"/>
      <c r="DU142" s="1880"/>
      <c r="DV142" s="1880"/>
      <c r="DW142" s="1880"/>
      <c r="DX142" s="1880"/>
      <c r="DY142" s="1880"/>
      <c r="DZ142" s="1880"/>
      <c r="EA142" s="1880"/>
      <c r="EB142" s="1880"/>
      <c r="EC142" s="1880"/>
      <c r="ED142" s="1880"/>
      <c r="EE142" s="1880"/>
      <c r="EF142" s="1880"/>
      <c r="EG142" s="1880"/>
      <c r="EH142" s="1880"/>
      <c r="EI142" s="1880"/>
      <c r="EJ142" s="1880"/>
      <c r="EK142" s="1880"/>
      <c r="EL142" s="1880"/>
      <c r="EM142" s="1880"/>
      <c r="EN142" s="1880"/>
      <c r="EO142" s="1880"/>
      <c r="EP142" s="1880"/>
      <c r="EQ142" s="1880"/>
      <c r="ER142" s="1880"/>
      <c r="ES142" s="1880"/>
      <c r="ET142" s="1880"/>
      <c r="EU142" s="1880"/>
      <c r="EV142" s="1880"/>
      <c r="EW142" s="1880"/>
      <c r="EX142" s="1880"/>
      <c r="EY142" s="1880"/>
      <c r="EZ142" s="1880"/>
      <c r="FA142" s="1880"/>
    </row>
    <row r="143" spans="1:157" ht="17.5" customHeight="1">
      <c r="A143" s="2427"/>
      <c r="B143" s="2439" t="str">
        <f>_xlfn.LET(_xlpm.IsNotAttrDynamic,D143="",_xlpm.Attr,_PL!F143,_xlpm.NotInUse,Y143=D143,_xlpm.RESULT,IF(_xlpm.IsNotAttrDynamic,_xlpm.Attr,IF(_xlpm.NotInUse,"",Y143)),IF(_xlpm.RESULT="","",_xlpm.RESULT))</f>
        <v/>
      </c>
      <c r="C143" s="2439" t="str" cm="1">
        <f t="array" ref="C143">IFBLANK(_PL!C143,"")</f>
        <v/>
      </c>
      <c r="D143" s="2458"/>
      <c r="E143" s="572"/>
      <c r="F143" s="2459"/>
      <c r="G143" s="578"/>
      <c r="H143" s="578"/>
      <c r="I143" s="578"/>
      <c r="J143" s="401"/>
      <c r="K143" s="578" t="str">
        <f t="shared" si="47"/>
        <v>No</v>
      </c>
      <c r="L143" s="37"/>
      <c r="N143" s="158"/>
      <c r="O143" s="101"/>
      <c r="P143" s="1688"/>
      <c r="Q143" s="1688"/>
      <c r="R143" s="101"/>
      <c r="S143" s="291"/>
      <c r="T143" s="291"/>
      <c r="U143" s="39"/>
      <c r="V143" s="37"/>
      <c r="W143" s="3038" t="str">
        <f>_PL!W143</f>
        <v>Actual</v>
      </c>
      <c r="X143" s="1247"/>
      <c r="Y143" s="3040" t="s">
        <v>117</v>
      </c>
      <c r="Z143" s="1248" t="s">
        <v>82</v>
      </c>
      <c r="AA143" s="1249"/>
      <c r="AB143" s="1630" t="s">
        <v>83</v>
      </c>
      <c r="AC143" s="1273"/>
      <c r="AD143" s="3186" cm="1">
        <f t="array" ca="1" aca="1" ref="AD143:AD144">fx_checkComp(AD150:AD153)</f>
        <v>1</v>
      </c>
      <c r="AE143" s="3186" cm="1">
        <f t="array" ca="1" aca="1" ref="AE143:AE144">fx_checkComp(AE150:AE153)</f>
        <v>1</v>
      </c>
      <c r="AF143" s="3186" cm="1">
        <f t="array" ca="1" aca="1" ref="AF143:AF144">fx_checkComp(AF150:AF153)</f>
        <v>1</v>
      </c>
      <c r="AG143" s="3186" cm="1">
        <f t="array" ca="1" aca="1" ref="AG143:AG144">fx_checkComp(AG150:AG153)</f>
        <v>1</v>
      </c>
      <c r="AH143" s="3186" cm="1">
        <f t="array" ca="1" aca="1" ref="AH143:AH144">fx_checkComp(AH150:AH153)</f>
        <v>1</v>
      </c>
      <c r="AI143" s="3186" cm="1">
        <f t="array" ca="1" aca="1" ref="AI143:AI144">fx_checkComp(AI150:AI153)</f>
        <v>1</v>
      </c>
      <c r="AJ143" s="3186" cm="1">
        <f t="array" ca="1" aca="1" ref="AJ143:AJ144">fx_checkComp(AJ150:AJ153)</f>
        <v>1</v>
      </c>
      <c r="AK143" s="3186" cm="1">
        <f t="array" ca="1" aca="1" ref="AK143:AK144">fx_checkComp(AK150:AK153)</f>
        <v>1</v>
      </c>
      <c r="AL143" s="3186" cm="1">
        <f t="array" ca="1" aca="1" ref="AL143:AL144">fx_checkComp(AL150:AL153)</f>
        <v>1</v>
      </c>
      <c r="AM143" s="3186" cm="1">
        <f t="array" ca="1" aca="1" ref="AM143:AM144">fx_checkComp(AM150:AM153)</f>
        <v>1</v>
      </c>
      <c r="AN143" s="3186" cm="1">
        <f t="array" ca="1" aca="1" ref="AN143:AN144">fx_checkComp(AN150:AN153)</f>
        <v>1</v>
      </c>
      <c r="AO143" s="3186" cm="1">
        <f t="array" ca="1" aca="1" ref="AO143:AO144">fx_checkComp(AO150:AO153)</f>
        <v>1</v>
      </c>
      <c r="AP143" s="3186" cm="1">
        <f t="array" ca="1" aca="1" ref="AP143:AP144">fx_checkComp(AP150:AP153)</f>
        <v>1</v>
      </c>
      <c r="AQ143" s="3186" cm="1">
        <f t="array" ca="1" aca="1" ref="AQ143:AQ144">fx_checkComp(AQ150:AQ153)</f>
        <v>1</v>
      </c>
      <c r="AR143" s="3186" cm="1">
        <f t="array" ca="1" aca="1" ref="AR143:AR144">fx_checkComp(AR150:AR153)</f>
        <v>1</v>
      </c>
      <c r="AS143" s="3186" cm="1">
        <f t="array" ca="1" aca="1" ref="AS143:AS144">fx_checkComp(AS150:AS153)</f>
        <v>1</v>
      </c>
      <c r="AT143" s="3186" cm="1">
        <f t="array" ca="1" aca="1" ref="AT143:AT144">fx_checkComp(AT150:AT153)</f>
        <v>1</v>
      </c>
      <c r="AU143" s="3186" cm="1">
        <f t="array" ca="1" aca="1" ref="AU143:AU144">fx_checkComp(AU150:AU153)</f>
        <v>1</v>
      </c>
      <c r="AV143" s="3186" cm="1">
        <f t="array" ca="1" aca="1" ref="AV143:AV144">fx_checkComp(AV150:AV153)</f>
        <v>1</v>
      </c>
      <c r="AW143" s="3186" cm="1">
        <f t="array" ca="1" aca="1" ref="AW143:AW144">fx_checkComp(AW150:AW153)</f>
        <v>1</v>
      </c>
      <c r="AX143" s="3186" cm="1">
        <f t="array" ca="1" aca="1" ref="AX143:AX144">fx_checkComp(AX150:AX153)</f>
        <v>1</v>
      </c>
      <c r="AY143" s="3186" cm="1">
        <f t="array" ca="1" aca="1" ref="AY143:AY144">fx_checkComp(AY150:AY153)</f>
        <v>1</v>
      </c>
      <c r="AZ143" s="3186" cm="1">
        <f t="array" ca="1" aca="1" ref="AZ143:AZ144">fx_checkComp(AZ150:AZ153)</f>
        <v>1</v>
      </c>
      <c r="BA143" s="3186" cm="1">
        <f t="array" ca="1" aca="1" ref="BA143:BA144">fx_checkComp(BA150:BA153)</f>
        <v>1</v>
      </c>
      <c r="BB143" s="3186" cm="1">
        <f t="array" ca="1" aca="1" ref="BB143:BB144">fx_checkComp(BB150:BB153)</f>
        <v>1</v>
      </c>
      <c r="BC143" s="3186" cm="1">
        <f t="array" ca="1" aca="1" ref="BC143:BC144">fx_checkComp(BC150:BC153)</f>
        <v>1</v>
      </c>
      <c r="BD143" s="3186" cm="1">
        <f t="array" ca="1" aca="1" ref="BD143:BD144">fx_checkComp(BD150:BD153)</f>
        <v>1</v>
      </c>
      <c r="BE143" s="3186" cm="1">
        <f t="array" ca="1" aca="1" ref="BE143:BE144">fx_checkComp(BE150:BE153)</f>
        <v>1</v>
      </c>
      <c r="BF143" s="3186" cm="1">
        <f t="array" ca="1" aca="1" ref="BF143:BF144">fx_checkComp(BF150:BF153)</f>
        <v>1</v>
      </c>
      <c r="BG143" s="3186" cm="1">
        <f t="array" ca="1" aca="1" ref="BG143:BG144">fx_checkComp(BG150:BG153)</f>
        <v>1</v>
      </c>
      <c r="BH143" s="3186" cm="1">
        <f t="array" ca="1" aca="1" ref="BH143:BH144">fx_checkComp(BH150:BH153)</f>
        <v>1</v>
      </c>
      <c r="BI143" s="3186" cm="1">
        <f t="array" ca="1" aca="1" ref="BI143:BI144">fx_checkComp(BI150:BI153)</f>
        <v>1</v>
      </c>
      <c r="BJ143" s="3186" cm="1">
        <f t="array" ca="1" aca="1" ref="BJ143:BJ144">fx_checkComp(BJ150:BJ153)</f>
        <v>1</v>
      </c>
      <c r="BK143" s="3186" cm="1">
        <f t="array" ca="1" aca="1" ref="BK143:BK144">fx_checkComp(BK150:BK153)</f>
        <v>1</v>
      </c>
      <c r="BL143" s="3186" cm="1">
        <f t="array" ca="1" aca="1" ref="BL143:BL144">fx_checkComp(BL150:BL153)</f>
        <v>1</v>
      </c>
      <c r="BM143" s="3186" cm="1">
        <f t="array" ca="1" aca="1" ref="BM143:BM144">fx_checkComp(BM150:BM153)</f>
        <v>1</v>
      </c>
      <c r="BN143" s="3187" cm="1">
        <f t="array" ca="1" aca="1" ref="BN143:BN144">fx_checkComp(BN150:BN153)</f>
        <v>1</v>
      </c>
      <c r="BO143" s="1804"/>
      <c r="BP143" s="1804"/>
      <c r="BQ143" s="1804"/>
      <c r="BR143" s="1804"/>
      <c r="BS143" s="1804"/>
      <c r="BT143" s="1804"/>
      <c r="BU143" s="1804"/>
      <c r="BV143" s="1804"/>
      <c r="BW143" s="1804"/>
      <c r="BX143" s="1804"/>
      <c r="BY143" s="1804"/>
      <c r="BZ143" s="1804"/>
      <c r="CA143" s="34"/>
      <c r="CC143" s="33"/>
      <c r="CD143" s="1343" t="e" cm="1">
        <f t="array" ca="1" aca="1" ref="CD143">YEAR(val_currentFYE)-2</f>
        <v>#NAME?</v>
      </c>
      <c r="CE143" s="1344" t="e" cm="1">
        <f t="array" ca="1" aca="1" ref="CE143">YEAR(val_currentFYE)-1</f>
        <v>#NAME?</v>
      </c>
      <c r="CF143" s="88"/>
      <c r="CG143" s="1350" t="e" cm="1">
        <f t="array" ca="1" aca="1" ref="CG143">YEAR(val_currentFYE)</f>
        <v>#NAME?</v>
      </c>
      <c r="CH143" s="1351" t="e" cm="1">
        <f t="array" ca="1" aca="1" ref="CH143">YEAR(val_currentFYE)</f>
        <v>#NAME?</v>
      </c>
      <c r="CI143" s="170"/>
      <c r="CJ143" s="208" t="s">
        <v>54</v>
      </c>
      <c r="CK143" s="209" t="s">
        <v>54</v>
      </c>
      <c r="CL143" s="88"/>
      <c r="CM143" s="1664" cm="1">
        <f t="array" ca="1" aca="1" ref="CM143:CM144">fx_checkComp(CM148:CM153)</f>
        <v>100</v>
      </c>
      <c r="CN143" s="1665" cm="1">
        <f t="array" ca="1" aca="1" ref="CN143:CN144">fx_checkComp(CN148:CN153)</f>
        <v>100</v>
      </c>
      <c r="CO143" s="88"/>
      <c r="CP143" s="1664" cm="1">
        <f t="array" ca="1" aca="1" ref="CP143:CP144">fx_checkComp(CP148:CP153)</f>
        <v>100</v>
      </c>
      <c r="CQ143" s="1665" cm="1">
        <f t="array" ca="1" aca="1" ref="CQ143:CQ144">fx_checkComp(CQ148:CQ153)</f>
        <v>100</v>
      </c>
      <c r="CR143" s="34"/>
      <c r="CS143" s="2056"/>
      <c r="CT143" s="1880"/>
      <c r="CU143" s="1880"/>
      <c r="CV143" s="1880"/>
      <c r="CW143" s="1880"/>
      <c r="CX143" s="2121"/>
      <c r="CY143" s="1880"/>
      <c r="CZ143" s="1880"/>
      <c r="DA143" s="1880"/>
      <c r="DB143" s="1880"/>
      <c r="DC143" s="2121"/>
      <c r="DD143" s="1880"/>
      <c r="DE143" s="1880"/>
      <c r="DF143" s="1880"/>
      <c r="DG143" s="1880"/>
      <c r="DH143" s="1880"/>
      <c r="DI143" s="1880"/>
      <c r="DJ143" s="1880"/>
      <c r="DK143" s="1880"/>
      <c r="DL143" s="1880"/>
      <c r="DM143" s="1880"/>
      <c r="DN143" s="1880"/>
      <c r="DO143" s="1880"/>
      <c r="DP143" s="1880"/>
      <c r="DQ143" s="1880"/>
      <c r="DR143" s="1880"/>
      <c r="DS143" s="1880"/>
      <c r="DT143" s="1880"/>
      <c r="DU143" s="1880"/>
      <c r="DV143" s="1880"/>
      <c r="DW143" s="1880"/>
      <c r="DX143" s="1880"/>
      <c r="DY143" s="1880"/>
      <c r="DZ143" s="1880"/>
      <c r="EA143" s="1880"/>
      <c r="EB143" s="1880"/>
      <c r="EC143" s="1880"/>
      <c r="ED143" s="1880"/>
      <c r="EE143" s="1880"/>
      <c r="EF143" s="1880"/>
      <c r="EG143" s="1880"/>
      <c r="EH143" s="1880"/>
      <c r="EI143" s="1880"/>
      <c r="EJ143" s="1880"/>
      <c r="EK143" s="1880"/>
      <c r="EL143" s="1880"/>
      <c r="EM143" s="1880"/>
      <c r="EN143" s="1880"/>
      <c r="EO143" s="1880"/>
      <c r="EP143" s="1880"/>
      <c r="EQ143" s="1880"/>
      <c r="ER143" s="1880"/>
      <c r="ES143" s="1880"/>
      <c r="ET143" s="1880"/>
      <c r="EU143" s="1880"/>
      <c r="EV143" s="1880"/>
      <c r="EW143" s="1880"/>
      <c r="EX143" s="1880"/>
      <c r="EY143" s="1880"/>
      <c r="EZ143" s="1880"/>
      <c r="FA143" s="1880"/>
    </row>
    <row r="144" spans="1:157" ht="17.5" customHeight="1">
      <c r="A144" s="2427"/>
      <c r="B144" s="2439" t="str">
        <f>_xlfn.LET(_xlpm.IsNotAttrDynamic,D144="",_xlpm.Attr,_PL!F144,_xlpm.NotInUse,Y144=D144,_xlpm.RESULT,IF(_xlpm.IsNotAttrDynamic,_xlpm.Attr,IF(_xlpm.NotInUse,"",Y144)),IF(_xlpm.RESULT="","",_xlpm.RESULT))</f>
        <v/>
      </c>
      <c r="C144" s="2439" t="str" cm="1">
        <f t="array" ref="C144">IFBLANK(_PL!C144,"")</f>
        <v/>
      </c>
      <c r="D144" s="2458"/>
      <c r="E144" s="572"/>
      <c r="F144" s="2459"/>
      <c r="G144" s="578"/>
      <c r="H144" s="578"/>
      <c r="I144" s="578"/>
      <c r="J144" s="401"/>
      <c r="K144" s="578" t="str">
        <f t="shared" si="47"/>
        <v>No</v>
      </c>
      <c r="L144" s="37"/>
      <c r="N144" s="158"/>
      <c r="O144" s="101"/>
      <c r="P144" s="1688"/>
      <c r="Q144" s="1688"/>
      <c r="R144" s="101"/>
      <c r="S144" s="289"/>
      <c r="T144" s="289"/>
      <c r="U144" s="39"/>
      <c r="V144" s="37"/>
      <c r="W144" s="3039"/>
      <c r="X144" s="1250"/>
      <c r="Y144" s="3041"/>
      <c r="Z144" s="1251"/>
      <c r="AA144" s="1252"/>
      <c r="AB144" s="1631" t="s">
        <v>84</v>
      </c>
      <c r="AC144" s="1162"/>
      <c r="AD144" s="2430" t="str">
        <f ca="1"/>
        <v>O: 4 / 4</v>
      </c>
      <c r="AE144" s="2430" t="str">
        <f ca="1"/>
        <v>O: 4 / 4</v>
      </c>
      <c r="AF144" s="2430" t="str">
        <f ca="1"/>
        <v>O: 4 / 4</v>
      </c>
      <c r="AG144" s="2430" t="str">
        <f ca="1"/>
        <v>O: 4 / 4</v>
      </c>
      <c r="AH144" s="2430" t="str">
        <f ca="1"/>
        <v>O: 4 / 4</v>
      </c>
      <c r="AI144" s="2430" t="str">
        <f ca="1"/>
        <v>O: 4 / 4</v>
      </c>
      <c r="AJ144" s="2430" t="str">
        <f ca="1"/>
        <v>O: 4 / 4</v>
      </c>
      <c r="AK144" s="2430" t="str">
        <f ca="1"/>
        <v>O: 4 / 4</v>
      </c>
      <c r="AL144" s="2430" t="str">
        <f ca="1"/>
        <v>O: 4 / 4</v>
      </c>
      <c r="AM144" s="2430" t="str">
        <f ca="1"/>
        <v>O: 4 / 4</v>
      </c>
      <c r="AN144" s="2430" t="str">
        <f ca="1"/>
        <v>O: 4 / 4</v>
      </c>
      <c r="AO144" s="2430" t="str">
        <f ca="1"/>
        <v>O: 4 / 4</v>
      </c>
      <c r="AP144" s="2430" t="str">
        <f ca="1"/>
        <v>O: 4 / 4</v>
      </c>
      <c r="AQ144" s="2430" t="str">
        <f ca="1"/>
        <v>O: 4 / 4</v>
      </c>
      <c r="AR144" s="2430" t="str">
        <f ca="1"/>
        <v>O: 4 / 4</v>
      </c>
      <c r="AS144" s="2430" t="str">
        <f ca="1"/>
        <v>O: 4 / 4</v>
      </c>
      <c r="AT144" s="2430" t="str">
        <f ca="1"/>
        <v>O: 4 / 4</v>
      </c>
      <c r="AU144" s="2430" t="str">
        <f ca="1"/>
        <v>O: 4 / 4</v>
      </c>
      <c r="AV144" s="2430" t="str">
        <f ca="1"/>
        <v>O: 4 / 4</v>
      </c>
      <c r="AW144" s="2430" t="str">
        <f ca="1"/>
        <v>O: 4 / 4</v>
      </c>
      <c r="AX144" s="2430" t="str">
        <f ca="1"/>
        <v>O: 4 / 4</v>
      </c>
      <c r="AY144" s="2430" t="str">
        <f ca="1"/>
        <v>O: 4 / 4</v>
      </c>
      <c r="AZ144" s="2430" t="str">
        <f ca="1"/>
        <v>O: 4 / 4</v>
      </c>
      <c r="BA144" s="2430" t="str">
        <f ca="1"/>
        <v>O: 4 / 4</v>
      </c>
      <c r="BB144" s="2430" t="str">
        <f ca="1"/>
        <v>O: 4 / 4</v>
      </c>
      <c r="BC144" s="2430" t="str">
        <f ca="1"/>
        <v>O: 4 / 4</v>
      </c>
      <c r="BD144" s="2430" t="str">
        <f ca="1"/>
        <v>O: 4 / 4</v>
      </c>
      <c r="BE144" s="2430" t="str">
        <f ca="1"/>
        <v>O: 4 / 4</v>
      </c>
      <c r="BF144" s="2430" t="str">
        <f ca="1"/>
        <v>O: 4 / 4</v>
      </c>
      <c r="BG144" s="2430" t="str">
        <f ca="1"/>
        <v>O: 4 / 4</v>
      </c>
      <c r="BH144" s="2430" t="str">
        <f ca="1"/>
        <v>O: 4 / 4</v>
      </c>
      <c r="BI144" s="2430" t="str">
        <f ca="1"/>
        <v>O: 4 / 4</v>
      </c>
      <c r="BJ144" s="2430" t="str">
        <f ca="1"/>
        <v>O: 4 / 4</v>
      </c>
      <c r="BK144" s="2430" t="str">
        <f ca="1"/>
        <v>O: 4 / 4</v>
      </c>
      <c r="BL144" s="2430" t="str">
        <f ca="1"/>
        <v>O: 4 / 4</v>
      </c>
      <c r="BM144" s="2430" t="str">
        <f ca="1"/>
        <v>O: 4 / 4</v>
      </c>
      <c r="BN144" s="2431" t="str">
        <f ca="1"/>
        <v>O: 4 / 4</v>
      </c>
      <c r="BO144" s="2432"/>
      <c r="BP144" s="2432"/>
      <c r="BQ144" s="2432"/>
      <c r="BR144" s="2432"/>
      <c r="BS144" s="2432"/>
      <c r="BT144" s="2432"/>
      <c r="BU144" s="2432"/>
      <c r="BV144" s="2432"/>
      <c r="BW144" s="2432"/>
      <c r="BX144" s="2432"/>
      <c r="BY144" s="2432"/>
      <c r="BZ144" s="2432"/>
      <c r="CA144" s="34"/>
      <c r="CC144" s="33"/>
      <c r="CD144" s="1341"/>
      <c r="CE144" s="1342"/>
      <c r="CF144" s="88"/>
      <c r="CG144" s="1350"/>
      <c r="CH144" s="1351"/>
      <c r="CI144" s="170"/>
      <c r="CJ144" s="1348"/>
      <c r="CK144" s="1349"/>
      <c r="CL144" s="88"/>
      <c r="CM144" s="1666" t="str">
        <f ca="1"/>
        <v>O: 4 / 4</v>
      </c>
      <c r="CN144" s="1667" t="str">
        <f ca="1"/>
        <v>O: 4 / 4</v>
      </c>
      <c r="CO144" s="869"/>
      <c r="CP144" s="1666" t="str">
        <f ca="1"/>
        <v>O: 4 / 4</v>
      </c>
      <c r="CQ144" s="1667" t="str">
        <f ca="1"/>
        <v>O: 4 / 4</v>
      </c>
      <c r="CR144" s="34"/>
      <c r="CS144" s="2056"/>
      <c r="CT144" s="1880"/>
      <c r="CU144" s="1880"/>
      <c r="CV144" s="1880"/>
      <c r="CW144" s="1880"/>
      <c r="CX144" s="2121"/>
      <c r="CY144" s="1880"/>
      <c r="CZ144" s="1880"/>
      <c r="DA144" s="1880"/>
      <c r="DB144" s="1880"/>
      <c r="DC144" s="2121"/>
      <c r="DD144" s="1880"/>
      <c r="DE144" s="1880"/>
      <c r="DF144" s="1880"/>
      <c r="DG144" s="1880"/>
      <c r="DH144" s="1880"/>
      <c r="DI144" s="1880"/>
      <c r="DJ144" s="1880"/>
      <c r="DK144" s="1880"/>
      <c r="DL144" s="1880"/>
      <c r="DM144" s="1880"/>
      <c r="DN144" s="1880"/>
      <c r="DO144" s="1880"/>
      <c r="DP144" s="1880"/>
      <c r="DQ144" s="1880"/>
      <c r="DR144" s="1880"/>
      <c r="DS144" s="1880"/>
      <c r="DT144" s="1880"/>
      <c r="DU144" s="1880"/>
      <c r="DV144" s="1880"/>
      <c r="DW144" s="1880"/>
      <c r="DX144" s="1880"/>
      <c r="DY144" s="1880"/>
      <c r="DZ144" s="1880"/>
      <c r="EA144" s="1880"/>
      <c r="EB144" s="1880"/>
      <c r="EC144" s="1880"/>
      <c r="ED144" s="1880"/>
      <c r="EE144" s="1880"/>
      <c r="EF144" s="1880"/>
      <c r="EG144" s="1880"/>
      <c r="EH144" s="1880"/>
      <c r="EI144" s="1880"/>
      <c r="EJ144" s="1880"/>
      <c r="EK144" s="1880"/>
      <c r="EL144" s="1880"/>
      <c r="EM144" s="1880"/>
      <c r="EN144" s="1880"/>
      <c r="EO144" s="1880"/>
      <c r="EP144" s="1880"/>
      <c r="EQ144" s="1880"/>
      <c r="ER144" s="1880"/>
      <c r="ES144" s="1880"/>
      <c r="ET144" s="1880"/>
      <c r="EU144" s="1880"/>
      <c r="EV144" s="1880"/>
      <c r="EW144" s="1880"/>
      <c r="EX144" s="1880"/>
      <c r="EY144" s="1880"/>
      <c r="EZ144" s="1880"/>
      <c r="FA144" s="1880"/>
    </row>
    <row r="145" spans="1:157" ht="30.75" customHeight="1">
      <c r="A145" s="1627"/>
      <c r="B145" s="2439" t="str">
        <f>_xlfn.LET(_xlpm.IsNotAttrDynamic,D145="",_xlpm.Attr,_PL!F145,_xlpm.NotInUse,Y145=D145,_xlpm.RESULT,IF(_xlpm.IsNotAttrDynamic,_xlpm.Attr,IF(_xlpm.NotInUse,"",Y145)),IF(_xlpm.RESULT="","",_xlpm.RESULT))</f>
        <v/>
      </c>
      <c r="C145" s="2439" t="str" cm="1">
        <f t="array" ref="C145">IFBLANK(_PL!C145,"")</f>
        <v/>
      </c>
      <c r="D145" s="1548"/>
      <c r="E145" s="2453"/>
      <c r="F145" s="572"/>
      <c r="G145" s="572"/>
      <c r="H145" s="572"/>
      <c r="I145" s="572">
        <v>3</v>
      </c>
      <c r="J145" s="401"/>
      <c r="K145" s="578" t="str">
        <f t="shared" si="47"/>
        <v>No</v>
      </c>
      <c r="L145" s="37"/>
      <c r="N145" s="158"/>
      <c r="O145" s="101"/>
      <c r="P145" s="101"/>
      <c r="Q145" s="101"/>
      <c r="R145" s="101"/>
      <c r="S145" s="101"/>
      <c r="T145" s="101"/>
      <c r="U145" s="39"/>
      <c r="V145" s="37"/>
      <c r="W145" s="161"/>
      <c r="X145" s="887"/>
      <c r="Y145" s="186"/>
      <c r="Z145" s="789"/>
      <c r="AA145" s="163"/>
      <c r="AB145" s="162"/>
      <c r="AC145" s="1164"/>
      <c r="AD145" s="2493" cm="1">
        <f t="array" ref="AD145:BN145">array_timeline</f>
        <v>44926</v>
      </c>
      <c r="AE145" s="2493">
        <v>44957</v>
      </c>
      <c r="AF145" s="2493">
        <v>44985</v>
      </c>
      <c r="AG145" s="2493">
        <v>45016</v>
      </c>
      <c r="AH145" s="2493">
        <v>45046</v>
      </c>
      <c r="AI145" s="2493">
        <v>45077</v>
      </c>
      <c r="AJ145" s="2493">
        <v>45107</v>
      </c>
      <c r="AK145" s="2493">
        <v>45138</v>
      </c>
      <c r="AL145" s="2493">
        <v>45169</v>
      </c>
      <c r="AM145" s="2493">
        <v>45199</v>
      </c>
      <c r="AN145" s="2493">
        <v>45230</v>
      </c>
      <c r="AO145" s="2493">
        <v>45260</v>
      </c>
      <c r="AP145" s="2493">
        <v>45291</v>
      </c>
      <c r="AQ145" s="2493">
        <v>45322</v>
      </c>
      <c r="AR145" s="2493">
        <v>45351</v>
      </c>
      <c r="AS145" s="2493">
        <v>45382</v>
      </c>
      <c r="AT145" s="2493">
        <v>45412</v>
      </c>
      <c r="AU145" s="2493">
        <v>45443</v>
      </c>
      <c r="AV145" s="2493">
        <v>45473</v>
      </c>
      <c r="AW145" s="2493">
        <v>45504</v>
      </c>
      <c r="AX145" s="2493">
        <v>45535</v>
      </c>
      <c r="AY145" s="2493">
        <v>45565</v>
      </c>
      <c r="AZ145" s="2493">
        <v>45596</v>
      </c>
      <c r="BA145" s="2493">
        <v>45626</v>
      </c>
      <c r="BB145" s="2493">
        <v>45657</v>
      </c>
      <c r="BC145" s="2493">
        <v>45688</v>
      </c>
      <c r="BD145" s="2493">
        <v>45716</v>
      </c>
      <c r="BE145" s="2493">
        <v>45747</v>
      </c>
      <c r="BF145" s="2493">
        <v>45777</v>
      </c>
      <c r="BG145" s="2493">
        <v>45808</v>
      </c>
      <c r="BH145" s="2493">
        <v>45838</v>
      </c>
      <c r="BI145" s="2493">
        <v>45869</v>
      </c>
      <c r="BJ145" s="2493">
        <v>45900</v>
      </c>
      <c r="BK145" s="2493">
        <v>45930</v>
      </c>
      <c r="BL145" s="2493">
        <v>45961</v>
      </c>
      <c r="BM145" s="2493">
        <v>45991</v>
      </c>
      <c r="BN145" s="2494">
        <v>46022</v>
      </c>
      <c r="BO145" s="2495"/>
      <c r="BP145" s="2495"/>
      <c r="BQ145" s="2495"/>
      <c r="BR145" s="2495"/>
      <c r="BS145" s="2495"/>
      <c r="BT145" s="2495"/>
      <c r="BU145" s="2495"/>
      <c r="BV145" s="2495"/>
      <c r="BW145" s="2495"/>
      <c r="BX145" s="2495"/>
      <c r="BY145" s="2495"/>
      <c r="BZ145" s="2495"/>
      <c r="CA145" s="34"/>
      <c r="CC145" s="2560"/>
      <c r="CD145" s="1722" t="e" cm="1">
        <f t="array" ca="1" aca="1" ref="CD145">EOMONTH(val_currentFYE,-24)</f>
        <v>#NAME?</v>
      </c>
      <c r="CE145" s="1723" t="e" cm="1">
        <f t="array" ca="1" aca="1" ref="CE145">EOMONTH(val_currentFYE,-12)</f>
        <v>#NAME?</v>
      </c>
      <c r="CF145" s="277"/>
      <c r="CG145" s="1732">
        <f>EOMONTH(val_asOfDate,0)</f>
        <v>46022</v>
      </c>
      <c r="CH145" s="1733">
        <f>EOMONTH(val_asOfDate,0)</f>
        <v>46022</v>
      </c>
      <c r="CI145" s="276"/>
      <c r="CJ145" s="1730">
        <f>EOMONTH(val_asOfDate,-1)</f>
        <v>45991</v>
      </c>
      <c r="CK145" s="1731">
        <f>EOMONTH(val_asOfDate,0)</f>
        <v>46022</v>
      </c>
      <c r="CL145" s="88"/>
      <c r="CM145" s="2561" t="e" cm="1">
        <f t="array" ca="1" aca="1" ref="CM145">val_currentFYE</f>
        <v>#NAME?</v>
      </c>
      <c r="CN145" s="2562" t="e" cm="1">
        <f t="array" ca="1" aca="1" ref="CN145">val_currentFYE</f>
        <v>#NAME?</v>
      </c>
      <c r="CO145" s="88"/>
      <c r="CP145" s="2563" t="e" cm="1">
        <f t="array" ca="1" aca="1" ref="CP145">EOMONTH(val_currentFYE,12)</f>
        <v>#NAME?</v>
      </c>
      <c r="CQ145" s="2563" t="e" cm="1">
        <f t="array" ca="1" aca="1" ref="CQ145">EOMONTH(val_currentFYE,12)</f>
        <v>#NAME?</v>
      </c>
      <c r="CR145" s="34"/>
      <c r="CS145" s="2056"/>
      <c r="CT145" s="1880"/>
      <c r="CU145" s="1880"/>
      <c r="CV145" s="1880"/>
      <c r="CW145" s="1880"/>
      <c r="CX145" s="2121"/>
      <c r="CY145" s="1880"/>
      <c r="CZ145" s="1880"/>
      <c r="DA145" s="1880"/>
      <c r="DB145" s="1880"/>
      <c r="DC145" s="2121"/>
      <c r="DD145" s="1880"/>
      <c r="DE145" s="1880"/>
      <c r="DF145" s="1880"/>
      <c r="DG145" s="1880"/>
      <c r="DH145" s="1880"/>
      <c r="DI145" s="1880"/>
      <c r="DJ145" s="1880"/>
      <c r="DK145" s="1880"/>
      <c r="DL145" s="1880"/>
      <c r="DM145" s="1880"/>
      <c r="DN145" s="1880"/>
      <c r="DO145" s="1880"/>
      <c r="DP145" s="1880"/>
      <c r="DQ145" s="1880"/>
      <c r="DR145" s="1880"/>
      <c r="DS145" s="1880"/>
      <c r="DT145" s="1880"/>
      <c r="DU145" s="1880"/>
      <c r="DV145" s="1880"/>
      <c r="DW145" s="1880"/>
      <c r="DX145" s="1880"/>
      <c r="DY145" s="1880"/>
      <c r="DZ145" s="1880"/>
      <c r="EA145" s="1880"/>
      <c r="EB145" s="1880"/>
      <c r="EC145" s="1880"/>
      <c r="ED145" s="1880"/>
      <c r="EE145" s="1880"/>
      <c r="EF145" s="1880"/>
      <c r="EG145" s="1880"/>
      <c r="EH145" s="1880"/>
      <c r="EI145" s="1880"/>
      <c r="EJ145" s="1880"/>
      <c r="EK145" s="1880"/>
      <c r="EL145" s="1880"/>
      <c r="EM145" s="1880"/>
      <c r="EN145" s="1880"/>
      <c r="EO145" s="1880"/>
      <c r="EP145" s="1880"/>
      <c r="EQ145" s="1880"/>
      <c r="ER145" s="1880"/>
      <c r="ES145" s="1880"/>
      <c r="ET145" s="1880"/>
      <c r="EU145" s="1880"/>
      <c r="EV145" s="1880"/>
      <c r="EW145" s="1880"/>
      <c r="EX145" s="1880"/>
      <c r="EY145" s="1880"/>
      <c r="EZ145" s="1880"/>
      <c r="FA145" s="1880"/>
    </row>
    <row r="146" spans="1:157" ht="30.75" customHeight="1">
      <c r="A146" s="2449"/>
      <c r="B146" s="2439" t="str">
        <f>_xlfn.LET(_xlpm.IsNotAttrDynamic,D146="",_xlpm.Attr,_PL!F146,_xlpm.NotInUse,Y146=D146,_xlpm.RESULT,IF(_xlpm.IsNotAttrDynamic,_xlpm.Attr,IF(_xlpm.NotInUse,"",Y146)),IF(_xlpm.RESULT="","",_xlpm.RESULT))</f>
        <v/>
      </c>
      <c r="C146" s="2439" t="str" cm="1">
        <f t="array" ref="C146">IFBLANK(_PL!C146,"")</f>
        <v/>
      </c>
      <c r="D146" s="1548"/>
      <c r="E146" s="2453"/>
      <c r="F146" s="576"/>
      <c r="G146" s="576"/>
      <c r="H146" s="2546"/>
      <c r="I146" s="2546"/>
      <c r="J146" s="401"/>
      <c r="K146" s="578" t="str">
        <f t="shared" si="47"/>
        <v>No</v>
      </c>
      <c r="L146" s="37"/>
      <c r="N146" s="158"/>
      <c r="O146" s="101"/>
      <c r="P146" s="52"/>
      <c r="Q146" s="101"/>
      <c r="R146" s="101"/>
      <c r="S146" s="101"/>
      <c r="T146" s="101"/>
      <c r="U146" s="39"/>
      <c r="V146" s="37"/>
      <c r="W146" s="751" t="s">
        <v>94</v>
      </c>
      <c r="X146" s="899"/>
      <c r="Y146" s="912" t="s">
        <v>118</v>
      </c>
      <c r="Z146" s="790"/>
      <c r="AA146" s="193"/>
      <c r="AB146" s="193"/>
      <c r="AC146" s="125"/>
      <c r="AD146" s="2641" t="str">
        <f>$W$143</f>
        <v>Actual</v>
      </c>
      <c r="AE146" s="2641" t="str">
        <f t="shared" si="49" ref="AE146:BN146">$W$143</f>
        <v>Actual</v>
      </c>
      <c r="AF146" s="2641" t="str">
        <f t="shared" si="49"/>
        <v>Actual</v>
      </c>
      <c r="AG146" s="2641" t="str">
        <f t="shared" si="49"/>
        <v>Actual</v>
      </c>
      <c r="AH146" s="2641" t="str">
        <f t="shared" si="49"/>
        <v>Actual</v>
      </c>
      <c r="AI146" s="2641" t="str">
        <f t="shared" si="49"/>
        <v>Actual</v>
      </c>
      <c r="AJ146" s="2641" t="str">
        <f t="shared" si="49"/>
        <v>Actual</v>
      </c>
      <c r="AK146" s="2641" t="str">
        <f t="shared" si="49"/>
        <v>Actual</v>
      </c>
      <c r="AL146" s="2641" t="str">
        <f t="shared" si="49"/>
        <v>Actual</v>
      </c>
      <c r="AM146" s="2641" t="str">
        <f t="shared" si="49"/>
        <v>Actual</v>
      </c>
      <c r="AN146" s="2641" t="str">
        <f t="shared" si="49"/>
        <v>Actual</v>
      </c>
      <c r="AO146" s="2641" t="str">
        <f t="shared" si="49"/>
        <v>Actual</v>
      </c>
      <c r="AP146" s="2641" t="str">
        <f t="shared" si="49"/>
        <v>Actual</v>
      </c>
      <c r="AQ146" s="2641" t="str">
        <f t="shared" si="49"/>
        <v>Actual</v>
      </c>
      <c r="AR146" s="2641" t="str">
        <f t="shared" si="49"/>
        <v>Actual</v>
      </c>
      <c r="AS146" s="2641" t="str">
        <f t="shared" si="49"/>
        <v>Actual</v>
      </c>
      <c r="AT146" s="2641" t="str">
        <f t="shared" si="49"/>
        <v>Actual</v>
      </c>
      <c r="AU146" s="2641" t="str">
        <f t="shared" si="49"/>
        <v>Actual</v>
      </c>
      <c r="AV146" s="2641" t="str">
        <f t="shared" si="49"/>
        <v>Actual</v>
      </c>
      <c r="AW146" s="2641" t="str">
        <f t="shared" si="49"/>
        <v>Actual</v>
      </c>
      <c r="AX146" s="2641" t="str">
        <f t="shared" si="49"/>
        <v>Actual</v>
      </c>
      <c r="AY146" s="2641" t="str">
        <f t="shared" si="49"/>
        <v>Actual</v>
      </c>
      <c r="AZ146" s="2641" t="str">
        <f t="shared" si="49"/>
        <v>Actual</v>
      </c>
      <c r="BA146" s="2641" t="str">
        <f t="shared" si="49"/>
        <v>Actual</v>
      </c>
      <c r="BB146" s="2641" t="str">
        <f t="shared" si="49"/>
        <v>Actual</v>
      </c>
      <c r="BC146" s="2641" t="str">
        <f t="shared" si="49"/>
        <v>Actual</v>
      </c>
      <c r="BD146" s="2641" t="str">
        <f t="shared" si="49"/>
        <v>Actual</v>
      </c>
      <c r="BE146" s="2641" t="str">
        <f t="shared" si="49"/>
        <v>Actual</v>
      </c>
      <c r="BF146" s="2641" t="str">
        <f t="shared" si="49"/>
        <v>Actual</v>
      </c>
      <c r="BG146" s="2641" t="str">
        <f t="shared" si="49"/>
        <v>Actual</v>
      </c>
      <c r="BH146" s="2641" t="str">
        <f t="shared" si="49"/>
        <v>Actual</v>
      </c>
      <c r="BI146" s="2641" t="str">
        <f t="shared" si="49"/>
        <v>Actual</v>
      </c>
      <c r="BJ146" s="2641" t="str">
        <f t="shared" si="49"/>
        <v>Actual</v>
      </c>
      <c r="BK146" s="2641" t="str">
        <f t="shared" si="49"/>
        <v>Actual</v>
      </c>
      <c r="BL146" s="2641" t="str">
        <f t="shared" si="49"/>
        <v>Actual</v>
      </c>
      <c r="BM146" s="2641" t="str">
        <f t="shared" si="49"/>
        <v>Actual</v>
      </c>
      <c r="BN146" s="2641" t="str">
        <f t="shared" si="49"/>
        <v>Actual</v>
      </c>
      <c r="BO146" s="2070"/>
      <c r="BP146" s="2070"/>
      <c r="BQ146" s="2070"/>
      <c r="BR146" s="2070"/>
      <c r="BS146" s="2070"/>
      <c r="BT146" s="2070"/>
      <c r="BU146" s="2070"/>
      <c r="BV146" s="2070"/>
      <c r="BW146" s="2070"/>
      <c r="BX146" s="2070"/>
      <c r="BY146" s="2070"/>
      <c r="BZ146" s="2070"/>
      <c r="CA146" s="34"/>
      <c r="CC146" s="958"/>
      <c r="CD146" s="1720" t="str" cm="1">
        <f t="array" ref="CD146">fx_scenarioConverter($W143)</f>
        <v>Actual</v>
      </c>
      <c r="CE146" s="1721" t="str" cm="1">
        <f t="array" ref="CE146">fx_scenarioConverter($W143)</f>
        <v>Actual</v>
      </c>
      <c r="CF146" s="128"/>
      <c r="CG146" s="1734" t="str" cm="1">
        <f t="array" ref="CG146">fx_scenarioConverter($W143)</f>
        <v>Actual</v>
      </c>
      <c r="CH146" s="1735" t="str" cm="1">
        <f t="array" ref="CH146">fx_scenarioConverter($W143)</f>
        <v>Actual</v>
      </c>
      <c r="CI146" s="207"/>
      <c r="CJ146" s="1724" t="str" cm="1">
        <f t="array" ref="CJ146">fx_scenarioConverter($W143)</f>
        <v>Actual</v>
      </c>
      <c r="CK146" s="1725" t="str" cm="1">
        <f t="array" ref="CK146">fx_scenarioConverter($W143)</f>
        <v>Actual</v>
      </c>
      <c r="CL146" s="88"/>
      <c r="CM146" s="1198" t="str">
        <f>CM$19</f>
        <v>Original Budget</v>
      </c>
      <c r="CN146" s="1198" t="str">
        <f>CN$19</f>
        <v>LE</v>
      </c>
      <c r="CO146" s="88"/>
      <c r="CP146" s="1198" t="str">
        <f>CP$19</f>
        <v>Original Budget</v>
      </c>
      <c r="CQ146" s="1198" t="str">
        <f>CQ$19</f>
        <v>LE</v>
      </c>
      <c r="CR146" s="34"/>
      <c r="CS146" s="2056"/>
      <c r="CT146" s="1880"/>
      <c r="CU146" s="1880"/>
      <c r="CV146" s="1880"/>
      <c r="CW146" s="1880"/>
      <c r="CX146" s="2121"/>
      <c r="CY146" s="1880"/>
      <c r="CZ146" s="1880"/>
      <c r="DA146" s="1880"/>
      <c r="DB146" s="1880"/>
      <c r="DC146" s="2121"/>
      <c r="DD146" s="1880"/>
      <c r="DE146" s="1880"/>
      <c r="DF146" s="1880"/>
      <c r="DG146" s="1880"/>
      <c r="DH146" s="1880"/>
      <c r="DI146" s="1880"/>
      <c r="DJ146" s="1880"/>
      <c r="DK146" s="1880"/>
      <c r="DL146" s="1880"/>
      <c r="DM146" s="1880"/>
      <c r="DN146" s="1880"/>
      <c r="DO146" s="1880"/>
      <c r="DP146" s="1880"/>
      <c r="DQ146" s="1880"/>
      <c r="DR146" s="1880"/>
      <c r="DS146" s="1880"/>
      <c r="DT146" s="1880"/>
      <c r="DU146" s="1880"/>
      <c r="DV146" s="1880"/>
      <c r="DW146" s="1880"/>
      <c r="DX146" s="1880"/>
      <c r="DY146" s="1880"/>
      <c r="DZ146" s="1880"/>
      <c r="EA146" s="1880"/>
      <c r="EB146" s="1880"/>
      <c r="EC146" s="1880"/>
      <c r="ED146" s="1880"/>
      <c r="EE146" s="1880"/>
      <c r="EF146" s="1880"/>
      <c r="EG146" s="1880"/>
      <c r="EH146" s="1880"/>
      <c r="EI146" s="1880"/>
      <c r="EJ146" s="1880"/>
      <c r="EK146" s="1880"/>
      <c r="EL146" s="1880"/>
      <c r="EM146" s="1880"/>
      <c r="EN146" s="1880"/>
      <c r="EO146" s="1880"/>
      <c r="EP146" s="1880"/>
      <c r="EQ146" s="1880"/>
      <c r="ER146" s="1880"/>
      <c r="ES146" s="1880"/>
      <c r="ET146" s="1880"/>
      <c r="EU146" s="1880"/>
      <c r="EV146" s="1880"/>
      <c r="EW146" s="1880"/>
      <c r="EX146" s="1880"/>
      <c r="EY146" s="1880"/>
      <c r="EZ146" s="1880"/>
      <c r="FA146" s="1880"/>
    </row>
    <row r="147" spans="1:144" ht="21" customHeight="1">
      <c r="A147" s="1625" t="s">
        <v>96</v>
      </c>
      <c r="B147" s="2501" t="s">
        <v>119</v>
      </c>
      <c r="C147" s="3459" t="str" cm="1">
        <f t="array" ref="C147">IFBLANK(_PL!C147,"")</f>
        <v>Revenue Top Line Label</v>
      </c>
      <c r="D147" s="1548" t="s">
        <v>113</v>
      </c>
      <c r="E147" s="2440" t="e" cm="1">
        <f t="array" ca="1" aca="1" ref="E14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147:$CQ147,Z147)</f>
        <v>#NAME?</v>
      </c>
      <c r="F147" s="578"/>
      <c r="G147" s="578"/>
      <c r="H147" s="3294">
        <v>2</v>
      </c>
      <c r="I147" s="3329">
        <v>1</v>
      </c>
      <c r="J147" s="401" cm="1">
        <f t="array" ref="J147">IFBLANK(Z147,"")</f>
        <v>0</v>
      </c>
      <c r="K147" s="578" t="str">
        <f>IFERROR(IF(LEN(AB147)=0,"No",IF(LEN(J147)&gt;0,"Yes","No")),"")</f>
        <v>Yes</v>
      </c>
      <c r="L147" s="37"/>
      <c r="N147" s="158"/>
      <c r="O147" s="101"/>
      <c r="P147" s="52"/>
      <c r="Q147" s="101"/>
      <c r="R147" s="101"/>
      <c r="S147" s="101"/>
      <c r="T147" s="101"/>
      <c r="U147" s="39"/>
      <c r="V147" s="37"/>
      <c r="W147" s="91" t="str" cm="1">
        <f t="array" ref="W147">fx_scenarioConverter(W143)</f>
        <v>Actual</v>
      </c>
      <c r="X147" s="815" t="e" vm="4">
        <f>_PL!X147</f>
        <v>#VALUE!</v>
      </c>
      <c r="Y147" s="3206">
        <v>2</v>
      </c>
      <c r="Z147" s="878">
        <f>_PL!Z147</f>
        <v>0</v>
      </c>
      <c r="AA147" s="877"/>
      <c r="AB147" s="3184">
        <f>Y147</f>
        <v>2</v>
      </c>
      <c r="AC147" s="1163" t="str" cm="1">
        <f t="array" ca="1" aca="1" ref="AC147">_xlfn.LET(_xlpm._termname,$AB147,_xlpm._iconname,"find",_xlpm._icon,fx_getIcon(_xlpm._iconname),_xlpm._location,_xlfn.XLOOKUP(LOWER(_xlpm._termname),LOWER(tbl_acctDef[Term]),tbl_acctDef[Term]),_xlpm._hyperlink,HYPERLINK("#"&amp;CELL("address",_xlpm._location),_xlpm._icon),IFERROR(_xlpm._hyperlink,""))</f>
        <v/>
      </c>
      <c r="AD147" s="3179" cm="1">
        <f t="array" ref="AD147:BN147">_xlfn.XLOOKUP($W147&amp;$AB147,$W$20:$W$124&amp;$AB$20:$AB$124,AD$20:BN$124,"")</f>
        <v>1</v>
      </c>
      <c r="AE147" s="3213">
        <v>1</v>
      </c>
      <c r="AF147" s="3213">
        <v>1</v>
      </c>
      <c r="AG147" s="3213">
        <v>1</v>
      </c>
      <c r="AH147" s="3213">
        <v>1</v>
      </c>
      <c r="AI147" s="3213">
        <v>1</v>
      </c>
      <c r="AJ147" s="3213">
        <v>1</v>
      </c>
      <c r="AK147" s="3213">
        <v>1</v>
      </c>
      <c r="AL147" s="3213">
        <v>1</v>
      </c>
      <c r="AM147" s="3213">
        <v>1</v>
      </c>
      <c r="AN147" s="3213">
        <v>1</v>
      </c>
      <c r="AO147" s="3213">
        <v>1</v>
      </c>
      <c r="AP147" s="3213">
        <v>1</v>
      </c>
      <c r="AQ147" s="3213">
        <v>1</v>
      </c>
      <c r="AR147" s="3213">
        <v>1</v>
      </c>
      <c r="AS147" s="3213">
        <v>1</v>
      </c>
      <c r="AT147" s="3213">
        <v>1</v>
      </c>
      <c r="AU147" s="3213">
        <v>1</v>
      </c>
      <c r="AV147" s="3213">
        <v>1</v>
      </c>
      <c r="AW147" s="3213">
        <v>1</v>
      </c>
      <c r="AX147" s="3213">
        <v>1</v>
      </c>
      <c r="AY147" s="3213">
        <v>1</v>
      </c>
      <c r="AZ147" s="3213">
        <v>1</v>
      </c>
      <c r="BA147" s="3213">
        <v>1</v>
      </c>
      <c r="BB147" s="3213">
        <v>1</v>
      </c>
      <c r="BC147" s="3213">
        <v>1</v>
      </c>
      <c r="BD147" s="3213">
        <v>1</v>
      </c>
      <c r="BE147" s="3213">
        <v>1</v>
      </c>
      <c r="BF147" s="3213">
        <v>1</v>
      </c>
      <c r="BG147" s="3213">
        <v>1</v>
      </c>
      <c r="BH147" s="3213">
        <v>1</v>
      </c>
      <c r="BI147" s="3213">
        <v>1</v>
      </c>
      <c r="BJ147" s="3213">
        <v>1</v>
      </c>
      <c r="BK147" s="3213">
        <v>1</v>
      </c>
      <c r="BL147" s="3213">
        <v>1</v>
      </c>
      <c r="BM147" s="3213">
        <v>1</v>
      </c>
      <c r="BN147" s="3213">
        <v>1</v>
      </c>
      <c r="BO147" s="2096"/>
      <c r="BP147" s="2096"/>
      <c r="BQ147" s="2096"/>
      <c r="BR147" s="2096"/>
      <c r="BS147" s="2096"/>
      <c r="BT147" s="2096"/>
      <c r="BU147" s="2096"/>
      <c r="BV147" s="2096"/>
      <c r="BW147" s="2096"/>
      <c r="BX147" s="2096"/>
      <c r="BY147" s="2096"/>
      <c r="BZ147" s="2096"/>
      <c r="CA147" s="926"/>
      <c r="CB147" s="921"/>
      <c r="CC147" s="927"/>
      <c r="CD147" s="2565" t="e" cm="1">
        <f t="array" ca="1" aca="1" ref="CD147">_xlfn.LET(_xlpm.CheckBlank,SUM(PL!$AD147:$BN147)=0,IF(_xlpm.CheckBlank,"",SUM(_xlfn._xlws.FILTER(PL!$AD147:$BN147,(YEAR(PL!$AD$12:$BN$12)=PL!CD$12)*(array_timeline&lt;=PL!CD$11)))))</f>
        <v>#NAME?</v>
      </c>
      <c r="CE147" s="1461" t="e" cm="1">
        <f t="array" ca="1" aca="1" ref="CE147">_xlfn.LET(_xlpm.CheckBlank,SUM(PL!$AD147:$BN147)=0,IF(_xlpm.CheckBlank,"",SUM(_xlfn._xlws.FILTER(PL!$AD147:$BN147,(YEAR(PL!$AD$12:$BN$12)=PL!CE$12)*(array_timeline&lt;=PL!CE$11)))))</f>
        <v>#NAME?</v>
      </c>
      <c r="CF147" s="88"/>
      <c r="CG147" s="1461" t="e" cm="1">
        <f t="array" ca="1" aca="1" ref="CG147">_xlfn.LET(_xlpm.CheckBlank,SUM(PL!$AD147:$BN147)=0,IF(_xlpm.CheckBlank,"",SUM(_xlfn._xlws.FILTER(PL!$AD147:$BN147,(YEAR(PL!$AD$12:$BN$12)=PL!CG$12)*(array_timeline&lt;=PL!CG$11)))))</f>
        <v>#NAME?</v>
      </c>
      <c r="CH147" s="1461" t="e" cm="1">
        <f t="array" ca="1" aca="1" ref="CH147">_xlfn.LET(_xlpm.CheckBlank,SUM(PL!$AD147:$BN147)=0,IF(_xlpm.CheckBlank,"",SUM(_xlfn._xlws.FILTER(PL!$AD147:$BN147,(YEAR(PL!$AD$12:$BN$12)=PL!CH$12)*(array_timeline&lt;=PL!CH$11)))))</f>
        <v>#NAME?</v>
      </c>
      <c r="CI147" s="88"/>
      <c r="CJ147" s="1461" cm="1">
        <f t="array" ref="CJ147">_xlfn.LET(_xlpm.CheckBlank,SUM(PL!$AD147:$BN147)=0,IF(_xlpm.CheckBlank,"",SUM(_xlfn.TAKE(_xlfn.DROP(PL!$AD147:$BN147,,-DATEDIFF(PL!CJ$11,val_asOfDate,"M")),1,-12))))</f>
        <v>12</v>
      </c>
      <c r="CK147" s="1461" cm="1">
        <f t="array" ref="CK147">_xlfn.LET(_xlpm.CheckBlank,SUM(PL!$AD147:$BN147)=0,IF(_xlpm.CheckBlank,"",SUM(_xlfn.TAKE(_xlfn.DROP(PL!$AD147:$BN147,,-DATEDIFF(PL!CK$11,val_asOfDate,"M")),1,-12))))</f>
        <v>12</v>
      </c>
      <c r="CL147" s="88"/>
      <c r="CM147" s="3209" cm="1">
        <f t="array" ref="CM147:CN147">_xlfn.LET(_xlpm.findRow,_xlfn.XMATCH($W147&amp;$Y147,$W$20:$W$118&amp;$AB$20:$AB$118,0),_xlpm.Choose,_xlfn.CHOOSEROWS(CM$20:CN$118,_xlpm.findRow),_xlpm.RESULT,IF(ISERROR(_xlpm.findRow),"",_xlpm.Choose),_xlpm.RESULT)</f>
        <v>1</v>
      </c>
      <c r="CN147" s="3210">
        <v>1</v>
      </c>
      <c r="CO147" s="88"/>
      <c r="CP147" s="3209" cm="1">
        <f t="array" ref="CP147:CQ147">_xlfn.LET(_xlpm.findRow,_xlfn.XMATCH($W147&amp;$Y147,$W$20:$W$118&amp;$AB$20:$AB$118,0),_xlpm.Choose,_xlfn.CHOOSEROWS(CP$20:CQ$118,_xlpm.findRow),_xlpm.RESULT,IF(ISERROR(_xlpm.findRow),"",_xlpm.Choose),_xlpm.RESULT)</f>
        <v>1</v>
      </c>
      <c r="CQ147" s="3210">
        <v>1</v>
      </c>
      <c r="CR147" s="34"/>
      <c r="CS147" s="2056"/>
      <c r="CT147" s="2447" t="e" cm="1">
        <f t="array" ca="1" aca="1" ref="CT147">IF(ISNUMBER(SEARCH("Select",$Y147)),"",_xldudf_CX_PUSH($Y147,CX_ENTITY,C147,val_asOfDate))</f>
        <v>#NAME?</v>
      </c>
      <c r="CU147" s="2447" t="e" cm="1">
        <f t="array" ca="1" aca="1" ref="CU147">IF(ISNUMBER(SEARCH("Select",$Y147)),"",_xldudf_CX_PUSH($Y147,CX_ENTITY,C147,EOMONTH(val_asOfDate,1)))</f>
        <v>#NAME?</v>
      </c>
      <c r="CV147" s="2447" t="e" cm="1">
        <f t="array" ca="1" aca="1" ref="CV147">IF(ISNUMBER(SEARCH("Select",$Y147)),"",_xldudf_CX_PUSH($Y147,CX_ENTITY,C147,EOMONTH(val_asOfDate,2)))</f>
        <v>#NAME?</v>
      </c>
      <c r="CW147" s="2447" t="e" cm="1">
        <f t="array" ca="1" aca="1" ref="CW147">IF(ISNUMBER(SEARCH("Select",$Y147)),"",_xldudf_CX_PUSH($Y147,CX_ENTITY,C147,EOMONTH(val_asOfDate,3)))</f>
        <v>#NAME?</v>
      </c>
      <c r="CX147" s="2566"/>
      <c r="CY147" s="2444" t="str" cm="1">
        <f t="array" ca="1" aca="1" ref="CY147">IFERROR(IF(CM147*fxVal_normal=_PL!CM147,"",IF(OR($CM147="",$CM147=0,NOT(ISNUMBER($CM147)),ISERROR($CM147),$B147=""),"",IF($I147=1,IFBLANK(_xldudf_CX_PUSH($CM147*fxVal_normal,CX_ENTITY,$B147,$CM$11,$CM$14,$CM$19,),""),IF($I147=2,IFBLANK(_xldudf_CX_PUSH($CM147,CX_ENTITY,$B147,$CM$11,$CM$14,$CM$19,),""),IF($I147=3,"",IFBLANK(_xldudf_CX_PUSH($CM147,CX_ENTITY,$B147,$CM$11,$CM$14,$CM$19,),"")))))),"")</f>
        <v/>
      </c>
      <c r="CZ147" s="2444" t="str" cm="1">
        <f t="array" ca="1" aca="1" ref="CZ147">IFERROR(IF(CN147*fxVal_normal=_PL!CN147,"",IF(OR($CN147="",$CN147=0,NOT(ISNUMBER($CN147)),ISERROR($CN147),$B147=""),"",IF($I147=1,IFBLANK(_xldudf_CX_PUSH($CN147*fxVal_normal,CX_ENTITY,$B147,$CN$11,$CN$14,$CN$19,),""),IF($I147=2,IFBLANK(_xldudf_CX_PUSH($CN147,CX_ENTITY,$B147,$CN$11,$CN$14,$CN$19,),""),IF($I147=3,"",IFBLANK(_xldudf_CX_PUSH($CN147,CX_ENTITY,$B147,$CN$11,$CN$14,$CN$19,),"")))))),"")</f>
        <v/>
      </c>
      <c r="DA147" s="2444" t="str" cm="1">
        <f t="array" ca="1" aca="1" ref="DA147">IFERROR(IF(CP147*fxVal_normal=_PL!CP147,"",IF(OR($CP147="",$CP147=0,NOT(ISNUMBER($CP147)),ISERROR($CP147),$B147=""),"",IF($I147=1,IFBLANK(_xldudf_CX_PUSH($CP147*fxVal_normal,CX_ENTITY,$B147,$CP$11,$CP$14,$CP$19,),""),IF($I147=2,IFBLANK(_xldudf_CX_PUSH($CP147,CX_ENTITY,$B147,$CP$11,$CP$14,$CP$19,),""),IF($I147=3,"",IFBLANK(_xldudf_CX_PUSH($CP147,CX_ENTITY,$B147,$CP$11,$CP$14,$CP$19,),"")))))),"")</f>
        <v/>
      </c>
      <c r="DB147" s="2444" t="str" cm="1">
        <f t="array" ca="1" aca="1" ref="DB147">IFERROR(IF(CQ147*fxVal_normal=_PL!CQ147,"",IF(OR($CQ147="",$CQ147=0,NOT(ISNUMBER($CQ147)),ISERROR($CQ147),$B147=""),"",IF($I147=1,IFBLANK(_xldudf_CX_PUSH($CQ147*fxVal_normal,CX_ENTITY,$B147,$CQ$11,$CQ$14,$CQ$19,),""),IF($I147=2,IFBLANK(_xldudf_CX_PUSH($CQ147,CX_ENTITY,$B147,$CQ$11,$CQ$14,$CQ$19,),""),IF($I147=3,"",IFBLANK(_xldudf_CX_PUSH($CQ147,CX_ENTITY,$B147,$CQ$11,$CQ$14,$CQ$19,),"")))))),"")</f>
        <v/>
      </c>
      <c r="DC147" s="2121"/>
      <c r="DD147" s="2445" t="str" cm="1">
        <f t="array" ca="1" aca="1" ref="DD147">IFERROR(IF(AD147*fxVal_normal=_PL!AD147,"",IF(OR(AD147="",NOT(ISNUMBER(AD147)),ISERROR(AD147),$B147=""),"",IF($I147=1,IFBLANK(_xldudf_CX_PUSH(AD147*fxVal_normal,CX_ENTITY,$B147,AD$11,AD$14,AD$146,),""),IF($I147=2,IFBLANK(_xldudf_CX_PUSH(AD147,CX_ENTITY,$B147,AD$11,AD$14,AD$146,),""),IF($I147=3,"",IFBLANK(_xldudf_CX_PUSH(AD147,CX_ENTITY,$B147,AD$11,AD$14,AD$146,),"")))))),"")</f>
        <v/>
      </c>
      <c r="DE147" s="2445" t="str" cm="1">
        <f t="array" ca="1" aca="1" ref="DE147">IFERROR(IF(AE147*fxVal_normal=_PL!AE147,"",IF(OR(AE147="",NOT(ISNUMBER(AE147)),ISERROR(AE147),$B147=""),"",IF($I147=1,IFBLANK(_xldudf_CX_PUSH(AE147*fxVal_normal,CX_ENTITY,$B147,AE$11,AE$14,AE$146,),""),IF($I147=2,IFBLANK(_xldudf_CX_PUSH(AE147,CX_ENTITY,$B147,AE$11,AE$14,AE$146,),""),IF($I147=3,"",IFBLANK(_xldudf_CX_PUSH(AE147,CX_ENTITY,$B147,AE$11,AE$14,AE$146,),"")))))),"")</f>
        <v/>
      </c>
      <c r="DF147" s="2445" t="str" cm="1">
        <f t="array" ca="1" aca="1" ref="DF147">IFERROR(IF(AF147*fxVal_normal=_PL!AF147,"",IF(OR(AF147="",NOT(ISNUMBER(AF147)),ISERROR(AF147),$B147=""),"",IF($I147=1,IFBLANK(_xldudf_CX_PUSH(AF147*fxVal_normal,CX_ENTITY,$B147,AF$11,AF$14,AF$146,),""),IF($I147=2,IFBLANK(_xldudf_CX_PUSH(AF147,CX_ENTITY,$B147,AF$11,AF$14,AF$146,),""),IF($I147=3,"",IFBLANK(_xldudf_CX_PUSH(AF147,CX_ENTITY,$B147,AF$11,AF$14,AF$146,),"")))))),"")</f>
        <v/>
      </c>
      <c r="DG147" s="2445" t="str" cm="1">
        <f t="array" ca="1" aca="1" ref="DG147">IFERROR(IF(AG147*fxVal_normal=_PL!AG147,"",IF(OR(AG147="",NOT(ISNUMBER(AG147)),ISERROR(AG147),$B147=""),"",IF($I147=1,IFBLANK(_xldudf_CX_PUSH(AG147*fxVal_normal,CX_ENTITY,$B147,AG$11,AG$14,AG$146,),""),IF($I147=2,IFBLANK(_xldudf_CX_PUSH(AG147,CX_ENTITY,$B147,AG$11,AG$14,AG$146,),""),IF($I147=3,"",IFBLANK(_xldudf_CX_PUSH(AG147,CX_ENTITY,$B147,AG$11,AG$14,AG$146,),"")))))),"")</f>
        <v/>
      </c>
      <c r="DH147" s="2445" t="str" cm="1">
        <f t="array" ca="1" aca="1" ref="DH147">IFERROR(IF(AH147*fxVal_normal=_PL!AH147,"",IF(OR(AH147="",NOT(ISNUMBER(AH147)),ISERROR(AH147),$B147=""),"",IF($I147=1,IFBLANK(_xldudf_CX_PUSH(AH147*fxVal_normal,CX_ENTITY,$B147,AH$11,AH$14,AH$146,),""),IF($I147=2,IFBLANK(_xldudf_CX_PUSH(AH147,CX_ENTITY,$B147,AH$11,AH$14,AH$146,),""),IF($I147=3,"",IFBLANK(_xldudf_CX_PUSH(AH147,CX_ENTITY,$B147,AH$11,AH$14,AH$146,),"")))))),"")</f>
        <v/>
      </c>
      <c r="DI147" s="2445" t="str" cm="1">
        <f t="array" ca="1" aca="1" ref="DI147">IFERROR(IF(AI147*fxVal_normal=_PL!AI147,"",IF(OR(AI147="",NOT(ISNUMBER(AI147)),ISERROR(AI147),$B147=""),"",IF($I147=1,IFBLANK(_xldudf_CX_PUSH(AI147*fxVal_normal,CX_ENTITY,$B147,AI$11,AI$14,AI$146,),""),IF($I147=2,IFBLANK(_xldudf_CX_PUSH(AI147,CX_ENTITY,$B147,AI$11,AI$14,AI$146,),""),IF($I147=3,"",IFBLANK(_xldudf_CX_PUSH(AI147,CX_ENTITY,$B147,AI$11,AI$14,AI$146,),"")))))),"")</f>
        <v/>
      </c>
      <c r="DJ147" s="2445" t="str" cm="1">
        <f t="array" ca="1" aca="1" ref="DJ147">IFERROR(IF(AJ147*fxVal_normal=_PL!AJ147,"",IF(OR(AJ147="",NOT(ISNUMBER(AJ147)),ISERROR(AJ147),$B147=""),"",IF($I147=1,IFBLANK(_xldudf_CX_PUSH(AJ147*fxVal_normal,CX_ENTITY,$B147,AJ$11,AJ$14,AJ$146,),""),IF($I147=2,IFBLANK(_xldudf_CX_PUSH(AJ147,CX_ENTITY,$B147,AJ$11,AJ$14,AJ$146,),""),IF($I147=3,"",IFBLANK(_xldudf_CX_PUSH(AJ147,CX_ENTITY,$B147,AJ$11,AJ$14,AJ$146,),"")))))),"")</f>
        <v/>
      </c>
      <c r="DK147" s="2445" t="str" cm="1">
        <f t="array" ca="1" aca="1" ref="DK147">IFERROR(IF(AK147*fxVal_normal=_PL!AK147,"",IF(OR(AK147="",NOT(ISNUMBER(AK147)),ISERROR(AK147),$B147=""),"",IF($I147=1,IFBLANK(_xldudf_CX_PUSH(AK147*fxVal_normal,CX_ENTITY,$B147,AK$11,AK$14,AK$146,),""),IF($I147=2,IFBLANK(_xldudf_CX_PUSH(AK147,CX_ENTITY,$B147,AK$11,AK$14,AK$146,),""),IF($I147=3,"",IFBLANK(_xldudf_CX_PUSH(AK147,CX_ENTITY,$B147,AK$11,AK$14,AK$146,),"")))))),"")</f>
        <v/>
      </c>
      <c r="DL147" s="2445" t="str" cm="1">
        <f t="array" ca="1" aca="1" ref="DL147">IFERROR(IF(AL147*fxVal_normal=_PL!AL147,"",IF(OR(AL147="",NOT(ISNUMBER(AL147)),ISERROR(AL147),$B147=""),"",IF($I147=1,IFBLANK(_xldudf_CX_PUSH(AL147*fxVal_normal,CX_ENTITY,$B147,AL$11,AL$14,AL$146,),""),IF($I147=2,IFBLANK(_xldudf_CX_PUSH(AL147,CX_ENTITY,$B147,AL$11,AL$14,AL$146,),""),IF($I147=3,"",IFBLANK(_xldudf_CX_PUSH(AL147,CX_ENTITY,$B147,AL$11,AL$14,AL$146,),"")))))),"")</f>
        <v/>
      </c>
      <c r="DM147" s="2445" t="str" cm="1">
        <f t="array" ca="1" aca="1" ref="DM147">IFERROR(IF(AM147*fxVal_normal=_PL!AM147,"",IF(OR(AM147="",NOT(ISNUMBER(AM147)),ISERROR(AM147),$B147=""),"",IF($I147=1,IFBLANK(_xldudf_CX_PUSH(AM147*fxVal_normal,CX_ENTITY,$B147,AM$11,AM$14,AM$146,),""),IF($I147=2,IFBLANK(_xldudf_CX_PUSH(AM147,CX_ENTITY,$B147,AM$11,AM$14,AM$146,),""),IF($I147=3,"",IFBLANK(_xldudf_CX_PUSH(AM147,CX_ENTITY,$B147,AM$11,AM$14,AM$146,),"")))))),"")</f>
        <v/>
      </c>
      <c r="DN147" s="2445" t="str" cm="1">
        <f t="array" ca="1" aca="1" ref="DN147">IFERROR(IF(AN147*fxVal_normal=_PL!AN147,"",IF(OR(AN147="",NOT(ISNUMBER(AN147)),ISERROR(AN147),$B147=""),"",IF($I147=1,IFBLANK(_xldudf_CX_PUSH(AN147*fxVal_normal,CX_ENTITY,$B147,AN$11,AN$14,AN$146,),""),IF($I147=2,IFBLANK(_xldudf_CX_PUSH(AN147,CX_ENTITY,$B147,AN$11,AN$14,AN$146,),""),IF($I147=3,"",IFBLANK(_xldudf_CX_PUSH(AN147,CX_ENTITY,$B147,AN$11,AN$14,AN$146,),"")))))),"")</f>
        <v/>
      </c>
      <c r="DO147" s="2445" t="str" cm="1">
        <f t="array" ca="1" aca="1" ref="DO147">IFERROR(IF(AO147*fxVal_normal=_PL!AO147,"",IF(OR(AO147="",NOT(ISNUMBER(AO147)),ISERROR(AO147),$B147=""),"",IF($I147=1,IFBLANK(_xldudf_CX_PUSH(AO147*fxVal_normal,CX_ENTITY,$B147,AO$11,AO$14,AO$146,),""),IF($I147=2,IFBLANK(_xldudf_CX_PUSH(AO147,CX_ENTITY,$B147,AO$11,AO$14,AO$146,),""),IF($I147=3,"",IFBLANK(_xldudf_CX_PUSH(AO147,CX_ENTITY,$B147,AO$11,AO$14,AO$146,),"")))))),"")</f>
        <v/>
      </c>
      <c r="DP147" s="2445" t="str" cm="1">
        <f t="array" ca="1" aca="1" ref="DP147">IFERROR(IF(AP147*fxVal_normal=_PL!AP147,"",IF(OR(AP147="",NOT(ISNUMBER(AP147)),ISERROR(AP147),$B147=""),"",IF($I147=1,IFBLANK(_xldudf_CX_PUSH(AP147*fxVal_normal,CX_ENTITY,$B147,AP$11,AP$14,AP$146,),""),IF($I147=2,IFBLANK(_xldudf_CX_PUSH(AP147,CX_ENTITY,$B147,AP$11,AP$14,AP$146,),""),IF($I147=3,"",IFBLANK(_xldudf_CX_PUSH(AP147,CX_ENTITY,$B147,AP$11,AP$14,AP$146,),"")))))),"")</f>
        <v/>
      </c>
      <c r="DQ147" s="2445" t="str" cm="1">
        <f t="array" ca="1" aca="1" ref="DQ147">IFERROR(IF(AQ147*fxVal_normal=_PL!AQ147,"",IF(OR(AQ147="",NOT(ISNUMBER(AQ147)),ISERROR(AQ147),$B147=""),"",IF($I147=1,IFBLANK(_xldudf_CX_PUSH(AQ147*fxVal_normal,CX_ENTITY,$B147,AQ$11,AQ$14,AQ$146,),""),IF($I147=2,IFBLANK(_xldudf_CX_PUSH(AQ147,CX_ENTITY,$B147,AQ$11,AQ$14,AQ$146,),""),IF($I147=3,"",IFBLANK(_xldudf_CX_PUSH(AQ147,CX_ENTITY,$B147,AQ$11,AQ$14,AQ$146,),"")))))),"")</f>
        <v/>
      </c>
      <c r="DR147" s="2445" t="str" cm="1">
        <f t="array" ca="1" aca="1" ref="DR147">IFERROR(IF(AR147*fxVal_normal=_PL!AR147,"",IF(OR(AR147="",NOT(ISNUMBER(AR147)),ISERROR(AR147),$B147=""),"",IF($I147=1,IFBLANK(_xldudf_CX_PUSH(AR147*fxVal_normal,CX_ENTITY,$B147,AR$11,AR$14,AR$146,),""),IF($I147=2,IFBLANK(_xldudf_CX_PUSH(AR147,CX_ENTITY,$B147,AR$11,AR$14,AR$146,),""),IF($I147=3,"",IFBLANK(_xldudf_CX_PUSH(AR147,CX_ENTITY,$B147,AR$11,AR$14,AR$146,),"")))))),"")</f>
        <v/>
      </c>
      <c r="DS147" s="2445" t="str" cm="1">
        <f t="array" ca="1" aca="1" ref="DS147">IFERROR(IF(AS147*fxVal_normal=_PL!AS147,"",IF(OR(AS147="",NOT(ISNUMBER(AS147)),ISERROR(AS147),$B147=""),"",IF($I147=1,IFBLANK(_xldudf_CX_PUSH(AS147*fxVal_normal,CX_ENTITY,$B147,AS$11,AS$14,AS$146,),""),IF($I147=2,IFBLANK(_xldudf_CX_PUSH(AS147,CX_ENTITY,$B147,AS$11,AS$14,AS$146,),""),IF($I147=3,"",IFBLANK(_xldudf_CX_PUSH(AS147,CX_ENTITY,$B147,AS$11,AS$14,AS$146,),"")))))),"")</f>
        <v/>
      </c>
      <c r="DT147" s="2445" t="str" cm="1">
        <f t="array" ca="1" aca="1" ref="DT147">IFERROR(IF(AT147*fxVal_normal=_PL!AT147,"",IF(OR(AT147="",NOT(ISNUMBER(AT147)),ISERROR(AT147),$B147=""),"",IF($I147=1,IFBLANK(_xldudf_CX_PUSH(AT147*fxVal_normal,CX_ENTITY,$B147,AT$11,AT$14,AT$146,),""),IF($I147=2,IFBLANK(_xldudf_CX_PUSH(AT147,CX_ENTITY,$B147,AT$11,AT$14,AT$146,),""),IF($I147=3,"",IFBLANK(_xldudf_CX_PUSH(AT147,CX_ENTITY,$B147,AT$11,AT$14,AT$146,),"")))))),"")</f>
        <v/>
      </c>
      <c r="DU147" s="2445" t="str" cm="1">
        <f t="array" ca="1" aca="1" ref="DU147">IFERROR(IF(AU147*fxVal_normal=_PL!AU147,"",IF(OR(AU147="",NOT(ISNUMBER(AU147)),ISERROR(AU147),$B147=""),"",IF($I147=1,IFBLANK(_xldudf_CX_PUSH(AU147*fxVal_normal,CX_ENTITY,$B147,AU$11,AU$14,AU$146,),""),IF($I147=2,IFBLANK(_xldudf_CX_PUSH(AU147,CX_ENTITY,$B147,AU$11,AU$14,AU$146,),""),IF($I147=3,"",IFBLANK(_xldudf_CX_PUSH(AU147,CX_ENTITY,$B147,AU$11,AU$14,AU$146,),"")))))),"")</f>
        <v/>
      </c>
      <c r="DV147" s="2445" t="str" cm="1">
        <f t="array" ca="1" aca="1" ref="DV147">IFERROR(IF(AV147*fxVal_normal=_PL!AV147,"",IF(OR(AV147="",NOT(ISNUMBER(AV147)),ISERROR(AV147),$B147=""),"",IF($I147=1,IFBLANK(_xldudf_CX_PUSH(AV147*fxVal_normal,CX_ENTITY,$B147,AV$11,AV$14,AV$146,),""),IF($I147=2,IFBLANK(_xldudf_CX_PUSH(AV147,CX_ENTITY,$B147,AV$11,AV$14,AV$146,),""),IF($I147=3,"",IFBLANK(_xldudf_CX_PUSH(AV147,CX_ENTITY,$B147,AV$11,AV$14,AV$146,),"")))))),"")</f>
        <v/>
      </c>
      <c r="DW147" s="2445" t="str" cm="1">
        <f t="array" ca="1" aca="1" ref="DW147">IFERROR(IF(AW147*fxVal_normal=_PL!AW147,"",IF(OR(AW147="",NOT(ISNUMBER(AW147)),ISERROR(AW147),$B147=""),"",IF($I147=1,IFBLANK(_xldudf_CX_PUSH(AW147*fxVal_normal,CX_ENTITY,$B147,AW$11,AW$14,AW$146,),""),IF($I147=2,IFBLANK(_xldudf_CX_PUSH(AW147,CX_ENTITY,$B147,AW$11,AW$14,AW$146,),""),IF($I147=3,"",IFBLANK(_xldudf_CX_PUSH(AW147,CX_ENTITY,$B147,AW$11,AW$14,AW$146,),"")))))),"")</f>
        <v/>
      </c>
      <c r="DX147" s="2445" t="str" cm="1">
        <f t="array" ca="1" aca="1" ref="DX147">IFERROR(IF(AX147*fxVal_normal=_PL!AX147,"",IF(OR(AX147="",NOT(ISNUMBER(AX147)),ISERROR(AX147),$B147=""),"",IF($I147=1,IFBLANK(_xldudf_CX_PUSH(AX147*fxVal_normal,CX_ENTITY,$B147,AX$11,AX$14,AX$146,),""),IF($I147=2,IFBLANK(_xldudf_CX_PUSH(AX147,CX_ENTITY,$B147,AX$11,AX$14,AX$146,),""),IF($I147=3,"",IFBLANK(_xldudf_CX_PUSH(AX147,CX_ENTITY,$B147,AX$11,AX$14,AX$146,),"")))))),"")</f>
        <v/>
      </c>
      <c r="DY147" s="2445" t="str" cm="1">
        <f t="array" ca="1" aca="1" ref="DY147">IFERROR(IF(AY147*fxVal_normal=_PL!AY147,"",IF(OR(AY147="",NOT(ISNUMBER(AY147)),ISERROR(AY147),$B147=""),"",IF($I147=1,IFBLANK(_xldudf_CX_PUSH(AY147*fxVal_normal,CX_ENTITY,$B147,AY$11,AY$14,AY$146,),""),IF($I147=2,IFBLANK(_xldudf_CX_PUSH(AY147,CX_ENTITY,$B147,AY$11,AY$14,AY$146,),""),IF($I147=3,"",IFBLANK(_xldudf_CX_PUSH(AY147,CX_ENTITY,$B147,AY$11,AY$14,AY$146,),"")))))),"")</f>
        <v/>
      </c>
      <c r="DZ147" s="2445" t="str" cm="1">
        <f t="array" ca="1" aca="1" ref="DZ147">IFERROR(IF(AZ147*fxVal_normal=_PL!AZ147,"",IF(OR(AZ147="",NOT(ISNUMBER(AZ147)),ISERROR(AZ147),$B147=""),"",IF($I147=1,IFBLANK(_xldudf_CX_PUSH(AZ147*fxVal_normal,CX_ENTITY,$B147,AZ$11,AZ$14,AZ$146,),""),IF($I147=2,IFBLANK(_xldudf_CX_PUSH(AZ147,CX_ENTITY,$B147,AZ$11,AZ$14,AZ$146,),""),IF($I147=3,"",IFBLANK(_xldudf_CX_PUSH(AZ147,CX_ENTITY,$B147,AZ$11,AZ$14,AZ$146,),"")))))),"")</f>
        <v/>
      </c>
      <c r="EA147" s="2445" t="str" cm="1">
        <f t="array" ca="1" aca="1" ref="EA147">IFERROR(IF(BA147*fxVal_normal=_PL!BA147,"",IF(OR(BA147="",NOT(ISNUMBER(BA147)),ISERROR(BA147),$B147=""),"",IF($I147=1,IFBLANK(_xldudf_CX_PUSH(BA147*fxVal_normal,CX_ENTITY,$B147,BA$11,BA$14,BA$146,),""),IF($I147=2,IFBLANK(_xldudf_CX_PUSH(BA147,CX_ENTITY,$B147,BA$11,BA$14,BA$146,),""),IF($I147=3,"",IFBLANK(_xldudf_CX_PUSH(BA147,CX_ENTITY,$B147,BA$11,BA$14,BA$146,),"")))))),"")</f>
        <v/>
      </c>
      <c r="EB147" s="2445" t="str" cm="1">
        <f t="array" ca="1" aca="1" ref="EB147">IFERROR(IF(BB147*fxVal_normal=_PL!BB147,"",IF(OR(BB147="",NOT(ISNUMBER(BB147)),ISERROR(BB147),$B147=""),"",IF($I147=1,IFBLANK(_xldudf_CX_PUSH(BB147*fxVal_normal,CX_ENTITY,$B147,BB$11,BB$14,BB$146,),""),IF($I147=2,IFBLANK(_xldudf_CX_PUSH(BB147,CX_ENTITY,$B147,BB$11,BB$14,BB$146,),""),IF($I147=3,"",IFBLANK(_xldudf_CX_PUSH(BB147,CX_ENTITY,$B147,BB$11,BB$14,BB$146,),"")))))),"")</f>
        <v/>
      </c>
      <c r="EC147" s="2445" t="str" cm="1">
        <f t="array" ca="1" aca="1" ref="EC147">IFERROR(IF(BC147*fxVal_normal=_PL!BC147,"",IF(OR(BC147="",NOT(ISNUMBER(BC147)),ISERROR(BC147),$B147=""),"",IF($I147=1,IFBLANK(_xldudf_CX_PUSH(BC147*fxVal_normal,CX_ENTITY,$B147,BC$11,BC$14,BC$146,),""),IF($I147=2,IFBLANK(_xldudf_CX_PUSH(BC147,CX_ENTITY,$B147,BC$11,BC$14,BC$146,),""),IF($I147=3,"",IFBLANK(_xldudf_CX_PUSH(BC147,CX_ENTITY,$B147,BC$11,BC$14,BC$146,),"")))))),"")</f>
        <v/>
      </c>
      <c r="ED147" s="2445" t="str" cm="1">
        <f t="array" ca="1" aca="1" ref="ED147">IFERROR(IF(BD147*fxVal_normal=_PL!BD147,"",IF(OR(BD147="",NOT(ISNUMBER(BD147)),ISERROR(BD147),$B147=""),"",IF($I147=1,IFBLANK(_xldudf_CX_PUSH(BD147*fxVal_normal,CX_ENTITY,$B147,BD$11,BD$14,BD$146,),""),IF($I147=2,IFBLANK(_xldudf_CX_PUSH(BD147,CX_ENTITY,$B147,BD$11,BD$14,BD$146,),""),IF($I147=3,"",IFBLANK(_xldudf_CX_PUSH(BD147,CX_ENTITY,$B147,BD$11,BD$14,BD$146,),"")))))),"")</f>
        <v/>
      </c>
      <c r="EE147" s="2445" t="str" cm="1">
        <f t="array" ca="1" aca="1" ref="EE147">IFERROR(IF(BE147*fxVal_normal=_PL!BE147,"",IF(OR(BE147="",NOT(ISNUMBER(BE147)),ISERROR(BE147),$B147=""),"",IF($I147=1,IFBLANK(_xldudf_CX_PUSH(BE147*fxVal_normal,CX_ENTITY,$B147,BE$11,BE$14,BE$146,),""),IF($I147=2,IFBLANK(_xldudf_CX_PUSH(BE147,CX_ENTITY,$B147,BE$11,BE$14,BE$146,),""),IF($I147=3,"",IFBLANK(_xldudf_CX_PUSH(BE147,CX_ENTITY,$B147,BE$11,BE$14,BE$146,),"")))))),"")</f>
        <v/>
      </c>
      <c r="EF147" s="2445" t="str" cm="1">
        <f t="array" ca="1" aca="1" ref="EF147">IFERROR(IF(BF147*fxVal_normal=_PL!BF147,"",IF(OR(BF147="",NOT(ISNUMBER(BF147)),ISERROR(BF147),$B147=""),"",IF($I147=1,IFBLANK(_xldudf_CX_PUSH(BF147*fxVal_normal,CX_ENTITY,$B147,BF$11,BF$14,BF$146,),""),IF($I147=2,IFBLANK(_xldudf_CX_PUSH(BF147,CX_ENTITY,$B147,BF$11,BF$14,BF$146,),""),IF($I147=3,"",IFBLANK(_xldudf_CX_PUSH(BF147,CX_ENTITY,$B147,BF$11,BF$14,BF$146,),"")))))),"")</f>
        <v/>
      </c>
      <c r="EG147" s="2445" t="str" cm="1">
        <f t="array" ca="1" aca="1" ref="EG147">IFERROR(IF(BG147*fxVal_normal=_PL!BG147,"",IF(OR(BG147="",NOT(ISNUMBER(BG147)),ISERROR(BG147),$B147=""),"",IF($I147=1,IFBLANK(_xldudf_CX_PUSH(BG147*fxVal_normal,CX_ENTITY,$B147,BG$11,BG$14,BG$146,),""),IF($I147=2,IFBLANK(_xldudf_CX_PUSH(BG147,CX_ENTITY,$B147,BG$11,BG$14,BG$146,),""),IF($I147=3,"",IFBLANK(_xldudf_CX_PUSH(BG147,CX_ENTITY,$B147,BG$11,BG$14,BG$146,),"")))))),"")</f>
        <v/>
      </c>
      <c r="EH147" s="2445" t="str" cm="1">
        <f t="array" ca="1" aca="1" ref="EH147">IFERROR(IF(BH147*fxVal_normal=_PL!BH147,"",IF(OR(BH147="",NOT(ISNUMBER(BH147)),ISERROR(BH147),$B147=""),"",IF($I147=1,IFBLANK(_xldudf_CX_PUSH(BH147*fxVal_normal,CX_ENTITY,$B147,BH$11,BH$14,BH$146,),""),IF($I147=2,IFBLANK(_xldudf_CX_PUSH(BH147,CX_ENTITY,$B147,BH$11,BH$14,BH$146,),""),IF($I147=3,"",IFBLANK(_xldudf_CX_PUSH(BH147,CX_ENTITY,$B147,BH$11,BH$14,BH$146,),"")))))),"")</f>
        <v/>
      </c>
      <c r="EI147" s="2445" t="str" cm="1">
        <f t="array" ca="1" aca="1" ref="EI147">IFERROR(IF(BI147*fxVal_normal=_PL!BI147,"",IF(OR(BI147="",NOT(ISNUMBER(BI147)),ISERROR(BI147),$B147=""),"",IF($I147=1,IFBLANK(_xldudf_CX_PUSH(BI147*fxVal_normal,CX_ENTITY,$B147,BI$11,BI$14,BI$146,),""),IF($I147=2,IFBLANK(_xldudf_CX_PUSH(BI147,CX_ENTITY,$B147,BI$11,BI$14,BI$146,),""),IF($I147=3,"",IFBLANK(_xldudf_CX_PUSH(BI147,CX_ENTITY,$B147,BI$11,BI$14,BI$146,),"")))))),"")</f>
        <v/>
      </c>
      <c r="EJ147" s="2445" t="str" cm="1">
        <f t="array" ca="1" aca="1" ref="EJ147">IFERROR(IF(BJ147*fxVal_normal=_PL!BJ147,"",IF(OR(BJ147="",NOT(ISNUMBER(BJ147)),ISERROR(BJ147),$B147=""),"",IF($I147=1,IFBLANK(_xldudf_CX_PUSH(BJ147*fxVal_normal,CX_ENTITY,$B147,BJ$11,BJ$14,BJ$146,),""),IF($I147=2,IFBLANK(_xldudf_CX_PUSH(BJ147,CX_ENTITY,$B147,BJ$11,BJ$14,BJ$146,),""),IF($I147=3,"",IFBLANK(_xldudf_CX_PUSH(BJ147,CX_ENTITY,$B147,BJ$11,BJ$14,BJ$146,),"")))))),"")</f>
        <v/>
      </c>
      <c r="EK147" s="2445" t="str" cm="1">
        <f t="array" ca="1" aca="1" ref="EK147">IFERROR(IF(BK147*fxVal_normal=_PL!BK147,"",IF(OR(BK147="",NOT(ISNUMBER(BK147)),ISERROR(BK147),$B147=""),"",IF($I147=1,IFBLANK(_xldudf_CX_PUSH(BK147*fxVal_normal,CX_ENTITY,$B147,BK$11,BK$14,BK$146,),""),IF($I147=2,IFBLANK(_xldudf_CX_PUSH(BK147,CX_ENTITY,$B147,BK$11,BK$14,BK$146,),""),IF($I147=3,"",IFBLANK(_xldudf_CX_PUSH(BK147,CX_ENTITY,$B147,BK$11,BK$14,BK$146,),"")))))),"")</f>
        <v/>
      </c>
      <c r="EL147" s="2445" t="str" cm="1">
        <f t="array" ca="1" aca="1" ref="EL147">IFERROR(IF(BL147*fxVal_normal=_PL!BL147,"",IF(OR(BL147="",NOT(ISNUMBER(BL147)),ISERROR(BL147),$B147=""),"",IF($I147=1,IFBLANK(_xldudf_CX_PUSH(BL147*fxVal_normal,CX_ENTITY,$B147,BL$11,BL$14,BL$146,),""),IF($I147=2,IFBLANK(_xldudf_CX_PUSH(BL147,CX_ENTITY,$B147,BL$11,BL$14,BL$146,),""),IF($I147=3,"",IFBLANK(_xldudf_CX_PUSH(BL147,CX_ENTITY,$B147,BL$11,BL$14,BL$146,),"")))))),"")</f>
        <v/>
      </c>
      <c r="EM147" s="2445" t="str" cm="1">
        <f t="array" ca="1" aca="1" ref="EM147">IFERROR(IF(BM147*fxVal_normal=_PL!BM147,"",IF(OR(BM147="",NOT(ISNUMBER(BM147)),ISERROR(BM147),$B147=""),"",IF($I147=1,IFBLANK(_xldudf_CX_PUSH(BM147*fxVal_normal,CX_ENTITY,$B147,BM$11,BM$14,BM$146,),""),IF($I147=2,IFBLANK(_xldudf_CX_PUSH(BM147,CX_ENTITY,$B147,BM$11,BM$14,BM$146,),""),IF($I147=3,"",IFBLANK(_xldudf_CX_PUSH(BM147,CX_ENTITY,$B147,BM$11,BM$14,BM$146,),"")))))),"")</f>
        <v/>
      </c>
      <c r="EN147" s="2445" t="str" cm="1">
        <f t="array" ca="1" aca="1" ref="EN147">IFERROR(IF(BN147*fxVal_normal=_PL!BN147,"",IF(OR(BN147="",NOT(ISNUMBER(BN147)),ISERROR(BN147),$B147=""),"",IF($I147=1,IFBLANK(_xldudf_CX_PUSH(BN147*fxVal_normal,CX_ENTITY,$B147,BN$11,BN$14,BN$146,),""),IF($I147=2,IFBLANK(_xldudf_CX_PUSH(BN147,CX_ENTITY,$B147,BN$11,BN$14,BN$146,),""),IF($I147=3,"",IFBLANK(_xldudf_CX_PUSH(BN147,CX_ENTITY,$B147,BN$11,BN$14,BN$146,),"")))))),"")</f>
        <v/>
      </c>
    </row>
    <row r="148" spans="1:145" ht="45.75" customHeight="1">
      <c r="A148" s="1625"/>
      <c r="B148" s="2567" t="str" cm="1">
        <f t="array" ref="B148:B149">_PL!B148:B149</f>
        <v>Excluding pending (not closed) deals (Annual Only) (Topline)</v>
      </c>
      <c r="C148" s="2568"/>
      <c r="D148" s="1548"/>
      <c r="E148" s="2440" cm="1">
        <f t="array" ca="1" aca="1" ref="E148:G14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148:$CQ148,Z148)</f>
        <v>4</v>
      </c>
      <c r="F148" s="578">
        <f ca="1"/>
        <v>4</v>
      </c>
      <c r="G148" s="578" t="str">
        <f ca="1"/>
        <v>R</v>
      </c>
      <c r="H148" s="510">
        <v>0</v>
      </c>
      <c r="I148" s="3278">
        <v>1</v>
      </c>
      <c r="J148" s="3280" cm="1">
        <f t="array" ref="J148">IFBLANK(Z148,"")</f>
        <v>1</v>
      </c>
      <c r="K148" s="578" t="str">
        <f t="shared" si="47"/>
        <v>No</v>
      </c>
      <c r="L148" s="37"/>
      <c r="N148" s="158"/>
      <c r="O148" s="101"/>
      <c r="P148" s="52"/>
      <c r="Q148" s="101"/>
      <c r="R148" s="101"/>
      <c r="S148" s="101"/>
      <c r="T148" s="101"/>
      <c r="U148" s="39"/>
      <c r="V148" s="37"/>
      <c r="W148" s="2569"/>
      <c r="X148" s="2081">
        <f>_PL!X148</f>
        <v>-1</v>
      </c>
      <c r="Y148" s="2570" t="s">
        <v>120</v>
      </c>
      <c r="Z148" s="3291">
        <f>_PL!Z148</f>
        <v>1</v>
      </c>
      <c r="AA148" s="2571"/>
      <c r="AB148" s="1128"/>
      <c r="AC148" s="914" t="str" cm="1">
        <f t="array" ca="1" aca="1" ref="AC148">_xlfn.LET(_xlpm._termname,$AB148,_xlpm._iconname,"find",_xlpm._icon,fx_getIcon(_xlpm._iconname),_xlpm._location,_xlfn.XLOOKUP(LOWER(_xlpm._termname),LOWER(tbl_acctDef[Term]),tbl_acctDef[Term]),_xlpm._hyperlink,HYPERLINK("#"&amp;CELL("address",_xlpm._location),_xlpm._icon),IFERROR(_xlpm._hyperlink,""))</f>
        <v/>
      </c>
      <c r="AD148" s="793"/>
      <c r="AE148" s="793"/>
      <c r="AF148" s="793"/>
      <c r="AG148" s="793"/>
      <c r="AH148" s="793"/>
      <c r="AI148" s="793"/>
      <c r="AJ148" s="793"/>
      <c r="AK148" s="793"/>
      <c r="AL148" s="793"/>
      <c r="AM148" s="793"/>
      <c r="AN148" s="793"/>
      <c r="AO148" s="793"/>
      <c r="AP148" s="793"/>
      <c r="AQ148" s="793"/>
      <c r="AR148" s="793"/>
      <c r="AS148" s="793"/>
      <c r="AT148" s="793"/>
      <c r="AU148" s="793"/>
      <c r="AV148" s="793"/>
      <c r="AW148" s="793"/>
      <c r="AX148" s="793"/>
      <c r="AY148" s="793"/>
      <c r="AZ148" s="793"/>
      <c r="BA148" s="793"/>
      <c r="BB148" s="793"/>
      <c r="BC148" s="793"/>
      <c r="BD148" s="793"/>
      <c r="BE148" s="793"/>
      <c r="BF148" s="793"/>
      <c r="BG148" s="793"/>
      <c r="BH148" s="793"/>
      <c r="BI148" s="793"/>
      <c r="BJ148" s="793"/>
      <c r="BK148" s="793"/>
      <c r="BL148" s="793"/>
      <c r="BM148" s="793"/>
      <c r="BN148" s="793"/>
      <c r="BO148" s="2104"/>
      <c r="BP148" s="2104"/>
      <c r="BQ148" s="2104"/>
      <c r="BR148" s="2104"/>
      <c r="BS148" s="2104"/>
      <c r="BT148" s="2104"/>
      <c r="BU148" s="2104"/>
      <c r="BV148" s="2104"/>
      <c r="BW148" s="2104"/>
      <c r="BX148" s="2104"/>
      <c r="BY148" s="2104"/>
      <c r="BZ148" s="2104"/>
      <c r="CA148" s="34"/>
      <c r="CC148" s="2572"/>
      <c r="CD148" s="793"/>
      <c r="CE148" s="793"/>
      <c r="CF148" s="88"/>
      <c r="CG148" s="793"/>
      <c r="CH148" s="793"/>
      <c r="CI148" s="88"/>
      <c r="CJ148" s="1663"/>
      <c r="CK148" s="1663"/>
      <c r="CL148" s="88"/>
      <c r="CM148" s="3175">
        <v>1</v>
      </c>
      <c r="CN148" s="3175">
        <v>1</v>
      </c>
      <c r="CO148" s="1169"/>
      <c r="CP148" s="3175">
        <v>1</v>
      </c>
      <c r="CQ148" s="3175">
        <v>1</v>
      </c>
      <c r="CR148" s="34"/>
      <c r="CS148" s="2056"/>
      <c r="CT148" s="2085" t="str" cm="1">
        <f t="array" ref="CT148">IF(K148&lt;&gt;"Yes","",IF(OR(Y148="Select,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III"),"",IF(OR(Y148&lt;&gt;AB148,AND(LEN(B148)=0,NOT(OR(Y148="Select,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III")))),_xldudf_CX_PUSH(Y148,CX_ENTITY,C148,EOMONTH(val_asOfDate,0)),"")))</f>
        <v/>
      </c>
      <c r="CU148" s="2085" t="str" cm="1">
        <f t="array" ref="CU148">IF(K148&lt;&gt;"Yes","",IF(OR(Y148="Select,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III"),"",IF(OR(Y148&lt;&gt;AB148,AND(LEN(B148)=0,NOT(OR(Y148="Select,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III")))),_xldudf_CX_PUSH(Y148,CX_ENTITY,C148,EOMONTH(val_asOfDate,1)),"")))</f>
        <v/>
      </c>
      <c r="CV148" s="2085" t="str" cm="1">
        <f t="array" ref="CV148">IF(K148&lt;&gt;"Yes","",IF(OR(Y148="Select,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III"),"",IF(OR(Y148&lt;&gt;AB148,AND(LEN(B148)=0,NOT(OR(Y148="Select,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III")))),_xldudf_CX_PUSH(Y148,CX_ENTITY,C148,EOMONTH(val_asOfDate,2)),"")))</f>
        <v/>
      </c>
      <c r="CW148" s="2085" t="str" cm="1">
        <f t="array" ref="CW148">IF(K148&lt;&gt;"Yes","",IF(OR(Y148="Select,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III"),"",IF(OR(Y148&lt;&gt;AB148,AND(LEN(B148)=0,NOT(OR(Y148="Select,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III")))),_xldudf_CX_PUSH(Y148,CX_ENTITY,C148,EOMONTH(val_asOfDate,3)),"")))</f>
        <v/>
      </c>
      <c r="CX148" s="2443"/>
      <c r="CY148" s="2444" t="str" cm="1">
        <f t="array" ca="1" aca="1" ref="CY148">IFERROR(IF(CM148*fxVal_normal=_PL!CM148,"",IF(OR($CM148="",$CM148=0,NOT(ISNUMBER($CM148)),ISERROR($CM148),$B148=""),"",IF($I148=1,IFBLANK(_xldudf_CX_PUSH($CM148*fxVal_normal,CX_ENTITY,$B148,$CM$11,$CM$14,$CM$19,),""),IF($I148=2,IFBLANK(_xldudf_CX_PUSH($CM148,CX_ENTITY,$B148,$CM$11,$CM$14,$CM$19,),""),IF($I148=3,"",IFBLANK(_xldudf_CX_PUSH($CM148,CX_ENTITY,$B148,$CM$11,$CM$14,$CM$19,),"")))))),"")</f>
        <v/>
      </c>
      <c r="CZ148" s="2444" t="str" cm="1">
        <f t="array" ca="1" aca="1" ref="CZ148">IFERROR(IF(CN148*fxVal_normal=_PL!CN148,"",IF(OR($CN148="",$CN148=0,NOT(ISNUMBER($CN148)),ISERROR($CN148),$B148=""),"",IF($I148=1,IFBLANK(_xldudf_CX_PUSH($CN148*fxVal_normal,CX_ENTITY,$B148,$CN$11,$CN$14,$CN$19,),""),IF($I148=2,IFBLANK(_xldudf_CX_PUSH($CN148,CX_ENTITY,$B148,$CN$11,$CN$14,$CN$19,),""),IF($I148=3,"",IFBLANK(_xldudf_CX_PUSH($CN148,CX_ENTITY,$B148,$CN$11,$CN$14,$CN$19,),"")))))),"")</f>
        <v/>
      </c>
      <c r="DA148" s="2444" t="str" cm="1">
        <f t="array" ca="1" aca="1" ref="DA148">IFERROR(IF(CP148*fxVal_normal=_PL!CP148,"",IF(OR($CP148="",$CP148=0,NOT(ISNUMBER($CP148)),ISERROR($CP148),$B148=""),"",IF($I148=1,IFBLANK(_xldudf_CX_PUSH($CP148*fxVal_normal,CX_ENTITY,$B148,$CP$11,$CP$14,$CP$19,),""),IF($I148=2,IFBLANK(_xldudf_CX_PUSH($CP148,CX_ENTITY,$B148,$CP$11,$CP$14,$CP$19,),""),IF($I148=3,"",IFBLANK(_xldudf_CX_PUSH($CP148,CX_ENTITY,$B148,$CP$11,$CP$14,$CP$19,),"")))))),"")</f>
        <v/>
      </c>
      <c r="DB148" s="2444" t="str" cm="1">
        <f t="array" ca="1" aca="1" ref="DB148">IFERROR(IF(CQ148*fxVal_normal=_PL!CQ148,"",IF(OR($CQ148="",$CQ148=0,NOT(ISNUMBER($CQ148)),ISERROR($CQ148),$B148=""),"",IF($I148=1,IFBLANK(_xldudf_CX_PUSH($CQ148*fxVal_normal,CX_ENTITY,$B148,$CQ$11,$CQ$14,$CQ$19,),""),IF($I148=2,IFBLANK(_xldudf_CX_PUSH($CQ148,CX_ENTITY,$B148,$CQ$11,$CQ$14,$CQ$19,),""),IF($I148=3,"",IFBLANK(_xldudf_CX_PUSH($CQ148,CX_ENTITY,$B148,$CQ$11,$CQ$14,$CQ$19,),"")))))),"")</f>
        <v/>
      </c>
      <c r="DC148" s="2443"/>
      <c r="DD148" s="1880"/>
      <c r="DE148" s="1880"/>
      <c r="DF148" s="1880"/>
      <c r="DG148" s="1880"/>
      <c r="DH148" s="1880"/>
      <c r="DI148" s="1880"/>
      <c r="DJ148" s="1880"/>
      <c r="DK148" s="1880"/>
      <c r="DL148" s="1880"/>
      <c r="DM148" s="1880"/>
      <c r="DN148" s="1880"/>
      <c r="DO148" s="1880"/>
      <c r="DP148" s="1880"/>
      <c r="DQ148" s="1880"/>
      <c r="DR148" s="1880"/>
      <c r="DS148" s="1880"/>
      <c r="DT148" s="1880"/>
      <c r="DU148" s="1880"/>
      <c r="DV148" s="1880"/>
      <c r="DW148" s="1880"/>
      <c r="DX148" s="1880"/>
      <c r="DY148" s="1880"/>
      <c r="DZ148" s="1880"/>
      <c r="EA148" s="1880"/>
      <c r="EB148" s="1880"/>
      <c r="EC148" s="1880"/>
      <c r="ED148" s="1880"/>
      <c r="EE148" s="1880"/>
      <c r="EF148" s="1880"/>
      <c r="EG148" s="1880"/>
      <c r="EH148" s="1880"/>
      <c r="EI148" s="1880"/>
      <c r="EJ148" s="1880"/>
      <c r="EK148" s="1880"/>
      <c r="EL148" s="1880"/>
      <c r="EM148" s="1880"/>
      <c r="EN148" s="1880"/>
      <c r="EO148" s="1880"/>
    </row>
    <row r="149" spans="1:145" ht="45.75" customHeight="1">
      <c r="A149" s="1625"/>
      <c r="B149" s="2567" t="str">
        <v>Including closed (not budgeted) deals (Annual Only) (Topline)</v>
      </c>
      <c r="C149" s="2568"/>
      <c r="D149" s="1548"/>
      <c r="E149" s="2440" cm="1">
        <f t="array" ca="1" aca="1" ref="E149:G14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149:$CQ149,Z149)</f>
        <v>4</v>
      </c>
      <c r="F149" s="578">
        <f ca="1"/>
        <v>4</v>
      </c>
      <c r="G149" s="578" t="str">
        <f ca="1"/>
        <v>R</v>
      </c>
      <c r="H149" s="510">
        <v>0</v>
      </c>
      <c r="I149" s="3278">
        <v>1</v>
      </c>
      <c r="J149" s="3280" cm="1">
        <f t="array" ref="J149">IFBLANK(Z149,"")</f>
        <v>1</v>
      </c>
      <c r="K149" s="578" t="str">
        <f t="shared" si="47"/>
        <v/>
      </c>
      <c r="L149" s="37"/>
      <c r="N149" s="158"/>
      <c r="O149" s="101"/>
      <c r="P149" s="52"/>
      <c r="Q149" s="101"/>
      <c r="R149" s="101"/>
      <c r="S149" s="101"/>
      <c r="T149" s="101"/>
      <c r="U149" s="39"/>
      <c r="V149" s="37"/>
      <c r="W149" s="2569"/>
      <c r="X149" s="3310">
        <f>_PL!X149</f>
        <v>1</v>
      </c>
      <c r="Y149" s="2573" t="s">
        <v>121</v>
      </c>
      <c r="Z149" s="3291">
        <f>_PL!Z149</f>
        <v>1</v>
      </c>
      <c r="AA149" s="2571"/>
      <c r="AB149" s="3017" t="e" vm="6" cm="1">
        <f t="array" ref="AB149">IF(AB151&lt;&gt;"",fx_getIcon("right"),"")</f>
        <v>#VALUE!</v>
      </c>
      <c r="AC149" s="914" t="str" cm="1">
        <f t="array" ca="1" aca="1" ref="AC149">_xlfn.LET(_xlpm._termname,$AB149,_xlpm._iconname,"find",_xlpm._icon,fx_getIcon(_xlpm._iconname),_xlpm._location,_xlfn.XLOOKUP(LOWER(_xlpm._termname),LOWER(tbl_acctDef[Term]),tbl_acctDef[Term]),_xlpm._hyperlink,HYPERLINK("#"&amp;CELL("address",_xlpm._location),_xlpm._icon),IFERROR(_xlpm._hyperlink,""))</f>
        <v/>
      </c>
      <c r="AD149" s="793"/>
      <c r="AE149" s="793"/>
      <c r="AF149" s="793"/>
      <c r="AG149" s="793"/>
      <c r="AH149" s="793"/>
      <c r="AI149" s="793"/>
      <c r="AJ149" s="793"/>
      <c r="AK149" s="793"/>
      <c r="AL149" s="793"/>
      <c r="AM149" s="793"/>
      <c r="AN149" s="793"/>
      <c r="AO149" s="793"/>
      <c r="AP149" s="793"/>
      <c r="AQ149" s="793"/>
      <c r="AR149" s="793"/>
      <c r="AS149" s="793"/>
      <c r="AT149" s="793"/>
      <c r="AU149" s="793"/>
      <c r="AV149" s="793"/>
      <c r="AW149" s="793"/>
      <c r="AX149" s="793"/>
      <c r="AY149" s="793"/>
      <c r="AZ149" s="793"/>
      <c r="BA149" s="793"/>
      <c r="BB149" s="793"/>
      <c r="BC149" s="793"/>
      <c r="BD149" s="793"/>
      <c r="BE149" s="793"/>
      <c r="BF149" s="793"/>
      <c r="BG149" s="793"/>
      <c r="BH149" s="793"/>
      <c r="BI149" s="793"/>
      <c r="BJ149" s="793"/>
      <c r="BK149" s="793"/>
      <c r="BL149" s="793"/>
      <c r="BM149" s="793"/>
      <c r="BN149" s="793"/>
      <c r="BO149" s="2104"/>
      <c r="BP149" s="2104"/>
      <c r="BQ149" s="2104"/>
      <c r="BR149" s="2104"/>
      <c r="BS149" s="2104"/>
      <c r="BT149" s="2104"/>
      <c r="BU149" s="2104"/>
      <c r="BV149" s="2104"/>
      <c r="BW149" s="2104"/>
      <c r="BX149" s="2104"/>
      <c r="BY149" s="2104"/>
      <c r="BZ149" s="2104"/>
      <c r="CA149" s="34"/>
      <c r="CC149" s="2572"/>
      <c r="CD149" s="793"/>
      <c r="CE149" s="793"/>
      <c r="CF149" s="88"/>
      <c r="CG149" s="793"/>
      <c r="CH149" s="793"/>
      <c r="CI149" s="88"/>
      <c r="CJ149" s="1663"/>
      <c r="CK149" s="1663"/>
      <c r="CL149" s="88"/>
      <c r="CM149" s="3177">
        <v>1</v>
      </c>
      <c r="CN149" s="3177">
        <v>1</v>
      </c>
      <c r="CO149" s="1169"/>
      <c r="CP149" s="3177">
        <v>1</v>
      </c>
      <c r="CQ149" s="3177">
        <v>1</v>
      </c>
      <c r="CR149" s="34"/>
      <c r="CS149" s="2056"/>
      <c r="CT149" s="2085" t="str" cm="1">
        <f t="array" ref="CT149">IF(K149&lt;&gt;"Yes","",IF(OR(Y149="Select,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III"),"",IF(OR(Y149&lt;&gt;AB149,AND(LEN(B149)=0,NOT(OR(Y149="Select,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III")))),_xldudf_CX_PUSH(Y149,CX_ENTITY,C149,EOMONTH(val_asOfDate,0)),"")))</f>
        <v/>
      </c>
      <c r="CU149" s="2085" t="str" cm="1">
        <f t="array" ref="CU149">IF(K149&lt;&gt;"Yes","",IF(OR(Y149="Select,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III"),"",IF(OR(Y149&lt;&gt;AB149,AND(LEN(B149)=0,NOT(OR(Y149="Select,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III")))),_xldudf_CX_PUSH(Y149,CX_ENTITY,C149,EOMONTH(val_asOfDate,1)),"")))</f>
        <v/>
      </c>
      <c r="CV149" s="2085" t="str" cm="1">
        <f t="array" ref="CV149">IF(K149&lt;&gt;"Yes","",IF(OR(Y149="Select,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III"),"",IF(OR(Y149&lt;&gt;AB149,AND(LEN(B149)=0,NOT(OR(Y149="Select,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III")))),_xldudf_CX_PUSH(Y149,CX_ENTITY,C149,EOMONTH(val_asOfDate,2)),"")))</f>
        <v/>
      </c>
      <c r="CW149" s="2085" t="str" cm="1">
        <f t="array" ref="CW149">IF(K149&lt;&gt;"Yes","",IF(OR(Y149="Select,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III"),"",IF(OR(Y149&lt;&gt;AB149,AND(LEN(B149)=0,NOT(OR(Y149="Select,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III")))),_xldudf_CX_PUSH(Y149,CX_ENTITY,C149,EOMONTH(val_asOfDate,3)),"")))</f>
        <v/>
      </c>
      <c r="CX149" s="2443"/>
      <c r="CY149" s="2444" t="str" cm="1">
        <f t="array" ca="1" aca="1" ref="CY149">IFERROR(IF(CM149*fxVal_normal=_PL!CM149,"",IF(OR($CM149="",$CM149=0,NOT(ISNUMBER($CM149)),ISERROR($CM149),$B149=""),"",IF($I149=1,IFBLANK(_xldudf_CX_PUSH($CM149*fxVal_normal,CX_ENTITY,$B149,$CM$11,$CM$14,$CM$19,),""),IF($I149=2,IFBLANK(_xldudf_CX_PUSH($CM149,CX_ENTITY,$B149,$CM$11,$CM$14,$CM$19,),""),IF($I149=3,"",IFBLANK(_xldudf_CX_PUSH($CM149,CX_ENTITY,$B149,$CM$11,$CM$14,$CM$19,),"")))))),"")</f>
        <v/>
      </c>
      <c r="CZ149" s="2444" t="str" cm="1">
        <f t="array" ca="1" aca="1" ref="CZ149">IFERROR(IF(CN149*fxVal_normal=_PL!CN149,"",IF(OR($CN149="",$CN149=0,NOT(ISNUMBER($CN149)),ISERROR($CN149),$B149=""),"",IF($I149=1,IFBLANK(_xldudf_CX_PUSH($CN149*fxVal_normal,CX_ENTITY,$B149,$CN$11,$CN$14,$CN$19,),""),IF($I149=2,IFBLANK(_xldudf_CX_PUSH($CN149,CX_ENTITY,$B149,$CN$11,$CN$14,$CN$19,),""),IF($I149=3,"",IFBLANK(_xldudf_CX_PUSH($CN149,CX_ENTITY,$B149,$CN$11,$CN$14,$CN$19,),"")))))),"")</f>
        <v/>
      </c>
      <c r="DA149" s="2444" t="str" cm="1">
        <f t="array" ca="1" aca="1" ref="DA149">IFERROR(IF(CP149*fxVal_normal=_PL!CP149,"",IF(OR($CP149="",$CP149=0,NOT(ISNUMBER($CP149)),ISERROR($CP149),$B149=""),"",IF($I149=1,IFBLANK(_xldudf_CX_PUSH($CP149*fxVal_normal,CX_ENTITY,$B149,$CP$11,$CP$14,$CP$19,),""),IF($I149=2,IFBLANK(_xldudf_CX_PUSH($CP149,CX_ENTITY,$B149,$CP$11,$CP$14,$CP$19,),""),IF($I149=3,"",IFBLANK(_xldudf_CX_PUSH($CP149,CX_ENTITY,$B149,$CP$11,$CP$14,$CP$19,),"")))))),"")</f>
        <v/>
      </c>
      <c r="DB149" s="2444" t="str" cm="1">
        <f t="array" ca="1" aca="1" ref="DB149">IFERROR(IF(CQ149*fxVal_normal=_PL!CQ149,"",IF(OR($CQ149="",$CQ149=0,NOT(ISNUMBER($CQ149)),ISERROR($CQ149),$B149=""),"",IF($I149=1,IFBLANK(_xldudf_CX_PUSH($CQ149*fxVal_normal,CX_ENTITY,$B149,$CQ$11,$CQ$14,$CQ$19,),""),IF($I149=2,IFBLANK(_xldudf_CX_PUSH($CQ149,CX_ENTITY,$B149,$CQ$11,$CQ$14,$CQ$19,),""),IF($I149=3,"",IFBLANK(_xldudf_CX_PUSH($CQ149,CX_ENTITY,$B149,$CQ$11,$CQ$14,$CQ$19,),"")))))),"")</f>
        <v/>
      </c>
      <c r="DC149" s="2443"/>
      <c r="DD149" s="1880"/>
      <c r="DE149" s="1880"/>
      <c r="DF149" s="1880"/>
      <c r="DG149" s="1880"/>
      <c r="DH149" s="1880"/>
      <c r="DI149" s="1880"/>
      <c r="DJ149" s="1880"/>
      <c r="DK149" s="1880"/>
      <c r="DL149" s="1880"/>
      <c r="DM149" s="1880"/>
      <c r="DN149" s="1880"/>
      <c r="DO149" s="1880"/>
      <c r="DP149" s="1880"/>
      <c r="DQ149" s="1880"/>
      <c r="DR149" s="1880"/>
      <c r="DS149" s="1880"/>
      <c r="DT149" s="1880"/>
      <c r="DU149" s="1880"/>
      <c r="DV149" s="1880"/>
      <c r="DW149" s="1880"/>
      <c r="DX149" s="1880"/>
      <c r="DY149" s="1880"/>
      <c r="DZ149" s="1880"/>
      <c r="EA149" s="1880"/>
      <c r="EB149" s="1880"/>
      <c r="EC149" s="1880"/>
      <c r="ED149" s="1880"/>
      <c r="EE149" s="1880"/>
      <c r="EF149" s="1880"/>
      <c r="EG149" s="1880"/>
      <c r="EH149" s="1880"/>
      <c r="EI149" s="1880"/>
      <c r="EJ149" s="1880"/>
      <c r="EK149" s="1880"/>
      <c r="EL149" s="1880"/>
      <c r="EM149" s="1880"/>
      <c r="EN149" s="1880"/>
      <c r="EO149" s="1880"/>
    </row>
    <row r="150" spans="1:144" ht="21" customHeight="1">
      <c r="A150" s="1625"/>
      <c r="B150" s="2501" t="s">
        <v>122</v>
      </c>
      <c r="C150" s="3459" t="str" cm="1">
        <f t="array" ref="C150">IFBLANK(_PL!C150,"")</f>
        <v>Lfl Revenue Adjustment - Label 3</v>
      </c>
      <c r="D150" s="1548" t="s">
        <v>123</v>
      </c>
      <c r="E150" s="2440" t="e" cm="1">
        <f t="array" ca="1" aca="1" ref="E15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150:$CQ150,Z150)</f>
        <v>#NAME?</v>
      </c>
      <c r="F150" s="578"/>
      <c r="G150" s="578"/>
      <c r="H150" s="510">
        <v>0</v>
      </c>
      <c r="I150" s="3302">
        <v>1</v>
      </c>
      <c r="J150" s="401" cm="1">
        <f t="array" ref="J150">IFBLANK(Z150,"")</f>
        <v>-1</v>
      </c>
      <c r="K150" s="578" t="str">
        <f t="shared" si="47"/>
        <v>No</v>
      </c>
      <c r="L150" s="37"/>
      <c r="N150" s="158"/>
      <c r="O150" s="101"/>
      <c r="P150" s="52"/>
      <c r="Q150" s="101"/>
      <c r="R150" s="140"/>
      <c r="S150" s="101"/>
      <c r="T150" s="101"/>
      <c r="U150" s="39"/>
      <c r="V150" s="37"/>
      <c r="W150" s="91" t="str">
        <f>W147</f>
        <v>Actual</v>
      </c>
      <c r="X150" s="815" t="str">
        <f>_PL!X150</f>
        <v>a</v>
      </c>
      <c r="Y150" s="3214">
        <v>2</v>
      </c>
      <c r="Z150" s="198">
        <f>_PL!Z150</f>
        <v>-1</v>
      </c>
      <c r="AA150" s="2571"/>
      <c r="AB150" s="3017"/>
      <c r="AC150" s="914" t="str" cm="1">
        <f t="array" ca="1" aca="1" ref="AC150">_xlfn.LET(_xlpm._termname,$AB150,_xlpm._iconname,"find",_xlpm._icon,fx_getIcon(_xlpm._iconname),_xlpm._location,_xlfn.XLOOKUP(LOWER(_xlpm._termname),LOWER(tbl_acctDef[Term]),tbl_acctDef[Term]),_xlpm._hyperlink,HYPERLINK("#"&amp;CELL("address",_xlpm._location),_xlpm._icon),IFERROR(_xlpm._hyperlink,""))</f>
        <v/>
      </c>
      <c r="AD150" s="3215">
        <v>1</v>
      </c>
      <c r="AE150" s="3215">
        <v>1</v>
      </c>
      <c r="AF150" s="3215">
        <v>1</v>
      </c>
      <c r="AG150" s="3215">
        <v>1</v>
      </c>
      <c r="AH150" s="3215">
        <v>1</v>
      </c>
      <c r="AI150" s="3215">
        <v>1</v>
      </c>
      <c r="AJ150" s="3215">
        <v>1</v>
      </c>
      <c r="AK150" s="3215">
        <v>1</v>
      </c>
      <c r="AL150" s="3215">
        <v>1</v>
      </c>
      <c r="AM150" s="3215">
        <v>1</v>
      </c>
      <c r="AN150" s="3215">
        <v>1</v>
      </c>
      <c r="AO150" s="3215">
        <v>1</v>
      </c>
      <c r="AP150" s="3215">
        <v>1</v>
      </c>
      <c r="AQ150" s="3215">
        <v>1</v>
      </c>
      <c r="AR150" s="3215">
        <v>1</v>
      </c>
      <c r="AS150" s="3215">
        <v>1</v>
      </c>
      <c r="AT150" s="3215">
        <v>1</v>
      </c>
      <c r="AU150" s="3215">
        <v>1</v>
      </c>
      <c r="AV150" s="3215">
        <v>1</v>
      </c>
      <c r="AW150" s="3215">
        <v>1</v>
      </c>
      <c r="AX150" s="3215">
        <v>1</v>
      </c>
      <c r="AY150" s="3215">
        <v>1</v>
      </c>
      <c r="AZ150" s="3215">
        <v>1</v>
      </c>
      <c r="BA150" s="3215">
        <v>1</v>
      </c>
      <c r="BB150" s="3215">
        <v>1</v>
      </c>
      <c r="BC150" s="3215">
        <v>1</v>
      </c>
      <c r="BD150" s="3215">
        <v>1</v>
      </c>
      <c r="BE150" s="3215">
        <v>1</v>
      </c>
      <c r="BF150" s="3215">
        <v>1</v>
      </c>
      <c r="BG150" s="3215">
        <v>1</v>
      </c>
      <c r="BH150" s="3215">
        <v>1</v>
      </c>
      <c r="BI150" s="3215">
        <v>1</v>
      </c>
      <c r="BJ150" s="3215">
        <v>1</v>
      </c>
      <c r="BK150" s="3215">
        <v>1</v>
      </c>
      <c r="BL150" s="3215">
        <v>1</v>
      </c>
      <c r="BM150" s="3215">
        <v>1</v>
      </c>
      <c r="BN150" s="3215">
        <v>1</v>
      </c>
      <c r="BO150" s="2442"/>
      <c r="BP150" s="2442"/>
      <c r="BQ150" s="2442"/>
      <c r="BR150" s="2442"/>
      <c r="BS150" s="2442"/>
      <c r="BT150" s="2442"/>
      <c r="BU150" s="2442"/>
      <c r="BV150" s="2442"/>
      <c r="BW150" s="2442"/>
      <c r="BX150" s="2442"/>
      <c r="BY150" s="2442"/>
      <c r="BZ150" s="2442"/>
      <c r="CA150" s="34"/>
      <c r="CC150" s="958"/>
      <c r="CD150" s="1461" t="e" cm="1">
        <f t="array" ca="1" aca="1" ref="CD150">_xlfn.LET(_xlpm.CheckBlank,SUM(PL!$AD150:$BN150)=0,IF(_xlpm.CheckBlank,"",SUM(_xlfn._xlws.FILTER(PL!$AD150:$BN150,(YEAR(PL!$AD$12:$BN$12)=PL!CD$12)*(array_timeline&lt;=PL!CD$11)))))</f>
        <v>#NAME?</v>
      </c>
      <c r="CE150" s="1461" t="e" cm="1">
        <f t="array" ca="1" aca="1" ref="CE150">_xlfn.LET(_xlpm.CheckBlank,SUM(PL!$AD150:$BN150)=0,IF(_xlpm.CheckBlank,"",SUM(_xlfn._xlws.FILTER(PL!$AD150:$BN150,(YEAR(PL!$AD$12:$BN$12)=PL!CE$12)*(array_timeline&lt;=PL!CE$11)))))</f>
        <v>#NAME?</v>
      </c>
      <c r="CF150" s="88"/>
      <c r="CG150" s="1461" t="e" cm="1">
        <f t="array" ca="1" aca="1" ref="CG150">_xlfn.LET(_xlpm.CheckBlank,SUM(PL!$AD150:$BN150)=0,IF(_xlpm.CheckBlank,"",SUM(_xlfn._xlws.FILTER(PL!$AD150:$BN150,(YEAR(PL!$AD$12:$BN$12)=PL!CG$12)*(array_timeline&lt;=PL!CG$11)))))</f>
        <v>#NAME?</v>
      </c>
      <c r="CH150" s="1461" t="e" cm="1">
        <f t="array" ca="1" aca="1" ref="CH150">_xlfn.LET(_xlpm.CheckBlank,SUM(PL!$AD150:$BN150)=0,IF(_xlpm.CheckBlank,"",SUM(_xlfn._xlws.FILTER(PL!$AD150:$BN150,(YEAR(PL!$AD$12:$BN$12)=PL!CH$12)*(array_timeline&lt;=PL!CH$11)))))</f>
        <v>#NAME?</v>
      </c>
      <c r="CI150" s="88"/>
      <c r="CJ150" s="1461" cm="1">
        <f t="array" ref="CJ150">_xlfn.LET(_xlpm.CheckBlank,SUM(PL!$AD150:$BN150)=0,IF(_xlpm.CheckBlank,"",SUM(_xlfn.TAKE(_xlfn.DROP(PL!$AD150:$BN150,,-DATEDIFF(PL!CJ$11,val_asOfDate,"M")),1,-12))))</f>
        <v>12</v>
      </c>
      <c r="CK150" s="1461" cm="1">
        <f t="array" ref="CK150">_xlfn.LET(_xlpm.CheckBlank,SUM(PL!$AD150:$BN150)=0,IF(_xlpm.CheckBlank,"",SUM(_xlfn.TAKE(_xlfn.DROP(PL!$AD150:$BN150,,-DATEDIFF(PL!CK$11,val_asOfDate,"M")),1,-12))))</f>
        <v>12</v>
      </c>
      <c r="CL150" s="88"/>
      <c r="CM150" s="3177">
        <v>1</v>
      </c>
      <c r="CN150" s="3177">
        <v>1</v>
      </c>
      <c r="CO150" s="1169"/>
      <c r="CP150" s="3177">
        <v>1</v>
      </c>
      <c r="CQ150" s="3177">
        <v>1</v>
      </c>
      <c r="CR150" s="34"/>
      <c r="CS150" s="2056"/>
      <c r="CT150" s="2447" t="e" cm="1">
        <f t="array" ca="1" aca="1" ref="CT150">IF(ISNUMBER(SEARCH("Select",$Y150)),"",_xldudf_CX_PUSH($Y150,CX_ENTITY,C150,val_asOfDate))</f>
        <v>#NAME?</v>
      </c>
      <c r="CU150" s="2447" t="e" cm="1">
        <f t="array" ca="1" aca="1" ref="CU150">IF(ISNUMBER(SEARCH("Select",$Y150)),"",_xldudf_CX_PUSH($Y150,CX_ENTITY,C150,EOMONTH(val_asOfDate,1)))</f>
        <v>#NAME?</v>
      </c>
      <c r="CV150" s="2447" t="e" cm="1">
        <f t="array" ca="1" aca="1" ref="CV150">IF(ISNUMBER(SEARCH("Select",$Y150)),"",_xldudf_CX_PUSH($Y150,CX_ENTITY,C150,EOMONTH(val_asOfDate,2)))</f>
        <v>#NAME?</v>
      </c>
      <c r="CW150" s="2447" t="e" cm="1">
        <f t="array" ca="1" aca="1" ref="CW150">IF(ISNUMBER(SEARCH("Select",$Y150)),"",_xldudf_CX_PUSH($Y150,CX_ENTITY,C150,EOMONTH(val_asOfDate,3)))</f>
        <v>#NAME?</v>
      </c>
      <c r="CX150" s="2443"/>
      <c r="CY150" s="2444" t="str" cm="1">
        <f t="array" ca="1" aca="1" ref="CY150">IFERROR(IF(CM150*fxVal_normal=_PL!CM150,"",IF(OR($CM150="",$CM150=0,NOT(ISNUMBER($CM150)),ISERROR($CM150),$B150=""),"",IF($I150=1,IFBLANK(_xldudf_CX_PUSH($CM150*fxVal_normal,CX_ENTITY,$B150,$CM$11,$CM$14,$CM$19,),""),IF($I150=2,IFBLANK(_xldudf_CX_PUSH($CM150,CX_ENTITY,$B150,$CM$11,$CM$14,$CM$19,),""),IF($I150=3,"",IFBLANK(_xldudf_CX_PUSH($CM150,CX_ENTITY,$B150,$CM$11,$CM$14,$CM$19,),"")))))),"")</f>
        <v/>
      </c>
      <c r="CZ150" s="2444" t="str" cm="1">
        <f t="array" ca="1" aca="1" ref="CZ150">IFERROR(IF(CN150*fxVal_normal=_PL!CN150,"",IF(OR($CN150="",$CN150=0,NOT(ISNUMBER($CN150)),ISERROR($CN150),$B150=""),"",IF($I150=1,IFBLANK(_xldudf_CX_PUSH($CN150*fxVal_normal,CX_ENTITY,$B150,$CN$11,$CN$14,$CN$19,),""),IF($I150=2,IFBLANK(_xldudf_CX_PUSH($CN150,CX_ENTITY,$B150,$CN$11,$CN$14,$CN$19,),""),IF($I150=3,"",IFBLANK(_xldudf_CX_PUSH($CN150,CX_ENTITY,$B150,$CN$11,$CN$14,$CN$19,),"")))))),"")</f>
        <v/>
      </c>
      <c r="DA150" s="2444" t="str" cm="1">
        <f t="array" ca="1" aca="1" ref="DA150">IFERROR(IF(CP150*fxVal_normal=_PL!CP150,"",IF(OR($CP150="",$CP150=0,NOT(ISNUMBER($CP150)),ISERROR($CP150),$B150=""),"",IF($I150=1,IFBLANK(_xldudf_CX_PUSH($CP150*fxVal_normal,CX_ENTITY,$B150,$CP$11,$CP$14,$CP$19,),""),IF($I150=2,IFBLANK(_xldudf_CX_PUSH($CP150,CX_ENTITY,$B150,$CP$11,$CP$14,$CP$19,),""),IF($I150=3,"",IFBLANK(_xldudf_CX_PUSH($CP150,CX_ENTITY,$B150,$CP$11,$CP$14,$CP$19,),"")))))),"")</f>
        <v/>
      </c>
      <c r="DB150" s="2444" t="str" cm="1">
        <f t="array" ca="1" aca="1" ref="DB150">IFERROR(IF(CQ150*fxVal_normal=_PL!CQ150,"",IF(OR($CQ150="",$CQ150=0,NOT(ISNUMBER($CQ150)),ISERROR($CQ150),$B150=""),"",IF($I150=1,IFBLANK(_xldudf_CX_PUSH($CQ150*fxVal_normal,CX_ENTITY,$B150,$CQ$11,$CQ$14,$CQ$19,),""),IF($I150=2,IFBLANK(_xldudf_CX_PUSH($CQ150,CX_ENTITY,$B150,$CQ$11,$CQ$14,$CQ$19,),""),IF($I150=3,"",IFBLANK(_xldudf_CX_PUSH($CQ150,CX_ENTITY,$B150,$CQ$11,$CQ$14,$CQ$19,),"")))))),"")</f>
        <v/>
      </c>
      <c r="DC150" s="2443"/>
      <c r="DD150" s="2445" t="str" cm="1">
        <f t="array" ca="1" aca="1" ref="DD150">IFERROR(IF(AD150*fxVal_normal=_PL!AD150,"",IF(OR(AD150="",NOT(ISNUMBER(AD150)),ISERROR(AD150),$B150=""),"",IF($I150=1,IFBLANK(_xldudf_CX_PUSH(AD150*fxVal_normal,CX_ENTITY,$B150,AD$11,AD$14,AD$146,),""),IF($I150=2,IFBLANK(_xldudf_CX_PUSH(AD150,CX_ENTITY,$B150,AD$11,AD$14,AD$146,),""),IF($I150=3,"",IFBLANK(_xldudf_CX_PUSH(AD150,CX_ENTITY,$B150,AD$11,AD$14,AD$146,),"")))))),"")</f>
        <v/>
      </c>
      <c r="DE150" s="2445" t="str" cm="1">
        <f t="array" ca="1" aca="1" ref="DE150">IFERROR(IF(AE150*fxVal_normal=_PL!AE150,"",IF(OR(AE150="",NOT(ISNUMBER(AE150)),ISERROR(AE150),$B150=""),"",IF($I150=1,IFBLANK(_xldudf_CX_PUSH(AE150*fxVal_normal,CX_ENTITY,$B150,AE$11,AE$14,AE$146,),""),IF($I150=2,IFBLANK(_xldudf_CX_PUSH(AE150,CX_ENTITY,$B150,AE$11,AE$14,AE$146,),""),IF($I150=3,"",IFBLANK(_xldudf_CX_PUSH(AE150,CX_ENTITY,$B150,AE$11,AE$14,AE$146,),"")))))),"")</f>
        <v/>
      </c>
      <c r="DF150" s="2445" t="str" cm="1">
        <f t="array" ca="1" aca="1" ref="DF150">IFERROR(IF(AF150*fxVal_normal=_PL!AF150,"",IF(OR(AF150="",NOT(ISNUMBER(AF150)),ISERROR(AF150),$B150=""),"",IF($I150=1,IFBLANK(_xldudf_CX_PUSH(AF150*fxVal_normal,CX_ENTITY,$B150,AF$11,AF$14,AF$146,),""),IF($I150=2,IFBLANK(_xldudf_CX_PUSH(AF150,CX_ENTITY,$B150,AF$11,AF$14,AF$146,),""),IF($I150=3,"",IFBLANK(_xldudf_CX_PUSH(AF150,CX_ENTITY,$B150,AF$11,AF$14,AF$146,),"")))))),"")</f>
        <v/>
      </c>
      <c r="DG150" s="2445" t="str" cm="1">
        <f t="array" ca="1" aca="1" ref="DG150">IFERROR(IF(AG150*fxVal_normal=_PL!AG150,"",IF(OR(AG150="",NOT(ISNUMBER(AG150)),ISERROR(AG150),$B150=""),"",IF($I150=1,IFBLANK(_xldudf_CX_PUSH(AG150*fxVal_normal,CX_ENTITY,$B150,AG$11,AG$14,AG$146,),""),IF($I150=2,IFBLANK(_xldudf_CX_PUSH(AG150,CX_ENTITY,$B150,AG$11,AG$14,AG$146,),""),IF($I150=3,"",IFBLANK(_xldudf_CX_PUSH(AG150,CX_ENTITY,$B150,AG$11,AG$14,AG$146,),"")))))),"")</f>
        <v/>
      </c>
      <c r="DH150" s="2445" t="str" cm="1">
        <f t="array" ca="1" aca="1" ref="DH150">IFERROR(IF(AH150*fxVal_normal=_PL!AH150,"",IF(OR(AH150="",NOT(ISNUMBER(AH150)),ISERROR(AH150),$B150=""),"",IF($I150=1,IFBLANK(_xldudf_CX_PUSH(AH150*fxVal_normal,CX_ENTITY,$B150,AH$11,AH$14,AH$146,),""),IF($I150=2,IFBLANK(_xldudf_CX_PUSH(AH150,CX_ENTITY,$B150,AH$11,AH$14,AH$146,),""),IF($I150=3,"",IFBLANK(_xldudf_CX_PUSH(AH150,CX_ENTITY,$B150,AH$11,AH$14,AH$146,),"")))))),"")</f>
        <v/>
      </c>
      <c r="DI150" s="2445" t="str" cm="1">
        <f t="array" ca="1" aca="1" ref="DI150">IFERROR(IF(AI150*fxVal_normal=_PL!AI150,"",IF(OR(AI150="",NOT(ISNUMBER(AI150)),ISERROR(AI150),$B150=""),"",IF($I150=1,IFBLANK(_xldudf_CX_PUSH(AI150*fxVal_normal,CX_ENTITY,$B150,AI$11,AI$14,AI$146,),""),IF($I150=2,IFBLANK(_xldudf_CX_PUSH(AI150,CX_ENTITY,$B150,AI$11,AI$14,AI$146,),""),IF($I150=3,"",IFBLANK(_xldudf_CX_PUSH(AI150,CX_ENTITY,$B150,AI$11,AI$14,AI$146,),"")))))),"")</f>
        <v/>
      </c>
      <c r="DJ150" s="2445" t="str" cm="1">
        <f t="array" ca="1" aca="1" ref="DJ150">IFERROR(IF(AJ150*fxVal_normal=_PL!AJ150,"",IF(OR(AJ150="",NOT(ISNUMBER(AJ150)),ISERROR(AJ150),$B150=""),"",IF($I150=1,IFBLANK(_xldudf_CX_PUSH(AJ150*fxVal_normal,CX_ENTITY,$B150,AJ$11,AJ$14,AJ$146,),""),IF($I150=2,IFBLANK(_xldudf_CX_PUSH(AJ150,CX_ENTITY,$B150,AJ$11,AJ$14,AJ$146,),""),IF($I150=3,"",IFBLANK(_xldudf_CX_PUSH(AJ150,CX_ENTITY,$B150,AJ$11,AJ$14,AJ$146,),"")))))),"")</f>
        <v/>
      </c>
      <c r="DK150" s="2445" t="str" cm="1">
        <f t="array" ca="1" aca="1" ref="DK150">IFERROR(IF(AK150*fxVal_normal=_PL!AK150,"",IF(OR(AK150="",NOT(ISNUMBER(AK150)),ISERROR(AK150),$B150=""),"",IF($I150=1,IFBLANK(_xldudf_CX_PUSH(AK150*fxVal_normal,CX_ENTITY,$B150,AK$11,AK$14,AK$146,),""),IF($I150=2,IFBLANK(_xldudf_CX_PUSH(AK150,CX_ENTITY,$B150,AK$11,AK$14,AK$146,),""),IF($I150=3,"",IFBLANK(_xldudf_CX_PUSH(AK150,CX_ENTITY,$B150,AK$11,AK$14,AK$146,),"")))))),"")</f>
        <v/>
      </c>
      <c r="DL150" s="2445" t="str" cm="1">
        <f t="array" ca="1" aca="1" ref="DL150">IFERROR(IF(AL150*fxVal_normal=_PL!AL150,"",IF(OR(AL150="",NOT(ISNUMBER(AL150)),ISERROR(AL150),$B150=""),"",IF($I150=1,IFBLANK(_xldudf_CX_PUSH(AL150*fxVal_normal,CX_ENTITY,$B150,AL$11,AL$14,AL$146,),""),IF($I150=2,IFBLANK(_xldudf_CX_PUSH(AL150,CX_ENTITY,$B150,AL$11,AL$14,AL$146,),""),IF($I150=3,"",IFBLANK(_xldudf_CX_PUSH(AL150,CX_ENTITY,$B150,AL$11,AL$14,AL$146,),"")))))),"")</f>
        <v/>
      </c>
      <c r="DM150" s="2445" t="str" cm="1">
        <f t="array" ca="1" aca="1" ref="DM150">IFERROR(IF(AM150*fxVal_normal=_PL!AM150,"",IF(OR(AM150="",NOT(ISNUMBER(AM150)),ISERROR(AM150),$B150=""),"",IF($I150=1,IFBLANK(_xldudf_CX_PUSH(AM150*fxVal_normal,CX_ENTITY,$B150,AM$11,AM$14,AM$146,),""),IF($I150=2,IFBLANK(_xldudf_CX_PUSH(AM150,CX_ENTITY,$B150,AM$11,AM$14,AM$146,),""),IF($I150=3,"",IFBLANK(_xldudf_CX_PUSH(AM150,CX_ENTITY,$B150,AM$11,AM$14,AM$146,),"")))))),"")</f>
        <v/>
      </c>
      <c r="DN150" s="2445" t="str" cm="1">
        <f t="array" ca="1" aca="1" ref="DN150">IFERROR(IF(AN150*fxVal_normal=_PL!AN150,"",IF(OR(AN150="",NOT(ISNUMBER(AN150)),ISERROR(AN150),$B150=""),"",IF($I150=1,IFBLANK(_xldudf_CX_PUSH(AN150*fxVal_normal,CX_ENTITY,$B150,AN$11,AN$14,AN$146,),""),IF($I150=2,IFBLANK(_xldudf_CX_PUSH(AN150,CX_ENTITY,$B150,AN$11,AN$14,AN$146,),""),IF($I150=3,"",IFBLANK(_xldudf_CX_PUSH(AN150,CX_ENTITY,$B150,AN$11,AN$14,AN$146,),"")))))),"")</f>
        <v/>
      </c>
      <c r="DO150" s="2445" t="str" cm="1">
        <f t="array" ca="1" aca="1" ref="DO150">IFERROR(IF(AO150*fxVal_normal=_PL!AO150,"",IF(OR(AO150="",NOT(ISNUMBER(AO150)),ISERROR(AO150),$B150=""),"",IF($I150=1,IFBLANK(_xldudf_CX_PUSH(AO150*fxVal_normal,CX_ENTITY,$B150,AO$11,AO$14,AO$146,),""),IF($I150=2,IFBLANK(_xldudf_CX_PUSH(AO150,CX_ENTITY,$B150,AO$11,AO$14,AO$146,),""),IF($I150=3,"",IFBLANK(_xldudf_CX_PUSH(AO150,CX_ENTITY,$B150,AO$11,AO$14,AO$146,),"")))))),"")</f>
        <v/>
      </c>
      <c r="DP150" s="2445" t="str" cm="1">
        <f t="array" ca="1" aca="1" ref="DP150">IFERROR(IF(AP150*fxVal_normal=_PL!AP150,"",IF(OR(AP150="",NOT(ISNUMBER(AP150)),ISERROR(AP150),$B150=""),"",IF($I150=1,IFBLANK(_xldudf_CX_PUSH(AP150*fxVal_normal,CX_ENTITY,$B150,AP$11,AP$14,AP$146,),""),IF($I150=2,IFBLANK(_xldudf_CX_PUSH(AP150,CX_ENTITY,$B150,AP$11,AP$14,AP$146,),""),IF($I150=3,"",IFBLANK(_xldudf_CX_PUSH(AP150,CX_ENTITY,$B150,AP$11,AP$14,AP$146,),"")))))),"")</f>
        <v/>
      </c>
      <c r="DQ150" s="2445" t="str" cm="1">
        <f t="array" ca="1" aca="1" ref="DQ150">IFERROR(IF(AQ150*fxVal_normal=_PL!AQ150,"",IF(OR(AQ150="",NOT(ISNUMBER(AQ150)),ISERROR(AQ150),$B150=""),"",IF($I150=1,IFBLANK(_xldudf_CX_PUSH(AQ150*fxVal_normal,CX_ENTITY,$B150,AQ$11,AQ$14,AQ$146,),""),IF($I150=2,IFBLANK(_xldudf_CX_PUSH(AQ150,CX_ENTITY,$B150,AQ$11,AQ$14,AQ$146,),""),IF($I150=3,"",IFBLANK(_xldudf_CX_PUSH(AQ150,CX_ENTITY,$B150,AQ$11,AQ$14,AQ$146,),"")))))),"")</f>
        <v/>
      </c>
      <c r="DR150" s="2445" t="str" cm="1">
        <f t="array" ca="1" aca="1" ref="DR150">IFERROR(IF(AR150*fxVal_normal=_PL!AR150,"",IF(OR(AR150="",NOT(ISNUMBER(AR150)),ISERROR(AR150),$B150=""),"",IF($I150=1,IFBLANK(_xldudf_CX_PUSH(AR150*fxVal_normal,CX_ENTITY,$B150,AR$11,AR$14,AR$146,),""),IF($I150=2,IFBLANK(_xldudf_CX_PUSH(AR150,CX_ENTITY,$B150,AR$11,AR$14,AR$146,),""),IF($I150=3,"",IFBLANK(_xldudf_CX_PUSH(AR150,CX_ENTITY,$B150,AR$11,AR$14,AR$146,),"")))))),"")</f>
        <v/>
      </c>
      <c r="DS150" s="2445" t="str" cm="1">
        <f t="array" ca="1" aca="1" ref="DS150">IFERROR(IF(AS150*fxVal_normal=_PL!AS150,"",IF(OR(AS150="",NOT(ISNUMBER(AS150)),ISERROR(AS150),$B150=""),"",IF($I150=1,IFBLANK(_xldudf_CX_PUSH(AS150*fxVal_normal,CX_ENTITY,$B150,AS$11,AS$14,AS$146,),""),IF($I150=2,IFBLANK(_xldudf_CX_PUSH(AS150,CX_ENTITY,$B150,AS$11,AS$14,AS$146,),""),IF($I150=3,"",IFBLANK(_xldudf_CX_PUSH(AS150,CX_ENTITY,$B150,AS$11,AS$14,AS$146,),"")))))),"")</f>
        <v/>
      </c>
      <c r="DT150" s="2445" t="str" cm="1">
        <f t="array" ca="1" aca="1" ref="DT150">IFERROR(IF(AT150*fxVal_normal=_PL!AT150,"",IF(OR(AT150="",NOT(ISNUMBER(AT150)),ISERROR(AT150),$B150=""),"",IF($I150=1,IFBLANK(_xldudf_CX_PUSH(AT150*fxVal_normal,CX_ENTITY,$B150,AT$11,AT$14,AT$146,),""),IF($I150=2,IFBLANK(_xldudf_CX_PUSH(AT150,CX_ENTITY,$B150,AT$11,AT$14,AT$146,),""),IF($I150=3,"",IFBLANK(_xldudf_CX_PUSH(AT150,CX_ENTITY,$B150,AT$11,AT$14,AT$146,),"")))))),"")</f>
        <v/>
      </c>
      <c r="DU150" s="2445" t="str" cm="1">
        <f t="array" ca="1" aca="1" ref="DU150">IFERROR(IF(AU150*fxVal_normal=_PL!AU150,"",IF(OR(AU150="",NOT(ISNUMBER(AU150)),ISERROR(AU150),$B150=""),"",IF($I150=1,IFBLANK(_xldudf_CX_PUSH(AU150*fxVal_normal,CX_ENTITY,$B150,AU$11,AU$14,AU$146,),""),IF($I150=2,IFBLANK(_xldudf_CX_PUSH(AU150,CX_ENTITY,$B150,AU$11,AU$14,AU$146,),""),IF($I150=3,"",IFBLANK(_xldudf_CX_PUSH(AU150,CX_ENTITY,$B150,AU$11,AU$14,AU$146,),"")))))),"")</f>
        <v/>
      </c>
      <c r="DV150" s="2445" t="str" cm="1">
        <f t="array" ca="1" aca="1" ref="DV150">IFERROR(IF(AV150*fxVal_normal=_PL!AV150,"",IF(OR(AV150="",NOT(ISNUMBER(AV150)),ISERROR(AV150),$B150=""),"",IF($I150=1,IFBLANK(_xldudf_CX_PUSH(AV150*fxVal_normal,CX_ENTITY,$B150,AV$11,AV$14,AV$146,),""),IF($I150=2,IFBLANK(_xldudf_CX_PUSH(AV150,CX_ENTITY,$B150,AV$11,AV$14,AV$146,),""),IF($I150=3,"",IFBLANK(_xldudf_CX_PUSH(AV150,CX_ENTITY,$B150,AV$11,AV$14,AV$146,),"")))))),"")</f>
        <v/>
      </c>
      <c r="DW150" s="2445" t="str" cm="1">
        <f t="array" ca="1" aca="1" ref="DW150">IFERROR(IF(AW150*fxVal_normal=_PL!AW150,"",IF(OR(AW150="",NOT(ISNUMBER(AW150)),ISERROR(AW150),$B150=""),"",IF($I150=1,IFBLANK(_xldudf_CX_PUSH(AW150*fxVal_normal,CX_ENTITY,$B150,AW$11,AW$14,AW$146,),""),IF($I150=2,IFBLANK(_xldudf_CX_PUSH(AW150,CX_ENTITY,$B150,AW$11,AW$14,AW$146,),""),IF($I150=3,"",IFBLANK(_xldudf_CX_PUSH(AW150,CX_ENTITY,$B150,AW$11,AW$14,AW$146,),"")))))),"")</f>
        <v/>
      </c>
      <c r="DX150" s="2445" t="str" cm="1">
        <f t="array" ca="1" aca="1" ref="DX150">IFERROR(IF(AX150*fxVal_normal=_PL!AX150,"",IF(OR(AX150="",NOT(ISNUMBER(AX150)),ISERROR(AX150),$B150=""),"",IF($I150=1,IFBLANK(_xldudf_CX_PUSH(AX150*fxVal_normal,CX_ENTITY,$B150,AX$11,AX$14,AX$146,),""),IF($I150=2,IFBLANK(_xldudf_CX_PUSH(AX150,CX_ENTITY,$B150,AX$11,AX$14,AX$146,),""),IF($I150=3,"",IFBLANK(_xldudf_CX_PUSH(AX150,CX_ENTITY,$B150,AX$11,AX$14,AX$146,),"")))))),"")</f>
        <v/>
      </c>
      <c r="DY150" s="2445" t="str" cm="1">
        <f t="array" ca="1" aca="1" ref="DY150">IFERROR(IF(AY150*fxVal_normal=_PL!AY150,"",IF(OR(AY150="",NOT(ISNUMBER(AY150)),ISERROR(AY150),$B150=""),"",IF($I150=1,IFBLANK(_xldudf_CX_PUSH(AY150*fxVal_normal,CX_ENTITY,$B150,AY$11,AY$14,AY$146,),""),IF($I150=2,IFBLANK(_xldudf_CX_PUSH(AY150,CX_ENTITY,$B150,AY$11,AY$14,AY$146,),""),IF($I150=3,"",IFBLANK(_xldudf_CX_PUSH(AY150,CX_ENTITY,$B150,AY$11,AY$14,AY$146,),"")))))),"")</f>
        <v/>
      </c>
      <c r="DZ150" s="2445" t="str" cm="1">
        <f t="array" ca="1" aca="1" ref="DZ150">IFERROR(IF(AZ150*fxVal_normal=_PL!AZ150,"",IF(OR(AZ150="",NOT(ISNUMBER(AZ150)),ISERROR(AZ150),$B150=""),"",IF($I150=1,IFBLANK(_xldudf_CX_PUSH(AZ150*fxVal_normal,CX_ENTITY,$B150,AZ$11,AZ$14,AZ$146,),""),IF($I150=2,IFBLANK(_xldudf_CX_PUSH(AZ150,CX_ENTITY,$B150,AZ$11,AZ$14,AZ$146,),""),IF($I150=3,"",IFBLANK(_xldudf_CX_PUSH(AZ150,CX_ENTITY,$B150,AZ$11,AZ$14,AZ$146,),"")))))),"")</f>
        <v/>
      </c>
      <c r="EA150" s="2445" t="str" cm="1">
        <f t="array" ca="1" aca="1" ref="EA150">IFERROR(IF(BA150*fxVal_normal=_PL!BA150,"",IF(OR(BA150="",NOT(ISNUMBER(BA150)),ISERROR(BA150),$B150=""),"",IF($I150=1,IFBLANK(_xldudf_CX_PUSH(BA150*fxVal_normal,CX_ENTITY,$B150,BA$11,BA$14,BA$146,),""),IF($I150=2,IFBLANK(_xldudf_CX_PUSH(BA150,CX_ENTITY,$B150,BA$11,BA$14,BA$146,),""),IF($I150=3,"",IFBLANK(_xldudf_CX_PUSH(BA150,CX_ENTITY,$B150,BA$11,BA$14,BA$146,),"")))))),"")</f>
        <v/>
      </c>
      <c r="EB150" s="2445" t="str" cm="1">
        <f t="array" ca="1" aca="1" ref="EB150">IFERROR(IF(BB150*fxVal_normal=_PL!BB150,"",IF(OR(BB150="",NOT(ISNUMBER(BB150)),ISERROR(BB150),$B150=""),"",IF($I150=1,IFBLANK(_xldudf_CX_PUSH(BB150*fxVal_normal,CX_ENTITY,$B150,BB$11,BB$14,BB$146,),""),IF($I150=2,IFBLANK(_xldudf_CX_PUSH(BB150,CX_ENTITY,$B150,BB$11,BB$14,BB$146,),""),IF($I150=3,"",IFBLANK(_xldudf_CX_PUSH(BB150,CX_ENTITY,$B150,BB$11,BB$14,BB$146,),"")))))),"")</f>
        <v/>
      </c>
      <c r="EC150" s="2445" t="str" cm="1">
        <f t="array" ca="1" aca="1" ref="EC150">IFERROR(IF(BC150*fxVal_normal=_PL!BC150,"",IF(OR(BC150="",NOT(ISNUMBER(BC150)),ISERROR(BC150),$B150=""),"",IF($I150=1,IFBLANK(_xldudf_CX_PUSH(BC150*fxVal_normal,CX_ENTITY,$B150,BC$11,BC$14,BC$146,),""),IF($I150=2,IFBLANK(_xldudf_CX_PUSH(BC150,CX_ENTITY,$B150,BC$11,BC$14,BC$146,),""),IF($I150=3,"",IFBLANK(_xldudf_CX_PUSH(BC150,CX_ENTITY,$B150,BC$11,BC$14,BC$146,),"")))))),"")</f>
        <v/>
      </c>
      <c r="ED150" s="2445" t="str" cm="1">
        <f t="array" ca="1" aca="1" ref="ED150">IFERROR(IF(BD150*fxVal_normal=_PL!BD150,"",IF(OR(BD150="",NOT(ISNUMBER(BD150)),ISERROR(BD150),$B150=""),"",IF($I150=1,IFBLANK(_xldudf_CX_PUSH(BD150*fxVal_normal,CX_ENTITY,$B150,BD$11,BD$14,BD$146,),""),IF($I150=2,IFBLANK(_xldudf_CX_PUSH(BD150,CX_ENTITY,$B150,BD$11,BD$14,BD$146,),""),IF($I150=3,"",IFBLANK(_xldudf_CX_PUSH(BD150,CX_ENTITY,$B150,BD$11,BD$14,BD$146,),"")))))),"")</f>
        <v/>
      </c>
      <c r="EE150" s="2445" t="str" cm="1">
        <f t="array" ca="1" aca="1" ref="EE150">IFERROR(IF(BE150*fxVal_normal=_PL!BE150,"",IF(OR(BE150="",NOT(ISNUMBER(BE150)),ISERROR(BE150),$B150=""),"",IF($I150=1,IFBLANK(_xldudf_CX_PUSH(BE150*fxVal_normal,CX_ENTITY,$B150,BE$11,BE$14,BE$146,),""),IF($I150=2,IFBLANK(_xldudf_CX_PUSH(BE150,CX_ENTITY,$B150,BE$11,BE$14,BE$146,),""),IF($I150=3,"",IFBLANK(_xldudf_CX_PUSH(BE150,CX_ENTITY,$B150,BE$11,BE$14,BE$146,),"")))))),"")</f>
        <v/>
      </c>
      <c r="EF150" s="2445" t="str" cm="1">
        <f t="array" ca="1" aca="1" ref="EF150">IFERROR(IF(BF150*fxVal_normal=_PL!BF150,"",IF(OR(BF150="",NOT(ISNUMBER(BF150)),ISERROR(BF150),$B150=""),"",IF($I150=1,IFBLANK(_xldudf_CX_PUSH(BF150*fxVal_normal,CX_ENTITY,$B150,BF$11,BF$14,BF$146,),""),IF($I150=2,IFBLANK(_xldudf_CX_PUSH(BF150,CX_ENTITY,$B150,BF$11,BF$14,BF$146,),""),IF($I150=3,"",IFBLANK(_xldudf_CX_PUSH(BF150,CX_ENTITY,$B150,BF$11,BF$14,BF$146,),"")))))),"")</f>
        <v/>
      </c>
      <c r="EG150" s="2445" t="str" cm="1">
        <f t="array" ca="1" aca="1" ref="EG150">IFERROR(IF(BG150*fxVal_normal=_PL!BG150,"",IF(OR(BG150="",NOT(ISNUMBER(BG150)),ISERROR(BG150),$B150=""),"",IF($I150=1,IFBLANK(_xldudf_CX_PUSH(BG150*fxVal_normal,CX_ENTITY,$B150,BG$11,BG$14,BG$146,),""),IF($I150=2,IFBLANK(_xldudf_CX_PUSH(BG150,CX_ENTITY,$B150,BG$11,BG$14,BG$146,),""),IF($I150=3,"",IFBLANK(_xldudf_CX_PUSH(BG150,CX_ENTITY,$B150,BG$11,BG$14,BG$146,),"")))))),"")</f>
        <v/>
      </c>
      <c r="EH150" s="2445" t="str" cm="1">
        <f t="array" ca="1" aca="1" ref="EH150">IFERROR(IF(BH150*fxVal_normal=_PL!BH150,"",IF(OR(BH150="",NOT(ISNUMBER(BH150)),ISERROR(BH150),$B150=""),"",IF($I150=1,IFBLANK(_xldudf_CX_PUSH(BH150*fxVal_normal,CX_ENTITY,$B150,BH$11,BH$14,BH$146,),""),IF($I150=2,IFBLANK(_xldudf_CX_PUSH(BH150,CX_ENTITY,$B150,BH$11,BH$14,BH$146,),""),IF($I150=3,"",IFBLANK(_xldudf_CX_PUSH(BH150,CX_ENTITY,$B150,BH$11,BH$14,BH$146,),"")))))),"")</f>
        <v/>
      </c>
      <c r="EI150" s="2445" t="str" cm="1">
        <f t="array" ca="1" aca="1" ref="EI150">IFERROR(IF(BI150*fxVal_normal=_PL!BI150,"",IF(OR(BI150="",NOT(ISNUMBER(BI150)),ISERROR(BI150),$B150=""),"",IF($I150=1,IFBLANK(_xldudf_CX_PUSH(BI150*fxVal_normal,CX_ENTITY,$B150,BI$11,BI$14,BI$146,),""),IF($I150=2,IFBLANK(_xldudf_CX_PUSH(BI150,CX_ENTITY,$B150,BI$11,BI$14,BI$146,),""),IF($I150=3,"",IFBLANK(_xldudf_CX_PUSH(BI150,CX_ENTITY,$B150,BI$11,BI$14,BI$146,),"")))))),"")</f>
        <v/>
      </c>
      <c r="EJ150" s="2445" t="str" cm="1">
        <f t="array" ca="1" aca="1" ref="EJ150">IFERROR(IF(BJ150*fxVal_normal=_PL!BJ150,"",IF(OR(BJ150="",NOT(ISNUMBER(BJ150)),ISERROR(BJ150),$B150=""),"",IF($I150=1,IFBLANK(_xldudf_CX_PUSH(BJ150*fxVal_normal,CX_ENTITY,$B150,BJ$11,BJ$14,BJ$146,),""),IF($I150=2,IFBLANK(_xldudf_CX_PUSH(BJ150,CX_ENTITY,$B150,BJ$11,BJ$14,BJ$146,),""),IF($I150=3,"",IFBLANK(_xldudf_CX_PUSH(BJ150,CX_ENTITY,$B150,BJ$11,BJ$14,BJ$146,),"")))))),"")</f>
        <v/>
      </c>
      <c r="EK150" s="2445" t="str" cm="1">
        <f t="array" ca="1" aca="1" ref="EK150">IFERROR(IF(BK150*fxVal_normal=_PL!BK150,"",IF(OR(BK150="",NOT(ISNUMBER(BK150)),ISERROR(BK150),$B150=""),"",IF($I150=1,IFBLANK(_xldudf_CX_PUSH(BK150*fxVal_normal,CX_ENTITY,$B150,BK$11,BK$14,BK$146,),""),IF($I150=2,IFBLANK(_xldudf_CX_PUSH(BK150,CX_ENTITY,$B150,BK$11,BK$14,BK$146,),""),IF($I150=3,"",IFBLANK(_xldudf_CX_PUSH(BK150,CX_ENTITY,$B150,BK$11,BK$14,BK$146,),"")))))),"")</f>
        <v/>
      </c>
      <c r="EL150" s="2445" t="str" cm="1">
        <f t="array" ca="1" aca="1" ref="EL150">IFERROR(IF(BL150*fxVal_normal=_PL!BL150,"",IF(OR(BL150="",NOT(ISNUMBER(BL150)),ISERROR(BL150),$B150=""),"",IF($I150=1,IFBLANK(_xldudf_CX_PUSH(BL150*fxVal_normal,CX_ENTITY,$B150,BL$11,BL$14,BL$146,),""),IF($I150=2,IFBLANK(_xldudf_CX_PUSH(BL150,CX_ENTITY,$B150,BL$11,BL$14,BL$146,),""),IF($I150=3,"",IFBLANK(_xldudf_CX_PUSH(BL150,CX_ENTITY,$B150,BL$11,BL$14,BL$146,),"")))))),"")</f>
        <v/>
      </c>
      <c r="EM150" s="2445" t="str" cm="1">
        <f t="array" ca="1" aca="1" ref="EM150">IFERROR(IF(BM150*fxVal_normal=_PL!BM150,"",IF(OR(BM150="",NOT(ISNUMBER(BM150)),ISERROR(BM150),$B150=""),"",IF($I150=1,IFBLANK(_xldudf_CX_PUSH(BM150*fxVal_normal,CX_ENTITY,$B150,BM$11,BM$14,BM$146,),""),IF($I150=2,IFBLANK(_xldudf_CX_PUSH(BM150,CX_ENTITY,$B150,BM$11,BM$14,BM$146,),""),IF($I150=3,"",IFBLANK(_xldudf_CX_PUSH(BM150,CX_ENTITY,$B150,BM$11,BM$14,BM$146,),"")))))),"")</f>
        <v/>
      </c>
      <c r="EN150" s="2445" t="str" cm="1">
        <f t="array" ca="1" aca="1" ref="EN150">IFERROR(IF(BN150*fxVal_normal=_PL!BN150,"",IF(OR(BN150="",NOT(ISNUMBER(BN150)),ISERROR(BN150),$B150=""),"",IF($I150=1,IFBLANK(_xldudf_CX_PUSH(BN150*fxVal_normal,CX_ENTITY,$B150,BN$11,BN$14,BN$146,),""),IF($I150=2,IFBLANK(_xldudf_CX_PUSH(BN150,CX_ENTITY,$B150,BN$11,BN$14,BN$146,),""),IF($I150=3,"",IFBLANK(_xldudf_CX_PUSH(BN150,CX_ENTITY,$B150,BN$11,BN$14,BN$146,),"")))))),"")</f>
        <v/>
      </c>
    </row>
    <row r="151" spans="1:144" ht="21" customHeight="1">
      <c r="A151" s="1625"/>
      <c r="B151" s="2501" t="s">
        <v>124</v>
      </c>
      <c r="C151" s="3459" t="str" cm="1">
        <f t="array" ref="C151">IFBLANK(_PL!C151,"")</f>
        <v>Lfl Revenue Adjustment - Label 4</v>
      </c>
      <c r="D151" s="1548" t="s">
        <v>123</v>
      </c>
      <c r="E151" s="2440" t="e" cm="1">
        <f t="array" ca="1" aca="1" ref="E15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151:$CQ151,Z151)</f>
        <v>#NAME?</v>
      </c>
      <c r="F151" s="578"/>
      <c r="G151" s="578"/>
      <c r="H151" s="510">
        <v>0</v>
      </c>
      <c r="I151" s="3302">
        <v>1</v>
      </c>
      <c r="J151" s="401" cm="1">
        <f t="array" ref="J151">IFBLANK(Z151,"")</f>
        <v>-1</v>
      </c>
      <c r="K151" s="578" t="str">
        <f t="shared" si="47"/>
        <v>Yes</v>
      </c>
      <c r="L151" s="37"/>
      <c r="N151" s="158"/>
      <c r="O151" s="101"/>
      <c r="P151" s="52"/>
      <c r="Q151" s="101"/>
      <c r="R151" s="101"/>
      <c r="S151" s="101"/>
      <c r="T151" s="101"/>
      <c r="U151" s="39"/>
      <c r="V151" s="37"/>
      <c r="W151" s="91" t="str">
        <f>W147</f>
        <v>Actual</v>
      </c>
      <c r="X151" s="815" t="str">
        <f>_PL!X151</f>
        <v>a</v>
      </c>
      <c r="Y151" s="3214">
        <v>2</v>
      </c>
      <c r="Z151" s="198">
        <f>_PL!Z151</f>
        <v>-1</v>
      </c>
      <c r="AA151" s="2571"/>
      <c r="AB151" s="2575" t="s">
        <v>125</v>
      </c>
      <c r="AC151" s="914" t="str" cm="1">
        <f t="array" ca="1" aca="1" ref="AC151">_xlfn.LET(_xlpm._termname,$AB151,_xlpm._iconname,"find",_xlpm._icon,fx_getIcon(_xlpm._iconname),_xlpm._location,_xlfn.XLOOKUP(LOWER(_xlpm._termname),LOWER(tbl_acctDef[Term]),tbl_acctDef[Term]),_xlpm._hyperlink,HYPERLINK("#"&amp;CELL("address",_xlpm._location),_xlpm._icon),IFERROR(_xlpm._hyperlink,""))</f>
        <v/>
      </c>
      <c r="AD151" s="3177">
        <v>1</v>
      </c>
      <c r="AE151" s="3177">
        <v>1</v>
      </c>
      <c r="AF151" s="3177">
        <v>1</v>
      </c>
      <c r="AG151" s="3177">
        <v>1</v>
      </c>
      <c r="AH151" s="3177">
        <v>1</v>
      </c>
      <c r="AI151" s="3177">
        <v>1</v>
      </c>
      <c r="AJ151" s="3177">
        <v>1</v>
      </c>
      <c r="AK151" s="3177">
        <v>1</v>
      </c>
      <c r="AL151" s="3177">
        <v>1</v>
      </c>
      <c r="AM151" s="3177">
        <v>1</v>
      </c>
      <c r="AN151" s="3177">
        <v>1</v>
      </c>
      <c r="AO151" s="3177">
        <v>1</v>
      </c>
      <c r="AP151" s="3177">
        <v>1</v>
      </c>
      <c r="AQ151" s="3177">
        <v>1</v>
      </c>
      <c r="AR151" s="3177">
        <v>1</v>
      </c>
      <c r="AS151" s="3177">
        <v>1</v>
      </c>
      <c r="AT151" s="3177">
        <v>1</v>
      </c>
      <c r="AU151" s="3177">
        <v>1</v>
      </c>
      <c r="AV151" s="3177">
        <v>1</v>
      </c>
      <c r="AW151" s="3177">
        <v>1</v>
      </c>
      <c r="AX151" s="3177">
        <v>1</v>
      </c>
      <c r="AY151" s="3177">
        <v>1</v>
      </c>
      <c r="AZ151" s="3177">
        <v>1</v>
      </c>
      <c r="BA151" s="3177">
        <v>1</v>
      </c>
      <c r="BB151" s="3177">
        <v>1</v>
      </c>
      <c r="BC151" s="3177">
        <v>1</v>
      </c>
      <c r="BD151" s="3177">
        <v>1</v>
      </c>
      <c r="BE151" s="3177">
        <v>1</v>
      </c>
      <c r="BF151" s="3177">
        <v>1</v>
      </c>
      <c r="BG151" s="3177">
        <v>1</v>
      </c>
      <c r="BH151" s="3177">
        <v>1</v>
      </c>
      <c r="BI151" s="3177">
        <v>1</v>
      </c>
      <c r="BJ151" s="3177">
        <v>1</v>
      </c>
      <c r="BK151" s="3177">
        <v>1</v>
      </c>
      <c r="BL151" s="3177">
        <v>1</v>
      </c>
      <c r="BM151" s="3177">
        <v>1</v>
      </c>
      <c r="BN151" s="3177">
        <v>1</v>
      </c>
      <c r="BO151" s="2442"/>
      <c r="BP151" s="2442"/>
      <c r="BQ151" s="2442"/>
      <c r="BR151" s="2442"/>
      <c r="BS151" s="2442"/>
      <c r="BT151" s="2442"/>
      <c r="BU151" s="2442"/>
      <c r="BV151" s="2442"/>
      <c r="BW151" s="2442"/>
      <c r="BX151" s="2442"/>
      <c r="BY151" s="2442"/>
      <c r="BZ151" s="2442"/>
      <c r="CA151" s="34"/>
      <c r="CC151" s="958"/>
      <c r="CD151" s="1461" t="e" cm="1">
        <f t="array" ca="1" aca="1" ref="CD151">_xlfn.LET(_xlpm.CheckBlank,SUM(PL!$AD151:$BN151)=0,IF(_xlpm.CheckBlank,"",SUM(_xlfn._xlws.FILTER(PL!$AD151:$BN151,(YEAR(PL!$AD$12:$BN$12)=PL!CD$12)*(array_timeline&lt;=PL!CD$11)))))</f>
        <v>#NAME?</v>
      </c>
      <c r="CE151" s="1461" t="e" cm="1">
        <f t="array" ca="1" aca="1" ref="CE151">_xlfn.LET(_xlpm.CheckBlank,SUM(PL!$AD151:$BN151)=0,IF(_xlpm.CheckBlank,"",SUM(_xlfn._xlws.FILTER(PL!$AD151:$BN151,(YEAR(PL!$AD$12:$BN$12)=PL!CE$12)*(array_timeline&lt;=PL!CE$11)))))</f>
        <v>#NAME?</v>
      </c>
      <c r="CF151" s="88"/>
      <c r="CG151" s="1461" t="e" cm="1">
        <f t="array" ca="1" aca="1" ref="CG151">_xlfn.LET(_xlpm.CheckBlank,SUM(PL!$AD151:$BN151)=0,IF(_xlpm.CheckBlank,"",SUM(_xlfn._xlws.FILTER(PL!$AD151:$BN151,(YEAR(PL!$AD$12:$BN$12)=PL!CG$12)*(array_timeline&lt;=PL!CG$11)))))</f>
        <v>#NAME?</v>
      </c>
      <c r="CH151" s="1461" t="e" cm="1">
        <f t="array" ca="1" aca="1" ref="CH151">_xlfn.LET(_xlpm.CheckBlank,SUM(PL!$AD151:$BN151)=0,IF(_xlpm.CheckBlank,"",SUM(_xlfn._xlws.FILTER(PL!$AD151:$BN151,(YEAR(PL!$AD$12:$BN$12)=PL!CH$12)*(array_timeline&lt;=PL!CH$11)))))</f>
        <v>#NAME?</v>
      </c>
      <c r="CI151" s="88"/>
      <c r="CJ151" s="1461" cm="1">
        <f t="array" ref="CJ151">_xlfn.LET(_xlpm.CheckBlank,SUM(PL!$AD151:$BN151)=0,IF(_xlpm.CheckBlank,"",SUM(_xlfn.TAKE(_xlfn.DROP(PL!$AD151:$BN151,,-DATEDIFF(PL!CJ$11,val_asOfDate,"M")),1,-12))))</f>
        <v>12</v>
      </c>
      <c r="CK151" s="1461" cm="1">
        <f t="array" ref="CK151">_xlfn.LET(_xlpm.CheckBlank,SUM(PL!$AD151:$BN151)=0,IF(_xlpm.CheckBlank,"",SUM(_xlfn.TAKE(_xlfn.DROP(PL!$AD151:$BN151,,-DATEDIFF(PL!CK$11,val_asOfDate,"M")),1,-12))))</f>
        <v>12</v>
      </c>
      <c r="CL151" s="88"/>
      <c r="CM151" s="3177">
        <v>1</v>
      </c>
      <c r="CN151" s="3177">
        <v>1</v>
      </c>
      <c r="CO151" s="1169"/>
      <c r="CP151" s="3177">
        <v>1</v>
      </c>
      <c r="CQ151" s="3177">
        <v>1</v>
      </c>
      <c r="CR151" s="34"/>
      <c r="CS151" s="2056"/>
      <c r="CT151" s="2447" t="e" cm="1">
        <f t="array" ca="1" aca="1" ref="CT151">IF(ISNUMBER(SEARCH("Select",$Y151)),"",_xldudf_CX_PUSH($Y151,CX_ENTITY,C151,val_asOfDate))</f>
        <v>#NAME?</v>
      </c>
      <c r="CU151" s="2447" t="e" cm="1">
        <f t="array" ca="1" aca="1" ref="CU151">IF(ISNUMBER(SEARCH("Select",$Y151)),"",_xldudf_CX_PUSH($Y151,CX_ENTITY,C151,EOMONTH(val_asOfDate,1)))</f>
        <v>#NAME?</v>
      </c>
      <c r="CV151" s="2447" t="e" cm="1">
        <f t="array" ca="1" aca="1" ref="CV151">IF(ISNUMBER(SEARCH("Select",$Y151)),"",_xldudf_CX_PUSH($Y151,CX_ENTITY,C151,EOMONTH(val_asOfDate,2)))</f>
        <v>#NAME?</v>
      </c>
      <c r="CW151" s="2447" t="e" cm="1">
        <f t="array" ca="1" aca="1" ref="CW151">IF(ISNUMBER(SEARCH("Select",$Y151)),"",_xldudf_CX_PUSH($Y151,CX_ENTITY,C151,EOMONTH(val_asOfDate,3)))</f>
        <v>#NAME?</v>
      </c>
      <c r="CX151" s="2443"/>
      <c r="CY151" s="2444" t="str" cm="1">
        <f t="array" ca="1" aca="1" ref="CY151">IFERROR(IF(CM151*fxVal_normal=_PL!CM151,"",IF(OR($CM151="",$CM151=0,NOT(ISNUMBER($CM151)),ISERROR($CM151),$B151=""),"",IF($I151=1,IFBLANK(_xldudf_CX_PUSH($CM151*fxVal_normal,CX_ENTITY,$B151,$CM$11,$CM$14,$CM$19,),""),IF($I151=2,IFBLANK(_xldudf_CX_PUSH($CM151,CX_ENTITY,$B151,$CM$11,$CM$14,$CM$19,),""),IF($I151=3,"",IFBLANK(_xldudf_CX_PUSH($CM151,CX_ENTITY,$B151,$CM$11,$CM$14,$CM$19,),"")))))),"")</f>
        <v/>
      </c>
      <c r="CZ151" s="2444" t="str" cm="1">
        <f t="array" ca="1" aca="1" ref="CZ151">IFERROR(IF(CN151*fxVal_normal=_PL!CN151,"",IF(OR($CN151="",$CN151=0,NOT(ISNUMBER($CN151)),ISERROR($CN151),$B151=""),"",IF($I151=1,IFBLANK(_xldudf_CX_PUSH($CN151*fxVal_normal,CX_ENTITY,$B151,$CN$11,$CN$14,$CN$19,),""),IF($I151=2,IFBLANK(_xldudf_CX_PUSH($CN151,CX_ENTITY,$B151,$CN$11,$CN$14,$CN$19,),""),IF($I151=3,"",IFBLANK(_xldudf_CX_PUSH($CN151,CX_ENTITY,$B151,$CN$11,$CN$14,$CN$19,),"")))))),"")</f>
        <v/>
      </c>
      <c r="DA151" s="2444" t="str" cm="1">
        <f t="array" ca="1" aca="1" ref="DA151">IFERROR(IF(CP151*fxVal_normal=_PL!CP151,"",IF(OR($CP151="",$CP151=0,NOT(ISNUMBER($CP151)),ISERROR($CP151),$B151=""),"",IF($I151=1,IFBLANK(_xldudf_CX_PUSH($CP151*fxVal_normal,CX_ENTITY,$B151,$CP$11,$CP$14,$CP$19,),""),IF($I151=2,IFBLANK(_xldudf_CX_PUSH($CP151,CX_ENTITY,$B151,$CP$11,$CP$14,$CP$19,),""),IF($I151=3,"",IFBLANK(_xldudf_CX_PUSH($CP151,CX_ENTITY,$B151,$CP$11,$CP$14,$CP$19,),"")))))),"")</f>
        <v/>
      </c>
      <c r="DB151" s="2444" t="str" cm="1">
        <f t="array" ca="1" aca="1" ref="DB151">IFERROR(IF(CQ151*fxVal_normal=_PL!CQ151,"",IF(OR($CQ151="",$CQ151=0,NOT(ISNUMBER($CQ151)),ISERROR($CQ151),$B151=""),"",IF($I151=1,IFBLANK(_xldudf_CX_PUSH($CQ151*fxVal_normal,CX_ENTITY,$B151,$CQ$11,$CQ$14,$CQ$19,),""),IF($I151=2,IFBLANK(_xldudf_CX_PUSH($CQ151,CX_ENTITY,$B151,$CQ$11,$CQ$14,$CQ$19,),""),IF($I151=3,"",IFBLANK(_xldudf_CX_PUSH($CQ151,CX_ENTITY,$B151,$CQ$11,$CQ$14,$CQ$19,),"")))))),"")</f>
        <v/>
      </c>
      <c r="DC151" s="2443"/>
      <c r="DD151" s="2445" t="str" cm="1">
        <f t="array" ca="1" aca="1" ref="DD151">IFERROR(IF(AD151*fxVal_normal=_PL!AD151,"",IF(OR(AD151="",NOT(ISNUMBER(AD151)),ISERROR(AD151),$B151=""),"",IF($I151=1,IFBLANK(_xldudf_CX_PUSH(AD151*fxVal_normal,CX_ENTITY,$B151,AD$11,AD$14,AD$146,),""),IF($I151=2,IFBLANK(_xldudf_CX_PUSH(AD151,CX_ENTITY,$B151,AD$11,AD$14,AD$146,),""),IF($I151=3,"",IFBLANK(_xldudf_CX_PUSH(AD151,CX_ENTITY,$B151,AD$11,AD$14,AD$146,),"")))))),"")</f>
        <v/>
      </c>
      <c r="DE151" s="2445" t="str" cm="1">
        <f t="array" ca="1" aca="1" ref="DE151">IFERROR(IF(AE151*fxVal_normal=_PL!AE151,"",IF(OR(AE151="",NOT(ISNUMBER(AE151)),ISERROR(AE151),$B151=""),"",IF($I151=1,IFBLANK(_xldudf_CX_PUSH(AE151*fxVal_normal,CX_ENTITY,$B151,AE$11,AE$14,AE$146,),""),IF($I151=2,IFBLANK(_xldudf_CX_PUSH(AE151,CX_ENTITY,$B151,AE$11,AE$14,AE$146,),""),IF($I151=3,"",IFBLANK(_xldudf_CX_PUSH(AE151,CX_ENTITY,$B151,AE$11,AE$14,AE$146,),"")))))),"")</f>
        <v/>
      </c>
      <c r="DF151" s="2445" t="str" cm="1">
        <f t="array" ca="1" aca="1" ref="DF151">IFERROR(IF(AF151*fxVal_normal=_PL!AF151,"",IF(OR(AF151="",NOT(ISNUMBER(AF151)),ISERROR(AF151),$B151=""),"",IF($I151=1,IFBLANK(_xldudf_CX_PUSH(AF151*fxVal_normal,CX_ENTITY,$B151,AF$11,AF$14,AF$146,),""),IF($I151=2,IFBLANK(_xldudf_CX_PUSH(AF151,CX_ENTITY,$B151,AF$11,AF$14,AF$146,),""),IF($I151=3,"",IFBLANK(_xldudf_CX_PUSH(AF151,CX_ENTITY,$B151,AF$11,AF$14,AF$146,),"")))))),"")</f>
        <v/>
      </c>
      <c r="DG151" s="2445" t="str" cm="1">
        <f t="array" ca="1" aca="1" ref="DG151">IFERROR(IF(AG151*fxVal_normal=_PL!AG151,"",IF(OR(AG151="",NOT(ISNUMBER(AG151)),ISERROR(AG151),$B151=""),"",IF($I151=1,IFBLANK(_xldudf_CX_PUSH(AG151*fxVal_normal,CX_ENTITY,$B151,AG$11,AG$14,AG$146,),""),IF($I151=2,IFBLANK(_xldudf_CX_PUSH(AG151,CX_ENTITY,$B151,AG$11,AG$14,AG$146,),""),IF($I151=3,"",IFBLANK(_xldudf_CX_PUSH(AG151,CX_ENTITY,$B151,AG$11,AG$14,AG$146,),"")))))),"")</f>
        <v/>
      </c>
      <c r="DH151" s="2445" t="str" cm="1">
        <f t="array" ca="1" aca="1" ref="DH151">IFERROR(IF(AH151*fxVal_normal=_PL!AH151,"",IF(OR(AH151="",NOT(ISNUMBER(AH151)),ISERROR(AH151),$B151=""),"",IF($I151=1,IFBLANK(_xldudf_CX_PUSH(AH151*fxVal_normal,CX_ENTITY,$B151,AH$11,AH$14,AH$146,),""),IF($I151=2,IFBLANK(_xldudf_CX_PUSH(AH151,CX_ENTITY,$B151,AH$11,AH$14,AH$146,),""),IF($I151=3,"",IFBLANK(_xldudf_CX_PUSH(AH151,CX_ENTITY,$B151,AH$11,AH$14,AH$146,),"")))))),"")</f>
        <v/>
      </c>
      <c r="DI151" s="2445" t="str" cm="1">
        <f t="array" ca="1" aca="1" ref="DI151">IFERROR(IF(AI151*fxVal_normal=_PL!AI151,"",IF(OR(AI151="",NOT(ISNUMBER(AI151)),ISERROR(AI151),$B151=""),"",IF($I151=1,IFBLANK(_xldudf_CX_PUSH(AI151*fxVal_normal,CX_ENTITY,$B151,AI$11,AI$14,AI$146,),""),IF($I151=2,IFBLANK(_xldudf_CX_PUSH(AI151,CX_ENTITY,$B151,AI$11,AI$14,AI$146,),""),IF($I151=3,"",IFBLANK(_xldudf_CX_PUSH(AI151,CX_ENTITY,$B151,AI$11,AI$14,AI$146,),"")))))),"")</f>
        <v/>
      </c>
      <c r="DJ151" s="2445" t="str" cm="1">
        <f t="array" ca="1" aca="1" ref="DJ151">IFERROR(IF(AJ151*fxVal_normal=_PL!AJ151,"",IF(OR(AJ151="",NOT(ISNUMBER(AJ151)),ISERROR(AJ151),$B151=""),"",IF($I151=1,IFBLANK(_xldudf_CX_PUSH(AJ151*fxVal_normal,CX_ENTITY,$B151,AJ$11,AJ$14,AJ$146,),""),IF($I151=2,IFBLANK(_xldudf_CX_PUSH(AJ151,CX_ENTITY,$B151,AJ$11,AJ$14,AJ$146,),""),IF($I151=3,"",IFBLANK(_xldudf_CX_PUSH(AJ151,CX_ENTITY,$B151,AJ$11,AJ$14,AJ$146,),"")))))),"")</f>
        <v/>
      </c>
      <c r="DK151" s="2445" t="str" cm="1">
        <f t="array" ca="1" aca="1" ref="DK151">IFERROR(IF(AK151*fxVal_normal=_PL!AK151,"",IF(OR(AK151="",NOT(ISNUMBER(AK151)),ISERROR(AK151),$B151=""),"",IF($I151=1,IFBLANK(_xldudf_CX_PUSH(AK151*fxVal_normal,CX_ENTITY,$B151,AK$11,AK$14,AK$146,),""),IF($I151=2,IFBLANK(_xldudf_CX_PUSH(AK151,CX_ENTITY,$B151,AK$11,AK$14,AK$146,),""),IF($I151=3,"",IFBLANK(_xldudf_CX_PUSH(AK151,CX_ENTITY,$B151,AK$11,AK$14,AK$146,),"")))))),"")</f>
        <v/>
      </c>
      <c r="DL151" s="2445" t="str" cm="1">
        <f t="array" ca="1" aca="1" ref="DL151">IFERROR(IF(AL151*fxVal_normal=_PL!AL151,"",IF(OR(AL151="",NOT(ISNUMBER(AL151)),ISERROR(AL151),$B151=""),"",IF($I151=1,IFBLANK(_xldudf_CX_PUSH(AL151*fxVal_normal,CX_ENTITY,$B151,AL$11,AL$14,AL$146,),""),IF($I151=2,IFBLANK(_xldudf_CX_PUSH(AL151,CX_ENTITY,$B151,AL$11,AL$14,AL$146,),""),IF($I151=3,"",IFBLANK(_xldudf_CX_PUSH(AL151,CX_ENTITY,$B151,AL$11,AL$14,AL$146,),"")))))),"")</f>
        <v/>
      </c>
      <c r="DM151" s="2445" t="str" cm="1">
        <f t="array" ca="1" aca="1" ref="DM151">IFERROR(IF(AM151*fxVal_normal=_PL!AM151,"",IF(OR(AM151="",NOT(ISNUMBER(AM151)),ISERROR(AM151),$B151=""),"",IF($I151=1,IFBLANK(_xldudf_CX_PUSH(AM151*fxVal_normal,CX_ENTITY,$B151,AM$11,AM$14,AM$146,),""),IF($I151=2,IFBLANK(_xldudf_CX_PUSH(AM151,CX_ENTITY,$B151,AM$11,AM$14,AM$146,),""),IF($I151=3,"",IFBLANK(_xldudf_CX_PUSH(AM151,CX_ENTITY,$B151,AM$11,AM$14,AM$146,),"")))))),"")</f>
        <v/>
      </c>
      <c r="DN151" s="2445" t="str" cm="1">
        <f t="array" ca="1" aca="1" ref="DN151">IFERROR(IF(AN151*fxVal_normal=_PL!AN151,"",IF(OR(AN151="",NOT(ISNUMBER(AN151)),ISERROR(AN151),$B151=""),"",IF($I151=1,IFBLANK(_xldudf_CX_PUSH(AN151*fxVal_normal,CX_ENTITY,$B151,AN$11,AN$14,AN$146,),""),IF($I151=2,IFBLANK(_xldudf_CX_PUSH(AN151,CX_ENTITY,$B151,AN$11,AN$14,AN$146,),""),IF($I151=3,"",IFBLANK(_xldudf_CX_PUSH(AN151,CX_ENTITY,$B151,AN$11,AN$14,AN$146,),"")))))),"")</f>
        <v/>
      </c>
      <c r="DO151" s="2445" t="str" cm="1">
        <f t="array" ca="1" aca="1" ref="DO151">IFERROR(IF(AO151*fxVal_normal=_PL!AO151,"",IF(OR(AO151="",NOT(ISNUMBER(AO151)),ISERROR(AO151),$B151=""),"",IF($I151=1,IFBLANK(_xldudf_CX_PUSH(AO151*fxVal_normal,CX_ENTITY,$B151,AO$11,AO$14,AO$146,),""),IF($I151=2,IFBLANK(_xldudf_CX_PUSH(AO151,CX_ENTITY,$B151,AO$11,AO$14,AO$146,),""),IF($I151=3,"",IFBLANK(_xldudf_CX_PUSH(AO151,CX_ENTITY,$B151,AO$11,AO$14,AO$146,),"")))))),"")</f>
        <v/>
      </c>
      <c r="DP151" s="2445" t="str" cm="1">
        <f t="array" ca="1" aca="1" ref="DP151">IFERROR(IF(AP151*fxVal_normal=_PL!AP151,"",IF(OR(AP151="",NOT(ISNUMBER(AP151)),ISERROR(AP151),$B151=""),"",IF($I151=1,IFBLANK(_xldudf_CX_PUSH(AP151*fxVal_normal,CX_ENTITY,$B151,AP$11,AP$14,AP$146,),""),IF($I151=2,IFBLANK(_xldudf_CX_PUSH(AP151,CX_ENTITY,$B151,AP$11,AP$14,AP$146,),""),IF($I151=3,"",IFBLANK(_xldudf_CX_PUSH(AP151,CX_ENTITY,$B151,AP$11,AP$14,AP$146,),"")))))),"")</f>
        <v/>
      </c>
      <c r="DQ151" s="2445" t="str" cm="1">
        <f t="array" ca="1" aca="1" ref="DQ151">IFERROR(IF(AQ151*fxVal_normal=_PL!AQ151,"",IF(OR(AQ151="",NOT(ISNUMBER(AQ151)),ISERROR(AQ151),$B151=""),"",IF($I151=1,IFBLANK(_xldudf_CX_PUSH(AQ151*fxVal_normal,CX_ENTITY,$B151,AQ$11,AQ$14,AQ$146,),""),IF($I151=2,IFBLANK(_xldudf_CX_PUSH(AQ151,CX_ENTITY,$B151,AQ$11,AQ$14,AQ$146,),""),IF($I151=3,"",IFBLANK(_xldudf_CX_PUSH(AQ151,CX_ENTITY,$B151,AQ$11,AQ$14,AQ$146,),"")))))),"")</f>
        <v/>
      </c>
      <c r="DR151" s="2445" t="str" cm="1">
        <f t="array" ca="1" aca="1" ref="DR151">IFERROR(IF(AR151*fxVal_normal=_PL!AR151,"",IF(OR(AR151="",NOT(ISNUMBER(AR151)),ISERROR(AR151),$B151=""),"",IF($I151=1,IFBLANK(_xldudf_CX_PUSH(AR151*fxVal_normal,CX_ENTITY,$B151,AR$11,AR$14,AR$146,),""),IF($I151=2,IFBLANK(_xldudf_CX_PUSH(AR151,CX_ENTITY,$B151,AR$11,AR$14,AR$146,),""),IF($I151=3,"",IFBLANK(_xldudf_CX_PUSH(AR151,CX_ENTITY,$B151,AR$11,AR$14,AR$146,),"")))))),"")</f>
        <v/>
      </c>
      <c r="DS151" s="2445" t="str" cm="1">
        <f t="array" ca="1" aca="1" ref="DS151">IFERROR(IF(AS151*fxVal_normal=_PL!AS151,"",IF(OR(AS151="",NOT(ISNUMBER(AS151)),ISERROR(AS151),$B151=""),"",IF($I151=1,IFBLANK(_xldudf_CX_PUSH(AS151*fxVal_normal,CX_ENTITY,$B151,AS$11,AS$14,AS$146,),""),IF($I151=2,IFBLANK(_xldudf_CX_PUSH(AS151,CX_ENTITY,$B151,AS$11,AS$14,AS$146,),""),IF($I151=3,"",IFBLANK(_xldudf_CX_PUSH(AS151,CX_ENTITY,$B151,AS$11,AS$14,AS$146,),"")))))),"")</f>
        <v/>
      </c>
      <c r="DT151" s="2445" t="str" cm="1">
        <f t="array" ca="1" aca="1" ref="DT151">IFERROR(IF(AT151*fxVal_normal=_PL!AT151,"",IF(OR(AT151="",NOT(ISNUMBER(AT151)),ISERROR(AT151),$B151=""),"",IF($I151=1,IFBLANK(_xldudf_CX_PUSH(AT151*fxVal_normal,CX_ENTITY,$B151,AT$11,AT$14,AT$146,),""),IF($I151=2,IFBLANK(_xldudf_CX_PUSH(AT151,CX_ENTITY,$B151,AT$11,AT$14,AT$146,),""),IF($I151=3,"",IFBLANK(_xldudf_CX_PUSH(AT151,CX_ENTITY,$B151,AT$11,AT$14,AT$146,),"")))))),"")</f>
        <v/>
      </c>
      <c r="DU151" s="2445" t="str" cm="1">
        <f t="array" ca="1" aca="1" ref="DU151">IFERROR(IF(AU151*fxVal_normal=_PL!AU151,"",IF(OR(AU151="",NOT(ISNUMBER(AU151)),ISERROR(AU151),$B151=""),"",IF($I151=1,IFBLANK(_xldudf_CX_PUSH(AU151*fxVal_normal,CX_ENTITY,$B151,AU$11,AU$14,AU$146,),""),IF($I151=2,IFBLANK(_xldudf_CX_PUSH(AU151,CX_ENTITY,$B151,AU$11,AU$14,AU$146,),""),IF($I151=3,"",IFBLANK(_xldudf_CX_PUSH(AU151,CX_ENTITY,$B151,AU$11,AU$14,AU$146,),"")))))),"")</f>
        <v/>
      </c>
      <c r="DV151" s="2445" t="str" cm="1">
        <f t="array" ca="1" aca="1" ref="DV151">IFERROR(IF(AV151*fxVal_normal=_PL!AV151,"",IF(OR(AV151="",NOT(ISNUMBER(AV151)),ISERROR(AV151),$B151=""),"",IF($I151=1,IFBLANK(_xldudf_CX_PUSH(AV151*fxVal_normal,CX_ENTITY,$B151,AV$11,AV$14,AV$146,),""),IF($I151=2,IFBLANK(_xldudf_CX_PUSH(AV151,CX_ENTITY,$B151,AV$11,AV$14,AV$146,),""),IF($I151=3,"",IFBLANK(_xldudf_CX_PUSH(AV151,CX_ENTITY,$B151,AV$11,AV$14,AV$146,),"")))))),"")</f>
        <v/>
      </c>
      <c r="DW151" s="2445" t="str" cm="1">
        <f t="array" ca="1" aca="1" ref="DW151">IFERROR(IF(AW151*fxVal_normal=_PL!AW151,"",IF(OR(AW151="",NOT(ISNUMBER(AW151)),ISERROR(AW151),$B151=""),"",IF($I151=1,IFBLANK(_xldudf_CX_PUSH(AW151*fxVal_normal,CX_ENTITY,$B151,AW$11,AW$14,AW$146,),""),IF($I151=2,IFBLANK(_xldudf_CX_PUSH(AW151,CX_ENTITY,$B151,AW$11,AW$14,AW$146,),""),IF($I151=3,"",IFBLANK(_xldudf_CX_PUSH(AW151,CX_ENTITY,$B151,AW$11,AW$14,AW$146,),"")))))),"")</f>
        <v/>
      </c>
      <c r="DX151" s="2445" t="str" cm="1">
        <f t="array" ca="1" aca="1" ref="DX151">IFERROR(IF(AX151*fxVal_normal=_PL!AX151,"",IF(OR(AX151="",NOT(ISNUMBER(AX151)),ISERROR(AX151),$B151=""),"",IF($I151=1,IFBLANK(_xldudf_CX_PUSH(AX151*fxVal_normal,CX_ENTITY,$B151,AX$11,AX$14,AX$146,),""),IF($I151=2,IFBLANK(_xldudf_CX_PUSH(AX151,CX_ENTITY,$B151,AX$11,AX$14,AX$146,),""),IF($I151=3,"",IFBLANK(_xldudf_CX_PUSH(AX151,CX_ENTITY,$B151,AX$11,AX$14,AX$146,),"")))))),"")</f>
        <v/>
      </c>
      <c r="DY151" s="2445" t="str" cm="1">
        <f t="array" ca="1" aca="1" ref="DY151">IFERROR(IF(AY151*fxVal_normal=_PL!AY151,"",IF(OR(AY151="",NOT(ISNUMBER(AY151)),ISERROR(AY151),$B151=""),"",IF($I151=1,IFBLANK(_xldudf_CX_PUSH(AY151*fxVal_normal,CX_ENTITY,$B151,AY$11,AY$14,AY$146,),""),IF($I151=2,IFBLANK(_xldudf_CX_PUSH(AY151,CX_ENTITY,$B151,AY$11,AY$14,AY$146,),""),IF($I151=3,"",IFBLANK(_xldudf_CX_PUSH(AY151,CX_ENTITY,$B151,AY$11,AY$14,AY$146,),"")))))),"")</f>
        <v/>
      </c>
      <c r="DZ151" s="2445" t="str" cm="1">
        <f t="array" ca="1" aca="1" ref="DZ151">IFERROR(IF(AZ151*fxVal_normal=_PL!AZ151,"",IF(OR(AZ151="",NOT(ISNUMBER(AZ151)),ISERROR(AZ151),$B151=""),"",IF($I151=1,IFBLANK(_xldudf_CX_PUSH(AZ151*fxVal_normal,CX_ENTITY,$B151,AZ$11,AZ$14,AZ$146,),""),IF($I151=2,IFBLANK(_xldudf_CX_PUSH(AZ151,CX_ENTITY,$B151,AZ$11,AZ$14,AZ$146,),""),IF($I151=3,"",IFBLANK(_xldudf_CX_PUSH(AZ151,CX_ENTITY,$B151,AZ$11,AZ$14,AZ$146,),"")))))),"")</f>
        <v/>
      </c>
      <c r="EA151" s="2445" t="str" cm="1">
        <f t="array" ca="1" aca="1" ref="EA151">IFERROR(IF(BA151*fxVal_normal=_PL!BA151,"",IF(OR(BA151="",NOT(ISNUMBER(BA151)),ISERROR(BA151),$B151=""),"",IF($I151=1,IFBLANK(_xldudf_CX_PUSH(BA151*fxVal_normal,CX_ENTITY,$B151,BA$11,BA$14,BA$146,),""),IF($I151=2,IFBLANK(_xldudf_CX_PUSH(BA151,CX_ENTITY,$B151,BA$11,BA$14,BA$146,),""),IF($I151=3,"",IFBLANK(_xldudf_CX_PUSH(BA151,CX_ENTITY,$B151,BA$11,BA$14,BA$146,),"")))))),"")</f>
        <v/>
      </c>
      <c r="EB151" s="2445" t="str" cm="1">
        <f t="array" ca="1" aca="1" ref="EB151">IFERROR(IF(BB151*fxVal_normal=_PL!BB151,"",IF(OR(BB151="",NOT(ISNUMBER(BB151)),ISERROR(BB151),$B151=""),"",IF($I151=1,IFBLANK(_xldudf_CX_PUSH(BB151*fxVal_normal,CX_ENTITY,$B151,BB$11,BB$14,BB$146,),""),IF($I151=2,IFBLANK(_xldudf_CX_PUSH(BB151,CX_ENTITY,$B151,BB$11,BB$14,BB$146,),""),IF($I151=3,"",IFBLANK(_xldudf_CX_PUSH(BB151,CX_ENTITY,$B151,BB$11,BB$14,BB$146,),"")))))),"")</f>
        <v/>
      </c>
      <c r="EC151" s="2445" t="str" cm="1">
        <f t="array" ca="1" aca="1" ref="EC151">IFERROR(IF(BC151*fxVal_normal=_PL!BC151,"",IF(OR(BC151="",NOT(ISNUMBER(BC151)),ISERROR(BC151),$B151=""),"",IF($I151=1,IFBLANK(_xldudf_CX_PUSH(BC151*fxVal_normal,CX_ENTITY,$B151,BC$11,BC$14,BC$146,),""),IF($I151=2,IFBLANK(_xldudf_CX_PUSH(BC151,CX_ENTITY,$B151,BC$11,BC$14,BC$146,),""),IF($I151=3,"",IFBLANK(_xldudf_CX_PUSH(BC151,CX_ENTITY,$B151,BC$11,BC$14,BC$146,),"")))))),"")</f>
        <v/>
      </c>
      <c r="ED151" s="2445" t="str" cm="1">
        <f t="array" ca="1" aca="1" ref="ED151">IFERROR(IF(BD151*fxVal_normal=_PL!BD151,"",IF(OR(BD151="",NOT(ISNUMBER(BD151)),ISERROR(BD151),$B151=""),"",IF($I151=1,IFBLANK(_xldudf_CX_PUSH(BD151*fxVal_normal,CX_ENTITY,$B151,BD$11,BD$14,BD$146,),""),IF($I151=2,IFBLANK(_xldudf_CX_PUSH(BD151,CX_ENTITY,$B151,BD$11,BD$14,BD$146,),""),IF($I151=3,"",IFBLANK(_xldudf_CX_PUSH(BD151,CX_ENTITY,$B151,BD$11,BD$14,BD$146,),"")))))),"")</f>
        <v/>
      </c>
      <c r="EE151" s="2445" t="str" cm="1">
        <f t="array" ca="1" aca="1" ref="EE151">IFERROR(IF(BE151*fxVal_normal=_PL!BE151,"",IF(OR(BE151="",NOT(ISNUMBER(BE151)),ISERROR(BE151),$B151=""),"",IF($I151=1,IFBLANK(_xldudf_CX_PUSH(BE151*fxVal_normal,CX_ENTITY,$B151,BE$11,BE$14,BE$146,),""),IF($I151=2,IFBLANK(_xldudf_CX_PUSH(BE151,CX_ENTITY,$B151,BE$11,BE$14,BE$146,),""),IF($I151=3,"",IFBLANK(_xldudf_CX_PUSH(BE151,CX_ENTITY,$B151,BE$11,BE$14,BE$146,),"")))))),"")</f>
        <v/>
      </c>
      <c r="EF151" s="2445" t="str" cm="1">
        <f t="array" ca="1" aca="1" ref="EF151">IFERROR(IF(BF151*fxVal_normal=_PL!BF151,"",IF(OR(BF151="",NOT(ISNUMBER(BF151)),ISERROR(BF151),$B151=""),"",IF($I151=1,IFBLANK(_xldudf_CX_PUSH(BF151*fxVal_normal,CX_ENTITY,$B151,BF$11,BF$14,BF$146,),""),IF($I151=2,IFBLANK(_xldudf_CX_PUSH(BF151,CX_ENTITY,$B151,BF$11,BF$14,BF$146,),""),IF($I151=3,"",IFBLANK(_xldudf_CX_PUSH(BF151,CX_ENTITY,$B151,BF$11,BF$14,BF$146,),"")))))),"")</f>
        <v/>
      </c>
      <c r="EG151" s="2445" t="str" cm="1">
        <f t="array" ca="1" aca="1" ref="EG151">IFERROR(IF(BG151*fxVal_normal=_PL!BG151,"",IF(OR(BG151="",NOT(ISNUMBER(BG151)),ISERROR(BG151),$B151=""),"",IF($I151=1,IFBLANK(_xldudf_CX_PUSH(BG151*fxVal_normal,CX_ENTITY,$B151,BG$11,BG$14,BG$146,),""),IF($I151=2,IFBLANK(_xldudf_CX_PUSH(BG151,CX_ENTITY,$B151,BG$11,BG$14,BG$146,),""),IF($I151=3,"",IFBLANK(_xldudf_CX_PUSH(BG151,CX_ENTITY,$B151,BG$11,BG$14,BG$146,),"")))))),"")</f>
        <v/>
      </c>
      <c r="EH151" s="2445" t="str" cm="1">
        <f t="array" ca="1" aca="1" ref="EH151">IFERROR(IF(BH151*fxVal_normal=_PL!BH151,"",IF(OR(BH151="",NOT(ISNUMBER(BH151)),ISERROR(BH151),$B151=""),"",IF($I151=1,IFBLANK(_xldudf_CX_PUSH(BH151*fxVal_normal,CX_ENTITY,$B151,BH$11,BH$14,BH$146,),""),IF($I151=2,IFBLANK(_xldudf_CX_PUSH(BH151,CX_ENTITY,$B151,BH$11,BH$14,BH$146,),""),IF($I151=3,"",IFBLANK(_xldudf_CX_PUSH(BH151,CX_ENTITY,$B151,BH$11,BH$14,BH$146,),"")))))),"")</f>
        <v/>
      </c>
      <c r="EI151" s="2445" t="str" cm="1">
        <f t="array" ca="1" aca="1" ref="EI151">IFERROR(IF(BI151*fxVal_normal=_PL!BI151,"",IF(OR(BI151="",NOT(ISNUMBER(BI151)),ISERROR(BI151),$B151=""),"",IF($I151=1,IFBLANK(_xldudf_CX_PUSH(BI151*fxVal_normal,CX_ENTITY,$B151,BI$11,BI$14,BI$146,),""),IF($I151=2,IFBLANK(_xldudf_CX_PUSH(BI151,CX_ENTITY,$B151,BI$11,BI$14,BI$146,),""),IF($I151=3,"",IFBLANK(_xldudf_CX_PUSH(BI151,CX_ENTITY,$B151,BI$11,BI$14,BI$146,),"")))))),"")</f>
        <v/>
      </c>
      <c r="EJ151" s="2445" t="str" cm="1">
        <f t="array" ca="1" aca="1" ref="EJ151">IFERROR(IF(BJ151*fxVal_normal=_PL!BJ151,"",IF(OR(BJ151="",NOT(ISNUMBER(BJ151)),ISERROR(BJ151),$B151=""),"",IF($I151=1,IFBLANK(_xldudf_CX_PUSH(BJ151*fxVal_normal,CX_ENTITY,$B151,BJ$11,BJ$14,BJ$146,),""),IF($I151=2,IFBLANK(_xldudf_CX_PUSH(BJ151,CX_ENTITY,$B151,BJ$11,BJ$14,BJ$146,),""),IF($I151=3,"",IFBLANK(_xldudf_CX_PUSH(BJ151,CX_ENTITY,$B151,BJ$11,BJ$14,BJ$146,),"")))))),"")</f>
        <v/>
      </c>
      <c r="EK151" s="2445" t="str" cm="1">
        <f t="array" ca="1" aca="1" ref="EK151">IFERROR(IF(BK151*fxVal_normal=_PL!BK151,"",IF(OR(BK151="",NOT(ISNUMBER(BK151)),ISERROR(BK151),$B151=""),"",IF($I151=1,IFBLANK(_xldudf_CX_PUSH(BK151*fxVal_normal,CX_ENTITY,$B151,BK$11,BK$14,BK$146,),""),IF($I151=2,IFBLANK(_xldudf_CX_PUSH(BK151,CX_ENTITY,$B151,BK$11,BK$14,BK$146,),""),IF($I151=3,"",IFBLANK(_xldudf_CX_PUSH(BK151,CX_ENTITY,$B151,BK$11,BK$14,BK$146,),"")))))),"")</f>
        <v/>
      </c>
      <c r="EL151" s="2445" t="str" cm="1">
        <f t="array" ca="1" aca="1" ref="EL151">IFERROR(IF(BL151*fxVal_normal=_PL!BL151,"",IF(OR(BL151="",NOT(ISNUMBER(BL151)),ISERROR(BL151),$B151=""),"",IF($I151=1,IFBLANK(_xldudf_CX_PUSH(BL151*fxVal_normal,CX_ENTITY,$B151,BL$11,BL$14,BL$146,),""),IF($I151=2,IFBLANK(_xldudf_CX_PUSH(BL151,CX_ENTITY,$B151,BL$11,BL$14,BL$146,),""),IF($I151=3,"",IFBLANK(_xldudf_CX_PUSH(BL151,CX_ENTITY,$B151,BL$11,BL$14,BL$146,),"")))))),"")</f>
        <v/>
      </c>
      <c r="EM151" s="2445" t="str" cm="1">
        <f t="array" ca="1" aca="1" ref="EM151">IFERROR(IF(BM151*fxVal_normal=_PL!BM151,"",IF(OR(BM151="",NOT(ISNUMBER(BM151)),ISERROR(BM151),$B151=""),"",IF($I151=1,IFBLANK(_xldudf_CX_PUSH(BM151*fxVal_normal,CX_ENTITY,$B151,BM$11,BM$14,BM$146,),""),IF($I151=2,IFBLANK(_xldudf_CX_PUSH(BM151,CX_ENTITY,$B151,BM$11,BM$14,BM$146,),""),IF($I151=3,"",IFBLANK(_xldudf_CX_PUSH(BM151,CX_ENTITY,$B151,BM$11,BM$14,BM$146,),"")))))),"")</f>
        <v/>
      </c>
      <c r="EN151" s="2445" t="str" cm="1">
        <f t="array" ca="1" aca="1" ref="EN151">IFERROR(IF(BN151*fxVal_normal=_PL!BN151,"",IF(OR(BN151="",NOT(ISNUMBER(BN151)),ISERROR(BN151),$B151=""),"",IF($I151=1,IFBLANK(_xldudf_CX_PUSH(BN151*fxVal_normal,CX_ENTITY,$B151,BN$11,BN$14,BN$146,),""),IF($I151=2,IFBLANK(_xldudf_CX_PUSH(BN151,CX_ENTITY,$B151,BN$11,BN$14,BN$146,),""),IF($I151=3,"",IFBLANK(_xldudf_CX_PUSH(BN151,CX_ENTITY,$B151,BN$11,BN$14,BN$146,),"")))))),"")</f>
        <v/>
      </c>
    </row>
    <row r="152" spans="1:144" ht="21" customHeight="1">
      <c r="A152" s="1625"/>
      <c r="B152" s="2501" t="s">
        <v>126</v>
      </c>
      <c r="C152" s="3459" t="str" cm="1">
        <f t="array" ref="C152">IFBLANK(_PL!C152,"")</f>
        <v>Lfl Revenue Adjustment - Label 5</v>
      </c>
      <c r="D152" s="1548" t="s">
        <v>123</v>
      </c>
      <c r="E152" s="2440" t="e" cm="1">
        <f t="array" ca="1" aca="1" ref="E15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152:$CQ152,Z152)</f>
        <v>#NAME?</v>
      </c>
      <c r="F152" s="578"/>
      <c r="G152" s="578"/>
      <c r="H152" s="510">
        <v>0</v>
      </c>
      <c r="I152" s="3302">
        <v>1</v>
      </c>
      <c r="J152" s="401" cm="1">
        <f t="array" ref="J152">IFBLANK(Z152,"")</f>
        <v>-1</v>
      </c>
      <c r="K152" s="578" t="str">
        <f t="shared" si="47"/>
        <v>No</v>
      </c>
      <c r="L152" s="37"/>
      <c r="N152" s="158"/>
      <c r="O152" s="101"/>
      <c r="P152" s="52"/>
      <c r="Q152" s="101"/>
      <c r="R152" s="101"/>
      <c r="S152" s="101"/>
      <c r="T152" s="101"/>
      <c r="U152" s="39"/>
      <c r="V152" s="37"/>
      <c r="W152" s="91" t="str">
        <f>W147</f>
        <v>Actual</v>
      </c>
      <c r="X152" s="815" t="str">
        <f>_PL!X152</f>
        <v>a</v>
      </c>
      <c r="Y152" s="3214">
        <v>2</v>
      </c>
      <c r="Z152" s="198">
        <f>_PL!Z152</f>
        <v>-1</v>
      </c>
      <c r="AA152" s="2571"/>
      <c r="AB152" s="1128"/>
      <c r="AC152" s="914" t="str" cm="1">
        <f t="array" ca="1" aca="1" ref="AC152">_xlfn.LET(_xlpm._termname,$AB152,_xlpm._iconname,"find",_xlpm._icon,fx_getIcon(_xlpm._iconname),_xlpm._location,_xlfn.XLOOKUP(LOWER(_xlpm._termname),LOWER(tbl_acctDef[Term]),tbl_acctDef[Term]),_xlpm._hyperlink,HYPERLINK("#"&amp;CELL("address",_xlpm._location),_xlpm._icon),IFERROR(_xlpm._hyperlink,""))</f>
        <v/>
      </c>
      <c r="AD152" s="3177">
        <v>1</v>
      </c>
      <c r="AE152" s="3177">
        <v>1</v>
      </c>
      <c r="AF152" s="3177">
        <v>1</v>
      </c>
      <c r="AG152" s="3177">
        <v>1</v>
      </c>
      <c r="AH152" s="3177">
        <v>1</v>
      </c>
      <c r="AI152" s="3177">
        <v>1</v>
      </c>
      <c r="AJ152" s="3177">
        <v>1</v>
      </c>
      <c r="AK152" s="3177">
        <v>1</v>
      </c>
      <c r="AL152" s="3177">
        <v>1</v>
      </c>
      <c r="AM152" s="3177">
        <v>1</v>
      </c>
      <c r="AN152" s="3177">
        <v>1</v>
      </c>
      <c r="AO152" s="3177">
        <v>1</v>
      </c>
      <c r="AP152" s="3177">
        <v>1</v>
      </c>
      <c r="AQ152" s="3177">
        <v>1</v>
      </c>
      <c r="AR152" s="3177">
        <v>1</v>
      </c>
      <c r="AS152" s="3177">
        <v>1</v>
      </c>
      <c r="AT152" s="3177">
        <v>1</v>
      </c>
      <c r="AU152" s="3177">
        <v>1</v>
      </c>
      <c r="AV152" s="3177">
        <v>1</v>
      </c>
      <c r="AW152" s="3177">
        <v>1</v>
      </c>
      <c r="AX152" s="3177">
        <v>1</v>
      </c>
      <c r="AY152" s="3177">
        <v>1</v>
      </c>
      <c r="AZ152" s="3177">
        <v>1</v>
      </c>
      <c r="BA152" s="3177">
        <v>1</v>
      </c>
      <c r="BB152" s="3177">
        <v>1</v>
      </c>
      <c r="BC152" s="3177">
        <v>1</v>
      </c>
      <c r="BD152" s="3177">
        <v>1</v>
      </c>
      <c r="BE152" s="3177">
        <v>1</v>
      </c>
      <c r="BF152" s="3177">
        <v>1</v>
      </c>
      <c r="BG152" s="3177">
        <v>1</v>
      </c>
      <c r="BH152" s="3177">
        <v>1</v>
      </c>
      <c r="BI152" s="3177">
        <v>1</v>
      </c>
      <c r="BJ152" s="3177">
        <v>1</v>
      </c>
      <c r="BK152" s="3177">
        <v>1</v>
      </c>
      <c r="BL152" s="3177">
        <v>1</v>
      </c>
      <c r="BM152" s="3177">
        <v>1</v>
      </c>
      <c r="BN152" s="3177">
        <v>1</v>
      </c>
      <c r="BO152" s="2442"/>
      <c r="BP152" s="2442"/>
      <c r="BQ152" s="2442"/>
      <c r="BR152" s="2442"/>
      <c r="BS152" s="2442"/>
      <c r="BT152" s="2442"/>
      <c r="BU152" s="2442"/>
      <c r="BV152" s="2442"/>
      <c r="BW152" s="2442"/>
      <c r="BX152" s="2442"/>
      <c r="BY152" s="2442"/>
      <c r="BZ152" s="2442"/>
      <c r="CA152" s="34"/>
      <c r="CC152" s="958"/>
      <c r="CD152" s="1461" t="e" cm="1">
        <f t="array" ca="1" aca="1" ref="CD152">_xlfn.LET(_xlpm.CheckBlank,SUM(PL!$AD152:$BN152)=0,IF(_xlpm.CheckBlank,"",SUM(_xlfn._xlws.FILTER(PL!$AD152:$BN152,(YEAR(PL!$AD$12:$BN$12)=PL!CD$12)*(array_timeline&lt;=PL!CD$11)))))</f>
        <v>#NAME?</v>
      </c>
      <c r="CE152" s="1461" t="e" cm="1">
        <f t="array" ca="1" aca="1" ref="CE152">_xlfn.LET(_xlpm.CheckBlank,SUM(PL!$AD152:$BN152)=0,IF(_xlpm.CheckBlank,"",SUM(_xlfn._xlws.FILTER(PL!$AD152:$BN152,(YEAR(PL!$AD$12:$BN$12)=PL!CE$12)*(array_timeline&lt;=PL!CE$11)))))</f>
        <v>#NAME?</v>
      </c>
      <c r="CF152" s="88"/>
      <c r="CG152" s="1461" t="e" cm="1">
        <f t="array" ca="1" aca="1" ref="CG152">_xlfn.LET(_xlpm.CheckBlank,SUM(PL!$AD152:$BN152)=0,IF(_xlpm.CheckBlank,"",SUM(_xlfn._xlws.FILTER(PL!$AD152:$BN152,(YEAR(PL!$AD$12:$BN$12)=PL!CG$12)*(array_timeline&lt;=PL!CG$11)))))</f>
        <v>#NAME?</v>
      </c>
      <c r="CH152" s="1461" t="e" cm="1">
        <f t="array" ca="1" aca="1" ref="CH152">_xlfn.LET(_xlpm.CheckBlank,SUM(PL!$AD152:$BN152)=0,IF(_xlpm.CheckBlank,"",SUM(_xlfn._xlws.FILTER(PL!$AD152:$BN152,(YEAR(PL!$AD$12:$BN$12)=PL!CH$12)*(array_timeline&lt;=PL!CH$11)))))</f>
        <v>#NAME?</v>
      </c>
      <c r="CI152" s="88"/>
      <c r="CJ152" s="1461" cm="1">
        <f t="array" ref="CJ152">_xlfn.LET(_xlpm.CheckBlank,SUM(PL!$AD152:$BN152)=0,IF(_xlpm.CheckBlank,"",SUM(_xlfn.TAKE(_xlfn.DROP(PL!$AD152:$BN152,,-DATEDIFF(PL!CJ$11,val_asOfDate,"M")),1,-12))))</f>
        <v>12</v>
      </c>
      <c r="CK152" s="1461" cm="1">
        <f t="array" ref="CK152">_xlfn.LET(_xlpm.CheckBlank,SUM(PL!$AD152:$BN152)=0,IF(_xlpm.CheckBlank,"",SUM(_xlfn.TAKE(_xlfn.DROP(PL!$AD152:$BN152,,-DATEDIFF(PL!CK$11,val_asOfDate,"M")),1,-12))))</f>
        <v>12</v>
      </c>
      <c r="CL152" s="88"/>
      <c r="CM152" s="3177">
        <v>1</v>
      </c>
      <c r="CN152" s="3177">
        <v>1</v>
      </c>
      <c r="CO152" s="1169"/>
      <c r="CP152" s="3177">
        <v>1</v>
      </c>
      <c r="CQ152" s="3177">
        <v>1</v>
      </c>
      <c r="CR152" s="34"/>
      <c r="CS152" s="2056"/>
      <c r="CT152" s="2447" t="e" cm="1">
        <f t="array" ca="1" aca="1" ref="CT152">IF(ISNUMBER(SEARCH("Select",$Y152)),"",_xldudf_CX_PUSH($Y152,CX_ENTITY,C152,val_asOfDate))</f>
        <v>#NAME?</v>
      </c>
      <c r="CU152" s="2447" t="e" cm="1">
        <f t="array" ca="1" aca="1" ref="CU152">IF(ISNUMBER(SEARCH("Select",$Y152)),"",_xldudf_CX_PUSH($Y152,CX_ENTITY,C152,EOMONTH(val_asOfDate,1)))</f>
        <v>#NAME?</v>
      </c>
      <c r="CV152" s="2447" t="e" cm="1">
        <f t="array" ca="1" aca="1" ref="CV152">IF(ISNUMBER(SEARCH("Select",$Y152)),"",_xldudf_CX_PUSH($Y152,CX_ENTITY,C152,EOMONTH(val_asOfDate,2)))</f>
        <v>#NAME?</v>
      </c>
      <c r="CW152" s="2447" t="e" cm="1">
        <f t="array" ca="1" aca="1" ref="CW152">IF(ISNUMBER(SEARCH("Select",$Y152)),"",_xldudf_CX_PUSH($Y152,CX_ENTITY,C152,EOMONTH(val_asOfDate,3)))</f>
        <v>#NAME?</v>
      </c>
      <c r="CX152" s="2443"/>
      <c r="CY152" s="2444" t="str" cm="1">
        <f t="array" ca="1" aca="1" ref="CY152">IFERROR(IF(CM152*fxVal_normal=_PL!CM152,"",IF(OR($CM152="",$CM152=0,NOT(ISNUMBER($CM152)),ISERROR($CM152),$B152=""),"",IF($I152=1,IFBLANK(_xldudf_CX_PUSH($CM152*fxVal_normal,CX_ENTITY,$B152,$CM$11,$CM$14,$CM$19,),""),IF($I152=2,IFBLANK(_xldudf_CX_PUSH($CM152,CX_ENTITY,$B152,$CM$11,$CM$14,$CM$19,),""),IF($I152=3,"",IFBLANK(_xldudf_CX_PUSH($CM152,CX_ENTITY,$B152,$CM$11,$CM$14,$CM$19,),"")))))),"")</f>
        <v/>
      </c>
      <c r="CZ152" s="2444" t="str" cm="1">
        <f t="array" ca="1" aca="1" ref="CZ152">IFERROR(IF(CN152*fxVal_normal=_PL!CN152,"",IF(OR($CN152="",$CN152=0,NOT(ISNUMBER($CN152)),ISERROR($CN152),$B152=""),"",IF($I152=1,IFBLANK(_xldudf_CX_PUSH($CN152*fxVal_normal,CX_ENTITY,$B152,$CN$11,$CN$14,$CN$19,),""),IF($I152=2,IFBLANK(_xldudf_CX_PUSH($CN152,CX_ENTITY,$B152,$CN$11,$CN$14,$CN$19,),""),IF($I152=3,"",IFBLANK(_xldudf_CX_PUSH($CN152,CX_ENTITY,$B152,$CN$11,$CN$14,$CN$19,),"")))))),"")</f>
        <v/>
      </c>
      <c r="DA152" s="2444" t="str" cm="1">
        <f t="array" ca="1" aca="1" ref="DA152">IFERROR(IF(CP152*fxVal_normal=_PL!CP152,"",IF(OR($CP152="",$CP152=0,NOT(ISNUMBER($CP152)),ISERROR($CP152),$B152=""),"",IF($I152=1,IFBLANK(_xldudf_CX_PUSH($CP152*fxVal_normal,CX_ENTITY,$B152,$CP$11,$CP$14,$CP$19,),""),IF($I152=2,IFBLANK(_xldudf_CX_PUSH($CP152,CX_ENTITY,$B152,$CP$11,$CP$14,$CP$19,),""),IF($I152=3,"",IFBLANK(_xldudf_CX_PUSH($CP152,CX_ENTITY,$B152,$CP$11,$CP$14,$CP$19,),"")))))),"")</f>
        <v/>
      </c>
      <c r="DB152" s="2444" t="str" cm="1">
        <f t="array" ca="1" aca="1" ref="DB152">IFERROR(IF(CQ152*fxVal_normal=_PL!CQ152,"",IF(OR($CQ152="",$CQ152=0,NOT(ISNUMBER($CQ152)),ISERROR($CQ152),$B152=""),"",IF($I152=1,IFBLANK(_xldudf_CX_PUSH($CQ152*fxVal_normal,CX_ENTITY,$B152,$CQ$11,$CQ$14,$CQ$19,),""),IF($I152=2,IFBLANK(_xldudf_CX_PUSH($CQ152,CX_ENTITY,$B152,$CQ$11,$CQ$14,$CQ$19,),""),IF($I152=3,"",IFBLANK(_xldudf_CX_PUSH($CQ152,CX_ENTITY,$B152,$CQ$11,$CQ$14,$CQ$19,),"")))))),"")</f>
        <v/>
      </c>
      <c r="DC152" s="2443"/>
      <c r="DD152" s="2445" t="str" cm="1">
        <f t="array" ca="1" aca="1" ref="DD152">IFERROR(IF(AD152*fxVal_normal=_PL!AD152,"",IF(OR(AD152="",NOT(ISNUMBER(AD152)),ISERROR(AD152),$B152=""),"",IF($I152=1,IFBLANK(_xldudf_CX_PUSH(AD152*fxVal_normal,CX_ENTITY,$B152,AD$11,AD$14,AD$146,),""),IF($I152=2,IFBLANK(_xldudf_CX_PUSH(AD152,CX_ENTITY,$B152,AD$11,AD$14,AD$146,),""),IF($I152=3,"",IFBLANK(_xldudf_CX_PUSH(AD152,CX_ENTITY,$B152,AD$11,AD$14,AD$146,),"")))))),"")</f>
        <v/>
      </c>
      <c r="DE152" s="2445" t="str" cm="1">
        <f t="array" ca="1" aca="1" ref="DE152">IFERROR(IF(AE152*fxVal_normal=_PL!AE152,"",IF(OR(AE152="",NOT(ISNUMBER(AE152)),ISERROR(AE152),$B152=""),"",IF($I152=1,IFBLANK(_xldudf_CX_PUSH(AE152*fxVal_normal,CX_ENTITY,$B152,AE$11,AE$14,AE$146,),""),IF($I152=2,IFBLANK(_xldudf_CX_PUSH(AE152,CX_ENTITY,$B152,AE$11,AE$14,AE$146,),""),IF($I152=3,"",IFBLANK(_xldudf_CX_PUSH(AE152,CX_ENTITY,$B152,AE$11,AE$14,AE$146,),"")))))),"")</f>
        <v/>
      </c>
      <c r="DF152" s="2445" t="str" cm="1">
        <f t="array" ca="1" aca="1" ref="DF152">IFERROR(IF(AF152*fxVal_normal=_PL!AF152,"",IF(OR(AF152="",NOT(ISNUMBER(AF152)),ISERROR(AF152),$B152=""),"",IF($I152=1,IFBLANK(_xldudf_CX_PUSH(AF152*fxVal_normal,CX_ENTITY,$B152,AF$11,AF$14,AF$146,),""),IF($I152=2,IFBLANK(_xldudf_CX_PUSH(AF152,CX_ENTITY,$B152,AF$11,AF$14,AF$146,),""),IF($I152=3,"",IFBLANK(_xldudf_CX_PUSH(AF152,CX_ENTITY,$B152,AF$11,AF$14,AF$146,),"")))))),"")</f>
        <v/>
      </c>
      <c r="DG152" s="2445" t="str" cm="1">
        <f t="array" ca="1" aca="1" ref="DG152">IFERROR(IF(AG152*fxVal_normal=_PL!AG152,"",IF(OR(AG152="",NOT(ISNUMBER(AG152)),ISERROR(AG152),$B152=""),"",IF($I152=1,IFBLANK(_xldudf_CX_PUSH(AG152*fxVal_normal,CX_ENTITY,$B152,AG$11,AG$14,AG$146,),""),IF($I152=2,IFBLANK(_xldudf_CX_PUSH(AG152,CX_ENTITY,$B152,AG$11,AG$14,AG$146,),""),IF($I152=3,"",IFBLANK(_xldudf_CX_PUSH(AG152,CX_ENTITY,$B152,AG$11,AG$14,AG$146,),"")))))),"")</f>
        <v/>
      </c>
      <c r="DH152" s="2445" t="str" cm="1">
        <f t="array" ca="1" aca="1" ref="DH152">IFERROR(IF(AH152*fxVal_normal=_PL!AH152,"",IF(OR(AH152="",NOT(ISNUMBER(AH152)),ISERROR(AH152),$B152=""),"",IF($I152=1,IFBLANK(_xldudf_CX_PUSH(AH152*fxVal_normal,CX_ENTITY,$B152,AH$11,AH$14,AH$146,),""),IF($I152=2,IFBLANK(_xldudf_CX_PUSH(AH152,CX_ENTITY,$B152,AH$11,AH$14,AH$146,),""),IF($I152=3,"",IFBLANK(_xldudf_CX_PUSH(AH152,CX_ENTITY,$B152,AH$11,AH$14,AH$146,),"")))))),"")</f>
        <v/>
      </c>
      <c r="DI152" s="2445" t="str" cm="1">
        <f t="array" ca="1" aca="1" ref="DI152">IFERROR(IF(AI152*fxVal_normal=_PL!AI152,"",IF(OR(AI152="",NOT(ISNUMBER(AI152)),ISERROR(AI152),$B152=""),"",IF($I152=1,IFBLANK(_xldudf_CX_PUSH(AI152*fxVal_normal,CX_ENTITY,$B152,AI$11,AI$14,AI$146,),""),IF($I152=2,IFBLANK(_xldudf_CX_PUSH(AI152,CX_ENTITY,$B152,AI$11,AI$14,AI$146,),""),IF($I152=3,"",IFBLANK(_xldudf_CX_PUSH(AI152,CX_ENTITY,$B152,AI$11,AI$14,AI$146,),"")))))),"")</f>
        <v/>
      </c>
      <c r="DJ152" s="2445" t="str" cm="1">
        <f t="array" ca="1" aca="1" ref="DJ152">IFERROR(IF(AJ152*fxVal_normal=_PL!AJ152,"",IF(OR(AJ152="",NOT(ISNUMBER(AJ152)),ISERROR(AJ152),$B152=""),"",IF($I152=1,IFBLANK(_xldudf_CX_PUSH(AJ152*fxVal_normal,CX_ENTITY,$B152,AJ$11,AJ$14,AJ$146,),""),IF($I152=2,IFBLANK(_xldudf_CX_PUSH(AJ152,CX_ENTITY,$B152,AJ$11,AJ$14,AJ$146,),""),IF($I152=3,"",IFBLANK(_xldudf_CX_PUSH(AJ152,CX_ENTITY,$B152,AJ$11,AJ$14,AJ$146,),"")))))),"")</f>
        <v/>
      </c>
      <c r="DK152" s="2445" t="str" cm="1">
        <f t="array" ca="1" aca="1" ref="DK152">IFERROR(IF(AK152*fxVal_normal=_PL!AK152,"",IF(OR(AK152="",NOT(ISNUMBER(AK152)),ISERROR(AK152),$B152=""),"",IF($I152=1,IFBLANK(_xldudf_CX_PUSH(AK152*fxVal_normal,CX_ENTITY,$B152,AK$11,AK$14,AK$146,),""),IF($I152=2,IFBLANK(_xldudf_CX_PUSH(AK152,CX_ENTITY,$B152,AK$11,AK$14,AK$146,),""),IF($I152=3,"",IFBLANK(_xldudf_CX_PUSH(AK152,CX_ENTITY,$B152,AK$11,AK$14,AK$146,),"")))))),"")</f>
        <v/>
      </c>
      <c r="DL152" s="2445" t="str" cm="1">
        <f t="array" ca="1" aca="1" ref="DL152">IFERROR(IF(AL152*fxVal_normal=_PL!AL152,"",IF(OR(AL152="",NOT(ISNUMBER(AL152)),ISERROR(AL152),$B152=""),"",IF($I152=1,IFBLANK(_xldudf_CX_PUSH(AL152*fxVal_normal,CX_ENTITY,$B152,AL$11,AL$14,AL$146,),""),IF($I152=2,IFBLANK(_xldudf_CX_PUSH(AL152,CX_ENTITY,$B152,AL$11,AL$14,AL$146,),""),IF($I152=3,"",IFBLANK(_xldudf_CX_PUSH(AL152,CX_ENTITY,$B152,AL$11,AL$14,AL$146,),"")))))),"")</f>
        <v/>
      </c>
      <c r="DM152" s="2445" t="str" cm="1">
        <f t="array" ca="1" aca="1" ref="DM152">IFERROR(IF(AM152*fxVal_normal=_PL!AM152,"",IF(OR(AM152="",NOT(ISNUMBER(AM152)),ISERROR(AM152),$B152=""),"",IF($I152=1,IFBLANK(_xldudf_CX_PUSH(AM152*fxVal_normal,CX_ENTITY,$B152,AM$11,AM$14,AM$146,),""),IF($I152=2,IFBLANK(_xldudf_CX_PUSH(AM152,CX_ENTITY,$B152,AM$11,AM$14,AM$146,),""),IF($I152=3,"",IFBLANK(_xldudf_CX_PUSH(AM152,CX_ENTITY,$B152,AM$11,AM$14,AM$146,),"")))))),"")</f>
        <v/>
      </c>
      <c r="DN152" s="2445" t="str" cm="1">
        <f t="array" ca="1" aca="1" ref="DN152">IFERROR(IF(AN152*fxVal_normal=_PL!AN152,"",IF(OR(AN152="",NOT(ISNUMBER(AN152)),ISERROR(AN152),$B152=""),"",IF($I152=1,IFBLANK(_xldudf_CX_PUSH(AN152*fxVal_normal,CX_ENTITY,$B152,AN$11,AN$14,AN$146,),""),IF($I152=2,IFBLANK(_xldudf_CX_PUSH(AN152,CX_ENTITY,$B152,AN$11,AN$14,AN$146,),""),IF($I152=3,"",IFBLANK(_xldudf_CX_PUSH(AN152,CX_ENTITY,$B152,AN$11,AN$14,AN$146,),"")))))),"")</f>
        <v/>
      </c>
      <c r="DO152" s="2445" t="str" cm="1">
        <f t="array" ca="1" aca="1" ref="DO152">IFERROR(IF(AO152*fxVal_normal=_PL!AO152,"",IF(OR(AO152="",NOT(ISNUMBER(AO152)),ISERROR(AO152),$B152=""),"",IF($I152=1,IFBLANK(_xldudf_CX_PUSH(AO152*fxVal_normal,CX_ENTITY,$B152,AO$11,AO$14,AO$146,),""),IF($I152=2,IFBLANK(_xldudf_CX_PUSH(AO152,CX_ENTITY,$B152,AO$11,AO$14,AO$146,),""),IF($I152=3,"",IFBLANK(_xldudf_CX_PUSH(AO152,CX_ENTITY,$B152,AO$11,AO$14,AO$146,),"")))))),"")</f>
        <v/>
      </c>
      <c r="DP152" s="2445" t="str" cm="1">
        <f t="array" ca="1" aca="1" ref="DP152">IFERROR(IF(AP152*fxVal_normal=_PL!AP152,"",IF(OR(AP152="",NOT(ISNUMBER(AP152)),ISERROR(AP152),$B152=""),"",IF($I152=1,IFBLANK(_xldudf_CX_PUSH(AP152*fxVal_normal,CX_ENTITY,$B152,AP$11,AP$14,AP$146,),""),IF($I152=2,IFBLANK(_xldudf_CX_PUSH(AP152,CX_ENTITY,$B152,AP$11,AP$14,AP$146,),""),IF($I152=3,"",IFBLANK(_xldudf_CX_PUSH(AP152,CX_ENTITY,$B152,AP$11,AP$14,AP$146,),"")))))),"")</f>
        <v/>
      </c>
      <c r="DQ152" s="2445" t="str" cm="1">
        <f t="array" ca="1" aca="1" ref="DQ152">IFERROR(IF(AQ152*fxVal_normal=_PL!AQ152,"",IF(OR(AQ152="",NOT(ISNUMBER(AQ152)),ISERROR(AQ152),$B152=""),"",IF($I152=1,IFBLANK(_xldudf_CX_PUSH(AQ152*fxVal_normal,CX_ENTITY,$B152,AQ$11,AQ$14,AQ$146,),""),IF($I152=2,IFBLANK(_xldudf_CX_PUSH(AQ152,CX_ENTITY,$B152,AQ$11,AQ$14,AQ$146,),""),IF($I152=3,"",IFBLANK(_xldudf_CX_PUSH(AQ152,CX_ENTITY,$B152,AQ$11,AQ$14,AQ$146,),"")))))),"")</f>
        <v/>
      </c>
      <c r="DR152" s="2445" t="str" cm="1">
        <f t="array" ca="1" aca="1" ref="DR152">IFERROR(IF(AR152*fxVal_normal=_PL!AR152,"",IF(OR(AR152="",NOT(ISNUMBER(AR152)),ISERROR(AR152),$B152=""),"",IF($I152=1,IFBLANK(_xldudf_CX_PUSH(AR152*fxVal_normal,CX_ENTITY,$B152,AR$11,AR$14,AR$146,),""),IF($I152=2,IFBLANK(_xldudf_CX_PUSH(AR152,CX_ENTITY,$B152,AR$11,AR$14,AR$146,),""),IF($I152=3,"",IFBLANK(_xldudf_CX_PUSH(AR152,CX_ENTITY,$B152,AR$11,AR$14,AR$146,),"")))))),"")</f>
        <v/>
      </c>
      <c r="DS152" s="2445" t="str" cm="1">
        <f t="array" ca="1" aca="1" ref="DS152">IFERROR(IF(AS152*fxVal_normal=_PL!AS152,"",IF(OR(AS152="",NOT(ISNUMBER(AS152)),ISERROR(AS152),$B152=""),"",IF($I152=1,IFBLANK(_xldudf_CX_PUSH(AS152*fxVal_normal,CX_ENTITY,$B152,AS$11,AS$14,AS$146,),""),IF($I152=2,IFBLANK(_xldudf_CX_PUSH(AS152,CX_ENTITY,$B152,AS$11,AS$14,AS$146,),""),IF($I152=3,"",IFBLANK(_xldudf_CX_PUSH(AS152,CX_ENTITY,$B152,AS$11,AS$14,AS$146,),"")))))),"")</f>
        <v/>
      </c>
      <c r="DT152" s="2445" t="str" cm="1">
        <f t="array" ca="1" aca="1" ref="DT152">IFERROR(IF(AT152*fxVal_normal=_PL!AT152,"",IF(OR(AT152="",NOT(ISNUMBER(AT152)),ISERROR(AT152),$B152=""),"",IF($I152=1,IFBLANK(_xldudf_CX_PUSH(AT152*fxVal_normal,CX_ENTITY,$B152,AT$11,AT$14,AT$146,),""),IF($I152=2,IFBLANK(_xldudf_CX_PUSH(AT152,CX_ENTITY,$B152,AT$11,AT$14,AT$146,),""),IF($I152=3,"",IFBLANK(_xldudf_CX_PUSH(AT152,CX_ENTITY,$B152,AT$11,AT$14,AT$146,),"")))))),"")</f>
        <v/>
      </c>
      <c r="DU152" s="2445" t="str" cm="1">
        <f t="array" ca="1" aca="1" ref="DU152">IFERROR(IF(AU152*fxVal_normal=_PL!AU152,"",IF(OR(AU152="",NOT(ISNUMBER(AU152)),ISERROR(AU152),$B152=""),"",IF($I152=1,IFBLANK(_xldudf_CX_PUSH(AU152*fxVal_normal,CX_ENTITY,$B152,AU$11,AU$14,AU$146,),""),IF($I152=2,IFBLANK(_xldudf_CX_PUSH(AU152,CX_ENTITY,$B152,AU$11,AU$14,AU$146,),""),IF($I152=3,"",IFBLANK(_xldudf_CX_PUSH(AU152,CX_ENTITY,$B152,AU$11,AU$14,AU$146,),"")))))),"")</f>
        <v/>
      </c>
      <c r="DV152" s="2445" t="str" cm="1">
        <f t="array" ca="1" aca="1" ref="DV152">IFERROR(IF(AV152*fxVal_normal=_PL!AV152,"",IF(OR(AV152="",NOT(ISNUMBER(AV152)),ISERROR(AV152),$B152=""),"",IF($I152=1,IFBLANK(_xldudf_CX_PUSH(AV152*fxVal_normal,CX_ENTITY,$B152,AV$11,AV$14,AV$146,),""),IF($I152=2,IFBLANK(_xldudf_CX_PUSH(AV152,CX_ENTITY,$B152,AV$11,AV$14,AV$146,),""),IF($I152=3,"",IFBLANK(_xldudf_CX_PUSH(AV152,CX_ENTITY,$B152,AV$11,AV$14,AV$146,),"")))))),"")</f>
        <v/>
      </c>
      <c r="DW152" s="2445" t="str" cm="1">
        <f t="array" ca="1" aca="1" ref="DW152">IFERROR(IF(AW152*fxVal_normal=_PL!AW152,"",IF(OR(AW152="",NOT(ISNUMBER(AW152)),ISERROR(AW152),$B152=""),"",IF($I152=1,IFBLANK(_xldudf_CX_PUSH(AW152*fxVal_normal,CX_ENTITY,$B152,AW$11,AW$14,AW$146,),""),IF($I152=2,IFBLANK(_xldudf_CX_PUSH(AW152,CX_ENTITY,$B152,AW$11,AW$14,AW$146,),""),IF($I152=3,"",IFBLANK(_xldudf_CX_PUSH(AW152,CX_ENTITY,$B152,AW$11,AW$14,AW$146,),"")))))),"")</f>
        <v/>
      </c>
      <c r="DX152" s="2445" t="str" cm="1">
        <f t="array" ca="1" aca="1" ref="DX152">IFERROR(IF(AX152*fxVal_normal=_PL!AX152,"",IF(OR(AX152="",NOT(ISNUMBER(AX152)),ISERROR(AX152),$B152=""),"",IF($I152=1,IFBLANK(_xldudf_CX_PUSH(AX152*fxVal_normal,CX_ENTITY,$B152,AX$11,AX$14,AX$146,),""),IF($I152=2,IFBLANK(_xldudf_CX_PUSH(AX152,CX_ENTITY,$B152,AX$11,AX$14,AX$146,),""),IF($I152=3,"",IFBLANK(_xldudf_CX_PUSH(AX152,CX_ENTITY,$B152,AX$11,AX$14,AX$146,),"")))))),"")</f>
        <v/>
      </c>
      <c r="DY152" s="2445" t="str" cm="1">
        <f t="array" ca="1" aca="1" ref="DY152">IFERROR(IF(AY152*fxVal_normal=_PL!AY152,"",IF(OR(AY152="",NOT(ISNUMBER(AY152)),ISERROR(AY152),$B152=""),"",IF($I152=1,IFBLANK(_xldudf_CX_PUSH(AY152*fxVal_normal,CX_ENTITY,$B152,AY$11,AY$14,AY$146,),""),IF($I152=2,IFBLANK(_xldudf_CX_PUSH(AY152,CX_ENTITY,$B152,AY$11,AY$14,AY$146,),""),IF($I152=3,"",IFBLANK(_xldudf_CX_PUSH(AY152,CX_ENTITY,$B152,AY$11,AY$14,AY$146,),"")))))),"")</f>
        <v/>
      </c>
      <c r="DZ152" s="2445" t="str" cm="1">
        <f t="array" ca="1" aca="1" ref="DZ152">IFERROR(IF(AZ152*fxVal_normal=_PL!AZ152,"",IF(OR(AZ152="",NOT(ISNUMBER(AZ152)),ISERROR(AZ152),$B152=""),"",IF($I152=1,IFBLANK(_xldudf_CX_PUSH(AZ152*fxVal_normal,CX_ENTITY,$B152,AZ$11,AZ$14,AZ$146,),""),IF($I152=2,IFBLANK(_xldudf_CX_PUSH(AZ152,CX_ENTITY,$B152,AZ$11,AZ$14,AZ$146,),""),IF($I152=3,"",IFBLANK(_xldudf_CX_PUSH(AZ152,CX_ENTITY,$B152,AZ$11,AZ$14,AZ$146,),"")))))),"")</f>
        <v/>
      </c>
      <c r="EA152" s="2445" t="str" cm="1">
        <f t="array" ca="1" aca="1" ref="EA152">IFERROR(IF(BA152*fxVal_normal=_PL!BA152,"",IF(OR(BA152="",NOT(ISNUMBER(BA152)),ISERROR(BA152),$B152=""),"",IF($I152=1,IFBLANK(_xldudf_CX_PUSH(BA152*fxVal_normal,CX_ENTITY,$B152,BA$11,BA$14,BA$146,),""),IF($I152=2,IFBLANK(_xldudf_CX_PUSH(BA152,CX_ENTITY,$B152,BA$11,BA$14,BA$146,),""),IF($I152=3,"",IFBLANK(_xldudf_CX_PUSH(BA152,CX_ENTITY,$B152,BA$11,BA$14,BA$146,),"")))))),"")</f>
        <v/>
      </c>
      <c r="EB152" s="2445" t="str" cm="1">
        <f t="array" ca="1" aca="1" ref="EB152">IFERROR(IF(BB152*fxVal_normal=_PL!BB152,"",IF(OR(BB152="",NOT(ISNUMBER(BB152)),ISERROR(BB152),$B152=""),"",IF($I152=1,IFBLANK(_xldudf_CX_PUSH(BB152*fxVal_normal,CX_ENTITY,$B152,BB$11,BB$14,BB$146,),""),IF($I152=2,IFBLANK(_xldudf_CX_PUSH(BB152,CX_ENTITY,$B152,BB$11,BB$14,BB$146,),""),IF($I152=3,"",IFBLANK(_xldudf_CX_PUSH(BB152,CX_ENTITY,$B152,BB$11,BB$14,BB$146,),"")))))),"")</f>
        <v/>
      </c>
      <c r="EC152" s="2445" t="str" cm="1">
        <f t="array" ca="1" aca="1" ref="EC152">IFERROR(IF(BC152*fxVal_normal=_PL!BC152,"",IF(OR(BC152="",NOT(ISNUMBER(BC152)),ISERROR(BC152),$B152=""),"",IF($I152=1,IFBLANK(_xldudf_CX_PUSH(BC152*fxVal_normal,CX_ENTITY,$B152,BC$11,BC$14,BC$146,),""),IF($I152=2,IFBLANK(_xldudf_CX_PUSH(BC152,CX_ENTITY,$B152,BC$11,BC$14,BC$146,),""),IF($I152=3,"",IFBLANK(_xldudf_CX_PUSH(BC152,CX_ENTITY,$B152,BC$11,BC$14,BC$146,),"")))))),"")</f>
        <v/>
      </c>
      <c r="ED152" s="2445" t="str" cm="1">
        <f t="array" ca="1" aca="1" ref="ED152">IFERROR(IF(BD152*fxVal_normal=_PL!BD152,"",IF(OR(BD152="",NOT(ISNUMBER(BD152)),ISERROR(BD152),$B152=""),"",IF($I152=1,IFBLANK(_xldudf_CX_PUSH(BD152*fxVal_normal,CX_ENTITY,$B152,BD$11,BD$14,BD$146,),""),IF($I152=2,IFBLANK(_xldudf_CX_PUSH(BD152,CX_ENTITY,$B152,BD$11,BD$14,BD$146,),""),IF($I152=3,"",IFBLANK(_xldudf_CX_PUSH(BD152,CX_ENTITY,$B152,BD$11,BD$14,BD$146,),"")))))),"")</f>
        <v/>
      </c>
      <c r="EE152" s="2445" t="str" cm="1">
        <f t="array" ca="1" aca="1" ref="EE152">IFERROR(IF(BE152*fxVal_normal=_PL!BE152,"",IF(OR(BE152="",NOT(ISNUMBER(BE152)),ISERROR(BE152),$B152=""),"",IF($I152=1,IFBLANK(_xldudf_CX_PUSH(BE152*fxVal_normal,CX_ENTITY,$B152,BE$11,BE$14,BE$146,),""),IF($I152=2,IFBLANK(_xldudf_CX_PUSH(BE152,CX_ENTITY,$B152,BE$11,BE$14,BE$146,),""),IF($I152=3,"",IFBLANK(_xldudf_CX_PUSH(BE152,CX_ENTITY,$B152,BE$11,BE$14,BE$146,),"")))))),"")</f>
        <v/>
      </c>
      <c r="EF152" s="2445" t="str" cm="1">
        <f t="array" ca="1" aca="1" ref="EF152">IFERROR(IF(BF152*fxVal_normal=_PL!BF152,"",IF(OR(BF152="",NOT(ISNUMBER(BF152)),ISERROR(BF152),$B152=""),"",IF($I152=1,IFBLANK(_xldudf_CX_PUSH(BF152*fxVal_normal,CX_ENTITY,$B152,BF$11,BF$14,BF$146,),""),IF($I152=2,IFBLANK(_xldudf_CX_PUSH(BF152,CX_ENTITY,$B152,BF$11,BF$14,BF$146,),""),IF($I152=3,"",IFBLANK(_xldudf_CX_PUSH(BF152,CX_ENTITY,$B152,BF$11,BF$14,BF$146,),"")))))),"")</f>
        <v/>
      </c>
      <c r="EG152" s="2445" t="str" cm="1">
        <f t="array" ca="1" aca="1" ref="EG152">IFERROR(IF(BG152*fxVal_normal=_PL!BG152,"",IF(OR(BG152="",NOT(ISNUMBER(BG152)),ISERROR(BG152),$B152=""),"",IF($I152=1,IFBLANK(_xldudf_CX_PUSH(BG152*fxVal_normal,CX_ENTITY,$B152,BG$11,BG$14,BG$146,),""),IF($I152=2,IFBLANK(_xldudf_CX_PUSH(BG152,CX_ENTITY,$B152,BG$11,BG$14,BG$146,),""),IF($I152=3,"",IFBLANK(_xldudf_CX_PUSH(BG152,CX_ENTITY,$B152,BG$11,BG$14,BG$146,),"")))))),"")</f>
        <v/>
      </c>
      <c r="EH152" s="2445" t="str" cm="1">
        <f t="array" ca="1" aca="1" ref="EH152">IFERROR(IF(BH152*fxVal_normal=_PL!BH152,"",IF(OR(BH152="",NOT(ISNUMBER(BH152)),ISERROR(BH152),$B152=""),"",IF($I152=1,IFBLANK(_xldudf_CX_PUSH(BH152*fxVal_normal,CX_ENTITY,$B152,BH$11,BH$14,BH$146,),""),IF($I152=2,IFBLANK(_xldudf_CX_PUSH(BH152,CX_ENTITY,$B152,BH$11,BH$14,BH$146,),""),IF($I152=3,"",IFBLANK(_xldudf_CX_PUSH(BH152,CX_ENTITY,$B152,BH$11,BH$14,BH$146,),"")))))),"")</f>
        <v/>
      </c>
      <c r="EI152" s="2445" t="str" cm="1">
        <f t="array" ca="1" aca="1" ref="EI152">IFERROR(IF(BI152*fxVal_normal=_PL!BI152,"",IF(OR(BI152="",NOT(ISNUMBER(BI152)),ISERROR(BI152),$B152=""),"",IF($I152=1,IFBLANK(_xldudf_CX_PUSH(BI152*fxVal_normal,CX_ENTITY,$B152,BI$11,BI$14,BI$146,),""),IF($I152=2,IFBLANK(_xldudf_CX_PUSH(BI152,CX_ENTITY,$B152,BI$11,BI$14,BI$146,),""),IF($I152=3,"",IFBLANK(_xldudf_CX_PUSH(BI152,CX_ENTITY,$B152,BI$11,BI$14,BI$146,),"")))))),"")</f>
        <v/>
      </c>
      <c r="EJ152" s="2445" t="str" cm="1">
        <f t="array" ca="1" aca="1" ref="EJ152">IFERROR(IF(BJ152*fxVal_normal=_PL!BJ152,"",IF(OR(BJ152="",NOT(ISNUMBER(BJ152)),ISERROR(BJ152),$B152=""),"",IF($I152=1,IFBLANK(_xldudf_CX_PUSH(BJ152*fxVal_normal,CX_ENTITY,$B152,BJ$11,BJ$14,BJ$146,),""),IF($I152=2,IFBLANK(_xldudf_CX_PUSH(BJ152,CX_ENTITY,$B152,BJ$11,BJ$14,BJ$146,),""),IF($I152=3,"",IFBLANK(_xldudf_CX_PUSH(BJ152,CX_ENTITY,$B152,BJ$11,BJ$14,BJ$146,),"")))))),"")</f>
        <v/>
      </c>
      <c r="EK152" s="2445" t="str" cm="1">
        <f t="array" ca="1" aca="1" ref="EK152">IFERROR(IF(BK152*fxVal_normal=_PL!BK152,"",IF(OR(BK152="",NOT(ISNUMBER(BK152)),ISERROR(BK152),$B152=""),"",IF($I152=1,IFBLANK(_xldudf_CX_PUSH(BK152*fxVal_normal,CX_ENTITY,$B152,BK$11,BK$14,BK$146,),""),IF($I152=2,IFBLANK(_xldudf_CX_PUSH(BK152,CX_ENTITY,$B152,BK$11,BK$14,BK$146,),""),IF($I152=3,"",IFBLANK(_xldudf_CX_PUSH(BK152,CX_ENTITY,$B152,BK$11,BK$14,BK$146,),"")))))),"")</f>
        <v/>
      </c>
      <c r="EL152" s="2445" t="str" cm="1">
        <f t="array" ca="1" aca="1" ref="EL152">IFERROR(IF(BL152*fxVal_normal=_PL!BL152,"",IF(OR(BL152="",NOT(ISNUMBER(BL152)),ISERROR(BL152),$B152=""),"",IF($I152=1,IFBLANK(_xldudf_CX_PUSH(BL152*fxVal_normal,CX_ENTITY,$B152,BL$11,BL$14,BL$146,),""),IF($I152=2,IFBLANK(_xldudf_CX_PUSH(BL152,CX_ENTITY,$B152,BL$11,BL$14,BL$146,),""),IF($I152=3,"",IFBLANK(_xldudf_CX_PUSH(BL152,CX_ENTITY,$B152,BL$11,BL$14,BL$146,),"")))))),"")</f>
        <v/>
      </c>
      <c r="EM152" s="2445" t="str" cm="1">
        <f t="array" ca="1" aca="1" ref="EM152">IFERROR(IF(BM152*fxVal_normal=_PL!BM152,"",IF(OR(BM152="",NOT(ISNUMBER(BM152)),ISERROR(BM152),$B152=""),"",IF($I152=1,IFBLANK(_xldudf_CX_PUSH(BM152*fxVal_normal,CX_ENTITY,$B152,BM$11,BM$14,BM$146,),""),IF($I152=2,IFBLANK(_xldudf_CX_PUSH(BM152,CX_ENTITY,$B152,BM$11,BM$14,BM$146,),""),IF($I152=3,"",IFBLANK(_xldudf_CX_PUSH(BM152,CX_ENTITY,$B152,BM$11,BM$14,BM$146,),"")))))),"")</f>
        <v/>
      </c>
      <c r="EN152" s="2445" t="str" cm="1">
        <f t="array" ca="1" aca="1" ref="EN152">IFERROR(IF(BN152*fxVal_normal=_PL!BN152,"",IF(OR(BN152="",NOT(ISNUMBER(BN152)),ISERROR(BN152),$B152=""),"",IF($I152=1,IFBLANK(_xldudf_CX_PUSH(BN152*fxVal_normal,CX_ENTITY,$B152,BN$11,BN$14,BN$146,),""),IF($I152=2,IFBLANK(_xldudf_CX_PUSH(BN152,CX_ENTITY,$B152,BN$11,BN$14,BN$146,),""),IF($I152=3,"",IFBLANK(_xldudf_CX_PUSH(BN152,CX_ENTITY,$B152,BN$11,BN$14,BN$146,),"")))))),"")</f>
        <v/>
      </c>
    </row>
    <row r="153" spans="1:144" ht="21" customHeight="1">
      <c r="A153" s="1626"/>
      <c r="B153" s="2501" t="s">
        <v>127</v>
      </c>
      <c r="C153" s="3459" t="str" cm="1">
        <f t="array" ref="C153">IFBLANK(_PL!C153,"")</f>
        <v>Lfl Revenue Adjustment - Label 6</v>
      </c>
      <c r="D153" s="1548" t="s">
        <v>123</v>
      </c>
      <c r="E153" s="2440" t="e" cm="1">
        <f t="array" ca="1" aca="1" ref="E15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153:$CQ153,Z153)</f>
        <v>#NAME?</v>
      </c>
      <c r="F153" s="578"/>
      <c r="G153" s="578"/>
      <c r="H153" s="585">
        <v>0</v>
      </c>
      <c r="I153" s="3309">
        <v>1</v>
      </c>
      <c r="J153" s="401" cm="1">
        <f t="array" ref="J153">IFBLANK(Z153,"")</f>
        <v>-1</v>
      </c>
      <c r="K153" s="578" t="str">
        <f t="shared" si="47"/>
        <v>No</v>
      </c>
      <c r="L153" s="37"/>
      <c r="N153" s="158"/>
      <c r="O153" s="101"/>
      <c r="P153" s="52"/>
      <c r="Q153" s="101"/>
      <c r="R153" s="101"/>
      <c r="S153" s="101"/>
      <c r="T153" s="101"/>
      <c r="U153" s="39"/>
      <c r="V153" s="37"/>
      <c r="W153" s="91" t="str">
        <f>W147</f>
        <v>Actual</v>
      </c>
      <c r="X153" s="815" t="str">
        <f>_PL!X153</f>
        <v>a</v>
      </c>
      <c r="Y153" s="3214">
        <v>2</v>
      </c>
      <c r="Z153" s="198">
        <f>_PL!Z153</f>
        <v>-1</v>
      </c>
      <c r="AA153" s="2571"/>
      <c r="AB153" s="1128"/>
      <c r="AC153" s="1138" t="str" cm="1">
        <f t="array" ca="1" aca="1" ref="AC153">_xlfn.LET(_xlpm._termname,$AB153,_xlpm._iconname,"find",_xlpm._icon,fx_getIcon(_xlpm._iconname),_xlpm._location,_xlfn.XLOOKUP(LOWER(_xlpm._termname),LOWER(tbl_acctDef[Term]),tbl_acctDef[Term]),_xlpm._hyperlink,HYPERLINK("#"&amp;CELL("address",_xlpm._location),_xlpm._icon),IFERROR(_xlpm._hyperlink,""))</f>
        <v/>
      </c>
      <c r="AD153" s="3177">
        <v>1</v>
      </c>
      <c r="AE153" s="3177">
        <v>1</v>
      </c>
      <c r="AF153" s="3177">
        <v>1</v>
      </c>
      <c r="AG153" s="3177">
        <v>1</v>
      </c>
      <c r="AH153" s="3177">
        <v>1</v>
      </c>
      <c r="AI153" s="3177">
        <v>1</v>
      </c>
      <c r="AJ153" s="3177">
        <v>1</v>
      </c>
      <c r="AK153" s="3177">
        <v>1</v>
      </c>
      <c r="AL153" s="3177">
        <v>1</v>
      </c>
      <c r="AM153" s="3177">
        <v>1</v>
      </c>
      <c r="AN153" s="3177">
        <v>1</v>
      </c>
      <c r="AO153" s="3177">
        <v>1</v>
      </c>
      <c r="AP153" s="3177">
        <v>1</v>
      </c>
      <c r="AQ153" s="3177">
        <v>1</v>
      </c>
      <c r="AR153" s="3177">
        <v>1</v>
      </c>
      <c r="AS153" s="3177">
        <v>1</v>
      </c>
      <c r="AT153" s="3177">
        <v>1</v>
      </c>
      <c r="AU153" s="3177">
        <v>1</v>
      </c>
      <c r="AV153" s="3177">
        <v>1</v>
      </c>
      <c r="AW153" s="3177">
        <v>1</v>
      </c>
      <c r="AX153" s="3177">
        <v>1</v>
      </c>
      <c r="AY153" s="3177">
        <v>1</v>
      </c>
      <c r="AZ153" s="3177">
        <v>1</v>
      </c>
      <c r="BA153" s="3177">
        <v>1</v>
      </c>
      <c r="BB153" s="3177">
        <v>1</v>
      </c>
      <c r="BC153" s="3177">
        <v>1</v>
      </c>
      <c r="BD153" s="3177">
        <v>1</v>
      </c>
      <c r="BE153" s="3177">
        <v>1</v>
      </c>
      <c r="BF153" s="3177">
        <v>1</v>
      </c>
      <c r="BG153" s="3177">
        <v>1</v>
      </c>
      <c r="BH153" s="3177">
        <v>1</v>
      </c>
      <c r="BI153" s="3177">
        <v>1</v>
      </c>
      <c r="BJ153" s="3177">
        <v>1</v>
      </c>
      <c r="BK153" s="3177">
        <v>1</v>
      </c>
      <c r="BL153" s="3177">
        <v>1</v>
      </c>
      <c r="BM153" s="3177">
        <v>1</v>
      </c>
      <c r="BN153" s="3177">
        <v>1</v>
      </c>
      <c r="BO153" s="2442"/>
      <c r="BP153" s="2442"/>
      <c r="BQ153" s="2442"/>
      <c r="BR153" s="2442"/>
      <c r="BS153" s="2442"/>
      <c r="BT153" s="2442"/>
      <c r="BU153" s="2442"/>
      <c r="BV153" s="2442"/>
      <c r="BW153" s="2442"/>
      <c r="BX153" s="2442"/>
      <c r="BY153" s="2442"/>
      <c r="BZ153" s="2442"/>
      <c r="CA153" s="34"/>
      <c r="CC153" s="958"/>
      <c r="CD153" s="1461" t="e" cm="1">
        <f t="array" ca="1" aca="1" ref="CD153">_xlfn.LET(_xlpm.CheckBlank,SUM(PL!$AD153:$BN153)=0,IF(_xlpm.CheckBlank,"",SUM(_xlfn._xlws.FILTER(PL!$AD153:$BN153,(YEAR(PL!$AD$12:$BN$12)=PL!CD$12)*(array_timeline&lt;=PL!CD$11)))))</f>
        <v>#NAME?</v>
      </c>
      <c r="CE153" s="1461" t="e" cm="1">
        <f t="array" ca="1" aca="1" ref="CE153">_xlfn.LET(_xlpm.CheckBlank,SUM(PL!$AD153:$BN153)=0,IF(_xlpm.CheckBlank,"",SUM(_xlfn._xlws.FILTER(PL!$AD153:$BN153,(YEAR(PL!$AD$12:$BN$12)=PL!CE$12)*(array_timeline&lt;=PL!CE$11)))))</f>
        <v>#NAME?</v>
      </c>
      <c r="CF153" s="88"/>
      <c r="CG153" s="1461" t="e" cm="1">
        <f t="array" ca="1" aca="1" ref="CG153">_xlfn.LET(_xlpm.CheckBlank,SUM(PL!$AD153:$BN153)=0,IF(_xlpm.CheckBlank,"",SUM(_xlfn._xlws.FILTER(PL!$AD153:$BN153,(YEAR(PL!$AD$12:$BN$12)=PL!CG$12)*(array_timeline&lt;=PL!CG$11)))))</f>
        <v>#NAME?</v>
      </c>
      <c r="CH153" s="1461" t="e" cm="1">
        <f t="array" ca="1" aca="1" ref="CH153">_xlfn.LET(_xlpm.CheckBlank,SUM(PL!$AD153:$BN153)=0,IF(_xlpm.CheckBlank,"",SUM(_xlfn._xlws.FILTER(PL!$AD153:$BN153,(YEAR(PL!$AD$12:$BN$12)=PL!CH$12)*(array_timeline&lt;=PL!CH$11)))))</f>
        <v>#NAME?</v>
      </c>
      <c r="CI153" s="88"/>
      <c r="CJ153" s="1461" cm="1">
        <f t="array" ref="CJ153">_xlfn.LET(_xlpm.CheckBlank,SUM(PL!$AD153:$BN153)=0,IF(_xlpm.CheckBlank,"",SUM(_xlfn.TAKE(_xlfn.DROP(PL!$AD153:$BN153,,-DATEDIFF(PL!CJ$11,val_asOfDate,"M")),1,-12))))</f>
        <v>12</v>
      </c>
      <c r="CK153" s="1461" cm="1">
        <f t="array" ref="CK153">_xlfn.LET(_xlpm.CheckBlank,SUM(PL!$AD153:$BN153)=0,IF(_xlpm.CheckBlank,"",SUM(_xlfn.TAKE(_xlfn.DROP(PL!$AD153:$BN153,,-DATEDIFF(PL!CK$11,val_asOfDate,"M")),1,-12))))</f>
        <v>12</v>
      </c>
      <c r="CL153" s="88"/>
      <c r="CM153" s="3177">
        <v>1</v>
      </c>
      <c r="CN153" s="3177">
        <v>1</v>
      </c>
      <c r="CO153" s="1169"/>
      <c r="CP153" s="3177">
        <v>1</v>
      </c>
      <c r="CQ153" s="3177">
        <v>1</v>
      </c>
      <c r="CR153" s="34"/>
      <c r="CS153" s="2056"/>
      <c r="CT153" s="2447" t="e" cm="1">
        <f t="array" ca="1" aca="1" ref="CT153">IF(ISNUMBER(SEARCH("Select",$Y153)),"",_xldudf_CX_PUSH($Y153,CX_ENTITY,C153,val_asOfDate))</f>
        <v>#NAME?</v>
      </c>
      <c r="CU153" s="2447" t="e" cm="1">
        <f t="array" ca="1" aca="1" ref="CU153">IF(ISNUMBER(SEARCH("Select",$Y153)),"",_xldudf_CX_PUSH($Y153,CX_ENTITY,C153,EOMONTH(val_asOfDate,1)))</f>
        <v>#NAME?</v>
      </c>
      <c r="CV153" s="2447" t="e" cm="1">
        <f t="array" ca="1" aca="1" ref="CV153">IF(ISNUMBER(SEARCH("Select",$Y153)),"",_xldudf_CX_PUSH($Y153,CX_ENTITY,C153,EOMONTH(val_asOfDate,2)))</f>
        <v>#NAME?</v>
      </c>
      <c r="CW153" s="2447" t="e" cm="1">
        <f t="array" ca="1" aca="1" ref="CW153">IF(ISNUMBER(SEARCH("Select",$Y153)),"",_xldudf_CX_PUSH($Y153,CX_ENTITY,C153,EOMONTH(val_asOfDate,3)))</f>
        <v>#NAME?</v>
      </c>
      <c r="CX153" s="2443"/>
      <c r="CY153" s="2444" t="str" cm="1">
        <f t="array" ca="1" aca="1" ref="CY153">IFERROR(IF(CM153*fxVal_normal=_PL!CM153,"",IF(OR($CM153="",$CM153=0,NOT(ISNUMBER($CM153)),ISERROR($CM153),$B153=""),"",IF($I153=1,IFBLANK(_xldudf_CX_PUSH($CM153*fxVal_normal,CX_ENTITY,$B153,$CM$11,$CM$14,$CM$19,),""),IF($I153=2,IFBLANK(_xldudf_CX_PUSH($CM153,CX_ENTITY,$B153,$CM$11,$CM$14,$CM$19,),""),IF($I153=3,"",IFBLANK(_xldudf_CX_PUSH($CM153,CX_ENTITY,$B153,$CM$11,$CM$14,$CM$19,),"")))))),"")</f>
        <v/>
      </c>
      <c r="CZ153" s="2444" t="str" cm="1">
        <f t="array" ca="1" aca="1" ref="CZ153">IFERROR(IF(CN153*fxVal_normal=_PL!CN153,"",IF(OR($CN153="",$CN153=0,NOT(ISNUMBER($CN153)),ISERROR($CN153),$B153=""),"",IF($I153=1,IFBLANK(_xldudf_CX_PUSH($CN153*fxVal_normal,CX_ENTITY,$B153,$CN$11,$CN$14,$CN$19,),""),IF($I153=2,IFBLANK(_xldudf_CX_PUSH($CN153,CX_ENTITY,$B153,$CN$11,$CN$14,$CN$19,),""),IF($I153=3,"",IFBLANK(_xldudf_CX_PUSH($CN153,CX_ENTITY,$B153,$CN$11,$CN$14,$CN$19,),"")))))),"")</f>
        <v/>
      </c>
      <c r="DA153" s="2444" t="str" cm="1">
        <f t="array" ca="1" aca="1" ref="DA153">IFERROR(IF(CP153*fxVal_normal=_PL!CP153,"",IF(OR($CP153="",$CP153=0,NOT(ISNUMBER($CP153)),ISERROR($CP153),$B153=""),"",IF($I153=1,IFBLANK(_xldudf_CX_PUSH($CP153*fxVal_normal,CX_ENTITY,$B153,$CP$11,$CP$14,$CP$19,),""),IF($I153=2,IFBLANK(_xldudf_CX_PUSH($CP153,CX_ENTITY,$B153,$CP$11,$CP$14,$CP$19,),""),IF($I153=3,"",IFBLANK(_xldudf_CX_PUSH($CP153,CX_ENTITY,$B153,$CP$11,$CP$14,$CP$19,),"")))))),"")</f>
        <v/>
      </c>
      <c r="DB153" s="2444" t="str" cm="1">
        <f t="array" ca="1" aca="1" ref="DB153">IFERROR(IF(CQ153*fxVal_normal=_PL!CQ153,"",IF(OR($CQ153="",$CQ153=0,NOT(ISNUMBER($CQ153)),ISERROR($CQ153),$B153=""),"",IF($I153=1,IFBLANK(_xldudf_CX_PUSH($CQ153*fxVal_normal,CX_ENTITY,$B153,$CQ$11,$CQ$14,$CQ$19,),""),IF($I153=2,IFBLANK(_xldudf_CX_PUSH($CQ153,CX_ENTITY,$B153,$CQ$11,$CQ$14,$CQ$19,),""),IF($I153=3,"",IFBLANK(_xldudf_CX_PUSH($CQ153,CX_ENTITY,$B153,$CQ$11,$CQ$14,$CQ$19,),"")))))),"")</f>
        <v/>
      </c>
      <c r="DC153" s="2443"/>
      <c r="DD153" s="2445" t="str" cm="1">
        <f t="array" ca="1" aca="1" ref="DD153">IFERROR(IF(AD153*fxVal_normal=_PL!AD153,"",IF(OR(AD153="",NOT(ISNUMBER(AD153)),ISERROR(AD153),$B153=""),"",IF($I153=1,IFBLANK(_xldudf_CX_PUSH(AD153*fxVal_normal,CX_ENTITY,$B153,AD$11,AD$14,AD$146,),""),IF($I153=2,IFBLANK(_xldudf_CX_PUSH(AD153,CX_ENTITY,$B153,AD$11,AD$14,AD$146,),""),IF($I153=3,"",IFBLANK(_xldudf_CX_PUSH(AD153,CX_ENTITY,$B153,AD$11,AD$14,AD$146,),"")))))),"")</f>
        <v/>
      </c>
      <c r="DE153" s="2445" t="str" cm="1">
        <f t="array" ca="1" aca="1" ref="DE153">IFERROR(IF(AE153*fxVal_normal=_PL!AE153,"",IF(OR(AE153="",NOT(ISNUMBER(AE153)),ISERROR(AE153),$B153=""),"",IF($I153=1,IFBLANK(_xldudf_CX_PUSH(AE153*fxVal_normal,CX_ENTITY,$B153,AE$11,AE$14,AE$146,),""),IF($I153=2,IFBLANK(_xldudf_CX_PUSH(AE153,CX_ENTITY,$B153,AE$11,AE$14,AE$146,),""),IF($I153=3,"",IFBLANK(_xldudf_CX_PUSH(AE153,CX_ENTITY,$B153,AE$11,AE$14,AE$146,),"")))))),"")</f>
        <v/>
      </c>
      <c r="DF153" s="2445" t="str" cm="1">
        <f t="array" ca="1" aca="1" ref="DF153">IFERROR(IF(AF153*fxVal_normal=_PL!AF153,"",IF(OR(AF153="",NOT(ISNUMBER(AF153)),ISERROR(AF153),$B153=""),"",IF($I153=1,IFBLANK(_xldudf_CX_PUSH(AF153*fxVal_normal,CX_ENTITY,$B153,AF$11,AF$14,AF$146,),""),IF($I153=2,IFBLANK(_xldudf_CX_PUSH(AF153,CX_ENTITY,$B153,AF$11,AF$14,AF$146,),""),IF($I153=3,"",IFBLANK(_xldudf_CX_PUSH(AF153,CX_ENTITY,$B153,AF$11,AF$14,AF$146,),"")))))),"")</f>
        <v/>
      </c>
      <c r="DG153" s="2445" t="str" cm="1">
        <f t="array" ca="1" aca="1" ref="DG153">IFERROR(IF(AG153*fxVal_normal=_PL!AG153,"",IF(OR(AG153="",NOT(ISNUMBER(AG153)),ISERROR(AG153),$B153=""),"",IF($I153=1,IFBLANK(_xldudf_CX_PUSH(AG153*fxVal_normal,CX_ENTITY,$B153,AG$11,AG$14,AG$146,),""),IF($I153=2,IFBLANK(_xldudf_CX_PUSH(AG153,CX_ENTITY,$B153,AG$11,AG$14,AG$146,),""),IF($I153=3,"",IFBLANK(_xldudf_CX_PUSH(AG153,CX_ENTITY,$B153,AG$11,AG$14,AG$146,),"")))))),"")</f>
        <v/>
      </c>
      <c r="DH153" s="2445" t="str" cm="1">
        <f t="array" ca="1" aca="1" ref="DH153">IFERROR(IF(AH153*fxVal_normal=_PL!AH153,"",IF(OR(AH153="",NOT(ISNUMBER(AH153)),ISERROR(AH153),$B153=""),"",IF($I153=1,IFBLANK(_xldudf_CX_PUSH(AH153*fxVal_normal,CX_ENTITY,$B153,AH$11,AH$14,AH$146,),""),IF($I153=2,IFBLANK(_xldudf_CX_PUSH(AH153,CX_ENTITY,$B153,AH$11,AH$14,AH$146,),""),IF($I153=3,"",IFBLANK(_xldudf_CX_PUSH(AH153,CX_ENTITY,$B153,AH$11,AH$14,AH$146,),"")))))),"")</f>
        <v/>
      </c>
      <c r="DI153" s="2445" t="str" cm="1">
        <f t="array" ca="1" aca="1" ref="DI153">IFERROR(IF(AI153*fxVal_normal=_PL!AI153,"",IF(OR(AI153="",NOT(ISNUMBER(AI153)),ISERROR(AI153),$B153=""),"",IF($I153=1,IFBLANK(_xldudf_CX_PUSH(AI153*fxVal_normal,CX_ENTITY,$B153,AI$11,AI$14,AI$146,),""),IF($I153=2,IFBLANK(_xldudf_CX_PUSH(AI153,CX_ENTITY,$B153,AI$11,AI$14,AI$146,),""),IF($I153=3,"",IFBLANK(_xldudf_CX_PUSH(AI153,CX_ENTITY,$B153,AI$11,AI$14,AI$146,),"")))))),"")</f>
        <v/>
      </c>
      <c r="DJ153" s="2445" t="str" cm="1">
        <f t="array" ca="1" aca="1" ref="DJ153">IFERROR(IF(AJ153*fxVal_normal=_PL!AJ153,"",IF(OR(AJ153="",NOT(ISNUMBER(AJ153)),ISERROR(AJ153),$B153=""),"",IF($I153=1,IFBLANK(_xldudf_CX_PUSH(AJ153*fxVal_normal,CX_ENTITY,$B153,AJ$11,AJ$14,AJ$146,),""),IF($I153=2,IFBLANK(_xldudf_CX_PUSH(AJ153,CX_ENTITY,$B153,AJ$11,AJ$14,AJ$146,),""),IF($I153=3,"",IFBLANK(_xldudf_CX_PUSH(AJ153,CX_ENTITY,$B153,AJ$11,AJ$14,AJ$146,),"")))))),"")</f>
        <v/>
      </c>
      <c r="DK153" s="2445" t="str" cm="1">
        <f t="array" ca="1" aca="1" ref="DK153">IFERROR(IF(AK153*fxVal_normal=_PL!AK153,"",IF(OR(AK153="",NOT(ISNUMBER(AK153)),ISERROR(AK153),$B153=""),"",IF($I153=1,IFBLANK(_xldudf_CX_PUSH(AK153*fxVal_normal,CX_ENTITY,$B153,AK$11,AK$14,AK$146,),""),IF($I153=2,IFBLANK(_xldudf_CX_PUSH(AK153,CX_ENTITY,$B153,AK$11,AK$14,AK$146,),""),IF($I153=3,"",IFBLANK(_xldudf_CX_PUSH(AK153,CX_ENTITY,$B153,AK$11,AK$14,AK$146,),"")))))),"")</f>
        <v/>
      </c>
      <c r="DL153" s="2445" t="str" cm="1">
        <f t="array" ca="1" aca="1" ref="DL153">IFERROR(IF(AL153*fxVal_normal=_PL!AL153,"",IF(OR(AL153="",NOT(ISNUMBER(AL153)),ISERROR(AL153),$B153=""),"",IF($I153=1,IFBLANK(_xldudf_CX_PUSH(AL153*fxVal_normal,CX_ENTITY,$B153,AL$11,AL$14,AL$146,),""),IF($I153=2,IFBLANK(_xldudf_CX_PUSH(AL153,CX_ENTITY,$B153,AL$11,AL$14,AL$146,),""),IF($I153=3,"",IFBLANK(_xldudf_CX_PUSH(AL153,CX_ENTITY,$B153,AL$11,AL$14,AL$146,),"")))))),"")</f>
        <v/>
      </c>
      <c r="DM153" s="2445" t="str" cm="1">
        <f t="array" ca="1" aca="1" ref="DM153">IFERROR(IF(AM153*fxVal_normal=_PL!AM153,"",IF(OR(AM153="",NOT(ISNUMBER(AM153)),ISERROR(AM153),$B153=""),"",IF($I153=1,IFBLANK(_xldudf_CX_PUSH(AM153*fxVal_normal,CX_ENTITY,$B153,AM$11,AM$14,AM$146,),""),IF($I153=2,IFBLANK(_xldudf_CX_PUSH(AM153,CX_ENTITY,$B153,AM$11,AM$14,AM$146,),""),IF($I153=3,"",IFBLANK(_xldudf_CX_PUSH(AM153,CX_ENTITY,$B153,AM$11,AM$14,AM$146,),"")))))),"")</f>
        <v/>
      </c>
      <c r="DN153" s="2445" t="str" cm="1">
        <f t="array" ca="1" aca="1" ref="DN153">IFERROR(IF(AN153*fxVal_normal=_PL!AN153,"",IF(OR(AN153="",NOT(ISNUMBER(AN153)),ISERROR(AN153),$B153=""),"",IF($I153=1,IFBLANK(_xldudf_CX_PUSH(AN153*fxVal_normal,CX_ENTITY,$B153,AN$11,AN$14,AN$146,),""),IF($I153=2,IFBLANK(_xldudf_CX_PUSH(AN153,CX_ENTITY,$B153,AN$11,AN$14,AN$146,),""),IF($I153=3,"",IFBLANK(_xldudf_CX_PUSH(AN153,CX_ENTITY,$B153,AN$11,AN$14,AN$146,),"")))))),"")</f>
        <v/>
      </c>
      <c r="DO153" s="2445" t="str" cm="1">
        <f t="array" ca="1" aca="1" ref="DO153">IFERROR(IF(AO153*fxVal_normal=_PL!AO153,"",IF(OR(AO153="",NOT(ISNUMBER(AO153)),ISERROR(AO153),$B153=""),"",IF($I153=1,IFBLANK(_xldudf_CX_PUSH(AO153*fxVal_normal,CX_ENTITY,$B153,AO$11,AO$14,AO$146,),""),IF($I153=2,IFBLANK(_xldudf_CX_PUSH(AO153,CX_ENTITY,$B153,AO$11,AO$14,AO$146,),""),IF($I153=3,"",IFBLANK(_xldudf_CX_PUSH(AO153,CX_ENTITY,$B153,AO$11,AO$14,AO$146,),"")))))),"")</f>
        <v/>
      </c>
      <c r="DP153" s="2445" t="str" cm="1">
        <f t="array" ca="1" aca="1" ref="DP153">IFERROR(IF(AP153*fxVal_normal=_PL!AP153,"",IF(OR(AP153="",NOT(ISNUMBER(AP153)),ISERROR(AP153),$B153=""),"",IF($I153=1,IFBLANK(_xldudf_CX_PUSH(AP153*fxVal_normal,CX_ENTITY,$B153,AP$11,AP$14,AP$146,),""),IF($I153=2,IFBLANK(_xldudf_CX_PUSH(AP153,CX_ENTITY,$B153,AP$11,AP$14,AP$146,),""),IF($I153=3,"",IFBLANK(_xldudf_CX_PUSH(AP153,CX_ENTITY,$B153,AP$11,AP$14,AP$146,),"")))))),"")</f>
        <v/>
      </c>
      <c r="DQ153" s="2445" t="str" cm="1">
        <f t="array" ca="1" aca="1" ref="DQ153">IFERROR(IF(AQ153*fxVal_normal=_PL!AQ153,"",IF(OR(AQ153="",NOT(ISNUMBER(AQ153)),ISERROR(AQ153),$B153=""),"",IF($I153=1,IFBLANK(_xldudf_CX_PUSH(AQ153*fxVal_normal,CX_ENTITY,$B153,AQ$11,AQ$14,AQ$146,),""),IF($I153=2,IFBLANK(_xldudf_CX_PUSH(AQ153,CX_ENTITY,$B153,AQ$11,AQ$14,AQ$146,),""),IF($I153=3,"",IFBLANK(_xldudf_CX_PUSH(AQ153,CX_ENTITY,$B153,AQ$11,AQ$14,AQ$146,),"")))))),"")</f>
        <v/>
      </c>
      <c r="DR153" s="2445" t="str" cm="1">
        <f t="array" ca="1" aca="1" ref="DR153">IFERROR(IF(AR153*fxVal_normal=_PL!AR153,"",IF(OR(AR153="",NOT(ISNUMBER(AR153)),ISERROR(AR153),$B153=""),"",IF($I153=1,IFBLANK(_xldudf_CX_PUSH(AR153*fxVal_normal,CX_ENTITY,$B153,AR$11,AR$14,AR$146,),""),IF($I153=2,IFBLANK(_xldudf_CX_PUSH(AR153,CX_ENTITY,$B153,AR$11,AR$14,AR$146,),""),IF($I153=3,"",IFBLANK(_xldudf_CX_PUSH(AR153,CX_ENTITY,$B153,AR$11,AR$14,AR$146,),"")))))),"")</f>
        <v/>
      </c>
      <c r="DS153" s="2445" t="str" cm="1">
        <f t="array" ca="1" aca="1" ref="DS153">IFERROR(IF(AS153*fxVal_normal=_PL!AS153,"",IF(OR(AS153="",NOT(ISNUMBER(AS153)),ISERROR(AS153),$B153=""),"",IF($I153=1,IFBLANK(_xldudf_CX_PUSH(AS153*fxVal_normal,CX_ENTITY,$B153,AS$11,AS$14,AS$146,),""),IF($I153=2,IFBLANK(_xldudf_CX_PUSH(AS153,CX_ENTITY,$B153,AS$11,AS$14,AS$146,),""),IF($I153=3,"",IFBLANK(_xldudf_CX_PUSH(AS153,CX_ENTITY,$B153,AS$11,AS$14,AS$146,),"")))))),"")</f>
        <v/>
      </c>
      <c r="DT153" s="2445" t="str" cm="1">
        <f t="array" ca="1" aca="1" ref="DT153">IFERROR(IF(AT153*fxVal_normal=_PL!AT153,"",IF(OR(AT153="",NOT(ISNUMBER(AT153)),ISERROR(AT153),$B153=""),"",IF($I153=1,IFBLANK(_xldudf_CX_PUSH(AT153*fxVal_normal,CX_ENTITY,$B153,AT$11,AT$14,AT$146,),""),IF($I153=2,IFBLANK(_xldudf_CX_PUSH(AT153,CX_ENTITY,$B153,AT$11,AT$14,AT$146,),""),IF($I153=3,"",IFBLANK(_xldudf_CX_PUSH(AT153,CX_ENTITY,$B153,AT$11,AT$14,AT$146,),"")))))),"")</f>
        <v/>
      </c>
      <c r="DU153" s="2445" t="str" cm="1">
        <f t="array" ca="1" aca="1" ref="DU153">IFERROR(IF(AU153*fxVal_normal=_PL!AU153,"",IF(OR(AU153="",NOT(ISNUMBER(AU153)),ISERROR(AU153),$B153=""),"",IF($I153=1,IFBLANK(_xldudf_CX_PUSH(AU153*fxVal_normal,CX_ENTITY,$B153,AU$11,AU$14,AU$146,),""),IF($I153=2,IFBLANK(_xldudf_CX_PUSH(AU153,CX_ENTITY,$B153,AU$11,AU$14,AU$146,),""),IF($I153=3,"",IFBLANK(_xldudf_CX_PUSH(AU153,CX_ENTITY,$B153,AU$11,AU$14,AU$146,),"")))))),"")</f>
        <v/>
      </c>
      <c r="DV153" s="2445" t="str" cm="1">
        <f t="array" ca="1" aca="1" ref="DV153">IFERROR(IF(AV153*fxVal_normal=_PL!AV153,"",IF(OR(AV153="",NOT(ISNUMBER(AV153)),ISERROR(AV153),$B153=""),"",IF($I153=1,IFBLANK(_xldudf_CX_PUSH(AV153*fxVal_normal,CX_ENTITY,$B153,AV$11,AV$14,AV$146,),""),IF($I153=2,IFBLANK(_xldudf_CX_PUSH(AV153,CX_ENTITY,$B153,AV$11,AV$14,AV$146,),""),IF($I153=3,"",IFBLANK(_xldudf_CX_PUSH(AV153,CX_ENTITY,$B153,AV$11,AV$14,AV$146,),"")))))),"")</f>
        <v/>
      </c>
      <c r="DW153" s="2445" t="str" cm="1">
        <f t="array" ca="1" aca="1" ref="DW153">IFERROR(IF(AW153*fxVal_normal=_PL!AW153,"",IF(OR(AW153="",NOT(ISNUMBER(AW153)),ISERROR(AW153),$B153=""),"",IF($I153=1,IFBLANK(_xldudf_CX_PUSH(AW153*fxVal_normal,CX_ENTITY,$B153,AW$11,AW$14,AW$146,),""),IF($I153=2,IFBLANK(_xldudf_CX_PUSH(AW153,CX_ENTITY,$B153,AW$11,AW$14,AW$146,),""),IF($I153=3,"",IFBLANK(_xldudf_CX_PUSH(AW153,CX_ENTITY,$B153,AW$11,AW$14,AW$146,),"")))))),"")</f>
        <v/>
      </c>
      <c r="DX153" s="2445" t="str" cm="1">
        <f t="array" ca="1" aca="1" ref="DX153">IFERROR(IF(AX153*fxVal_normal=_PL!AX153,"",IF(OR(AX153="",NOT(ISNUMBER(AX153)),ISERROR(AX153),$B153=""),"",IF($I153=1,IFBLANK(_xldudf_CX_PUSH(AX153*fxVal_normal,CX_ENTITY,$B153,AX$11,AX$14,AX$146,),""),IF($I153=2,IFBLANK(_xldudf_CX_PUSH(AX153,CX_ENTITY,$B153,AX$11,AX$14,AX$146,),""),IF($I153=3,"",IFBLANK(_xldudf_CX_PUSH(AX153,CX_ENTITY,$B153,AX$11,AX$14,AX$146,),"")))))),"")</f>
        <v/>
      </c>
      <c r="DY153" s="2445" t="str" cm="1">
        <f t="array" ca="1" aca="1" ref="DY153">IFERROR(IF(AY153*fxVal_normal=_PL!AY153,"",IF(OR(AY153="",NOT(ISNUMBER(AY153)),ISERROR(AY153),$B153=""),"",IF($I153=1,IFBLANK(_xldudf_CX_PUSH(AY153*fxVal_normal,CX_ENTITY,$B153,AY$11,AY$14,AY$146,),""),IF($I153=2,IFBLANK(_xldudf_CX_PUSH(AY153,CX_ENTITY,$B153,AY$11,AY$14,AY$146,),""),IF($I153=3,"",IFBLANK(_xldudf_CX_PUSH(AY153,CX_ENTITY,$B153,AY$11,AY$14,AY$146,),"")))))),"")</f>
        <v/>
      </c>
      <c r="DZ153" s="2445" t="str" cm="1">
        <f t="array" ca="1" aca="1" ref="DZ153">IFERROR(IF(AZ153*fxVal_normal=_PL!AZ153,"",IF(OR(AZ153="",NOT(ISNUMBER(AZ153)),ISERROR(AZ153),$B153=""),"",IF($I153=1,IFBLANK(_xldudf_CX_PUSH(AZ153*fxVal_normal,CX_ENTITY,$B153,AZ$11,AZ$14,AZ$146,),""),IF($I153=2,IFBLANK(_xldudf_CX_PUSH(AZ153,CX_ENTITY,$B153,AZ$11,AZ$14,AZ$146,),""),IF($I153=3,"",IFBLANK(_xldudf_CX_PUSH(AZ153,CX_ENTITY,$B153,AZ$11,AZ$14,AZ$146,),"")))))),"")</f>
        <v/>
      </c>
      <c r="EA153" s="2445" t="str" cm="1">
        <f t="array" ca="1" aca="1" ref="EA153">IFERROR(IF(BA153*fxVal_normal=_PL!BA153,"",IF(OR(BA153="",NOT(ISNUMBER(BA153)),ISERROR(BA153),$B153=""),"",IF($I153=1,IFBLANK(_xldudf_CX_PUSH(BA153*fxVal_normal,CX_ENTITY,$B153,BA$11,BA$14,BA$146,),""),IF($I153=2,IFBLANK(_xldudf_CX_PUSH(BA153,CX_ENTITY,$B153,BA$11,BA$14,BA$146,),""),IF($I153=3,"",IFBLANK(_xldudf_CX_PUSH(BA153,CX_ENTITY,$B153,BA$11,BA$14,BA$146,),"")))))),"")</f>
        <v/>
      </c>
      <c r="EB153" s="2445" t="str" cm="1">
        <f t="array" ca="1" aca="1" ref="EB153">IFERROR(IF(BB153*fxVal_normal=_PL!BB153,"",IF(OR(BB153="",NOT(ISNUMBER(BB153)),ISERROR(BB153),$B153=""),"",IF($I153=1,IFBLANK(_xldudf_CX_PUSH(BB153*fxVal_normal,CX_ENTITY,$B153,BB$11,BB$14,BB$146,),""),IF($I153=2,IFBLANK(_xldudf_CX_PUSH(BB153,CX_ENTITY,$B153,BB$11,BB$14,BB$146,),""),IF($I153=3,"",IFBLANK(_xldudf_CX_PUSH(BB153,CX_ENTITY,$B153,BB$11,BB$14,BB$146,),"")))))),"")</f>
        <v/>
      </c>
      <c r="EC153" s="2445" t="str" cm="1">
        <f t="array" ca="1" aca="1" ref="EC153">IFERROR(IF(BC153*fxVal_normal=_PL!BC153,"",IF(OR(BC153="",NOT(ISNUMBER(BC153)),ISERROR(BC153),$B153=""),"",IF($I153=1,IFBLANK(_xldudf_CX_PUSH(BC153*fxVal_normal,CX_ENTITY,$B153,BC$11,BC$14,BC$146,),""),IF($I153=2,IFBLANK(_xldudf_CX_PUSH(BC153,CX_ENTITY,$B153,BC$11,BC$14,BC$146,),""),IF($I153=3,"",IFBLANK(_xldudf_CX_PUSH(BC153,CX_ENTITY,$B153,BC$11,BC$14,BC$146,),"")))))),"")</f>
        <v/>
      </c>
      <c r="ED153" s="2445" t="str" cm="1">
        <f t="array" ca="1" aca="1" ref="ED153">IFERROR(IF(BD153*fxVal_normal=_PL!BD153,"",IF(OR(BD153="",NOT(ISNUMBER(BD153)),ISERROR(BD153),$B153=""),"",IF($I153=1,IFBLANK(_xldudf_CX_PUSH(BD153*fxVal_normal,CX_ENTITY,$B153,BD$11,BD$14,BD$146,),""),IF($I153=2,IFBLANK(_xldudf_CX_PUSH(BD153,CX_ENTITY,$B153,BD$11,BD$14,BD$146,),""),IF($I153=3,"",IFBLANK(_xldudf_CX_PUSH(BD153,CX_ENTITY,$B153,BD$11,BD$14,BD$146,),"")))))),"")</f>
        <v/>
      </c>
      <c r="EE153" s="2445" t="str" cm="1">
        <f t="array" ca="1" aca="1" ref="EE153">IFERROR(IF(BE153*fxVal_normal=_PL!BE153,"",IF(OR(BE153="",NOT(ISNUMBER(BE153)),ISERROR(BE153),$B153=""),"",IF($I153=1,IFBLANK(_xldudf_CX_PUSH(BE153*fxVal_normal,CX_ENTITY,$B153,BE$11,BE$14,BE$146,),""),IF($I153=2,IFBLANK(_xldudf_CX_PUSH(BE153,CX_ENTITY,$B153,BE$11,BE$14,BE$146,),""),IF($I153=3,"",IFBLANK(_xldudf_CX_PUSH(BE153,CX_ENTITY,$B153,BE$11,BE$14,BE$146,),"")))))),"")</f>
        <v/>
      </c>
      <c r="EF153" s="2445" t="str" cm="1">
        <f t="array" ca="1" aca="1" ref="EF153">IFERROR(IF(BF153*fxVal_normal=_PL!BF153,"",IF(OR(BF153="",NOT(ISNUMBER(BF153)),ISERROR(BF153),$B153=""),"",IF($I153=1,IFBLANK(_xldudf_CX_PUSH(BF153*fxVal_normal,CX_ENTITY,$B153,BF$11,BF$14,BF$146,),""),IF($I153=2,IFBLANK(_xldudf_CX_PUSH(BF153,CX_ENTITY,$B153,BF$11,BF$14,BF$146,),""),IF($I153=3,"",IFBLANK(_xldudf_CX_PUSH(BF153,CX_ENTITY,$B153,BF$11,BF$14,BF$146,),"")))))),"")</f>
        <v/>
      </c>
      <c r="EG153" s="2445" t="str" cm="1">
        <f t="array" ca="1" aca="1" ref="EG153">IFERROR(IF(BG153*fxVal_normal=_PL!BG153,"",IF(OR(BG153="",NOT(ISNUMBER(BG153)),ISERROR(BG153),$B153=""),"",IF($I153=1,IFBLANK(_xldudf_CX_PUSH(BG153*fxVal_normal,CX_ENTITY,$B153,BG$11,BG$14,BG$146,),""),IF($I153=2,IFBLANK(_xldudf_CX_PUSH(BG153,CX_ENTITY,$B153,BG$11,BG$14,BG$146,),""),IF($I153=3,"",IFBLANK(_xldudf_CX_PUSH(BG153,CX_ENTITY,$B153,BG$11,BG$14,BG$146,),"")))))),"")</f>
        <v/>
      </c>
      <c r="EH153" s="2445" t="str" cm="1">
        <f t="array" ca="1" aca="1" ref="EH153">IFERROR(IF(BH153*fxVal_normal=_PL!BH153,"",IF(OR(BH153="",NOT(ISNUMBER(BH153)),ISERROR(BH153),$B153=""),"",IF($I153=1,IFBLANK(_xldudf_CX_PUSH(BH153*fxVal_normal,CX_ENTITY,$B153,BH$11,BH$14,BH$146,),""),IF($I153=2,IFBLANK(_xldudf_CX_PUSH(BH153,CX_ENTITY,$B153,BH$11,BH$14,BH$146,),""),IF($I153=3,"",IFBLANK(_xldudf_CX_PUSH(BH153,CX_ENTITY,$B153,BH$11,BH$14,BH$146,),"")))))),"")</f>
        <v/>
      </c>
      <c r="EI153" s="2445" t="str" cm="1">
        <f t="array" ca="1" aca="1" ref="EI153">IFERROR(IF(BI153*fxVal_normal=_PL!BI153,"",IF(OR(BI153="",NOT(ISNUMBER(BI153)),ISERROR(BI153),$B153=""),"",IF($I153=1,IFBLANK(_xldudf_CX_PUSH(BI153*fxVal_normal,CX_ENTITY,$B153,BI$11,BI$14,BI$146,),""),IF($I153=2,IFBLANK(_xldudf_CX_PUSH(BI153,CX_ENTITY,$B153,BI$11,BI$14,BI$146,),""),IF($I153=3,"",IFBLANK(_xldudf_CX_PUSH(BI153,CX_ENTITY,$B153,BI$11,BI$14,BI$146,),"")))))),"")</f>
        <v/>
      </c>
      <c r="EJ153" s="2445" t="str" cm="1">
        <f t="array" ca="1" aca="1" ref="EJ153">IFERROR(IF(BJ153*fxVal_normal=_PL!BJ153,"",IF(OR(BJ153="",NOT(ISNUMBER(BJ153)),ISERROR(BJ153),$B153=""),"",IF($I153=1,IFBLANK(_xldudf_CX_PUSH(BJ153*fxVal_normal,CX_ENTITY,$B153,BJ$11,BJ$14,BJ$146,),""),IF($I153=2,IFBLANK(_xldudf_CX_PUSH(BJ153,CX_ENTITY,$B153,BJ$11,BJ$14,BJ$146,),""),IF($I153=3,"",IFBLANK(_xldudf_CX_PUSH(BJ153,CX_ENTITY,$B153,BJ$11,BJ$14,BJ$146,),"")))))),"")</f>
        <v/>
      </c>
      <c r="EK153" s="2445" t="str" cm="1">
        <f t="array" ca="1" aca="1" ref="EK153">IFERROR(IF(BK153*fxVal_normal=_PL!BK153,"",IF(OR(BK153="",NOT(ISNUMBER(BK153)),ISERROR(BK153),$B153=""),"",IF($I153=1,IFBLANK(_xldudf_CX_PUSH(BK153*fxVal_normal,CX_ENTITY,$B153,BK$11,BK$14,BK$146,),""),IF($I153=2,IFBLANK(_xldudf_CX_PUSH(BK153,CX_ENTITY,$B153,BK$11,BK$14,BK$146,),""),IF($I153=3,"",IFBLANK(_xldudf_CX_PUSH(BK153,CX_ENTITY,$B153,BK$11,BK$14,BK$146,),"")))))),"")</f>
        <v/>
      </c>
      <c r="EL153" s="2445" t="str" cm="1">
        <f t="array" ca="1" aca="1" ref="EL153">IFERROR(IF(BL153*fxVal_normal=_PL!BL153,"",IF(OR(BL153="",NOT(ISNUMBER(BL153)),ISERROR(BL153),$B153=""),"",IF($I153=1,IFBLANK(_xldudf_CX_PUSH(BL153*fxVal_normal,CX_ENTITY,$B153,BL$11,BL$14,BL$146,),""),IF($I153=2,IFBLANK(_xldudf_CX_PUSH(BL153,CX_ENTITY,$B153,BL$11,BL$14,BL$146,),""),IF($I153=3,"",IFBLANK(_xldudf_CX_PUSH(BL153,CX_ENTITY,$B153,BL$11,BL$14,BL$146,),"")))))),"")</f>
        <v/>
      </c>
      <c r="EM153" s="2445" t="str" cm="1">
        <f t="array" ca="1" aca="1" ref="EM153">IFERROR(IF(BM153*fxVal_normal=_PL!BM153,"",IF(OR(BM153="",NOT(ISNUMBER(BM153)),ISERROR(BM153),$B153=""),"",IF($I153=1,IFBLANK(_xldudf_CX_PUSH(BM153*fxVal_normal,CX_ENTITY,$B153,BM$11,BM$14,BM$146,),""),IF($I153=2,IFBLANK(_xldudf_CX_PUSH(BM153,CX_ENTITY,$B153,BM$11,BM$14,BM$146,),""),IF($I153=3,"",IFBLANK(_xldudf_CX_PUSH(BM153,CX_ENTITY,$B153,BM$11,BM$14,BM$146,),"")))))),"")</f>
        <v/>
      </c>
      <c r="EN153" s="2445" t="str" cm="1">
        <f t="array" ca="1" aca="1" ref="EN153">IFERROR(IF(BN153*fxVal_normal=_PL!BN153,"",IF(OR(BN153="",NOT(ISNUMBER(BN153)),ISERROR(BN153),$B153=""),"",IF($I153=1,IFBLANK(_xldudf_CX_PUSH(BN153*fxVal_normal,CX_ENTITY,$B153,BN$11,BN$14,BN$146,),""),IF($I153=2,IFBLANK(_xldudf_CX_PUSH(BN153,CX_ENTITY,$B153,BN$11,BN$14,BN$146,),""),IF($I153=3,"",IFBLANK(_xldudf_CX_PUSH(BN153,CX_ENTITY,$B153,BN$11,BN$14,BN$146,),"")))))),"")</f>
        <v/>
      </c>
    </row>
    <row r="154" spans="1:154" ht="21" customHeight="1">
      <c r="A154" s="2449" t="s">
        <v>22</v>
      </c>
      <c r="B154" s="2576" t="s">
        <v>128</v>
      </c>
      <c r="C154" s="2439" t="str" cm="1">
        <f t="array" ref="C154">IFBLANK(_PL!C154,"")</f>
        <v>Lfl Revenue Label</v>
      </c>
      <c r="D154" s="1548" t="s">
        <v>129</v>
      </c>
      <c r="E154" s="2440" t="e" cm="1">
        <f t="array" ca="1" aca="1" ref="E15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154:$CQ154,Z154)</f>
        <v>#NAME?</v>
      </c>
      <c r="F154" s="576"/>
      <c r="G154" s="576"/>
      <c r="H154" s="3297">
        <v>2</v>
      </c>
      <c r="I154" s="3295">
        <v>1</v>
      </c>
      <c r="J154" s="401" cm="1">
        <f t="array" ref="J154">IFBLANK(Z154,"")</f>
        <v>0</v>
      </c>
      <c r="K154" s="578" t="str">
        <f t="shared" si="47"/>
        <v>Yes</v>
      </c>
      <c r="L154" s="37"/>
      <c r="N154" s="158"/>
      <c r="O154" s="101"/>
      <c r="P154" s="52"/>
      <c r="Q154" s="101"/>
      <c r="R154" s="101"/>
      <c r="S154" s="101"/>
      <c r="T154" s="101"/>
      <c r="U154" s="39"/>
      <c r="V154" s="37"/>
      <c r="W154" s="268" t="str">
        <f>W147</f>
        <v>Actual</v>
      </c>
      <c r="X154" s="1832">
        <f>_PL!X154</f>
        <v>0</v>
      </c>
      <c r="Y154" s="1160" t="e">
        <f ca="1">_PL!Y154</f>
        <v>#NAME?</v>
      </c>
      <c r="Z154" s="538">
        <f>_PL!Z154</f>
        <v>0</v>
      </c>
      <c r="AA154" s="787"/>
      <c r="AB154" s="1161" t="s">
        <v>130</v>
      </c>
      <c r="AC154" s="1163" t="str" cm="1">
        <f t="array" ca="1" aca="1" ref="AC154">_xlfn.LET(_xlpm._termname,$AB154,_xlpm._iconname,"find",_xlpm._icon,fx_getIcon(_xlpm._iconname),_xlpm._location,_xlfn.XLOOKUP(LOWER(_xlpm._termname),LOWER(tbl_acctDef[Term]),tbl_acctDef[Term]),_xlpm._hyperlink,HYPERLINK("#"&amp;CELL("address",_xlpm._location),_xlpm._icon),IFERROR(_xlpm._hyperlink,""))</f>
        <v/>
      </c>
      <c r="AD154" s="2376" cm="1">
        <f t="array" ref="AD154:BN154">IF(ISNUMBER(AD147),_xlfn.BYCOL(_xlfn.VSTACK(AD147:BN147,AD148:BN153),_xleta.SUM),"")</f>
        <v>5</v>
      </c>
      <c r="AE154" s="3468">
        <v>5</v>
      </c>
      <c r="AF154" s="3468">
        <v>5</v>
      </c>
      <c r="AG154" s="3468">
        <v>5</v>
      </c>
      <c r="AH154" s="3468">
        <v>5</v>
      </c>
      <c r="AI154" s="3468">
        <v>5</v>
      </c>
      <c r="AJ154" s="3468">
        <v>5</v>
      </c>
      <c r="AK154" s="3468">
        <v>5</v>
      </c>
      <c r="AL154" s="3468">
        <v>5</v>
      </c>
      <c r="AM154" s="3468">
        <v>5</v>
      </c>
      <c r="AN154" s="3468">
        <v>5</v>
      </c>
      <c r="AO154" s="3468">
        <v>5</v>
      </c>
      <c r="AP154" s="3468">
        <v>5</v>
      </c>
      <c r="AQ154" s="3468">
        <v>5</v>
      </c>
      <c r="AR154" s="3468">
        <v>5</v>
      </c>
      <c r="AS154" s="3468">
        <v>5</v>
      </c>
      <c r="AT154" s="3468">
        <v>5</v>
      </c>
      <c r="AU154" s="3468">
        <v>5</v>
      </c>
      <c r="AV154" s="3468">
        <v>5</v>
      </c>
      <c r="AW154" s="3468">
        <v>5</v>
      </c>
      <c r="AX154" s="3468">
        <v>5</v>
      </c>
      <c r="AY154" s="3468">
        <v>5</v>
      </c>
      <c r="AZ154" s="3468">
        <v>5</v>
      </c>
      <c r="BA154" s="3468">
        <v>5</v>
      </c>
      <c r="BB154" s="3468">
        <v>5</v>
      </c>
      <c r="BC154" s="3468">
        <v>5</v>
      </c>
      <c r="BD154" s="3468">
        <v>5</v>
      </c>
      <c r="BE154" s="3468">
        <v>5</v>
      </c>
      <c r="BF154" s="3468">
        <v>5</v>
      </c>
      <c r="BG154" s="3468">
        <v>5</v>
      </c>
      <c r="BH154" s="3468">
        <v>5</v>
      </c>
      <c r="BI154" s="3468">
        <v>5</v>
      </c>
      <c r="BJ154" s="3468">
        <v>5</v>
      </c>
      <c r="BK154" s="3468">
        <v>5</v>
      </c>
      <c r="BL154" s="3468">
        <v>5</v>
      </c>
      <c r="BM154" s="3468">
        <v>5</v>
      </c>
      <c r="BN154" s="3468">
        <v>5</v>
      </c>
      <c r="BO154" s="2577"/>
      <c r="BP154" s="2577"/>
      <c r="BQ154" s="2577"/>
      <c r="BR154" s="2577"/>
      <c r="BS154" s="2577"/>
      <c r="BT154" s="2577"/>
      <c r="BU154" s="2577"/>
      <c r="BV154" s="2577"/>
      <c r="BW154" s="2577"/>
      <c r="BX154" s="2577"/>
      <c r="BY154" s="2577"/>
      <c r="BZ154" s="2577"/>
      <c r="CA154" s="34"/>
      <c r="CC154" s="927"/>
      <c r="CD154" s="1461" t="e" cm="1">
        <f t="array" ca="1" aca="1" ref="CD154">_xlfn.LET(_xlpm.CheckBlank,SUM(PL!$AD154:$BN154)=0,IF(_xlpm.CheckBlank,"",SUM(_xlfn._xlws.FILTER(PL!$AD154:$BN154,(YEAR(PL!$AD$12:$BN$12)=PL!CD$12)*(array_timeline&lt;=PL!CD$11)))))</f>
        <v>#NAME?</v>
      </c>
      <c r="CE154" s="1461" t="e" cm="1">
        <f t="array" ca="1" aca="1" ref="CE154">_xlfn.LET(_xlpm.CheckBlank,SUM(PL!$AD154:$BN154)=0,IF(_xlpm.CheckBlank,"",SUM(_xlfn._xlws.FILTER(PL!$AD154:$BN154,(YEAR(PL!$AD$12:$BN$12)=PL!CE$12)*(array_timeline&lt;=PL!CE$11)))))</f>
        <v>#NAME?</v>
      </c>
      <c r="CF154" s="88"/>
      <c r="CG154" s="1461" t="e" cm="1">
        <f t="array" ca="1" aca="1" ref="CG154">_xlfn.LET(_xlpm.CheckBlank,SUM(PL!$AD154:$BN154)=0,IF(_xlpm.CheckBlank,"",SUM(_xlfn._xlws.FILTER(PL!$AD154:$BN154,(YEAR(PL!$AD$12:$BN$12)=PL!CG$12)*(array_timeline&lt;=PL!CG$11)))))</f>
        <v>#NAME?</v>
      </c>
      <c r="CH154" s="1461" t="e" cm="1">
        <f t="array" ca="1" aca="1" ref="CH154">_xlfn.LET(_xlpm.CheckBlank,SUM(PL!$AD154:$BN154)=0,IF(_xlpm.CheckBlank,"",SUM(_xlfn._xlws.FILTER(PL!$AD154:$BN154,(YEAR(PL!$AD$12:$BN$12)=PL!CH$12)*(array_timeline&lt;=PL!CH$11)))))</f>
        <v>#NAME?</v>
      </c>
      <c r="CI154" s="88"/>
      <c r="CJ154" s="1461" cm="1">
        <f t="array" ref="CJ154">_xlfn.LET(_xlpm.CheckBlank,SUM(PL!$AD154:$BN154)=0,IF(_xlpm.CheckBlank,"",SUM(_xlfn.TAKE(_xlfn.DROP(PL!$AD154:$BN154,,-DATEDIFF(PL!CJ$11,val_asOfDate,"M")),1,-12))))</f>
        <v>60</v>
      </c>
      <c r="CK154" s="1461" cm="1">
        <f t="array" ref="CK154">_xlfn.LET(_xlpm.CheckBlank,SUM(PL!$AD154:$BN154)=0,IF(_xlpm.CheckBlank,"",SUM(_xlfn.TAKE(_xlfn.DROP(PL!$AD154:$BN154,,-DATEDIFF(PL!CK$11,val_asOfDate,"M")),1,-12))))</f>
        <v>60</v>
      </c>
      <c r="CL154" s="88"/>
      <c r="CM154" s="1957" cm="1">
        <f t="array" ref="CM154:CN154">IF(ISNUMBER(CM147:CN147),_xlfn.BYCOL(_xlfn.VSTACK(CM147:CN147,CM148:CN153),_xleta.SUM),"")</f>
        <v>7</v>
      </c>
      <c r="CN154" s="1956">
        <v>7</v>
      </c>
      <c r="CO154" s="128"/>
      <c r="CP154" s="1957" cm="1">
        <f t="array" ref="CP154:CQ154">IF(ISNUMBER(CP147:CQ147),_xlfn.BYCOL(_xlfn.VSTACK(CP147:CQ147,CP148:CQ153),_xleta.SUM),"")</f>
        <v>7</v>
      </c>
      <c r="CQ154" s="1956">
        <v>7</v>
      </c>
      <c r="CR154" s="34"/>
      <c r="CS154" s="2056"/>
      <c r="CT154" s="2085" t="e" cm="1">
        <f t="array" ca="1" aca="1" ref="CT154">IF(K154&lt;&gt;"Yes","",IF(OR(Y154="Select,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III"),"",IF(OR(Y154&lt;&gt;AB154,AND(LEN(B154)=0,NOT(OR(Y154="Select,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III")))),_xldudf_CX_PUSH(Y154,CX_ENTITY,C154,EOMONTH(val_asOfDate,0)),"")))</f>
        <v>#NAME?</v>
      </c>
      <c r="CU154" s="2085" t="e" cm="1">
        <f t="array" ca="1" aca="1" ref="CU154">IF(K154&lt;&gt;"Yes","",IF(OR(Y154="Select,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III"),"",IF(OR(Y154&lt;&gt;AB154,AND(LEN(B154)=0,NOT(OR(Y154="Select,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III")))),_xldudf_CX_PUSH(Y154,CX_ENTITY,C154,EOMONTH(val_asOfDate,1)),"")))</f>
        <v>#NAME?</v>
      </c>
      <c r="CV154" s="2085" t="e" cm="1">
        <f t="array" ca="1" aca="1" ref="CV154">IF(K154&lt;&gt;"Yes","",IF(OR(Y154="Select,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III"),"",IF(OR(Y154&lt;&gt;AB154,AND(LEN(B154)=0,NOT(OR(Y154="Select,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III")))),_xldudf_CX_PUSH(Y154,CX_ENTITY,C154,EOMONTH(val_asOfDate,2)),"")))</f>
        <v>#NAME?</v>
      </c>
      <c r="CW154" s="2085" t="e" cm="1">
        <f t="array" ca="1" aca="1" ref="CW154">IF(K154&lt;&gt;"Yes","",IF(OR(Y154="Select,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III"),"",IF(OR(Y154&lt;&gt;AB154,AND(LEN(B154)=0,NOT(OR(Y154="Select,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III")))),_xldudf_CX_PUSH(Y154,CX_ENTITY,C154,EOMONTH(val_asOfDate,3)),"")))</f>
        <v>#NAME?</v>
      </c>
      <c r="CX154" s="2443"/>
      <c r="CY154" s="2444" t="str" cm="1">
        <f t="array" ca="1" aca="1" ref="CY154">IFERROR(IF(CM154*fxVal_normal=_PL!CM154,"",IF(OR($CM154="",$CM154=0,NOT(ISNUMBER($CM154)),ISERROR($CM154),$B154=""),"",IF($I154=1,IFBLANK(_xldudf_CX_PUSH($CM154*fxVal_normal,CX_ENTITY,$B154,$CM$11,$CM$14,$CM$19,),""),IF($I154=2,IFBLANK(_xldudf_CX_PUSH($CM154,CX_ENTITY,$B154,$CM$11,$CM$14,$CM$19,),""),IF($I154=3,"",IFBLANK(_xldudf_CX_PUSH($CM154,CX_ENTITY,$B154,$CM$11,$CM$14,$CM$19,),"")))))),"")</f>
        <v/>
      </c>
      <c r="CZ154" s="2444" t="str" cm="1">
        <f t="array" ca="1" aca="1" ref="CZ154">IFERROR(IF(CN154*fxVal_normal=_PL!CN154,"",IF(OR($CN154="",$CN154=0,NOT(ISNUMBER($CN154)),ISERROR($CN154),$B154=""),"",IF($I154=1,IFBLANK(_xldudf_CX_PUSH($CN154*fxVal_normal,CX_ENTITY,$B154,$CN$11,$CN$14,$CN$19,),""),IF($I154=2,IFBLANK(_xldudf_CX_PUSH($CN154,CX_ENTITY,$B154,$CN$11,$CN$14,$CN$19,),""),IF($I154=3,"",IFBLANK(_xldudf_CX_PUSH($CN154,CX_ENTITY,$B154,$CN$11,$CN$14,$CN$19,),"")))))),"")</f>
        <v/>
      </c>
      <c r="DA154" s="2444" t="str" cm="1">
        <f t="array" ca="1" aca="1" ref="DA154">IFERROR(IF(CP154*fxVal_normal=_PL!CP154,"",IF(OR($CP154="",$CP154=0,NOT(ISNUMBER($CP154)),ISERROR($CP154),$B154=""),"",IF($I154=1,IFBLANK(_xldudf_CX_PUSH($CP154*fxVal_normal,CX_ENTITY,$B154,$CP$11,$CP$14,$CP$19,),""),IF($I154=2,IFBLANK(_xldudf_CX_PUSH($CP154,CX_ENTITY,$B154,$CP$11,$CP$14,$CP$19,),""),IF($I154=3,"",IFBLANK(_xldudf_CX_PUSH($CP154,CX_ENTITY,$B154,$CP$11,$CP$14,$CP$19,),"")))))),"")</f>
        <v/>
      </c>
      <c r="DB154" s="2444" t="str" cm="1">
        <f t="array" ca="1" aca="1" ref="DB154">IFERROR(IF(CQ154*fxVal_normal=_PL!CQ154,"",IF(OR($CQ154="",$CQ154=0,NOT(ISNUMBER($CQ154)),ISERROR($CQ154),$B154=""),"",IF($I154=1,IFBLANK(_xldudf_CX_PUSH($CQ154*fxVal_normal,CX_ENTITY,$B154,$CQ$11,$CQ$14,$CQ$19,),""),IF($I154=2,IFBLANK(_xldudf_CX_PUSH($CQ154,CX_ENTITY,$B154,$CQ$11,$CQ$14,$CQ$19,),""),IF($I154=3,"",IFBLANK(_xldudf_CX_PUSH($CQ154,CX_ENTITY,$B154,$CQ$11,$CQ$14,$CQ$19,),"")))))),"")</f>
        <v/>
      </c>
      <c r="DC154" s="2443"/>
      <c r="DD154" s="2445" t="str" cm="1">
        <f t="array" ca="1" aca="1" ref="DD154">IFERROR(IF(AD154*fxVal_normal=_PL!AD154,"",IF(OR(AD154="",NOT(ISNUMBER(AD154)),ISERROR(AD154),$B154=""),"",IF($I154=1,IFBLANK(_xldudf_CX_PUSH(AD154*fxVal_normal,CX_ENTITY,$B154,AD$11,AD$14,AD$146,),""),IF($I154=2,IFBLANK(_xldudf_CX_PUSH(AD154,CX_ENTITY,$B154,AD$11,AD$14,AD$146,),""),IF($I154=3,"",IFBLANK(_xldudf_CX_PUSH(AD154,CX_ENTITY,$B154,AD$11,AD$14,AD$146,),"")))))),"")</f>
        <v/>
      </c>
      <c r="DE154" s="2445" t="str" cm="1">
        <f t="array" ca="1" aca="1" ref="DE154">IFERROR(IF(AE154*fxVal_normal=_PL!AE154,"",IF(OR(AE154="",NOT(ISNUMBER(AE154)),ISERROR(AE154),$B154=""),"",IF($I154=1,IFBLANK(_xldudf_CX_PUSH(AE154*fxVal_normal,CX_ENTITY,$B154,AE$11,AE$14,AE$146,),""),IF($I154=2,IFBLANK(_xldudf_CX_PUSH(AE154,CX_ENTITY,$B154,AE$11,AE$14,AE$146,),""),IF($I154=3,"",IFBLANK(_xldudf_CX_PUSH(AE154,CX_ENTITY,$B154,AE$11,AE$14,AE$146,),"")))))),"")</f>
        <v/>
      </c>
      <c r="DF154" s="2445" t="str" cm="1">
        <f t="array" ca="1" aca="1" ref="DF154">IFERROR(IF(AF154*fxVal_normal=_PL!AF154,"",IF(OR(AF154="",NOT(ISNUMBER(AF154)),ISERROR(AF154),$B154=""),"",IF($I154=1,IFBLANK(_xldudf_CX_PUSH(AF154*fxVal_normal,CX_ENTITY,$B154,AF$11,AF$14,AF$146,),""),IF($I154=2,IFBLANK(_xldudf_CX_PUSH(AF154,CX_ENTITY,$B154,AF$11,AF$14,AF$146,),""),IF($I154=3,"",IFBLANK(_xldudf_CX_PUSH(AF154,CX_ENTITY,$B154,AF$11,AF$14,AF$146,),"")))))),"")</f>
        <v/>
      </c>
      <c r="DG154" s="2445" t="str" cm="1">
        <f t="array" ca="1" aca="1" ref="DG154">IFERROR(IF(AG154*fxVal_normal=_PL!AG154,"",IF(OR(AG154="",NOT(ISNUMBER(AG154)),ISERROR(AG154),$B154=""),"",IF($I154=1,IFBLANK(_xldudf_CX_PUSH(AG154*fxVal_normal,CX_ENTITY,$B154,AG$11,AG$14,AG$146,),""),IF($I154=2,IFBLANK(_xldudf_CX_PUSH(AG154,CX_ENTITY,$B154,AG$11,AG$14,AG$146,),""),IF($I154=3,"",IFBLANK(_xldudf_CX_PUSH(AG154,CX_ENTITY,$B154,AG$11,AG$14,AG$146,),"")))))),"")</f>
        <v/>
      </c>
      <c r="DH154" s="2445" t="str" cm="1">
        <f t="array" ca="1" aca="1" ref="DH154">IFERROR(IF(AH154*fxVal_normal=_PL!AH154,"",IF(OR(AH154="",NOT(ISNUMBER(AH154)),ISERROR(AH154),$B154=""),"",IF($I154=1,IFBLANK(_xldudf_CX_PUSH(AH154*fxVal_normal,CX_ENTITY,$B154,AH$11,AH$14,AH$146,),""),IF($I154=2,IFBLANK(_xldudf_CX_PUSH(AH154,CX_ENTITY,$B154,AH$11,AH$14,AH$146,),""),IF($I154=3,"",IFBLANK(_xldudf_CX_PUSH(AH154,CX_ENTITY,$B154,AH$11,AH$14,AH$146,),"")))))),"")</f>
        <v/>
      </c>
      <c r="DI154" s="2445" t="str" cm="1">
        <f t="array" ca="1" aca="1" ref="DI154">IFERROR(IF(AI154*fxVal_normal=_PL!AI154,"",IF(OR(AI154="",NOT(ISNUMBER(AI154)),ISERROR(AI154),$B154=""),"",IF($I154=1,IFBLANK(_xldudf_CX_PUSH(AI154*fxVal_normal,CX_ENTITY,$B154,AI$11,AI$14,AI$146,),""),IF($I154=2,IFBLANK(_xldudf_CX_PUSH(AI154,CX_ENTITY,$B154,AI$11,AI$14,AI$146,),""),IF($I154=3,"",IFBLANK(_xldudf_CX_PUSH(AI154,CX_ENTITY,$B154,AI$11,AI$14,AI$146,),"")))))),"")</f>
        <v/>
      </c>
      <c r="DJ154" s="2445" t="str" cm="1">
        <f t="array" ca="1" aca="1" ref="DJ154">IFERROR(IF(AJ154*fxVal_normal=_PL!AJ154,"",IF(OR(AJ154="",NOT(ISNUMBER(AJ154)),ISERROR(AJ154),$B154=""),"",IF($I154=1,IFBLANK(_xldudf_CX_PUSH(AJ154*fxVal_normal,CX_ENTITY,$B154,AJ$11,AJ$14,AJ$146,),""),IF($I154=2,IFBLANK(_xldudf_CX_PUSH(AJ154,CX_ENTITY,$B154,AJ$11,AJ$14,AJ$146,),""),IF($I154=3,"",IFBLANK(_xldudf_CX_PUSH(AJ154,CX_ENTITY,$B154,AJ$11,AJ$14,AJ$146,),"")))))),"")</f>
        <v/>
      </c>
      <c r="DK154" s="2445" t="str" cm="1">
        <f t="array" ca="1" aca="1" ref="DK154">IFERROR(IF(AK154*fxVal_normal=_PL!AK154,"",IF(OR(AK154="",NOT(ISNUMBER(AK154)),ISERROR(AK154),$B154=""),"",IF($I154=1,IFBLANK(_xldudf_CX_PUSH(AK154*fxVal_normal,CX_ENTITY,$B154,AK$11,AK$14,AK$146,),""),IF($I154=2,IFBLANK(_xldudf_CX_PUSH(AK154,CX_ENTITY,$B154,AK$11,AK$14,AK$146,),""),IF($I154=3,"",IFBLANK(_xldudf_CX_PUSH(AK154,CX_ENTITY,$B154,AK$11,AK$14,AK$146,),"")))))),"")</f>
        <v/>
      </c>
      <c r="DL154" s="2445" t="str" cm="1">
        <f t="array" ca="1" aca="1" ref="DL154">IFERROR(IF(AL154*fxVal_normal=_PL!AL154,"",IF(OR(AL154="",NOT(ISNUMBER(AL154)),ISERROR(AL154),$B154=""),"",IF($I154=1,IFBLANK(_xldudf_CX_PUSH(AL154*fxVal_normal,CX_ENTITY,$B154,AL$11,AL$14,AL$146,),""),IF($I154=2,IFBLANK(_xldudf_CX_PUSH(AL154,CX_ENTITY,$B154,AL$11,AL$14,AL$146,),""),IF($I154=3,"",IFBLANK(_xldudf_CX_PUSH(AL154,CX_ENTITY,$B154,AL$11,AL$14,AL$146,),"")))))),"")</f>
        <v/>
      </c>
      <c r="DM154" s="2445" t="str" cm="1">
        <f t="array" ca="1" aca="1" ref="DM154">IFERROR(IF(AM154*fxVal_normal=_PL!AM154,"",IF(OR(AM154="",NOT(ISNUMBER(AM154)),ISERROR(AM154),$B154=""),"",IF($I154=1,IFBLANK(_xldudf_CX_PUSH(AM154*fxVal_normal,CX_ENTITY,$B154,AM$11,AM$14,AM$146,),""),IF($I154=2,IFBLANK(_xldudf_CX_PUSH(AM154,CX_ENTITY,$B154,AM$11,AM$14,AM$146,),""),IF($I154=3,"",IFBLANK(_xldudf_CX_PUSH(AM154,CX_ENTITY,$B154,AM$11,AM$14,AM$146,),"")))))),"")</f>
        <v/>
      </c>
      <c r="DN154" s="2445" t="str" cm="1">
        <f t="array" ca="1" aca="1" ref="DN154">IFERROR(IF(AN154*fxVal_normal=_PL!AN154,"",IF(OR(AN154="",NOT(ISNUMBER(AN154)),ISERROR(AN154),$B154=""),"",IF($I154=1,IFBLANK(_xldudf_CX_PUSH(AN154*fxVal_normal,CX_ENTITY,$B154,AN$11,AN$14,AN$146,),""),IF($I154=2,IFBLANK(_xldudf_CX_PUSH(AN154,CX_ENTITY,$B154,AN$11,AN$14,AN$146,),""),IF($I154=3,"",IFBLANK(_xldudf_CX_PUSH(AN154,CX_ENTITY,$B154,AN$11,AN$14,AN$146,),"")))))),"")</f>
        <v/>
      </c>
      <c r="DO154" s="2445" t="str" cm="1">
        <f t="array" ca="1" aca="1" ref="DO154">IFERROR(IF(AO154*fxVal_normal=_PL!AO154,"",IF(OR(AO154="",NOT(ISNUMBER(AO154)),ISERROR(AO154),$B154=""),"",IF($I154=1,IFBLANK(_xldudf_CX_PUSH(AO154*fxVal_normal,CX_ENTITY,$B154,AO$11,AO$14,AO$146,),""),IF($I154=2,IFBLANK(_xldudf_CX_PUSH(AO154,CX_ENTITY,$B154,AO$11,AO$14,AO$146,),""),IF($I154=3,"",IFBLANK(_xldudf_CX_PUSH(AO154,CX_ENTITY,$B154,AO$11,AO$14,AO$146,),"")))))),"")</f>
        <v/>
      </c>
      <c r="DP154" s="2445" t="str" cm="1">
        <f t="array" ca="1" aca="1" ref="DP154">IFERROR(IF(AP154*fxVal_normal=_PL!AP154,"",IF(OR(AP154="",NOT(ISNUMBER(AP154)),ISERROR(AP154),$B154=""),"",IF($I154=1,IFBLANK(_xldudf_CX_PUSH(AP154*fxVal_normal,CX_ENTITY,$B154,AP$11,AP$14,AP$146,),""),IF($I154=2,IFBLANK(_xldudf_CX_PUSH(AP154,CX_ENTITY,$B154,AP$11,AP$14,AP$146,),""),IF($I154=3,"",IFBLANK(_xldudf_CX_PUSH(AP154,CX_ENTITY,$B154,AP$11,AP$14,AP$146,),"")))))),"")</f>
        <v/>
      </c>
      <c r="DQ154" s="2445" t="str" cm="1">
        <f t="array" ca="1" aca="1" ref="DQ154">IFERROR(IF(AQ154*fxVal_normal=_PL!AQ154,"",IF(OR(AQ154="",NOT(ISNUMBER(AQ154)),ISERROR(AQ154),$B154=""),"",IF($I154=1,IFBLANK(_xldudf_CX_PUSH(AQ154*fxVal_normal,CX_ENTITY,$B154,AQ$11,AQ$14,AQ$146,),""),IF($I154=2,IFBLANK(_xldudf_CX_PUSH(AQ154,CX_ENTITY,$B154,AQ$11,AQ$14,AQ$146,),""),IF($I154=3,"",IFBLANK(_xldudf_CX_PUSH(AQ154,CX_ENTITY,$B154,AQ$11,AQ$14,AQ$146,),"")))))),"")</f>
        <v/>
      </c>
      <c r="DR154" s="2445" t="str" cm="1">
        <f t="array" ca="1" aca="1" ref="DR154">IFERROR(IF(AR154*fxVal_normal=_PL!AR154,"",IF(OR(AR154="",NOT(ISNUMBER(AR154)),ISERROR(AR154),$B154=""),"",IF($I154=1,IFBLANK(_xldudf_CX_PUSH(AR154*fxVal_normal,CX_ENTITY,$B154,AR$11,AR$14,AR$146,),""),IF($I154=2,IFBLANK(_xldudf_CX_PUSH(AR154,CX_ENTITY,$B154,AR$11,AR$14,AR$146,),""),IF($I154=3,"",IFBLANK(_xldudf_CX_PUSH(AR154,CX_ENTITY,$B154,AR$11,AR$14,AR$146,),"")))))),"")</f>
        <v/>
      </c>
      <c r="DS154" s="2445" t="str" cm="1">
        <f t="array" ca="1" aca="1" ref="DS154">IFERROR(IF(AS154*fxVal_normal=_PL!AS154,"",IF(OR(AS154="",NOT(ISNUMBER(AS154)),ISERROR(AS154),$B154=""),"",IF($I154=1,IFBLANK(_xldudf_CX_PUSH(AS154*fxVal_normal,CX_ENTITY,$B154,AS$11,AS$14,AS$146,),""),IF($I154=2,IFBLANK(_xldudf_CX_PUSH(AS154,CX_ENTITY,$B154,AS$11,AS$14,AS$146,),""),IF($I154=3,"",IFBLANK(_xldudf_CX_PUSH(AS154,CX_ENTITY,$B154,AS$11,AS$14,AS$146,),"")))))),"")</f>
        <v/>
      </c>
      <c r="DT154" s="2445" t="str" cm="1">
        <f t="array" ca="1" aca="1" ref="DT154">IFERROR(IF(AT154*fxVal_normal=_PL!AT154,"",IF(OR(AT154="",NOT(ISNUMBER(AT154)),ISERROR(AT154),$B154=""),"",IF($I154=1,IFBLANK(_xldudf_CX_PUSH(AT154*fxVal_normal,CX_ENTITY,$B154,AT$11,AT$14,AT$146,),""),IF($I154=2,IFBLANK(_xldudf_CX_PUSH(AT154,CX_ENTITY,$B154,AT$11,AT$14,AT$146,),""),IF($I154=3,"",IFBLANK(_xldudf_CX_PUSH(AT154,CX_ENTITY,$B154,AT$11,AT$14,AT$146,),"")))))),"")</f>
        <v/>
      </c>
      <c r="DU154" s="2445" t="str" cm="1">
        <f t="array" ca="1" aca="1" ref="DU154">IFERROR(IF(AU154*fxVal_normal=_PL!AU154,"",IF(OR(AU154="",NOT(ISNUMBER(AU154)),ISERROR(AU154),$B154=""),"",IF($I154=1,IFBLANK(_xldudf_CX_PUSH(AU154*fxVal_normal,CX_ENTITY,$B154,AU$11,AU$14,AU$146,),""),IF($I154=2,IFBLANK(_xldudf_CX_PUSH(AU154,CX_ENTITY,$B154,AU$11,AU$14,AU$146,),""),IF($I154=3,"",IFBLANK(_xldudf_CX_PUSH(AU154,CX_ENTITY,$B154,AU$11,AU$14,AU$146,),"")))))),"")</f>
        <v/>
      </c>
      <c r="DV154" s="2445" t="str" cm="1">
        <f t="array" ca="1" aca="1" ref="DV154">IFERROR(IF(AV154*fxVal_normal=_PL!AV154,"",IF(OR(AV154="",NOT(ISNUMBER(AV154)),ISERROR(AV154),$B154=""),"",IF($I154=1,IFBLANK(_xldudf_CX_PUSH(AV154*fxVal_normal,CX_ENTITY,$B154,AV$11,AV$14,AV$146,),""),IF($I154=2,IFBLANK(_xldudf_CX_PUSH(AV154,CX_ENTITY,$B154,AV$11,AV$14,AV$146,),""),IF($I154=3,"",IFBLANK(_xldudf_CX_PUSH(AV154,CX_ENTITY,$B154,AV$11,AV$14,AV$146,),"")))))),"")</f>
        <v/>
      </c>
      <c r="DW154" s="2445" t="str" cm="1">
        <f t="array" ca="1" aca="1" ref="DW154">IFERROR(IF(AW154*fxVal_normal=_PL!AW154,"",IF(OR(AW154="",NOT(ISNUMBER(AW154)),ISERROR(AW154),$B154=""),"",IF($I154=1,IFBLANK(_xldudf_CX_PUSH(AW154*fxVal_normal,CX_ENTITY,$B154,AW$11,AW$14,AW$146,),""),IF($I154=2,IFBLANK(_xldudf_CX_PUSH(AW154,CX_ENTITY,$B154,AW$11,AW$14,AW$146,),""),IF($I154=3,"",IFBLANK(_xldudf_CX_PUSH(AW154,CX_ENTITY,$B154,AW$11,AW$14,AW$146,),"")))))),"")</f>
        <v/>
      </c>
      <c r="DX154" s="2445" t="str" cm="1">
        <f t="array" ca="1" aca="1" ref="DX154">IFERROR(IF(AX154*fxVal_normal=_PL!AX154,"",IF(OR(AX154="",NOT(ISNUMBER(AX154)),ISERROR(AX154),$B154=""),"",IF($I154=1,IFBLANK(_xldudf_CX_PUSH(AX154*fxVal_normal,CX_ENTITY,$B154,AX$11,AX$14,AX$146,),""),IF($I154=2,IFBLANK(_xldudf_CX_PUSH(AX154,CX_ENTITY,$B154,AX$11,AX$14,AX$146,),""),IF($I154=3,"",IFBLANK(_xldudf_CX_PUSH(AX154,CX_ENTITY,$B154,AX$11,AX$14,AX$146,),"")))))),"")</f>
        <v/>
      </c>
      <c r="DY154" s="2445" t="str" cm="1">
        <f t="array" ca="1" aca="1" ref="DY154">IFERROR(IF(AY154*fxVal_normal=_PL!AY154,"",IF(OR(AY154="",NOT(ISNUMBER(AY154)),ISERROR(AY154),$B154=""),"",IF($I154=1,IFBLANK(_xldudf_CX_PUSH(AY154*fxVal_normal,CX_ENTITY,$B154,AY$11,AY$14,AY$146,),""),IF($I154=2,IFBLANK(_xldudf_CX_PUSH(AY154,CX_ENTITY,$B154,AY$11,AY$14,AY$146,),""),IF($I154=3,"",IFBLANK(_xldudf_CX_PUSH(AY154,CX_ENTITY,$B154,AY$11,AY$14,AY$146,),"")))))),"")</f>
        <v/>
      </c>
      <c r="DZ154" s="2445" t="str" cm="1">
        <f t="array" ca="1" aca="1" ref="DZ154">IFERROR(IF(AZ154*fxVal_normal=_PL!AZ154,"",IF(OR(AZ154="",NOT(ISNUMBER(AZ154)),ISERROR(AZ154),$B154=""),"",IF($I154=1,IFBLANK(_xldudf_CX_PUSH(AZ154*fxVal_normal,CX_ENTITY,$B154,AZ$11,AZ$14,AZ$146,),""),IF($I154=2,IFBLANK(_xldudf_CX_PUSH(AZ154,CX_ENTITY,$B154,AZ$11,AZ$14,AZ$146,),""),IF($I154=3,"",IFBLANK(_xldudf_CX_PUSH(AZ154,CX_ENTITY,$B154,AZ$11,AZ$14,AZ$146,),"")))))),"")</f>
        <v/>
      </c>
      <c r="EA154" s="2445" t="str" cm="1">
        <f t="array" ca="1" aca="1" ref="EA154">IFERROR(IF(BA154*fxVal_normal=_PL!BA154,"",IF(OR(BA154="",NOT(ISNUMBER(BA154)),ISERROR(BA154),$B154=""),"",IF($I154=1,IFBLANK(_xldudf_CX_PUSH(BA154*fxVal_normal,CX_ENTITY,$B154,BA$11,BA$14,BA$146,),""),IF($I154=2,IFBLANK(_xldudf_CX_PUSH(BA154,CX_ENTITY,$B154,BA$11,BA$14,BA$146,),""),IF($I154=3,"",IFBLANK(_xldudf_CX_PUSH(BA154,CX_ENTITY,$B154,BA$11,BA$14,BA$146,),"")))))),"")</f>
        <v/>
      </c>
      <c r="EB154" s="2445" t="str" cm="1">
        <f t="array" ca="1" aca="1" ref="EB154">IFERROR(IF(BB154*fxVal_normal=_PL!BB154,"",IF(OR(BB154="",NOT(ISNUMBER(BB154)),ISERROR(BB154),$B154=""),"",IF($I154=1,IFBLANK(_xldudf_CX_PUSH(BB154*fxVal_normal,CX_ENTITY,$B154,BB$11,BB$14,BB$146,),""),IF($I154=2,IFBLANK(_xldudf_CX_PUSH(BB154,CX_ENTITY,$B154,BB$11,BB$14,BB$146,),""),IF($I154=3,"",IFBLANK(_xldudf_CX_PUSH(BB154,CX_ENTITY,$B154,BB$11,BB$14,BB$146,),"")))))),"")</f>
        <v/>
      </c>
      <c r="EC154" s="2445" t="str" cm="1">
        <f t="array" ca="1" aca="1" ref="EC154">IFERROR(IF(BC154*fxVal_normal=_PL!BC154,"",IF(OR(BC154="",NOT(ISNUMBER(BC154)),ISERROR(BC154),$B154=""),"",IF($I154=1,IFBLANK(_xldudf_CX_PUSH(BC154*fxVal_normal,CX_ENTITY,$B154,BC$11,BC$14,BC$146,),""),IF($I154=2,IFBLANK(_xldudf_CX_PUSH(BC154,CX_ENTITY,$B154,BC$11,BC$14,BC$146,),""),IF($I154=3,"",IFBLANK(_xldudf_CX_PUSH(BC154,CX_ENTITY,$B154,BC$11,BC$14,BC$146,),"")))))),"")</f>
        <v/>
      </c>
      <c r="ED154" s="2445" t="str" cm="1">
        <f t="array" ca="1" aca="1" ref="ED154">IFERROR(IF(BD154*fxVal_normal=_PL!BD154,"",IF(OR(BD154="",NOT(ISNUMBER(BD154)),ISERROR(BD154),$B154=""),"",IF($I154=1,IFBLANK(_xldudf_CX_PUSH(BD154*fxVal_normal,CX_ENTITY,$B154,BD$11,BD$14,BD$146,),""),IF($I154=2,IFBLANK(_xldudf_CX_PUSH(BD154,CX_ENTITY,$B154,BD$11,BD$14,BD$146,),""),IF($I154=3,"",IFBLANK(_xldudf_CX_PUSH(BD154,CX_ENTITY,$B154,BD$11,BD$14,BD$146,),"")))))),"")</f>
        <v/>
      </c>
      <c r="EE154" s="2445" t="str" cm="1">
        <f t="array" ca="1" aca="1" ref="EE154">IFERROR(IF(BE154*fxVal_normal=_PL!BE154,"",IF(OR(BE154="",NOT(ISNUMBER(BE154)),ISERROR(BE154),$B154=""),"",IF($I154=1,IFBLANK(_xldudf_CX_PUSH(BE154*fxVal_normal,CX_ENTITY,$B154,BE$11,BE$14,BE$146,),""),IF($I154=2,IFBLANK(_xldudf_CX_PUSH(BE154,CX_ENTITY,$B154,BE$11,BE$14,BE$146,),""),IF($I154=3,"",IFBLANK(_xldudf_CX_PUSH(BE154,CX_ENTITY,$B154,BE$11,BE$14,BE$146,),"")))))),"")</f>
        <v/>
      </c>
      <c r="EF154" s="2445" t="str" cm="1">
        <f t="array" ca="1" aca="1" ref="EF154">IFERROR(IF(BF154*fxVal_normal=_PL!BF154,"",IF(OR(BF154="",NOT(ISNUMBER(BF154)),ISERROR(BF154),$B154=""),"",IF($I154=1,IFBLANK(_xldudf_CX_PUSH(BF154*fxVal_normal,CX_ENTITY,$B154,BF$11,BF$14,BF$146,),""),IF($I154=2,IFBLANK(_xldudf_CX_PUSH(BF154,CX_ENTITY,$B154,BF$11,BF$14,BF$146,),""),IF($I154=3,"",IFBLANK(_xldudf_CX_PUSH(BF154,CX_ENTITY,$B154,BF$11,BF$14,BF$146,),"")))))),"")</f>
        <v/>
      </c>
      <c r="EG154" s="2445" t="str" cm="1">
        <f t="array" ca="1" aca="1" ref="EG154">IFERROR(IF(BG154*fxVal_normal=_PL!BG154,"",IF(OR(BG154="",NOT(ISNUMBER(BG154)),ISERROR(BG154),$B154=""),"",IF($I154=1,IFBLANK(_xldudf_CX_PUSH(BG154*fxVal_normal,CX_ENTITY,$B154,BG$11,BG$14,BG$146,),""),IF($I154=2,IFBLANK(_xldudf_CX_PUSH(BG154,CX_ENTITY,$B154,BG$11,BG$14,BG$146,),""),IF($I154=3,"",IFBLANK(_xldudf_CX_PUSH(BG154,CX_ENTITY,$B154,BG$11,BG$14,BG$146,),"")))))),"")</f>
        <v/>
      </c>
      <c r="EH154" s="2445" t="str" cm="1">
        <f t="array" ca="1" aca="1" ref="EH154">IFERROR(IF(BH154*fxVal_normal=_PL!BH154,"",IF(OR(BH154="",NOT(ISNUMBER(BH154)),ISERROR(BH154),$B154=""),"",IF($I154=1,IFBLANK(_xldudf_CX_PUSH(BH154*fxVal_normal,CX_ENTITY,$B154,BH$11,BH$14,BH$146,),""),IF($I154=2,IFBLANK(_xldudf_CX_PUSH(BH154,CX_ENTITY,$B154,BH$11,BH$14,BH$146,),""),IF($I154=3,"",IFBLANK(_xldudf_CX_PUSH(BH154,CX_ENTITY,$B154,BH$11,BH$14,BH$146,),"")))))),"")</f>
        <v/>
      </c>
      <c r="EI154" s="2445" t="str" cm="1">
        <f t="array" ca="1" aca="1" ref="EI154">IFERROR(IF(BI154*fxVal_normal=_PL!BI154,"",IF(OR(BI154="",NOT(ISNUMBER(BI154)),ISERROR(BI154),$B154=""),"",IF($I154=1,IFBLANK(_xldudf_CX_PUSH(BI154*fxVal_normal,CX_ENTITY,$B154,BI$11,BI$14,BI$146,),""),IF($I154=2,IFBLANK(_xldudf_CX_PUSH(BI154,CX_ENTITY,$B154,BI$11,BI$14,BI$146,),""),IF($I154=3,"",IFBLANK(_xldudf_CX_PUSH(BI154,CX_ENTITY,$B154,BI$11,BI$14,BI$146,),"")))))),"")</f>
        <v/>
      </c>
      <c r="EJ154" s="2445" t="str" cm="1">
        <f t="array" ca="1" aca="1" ref="EJ154">IFERROR(IF(BJ154*fxVal_normal=_PL!BJ154,"",IF(OR(BJ154="",NOT(ISNUMBER(BJ154)),ISERROR(BJ154),$B154=""),"",IF($I154=1,IFBLANK(_xldudf_CX_PUSH(BJ154*fxVal_normal,CX_ENTITY,$B154,BJ$11,BJ$14,BJ$146,),""),IF($I154=2,IFBLANK(_xldudf_CX_PUSH(BJ154,CX_ENTITY,$B154,BJ$11,BJ$14,BJ$146,),""),IF($I154=3,"",IFBLANK(_xldudf_CX_PUSH(BJ154,CX_ENTITY,$B154,BJ$11,BJ$14,BJ$146,),"")))))),"")</f>
        <v/>
      </c>
      <c r="EK154" s="2445" t="str" cm="1">
        <f t="array" ca="1" aca="1" ref="EK154">IFERROR(IF(BK154*fxVal_normal=_PL!BK154,"",IF(OR(BK154="",NOT(ISNUMBER(BK154)),ISERROR(BK154),$B154=""),"",IF($I154=1,IFBLANK(_xldudf_CX_PUSH(BK154*fxVal_normal,CX_ENTITY,$B154,BK$11,BK$14,BK$146,),""),IF($I154=2,IFBLANK(_xldudf_CX_PUSH(BK154,CX_ENTITY,$B154,BK$11,BK$14,BK$146,),""),IF($I154=3,"",IFBLANK(_xldudf_CX_PUSH(BK154,CX_ENTITY,$B154,BK$11,BK$14,BK$146,),"")))))),"")</f>
        <v/>
      </c>
      <c r="EL154" s="2445" t="str" cm="1">
        <f t="array" ca="1" aca="1" ref="EL154">IFERROR(IF(BL154*fxVal_normal=_PL!BL154,"",IF(OR(BL154="",NOT(ISNUMBER(BL154)),ISERROR(BL154),$B154=""),"",IF($I154=1,IFBLANK(_xldudf_CX_PUSH(BL154*fxVal_normal,CX_ENTITY,$B154,BL$11,BL$14,BL$146,),""),IF($I154=2,IFBLANK(_xldudf_CX_PUSH(BL154,CX_ENTITY,$B154,BL$11,BL$14,BL$146,),""),IF($I154=3,"",IFBLANK(_xldudf_CX_PUSH(BL154,CX_ENTITY,$B154,BL$11,BL$14,BL$146,),"")))))),"")</f>
        <v/>
      </c>
      <c r="EM154" s="2445" t="str" cm="1">
        <f t="array" ca="1" aca="1" ref="EM154">IFERROR(IF(BM154*fxVal_normal=_PL!BM154,"",IF(OR(BM154="",NOT(ISNUMBER(BM154)),ISERROR(BM154),$B154=""),"",IF($I154=1,IFBLANK(_xldudf_CX_PUSH(BM154*fxVal_normal,CX_ENTITY,$B154,BM$11,BM$14,BM$146,),""),IF($I154=2,IFBLANK(_xldudf_CX_PUSH(BM154,CX_ENTITY,$B154,BM$11,BM$14,BM$146,),""),IF($I154=3,"",IFBLANK(_xldudf_CX_PUSH(BM154,CX_ENTITY,$B154,BM$11,BM$14,BM$146,),"")))))),"")</f>
        <v/>
      </c>
      <c r="EN154" s="2445" t="str" cm="1">
        <f t="array" ca="1" aca="1" ref="EN154">IFERROR(IF(BN154*fxVal_normal=_PL!BN154,"",IF(OR(BN154="",NOT(ISNUMBER(BN154)),ISERROR(BN154),$B154=""),"",IF($I154=1,IFBLANK(_xldudf_CX_PUSH(BN154*fxVal_normal,CX_ENTITY,$B154,BN$11,BN$14,BN$146,),""),IF($I154=2,IFBLANK(_xldudf_CX_PUSH(BN154,CX_ENTITY,$B154,BN$11,BN$14,BN$146,),""),IF($I154=3,"",IFBLANK(_xldudf_CX_PUSH(BN154,CX_ENTITY,$B154,BN$11,BN$14,BN$146,),"")))))),"")</f>
        <v/>
      </c>
      <c r="EO154" s="1880"/>
      <c r="EP154" s="1880"/>
      <c r="EQ154" s="1880"/>
      <c r="ER154" s="1880"/>
      <c r="ES154" s="1880"/>
      <c r="ET154" s="1880"/>
      <c r="EU154" s="1880"/>
      <c r="EV154" s="1880"/>
      <c r="EW154" s="1880"/>
      <c r="EX154" s="1880"/>
    </row>
    <row r="155" spans="1:154" ht="15.5">
      <c r="A155" s="1625"/>
      <c r="B155" s="2439" t="str">
        <f>_xlfn.LET(_xlpm.IsNotAttrDynamic,D155="",_xlpm.Attr,_PL!F155,_xlpm.NotInUse,Y155=D155,_xlpm.RESULT,IF(_xlpm.IsNotAttrDynamic,_xlpm.Attr,IF(_xlpm.NotInUse,"",Y155)),IF(_xlpm.RESULT="","",_xlpm.RESULT))</f>
        <v/>
      </c>
      <c r="C155" s="2439" t="str" cm="1">
        <f t="array" ref="C155">IFBLANK(_PL!C155,"")</f>
        <v/>
      </c>
      <c r="D155" s="1548"/>
      <c r="E155" s="2453"/>
      <c r="F155" s="578"/>
      <c r="G155" s="578"/>
      <c r="H155" s="578"/>
      <c r="I155" s="578"/>
      <c r="J155" s="401"/>
      <c r="K155" s="578" t="str">
        <f t="shared" si="47"/>
        <v>No</v>
      </c>
      <c r="L155" s="37"/>
      <c r="N155" s="158"/>
      <c r="O155" s="101"/>
      <c r="P155" s="52"/>
      <c r="Q155" s="101"/>
      <c r="R155" s="101"/>
      <c r="S155" s="101"/>
      <c r="T155" s="101"/>
      <c r="U155" s="39"/>
      <c r="V155" s="37"/>
      <c r="W155" s="91"/>
      <c r="X155" s="887"/>
      <c r="Y155" s="136"/>
      <c r="Z155" s="792"/>
      <c r="AA155" s="97"/>
      <c r="AB155" s="97"/>
      <c r="AC155" s="128"/>
      <c r="AD155" s="179"/>
      <c r="AE155" s="179"/>
      <c r="AF155" s="179"/>
      <c r="AG155" s="179"/>
      <c r="AH155" s="179"/>
      <c r="AI155" s="179"/>
      <c r="AJ155" s="179"/>
      <c r="AK155" s="179"/>
      <c r="AL155" s="179"/>
      <c r="AM155" s="179"/>
      <c r="AN155" s="179"/>
      <c r="AO155" s="179"/>
      <c r="AP155" s="179"/>
      <c r="AQ155" s="179"/>
      <c r="AR155" s="179"/>
      <c r="AS155" s="179"/>
      <c r="AT155" s="179"/>
      <c r="AU155" s="566"/>
      <c r="AV155" s="566"/>
      <c r="AW155" s="566"/>
      <c r="AX155" s="566"/>
      <c r="AY155" s="566"/>
      <c r="AZ155" s="566"/>
      <c r="BA155" s="566"/>
      <c r="BB155" s="566"/>
      <c r="BC155" s="566"/>
      <c r="BD155" s="566"/>
      <c r="BE155" s="566"/>
      <c r="BF155" s="566"/>
      <c r="BG155" s="566"/>
      <c r="BH155" s="566"/>
      <c r="BI155" s="566"/>
      <c r="BJ155" s="566"/>
      <c r="BK155" s="566"/>
      <c r="BL155" s="566"/>
      <c r="BM155" s="566"/>
      <c r="BN155" s="566"/>
      <c r="BO155" s="566"/>
      <c r="BP155" s="566"/>
      <c r="BQ155" s="566"/>
      <c r="BR155" s="566"/>
      <c r="BS155" s="566"/>
      <c r="BT155" s="566"/>
      <c r="BU155" s="566"/>
      <c r="BV155" s="566"/>
      <c r="BW155" s="566"/>
      <c r="BX155" s="566"/>
      <c r="BY155" s="566"/>
      <c r="BZ155" s="566"/>
      <c r="CA155" s="34"/>
      <c r="CC155" s="958"/>
      <c r="CD155" s="182"/>
      <c r="CE155" s="182"/>
      <c r="CF155" s="182"/>
      <c r="CG155" s="182"/>
      <c r="CH155" s="182"/>
      <c r="CI155" s="88"/>
      <c r="CJ155" s="172"/>
      <c r="CK155" s="172"/>
      <c r="CL155" s="88"/>
      <c r="CM155" s="88"/>
      <c r="CN155" s="88"/>
      <c r="CO155" s="88"/>
      <c r="CP155" s="88"/>
      <c r="CQ155" s="88"/>
      <c r="CR155" s="34"/>
      <c r="CS155" s="2056"/>
      <c r="CT155" s="1880"/>
      <c r="CU155" s="1880"/>
      <c r="CV155" s="1880"/>
      <c r="CW155" s="1880"/>
      <c r="CX155" s="2121"/>
      <c r="CY155" s="1880"/>
      <c r="CZ155" s="1880"/>
      <c r="DA155" s="1880"/>
      <c r="DB155" s="1880"/>
      <c r="DC155" s="2121"/>
      <c r="DD155" s="1880"/>
      <c r="DE155" s="1880"/>
      <c r="DF155" s="1880"/>
      <c r="DG155" s="1880"/>
      <c r="DH155" s="1880"/>
      <c r="DI155" s="1880"/>
      <c r="DJ155" s="1880"/>
      <c r="DK155" s="1880"/>
      <c r="DL155" s="1880"/>
      <c r="DM155" s="1880"/>
      <c r="DN155" s="1880"/>
      <c r="DO155" s="1880"/>
      <c r="DP155" s="1880"/>
      <c r="DQ155" s="1880"/>
      <c r="DR155" s="1880"/>
      <c r="DS155" s="1880"/>
      <c r="DT155" s="1880"/>
      <c r="DU155" s="1880"/>
      <c r="DV155" s="1880"/>
      <c r="DW155" s="1880"/>
      <c r="DX155" s="1880"/>
      <c r="DY155" s="1880"/>
      <c r="DZ155" s="1880"/>
      <c r="EA155" s="1880"/>
      <c r="EB155" s="1880"/>
      <c r="EC155" s="1880"/>
      <c r="ED155" s="1880"/>
      <c r="EE155" s="1880"/>
      <c r="EF155" s="1880"/>
      <c r="EG155" s="1880"/>
      <c r="EH155" s="1880"/>
      <c r="EI155" s="1880"/>
      <c r="EJ155" s="1880"/>
      <c r="EK155" s="1880"/>
      <c r="EL155" s="1880"/>
      <c r="EM155" s="1880"/>
      <c r="EN155" s="1880"/>
      <c r="EO155" s="1880"/>
      <c r="EP155" s="1880"/>
      <c r="EQ155" s="1880"/>
      <c r="ER155" s="1880"/>
      <c r="ES155" s="1880"/>
      <c r="ET155" s="1880"/>
      <c r="EU155" s="1880"/>
      <c r="EV155" s="1880"/>
      <c r="EW155" s="1880"/>
      <c r="EX155" s="1880"/>
    </row>
    <row r="156" spans="1:154" ht="22.5">
      <c r="A156" s="1625"/>
      <c r="B156" s="2439" t="str">
        <f>_xlfn.LET(_xlpm.IsNotAttrDynamic,D156="",_xlpm.Attr,_PL!F156,_xlpm.NotInUse,Y156=D156,_xlpm.RESULT,IF(_xlpm.IsNotAttrDynamic,_xlpm.Attr,IF(_xlpm.NotInUse,"",Y156)),IF(_xlpm.RESULT="","",_xlpm.RESULT))</f>
        <v/>
      </c>
      <c r="C156" s="2439" t="str" cm="1">
        <f t="array" ref="C156">IFBLANK(_PL!C156,"")</f>
        <v/>
      </c>
      <c r="D156" s="1548"/>
      <c r="E156" s="2453"/>
      <c r="F156" s="578"/>
      <c r="G156" s="578"/>
      <c r="H156" s="510"/>
      <c r="I156" s="510"/>
      <c r="J156" s="401"/>
      <c r="K156" s="578" t="str">
        <f t="shared" si="47"/>
        <v>No</v>
      </c>
      <c r="L156" s="37"/>
      <c r="N156" s="158"/>
      <c r="O156" s="101"/>
      <c r="P156" s="52"/>
      <c r="Q156" s="101"/>
      <c r="R156" s="101"/>
      <c r="S156" s="101"/>
      <c r="T156" s="101"/>
      <c r="U156" s="39"/>
      <c r="V156" s="37"/>
      <c r="W156" s="165"/>
      <c r="X156" s="887"/>
      <c r="Y156" s="155"/>
      <c r="Z156" s="788"/>
      <c r="AA156" s="97"/>
      <c r="AB156" s="97"/>
      <c r="AC156" s="128"/>
      <c r="AD156" s="164"/>
      <c r="AE156" s="164"/>
      <c r="AF156" s="164"/>
      <c r="AG156" s="164"/>
      <c r="AH156" s="164"/>
      <c r="AI156" s="164"/>
      <c r="AJ156" s="164"/>
      <c r="AK156" s="164"/>
      <c r="AL156" s="164"/>
      <c r="AM156" s="164"/>
      <c r="AN156" s="164"/>
      <c r="AO156" s="164"/>
      <c r="AP156" s="164"/>
      <c r="AQ156" s="164"/>
      <c r="AR156" s="164"/>
      <c r="AS156" s="164"/>
      <c r="AT156" s="164"/>
      <c r="AU156" s="164"/>
      <c r="AV156" s="164"/>
      <c r="AW156" s="164"/>
      <c r="AX156" s="164"/>
      <c r="AY156" s="164"/>
      <c r="AZ156" s="164"/>
      <c r="BA156" s="164"/>
      <c r="BB156" s="164"/>
      <c r="BC156" s="164"/>
      <c r="BD156" s="164"/>
      <c r="BE156" s="164"/>
      <c r="BF156" s="164"/>
      <c r="BG156" s="164"/>
      <c r="BH156" s="164"/>
      <c r="BI156" s="164"/>
      <c r="BJ156" s="164"/>
      <c r="BK156" s="164"/>
      <c r="BL156" s="164"/>
      <c r="BM156" s="164"/>
      <c r="BN156" s="164"/>
      <c r="BO156" s="164"/>
      <c r="BP156" s="164"/>
      <c r="BQ156" s="164"/>
      <c r="BR156" s="164"/>
      <c r="BS156" s="164"/>
      <c r="BT156" s="164"/>
      <c r="BU156" s="164"/>
      <c r="BV156" s="164"/>
      <c r="BW156" s="164"/>
      <c r="BX156" s="164"/>
      <c r="BY156" s="164"/>
      <c r="BZ156" s="164"/>
      <c r="CA156" s="34"/>
      <c r="CC156" s="958"/>
      <c r="CD156" s="3024" t="s">
        <v>41</v>
      </c>
      <c r="CE156" s="3025"/>
      <c r="CF156" s="1472"/>
      <c r="CG156" s="3026" t="s">
        <v>109</v>
      </c>
      <c r="CH156" s="3027"/>
      <c r="CI156" s="1473"/>
      <c r="CJ156" s="3022" t="s">
        <v>43</v>
      </c>
      <c r="CK156" s="3023"/>
      <c r="CL156" s="1473"/>
      <c r="CM156" s="3015" t="s">
        <v>44</v>
      </c>
      <c r="CN156" s="3016"/>
      <c r="CO156" s="1470"/>
      <c r="CP156" s="3015" t="s">
        <v>45</v>
      </c>
      <c r="CQ156" s="3016"/>
      <c r="CR156" s="34"/>
      <c r="CS156" s="2056"/>
      <c r="CT156" s="1880"/>
      <c r="CU156" s="1880"/>
      <c r="CV156" s="1880"/>
      <c r="CW156" s="1880"/>
      <c r="CX156" s="2121"/>
      <c r="CY156" s="1880"/>
      <c r="CZ156" s="1880"/>
      <c r="DA156" s="1880"/>
      <c r="DB156" s="1880"/>
      <c r="DC156" s="2121"/>
      <c r="DD156" s="1880"/>
      <c r="DE156" s="1880"/>
      <c r="DF156" s="1880"/>
      <c r="DG156" s="1880"/>
      <c r="DH156" s="1880"/>
      <c r="DI156" s="1880"/>
      <c r="DJ156" s="1880"/>
      <c r="DK156" s="1880"/>
      <c r="DL156" s="1880"/>
      <c r="DM156" s="1880"/>
      <c r="DN156" s="1880"/>
      <c r="DO156" s="1880"/>
      <c r="DP156" s="1880"/>
      <c r="DQ156" s="1880"/>
      <c r="DR156" s="1880"/>
      <c r="DS156" s="1880"/>
      <c r="DT156" s="1880"/>
      <c r="DU156" s="1880"/>
      <c r="DV156" s="1880"/>
      <c r="DW156" s="1880"/>
      <c r="DX156" s="1880"/>
      <c r="DY156" s="1880"/>
      <c r="DZ156" s="1880"/>
      <c r="EA156" s="1880"/>
      <c r="EB156" s="1880"/>
      <c r="EC156" s="1880"/>
      <c r="ED156" s="1880"/>
      <c r="EE156" s="1880"/>
      <c r="EF156" s="1880"/>
      <c r="EG156" s="1880"/>
      <c r="EH156" s="1880"/>
      <c r="EI156" s="1880"/>
      <c r="EJ156" s="1880"/>
      <c r="EK156" s="1880"/>
      <c r="EL156" s="1880"/>
      <c r="EM156" s="1880"/>
      <c r="EN156" s="1880"/>
      <c r="EO156" s="1880"/>
      <c r="EP156" s="1880"/>
      <c r="EQ156" s="1880"/>
      <c r="ER156" s="1880"/>
      <c r="ES156" s="1880"/>
      <c r="ET156" s="1880"/>
      <c r="EU156" s="1880"/>
      <c r="EV156" s="1880"/>
      <c r="EW156" s="1880"/>
      <c r="EX156" s="1880"/>
    </row>
    <row r="157" spans="1:154" ht="17.5" customHeight="1">
      <c r="A157" s="2427"/>
      <c r="B157" s="2439" t="str">
        <f>_xlfn.LET(_xlpm.IsNotAttrDynamic,D157="",_xlpm.Attr,_PL!F157,_xlpm.NotInUse,Y157=D157,_xlpm.RESULT,IF(_xlpm.IsNotAttrDynamic,_xlpm.Attr,IF(_xlpm.NotInUse,"",Y157)),IF(_xlpm.RESULT="","",_xlpm.RESULT))</f>
        <v/>
      </c>
      <c r="C157" s="2439" t="str" cm="1">
        <f t="array" ref="C157">IFBLANK(_PL!C157,"")</f>
        <v/>
      </c>
      <c r="D157" s="2458"/>
      <c r="E157" s="572"/>
      <c r="F157" s="2459"/>
      <c r="G157" s="578"/>
      <c r="H157" s="578"/>
      <c r="I157" s="578"/>
      <c r="J157" s="401"/>
      <c r="K157" s="578" t="str">
        <f t="shared" si="47"/>
        <v>No</v>
      </c>
      <c r="L157" s="37"/>
      <c r="N157" s="158"/>
      <c r="O157" s="101"/>
      <c r="P157" s="52"/>
      <c r="Q157" s="2"/>
      <c r="R157" s="101"/>
      <c r="S157" s="2"/>
      <c r="T157" s="2"/>
      <c r="U157" s="39"/>
      <c r="V157" s="37"/>
      <c r="W157" s="3038" t="str">
        <f>_PL!W157</f>
        <v>Actual</v>
      </c>
      <c r="X157" s="1247"/>
      <c r="Y157" s="3040" t="s">
        <v>131</v>
      </c>
      <c r="Z157" s="1248" t="s">
        <v>82</v>
      </c>
      <c r="AA157" s="1249"/>
      <c r="AB157" s="1630" t="s">
        <v>83</v>
      </c>
      <c r="AC157" s="1273"/>
      <c r="AD157" s="3186" cm="1">
        <f t="array" ca="1" aca="1" ref="AD157:AD158">fx_checkComp(AD164:AD167)</f>
        <v>1</v>
      </c>
      <c r="AE157" s="3186" cm="1">
        <f t="array" ca="1" aca="1" ref="AE157:AE158">fx_checkComp(AE164:AE167)</f>
        <v>1</v>
      </c>
      <c r="AF157" s="3186" cm="1">
        <f t="array" ca="1" aca="1" ref="AF157:AF158">fx_checkComp(AF164:AF167)</f>
        <v>1</v>
      </c>
      <c r="AG157" s="3186" cm="1">
        <f t="array" ca="1" aca="1" ref="AG157:AG158">fx_checkComp(AG164:AG167)</f>
        <v>1</v>
      </c>
      <c r="AH157" s="3186" cm="1">
        <f t="array" ca="1" aca="1" ref="AH157:AH158">fx_checkComp(AH164:AH167)</f>
        <v>1</v>
      </c>
      <c r="AI157" s="3186" cm="1">
        <f t="array" ca="1" aca="1" ref="AI157:AI158">fx_checkComp(AI164:AI167)</f>
        <v>1</v>
      </c>
      <c r="AJ157" s="3186" cm="1">
        <f t="array" ca="1" aca="1" ref="AJ157:AJ158">fx_checkComp(AJ164:AJ167)</f>
        <v>1</v>
      </c>
      <c r="AK157" s="3186" cm="1">
        <f t="array" ca="1" aca="1" ref="AK157:AK158">fx_checkComp(AK164:AK167)</f>
        <v>1</v>
      </c>
      <c r="AL157" s="3186" cm="1">
        <f t="array" ca="1" aca="1" ref="AL157:AL158">fx_checkComp(AL164:AL167)</f>
        <v>1</v>
      </c>
      <c r="AM157" s="3186" cm="1">
        <f t="array" ca="1" aca="1" ref="AM157:AM158">fx_checkComp(AM164:AM167)</f>
        <v>1</v>
      </c>
      <c r="AN157" s="3186" cm="1">
        <f t="array" ca="1" aca="1" ref="AN157:AN158">fx_checkComp(AN164:AN167)</f>
        <v>1</v>
      </c>
      <c r="AO157" s="3186" cm="1">
        <f t="array" ca="1" aca="1" ref="AO157:AO158">fx_checkComp(AO164:AO167)</f>
        <v>1</v>
      </c>
      <c r="AP157" s="3186" cm="1">
        <f t="array" ca="1" aca="1" ref="AP157:AP158">fx_checkComp(AP164:AP167)</f>
        <v>1</v>
      </c>
      <c r="AQ157" s="3186" cm="1">
        <f t="array" ca="1" aca="1" ref="AQ157:AQ158">fx_checkComp(AQ164:AQ167)</f>
        <v>1</v>
      </c>
      <c r="AR157" s="3186" cm="1">
        <f t="array" ca="1" aca="1" ref="AR157:AR158">fx_checkComp(AR164:AR167)</f>
        <v>1</v>
      </c>
      <c r="AS157" s="3186" cm="1">
        <f t="array" ca="1" aca="1" ref="AS157:AS158">fx_checkComp(AS164:AS167)</f>
        <v>1</v>
      </c>
      <c r="AT157" s="3186" cm="1">
        <f t="array" ca="1" aca="1" ref="AT157:AT158">fx_checkComp(AT164:AT167)</f>
        <v>1</v>
      </c>
      <c r="AU157" s="3186" cm="1">
        <f t="array" ca="1" aca="1" ref="AU157:AU158">fx_checkComp(AU164:AU167)</f>
        <v>1</v>
      </c>
      <c r="AV157" s="3186" cm="1">
        <f t="array" ca="1" aca="1" ref="AV157:AV158">fx_checkComp(AV164:AV167)</f>
        <v>1</v>
      </c>
      <c r="AW157" s="3186" cm="1">
        <f t="array" ca="1" aca="1" ref="AW157:AW158">fx_checkComp(AW164:AW167)</f>
        <v>1</v>
      </c>
      <c r="AX157" s="3186" cm="1">
        <f t="array" ca="1" aca="1" ref="AX157:AX158">fx_checkComp(AX164:AX167)</f>
        <v>1</v>
      </c>
      <c r="AY157" s="3186" cm="1">
        <f t="array" ca="1" aca="1" ref="AY157:AY158">fx_checkComp(AY164:AY167)</f>
        <v>1</v>
      </c>
      <c r="AZ157" s="3186" cm="1">
        <f t="array" ca="1" aca="1" ref="AZ157:AZ158">fx_checkComp(AZ164:AZ167)</f>
        <v>1</v>
      </c>
      <c r="BA157" s="3186" cm="1">
        <f t="array" ca="1" aca="1" ref="BA157:BA158">fx_checkComp(BA164:BA167)</f>
        <v>1</v>
      </c>
      <c r="BB157" s="3186" cm="1">
        <f t="array" ca="1" aca="1" ref="BB157:BB158">fx_checkComp(BB164:BB167)</f>
        <v>1</v>
      </c>
      <c r="BC157" s="3186" cm="1">
        <f t="array" ca="1" aca="1" ref="BC157:BC158">fx_checkComp(BC164:BC167)</f>
        <v>1</v>
      </c>
      <c r="BD157" s="3186" cm="1">
        <f t="array" ca="1" aca="1" ref="BD157:BD158">fx_checkComp(BD164:BD167)</f>
        <v>1</v>
      </c>
      <c r="BE157" s="3186" cm="1">
        <f t="array" ca="1" aca="1" ref="BE157:BE158">fx_checkComp(BE164:BE167)</f>
        <v>1</v>
      </c>
      <c r="BF157" s="3186" cm="1">
        <f t="array" ca="1" aca="1" ref="BF157:BF158">fx_checkComp(BF164:BF167)</f>
        <v>1</v>
      </c>
      <c r="BG157" s="3186" cm="1">
        <f t="array" ca="1" aca="1" ref="BG157:BG158">fx_checkComp(BG164:BG167)</f>
        <v>1</v>
      </c>
      <c r="BH157" s="3186" cm="1">
        <f t="array" ca="1" aca="1" ref="BH157:BH158">fx_checkComp(BH164:BH167)</f>
        <v>1</v>
      </c>
      <c r="BI157" s="3186" cm="1">
        <f t="array" ca="1" aca="1" ref="BI157:BI158">fx_checkComp(BI164:BI167)</f>
        <v>1</v>
      </c>
      <c r="BJ157" s="3186" cm="1">
        <f t="array" ca="1" aca="1" ref="BJ157:BJ158">fx_checkComp(BJ164:BJ167)</f>
        <v>1</v>
      </c>
      <c r="BK157" s="3186" cm="1">
        <f t="array" ca="1" aca="1" ref="BK157:BK158">fx_checkComp(BK164:BK167)</f>
        <v>1</v>
      </c>
      <c r="BL157" s="3186" cm="1">
        <f t="array" ca="1" aca="1" ref="BL157:BL158">fx_checkComp(BL164:BL167)</f>
        <v>1</v>
      </c>
      <c r="BM157" s="3186" cm="1">
        <f t="array" ca="1" aca="1" ref="BM157:BM158">fx_checkComp(BM164:BM167)</f>
        <v>1</v>
      </c>
      <c r="BN157" s="3187" cm="1">
        <f t="array" ca="1" aca="1" ref="BN157:BN158">fx_checkComp(BN164:BN167)</f>
        <v>1</v>
      </c>
      <c r="BO157" s="1804"/>
      <c r="BP157" s="1804"/>
      <c r="BQ157" s="1804"/>
      <c r="BR157" s="1804"/>
      <c r="BS157" s="1804"/>
      <c r="BT157" s="1804"/>
      <c r="BU157" s="1804"/>
      <c r="BV157" s="1804"/>
      <c r="BW157" s="1804"/>
      <c r="BX157" s="1804"/>
      <c r="BY157" s="1804"/>
      <c r="BZ157" s="1804"/>
      <c r="CA157" s="34"/>
      <c r="CC157" s="927"/>
      <c r="CD157" s="1343" t="e" cm="1">
        <f t="array" ca="1" aca="1" ref="CD157">YEAR(val_currentFYE)-2</f>
        <v>#NAME?</v>
      </c>
      <c r="CE157" s="1344" t="e" cm="1">
        <f t="array" ca="1" aca="1" ref="CE157">YEAR(val_currentFYE)-1</f>
        <v>#NAME?</v>
      </c>
      <c r="CF157" s="88"/>
      <c r="CG157" s="1350" t="e" cm="1">
        <f t="array" ca="1" aca="1" ref="CG157">YEAR(val_currentFYE)</f>
        <v>#NAME?</v>
      </c>
      <c r="CH157" s="1351" t="e" cm="1">
        <f t="array" ca="1" aca="1" ref="CH157">YEAR(val_currentFYE)</f>
        <v>#NAME?</v>
      </c>
      <c r="CI157" s="170"/>
      <c r="CJ157" s="208" t="s">
        <v>54</v>
      </c>
      <c r="CK157" s="209" t="s">
        <v>54</v>
      </c>
      <c r="CL157" s="88"/>
      <c r="CM157" s="1664" cm="1">
        <f t="array" ca="1" aca="1" ref="CM157:CM158">fx_checkComp(CM162:CM167)</f>
        <v>100</v>
      </c>
      <c r="CN157" s="1665" cm="1">
        <f t="array" ca="1" aca="1" ref="CN157:CN158">fx_checkComp(CN162:CN167)</f>
        <v>100</v>
      </c>
      <c r="CO157" s="88"/>
      <c r="CP157" s="1664" cm="1">
        <f t="array" ca="1" aca="1" ref="CP157:CP158">fx_checkComp(CP162:CP167)</f>
        <v>100</v>
      </c>
      <c r="CQ157" s="1665" cm="1">
        <f t="array" ca="1" aca="1" ref="CQ157:CQ158">fx_checkComp(CQ162:CQ167)</f>
        <v>100</v>
      </c>
      <c r="CR157" s="34"/>
      <c r="CS157" s="2056"/>
      <c r="CT157" s="1880"/>
      <c r="CU157" s="1880"/>
      <c r="CV157" s="1880"/>
      <c r="CW157" s="1880"/>
      <c r="CX157" s="2121"/>
      <c r="CY157" s="1880"/>
      <c r="CZ157" s="1880"/>
      <c r="DA157" s="1880"/>
      <c r="DB157" s="1880"/>
      <c r="DC157" s="2121"/>
      <c r="DD157" s="1880"/>
      <c r="DE157" s="1880"/>
      <c r="DF157" s="1880"/>
      <c r="DG157" s="1880"/>
      <c r="DH157" s="1880"/>
      <c r="DI157" s="1880"/>
      <c r="DJ157" s="1880"/>
      <c r="DK157" s="1880"/>
      <c r="DL157" s="1880"/>
      <c r="DM157" s="1880"/>
      <c r="DN157" s="1880"/>
      <c r="DO157" s="1880"/>
      <c r="DP157" s="1880"/>
      <c r="DQ157" s="1880"/>
      <c r="DR157" s="1880"/>
      <c r="DS157" s="1880"/>
      <c r="DT157" s="1880"/>
      <c r="DU157" s="1880"/>
      <c r="DV157" s="1880"/>
      <c r="DW157" s="1880"/>
      <c r="DX157" s="1880"/>
      <c r="DY157" s="1880"/>
      <c r="DZ157" s="1880"/>
      <c r="EA157" s="1880"/>
      <c r="EB157" s="1880"/>
      <c r="EC157" s="1880"/>
      <c r="ED157" s="1880"/>
      <c r="EE157" s="1880"/>
      <c r="EF157" s="1880"/>
      <c r="EG157" s="1880"/>
      <c r="EH157" s="1880"/>
      <c r="EI157" s="1880"/>
      <c r="EJ157" s="1880"/>
      <c r="EK157" s="1880"/>
      <c r="EL157" s="1880"/>
      <c r="EM157" s="1880"/>
      <c r="EN157" s="1880"/>
      <c r="EO157" s="1880"/>
      <c r="EP157" s="1880"/>
      <c r="EQ157" s="1880"/>
      <c r="ER157" s="1880"/>
      <c r="ES157" s="1880"/>
      <c r="ET157" s="1880"/>
      <c r="EU157" s="1880"/>
      <c r="EV157" s="1880"/>
      <c r="EW157" s="1880"/>
      <c r="EX157" s="1880"/>
    </row>
    <row r="158" spans="1:154" ht="17.5" customHeight="1">
      <c r="A158" s="2427"/>
      <c r="B158" s="2439" t="str">
        <f>_xlfn.LET(_xlpm.IsNotAttrDynamic,D158="",_xlpm.Attr,_PL!F158,_xlpm.NotInUse,Y158=D158,_xlpm.RESULT,IF(_xlpm.IsNotAttrDynamic,_xlpm.Attr,IF(_xlpm.NotInUse,"",Y158)),IF(_xlpm.RESULT="","",_xlpm.RESULT))</f>
        <v/>
      </c>
      <c r="C158" s="2439" t="str" cm="1">
        <f t="array" ref="C158">IFBLANK(_PL!C158,"")</f>
        <v/>
      </c>
      <c r="D158" s="2458"/>
      <c r="E158" s="572"/>
      <c r="F158" s="2459"/>
      <c r="G158" s="578"/>
      <c r="H158" s="578"/>
      <c r="I158" s="578"/>
      <c r="J158" s="401"/>
      <c r="K158" s="578" t="str">
        <f t="shared" si="47"/>
        <v>No</v>
      </c>
      <c r="L158" s="37"/>
      <c r="N158" s="158"/>
      <c r="O158" s="101"/>
      <c r="P158" s="52"/>
      <c r="Q158" s="2"/>
      <c r="R158" s="101"/>
      <c r="S158" s="2"/>
      <c r="T158" s="2"/>
      <c r="U158" s="39"/>
      <c r="V158" s="37"/>
      <c r="W158" s="3039"/>
      <c r="X158" s="1250"/>
      <c r="Y158" s="3041"/>
      <c r="Z158" s="1251"/>
      <c r="AA158" s="1252"/>
      <c r="AB158" s="1631" t="s">
        <v>84</v>
      </c>
      <c r="AC158" s="1162"/>
      <c r="AD158" s="2430" t="str">
        <f ca="1"/>
        <v>O: 4 / 4</v>
      </c>
      <c r="AE158" s="2430" t="str">
        <f ca="1"/>
        <v>O: 4 / 4</v>
      </c>
      <c r="AF158" s="2430" t="str">
        <f ca="1"/>
        <v>O: 4 / 4</v>
      </c>
      <c r="AG158" s="2430" t="str">
        <f ca="1"/>
        <v>O: 4 / 4</v>
      </c>
      <c r="AH158" s="2430" t="str">
        <f ca="1"/>
        <v>O: 4 / 4</v>
      </c>
      <c r="AI158" s="2430" t="str">
        <f ca="1"/>
        <v>O: 4 / 4</v>
      </c>
      <c r="AJ158" s="2430" t="str">
        <f ca="1"/>
        <v>O: 4 / 4</v>
      </c>
      <c r="AK158" s="2430" t="str">
        <f ca="1"/>
        <v>O: 4 / 4</v>
      </c>
      <c r="AL158" s="2430" t="str">
        <f ca="1"/>
        <v>O: 4 / 4</v>
      </c>
      <c r="AM158" s="2430" t="str">
        <f ca="1"/>
        <v>O: 4 / 4</v>
      </c>
      <c r="AN158" s="2430" t="str">
        <f ca="1"/>
        <v>O: 4 / 4</v>
      </c>
      <c r="AO158" s="2430" t="str">
        <f ca="1"/>
        <v>O: 4 / 4</v>
      </c>
      <c r="AP158" s="2430" t="str">
        <f ca="1"/>
        <v>O: 4 / 4</v>
      </c>
      <c r="AQ158" s="2430" t="str">
        <f ca="1"/>
        <v>O: 4 / 4</v>
      </c>
      <c r="AR158" s="2430" t="str">
        <f ca="1"/>
        <v>O: 4 / 4</v>
      </c>
      <c r="AS158" s="2430" t="str">
        <f ca="1"/>
        <v>O: 4 / 4</v>
      </c>
      <c r="AT158" s="2430" t="str">
        <f ca="1"/>
        <v>O: 4 / 4</v>
      </c>
      <c r="AU158" s="2430" t="str">
        <f ca="1"/>
        <v>O: 4 / 4</v>
      </c>
      <c r="AV158" s="2430" t="str">
        <f ca="1"/>
        <v>O: 4 / 4</v>
      </c>
      <c r="AW158" s="2430" t="str">
        <f ca="1"/>
        <v>O: 4 / 4</v>
      </c>
      <c r="AX158" s="2430" t="str">
        <f ca="1"/>
        <v>O: 4 / 4</v>
      </c>
      <c r="AY158" s="2430" t="str">
        <f ca="1"/>
        <v>O: 4 / 4</v>
      </c>
      <c r="AZ158" s="2430" t="str">
        <f ca="1"/>
        <v>O: 4 / 4</v>
      </c>
      <c r="BA158" s="2430" t="str">
        <f ca="1"/>
        <v>O: 4 / 4</v>
      </c>
      <c r="BB158" s="2430" t="str">
        <f ca="1"/>
        <v>O: 4 / 4</v>
      </c>
      <c r="BC158" s="2430" t="str">
        <f ca="1"/>
        <v>O: 4 / 4</v>
      </c>
      <c r="BD158" s="2430" t="str">
        <f ca="1"/>
        <v>O: 4 / 4</v>
      </c>
      <c r="BE158" s="2430" t="str">
        <f ca="1"/>
        <v>O: 4 / 4</v>
      </c>
      <c r="BF158" s="2430" t="str">
        <f ca="1"/>
        <v>O: 4 / 4</v>
      </c>
      <c r="BG158" s="2430" t="str">
        <f ca="1"/>
        <v>O: 4 / 4</v>
      </c>
      <c r="BH158" s="2430" t="str">
        <f ca="1"/>
        <v>O: 4 / 4</v>
      </c>
      <c r="BI158" s="2430" t="str">
        <f ca="1"/>
        <v>O: 4 / 4</v>
      </c>
      <c r="BJ158" s="2430" t="str">
        <f ca="1"/>
        <v>O: 4 / 4</v>
      </c>
      <c r="BK158" s="2430" t="str">
        <f ca="1"/>
        <v>O: 4 / 4</v>
      </c>
      <c r="BL158" s="2430" t="str">
        <f ca="1"/>
        <v>O: 4 / 4</v>
      </c>
      <c r="BM158" s="2430" t="str">
        <f ca="1"/>
        <v>O: 4 / 4</v>
      </c>
      <c r="BN158" s="2431" t="str">
        <f ca="1"/>
        <v>O: 4 / 4</v>
      </c>
      <c r="BO158" s="2432"/>
      <c r="BP158" s="2432"/>
      <c r="BQ158" s="2432"/>
      <c r="BR158" s="2432"/>
      <c r="BS158" s="2432"/>
      <c r="BT158" s="2432"/>
      <c r="BU158" s="2432"/>
      <c r="BV158" s="2432"/>
      <c r="BW158" s="2432"/>
      <c r="BX158" s="2432"/>
      <c r="BY158" s="2432"/>
      <c r="BZ158" s="2432"/>
      <c r="CA158" s="34"/>
      <c r="CC158" s="927"/>
      <c r="CD158" s="1341"/>
      <c r="CE158" s="1342"/>
      <c r="CF158" s="88"/>
      <c r="CG158" s="1350"/>
      <c r="CH158" s="1351"/>
      <c r="CI158" s="170"/>
      <c r="CJ158" s="1348"/>
      <c r="CK158" s="1349"/>
      <c r="CL158" s="88"/>
      <c r="CM158" s="1666" t="str">
        <f ca="1"/>
        <v>O: 4 / 4</v>
      </c>
      <c r="CN158" s="1667" t="str">
        <f ca="1"/>
        <v>O: 4 / 4</v>
      </c>
      <c r="CO158" s="88"/>
      <c r="CP158" s="1666" t="str">
        <f ca="1"/>
        <v>O: 4 / 4</v>
      </c>
      <c r="CQ158" s="1667" t="str">
        <f ca="1"/>
        <v>O: 4 / 4</v>
      </c>
      <c r="CR158" s="34"/>
      <c r="CS158" s="2056"/>
      <c r="CT158" s="1880"/>
      <c r="CU158" s="1880"/>
      <c r="CV158" s="1880"/>
      <c r="CW158" s="1880"/>
      <c r="CX158" s="2121"/>
      <c r="CY158" s="1880"/>
      <c r="CZ158" s="1880"/>
      <c r="DA158" s="1880"/>
      <c r="DB158" s="1880"/>
      <c r="DC158" s="2121"/>
      <c r="DD158" s="1880"/>
      <c r="DE158" s="1880"/>
      <c r="DF158" s="1880"/>
      <c r="DG158" s="1880"/>
      <c r="DH158" s="1880"/>
      <c r="DI158" s="1880"/>
      <c r="DJ158" s="1880"/>
      <c r="DK158" s="1880"/>
      <c r="DL158" s="1880"/>
      <c r="DM158" s="1880"/>
      <c r="DN158" s="1880"/>
      <c r="DO158" s="1880"/>
      <c r="DP158" s="1880"/>
      <c r="DQ158" s="1880"/>
      <c r="DR158" s="1880"/>
      <c r="DS158" s="1880"/>
      <c r="DT158" s="1880"/>
      <c r="DU158" s="1880"/>
      <c r="DV158" s="1880"/>
      <c r="DW158" s="1880"/>
      <c r="DX158" s="1880"/>
      <c r="DY158" s="1880"/>
      <c r="DZ158" s="1880"/>
      <c r="EA158" s="1880"/>
      <c r="EB158" s="1880"/>
      <c r="EC158" s="1880"/>
      <c r="ED158" s="1880"/>
      <c r="EE158" s="1880"/>
      <c r="EF158" s="1880"/>
      <c r="EG158" s="1880"/>
      <c r="EH158" s="1880"/>
      <c r="EI158" s="1880"/>
      <c r="EJ158" s="1880"/>
      <c r="EK158" s="1880"/>
      <c r="EL158" s="1880"/>
      <c r="EM158" s="1880"/>
      <c r="EN158" s="1880"/>
      <c r="EO158" s="1880"/>
      <c r="EP158" s="1880"/>
      <c r="EQ158" s="1880"/>
      <c r="ER158" s="1880"/>
      <c r="ES158" s="1880"/>
      <c r="ET158" s="1880"/>
      <c r="EU158" s="1880"/>
      <c r="EV158" s="1880"/>
      <c r="EW158" s="1880"/>
      <c r="EX158" s="1880"/>
    </row>
    <row r="159" spans="1:154" ht="30.75" customHeight="1">
      <c r="A159" s="1627"/>
      <c r="B159" s="2439" t="str">
        <f>_xlfn.LET(_xlpm.IsNotAttrDynamic,D159="",_xlpm.Attr,_PL!F159,_xlpm.NotInUse,Y159=D159,_xlpm.RESULT,IF(_xlpm.IsNotAttrDynamic,_xlpm.Attr,IF(_xlpm.NotInUse,"",Y159)),IF(_xlpm.RESULT="","",_xlpm.RESULT))</f>
        <v/>
      </c>
      <c r="C159" s="2439" t="str" cm="1">
        <f t="array" ref="C159">IFBLANK(_PL!C159,"")</f>
        <v/>
      </c>
      <c r="D159" s="1548"/>
      <c r="E159" s="2453"/>
      <c r="F159" s="572"/>
      <c r="G159" s="572"/>
      <c r="H159" s="572"/>
      <c r="I159" s="572">
        <v>3</v>
      </c>
      <c r="J159" s="401"/>
      <c r="K159" s="578" t="str">
        <f t="shared" si="47"/>
        <v>No</v>
      </c>
      <c r="L159" s="37"/>
      <c r="N159" s="158"/>
      <c r="O159" s="101"/>
      <c r="P159" s="52"/>
      <c r="Q159" s="101"/>
      <c r="R159" s="101"/>
      <c r="S159" s="101"/>
      <c r="T159" s="101"/>
      <c r="U159" s="39"/>
      <c r="V159" s="37"/>
      <c r="W159" s="161"/>
      <c r="X159" s="887"/>
      <c r="Y159" s="186"/>
      <c r="Z159" s="789"/>
      <c r="AA159" s="1629"/>
      <c r="AB159" s="162"/>
      <c r="AC159" s="195"/>
      <c r="AD159" s="2493" cm="1">
        <f t="array" ref="AD159:BN159">array_timeline</f>
        <v>44926</v>
      </c>
      <c r="AE159" s="2493">
        <v>44957</v>
      </c>
      <c r="AF159" s="2493">
        <v>44985</v>
      </c>
      <c r="AG159" s="2493">
        <v>45016</v>
      </c>
      <c r="AH159" s="2493">
        <v>45046</v>
      </c>
      <c r="AI159" s="2493">
        <v>45077</v>
      </c>
      <c r="AJ159" s="2493">
        <v>45107</v>
      </c>
      <c r="AK159" s="2493">
        <v>45138</v>
      </c>
      <c r="AL159" s="2493">
        <v>45169</v>
      </c>
      <c r="AM159" s="2493">
        <v>45199</v>
      </c>
      <c r="AN159" s="2493">
        <v>45230</v>
      </c>
      <c r="AO159" s="2493">
        <v>45260</v>
      </c>
      <c r="AP159" s="2493">
        <v>45291</v>
      </c>
      <c r="AQ159" s="2493">
        <v>45322</v>
      </c>
      <c r="AR159" s="2493">
        <v>45351</v>
      </c>
      <c r="AS159" s="2493">
        <v>45382</v>
      </c>
      <c r="AT159" s="2493">
        <v>45412</v>
      </c>
      <c r="AU159" s="2493">
        <v>45443</v>
      </c>
      <c r="AV159" s="2493">
        <v>45473</v>
      </c>
      <c r="AW159" s="2493">
        <v>45504</v>
      </c>
      <c r="AX159" s="2493">
        <v>45535</v>
      </c>
      <c r="AY159" s="2493">
        <v>45565</v>
      </c>
      <c r="AZ159" s="2493">
        <v>45596</v>
      </c>
      <c r="BA159" s="2493">
        <v>45626</v>
      </c>
      <c r="BB159" s="2493">
        <v>45657</v>
      </c>
      <c r="BC159" s="2493">
        <v>45688</v>
      </c>
      <c r="BD159" s="2493">
        <v>45716</v>
      </c>
      <c r="BE159" s="2493">
        <v>45747</v>
      </c>
      <c r="BF159" s="2493">
        <v>45777</v>
      </c>
      <c r="BG159" s="2493">
        <v>45808</v>
      </c>
      <c r="BH159" s="2493">
        <v>45838</v>
      </c>
      <c r="BI159" s="2493">
        <v>45869</v>
      </c>
      <c r="BJ159" s="2493">
        <v>45900</v>
      </c>
      <c r="BK159" s="2493">
        <v>45930</v>
      </c>
      <c r="BL159" s="2493">
        <v>45961</v>
      </c>
      <c r="BM159" s="2493">
        <v>45991</v>
      </c>
      <c r="BN159" s="2541">
        <v>46022</v>
      </c>
      <c r="BO159" s="2495"/>
      <c r="BP159" s="2495"/>
      <c r="BQ159" s="2495"/>
      <c r="BR159" s="2495"/>
      <c r="BS159" s="2495"/>
      <c r="BT159" s="2495"/>
      <c r="BU159" s="2495"/>
      <c r="BV159" s="2495"/>
      <c r="BW159" s="2495"/>
      <c r="BX159" s="2495"/>
      <c r="BY159" s="2495"/>
      <c r="BZ159" s="2495"/>
      <c r="CA159" s="34"/>
      <c r="CC159" s="2578"/>
      <c r="CD159" s="1722" t="e" cm="1">
        <f t="array" ca="1" aca="1" ref="CD159">EOMONTH(val_currentFYE,-24)</f>
        <v>#NAME?</v>
      </c>
      <c r="CE159" s="1723" t="e" cm="1">
        <f t="array" ca="1" aca="1" ref="CE159">EOMONTH(val_currentFYE,-12)</f>
        <v>#NAME?</v>
      </c>
      <c r="CF159" s="277"/>
      <c r="CG159" s="1732">
        <f>EOMONTH(val_asOfDate,0)</f>
        <v>46022</v>
      </c>
      <c r="CH159" s="1733">
        <f>EOMONTH(val_asOfDate,0)</f>
        <v>46022</v>
      </c>
      <c r="CI159" s="276"/>
      <c r="CJ159" s="1730">
        <f>EOMONTH(val_asOfDate,-1)</f>
        <v>45991</v>
      </c>
      <c r="CK159" s="1731">
        <f>EOMONTH(val_asOfDate,0)</f>
        <v>46022</v>
      </c>
      <c r="CL159" s="88"/>
      <c r="CM159" s="2563" t="e" cm="1">
        <f t="array" ca="1" aca="1" ref="CM159">val_currentFYE</f>
        <v>#NAME?</v>
      </c>
      <c r="CN159" s="2579" t="e" cm="1">
        <f t="array" ca="1" aca="1" ref="CN159">val_currentFYE</f>
        <v>#NAME?</v>
      </c>
      <c r="CO159" s="2580"/>
      <c r="CP159" s="2561" t="e" cm="1">
        <f t="array" ca="1" aca="1" ref="CP159">EOMONTH(val_currentFYE,12)</f>
        <v>#NAME?</v>
      </c>
      <c r="CQ159" s="2581" t="e" cm="1">
        <f t="array" ca="1" aca="1" ref="CQ159">EOMONTH(val_currentFYE,12)</f>
        <v>#NAME?</v>
      </c>
      <c r="CR159" s="34"/>
      <c r="CS159" s="2056"/>
      <c r="CT159" s="1880"/>
      <c r="CU159" s="1880"/>
      <c r="CV159" s="1880"/>
      <c r="CW159" s="1880"/>
      <c r="CX159" s="2121"/>
      <c r="CY159" s="1880"/>
      <c r="CZ159" s="1880"/>
      <c r="DA159" s="1880"/>
      <c r="DB159" s="1880"/>
      <c r="DC159" s="2121"/>
      <c r="DD159" s="1880"/>
      <c r="DE159" s="1880"/>
      <c r="DF159" s="1880"/>
      <c r="DG159" s="1880"/>
      <c r="DH159" s="1880"/>
      <c r="DI159" s="1880"/>
      <c r="DJ159" s="1880"/>
      <c r="DK159" s="1880"/>
      <c r="DL159" s="1880"/>
      <c r="DM159" s="1880"/>
      <c r="DN159" s="1880"/>
      <c r="DO159" s="1880"/>
      <c r="DP159" s="1880"/>
      <c r="DQ159" s="1880"/>
      <c r="DR159" s="1880"/>
      <c r="DS159" s="1880"/>
      <c r="DT159" s="1880"/>
      <c r="DU159" s="1880"/>
      <c r="DV159" s="1880"/>
      <c r="DW159" s="1880"/>
      <c r="DX159" s="1880"/>
      <c r="DY159" s="1880"/>
      <c r="DZ159" s="1880"/>
      <c r="EA159" s="1880"/>
      <c r="EB159" s="1880"/>
      <c r="EC159" s="1880"/>
      <c r="ED159" s="1880"/>
      <c r="EE159" s="1880"/>
      <c r="EF159" s="1880"/>
      <c r="EG159" s="1880"/>
      <c r="EH159" s="1880"/>
      <c r="EI159" s="1880"/>
      <c r="EJ159" s="1880"/>
      <c r="EK159" s="1880"/>
      <c r="EL159" s="1880"/>
      <c r="EM159" s="1880"/>
      <c r="EN159" s="1880"/>
      <c r="EO159" s="1880"/>
      <c r="EP159" s="1880"/>
      <c r="EQ159" s="1880"/>
      <c r="ER159" s="1880"/>
      <c r="ES159" s="1880"/>
      <c r="ET159" s="1880"/>
      <c r="EU159" s="1880"/>
      <c r="EV159" s="1880"/>
      <c r="EW159" s="1880"/>
      <c r="EX159" s="1880"/>
    </row>
    <row r="160" spans="1:154" ht="30.75" customHeight="1">
      <c r="A160" s="2449"/>
      <c r="B160" s="2439" t="str">
        <f>_xlfn.LET(_xlpm.IsNotAttrDynamic,D160="",_xlpm.Attr,_PL!F160,_xlpm.NotInUse,Y160=D160,_xlpm.RESULT,IF(_xlpm.IsNotAttrDynamic,_xlpm.Attr,IF(_xlpm.NotInUse,"",Y160)),IF(_xlpm.RESULT="","",_xlpm.RESULT))</f>
        <v/>
      </c>
      <c r="C160" s="2439" t="str" cm="1">
        <f t="array" ref="C160">IFBLANK(_PL!C160,"")</f>
        <v/>
      </c>
      <c r="D160" s="1548"/>
      <c r="E160" s="2453"/>
      <c r="F160" s="576"/>
      <c r="G160" s="576"/>
      <c r="H160" s="2546"/>
      <c r="I160" s="2546"/>
      <c r="J160" s="401"/>
      <c r="K160" s="578" t="str">
        <f t="shared" si="47"/>
        <v>No</v>
      </c>
      <c r="L160" s="37"/>
      <c r="N160" s="158"/>
      <c r="O160" s="101"/>
      <c r="P160" s="52"/>
      <c r="Q160" s="101"/>
      <c r="R160" s="101"/>
      <c r="S160" s="101"/>
      <c r="T160" s="101"/>
      <c r="U160" s="39"/>
      <c r="V160" s="37"/>
      <c r="W160" s="751" t="s">
        <v>94</v>
      </c>
      <c r="X160" s="896"/>
      <c r="Y160" s="762" t="s">
        <v>118</v>
      </c>
      <c r="Z160" s="790"/>
      <c r="AA160" s="193"/>
      <c r="AB160" s="193"/>
      <c r="AC160" s="125"/>
      <c r="AD160" s="2641" t="str">
        <f>$W$157</f>
        <v>Actual</v>
      </c>
      <c r="AE160" s="2641" t="str">
        <f t="shared" si="50" ref="AE160:BN160">$W$157</f>
        <v>Actual</v>
      </c>
      <c r="AF160" s="2641" t="str">
        <f t="shared" si="50"/>
        <v>Actual</v>
      </c>
      <c r="AG160" s="2641" t="str">
        <f t="shared" si="50"/>
        <v>Actual</v>
      </c>
      <c r="AH160" s="2641" t="str">
        <f t="shared" si="50"/>
        <v>Actual</v>
      </c>
      <c r="AI160" s="2641" t="str">
        <f t="shared" si="50"/>
        <v>Actual</v>
      </c>
      <c r="AJ160" s="2641" t="str">
        <f t="shared" si="50"/>
        <v>Actual</v>
      </c>
      <c r="AK160" s="2641" t="str">
        <f t="shared" si="50"/>
        <v>Actual</v>
      </c>
      <c r="AL160" s="2641" t="str">
        <f t="shared" si="50"/>
        <v>Actual</v>
      </c>
      <c r="AM160" s="2641" t="str">
        <f t="shared" si="50"/>
        <v>Actual</v>
      </c>
      <c r="AN160" s="2641" t="str">
        <f t="shared" si="50"/>
        <v>Actual</v>
      </c>
      <c r="AO160" s="2641" t="str">
        <f t="shared" si="50"/>
        <v>Actual</v>
      </c>
      <c r="AP160" s="2641" t="str">
        <f t="shared" si="50"/>
        <v>Actual</v>
      </c>
      <c r="AQ160" s="2641" t="str">
        <f t="shared" si="50"/>
        <v>Actual</v>
      </c>
      <c r="AR160" s="2641" t="str">
        <f t="shared" si="50"/>
        <v>Actual</v>
      </c>
      <c r="AS160" s="2641" t="str">
        <f t="shared" si="50"/>
        <v>Actual</v>
      </c>
      <c r="AT160" s="2641" t="str">
        <f t="shared" si="50"/>
        <v>Actual</v>
      </c>
      <c r="AU160" s="2641" t="str">
        <f t="shared" si="50"/>
        <v>Actual</v>
      </c>
      <c r="AV160" s="2641" t="str">
        <f t="shared" si="50"/>
        <v>Actual</v>
      </c>
      <c r="AW160" s="2641" t="str">
        <f t="shared" si="50"/>
        <v>Actual</v>
      </c>
      <c r="AX160" s="2641" t="str">
        <f t="shared" si="50"/>
        <v>Actual</v>
      </c>
      <c r="AY160" s="2641" t="str">
        <f t="shared" si="50"/>
        <v>Actual</v>
      </c>
      <c r="AZ160" s="2641" t="str">
        <f t="shared" si="50"/>
        <v>Actual</v>
      </c>
      <c r="BA160" s="2641" t="str">
        <f t="shared" si="50"/>
        <v>Actual</v>
      </c>
      <c r="BB160" s="2641" t="str">
        <f t="shared" si="50"/>
        <v>Actual</v>
      </c>
      <c r="BC160" s="2641" t="str">
        <f t="shared" si="50"/>
        <v>Actual</v>
      </c>
      <c r="BD160" s="2641" t="str">
        <f t="shared" si="50"/>
        <v>Actual</v>
      </c>
      <c r="BE160" s="2641" t="str">
        <f t="shared" si="50"/>
        <v>Actual</v>
      </c>
      <c r="BF160" s="2641" t="str">
        <f t="shared" si="50"/>
        <v>Actual</v>
      </c>
      <c r="BG160" s="2641" t="str">
        <f t="shared" si="50"/>
        <v>Actual</v>
      </c>
      <c r="BH160" s="2641" t="str">
        <f t="shared" si="50"/>
        <v>Actual</v>
      </c>
      <c r="BI160" s="2641" t="str">
        <f t="shared" si="50"/>
        <v>Actual</v>
      </c>
      <c r="BJ160" s="2641" t="str">
        <f t="shared" si="50"/>
        <v>Actual</v>
      </c>
      <c r="BK160" s="2641" t="str">
        <f t="shared" si="50"/>
        <v>Actual</v>
      </c>
      <c r="BL160" s="2641" t="str">
        <f t="shared" si="50"/>
        <v>Actual</v>
      </c>
      <c r="BM160" s="2641" t="str">
        <f t="shared" si="50"/>
        <v>Actual</v>
      </c>
      <c r="BN160" s="2641" t="str">
        <f t="shared" si="50"/>
        <v>Actual</v>
      </c>
      <c r="BO160" s="2070"/>
      <c r="BP160" s="2070"/>
      <c r="BQ160" s="2070"/>
      <c r="BR160" s="2070"/>
      <c r="BS160" s="2070"/>
      <c r="BT160" s="2070"/>
      <c r="BU160" s="2070"/>
      <c r="BV160" s="2070"/>
      <c r="BW160" s="2070"/>
      <c r="BX160" s="2070"/>
      <c r="BY160" s="2070"/>
      <c r="BZ160" s="2070"/>
      <c r="CA160" s="34"/>
      <c r="CC160" s="958"/>
      <c r="CD160" s="1720" t="str" cm="1">
        <f t="array" ref="CD160">fx_scenarioConverter($W157)</f>
        <v>Actual</v>
      </c>
      <c r="CE160" s="1721" t="str" cm="1">
        <f t="array" ref="CE160">fx_scenarioConverter($W157)</f>
        <v>Actual</v>
      </c>
      <c r="CF160" s="128"/>
      <c r="CG160" s="1734" t="str" cm="1">
        <f t="array" ref="CG160">fx_scenarioConverter($W157)</f>
        <v>Actual</v>
      </c>
      <c r="CH160" s="1735" t="str" cm="1">
        <f t="array" ref="CH160">fx_scenarioConverter($W157)</f>
        <v>Actual</v>
      </c>
      <c r="CI160" s="207"/>
      <c r="CJ160" s="1724" t="str" cm="1">
        <f t="array" ref="CJ160">fx_scenarioConverter($W157)</f>
        <v>Actual</v>
      </c>
      <c r="CK160" s="1725" t="str" cm="1">
        <f t="array" ref="CK160">fx_scenarioConverter($W157)</f>
        <v>Actual</v>
      </c>
      <c r="CL160" s="88"/>
      <c r="CM160" s="1198" t="str">
        <f>CM$19</f>
        <v>Original Budget</v>
      </c>
      <c r="CN160" s="1198" t="str">
        <f>CN$19</f>
        <v>LE</v>
      </c>
      <c r="CO160" s="88"/>
      <c r="CP160" s="1198" t="str">
        <f>CP$19</f>
        <v>Original Budget</v>
      </c>
      <c r="CQ160" s="1198" t="str">
        <f>CQ$19</f>
        <v>LE</v>
      </c>
      <c r="CR160" s="34"/>
      <c r="CS160" s="2056"/>
      <c r="CT160" s="1880"/>
      <c r="CU160" s="1880"/>
      <c r="CV160" s="1880"/>
      <c r="CW160" s="1880"/>
      <c r="CX160" s="2121"/>
      <c r="CY160" s="1880"/>
      <c r="CZ160" s="1880"/>
      <c r="DA160" s="1880"/>
      <c r="DB160" s="1880"/>
      <c r="DC160" s="2121"/>
      <c r="DD160" s="1880"/>
      <c r="DE160" s="1880"/>
      <c r="DF160" s="1880"/>
      <c r="DG160" s="1880"/>
      <c r="DH160" s="1880"/>
      <c r="DI160" s="1880"/>
      <c r="DJ160" s="1880"/>
      <c r="DK160" s="1880"/>
      <c r="DL160" s="1880"/>
      <c r="DM160" s="1880"/>
      <c r="DN160" s="1880"/>
      <c r="DO160" s="1880"/>
      <c r="DP160" s="1880"/>
      <c r="DQ160" s="1880"/>
      <c r="DR160" s="1880"/>
      <c r="DS160" s="1880"/>
      <c r="DT160" s="1880"/>
      <c r="DU160" s="1880"/>
      <c r="DV160" s="1880"/>
      <c r="DW160" s="1880"/>
      <c r="DX160" s="1880"/>
      <c r="DY160" s="1880"/>
      <c r="DZ160" s="1880"/>
      <c r="EA160" s="1880"/>
      <c r="EB160" s="1880"/>
      <c r="EC160" s="1880"/>
      <c r="ED160" s="1880"/>
      <c r="EE160" s="1880"/>
      <c r="EF160" s="1880"/>
      <c r="EG160" s="1880"/>
      <c r="EH160" s="1880"/>
      <c r="EI160" s="1880"/>
      <c r="EJ160" s="1880"/>
      <c r="EK160" s="1880"/>
      <c r="EL160" s="1880"/>
      <c r="EM160" s="1880"/>
      <c r="EN160" s="1880"/>
      <c r="EO160" s="1880"/>
      <c r="EP160" s="1880"/>
      <c r="EQ160" s="1880"/>
      <c r="ER160" s="1880"/>
      <c r="ES160" s="1880"/>
      <c r="ET160" s="1880"/>
      <c r="EU160" s="1880"/>
      <c r="EV160" s="1880"/>
      <c r="EW160" s="1880"/>
      <c r="EX160" s="1880"/>
    </row>
    <row r="161" spans="1:144" ht="21" customHeight="1">
      <c r="A161" s="1625" t="s">
        <v>96</v>
      </c>
      <c r="B161" s="2439" t="s">
        <v>132</v>
      </c>
      <c r="C161" s="3459" t="str" cm="1">
        <f t="array" ref="C161">IFBLANK(_PL!C161,"")</f>
        <v>Earning Metric Label</v>
      </c>
      <c r="D161" s="1548" t="s">
        <v>133</v>
      </c>
      <c r="E161" s="2440" t="e" cm="1">
        <f t="array" ca="1" aca="1" ref="E16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161:$CQ161,Z161)</f>
        <v>#NAME?</v>
      </c>
      <c r="F161" s="578"/>
      <c r="G161" s="578"/>
      <c r="H161" s="3294">
        <v>2</v>
      </c>
      <c r="I161" s="3329">
        <v>1</v>
      </c>
      <c r="J161" s="401" cm="1">
        <f t="array" ref="J161">IFBLANK(Z161,"")</f>
        <v>0</v>
      </c>
      <c r="K161" s="578" t="str">
        <f>IFERROR(IF(LEN(AB161)=0,"No",IF(LEN(J161)&gt;0,"Yes","No")),"")</f>
        <v>Yes</v>
      </c>
      <c r="L161" s="37"/>
      <c r="N161" s="158"/>
      <c r="O161" s="101"/>
      <c r="P161" s="52"/>
      <c r="Q161" s="101"/>
      <c r="R161" s="101"/>
      <c r="S161" s="101"/>
      <c r="T161" s="101"/>
      <c r="U161" s="39"/>
      <c r="V161" s="37"/>
      <c r="W161" s="91" t="str" cm="1">
        <f t="array" ref="W161">fx_scenarioConverter(W157)</f>
        <v>Actual</v>
      </c>
      <c r="X161" s="2582" t="e" vm="4">
        <f>_PL!X161</f>
        <v>#VALUE!</v>
      </c>
      <c r="Y161" s="3206">
        <v>2</v>
      </c>
      <c r="Z161" s="878">
        <f>_PL!Z161</f>
        <v>0</v>
      </c>
      <c r="AA161" s="877"/>
      <c r="AB161" s="3184">
        <f>Y161</f>
        <v>2</v>
      </c>
      <c r="AC161" s="1163" t="str" cm="1">
        <f t="array" ca="1" aca="1" ref="AC161">_xlfn.LET(_xlpm._termname,$AB161,_xlpm._iconname,"find",_xlpm._icon,fx_getIcon(_xlpm._iconname),_xlpm._location,_xlfn.XLOOKUP(LOWER(_xlpm._termname),LOWER(tbl_acctDef[Term]),tbl_acctDef[Term]),_xlpm._hyperlink,HYPERLINK("#"&amp;CELL("address",_xlpm._location),_xlpm._icon),IFERROR(_xlpm._hyperlink,""))</f>
        <v/>
      </c>
      <c r="AD161" s="3216" cm="1">
        <f t="array" ref="AD161:BN161">_xlfn.XLOOKUP($W161&amp;$AB161,$W$20:$W$124&amp;$AB$20:$AB$124,AD$20:BN$124,"")</f>
        <v>1</v>
      </c>
      <c r="AE161" s="3217">
        <v>1</v>
      </c>
      <c r="AF161" s="3217">
        <v>1</v>
      </c>
      <c r="AG161" s="3217">
        <v>1</v>
      </c>
      <c r="AH161" s="3217">
        <v>1</v>
      </c>
      <c r="AI161" s="3217">
        <v>1</v>
      </c>
      <c r="AJ161" s="3217">
        <v>1</v>
      </c>
      <c r="AK161" s="3217">
        <v>1</v>
      </c>
      <c r="AL161" s="3217">
        <v>1</v>
      </c>
      <c r="AM161" s="3217">
        <v>1</v>
      </c>
      <c r="AN161" s="3217">
        <v>1</v>
      </c>
      <c r="AO161" s="3217">
        <v>1</v>
      </c>
      <c r="AP161" s="3217">
        <v>1</v>
      </c>
      <c r="AQ161" s="3217">
        <v>1</v>
      </c>
      <c r="AR161" s="3217">
        <v>1</v>
      </c>
      <c r="AS161" s="3217">
        <v>1</v>
      </c>
      <c r="AT161" s="3217">
        <v>1</v>
      </c>
      <c r="AU161" s="3217">
        <v>1</v>
      </c>
      <c r="AV161" s="3217">
        <v>1</v>
      </c>
      <c r="AW161" s="3217">
        <v>1</v>
      </c>
      <c r="AX161" s="3217">
        <v>1</v>
      </c>
      <c r="AY161" s="3217">
        <v>1</v>
      </c>
      <c r="AZ161" s="3217">
        <v>1</v>
      </c>
      <c r="BA161" s="3217">
        <v>1</v>
      </c>
      <c r="BB161" s="3217">
        <v>1</v>
      </c>
      <c r="BC161" s="3217">
        <v>1</v>
      </c>
      <c r="BD161" s="3217">
        <v>1</v>
      </c>
      <c r="BE161" s="3217">
        <v>1</v>
      </c>
      <c r="BF161" s="3217">
        <v>1</v>
      </c>
      <c r="BG161" s="3217">
        <v>1</v>
      </c>
      <c r="BH161" s="3217">
        <v>1</v>
      </c>
      <c r="BI161" s="3217">
        <v>1</v>
      </c>
      <c r="BJ161" s="3217">
        <v>1</v>
      </c>
      <c r="BK161" s="3217">
        <v>1</v>
      </c>
      <c r="BL161" s="3217">
        <v>1</v>
      </c>
      <c r="BM161" s="3217">
        <v>1</v>
      </c>
      <c r="BN161" s="3217">
        <v>1</v>
      </c>
      <c r="BO161" s="2584"/>
      <c r="BP161" s="2584"/>
      <c r="BQ161" s="2584"/>
      <c r="BR161" s="2584"/>
      <c r="BS161" s="2584"/>
      <c r="BT161" s="2584"/>
      <c r="BU161" s="2584"/>
      <c r="BV161" s="2584"/>
      <c r="BW161" s="2584"/>
      <c r="BX161" s="2584"/>
      <c r="BY161" s="2584"/>
      <c r="BZ161" s="2584"/>
      <c r="CA161" s="34"/>
      <c r="CC161" s="927"/>
      <c r="CD161" s="1461" t="e" cm="1">
        <f t="array" ca="1" aca="1" ref="CD161">_xlfn.LET(_xlpm.CheckBlank,SUM(PL!$AD161:$BN161)=0,IF(_xlpm.CheckBlank,"",SUM(_xlfn._xlws.FILTER(PL!$AD161:$BN161,(YEAR(PL!$AD$12:$BN$12)=PL!CD$12)*(array_timeline&lt;=PL!CD$11)))))</f>
        <v>#NAME?</v>
      </c>
      <c r="CE161" s="1461" t="e" cm="1">
        <f t="array" ca="1" aca="1" ref="CE161">_xlfn.LET(_xlpm.CheckBlank,SUM(PL!$AD161:$BN161)=0,IF(_xlpm.CheckBlank,"",SUM(_xlfn._xlws.FILTER(PL!$AD161:$BN161,(YEAR(PL!$AD$12:$BN$12)=PL!CE$12)*(array_timeline&lt;=PL!CE$11)))))</f>
        <v>#NAME?</v>
      </c>
      <c r="CF161" s="88"/>
      <c r="CG161" s="1461" t="e" cm="1">
        <f t="array" ca="1" aca="1" ref="CG161">_xlfn.LET(_xlpm.CheckBlank,SUM(PL!$AD161:$BN161)=0,IF(_xlpm.CheckBlank,"",SUM(_xlfn._xlws.FILTER(PL!$AD161:$BN161,(YEAR(PL!$AD$12:$BN$12)=PL!CG$12)*(array_timeline&lt;=PL!CG$11)))))</f>
        <v>#NAME?</v>
      </c>
      <c r="CH161" s="1461" t="e" cm="1">
        <f t="array" ca="1" aca="1" ref="CH161">_xlfn.LET(_xlpm.CheckBlank,SUM(PL!$AD161:$BN161)=0,IF(_xlpm.CheckBlank,"",SUM(_xlfn._xlws.FILTER(PL!$AD161:$BN161,(YEAR(PL!$AD$12:$BN$12)=PL!CH$12)*(array_timeline&lt;=PL!CH$11)))))</f>
        <v>#NAME?</v>
      </c>
      <c r="CI161" s="88"/>
      <c r="CJ161" s="1461" cm="1">
        <f t="array" ref="CJ161">_xlfn.LET(_xlpm.CheckBlank,SUM(PL!$AD161:$BN161)=0,IF(_xlpm.CheckBlank,"",SUM(_xlfn.TAKE(_xlfn.DROP(PL!$AD161:$BN161,,-DATEDIFF(PL!CJ$11,val_asOfDate,"M")),1,-12))))</f>
        <v>12</v>
      </c>
      <c r="CK161" s="1461" cm="1">
        <f t="array" ref="CK161">_xlfn.LET(_xlpm.CheckBlank,SUM(PL!$AD161:$BN161)=0,IF(_xlpm.CheckBlank,"",SUM(_xlfn.TAKE(_xlfn.DROP(PL!$AD161:$BN161,,-DATEDIFF(PL!CK$11,val_asOfDate,"M")),1,-12))))</f>
        <v>12</v>
      </c>
      <c r="CL161" s="88"/>
      <c r="CM161" s="3209" cm="1">
        <f t="array" ref="CM161:CN161">_xlfn.LET(_xlpm.findRow,_xlfn.XMATCH($W161&amp;$Y161,$W$20:$W$118&amp;$AB$20:$AB$118,0),_xlpm.Choose,_xlfn.CHOOSEROWS(CM$20:CN$118,_xlpm.findRow),_xlpm.RESULT,IF(ISERROR(_xlpm.findRow),"",_xlpm.Choose),_xlpm.RESULT)</f>
        <v>1</v>
      </c>
      <c r="CN161" s="3210">
        <v>1</v>
      </c>
      <c r="CO161" s="88"/>
      <c r="CP161" s="3209" cm="1">
        <f t="array" ref="CP161:CQ161">_xlfn.LET(_xlpm.findRow,_xlfn.XMATCH($W161&amp;$Y161,$W$20:$W$118&amp;$AB$20:$AB$118,0),_xlpm.Choose,_xlfn.CHOOSEROWS(CP$20:CQ$118,_xlpm.findRow),_xlpm.RESULT,IF(ISERROR(_xlpm.findRow),"",_xlpm.Choose),_xlpm.RESULT)</f>
        <v>1</v>
      </c>
      <c r="CQ161" s="3210">
        <v>1</v>
      </c>
      <c r="CR161" s="34"/>
      <c r="CS161" s="2056"/>
      <c r="CT161" s="2447" t="e" cm="1">
        <f t="array" ca="1" aca="1" ref="CT161">IF(ISNUMBER(SEARCH("Select",$Y161)),"",_xldudf_CX_PUSH($Y161,CX_ENTITY,C161,val_asOfDate))</f>
        <v>#NAME?</v>
      </c>
      <c r="CU161" s="2447" t="e" cm="1">
        <f t="array" ca="1" aca="1" ref="CU161">IF(ISNUMBER(SEARCH("Select",$Y161)),"",_xldudf_CX_PUSH($Y161,CX_ENTITY,C161,EOMONTH(val_asOfDate,1)))</f>
        <v>#NAME?</v>
      </c>
      <c r="CV161" s="2447" t="e" cm="1">
        <f t="array" ca="1" aca="1" ref="CV161">IF(ISNUMBER(SEARCH("Select",$Y161)),"",_xldudf_CX_PUSH($Y161,CX_ENTITY,C161,EOMONTH(val_asOfDate,2)))</f>
        <v>#NAME?</v>
      </c>
      <c r="CW161" s="2447" t="e" cm="1">
        <f t="array" ca="1" aca="1" ref="CW161">IF(ISNUMBER(SEARCH("Select",$Y161)),"",_xldudf_CX_PUSH($Y161,CX_ENTITY,C161,EOMONTH(val_asOfDate,3)))</f>
        <v>#NAME?</v>
      </c>
      <c r="CX161" s="2566"/>
      <c r="CY161" s="2444" t="str" cm="1">
        <f t="array" ca="1" aca="1" ref="CY161">IFERROR(IF(CM161*fxVal_normal=_PL!CM161,"",IF(OR($CM161="",$CM161=0,NOT(ISNUMBER($CM161)),ISERROR($CM161),$B161=""),"",IF($I161=1,IFBLANK(_xldudf_CX_PUSH($CM161*fxVal_normal,CX_ENTITY,$B161,$CM$11,$CM$14,$CM$19,),""),IF($I161=2,IFBLANK(_xldudf_CX_PUSH($CM161,CX_ENTITY,$B161,$CM$11,$CM$14,$CM$19,),""),IF($I161=3,"",IFBLANK(_xldudf_CX_PUSH($CM161,CX_ENTITY,$B161,$CM$11,$CM$14,$CM$19,),"")))))),"")</f>
        <v/>
      </c>
      <c r="CZ161" s="2444" t="str" cm="1">
        <f t="array" ca="1" aca="1" ref="CZ161">IFERROR(IF(CN161*fxVal_normal=_PL!CN161,"",IF(OR($CN161="",$CN161=0,NOT(ISNUMBER($CN161)),ISERROR($CN161),$B161=""),"",IF($I161=1,IFBLANK(_xldudf_CX_PUSH($CN161*fxVal_normal,CX_ENTITY,$B161,$CN$11,$CN$14,$CN$19,),""),IF($I161=2,IFBLANK(_xldudf_CX_PUSH($CN161,CX_ENTITY,$B161,$CN$11,$CN$14,$CN$19,),""),IF($I161=3,"",IFBLANK(_xldudf_CX_PUSH($CN161,CX_ENTITY,$B161,$CN$11,$CN$14,$CN$19,),"")))))),"")</f>
        <v/>
      </c>
      <c r="DA161" s="2444" t="str" cm="1">
        <f t="array" ca="1" aca="1" ref="DA161">IFERROR(IF(CP161*fxVal_normal=_PL!CP161,"",IF(OR($CP161="",$CP161=0,NOT(ISNUMBER($CP161)),ISERROR($CP161),$B161=""),"",IF($I161=1,IFBLANK(_xldudf_CX_PUSH($CP161*fxVal_normal,CX_ENTITY,$B161,$CP$11,$CP$14,$CP$19,),""),IF($I161=2,IFBLANK(_xldudf_CX_PUSH($CP161,CX_ENTITY,$B161,$CP$11,$CP$14,$CP$19,),""),IF($I161=3,"",IFBLANK(_xldudf_CX_PUSH($CP161,CX_ENTITY,$B161,$CP$11,$CP$14,$CP$19,),"")))))),"")</f>
        <v/>
      </c>
      <c r="DB161" s="2444" t="str" cm="1">
        <f t="array" ca="1" aca="1" ref="DB161">IFERROR(IF(CQ161*fxVal_normal=_PL!CQ161,"",IF(OR($CQ161="",$CQ161=0,NOT(ISNUMBER($CQ161)),ISERROR($CQ161),$B161=""),"",IF($I161=1,IFBLANK(_xldudf_CX_PUSH($CQ161*fxVal_normal,CX_ENTITY,$B161,$CQ$11,$CQ$14,$CQ$19,),""),IF($I161=2,IFBLANK(_xldudf_CX_PUSH($CQ161,CX_ENTITY,$B161,$CQ$11,$CQ$14,$CQ$19,),""),IF($I161=3,"",IFBLANK(_xldudf_CX_PUSH($CQ161,CX_ENTITY,$B161,$CQ$11,$CQ$14,$CQ$19,),"")))))),"")</f>
        <v/>
      </c>
      <c r="DC161" s="2121"/>
      <c r="DD161" s="2445" t="str" cm="1">
        <f t="array" ca="1" aca="1" ref="DD161">IFERROR(IF(AD161*fxVal_normal=_PL!AD161,"",IF(OR(AD161="",NOT(ISNUMBER(AD161)),ISERROR(AD161),$B161=""),"",IF($I161=1,IFBLANK(_xldudf_CX_PUSH(AD161*fxVal_normal,CX_ENTITY,$B161,AD$11,AD$14,AD$160,),""),IF($I161=2,IFBLANK(_xldudf_CX_PUSH(AD161,CX_ENTITY,$B161,AD$11,AD$14,AD$160,),""),IF($I161=3,"",IFBLANK(_xldudf_CX_PUSH(AD161,CX_ENTITY,$B161,AD$11,AD$14,AD$160,),"")))))),"")</f>
        <v/>
      </c>
      <c r="DE161" s="2445" t="str" cm="1">
        <f t="array" ca="1" aca="1" ref="DE161">IFERROR(IF(AE161*fxVal_normal=_PL!AE161,"",IF(OR(AE161="",NOT(ISNUMBER(AE161)),ISERROR(AE161),$B161=""),"",IF($I161=1,IFBLANK(_xldudf_CX_PUSH(AE161*fxVal_normal,CX_ENTITY,$B161,AE$11,AE$14,AE$160,),""),IF($I161=2,IFBLANK(_xldudf_CX_PUSH(AE161,CX_ENTITY,$B161,AE$11,AE$14,AE$160,),""),IF($I161=3,"",IFBLANK(_xldudf_CX_PUSH(AE161,CX_ENTITY,$B161,AE$11,AE$14,AE$160,),"")))))),"")</f>
        <v/>
      </c>
      <c r="DF161" s="2445" t="str" cm="1">
        <f t="array" ca="1" aca="1" ref="DF161">IFERROR(IF(AF161*fxVal_normal=_PL!AF161,"",IF(OR(AF161="",NOT(ISNUMBER(AF161)),ISERROR(AF161),$B161=""),"",IF($I161=1,IFBLANK(_xldudf_CX_PUSH(AF161*fxVal_normal,CX_ENTITY,$B161,AF$11,AF$14,AF$160,),""),IF($I161=2,IFBLANK(_xldudf_CX_PUSH(AF161,CX_ENTITY,$B161,AF$11,AF$14,AF$160,),""),IF($I161=3,"",IFBLANK(_xldudf_CX_PUSH(AF161,CX_ENTITY,$B161,AF$11,AF$14,AF$160,),"")))))),"")</f>
        <v/>
      </c>
      <c r="DG161" s="2445" t="str" cm="1">
        <f t="array" ca="1" aca="1" ref="DG161">IFERROR(IF(AG161*fxVal_normal=_PL!AG161,"",IF(OR(AG161="",NOT(ISNUMBER(AG161)),ISERROR(AG161),$B161=""),"",IF($I161=1,IFBLANK(_xldudf_CX_PUSH(AG161*fxVal_normal,CX_ENTITY,$B161,AG$11,AG$14,AG$160,),""),IF($I161=2,IFBLANK(_xldudf_CX_PUSH(AG161,CX_ENTITY,$B161,AG$11,AG$14,AG$160,),""),IF($I161=3,"",IFBLANK(_xldudf_CX_PUSH(AG161,CX_ENTITY,$B161,AG$11,AG$14,AG$160,),"")))))),"")</f>
        <v/>
      </c>
      <c r="DH161" s="2445" t="str" cm="1">
        <f t="array" ca="1" aca="1" ref="DH161">IFERROR(IF(AH161*fxVal_normal=_PL!AH161,"",IF(OR(AH161="",NOT(ISNUMBER(AH161)),ISERROR(AH161),$B161=""),"",IF($I161=1,IFBLANK(_xldudf_CX_PUSH(AH161*fxVal_normal,CX_ENTITY,$B161,AH$11,AH$14,AH$160,),""),IF($I161=2,IFBLANK(_xldudf_CX_PUSH(AH161,CX_ENTITY,$B161,AH$11,AH$14,AH$160,),""),IF($I161=3,"",IFBLANK(_xldudf_CX_PUSH(AH161,CX_ENTITY,$B161,AH$11,AH$14,AH$160,),"")))))),"")</f>
        <v/>
      </c>
      <c r="DI161" s="2445" t="str" cm="1">
        <f t="array" ca="1" aca="1" ref="DI161">IFERROR(IF(AI161*fxVal_normal=_PL!AI161,"",IF(OR(AI161="",NOT(ISNUMBER(AI161)),ISERROR(AI161),$B161=""),"",IF($I161=1,IFBLANK(_xldudf_CX_PUSH(AI161*fxVal_normal,CX_ENTITY,$B161,AI$11,AI$14,AI$160,),""),IF($I161=2,IFBLANK(_xldudf_CX_PUSH(AI161,CX_ENTITY,$B161,AI$11,AI$14,AI$160,),""),IF($I161=3,"",IFBLANK(_xldudf_CX_PUSH(AI161,CX_ENTITY,$B161,AI$11,AI$14,AI$160,),"")))))),"")</f>
        <v/>
      </c>
      <c r="DJ161" s="2445" t="str" cm="1">
        <f t="array" ca="1" aca="1" ref="DJ161">IFERROR(IF(AJ161*fxVal_normal=_PL!AJ161,"",IF(OR(AJ161="",NOT(ISNUMBER(AJ161)),ISERROR(AJ161),$B161=""),"",IF($I161=1,IFBLANK(_xldudf_CX_PUSH(AJ161*fxVal_normal,CX_ENTITY,$B161,AJ$11,AJ$14,AJ$160,),""),IF($I161=2,IFBLANK(_xldudf_CX_PUSH(AJ161,CX_ENTITY,$B161,AJ$11,AJ$14,AJ$160,),""),IF($I161=3,"",IFBLANK(_xldudf_CX_PUSH(AJ161,CX_ENTITY,$B161,AJ$11,AJ$14,AJ$160,),"")))))),"")</f>
        <v/>
      </c>
      <c r="DK161" s="2445" t="str" cm="1">
        <f t="array" ca="1" aca="1" ref="DK161">IFERROR(IF(AK161*fxVal_normal=_PL!AK161,"",IF(OR(AK161="",NOT(ISNUMBER(AK161)),ISERROR(AK161),$B161=""),"",IF($I161=1,IFBLANK(_xldudf_CX_PUSH(AK161*fxVal_normal,CX_ENTITY,$B161,AK$11,AK$14,AK$160,),""),IF($I161=2,IFBLANK(_xldudf_CX_PUSH(AK161,CX_ENTITY,$B161,AK$11,AK$14,AK$160,),""),IF($I161=3,"",IFBLANK(_xldudf_CX_PUSH(AK161,CX_ENTITY,$B161,AK$11,AK$14,AK$160,),"")))))),"")</f>
        <v/>
      </c>
      <c r="DL161" s="2445" t="str" cm="1">
        <f t="array" ca="1" aca="1" ref="DL161">IFERROR(IF(AL161*fxVal_normal=_PL!AL161,"",IF(OR(AL161="",NOT(ISNUMBER(AL161)),ISERROR(AL161),$B161=""),"",IF($I161=1,IFBLANK(_xldudf_CX_PUSH(AL161*fxVal_normal,CX_ENTITY,$B161,AL$11,AL$14,AL$160,),""),IF($I161=2,IFBLANK(_xldudf_CX_PUSH(AL161,CX_ENTITY,$B161,AL$11,AL$14,AL$160,),""),IF($I161=3,"",IFBLANK(_xldudf_CX_PUSH(AL161,CX_ENTITY,$B161,AL$11,AL$14,AL$160,),"")))))),"")</f>
        <v/>
      </c>
      <c r="DM161" s="2445" t="str" cm="1">
        <f t="array" ca="1" aca="1" ref="DM161">IFERROR(IF(AM161*fxVal_normal=_PL!AM161,"",IF(OR(AM161="",NOT(ISNUMBER(AM161)),ISERROR(AM161),$B161=""),"",IF($I161=1,IFBLANK(_xldudf_CX_PUSH(AM161*fxVal_normal,CX_ENTITY,$B161,AM$11,AM$14,AM$160,),""),IF($I161=2,IFBLANK(_xldudf_CX_PUSH(AM161,CX_ENTITY,$B161,AM$11,AM$14,AM$160,),""),IF($I161=3,"",IFBLANK(_xldudf_CX_PUSH(AM161,CX_ENTITY,$B161,AM$11,AM$14,AM$160,),"")))))),"")</f>
        <v/>
      </c>
      <c r="DN161" s="2445" t="str" cm="1">
        <f t="array" ca="1" aca="1" ref="DN161">IFERROR(IF(AN161*fxVal_normal=_PL!AN161,"",IF(OR(AN161="",NOT(ISNUMBER(AN161)),ISERROR(AN161),$B161=""),"",IF($I161=1,IFBLANK(_xldudf_CX_PUSH(AN161*fxVal_normal,CX_ENTITY,$B161,AN$11,AN$14,AN$160,),""),IF($I161=2,IFBLANK(_xldudf_CX_PUSH(AN161,CX_ENTITY,$B161,AN$11,AN$14,AN$160,),""),IF($I161=3,"",IFBLANK(_xldudf_CX_PUSH(AN161,CX_ENTITY,$B161,AN$11,AN$14,AN$160,),"")))))),"")</f>
        <v/>
      </c>
      <c r="DO161" s="2445" t="str" cm="1">
        <f t="array" ca="1" aca="1" ref="DO161">IFERROR(IF(AO161*fxVal_normal=_PL!AO161,"",IF(OR(AO161="",NOT(ISNUMBER(AO161)),ISERROR(AO161),$B161=""),"",IF($I161=1,IFBLANK(_xldudf_CX_PUSH(AO161*fxVal_normal,CX_ENTITY,$B161,AO$11,AO$14,AO$160,),""),IF($I161=2,IFBLANK(_xldudf_CX_PUSH(AO161,CX_ENTITY,$B161,AO$11,AO$14,AO$160,),""),IF($I161=3,"",IFBLANK(_xldudf_CX_PUSH(AO161,CX_ENTITY,$B161,AO$11,AO$14,AO$160,),"")))))),"")</f>
        <v/>
      </c>
      <c r="DP161" s="2445" t="str" cm="1">
        <f t="array" ca="1" aca="1" ref="DP161">IFERROR(IF(AP161*fxVal_normal=_PL!AP161,"",IF(OR(AP161="",NOT(ISNUMBER(AP161)),ISERROR(AP161),$B161=""),"",IF($I161=1,IFBLANK(_xldudf_CX_PUSH(AP161*fxVal_normal,CX_ENTITY,$B161,AP$11,AP$14,AP$160,),""),IF($I161=2,IFBLANK(_xldudf_CX_PUSH(AP161,CX_ENTITY,$B161,AP$11,AP$14,AP$160,),""),IF($I161=3,"",IFBLANK(_xldudf_CX_PUSH(AP161,CX_ENTITY,$B161,AP$11,AP$14,AP$160,),"")))))),"")</f>
        <v/>
      </c>
      <c r="DQ161" s="2445" t="str" cm="1">
        <f t="array" ca="1" aca="1" ref="DQ161">IFERROR(IF(AQ161*fxVal_normal=_PL!AQ161,"",IF(OR(AQ161="",NOT(ISNUMBER(AQ161)),ISERROR(AQ161),$B161=""),"",IF($I161=1,IFBLANK(_xldudf_CX_PUSH(AQ161*fxVal_normal,CX_ENTITY,$B161,AQ$11,AQ$14,AQ$160,),""),IF($I161=2,IFBLANK(_xldudf_CX_PUSH(AQ161,CX_ENTITY,$B161,AQ$11,AQ$14,AQ$160,),""),IF($I161=3,"",IFBLANK(_xldudf_CX_PUSH(AQ161,CX_ENTITY,$B161,AQ$11,AQ$14,AQ$160,),"")))))),"")</f>
        <v/>
      </c>
      <c r="DR161" s="2445" t="str" cm="1">
        <f t="array" ca="1" aca="1" ref="DR161">IFERROR(IF(AR161*fxVal_normal=_PL!AR161,"",IF(OR(AR161="",NOT(ISNUMBER(AR161)),ISERROR(AR161),$B161=""),"",IF($I161=1,IFBLANK(_xldudf_CX_PUSH(AR161*fxVal_normal,CX_ENTITY,$B161,AR$11,AR$14,AR$160,),""),IF($I161=2,IFBLANK(_xldudf_CX_PUSH(AR161,CX_ENTITY,$B161,AR$11,AR$14,AR$160,),""),IF($I161=3,"",IFBLANK(_xldudf_CX_PUSH(AR161,CX_ENTITY,$B161,AR$11,AR$14,AR$160,),"")))))),"")</f>
        <v/>
      </c>
      <c r="DS161" s="2445" t="str" cm="1">
        <f t="array" ca="1" aca="1" ref="DS161">IFERROR(IF(AS161*fxVal_normal=_PL!AS161,"",IF(OR(AS161="",NOT(ISNUMBER(AS161)),ISERROR(AS161),$B161=""),"",IF($I161=1,IFBLANK(_xldudf_CX_PUSH(AS161*fxVal_normal,CX_ENTITY,$B161,AS$11,AS$14,AS$160,),""),IF($I161=2,IFBLANK(_xldudf_CX_PUSH(AS161,CX_ENTITY,$B161,AS$11,AS$14,AS$160,),""),IF($I161=3,"",IFBLANK(_xldudf_CX_PUSH(AS161,CX_ENTITY,$B161,AS$11,AS$14,AS$160,),"")))))),"")</f>
        <v/>
      </c>
      <c r="DT161" s="2445" t="str" cm="1">
        <f t="array" ca="1" aca="1" ref="DT161">IFERROR(IF(AT161*fxVal_normal=_PL!AT161,"",IF(OR(AT161="",NOT(ISNUMBER(AT161)),ISERROR(AT161),$B161=""),"",IF($I161=1,IFBLANK(_xldudf_CX_PUSH(AT161*fxVal_normal,CX_ENTITY,$B161,AT$11,AT$14,AT$160,),""),IF($I161=2,IFBLANK(_xldudf_CX_PUSH(AT161,CX_ENTITY,$B161,AT$11,AT$14,AT$160,),""),IF($I161=3,"",IFBLANK(_xldudf_CX_PUSH(AT161,CX_ENTITY,$B161,AT$11,AT$14,AT$160,),"")))))),"")</f>
        <v/>
      </c>
      <c r="DU161" s="2445" t="str" cm="1">
        <f t="array" ca="1" aca="1" ref="DU161">IFERROR(IF(AU161*fxVal_normal=_PL!AU161,"",IF(OR(AU161="",NOT(ISNUMBER(AU161)),ISERROR(AU161),$B161=""),"",IF($I161=1,IFBLANK(_xldudf_CX_PUSH(AU161*fxVal_normal,CX_ENTITY,$B161,AU$11,AU$14,AU$160,),""),IF($I161=2,IFBLANK(_xldudf_CX_PUSH(AU161,CX_ENTITY,$B161,AU$11,AU$14,AU$160,),""),IF($I161=3,"",IFBLANK(_xldudf_CX_PUSH(AU161,CX_ENTITY,$B161,AU$11,AU$14,AU$160,),"")))))),"")</f>
        <v/>
      </c>
      <c r="DV161" s="2445" t="str" cm="1">
        <f t="array" ca="1" aca="1" ref="DV161">IFERROR(IF(AV161*fxVal_normal=_PL!AV161,"",IF(OR(AV161="",NOT(ISNUMBER(AV161)),ISERROR(AV161),$B161=""),"",IF($I161=1,IFBLANK(_xldudf_CX_PUSH(AV161*fxVal_normal,CX_ENTITY,$B161,AV$11,AV$14,AV$160,),""),IF($I161=2,IFBLANK(_xldudf_CX_PUSH(AV161,CX_ENTITY,$B161,AV$11,AV$14,AV$160,),""),IF($I161=3,"",IFBLANK(_xldudf_CX_PUSH(AV161,CX_ENTITY,$B161,AV$11,AV$14,AV$160,),"")))))),"")</f>
        <v/>
      </c>
      <c r="DW161" s="2445" t="str" cm="1">
        <f t="array" ca="1" aca="1" ref="DW161">IFERROR(IF(AW161*fxVal_normal=_PL!AW161,"",IF(OR(AW161="",NOT(ISNUMBER(AW161)),ISERROR(AW161),$B161=""),"",IF($I161=1,IFBLANK(_xldudf_CX_PUSH(AW161*fxVal_normal,CX_ENTITY,$B161,AW$11,AW$14,AW$160,),""),IF($I161=2,IFBLANK(_xldudf_CX_PUSH(AW161,CX_ENTITY,$B161,AW$11,AW$14,AW$160,),""),IF($I161=3,"",IFBLANK(_xldudf_CX_PUSH(AW161,CX_ENTITY,$B161,AW$11,AW$14,AW$160,),"")))))),"")</f>
        <v/>
      </c>
      <c r="DX161" s="2445" t="str" cm="1">
        <f t="array" ca="1" aca="1" ref="DX161">IFERROR(IF(AX161*fxVal_normal=_PL!AX161,"",IF(OR(AX161="",NOT(ISNUMBER(AX161)),ISERROR(AX161),$B161=""),"",IF($I161=1,IFBLANK(_xldudf_CX_PUSH(AX161*fxVal_normal,CX_ENTITY,$B161,AX$11,AX$14,AX$160,),""),IF($I161=2,IFBLANK(_xldudf_CX_PUSH(AX161,CX_ENTITY,$B161,AX$11,AX$14,AX$160,),""),IF($I161=3,"",IFBLANK(_xldudf_CX_PUSH(AX161,CX_ENTITY,$B161,AX$11,AX$14,AX$160,),"")))))),"")</f>
        <v/>
      </c>
      <c r="DY161" s="2445" t="str" cm="1">
        <f t="array" ca="1" aca="1" ref="DY161">IFERROR(IF(AY161*fxVal_normal=_PL!AY161,"",IF(OR(AY161="",NOT(ISNUMBER(AY161)),ISERROR(AY161),$B161=""),"",IF($I161=1,IFBLANK(_xldudf_CX_PUSH(AY161*fxVal_normal,CX_ENTITY,$B161,AY$11,AY$14,AY$160,),""),IF($I161=2,IFBLANK(_xldudf_CX_PUSH(AY161,CX_ENTITY,$B161,AY$11,AY$14,AY$160,),""),IF($I161=3,"",IFBLANK(_xldudf_CX_PUSH(AY161,CX_ENTITY,$B161,AY$11,AY$14,AY$160,),"")))))),"")</f>
        <v/>
      </c>
      <c r="DZ161" s="2445" t="str" cm="1">
        <f t="array" ca="1" aca="1" ref="DZ161">IFERROR(IF(AZ161*fxVal_normal=_PL!AZ161,"",IF(OR(AZ161="",NOT(ISNUMBER(AZ161)),ISERROR(AZ161),$B161=""),"",IF($I161=1,IFBLANK(_xldudf_CX_PUSH(AZ161*fxVal_normal,CX_ENTITY,$B161,AZ$11,AZ$14,AZ$160,),""),IF($I161=2,IFBLANK(_xldudf_CX_PUSH(AZ161,CX_ENTITY,$B161,AZ$11,AZ$14,AZ$160,),""),IF($I161=3,"",IFBLANK(_xldudf_CX_PUSH(AZ161,CX_ENTITY,$B161,AZ$11,AZ$14,AZ$160,),"")))))),"")</f>
        <v/>
      </c>
      <c r="EA161" s="2445" t="str" cm="1">
        <f t="array" ca="1" aca="1" ref="EA161">IFERROR(IF(BA161*fxVal_normal=_PL!BA161,"",IF(OR(BA161="",NOT(ISNUMBER(BA161)),ISERROR(BA161),$B161=""),"",IF($I161=1,IFBLANK(_xldudf_CX_PUSH(BA161*fxVal_normal,CX_ENTITY,$B161,BA$11,BA$14,BA$160,),""),IF($I161=2,IFBLANK(_xldudf_CX_PUSH(BA161,CX_ENTITY,$B161,BA$11,BA$14,BA$160,),""),IF($I161=3,"",IFBLANK(_xldudf_CX_PUSH(BA161,CX_ENTITY,$B161,BA$11,BA$14,BA$160,),"")))))),"")</f>
        <v/>
      </c>
      <c r="EB161" s="2445" t="str" cm="1">
        <f t="array" ca="1" aca="1" ref="EB161">IFERROR(IF(BB161*fxVal_normal=_PL!BB161,"",IF(OR(BB161="",NOT(ISNUMBER(BB161)),ISERROR(BB161),$B161=""),"",IF($I161=1,IFBLANK(_xldudf_CX_PUSH(BB161*fxVal_normal,CX_ENTITY,$B161,BB$11,BB$14,BB$160,),""),IF($I161=2,IFBLANK(_xldudf_CX_PUSH(BB161,CX_ENTITY,$B161,BB$11,BB$14,BB$160,),""),IF($I161=3,"",IFBLANK(_xldudf_CX_PUSH(BB161,CX_ENTITY,$B161,BB$11,BB$14,BB$160,),"")))))),"")</f>
        <v/>
      </c>
      <c r="EC161" s="2445" t="str" cm="1">
        <f t="array" ca="1" aca="1" ref="EC161">IFERROR(IF(BC161*fxVal_normal=_PL!BC161,"",IF(OR(BC161="",NOT(ISNUMBER(BC161)),ISERROR(BC161),$B161=""),"",IF($I161=1,IFBLANK(_xldudf_CX_PUSH(BC161*fxVal_normal,CX_ENTITY,$B161,BC$11,BC$14,BC$160,),""),IF($I161=2,IFBLANK(_xldudf_CX_PUSH(BC161,CX_ENTITY,$B161,BC$11,BC$14,BC$160,),""),IF($I161=3,"",IFBLANK(_xldudf_CX_PUSH(BC161,CX_ENTITY,$B161,BC$11,BC$14,BC$160,),"")))))),"")</f>
        <v/>
      </c>
      <c r="ED161" s="2445" t="str" cm="1">
        <f t="array" ca="1" aca="1" ref="ED161">IFERROR(IF(BD161*fxVal_normal=_PL!BD161,"",IF(OR(BD161="",NOT(ISNUMBER(BD161)),ISERROR(BD161),$B161=""),"",IF($I161=1,IFBLANK(_xldudf_CX_PUSH(BD161*fxVal_normal,CX_ENTITY,$B161,BD$11,BD$14,BD$160,),""),IF($I161=2,IFBLANK(_xldudf_CX_PUSH(BD161,CX_ENTITY,$B161,BD$11,BD$14,BD$160,),""),IF($I161=3,"",IFBLANK(_xldudf_CX_PUSH(BD161,CX_ENTITY,$B161,BD$11,BD$14,BD$160,),"")))))),"")</f>
        <v/>
      </c>
      <c r="EE161" s="2445" t="str" cm="1">
        <f t="array" ca="1" aca="1" ref="EE161">IFERROR(IF(BE161*fxVal_normal=_PL!BE161,"",IF(OR(BE161="",NOT(ISNUMBER(BE161)),ISERROR(BE161),$B161=""),"",IF($I161=1,IFBLANK(_xldudf_CX_PUSH(BE161*fxVal_normal,CX_ENTITY,$B161,BE$11,BE$14,BE$160,),""),IF($I161=2,IFBLANK(_xldudf_CX_PUSH(BE161,CX_ENTITY,$B161,BE$11,BE$14,BE$160,),""),IF($I161=3,"",IFBLANK(_xldudf_CX_PUSH(BE161,CX_ENTITY,$B161,BE$11,BE$14,BE$160,),"")))))),"")</f>
        <v/>
      </c>
      <c r="EF161" s="2445" t="str" cm="1">
        <f t="array" ca="1" aca="1" ref="EF161">IFERROR(IF(BF161*fxVal_normal=_PL!BF161,"",IF(OR(BF161="",NOT(ISNUMBER(BF161)),ISERROR(BF161),$B161=""),"",IF($I161=1,IFBLANK(_xldudf_CX_PUSH(BF161*fxVal_normal,CX_ENTITY,$B161,BF$11,BF$14,BF$160,),""),IF($I161=2,IFBLANK(_xldudf_CX_PUSH(BF161,CX_ENTITY,$B161,BF$11,BF$14,BF$160,),""),IF($I161=3,"",IFBLANK(_xldudf_CX_PUSH(BF161,CX_ENTITY,$B161,BF$11,BF$14,BF$160,),"")))))),"")</f>
        <v/>
      </c>
      <c r="EG161" s="2445" t="str" cm="1">
        <f t="array" ca="1" aca="1" ref="EG161">IFERROR(IF(BG161*fxVal_normal=_PL!BG161,"",IF(OR(BG161="",NOT(ISNUMBER(BG161)),ISERROR(BG161),$B161=""),"",IF($I161=1,IFBLANK(_xldudf_CX_PUSH(BG161*fxVal_normal,CX_ENTITY,$B161,BG$11,BG$14,BG$160,),""),IF($I161=2,IFBLANK(_xldudf_CX_PUSH(BG161,CX_ENTITY,$B161,BG$11,BG$14,BG$160,),""),IF($I161=3,"",IFBLANK(_xldudf_CX_PUSH(BG161,CX_ENTITY,$B161,BG$11,BG$14,BG$160,),"")))))),"")</f>
        <v/>
      </c>
      <c r="EH161" s="2445" t="str" cm="1">
        <f t="array" ca="1" aca="1" ref="EH161">IFERROR(IF(BH161*fxVal_normal=_PL!BH161,"",IF(OR(BH161="",NOT(ISNUMBER(BH161)),ISERROR(BH161),$B161=""),"",IF($I161=1,IFBLANK(_xldudf_CX_PUSH(BH161*fxVal_normal,CX_ENTITY,$B161,BH$11,BH$14,BH$160,),""),IF($I161=2,IFBLANK(_xldudf_CX_PUSH(BH161,CX_ENTITY,$B161,BH$11,BH$14,BH$160,),""),IF($I161=3,"",IFBLANK(_xldudf_CX_PUSH(BH161,CX_ENTITY,$B161,BH$11,BH$14,BH$160,),"")))))),"")</f>
        <v/>
      </c>
      <c r="EI161" s="2445" t="str" cm="1">
        <f t="array" ca="1" aca="1" ref="EI161">IFERROR(IF(BI161*fxVal_normal=_PL!BI161,"",IF(OR(BI161="",NOT(ISNUMBER(BI161)),ISERROR(BI161),$B161=""),"",IF($I161=1,IFBLANK(_xldudf_CX_PUSH(BI161*fxVal_normal,CX_ENTITY,$B161,BI$11,BI$14,BI$160,),""),IF($I161=2,IFBLANK(_xldudf_CX_PUSH(BI161,CX_ENTITY,$B161,BI$11,BI$14,BI$160,),""),IF($I161=3,"",IFBLANK(_xldudf_CX_PUSH(BI161,CX_ENTITY,$B161,BI$11,BI$14,BI$160,),"")))))),"")</f>
        <v/>
      </c>
      <c r="EJ161" s="2445" t="str" cm="1">
        <f t="array" ca="1" aca="1" ref="EJ161">IFERROR(IF(BJ161*fxVal_normal=_PL!BJ161,"",IF(OR(BJ161="",NOT(ISNUMBER(BJ161)),ISERROR(BJ161),$B161=""),"",IF($I161=1,IFBLANK(_xldudf_CX_PUSH(BJ161*fxVal_normal,CX_ENTITY,$B161,BJ$11,BJ$14,BJ$160,),""),IF($I161=2,IFBLANK(_xldudf_CX_PUSH(BJ161,CX_ENTITY,$B161,BJ$11,BJ$14,BJ$160,),""),IF($I161=3,"",IFBLANK(_xldudf_CX_PUSH(BJ161,CX_ENTITY,$B161,BJ$11,BJ$14,BJ$160,),"")))))),"")</f>
        <v/>
      </c>
      <c r="EK161" s="2445" t="str" cm="1">
        <f t="array" ca="1" aca="1" ref="EK161">IFERROR(IF(BK161*fxVal_normal=_PL!BK161,"",IF(OR(BK161="",NOT(ISNUMBER(BK161)),ISERROR(BK161),$B161=""),"",IF($I161=1,IFBLANK(_xldudf_CX_PUSH(BK161*fxVal_normal,CX_ENTITY,$B161,BK$11,BK$14,BK$160,),""),IF($I161=2,IFBLANK(_xldudf_CX_PUSH(BK161,CX_ENTITY,$B161,BK$11,BK$14,BK$160,),""),IF($I161=3,"",IFBLANK(_xldudf_CX_PUSH(BK161,CX_ENTITY,$B161,BK$11,BK$14,BK$160,),"")))))),"")</f>
        <v/>
      </c>
      <c r="EL161" s="2445" t="str" cm="1">
        <f t="array" ca="1" aca="1" ref="EL161">IFERROR(IF(BL161*fxVal_normal=_PL!BL161,"",IF(OR(BL161="",NOT(ISNUMBER(BL161)),ISERROR(BL161),$B161=""),"",IF($I161=1,IFBLANK(_xldudf_CX_PUSH(BL161*fxVal_normal,CX_ENTITY,$B161,BL$11,BL$14,BL$160,),""),IF($I161=2,IFBLANK(_xldudf_CX_PUSH(BL161,CX_ENTITY,$B161,BL$11,BL$14,BL$160,),""),IF($I161=3,"",IFBLANK(_xldudf_CX_PUSH(BL161,CX_ENTITY,$B161,BL$11,BL$14,BL$160,),"")))))),"")</f>
        <v/>
      </c>
      <c r="EM161" s="2445" t="str" cm="1">
        <f t="array" ca="1" aca="1" ref="EM161">IFERROR(IF(BM161*fxVal_normal=_PL!BM161,"",IF(OR(BM161="",NOT(ISNUMBER(BM161)),ISERROR(BM161),$B161=""),"",IF($I161=1,IFBLANK(_xldudf_CX_PUSH(BM161*fxVal_normal,CX_ENTITY,$B161,BM$11,BM$14,BM$160,),""),IF($I161=2,IFBLANK(_xldudf_CX_PUSH(BM161,CX_ENTITY,$B161,BM$11,BM$14,BM$160,),""),IF($I161=3,"",IFBLANK(_xldudf_CX_PUSH(BM161,CX_ENTITY,$B161,BM$11,BM$14,BM$160,),"")))))),"")</f>
        <v/>
      </c>
      <c r="EN161" s="2445" t="str" cm="1">
        <f t="array" ca="1" aca="1" ref="EN161">IFERROR(IF(BN161*fxVal_normal=_PL!BN161,"",IF(OR(BN161="",NOT(ISNUMBER(BN161)),ISERROR(BN161),$B161=""),"",IF($I161=1,IFBLANK(_xldudf_CX_PUSH(BN161*fxVal_normal,CX_ENTITY,$B161,BN$11,BN$14,BN$160,),""),IF($I161=2,IFBLANK(_xldudf_CX_PUSH(BN161,CX_ENTITY,$B161,BN$11,BN$14,BN$160,),""),IF($I161=3,"",IFBLANK(_xldudf_CX_PUSH(BN161,CX_ENTITY,$B161,BN$11,BN$14,BN$160,),"")))))),"")</f>
        <v/>
      </c>
    </row>
    <row r="162" spans="1:145" ht="45.75" customHeight="1">
      <c r="A162" s="1625"/>
      <c r="B162" s="2585" t="str">
        <f>_xlfn.LET(_xlpm.IsNotAttrDynamic,D162="",_xlpm.Attr,_PL!F162,_xlpm.NotInUse,Y162=D162,_xlpm.RESULT,IF(_xlpm.IsNotAttrDynamic,_xlpm.Attr,IF(_xlpm.NotInUse,"",Y162)),IF(_xlpm.RESULT="","",_xlpm.RESULT))</f>
        <v>Excluding pending (not closed) deals (Annual Only) (Earning)</v>
      </c>
      <c r="C162" s="2568"/>
      <c r="D162" s="1548"/>
      <c r="E162" s="2440" cm="1">
        <f t="array" ca="1" aca="1" ref="E162:G16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162:$CQ162,Z162)</f>
        <v>4</v>
      </c>
      <c r="F162" s="578">
        <f ca="1"/>
        <v>4</v>
      </c>
      <c r="G162" s="578" t="str">
        <f ca="1"/>
        <v>R</v>
      </c>
      <c r="H162" s="510">
        <v>0</v>
      </c>
      <c r="I162" s="3278">
        <v>1</v>
      </c>
      <c r="J162" s="3280" cm="1">
        <f t="array" ref="J162">IFBLANK(Z162,"")</f>
        <v>1</v>
      </c>
      <c r="K162" s="578" t="str">
        <f t="shared" si="47"/>
        <v>No</v>
      </c>
      <c r="L162" s="37"/>
      <c r="N162" s="158"/>
      <c r="O162" s="101"/>
      <c r="P162" s="52"/>
      <c r="Q162" s="101"/>
      <c r="R162" s="101"/>
      <c r="S162" s="101"/>
      <c r="T162" s="101"/>
      <c r="U162" s="39"/>
      <c r="V162" s="37"/>
      <c r="W162" s="2569"/>
      <c r="X162" s="2081">
        <f>_PL!X162</f>
        <v>-1</v>
      </c>
      <c r="Y162" s="2570" t="s">
        <v>134</v>
      </c>
      <c r="Z162" s="3291">
        <f>_PL!Z162</f>
        <v>1</v>
      </c>
      <c r="AA162" s="2571"/>
      <c r="AB162" s="1128"/>
      <c r="AC162" s="914" t="str" cm="1">
        <f t="array" ca="1" aca="1" ref="AC162">_xlfn.LET(_xlpm._termname,$AB162,_xlpm._iconname,"find",_xlpm._icon,fx_getIcon(_xlpm._iconname),_xlpm._location,_xlfn.XLOOKUP(LOWER(_xlpm._termname),LOWER(tbl_acctDef[Term]),tbl_acctDef[Term]),_xlpm._hyperlink,HYPERLINK("#"&amp;CELL("address",_xlpm._location),_xlpm._icon),IFERROR(_xlpm._hyperlink,""))</f>
        <v/>
      </c>
      <c r="AD162" s="793"/>
      <c r="AE162" s="793"/>
      <c r="AF162" s="793"/>
      <c r="AG162" s="793"/>
      <c r="AH162" s="793"/>
      <c r="AI162" s="793"/>
      <c r="AJ162" s="793"/>
      <c r="AK162" s="793"/>
      <c r="AL162" s="793"/>
      <c r="AM162" s="793"/>
      <c r="AN162" s="793"/>
      <c r="AO162" s="793"/>
      <c r="AP162" s="793"/>
      <c r="AQ162" s="793"/>
      <c r="AR162" s="793"/>
      <c r="AS162" s="793"/>
      <c r="AT162" s="793"/>
      <c r="AU162" s="793"/>
      <c r="AV162" s="793"/>
      <c r="AW162" s="793"/>
      <c r="AX162" s="793"/>
      <c r="AY162" s="793"/>
      <c r="AZ162" s="793"/>
      <c r="BA162" s="793"/>
      <c r="BB162" s="793"/>
      <c r="BC162" s="793"/>
      <c r="BD162" s="793"/>
      <c r="BE162" s="793"/>
      <c r="BF162" s="793"/>
      <c r="BG162" s="793"/>
      <c r="BH162" s="793"/>
      <c r="BI162" s="793"/>
      <c r="BJ162" s="793"/>
      <c r="BK162" s="793"/>
      <c r="BL162" s="793"/>
      <c r="BM162" s="793"/>
      <c r="BN162" s="793"/>
      <c r="BO162" s="2104"/>
      <c r="BP162" s="2104"/>
      <c r="BQ162" s="2104"/>
      <c r="BR162" s="2104"/>
      <c r="BS162" s="2104"/>
      <c r="BT162" s="2104"/>
      <c r="BU162" s="2104"/>
      <c r="BV162" s="2104"/>
      <c r="BW162" s="2104"/>
      <c r="BX162" s="2104"/>
      <c r="BY162" s="2104"/>
      <c r="BZ162" s="2104"/>
      <c r="CA162" s="34"/>
      <c r="CC162" s="2572"/>
      <c r="CD162" s="793"/>
      <c r="CE162" s="793"/>
      <c r="CF162" s="88"/>
      <c r="CG162" s="793"/>
      <c r="CH162" s="793"/>
      <c r="CI162" s="88"/>
      <c r="CJ162" s="1663"/>
      <c r="CK162" s="1663"/>
      <c r="CL162" s="88"/>
      <c r="CM162" s="3175">
        <v>1</v>
      </c>
      <c r="CN162" s="3175">
        <v>1</v>
      </c>
      <c r="CO162" s="1169"/>
      <c r="CP162" s="3175">
        <v>1</v>
      </c>
      <c r="CQ162" s="3175">
        <v>1</v>
      </c>
      <c r="CR162" s="34"/>
      <c r="CS162" s="2056"/>
      <c r="CT162" s="2085" t="str" cm="1">
        <f t="array" ref="CT162">IF(K162&lt;&gt;"Yes","",IF(OR(Y162="Select,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III"),"",IF(OR(Y162&lt;&gt;AB162,AND(LEN(B162)=0,NOT(OR(Y162="Select,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III")))),_xldudf_CX_PUSH(Y162,CX_ENTITY,C162,EOMONTH(val_asOfDate,0)),"")))</f>
        <v/>
      </c>
      <c r="CU162" s="2085" t="str" cm="1">
        <f t="array" ref="CU162">IF(K162&lt;&gt;"Yes","",IF(OR(Y162="Select,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III"),"",IF(OR(Y162&lt;&gt;AB162,AND(LEN(B162)=0,NOT(OR(Y162="Select,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III")))),_xldudf_CX_PUSH(Y162,CX_ENTITY,C162,EOMONTH(val_asOfDate,1)),"")))</f>
        <v/>
      </c>
      <c r="CV162" s="2085" t="str" cm="1">
        <f t="array" ref="CV162">IF(K162&lt;&gt;"Yes","",IF(OR(Y162="Select,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III"),"",IF(OR(Y162&lt;&gt;AB162,AND(LEN(B162)=0,NOT(OR(Y162="Select,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III")))),_xldudf_CX_PUSH(Y162,CX_ENTITY,C162,EOMONTH(val_asOfDate,2)),"")))</f>
        <v/>
      </c>
      <c r="CW162" s="2085" t="str" cm="1">
        <f t="array" ref="CW162">IF(K162&lt;&gt;"Yes","",IF(OR(Y162="Select,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III"),"",IF(OR(Y162&lt;&gt;AB162,AND(LEN(B162)=0,NOT(OR(Y162="Select,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III")))),_xldudf_CX_PUSH(Y162,CX_ENTITY,C162,EOMONTH(val_asOfDate,3)),"")))</f>
        <v/>
      </c>
      <c r="CX162" s="2443"/>
      <c r="CY162" s="2444" t="str" cm="1">
        <f t="array" ca="1" aca="1" ref="CY162">IFERROR(IF(CM162*fxVal_normal=_PL!CM162,"",IF(OR($CM162="",$CM162=0,NOT(ISNUMBER($CM162)),ISERROR($CM162),$B162=""),"",IF($I162=1,IFBLANK(_xldudf_CX_PUSH($CM162*fxVal_normal,CX_ENTITY,$B162,$CM$11,$CM$14,$CM$19,),""),IF($I162=2,IFBLANK(_xldudf_CX_PUSH($CM162,CX_ENTITY,$B162,$CM$11,$CM$14,$CM$19,),""),IF($I162=3,"",IFBLANK(_xldudf_CX_PUSH($CM162,CX_ENTITY,$B162,$CM$11,$CM$14,$CM$19,),"")))))),"")</f>
        <v/>
      </c>
      <c r="CZ162" s="2444" t="str" cm="1">
        <f t="array" ca="1" aca="1" ref="CZ162">IFERROR(IF(CN162*fxVal_normal=_PL!CN162,"",IF(OR($CN162="",$CN162=0,NOT(ISNUMBER($CN162)),ISERROR($CN162),$B162=""),"",IF($I162=1,IFBLANK(_xldudf_CX_PUSH($CN162*fxVal_normal,CX_ENTITY,$B162,$CN$11,$CN$14,$CN$19,),""),IF($I162=2,IFBLANK(_xldudf_CX_PUSH($CN162,CX_ENTITY,$B162,$CN$11,$CN$14,$CN$19,),""),IF($I162=3,"",IFBLANK(_xldudf_CX_PUSH($CN162,CX_ENTITY,$B162,$CN$11,$CN$14,$CN$19,),"")))))),"")</f>
        <v/>
      </c>
      <c r="DA162" s="2444" t="str" cm="1">
        <f t="array" ca="1" aca="1" ref="DA162">IFERROR(IF(CP162*fxVal_normal=_PL!CP162,"",IF(OR($CP162="",$CP162=0,NOT(ISNUMBER($CP162)),ISERROR($CP162),$B162=""),"",IF($I162=1,IFBLANK(_xldudf_CX_PUSH($CP162*fxVal_normal,CX_ENTITY,$B162,$CP$11,$CP$14,$CP$19,),""),IF($I162=2,IFBLANK(_xldudf_CX_PUSH($CP162,CX_ENTITY,$B162,$CP$11,$CP$14,$CP$19,),""),IF($I162=3,"",IFBLANK(_xldudf_CX_PUSH($CP162,CX_ENTITY,$B162,$CP$11,$CP$14,$CP$19,),"")))))),"")</f>
        <v/>
      </c>
      <c r="DB162" s="2444" t="str" cm="1">
        <f t="array" ca="1" aca="1" ref="DB162">IFERROR(IF(CQ162*fxVal_normal=_PL!CQ162,"",IF(OR($CQ162="",$CQ162=0,NOT(ISNUMBER($CQ162)),ISERROR($CQ162),$B162=""),"",IF($I162=1,IFBLANK(_xldudf_CX_PUSH($CQ162*fxVal_normal,CX_ENTITY,$B162,$CQ$11,$CQ$14,$CQ$19,),""),IF($I162=2,IFBLANK(_xldudf_CX_PUSH($CQ162,CX_ENTITY,$B162,$CQ$11,$CQ$14,$CQ$19,),""),IF($I162=3,"",IFBLANK(_xldudf_CX_PUSH($CQ162,CX_ENTITY,$B162,$CQ$11,$CQ$14,$CQ$19,),"")))))),"")</f>
        <v/>
      </c>
      <c r="DC162" s="2443"/>
      <c r="DD162" s="1880"/>
      <c r="DE162" s="1880"/>
      <c r="DF162" s="1880"/>
      <c r="DG162" s="1880"/>
      <c r="DH162" s="1880"/>
      <c r="DI162" s="1880"/>
      <c r="DJ162" s="1880"/>
      <c r="DK162" s="1880"/>
      <c r="DL162" s="1880"/>
      <c r="DM162" s="1880"/>
      <c r="DN162" s="1880"/>
      <c r="DO162" s="1880"/>
      <c r="DP162" s="1880"/>
      <c r="DQ162" s="1880"/>
      <c r="DR162" s="1880"/>
      <c r="DS162" s="1880"/>
      <c r="DT162" s="1880"/>
      <c r="DU162" s="1880"/>
      <c r="DV162" s="1880"/>
      <c r="DW162" s="1880"/>
      <c r="DX162" s="1880"/>
      <c r="DY162" s="1880"/>
      <c r="DZ162" s="1880"/>
      <c r="EA162" s="1880"/>
      <c r="EB162" s="1880"/>
      <c r="EC162" s="1880"/>
      <c r="ED162" s="1880"/>
      <c r="EE162" s="1880"/>
      <c r="EF162" s="1880"/>
      <c r="EG162" s="1880"/>
      <c r="EH162" s="1880"/>
      <c r="EI162" s="1880"/>
      <c r="EJ162" s="1880"/>
      <c r="EK162" s="1880"/>
      <c r="EL162" s="1880"/>
      <c r="EM162" s="1880"/>
      <c r="EN162" s="1880"/>
      <c r="EO162" s="1880"/>
    </row>
    <row r="163" spans="1:145" ht="45.75" customHeight="1">
      <c r="A163" s="1625"/>
      <c r="B163" s="2585" t="str">
        <f>_xlfn.LET(_xlpm.IsNotAttrDynamic,D163="",_xlpm.Attr,_PL!F163,_xlpm.NotInUse,Y163=D163,_xlpm.RESULT,IF(_xlpm.IsNotAttrDynamic,_xlpm.Attr,IF(_xlpm.NotInUse,"",Y163)),IF(_xlpm.RESULT="","",_xlpm.RESULT))</f>
        <v>Including closed (not budgeted) deals (Annual Only) (Earning)</v>
      </c>
      <c r="C163" s="2568"/>
      <c r="D163" s="1548"/>
      <c r="E163" s="2440" cm="1">
        <f t="array" ca="1" aca="1" ref="E163:G16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163:$CQ163,Z163)</f>
        <v>4</v>
      </c>
      <c r="F163" s="578">
        <f ca="1"/>
        <v>4</v>
      </c>
      <c r="G163" s="578" t="str">
        <f ca="1"/>
        <v>R</v>
      </c>
      <c r="H163" s="510">
        <v>0</v>
      </c>
      <c r="I163" s="3278">
        <v>1</v>
      </c>
      <c r="J163" s="3280" cm="1">
        <f t="array" ref="J163">IFBLANK(Z163,"")</f>
        <v>1</v>
      </c>
      <c r="K163" s="578" t="str">
        <f t="shared" si="47"/>
        <v/>
      </c>
      <c r="L163" s="37"/>
      <c r="N163" s="158"/>
      <c r="O163" s="101"/>
      <c r="P163" s="52"/>
      <c r="Q163" s="101"/>
      <c r="R163" s="101"/>
      <c r="S163" s="101"/>
      <c r="T163" s="101"/>
      <c r="U163" s="39"/>
      <c r="V163" s="37"/>
      <c r="W163" s="2569"/>
      <c r="X163" s="3310">
        <f>_PL!X163</f>
        <v>1</v>
      </c>
      <c r="Y163" s="2573" t="s">
        <v>135</v>
      </c>
      <c r="Z163" s="3291">
        <f>_PL!Z163</f>
        <v>1</v>
      </c>
      <c r="AA163" s="2571"/>
      <c r="AB163" s="3017" t="e" vm="6" cm="1">
        <f t="array" ref="AB163">IF(AB165&lt;&gt;"",fx_getIcon("right"),"")</f>
        <v>#VALUE!</v>
      </c>
      <c r="AC163" s="914" t="str" cm="1">
        <f t="array" ca="1" aca="1" ref="AC163">_xlfn.LET(_xlpm._termname,$AB163,_xlpm._iconname,"find",_xlpm._icon,fx_getIcon(_xlpm._iconname),_xlpm._location,_xlfn.XLOOKUP(LOWER(_xlpm._termname),LOWER(tbl_acctDef[Term]),tbl_acctDef[Term]),_xlpm._hyperlink,HYPERLINK("#"&amp;CELL("address",_xlpm._location),_xlpm._icon),IFERROR(_xlpm._hyperlink,""))</f>
        <v/>
      </c>
      <c r="AD163" s="793"/>
      <c r="AE163" s="793"/>
      <c r="AF163" s="793"/>
      <c r="AG163" s="793"/>
      <c r="AH163" s="793"/>
      <c r="AI163" s="793"/>
      <c r="AJ163" s="793"/>
      <c r="AK163" s="793"/>
      <c r="AL163" s="793"/>
      <c r="AM163" s="793"/>
      <c r="AN163" s="793"/>
      <c r="AO163" s="793"/>
      <c r="AP163" s="793"/>
      <c r="AQ163" s="793"/>
      <c r="AR163" s="793"/>
      <c r="AS163" s="793"/>
      <c r="AT163" s="793"/>
      <c r="AU163" s="793"/>
      <c r="AV163" s="793"/>
      <c r="AW163" s="793"/>
      <c r="AX163" s="793"/>
      <c r="AY163" s="793"/>
      <c r="AZ163" s="793"/>
      <c r="BA163" s="793"/>
      <c r="BB163" s="793"/>
      <c r="BC163" s="793"/>
      <c r="BD163" s="793"/>
      <c r="BE163" s="793"/>
      <c r="BF163" s="793"/>
      <c r="BG163" s="793"/>
      <c r="BH163" s="793"/>
      <c r="BI163" s="793"/>
      <c r="BJ163" s="793"/>
      <c r="BK163" s="793"/>
      <c r="BL163" s="793"/>
      <c r="BM163" s="793"/>
      <c r="BN163" s="793"/>
      <c r="BO163" s="2104"/>
      <c r="BP163" s="2104"/>
      <c r="BQ163" s="2104"/>
      <c r="BR163" s="2104"/>
      <c r="BS163" s="2104"/>
      <c r="BT163" s="2104"/>
      <c r="BU163" s="2104"/>
      <c r="BV163" s="2104"/>
      <c r="BW163" s="2104"/>
      <c r="BX163" s="2104"/>
      <c r="BY163" s="2104"/>
      <c r="BZ163" s="2104"/>
      <c r="CA163" s="34"/>
      <c r="CC163" s="2572"/>
      <c r="CD163" s="793"/>
      <c r="CE163" s="793"/>
      <c r="CF163" s="88"/>
      <c r="CG163" s="793"/>
      <c r="CH163" s="793"/>
      <c r="CI163" s="88"/>
      <c r="CJ163" s="1663"/>
      <c r="CK163" s="1663"/>
      <c r="CL163" s="88"/>
      <c r="CM163" s="3177">
        <v>1</v>
      </c>
      <c r="CN163" s="3177">
        <v>1</v>
      </c>
      <c r="CO163" s="1169"/>
      <c r="CP163" s="3177">
        <v>1</v>
      </c>
      <c r="CQ163" s="3177">
        <v>1</v>
      </c>
      <c r="CR163" s="34"/>
      <c r="CS163" s="2056"/>
      <c r="CT163" s="2085" t="str" cm="1">
        <f t="array" ref="CT163">IF(K163&lt;&gt;"Yes","",IF(OR(Y163="Select,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III"),"",IF(OR(Y163&lt;&gt;AB163,AND(LEN(B163)=0,NOT(OR(Y163="Select,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III")))),_xldudf_CX_PUSH(Y163,CX_ENTITY,C163,EOMONTH(val_asOfDate,0)),"")))</f>
        <v/>
      </c>
      <c r="CU163" s="2085" t="str" cm="1">
        <f t="array" ref="CU163">IF(K163&lt;&gt;"Yes","",IF(OR(Y163="Select,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III"),"",IF(OR(Y163&lt;&gt;AB163,AND(LEN(B163)=0,NOT(OR(Y163="Select,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III")))),_xldudf_CX_PUSH(Y163,CX_ENTITY,C163,EOMONTH(val_asOfDate,1)),"")))</f>
        <v/>
      </c>
      <c r="CV163" s="2085" t="str" cm="1">
        <f t="array" ref="CV163">IF(K163&lt;&gt;"Yes","",IF(OR(Y163="Select,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III"),"",IF(OR(Y163&lt;&gt;AB163,AND(LEN(B163)=0,NOT(OR(Y163="Select,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III")))),_xldudf_CX_PUSH(Y163,CX_ENTITY,C163,EOMONTH(val_asOfDate,2)),"")))</f>
        <v/>
      </c>
      <c r="CW163" s="2085" t="str" cm="1">
        <f t="array" ref="CW163">IF(K163&lt;&gt;"Yes","",IF(OR(Y163="Select,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III"),"",IF(OR(Y163&lt;&gt;AB163,AND(LEN(B163)=0,NOT(OR(Y163="Select,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III")))),_xldudf_CX_PUSH(Y163,CX_ENTITY,C163,EOMONTH(val_asOfDate,3)),"")))</f>
        <v/>
      </c>
      <c r="CX163" s="2443"/>
      <c r="CY163" s="2444" t="str" cm="1">
        <f t="array" ca="1" aca="1" ref="CY163">IFERROR(IF(CM163*fxVal_normal=_PL!CM163,"",IF(OR($CM163="",$CM163=0,NOT(ISNUMBER($CM163)),ISERROR($CM163),$B163=""),"",IF($I163=1,IFBLANK(_xldudf_CX_PUSH($CM163*fxVal_normal,CX_ENTITY,$B163,$CM$11,$CM$14,$CM$19,),""),IF($I163=2,IFBLANK(_xldudf_CX_PUSH($CM163,CX_ENTITY,$B163,$CM$11,$CM$14,$CM$19,),""),IF($I163=3,"",IFBLANK(_xldudf_CX_PUSH($CM163,CX_ENTITY,$B163,$CM$11,$CM$14,$CM$19,),"")))))),"")</f>
        <v/>
      </c>
      <c r="CZ163" s="2444" t="str" cm="1">
        <f t="array" ca="1" aca="1" ref="CZ163">IFERROR(IF(CN163*fxVal_normal=_PL!CN163,"",IF(OR($CN163="",$CN163=0,NOT(ISNUMBER($CN163)),ISERROR($CN163),$B163=""),"",IF($I163=1,IFBLANK(_xldudf_CX_PUSH($CN163*fxVal_normal,CX_ENTITY,$B163,$CN$11,$CN$14,$CN$19,),""),IF($I163=2,IFBLANK(_xldudf_CX_PUSH($CN163,CX_ENTITY,$B163,$CN$11,$CN$14,$CN$19,),""),IF($I163=3,"",IFBLANK(_xldudf_CX_PUSH($CN163,CX_ENTITY,$B163,$CN$11,$CN$14,$CN$19,),"")))))),"")</f>
        <v/>
      </c>
      <c r="DA163" s="2444" t="str" cm="1">
        <f t="array" ca="1" aca="1" ref="DA163">IFERROR(IF(CP163*fxVal_normal=_PL!CP163,"",IF(OR($CP163="",$CP163=0,NOT(ISNUMBER($CP163)),ISERROR($CP163),$B163=""),"",IF($I163=1,IFBLANK(_xldudf_CX_PUSH($CP163*fxVal_normal,CX_ENTITY,$B163,$CP$11,$CP$14,$CP$19,),""),IF($I163=2,IFBLANK(_xldudf_CX_PUSH($CP163,CX_ENTITY,$B163,$CP$11,$CP$14,$CP$19,),""),IF($I163=3,"",IFBLANK(_xldudf_CX_PUSH($CP163,CX_ENTITY,$B163,$CP$11,$CP$14,$CP$19,),"")))))),"")</f>
        <v/>
      </c>
      <c r="DB163" s="2444" t="str" cm="1">
        <f t="array" ca="1" aca="1" ref="DB163">IFERROR(IF(CQ163*fxVal_normal=_PL!CQ163,"",IF(OR($CQ163="",$CQ163=0,NOT(ISNUMBER($CQ163)),ISERROR($CQ163),$B163=""),"",IF($I163=1,IFBLANK(_xldudf_CX_PUSH($CQ163*fxVal_normal,CX_ENTITY,$B163,$CQ$11,$CQ$14,$CQ$19,),""),IF($I163=2,IFBLANK(_xldudf_CX_PUSH($CQ163,CX_ENTITY,$B163,$CQ$11,$CQ$14,$CQ$19,),""),IF($I163=3,"",IFBLANK(_xldudf_CX_PUSH($CQ163,CX_ENTITY,$B163,$CQ$11,$CQ$14,$CQ$19,),"")))))),"")</f>
        <v/>
      </c>
      <c r="DC163" s="2443"/>
      <c r="DD163" s="1880"/>
      <c r="DE163" s="1880"/>
      <c r="DF163" s="1880"/>
      <c r="DG163" s="1880"/>
      <c r="DH163" s="1880"/>
      <c r="DI163" s="1880"/>
      <c r="DJ163" s="1880"/>
      <c r="DK163" s="1880"/>
      <c r="DL163" s="1880"/>
      <c r="DM163" s="1880"/>
      <c r="DN163" s="1880"/>
      <c r="DO163" s="1880"/>
      <c r="DP163" s="1880"/>
      <c r="DQ163" s="1880"/>
      <c r="DR163" s="1880"/>
      <c r="DS163" s="1880"/>
      <c r="DT163" s="1880"/>
      <c r="DU163" s="1880"/>
      <c r="DV163" s="1880"/>
      <c r="DW163" s="1880"/>
      <c r="DX163" s="1880"/>
      <c r="DY163" s="1880"/>
      <c r="DZ163" s="1880"/>
      <c r="EA163" s="1880"/>
      <c r="EB163" s="1880"/>
      <c r="EC163" s="1880"/>
      <c r="ED163" s="1880"/>
      <c r="EE163" s="1880"/>
      <c r="EF163" s="1880"/>
      <c r="EG163" s="1880"/>
      <c r="EH163" s="1880"/>
      <c r="EI163" s="1880"/>
      <c r="EJ163" s="1880"/>
      <c r="EK163" s="1880"/>
      <c r="EL163" s="1880"/>
      <c r="EM163" s="1880"/>
      <c r="EN163" s="1880"/>
      <c r="EO163" s="1880"/>
    </row>
    <row r="164" spans="1:144" ht="21" customHeight="1">
      <c r="A164" s="1625"/>
      <c r="B164" s="2439" t="s">
        <v>136</v>
      </c>
      <c r="C164" s="3459" t="str" cm="1">
        <f t="array" ref="C164">IFBLANK(_PL!C164,"")</f>
        <v>Earning Metric Adjustment Type II - Label 3</v>
      </c>
      <c r="D164" s="1548" t="s">
        <v>123</v>
      </c>
      <c r="E164" s="2440" t="e" cm="1">
        <f t="array" ca="1" aca="1" ref="E16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164:$CQ164,Z164)</f>
        <v>#NAME?</v>
      </c>
      <c r="F164" s="578"/>
      <c r="G164" s="578"/>
      <c r="H164" s="510">
        <v>0</v>
      </c>
      <c r="I164" s="3302">
        <v>1</v>
      </c>
      <c r="J164" s="401" cm="1">
        <f t="array" ref="J164">IFBLANK(Z164,"")</f>
        <v>-1</v>
      </c>
      <c r="K164" s="578" t="str">
        <f t="shared" si="47"/>
        <v>No</v>
      </c>
      <c r="L164" s="37"/>
      <c r="N164" s="158"/>
      <c r="O164" s="101"/>
      <c r="P164" s="52"/>
      <c r="Q164" s="101"/>
      <c r="R164" s="101"/>
      <c r="S164" s="101"/>
      <c r="T164" s="101"/>
      <c r="U164" s="39"/>
      <c r="V164" s="37"/>
      <c r="W164" s="91" t="str">
        <f>W161</f>
        <v>Actual</v>
      </c>
      <c r="X164" s="2081" t="str">
        <f>_PL!X164</f>
        <v>a</v>
      </c>
      <c r="Y164" s="3218">
        <v>2</v>
      </c>
      <c r="Z164" s="198">
        <f>_PL!Z164</f>
        <v>-1</v>
      </c>
      <c r="AA164" s="2571"/>
      <c r="AB164" s="3017"/>
      <c r="AC164" s="914" t="str" cm="1">
        <f t="array" ca="1" aca="1" ref="AC164">_xlfn.LET(_xlpm._termname,$AB164,_xlpm._iconname,"find",_xlpm._icon,fx_getIcon(_xlpm._iconname),_xlpm._location,_xlfn.XLOOKUP(LOWER(_xlpm._termname),LOWER(tbl_acctDef[Term]),tbl_acctDef[Term]),_xlpm._hyperlink,HYPERLINK("#"&amp;CELL("address",_xlpm._location),_xlpm._icon),IFERROR(_xlpm._hyperlink,""))</f>
        <v/>
      </c>
      <c r="AD164" s="3215">
        <v>1</v>
      </c>
      <c r="AE164" s="3215">
        <v>1</v>
      </c>
      <c r="AF164" s="3215">
        <v>1</v>
      </c>
      <c r="AG164" s="3215">
        <v>1</v>
      </c>
      <c r="AH164" s="3215">
        <v>1</v>
      </c>
      <c r="AI164" s="3215">
        <v>1</v>
      </c>
      <c r="AJ164" s="3215">
        <v>1</v>
      </c>
      <c r="AK164" s="3215">
        <v>1</v>
      </c>
      <c r="AL164" s="3215">
        <v>1</v>
      </c>
      <c r="AM164" s="3215">
        <v>1</v>
      </c>
      <c r="AN164" s="3215">
        <v>1</v>
      </c>
      <c r="AO164" s="3215">
        <v>1</v>
      </c>
      <c r="AP164" s="3215">
        <v>1</v>
      </c>
      <c r="AQ164" s="3215">
        <v>1</v>
      </c>
      <c r="AR164" s="3215">
        <v>1</v>
      </c>
      <c r="AS164" s="3215">
        <v>1</v>
      </c>
      <c r="AT164" s="3215">
        <v>1</v>
      </c>
      <c r="AU164" s="3215">
        <v>1</v>
      </c>
      <c r="AV164" s="3215">
        <v>1</v>
      </c>
      <c r="AW164" s="3215">
        <v>1</v>
      </c>
      <c r="AX164" s="3215">
        <v>1</v>
      </c>
      <c r="AY164" s="3215">
        <v>1</v>
      </c>
      <c r="AZ164" s="3215">
        <v>1</v>
      </c>
      <c r="BA164" s="3215">
        <v>1</v>
      </c>
      <c r="BB164" s="3215">
        <v>1</v>
      </c>
      <c r="BC164" s="3215">
        <v>1</v>
      </c>
      <c r="BD164" s="3215">
        <v>1</v>
      </c>
      <c r="BE164" s="3215">
        <v>1</v>
      </c>
      <c r="BF164" s="3215">
        <v>1</v>
      </c>
      <c r="BG164" s="3215">
        <v>1</v>
      </c>
      <c r="BH164" s="3215">
        <v>1</v>
      </c>
      <c r="BI164" s="3215">
        <v>1</v>
      </c>
      <c r="BJ164" s="3215">
        <v>1</v>
      </c>
      <c r="BK164" s="3215">
        <v>1</v>
      </c>
      <c r="BL164" s="3215">
        <v>1</v>
      </c>
      <c r="BM164" s="3215">
        <v>1</v>
      </c>
      <c r="BN164" s="3215">
        <v>1</v>
      </c>
      <c r="BO164" s="2442"/>
      <c r="BP164" s="2442"/>
      <c r="BQ164" s="2442"/>
      <c r="BR164" s="2442"/>
      <c r="BS164" s="2442"/>
      <c r="BT164" s="2442"/>
      <c r="BU164" s="2442"/>
      <c r="BV164" s="2442"/>
      <c r="BW164" s="2442"/>
      <c r="BX164" s="2442"/>
      <c r="BY164" s="2442"/>
      <c r="BZ164" s="2442"/>
      <c r="CA164" s="34"/>
      <c r="CC164" s="2572"/>
      <c r="CD164" s="1461" t="e" cm="1">
        <f t="array" ca="1" aca="1" ref="CD164">_xlfn.LET(_xlpm.CheckBlank,SUM(PL!$AD164:$BN164)=0,IF(_xlpm.CheckBlank,"",SUM(_xlfn._xlws.FILTER(PL!$AD164:$BN164,(YEAR(PL!$AD$12:$BN$12)=PL!CD$12)*(array_timeline&lt;=PL!CD$11)))))</f>
        <v>#NAME?</v>
      </c>
      <c r="CE164" s="1461" t="e" cm="1">
        <f t="array" ca="1" aca="1" ref="CE164">_xlfn.LET(_xlpm.CheckBlank,SUM(PL!$AD164:$BN164)=0,IF(_xlpm.CheckBlank,"",SUM(_xlfn._xlws.FILTER(PL!$AD164:$BN164,(YEAR(PL!$AD$12:$BN$12)=PL!CE$12)*(array_timeline&lt;=PL!CE$11)))))</f>
        <v>#NAME?</v>
      </c>
      <c r="CF164" s="88"/>
      <c r="CG164" s="1461" t="e" cm="1">
        <f t="array" ca="1" aca="1" ref="CG164">_xlfn.LET(_xlpm.CheckBlank,SUM(PL!$AD164:$BN164)=0,IF(_xlpm.CheckBlank,"",SUM(_xlfn._xlws.FILTER(PL!$AD164:$BN164,(YEAR(PL!$AD$12:$BN$12)=PL!CG$12)*(array_timeline&lt;=PL!CG$11)))))</f>
        <v>#NAME?</v>
      </c>
      <c r="CH164" s="1461" t="e" cm="1">
        <f t="array" ca="1" aca="1" ref="CH164">_xlfn.LET(_xlpm.CheckBlank,SUM(PL!$AD164:$BN164)=0,IF(_xlpm.CheckBlank,"",SUM(_xlfn._xlws.FILTER(PL!$AD164:$BN164,(YEAR(PL!$AD$12:$BN$12)=PL!CH$12)*(array_timeline&lt;=PL!CH$11)))))</f>
        <v>#NAME?</v>
      </c>
      <c r="CI164" s="88"/>
      <c r="CJ164" s="1461" cm="1">
        <f t="array" ref="CJ164">_xlfn.LET(_xlpm.CheckBlank,SUM(PL!$AD164:$BN164)=0,IF(_xlpm.CheckBlank,"",SUM(_xlfn.TAKE(_xlfn.DROP(PL!$AD164:$BN164,,-DATEDIFF(PL!CJ$11,val_asOfDate,"M")),1,-12))))</f>
        <v>12</v>
      </c>
      <c r="CK164" s="1461" cm="1">
        <f t="array" ref="CK164">_xlfn.LET(_xlpm.CheckBlank,SUM(PL!$AD164:$BN164)=0,IF(_xlpm.CheckBlank,"",SUM(_xlfn.TAKE(_xlfn.DROP(PL!$AD164:$BN164,,-DATEDIFF(PL!CK$11,val_asOfDate,"M")),1,-12))))</f>
        <v>12</v>
      </c>
      <c r="CL164" s="88"/>
      <c r="CM164" s="3177">
        <v>1</v>
      </c>
      <c r="CN164" s="3177">
        <v>1</v>
      </c>
      <c r="CO164" s="1169"/>
      <c r="CP164" s="3177">
        <v>1</v>
      </c>
      <c r="CQ164" s="3177">
        <v>1</v>
      </c>
      <c r="CR164" s="34"/>
      <c r="CS164" s="2056"/>
      <c r="CT164" s="2447" t="e" cm="1">
        <f t="array" ca="1" aca="1" ref="CT164">IF(ISNUMBER(SEARCH("Select",$Y164)),"",_xldudf_CX_PUSH($Y164,CX_ENTITY,C164,val_asOfDate))</f>
        <v>#NAME?</v>
      </c>
      <c r="CU164" s="2447" t="e" cm="1">
        <f t="array" ca="1" aca="1" ref="CU164">IF(ISNUMBER(SEARCH("Select",$Y164)),"",_xldudf_CX_PUSH($Y164,CX_ENTITY,C164,EOMONTH(val_asOfDate,1)))</f>
        <v>#NAME?</v>
      </c>
      <c r="CV164" s="2447" t="e" cm="1">
        <f t="array" ca="1" aca="1" ref="CV164">IF(ISNUMBER(SEARCH("Select",$Y164)),"",_xldudf_CX_PUSH($Y164,CX_ENTITY,C164,EOMONTH(val_asOfDate,2)))</f>
        <v>#NAME?</v>
      </c>
      <c r="CW164" s="2447" t="e" cm="1">
        <f t="array" ca="1" aca="1" ref="CW164">IF(ISNUMBER(SEARCH("Select",$Y164)),"",_xldudf_CX_PUSH($Y164,CX_ENTITY,C164,EOMONTH(val_asOfDate,3)))</f>
        <v>#NAME?</v>
      </c>
      <c r="CX164" s="2443"/>
      <c r="CY164" s="2444" t="str" cm="1">
        <f t="array" ca="1" aca="1" ref="CY164">IFERROR(IF(CM164*fxVal_normal=_PL!CM164,"",IF(OR($CM164="",$CM164=0,NOT(ISNUMBER($CM164)),ISERROR($CM164),$B164=""),"",IF($I164=1,IFBLANK(_xldudf_CX_PUSH($CM164*fxVal_normal,CX_ENTITY,$B164,$CM$11,$CM$14,$CM$19,),""),IF($I164=2,IFBLANK(_xldudf_CX_PUSH($CM164,CX_ENTITY,$B164,$CM$11,$CM$14,$CM$19,),""),IF($I164=3,"",IFBLANK(_xldudf_CX_PUSH($CM164,CX_ENTITY,$B164,$CM$11,$CM$14,$CM$19,),"")))))),"")</f>
        <v/>
      </c>
      <c r="CZ164" s="2444" t="str" cm="1">
        <f t="array" ca="1" aca="1" ref="CZ164">IFERROR(IF(CN164*fxVal_normal=_PL!CN164,"",IF(OR($CN164="",$CN164=0,NOT(ISNUMBER($CN164)),ISERROR($CN164),$B164=""),"",IF($I164=1,IFBLANK(_xldudf_CX_PUSH($CN164*fxVal_normal,CX_ENTITY,$B164,$CN$11,$CN$14,$CN$19,),""),IF($I164=2,IFBLANK(_xldudf_CX_PUSH($CN164,CX_ENTITY,$B164,$CN$11,$CN$14,$CN$19,),""),IF($I164=3,"",IFBLANK(_xldudf_CX_PUSH($CN164,CX_ENTITY,$B164,$CN$11,$CN$14,$CN$19,),"")))))),"")</f>
        <v/>
      </c>
      <c r="DA164" s="2444" t="str" cm="1">
        <f t="array" ca="1" aca="1" ref="DA164">IFERROR(IF(CP164*fxVal_normal=_PL!CP164,"",IF(OR($CP164="",$CP164=0,NOT(ISNUMBER($CP164)),ISERROR($CP164),$B164=""),"",IF($I164=1,IFBLANK(_xldudf_CX_PUSH($CP164*fxVal_normal,CX_ENTITY,$B164,$CP$11,$CP$14,$CP$19,),""),IF($I164=2,IFBLANK(_xldudf_CX_PUSH($CP164,CX_ENTITY,$B164,$CP$11,$CP$14,$CP$19,),""),IF($I164=3,"",IFBLANK(_xldudf_CX_PUSH($CP164,CX_ENTITY,$B164,$CP$11,$CP$14,$CP$19,),"")))))),"")</f>
        <v/>
      </c>
      <c r="DB164" s="2444" t="str" cm="1">
        <f t="array" ca="1" aca="1" ref="DB164">IFERROR(IF(CQ164*fxVal_normal=_PL!CQ164,"",IF(OR($CQ164="",$CQ164=0,NOT(ISNUMBER($CQ164)),ISERROR($CQ164),$B164=""),"",IF($I164=1,IFBLANK(_xldudf_CX_PUSH($CQ164*fxVal_normal,CX_ENTITY,$B164,$CQ$11,$CQ$14,$CQ$19,),""),IF($I164=2,IFBLANK(_xldudf_CX_PUSH($CQ164,CX_ENTITY,$B164,$CQ$11,$CQ$14,$CQ$19,),""),IF($I164=3,"",IFBLANK(_xldudf_CX_PUSH($CQ164,CX_ENTITY,$B164,$CQ$11,$CQ$14,$CQ$19,),"")))))),"")</f>
        <v/>
      </c>
      <c r="DC164" s="2443"/>
      <c r="DD164" s="2445" t="str" cm="1">
        <f t="array" ca="1" aca="1" ref="DD164">IFERROR(IF(AD164*fxVal_normal=_PL!AD164,"",IF(OR(AD164="",NOT(ISNUMBER(AD164)),ISERROR(AD164),$B164=""),"",IF($I164=1,IFBLANK(_xldudf_CX_PUSH(AD164*fxVal_normal,CX_ENTITY,$B164,AD$11,AD$14,AD$160,),""),IF($I164=2,IFBLANK(_xldudf_CX_PUSH(AD164,CX_ENTITY,$B164,AD$11,AD$14,AD$160,),""),IF($I164=3,"",IFBLANK(_xldudf_CX_PUSH(AD164,CX_ENTITY,$B164,AD$11,AD$14,AD$160,),"")))))),"")</f>
        <v/>
      </c>
      <c r="DE164" s="2445" t="str" cm="1">
        <f t="array" ca="1" aca="1" ref="DE164">IFERROR(IF(AE164*fxVal_normal=_PL!AE164,"",IF(OR(AE164="",NOT(ISNUMBER(AE164)),ISERROR(AE164),$B164=""),"",IF($I164=1,IFBLANK(_xldudf_CX_PUSH(AE164*fxVal_normal,CX_ENTITY,$B164,AE$11,AE$14,AE$160,),""),IF($I164=2,IFBLANK(_xldudf_CX_PUSH(AE164,CX_ENTITY,$B164,AE$11,AE$14,AE$160,),""),IF($I164=3,"",IFBLANK(_xldudf_CX_PUSH(AE164,CX_ENTITY,$B164,AE$11,AE$14,AE$160,),"")))))),"")</f>
        <v/>
      </c>
      <c r="DF164" s="2445" t="str" cm="1">
        <f t="array" ca="1" aca="1" ref="DF164">IFERROR(IF(AF164*fxVal_normal=_PL!AF164,"",IF(OR(AF164="",NOT(ISNUMBER(AF164)),ISERROR(AF164),$B164=""),"",IF($I164=1,IFBLANK(_xldudf_CX_PUSH(AF164*fxVal_normal,CX_ENTITY,$B164,AF$11,AF$14,AF$160,),""),IF($I164=2,IFBLANK(_xldudf_CX_PUSH(AF164,CX_ENTITY,$B164,AF$11,AF$14,AF$160,),""),IF($I164=3,"",IFBLANK(_xldudf_CX_PUSH(AF164,CX_ENTITY,$B164,AF$11,AF$14,AF$160,),"")))))),"")</f>
        <v/>
      </c>
      <c r="DG164" s="2445" t="str" cm="1">
        <f t="array" ca="1" aca="1" ref="DG164">IFERROR(IF(AG164*fxVal_normal=_PL!AG164,"",IF(OR(AG164="",NOT(ISNUMBER(AG164)),ISERROR(AG164),$B164=""),"",IF($I164=1,IFBLANK(_xldudf_CX_PUSH(AG164*fxVal_normal,CX_ENTITY,$B164,AG$11,AG$14,AG$160,),""),IF($I164=2,IFBLANK(_xldudf_CX_PUSH(AG164,CX_ENTITY,$B164,AG$11,AG$14,AG$160,),""),IF($I164=3,"",IFBLANK(_xldudf_CX_PUSH(AG164,CX_ENTITY,$B164,AG$11,AG$14,AG$160,),"")))))),"")</f>
        <v/>
      </c>
      <c r="DH164" s="2445" t="str" cm="1">
        <f t="array" ca="1" aca="1" ref="DH164">IFERROR(IF(AH164*fxVal_normal=_PL!AH164,"",IF(OR(AH164="",NOT(ISNUMBER(AH164)),ISERROR(AH164),$B164=""),"",IF($I164=1,IFBLANK(_xldudf_CX_PUSH(AH164*fxVal_normal,CX_ENTITY,$B164,AH$11,AH$14,AH$160,),""),IF($I164=2,IFBLANK(_xldudf_CX_PUSH(AH164,CX_ENTITY,$B164,AH$11,AH$14,AH$160,),""),IF($I164=3,"",IFBLANK(_xldudf_CX_PUSH(AH164,CX_ENTITY,$B164,AH$11,AH$14,AH$160,),"")))))),"")</f>
        <v/>
      </c>
      <c r="DI164" s="2445" t="str" cm="1">
        <f t="array" ca="1" aca="1" ref="DI164">IFERROR(IF(AI164*fxVal_normal=_PL!AI164,"",IF(OR(AI164="",NOT(ISNUMBER(AI164)),ISERROR(AI164),$B164=""),"",IF($I164=1,IFBLANK(_xldudf_CX_PUSH(AI164*fxVal_normal,CX_ENTITY,$B164,AI$11,AI$14,AI$160,),""),IF($I164=2,IFBLANK(_xldudf_CX_PUSH(AI164,CX_ENTITY,$B164,AI$11,AI$14,AI$160,),""),IF($I164=3,"",IFBLANK(_xldudf_CX_PUSH(AI164,CX_ENTITY,$B164,AI$11,AI$14,AI$160,),"")))))),"")</f>
        <v/>
      </c>
      <c r="DJ164" s="2445" t="str" cm="1">
        <f t="array" ca="1" aca="1" ref="DJ164">IFERROR(IF(AJ164*fxVal_normal=_PL!AJ164,"",IF(OR(AJ164="",NOT(ISNUMBER(AJ164)),ISERROR(AJ164),$B164=""),"",IF($I164=1,IFBLANK(_xldudf_CX_PUSH(AJ164*fxVal_normal,CX_ENTITY,$B164,AJ$11,AJ$14,AJ$160,),""),IF($I164=2,IFBLANK(_xldudf_CX_PUSH(AJ164,CX_ENTITY,$B164,AJ$11,AJ$14,AJ$160,),""),IF($I164=3,"",IFBLANK(_xldudf_CX_PUSH(AJ164,CX_ENTITY,$B164,AJ$11,AJ$14,AJ$160,),"")))))),"")</f>
        <v/>
      </c>
      <c r="DK164" s="2445" t="str" cm="1">
        <f t="array" ca="1" aca="1" ref="DK164">IFERROR(IF(AK164*fxVal_normal=_PL!AK164,"",IF(OR(AK164="",NOT(ISNUMBER(AK164)),ISERROR(AK164),$B164=""),"",IF($I164=1,IFBLANK(_xldudf_CX_PUSH(AK164*fxVal_normal,CX_ENTITY,$B164,AK$11,AK$14,AK$160,),""),IF($I164=2,IFBLANK(_xldudf_CX_PUSH(AK164,CX_ENTITY,$B164,AK$11,AK$14,AK$160,),""),IF($I164=3,"",IFBLANK(_xldudf_CX_PUSH(AK164,CX_ENTITY,$B164,AK$11,AK$14,AK$160,),"")))))),"")</f>
        <v/>
      </c>
      <c r="DL164" s="2445" t="str" cm="1">
        <f t="array" ca="1" aca="1" ref="DL164">IFERROR(IF(AL164*fxVal_normal=_PL!AL164,"",IF(OR(AL164="",NOT(ISNUMBER(AL164)),ISERROR(AL164),$B164=""),"",IF($I164=1,IFBLANK(_xldudf_CX_PUSH(AL164*fxVal_normal,CX_ENTITY,$B164,AL$11,AL$14,AL$160,),""),IF($I164=2,IFBLANK(_xldudf_CX_PUSH(AL164,CX_ENTITY,$B164,AL$11,AL$14,AL$160,),""),IF($I164=3,"",IFBLANK(_xldudf_CX_PUSH(AL164,CX_ENTITY,$B164,AL$11,AL$14,AL$160,),"")))))),"")</f>
        <v/>
      </c>
      <c r="DM164" s="2445" t="str" cm="1">
        <f t="array" ca="1" aca="1" ref="DM164">IFERROR(IF(AM164*fxVal_normal=_PL!AM164,"",IF(OR(AM164="",NOT(ISNUMBER(AM164)),ISERROR(AM164),$B164=""),"",IF($I164=1,IFBLANK(_xldudf_CX_PUSH(AM164*fxVal_normal,CX_ENTITY,$B164,AM$11,AM$14,AM$160,),""),IF($I164=2,IFBLANK(_xldudf_CX_PUSH(AM164,CX_ENTITY,$B164,AM$11,AM$14,AM$160,),""),IF($I164=3,"",IFBLANK(_xldudf_CX_PUSH(AM164,CX_ENTITY,$B164,AM$11,AM$14,AM$160,),"")))))),"")</f>
        <v/>
      </c>
      <c r="DN164" s="2445" t="str" cm="1">
        <f t="array" ca="1" aca="1" ref="DN164">IFERROR(IF(AN164*fxVal_normal=_PL!AN164,"",IF(OR(AN164="",NOT(ISNUMBER(AN164)),ISERROR(AN164),$B164=""),"",IF($I164=1,IFBLANK(_xldudf_CX_PUSH(AN164*fxVal_normal,CX_ENTITY,$B164,AN$11,AN$14,AN$160,),""),IF($I164=2,IFBLANK(_xldudf_CX_PUSH(AN164,CX_ENTITY,$B164,AN$11,AN$14,AN$160,),""),IF($I164=3,"",IFBLANK(_xldudf_CX_PUSH(AN164,CX_ENTITY,$B164,AN$11,AN$14,AN$160,),"")))))),"")</f>
        <v/>
      </c>
      <c r="DO164" s="2445" t="str" cm="1">
        <f t="array" ca="1" aca="1" ref="DO164">IFERROR(IF(AO164*fxVal_normal=_PL!AO164,"",IF(OR(AO164="",NOT(ISNUMBER(AO164)),ISERROR(AO164),$B164=""),"",IF($I164=1,IFBLANK(_xldudf_CX_PUSH(AO164*fxVal_normal,CX_ENTITY,$B164,AO$11,AO$14,AO$160,),""),IF($I164=2,IFBLANK(_xldudf_CX_PUSH(AO164,CX_ENTITY,$B164,AO$11,AO$14,AO$160,),""),IF($I164=3,"",IFBLANK(_xldudf_CX_PUSH(AO164,CX_ENTITY,$B164,AO$11,AO$14,AO$160,),"")))))),"")</f>
        <v/>
      </c>
      <c r="DP164" s="2445" t="str" cm="1">
        <f t="array" ca="1" aca="1" ref="DP164">IFERROR(IF(AP164*fxVal_normal=_PL!AP164,"",IF(OR(AP164="",NOT(ISNUMBER(AP164)),ISERROR(AP164),$B164=""),"",IF($I164=1,IFBLANK(_xldudf_CX_PUSH(AP164*fxVal_normal,CX_ENTITY,$B164,AP$11,AP$14,AP$160,),""),IF($I164=2,IFBLANK(_xldudf_CX_PUSH(AP164,CX_ENTITY,$B164,AP$11,AP$14,AP$160,),""),IF($I164=3,"",IFBLANK(_xldudf_CX_PUSH(AP164,CX_ENTITY,$B164,AP$11,AP$14,AP$160,),"")))))),"")</f>
        <v/>
      </c>
      <c r="DQ164" s="2445" t="str" cm="1">
        <f t="array" ca="1" aca="1" ref="DQ164">IFERROR(IF(AQ164*fxVal_normal=_PL!AQ164,"",IF(OR(AQ164="",NOT(ISNUMBER(AQ164)),ISERROR(AQ164),$B164=""),"",IF($I164=1,IFBLANK(_xldudf_CX_PUSH(AQ164*fxVal_normal,CX_ENTITY,$B164,AQ$11,AQ$14,AQ$160,),""),IF($I164=2,IFBLANK(_xldudf_CX_PUSH(AQ164,CX_ENTITY,$B164,AQ$11,AQ$14,AQ$160,),""),IF($I164=3,"",IFBLANK(_xldudf_CX_PUSH(AQ164,CX_ENTITY,$B164,AQ$11,AQ$14,AQ$160,),"")))))),"")</f>
        <v/>
      </c>
      <c r="DR164" s="2445" t="str" cm="1">
        <f t="array" ca="1" aca="1" ref="DR164">IFERROR(IF(AR164*fxVal_normal=_PL!AR164,"",IF(OR(AR164="",NOT(ISNUMBER(AR164)),ISERROR(AR164),$B164=""),"",IF($I164=1,IFBLANK(_xldudf_CX_PUSH(AR164*fxVal_normal,CX_ENTITY,$B164,AR$11,AR$14,AR$160,),""),IF($I164=2,IFBLANK(_xldudf_CX_PUSH(AR164,CX_ENTITY,$B164,AR$11,AR$14,AR$160,),""),IF($I164=3,"",IFBLANK(_xldudf_CX_PUSH(AR164,CX_ENTITY,$B164,AR$11,AR$14,AR$160,),"")))))),"")</f>
        <v/>
      </c>
      <c r="DS164" s="2445" t="str" cm="1">
        <f t="array" ca="1" aca="1" ref="DS164">IFERROR(IF(AS164*fxVal_normal=_PL!AS164,"",IF(OR(AS164="",NOT(ISNUMBER(AS164)),ISERROR(AS164),$B164=""),"",IF($I164=1,IFBLANK(_xldudf_CX_PUSH(AS164*fxVal_normal,CX_ENTITY,$B164,AS$11,AS$14,AS$160,),""),IF($I164=2,IFBLANK(_xldudf_CX_PUSH(AS164,CX_ENTITY,$B164,AS$11,AS$14,AS$160,),""),IF($I164=3,"",IFBLANK(_xldudf_CX_PUSH(AS164,CX_ENTITY,$B164,AS$11,AS$14,AS$160,),"")))))),"")</f>
        <v/>
      </c>
      <c r="DT164" s="2445" t="str" cm="1">
        <f t="array" ca="1" aca="1" ref="DT164">IFERROR(IF(AT164*fxVal_normal=_PL!AT164,"",IF(OR(AT164="",NOT(ISNUMBER(AT164)),ISERROR(AT164),$B164=""),"",IF($I164=1,IFBLANK(_xldudf_CX_PUSH(AT164*fxVal_normal,CX_ENTITY,$B164,AT$11,AT$14,AT$160,),""),IF($I164=2,IFBLANK(_xldudf_CX_PUSH(AT164,CX_ENTITY,$B164,AT$11,AT$14,AT$160,),""),IF($I164=3,"",IFBLANK(_xldudf_CX_PUSH(AT164,CX_ENTITY,$B164,AT$11,AT$14,AT$160,),"")))))),"")</f>
        <v/>
      </c>
      <c r="DU164" s="2445" t="str" cm="1">
        <f t="array" ca="1" aca="1" ref="DU164">IFERROR(IF(AU164*fxVal_normal=_PL!AU164,"",IF(OR(AU164="",NOT(ISNUMBER(AU164)),ISERROR(AU164),$B164=""),"",IF($I164=1,IFBLANK(_xldudf_CX_PUSH(AU164*fxVal_normal,CX_ENTITY,$B164,AU$11,AU$14,AU$160,),""),IF($I164=2,IFBLANK(_xldudf_CX_PUSH(AU164,CX_ENTITY,$B164,AU$11,AU$14,AU$160,),""),IF($I164=3,"",IFBLANK(_xldudf_CX_PUSH(AU164,CX_ENTITY,$B164,AU$11,AU$14,AU$160,),"")))))),"")</f>
        <v/>
      </c>
      <c r="DV164" s="2445" t="str" cm="1">
        <f t="array" ca="1" aca="1" ref="DV164">IFERROR(IF(AV164*fxVal_normal=_PL!AV164,"",IF(OR(AV164="",NOT(ISNUMBER(AV164)),ISERROR(AV164),$B164=""),"",IF($I164=1,IFBLANK(_xldudf_CX_PUSH(AV164*fxVal_normal,CX_ENTITY,$B164,AV$11,AV$14,AV$160,),""),IF($I164=2,IFBLANK(_xldudf_CX_PUSH(AV164,CX_ENTITY,$B164,AV$11,AV$14,AV$160,),""),IF($I164=3,"",IFBLANK(_xldudf_CX_PUSH(AV164,CX_ENTITY,$B164,AV$11,AV$14,AV$160,),"")))))),"")</f>
        <v/>
      </c>
      <c r="DW164" s="2445" t="str" cm="1">
        <f t="array" ca="1" aca="1" ref="DW164">IFERROR(IF(AW164*fxVal_normal=_PL!AW164,"",IF(OR(AW164="",NOT(ISNUMBER(AW164)),ISERROR(AW164),$B164=""),"",IF($I164=1,IFBLANK(_xldudf_CX_PUSH(AW164*fxVal_normal,CX_ENTITY,$B164,AW$11,AW$14,AW$160,),""),IF($I164=2,IFBLANK(_xldudf_CX_PUSH(AW164,CX_ENTITY,$B164,AW$11,AW$14,AW$160,),""),IF($I164=3,"",IFBLANK(_xldudf_CX_PUSH(AW164,CX_ENTITY,$B164,AW$11,AW$14,AW$160,),"")))))),"")</f>
        <v/>
      </c>
      <c r="DX164" s="2445" t="str" cm="1">
        <f t="array" ca="1" aca="1" ref="DX164">IFERROR(IF(AX164*fxVal_normal=_PL!AX164,"",IF(OR(AX164="",NOT(ISNUMBER(AX164)),ISERROR(AX164),$B164=""),"",IF($I164=1,IFBLANK(_xldudf_CX_PUSH(AX164*fxVal_normal,CX_ENTITY,$B164,AX$11,AX$14,AX$160,),""),IF($I164=2,IFBLANK(_xldudf_CX_PUSH(AX164,CX_ENTITY,$B164,AX$11,AX$14,AX$160,),""),IF($I164=3,"",IFBLANK(_xldudf_CX_PUSH(AX164,CX_ENTITY,$B164,AX$11,AX$14,AX$160,),"")))))),"")</f>
        <v/>
      </c>
      <c r="DY164" s="2445" t="str" cm="1">
        <f t="array" ca="1" aca="1" ref="DY164">IFERROR(IF(AY164*fxVal_normal=_PL!AY164,"",IF(OR(AY164="",NOT(ISNUMBER(AY164)),ISERROR(AY164),$B164=""),"",IF($I164=1,IFBLANK(_xldudf_CX_PUSH(AY164*fxVal_normal,CX_ENTITY,$B164,AY$11,AY$14,AY$160,),""),IF($I164=2,IFBLANK(_xldudf_CX_PUSH(AY164,CX_ENTITY,$B164,AY$11,AY$14,AY$160,),""),IF($I164=3,"",IFBLANK(_xldudf_CX_PUSH(AY164,CX_ENTITY,$B164,AY$11,AY$14,AY$160,),"")))))),"")</f>
        <v/>
      </c>
      <c r="DZ164" s="2445" t="str" cm="1">
        <f t="array" ca="1" aca="1" ref="DZ164">IFERROR(IF(AZ164*fxVal_normal=_PL!AZ164,"",IF(OR(AZ164="",NOT(ISNUMBER(AZ164)),ISERROR(AZ164),$B164=""),"",IF($I164=1,IFBLANK(_xldudf_CX_PUSH(AZ164*fxVal_normal,CX_ENTITY,$B164,AZ$11,AZ$14,AZ$160,),""),IF($I164=2,IFBLANK(_xldudf_CX_PUSH(AZ164,CX_ENTITY,$B164,AZ$11,AZ$14,AZ$160,),""),IF($I164=3,"",IFBLANK(_xldudf_CX_PUSH(AZ164,CX_ENTITY,$B164,AZ$11,AZ$14,AZ$160,),"")))))),"")</f>
        <v/>
      </c>
      <c r="EA164" s="2445" t="str" cm="1">
        <f t="array" ca="1" aca="1" ref="EA164">IFERROR(IF(BA164*fxVal_normal=_PL!BA164,"",IF(OR(BA164="",NOT(ISNUMBER(BA164)),ISERROR(BA164),$B164=""),"",IF($I164=1,IFBLANK(_xldudf_CX_PUSH(BA164*fxVal_normal,CX_ENTITY,$B164,BA$11,BA$14,BA$160,),""),IF($I164=2,IFBLANK(_xldudf_CX_PUSH(BA164,CX_ENTITY,$B164,BA$11,BA$14,BA$160,),""),IF($I164=3,"",IFBLANK(_xldudf_CX_PUSH(BA164,CX_ENTITY,$B164,BA$11,BA$14,BA$160,),"")))))),"")</f>
        <v/>
      </c>
      <c r="EB164" s="2445" t="str" cm="1">
        <f t="array" ca="1" aca="1" ref="EB164">IFERROR(IF(BB164*fxVal_normal=_PL!BB164,"",IF(OR(BB164="",NOT(ISNUMBER(BB164)),ISERROR(BB164),$B164=""),"",IF($I164=1,IFBLANK(_xldudf_CX_PUSH(BB164*fxVal_normal,CX_ENTITY,$B164,BB$11,BB$14,BB$160,),""),IF($I164=2,IFBLANK(_xldudf_CX_PUSH(BB164,CX_ENTITY,$B164,BB$11,BB$14,BB$160,),""),IF($I164=3,"",IFBLANK(_xldudf_CX_PUSH(BB164,CX_ENTITY,$B164,BB$11,BB$14,BB$160,),"")))))),"")</f>
        <v/>
      </c>
      <c r="EC164" s="2445" t="str" cm="1">
        <f t="array" ca="1" aca="1" ref="EC164">IFERROR(IF(BC164*fxVal_normal=_PL!BC164,"",IF(OR(BC164="",NOT(ISNUMBER(BC164)),ISERROR(BC164),$B164=""),"",IF($I164=1,IFBLANK(_xldudf_CX_PUSH(BC164*fxVal_normal,CX_ENTITY,$B164,BC$11,BC$14,BC$160,),""),IF($I164=2,IFBLANK(_xldudf_CX_PUSH(BC164,CX_ENTITY,$B164,BC$11,BC$14,BC$160,),""),IF($I164=3,"",IFBLANK(_xldudf_CX_PUSH(BC164,CX_ENTITY,$B164,BC$11,BC$14,BC$160,),"")))))),"")</f>
        <v/>
      </c>
      <c r="ED164" s="2445" t="str" cm="1">
        <f t="array" ca="1" aca="1" ref="ED164">IFERROR(IF(BD164*fxVal_normal=_PL!BD164,"",IF(OR(BD164="",NOT(ISNUMBER(BD164)),ISERROR(BD164),$B164=""),"",IF($I164=1,IFBLANK(_xldudf_CX_PUSH(BD164*fxVal_normal,CX_ENTITY,$B164,BD$11,BD$14,BD$160,),""),IF($I164=2,IFBLANK(_xldudf_CX_PUSH(BD164,CX_ENTITY,$B164,BD$11,BD$14,BD$160,),""),IF($I164=3,"",IFBLANK(_xldudf_CX_PUSH(BD164,CX_ENTITY,$B164,BD$11,BD$14,BD$160,),"")))))),"")</f>
        <v/>
      </c>
      <c r="EE164" s="2445" t="str" cm="1">
        <f t="array" ca="1" aca="1" ref="EE164">IFERROR(IF(BE164*fxVal_normal=_PL!BE164,"",IF(OR(BE164="",NOT(ISNUMBER(BE164)),ISERROR(BE164),$B164=""),"",IF($I164=1,IFBLANK(_xldudf_CX_PUSH(BE164*fxVal_normal,CX_ENTITY,$B164,BE$11,BE$14,BE$160,),""),IF($I164=2,IFBLANK(_xldudf_CX_PUSH(BE164,CX_ENTITY,$B164,BE$11,BE$14,BE$160,),""),IF($I164=3,"",IFBLANK(_xldudf_CX_PUSH(BE164,CX_ENTITY,$B164,BE$11,BE$14,BE$160,),"")))))),"")</f>
        <v/>
      </c>
      <c r="EF164" s="2445" t="str" cm="1">
        <f t="array" ca="1" aca="1" ref="EF164">IFERROR(IF(BF164*fxVal_normal=_PL!BF164,"",IF(OR(BF164="",NOT(ISNUMBER(BF164)),ISERROR(BF164),$B164=""),"",IF($I164=1,IFBLANK(_xldudf_CX_PUSH(BF164*fxVal_normal,CX_ENTITY,$B164,BF$11,BF$14,BF$160,),""),IF($I164=2,IFBLANK(_xldudf_CX_PUSH(BF164,CX_ENTITY,$B164,BF$11,BF$14,BF$160,),""),IF($I164=3,"",IFBLANK(_xldudf_CX_PUSH(BF164,CX_ENTITY,$B164,BF$11,BF$14,BF$160,),"")))))),"")</f>
        <v/>
      </c>
      <c r="EG164" s="2445" t="str" cm="1">
        <f t="array" ca="1" aca="1" ref="EG164">IFERROR(IF(BG164*fxVal_normal=_PL!BG164,"",IF(OR(BG164="",NOT(ISNUMBER(BG164)),ISERROR(BG164),$B164=""),"",IF($I164=1,IFBLANK(_xldudf_CX_PUSH(BG164*fxVal_normal,CX_ENTITY,$B164,BG$11,BG$14,BG$160,),""),IF($I164=2,IFBLANK(_xldudf_CX_PUSH(BG164,CX_ENTITY,$B164,BG$11,BG$14,BG$160,),""),IF($I164=3,"",IFBLANK(_xldudf_CX_PUSH(BG164,CX_ENTITY,$B164,BG$11,BG$14,BG$160,),"")))))),"")</f>
        <v/>
      </c>
      <c r="EH164" s="2445" t="str" cm="1">
        <f t="array" ca="1" aca="1" ref="EH164">IFERROR(IF(BH164*fxVal_normal=_PL!BH164,"",IF(OR(BH164="",NOT(ISNUMBER(BH164)),ISERROR(BH164),$B164=""),"",IF($I164=1,IFBLANK(_xldudf_CX_PUSH(BH164*fxVal_normal,CX_ENTITY,$B164,BH$11,BH$14,BH$160,),""),IF($I164=2,IFBLANK(_xldudf_CX_PUSH(BH164,CX_ENTITY,$B164,BH$11,BH$14,BH$160,),""),IF($I164=3,"",IFBLANK(_xldudf_CX_PUSH(BH164,CX_ENTITY,$B164,BH$11,BH$14,BH$160,),"")))))),"")</f>
        <v/>
      </c>
      <c r="EI164" s="2445" t="str" cm="1">
        <f t="array" ca="1" aca="1" ref="EI164">IFERROR(IF(BI164*fxVal_normal=_PL!BI164,"",IF(OR(BI164="",NOT(ISNUMBER(BI164)),ISERROR(BI164),$B164=""),"",IF($I164=1,IFBLANK(_xldudf_CX_PUSH(BI164*fxVal_normal,CX_ENTITY,$B164,BI$11,BI$14,BI$160,),""),IF($I164=2,IFBLANK(_xldudf_CX_PUSH(BI164,CX_ENTITY,$B164,BI$11,BI$14,BI$160,),""),IF($I164=3,"",IFBLANK(_xldudf_CX_PUSH(BI164,CX_ENTITY,$B164,BI$11,BI$14,BI$160,),"")))))),"")</f>
        <v/>
      </c>
      <c r="EJ164" s="2445" t="str" cm="1">
        <f t="array" ca="1" aca="1" ref="EJ164">IFERROR(IF(BJ164*fxVal_normal=_PL!BJ164,"",IF(OR(BJ164="",NOT(ISNUMBER(BJ164)),ISERROR(BJ164),$B164=""),"",IF($I164=1,IFBLANK(_xldudf_CX_PUSH(BJ164*fxVal_normal,CX_ENTITY,$B164,BJ$11,BJ$14,BJ$160,),""),IF($I164=2,IFBLANK(_xldudf_CX_PUSH(BJ164,CX_ENTITY,$B164,BJ$11,BJ$14,BJ$160,),""),IF($I164=3,"",IFBLANK(_xldudf_CX_PUSH(BJ164,CX_ENTITY,$B164,BJ$11,BJ$14,BJ$160,),"")))))),"")</f>
        <v/>
      </c>
      <c r="EK164" s="2445" t="str" cm="1">
        <f t="array" ca="1" aca="1" ref="EK164">IFERROR(IF(BK164*fxVal_normal=_PL!BK164,"",IF(OR(BK164="",NOT(ISNUMBER(BK164)),ISERROR(BK164),$B164=""),"",IF($I164=1,IFBLANK(_xldudf_CX_PUSH(BK164*fxVal_normal,CX_ENTITY,$B164,BK$11,BK$14,BK$160,),""),IF($I164=2,IFBLANK(_xldudf_CX_PUSH(BK164,CX_ENTITY,$B164,BK$11,BK$14,BK$160,),""),IF($I164=3,"",IFBLANK(_xldudf_CX_PUSH(BK164,CX_ENTITY,$B164,BK$11,BK$14,BK$160,),"")))))),"")</f>
        <v/>
      </c>
      <c r="EL164" s="2445" t="str" cm="1">
        <f t="array" ca="1" aca="1" ref="EL164">IFERROR(IF(BL164*fxVal_normal=_PL!BL164,"",IF(OR(BL164="",NOT(ISNUMBER(BL164)),ISERROR(BL164),$B164=""),"",IF($I164=1,IFBLANK(_xldudf_CX_PUSH(BL164*fxVal_normal,CX_ENTITY,$B164,BL$11,BL$14,BL$160,),""),IF($I164=2,IFBLANK(_xldudf_CX_PUSH(BL164,CX_ENTITY,$B164,BL$11,BL$14,BL$160,),""),IF($I164=3,"",IFBLANK(_xldudf_CX_PUSH(BL164,CX_ENTITY,$B164,BL$11,BL$14,BL$160,),"")))))),"")</f>
        <v/>
      </c>
      <c r="EM164" s="2445" t="str" cm="1">
        <f t="array" ca="1" aca="1" ref="EM164">IFERROR(IF(BM164*fxVal_normal=_PL!BM164,"",IF(OR(BM164="",NOT(ISNUMBER(BM164)),ISERROR(BM164),$B164=""),"",IF($I164=1,IFBLANK(_xldudf_CX_PUSH(BM164*fxVal_normal,CX_ENTITY,$B164,BM$11,BM$14,BM$160,),""),IF($I164=2,IFBLANK(_xldudf_CX_PUSH(BM164,CX_ENTITY,$B164,BM$11,BM$14,BM$160,),""),IF($I164=3,"",IFBLANK(_xldudf_CX_PUSH(BM164,CX_ENTITY,$B164,BM$11,BM$14,BM$160,),"")))))),"")</f>
        <v/>
      </c>
      <c r="EN164" s="2445" t="str" cm="1">
        <f t="array" ca="1" aca="1" ref="EN164">IFERROR(IF(BN164*fxVal_normal=_PL!BN164,"",IF(OR(BN164="",NOT(ISNUMBER(BN164)),ISERROR(BN164),$B164=""),"",IF($I164=1,IFBLANK(_xldudf_CX_PUSH(BN164*fxVal_normal,CX_ENTITY,$B164,BN$11,BN$14,BN$160,),""),IF($I164=2,IFBLANK(_xldudf_CX_PUSH(BN164,CX_ENTITY,$B164,BN$11,BN$14,BN$160,),""),IF($I164=3,"",IFBLANK(_xldudf_CX_PUSH(BN164,CX_ENTITY,$B164,BN$11,BN$14,BN$160,),"")))))),"")</f>
        <v/>
      </c>
    </row>
    <row r="165" spans="1:144" ht="21" customHeight="1">
      <c r="A165" s="1625"/>
      <c r="B165" s="2439" t="s">
        <v>137</v>
      </c>
      <c r="C165" s="3459" t="str" cm="1">
        <f t="array" ref="C165">IFBLANK(_PL!C165,"")</f>
        <v>Earning Metric Adjustment Type II - Label 4</v>
      </c>
      <c r="D165" s="1548" t="s">
        <v>123</v>
      </c>
      <c r="E165" s="2440" t="e" cm="1">
        <f t="array" ca="1" aca="1" ref="E16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165:$CQ165,Z165)</f>
        <v>#NAME?</v>
      </c>
      <c r="F165" s="578"/>
      <c r="G165" s="578"/>
      <c r="H165" s="510">
        <v>0</v>
      </c>
      <c r="I165" s="3302">
        <v>1</v>
      </c>
      <c r="J165" s="401" cm="1">
        <f t="array" ref="J165">IFBLANK(Z165,"")</f>
        <v>-1</v>
      </c>
      <c r="K165" s="578" t="str">
        <f t="shared" si="51" ref="K165:K196">IFERROR(IF(LEN(AB165)=0,"No",IF(LEN(J165)&gt;0,"Yes","No")),"")</f>
        <v>Yes</v>
      </c>
      <c r="L165" s="37"/>
      <c r="N165" s="158"/>
      <c r="O165" s="101"/>
      <c r="P165" s="52"/>
      <c r="Q165" s="101"/>
      <c r="R165" s="101"/>
      <c r="S165" s="101"/>
      <c r="T165" s="101"/>
      <c r="U165" s="39"/>
      <c r="V165" s="37"/>
      <c r="W165" s="91" t="str">
        <f>W161</f>
        <v>Actual</v>
      </c>
      <c r="X165" s="2081" t="str">
        <f>_PL!X165</f>
        <v>a</v>
      </c>
      <c r="Y165" s="3218">
        <v>2</v>
      </c>
      <c r="Z165" s="198">
        <f>_PL!Z165</f>
        <v>-1</v>
      </c>
      <c r="AA165" s="2571"/>
      <c r="AB165" s="2575" t="s">
        <v>125</v>
      </c>
      <c r="AC165" s="914" t="str" cm="1">
        <f t="array" ca="1" aca="1" ref="AC165">_xlfn.LET(_xlpm._termname,$AB165,_xlpm._iconname,"find",_xlpm._icon,fx_getIcon(_xlpm._iconname),_xlpm._location,_xlfn.XLOOKUP(LOWER(_xlpm._termname),LOWER(tbl_acctDef[Term]),tbl_acctDef[Term]),_xlpm._hyperlink,HYPERLINK("#"&amp;CELL("address",_xlpm._location),_xlpm._icon),IFERROR(_xlpm._hyperlink,""))</f>
        <v/>
      </c>
      <c r="AD165" s="3177">
        <v>1</v>
      </c>
      <c r="AE165" s="3177">
        <v>1</v>
      </c>
      <c r="AF165" s="3177">
        <v>1</v>
      </c>
      <c r="AG165" s="3177">
        <v>1</v>
      </c>
      <c r="AH165" s="3177">
        <v>1</v>
      </c>
      <c r="AI165" s="3177">
        <v>1</v>
      </c>
      <c r="AJ165" s="3177">
        <v>1</v>
      </c>
      <c r="AK165" s="3177">
        <v>1</v>
      </c>
      <c r="AL165" s="3177">
        <v>1</v>
      </c>
      <c r="AM165" s="3177">
        <v>1</v>
      </c>
      <c r="AN165" s="3177">
        <v>1</v>
      </c>
      <c r="AO165" s="3177">
        <v>1</v>
      </c>
      <c r="AP165" s="3177">
        <v>1</v>
      </c>
      <c r="AQ165" s="3177">
        <v>1</v>
      </c>
      <c r="AR165" s="3177">
        <v>1</v>
      </c>
      <c r="AS165" s="3177">
        <v>1</v>
      </c>
      <c r="AT165" s="3177">
        <v>1</v>
      </c>
      <c r="AU165" s="3177">
        <v>1</v>
      </c>
      <c r="AV165" s="3177">
        <v>1</v>
      </c>
      <c r="AW165" s="3177">
        <v>1</v>
      </c>
      <c r="AX165" s="3177">
        <v>1</v>
      </c>
      <c r="AY165" s="3177">
        <v>1</v>
      </c>
      <c r="AZ165" s="3177">
        <v>1</v>
      </c>
      <c r="BA165" s="3177">
        <v>1</v>
      </c>
      <c r="BB165" s="3177">
        <v>1</v>
      </c>
      <c r="BC165" s="3177">
        <v>1</v>
      </c>
      <c r="BD165" s="3177">
        <v>1</v>
      </c>
      <c r="BE165" s="3177">
        <v>1</v>
      </c>
      <c r="BF165" s="3177">
        <v>1</v>
      </c>
      <c r="BG165" s="3177">
        <v>1</v>
      </c>
      <c r="BH165" s="3177">
        <v>1</v>
      </c>
      <c r="BI165" s="3177">
        <v>1</v>
      </c>
      <c r="BJ165" s="3177">
        <v>1</v>
      </c>
      <c r="BK165" s="3177">
        <v>1</v>
      </c>
      <c r="BL165" s="3177">
        <v>1</v>
      </c>
      <c r="BM165" s="3177">
        <v>1</v>
      </c>
      <c r="BN165" s="3177">
        <v>1</v>
      </c>
      <c r="BO165" s="2442"/>
      <c r="BP165" s="2442"/>
      <c r="BQ165" s="2442"/>
      <c r="BR165" s="2442"/>
      <c r="BS165" s="2442"/>
      <c r="BT165" s="2442"/>
      <c r="BU165" s="2442"/>
      <c r="BV165" s="2442"/>
      <c r="BW165" s="2442"/>
      <c r="BX165" s="2442"/>
      <c r="BY165" s="2442"/>
      <c r="BZ165" s="2442"/>
      <c r="CA165" s="34"/>
      <c r="CC165" s="2572"/>
      <c r="CD165" s="1461" t="e" cm="1">
        <f t="array" ca="1" aca="1" ref="CD165">_xlfn.LET(_xlpm.CheckBlank,SUM(PL!$AD165:$BN165)=0,IF(_xlpm.CheckBlank,"",SUM(_xlfn._xlws.FILTER(PL!$AD165:$BN165,(YEAR(PL!$AD$12:$BN$12)=PL!CD$12)*(array_timeline&lt;=PL!CD$11)))))</f>
        <v>#NAME?</v>
      </c>
      <c r="CE165" s="1461" t="e" cm="1">
        <f t="array" ca="1" aca="1" ref="CE165">_xlfn.LET(_xlpm.CheckBlank,SUM(PL!$AD165:$BN165)=0,IF(_xlpm.CheckBlank,"",SUM(_xlfn._xlws.FILTER(PL!$AD165:$BN165,(YEAR(PL!$AD$12:$BN$12)=PL!CE$12)*(array_timeline&lt;=PL!CE$11)))))</f>
        <v>#NAME?</v>
      </c>
      <c r="CF165" s="88"/>
      <c r="CG165" s="1461" t="e" cm="1">
        <f t="array" ca="1" aca="1" ref="CG165">_xlfn.LET(_xlpm.CheckBlank,SUM(PL!$AD165:$BN165)=0,IF(_xlpm.CheckBlank,"",SUM(_xlfn._xlws.FILTER(PL!$AD165:$BN165,(YEAR(PL!$AD$12:$BN$12)=PL!CG$12)*(array_timeline&lt;=PL!CG$11)))))</f>
        <v>#NAME?</v>
      </c>
      <c r="CH165" s="1461" t="e" cm="1">
        <f t="array" ca="1" aca="1" ref="CH165">_xlfn.LET(_xlpm.CheckBlank,SUM(PL!$AD165:$BN165)=0,IF(_xlpm.CheckBlank,"",SUM(_xlfn._xlws.FILTER(PL!$AD165:$BN165,(YEAR(PL!$AD$12:$BN$12)=PL!CH$12)*(array_timeline&lt;=PL!CH$11)))))</f>
        <v>#NAME?</v>
      </c>
      <c r="CI165" s="88"/>
      <c r="CJ165" s="1461" cm="1">
        <f t="array" ref="CJ165">_xlfn.LET(_xlpm.CheckBlank,SUM(PL!$AD165:$BN165)=0,IF(_xlpm.CheckBlank,"",SUM(_xlfn.TAKE(_xlfn.DROP(PL!$AD165:$BN165,,-DATEDIFF(PL!CJ$11,val_asOfDate,"M")),1,-12))))</f>
        <v>12</v>
      </c>
      <c r="CK165" s="1461" cm="1">
        <f t="array" ref="CK165">_xlfn.LET(_xlpm.CheckBlank,SUM(PL!$AD165:$BN165)=0,IF(_xlpm.CheckBlank,"",SUM(_xlfn.TAKE(_xlfn.DROP(PL!$AD165:$BN165,,-DATEDIFF(PL!CK$11,val_asOfDate,"M")),1,-12))))</f>
        <v>12</v>
      </c>
      <c r="CL165" s="88"/>
      <c r="CM165" s="3177">
        <v>1</v>
      </c>
      <c r="CN165" s="3177">
        <v>1</v>
      </c>
      <c r="CO165" s="1169"/>
      <c r="CP165" s="3177">
        <v>1</v>
      </c>
      <c r="CQ165" s="3177">
        <v>1</v>
      </c>
      <c r="CR165" s="34"/>
      <c r="CS165" s="2056"/>
      <c r="CT165" s="2447" t="e" cm="1">
        <f t="array" ca="1" aca="1" ref="CT165">IF(ISNUMBER(SEARCH("Select",$Y165)),"",_xldudf_CX_PUSH($Y165,CX_ENTITY,C165,val_asOfDate))</f>
        <v>#NAME?</v>
      </c>
      <c r="CU165" s="2447" t="e" cm="1">
        <f t="array" ca="1" aca="1" ref="CU165">IF(ISNUMBER(SEARCH("Select",$Y165)),"",_xldudf_CX_PUSH($Y165,CX_ENTITY,C165,EOMONTH(val_asOfDate,1)))</f>
        <v>#NAME?</v>
      </c>
      <c r="CV165" s="2447" t="e" cm="1">
        <f t="array" ca="1" aca="1" ref="CV165">IF(ISNUMBER(SEARCH("Select",$Y165)),"",_xldudf_CX_PUSH($Y165,CX_ENTITY,C165,EOMONTH(val_asOfDate,2)))</f>
        <v>#NAME?</v>
      </c>
      <c r="CW165" s="2447" t="e" cm="1">
        <f t="array" ca="1" aca="1" ref="CW165">IF(ISNUMBER(SEARCH("Select",$Y165)),"",_xldudf_CX_PUSH($Y165,CX_ENTITY,C165,EOMONTH(val_asOfDate,3)))</f>
        <v>#NAME?</v>
      </c>
      <c r="CX165" s="2443"/>
      <c r="CY165" s="2444" t="str" cm="1">
        <f t="array" ca="1" aca="1" ref="CY165">IFERROR(IF(CM165*fxVal_normal=_PL!CM165,"",IF(OR($CM165="",$CM165=0,NOT(ISNUMBER($CM165)),ISERROR($CM165),$B165=""),"",IF($I165=1,IFBLANK(_xldudf_CX_PUSH($CM165*fxVal_normal,CX_ENTITY,$B165,$CM$11,$CM$14,$CM$19,),""),IF($I165=2,IFBLANK(_xldudf_CX_PUSH($CM165,CX_ENTITY,$B165,$CM$11,$CM$14,$CM$19,),""),IF($I165=3,"",IFBLANK(_xldudf_CX_PUSH($CM165,CX_ENTITY,$B165,$CM$11,$CM$14,$CM$19,),"")))))),"")</f>
        <v/>
      </c>
      <c r="CZ165" s="2444" t="str" cm="1">
        <f t="array" ca="1" aca="1" ref="CZ165">IFERROR(IF(CN165*fxVal_normal=_PL!CN165,"",IF(OR($CN165="",$CN165=0,NOT(ISNUMBER($CN165)),ISERROR($CN165),$B165=""),"",IF($I165=1,IFBLANK(_xldudf_CX_PUSH($CN165*fxVal_normal,CX_ENTITY,$B165,$CN$11,$CN$14,$CN$19,),""),IF($I165=2,IFBLANK(_xldudf_CX_PUSH($CN165,CX_ENTITY,$B165,$CN$11,$CN$14,$CN$19,),""),IF($I165=3,"",IFBLANK(_xldudf_CX_PUSH($CN165,CX_ENTITY,$B165,$CN$11,$CN$14,$CN$19,),"")))))),"")</f>
        <v/>
      </c>
      <c r="DA165" s="2444" t="str" cm="1">
        <f t="array" ca="1" aca="1" ref="DA165">IFERROR(IF(CP165*fxVal_normal=_PL!CP165,"",IF(OR($CP165="",$CP165=0,NOT(ISNUMBER($CP165)),ISERROR($CP165),$B165=""),"",IF($I165=1,IFBLANK(_xldudf_CX_PUSH($CP165*fxVal_normal,CX_ENTITY,$B165,$CP$11,$CP$14,$CP$19,),""),IF($I165=2,IFBLANK(_xldudf_CX_PUSH($CP165,CX_ENTITY,$B165,$CP$11,$CP$14,$CP$19,),""),IF($I165=3,"",IFBLANK(_xldudf_CX_PUSH($CP165,CX_ENTITY,$B165,$CP$11,$CP$14,$CP$19,),"")))))),"")</f>
        <v/>
      </c>
      <c r="DB165" s="2444" t="str" cm="1">
        <f t="array" ca="1" aca="1" ref="DB165">IFERROR(IF(CQ165*fxVal_normal=_PL!CQ165,"",IF(OR($CQ165="",$CQ165=0,NOT(ISNUMBER($CQ165)),ISERROR($CQ165),$B165=""),"",IF($I165=1,IFBLANK(_xldudf_CX_PUSH($CQ165*fxVal_normal,CX_ENTITY,$B165,$CQ$11,$CQ$14,$CQ$19,),""),IF($I165=2,IFBLANK(_xldudf_CX_PUSH($CQ165,CX_ENTITY,$B165,$CQ$11,$CQ$14,$CQ$19,),""),IF($I165=3,"",IFBLANK(_xldudf_CX_PUSH($CQ165,CX_ENTITY,$B165,$CQ$11,$CQ$14,$CQ$19,),"")))))),"")</f>
        <v/>
      </c>
      <c r="DC165" s="2443"/>
      <c r="DD165" s="2445" t="str" cm="1">
        <f t="array" ca="1" aca="1" ref="DD165">IFERROR(IF(AD165*fxVal_normal=_PL!AD165,"",IF(OR(AD165="",NOT(ISNUMBER(AD165)),ISERROR(AD165),$B165=""),"",IF($I165=1,IFBLANK(_xldudf_CX_PUSH(AD165*fxVal_normal,CX_ENTITY,$B165,AD$11,AD$14,AD$160,),""),IF($I165=2,IFBLANK(_xldudf_CX_PUSH(AD165,CX_ENTITY,$B165,AD$11,AD$14,AD$160,),""),IF($I165=3,"",IFBLANK(_xldudf_CX_PUSH(AD165,CX_ENTITY,$B165,AD$11,AD$14,AD$160,),"")))))),"")</f>
        <v/>
      </c>
      <c r="DE165" s="2445" t="str" cm="1">
        <f t="array" ca="1" aca="1" ref="DE165">IFERROR(IF(AE165*fxVal_normal=_PL!AE165,"",IF(OR(AE165="",NOT(ISNUMBER(AE165)),ISERROR(AE165),$B165=""),"",IF($I165=1,IFBLANK(_xldudf_CX_PUSH(AE165*fxVal_normal,CX_ENTITY,$B165,AE$11,AE$14,AE$160,),""),IF($I165=2,IFBLANK(_xldudf_CX_PUSH(AE165,CX_ENTITY,$B165,AE$11,AE$14,AE$160,),""),IF($I165=3,"",IFBLANK(_xldudf_CX_PUSH(AE165,CX_ENTITY,$B165,AE$11,AE$14,AE$160,),"")))))),"")</f>
        <v/>
      </c>
      <c r="DF165" s="2445" t="str" cm="1">
        <f t="array" ca="1" aca="1" ref="DF165">IFERROR(IF(AF165*fxVal_normal=_PL!AF165,"",IF(OR(AF165="",NOT(ISNUMBER(AF165)),ISERROR(AF165),$B165=""),"",IF($I165=1,IFBLANK(_xldudf_CX_PUSH(AF165*fxVal_normal,CX_ENTITY,$B165,AF$11,AF$14,AF$160,),""),IF($I165=2,IFBLANK(_xldudf_CX_PUSH(AF165,CX_ENTITY,$B165,AF$11,AF$14,AF$160,),""),IF($I165=3,"",IFBLANK(_xldudf_CX_PUSH(AF165,CX_ENTITY,$B165,AF$11,AF$14,AF$160,),"")))))),"")</f>
        <v/>
      </c>
      <c r="DG165" s="2445" t="str" cm="1">
        <f t="array" ca="1" aca="1" ref="DG165">IFERROR(IF(AG165*fxVal_normal=_PL!AG165,"",IF(OR(AG165="",NOT(ISNUMBER(AG165)),ISERROR(AG165),$B165=""),"",IF($I165=1,IFBLANK(_xldudf_CX_PUSH(AG165*fxVal_normal,CX_ENTITY,$B165,AG$11,AG$14,AG$160,),""),IF($I165=2,IFBLANK(_xldudf_CX_PUSH(AG165,CX_ENTITY,$B165,AG$11,AG$14,AG$160,),""),IF($I165=3,"",IFBLANK(_xldudf_CX_PUSH(AG165,CX_ENTITY,$B165,AG$11,AG$14,AG$160,),"")))))),"")</f>
        <v/>
      </c>
      <c r="DH165" s="2445" t="str" cm="1">
        <f t="array" ca="1" aca="1" ref="DH165">IFERROR(IF(AH165*fxVal_normal=_PL!AH165,"",IF(OR(AH165="",NOT(ISNUMBER(AH165)),ISERROR(AH165),$B165=""),"",IF($I165=1,IFBLANK(_xldudf_CX_PUSH(AH165*fxVal_normal,CX_ENTITY,$B165,AH$11,AH$14,AH$160,),""),IF($I165=2,IFBLANK(_xldudf_CX_PUSH(AH165,CX_ENTITY,$B165,AH$11,AH$14,AH$160,),""),IF($I165=3,"",IFBLANK(_xldudf_CX_PUSH(AH165,CX_ENTITY,$B165,AH$11,AH$14,AH$160,),"")))))),"")</f>
        <v/>
      </c>
      <c r="DI165" s="2445" t="str" cm="1">
        <f t="array" ca="1" aca="1" ref="DI165">IFERROR(IF(AI165*fxVal_normal=_PL!AI165,"",IF(OR(AI165="",NOT(ISNUMBER(AI165)),ISERROR(AI165),$B165=""),"",IF($I165=1,IFBLANK(_xldudf_CX_PUSH(AI165*fxVal_normal,CX_ENTITY,$B165,AI$11,AI$14,AI$160,),""),IF($I165=2,IFBLANK(_xldudf_CX_PUSH(AI165,CX_ENTITY,$B165,AI$11,AI$14,AI$160,),""),IF($I165=3,"",IFBLANK(_xldudf_CX_PUSH(AI165,CX_ENTITY,$B165,AI$11,AI$14,AI$160,),"")))))),"")</f>
        <v/>
      </c>
      <c r="DJ165" s="2445" t="str" cm="1">
        <f t="array" ca="1" aca="1" ref="DJ165">IFERROR(IF(AJ165*fxVal_normal=_PL!AJ165,"",IF(OR(AJ165="",NOT(ISNUMBER(AJ165)),ISERROR(AJ165),$B165=""),"",IF($I165=1,IFBLANK(_xldudf_CX_PUSH(AJ165*fxVal_normal,CX_ENTITY,$B165,AJ$11,AJ$14,AJ$160,),""),IF($I165=2,IFBLANK(_xldudf_CX_PUSH(AJ165,CX_ENTITY,$B165,AJ$11,AJ$14,AJ$160,),""),IF($I165=3,"",IFBLANK(_xldudf_CX_PUSH(AJ165,CX_ENTITY,$B165,AJ$11,AJ$14,AJ$160,),"")))))),"")</f>
        <v/>
      </c>
      <c r="DK165" s="2445" t="str" cm="1">
        <f t="array" ca="1" aca="1" ref="DK165">IFERROR(IF(AK165*fxVal_normal=_PL!AK165,"",IF(OR(AK165="",NOT(ISNUMBER(AK165)),ISERROR(AK165),$B165=""),"",IF($I165=1,IFBLANK(_xldudf_CX_PUSH(AK165*fxVal_normal,CX_ENTITY,$B165,AK$11,AK$14,AK$160,),""),IF($I165=2,IFBLANK(_xldudf_CX_PUSH(AK165,CX_ENTITY,$B165,AK$11,AK$14,AK$160,),""),IF($I165=3,"",IFBLANK(_xldudf_CX_PUSH(AK165,CX_ENTITY,$B165,AK$11,AK$14,AK$160,),"")))))),"")</f>
        <v/>
      </c>
      <c r="DL165" s="2445" t="str" cm="1">
        <f t="array" ca="1" aca="1" ref="DL165">IFERROR(IF(AL165*fxVal_normal=_PL!AL165,"",IF(OR(AL165="",NOT(ISNUMBER(AL165)),ISERROR(AL165),$B165=""),"",IF($I165=1,IFBLANK(_xldudf_CX_PUSH(AL165*fxVal_normal,CX_ENTITY,$B165,AL$11,AL$14,AL$160,),""),IF($I165=2,IFBLANK(_xldudf_CX_PUSH(AL165,CX_ENTITY,$B165,AL$11,AL$14,AL$160,),""),IF($I165=3,"",IFBLANK(_xldudf_CX_PUSH(AL165,CX_ENTITY,$B165,AL$11,AL$14,AL$160,),"")))))),"")</f>
        <v/>
      </c>
      <c r="DM165" s="2445" t="str" cm="1">
        <f t="array" ca="1" aca="1" ref="DM165">IFERROR(IF(AM165*fxVal_normal=_PL!AM165,"",IF(OR(AM165="",NOT(ISNUMBER(AM165)),ISERROR(AM165),$B165=""),"",IF($I165=1,IFBLANK(_xldudf_CX_PUSH(AM165*fxVal_normal,CX_ENTITY,$B165,AM$11,AM$14,AM$160,),""),IF($I165=2,IFBLANK(_xldudf_CX_PUSH(AM165,CX_ENTITY,$B165,AM$11,AM$14,AM$160,),""),IF($I165=3,"",IFBLANK(_xldudf_CX_PUSH(AM165,CX_ENTITY,$B165,AM$11,AM$14,AM$160,),"")))))),"")</f>
        <v/>
      </c>
      <c r="DN165" s="2445" t="str" cm="1">
        <f t="array" ca="1" aca="1" ref="DN165">IFERROR(IF(AN165*fxVal_normal=_PL!AN165,"",IF(OR(AN165="",NOT(ISNUMBER(AN165)),ISERROR(AN165),$B165=""),"",IF($I165=1,IFBLANK(_xldudf_CX_PUSH(AN165*fxVal_normal,CX_ENTITY,$B165,AN$11,AN$14,AN$160,),""),IF($I165=2,IFBLANK(_xldudf_CX_PUSH(AN165,CX_ENTITY,$B165,AN$11,AN$14,AN$160,),""),IF($I165=3,"",IFBLANK(_xldudf_CX_PUSH(AN165,CX_ENTITY,$B165,AN$11,AN$14,AN$160,),"")))))),"")</f>
        <v/>
      </c>
      <c r="DO165" s="2445" t="str" cm="1">
        <f t="array" ca="1" aca="1" ref="DO165">IFERROR(IF(AO165*fxVal_normal=_PL!AO165,"",IF(OR(AO165="",NOT(ISNUMBER(AO165)),ISERROR(AO165),$B165=""),"",IF($I165=1,IFBLANK(_xldudf_CX_PUSH(AO165*fxVal_normal,CX_ENTITY,$B165,AO$11,AO$14,AO$160,),""),IF($I165=2,IFBLANK(_xldudf_CX_PUSH(AO165,CX_ENTITY,$B165,AO$11,AO$14,AO$160,),""),IF($I165=3,"",IFBLANK(_xldudf_CX_PUSH(AO165,CX_ENTITY,$B165,AO$11,AO$14,AO$160,),"")))))),"")</f>
        <v/>
      </c>
      <c r="DP165" s="2445" t="str" cm="1">
        <f t="array" ca="1" aca="1" ref="DP165">IFERROR(IF(AP165*fxVal_normal=_PL!AP165,"",IF(OR(AP165="",NOT(ISNUMBER(AP165)),ISERROR(AP165),$B165=""),"",IF($I165=1,IFBLANK(_xldudf_CX_PUSH(AP165*fxVal_normal,CX_ENTITY,$B165,AP$11,AP$14,AP$160,),""),IF($I165=2,IFBLANK(_xldudf_CX_PUSH(AP165,CX_ENTITY,$B165,AP$11,AP$14,AP$160,),""),IF($I165=3,"",IFBLANK(_xldudf_CX_PUSH(AP165,CX_ENTITY,$B165,AP$11,AP$14,AP$160,),"")))))),"")</f>
        <v/>
      </c>
      <c r="DQ165" s="2445" t="str" cm="1">
        <f t="array" ca="1" aca="1" ref="DQ165">IFERROR(IF(AQ165*fxVal_normal=_PL!AQ165,"",IF(OR(AQ165="",NOT(ISNUMBER(AQ165)),ISERROR(AQ165),$B165=""),"",IF($I165=1,IFBLANK(_xldudf_CX_PUSH(AQ165*fxVal_normal,CX_ENTITY,$B165,AQ$11,AQ$14,AQ$160,),""),IF($I165=2,IFBLANK(_xldudf_CX_PUSH(AQ165,CX_ENTITY,$B165,AQ$11,AQ$14,AQ$160,),""),IF($I165=3,"",IFBLANK(_xldudf_CX_PUSH(AQ165,CX_ENTITY,$B165,AQ$11,AQ$14,AQ$160,),"")))))),"")</f>
        <v/>
      </c>
      <c r="DR165" s="2445" t="str" cm="1">
        <f t="array" ca="1" aca="1" ref="DR165">IFERROR(IF(AR165*fxVal_normal=_PL!AR165,"",IF(OR(AR165="",NOT(ISNUMBER(AR165)),ISERROR(AR165),$B165=""),"",IF($I165=1,IFBLANK(_xldudf_CX_PUSH(AR165*fxVal_normal,CX_ENTITY,$B165,AR$11,AR$14,AR$160,),""),IF($I165=2,IFBLANK(_xldudf_CX_PUSH(AR165,CX_ENTITY,$B165,AR$11,AR$14,AR$160,),""),IF($I165=3,"",IFBLANK(_xldudf_CX_PUSH(AR165,CX_ENTITY,$B165,AR$11,AR$14,AR$160,),"")))))),"")</f>
        <v/>
      </c>
      <c r="DS165" s="2445" t="str" cm="1">
        <f t="array" ca="1" aca="1" ref="DS165">IFERROR(IF(AS165*fxVal_normal=_PL!AS165,"",IF(OR(AS165="",NOT(ISNUMBER(AS165)),ISERROR(AS165),$B165=""),"",IF($I165=1,IFBLANK(_xldudf_CX_PUSH(AS165*fxVal_normal,CX_ENTITY,$B165,AS$11,AS$14,AS$160,),""),IF($I165=2,IFBLANK(_xldudf_CX_PUSH(AS165,CX_ENTITY,$B165,AS$11,AS$14,AS$160,),""),IF($I165=3,"",IFBLANK(_xldudf_CX_PUSH(AS165,CX_ENTITY,$B165,AS$11,AS$14,AS$160,),"")))))),"")</f>
        <v/>
      </c>
      <c r="DT165" s="2445" t="str" cm="1">
        <f t="array" ca="1" aca="1" ref="DT165">IFERROR(IF(AT165*fxVal_normal=_PL!AT165,"",IF(OR(AT165="",NOT(ISNUMBER(AT165)),ISERROR(AT165),$B165=""),"",IF($I165=1,IFBLANK(_xldudf_CX_PUSH(AT165*fxVal_normal,CX_ENTITY,$B165,AT$11,AT$14,AT$160,),""),IF($I165=2,IFBLANK(_xldudf_CX_PUSH(AT165,CX_ENTITY,$B165,AT$11,AT$14,AT$160,),""),IF($I165=3,"",IFBLANK(_xldudf_CX_PUSH(AT165,CX_ENTITY,$B165,AT$11,AT$14,AT$160,),"")))))),"")</f>
        <v/>
      </c>
      <c r="DU165" s="2445" t="str" cm="1">
        <f t="array" ca="1" aca="1" ref="DU165">IFERROR(IF(AU165*fxVal_normal=_PL!AU165,"",IF(OR(AU165="",NOT(ISNUMBER(AU165)),ISERROR(AU165),$B165=""),"",IF($I165=1,IFBLANK(_xldudf_CX_PUSH(AU165*fxVal_normal,CX_ENTITY,$B165,AU$11,AU$14,AU$160,),""),IF($I165=2,IFBLANK(_xldudf_CX_PUSH(AU165,CX_ENTITY,$B165,AU$11,AU$14,AU$160,),""),IF($I165=3,"",IFBLANK(_xldudf_CX_PUSH(AU165,CX_ENTITY,$B165,AU$11,AU$14,AU$160,),"")))))),"")</f>
        <v/>
      </c>
      <c r="DV165" s="2445" t="str" cm="1">
        <f t="array" ca="1" aca="1" ref="DV165">IFERROR(IF(AV165*fxVal_normal=_PL!AV165,"",IF(OR(AV165="",NOT(ISNUMBER(AV165)),ISERROR(AV165),$B165=""),"",IF($I165=1,IFBLANK(_xldudf_CX_PUSH(AV165*fxVal_normal,CX_ENTITY,$B165,AV$11,AV$14,AV$160,),""),IF($I165=2,IFBLANK(_xldudf_CX_PUSH(AV165,CX_ENTITY,$B165,AV$11,AV$14,AV$160,),""),IF($I165=3,"",IFBLANK(_xldudf_CX_PUSH(AV165,CX_ENTITY,$B165,AV$11,AV$14,AV$160,),"")))))),"")</f>
        <v/>
      </c>
      <c r="DW165" s="2445" t="str" cm="1">
        <f t="array" ca="1" aca="1" ref="DW165">IFERROR(IF(AW165*fxVal_normal=_PL!AW165,"",IF(OR(AW165="",NOT(ISNUMBER(AW165)),ISERROR(AW165),$B165=""),"",IF($I165=1,IFBLANK(_xldudf_CX_PUSH(AW165*fxVal_normal,CX_ENTITY,$B165,AW$11,AW$14,AW$160,),""),IF($I165=2,IFBLANK(_xldudf_CX_PUSH(AW165,CX_ENTITY,$B165,AW$11,AW$14,AW$160,),""),IF($I165=3,"",IFBLANK(_xldudf_CX_PUSH(AW165,CX_ENTITY,$B165,AW$11,AW$14,AW$160,),"")))))),"")</f>
        <v/>
      </c>
      <c r="DX165" s="2445" t="str" cm="1">
        <f t="array" ca="1" aca="1" ref="DX165">IFERROR(IF(AX165*fxVal_normal=_PL!AX165,"",IF(OR(AX165="",NOT(ISNUMBER(AX165)),ISERROR(AX165),$B165=""),"",IF($I165=1,IFBLANK(_xldudf_CX_PUSH(AX165*fxVal_normal,CX_ENTITY,$B165,AX$11,AX$14,AX$160,),""),IF($I165=2,IFBLANK(_xldudf_CX_PUSH(AX165,CX_ENTITY,$B165,AX$11,AX$14,AX$160,),""),IF($I165=3,"",IFBLANK(_xldudf_CX_PUSH(AX165,CX_ENTITY,$B165,AX$11,AX$14,AX$160,),"")))))),"")</f>
        <v/>
      </c>
      <c r="DY165" s="2445" t="str" cm="1">
        <f t="array" ca="1" aca="1" ref="DY165">IFERROR(IF(AY165*fxVal_normal=_PL!AY165,"",IF(OR(AY165="",NOT(ISNUMBER(AY165)),ISERROR(AY165),$B165=""),"",IF($I165=1,IFBLANK(_xldudf_CX_PUSH(AY165*fxVal_normal,CX_ENTITY,$B165,AY$11,AY$14,AY$160,),""),IF($I165=2,IFBLANK(_xldudf_CX_PUSH(AY165,CX_ENTITY,$B165,AY$11,AY$14,AY$160,),""),IF($I165=3,"",IFBLANK(_xldudf_CX_PUSH(AY165,CX_ENTITY,$B165,AY$11,AY$14,AY$160,),"")))))),"")</f>
        <v/>
      </c>
      <c r="DZ165" s="2445" t="str" cm="1">
        <f t="array" ca="1" aca="1" ref="DZ165">IFERROR(IF(AZ165*fxVal_normal=_PL!AZ165,"",IF(OR(AZ165="",NOT(ISNUMBER(AZ165)),ISERROR(AZ165),$B165=""),"",IF($I165=1,IFBLANK(_xldudf_CX_PUSH(AZ165*fxVal_normal,CX_ENTITY,$B165,AZ$11,AZ$14,AZ$160,),""),IF($I165=2,IFBLANK(_xldudf_CX_PUSH(AZ165,CX_ENTITY,$B165,AZ$11,AZ$14,AZ$160,),""),IF($I165=3,"",IFBLANK(_xldudf_CX_PUSH(AZ165,CX_ENTITY,$B165,AZ$11,AZ$14,AZ$160,),"")))))),"")</f>
        <v/>
      </c>
      <c r="EA165" s="2445" t="str" cm="1">
        <f t="array" ca="1" aca="1" ref="EA165">IFERROR(IF(BA165*fxVal_normal=_PL!BA165,"",IF(OR(BA165="",NOT(ISNUMBER(BA165)),ISERROR(BA165),$B165=""),"",IF($I165=1,IFBLANK(_xldudf_CX_PUSH(BA165*fxVal_normal,CX_ENTITY,$B165,BA$11,BA$14,BA$160,),""),IF($I165=2,IFBLANK(_xldudf_CX_PUSH(BA165,CX_ENTITY,$B165,BA$11,BA$14,BA$160,),""),IF($I165=3,"",IFBLANK(_xldudf_CX_PUSH(BA165,CX_ENTITY,$B165,BA$11,BA$14,BA$160,),"")))))),"")</f>
        <v/>
      </c>
      <c r="EB165" s="2445" t="str" cm="1">
        <f t="array" ca="1" aca="1" ref="EB165">IFERROR(IF(BB165*fxVal_normal=_PL!BB165,"",IF(OR(BB165="",NOT(ISNUMBER(BB165)),ISERROR(BB165),$B165=""),"",IF($I165=1,IFBLANK(_xldudf_CX_PUSH(BB165*fxVal_normal,CX_ENTITY,$B165,BB$11,BB$14,BB$160,),""),IF($I165=2,IFBLANK(_xldudf_CX_PUSH(BB165,CX_ENTITY,$B165,BB$11,BB$14,BB$160,),""),IF($I165=3,"",IFBLANK(_xldudf_CX_PUSH(BB165,CX_ENTITY,$B165,BB$11,BB$14,BB$160,),"")))))),"")</f>
        <v/>
      </c>
      <c r="EC165" s="2445" t="str" cm="1">
        <f t="array" ca="1" aca="1" ref="EC165">IFERROR(IF(BC165*fxVal_normal=_PL!BC165,"",IF(OR(BC165="",NOT(ISNUMBER(BC165)),ISERROR(BC165),$B165=""),"",IF($I165=1,IFBLANK(_xldudf_CX_PUSH(BC165*fxVal_normal,CX_ENTITY,$B165,BC$11,BC$14,BC$160,),""),IF($I165=2,IFBLANK(_xldudf_CX_PUSH(BC165,CX_ENTITY,$B165,BC$11,BC$14,BC$160,),""),IF($I165=3,"",IFBLANK(_xldudf_CX_PUSH(BC165,CX_ENTITY,$B165,BC$11,BC$14,BC$160,),"")))))),"")</f>
        <v/>
      </c>
      <c r="ED165" s="2445" t="str" cm="1">
        <f t="array" ca="1" aca="1" ref="ED165">IFERROR(IF(BD165*fxVal_normal=_PL!BD165,"",IF(OR(BD165="",NOT(ISNUMBER(BD165)),ISERROR(BD165),$B165=""),"",IF($I165=1,IFBLANK(_xldudf_CX_PUSH(BD165*fxVal_normal,CX_ENTITY,$B165,BD$11,BD$14,BD$160,),""),IF($I165=2,IFBLANK(_xldudf_CX_PUSH(BD165,CX_ENTITY,$B165,BD$11,BD$14,BD$160,),""),IF($I165=3,"",IFBLANK(_xldudf_CX_PUSH(BD165,CX_ENTITY,$B165,BD$11,BD$14,BD$160,),"")))))),"")</f>
        <v/>
      </c>
      <c r="EE165" s="2445" t="str" cm="1">
        <f t="array" ca="1" aca="1" ref="EE165">IFERROR(IF(BE165*fxVal_normal=_PL!BE165,"",IF(OR(BE165="",NOT(ISNUMBER(BE165)),ISERROR(BE165),$B165=""),"",IF($I165=1,IFBLANK(_xldudf_CX_PUSH(BE165*fxVal_normal,CX_ENTITY,$B165,BE$11,BE$14,BE$160,),""),IF($I165=2,IFBLANK(_xldudf_CX_PUSH(BE165,CX_ENTITY,$B165,BE$11,BE$14,BE$160,),""),IF($I165=3,"",IFBLANK(_xldudf_CX_PUSH(BE165,CX_ENTITY,$B165,BE$11,BE$14,BE$160,),"")))))),"")</f>
        <v/>
      </c>
      <c r="EF165" s="2445" t="str" cm="1">
        <f t="array" ca="1" aca="1" ref="EF165">IFERROR(IF(BF165*fxVal_normal=_PL!BF165,"",IF(OR(BF165="",NOT(ISNUMBER(BF165)),ISERROR(BF165),$B165=""),"",IF($I165=1,IFBLANK(_xldudf_CX_PUSH(BF165*fxVal_normal,CX_ENTITY,$B165,BF$11,BF$14,BF$160,),""),IF($I165=2,IFBLANK(_xldudf_CX_PUSH(BF165,CX_ENTITY,$B165,BF$11,BF$14,BF$160,),""),IF($I165=3,"",IFBLANK(_xldudf_CX_PUSH(BF165,CX_ENTITY,$B165,BF$11,BF$14,BF$160,),"")))))),"")</f>
        <v/>
      </c>
      <c r="EG165" s="2445" t="str" cm="1">
        <f t="array" ca="1" aca="1" ref="EG165">IFERROR(IF(BG165*fxVal_normal=_PL!BG165,"",IF(OR(BG165="",NOT(ISNUMBER(BG165)),ISERROR(BG165),$B165=""),"",IF($I165=1,IFBLANK(_xldudf_CX_PUSH(BG165*fxVal_normal,CX_ENTITY,$B165,BG$11,BG$14,BG$160,),""),IF($I165=2,IFBLANK(_xldudf_CX_PUSH(BG165,CX_ENTITY,$B165,BG$11,BG$14,BG$160,),""),IF($I165=3,"",IFBLANK(_xldudf_CX_PUSH(BG165,CX_ENTITY,$B165,BG$11,BG$14,BG$160,),"")))))),"")</f>
        <v/>
      </c>
      <c r="EH165" s="2445" t="str" cm="1">
        <f t="array" ca="1" aca="1" ref="EH165">IFERROR(IF(BH165*fxVal_normal=_PL!BH165,"",IF(OR(BH165="",NOT(ISNUMBER(BH165)),ISERROR(BH165),$B165=""),"",IF($I165=1,IFBLANK(_xldudf_CX_PUSH(BH165*fxVal_normal,CX_ENTITY,$B165,BH$11,BH$14,BH$160,),""),IF($I165=2,IFBLANK(_xldudf_CX_PUSH(BH165,CX_ENTITY,$B165,BH$11,BH$14,BH$160,),""),IF($I165=3,"",IFBLANK(_xldudf_CX_PUSH(BH165,CX_ENTITY,$B165,BH$11,BH$14,BH$160,),"")))))),"")</f>
        <v/>
      </c>
      <c r="EI165" s="2445" t="str" cm="1">
        <f t="array" ca="1" aca="1" ref="EI165">IFERROR(IF(BI165*fxVal_normal=_PL!BI165,"",IF(OR(BI165="",NOT(ISNUMBER(BI165)),ISERROR(BI165),$B165=""),"",IF($I165=1,IFBLANK(_xldudf_CX_PUSH(BI165*fxVal_normal,CX_ENTITY,$B165,BI$11,BI$14,BI$160,),""),IF($I165=2,IFBLANK(_xldudf_CX_PUSH(BI165,CX_ENTITY,$B165,BI$11,BI$14,BI$160,),""),IF($I165=3,"",IFBLANK(_xldudf_CX_PUSH(BI165,CX_ENTITY,$B165,BI$11,BI$14,BI$160,),"")))))),"")</f>
        <v/>
      </c>
      <c r="EJ165" s="2445" t="str" cm="1">
        <f t="array" ca="1" aca="1" ref="EJ165">IFERROR(IF(BJ165*fxVal_normal=_PL!BJ165,"",IF(OR(BJ165="",NOT(ISNUMBER(BJ165)),ISERROR(BJ165),$B165=""),"",IF($I165=1,IFBLANK(_xldudf_CX_PUSH(BJ165*fxVal_normal,CX_ENTITY,$B165,BJ$11,BJ$14,BJ$160,),""),IF($I165=2,IFBLANK(_xldudf_CX_PUSH(BJ165,CX_ENTITY,$B165,BJ$11,BJ$14,BJ$160,),""),IF($I165=3,"",IFBLANK(_xldudf_CX_PUSH(BJ165,CX_ENTITY,$B165,BJ$11,BJ$14,BJ$160,),"")))))),"")</f>
        <v/>
      </c>
      <c r="EK165" s="2445" t="str" cm="1">
        <f t="array" ca="1" aca="1" ref="EK165">IFERROR(IF(BK165*fxVal_normal=_PL!BK165,"",IF(OR(BK165="",NOT(ISNUMBER(BK165)),ISERROR(BK165),$B165=""),"",IF($I165=1,IFBLANK(_xldudf_CX_PUSH(BK165*fxVal_normal,CX_ENTITY,$B165,BK$11,BK$14,BK$160,),""),IF($I165=2,IFBLANK(_xldudf_CX_PUSH(BK165,CX_ENTITY,$B165,BK$11,BK$14,BK$160,),""),IF($I165=3,"",IFBLANK(_xldudf_CX_PUSH(BK165,CX_ENTITY,$B165,BK$11,BK$14,BK$160,),"")))))),"")</f>
        <v/>
      </c>
      <c r="EL165" s="2445" t="str" cm="1">
        <f t="array" ca="1" aca="1" ref="EL165">IFERROR(IF(BL165*fxVal_normal=_PL!BL165,"",IF(OR(BL165="",NOT(ISNUMBER(BL165)),ISERROR(BL165),$B165=""),"",IF($I165=1,IFBLANK(_xldudf_CX_PUSH(BL165*fxVal_normal,CX_ENTITY,$B165,BL$11,BL$14,BL$160,),""),IF($I165=2,IFBLANK(_xldudf_CX_PUSH(BL165,CX_ENTITY,$B165,BL$11,BL$14,BL$160,),""),IF($I165=3,"",IFBLANK(_xldudf_CX_PUSH(BL165,CX_ENTITY,$B165,BL$11,BL$14,BL$160,),"")))))),"")</f>
        <v/>
      </c>
      <c r="EM165" s="2445" t="str" cm="1">
        <f t="array" ca="1" aca="1" ref="EM165">IFERROR(IF(BM165*fxVal_normal=_PL!BM165,"",IF(OR(BM165="",NOT(ISNUMBER(BM165)),ISERROR(BM165),$B165=""),"",IF($I165=1,IFBLANK(_xldudf_CX_PUSH(BM165*fxVal_normal,CX_ENTITY,$B165,BM$11,BM$14,BM$160,),""),IF($I165=2,IFBLANK(_xldudf_CX_PUSH(BM165,CX_ENTITY,$B165,BM$11,BM$14,BM$160,),""),IF($I165=3,"",IFBLANK(_xldudf_CX_PUSH(BM165,CX_ENTITY,$B165,BM$11,BM$14,BM$160,),"")))))),"")</f>
        <v/>
      </c>
      <c r="EN165" s="2445" t="str" cm="1">
        <f t="array" ca="1" aca="1" ref="EN165">IFERROR(IF(BN165*fxVal_normal=_PL!BN165,"",IF(OR(BN165="",NOT(ISNUMBER(BN165)),ISERROR(BN165),$B165=""),"",IF($I165=1,IFBLANK(_xldudf_CX_PUSH(BN165*fxVal_normal,CX_ENTITY,$B165,BN$11,BN$14,BN$160,),""),IF($I165=2,IFBLANK(_xldudf_CX_PUSH(BN165,CX_ENTITY,$B165,BN$11,BN$14,BN$160,),""),IF($I165=3,"",IFBLANK(_xldudf_CX_PUSH(BN165,CX_ENTITY,$B165,BN$11,BN$14,BN$160,),"")))))),"")</f>
        <v/>
      </c>
    </row>
    <row r="166" spans="1:144" ht="21" customHeight="1">
      <c r="A166" s="1625"/>
      <c r="B166" s="2439" t="s">
        <v>138</v>
      </c>
      <c r="C166" s="3459" t="str" cm="1">
        <f t="array" ref="C166">IFBLANK(_PL!C166,"")</f>
        <v>Earning Metric Adjustment Type II - Label 5</v>
      </c>
      <c r="D166" s="1548" t="s">
        <v>123</v>
      </c>
      <c r="E166" s="2440" t="e" cm="1">
        <f t="array" ca="1" aca="1" ref="E16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166:$CQ166,Z166)</f>
        <v>#NAME?</v>
      </c>
      <c r="F166" s="578"/>
      <c r="G166" s="578"/>
      <c r="H166" s="510">
        <v>0</v>
      </c>
      <c r="I166" s="3302">
        <v>1</v>
      </c>
      <c r="J166" s="401" cm="1">
        <f t="array" ref="J166">IFBLANK(Z166,"")</f>
        <v>-1</v>
      </c>
      <c r="K166" s="578" t="str">
        <f t="shared" si="51"/>
        <v>No</v>
      </c>
      <c r="L166" s="37"/>
      <c r="N166" s="158"/>
      <c r="O166" s="101"/>
      <c r="P166" s="52"/>
      <c r="Q166" s="101"/>
      <c r="R166" s="101"/>
      <c r="S166" s="101"/>
      <c r="T166" s="101"/>
      <c r="U166" s="39"/>
      <c r="V166" s="37"/>
      <c r="W166" s="91" t="str">
        <f>W161</f>
        <v>Actual</v>
      </c>
      <c r="X166" s="2081" t="str">
        <f>_PL!X166</f>
        <v>a</v>
      </c>
      <c r="Y166" s="3218">
        <v>2</v>
      </c>
      <c r="Z166" s="198">
        <f>_PL!Z166</f>
        <v>-1</v>
      </c>
      <c r="AA166" s="2571"/>
      <c r="AB166" s="1128"/>
      <c r="AC166" s="914" t="str" cm="1">
        <f t="array" ca="1" aca="1" ref="AC166">_xlfn.LET(_xlpm._termname,$AB166,_xlpm._iconname,"find",_xlpm._icon,fx_getIcon(_xlpm._iconname),_xlpm._location,_xlfn.XLOOKUP(LOWER(_xlpm._termname),LOWER(tbl_acctDef[Term]),tbl_acctDef[Term]),_xlpm._hyperlink,HYPERLINK("#"&amp;CELL("address",_xlpm._location),_xlpm._icon),IFERROR(_xlpm._hyperlink,""))</f>
        <v/>
      </c>
      <c r="AD166" s="3177">
        <v>1</v>
      </c>
      <c r="AE166" s="3177">
        <v>1</v>
      </c>
      <c r="AF166" s="3177">
        <v>1</v>
      </c>
      <c r="AG166" s="3177">
        <v>1</v>
      </c>
      <c r="AH166" s="3177">
        <v>1</v>
      </c>
      <c r="AI166" s="3177">
        <v>1</v>
      </c>
      <c r="AJ166" s="3177">
        <v>1</v>
      </c>
      <c r="AK166" s="3177">
        <v>1</v>
      </c>
      <c r="AL166" s="3177">
        <v>1</v>
      </c>
      <c r="AM166" s="3177">
        <v>1</v>
      </c>
      <c r="AN166" s="3177">
        <v>1</v>
      </c>
      <c r="AO166" s="3177">
        <v>1</v>
      </c>
      <c r="AP166" s="3177">
        <v>1</v>
      </c>
      <c r="AQ166" s="3177">
        <v>1</v>
      </c>
      <c r="AR166" s="3177">
        <v>1</v>
      </c>
      <c r="AS166" s="3177">
        <v>1</v>
      </c>
      <c r="AT166" s="3177">
        <v>1</v>
      </c>
      <c r="AU166" s="3177">
        <v>1</v>
      </c>
      <c r="AV166" s="3177">
        <v>1</v>
      </c>
      <c r="AW166" s="3177">
        <v>1</v>
      </c>
      <c r="AX166" s="3177">
        <v>1</v>
      </c>
      <c r="AY166" s="3177">
        <v>1</v>
      </c>
      <c r="AZ166" s="3177">
        <v>1</v>
      </c>
      <c r="BA166" s="3177">
        <v>1</v>
      </c>
      <c r="BB166" s="3177">
        <v>1</v>
      </c>
      <c r="BC166" s="3177">
        <v>1</v>
      </c>
      <c r="BD166" s="3177">
        <v>1</v>
      </c>
      <c r="BE166" s="3177">
        <v>1</v>
      </c>
      <c r="BF166" s="3177">
        <v>1</v>
      </c>
      <c r="BG166" s="3177">
        <v>1</v>
      </c>
      <c r="BH166" s="3177">
        <v>1</v>
      </c>
      <c r="BI166" s="3177">
        <v>1</v>
      </c>
      <c r="BJ166" s="3177">
        <v>1</v>
      </c>
      <c r="BK166" s="3177">
        <v>1</v>
      </c>
      <c r="BL166" s="3177">
        <v>1</v>
      </c>
      <c r="BM166" s="3177">
        <v>1</v>
      </c>
      <c r="BN166" s="3177">
        <v>1</v>
      </c>
      <c r="BO166" s="2442"/>
      <c r="BP166" s="2442"/>
      <c r="BQ166" s="2442"/>
      <c r="BR166" s="2442"/>
      <c r="BS166" s="2442"/>
      <c r="BT166" s="2442"/>
      <c r="BU166" s="2442"/>
      <c r="BV166" s="2442"/>
      <c r="BW166" s="2442"/>
      <c r="BX166" s="2442"/>
      <c r="BY166" s="2442"/>
      <c r="BZ166" s="2442"/>
      <c r="CA166" s="34"/>
      <c r="CC166" s="2572"/>
      <c r="CD166" s="1461" t="e" cm="1">
        <f t="array" ca="1" aca="1" ref="CD166">_xlfn.LET(_xlpm.CheckBlank,SUM(PL!$AD166:$BN166)=0,IF(_xlpm.CheckBlank,"",SUM(_xlfn._xlws.FILTER(PL!$AD166:$BN166,(YEAR(PL!$AD$12:$BN$12)=PL!CD$12)*(array_timeline&lt;=PL!CD$11)))))</f>
        <v>#NAME?</v>
      </c>
      <c r="CE166" s="1461" t="e" cm="1">
        <f t="array" ca="1" aca="1" ref="CE166">_xlfn.LET(_xlpm.CheckBlank,SUM(PL!$AD166:$BN166)=0,IF(_xlpm.CheckBlank,"",SUM(_xlfn._xlws.FILTER(PL!$AD166:$BN166,(YEAR(PL!$AD$12:$BN$12)=PL!CE$12)*(array_timeline&lt;=PL!CE$11)))))</f>
        <v>#NAME?</v>
      </c>
      <c r="CF166" s="88"/>
      <c r="CG166" s="1461" t="e" cm="1">
        <f t="array" ca="1" aca="1" ref="CG166">_xlfn.LET(_xlpm.CheckBlank,SUM(PL!$AD166:$BN166)=0,IF(_xlpm.CheckBlank,"",SUM(_xlfn._xlws.FILTER(PL!$AD166:$BN166,(YEAR(PL!$AD$12:$BN$12)=PL!CG$12)*(array_timeline&lt;=PL!CG$11)))))</f>
        <v>#NAME?</v>
      </c>
      <c r="CH166" s="1461" t="e" cm="1">
        <f t="array" ca="1" aca="1" ref="CH166">_xlfn.LET(_xlpm.CheckBlank,SUM(PL!$AD166:$BN166)=0,IF(_xlpm.CheckBlank,"",SUM(_xlfn._xlws.FILTER(PL!$AD166:$BN166,(YEAR(PL!$AD$12:$BN$12)=PL!CH$12)*(array_timeline&lt;=PL!CH$11)))))</f>
        <v>#NAME?</v>
      </c>
      <c r="CI166" s="88"/>
      <c r="CJ166" s="1461" cm="1">
        <f t="array" ref="CJ166">_xlfn.LET(_xlpm.CheckBlank,SUM(PL!$AD166:$BN166)=0,IF(_xlpm.CheckBlank,"",SUM(_xlfn.TAKE(_xlfn.DROP(PL!$AD166:$BN166,,-DATEDIFF(PL!CJ$11,val_asOfDate,"M")),1,-12))))</f>
        <v>12</v>
      </c>
      <c r="CK166" s="1461" cm="1">
        <f t="array" ref="CK166">_xlfn.LET(_xlpm.CheckBlank,SUM(PL!$AD166:$BN166)=0,IF(_xlpm.CheckBlank,"",SUM(_xlfn.TAKE(_xlfn.DROP(PL!$AD166:$BN166,,-DATEDIFF(PL!CK$11,val_asOfDate,"M")),1,-12))))</f>
        <v>12</v>
      </c>
      <c r="CL166" s="88"/>
      <c r="CM166" s="3177">
        <v>1</v>
      </c>
      <c r="CN166" s="3177">
        <v>1</v>
      </c>
      <c r="CO166" s="1169"/>
      <c r="CP166" s="3177">
        <v>1</v>
      </c>
      <c r="CQ166" s="3177">
        <v>1</v>
      </c>
      <c r="CR166" s="34"/>
      <c r="CS166" s="2056"/>
      <c r="CT166" s="2447" t="e" cm="1">
        <f t="array" ca="1" aca="1" ref="CT166">IF(ISNUMBER(SEARCH("Select",$Y166)),"",_xldudf_CX_PUSH($Y166,CX_ENTITY,C166,val_asOfDate))</f>
        <v>#NAME?</v>
      </c>
      <c r="CU166" s="2447" t="e" cm="1">
        <f t="array" ca="1" aca="1" ref="CU166">IF(ISNUMBER(SEARCH("Select",$Y166)),"",_xldudf_CX_PUSH($Y166,CX_ENTITY,C166,EOMONTH(val_asOfDate,1)))</f>
        <v>#NAME?</v>
      </c>
      <c r="CV166" s="2447" t="e" cm="1">
        <f t="array" ca="1" aca="1" ref="CV166">IF(ISNUMBER(SEARCH("Select",$Y166)),"",_xldudf_CX_PUSH($Y166,CX_ENTITY,C166,EOMONTH(val_asOfDate,2)))</f>
        <v>#NAME?</v>
      </c>
      <c r="CW166" s="2447" t="e" cm="1">
        <f t="array" ca="1" aca="1" ref="CW166">IF(ISNUMBER(SEARCH("Select",$Y166)),"",_xldudf_CX_PUSH($Y166,CX_ENTITY,C166,EOMONTH(val_asOfDate,3)))</f>
        <v>#NAME?</v>
      </c>
      <c r="CX166" s="2443"/>
      <c r="CY166" s="2444" t="str" cm="1">
        <f t="array" ca="1" aca="1" ref="CY166">IFERROR(IF(CM166*fxVal_normal=_PL!CM166,"",IF(OR($CM166="",$CM166=0,NOT(ISNUMBER($CM166)),ISERROR($CM166),$B166=""),"",IF($I166=1,IFBLANK(_xldudf_CX_PUSH($CM166*fxVal_normal,CX_ENTITY,$B166,$CM$11,$CM$14,$CM$19,),""),IF($I166=2,IFBLANK(_xldudf_CX_PUSH($CM166,CX_ENTITY,$B166,$CM$11,$CM$14,$CM$19,),""),IF($I166=3,"",IFBLANK(_xldudf_CX_PUSH($CM166,CX_ENTITY,$B166,$CM$11,$CM$14,$CM$19,),"")))))),"")</f>
        <v/>
      </c>
      <c r="CZ166" s="2444" t="str" cm="1">
        <f t="array" ca="1" aca="1" ref="CZ166">IFERROR(IF(CN166*fxVal_normal=_PL!CN166,"",IF(OR($CN166="",$CN166=0,NOT(ISNUMBER($CN166)),ISERROR($CN166),$B166=""),"",IF($I166=1,IFBLANK(_xldudf_CX_PUSH($CN166*fxVal_normal,CX_ENTITY,$B166,$CN$11,$CN$14,$CN$19,),""),IF($I166=2,IFBLANK(_xldudf_CX_PUSH($CN166,CX_ENTITY,$B166,$CN$11,$CN$14,$CN$19,),""),IF($I166=3,"",IFBLANK(_xldudf_CX_PUSH($CN166,CX_ENTITY,$B166,$CN$11,$CN$14,$CN$19,),"")))))),"")</f>
        <v/>
      </c>
      <c r="DA166" s="2444" t="str" cm="1">
        <f t="array" ca="1" aca="1" ref="DA166">IFERROR(IF(CP166*fxVal_normal=_PL!CP166,"",IF(OR($CP166="",$CP166=0,NOT(ISNUMBER($CP166)),ISERROR($CP166),$B166=""),"",IF($I166=1,IFBLANK(_xldudf_CX_PUSH($CP166*fxVal_normal,CX_ENTITY,$B166,$CP$11,$CP$14,$CP$19,),""),IF($I166=2,IFBLANK(_xldudf_CX_PUSH($CP166,CX_ENTITY,$B166,$CP$11,$CP$14,$CP$19,),""),IF($I166=3,"",IFBLANK(_xldudf_CX_PUSH($CP166,CX_ENTITY,$B166,$CP$11,$CP$14,$CP$19,),"")))))),"")</f>
        <v/>
      </c>
      <c r="DB166" s="2444" t="str" cm="1">
        <f t="array" ca="1" aca="1" ref="DB166">IFERROR(IF(CQ166*fxVal_normal=_PL!CQ166,"",IF(OR($CQ166="",$CQ166=0,NOT(ISNUMBER($CQ166)),ISERROR($CQ166),$B166=""),"",IF($I166=1,IFBLANK(_xldudf_CX_PUSH($CQ166*fxVal_normal,CX_ENTITY,$B166,$CQ$11,$CQ$14,$CQ$19,),""),IF($I166=2,IFBLANK(_xldudf_CX_PUSH($CQ166,CX_ENTITY,$B166,$CQ$11,$CQ$14,$CQ$19,),""),IF($I166=3,"",IFBLANK(_xldudf_CX_PUSH($CQ166,CX_ENTITY,$B166,$CQ$11,$CQ$14,$CQ$19,),"")))))),"")</f>
        <v/>
      </c>
      <c r="DC166" s="2443"/>
      <c r="DD166" s="2445" t="str" cm="1">
        <f t="array" ca="1" aca="1" ref="DD166">IFERROR(IF(AD166*fxVal_normal=_PL!AD166,"",IF(OR(AD166="",NOT(ISNUMBER(AD166)),ISERROR(AD166),$B166=""),"",IF($I166=1,IFBLANK(_xldudf_CX_PUSH(AD166*fxVal_normal,CX_ENTITY,$B166,AD$11,AD$14,AD$160,),""),IF($I166=2,IFBLANK(_xldudf_CX_PUSH(AD166,CX_ENTITY,$B166,AD$11,AD$14,AD$160,),""),IF($I166=3,"",IFBLANK(_xldudf_CX_PUSH(AD166,CX_ENTITY,$B166,AD$11,AD$14,AD$160,),"")))))),"")</f>
        <v/>
      </c>
      <c r="DE166" s="2445" t="str" cm="1">
        <f t="array" ca="1" aca="1" ref="DE166">IFERROR(IF(AE166*fxVal_normal=_PL!AE166,"",IF(OR(AE166="",NOT(ISNUMBER(AE166)),ISERROR(AE166),$B166=""),"",IF($I166=1,IFBLANK(_xldudf_CX_PUSH(AE166*fxVal_normal,CX_ENTITY,$B166,AE$11,AE$14,AE$160,),""),IF($I166=2,IFBLANK(_xldudf_CX_PUSH(AE166,CX_ENTITY,$B166,AE$11,AE$14,AE$160,),""),IF($I166=3,"",IFBLANK(_xldudf_CX_PUSH(AE166,CX_ENTITY,$B166,AE$11,AE$14,AE$160,),"")))))),"")</f>
        <v/>
      </c>
      <c r="DF166" s="2445" t="str" cm="1">
        <f t="array" ca="1" aca="1" ref="DF166">IFERROR(IF(AF166*fxVal_normal=_PL!AF166,"",IF(OR(AF166="",NOT(ISNUMBER(AF166)),ISERROR(AF166),$B166=""),"",IF($I166=1,IFBLANK(_xldudf_CX_PUSH(AF166*fxVal_normal,CX_ENTITY,$B166,AF$11,AF$14,AF$160,),""),IF($I166=2,IFBLANK(_xldudf_CX_PUSH(AF166,CX_ENTITY,$B166,AF$11,AF$14,AF$160,),""),IF($I166=3,"",IFBLANK(_xldudf_CX_PUSH(AF166,CX_ENTITY,$B166,AF$11,AF$14,AF$160,),"")))))),"")</f>
        <v/>
      </c>
      <c r="DG166" s="2445" t="str" cm="1">
        <f t="array" ca="1" aca="1" ref="DG166">IFERROR(IF(AG166*fxVal_normal=_PL!AG166,"",IF(OR(AG166="",NOT(ISNUMBER(AG166)),ISERROR(AG166),$B166=""),"",IF($I166=1,IFBLANK(_xldudf_CX_PUSH(AG166*fxVal_normal,CX_ENTITY,$B166,AG$11,AG$14,AG$160,),""),IF($I166=2,IFBLANK(_xldudf_CX_PUSH(AG166,CX_ENTITY,$B166,AG$11,AG$14,AG$160,),""),IF($I166=3,"",IFBLANK(_xldudf_CX_PUSH(AG166,CX_ENTITY,$B166,AG$11,AG$14,AG$160,),"")))))),"")</f>
        <v/>
      </c>
      <c r="DH166" s="2445" t="str" cm="1">
        <f t="array" ca="1" aca="1" ref="DH166">IFERROR(IF(AH166*fxVal_normal=_PL!AH166,"",IF(OR(AH166="",NOT(ISNUMBER(AH166)),ISERROR(AH166),$B166=""),"",IF($I166=1,IFBLANK(_xldudf_CX_PUSH(AH166*fxVal_normal,CX_ENTITY,$B166,AH$11,AH$14,AH$160,),""),IF($I166=2,IFBLANK(_xldudf_CX_PUSH(AH166,CX_ENTITY,$B166,AH$11,AH$14,AH$160,),""),IF($I166=3,"",IFBLANK(_xldudf_CX_PUSH(AH166,CX_ENTITY,$B166,AH$11,AH$14,AH$160,),"")))))),"")</f>
        <v/>
      </c>
      <c r="DI166" s="2445" t="str" cm="1">
        <f t="array" ca="1" aca="1" ref="DI166">IFERROR(IF(AI166*fxVal_normal=_PL!AI166,"",IF(OR(AI166="",NOT(ISNUMBER(AI166)),ISERROR(AI166),$B166=""),"",IF($I166=1,IFBLANK(_xldudf_CX_PUSH(AI166*fxVal_normal,CX_ENTITY,$B166,AI$11,AI$14,AI$160,),""),IF($I166=2,IFBLANK(_xldudf_CX_PUSH(AI166,CX_ENTITY,$B166,AI$11,AI$14,AI$160,),""),IF($I166=3,"",IFBLANK(_xldudf_CX_PUSH(AI166,CX_ENTITY,$B166,AI$11,AI$14,AI$160,),"")))))),"")</f>
        <v/>
      </c>
      <c r="DJ166" s="2445" t="str" cm="1">
        <f t="array" ca="1" aca="1" ref="DJ166">IFERROR(IF(AJ166*fxVal_normal=_PL!AJ166,"",IF(OR(AJ166="",NOT(ISNUMBER(AJ166)),ISERROR(AJ166),$B166=""),"",IF($I166=1,IFBLANK(_xldudf_CX_PUSH(AJ166*fxVal_normal,CX_ENTITY,$B166,AJ$11,AJ$14,AJ$160,),""),IF($I166=2,IFBLANK(_xldudf_CX_PUSH(AJ166,CX_ENTITY,$B166,AJ$11,AJ$14,AJ$160,),""),IF($I166=3,"",IFBLANK(_xldudf_CX_PUSH(AJ166,CX_ENTITY,$B166,AJ$11,AJ$14,AJ$160,),"")))))),"")</f>
        <v/>
      </c>
      <c r="DK166" s="2445" t="str" cm="1">
        <f t="array" ca="1" aca="1" ref="DK166">IFERROR(IF(AK166*fxVal_normal=_PL!AK166,"",IF(OR(AK166="",NOT(ISNUMBER(AK166)),ISERROR(AK166),$B166=""),"",IF($I166=1,IFBLANK(_xldudf_CX_PUSH(AK166*fxVal_normal,CX_ENTITY,$B166,AK$11,AK$14,AK$160,),""),IF($I166=2,IFBLANK(_xldudf_CX_PUSH(AK166,CX_ENTITY,$B166,AK$11,AK$14,AK$160,),""),IF($I166=3,"",IFBLANK(_xldudf_CX_PUSH(AK166,CX_ENTITY,$B166,AK$11,AK$14,AK$160,),"")))))),"")</f>
        <v/>
      </c>
      <c r="DL166" s="2445" t="str" cm="1">
        <f t="array" ca="1" aca="1" ref="DL166">IFERROR(IF(AL166*fxVal_normal=_PL!AL166,"",IF(OR(AL166="",NOT(ISNUMBER(AL166)),ISERROR(AL166),$B166=""),"",IF($I166=1,IFBLANK(_xldudf_CX_PUSH(AL166*fxVal_normal,CX_ENTITY,$B166,AL$11,AL$14,AL$160,),""),IF($I166=2,IFBLANK(_xldudf_CX_PUSH(AL166,CX_ENTITY,$B166,AL$11,AL$14,AL$160,),""),IF($I166=3,"",IFBLANK(_xldudf_CX_PUSH(AL166,CX_ENTITY,$B166,AL$11,AL$14,AL$160,),"")))))),"")</f>
        <v/>
      </c>
      <c r="DM166" s="2445" t="str" cm="1">
        <f t="array" ca="1" aca="1" ref="DM166">IFERROR(IF(AM166*fxVal_normal=_PL!AM166,"",IF(OR(AM166="",NOT(ISNUMBER(AM166)),ISERROR(AM166),$B166=""),"",IF($I166=1,IFBLANK(_xldudf_CX_PUSH(AM166*fxVal_normal,CX_ENTITY,$B166,AM$11,AM$14,AM$160,),""),IF($I166=2,IFBLANK(_xldudf_CX_PUSH(AM166,CX_ENTITY,$B166,AM$11,AM$14,AM$160,),""),IF($I166=3,"",IFBLANK(_xldudf_CX_PUSH(AM166,CX_ENTITY,$B166,AM$11,AM$14,AM$160,),"")))))),"")</f>
        <v/>
      </c>
      <c r="DN166" s="2445" t="str" cm="1">
        <f t="array" ca="1" aca="1" ref="DN166">IFERROR(IF(AN166*fxVal_normal=_PL!AN166,"",IF(OR(AN166="",NOT(ISNUMBER(AN166)),ISERROR(AN166),$B166=""),"",IF($I166=1,IFBLANK(_xldudf_CX_PUSH(AN166*fxVal_normal,CX_ENTITY,$B166,AN$11,AN$14,AN$160,),""),IF($I166=2,IFBLANK(_xldudf_CX_PUSH(AN166,CX_ENTITY,$B166,AN$11,AN$14,AN$160,),""),IF($I166=3,"",IFBLANK(_xldudf_CX_PUSH(AN166,CX_ENTITY,$B166,AN$11,AN$14,AN$160,),"")))))),"")</f>
        <v/>
      </c>
      <c r="DO166" s="2445" t="str" cm="1">
        <f t="array" ca="1" aca="1" ref="DO166">IFERROR(IF(AO166*fxVal_normal=_PL!AO166,"",IF(OR(AO166="",NOT(ISNUMBER(AO166)),ISERROR(AO166),$B166=""),"",IF($I166=1,IFBLANK(_xldudf_CX_PUSH(AO166*fxVal_normal,CX_ENTITY,$B166,AO$11,AO$14,AO$160,),""),IF($I166=2,IFBLANK(_xldudf_CX_PUSH(AO166,CX_ENTITY,$B166,AO$11,AO$14,AO$160,),""),IF($I166=3,"",IFBLANK(_xldudf_CX_PUSH(AO166,CX_ENTITY,$B166,AO$11,AO$14,AO$160,),"")))))),"")</f>
        <v/>
      </c>
      <c r="DP166" s="2445" t="str" cm="1">
        <f t="array" ca="1" aca="1" ref="DP166">IFERROR(IF(AP166*fxVal_normal=_PL!AP166,"",IF(OR(AP166="",NOT(ISNUMBER(AP166)),ISERROR(AP166),$B166=""),"",IF($I166=1,IFBLANK(_xldudf_CX_PUSH(AP166*fxVal_normal,CX_ENTITY,$B166,AP$11,AP$14,AP$160,),""),IF($I166=2,IFBLANK(_xldudf_CX_PUSH(AP166,CX_ENTITY,$B166,AP$11,AP$14,AP$160,),""),IF($I166=3,"",IFBLANK(_xldudf_CX_PUSH(AP166,CX_ENTITY,$B166,AP$11,AP$14,AP$160,),"")))))),"")</f>
        <v/>
      </c>
      <c r="DQ166" s="2445" t="str" cm="1">
        <f t="array" ca="1" aca="1" ref="DQ166">IFERROR(IF(AQ166*fxVal_normal=_PL!AQ166,"",IF(OR(AQ166="",NOT(ISNUMBER(AQ166)),ISERROR(AQ166),$B166=""),"",IF($I166=1,IFBLANK(_xldudf_CX_PUSH(AQ166*fxVal_normal,CX_ENTITY,$B166,AQ$11,AQ$14,AQ$160,),""),IF($I166=2,IFBLANK(_xldudf_CX_PUSH(AQ166,CX_ENTITY,$B166,AQ$11,AQ$14,AQ$160,),""),IF($I166=3,"",IFBLANK(_xldudf_CX_PUSH(AQ166,CX_ENTITY,$B166,AQ$11,AQ$14,AQ$160,),"")))))),"")</f>
        <v/>
      </c>
      <c r="DR166" s="2445" t="str" cm="1">
        <f t="array" ca="1" aca="1" ref="DR166">IFERROR(IF(AR166*fxVal_normal=_PL!AR166,"",IF(OR(AR166="",NOT(ISNUMBER(AR166)),ISERROR(AR166),$B166=""),"",IF($I166=1,IFBLANK(_xldudf_CX_PUSH(AR166*fxVal_normal,CX_ENTITY,$B166,AR$11,AR$14,AR$160,),""),IF($I166=2,IFBLANK(_xldudf_CX_PUSH(AR166,CX_ENTITY,$B166,AR$11,AR$14,AR$160,),""),IF($I166=3,"",IFBLANK(_xldudf_CX_PUSH(AR166,CX_ENTITY,$B166,AR$11,AR$14,AR$160,),"")))))),"")</f>
        <v/>
      </c>
      <c r="DS166" s="2445" t="str" cm="1">
        <f t="array" ca="1" aca="1" ref="DS166">IFERROR(IF(AS166*fxVal_normal=_PL!AS166,"",IF(OR(AS166="",NOT(ISNUMBER(AS166)),ISERROR(AS166),$B166=""),"",IF($I166=1,IFBLANK(_xldudf_CX_PUSH(AS166*fxVal_normal,CX_ENTITY,$B166,AS$11,AS$14,AS$160,),""),IF($I166=2,IFBLANK(_xldudf_CX_PUSH(AS166,CX_ENTITY,$B166,AS$11,AS$14,AS$160,),""),IF($I166=3,"",IFBLANK(_xldudf_CX_PUSH(AS166,CX_ENTITY,$B166,AS$11,AS$14,AS$160,),"")))))),"")</f>
        <v/>
      </c>
      <c r="DT166" s="2445" t="str" cm="1">
        <f t="array" ca="1" aca="1" ref="DT166">IFERROR(IF(AT166*fxVal_normal=_PL!AT166,"",IF(OR(AT166="",NOT(ISNUMBER(AT166)),ISERROR(AT166),$B166=""),"",IF($I166=1,IFBLANK(_xldudf_CX_PUSH(AT166*fxVal_normal,CX_ENTITY,$B166,AT$11,AT$14,AT$160,),""),IF($I166=2,IFBLANK(_xldudf_CX_PUSH(AT166,CX_ENTITY,$B166,AT$11,AT$14,AT$160,),""),IF($I166=3,"",IFBLANK(_xldudf_CX_PUSH(AT166,CX_ENTITY,$B166,AT$11,AT$14,AT$160,),"")))))),"")</f>
        <v/>
      </c>
      <c r="DU166" s="2445" t="str" cm="1">
        <f t="array" ca="1" aca="1" ref="DU166">IFERROR(IF(AU166*fxVal_normal=_PL!AU166,"",IF(OR(AU166="",NOT(ISNUMBER(AU166)),ISERROR(AU166),$B166=""),"",IF($I166=1,IFBLANK(_xldudf_CX_PUSH(AU166*fxVal_normal,CX_ENTITY,$B166,AU$11,AU$14,AU$160,),""),IF($I166=2,IFBLANK(_xldudf_CX_PUSH(AU166,CX_ENTITY,$B166,AU$11,AU$14,AU$160,),""),IF($I166=3,"",IFBLANK(_xldudf_CX_PUSH(AU166,CX_ENTITY,$B166,AU$11,AU$14,AU$160,),"")))))),"")</f>
        <v/>
      </c>
      <c r="DV166" s="2445" t="str" cm="1">
        <f t="array" ca="1" aca="1" ref="DV166">IFERROR(IF(AV166*fxVal_normal=_PL!AV166,"",IF(OR(AV166="",NOT(ISNUMBER(AV166)),ISERROR(AV166),$B166=""),"",IF($I166=1,IFBLANK(_xldudf_CX_PUSH(AV166*fxVal_normal,CX_ENTITY,$B166,AV$11,AV$14,AV$160,),""),IF($I166=2,IFBLANK(_xldudf_CX_PUSH(AV166,CX_ENTITY,$B166,AV$11,AV$14,AV$160,),""),IF($I166=3,"",IFBLANK(_xldudf_CX_PUSH(AV166,CX_ENTITY,$B166,AV$11,AV$14,AV$160,),"")))))),"")</f>
        <v/>
      </c>
      <c r="DW166" s="2445" t="str" cm="1">
        <f t="array" ca="1" aca="1" ref="DW166">IFERROR(IF(AW166*fxVal_normal=_PL!AW166,"",IF(OR(AW166="",NOT(ISNUMBER(AW166)),ISERROR(AW166),$B166=""),"",IF($I166=1,IFBLANK(_xldudf_CX_PUSH(AW166*fxVal_normal,CX_ENTITY,$B166,AW$11,AW$14,AW$160,),""),IF($I166=2,IFBLANK(_xldudf_CX_PUSH(AW166,CX_ENTITY,$B166,AW$11,AW$14,AW$160,),""),IF($I166=3,"",IFBLANK(_xldudf_CX_PUSH(AW166,CX_ENTITY,$B166,AW$11,AW$14,AW$160,),"")))))),"")</f>
        <v/>
      </c>
      <c r="DX166" s="2445" t="str" cm="1">
        <f t="array" ca="1" aca="1" ref="DX166">IFERROR(IF(AX166*fxVal_normal=_PL!AX166,"",IF(OR(AX166="",NOT(ISNUMBER(AX166)),ISERROR(AX166),$B166=""),"",IF($I166=1,IFBLANK(_xldudf_CX_PUSH(AX166*fxVal_normal,CX_ENTITY,$B166,AX$11,AX$14,AX$160,),""),IF($I166=2,IFBLANK(_xldudf_CX_PUSH(AX166,CX_ENTITY,$B166,AX$11,AX$14,AX$160,),""),IF($I166=3,"",IFBLANK(_xldudf_CX_PUSH(AX166,CX_ENTITY,$B166,AX$11,AX$14,AX$160,),"")))))),"")</f>
        <v/>
      </c>
      <c r="DY166" s="2445" t="str" cm="1">
        <f t="array" ca="1" aca="1" ref="DY166">IFERROR(IF(AY166*fxVal_normal=_PL!AY166,"",IF(OR(AY166="",NOT(ISNUMBER(AY166)),ISERROR(AY166),$B166=""),"",IF($I166=1,IFBLANK(_xldudf_CX_PUSH(AY166*fxVal_normal,CX_ENTITY,$B166,AY$11,AY$14,AY$160,),""),IF($I166=2,IFBLANK(_xldudf_CX_PUSH(AY166,CX_ENTITY,$B166,AY$11,AY$14,AY$160,),""),IF($I166=3,"",IFBLANK(_xldudf_CX_PUSH(AY166,CX_ENTITY,$B166,AY$11,AY$14,AY$160,),"")))))),"")</f>
        <v/>
      </c>
      <c r="DZ166" s="2445" t="str" cm="1">
        <f t="array" ca="1" aca="1" ref="DZ166">IFERROR(IF(AZ166*fxVal_normal=_PL!AZ166,"",IF(OR(AZ166="",NOT(ISNUMBER(AZ166)),ISERROR(AZ166),$B166=""),"",IF($I166=1,IFBLANK(_xldudf_CX_PUSH(AZ166*fxVal_normal,CX_ENTITY,$B166,AZ$11,AZ$14,AZ$160,),""),IF($I166=2,IFBLANK(_xldudf_CX_PUSH(AZ166,CX_ENTITY,$B166,AZ$11,AZ$14,AZ$160,),""),IF($I166=3,"",IFBLANK(_xldudf_CX_PUSH(AZ166,CX_ENTITY,$B166,AZ$11,AZ$14,AZ$160,),"")))))),"")</f>
        <v/>
      </c>
      <c r="EA166" s="2445" t="str" cm="1">
        <f t="array" ca="1" aca="1" ref="EA166">IFERROR(IF(BA166*fxVal_normal=_PL!BA166,"",IF(OR(BA166="",NOT(ISNUMBER(BA166)),ISERROR(BA166),$B166=""),"",IF($I166=1,IFBLANK(_xldudf_CX_PUSH(BA166*fxVal_normal,CX_ENTITY,$B166,BA$11,BA$14,BA$160,),""),IF($I166=2,IFBLANK(_xldudf_CX_PUSH(BA166,CX_ENTITY,$B166,BA$11,BA$14,BA$160,),""),IF($I166=3,"",IFBLANK(_xldudf_CX_PUSH(BA166,CX_ENTITY,$B166,BA$11,BA$14,BA$160,),"")))))),"")</f>
        <v/>
      </c>
      <c r="EB166" s="2445" t="str" cm="1">
        <f t="array" ca="1" aca="1" ref="EB166">IFERROR(IF(BB166*fxVal_normal=_PL!BB166,"",IF(OR(BB166="",NOT(ISNUMBER(BB166)),ISERROR(BB166),$B166=""),"",IF($I166=1,IFBLANK(_xldudf_CX_PUSH(BB166*fxVal_normal,CX_ENTITY,$B166,BB$11,BB$14,BB$160,),""),IF($I166=2,IFBLANK(_xldudf_CX_PUSH(BB166,CX_ENTITY,$B166,BB$11,BB$14,BB$160,),""),IF($I166=3,"",IFBLANK(_xldudf_CX_PUSH(BB166,CX_ENTITY,$B166,BB$11,BB$14,BB$160,),"")))))),"")</f>
        <v/>
      </c>
      <c r="EC166" s="2445" t="str" cm="1">
        <f t="array" ca="1" aca="1" ref="EC166">IFERROR(IF(BC166*fxVal_normal=_PL!BC166,"",IF(OR(BC166="",NOT(ISNUMBER(BC166)),ISERROR(BC166),$B166=""),"",IF($I166=1,IFBLANK(_xldudf_CX_PUSH(BC166*fxVal_normal,CX_ENTITY,$B166,BC$11,BC$14,BC$160,),""),IF($I166=2,IFBLANK(_xldudf_CX_PUSH(BC166,CX_ENTITY,$B166,BC$11,BC$14,BC$160,),""),IF($I166=3,"",IFBLANK(_xldudf_CX_PUSH(BC166,CX_ENTITY,$B166,BC$11,BC$14,BC$160,),"")))))),"")</f>
        <v/>
      </c>
      <c r="ED166" s="2445" t="str" cm="1">
        <f t="array" ca="1" aca="1" ref="ED166">IFERROR(IF(BD166*fxVal_normal=_PL!BD166,"",IF(OR(BD166="",NOT(ISNUMBER(BD166)),ISERROR(BD166),$B166=""),"",IF($I166=1,IFBLANK(_xldudf_CX_PUSH(BD166*fxVal_normal,CX_ENTITY,$B166,BD$11,BD$14,BD$160,),""),IF($I166=2,IFBLANK(_xldudf_CX_PUSH(BD166,CX_ENTITY,$B166,BD$11,BD$14,BD$160,),""),IF($I166=3,"",IFBLANK(_xldudf_CX_PUSH(BD166,CX_ENTITY,$B166,BD$11,BD$14,BD$160,),"")))))),"")</f>
        <v/>
      </c>
      <c r="EE166" s="2445" t="str" cm="1">
        <f t="array" ca="1" aca="1" ref="EE166">IFERROR(IF(BE166*fxVal_normal=_PL!BE166,"",IF(OR(BE166="",NOT(ISNUMBER(BE166)),ISERROR(BE166),$B166=""),"",IF($I166=1,IFBLANK(_xldudf_CX_PUSH(BE166*fxVal_normal,CX_ENTITY,$B166,BE$11,BE$14,BE$160,),""),IF($I166=2,IFBLANK(_xldudf_CX_PUSH(BE166,CX_ENTITY,$B166,BE$11,BE$14,BE$160,),""),IF($I166=3,"",IFBLANK(_xldudf_CX_PUSH(BE166,CX_ENTITY,$B166,BE$11,BE$14,BE$160,),"")))))),"")</f>
        <v/>
      </c>
      <c r="EF166" s="2445" t="str" cm="1">
        <f t="array" ca="1" aca="1" ref="EF166">IFERROR(IF(BF166*fxVal_normal=_PL!BF166,"",IF(OR(BF166="",NOT(ISNUMBER(BF166)),ISERROR(BF166),$B166=""),"",IF($I166=1,IFBLANK(_xldudf_CX_PUSH(BF166*fxVal_normal,CX_ENTITY,$B166,BF$11,BF$14,BF$160,),""),IF($I166=2,IFBLANK(_xldudf_CX_PUSH(BF166,CX_ENTITY,$B166,BF$11,BF$14,BF$160,),""),IF($I166=3,"",IFBLANK(_xldudf_CX_PUSH(BF166,CX_ENTITY,$B166,BF$11,BF$14,BF$160,),"")))))),"")</f>
        <v/>
      </c>
      <c r="EG166" s="2445" t="str" cm="1">
        <f t="array" ca="1" aca="1" ref="EG166">IFERROR(IF(BG166*fxVal_normal=_PL!BG166,"",IF(OR(BG166="",NOT(ISNUMBER(BG166)),ISERROR(BG166),$B166=""),"",IF($I166=1,IFBLANK(_xldudf_CX_PUSH(BG166*fxVal_normal,CX_ENTITY,$B166,BG$11,BG$14,BG$160,),""),IF($I166=2,IFBLANK(_xldudf_CX_PUSH(BG166,CX_ENTITY,$B166,BG$11,BG$14,BG$160,),""),IF($I166=3,"",IFBLANK(_xldudf_CX_PUSH(BG166,CX_ENTITY,$B166,BG$11,BG$14,BG$160,),"")))))),"")</f>
        <v/>
      </c>
      <c r="EH166" s="2445" t="str" cm="1">
        <f t="array" ca="1" aca="1" ref="EH166">IFERROR(IF(BH166*fxVal_normal=_PL!BH166,"",IF(OR(BH166="",NOT(ISNUMBER(BH166)),ISERROR(BH166),$B166=""),"",IF($I166=1,IFBLANK(_xldudf_CX_PUSH(BH166*fxVal_normal,CX_ENTITY,$B166,BH$11,BH$14,BH$160,),""),IF($I166=2,IFBLANK(_xldudf_CX_PUSH(BH166,CX_ENTITY,$B166,BH$11,BH$14,BH$160,),""),IF($I166=3,"",IFBLANK(_xldudf_CX_PUSH(BH166,CX_ENTITY,$B166,BH$11,BH$14,BH$160,),"")))))),"")</f>
        <v/>
      </c>
      <c r="EI166" s="2445" t="str" cm="1">
        <f t="array" ca="1" aca="1" ref="EI166">IFERROR(IF(BI166*fxVal_normal=_PL!BI166,"",IF(OR(BI166="",NOT(ISNUMBER(BI166)),ISERROR(BI166),$B166=""),"",IF($I166=1,IFBLANK(_xldudf_CX_PUSH(BI166*fxVal_normal,CX_ENTITY,$B166,BI$11,BI$14,BI$160,),""),IF($I166=2,IFBLANK(_xldudf_CX_PUSH(BI166,CX_ENTITY,$B166,BI$11,BI$14,BI$160,),""),IF($I166=3,"",IFBLANK(_xldudf_CX_PUSH(BI166,CX_ENTITY,$B166,BI$11,BI$14,BI$160,),"")))))),"")</f>
        <v/>
      </c>
      <c r="EJ166" s="2445" t="str" cm="1">
        <f t="array" ca="1" aca="1" ref="EJ166">IFERROR(IF(BJ166*fxVal_normal=_PL!BJ166,"",IF(OR(BJ166="",NOT(ISNUMBER(BJ166)),ISERROR(BJ166),$B166=""),"",IF($I166=1,IFBLANK(_xldudf_CX_PUSH(BJ166*fxVal_normal,CX_ENTITY,$B166,BJ$11,BJ$14,BJ$160,),""),IF($I166=2,IFBLANK(_xldudf_CX_PUSH(BJ166,CX_ENTITY,$B166,BJ$11,BJ$14,BJ$160,),""),IF($I166=3,"",IFBLANK(_xldudf_CX_PUSH(BJ166,CX_ENTITY,$B166,BJ$11,BJ$14,BJ$160,),"")))))),"")</f>
        <v/>
      </c>
      <c r="EK166" s="2445" t="str" cm="1">
        <f t="array" ca="1" aca="1" ref="EK166">IFERROR(IF(BK166*fxVal_normal=_PL!BK166,"",IF(OR(BK166="",NOT(ISNUMBER(BK166)),ISERROR(BK166),$B166=""),"",IF($I166=1,IFBLANK(_xldudf_CX_PUSH(BK166*fxVal_normal,CX_ENTITY,$B166,BK$11,BK$14,BK$160,),""),IF($I166=2,IFBLANK(_xldudf_CX_PUSH(BK166,CX_ENTITY,$B166,BK$11,BK$14,BK$160,),""),IF($I166=3,"",IFBLANK(_xldudf_CX_PUSH(BK166,CX_ENTITY,$B166,BK$11,BK$14,BK$160,),"")))))),"")</f>
        <v/>
      </c>
      <c r="EL166" s="2445" t="str" cm="1">
        <f t="array" ca="1" aca="1" ref="EL166">IFERROR(IF(BL166*fxVal_normal=_PL!BL166,"",IF(OR(BL166="",NOT(ISNUMBER(BL166)),ISERROR(BL166),$B166=""),"",IF($I166=1,IFBLANK(_xldudf_CX_PUSH(BL166*fxVal_normal,CX_ENTITY,$B166,BL$11,BL$14,BL$160,),""),IF($I166=2,IFBLANK(_xldudf_CX_PUSH(BL166,CX_ENTITY,$B166,BL$11,BL$14,BL$160,),""),IF($I166=3,"",IFBLANK(_xldudf_CX_PUSH(BL166,CX_ENTITY,$B166,BL$11,BL$14,BL$160,),"")))))),"")</f>
        <v/>
      </c>
      <c r="EM166" s="2445" t="str" cm="1">
        <f t="array" ca="1" aca="1" ref="EM166">IFERROR(IF(BM166*fxVal_normal=_PL!BM166,"",IF(OR(BM166="",NOT(ISNUMBER(BM166)),ISERROR(BM166),$B166=""),"",IF($I166=1,IFBLANK(_xldudf_CX_PUSH(BM166*fxVal_normal,CX_ENTITY,$B166,BM$11,BM$14,BM$160,),""),IF($I166=2,IFBLANK(_xldudf_CX_PUSH(BM166,CX_ENTITY,$B166,BM$11,BM$14,BM$160,),""),IF($I166=3,"",IFBLANK(_xldudf_CX_PUSH(BM166,CX_ENTITY,$B166,BM$11,BM$14,BM$160,),"")))))),"")</f>
        <v/>
      </c>
      <c r="EN166" s="2445" t="str" cm="1">
        <f t="array" ca="1" aca="1" ref="EN166">IFERROR(IF(BN166*fxVal_normal=_PL!BN166,"",IF(OR(BN166="",NOT(ISNUMBER(BN166)),ISERROR(BN166),$B166=""),"",IF($I166=1,IFBLANK(_xldudf_CX_PUSH(BN166*fxVal_normal,CX_ENTITY,$B166,BN$11,BN$14,BN$160,),""),IF($I166=2,IFBLANK(_xldudf_CX_PUSH(BN166,CX_ENTITY,$B166,BN$11,BN$14,BN$160,),""),IF($I166=3,"",IFBLANK(_xldudf_CX_PUSH(BN166,CX_ENTITY,$B166,BN$11,BN$14,BN$160,),"")))))),"")</f>
        <v/>
      </c>
    </row>
    <row r="167" spans="1:144" ht="21" customHeight="1">
      <c r="A167" s="1625"/>
      <c r="B167" s="2439" t="s">
        <v>139</v>
      </c>
      <c r="C167" s="3459" t="str" cm="1">
        <f t="array" ref="C167">IFBLANK(_PL!C167,"")</f>
        <v>Earning Metric Adjustment Type II - Label 6</v>
      </c>
      <c r="D167" s="1548" t="s">
        <v>123</v>
      </c>
      <c r="E167" s="2440" t="e" cm="1">
        <f t="array" ca="1" aca="1" ref="E16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167:$CQ167,Z167)</f>
        <v>#NAME?</v>
      </c>
      <c r="F167" s="578"/>
      <c r="G167" s="578"/>
      <c r="H167" s="510">
        <v>0</v>
      </c>
      <c r="I167" s="3302">
        <v>1</v>
      </c>
      <c r="J167" s="401" cm="1">
        <f t="array" ref="J167">IFBLANK(Z167,"")</f>
        <v>-1</v>
      </c>
      <c r="K167" s="578" t="str">
        <f t="shared" si="51"/>
        <v>No</v>
      </c>
      <c r="L167" s="37"/>
      <c r="N167" s="158"/>
      <c r="O167" s="101"/>
      <c r="P167" s="52"/>
      <c r="Q167" s="101"/>
      <c r="R167" s="101"/>
      <c r="S167" s="101"/>
      <c r="T167" s="101"/>
      <c r="U167" s="39"/>
      <c r="V167" s="37"/>
      <c r="W167" s="91" t="str">
        <f>W161</f>
        <v>Actual</v>
      </c>
      <c r="X167" s="2081" t="str">
        <f>_PL!X167</f>
        <v>a</v>
      </c>
      <c r="Y167" s="3218">
        <v>2</v>
      </c>
      <c r="Z167" s="198">
        <f>_PL!Z167</f>
        <v>-1</v>
      </c>
      <c r="AA167" s="2571"/>
      <c r="AB167" s="1128"/>
      <c r="AC167" s="914" t="str" cm="1">
        <f t="array" ca="1" aca="1" ref="AC167">_xlfn.LET(_xlpm._termname,$AB167,_xlpm._iconname,"find",_xlpm._icon,fx_getIcon(_xlpm._iconname),_xlpm._location,_xlfn.XLOOKUP(LOWER(_xlpm._termname),LOWER(tbl_acctDef[Term]),tbl_acctDef[Term]),_xlpm._hyperlink,HYPERLINK("#"&amp;CELL("address",_xlpm._location),_xlpm._icon),IFERROR(_xlpm._hyperlink,""))</f>
        <v/>
      </c>
      <c r="AD167" s="3177">
        <v>1</v>
      </c>
      <c r="AE167" s="3177">
        <v>1</v>
      </c>
      <c r="AF167" s="3177">
        <v>1</v>
      </c>
      <c r="AG167" s="3177">
        <v>1</v>
      </c>
      <c r="AH167" s="3177">
        <v>1</v>
      </c>
      <c r="AI167" s="3177">
        <v>1</v>
      </c>
      <c r="AJ167" s="3177">
        <v>1</v>
      </c>
      <c r="AK167" s="3177">
        <v>1</v>
      </c>
      <c r="AL167" s="3177">
        <v>1</v>
      </c>
      <c r="AM167" s="3177">
        <v>1</v>
      </c>
      <c r="AN167" s="3177">
        <v>1</v>
      </c>
      <c r="AO167" s="3177">
        <v>1</v>
      </c>
      <c r="AP167" s="3177">
        <v>1</v>
      </c>
      <c r="AQ167" s="3177">
        <v>1</v>
      </c>
      <c r="AR167" s="3177">
        <v>1</v>
      </c>
      <c r="AS167" s="3177">
        <v>1</v>
      </c>
      <c r="AT167" s="3177">
        <v>1</v>
      </c>
      <c r="AU167" s="3177">
        <v>1</v>
      </c>
      <c r="AV167" s="3177">
        <v>1</v>
      </c>
      <c r="AW167" s="3177">
        <v>1</v>
      </c>
      <c r="AX167" s="3177">
        <v>1</v>
      </c>
      <c r="AY167" s="3177">
        <v>1</v>
      </c>
      <c r="AZ167" s="3177">
        <v>1</v>
      </c>
      <c r="BA167" s="3177">
        <v>1</v>
      </c>
      <c r="BB167" s="3177">
        <v>1</v>
      </c>
      <c r="BC167" s="3177">
        <v>1</v>
      </c>
      <c r="BD167" s="3177">
        <v>1</v>
      </c>
      <c r="BE167" s="3177">
        <v>1</v>
      </c>
      <c r="BF167" s="3177">
        <v>1</v>
      </c>
      <c r="BG167" s="3177">
        <v>1</v>
      </c>
      <c r="BH167" s="3177">
        <v>1</v>
      </c>
      <c r="BI167" s="3177">
        <v>1</v>
      </c>
      <c r="BJ167" s="3177">
        <v>1</v>
      </c>
      <c r="BK167" s="3177">
        <v>1</v>
      </c>
      <c r="BL167" s="3177">
        <v>1</v>
      </c>
      <c r="BM167" s="3177">
        <v>1</v>
      </c>
      <c r="BN167" s="3177">
        <v>1</v>
      </c>
      <c r="BO167" s="2442"/>
      <c r="BP167" s="2442"/>
      <c r="BQ167" s="2442"/>
      <c r="BR167" s="2442"/>
      <c r="BS167" s="2442"/>
      <c r="BT167" s="2442"/>
      <c r="BU167" s="2442"/>
      <c r="BV167" s="2442"/>
      <c r="BW167" s="2442"/>
      <c r="BX167" s="2442"/>
      <c r="BY167" s="2442"/>
      <c r="BZ167" s="2442"/>
      <c r="CA167" s="34"/>
      <c r="CC167" s="2572"/>
      <c r="CD167" s="1461" t="e" cm="1">
        <f t="array" ca="1" aca="1" ref="CD167">_xlfn.LET(_xlpm.CheckBlank,SUM(PL!$AD167:$BN167)=0,IF(_xlpm.CheckBlank,"",SUM(_xlfn._xlws.FILTER(PL!$AD167:$BN167,(YEAR(PL!$AD$12:$BN$12)=PL!CD$12)*(array_timeline&lt;=PL!CD$11)))))</f>
        <v>#NAME?</v>
      </c>
      <c r="CE167" s="1461" t="e" cm="1">
        <f t="array" ca="1" aca="1" ref="CE167">_xlfn.LET(_xlpm.CheckBlank,SUM(PL!$AD167:$BN167)=0,IF(_xlpm.CheckBlank,"",SUM(_xlfn._xlws.FILTER(PL!$AD167:$BN167,(YEAR(PL!$AD$12:$BN$12)=PL!CE$12)*(array_timeline&lt;=PL!CE$11)))))</f>
        <v>#NAME?</v>
      </c>
      <c r="CF167" s="88"/>
      <c r="CG167" s="1461" t="e" cm="1">
        <f t="array" ca="1" aca="1" ref="CG167">_xlfn.LET(_xlpm.CheckBlank,SUM(PL!$AD167:$BN167)=0,IF(_xlpm.CheckBlank,"",SUM(_xlfn._xlws.FILTER(PL!$AD167:$BN167,(YEAR(PL!$AD$12:$BN$12)=PL!CG$12)*(array_timeline&lt;=PL!CG$11)))))</f>
        <v>#NAME?</v>
      </c>
      <c r="CH167" s="1461" t="e" cm="1">
        <f t="array" ca="1" aca="1" ref="CH167">_xlfn.LET(_xlpm.CheckBlank,SUM(PL!$AD167:$BN167)=0,IF(_xlpm.CheckBlank,"",SUM(_xlfn._xlws.FILTER(PL!$AD167:$BN167,(YEAR(PL!$AD$12:$BN$12)=PL!CH$12)*(array_timeline&lt;=PL!CH$11)))))</f>
        <v>#NAME?</v>
      </c>
      <c r="CI167" s="88"/>
      <c r="CJ167" s="1461" cm="1">
        <f t="array" ref="CJ167">_xlfn.LET(_xlpm.CheckBlank,SUM(PL!$AD167:$BN167)=0,IF(_xlpm.CheckBlank,"",SUM(_xlfn.TAKE(_xlfn.DROP(PL!$AD167:$BN167,,-DATEDIFF(PL!CJ$11,val_asOfDate,"M")),1,-12))))</f>
        <v>12</v>
      </c>
      <c r="CK167" s="1461" cm="1">
        <f t="array" ref="CK167">_xlfn.LET(_xlpm.CheckBlank,SUM(PL!$AD167:$BN167)=0,IF(_xlpm.CheckBlank,"",SUM(_xlfn.TAKE(_xlfn.DROP(PL!$AD167:$BN167,,-DATEDIFF(PL!CK$11,val_asOfDate,"M")),1,-12))))</f>
        <v>12</v>
      </c>
      <c r="CL167" s="88"/>
      <c r="CM167" s="3177">
        <v>1</v>
      </c>
      <c r="CN167" s="3177">
        <v>1</v>
      </c>
      <c r="CO167" s="1169"/>
      <c r="CP167" s="3177">
        <v>1</v>
      </c>
      <c r="CQ167" s="3177">
        <v>1</v>
      </c>
      <c r="CR167" s="34"/>
      <c r="CS167" s="2056"/>
      <c r="CT167" s="2447" t="e" cm="1">
        <f t="array" ca="1" aca="1" ref="CT167">IF(ISNUMBER(SEARCH("Select",$Y167)),"",_xldudf_CX_PUSH($Y167,CX_ENTITY,C167,val_asOfDate))</f>
        <v>#NAME?</v>
      </c>
      <c r="CU167" s="2447" t="e" cm="1">
        <f t="array" ca="1" aca="1" ref="CU167">IF(ISNUMBER(SEARCH("Select",$Y167)),"",_xldudf_CX_PUSH($Y167,CX_ENTITY,C167,EOMONTH(val_asOfDate,1)))</f>
        <v>#NAME?</v>
      </c>
      <c r="CV167" s="2447" t="e" cm="1">
        <f t="array" ca="1" aca="1" ref="CV167">IF(ISNUMBER(SEARCH("Select",$Y167)),"",_xldudf_CX_PUSH($Y167,CX_ENTITY,C167,EOMONTH(val_asOfDate,2)))</f>
        <v>#NAME?</v>
      </c>
      <c r="CW167" s="2447" t="e" cm="1">
        <f t="array" ca="1" aca="1" ref="CW167">IF(ISNUMBER(SEARCH("Select",$Y167)),"",_xldudf_CX_PUSH($Y167,CX_ENTITY,C167,EOMONTH(val_asOfDate,3)))</f>
        <v>#NAME?</v>
      </c>
      <c r="CX167" s="2443"/>
      <c r="CY167" s="2444" t="str" cm="1">
        <f t="array" ca="1" aca="1" ref="CY167">IFERROR(IF(CM167*fxVal_normal=_PL!CM167,"",IF(OR($CM167="",$CM167=0,NOT(ISNUMBER($CM167)),ISERROR($CM167),$B167=""),"",IF($I167=1,IFBLANK(_xldudf_CX_PUSH($CM167*fxVal_normal,CX_ENTITY,$B167,$CM$11,$CM$14,$CM$19,),""),IF($I167=2,IFBLANK(_xldudf_CX_PUSH($CM167,CX_ENTITY,$B167,$CM$11,$CM$14,$CM$19,),""),IF($I167=3,"",IFBLANK(_xldudf_CX_PUSH($CM167,CX_ENTITY,$B167,$CM$11,$CM$14,$CM$19,),"")))))),"")</f>
        <v/>
      </c>
      <c r="CZ167" s="2444" t="str" cm="1">
        <f t="array" ca="1" aca="1" ref="CZ167">IFERROR(IF(CN167*fxVal_normal=_PL!CN167,"",IF(OR($CN167="",$CN167=0,NOT(ISNUMBER($CN167)),ISERROR($CN167),$B167=""),"",IF($I167=1,IFBLANK(_xldudf_CX_PUSH($CN167*fxVal_normal,CX_ENTITY,$B167,$CN$11,$CN$14,$CN$19,),""),IF($I167=2,IFBLANK(_xldudf_CX_PUSH($CN167,CX_ENTITY,$B167,$CN$11,$CN$14,$CN$19,),""),IF($I167=3,"",IFBLANK(_xldudf_CX_PUSH($CN167,CX_ENTITY,$B167,$CN$11,$CN$14,$CN$19,),"")))))),"")</f>
        <v/>
      </c>
      <c r="DA167" s="2444" t="str" cm="1">
        <f t="array" ca="1" aca="1" ref="DA167">IFERROR(IF(CP167*fxVal_normal=_PL!CP167,"",IF(OR($CP167="",$CP167=0,NOT(ISNUMBER($CP167)),ISERROR($CP167),$B167=""),"",IF($I167=1,IFBLANK(_xldudf_CX_PUSH($CP167*fxVal_normal,CX_ENTITY,$B167,$CP$11,$CP$14,$CP$19,),""),IF($I167=2,IFBLANK(_xldudf_CX_PUSH($CP167,CX_ENTITY,$B167,$CP$11,$CP$14,$CP$19,),""),IF($I167=3,"",IFBLANK(_xldudf_CX_PUSH($CP167,CX_ENTITY,$B167,$CP$11,$CP$14,$CP$19,),"")))))),"")</f>
        <v/>
      </c>
      <c r="DB167" s="2444" t="str" cm="1">
        <f t="array" ca="1" aca="1" ref="DB167">IFERROR(IF(CQ167*fxVal_normal=_PL!CQ167,"",IF(OR($CQ167="",$CQ167=0,NOT(ISNUMBER($CQ167)),ISERROR($CQ167),$B167=""),"",IF($I167=1,IFBLANK(_xldudf_CX_PUSH($CQ167*fxVal_normal,CX_ENTITY,$B167,$CQ$11,$CQ$14,$CQ$19,),""),IF($I167=2,IFBLANK(_xldudf_CX_PUSH($CQ167,CX_ENTITY,$B167,$CQ$11,$CQ$14,$CQ$19,),""),IF($I167=3,"",IFBLANK(_xldudf_CX_PUSH($CQ167,CX_ENTITY,$B167,$CQ$11,$CQ$14,$CQ$19,),"")))))),"")</f>
        <v/>
      </c>
      <c r="DC167" s="2443"/>
      <c r="DD167" s="2445" t="str" cm="1">
        <f t="array" ca="1" aca="1" ref="DD167">IFERROR(IF(AD167*fxVal_normal=_PL!AD167,"",IF(OR(AD167="",NOT(ISNUMBER(AD167)),ISERROR(AD167),$B167=""),"",IF($I167=1,IFBLANK(_xldudf_CX_PUSH(AD167*fxVal_normal,CX_ENTITY,$B167,AD$11,AD$14,AD$160,),""),IF($I167=2,IFBLANK(_xldudf_CX_PUSH(AD167,CX_ENTITY,$B167,AD$11,AD$14,AD$160,),""),IF($I167=3,"",IFBLANK(_xldudf_CX_PUSH(AD167,CX_ENTITY,$B167,AD$11,AD$14,AD$160,),"")))))),"")</f>
        <v/>
      </c>
      <c r="DE167" s="2445" t="str" cm="1">
        <f t="array" ca="1" aca="1" ref="DE167">IFERROR(IF(AE167*fxVal_normal=_PL!AE167,"",IF(OR(AE167="",NOT(ISNUMBER(AE167)),ISERROR(AE167),$B167=""),"",IF($I167=1,IFBLANK(_xldudf_CX_PUSH(AE167*fxVal_normal,CX_ENTITY,$B167,AE$11,AE$14,AE$160,),""),IF($I167=2,IFBLANK(_xldudf_CX_PUSH(AE167,CX_ENTITY,$B167,AE$11,AE$14,AE$160,),""),IF($I167=3,"",IFBLANK(_xldudf_CX_PUSH(AE167,CX_ENTITY,$B167,AE$11,AE$14,AE$160,),"")))))),"")</f>
        <v/>
      </c>
      <c r="DF167" s="2445" t="str" cm="1">
        <f t="array" ca="1" aca="1" ref="DF167">IFERROR(IF(AF167*fxVal_normal=_PL!AF167,"",IF(OR(AF167="",NOT(ISNUMBER(AF167)),ISERROR(AF167),$B167=""),"",IF($I167=1,IFBLANK(_xldudf_CX_PUSH(AF167*fxVal_normal,CX_ENTITY,$B167,AF$11,AF$14,AF$160,),""),IF($I167=2,IFBLANK(_xldudf_CX_PUSH(AF167,CX_ENTITY,$B167,AF$11,AF$14,AF$160,),""),IF($I167=3,"",IFBLANK(_xldudf_CX_PUSH(AF167,CX_ENTITY,$B167,AF$11,AF$14,AF$160,),"")))))),"")</f>
        <v/>
      </c>
      <c r="DG167" s="2445" t="str" cm="1">
        <f t="array" ca="1" aca="1" ref="DG167">IFERROR(IF(AG167*fxVal_normal=_PL!AG167,"",IF(OR(AG167="",NOT(ISNUMBER(AG167)),ISERROR(AG167),$B167=""),"",IF($I167=1,IFBLANK(_xldudf_CX_PUSH(AG167*fxVal_normal,CX_ENTITY,$B167,AG$11,AG$14,AG$160,),""),IF($I167=2,IFBLANK(_xldudf_CX_PUSH(AG167,CX_ENTITY,$B167,AG$11,AG$14,AG$160,),""),IF($I167=3,"",IFBLANK(_xldudf_CX_PUSH(AG167,CX_ENTITY,$B167,AG$11,AG$14,AG$160,),"")))))),"")</f>
        <v/>
      </c>
      <c r="DH167" s="2445" t="str" cm="1">
        <f t="array" ca="1" aca="1" ref="DH167">IFERROR(IF(AH167*fxVal_normal=_PL!AH167,"",IF(OR(AH167="",NOT(ISNUMBER(AH167)),ISERROR(AH167),$B167=""),"",IF($I167=1,IFBLANK(_xldudf_CX_PUSH(AH167*fxVal_normal,CX_ENTITY,$B167,AH$11,AH$14,AH$160,),""),IF($I167=2,IFBLANK(_xldudf_CX_PUSH(AH167,CX_ENTITY,$B167,AH$11,AH$14,AH$160,),""),IF($I167=3,"",IFBLANK(_xldudf_CX_PUSH(AH167,CX_ENTITY,$B167,AH$11,AH$14,AH$160,),"")))))),"")</f>
        <v/>
      </c>
      <c r="DI167" s="2445" t="str" cm="1">
        <f t="array" ca="1" aca="1" ref="DI167">IFERROR(IF(AI167*fxVal_normal=_PL!AI167,"",IF(OR(AI167="",NOT(ISNUMBER(AI167)),ISERROR(AI167),$B167=""),"",IF($I167=1,IFBLANK(_xldudf_CX_PUSH(AI167*fxVal_normal,CX_ENTITY,$B167,AI$11,AI$14,AI$160,),""),IF($I167=2,IFBLANK(_xldudf_CX_PUSH(AI167,CX_ENTITY,$B167,AI$11,AI$14,AI$160,),""),IF($I167=3,"",IFBLANK(_xldudf_CX_PUSH(AI167,CX_ENTITY,$B167,AI$11,AI$14,AI$160,),"")))))),"")</f>
        <v/>
      </c>
      <c r="DJ167" s="2445" t="str" cm="1">
        <f t="array" ca="1" aca="1" ref="DJ167">IFERROR(IF(AJ167*fxVal_normal=_PL!AJ167,"",IF(OR(AJ167="",NOT(ISNUMBER(AJ167)),ISERROR(AJ167),$B167=""),"",IF($I167=1,IFBLANK(_xldudf_CX_PUSH(AJ167*fxVal_normal,CX_ENTITY,$B167,AJ$11,AJ$14,AJ$160,),""),IF($I167=2,IFBLANK(_xldudf_CX_PUSH(AJ167,CX_ENTITY,$B167,AJ$11,AJ$14,AJ$160,),""),IF($I167=3,"",IFBLANK(_xldudf_CX_PUSH(AJ167,CX_ENTITY,$B167,AJ$11,AJ$14,AJ$160,),"")))))),"")</f>
        <v/>
      </c>
      <c r="DK167" s="2445" t="str" cm="1">
        <f t="array" ca="1" aca="1" ref="DK167">IFERROR(IF(AK167*fxVal_normal=_PL!AK167,"",IF(OR(AK167="",NOT(ISNUMBER(AK167)),ISERROR(AK167),$B167=""),"",IF($I167=1,IFBLANK(_xldudf_CX_PUSH(AK167*fxVal_normal,CX_ENTITY,$B167,AK$11,AK$14,AK$160,),""),IF($I167=2,IFBLANK(_xldudf_CX_PUSH(AK167,CX_ENTITY,$B167,AK$11,AK$14,AK$160,),""),IF($I167=3,"",IFBLANK(_xldudf_CX_PUSH(AK167,CX_ENTITY,$B167,AK$11,AK$14,AK$160,),"")))))),"")</f>
        <v/>
      </c>
      <c r="DL167" s="2445" t="str" cm="1">
        <f t="array" ca="1" aca="1" ref="DL167">IFERROR(IF(AL167*fxVal_normal=_PL!AL167,"",IF(OR(AL167="",NOT(ISNUMBER(AL167)),ISERROR(AL167),$B167=""),"",IF($I167=1,IFBLANK(_xldudf_CX_PUSH(AL167*fxVal_normal,CX_ENTITY,$B167,AL$11,AL$14,AL$160,),""),IF($I167=2,IFBLANK(_xldudf_CX_PUSH(AL167,CX_ENTITY,$B167,AL$11,AL$14,AL$160,),""),IF($I167=3,"",IFBLANK(_xldudf_CX_PUSH(AL167,CX_ENTITY,$B167,AL$11,AL$14,AL$160,),"")))))),"")</f>
        <v/>
      </c>
      <c r="DM167" s="2445" t="str" cm="1">
        <f t="array" ca="1" aca="1" ref="DM167">IFERROR(IF(AM167*fxVal_normal=_PL!AM167,"",IF(OR(AM167="",NOT(ISNUMBER(AM167)),ISERROR(AM167),$B167=""),"",IF($I167=1,IFBLANK(_xldudf_CX_PUSH(AM167*fxVal_normal,CX_ENTITY,$B167,AM$11,AM$14,AM$160,),""),IF($I167=2,IFBLANK(_xldudf_CX_PUSH(AM167,CX_ENTITY,$B167,AM$11,AM$14,AM$160,),""),IF($I167=3,"",IFBLANK(_xldudf_CX_PUSH(AM167,CX_ENTITY,$B167,AM$11,AM$14,AM$160,),"")))))),"")</f>
        <v/>
      </c>
      <c r="DN167" s="2445" t="str" cm="1">
        <f t="array" ca="1" aca="1" ref="DN167">IFERROR(IF(AN167*fxVal_normal=_PL!AN167,"",IF(OR(AN167="",NOT(ISNUMBER(AN167)),ISERROR(AN167),$B167=""),"",IF($I167=1,IFBLANK(_xldudf_CX_PUSH(AN167*fxVal_normal,CX_ENTITY,$B167,AN$11,AN$14,AN$160,),""),IF($I167=2,IFBLANK(_xldudf_CX_PUSH(AN167,CX_ENTITY,$B167,AN$11,AN$14,AN$160,),""),IF($I167=3,"",IFBLANK(_xldudf_CX_PUSH(AN167,CX_ENTITY,$B167,AN$11,AN$14,AN$160,),"")))))),"")</f>
        <v/>
      </c>
      <c r="DO167" s="2445" t="str" cm="1">
        <f t="array" ca="1" aca="1" ref="DO167">IFERROR(IF(AO167*fxVal_normal=_PL!AO167,"",IF(OR(AO167="",NOT(ISNUMBER(AO167)),ISERROR(AO167),$B167=""),"",IF($I167=1,IFBLANK(_xldudf_CX_PUSH(AO167*fxVal_normal,CX_ENTITY,$B167,AO$11,AO$14,AO$160,),""),IF($I167=2,IFBLANK(_xldudf_CX_PUSH(AO167,CX_ENTITY,$B167,AO$11,AO$14,AO$160,),""),IF($I167=3,"",IFBLANK(_xldudf_CX_PUSH(AO167,CX_ENTITY,$B167,AO$11,AO$14,AO$160,),"")))))),"")</f>
        <v/>
      </c>
      <c r="DP167" s="2445" t="str" cm="1">
        <f t="array" ca="1" aca="1" ref="DP167">IFERROR(IF(AP167*fxVal_normal=_PL!AP167,"",IF(OR(AP167="",NOT(ISNUMBER(AP167)),ISERROR(AP167),$B167=""),"",IF($I167=1,IFBLANK(_xldudf_CX_PUSH(AP167*fxVal_normal,CX_ENTITY,$B167,AP$11,AP$14,AP$160,),""),IF($I167=2,IFBLANK(_xldudf_CX_PUSH(AP167,CX_ENTITY,$B167,AP$11,AP$14,AP$160,),""),IF($I167=3,"",IFBLANK(_xldudf_CX_PUSH(AP167,CX_ENTITY,$B167,AP$11,AP$14,AP$160,),"")))))),"")</f>
        <v/>
      </c>
      <c r="DQ167" s="2445" t="str" cm="1">
        <f t="array" ca="1" aca="1" ref="DQ167">IFERROR(IF(AQ167*fxVal_normal=_PL!AQ167,"",IF(OR(AQ167="",NOT(ISNUMBER(AQ167)),ISERROR(AQ167),$B167=""),"",IF($I167=1,IFBLANK(_xldudf_CX_PUSH(AQ167*fxVal_normal,CX_ENTITY,$B167,AQ$11,AQ$14,AQ$160,),""),IF($I167=2,IFBLANK(_xldudf_CX_PUSH(AQ167,CX_ENTITY,$B167,AQ$11,AQ$14,AQ$160,),""),IF($I167=3,"",IFBLANK(_xldudf_CX_PUSH(AQ167,CX_ENTITY,$B167,AQ$11,AQ$14,AQ$160,),"")))))),"")</f>
        <v/>
      </c>
      <c r="DR167" s="2445" t="str" cm="1">
        <f t="array" ca="1" aca="1" ref="DR167">IFERROR(IF(AR167*fxVal_normal=_PL!AR167,"",IF(OR(AR167="",NOT(ISNUMBER(AR167)),ISERROR(AR167),$B167=""),"",IF($I167=1,IFBLANK(_xldudf_CX_PUSH(AR167*fxVal_normal,CX_ENTITY,$B167,AR$11,AR$14,AR$160,),""),IF($I167=2,IFBLANK(_xldudf_CX_PUSH(AR167,CX_ENTITY,$B167,AR$11,AR$14,AR$160,),""),IF($I167=3,"",IFBLANK(_xldudf_CX_PUSH(AR167,CX_ENTITY,$B167,AR$11,AR$14,AR$160,),"")))))),"")</f>
        <v/>
      </c>
      <c r="DS167" s="2445" t="str" cm="1">
        <f t="array" ca="1" aca="1" ref="DS167">IFERROR(IF(AS167*fxVal_normal=_PL!AS167,"",IF(OR(AS167="",NOT(ISNUMBER(AS167)),ISERROR(AS167),$B167=""),"",IF($I167=1,IFBLANK(_xldudf_CX_PUSH(AS167*fxVal_normal,CX_ENTITY,$B167,AS$11,AS$14,AS$160,),""),IF($I167=2,IFBLANK(_xldudf_CX_PUSH(AS167,CX_ENTITY,$B167,AS$11,AS$14,AS$160,),""),IF($I167=3,"",IFBLANK(_xldudf_CX_PUSH(AS167,CX_ENTITY,$B167,AS$11,AS$14,AS$160,),"")))))),"")</f>
        <v/>
      </c>
      <c r="DT167" s="2445" t="str" cm="1">
        <f t="array" ca="1" aca="1" ref="DT167">IFERROR(IF(AT167*fxVal_normal=_PL!AT167,"",IF(OR(AT167="",NOT(ISNUMBER(AT167)),ISERROR(AT167),$B167=""),"",IF($I167=1,IFBLANK(_xldudf_CX_PUSH(AT167*fxVal_normal,CX_ENTITY,$B167,AT$11,AT$14,AT$160,),""),IF($I167=2,IFBLANK(_xldudf_CX_PUSH(AT167,CX_ENTITY,$B167,AT$11,AT$14,AT$160,),""),IF($I167=3,"",IFBLANK(_xldudf_CX_PUSH(AT167,CX_ENTITY,$B167,AT$11,AT$14,AT$160,),"")))))),"")</f>
        <v/>
      </c>
      <c r="DU167" s="2445" t="str" cm="1">
        <f t="array" ca="1" aca="1" ref="DU167">IFERROR(IF(AU167*fxVal_normal=_PL!AU167,"",IF(OR(AU167="",NOT(ISNUMBER(AU167)),ISERROR(AU167),$B167=""),"",IF($I167=1,IFBLANK(_xldudf_CX_PUSH(AU167*fxVal_normal,CX_ENTITY,$B167,AU$11,AU$14,AU$160,),""),IF($I167=2,IFBLANK(_xldudf_CX_PUSH(AU167,CX_ENTITY,$B167,AU$11,AU$14,AU$160,),""),IF($I167=3,"",IFBLANK(_xldudf_CX_PUSH(AU167,CX_ENTITY,$B167,AU$11,AU$14,AU$160,),"")))))),"")</f>
        <v/>
      </c>
      <c r="DV167" s="2445" t="str" cm="1">
        <f t="array" ca="1" aca="1" ref="DV167">IFERROR(IF(AV167*fxVal_normal=_PL!AV167,"",IF(OR(AV167="",NOT(ISNUMBER(AV167)),ISERROR(AV167),$B167=""),"",IF($I167=1,IFBLANK(_xldudf_CX_PUSH(AV167*fxVal_normal,CX_ENTITY,$B167,AV$11,AV$14,AV$160,),""),IF($I167=2,IFBLANK(_xldudf_CX_PUSH(AV167,CX_ENTITY,$B167,AV$11,AV$14,AV$160,),""),IF($I167=3,"",IFBLANK(_xldudf_CX_PUSH(AV167,CX_ENTITY,$B167,AV$11,AV$14,AV$160,),"")))))),"")</f>
        <v/>
      </c>
      <c r="DW167" s="2445" t="str" cm="1">
        <f t="array" ca="1" aca="1" ref="DW167">IFERROR(IF(AW167*fxVal_normal=_PL!AW167,"",IF(OR(AW167="",NOT(ISNUMBER(AW167)),ISERROR(AW167),$B167=""),"",IF($I167=1,IFBLANK(_xldudf_CX_PUSH(AW167*fxVal_normal,CX_ENTITY,$B167,AW$11,AW$14,AW$160,),""),IF($I167=2,IFBLANK(_xldudf_CX_PUSH(AW167,CX_ENTITY,$B167,AW$11,AW$14,AW$160,),""),IF($I167=3,"",IFBLANK(_xldudf_CX_PUSH(AW167,CX_ENTITY,$B167,AW$11,AW$14,AW$160,),"")))))),"")</f>
        <v/>
      </c>
      <c r="DX167" s="2445" t="str" cm="1">
        <f t="array" ca="1" aca="1" ref="DX167">IFERROR(IF(AX167*fxVal_normal=_PL!AX167,"",IF(OR(AX167="",NOT(ISNUMBER(AX167)),ISERROR(AX167),$B167=""),"",IF($I167=1,IFBLANK(_xldudf_CX_PUSH(AX167*fxVal_normal,CX_ENTITY,$B167,AX$11,AX$14,AX$160,),""),IF($I167=2,IFBLANK(_xldudf_CX_PUSH(AX167,CX_ENTITY,$B167,AX$11,AX$14,AX$160,),""),IF($I167=3,"",IFBLANK(_xldudf_CX_PUSH(AX167,CX_ENTITY,$B167,AX$11,AX$14,AX$160,),"")))))),"")</f>
        <v/>
      </c>
      <c r="DY167" s="2445" t="str" cm="1">
        <f t="array" ca="1" aca="1" ref="DY167">IFERROR(IF(AY167*fxVal_normal=_PL!AY167,"",IF(OR(AY167="",NOT(ISNUMBER(AY167)),ISERROR(AY167),$B167=""),"",IF($I167=1,IFBLANK(_xldudf_CX_PUSH(AY167*fxVal_normal,CX_ENTITY,$B167,AY$11,AY$14,AY$160,),""),IF($I167=2,IFBLANK(_xldudf_CX_PUSH(AY167,CX_ENTITY,$B167,AY$11,AY$14,AY$160,),""),IF($I167=3,"",IFBLANK(_xldudf_CX_PUSH(AY167,CX_ENTITY,$B167,AY$11,AY$14,AY$160,),"")))))),"")</f>
        <v/>
      </c>
      <c r="DZ167" s="2445" t="str" cm="1">
        <f t="array" ca="1" aca="1" ref="DZ167">IFERROR(IF(AZ167*fxVal_normal=_PL!AZ167,"",IF(OR(AZ167="",NOT(ISNUMBER(AZ167)),ISERROR(AZ167),$B167=""),"",IF($I167=1,IFBLANK(_xldudf_CX_PUSH(AZ167*fxVal_normal,CX_ENTITY,$B167,AZ$11,AZ$14,AZ$160,),""),IF($I167=2,IFBLANK(_xldudf_CX_PUSH(AZ167,CX_ENTITY,$B167,AZ$11,AZ$14,AZ$160,),""),IF($I167=3,"",IFBLANK(_xldudf_CX_PUSH(AZ167,CX_ENTITY,$B167,AZ$11,AZ$14,AZ$160,),"")))))),"")</f>
        <v/>
      </c>
      <c r="EA167" s="2445" t="str" cm="1">
        <f t="array" ca="1" aca="1" ref="EA167">IFERROR(IF(BA167*fxVal_normal=_PL!BA167,"",IF(OR(BA167="",NOT(ISNUMBER(BA167)),ISERROR(BA167),$B167=""),"",IF($I167=1,IFBLANK(_xldudf_CX_PUSH(BA167*fxVal_normal,CX_ENTITY,$B167,BA$11,BA$14,BA$160,),""),IF($I167=2,IFBLANK(_xldudf_CX_PUSH(BA167,CX_ENTITY,$B167,BA$11,BA$14,BA$160,),""),IF($I167=3,"",IFBLANK(_xldudf_CX_PUSH(BA167,CX_ENTITY,$B167,BA$11,BA$14,BA$160,),"")))))),"")</f>
        <v/>
      </c>
      <c r="EB167" s="2445" t="str" cm="1">
        <f t="array" ca="1" aca="1" ref="EB167">IFERROR(IF(BB167*fxVal_normal=_PL!BB167,"",IF(OR(BB167="",NOT(ISNUMBER(BB167)),ISERROR(BB167),$B167=""),"",IF($I167=1,IFBLANK(_xldudf_CX_PUSH(BB167*fxVal_normal,CX_ENTITY,$B167,BB$11,BB$14,BB$160,),""),IF($I167=2,IFBLANK(_xldudf_CX_PUSH(BB167,CX_ENTITY,$B167,BB$11,BB$14,BB$160,),""),IF($I167=3,"",IFBLANK(_xldudf_CX_PUSH(BB167,CX_ENTITY,$B167,BB$11,BB$14,BB$160,),"")))))),"")</f>
        <v/>
      </c>
      <c r="EC167" s="2445" t="str" cm="1">
        <f t="array" ca="1" aca="1" ref="EC167">IFERROR(IF(BC167*fxVal_normal=_PL!BC167,"",IF(OR(BC167="",NOT(ISNUMBER(BC167)),ISERROR(BC167),$B167=""),"",IF($I167=1,IFBLANK(_xldudf_CX_PUSH(BC167*fxVal_normal,CX_ENTITY,$B167,BC$11,BC$14,BC$160,),""),IF($I167=2,IFBLANK(_xldudf_CX_PUSH(BC167,CX_ENTITY,$B167,BC$11,BC$14,BC$160,),""),IF($I167=3,"",IFBLANK(_xldudf_CX_PUSH(BC167,CX_ENTITY,$B167,BC$11,BC$14,BC$160,),"")))))),"")</f>
        <v/>
      </c>
      <c r="ED167" s="2445" t="str" cm="1">
        <f t="array" ca="1" aca="1" ref="ED167">IFERROR(IF(BD167*fxVal_normal=_PL!BD167,"",IF(OR(BD167="",NOT(ISNUMBER(BD167)),ISERROR(BD167),$B167=""),"",IF($I167=1,IFBLANK(_xldudf_CX_PUSH(BD167*fxVal_normal,CX_ENTITY,$B167,BD$11,BD$14,BD$160,),""),IF($I167=2,IFBLANK(_xldudf_CX_PUSH(BD167,CX_ENTITY,$B167,BD$11,BD$14,BD$160,),""),IF($I167=3,"",IFBLANK(_xldudf_CX_PUSH(BD167,CX_ENTITY,$B167,BD$11,BD$14,BD$160,),"")))))),"")</f>
        <v/>
      </c>
      <c r="EE167" s="2445" t="str" cm="1">
        <f t="array" ca="1" aca="1" ref="EE167">IFERROR(IF(BE167*fxVal_normal=_PL!BE167,"",IF(OR(BE167="",NOT(ISNUMBER(BE167)),ISERROR(BE167),$B167=""),"",IF($I167=1,IFBLANK(_xldudf_CX_PUSH(BE167*fxVal_normal,CX_ENTITY,$B167,BE$11,BE$14,BE$160,),""),IF($I167=2,IFBLANK(_xldudf_CX_PUSH(BE167,CX_ENTITY,$B167,BE$11,BE$14,BE$160,),""),IF($I167=3,"",IFBLANK(_xldudf_CX_PUSH(BE167,CX_ENTITY,$B167,BE$11,BE$14,BE$160,),"")))))),"")</f>
        <v/>
      </c>
      <c r="EF167" s="2445" t="str" cm="1">
        <f t="array" ca="1" aca="1" ref="EF167">IFERROR(IF(BF167*fxVal_normal=_PL!BF167,"",IF(OR(BF167="",NOT(ISNUMBER(BF167)),ISERROR(BF167),$B167=""),"",IF($I167=1,IFBLANK(_xldudf_CX_PUSH(BF167*fxVal_normal,CX_ENTITY,$B167,BF$11,BF$14,BF$160,),""),IF($I167=2,IFBLANK(_xldudf_CX_PUSH(BF167,CX_ENTITY,$B167,BF$11,BF$14,BF$160,),""),IF($I167=3,"",IFBLANK(_xldudf_CX_PUSH(BF167,CX_ENTITY,$B167,BF$11,BF$14,BF$160,),"")))))),"")</f>
        <v/>
      </c>
      <c r="EG167" s="2445" t="str" cm="1">
        <f t="array" ca="1" aca="1" ref="EG167">IFERROR(IF(BG167*fxVal_normal=_PL!BG167,"",IF(OR(BG167="",NOT(ISNUMBER(BG167)),ISERROR(BG167),$B167=""),"",IF($I167=1,IFBLANK(_xldudf_CX_PUSH(BG167*fxVal_normal,CX_ENTITY,$B167,BG$11,BG$14,BG$160,),""),IF($I167=2,IFBLANK(_xldudf_CX_PUSH(BG167,CX_ENTITY,$B167,BG$11,BG$14,BG$160,),""),IF($I167=3,"",IFBLANK(_xldudf_CX_PUSH(BG167,CX_ENTITY,$B167,BG$11,BG$14,BG$160,),"")))))),"")</f>
        <v/>
      </c>
      <c r="EH167" s="2445" t="str" cm="1">
        <f t="array" ca="1" aca="1" ref="EH167">IFERROR(IF(BH167*fxVal_normal=_PL!BH167,"",IF(OR(BH167="",NOT(ISNUMBER(BH167)),ISERROR(BH167),$B167=""),"",IF($I167=1,IFBLANK(_xldudf_CX_PUSH(BH167*fxVal_normal,CX_ENTITY,$B167,BH$11,BH$14,BH$160,),""),IF($I167=2,IFBLANK(_xldudf_CX_PUSH(BH167,CX_ENTITY,$B167,BH$11,BH$14,BH$160,),""),IF($I167=3,"",IFBLANK(_xldudf_CX_PUSH(BH167,CX_ENTITY,$B167,BH$11,BH$14,BH$160,),"")))))),"")</f>
        <v/>
      </c>
      <c r="EI167" s="2445" t="str" cm="1">
        <f t="array" ca="1" aca="1" ref="EI167">IFERROR(IF(BI167*fxVal_normal=_PL!BI167,"",IF(OR(BI167="",NOT(ISNUMBER(BI167)),ISERROR(BI167),$B167=""),"",IF($I167=1,IFBLANK(_xldudf_CX_PUSH(BI167*fxVal_normal,CX_ENTITY,$B167,BI$11,BI$14,BI$160,),""),IF($I167=2,IFBLANK(_xldudf_CX_PUSH(BI167,CX_ENTITY,$B167,BI$11,BI$14,BI$160,),""),IF($I167=3,"",IFBLANK(_xldudf_CX_PUSH(BI167,CX_ENTITY,$B167,BI$11,BI$14,BI$160,),"")))))),"")</f>
        <v/>
      </c>
      <c r="EJ167" s="2445" t="str" cm="1">
        <f t="array" ca="1" aca="1" ref="EJ167">IFERROR(IF(BJ167*fxVal_normal=_PL!BJ167,"",IF(OR(BJ167="",NOT(ISNUMBER(BJ167)),ISERROR(BJ167),$B167=""),"",IF($I167=1,IFBLANK(_xldudf_CX_PUSH(BJ167*fxVal_normal,CX_ENTITY,$B167,BJ$11,BJ$14,BJ$160,),""),IF($I167=2,IFBLANK(_xldudf_CX_PUSH(BJ167,CX_ENTITY,$B167,BJ$11,BJ$14,BJ$160,),""),IF($I167=3,"",IFBLANK(_xldudf_CX_PUSH(BJ167,CX_ENTITY,$B167,BJ$11,BJ$14,BJ$160,),"")))))),"")</f>
        <v/>
      </c>
      <c r="EK167" s="2445" t="str" cm="1">
        <f t="array" ca="1" aca="1" ref="EK167">IFERROR(IF(BK167*fxVal_normal=_PL!BK167,"",IF(OR(BK167="",NOT(ISNUMBER(BK167)),ISERROR(BK167),$B167=""),"",IF($I167=1,IFBLANK(_xldudf_CX_PUSH(BK167*fxVal_normal,CX_ENTITY,$B167,BK$11,BK$14,BK$160,),""),IF($I167=2,IFBLANK(_xldudf_CX_PUSH(BK167,CX_ENTITY,$B167,BK$11,BK$14,BK$160,),""),IF($I167=3,"",IFBLANK(_xldudf_CX_PUSH(BK167,CX_ENTITY,$B167,BK$11,BK$14,BK$160,),"")))))),"")</f>
        <v/>
      </c>
      <c r="EL167" s="2445" t="str" cm="1">
        <f t="array" ca="1" aca="1" ref="EL167">IFERROR(IF(BL167*fxVal_normal=_PL!BL167,"",IF(OR(BL167="",NOT(ISNUMBER(BL167)),ISERROR(BL167),$B167=""),"",IF($I167=1,IFBLANK(_xldudf_CX_PUSH(BL167*fxVal_normal,CX_ENTITY,$B167,BL$11,BL$14,BL$160,),""),IF($I167=2,IFBLANK(_xldudf_CX_PUSH(BL167,CX_ENTITY,$B167,BL$11,BL$14,BL$160,),""),IF($I167=3,"",IFBLANK(_xldudf_CX_PUSH(BL167,CX_ENTITY,$B167,BL$11,BL$14,BL$160,),"")))))),"")</f>
        <v/>
      </c>
      <c r="EM167" s="2445" t="str" cm="1">
        <f t="array" ca="1" aca="1" ref="EM167">IFERROR(IF(BM167*fxVal_normal=_PL!BM167,"",IF(OR(BM167="",NOT(ISNUMBER(BM167)),ISERROR(BM167),$B167=""),"",IF($I167=1,IFBLANK(_xldudf_CX_PUSH(BM167*fxVal_normal,CX_ENTITY,$B167,BM$11,BM$14,BM$160,),""),IF($I167=2,IFBLANK(_xldudf_CX_PUSH(BM167,CX_ENTITY,$B167,BM$11,BM$14,BM$160,),""),IF($I167=3,"",IFBLANK(_xldudf_CX_PUSH(BM167,CX_ENTITY,$B167,BM$11,BM$14,BM$160,),"")))))),"")</f>
        <v/>
      </c>
      <c r="EN167" s="2445" t="str" cm="1">
        <f t="array" ca="1" aca="1" ref="EN167">IFERROR(IF(BN167*fxVal_normal=_PL!BN167,"",IF(OR(BN167="",NOT(ISNUMBER(BN167)),ISERROR(BN167),$B167=""),"",IF($I167=1,IFBLANK(_xldudf_CX_PUSH(BN167*fxVal_normal,CX_ENTITY,$B167,BN$11,BN$14,BN$160,),""),IF($I167=2,IFBLANK(_xldudf_CX_PUSH(BN167,CX_ENTITY,$B167,BN$11,BN$14,BN$160,),""),IF($I167=3,"",IFBLANK(_xldudf_CX_PUSH(BN167,CX_ENTITY,$B167,BN$11,BN$14,BN$160,),"")))))),"")</f>
        <v/>
      </c>
    </row>
    <row r="168" spans="1:156" ht="21" customHeight="1">
      <c r="A168" s="2449" t="s">
        <v>22</v>
      </c>
      <c r="B168" s="2439" t="s">
        <v>140</v>
      </c>
      <c r="C168" s="2439" t="str" cm="1">
        <f t="array" ref="C168">IFBLANK(_PL!C168,"")</f>
        <v>Adjusted Earning Label</v>
      </c>
      <c r="D168" s="1548" t="s">
        <v>141</v>
      </c>
      <c r="E168" s="2440" t="e" cm="1">
        <f t="array" ca="1" aca="1" ref="E16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168:$CQ168,Z168)</f>
        <v>#NAME?</v>
      </c>
      <c r="F168" s="578"/>
      <c r="G168" s="576"/>
      <c r="H168" s="3297">
        <v>2</v>
      </c>
      <c r="I168" s="3295">
        <v>1</v>
      </c>
      <c r="J168" s="401" cm="1">
        <f t="array" ref="J168">IFBLANK(Z168,"")</f>
        <v>0</v>
      </c>
      <c r="K168" s="578" t="str">
        <f t="shared" si="51"/>
        <v>Yes</v>
      </c>
      <c r="L168" s="37"/>
      <c r="N168" s="158"/>
      <c r="O168" s="101"/>
      <c r="P168" s="52"/>
      <c r="Q168" s="101"/>
      <c r="R168" s="101"/>
      <c r="S168" s="101"/>
      <c r="T168" s="101"/>
      <c r="U168" s="39"/>
      <c r="V168" s="37"/>
      <c r="W168" s="268" t="str">
        <f>W161</f>
        <v>Actual</v>
      </c>
      <c r="X168" s="2452">
        <f>_PL!X168</f>
        <v>0</v>
      </c>
      <c r="Y168" s="2583" t="e">
        <f ca="1">_PL!Y168</f>
        <v>#NAME?</v>
      </c>
      <c r="Z168" s="538">
        <f>_PL!Z168</f>
        <v>0</v>
      </c>
      <c r="AA168" s="787"/>
      <c r="AB168" s="1133" t="s">
        <v>142</v>
      </c>
      <c r="AC168" s="1163" t="str" cm="1">
        <f t="array" ca="1" aca="1" ref="AC168">_xlfn.LET(_xlpm._termname,$AB168,_xlpm._iconname,"find",_xlpm._icon,fx_getIcon(_xlpm._iconname),_xlpm._location,_xlfn.XLOOKUP(LOWER(_xlpm._termname),LOWER(tbl_acctDef[Term]),tbl_acctDef[Term]),_xlpm._hyperlink,HYPERLINK("#"&amp;CELL("address",_xlpm._location),_xlpm._icon),IFERROR(_xlpm._hyperlink,""))</f>
        <v/>
      </c>
      <c r="AD168" s="2376" cm="1">
        <f t="array" ref="AD168:BN168">IF(ISNUMBER(AD161),_xlfn.BYCOL(_xlfn.VSTACK(AD161:BN161,AD162:BN167),_xleta.SUM),"")</f>
        <v>5</v>
      </c>
      <c r="AE168" s="3468">
        <v>5</v>
      </c>
      <c r="AF168" s="3468">
        <v>5</v>
      </c>
      <c r="AG168" s="3468">
        <v>5</v>
      </c>
      <c r="AH168" s="3468">
        <v>5</v>
      </c>
      <c r="AI168" s="3468">
        <v>5</v>
      </c>
      <c r="AJ168" s="3468">
        <v>5</v>
      </c>
      <c r="AK168" s="3468">
        <v>5</v>
      </c>
      <c r="AL168" s="3468">
        <v>5</v>
      </c>
      <c r="AM168" s="3468">
        <v>5</v>
      </c>
      <c r="AN168" s="3468">
        <v>5</v>
      </c>
      <c r="AO168" s="3468">
        <v>5</v>
      </c>
      <c r="AP168" s="3468">
        <v>5</v>
      </c>
      <c r="AQ168" s="3468">
        <v>5</v>
      </c>
      <c r="AR168" s="3468">
        <v>5</v>
      </c>
      <c r="AS168" s="3468">
        <v>5</v>
      </c>
      <c r="AT168" s="3468">
        <v>5</v>
      </c>
      <c r="AU168" s="3468">
        <v>5</v>
      </c>
      <c r="AV168" s="3468">
        <v>5</v>
      </c>
      <c r="AW168" s="3468">
        <v>5</v>
      </c>
      <c r="AX168" s="3468">
        <v>5</v>
      </c>
      <c r="AY168" s="3468">
        <v>5</v>
      </c>
      <c r="AZ168" s="3468">
        <v>5</v>
      </c>
      <c r="BA168" s="3468">
        <v>5</v>
      </c>
      <c r="BB168" s="3468">
        <v>5</v>
      </c>
      <c r="BC168" s="3468">
        <v>5</v>
      </c>
      <c r="BD168" s="3468">
        <v>5</v>
      </c>
      <c r="BE168" s="3468">
        <v>5</v>
      </c>
      <c r="BF168" s="3468">
        <v>5</v>
      </c>
      <c r="BG168" s="3468">
        <v>5</v>
      </c>
      <c r="BH168" s="3468">
        <v>5</v>
      </c>
      <c r="BI168" s="3468">
        <v>5</v>
      </c>
      <c r="BJ168" s="3468">
        <v>5</v>
      </c>
      <c r="BK168" s="3468">
        <v>5</v>
      </c>
      <c r="BL168" s="3468">
        <v>5</v>
      </c>
      <c r="BM168" s="3468">
        <v>5</v>
      </c>
      <c r="BN168" s="3468">
        <v>5</v>
      </c>
      <c r="BO168" s="2577"/>
      <c r="BP168" s="2577"/>
      <c r="BQ168" s="2577"/>
      <c r="BR168" s="2577"/>
      <c r="BS168" s="2577"/>
      <c r="BT168" s="2577"/>
      <c r="BU168" s="2577"/>
      <c r="BV168" s="2577"/>
      <c r="BW168" s="2577"/>
      <c r="BX168" s="2577"/>
      <c r="BY168" s="2577"/>
      <c r="BZ168" s="2577"/>
      <c r="CA168" s="34"/>
      <c r="CC168" s="927"/>
      <c r="CD168" s="1461" t="e" cm="1">
        <f t="array" ca="1" aca="1" ref="CD168">_xlfn.LET(_xlpm.CheckBlank,SUM(PL!$AD168:$BN168)=0,IF(_xlpm.CheckBlank,"",SUM(_xlfn._xlws.FILTER(PL!$AD168:$BN168,(YEAR(PL!$AD$12:$BN$12)=PL!CD$12)*(array_timeline&lt;=PL!CD$11)))))</f>
        <v>#NAME?</v>
      </c>
      <c r="CE168" s="1461" t="e" cm="1">
        <f t="array" ca="1" aca="1" ref="CE168">_xlfn.LET(_xlpm.CheckBlank,SUM(PL!$AD168:$BN168)=0,IF(_xlpm.CheckBlank,"",SUM(_xlfn._xlws.FILTER(PL!$AD168:$BN168,(YEAR(PL!$AD$12:$BN$12)=PL!CE$12)*(array_timeline&lt;=PL!CE$11)))))</f>
        <v>#NAME?</v>
      </c>
      <c r="CF168" s="88"/>
      <c r="CG168" s="1461" t="e" cm="1">
        <f t="array" ca="1" aca="1" ref="CG168">_xlfn.LET(_xlpm.CheckBlank,SUM(PL!$AD168:$BN168)=0,IF(_xlpm.CheckBlank,"",SUM(_xlfn._xlws.FILTER(PL!$AD168:$BN168,(YEAR(PL!$AD$12:$BN$12)=PL!CG$12)*(array_timeline&lt;=PL!CG$11)))))</f>
        <v>#NAME?</v>
      </c>
      <c r="CH168" s="1461" t="e" cm="1">
        <f t="array" ca="1" aca="1" ref="CH168">_xlfn.LET(_xlpm.CheckBlank,SUM(PL!$AD168:$BN168)=0,IF(_xlpm.CheckBlank,"",SUM(_xlfn._xlws.FILTER(PL!$AD168:$BN168,(YEAR(PL!$AD$12:$BN$12)=PL!CH$12)*(array_timeline&lt;=PL!CH$11)))))</f>
        <v>#NAME?</v>
      </c>
      <c r="CI168" s="88"/>
      <c r="CJ168" s="1461" cm="1">
        <f t="array" ref="CJ168">_xlfn.LET(_xlpm.CheckBlank,SUM(PL!$AD168:$BN168)=0,IF(_xlpm.CheckBlank,"",SUM(_xlfn.TAKE(_xlfn.DROP(PL!$AD168:$BN168,,-DATEDIFF(PL!CJ$11,val_asOfDate,"M")),1,-12))))</f>
        <v>60</v>
      </c>
      <c r="CK168" s="1461" cm="1">
        <f t="array" ref="CK168">_xlfn.LET(_xlpm.CheckBlank,SUM(PL!$AD168:$BN168)=0,IF(_xlpm.CheckBlank,"",SUM(_xlfn.TAKE(_xlfn.DROP(PL!$AD168:$BN168,,-DATEDIFF(PL!CK$11,val_asOfDate,"M")),1,-12))))</f>
        <v>60</v>
      </c>
      <c r="CL168" s="88"/>
      <c r="CM168" s="2061" cm="1">
        <f t="array" ref="CM168:CN168">IF(ISNUMBER(CM161:CN161),_xlfn.BYCOL(_xlfn.VSTACK(CM161:CN161,CM162:CN167),_xleta.SUM),"")</f>
        <v>7</v>
      </c>
      <c r="CN168" s="2061">
        <v>7</v>
      </c>
      <c r="CO168" s="128"/>
      <c r="CP168" s="2061" cm="1">
        <f t="array" ref="CP168:CQ168">IF(ISNUMBER(CP161:CQ161),_xlfn.BYCOL(_xlfn.VSTACK(CP161:CQ161,CP162:CQ167),_xleta.SUM),"")</f>
        <v>7</v>
      </c>
      <c r="CQ168" s="2061">
        <v>7</v>
      </c>
      <c r="CR168" s="34"/>
      <c r="CS168" s="2056"/>
      <c r="CT168" s="2085" t="e" cm="1">
        <f t="array" ca="1" aca="1" ref="CT168">IF(K168&lt;&gt;"Yes","",IF(OR(Y168="Select,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III"),"",IF(OR(Y168&lt;&gt;AB168,AND(LEN(B168)=0,NOT(OR(Y168="Select,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III")))),_xldudf_CX_PUSH(Y168,CX_ENTITY,C168,EOMONTH(val_asOfDate,0)),"")))</f>
        <v>#NAME?</v>
      </c>
      <c r="CU168" s="2085" t="e" cm="1">
        <f t="array" ca="1" aca="1" ref="CU168">IF(K168&lt;&gt;"Yes","",IF(OR(Y168="Select,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III"),"",IF(OR(Y168&lt;&gt;AB168,AND(LEN(B168)=0,NOT(OR(Y168="Select,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III")))),_xldudf_CX_PUSH(Y168,CX_ENTITY,C168,EOMONTH(val_asOfDate,1)),"")))</f>
        <v>#NAME?</v>
      </c>
      <c r="CV168" s="2085" t="e" cm="1">
        <f t="array" ca="1" aca="1" ref="CV168">IF(K168&lt;&gt;"Yes","",IF(OR(Y168="Select,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III"),"",IF(OR(Y168&lt;&gt;AB168,AND(LEN(B168)=0,NOT(OR(Y168="Select,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III")))),_xldudf_CX_PUSH(Y168,CX_ENTITY,C168,EOMONTH(val_asOfDate,2)),"")))</f>
        <v>#NAME?</v>
      </c>
      <c r="CW168" s="2085" t="e" cm="1">
        <f t="array" ca="1" aca="1" ref="CW168">IF(K168&lt;&gt;"Yes","",IF(OR(Y168="Select,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III"),"",IF(OR(Y168&lt;&gt;AB168,AND(LEN(B168)=0,NOT(OR(Y168="Select,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III")))),_xldudf_CX_PUSH(Y168,CX_ENTITY,C168,EOMONTH(val_asOfDate,3)),"")))</f>
        <v>#NAME?</v>
      </c>
      <c r="CX168" s="2443"/>
      <c r="CY168" s="2444" t="str" cm="1">
        <f t="array" ca="1" aca="1" ref="CY168">IFERROR(IF(CM168*fxVal_normal=_PL!CM168,"",IF(OR($CM168="",$CM168=0,NOT(ISNUMBER($CM168)),ISERROR($CM168),$B168=""),"",IF($I168=1,IFBLANK(_xldudf_CX_PUSH($CM168*fxVal_normal,CX_ENTITY,$B168,$CM$11,$CM$14,$CM$19,),""),IF($I168=2,IFBLANK(_xldudf_CX_PUSH($CM168,CX_ENTITY,$B168,$CM$11,$CM$14,$CM$19,),""),IF($I168=3,"",IFBLANK(_xldudf_CX_PUSH($CM168,CX_ENTITY,$B168,$CM$11,$CM$14,$CM$19,),"")))))),"")</f>
        <v/>
      </c>
      <c r="CZ168" s="2444" t="str" cm="1">
        <f t="array" ca="1" aca="1" ref="CZ168">IFERROR(IF(CN168*fxVal_normal=_PL!CN168,"",IF(OR($CN168="",$CN168=0,NOT(ISNUMBER($CN168)),ISERROR($CN168),$B168=""),"",IF($I168=1,IFBLANK(_xldudf_CX_PUSH($CN168*fxVal_normal,CX_ENTITY,$B168,$CN$11,$CN$14,$CN$19,),""),IF($I168=2,IFBLANK(_xldudf_CX_PUSH($CN168,CX_ENTITY,$B168,$CN$11,$CN$14,$CN$19,),""),IF($I168=3,"",IFBLANK(_xldudf_CX_PUSH($CN168,CX_ENTITY,$B168,$CN$11,$CN$14,$CN$19,),"")))))),"")</f>
        <v/>
      </c>
      <c r="DA168" s="2444" t="str" cm="1">
        <f t="array" ca="1" aca="1" ref="DA168">IFERROR(IF(CP168*fxVal_normal=_PL!CP168,"",IF(OR($CP168="",$CP168=0,NOT(ISNUMBER($CP168)),ISERROR($CP168),$B168=""),"",IF($I168=1,IFBLANK(_xldudf_CX_PUSH($CP168*fxVal_normal,CX_ENTITY,$B168,$CP$11,$CP$14,$CP$19,),""),IF($I168=2,IFBLANK(_xldudf_CX_PUSH($CP168,CX_ENTITY,$B168,$CP$11,$CP$14,$CP$19,),""),IF($I168=3,"",IFBLANK(_xldudf_CX_PUSH($CP168,CX_ENTITY,$B168,$CP$11,$CP$14,$CP$19,),"")))))),"")</f>
        <v/>
      </c>
      <c r="DB168" s="2444" t="str" cm="1">
        <f t="array" ca="1" aca="1" ref="DB168">IFERROR(IF(CQ168*fxVal_normal=_PL!CQ168,"",IF(OR($CQ168="",$CQ168=0,NOT(ISNUMBER($CQ168)),ISERROR($CQ168),$B168=""),"",IF($I168=1,IFBLANK(_xldudf_CX_PUSH($CQ168*fxVal_normal,CX_ENTITY,$B168,$CQ$11,$CQ$14,$CQ$19,),""),IF($I168=2,IFBLANK(_xldudf_CX_PUSH($CQ168,CX_ENTITY,$B168,$CQ$11,$CQ$14,$CQ$19,),""),IF($I168=3,"",IFBLANK(_xldudf_CX_PUSH($CQ168,CX_ENTITY,$B168,$CQ$11,$CQ$14,$CQ$19,),"")))))),"")</f>
        <v/>
      </c>
      <c r="DC168" s="2443"/>
      <c r="DD168" s="2445" t="str" cm="1">
        <f t="array" ca="1" aca="1" ref="DD168">IFERROR(IF(AD168*fxVal_normal=_PL!AD168,"",IF(OR(AD168="",NOT(ISNUMBER(AD168)),ISERROR(AD168),$B168=""),"",IF($I168=1,IFBLANK(_xldudf_CX_PUSH(AD168*fxVal_normal,CX_ENTITY,$B168,AD$11,AD$14,AD$160,),""),IF($I168=2,IFBLANK(_xldudf_CX_PUSH(AD168,CX_ENTITY,$B168,AD$11,AD$14,AD$160,),""),IF($I168=3,"",IFBLANK(_xldudf_CX_PUSH(AD168,CX_ENTITY,$B168,AD$11,AD$14,AD$160,),"")))))),"")</f>
        <v/>
      </c>
      <c r="DE168" s="2445" t="str" cm="1">
        <f t="array" ca="1" aca="1" ref="DE168">IFERROR(IF(AE168*fxVal_normal=_PL!AE168,"",IF(OR(AE168="",NOT(ISNUMBER(AE168)),ISERROR(AE168),$B168=""),"",IF($I168=1,IFBLANK(_xldudf_CX_PUSH(AE168*fxVal_normal,CX_ENTITY,$B168,AE$11,AE$14,AE$160,),""),IF($I168=2,IFBLANK(_xldudf_CX_PUSH(AE168,CX_ENTITY,$B168,AE$11,AE$14,AE$160,),""),IF($I168=3,"",IFBLANK(_xldudf_CX_PUSH(AE168,CX_ENTITY,$B168,AE$11,AE$14,AE$160,),"")))))),"")</f>
        <v/>
      </c>
      <c r="DF168" s="2445" t="str" cm="1">
        <f t="array" ca="1" aca="1" ref="DF168">IFERROR(IF(AF168*fxVal_normal=_PL!AF168,"",IF(OR(AF168="",NOT(ISNUMBER(AF168)),ISERROR(AF168),$B168=""),"",IF($I168=1,IFBLANK(_xldudf_CX_PUSH(AF168*fxVal_normal,CX_ENTITY,$B168,AF$11,AF$14,AF$160,),""),IF($I168=2,IFBLANK(_xldudf_CX_PUSH(AF168,CX_ENTITY,$B168,AF$11,AF$14,AF$160,),""),IF($I168=3,"",IFBLANK(_xldudf_CX_PUSH(AF168,CX_ENTITY,$B168,AF$11,AF$14,AF$160,),"")))))),"")</f>
        <v/>
      </c>
      <c r="DG168" s="2445" t="str" cm="1">
        <f t="array" ca="1" aca="1" ref="DG168">IFERROR(IF(AG168*fxVal_normal=_PL!AG168,"",IF(OR(AG168="",NOT(ISNUMBER(AG168)),ISERROR(AG168),$B168=""),"",IF($I168=1,IFBLANK(_xldudf_CX_PUSH(AG168*fxVal_normal,CX_ENTITY,$B168,AG$11,AG$14,AG$160,),""),IF($I168=2,IFBLANK(_xldudf_CX_PUSH(AG168,CX_ENTITY,$B168,AG$11,AG$14,AG$160,),""),IF($I168=3,"",IFBLANK(_xldudf_CX_PUSH(AG168,CX_ENTITY,$B168,AG$11,AG$14,AG$160,),"")))))),"")</f>
        <v/>
      </c>
      <c r="DH168" s="2445" t="str" cm="1">
        <f t="array" ca="1" aca="1" ref="DH168">IFERROR(IF(AH168*fxVal_normal=_PL!AH168,"",IF(OR(AH168="",NOT(ISNUMBER(AH168)),ISERROR(AH168),$B168=""),"",IF($I168=1,IFBLANK(_xldudf_CX_PUSH(AH168*fxVal_normal,CX_ENTITY,$B168,AH$11,AH$14,AH$160,),""),IF($I168=2,IFBLANK(_xldudf_CX_PUSH(AH168,CX_ENTITY,$B168,AH$11,AH$14,AH$160,),""),IF($I168=3,"",IFBLANK(_xldudf_CX_PUSH(AH168,CX_ENTITY,$B168,AH$11,AH$14,AH$160,),"")))))),"")</f>
        <v/>
      </c>
      <c r="DI168" s="2445" t="str" cm="1">
        <f t="array" ca="1" aca="1" ref="DI168">IFERROR(IF(AI168*fxVal_normal=_PL!AI168,"",IF(OR(AI168="",NOT(ISNUMBER(AI168)),ISERROR(AI168),$B168=""),"",IF($I168=1,IFBLANK(_xldudf_CX_PUSH(AI168*fxVal_normal,CX_ENTITY,$B168,AI$11,AI$14,AI$160,),""),IF($I168=2,IFBLANK(_xldudf_CX_PUSH(AI168,CX_ENTITY,$B168,AI$11,AI$14,AI$160,),""),IF($I168=3,"",IFBLANK(_xldudf_CX_PUSH(AI168,CX_ENTITY,$B168,AI$11,AI$14,AI$160,),"")))))),"")</f>
        <v/>
      </c>
      <c r="DJ168" s="2445" t="str" cm="1">
        <f t="array" ca="1" aca="1" ref="DJ168">IFERROR(IF(AJ168*fxVal_normal=_PL!AJ168,"",IF(OR(AJ168="",NOT(ISNUMBER(AJ168)),ISERROR(AJ168),$B168=""),"",IF($I168=1,IFBLANK(_xldudf_CX_PUSH(AJ168*fxVal_normal,CX_ENTITY,$B168,AJ$11,AJ$14,AJ$160,),""),IF($I168=2,IFBLANK(_xldudf_CX_PUSH(AJ168,CX_ENTITY,$B168,AJ$11,AJ$14,AJ$160,),""),IF($I168=3,"",IFBLANK(_xldudf_CX_PUSH(AJ168,CX_ENTITY,$B168,AJ$11,AJ$14,AJ$160,),"")))))),"")</f>
        <v/>
      </c>
      <c r="DK168" s="2445" t="str" cm="1">
        <f t="array" ca="1" aca="1" ref="DK168">IFERROR(IF(AK168*fxVal_normal=_PL!AK168,"",IF(OR(AK168="",NOT(ISNUMBER(AK168)),ISERROR(AK168),$B168=""),"",IF($I168=1,IFBLANK(_xldudf_CX_PUSH(AK168*fxVal_normal,CX_ENTITY,$B168,AK$11,AK$14,AK$160,),""),IF($I168=2,IFBLANK(_xldudf_CX_PUSH(AK168,CX_ENTITY,$B168,AK$11,AK$14,AK$160,),""),IF($I168=3,"",IFBLANK(_xldudf_CX_PUSH(AK168,CX_ENTITY,$B168,AK$11,AK$14,AK$160,),"")))))),"")</f>
        <v/>
      </c>
      <c r="DL168" s="2445" t="str" cm="1">
        <f t="array" ca="1" aca="1" ref="DL168">IFERROR(IF(AL168*fxVal_normal=_PL!AL168,"",IF(OR(AL168="",NOT(ISNUMBER(AL168)),ISERROR(AL168),$B168=""),"",IF($I168=1,IFBLANK(_xldudf_CX_PUSH(AL168*fxVal_normal,CX_ENTITY,$B168,AL$11,AL$14,AL$160,),""),IF($I168=2,IFBLANK(_xldudf_CX_PUSH(AL168,CX_ENTITY,$B168,AL$11,AL$14,AL$160,),""),IF($I168=3,"",IFBLANK(_xldudf_CX_PUSH(AL168,CX_ENTITY,$B168,AL$11,AL$14,AL$160,),"")))))),"")</f>
        <v/>
      </c>
      <c r="DM168" s="2445" t="str" cm="1">
        <f t="array" ca="1" aca="1" ref="DM168">IFERROR(IF(AM168*fxVal_normal=_PL!AM168,"",IF(OR(AM168="",NOT(ISNUMBER(AM168)),ISERROR(AM168),$B168=""),"",IF($I168=1,IFBLANK(_xldudf_CX_PUSH(AM168*fxVal_normal,CX_ENTITY,$B168,AM$11,AM$14,AM$160,),""),IF($I168=2,IFBLANK(_xldudf_CX_PUSH(AM168,CX_ENTITY,$B168,AM$11,AM$14,AM$160,),""),IF($I168=3,"",IFBLANK(_xldudf_CX_PUSH(AM168,CX_ENTITY,$B168,AM$11,AM$14,AM$160,),"")))))),"")</f>
        <v/>
      </c>
      <c r="DN168" s="2445" t="str" cm="1">
        <f t="array" ca="1" aca="1" ref="DN168">IFERROR(IF(AN168*fxVal_normal=_PL!AN168,"",IF(OR(AN168="",NOT(ISNUMBER(AN168)),ISERROR(AN168),$B168=""),"",IF($I168=1,IFBLANK(_xldudf_CX_PUSH(AN168*fxVal_normal,CX_ENTITY,$B168,AN$11,AN$14,AN$160,),""),IF($I168=2,IFBLANK(_xldudf_CX_PUSH(AN168,CX_ENTITY,$B168,AN$11,AN$14,AN$160,),""),IF($I168=3,"",IFBLANK(_xldudf_CX_PUSH(AN168,CX_ENTITY,$B168,AN$11,AN$14,AN$160,),"")))))),"")</f>
        <v/>
      </c>
      <c r="DO168" s="2445" t="str" cm="1">
        <f t="array" ca="1" aca="1" ref="DO168">IFERROR(IF(AO168*fxVal_normal=_PL!AO168,"",IF(OR(AO168="",NOT(ISNUMBER(AO168)),ISERROR(AO168),$B168=""),"",IF($I168=1,IFBLANK(_xldudf_CX_PUSH(AO168*fxVal_normal,CX_ENTITY,$B168,AO$11,AO$14,AO$160,),""),IF($I168=2,IFBLANK(_xldudf_CX_PUSH(AO168,CX_ENTITY,$B168,AO$11,AO$14,AO$160,),""),IF($I168=3,"",IFBLANK(_xldudf_CX_PUSH(AO168,CX_ENTITY,$B168,AO$11,AO$14,AO$160,),"")))))),"")</f>
        <v/>
      </c>
      <c r="DP168" s="2445" t="str" cm="1">
        <f t="array" ca="1" aca="1" ref="DP168">IFERROR(IF(AP168*fxVal_normal=_PL!AP168,"",IF(OR(AP168="",NOT(ISNUMBER(AP168)),ISERROR(AP168),$B168=""),"",IF($I168=1,IFBLANK(_xldudf_CX_PUSH(AP168*fxVal_normal,CX_ENTITY,$B168,AP$11,AP$14,AP$160,),""),IF($I168=2,IFBLANK(_xldudf_CX_PUSH(AP168,CX_ENTITY,$B168,AP$11,AP$14,AP$160,),""),IF($I168=3,"",IFBLANK(_xldudf_CX_PUSH(AP168,CX_ENTITY,$B168,AP$11,AP$14,AP$160,),"")))))),"")</f>
        <v/>
      </c>
      <c r="DQ168" s="2445" t="str" cm="1">
        <f t="array" ca="1" aca="1" ref="DQ168">IFERROR(IF(AQ168*fxVal_normal=_PL!AQ168,"",IF(OR(AQ168="",NOT(ISNUMBER(AQ168)),ISERROR(AQ168),$B168=""),"",IF($I168=1,IFBLANK(_xldudf_CX_PUSH(AQ168*fxVal_normal,CX_ENTITY,$B168,AQ$11,AQ$14,AQ$160,),""),IF($I168=2,IFBLANK(_xldudf_CX_PUSH(AQ168,CX_ENTITY,$B168,AQ$11,AQ$14,AQ$160,),""),IF($I168=3,"",IFBLANK(_xldudf_CX_PUSH(AQ168,CX_ENTITY,$B168,AQ$11,AQ$14,AQ$160,),"")))))),"")</f>
        <v/>
      </c>
      <c r="DR168" s="2445" t="str" cm="1">
        <f t="array" ca="1" aca="1" ref="DR168">IFERROR(IF(AR168*fxVal_normal=_PL!AR168,"",IF(OR(AR168="",NOT(ISNUMBER(AR168)),ISERROR(AR168),$B168=""),"",IF($I168=1,IFBLANK(_xldudf_CX_PUSH(AR168*fxVal_normal,CX_ENTITY,$B168,AR$11,AR$14,AR$160,),""),IF($I168=2,IFBLANK(_xldudf_CX_PUSH(AR168,CX_ENTITY,$B168,AR$11,AR$14,AR$160,),""),IF($I168=3,"",IFBLANK(_xldudf_CX_PUSH(AR168,CX_ENTITY,$B168,AR$11,AR$14,AR$160,),"")))))),"")</f>
        <v/>
      </c>
      <c r="DS168" s="2445" t="str" cm="1">
        <f t="array" ca="1" aca="1" ref="DS168">IFERROR(IF(AS168*fxVal_normal=_PL!AS168,"",IF(OR(AS168="",NOT(ISNUMBER(AS168)),ISERROR(AS168),$B168=""),"",IF($I168=1,IFBLANK(_xldudf_CX_PUSH(AS168*fxVal_normal,CX_ENTITY,$B168,AS$11,AS$14,AS$160,),""),IF($I168=2,IFBLANK(_xldudf_CX_PUSH(AS168,CX_ENTITY,$B168,AS$11,AS$14,AS$160,),""),IF($I168=3,"",IFBLANK(_xldudf_CX_PUSH(AS168,CX_ENTITY,$B168,AS$11,AS$14,AS$160,),"")))))),"")</f>
        <v/>
      </c>
      <c r="DT168" s="2445" t="str" cm="1">
        <f t="array" ca="1" aca="1" ref="DT168">IFERROR(IF(AT168*fxVal_normal=_PL!AT168,"",IF(OR(AT168="",NOT(ISNUMBER(AT168)),ISERROR(AT168),$B168=""),"",IF($I168=1,IFBLANK(_xldudf_CX_PUSH(AT168*fxVal_normal,CX_ENTITY,$B168,AT$11,AT$14,AT$160,),""),IF($I168=2,IFBLANK(_xldudf_CX_PUSH(AT168,CX_ENTITY,$B168,AT$11,AT$14,AT$160,),""),IF($I168=3,"",IFBLANK(_xldudf_CX_PUSH(AT168,CX_ENTITY,$B168,AT$11,AT$14,AT$160,),"")))))),"")</f>
        <v/>
      </c>
      <c r="DU168" s="2445" t="str" cm="1">
        <f t="array" ca="1" aca="1" ref="DU168">IFERROR(IF(AU168*fxVal_normal=_PL!AU168,"",IF(OR(AU168="",NOT(ISNUMBER(AU168)),ISERROR(AU168),$B168=""),"",IF($I168=1,IFBLANK(_xldudf_CX_PUSH(AU168*fxVal_normal,CX_ENTITY,$B168,AU$11,AU$14,AU$160,),""),IF($I168=2,IFBLANK(_xldudf_CX_PUSH(AU168,CX_ENTITY,$B168,AU$11,AU$14,AU$160,),""),IF($I168=3,"",IFBLANK(_xldudf_CX_PUSH(AU168,CX_ENTITY,$B168,AU$11,AU$14,AU$160,),"")))))),"")</f>
        <v/>
      </c>
      <c r="DV168" s="2445" t="str" cm="1">
        <f t="array" ca="1" aca="1" ref="DV168">IFERROR(IF(AV168*fxVal_normal=_PL!AV168,"",IF(OR(AV168="",NOT(ISNUMBER(AV168)),ISERROR(AV168),$B168=""),"",IF($I168=1,IFBLANK(_xldudf_CX_PUSH(AV168*fxVal_normal,CX_ENTITY,$B168,AV$11,AV$14,AV$160,),""),IF($I168=2,IFBLANK(_xldudf_CX_PUSH(AV168,CX_ENTITY,$B168,AV$11,AV$14,AV$160,),""),IF($I168=3,"",IFBLANK(_xldudf_CX_PUSH(AV168,CX_ENTITY,$B168,AV$11,AV$14,AV$160,),"")))))),"")</f>
        <v/>
      </c>
      <c r="DW168" s="2445" t="str" cm="1">
        <f t="array" ca="1" aca="1" ref="DW168">IFERROR(IF(AW168*fxVal_normal=_PL!AW168,"",IF(OR(AW168="",NOT(ISNUMBER(AW168)),ISERROR(AW168),$B168=""),"",IF($I168=1,IFBLANK(_xldudf_CX_PUSH(AW168*fxVal_normal,CX_ENTITY,$B168,AW$11,AW$14,AW$160,),""),IF($I168=2,IFBLANK(_xldudf_CX_PUSH(AW168,CX_ENTITY,$B168,AW$11,AW$14,AW$160,),""),IF($I168=3,"",IFBLANK(_xldudf_CX_PUSH(AW168,CX_ENTITY,$B168,AW$11,AW$14,AW$160,),"")))))),"")</f>
        <v/>
      </c>
      <c r="DX168" s="2445" t="str" cm="1">
        <f t="array" ca="1" aca="1" ref="DX168">IFERROR(IF(AX168*fxVal_normal=_PL!AX168,"",IF(OR(AX168="",NOT(ISNUMBER(AX168)),ISERROR(AX168),$B168=""),"",IF($I168=1,IFBLANK(_xldudf_CX_PUSH(AX168*fxVal_normal,CX_ENTITY,$B168,AX$11,AX$14,AX$160,),""),IF($I168=2,IFBLANK(_xldudf_CX_PUSH(AX168,CX_ENTITY,$B168,AX$11,AX$14,AX$160,),""),IF($I168=3,"",IFBLANK(_xldudf_CX_PUSH(AX168,CX_ENTITY,$B168,AX$11,AX$14,AX$160,),"")))))),"")</f>
        <v/>
      </c>
      <c r="DY168" s="2445" t="str" cm="1">
        <f t="array" ca="1" aca="1" ref="DY168">IFERROR(IF(AY168*fxVal_normal=_PL!AY168,"",IF(OR(AY168="",NOT(ISNUMBER(AY168)),ISERROR(AY168),$B168=""),"",IF($I168=1,IFBLANK(_xldudf_CX_PUSH(AY168*fxVal_normal,CX_ENTITY,$B168,AY$11,AY$14,AY$160,),""),IF($I168=2,IFBLANK(_xldudf_CX_PUSH(AY168,CX_ENTITY,$B168,AY$11,AY$14,AY$160,),""),IF($I168=3,"",IFBLANK(_xldudf_CX_PUSH(AY168,CX_ENTITY,$B168,AY$11,AY$14,AY$160,),"")))))),"")</f>
        <v/>
      </c>
      <c r="DZ168" s="2445" t="str" cm="1">
        <f t="array" ca="1" aca="1" ref="DZ168">IFERROR(IF(AZ168*fxVal_normal=_PL!AZ168,"",IF(OR(AZ168="",NOT(ISNUMBER(AZ168)),ISERROR(AZ168),$B168=""),"",IF($I168=1,IFBLANK(_xldudf_CX_PUSH(AZ168*fxVal_normal,CX_ENTITY,$B168,AZ$11,AZ$14,AZ$160,),""),IF($I168=2,IFBLANK(_xldudf_CX_PUSH(AZ168,CX_ENTITY,$B168,AZ$11,AZ$14,AZ$160,),""),IF($I168=3,"",IFBLANK(_xldudf_CX_PUSH(AZ168,CX_ENTITY,$B168,AZ$11,AZ$14,AZ$160,),"")))))),"")</f>
        <v/>
      </c>
      <c r="EA168" s="2445" t="str" cm="1">
        <f t="array" ca="1" aca="1" ref="EA168">IFERROR(IF(BA168*fxVal_normal=_PL!BA168,"",IF(OR(BA168="",NOT(ISNUMBER(BA168)),ISERROR(BA168),$B168=""),"",IF($I168=1,IFBLANK(_xldudf_CX_PUSH(BA168*fxVal_normal,CX_ENTITY,$B168,BA$11,BA$14,BA$160,),""),IF($I168=2,IFBLANK(_xldudf_CX_PUSH(BA168,CX_ENTITY,$B168,BA$11,BA$14,BA$160,),""),IF($I168=3,"",IFBLANK(_xldudf_CX_PUSH(BA168,CX_ENTITY,$B168,BA$11,BA$14,BA$160,),"")))))),"")</f>
        <v/>
      </c>
      <c r="EB168" s="2445" t="str" cm="1">
        <f t="array" ca="1" aca="1" ref="EB168">IFERROR(IF(BB168*fxVal_normal=_PL!BB168,"",IF(OR(BB168="",NOT(ISNUMBER(BB168)),ISERROR(BB168),$B168=""),"",IF($I168=1,IFBLANK(_xldudf_CX_PUSH(BB168*fxVal_normal,CX_ENTITY,$B168,BB$11,BB$14,BB$160,),""),IF($I168=2,IFBLANK(_xldudf_CX_PUSH(BB168,CX_ENTITY,$B168,BB$11,BB$14,BB$160,),""),IF($I168=3,"",IFBLANK(_xldudf_CX_PUSH(BB168,CX_ENTITY,$B168,BB$11,BB$14,BB$160,),"")))))),"")</f>
        <v/>
      </c>
      <c r="EC168" s="2445" t="str" cm="1">
        <f t="array" ca="1" aca="1" ref="EC168">IFERROR(IF(BC168*fxVal_normal=_PL!BC168,"",IF(OR(BC168="",NOT(ISNUMBER(BC168)),ISERROR(BC168),$B168=""),"",IF($I168=1,IFBLANK(_xldudf_CX_PUSH(BC168*fxVal_normal,CX_ENTITY,$B168,BC$11,BC$14,BC$160,),""),IF($I168=2,IFBLANK(_xldudf_CX_PUSH(BC168,CX_ENTITY,$B168,BC$11,BC$14,BC$160,),""),IF($I168=3,"",IFBLANK(_xldudf_CX_PUSH(BC168,CX_ENTITY,$B168,BC$11,BC$14,BC$160,),"")))))),"")</f>
        <v/>
      </c>
      <c r="ED168" s="2445" t="str" cm="1">
        <f t="array" ca="1" aca="1" ref="ED168">IFERROR(IF(BD168*fxVal_normal=_PL!BD168,"",IF(OR(BD168="",NOT(ISNUMBER(BD168)),ISERROR(BD168),$B168=""),"",IF($I168=1,IFBLANK(_xldudf_CX_PUSH(BD168*fxVal_normal,CX_ENTITY,$B168,BD$11,BD$14,BD$160,),""),IF($I168=2,IFBLANK(_xldudf_CX_PUSH(BD168,CX_ENTITY,$B168,BD$11,BD$14,BD$160,),""),IF($I168=3,"",IFBLANK(_xldudf_CX_PUSH(BD168,CX_ENTITY,$B168,BD$11,BD$14,BD$160,),"")))))),"")</f>
        <v/>
      </c>
      <c r="EE168" s="2445" t="str" cm="1">
        <f t="array" ca="1" aca="1" ref="EE168">IFERROR(IF(BE168*fxVal_normal=_PL!BE168,"",IF(OR(BE168="",NOT(ISNUMBER(BE168)),ISERROR(BE168),$B168=""),"",IF($I168=1,IFBLANK(_xldudf_CX_PUSH(BE168*fxVal_normal,CX_ENTITY,$B168,BE$11,BE$14,BE$160,),""),IF($I168=2,IFBLANK(_xldudf_CX_PUSH(BE168,CX_ENTITY,$B168,BE$11,BE$14,BE$160,),""),IF($I168=3,"",IFBLANK(_xldudf_CX_PUSH(BE168,CX_ENTITY,$B168,BE$11,BE$14,BE$160,),"")))))),"")</f>
        <v/>
      </c>
      <c r="EF168" s="2445" t="str" cm="1">
        <f t="array" ca="1" aca="1" ref="EF168">IFERROR(IF(BF168*fxVal_normal=_PL!BF168,"",IF(OR(BF168="",NOT(ISNUMBER(BF168)),ISERROR(BF168),$B168=""),"",IF($I168=1,IFBLANK(_xldudf_CX_PUSH(BF168*fxVal_normal,CX_ENTITY,$B168,BF$11,BF$14,BF$160,),""),IF($I168=2,IFBLANK(_xldudf_CX_PUSH(BF168,CX_ENTITY,$B168,BF$11,BF$14,BF$160,),""),IF($I168=3,"",IFBLANK(_xldudf_CX_PUSH(BF168,CX_ENTITY,$B168,BF$11,BF$14,BF$160,),"")))))),"")</f>
        <v/>
      </c>
      <c r="EG168" s="2445" t="str" cm="1">
        <f t="array" ca="1" aca="1" ref="EG168">IFERROR(IF(BG168*fxVal_normal=_PL!BG168,"",IF(OR(BG168="",NOT(ISNUMBER(BG168)),ISERROR(BG168),$B168=""),"",IF($I168=1,IFBLANK(_xldudf_CX_PUSH(BG168*fxVal_normal,CX_ENTITY,$B168,BG$11,BG$14,BG$160,),""),IF($I168=2,IFBLANK(_xldudf_CX_PUSH(BG168,CX_ENTITY,$B168,BG$11,BG$14,BG$160,),""),IF($I168=3,"",IFBLANK(_xldudf_CX_PUSH(BG168,CX_ENTITY,$B168,BG$11,BG$14,BG$160,),"")))))),"")</f>
        <v/>
      </c>
      <c r="EH168" s="2445" t="str" cm="1">
        <f t="array" ca="1" aca="1" ref="EH168">IFERROR(IF(BH168*fxVal_normal=_PL!BH168,"",IF(OR(BH168="",NOT(ISNUMBER(BH168)),ISERROR(BH168),$B168=""),"",IF($I168=1,IFBLANK(_xldudf_CX_PUSH(BH168*fxVal_normal,CX_ENTITY,$B168,BH$11,BH$14,BH$160,),""),IF($I168=2,IFBLANK(_xldudf_CX_PUSH(BH168,CX_ENTITY,$B168,BH$11,BH$14,BH$160,),""),IF($I168=3,"",IFBLANK(_xldudf_CX_PUSH(BH168,CX_ENTITY,$B168,BH$11,BH$14,BH$160,),"")))))),"")</f>
        <v/>
      </c>
      <c r="EI168" s="2445" t="str" cm="1">
        <f t="array" ca="1" aca="1" ref="EI168">IFERROR(IF(BI168*fxVal_normal=_PL!BI168,"",IF(OR(BI168="",NOT(ISNUMBER(BI168)),ISERROR(BI168),$B168=""),"",IF($I168=1,IFBLANK(_xldudf_CX_PUSH(BI168*fxVal_normal,CX_ENTITY,$B168,BI$11,BI$14,BI$160,),""),IF($I168=2,IFBLANK(_xldudf_CX_PUSH(BI168,CX_ENTITY,$B168,BI$11,BI$14,BI$160,),""),IF($I168=3,"",IFBLANK(_xldudf_CX_PUSH(BI168,CX_ENTITY,$B168,BI$11,BI$14,BI$160,),"")))))),"")</f>
        <v/>
      </c>
      <c r="EJ168" s="2445" t="str" cm="1">
        <f t="array" ca="1" aca="1" ref="EJ168">IFERROR(IF(BJ168*fxVal_normal=_PL!BJ168,"",IF(OR(BJ168="",NOT(ISNUMBER(BJ168)),ISERROR(BJ168),$B168=""),"",IF($I168=1,IFBLANK(_xldudf_CX_PUSH(BJ168*fxVal_normal,CX_ENTITY,$B168,BJ$11,BJ$14,BJ$160,),""),IF($I168=2,IFBLANK(_xldudf_CX_PUSH(BJ168,CX_ENTITY,$B168,BJ$11,BJ$14,BJ$160,),""),IF($I168=3,"",IFBLANK(_xldudf_CX_PUSH(BJ168,CX_ENTITY,$B168,BJ$11,BJ$14,BJ$160,),"")))))),"")</f>
        <v/>
      </c>
      <c r="EK168" s="2445" t="str" cm="1">
        <f t="array" ca="1" aca="1" ref="EK168">IFERROR(IF(BK168*fxVal_normal=_PL!BK168,"",IF(OR(BK168="",NOT(ISNUMBER(BK168)),ISERROR(BK168),$B168=""),"",IF($I168=1,IFBLANK(_xldudf_CX_PUSH(BK168*fxVal_normal,CX_ENTITY,$B168,BK$11,BK$14,BK$160,),""),IF($I168=2,IFBLANK(_xldudf_CX_PUSH(BK168,CX_ENTITY,$B168,BK$11,BK$14,BK$160,),""),IF($I168=3,"",IFBLANK(_xldudf_CX_PUSH(BK168,CX_ENTITY,$B168,BK$11,BK$14,BK$160,),"")))))),"")</f>
        <v/>
      </c>
      <c r="EL168" s="2445" t="str" cm="1">
        <f t="array" ca="1" aca="1" ref="EL168">IFERROR(IF(BL168*fxVal_normal=_PL!BL168,"",IF(OR(BL168="",NOT(ISNUMBER(BL168)),ISERROR(BL168),$B168=""),"",IF($I168=1,IFBLANK(_xldudf_CX_PUSH(BL168*fxVal_normal,CX_ENTITY,$B168,BL$11,BL$14,BL$160,),""),IF($I168=2,IFBLANK(_xldudf_CX_PUSH(BL168,CX_ENTITY,$B168,BL$11,BL$14,BL$160,),""),IF($I168=3,"",IFBLANK(_xldudf_CX_PUSH(BL168,CX_ENTITY,$B168,BL$11,BL$14,BL$160,),"")))))),"")</f>
        <v/>
      </c>
      <c r="EM168" s="2445" t="str" cm="1">
        <f t="array" ca="1" aca="1" ref="EM168">IFERROR(IF(BM168*fxVal_normal=_PL!BM168,"",IF(OR(BM168="",NOT(ISNUMBER(BM168)),ISERROR(BM168),$B168=""),"",IF($I168=1,IFBLANK(_xldudf_CX_PUSH(BM168*fxVal_normal,CX_ENTITY,$B168,BM$11,BM$14,BM$160,),""),IF($I168=2,IFBLANK(_xldudf_CX_PUSH(BM168,CX_ENTITY,$B168,BM$11,BM$14,BM$160,),""),IF($I168=3,"",IFBLANK(_xldudf_CX_PUSH(BM168,CX_ENTITY,$B168,BM$11,BM$14,BM$160,),"")))))),"")</f>
        <v/>
      </c>
      <c r="EN168" s="2445" t="str" cm="1">
        <f t="array" ca="1" aca="1" ref="EN168">IFERROR(IF(BN168*fxVal_normal=_PL!BN168,"",IF(OR(BN168="",NOT(ISNUMBER(BN168)),ISERROR(BN168),$B168=""),"",IF($I168=1,IFBLANK(_xldudf_CX_PUSH(BN168*fxVal_normal,CX_ENTITY,$B168,BN$11,BN$14,BN$160,),""),IF($I168=2,IFBLANK(_xldudf_CX_PUSH(BN168,CX_ENTITY,$B168,BN$11,BN$14,BN$160,),""),IF($I168=3,"",IFBLANK(_xldudf_CX_PUSH(BN168,CX_ENTITY,$B168,BN$11,BN$14,BN$160,),"")))))),"")</f>
        <v/>
      </c>
      <c r="EO168" s="1880"/>
      <c r="EP168" s="1880"/>
      <c r="EQ168" s="1880"/>
      <c r="ER168" s="1880"/>
      <c r="ES168" s="1880"/>
      <c r="ET168" s="1880"/>
      <c r="EU168" s="1880"/>
      <c r="EV168" s="1880"/>
      <c r="EW168" s="1880"/>
      <c r="EX168" s="1880"/>
      <c r="EY168" s="1880"/>
      <c r="EZ168" s="1880"/>
    </row>
    <row r="169" spans="1:156" ht="18">
      <c r="A169" s="1625"/>
      <c r="B169" s="2439" t="str">
        <f>_xlfn.LET(_xlpm.IsNotAttrDynamic,D169="",_xlpm.Attr,_PL!F169,_xlpm.NotInUse,Y169=D169,_xlpm.RESULT,IF(_xlpm.IsNotAttrDynamic,_xlpm.Attr,IF(_xlpm.NotInUse,"",Y169)),IF(_xlpm.RESULT="","",_xlpm.RESULT))</f>
        <v/>
      </c>
      <c r="C169" s="2439" t="str" cm="1">
        <f t="array" ref="C169">IFBLANK(_PL!C169,"")</f>
        <v/>
      </c>
      <c r="D169" s="1548"/>
      <c r="E169" s="2453"/>
      <c r="F169" s="578"/>
      <c r="G169" s="578"/>
      <c r="H169" s="510"/>
      <c r="I169" s="510"/>
      <c r="J169" s="401" t="str" cm="1">
        <f t="array" ref="J169">IFBLANK(Z169,"")</f>
        <v/>
      </c>
      <c r="K169" s="578" t="str">
        <f t="shared" si="51"/>
        <v>No</v>
      </c>
      <c r="L169" s="37"/>
      <c r="N169" s="158"/>
      <c r="O169" s="101"/>
      <c r="P169" s="52"/>
      <c r="Q169" s="101"/>
      <c r="R169" s="101"/>
      <c r="S169" s="101"/>
      <c r="T169" s="101"/>
      <c r="U169" s="39"/>
      <c r="V169" s="37"/>
      <c r="W169" s="794"/>
      <c r="X169" s="887"/>
      <c r="Y169" s="324"/>
      <c r="Z169" s="795"/>
      <c r="AA169" s="97"/>
      <c r="AB169" s="97"/>
      <c r="AC169" s="128"/>
      <c r="AD169" s="796"/>
      <c r="AE169" s="796"/>
      <c r="AF169" s="796"/>
      <c r="AG169" s="796"/>
      <c r="AH169" s="796"/>
      <c r="AI169" s="796"/>
      <c r="AJ169" s="796"/>
      <c r="AK169" s="796"/>
      <c r="AL169" s="796"/>
      <c r="AM169" s="796"/>
      <c r="AN169" s="796"/>
      <c r="AO169" s="796"/>
      <c r="AP169" s="796"/>
      <c r="AQ169" s="796"/>
      <c r="AR169" s="796"/>
      <c r="AS169" s="796"/>
      <c r="AT169" s="796"/>
      <c r="AU169" s="796"/>
      <c r="AV169" s="796"/>
      <c r="AW169" s="796"/>
      <c r="AX169" s="796"/>
      <c r="AY169" s="796"/>
      <c r="AZ169" s="796"/>
      <c r="BA169" s="796"/>
      <c r="BB169" s="796"/>
      <c r="BC169" s="796"/>
      <c r="BD169" s="796"/>
      <c r="BE169" s="796"/>
      <c r="BF169" s="796"/>
      <c r="BG169" s="796"/>
      <c r="BH169" s="796"/>
      <c r="BI169" s="796"/>
      <c r="BJ169" s="796"/>
      <c r="BK169" s="796"/>
      <c r="BL169" s="796"/>
      <c r="BM169" s="796"/>
      <c r="BN169" s="796"/>
      <c r="BO169" s="796"/>
      <c r="BP169" s="796"/>
      <c r="BQ169" s="796"/>
      <c r="BR169" s="796"/>
      <c r="BS169" s="796"/>
      <c r="BT169" s="796"/>
      <c r="BU169" s="796"/>
      <c r="BV169" s="796"/>
      <c r="BW169" s="796"/>
      <c r="BX169" s="796"/>
      <c r="BY169" s="796"/>
      <c r="BZ169" s="796"/>
      <c r="CA169" s="34"/>
      <c r="CC169" s="797"/>
      <c r="CD169" s="1354"/>
      <c r="CE169" s="1354"/>
      <c r="CF169" s="1354"/>
      <c r="CG169" s="1354"/>
      <c r="CH169" s="1354"/>
      <c r="CI169" s="88"/>
      <c r="CJ169" s="796"/>
      <c r="CK169" s="796"/>
      <c r="CL169" s="88"/>
      <c r="CM169" s="88"/>
      <c r="CN169" s="88"/>
      <c r="CO169" s="88"/>
      <c r="CP169" s="88"/>
      <c r="CQ169" s="88"/>
      <c r="CR169" s="34"/>
      <c r="CS169" s="2056"/>
      <c r="CT169" s="1880"/>
      <c r="CU169" s="1880"/>
      <c r="CV169" s="1880"/>
      <c r="CW169" s="1880"/>
      <c r="CX169" s="2121"/>
      <c r="CY169" s="1880"/>
      <c r="CZ169" s="1880"/>
      <c r="DA169" s="1880"/>
      <c r="DB169" s="1880"/>
      <c r="DC169" s="2121"/>
      <c r="DD169" s="1880"/>
      <c r="DE169" s="1880"/>
      <c r="DF169" s="1880"/>
      <c r="DG169" s="1880"/>
      <c r="DH169" s="1880"/>
      <c r="DI169" s="1880"/>
      <c r="DJ169" s="1880"/>
      <c r="DK169" s="1880"/>
      <c r="DL169" s="1880"/>
      <c r="DM169" s="1880"/>
      <c r="DN169" s="1880"/>
      <c r="DO169" s="1880"/>
      <c r="DP169" s="1880"/>
      <c r="DQ169" s="1880"/>
      <c r="DR169" s="1880"/>
      <c r="DS169" s="1880"/>
      <c r="DT169" s="1880"/>
      <c r="DU169" s="1880"/>
      <c r="DV169" s="1880"/>
      <c r="DW169" s="1880"/>
      <c r="DX169" s="1880"/>
      <c r="DY169" s="1880"/>
      <c r="DZ169" s="1880"/>
      <c r="EA169" s="1880"/>
      <c r="EB169" s="1880"/>
      <c r="EC169" s="1880"/>
      <c r="ED169" s="1880"/>
      <c r="EE169" s="1880"/>
      <c r="EF169" s="1880"/>
      <c r="EG169" s="1880"/>
      <c r="EH169" s="1880"/>
      <c r="EI169" s="1880"/>
      <c r="EJ169" s="1880"/>
      <c r="EK169" s="1880"/>
      <c r="EL169" s="1880"/>
      <c r="EM169" s="1880"/>
      <c r="EN169" s="1880"/>
      <c r="EO169" s="1880"/>
      <c r="EP169" s="1880"/>
      <c r="EQ169" s="1880"/>
      <c r="ER169" s="1880"/>
      <c r="ES169" s="1880"/>
      <c r="ET169" s="1880"/>
      <c r="EU169" s="1880"/>
      <c r="EV169" s="1880"/>
      <c r="EW169" s="1880"/>
      <c r="EX169" s="1880"/>
      <c r="EY169" s="1880"/>
      <c r="EZ169" s="1880"/>
    </row>
    <row r="170" spans="1:156" ht="22.5">
      <c r="A170" s="1625"/>
      <c r="B170" s="2439" t="str">
        <f>_xlfn.LET(_xlpm.IsNotAttrDynamic,D170="",_xlpm.Attr,_PL!F170,_xlpm.NotInUse,Y170=D170,_xlpm.RESULT,IF(_xlpm.IsNotAttrDynamic,_xlpm.Attr,IF(_xlpm.NotInUse,"",Y170)),IF(_xlpm.RESULT="","",_xlpm.RESULT))</f>
        <v/>
      </c>
      <c r="C170" s="2439" t="str" cm="1">
        <f t="array" ref="C170">IFBLANK(_PL!C170,"")</f>
        <v/>
      </c>
      <c r="D170" s="1548"/>
      <c r="E170" s="2453"/>
      <c r="F170" s="578"/>
      <c r="G170" s="578"/>
      <c r="H170" s="510"/>
      <c r="I170" s="510"/>
      <c r="J170" s="401" t="str" cm="1">
        <f t="array" ref="J170">IFBLANK(Z170,"")</f>
        <v/>
      </c>
      <c r="K170" s="578" t="str">
        <f t="shared" si="51"/>
        <v>No</v>
      </c>
      <c r="L170" s="37"/>
      <c r="N170" s="158"/>
      <c r="O170" s="101"/>
      <c r="P170" s="52"/>
      <c r="Q170" s="101"/>
      <c r="R170" s="101"/>
      <c r="S170" s="101"/>
      <c r="T170" s="101"/>
      <c r="U170" s="39"/>
      <c r="V170" s="37"/>
      <c r="W170" s="165"/>
      <c r="X170" s="887"/>
      <c r="Y170" s="155"/>
      <c r="Z170" s="788"/>
      <c r="AA170" s="97"/>
      <c r="AB170" s="97"/>
      <c r="AC170" s="128"/>
      <c r="AD170" s="164"/>
      <c r="AE170" s="164"/>
      <c r="AF170" s="164"/>
      <c r="AG170" s="164"/>
      <c r="AH170" s="164"/>
      <c r="AI170" s="164"/>
      <c r="AJ170" s="164"/>
      <c r="AK170" s="164"/>
      <c r="AL170" s="164"/>
      <c r="AM170" s="164"/>
      <c r="AN170" s="164"/>
      <c r="AO170" s="164"/>
      <c r="AP170" s="164"/>
      <c r="AQ170" s="164"/>
      <c r="AR170" s="164"/>
      <c r="AS170" s="164"/>
      <c r="AT170" s="164"/>
      <c r="AU170" s="164"/>
      <c r="AV170" s="164"/>
      <c r="AW170" s="164"/>
      <c r="AX170" s="164"/>
      <c r="AY170" s="164"/>
      <c r="AZ170" s="164"/>
      <c r="BA170" s="164"/>
      <c r="BB170" s="164"/>
      <c r="BC170" s="164"/>
      <c r="BD170" s="164"/>
      <c r="BE170" s="164"/>
      <c r="BF170" s="164"/>
      <c r="BG170" s="164"/>
      <c r="BH170" s="164"/>
      <c r="BI170" s="164"/>
      <c r="BJ170" s="164"/>
      <c r="BK170" s="164"/>
      <c r="BL170" s="164"/>
      <c r="BM170" s="164"/>
      <c r="BN170" s="164"/>
      <c r="BO170" s="164"/>
      <c r="BP170" s="164"/>
      <c r="BQ170" s="164"/>
      <c r="BR170" s="164"/>
      <c r="BS170" s="164"/>
      <c r="BT170" s="164"/>
      <c r="BU170" s="164"/>
      <c r="BV170" s="164"/>
      <c r="BW170" s="164"/>
      <c r="BX170" s="164"/>
      <c r="BY170" s="164"/>
      <c r="BZ170" s="164"/>
      <c r="CA170" s="34"/>
      <c r="CC170" s="50"/>
      <c r="CD170" s="3024" t="s">
        <v>41</v>
      </c>
      <c r="CE170" s="3025"/>
      <c r="CF170" s="1472"/>
      <c r="CG170" s="3020" t="s">
        <v>109</v>
      </c>
      <c r="CH170" s="3021"/>
      <c r="CI170" s="1473"/>
      <c r="CJ170" s="3022" t="s">
        <v>43</v>
      </c>
      <c r="CK170" s="3023"/>
      <c r="CL170" s="1473"/>
      <c r="CM170" s="3015" t="s">
        <v>44</v>
      </c>
      <c r="CN170" s="3016"/>
      <c r="CO170" s="1470"/>
      <c r="CP170" s="3015" t="s">
        <v>45</v>
      </c>
      <c r="CQ170" s="3016"/>
      <c r="CR170" s="34"/>
      <c r="CS170" s="2056"/>
      <c r="CT170" s="1880"/>
      <c r="CU170" s="1880"/>
      <c r="CV170" s="1880"/>
      <c r="CW170" s="1880"/>
      <c r="CX170" s="2121"/>
      <c r="CY170" s="1880"/>
      <c r="CZ170" s="1880"/>
      <c r="DA170" s="1880"/>
      <c r="DB170" s="1880"/>
      <c r="DC170" s="2121"/>
      <c r="DD170" s="1880"/>
      <c r="DE170" s="1880"/>
      <c r="DF170" s="1880"/>
      <c r="DG170" s="1880"/>
      <c r="DH170" s="1880"/>
      <c r="DI170" s="1880"/>
      <c r="DJ170" s="1880"/>
      <c r="DK170" s="1880"/>
      <c r="DL170" s="1880"/>
      <c r="DM170" s="1880"/>
      <c r="DN170" s="1880"/>
      <c r="DO170" s="1880"/>
      <c r="DP170" s="1880"/>
      <c r="DQ170" s="1880"/>
      <c r="DR170" s="1880"/>
      <c r="DS170" s="1880"/>
      <c r="DT170" s="1880"/>
      <c r="DU170" s="1880"/>
      <c r="DV170" s="1880"/>
      <c r="DW170" s="1880"/>
      <c r="DX170" s="1880"/>
      <c r="DY170" s="1880"/>
      <c r="DZ170" s="1880"/>
      <c r="EA170" s="1880"/>
      <c r="EB170" s="1880"/>
      <c r="EC170" s="1880"/>
      <c r="ED170" s="1880"/>
      <c r="EE170" s="1880"/>
      <c r="EF170" s="1880"/>
      <c r="EG170" s="1880"/>
      <c r="EH170" s="1880"/>
      <c r="EI170" s="1880"/>
      <c r="EJ170" s="1880"/>
      <c r="EK170" s="1880"/>
      <c r="EL170" s="1880"/>
      <c r="EM170" s="1880"/>
      <c r="EN170" s="1880"/>
      <c r="EO170" s="1880"/>
      <c r="EP170" s="1880"/>
      <c r="EQ170" s="1880"/>
      <c r="ER170" s="1880"/>
      <c r="ES170" s="1880"/>
      <c r="ET170" s="1880"/>
      <c r="EU170" s="1880"/>
      <c r="EV170" s="1880"/>
      <c r="EW170" s="1880"/>
      <c r="EX170" s="1880"/>
      <c r="EY170" s="1880"/>
      <c r="EZ170" s="1880"/>
    </row>
    <row r="171" spans="1:156" ht="17.5" customHeight="1">
      <c r="A171" s="2427"/>
      <c r="B171" s="2439" t="str">
        <f>_xlfn.LET(_xlpm.IsNotAttrDynamic,D171="",_xlpm.Attr,_PL!F171,_xlpm.NotInUse,Y171=D171,_xlpm.RESULT,IF(_xlpm.IsNotAttrDynamic,_xlpm.Attr,IF(_xlpm.NotInUse,"",Y171)),IF(_xlpm.RESULT="","",_xlpm.RESULT))</f>
        <v/>
      </c>
      <c r="C171" s="2439" t="str" cm="1">
        <f t="array" ref="C171">IFBLANK(_PL!C171,"")</f>
        <v/>
      </c>
      <c r="D171" s="2458"/>
      <c r="E171" s="572"/>
      <c r="F171" s="2459"/>
      <c r="G171" s="578"/>
      <c r="H171" s="578"/>
      <c r="I171" s="578"/>
      <c r="J171" s="401" t="str" cm="1">
        <f t="array" ref="J171">IFBLANK(Z171,"")</f>
        <v>[Required]</v>
      </c>
      <c r="K171" s="578" t="str">
        <f t="shared" si="51"/>
        <v>Yes</v>
      </c>
      <c r="L171" s="37"/>
      <c r="N171" s="158"/>
      <c r="O171" s="101"/>
      <c r="P171" s="52"/>
      <c r="Q171" s="2"/>
      <c r="R171" s="101"/>
      <c r="S171" s="2"/>
      <c r="T171" s="2"/>
      <c r="U171" s="39"/>
      <c r="V171" s="37"/>
      <c r="W171" s="3038" t="str">
        <f>_PL!W171</f>
        <v>Actual</v>
      </c>
      <c r="X171" s="1247"/>
      <c r="Y171" s="3040" t="s">
        <v>143</v>
      </c>
      <c r="Z171" s="1248" t="s">
        <v>82</v>
      </c>
      <c r="AA171" s="1249"/>
      <c r="AB171" s="1630" t="s">
        <v>83</v>
      </c>
      <c r="AC171" s="1273"/>
      <c r="AD171" s="3186" cm="1">
        <f t="array" ca="1" aca="1" ref="AD171:AD172">fx_checkComp(AD178:AD181)</f>
        <v>1</v>
      </c>
      <c r="AE171" s="3186" cm="1">
        <f t="array" ca="1" aca="1" ref="AE171:AE172">fx_checkComp(AE178:AE181)</f>
        <v>1</v>
      </c>
      <c r="AF171" s="3186" cm="1">
        <f t="array" ca="1" aca="1" ref="AF171:AF172">fx_checkComp(AF178:AF181)</f>
        <v>1</v>
      </c>
      <c r="AG171" s="3186" cm="1">
        <f t="array" ca="1" aca="1" ref="AG171:AG172">fx_checkComp(AG178:AG181)</f>
        <v>1</v>
      </c>
      <c r="AH171" s="3186" cm="1">
        <f t="array" ca="1" aca="1" ref="AH171:AH172">fx_checkComp(AH178:AH181)</f>
        <v>1</v>
      </c>
      <c r="AI171" s="3186" cm="1">
        <f t="array" ca="1" aca="1" ref="AI171:AI172">fx_checkComp(AI178:AI181)</f>
        <v>1</v>
      </c>
      <c r="AJ171" s="3186" cm="1">
        <f t="array" ca="1" aca="1" ref="AJ171:AJ172">fx_checkComp(AJ178:AJ181)</f>
        <v>1</v>
      </c>
      <c r="AK171" s="3186" cm="1">
        <f t="array" ca="1" aca="1" ref="AK171:AK172">fx_checkComp(AK178:AK181)</f>
        <v>1</v>
      </c>
      <c r="AL171" s="3186" cm="1">
        <f t="array" ca="1" aca="1" ref="AL171:AL172">fx_checkComp(AL178:AL181)</f>
        <v>1</v>
      </c>
      <c r="AM171" s="3186" cm="1">
        <f t="array" ca="1" aca="1" ref="AM171:AM172">fx_checkComp(AM178:AM181)</f>
        <v>1</v>
      </c>
      <c r="AN171" s="3186" cm="1">
        <f t="array" ca="1" aca="1" ref="AN171:AN172">fx_checkComp(AN178:AN181)</f>
        <v>1</v>
      </c>
      <c r="AO171" s="3186" cm="1">
        <f t="array" ca="1" aca="1" ref="AO171:AO172">fx_checkComp(AO178:AO181)</f>
        <v>1</v>
      </c>
      <c r="AP171" s="3186" cm="1">
        <f t="array" ca="1" aca="1" ref="AP171:AP172">fx_checkComp(AP178:AP181)</f>
        <v>1</v>
      </c>
      <c r="AQ171" s="3186" cm="1">
        <f t="array" ca="1" aca="1" ref="AQ171:AQ172">fx_checkComp(AQ178:AQ181)</f>
        <v>1</v>
      </c>
      <c r="AR171" s="3186" cm="1">
        <f t="array" ca="1" aca="1" ref="AR171:AR172">fx_checkComp(AR178:AR181)</f>
        <v>1</v>
      </c>
      <c r="AS171" s="3186" cm="1">
        <f t="array" ca="1" aca="1" ref="AS171:AS172">fx_checkComp(AS178:AS181)</f>
        <v>1</v>
      </c>
      <c r="AT171" s="3186" cm="1">
        <f t="array" ca="1" aca="1" ref="AT171:AT172">fx_checkComp(AT178:AT181)</f>
        <v>1</v>
      </c>
      <c r="AU171" s="3186" cm="1">
        <f t="array" ca="1" aca="1" ref="AU171:AU172">fx_checkComp(AU178:AU181)</f>
        <v>1</v>
      </c>
      <c r="AV171" s="3186" cm="1">
        <f t="array" ca="1" aca="1" ref="AV171:AV172">fx_checkComp(AV178:AV181)</f>
        <v>1</v>
      </c>
      <c r="AW171" s="3186" cm="1">
        <f t="array" ca="1" aca="1" ref="AW171:AW172">fx_checkComp(AW178:AW181)</f>
        <v>1</v>
      </c>
      <c r="AX171" s="3186" cm="1">
        <f t="array" ca="1" aca="1" ref="AX171:AX172">fx_checkComp(AX178:AX181)</f>
        <v>1</v>
      </c>
      <c r="AY171" s="3186" cm="1">
        <f t="array" ca="1" aca="1" ref="AY171:AY172">fx_checkComp(AY178:AY181)</f>
        <v>1</v>
      </c>
      <c r="AZ171" s="3186" cm="1">
        <f t="array" ca="1" aca="1" ref="AZ171:AZ172">fx_checkComp(AZ178:AZ181)</f>
        <v>1</v>
      </c>
      <c r="BA171" s="3186" cm="1">
        <f t="array" ca="1" aca="1" ref="BA171:BA172">fx_checkComp(BA178:BA181)</f>
        <v>1</v>
      </c>
      <c r="BB171" s="3186" cm="1">
        <f t="array" ca="1" aca="1" ref="BB171:BB172">fx_checkComp(BB178:BB181)</f>
        <v>1</v>
      </c>
      <c r="BC171" s="3186" cm="1">
        <f t="array" ca="1" aca="1" ref="BC171:BC172">fx_checkComp(BC178:BC181)</f>
        <v>1</v>
      </c>
      <c r="BD171" s="3186" cm="1">
        <f t="array" ca="1" aca="1" ref="BD171:BD172">fx_checkComp(BD178:BD181)</f>
        <v>1</v>
      </c>
      <c r="BE171" s="3186" cm="1">
        <f t="array" ca="1" aca="1" ref="BE171:BE172">fx_checkComp(BE178:BE181)</f>
        <v>1</v>
      </c>
      <c r="BF171" s="3186" cm="1">
        <f t="array" ca="1" aca="1" ref="BF171:BF172">fx_checkComp(BF178:BF181)</f>
        <v>1</v>
      </c>
      <c r="BG171" s="3186" cm="1">
        <f t="array" ca="1" aca="1" ref="BG171:BG172">fx_checkComp(BG178:BG181)</f>
        <v>1</v>
      </c>
      <c r="BH171" s="3186" cm="1">
        <f t="array" ca="1" aca="1" ref="BH171:BH172">fx_checkComp(BH178:BH181)</f>
        <v>1</v>
      </c>
      <c r="BI171" s="3186" cm="1">
        <f t="array" ca="1" aca="1" ref="BI171:BI172">fx_checkComp(BI178:BI181)</f>
        <v>1</v>
      </c>
      <c r="BJ171" s="3186" cm="1">
        <f t="array" ca="1" aca="1" ref="BJ171:BJ172">fx_checkComp(BJ178:BJ181)</f>
        <v>1</v>
      </c>
      <c r="BK171" s="3186" cm="1">
        <f t="array" ca="1" aca="1" ref="BK171:BK172">fx_checkComp(BK178:BK181)</f>
        <v>1</v>
      </c>
      <c r="BL171" s="3186" cm="1">
        <f t="array" ca="1" aca="1" ref="BL171:BL172">fx_checkComp(BL178:BL181)</f>
        <v>1</v>
      </c>
      <c r="BM171" s="3186" cm="1">
        <f t="array" ca="1" aca="1" ref="BM171:BM172">fx_checkComp(BM178:BM181)</f>
        <v>1</v>
      </c>
      <c r="BN171" s="3187" cm="1">
        <f t="array" ca="1" aca="1" ref="BN171:BN172">fx_checkComp(BN178:BN181)</f>
        <v>1</v>
      </c>
      <c r="BO171" s="1804"/>
      <c r="BP171" s="1804"/>
      <c r="BQ171" s="1804"/>
      <c r="BR171" s="1804"/>
      <c r="BS171" s="1804"/>
      <c r="BT171" s="1804"/>
      <c r="BU171" s="1804"/>
      <c r="BV171" s="1804"/>
      <c r="BW171" s="1804"/>
      <c r="BX171" s="1804"/>
      <c r="BY171" s="1804"/>
      <c r="BZ171" s="1804"/>
      <c r="CA171" s="34"/>
      <c r="CC171" s="33"/>
      <c r="CD171" s="1343" t="e" cm="1">
        <f t="array" ca="1" aca="1" ref="CD171">YEAR(val_currentFYE)-2</f>
        <v>#NAME?</v>
      </c>
      <c r="CE171" s="1344" t="e" cm="1">
        <f t="array" ca="1" aca="1" ref="CE171">YEAR(val_currentFYE)-1</f>
        <v>#NAME?</v>
      </c>
      <c r="CF171" s="88"/>
      <c r="CG171" s="1350" t="e" cm="1">
        <f t="array" ca="1" aca="1" ref="CG171">YEAR(val_currentFYE)</f>
        <v>#NAME?</v>
      </c>
      <c r="CH171" s="1351" t="e" cm="1">
        <f t="array" ca="1" aca="1" ref="CH171">YEAR(val_currentFYE)</f>
        <v>#NAME?</v>
      </c>
      <c r="CI171" s="170"/>
      <c r="CJ171" s="208" t="s">
        <v>54</v>
      </c>
      <c r="CK171" s="209" t="s">
        <v>54</v>
      </c>
      <c r="CL171" s="88"/>
      <c r="CM171" s="1664" cm="1">
        <f t="array" ca="1" aca="1" ref="CM171:CM172">fx_checkComp(CM176:CM181)</f>
        <v>100</v>
      </c>
      <c r="CN171" s="1665" cm="1">
        <f t="array" ca="1" aca="1" ref="CN171:CN172">fx_checkComp(CN176:CN181)</f>
        <v>100</v>
      </c>
      <c r="CO171" s="88"/>
      <c r="CP171" s="1664" cm="1">
        <f t="array" ca="1" aca="1" ref="CP171:CP172">fx_checkComp(CP176:CP181)</f>
        <v>100</v>
      </c>
      <c r="CQ171" s="1665" cm="1">
        <f t="array" ca="1" aca="1" ref="CQ171:CQ172">fx_checkComp(CQ176:CQ181)</f>
        <v>100</v>
      </c>
      <c r="CR171" s="34"/>
      <c r="CS171" s="2056"/>
      <c r="CT171" s="1880"/>
      <c r="CU171" s="1880"/>
      <c r="CV171" s="1880"/>
      <c r="CW171" s="1880"/>
      <c r="CX171" s="2121"/>
      <c r="CY171" s="1880"/>
      <c r="CZ171" s="1880"/>
      <c r="DA171" s="1880"/>
      <c r="DB171" s="1880"/>
      <c r="DC171" s="2121"/>
      <c r="DD171" s="1880"/>
      <c r="DE171" s="1880"/>
      <c r="DF171" s="1880"/>
      <c r="DG171" s="1880"/>
      <c r="DH171" s="1880"/>
      <c r="DI171" s="1880"/>
      <c r="DJ171" s="1880"/>
      <c r="DK171" s="1880"/>
      <c r="DL171" s="1880"/>
      <c r="DM171" s="1880"/>
      <c r="DN171" s="1880"/>
      <c r="DO171" s="1880"/>
      <c r="DP171" s="1880"/>
      <c r="DQ171" s="1880"/>
      <c r="DR171" s="1880"/>
      <c r="DS171" s="1880"/>
      <c r="DT171" s="1880"/>
      <c r="DU171" s="1880"/>
      <c r="DV171" s="1880"/>
      <c r="DW171" s="1880"/>
      <c r="DX171" s="1880"/>
      <c r="DY171" s="1880"/>
      <c r="DZ171" s="1880"/>
      <c r="EA171" s="1880"/>
      <c r="EB171" s="1880"/>
      <c r="EC171" s="1880"/>
      <c r="ED171" s="1880"/>
      <c r="EE171" s="1880"/>
      <c r="EF171" s="1880"/>
      <c r="EG171" s="1880"/>
      <c r="EH171" s="1880"/>
      <c r="EI171" s="1880"/>
      <c r="EJ171" s="1880"/>
      <c r="EK171" s="1880"/>
      <c r="EL171" s="1880"/>
      <c r="EM171" s="1880"/>
      <c r="EN171" s="1880"/>
      <c r="EO171" s="1880"/>
      <c r="EP171" s="1880"/>
      <c r="EQ171" s="1880"/>
      <c r="ER171" s="1880"/>
      <c r="ES171" s="1880"/>
      <c r="ET171" s="1880"/>
      <c r="EU171" s="1880"/>
      <c r="EV171" s="1880"/>
      <c r="EW171" s="1880"/>
      <c r="EX171" s="1880"/>
      <c r="EY171" s="1880"/>
      <c r="EZ171" s="1880"/>
    </row>
    <row r="172" spans="1:156" ht="17.5" customHeight="1">
      <c r="A172" s="2427"/>
      <c r="B172" s="2439" t="str">
        <f>_xlfn.LET(_xlpm.IsNotAttrDynamic,D172="",_xlpm.Attr,_PL!F172,_xlpm.NotInUse,Y172=D172,_xlpm.RESULT,IF(_xlpm.IsNotAttrDynamic,_xlpm.Attr,IF(_xlpm.NotInUse,"",Y172)),IF(_xlpm.RESULT="","",_xlpm.RESULT))</f>
        <v/>
      </c>
      <c r="C172" s="2439" t="str" cm="1">
        <f t="array" ref="C172">IFBLANK(_PL!C172,"")</f>
        <v/>
      </c>
      <c r="D172" s="2458"/>
      <c r="E172" s="572"/>
      <c r="F172" s="2459"/>
      <c r="G172" s="578"/>
      <c r="H172" s="578"/>
      <c r="I172" s="578"/>
      <c r="J172" s="401" t="str" cm="1">
        <f t="array" ref="J172">IFBLANK(Z172,"")</f>
        <v/>
      </c>
      <c r="K172" s="578" t="str">
        <f t="shared" si="51"/>
        <v>No</v>
      </c>
      <c r="L172" s="37"/>
      <c r="N172" s="158"/>
      <c r="O172" s="101"/>
      <c r="P172" s="52"/>
      <c r="Q172" s="2"/>
      <c r="R172" s="101"/>
      <c r="S172" s="2"/>
      <c r="T172" s="2"/>
      <c r="U172" s="39"/>
      <c r="V172" s="37"/>
      <c r="W172" s="3039"/>
      <c r="X172" s="1250"/>
      <c r="Y172" s="3041"/>
      <c r="Z172" s="1251"/>
      <c r="AA172" s="1252"/>
      <c r="AB172" s="1631" t="s">
        <v>84</v>
      </c>
      <c r="AC172" s="1162"/>
      <c r="AD172" s="2430" t="str">
        <f ca="1"/>
        <v>O: 4 / 4</v>
      </c>
      <c r="AE172" s="2430" t="str">
        <f ca="1"/>
        <v>O: 4 / 4</v>
      </c>
      <c r="AF172" s="2430" t="str">
        <f ca="1"/>
        <v>O: 4 / 4</v>
      </c>
      <c r="AG172" s="2430" t="str">
        <f ca="1"/>
        <v>O: 4 / 4</v>
      </c>
      <c r="AH172" s="2430" t="str">
        <f ca="1"/>
        <v>O: 4 / 4</v>
      </c>
      <c r="AI172" s="2430" t="str">
        <f ca="1"/>
        <v>O: 4 / 4</v>
      </c>
      <c r="AJ172" s="2430" t="str">
        <f ca="1"/>
        <v>O: 4 / 4</v>
      </c>
      <c r="AK172" s="2430" t="str">
        <f ca="1"/>
        <v>O: 4 / 4</v>
      </c>
      <c r="AL172" s="2430" t="str">
        <f ca="1"/>
        <v>O: 4 / 4</v>
      </c>
      <c r="AM172" s="2430" t="str">
        <f ca="1"/>
        <v>O: 4 / 4</v>
      </c>
      <c r="AN172" s="2430" t="str">
        <f ca="1"/>
        <v>O: 4 / 4</v>
      </c>
      <c r="AO172" s="2430" t="str">
        <f ca="1"/>
        <v>O: 4 / 4</v>
      </c>
      <c r="AP172" s="2430" t="str">
        <f ca="1"/>
        <v>O: 4 / 4</v>
      </c>
      <c r="AQ172" s="2430" t="str">
        <f ca="1"/>
        <v>O: 4 / 4</v>
      </c>
      <c r="AR172" s="2430" t="str">
        <f ca="1"/>
        <v>O: 4 / 4</v>
      </c>
      <c r="AS172" s="2430" t="str">
        <f ca="1"/>
        <v>O: 4 / 4</v>
      </c>
      <c r="AT172" s="2430" t="str">
        <f ca="1"/>
        <v>O: 4 / 4</v>
      </c>
      <c r="AU172" s="2430" t="str">
        <f ca="1"/>
        <v>O: 4 / 4</v>
      </c>
      <c r="AV172" s="2430" t="str">
        <f ca="1"/>
        <v>O: 4 / 4</v>
      </c>
      <c r="AW172" s="2430" t="str">
        <f ca="1"/>
        <v>O: 4 / 4</v>
      </c>
      <c r="AX172" s="2430" t="str">
        <f ca="1"/>
        <v>O: 4 / 4</v>
      </c>
      <c r="AY172" s="2430" t="str">
        <f ca="1"/>
        <v>O: 4 / 4</v>
      </c>
      <c r="AZ172" s="2430" t="str">
        <f ca="1"/>
        <v>O: 4 / 4</v>
      </c>
      <c r="BA172" s="2430" t="str">
        <f ca="1"/>
        <v>O: 4 / 4</v>
      </c>
      <c r="BB172" s="2430" t="str">
        <f ca="1"/>
        <v>O: 4 / 4</v>
      </c>
      <c r="BC172" s="2430" t="str">
        <f ca="1"/>
        <v>O: 4 / 4</v>
      </c>
      <c r="BD172" s="2430" t="str">
        <f ca="1"/>
        <v>O: 4 / 4</v>
      </c>
      <c r="BE172" s="2430" t="str">
        <f ca="1"/>
        <v>O: 4 / 4</v>
      </c>
      <c r="BF172" s="2430" t="str">
        <f ca="1"/>
        <v>O: 4 / 4</v>
      </c>
      <c r="BG172" s="2430" t="str">
        <f ca="1"/>
        <v>O: 4 / 4</v>
      </c>
      <c r="BH172" s="2430" t="str">
        <f ca="1"/>
        <v>O: 4 / 4</v>
      </c>
      <c r="BI172" s="2430" t="str">
        <f ca="1"/>
        <v>O: 4 / 4</v>
      </c>
      <c r="BJ172" s="2430" t="str">
        <f ca="1"/>
        <v>O: 4 / 4</v>
      </c>
      <c r="BK172" s="2430" t="str">
        <f ca="1"/>
        <v>O: 4 / 4</v>
      </c>
      <c r="BL172" s="2430" t="str">
        <f ca="1"/>
        <v>O: 4 / 4</v>
      </c>
      <c r="BM172" s="2430" t="str">
        <f ca="1"/>
        <v>O: 4 / 4</v>
      </c>
      <c r="BN172" s="2431" t="str">
        <f ca="1"/>
        <v>O: 4 / 4</v>
      </c>
      <c r="BO172" s="2432"/>
      <c r="BP172" s="2432"/>
      <c r="BQ172" s="2432"/>
      <c r="BR172" s="2432"/>
      <c r="BS172" s="2432"/>
      <c r="BT172" s="2432"/>
      <c r="BU172" s="2432"/>
      <c r="BV172" s="2432"/>
      <c r="BW172" s="2432"/>
      <c r="BX172" s="2432"/>
      <c r="BY172" s="2432"/>
      <c r="BZ172" s="2432"/>
      <c r="CA172" s="34"/>
      <c r="CC172" s="33"/>
      <c r="CD172" s="1341"/>
      <c r="CE172" s="1342"/>
      <c r="CF172" s="88"/>
      <c r="CG172" s="1350"/>
      <c r="CH172" s="1351"/>
      <c r="CI172" s="170"/>
      <c r="CJ172" s="1348"/>
      <c r="CK172" s="1349"/>
      <c r="CL172" s="88"/>
      <c r="CM172" s="1666" t="str">
        <f ca="1"/>
        <v>O: 4 / 4</v>
      </c>
      <c r="CN172" s="1667" t="str">
        <f ca="1"/>
        <v>O: 4 / 4</v>
      </c>
      <c r="CO172" s="88"/>
      <c r="CP172" s="1666" t="str">
        <f ca="1"/>
        <v>O: 4 / 4</v>
      </c>
      <c r="CQ172" s="1667" t="str">
        <f ca="1"/>
        <v>O: 4 / 4</v>
      </c>
      <c r="CR172" s="34"/>
      <c r="CS172" s="2056"/>
      <c r="CT172" s="1880"/>
      <c r="CU172" s="1880"/>
      <c r="CV172" s="1880"/>
      <c r="CW172" s="1880"/>
      <c r="CX172" s="2121"/>
      <c r="CY172" s="1880"/>
      <c r="CZ172" s="1880"/>
      <c r="DA172" s="1880"/>
      <c r="DB172" s="1880"/>
      <c r="DC172" s="2121"/>
      <c r="DD172" s="1880"/>
      <c r="DE172" s="1880"/>
      <c r="DF172" s="1880"/>
      <c r="DG172" s="1880"/>
      <c r="DH172" s="1880"/>
      <c r="DI172" s="1880"/>
      <c r="DJ172" s="1880"/>
      <c r="DK172" s="1880"/>
      <c r="DL172" s="1880"/>
      <c r="DM172" s="1880"/>
      <c r="DN172" s="1880"/>
      <c r="DO172" s="1880"/>
      <c r="DP172" s="1880"/>
      <c r="DQ172" s="1880"/>
      <c r="DR172" s="1880"/>
      <c r="DS172" s="1880"/>
      <c r="DT172" s="1880"/>
      <c r="DU172" s="1880"/>
      <c r="DV172" s="1880"/>
      <c r="DW172" s="1880"/>
      <c r="DX172" s="1880"/>
      <c r="DY172" s="1880"/>
      <c r="DZ172" s="1880"/>
      <c r="EA172" s="1880"/>
      <c r="EB172" s="1880"/>
      <c r="EC172" s="1880"/>
      <c r="ED172" s="1880"/>
      <c r="EE172" s="1880"/>
      <c r="EF172" s="1880"/>
      <c r="EG172" s="1880"/>
      <c r="EH172" s="1880"/>
      <c r="EI172" s="1880"/>
      <c r="EJ172" s="1880"/>
      <c r="EK172" s="1880"/>
      <c r="EL172" s="1880"/>
      <c r="EM172" s="1880"/>
      <c r="EN172" s="1880"/>
      <c r="EO172" s="1880"/>
      <c r="EP172" s="1880"/>
      <c r="EQ172" s="1880"/>
      <c r="ER172" s="1880"/>
      <c r="ES172" s="1880"/>
      <c r="ET172" s="1880"/>
      <c r="EU172" s="1880"/>
      <c r="EV172" s="1880"/>
      <c r="EW172" s="1880"/>
      <c r="EX172" s="1880"/>
      <c r="EY172" s="1880"/>
      <c r="EZ172" s="1880"/>
    </row>
    <row r="173" spans="1:156" ht="30.75" customHeight="1">
      <c r="A173" s="1627"/>
      <c r="B173" s="2439" t="str">
        <f>_xlfn.LET(_xlpm.IsNotAttrDynamic,D173="",_xlpm.Attr,_PL!F173,_xlpm.NotInUse,Y173=D173,_xlpm.RESULT,IF(_xlpm.IsNotAttrDynamic,_xlpm.Attr,IF(_xlpm.NotInUse,"",Y173)),IF(_xlpm.RESULT="","",_xlpm.RESULT))</f>
        <v/>
      </c>
      <c r="C173" s="2439" t="str" cm="1">
        <f t="array" ref="C173">IFBLANK(_PL!C173,"")</f>
        <v/>
      </c>
      <c r="D173" s="1548"/>
      <c r="E173" s="2453"/>
      <c r="F173" s="572"/>
      <c r="G173" s="572"/>
      <c r="H173" s="572"/>
      <c r="I173" s="572">
        <v>3</v>
      </c>
      <c r="J173" s="401" t="str" cm="1">
        <f t="array" ref="J173">IFBLANK(Z173,"")</f>
        <v/>
      </c>
      <c r="K173" s="578" t="str">
        <f t="shared" si="51"/>
        <v>No</v>
      </c>
      <c r="L173" s="37"/>
      <c r="N173" s="158"/>
      <c r="O173" s="101"/>
      <c r="P173" s="52"/>
      <c r="Q173" s="101"/>
      <c r="R173" s="101"/>
      <c r="S173" s="101"/>
      <c r="T173" s="101"/>
      <c r="U173" s="39"/>
      <c r="V173" s="37"/>
      <c r="W173" s="161"/>
      <c r="X173" s="887"/>
      <c r="Y173" s="186"/>
      <c r="Z173" s="789"/>
      <c r="AA173" s="1629"/>
      <c r="AB173" s="162"/>
      <c r="AC173" s="195"/>
      <c r="AD173" s="2493" cm="1">
        <f t="array" ref="AD173:BN173">array_timeline</f>
        <v>44926</v>
      </c>
      <c r="AE173" s="2493">
        <v>44957</v>
      </c>
      <c r="AF173" s="2493">
        <v>44985</v>
      </c>
      <c r="AG173" s="2493">
        <v>45016</v>
      </c>
      <c r="AH173" s="2493">
        <v>45046</v>
      </c>
      <c r="AI173" s="2493">
        <v>45077</v>
      </c>
      <c r="AJ173" s="2493">
        <v>45107</v>
      </c>
      <c r="AK173" s="2493">
        <v>45138</v>
      </c>
      <c r="AL173" s="2493">
        <v>45169</v>
      </c>
      <c r="AM173" s="2493">
        <v>45199</v>
      </c>
      <c r="AN173" s="2493">
        <v>45230</v>
      </c>
      <c r="AO173" s="2493">
        <v>45260</v>
      </c>
      <c r="AP173" s="2493">
        <v>45291</v>
      </c>
      <c r="AQ173" s="2493">
        <v>45322</v>
      </c>
      <c r="AR173" s="2493">
        <v>45351</v>
      </c>
      <c r="AS173" s="2493">
        <v>45382</v>
      </c>
      <c r="AT173" s="2493">
        <v>45412</v>
      </c>
      <c r="AU173" s="2493">
        <v>45443</v>
      </c>
      <c r="AV173" s="2493">
        <v>45473</v>
      </c>
      <c r="AW173" s="2493">
        <v>45504</v>
      </c>
      <c r="AX173" s="2493">
        <v>45535</v>
      </c>
      <c r="AY173" s="2493">
        <v>45565</v>
      </c>
      <c r="AZ173" s="2493">
        <v>45596</v>
      </c>
      <c r="BA173" s="2493">
        <v>45626</v>
      </c>
      <c r="BB173" s="2493">
        <v>45657</v>
      </c>
      <c r="BC173" s="2493">
        <v>45688</v>
      </c>
      <c r="BD173" s="2493">
        <v>45716</v>
      </c>
      <c r="BE173" s="2493">
        <v>45747</v>
      </c>
      <c r="BF173" s="2493">
        <v>45777</v>
      </c>
      <c r="BG173" s="2493">
        <v>45808</v>
      </c>
      <c r="BH173" s="2493">
        <v>45838</v>
      </c>
      <c r="BI173" s="2493">
        <v>45869</v>
      </c>
      <c r="BJ173" s="2493">
        <v>45900</v>
      </c>
      <c r="BK173" s="2493">
        <v>45930</v>
      </c>
      <c r="BL173" s="2493">
        <v>45961</v>
      </c>
      <c r="BM173" s="2493">
        <v>45991</v>
      </c>
      <c r="BN173" s="2541">
        <v>46022</v>
      </c>
      <c r="BO173" s="2495"/>
      <c r="BP173" s="2495"/>
      <c r="BQ173" s="2495"/>
      <c r="BR173" s="2495"/>
      <c r="BS173" s="2495"/>
      <c r="BT173" s="2495"/>
      <c r="BU173" s="2495"/>
      <c r="BV173" s="2495"/>
      <c r="BW173" s="2495"/>
      <c r="BX173" s="2495"/>
      <c r="BY173" s="2495"/>
      <c r="BZ173" s="2495"/>
      <c r="CA173" s="34"/>
      <c r="CC173" s="2587"/>
      <c r="CD173" s="1722" t="e" cm="1">
        <f t="array" ca="1" aca="1" ref="CD173">EOMONTH(val_currentFYE,-24)</f>
        <v>#NAME?</v>
      </c>
      <c r="CE173" s="1723" t="e" cm="1">
        <f t="array" ca="1" aca="1" ref="CE173">EOMONTH(val_currentFYE,-12)</f>
        <v>#NAME?</v>
      </c>
      <c r="CF173" s="277"/>
      <c r="CG173" s="1732">
        <f>EOMONTH(val_asOfDate,0)</f>
        <v>46022</v>
      </c>
      <c r="CH173" s="1733">
        <f>EOMONTH(val_asOfDate,0)</f>
        <v>46022</v>
      </c>
      <c r="CI173" s="276"/>
      <c r="CJ173" s="1730">
        <f>EOMONTH(val_asOfDate,-1)</f>
        <v>45991</v>
      </c>
      <c r="CK173" s="1731">
        <f>EOMONTH(val_asOfDate,0)</f>
        <v>46022</v>
      </c>
      <c r="CL173" s="88"/>
      <c r="CM173" s="2561" t="e" cm="1">
        <f t="array" ca="1" aca="1" ref="CM173">val_currentFYE</f>
        <v>#NAME?</v>
      </c>
      <c r="CN173" s="2581" t="e" cm="1">
        <f t="array" ca="1" aca="1" ref="CN173">val_currentFYE</f>
        <v>#NAME?</v>
      </c>
      <c r="CO173" s="2580"/>
      <c r="CP173" s="2561" t="e" cm="1">
        <f t="array" ca="1" aca="1" ref="CP173">EOMONTH(val_currentFYE,12)</f>
        <v>#NAME?</v>
      </c>
      <c r="CQ173" s="2581" t="e" cm="1">
        <f t="array" ca="1" aca="1" ref="CQ173">EOMONTH(val_currentFYE,12)</f>
        <v>#NAME?</v>
      </c>
      <c r="CR173" s="34"/>
      <c r="CS173" s="2056"/>
      <c r="CT173" s="1880"/>
      <c r="CU173" s="1880"/>
      <c r="CV173" s="1880"/>
      <c r="CW173" s="1880"/>
      <c r="CX173" s="2121"/>
      <c r="CY173" s="1880"/>
      <c r="CZ173" s="1880"/>
      <c r="DA173" s="1880"/>
      <c r="DB173" s="1880"/>
      <c r="DC173" s="2121"/>
      <c r="DD173" s="1880"/>
      <c r="DE173" s="1880"/>
      <c r="DF173" s="1880"/>
      <c r="DG173" s="1880"/>
      <c r="DH173" s="1880"/>
      <c r="DI173" s="1880"/>
      <c r="DJ173" s="1880"/>
      <c r="DK173" s="1880"/>
      <c r="DL173" s="1880"/>
      <c r="DM173" s="1880"/>
      <c r="DN173" s="1880"/>
      <c r="DO173" s="1880"/>
      <c r="DP173" s="1880"/>
      <c r="DQ173" s="1880"/>
      <c r="DR173" s="1880"/>
      <c r="DS173" s="1880"/>
      <c r="DT173" s="1880"/>
      <c r="DU173" s="1880"/>
      <c r="DV173" s="1880"/>
      <c r="DW173" s="1880"/>
      <c r="DX173" s="1880"/>
      <c r="DY173" s="1880"/>
      <c r="DZ173" s="1880"/>
      <c r="EA173" s="1880"/>
      <c r="EB173" s="1880"/>
      <c r="EC173" s="1880"/>
      <c r="ED173" s="1880"/>
      <c r="EE173" s="1880"/>
      <c r="EF173" s="1880"/>
      <c r="EG173" s="1880"/>
      <c r="EH173" s="1880"/>
      <c r="EI173" s="1880"/>
      <c r="EJ173" s="1880"/>
      <c r="EK173" s="1880"/>
      <c r="EL173" s="1880"/>
      <c r="EM173" s="1880"/>
      <c r="EN173" s="1880"/>
      <c r="EO173" s="1880"/>
      <c r="EP173" s="1880"/>
      <c r="EQ173" s="1880"/>
      <c r="ER173" s="1880"/>
      <c r="ES173" s="1880"/>
      <c r="ET173" s="1880"/>
      <c r="EU173" s="1880"/>
      <c r="EV173" s="1880"/>
      <c r="EW173" s="1880"/>
      <c r="EX173" s="1880"/>
      <c r="EY173" s="1880"/>
      <c r="EZ173" s="1880"/>
    </row>
    <row r="174" spans="1:156" ht="30.75" customHeight="1">
      <c r="A174" s="2449"/>
      <c r="B174" s="2439" t="str">
        <f>_xlfn.LET(_xlpm.IsNotAttrDynamic,D174="",_xlpm.Attr,_PL!F174,_xlpm.NotInUse,Y174=D174,_xlpm.RESULT,IF(_xlpm.IsNotAttrDynamic,_xlpm.Attr,IF(_xlpm.NotInUse,"",Y174)),IF(_xlpm.RESULT="","",_xlpm.RESULT))</f>
        <v/>
      </c>
      <c r="C174" s="2439" t="str" cm="1">
        <f t="array" ref="C174">IFBLANK(_PL!C174,"")</f>
        <v/>
      </c>
      <c r="D174" s="1548"/>
      <c r="E174" s="2453"/>
      <c r="F174" s="576"/>
      <c r="G174" s="576"/>
      <c r="H174" s="2546"/>
      <c r="I174" s="2546"/>
      <c r="J174" s="401" t="str" cm="1">
        <f t="array" ref="J174">IFBLANK(Z174,"")</f>
        <v/>
      </c>
      <c r="K174" s="578" t="str">
        <f t="shared" si="51"/>
        <v>No</v>
      </c>
      <c r="L174" s="37"/>
      <c r="N174" s="158"/>
      <c r="O174" s="101"/>
      <c r="P174" s="52"/>
      <c r="Q174" s="101"/>
      <c r="R174" s="101"/>
      <c r="S174" s="101"/>
      <c r="T174" s="101"/>
      <c r="U174" s="39"/>
      <c r="V174" s="37"/>
      <c r="W174" s="751" t="s">
        <v>94</v>
      </c>
      <c r="X174" s="896"/>
      <c r="Y174" s="762" t="s">
        <v>118</v>
      </c>
      <c r="Z174" s="790"/>
      <c r="AA174" s="193"/>
      <c r="AB174" s="193"/>
      <c r="AC174" s="125"/>
      <c r="AD174" s="2641" t="str">
        <f>$W$171</f>
        <v>Actual</v>
      </c>
      <c r="AE174" s="2641" t="str">
        <f t="shared" si="52" ref="AE174:BN174">$W$171</f>
        <v>Actual</v>
      </c>
      <c r="AF174" s="2641" t="str">
        <f t="shared" si="52"/>
        <v>Actual</v>
      </c>
      <c r="AG174" s="2641" t="str">
        <f t="shared" si="52"/>
        <v>Actual</v>
      </c>
      <c r="AH174" s="2641" t="str">
        <f t="shared" si="52"/>
        <v>Actual</v>
      </c>
      <c r="AI174" s="2641" t="str">
        <f t="shared" si="52"/>
        <v>Actual</v>
      </c>
      <c r="AJ174" s="2641" t="str">
        <f t="shared" si="52"/>
        <v>Actual</v>
      </c>
      <c r="AK174" s="2641" t="str">
        <f t="shared" si="52"/>
        <v>Actual</v>
      </c>
      <c r="AL174" s="2641" t="str">
        <f t="shared" si="52"/>
        <v>Actual</v>
      </c>
      <c r="AM174" s="2641" t="str">
        <f t="shared" si="52"/>
        <v>Actual</v>
      </c>
      <c r="AN174" s="2641" t="str">
        <f t="shared" si="52"/>
        <v>Actual</v>
      </c>
      <c r="AO174" s="2641" t="str">
        <f t="shared" si="52"/>
        <v>Actual</v>
      </c>
      <c r="AP174" s="2641" t="str">
        <f t="shared" si="52"/>
        <v>Actual</v>
      </c>
      <c r="AQ174" s="2641" t="str">
        <f t="shared" si="52"/>
        <v>Actual</v>
      </c>
      <c r="AR174" s="2641" t="str">
        <f t="shared" si="52"/>
        <v>Actual</v>
      </c>
      <c r="AS174" s="2641" t="str">
        <f t="shared" si="52"/>
        <v>Actual</v>
      </c>
      <c r="AT174" s="2641" t="str">
        <f t="shared" si="52"/>
        <v>Actual</v>
      </c>
      <c r="AU174" s="2641" t="str">
        <f t="shared" si="52"/>
        <v>Actual</v>
      </c>
      <c r="AV174" s="2641" t="str">
        <f t="shared" si="52"/>
        <v>Actual</v>
      </c>
      <c r="AW174" s="2641" t="str">
        <f t="shared" si="52"/>
        <v>Actual</v>
      </c>
      <c r="AX174" s="2641" t="str">
        <f t="shared" si="52"/>
        <v>Actual</v>
      </c>
      <c r="AY174" s="2641" t="str">
        <f t="shared" si="52"/>
        <v>Actual</v>
      </c>
      <c r="AZ174" s="2641" t="str">
        <f t="shared" si="52"/>
        <v>Actual</v>
      </c>
      <c r="BA174" s="2641" t="str">
        <f t="shared" si="52"/>
        <v>Actual</v>
      </c>
      <c r="BB174" s="2641" t="str">
        <f t="shared" si="52"/>
        <v>Actual</v>
      </c>
      <c r="BC174" s="2641" t="str">
        <f t="shared" si="52"/>
        <v>Actual</v>
      </c>
      <c r="BD174" s="2641" t="str">
        <f t="shared" si="52"/>
        <v>Actual</v>
      </c>
      <c r="BE174" s="2641" t="str">
        <f t="shared" si="52"/>
        <v>Actual</v>
      </c>
      <c r="BF174" s="2641" t="str">
        <f t="shared" si="52"/>
        <v>Actual</v>
      </c>
      <c r="BG174" s="2641" t="str">
        <f t="shared" si="52"/>
        <v>Actual</v>
      </c>
      <c r="BH174" s="2641" t="str">
        <f t="shared" si="52"/>
        <v>Actual</v>
      </c>
      <c r="BI174" s="2641" t="str">
        <f t="shared" si="52"/>
        <v>Actual</v>
      </c>
      <c r="BJ174" s="2641" t="str">
        <f t="shared" si="52"/>
        <v>Actual</v>
      </c>
      <c r="BK174" s="2641" t="str">
        <f t="shared" si="52"/>
        <v>Actual</v>
      </c>
      <c r="BL174" s="2641" t="str">
        <f t="shared" si="52"/>
        <v>Actual</v>
      </c>
      <c r="BM174" s="2641" t="str">
        <f t="shared" si="52"/>
        <v>Actual</v>
      </c>
      <c r="BN174" s="2641" t="str">
        <f t="shared" si="52"/>
        <v>Actual</v>
      </c>
      <c r="BO174" s="2070"/>
      <c r="BP174" s="2070"/>
      <c r="BQ174" s="2070"/>
      <c r="BR174" s="2070"/>
      <c r="BS174" s="2070"/>
      <c r="BT174" s="2070"/>
      <c r="BU174" s="2070"/>
      <c r="BV174" s="2070"/>
      <c r="BW174" s="2070"/>
      <c r="BX174" s="2070"/>
      <c r="BY174" s="2070"/>
      <c r="BZ174" s="2070"/>
      <c r="CA174" s="34"/>
      <c r="CC174" s="50"/>
      <c r="CD174" s="1720" t="str" cm="1">
        <f t="array" ref="CD174">fx_scenarioConverter($W171)</f>
        <v>Actual</v>
      </c>
      <c r="CE174" s="1721" t="str" cm="1">
        <f t="array" ref="CE174">fx_scenarioConverter($W171)</f>
        <v>Actual</v>
      </c>
      <c r="CF174" s="128"/>
      <c r="CG174" s="1734" t="str" cm="1">
        <f t="array" ref="CG174">fx_scenarioConverter($W171)</f>
        <v>Actual</v>
      </c>
      <c r="CH174" s="1735" t="str" cm="1">
        <f t="array" ref="CH174">fx_scenarioConverter($W171)</f>
        <v>Actual</v>
      </c>
      <c r="CI174" s="207"/>
      <c r="CJ174" s="1724" t="str" cm="1">
        <f t="array" ref="CJ174">fx_scenarioConverter($W171)</f>
        <v>Actual</v>
      </c>
      <c r="CK174" s="1725" t="str" cm="1">
        <f t="array" ref="CK174">fx_scenarioConverter($W171)</f>
        <v>Actual</v>
      </c>
      <c r="CL174" s="88"/>
      <c r="CM174" s="1198" t="str">
        <f>CM$19</f>
        <v>Original Budget</v>
      </c>
      <c r="CN174" s="1198" t="str">
        <f>CN$19</f>
        <v>LE</v>
      </c>
      <c r="CO174" s="88"/>
      <c r="CP174" s="1198" t="str">
        <f>CP$19</f>
        <v>Original Budget</v>
      </c>
      <c r="CQ174" s="1198" t="str">
        <f>CQ$19</f>
        <v>LE</v>
      </c>
      <c r="CR174" s="34"/>
      <c r="CS174" s="2056"/>
      <c r="CT174" s="1880"/>
      <c r="CU174" s="1880"/>
      <c r="CV174" s="1880"/>
      <c r="CW174" s="1880"/>
      <c r="CX174" s="2121"/>
      <c r="CY174" s="1880"/>
      <c r="CZ174" s="1880"/>
      <c r="DA174" s="1880"/>
      <c r="DB174" s="1880"/>
      <c r="DC174" s="2121"/>
      <c r="DD174" s="1880"/>
      <c r="DE174" s="1880"/>
      <c r="DF174" s="1880"/>
      <c r="DG174" s="1880"/>
      <c r="DH174" s="1880"/>
      <c r="DI174" s="1880"/>
      <c r="DJ174" s="1880"/>
      <c r="DK174" s="1880"/>
      <c r="DL174" s="1880"/>
      <c r="DM174" s="1880"/>
      <c r="DN174" s="1880"/>
      <c r="DO174" s="1880"/>
      <c r="DP174" s="1880"/>
      <c r="DQ174" s="1880"/>
      <c r="DR174" s="1880"/>
      <c r="DS174" s="1880"/>
      <c r="DT174" s="1880"/>
      <c r="DU174" s="1880"/>
      <c r="DV174" s="1880"/>
      <c r="DW174" s="1880"/>
      <c r="DX174" s="1880"/>
      <c r="DY174" s="1880"/>
      <c r="DZ174" s="1880"/>
      <c r="EA174" s="1880"/>
      <c r="EB174" s="1880"/>
      <c r="EC174" s="1880"/>
      <c r="ED174" s="1880"/>
      <c r="EE174" s="1880"/>
      <c r="EF174" s="1880"/>
      <c r="EG174" s="1880"/>
      <c r="EH174" s="1880"/>
      <c r="EI174" s="1880"/>
      <c r="EJ174" s="1880"/>
      <c r="EK174" s="1880"/>
      <c r="EL174" s="1880"/>
      <c r="EM174" s="1880"/>
      <c r="EN174" s="1880"/>
      <c r="EO174" s="1880"/>
      <c r="EP174" s="1880"/>
      <c r="EQ174" s="1880"/>
      <c r="ER174" s="1880"/>
      <c r="ES174" s="1880"/>
      <c r="ET174" s="1880"/>
      <c r="EU174" s="1880"/>
      <c r="EV174" s="1880"/>
      <c r="EW174" s="1880"/>
      <c r="EX174" s="1880"/>
      <c r="EY174" s="1880"/>
      <c r="EZ174" s="1880"/>
    </row>
    <row r="175" spans="1:144" ht="21" customHeight="1">
      <c r="A175" s="1625" t="s">
        <v>96</v>
      </c>
      <c r="B175" s="2439" t="s">
        <v>144</v>
      </c>
      <c r="C175" s="3459" t="str" cm="1">
        <f t="array" ref="C175">IFBLANK(_PL!C175,"")</f>
        <v>Valuation Metric Label</v>
      </c>
      <c r="D175" s="1548" t="s">
        <v>145</v>
      </c>
      <c r="E175" s="2440" t="e" cm="1">
        <f t="array" ca="1" aca="1" ref="E17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175:$CQ175,Z175)</f>
        <v>#NAME?</v>
      </c>
      <c r="F175" s="578"/>
      <c r="G175" s="578"/>
      <c r="H175" s="3294">
        <v>2</v>
      </c>
      <c r="I175" s="3329">
        <v>1</v>
      </c>
      <c r="J175" s="401" cm="1">
        <f t="array" ref="J175">IFBLANK(Z175,"")</f>
        <v>0</v>
      </c>
      <c r="K175" s="578" t="str">
        <f t="shared" si="51"/>
        <v>Yes</v>
      </c>
      <c r="L175" s="37"/>
      <c r="N175" s="158"/>
      <c r="O175" s="101"/>
      <c r="P175" s="52"/>
      <c r="Q175" s="101"/>
      <c r="R175" s="101"/>
      <c r="S175" s="101"/>
      <c r="T175" s="101"/>
      <c r="U175" s="39"/>
      <c r="V175" s="37"/>
      <c r="W175" s="91" t="str" cm="1">
        <f t="array" ref="W175">fx_scenarioConverter(W171)</f>
        <v>Actual</v>
      </c>
      <c r="X175" s="2588" t="e" vm="4">
        <f>_PL!X175</f>
        <v>#VALUE!</v>
      </c>
      <c r="Y175" s="3206">
        <v>2</v>
      </c>
      <c r="Z175" s="878">
        <f>_PL!Z175</f>
        <v>0</v>
      </c>
      <c r="AA175" s="877"/>
      <c r="AB175" s="3184">
        <f>Y175</f>
        <v>2</v>
      </c>
      <c r="AC175" s="1163" t="str" cm="1">
        <f t="array" ca="1" aca="1" ref="AC175">_xlfn.LET(_xlpm._termname,$AB175,_xlpm._iconname,"find",_xlpm._icon,fx_getIcon(_xlpm._iconname),_xlpm._location,_xlfn.XLOOKUP(LOWER(_xlpm._termname),LOWER(tbl_acctDef[Term]),tbl_acctDef[Term]),_xlpm._hyperlink,HYPERLINK("#"&amp;CELL("address",_xlpm._location),_xlpm._icon),IFERROR(_xlpm._hyperlink,""))</f>
        <v/>
      </c>
      <c r="AD175" s="3216" cm="1">
        <f t="array" ref="AD175:BN175">_xlfn.XLOOKUP($W175&amp;$AB175,$W$20:$W$124&amp;$AB$20:$AB$124,AD$20:BN$124,"")</f>
        <v>1</v>
      </c>
      <c r="AE175" s="3217">
        <v>1</v>
      </c>
      <c r="AF175" s="3217">
        <v>1</v>
      </c>
      <c r="AG175" s="3217">
        <v>1</v>
      </c>
      <c r="AH175" s="3217">
        <v>1</v>
      </c>
      <c r="AI175" s="3217">
        <v>1</v>
      </c>
      <c r="AJ175" s="3217">
        <v>1</v>
      </c>
      <c r="AK175" s="3217">
        <v>1</v>
      </c>
      <c r="AL175" s="3217">
        <v>1</v>
      </c>
      <c r="AM175" s="3217">
        <v>1</v>
      </c>
      <c r="AN175" s="3217">
        <v>1</v>
      </c>
      <c r="AO175" s="3217">
        <v>1</v>
      </c>
      <c r="AP175" s="3217">
        <v>1</v>
      </c>
      <c r="AQ175" s="3217">
        <v>1</v>
      </c>
      <c r="AR175" s="3217">
        <v>1</v>
      </c>
      <c r="AS175" s="3217">
        <v>1</v>
      </c>
      <c r="AT175" s="3217">
        <v>1</v>
      </c>
      <c r="AU175" s="3217">
        <v>1</v>
      </c>
      <c r="AV175" s="3217">
        <v>1</v>
      </c>
      <c r="AW175" s="3217">
        <v>1</v>
      </c>
      <c r="AX175" s="3217">
        <v>1</v>
      </c>
      <c r="AY175" s="3217">
        <v>1</v>
      </c>
      <c r="AZ175" s="3217">
        <v>1</v>
      </c>
      <c r="BA175" s="3217">
        <v>1</v>
      </c>
      <c r="BB175" s="3217">
        <v>1</v>
      </c>
      <c r="BC175" s="3217">
        <v>1</v>
      </c>
      <c r="BD175" s="3217">
        <v>1</v>
      </c>
      <c r="BE175" s="3217">
        <v>1</v>
      </c>
      <c r="BF175" s="3217">
        <v>1</v>
      </c>
      <c r="BG175" s="3217">
        <v>1</v>
      </c>
      <c r="BH175" s="3217">
        <v>1</v>
      </c>
      <c r="BI175" s="3217">
        <v>1</v>
      </c>
      <c r="BJ175" s="3217">
        <v>1</v>
      </c>
      <c r="BK175" s="3217">
        <v>1</v>
      </c>
      <c r="BL175" s="3217">
        <v>1</v>
      </c>
      <c r="BM175" s="3217">
        <v>1</v>
      </c>
      <c r="BN175" s="3217">
        <v>1</v>
      </c>
      <c r="BO175" s="2577"/>
      <c r="BP175" s="2577"/>
      <c r="BQ175" s="2577"/>
      <c r="BR175" s="2577"/>
      <c r="BS175" s="2577"/>
      <c r="BT175" s="2577"/>
      <c r="BU175" s="2577"/>
      <c r="BV175" s="2577"/>
      <c r="BW175" s="2577"/>
      <c r="BX175" s="2577"/>
      <c r="BY175" s="2577"/>
      <c r="BZ175" s="2577"/>
      <c r="CA175" s="34"/>
      <c r="CC175" s="33"/>
      <c r="CD175" s="1461" t="e" cm="1">
        <f t="array" ca="1" aca="1" ref="CD175">_xlfn.LET(_xlpm.CheckBlank,SUM(PL!$AD175:$BN175)=0,IF(_xlpm.CheckBlank,"",SUM(_xlfn._xlws.FILTER(PL!$AD175:$BN175,(YEAR(PL!$AD$12:$BN$12)=PL!CD$12)*(array_timeline&lt;=PL!CD$11)))))</f>
        <v>#NAME?</v>
      </c>
      <c r="CE175" s="1461" t="e" cm="1">
        <f t="array" ca="1" aca="1" ref="CE175">_xlfn.LET(_xlpm.CheckBlank,SUM(PL!$AD175:$BN175)=0,IF(_xlpm.CheckBlank,"",SUM(_xlfn._xlws.FILTER(PL!$AD175:$BN175,(YEAR(PL!$AD$12:$BN$12)=PL!CE$12)*(array_timeline&lt;=PL!CE$11)))))</f>
        <v>#NAME?</v>
      </c>
      <c r="CF175" s="88"/>
      <c r="CG175" s="1461" t="e" cm="1">
        <f t="array" ca="1" aca="1" ref="CG175">_xlfn.LET(_xlpm.CheckBlank,SUM(PL!$AD175:$BN175)=0,IF(_xlpm.CheckBlank,"",SUM(_xlfn._xlws.FILTER(PL!$AD175:$BN175,(YEAR(PL!$AD$12:$BN$12)=PL!CG$12)*(array_timeline&lt;=PL!CG$11)))))</f>
        <v>#NAME?</v>
      </c>
      <c r="CH175" s="1461" t="e" cm="1">
        <f t="array" ca="1" aca="1" ref="CH175">_xlfn.LET(_xlpm.CheckBlank,SUM(PL!$AD175:$BN175)=0,IF(_xlpm.CheckBlank,"",SUM(_xlfn._xlws.FILTER(PL!$AD175:$BN175,(YEAR(PL!$AD$12:$BN$12)=PL!CH$12)*(array_timeline&lt;=PL!CH$11)))))</f>
        <v>#NAME?</v>
      </c>
      <c r="CI175" s="88"/>
      <c r="CJ175" s="1461" cm="1">
        <f t="array" ref="CJ175">_xlfn.LET(_xlpm.CheckBlank,SUM(PL!$AD175:$BN175)=0,IF(_xlpm.CheckBlank,"",SUM(_xlfn.TAKE(_xlfn.DROP(PL!$AD175:$BN175,,-DATEDIFF(PL!CJ$11,val_asOfDate,"M")),1,-12))))</f>
        <v>12</v>
      </c>
      <c r="CK175" s="1461" cm="1">
        <f t="array" ref="CK175">_xlfn.LET(_xlpm.CheckBlank,SUM(PL!$AD175:$BN175)=0,IF(_xlpm.CheckBlank,"",SUM(_xlfn.TAKE(_xlfn.DROP(PL!$AD175:$BN175,,-DATEDIFF(PL!CK$11,val_asOfDate,"M")),1,-12))))</f>
        <v>12</v>
      </c>
      <c r="CL175" s="88"/>
      <c r="CM175" s="3209" cm="1">
        <f t="array" ref="CM175:CN175">_xlfn.LET(_xlpm.findRow,_xlfn.XMATCH($W175&amp;$Y175,$W$20:$W$118&amp;$AB$20:$AB$118,0),_xlpm.Choose,_xlfn.CHOOSEROWS(CM$20:CN$118,_xlpm.findRow),_xlpm.RESULT,IF(ISERROR(_xlpm.findRow),"",_xlpm.Choose),_xlpm.RESULT)</f>
        <v>1</v>
      </c>
      <c r="CN175" s="3210">
        <v>1</v>
      </c>
      <c r="CO175" s="88"/>
      <c r="CP175" s="3209" cm="1">
        <f t="array" ref="CP175:CQ175">_xlfn.LET(_xlpm.findRow,_xlfn.XMATCH($W175&amp;$Y175,$W$20:$W$118&amp;$AB$20:$AB$118,0),_xlpm.Choose,_xlfn.CHOOSEROWS(CP$20:CQ$118,_xlpm.findRow),_xlpm.RESULT,IF(ISERROR(_xlpm.findRow),"",_xlpm.Choose),_xlpm.RESULT)</f>
        <v>1</v>
      </c>
      <c r="CQ175" s="3210">
        <v>1</v>
      </c>
      <c r="CR175" s="34"/>
      <c r="CS175" s="2056"/>
      <c r="CT175" s="2447" t="e" cm="1">
        <f t="array" ca="1" aca="1" ref="CT175">IF(ISNUMBER(SEARCH("Select",$Y175)),"",_xldudf_CX_PUSH($Y175,CX_ENTITY,C175,val_asOfDate))</f>
        <v>#NAME?</v>
      </c>
      <c r="CU175" s="2447" t="e" cm="1">
        <f t="array" ca="1" aca="1" ref="CU175">IF(ISNUMBER(SEARCH("Select",$Y175)),"",_xldudf_CX_PUSH($Y175,CX_ENTITY,C175,EOMONTH(val_asOfDate,1)))</f>
        <v>#NAME?</v>
      </c>
      <c r="CV175" s="2447" t="e" cm="1">
        <f t="array" ca="1" aca="1" ref="CV175">IF(ISNUMBER(SEARCH("Select",$Y175)),"",_xldudf_CX_PUSH($Y175,CX_ENTITY,C175,EOMONTH(val_asOfDate,2)))</f>
        <v>#NAME?</v>
      </c>
      <c r="CW175" s="2447" t="e" cm="1">
        <f t="array" ca="1" aca="1" ref="CW175">IF(ISNUMBER(SEARCH("Select",$Y175)),"",_xldudf_CX_PUSH($Y175,CX_ENTITY,C175,EOMONTH(val_asOfDate,3)))</f>
        <v>#NAME?</v>
      </c>
      <c r="CX175" s="2566"/>
      <c r="CY175" s="2444" t="str" cm="1">
        <f t="array" ca="1" aca="1" ref="CY175">IFERROR(IF(CM175*fxVal_normal=_PL!CM175,"",IF(OR($CM175="",$CM175=0,NOT(ISNUMBER($CM175)),ISERROR($CM175),$B175=""),"",IF($I175=1,IFBLANK(_xldudf_CX_PUSH($CM175*fxVal_normal,CX_ENTITY,$B175,$CM$11,$CM$14,$CM$19,),""),IF($I175=2,IFBLANK(_xldudf_CX_PUSH($CM175,CX_ENTITY,$B175,$CM$11,$CM$14,$CM$19,),""),IF($I175=3,"",IFBLANK(_xldudf_CX_PUSH($CM175,CX_ENTITY,$B175,$CM$11,$CM$14,$CM$19,),"")))))),"")</f>
        <v/>
      </c>
      <c r="CZ175" s="2444" t="str" cm="1">
        <f t="array" ca="1" aca="1" ref="CZ175">IFERROR(IF(CN175*fxVal_normal=_PL!CN175,"",IF(OR($CN175="",$CN175=0,NOT(ISNUMBER($CN175)),ISERROR($CN175),$B175=""),"",IF($I175=1,IFBLANK(_xldudf_CX_PUSH($CN175*fxVal_normal,CX_ENTITY,$B175,$CN$11,$CN$14,$CN$19,),""),IF($I175=2,IFBLANK(_xldudf_CX_PUSH($CN175,CX_ENTITY,$B175,$CN$11,$CN$14,$CN$19,),""),IF($I175=3,"",IFBLANK(_xldudf_CX_PUSH($CN175,CX_ENTITY,$B175,$CN$11,$CN$14,$CN$19,),"")))))),"")</f>
        <v/>
      </c>
      <c r="DA175" s="2444" t="str" cm="1">
        <f t="array" ca="1" aca="1" ref="DA175">IFERROR(IF(CP175*fxVal_normal=_PL!CP175,"",IF(OR($CP175="",$CP175=0,NOT(ISNUMBER($CP175)),ISERROR($CP175),$B175=""),"",IF($I175=1,IFBLANK(_xldudf_CX_PUSH($CP175*fxVal_normal,CX_ENTITY,$B175,$CP$11,$CP$14,$CP$19,),""),IF($I175=2,IFBLANK(_xldudf_CX_PUSH($CP175,CX_ENTITY,$B175,$CP$11,$CP$14,$CP$19,),""),IF($I175=3,"",IFBLANK(_xldudf_CX_PUSH($CP175,CX_ENTITY,$B175,$CP$11,$CP$14,$CP$19,),"")))))),"")</f>
        <v/>
      </c>
      <c r="DB175" s="2444" t="str" cm="1">
        <f t="array" ca="1" aca="1" ref="DB175">IFERROR(IF(CQ175*fxVal_normal=_PL!CQ175,"",IF(OR($CQ175="",$CQ175=0,NOT(ISNUMBER($CQ175)),ISERROR($CQ175),$B175=""),"",IF($I175=1,IFBLANK(_xldudf_CX_PUSH($CQ175*fxVal_normal,CX_ENTITY,$B175,$CQ$11,$CQ$14,$CQ$19,),""),IF($I175=2,IFBLANK(_xldudf_CX_PUSH($CQ175,CX_ENTITY,$B175,$CQ$11,$CQ$14,$CQ$19,),""),IF($I175=3,"",IFBLANK(_xldudf_CX_PUSH($CQ175,CX_ENTITY,$B175,$CQ$11,$CQ$14,$CQ$19,),"")))))),"")</f>
        <v/>
      </c>
      <c r="DC175" s="2121"/>
      <c r="DD175" s="2445" t="str" cm="1">
        <f t="array" ca="1" aca="1" ref="DD175">IFERROR(IF(AD175*fxVal_normal=_PL!AD175,"",IF(OR(AD175="",NOT(ISNUMBER(AD175)),ISERROR(AD175),$B175=""),"",IF($I175=1,IFBLANK(_xldudf_CX_PUSH(AD175*fxVal_normal,CX_ENTITY,$B175,AD$11,AD$14,AD$174,),""),IF($I175=2,IFBLANK(_xldudf_CX_PUSH(AD175,CX_ENTITY,$B175,AD$11,AD$14,AD$174,),""),IF($I175=3,"",IFBLANK(_xldudf_CX_PUSH(AD175,CX_ENTITY,$B175,AD$11,AD$14,AD$174,),"")))))),"")</f>
        <v/>
      </c>
      <c r="DE175" s="2445" t="str" cm="1">
        <f t="array" ca="1" aca="1" ref="DE175">IFERROR(IF(AE175*fxVal_normal=_PL!AE175,"",IF(OR(AE175="",NOT(ISNUMBER(AE175)),ISERROR(AE175),$B175=""),"",IF($I175=1,IFBLANK(_xldudf_CX_PUSH(AE175*fxVal_normal,CX_ENTITY,$B175,AE$11,AE$14,AE$174,),""),IF($I175=2,IFBLANK(_xldudf_CX_PUSH(AE175,CX_ENTITY,$B175,AE$11,AE$14,AE$174,),""),IF($I175=3,"",IFBLANK(_xldudf_CX_PUSH(AE175,CX_ENTITY,$B175,AE$11,AE$14,AE$174,),"")))))),"")</f>
        <v/>
      </c>
      <c r="DF175" s="2445" t="str" cm="1">
        <f t="array" ca="1" aca="1" ref="DF175">IFERROR(IF(AF175*fxVal_normal=_PL!AF175,"",IF(OR(AF175="",NOT(ISNUMBER(AF175)),ISERROR(AF175),$B175=""),"",IF($I175=1,IFBLANK(_xldudf_CX_PUSH(AF175*fxVal_normal,CX_ENTITY,$B175,AF$11,AF$14,AF$174,),""),IF($I175=2,IFBLANK(_xldudf_CX_PUSH(AF175,CX_ENTITY,$B175,AF$11,AF$14,AF$174,),""),IF($I175=3,"",IFBLANK(_xldudf_CX_PUSH(AF175,CX_ENTITY,$B175,AF$11,AF$14,AF$174,),"")))))),"")</f>
        <v/>
      </c>
      <c r="DG175" s="2445" t="str" cm="1">
        <f t="array" ca="1" aca="1" ref="DG175">IFERROR(IF(AG175*fxVal_normal=_PL!AG175,"",IF(OR(AG175="",NOT(ISNUMBER(AG175)),ISERROR(AG175),$B175=""),"",IF($I175=1,IFBLANK(_xldudf_CX_PUSH(AG175*fxVal_normal,CX_ENTITY,$B175,AG$11,AG$14,AG$174,),""),IF($I175=2,IFBLANK(_xldudf_CX_PUSH(AG175,CX_ENTITY,$B175,AG$11,AG$14,AG$174,),""),IF($I175=3,"",IFBLANK(_xldudf_CX_PUSH(AG175,CX_ENTITY,$B175,AG$11,AG$14,AG$174,),"")))))),"")</f>
        <v/>
      </c>
      <c r="DH175" s="2445" t="str" cm="1">
        <f t="array" ca="1" aca="1" ref="DH175">IFERROR(IF(AH175*fxVal_normal=_PL!AH175,"",IF(OR(AH175="",NOT(ISNUMBER(AH175)),ISERROR(AH175),$B175=""),"",IF($I175=1,IFBLANK(_xldudf_CX_PUSH(AH175*fxVal_normal,CX_ENTITY,$B175,AH$11,AH$14,AH$174,),""),IF($I175=2,IFBLANK(_xldudf_CX_PUSH(AH175,CX_ENTITY,$B175,AH$11,AH$14,AH$174,),""),IF($I175=3,"",IFBLANK(_xldudf_CX_PUSH(AH175,CX_ENTITY,$B175,AH$11,AH$14,AH$174,),"")))))),"")</f>
        <v/>
      </c>
      <c r="DI175" s="2445" t="str" cm="1">
        <f t="array" ca="1" aca="1" ref="DI175">IFERROR(IF(AI175*fxVal_normal=_PL!AI175,"",IF(OR(AI175="",NOT(ISNUMBER(AI175)),ISERROR(AI175),$B175=""),"",IF($I175=1,IFBLANK(_xldudf_CX_PUSH(AI175*fxVal_normal,CX_ENTITY,$B175,AI$11,AI$14,AI$174,),""),IF($I175=2,IFBLANK(_xldudf_CX_PUSH(AI175,CX_ENTITY,$B175,AI$11,AI$14,AI$174,),""),IF($I175=3,"",IFBLANK(_xldudf_CX_PUSH(AI175,CX_ENTITY,$B175,AI$11,AI$14,AI$174,),"")))))),"")</f>
        <v/>
      </c>
      <c r="DJ175" s="2445" t="str" cm="1">
        <f t="array" ca="1" aca="1" ref="DJ175">IFERROR(IF(AJ175*fxVal_normal=_PL!AJ175,"",IF(OR(AJ175="",NOT(ISNUMBER(AJ175)),ISERROR(AJ175),$B175=""),"",IF($I175=1,IFBLANK(_xldudf_CX_PUSH(AJ175*fxVal_normal,CX_ENTITY,$B175,AJ$11,AJ$14,AJ$174,),""),IF($I175=2,IFBLANK(_xldudf_CX_PUSH(AJ175,CX_ENTITY,$B175,AJ$11,AJ$14,AJ$174,),""),IF($I175=3,"",IFBLANK(_xldudf_CX_PUSH(AJ175,CX_ENTITY,$B175,AJ$11,AJ$14,AJ$174,),"")))))),"")</f>
        <v/>
      </c>
      <c r="DK175" s="2445" t="str" cm="1">
        <f t="array" ca="1" aca="1" ref="DK175">IFERROR(IF(AK175*fxVal_normal=_PL!AK175,"",IF(OR(AK175="",NOT(ISNUMBER(AK175)),ISERROR(AK175),$B175=""),"",IF($I175=1,IFBLANK(_xldudf_CX_PUSH(AK175*fxVal_normal,CX_ENTITY,$B175,AK$11,AK$14,AK$174,),""),IF($I175=2,IFBLANK(_xldudf_CX_PUSH(AK175,CX_ENTITY,$B175,AK$11,AK$14,AK$174,),""),IF($I175=3,"",IFBLANK(_xldudf_CX_PUSH(AK175,CX_ENTITY,$B175,AK$11,AK$14,AK$174,),"")))))),"")</f>
        <v/>
      </c>
      <c r="DL175" s="2445" t="str" cm="1">
        <f t="array" ca="1" aca="1" ref="DL175">IFERROR(IF(AL175*fxVal_normal=_PL!AL175,"",IF(OR(AL175="",NOT(ISNUMBER(AL175)),ISERROR(AL175),$B175=""),"",IF($I175=1,IFBLANK(_xldudf_CX_PUSH(AL175*fxVal_normal,CX_ENTITY,$B175,AL$11,AL$14,AL$174,),""),IF($I175=2,IFBLANK(_xldudf_CX_PUSH(AL175,CX_ENTITY,$B175,AL$11,AL$14,AL$174,),""),IF($I175=3,"",IFBLANK(_xldudf_CX_PUSH(AL175,CX_ENTITY,$B175,AL$11,AL$14,AL$174,),"")))))),"")</f>
        <v/>
      </c>
      <c r="DM175" s="2445" t="str" cm="1">
        <f t="array" ca="1" aca="1" ref="DM175">IFERROR(IF(AM175*fxVal_normal=_PL!AM175,"",IF(OR(AM175="",NOT(ISNUMBER(AM175)),ISERROR(AM175),$B175=""),"",IF($I175=1,IFBLANK(_xldudf_CX_PUSH(AM175*fxVal_normal,CX_ENTITY,$B175,AM$11,AM$14,AM$174,),""),IF($I175=2,IFBLANK(_xldudf_CX_PUSH(AM175,CX_ENTITY,$B175,AM$11,AM$14,AM$174,),""),IF($I175=3,"",IFBLANK(_xldudf_CX_PUSH(AM175,CX_ENTITY,$B175,AM$11,AM$14,AM$174,),"")))))),"")</f>
        <v/>
      </c>
      <c r="DN175" s="2445" t="str" cm="1">
        <f t="array" ca="1" aca="1" ref="DN175">IFERROR(IF(AN175*fxVal_normal=_PL!AN175,"",IF(OR(AN175="",NOT(ISNUMBER(AN175)),ISERROR(AN175),$B175=""),"",IF($I175=1,IFBLANK(_xldudf_CX_PUSH(AN175*fxVal_normal,CX_ENTITY,$B175,AN$11,AN$14,AN$174,),""),IF($I175=2,IFBLANK(_xldudf_CX_PUSH(AN175,CX_ENTITY,$B175,AN$11,AN$14,AN$174,),""),IF($I175=3,"",IFBLANK(_xldudf_CX_PUSH(AN175,CX_ENTITY,$B175,AN$11,AN$14,AN$174,),"")))))),"")</f>
        <v/>
      </c>
      <c r="DO175" s="2445" t="str" cm="1">
        <f t="array" ca="1" aca="1" ref="DO175">IFERROR(IF(AO175*fxVal_normal=_PL!AO175,"",IF(OR(AO175="",NOT(ISNUMBER(AO175)),ISERROR(AO175),$B175=""),"",IF($I175=1,IFBLANK(_xldudf_CX_PUSH(AO175*fxVal_normal,CX_ENTITY,$B175,AO$11,AO$14,AO$174,),""),IF($I175=2,IFBLANK(_xldudf_CX_PUSH(AO175,CX_ENTITY,$B175,AO$11,AO$14,AO$174,),""),IF($I175=3,"",IFBLANK(_xldudf_CX_PUSH(AO175,CX_ENTITY,$B175,AO$11,AO$14,AO$174,),"")))))),"")</f>
        <v/>
      </c>
      <c r="DP175" s="2445" t="str" cm="1">
        <f t="array" ca="1" aca="1" ref="DP175">IFERROR(IF(AP175*fxVal_normal=_PL!AP175,"",IF(OR(AP175="",NOT(ISNUMBER(AP175)),ISERROR(AP175),$B175=""),"",IF($I175=1,IFBLANK(_xldudf_CX_PUSH(AP175*fxVal_normal,CX_ENTITY,$B175,AP$11,AP$14,AP$174,),""),IF($I175=2,IFBLANK(_xldudf_CX_PUSH(AP175,CX_ENTITY,$B175,AP$11,AP$14,AP$174,),""),IF($I175=3,"",IFBLANK(_xldudf_CX_PUSH(AP175,CX_ENTITY,$B175,AP$11,AP$14,AP$174,),"")))))),"")</f>
        <v/>
      </c>
      <c r="DQ175" s="2445" t="str" cm="1">
        <f t="array" ca="1" aca="1" ref="DQ175">IFERROR(IF(AQ175*fxVal_normal=_PL!AQ175,"",IF(OR(AQ175="",NOT(ISNUMBER(AQ175)),ISERROR(AQ175),$B175=""),"",IF($I175=1,IFBLANK(_xldudf_CX_PUSH(AQ175*fxVal_normal,CX_ENTITY,$B175,AQ$11,AQ$14,AQ$174,),""),IF($I175=2,IFBLANK(_xldudf_CX_PUSH(AQ175,CX_ENTITY,$B175,AQ$11,AQ$14,AQ$174,),""),IF($I175=3,"",IFBLANK(_xldudf_CX_PUSH(AQ175,CX_ENTITY,$B175,AQ$11,AQ$14,AQ$174,),"")))))),"")</f>
        <v/>
      </c>
      <c r="DR175" s="2445" t="str" cm="1">
        <f t="array" ca="1" aca="1" ref="DR175">IFERROR(IF(AR175*fxVal_normal=_PL!AR175,"",IF(OR(AR175="",NOT(ISNUMBER(AR175)),ISERROR(AR175),$B175=""),"",IF($I175=1,IFBLANK(_xldudf_CX_PUSH(AR175*fxVal_normal,CX_ENTITY,$B175,AR$11,AR$14,AR$174,),""),IF($I175=2,IFBLANK(_xldudf_CX_PUSH(AR175,CX_ENTITY,$B175,AR$11,AR$14,AR$174,),""),IF($I175=3,"",IFBLANK(_xldudf_CX_PUSH(AR175,CX_ENTITY,$B175,AR$11,AR$14,AR$174,),"")))))),"")</f>
        <v/>
      </c>
      <c r="DS175" s="2445" t="str" cm="1">
        <f t="array" ca="1" aca="1" ref="DS175">IFERROR(IF(AS175*fxVal_normal=_PL!AS175,"",IF(OR(AS175="",NOT(ISNUMBER(AS175)),ISERROR(AS175),$B175=""),"",IF($I175=1,IFBLANK(_xldudf_CX_PUSH(AS175*fxVal_normal,CX_ENTITY,$B175,AS$11,AS$14,AS$174,),""),IF($I175=2,IFBLANK(_xldudf_CX_PUSH(AS175,CX_ENTITY,$B175,AS$11,AS$14,AS$174,),""),IF($I175=3,"",IFBLANK(_xldudf_CX_PUSH(AS175,CX_ENTITY,$B175,AS$11,AS$14,AS$174,),"")))))),"")</f>
        <v/>
      </c>
      <c r="DT175" s="2445" t="str" cm="1">
        <f t="array" ca="1" aca="1" ref="DT175">IFERROR(IF(AT175*fxVal_normal=_PL!AT175,"",IF(OR(AT175="",NOT(ISNUMBER(AT175)),ISERROR(AT175),$B175=""),"",IF($I175=1,IFBLANK(_xldudf_CX_PUSH(AT175*fxVal_normal,CX_ENTITY,$B175,AT$11,AT$14,AT$174,),""),IF($I175=2,IFBLANK(_xldudf_CX_PUSH(AT175,CX_ENTITY,$B175,AT$11,AT$14,AT$174,),""),IF($I175=3,"",IFBLANK(_xldudf_CX_PUSH(AT175,CX_ENTITY,$B175,AT$11,AT$14,AT$174,),"")))))),"")</f>
        <v/>
      </c>
      <c r="DU175" s="2445" t="str" cm="1">
        <f t="array" ca="1" aca="1" ref="DU175">IFERROR(IF(AU175*fxVal_normal=_PL!AU175,"",IF(OR(AU175="",NOT(ISNUMBER(AU175)),ISERROR(AU175),$B175=""),"",IF($I175=1,IFBLANK(_xldudf_CX_PUSH(AU175*fxVal_normal,CX_ENTITY,$B175,AU$11,AU$14,AU$174,),""),IF($I175=2,IFBLANK(_xldudf_CX_PUSH(AU175,CX_ENTITY,$B175,AU$11,AU$14,AU$174,),""),IF($I175=3,"",IFBLANK(_xldudf_CX_PUSH(AU175,CX_ENTITY,$B175,AU$11,AU$14,AU$174,),"")))))),"")</f>
        <v/>
      </c>
      <c r="DV175" s="2445" t="str" cm="1">
        <f t="array" ca="1" aca="1" ref="DV175">IFERROR(IF(AV175*fxVal_normal=_PL!AV175,"",IF(OR(AV175="",NOT(ISNUMBER(AV175)),ISERROR(AV175),$B175=""),"",IF($I175=1,IFBLANK(_xldudf_CX_PUSH(AV175*fxVal_normal,CX_ENTITY,$B175,AV$11,AV$14,AV$174,),""),IF($I175=2,IFBLANK(_xldudf_CX_PUSH(AV175,CX_ENTITY,$B175,AV$11,AV$14,AV$174,),""),IF($I175=3,"",IFBLANK(_xldudf_CX_PUSH(AV175,CX_ENTITY,$B175,AV$11,AV$14,AV$174,),"")))))),"")</f>
        <v/>
      </c>
      <c r="DW175" s="2445" t="str" cm="1">
        <f t="array" ca="1" aca="1" ref="DW175">IFERROR(IF(AW175*fxVal_normal=_PL!AW175,"",IF(OR(AW175="",NOT(ISNUMBER(AW175)),ISERROR(AW175),$B175=""),"",IF($I175=1,IFBLANK(_xldudf_CX_PUSH(AW175*fxVal_normal,CX_ENTITY,$B175,AW$11,AW$14,AW$174,),""),IF($I175=2,IFBLANK(_xldudf_CX_PUSH(AW175,CX_ENTITY,$B175,AW$11,AW$14,AW$174,),""),IF($I175=3,"",IFBLANK(_xldudf_CX_PUSH(AW175,CX_ENTITY,$B175,AW$11,AW$14,AW$174,),"")))))),"")</f>
        <v/>
      </c>
      <c r="DX175" s="2445" t="str" cm="1">
        <f t="array" ca="1" aca="1" ref="DX175">IFERROR(IF(AX175*fxVal_normal=_PL!AX175,"",IF(OR(AX175="",NOT(ISNUMBER(AX175)),ISERROR(AX175),$B175=""),"",IF($I175=1,IFBLANK(_xldudf_CX_PUSH(AX175*fxVal_normal,CX_ENTITY,$B175,AX$11,AX$14,AX$174,),""),IF($I175=2,IFBLANK(_xldudf_CX_PUSH(AX175,CX_ENTITY,$B175,AX$11,AX$14,AX$174,),""),IF($I175=3,"",IFBLANK(_xldudf_CX_PUSH(AX175,CX_ENTITY,$B175,AX$11,AX$14,AX$174,),"")))))),"")</f>
        <v/>
      </c>
      <c r="DY175" s="2445" t="str" cm="1">
        <f t="array" ca="1" aca="1" ref="DY175">IFERROR(IF(AY175*fxVal_normal=_PL!AY175,"",IF(OR(AY175="",NOT(ISNUMBER(AY175)),ISERROR(AY175),$B175=""),"",IF($I175=1,IFBLANK(_xldudf_CX_PUSH(AY175*fxVal_normal,CX_ENTITY,$B175,AY$11,AY$14,AY$174,),""),IF($I175=2,IFBLANK(_xldudf_CX_PUSH(AY175,CX_ENTITY,$B175,AY$11,AY$14,AY$174,),""),IF($I175=3,"",IFBLANK(_xldudf_CX_PUSH(AY175,CX_ENTITY,$B175,AY$11,AY$14,AY$174,),"")))))),"")</f>
        <v/>
      </c>
      <c r="DZ175" s="2445" t="str" cm="1">
        <f t="array" ca="1" aca="1" ref="DZ175">IFERROR(IF(AZ175*fxVal_normal=_PL!AZ175,"",IF(OR(AZ175="",NOT(ISNUMBER(AZ175)),ISERROR(AZ175),$B175=""),"",IF($I175=1,IFBLANK(_xldudf_CX_PUSH(AZ175*fxVal_normal,CX_ENTITY,$B175,AZ$11,AZ$14,AZ$174,),""),IF($I175=2,IFBLANK(_xldudf_CX_PUSH(AZ175,CX_ENTITY,$B175,AZ$11,AZ$14,AZ$174,),""),IF($I175=3,"",IFBLANK(_xldudf_CX_PUSH(AZ175,CX_ENTITY,$B175,AZ$11,AZ$14,AZ$174,),"")))))),"")</f>
        <v/>
      </c>
      <c r="EA175" s="2445" t="str" cm="1">
        <f t="array" ca="1" aca="1" ref="EA175">IFERROR(IF(BA175*fxVal_normal=_PL!BA175,"",IF(OR(BA175="",NOT(ISNUMBER(BA175)),ISERROR(BA175),$B175=""),"",IF($I175=1,IFBLANK(_xldudf_CX_PUSH(BA175*fxVal_normal,CX_ENTITY,$B175,BA$11,BA$14,BA$174,),""),IF($I175=2,IFBLANK(_xldudf_CX_PUSH(BA175,CX_ENTITY,$B175,BA$11,BA$14,BA$174,),""),IF($I175=3,"",IFBLANK(_xldudf_CX_PUSH(BA175,CX_ENTITY,$B175,BA$11,BA$14,BA$174,),"")))))),"")</f>
        <v/>
      </c>
      <c r="EB175" s="2445" t="str" cm="1">
        <f t="array" ca="1" aca="1" ref="EB175">IFERROR(IF(BB175*fxVal_normal=_PL!BB175,"",IF(OR(BB175="",NOT(ISNUMBER(BB175)),ISERROR(BB175),$B175=""),"",IF($I175=1,IFBLANK(_xldudf_CX_PUSH(BB175*fxVal_normal,CX_ENTITY,$B175,BB$11,BB$14,BB$174,),""),IF($I175=2,IFBLANK(_xldudf_CX_PUSH(BB175,CX_ENTITY,$B175,BB$11,BB$14,BB$174,),""),IF($I175=3,"",IFBLANK(_xldudf_CX_PUSH(BB175,CX_ENTITY,$B175,BB$11,BB$14,BB$174,),"")))))),"")</f>
        <v/>
      </c>
      <c r="EC175" s="2445" t="str" cm="1">
        <f t="array" ca="1" aca="1" ref="EC175">IFERROR(IF(BC175*fxVal_normal=_PL!BC175,"",IF(OR(BC175="",NOT(ISNUMBER(BC175)),ISERROR(BC175),$B175=""),"",IF($I175=1,IFBLANK(_xldudf_CX_PUSH(BC175*fxVal_normal,CX_ENTITY,$B175,BC$11,BC$14,BC$174,),""),IF($I175=2,IFBLANK(_xldudf_CX_PUSH(BC175,CX_ENTITY,$B175,BC$11,BC$14,BC$174,),""),IF($I175=3,"",IFBLANK(_xldudf_CX_PUSH(BC175,CX_ENTITY,$B175,BC$11,BC$14,BC$174,),"")))))),"")</f>
        <v/>
      </c>
      <c r="ED175" s="2445" t="str" cm="1">
        <f t="array" ca="1" aca="1" ref="ED175">IFERROR(IF(BD175*fxVal_normal=_PL!BD175,"",IF(OR(BD175="",NOT(ISNUMBER(BD175)),ISERROR(BD175),$B175=""),"",IF($I175=1,IFBLANK(_xldudf_CX_PUSH(BD175*fxVal_normal,CX_ENTITY,$B175,BD$11,BD$14,BD$174,),""),IF($I175=2,IFBLANK(_xldudf_CX_PUSH(BD175,CX_ENTITY,$B175,BD$11,BD$14,BD$174,),""),IF($I175=3,"",IFBLANK(_xldudf_CX_PUSH(BD175,CX_ENTITY,$B175,BD$11,BD$14,BD$174,),"")))))),"")</f>
        <v/>
      </c>
      <c r="EE175" s="2445" t="str" cm="1">
        <f t="array" ca="1" aca="1" ref="EE175">IFERROR(IF(BE175*fxVal_normal=_PL!BE175,"",IF(OR(BE175="",NOT(ISNUMBER(BE175)),ISERROR(BE175),$B175=""),"",IF($I175=1,IFBLANK(_xldudf_CX_PUSH(BE175*fxVal_normal,CX_ENTITY,$B175,BE$11,BE$14,BE$174,),""),IF($I175=2,IFBLANK(_xldudf_CX_PUSH(BE175,CX_ENTITY,$B175,BE$11,BE$14,BE$174,),""),IF($I175=3,"",IFBLANK(_xldudf_CX_PUSH(BE175,CX_ENTITY,$B175,BE$11,BE$14,BE$174,),"")))))),"")</f>
        <v/>
      </c>
      <c r="EF175" s="2445" t="str" cm="1">
        <f t="array" ca="1" aca="1" ref="EF175">IFERROR(IF(BF175*fxVal_normal=_PL!BF175,"",IF(OR(BF175="",NOT(ISNUMBER(BF175)),ISERROR(BF175),$B175=""),"",IF($I175=1,IFBLANK(_xldudf_CX_PUSH(BF175*fxVal_normal,CX_ENTITY,$B175,BF$11,BF$14,BF$174,),""),IF($I175=2,IFBLANK(_xldudf_CX_PUSH(BF175,CX_ENTITY,$B175,BF$11,BF$14,BF$174,),""),IF($I175=3,"",IFBLANK(_xldudf_CX_PUSH(BF175,CX_ENTITY,$B175,BF$11,BF$14,BF$174,),"")))))),"")</f>
        <v/>
      </c>
      <c r="EG175" s="2445" t="str" cm="1">
        <f t="array" ca="1" aca="1" ref="EG175">IFERROR(IF(BG175*fxVal_normal=_PL!BG175,"",IF(OR(BG175="",NOT(ISNUMBER(BG175)),ISERROR(BG175),$B175=""),"",IF($I175=1,IFBLANK(_xldudf_CX_PUSH(BG175*fxVal_normal,CX_ENTITY,$B175,BG$11,BG$14,BG$174,),""),IF($I175=2,IFBLANK(_xldudf_CX_PUSH(BG175,CX_ENTITY,$B175,BG$11,BG$14,BG$174,),""),IF($I175=3,"",IFBLANK(_xldudf_CX_PUSH(BG175,CX_ENTITY,$B175,BG$11,BG$14,BG$174,),"")))))),"")</f>
        <v/>
      </c>
      <c r="EH175" s="2445" t="str" cm="1">
        <f t="array" ca="1" aca="1" ref="EH175">IFERROR(IF(BH175*fxVal_normal=_PL!BH175,"",IF(OR(BH175="",NOT(ISNUMBER(BH175)),ISERROR(BH175),$B175=""),"",IF($I175=1,IFBLANK(_xldudf_CX_PUSH(BH175*fxVal_normal,CX_ENTITY,$B175,BH$11,BH$14,BH$174,),""),IF($I175=2,IFBLANK(_xldudf_CX_PUSH(BH175,CX_ENTITY,$B175,BH$11,BH$14,BH$174,),""),IF($I175=3,"",IFBLANK(_xldudf_CX_PUSH(BH175,CX_ENTITY,$B175,BH$11,BH$14,BH$174,),"")))))),"")</f>
        <v/>
      </c>
      <c r="EI175" s="2445" t="str" cm="1">
        <f t="array" ca="1" aca="1" ref="EI175">IFERROR(IF(BI175*fxVal_normal=_PL!BI175,"",IF(OR(BI175="",NOT(ISNUMBER(BI175)),ISERROR(BI175),$B175=""),"",IF($I175=1,IFBLANK(_xldudf_CX_PUSH(BI175*fxVal_normal,CX_ENTITY,$B175,BI$11,BI$14,BI$174,),""),IF($I175=2,IFBLANK(_xldudf_CX_PUSH(BI175,CX_ENTITY,$B175,BI$11,BI$14,BI$174,),""),IF($I175=3,"",IFBLANK(_xldudf_CX_PUSH(BI175,CX_ENTITY,$B175,BI$11,BI$14,BI$174,),"")))))),"")</f>
        <v/>
      </c>
      <c r="EJ175" s="2445" t="str" cm="1">
        <f t="array" ca="1" aca="1" ref="EJ175">IFERROR(IF(BJ175*fxVal_normal=_PL!BJ175,"",IF(OR(BJ175="",NOT(ISNUMBER(BJ175)),ISERROR(BJ175),$B175=""),"",IF($I175=1,IFBLANK(_xldudf_CX_PUSH(BJ175*fxVal_normal,CX_ENTITY,$B175,BJ$11,BJ$14,BJ$174,),""),IF($I175=2,IFBLANK(_xldudf_CX_PUSH(BJ175,CX_ENTITY,$B175,BJ$11,BJ$14,BJ$174,),""),IF($I175=3,"",IFBLANK(_xldudf_CX_PUSH(BJ175,CX_ENTITY,$B175,BJ$11,BJ$14,BJ$174,),"")))))),"")</f>
        <v/>
      </c>
      <c r="EK175" s="2445" t="str" cm="1">
        <f t="array" ca="1" aca="1" ref="EK175">IFERROR(IF(BK175*fxVal_normal=_PL!BK175,"",IF(OR(BK175="",NOT(ISNUMBER(BK175)),ISERROR(BK175),$B175=""),"",IF($I175=1,IFBLANK(_xldudf_CX_PUSH(BK175*fxVal_normal,CX_ENTITY,$B175,BK$11,BK$14,BK$174,),""),IF($I175=2,IFBLANK(_xldudf_CX_PUSH(BK175,CX_ENTITY,$B175,BK$11,BK$14,BK$174,),""),IF($I175=3,"",IFBLANK(_xldudf_CX_PUSH(BK175,CX_ENTITY,$B175,BK$11,BK$14,BK$174,),"")))))),"")</f>
        <v/>
      </c>
      <c r="EL175" s="2445" t="str" cm="1">
        <f t="array" ca="1" aca="1" ref="EL175">IFERROR(IF(BL175*fxVal_normal=_PL!BL175,"",IF(OR(BL175="",NOT(ISNUMBER(BL175)),ISERROR(BL175),$B175=""),"",IF($I175=1,IFBLANK(_xldudf_CX_PUSH(BL175*fxVal_normal,CX_ENTITY,$B175,BL$11,BL$14,BL$174,),""),IF($I175=2,IFBLANK(_xldudf_CX_PUSH(BL175,CX_ENTITY,$B175,BL$11,BL$14,BL$174,),""),IF($I175=3,"",IFBLANK(_xldudf_CX_PUSH(BL175,CX_ENTITY,$B175,BL$11,BL$14,BL$174,),"")))))),"")</f>
        <v/>
      </c>
      <c r="EM175" s="2445" t="str" cm="1">
        <f t="array" ca="1" aca="1" ref="EM175">IFERROR(IF(BM175*fxVal_normal=_PL!BM175,"",IF(OR(BM175="",NOT(ISNUMBER(BM175)),ISERROR(BM175),$B175=""),"",IF($I175=1,IFBLANK(_xldudf_CX_PUSH(BM175*fxVal_normal,CX_ENTITY,$B175,BM$11,BM$14,BM$174,),""),IF($I175=2,IFBLANK(_xldudf_CX_PUSH(BM175,CX_ENTITY,$B175,BM$11,BM$14,BM$174,),""),IF($I175=3,"",IFBLANK(_xldudf_CX_PUSH(BM175,CX_ENTITY,$B175,BM$11,BM$14,BM$174,),"")))))),"")</f>
        <v/>
      </c>
      <c r="EN175" s="2445" t="str" cm="1">
        <f t="array" ca="1" aca="1" ref="EN175">IFERROR(IF(BN175*fxVal_normal=_PL!BN175,"",IF(OR(BN175="",NOT(ISNUMBER(BN175)),ISERROR(BN175),$B175=""),"",IF($I175=1,IFBLANK(_xldudf_CX_PUSH(BN175*fxVal_normal,CX_ENTITY,$B175,BN$11,BN$14,BN$174,),""),IF($I175=2,IFBLANK(_xldudf_CX_PUSH(BN175,CX_ENTITY,$B175,BN$11,BN$14,BN$174,),""),IF($I175=3,"",IFBLANK(_xldudf_CX_PUSH(BN175,CX_ENTITY,$B175,BN$11,BN$14,BN$174,),"")))))),"")</f>
        <v/>
      </c>
    </row>
    <row r="176" spans="1:144" ht="45.75" customHeight="1">
      <c r="A176" s="1625"/>
      <c r="B176" s="2585" t="str" cm="1">
        <f t="array" ref="B176:B177">_PL!B176:B177</f>
        <v>Excluding pending (not closed) deals (Annual Only) (Valuation)</v>
      </c>
      <c r="C176" s="2568"/>
      <c r="D176" s="1548"/>
      <c r="E176" s="2440" cm="1">
        <f t="array" ca="1" aca="1" ref="E176:G17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176:$CQ176,Z176)</f>
        <v>4</v>
      </c>
      <c r="F176" s="578">
        <f ca="1"/>
        <v>4</v>
      </c>
      <c r="G176" s="578" t="str">
        <f ca="1"/>
        <v>R</v>
      </c>
      <c r="H176" s="510">
        <v>0</v>
      </c>
      <c r="I176" s="3278">
        <v>1</v>
      </c>
      <c r="J176" s="3280" cm="1">
        <f t="array" ref="J176">IFBLANK(Z176,"")</f>
        <v>1</v>
      </c>
      <c r="K176" s="578" t="str">
        <f t="shared" si="51"/>
        <v>No</v>
      </c>
      <c r="L176" s="37"/>
      <c r="N176" s="158"/>
      <c r="O176" s="101"/>
      <c r="P176" s="52"/>
      <c r="Q176" s="101"/>
      <c r="R176" s="101"/>
      <c r="S176" s="101"/>
      <c r="T176" s="101"/>
      <c r="U176" s="39"/>
      <c r="V176" s="37"/>
      <c r="W176" s="2569"/>
      <c r="X176" s="2081">
        <f>_PL!X176</f>
        <v>-1</v>
      </c>
      <c r="Y176" s="2570" t="s">
        <v>146</v>
      </c>
      <c r="Z176" s="3291">
        <f>_PL!Z176</f>
        <v>1</v>
      </c>
      <c r="AA176" s="2571"/>
      <c r="AB176" s="1128"/>
      <c r="AC176" s="914" t="str" cm="1">
        <f t="array" ca="1" aca="1" ref="AC176">_xlfn.LET(_xlpm._termname,$AB176,_xlpm._iconname,"find",_xlpm._icon,fx_getIcon(_xlpm._iconname),_xlpm._location,_xlfn.XLOOKUP(LOWER(_xlpm._termname),LOWER(tbl_acctDef[Term]),tbl_acctDef[Term]),_xlpm._hyperlink,HYPERLINK("#"&amp;CELL("address",_xlpm._location),_xlpm._icon),IFERROR(_xlpm._hyperlink,""))</f>
        <v/>
      </c>
      <c r="AD176" s="793"/>
      <c r="AE176" s="793"/>
      <c r="AF176" s="793"/>
      <c r="AG176" s="793"/>
      <c r="AH176" s="793"/>
      <c r="AI176" s="793"/>
      <c r="AJ176" s="793"/>
      <c r="AK176" s="793"/>
      <c r="AL176" s="793"/>
      <c r="AM176" s="793"/>
      <c r="AN176" s="793"/>
      <c r="AO176" s="793"/>
      <c r="AP176" s="793"/>
      <c r="AQ176" s="793"/>
      <c r="AR176" s="793"/>
      <c r="AS176" s="793"/>
      <c r="AT176" s="793"/>
      <c r="AU176" s="793"/>
      <c r="AV176" s="793"/>
      <c r="AW176" s="793"/>
      <c r="AX176" s="793"/>
      <c r="AY176" s="793"/>
      <c r="AZ176" s="793"/>
      <c r="BA176" s="793"/>
      <c r="BB176" s="793"/>
      <c r="BC176" s="793"/>
      <c r="BD176" s="793"/>
      <c r="BE176" s="793"/>
      <c r="BF176" s="793"/>
      <c r="BG176" s="793"/>
      <c r="BH176" s="793"/>
      <c r="BI176" s="793"/>
      <c r="BJ176" s="793"/>
      <c r="BK176" s="793"/>
      <c r="BL176" s="793"/>
      <c r="BM176" s="793"/>
      <c r="BN176" s="793"/>
      <c r="BO176" s="2104"/>
      <c r="BP176" s="2104"/>
      <c r="BQ176" s="2104"/>
      <c r="BR176" s="2104"/>
      <c r="BS176" s="2104"/>
      <c r="BT176" s="2104"/>
      <c r="BU176" s="2104"/>
      <c r="BV176" s="2104"/>
      <c r="BW176" s="2104"/>
      <c r="BX176" s="2104"/>
      <c r="BY176" s="2104"/>
      <c r="BZ176" s="2104"/>
      <c r="CA176" s="34"/>
      <c r="CC176" s="2064"/>
      <c r="CD176" s="793"/>
      <c r="CE176" s="793"/>
      <c r="CF176" s="88"/>
      <c r="CG176" s="793"/>
      <c r="CH176" s="793"/>
      <c r="CI176" s="88"/>
      <c r="CJ176" s="1663"/>
      <c r="CK176" s="1663"/>
      <c r="CL176" s="88"/>
      <c r="CM176" s="3175">
        <v>1</v>
      </c>
      <c r="CN176" s="3175">
        <v>1</v>
      </c>
      <c r="CO176" s="1169"/>
      <c r="CP176" s="3175">
        <v>1</v>
      </c>
      <c r="CQ176" s="3175">
        <v>1</v>
      </c>
      <c r="CR176" s="34"/>
      <c r="CS176" s="2056"/>
      <c r="CT176" s="2085" t="str" cm="1">
        <f t="array" ref="CT176">IF(K176&lt;&gt;"Yes","",IF(OR(Y176="Select,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III"),"",IF(OR(Y176&lt;&gt;AB176,AND(LEN(B176)=0,NOT(OR(Y176="Select,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III")))),_xldudf_CX_PUSH(Y176,CX_ENTITY,C176,EOMONTH(val_asOfDate,0)),"")))</f>
        <v/>
      </c>
      <c r="CU176" s="2085" t="str" cm="1">
        <f t="array" ref="CU176">IF(K176&lt;&gt;"Yes","",IF(OR(Y176="Select,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III"),"",IF(OR(Y176&lt;&gt;AB176,AND(LEN(B176)=0,NOT(OR(Y176="Select,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III")))),_xldudf_CX_PUSH(Y176,CX_ENTITY,C176,EOMONTH(val_asOfDate,1)),"")))</f>
        <v/>
      </c>
      <c r="CV176" s="2085" t="str" cm="1">
        <f t="array" ref="CV176">IF(K176&lt;&gt;"Yes","",IF(OR(Y176="Select,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III"),"",IF(OR(Y176&lt;&gt;AB176,AND(LEN(B176)=0,NOT(OR(Y176="Select,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III")))),_xldudf_CX_PUSH(Y176,CX_ENTITY,C176,EOMONTH(val_asOfDate,2)),"")))</f>
        <v/>
      </c>
      <c r="CW176" s="2085" t="str" cm="1">
        <f t="array" ref="CW176">IF(K176&lt;&gt;"Yes","",IF(OR(Y176="Select,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III"),"",IF(OR(Y176&lt;&gt;AB176,AND(LEN(B176)=0,NOT(OR(Y176="Select,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III")))),_xldudf_CX_PUSH(Y176,CX_ENTITY,C176,EOMONTH(val_asOfDate,3)),"")))</f>
        <v/>
      </c>
      <c r="CX176" s="2443"/>
      <c r="CY176" s="2444" t="str" cm="1">
        <f t="array" ca="1" aca="1" ref="CY176">IFERROR(IF(CM176*fxVal_normal=_PL!CM176,"",IF(OR($CM176="",$CM176=0,NOT(ISNUMBER($CM176)),ISERROR($CM176),$B176=""),"",IF($I176=1,IFBLANK(_xldudf_CX_PUSH($CM176*fxVal_normal,CX_ENTITY,$B176,$CM$11,$CM$14,$CM$19,),""),IF($I176=2,IFBLANK(_xldudf_CX_PUSH($CM176,CX_ENTITY,$B176,$CM$11,$CM$14,$CM$19,),""),IF($I176=3,"",IFBLANK(_xldudf_CX_PUSH($CM176,CX_ENTITY,$B176,$CM$11,$CM$14,$CM$19,),"")))))),"")</f>
        <v/>
      </c>
      <c r="CZ176" s="2444" t="str" cm="1">
        <f t="array" ca="1" aca="1" ref="CZ176">IFERROR(IF(CN176*fxVal_normal=_PL!CN176,"",IF(OR($CN176="",$CN176=0,NOT(ISNUMBER($CN176)),ISERROR($CN176),$B176=""),"",IF($I176=1,IFBLANK(_xldudf_CX_PUSH($CN176*fxVal_normal,CX_ENTITY,$B176,$CN$11,$CN$14,$CN$19,),""),IF($I176=2,IFBLANK(_xldudf_CX_PUSH($CN176,CX_ENTITY,$B176,$CN$11,$CN$14,$CN$19,),""),IF($I176=3,"",IFBLANK(_xldudf_CX_PUSH($CN176,CX_ENTITY,$B176,$CN$11,$CN$14,$CN$19,),"")))))),"")</f>
        <v/>
      </c>
      <c r="DA176" s="2444" t="str" cm="1">
        <f t="array" ca="1" aca="1" ref="DA176">IFERROR(IF(CP176*fxVal_normal=_PL!CP176,"",IF(OR($CP176="",$CP176=0,NOT(ISNUMBER($CP176)),ISERROR($CP176),$B176=""),"",IF($I176=1,IFBLANK(_xldudf_CX_PUSH($CP176*fxVal_normal,CX_ENTITY,$B176,$CP$11,$CP$14,$CP$19,),""),IF($I176=2,IFBLANK(_xldudf_CX_PUSH($CP176,CX_ENTITY,$B176,$CP$11,$CP$14,$CP$19,),""),IF($I176=3,"",IFBLANK(_xldudf_CX_PUSH($CP176,CX_ENTITY,$B176,$CP$11,$CP$14,$CP$19,),"")))))),"")</f>
        <v/>
      </c>
      <c r="DB176" s="2444" t="str" cm="1">
        <f t="array" ca="1" aca="1" ref="DB176">IFERROR(IF(CQ176*fxVal_normal=_PL!CQ176,"",IF(OR($CQ176="",$CQ176=0,NOT(ISNUMBER($CQ176)),ISERROR($CQ176),$B176=""),"",IF($I176=1,IFBLANK(_xldudf_CX_PUSH($CQ176*fxVal_normal,CX_ENTITY,$B176,$CQ$11,$CQ$14,$CQ$19,),""),IF($I176=2,IFBLANK(_xldudf_CX_PUSH($CQ176,CX_ENTITY,$B176,$CQ$11,$CQ$14,$CQ$19,),""),IF($I176=3,"",IFBLANK(_xldudf_CX_PUSH($CQ176,CX_ENTITY,$B176,$CQ$11,$CQ$14,$CQ$19,),"")))))),"")</f>
        <v/>
      </c>
      <c r="DC176" s="2443"/>
      <c r="DD176" s="1880"/>
      <c r="DE176" s="1880"/>
      <c r="DF176" s="1880"/>
      <c r="DG176" s="1880"/>
      <c r="DH176" s="1880"/>
      <c r="DI176" s="1880"/>
      <c r="DJ176" s="1880"/>
      <c r="DK176" s="1880"/>
      <c r="DL176" s="1880"/>
      <c r="DM176" s="1880"/>
      <c r="DN176" s="1880"/>
      <c r="DO176" s="1880"/>
      <c r="DP176" s="1880"/>
      <c r="DQ176" s="1880"/>
      <c r="DR176" s="1880"/>
      <c r="DS176" s="1880"/>
      <c r="DT176" s="1880"/>
      <c r="DU176" s="1880"/>
      <c r="DV176" s="1880"/>
      <c r="DW176" s="1880"/>
      <c r="DX176" s="1880"/>
      <c r="DY176" s="1880"/>
      <c r="DZ176" s="1880"/>
      <c r="EA176" s="1880"/>
      <c r="EB176" s="1880"/>
      <c r="EC176" s="1880"/>
      <c r="ED176" s="1880"/>
      <c r="EE176" s="1880"/>
      <c r="EF176" s="1880"/>
      <c r="EG176" s="1880"/>
      <c r="EH176" s="1880"/>
      <c r="EI176" s="1880"/>
      <c r="EJ176" s="1880"/>
      <c r="EK176" s="1880"/>
      <c r="EL176" s="1880"/>
      <c r="EM176" s="1880"/>
      <c r="EN176" s="1880"/>
    </row>
    <row r="177" spans="1:144" ht="45.75" customHeight="1">
      <c r="A177" s="1625"/>
      <c r="B177" s="2585" t="str">
        <v>Including closed (not budgeted) deals (Annual Only) (Valuation)</v>
      </c>
      <c r="C177" s="2568"/>
      <c r="D177" s="1548"/>
      <c r="E177" s="2440" cm="1">
        <f t="array" ca="1" aca="1" ref="E177:G17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177:$CQ177,Z177)</f>
        <v>4</v>
      </c>
      <c r="F177" s="578">
        <f ca="1"/>
        <v>4</v>
      </c>
      <c r="G177" s="578" t="str">
        <f ca="1"/>
        <v>R</v>
      </c>
      <c r="H177" s="510">
        <v>0</v>
      </c>
      <c r="I177" s="3278">
        <v>1</v>
      </c>
      <c r="J177" s="3280" cm="1">
        <f t="array" ref="J177">IFBLANK(Z177,"")</f>
        <v>1</v>
      </c>
      <c r="K177" s="578" t="str">
        <f t="shared" si="51"/>
        <v/>
      </c>
      <c r="L177" s="37"/>
      <c r="N177" s="158"/>
      <c r="O177" s="101"/>
      <c r="P177" s="52"/>
      <c r="Q177" s="101"/>
      <c r="R177" s="101"/>
      <c r="S177" s="101"/>
      <c r="T177" s="101"/>
      <c r="U177" s="39"/>
      <c r="V177" s="37"/>
      <c r="W177" s="2569"/>
      <c r="X177" s="3310">
        <f>_PL!X177</f>
        <v>1</v>
      </c>
      <c r="Y177" s="2573" t="s">
        <v>147</v>
      </c>
      <c r="Z177" s="3291">
        <f>_PL!Z177</f>
        <v>1</v>
      </c>
      <c r="AA177" s="2571"/>
      <c r="AB177" s="3017" t="e" vm="6" cm="1">
        <f t="array" ref="AB177">IF(AB179&lt;&gt;"",fx_getIcon("right"),"")</f>
        <v>#VALUE!</v>
      </c>
      <c r="AC177" s="914" t="str" cm="1">
        <f t="array" ca="1" aca="1" ref="AC177">_xlfn.LET(_xlpm._termname,$AB177,_xlpm._iconname,"find",_xlpm._icon,fx_getIcon(_xlpm._iconname),_xlpm._location,_xlfn.XLOOKUP(LOWER(_xlpm._termname),LOWER(tbl_acctDef[Term]),tbl_acctDef[Term]),_xlpm._hyperlink,HYPERLINK("#"&amp;CELL("address",_xlpm._location),_xlpm._icon),IFERROR(_xlpm._hyperlink,""))</f>
        <v/>
      </c>
      <c r="AD177" s="793"/>
      <c r="AE177" s="793"/>
      <c r="AF177" s="793"/>
      <c r="AG177" s="793"/>
      <c r="AH177" s="793"/>
      <c r="AI177" s="793"/>
      <c r="AJ177" s="793"/>
      <c r="AK177" s="793"/>
      <c r="AL177" s="793"/>
      <c r="AM177" s="793"/>
      <c r="AN177" s="793"/>
      <c r="AO177" s="793"/>
      <c r="AP177" s="793"/>
      <c r="AQ177" s="793"/>
      <c r="AR177" s="793"/>
      <c r="AS177" s="793"/>
      <c r="AT177" s="793"/>
      <c r="AU177" s="793"/>
      <c r="AV177" s="793"/>
      <c r="AW177" s="793"/>
      <c r="AX177" s="793"/>
      <c r="AY177" s="793"/>
      <c r="AZ177" s="793"/>
      <c r="BA177" s="793"/>
      <c r="BB177" s="793"/>
      <c r="BC177" s="793"/>
      <c r="BD177" s="793"/>
      <c r="BE177" s="793"/>
      <c r="BF177" s="793"/>
      <c r="BG177" s="793"/>
      <c r="BH177" s="793"/>
      <c r="BI177" s="793"/>
      <c r="BJ177" s="793"/>
      <c r="BK177" s="793"/>
      <c r="BL177" s="793"/>
      <c r="BM177" s="793"/>
      <c r="BN177" s="793"/>
      <c r="BO177" s="2104"/>
      <c r="BP177" s="2104"/>
      <c r="BQ177" s="2104"/>
      <c r="BR177" s="2104"/>
      <c r="BS177" s="2104"/>
      <c r="BT177" s="2104"/>
      <c r="BU177" s="2104"/>
      <c r="BV177" s="2104"/>
      <c r="BW177" s="2104"/>
      <c r="BX177" s="2104"/>
      <c r="BY177" s="2104"/>
      <c r="BZ177" s="2104"/>
      <c r="CA177" s="34"/>
      <c r="CC177" s="2064"/>
      <c r="CD177" s="793"/>
      <c r="CE177" s="793"/>
      <c r="CF177" s="88"/>
      <c r="CG177" s="793"/>
      <c r="CH177" s="793"/>
      <c r="CI177" s="88"/>
      <c r="CJ177" s="1663"/>
      <c r="CK177" s="1663"/>
      <c r="CL177" s="88"/>
      <c r="CM177" s="3177">
        <v>1</v>
      </c>
      <c r="CN177" s="3177">
        <v>1</v>
      </c>
      <c r="CO177" s="1169"/>
      <c r="CP177" s="3177">
        <v>1</v>
      </c>
      <c r="CQ177" s="3177">
        <v>1</v>
      </c>
      <c r="CR177" s="34"/>
      <c r="CS177" s="2056"/>
      <c r="CT177" s="2085" t="str" cm="1">
        <f t="array" ref="CT177">IF(K177&lt;&gt;"Yes","",IF(OR(Y177="Select,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III"),"",IF(OR(Y177&lt;&gt;AB177,AND(LEN(B177)=0,NOT(OR(Y177="Select,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III")))),_xldudf_CX_PUSH(Y177,CX_ENTITY,C177,EOMONTH(val_asOfDate,0)),"")))</f>
        <v/>
      </c>
      <c r="CU177" s="2085" t="str" cm="1">
        <f t="array" ref="CU177">IF(K177&lt;&gt;"Yes","",IF(OR(Y177="Select,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III"),"",IF(OR(Y177&lt;&gt;AB177,AND(LEN(B177)=0,NOT(OR(Y177="Select,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III")))),_xldudf_CX_PUSH(Y177,CX_ENTITY,C177,EOMONTH(val_asOfDate,1)),"")))</f>
        <v/>
      </c>
      <c r="CV177" s="2085" t="str" cm="1">
        <f t="array" ref="CV177">IF(K177&lt;&gt;"Yes","",IF(OR(Y177="Select,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III"),"",IF(OR(Y177&lt;&gt;AB177,AND(LEN(B177)=0,NOT(OR(Y177="Select,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III")))),_xldudf_CX_PUSH(Y177,CX_ENTITY,C177,EOMONTH(val_asOfDate,2)),"")))</f>
        <v/>
      </c>
      <c r="CW177" s="2085" t="str" cm="1">
        <f t="array" ref="CW177">IF(K177&lt;&gt;"Yes","",IF(OR(Y177="Select,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III"),"",IF(OR(Y177&lt;&gt;AB177,AND(LEN(B177)=0,NOT(OR(Y177="Select,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III")))),_xldudf_CX_PUSH(Y177,CX_ENTITY,C177,EOMONTH(val_asOfDate,3)),"")))</f>
        <v/>
      </c>
      <c r="CX177" s="2443"/>
      <c r="CY177" s="2444" t="str" cm="1">
        <f t="array" ca="1" aca="1" ref="CY177">IFERROR(IF(CM177*fxVal_normal=_PL!CM177,"",IF(OR($CM177="",$CM177=0,NOT(ISNUMBER($CM177)),ISERROR($CM177),$B177=""),"",IF($I177=1,IFBLANK(_xldudf_CX_PUSH($CM177*fxVal_normal,CX_ENTITY,$B177,$CM$11,$CM$14,$CM$19,),""),IF($I177=2,IFBLANK(_xldudf_CX_PUSH($CM177,CX_ENTITY,$B177,$CM$11,$CM$14,$CM$19,),""),IF($I177=3,"",IFBLANK(_xldudf_CX_PUSH($CM177,CX_ENTITY,$B177,$CM$11,$CM$14,$CM$19,),"")))))),"")</f>
        <v/>
      </c>
      <c r="CZ177" s="2444" t="str" cm="1">
        <f t="array" ca="1" aca="1" ref="CZ177">IFERROR(IF(CN177*fxVal_normal=_PL!CN177,"",IF(OR($CN177="",$CN177=0,NOT(ISNUMBER($CN177)),ISERROR($CN177),$B177=""),"",IF($I177=1,IFBLANK(_xldudf_CX_PUSH($CN177*fxVal_normal,CX_ENTITY,$B177,$CN$11,$CN$14,$CN$19,),""),IF($I177=2,IFBLANK(_xldudf_CX_PUSH($CN177,CX_ENTITY,$B177,$CN$11,$CN$14,$CN$19,),""),IF($I177=3,"",IFBLANK(_xldudf_CX_PUSH($CN177,CX_ENTITY,$B177,$CN$11,$CN$14,$CN$19,),"")))))),"")</f>
        <v/>
      </c>
      <c r="DA177" s="2444" t="str" cm="1">
        <f t="array" ca="1" aca="1" ref="DA177">IFERROR(IF(CP177*fxVal_normal=_PL!CP177,"",IF(OR($CP177="",$CP177=0,NOT(ISNUMBER($CP177)),ISERROR($CP177),$B177=""),"",IF($I177=1,IFBLANK(_xldudf_CX_PUSH($CP177*fxVal_normal,CX_ENTITY,$B177,$CP$11,$CP$14,$CP$19,),""),IF($I177=2,IFBLANK(_xldudf_CX_PUSH($CP177,CX_ENTITY,$B177,$CP$11,$CP$14,$CP$19,),""),IF($I177=3,"",IFBLANK(_xldudf_CX_PUSH($CP177,CX_ENTITY,$B177,$CP$11,$CP$14,$CP$19,),"")))))),"")</f>
        <v/>
      </c>
      <c r="DB177" s="2444" t="str" cm="1">
        <f t="array" ca="1" aca="1" ref="DB177">IFERROR(IF(CQ177*fxVal_normal=_PL!CQ177,"",IF(OR($CQ177="",$CQ177=0,NOT(ISNUMBER($CQ177)),ISERROR($CQ177),$B177=""),"",IF($I177=1,IFBLANK(_xldudf_CX_PUSH($CQ177*fxVal_normal,CX_ENTITY,$B177,$CQ$11,$CQ$14,$CQ$19,),""),IF($I177=2,IFBLANK(_xldudf_CX_PUSH($CQ177,CX_ENTITY,$B177,$CQ$11,$CQ$14,$CQ$19,),""),IF($I177=3,"",IFBLANK(_xldudf_CX_PUSH($CQ177,CX_ENTITY,$B177,$CQ$11,$CQ$14,$CQ$19,),"")))))),"")</f>
        <v/>
      </c>
      <c r="DC177" s="2443"/>
      <c r="DD177" s="1880"/>
      <c r="DE177" s="1880"/>
      <c r="DF177" s="1880"/>
      <c r="DG177" s="1880"/>
      <c r="DH177" s="1880"/>
      <c r="DI177" s="1880"/>
      <c r="DJ177" s="1880"/>
      <c r="DK177" s="1880"/>
      <c r="DL177" s="1880"/>
      <c r="DM177" s="1880"/>
      <c r="DN177" s="1880"/>
      <c r="DO177" s="1880"/>
      <c r="DP177" s="1880"/>
      <c r="DQ177" s="1880"/>
      <c r="DR177" s="1880"/>
      <c r="DS177" s="1880"/>
      <c r="DT177" s="1880"/>
      <c r="DU177" s="1880"/>
      <c r="DV177" s="1880"/>
      <c r="DW177" s="1880"/>
      <c r="DX177" s="1880"/>
      <c r="DY177" s="1880"/>
      <c r="DZ177" s="1880"/>
      <c r="EA177" s="1880"/>
      <c r="EB177" s="1880"/>
      <c r="EC177" s="1880"/>
      <c r="ED177" s="1880"/>
      <c r="EE177" s="1880"/>
      <c r="EF177" s="1880"/>
      <c r="EG177" s="1880"/>
      <c r="EH177" s="1880"/>
      <c r="EI177" s="1880"/>
      <c r="EJ177" s="1880"/>
      <c r="EK177" s="1880"/>
      <c r="EL177" s="1880"/>
      <c r="EM177" s="1880"/>
      <c r="EN177" s="1880"/>
    </row>
    <row r="178" spans="1:144" ht="21" customHeight="1">
      <c r="A178" s="1625"/>
      <c r="B178" s="2439" t="s">
        <v>148</v>
      </c>
      <c r="C178" s="3459" t="str" cm="1">
        <f t="array" ref="C178">IFBLANK(_PL!C178,"")</f>
        <v>Valuation Metric Adjustment Type II - Label 3</v>
      </c>
      <c r="D178" s="1548" t="s">
        <v>123</v>
      </c>
      <c r="E178" s="2440" t="e" cm="1">
        <f t="array" ca="1" aca="1" ref="E17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178:$CQ178,Z178)</f>
        <v>#NAME?</v>
      </c>
      <c r="F178" s="578"/>
      <c r="G178" s="578"/>
      <c r="H178" s="510">
        <v>0</v>
      </c>
      <c r="I178" s="3302">
        <v>1</v>
      </c>
      <c r="J178" s="401" cm="1">
        <f t="array" ref="J178">IFBLANK(Z178,"")</f>
        <v>-1</v>
      </c>
      <c r="K178" s="578" t="str">
        <f t="shared" si="51"/>
        <v>No</v>
      </c>
      <c r="L178" s="37"/>
      <c r="N178" s="158"/>
      <c r="O178" s="101"/>
      <c r="P178" s="52"/>
      <c r="Q178" s="101"/>
      <c r="R178" s="101"/>
      <c r="S178" s="101"/>
      <c r="T178" s="101"/>
      <c r="U178" s="39"/>
      <c r="V178" s="37"/>
      <c r="W178" s="91" t="str">
        <f>W175</f>
        <v>Actual</v>
      </c>
      <c r="X178" s="2081" t="str">
        <f>_PL!X178</f>
        <v>a</v>
      </c>
      <c r="Y178" s="3218">
        <v>2</v>
      </c>
      <c r="Z178" s="198">
        <f>_PL!Z178</f>
        <v>-1</v>
      </c>
      <c r="AA178" s="2571"/>
      <c r="AB178" s="3017"/>
      <c r="AC178" s="914" t="str" cm="1">
        <f t="array" ca="1" aca="1" ref="AC178">_xlfn.LET(_xlpm._termname,$AB178,_xlpm._iconname,"find",_xlpm._icon,fx_getIcon(_xlpm._iconname),_xlpm._location,_xlfn.XLOOKUP(LOWER(_xlpm._termname),LOWER(tbl_acctDef[Term]),tbl_acctDef[Term]),_xlpm._hyperlink,HYPERLINK("#"&amp;CELL("address",_xlpm._location),_xlpm._icon),IFERROR(_xlpm._hyperlink,""))</f>
        <v/>
      </c>
      <c r="AD178" s="3215">
        <v>1</v>
      </c>
      <c r="AE178" s="3215">
        <v>1</v>
      </c>
      <c r="AF178" s="3215">
        <v>1</v>
      </c>
      <c r="AG178" s="3215">
        <v>1</v>
      </c>
      <c r="AH178" s="3215">
        <v>1</v>
      </c>
      <c r="AI178" s="3215">
        <v>1</v>
      </c>
      <c r="AJ178" s="3215">
        <v>1</v>
      </c>
      <c r="AK178" s="3215">
        <v>1</v>
      </c>
      <c r="AL178" s="3215">
        <v>1</v>
      </c>
      <c r="AM178" s="3215">
        <v>1</v>
      </c>
      <c r="AN178" s="3215">
        <v>1</v>
      </c>
      <c r="AO178" s="3215">
        <v>1</v>
      </c>
      <c r="AP178" s="3215">
        <v>1</v>
      </c>
      <c r="AQ178" s="3215">
        <v>1</v>
      </c>
      <c r="AR178" s="3215">
        <v>1</v>
      </c>
      <c r="AS178" s="3215">
        <v>1</v>
      </c>
      <c r="AT178" s="3215">
        <v>1</v>
      </c>
      <c r="AU178" s="3215">
        <v>1</v>
      </c>
      <c r="AV178" s="3215">
        <v>1</v>
      </c>
      <c r="AW178" s="3215">
        <v>1</v>
      </c>
      <c r="AX178" s="3215">
        <v>1</v>
      </c>
      <c r="AY178" s="3215">
        <v>1</v>
      </c>
      <c r="AZ178" s="3215">
        <v>1</v>
      </c>
      <c r="BA178" s="3215">
        <v>1</v>
      </c>
      <c r="BB178" s="3215">
        <v>1</v>
      </c>
      <c r="BC178" s="3215">
        <v>1</v>
      </c>
      <c r="BD178" s="3215">
        <v>1</v>
      </c>
      <c r="BE178" s="3215">
        <v>1</v>
      </c>
      <c r="BF178" s="3215">
        <v>1</v>
      </c>
      <c r="BG178" s="3215">
        <v>1</v>
      </c>
      <c r="BH178" s="3215">
        <v>1</v>
      </c>
      <c r="BI178" s="3215">
        <v>1</v>
      </c>
      <c r="BJ178" s="3215">
        <v>1</v>
      </c>
      <c r="BK178" s="3215">
        <v>1</v>
      </c>
      <c r="BL178" s="3215">
        <v>1</v>
      </c>
      <c r="BM178" s="3215">
        <v>1</v>
      </c>
      <c r="BN178" s="3215">
        <v>1</v>
      </c>
      <c r="BO178" s="2442"/>
      <c r="BP178" s="2442"/>
      <c r="BQ178" s="2442"/>
      <c r="BR178" s="2442"/>
      <c r="BS178" s="2442"/>
      <c r="BT178" s="2442"/>
      <c r="BU178" s="2442"/>
      <c r="BV178" s="2442"/>
      <c r="BW178" s="2442"/>
      <c r="BX178" s="2442"/>
      <c r="BY178" s="2442"/>
      <c r="BZ178" s="2442"/>
      <c r="CA178" s="34"/>
      <c r="CC178" s="2064"/>
      <c r="CD178" s="1461" t="e" cm="1">
        <f t="array" ca="1" aca="1" ref="CD178">_xlfn.LET(_xlpm.CheckBlank,SUM(PL!$AD178:$BN178)=0,IF(_xlpm.CheckBlank,"",SUM(_xlfn._xlws.FILTER(PL!$AD178:$BN178,(YEAR(PL!$AD$12:$BN$12)=PL!CD$12)*(array_timeline&lt;=PL!CD$11)))))</f>
        <v>#NAME?</v>
      </c>
      <c r="CE178" s="1461" t="e" cm="1">
        <f t="array" ca="1" aca="1" ref="CE178">_xlfn.LET(_xlpm.CheckBlank,SUM(PL!$AD178:$BN178)=0,IF(_xlpm.CheckBlank,"",SUM(_xlfn._xlws.FILTER(PL!$AD178:$BN178,(YEAR(PL!$AD$12:$BN$12)=PL!CE$12)*(array_timeline&lt;=PL!CE$11)))))</f>
        <v>#NAME?</v>
      </c>
      <c r="CF178" s="88"/>
      <c r="CG178" s="1461" t="e" cm="1">
        <f t="array" ca="1" aca="1" ref="CG178">_xlfn.LET(_xlpm.CheckBlank,SUM(PL!$AD178:$BN178)=0,IF(_xlpm.CheckBlank,"",SUM(_xlfn._xlws.FILTER(PL!$AD178:$BN178,(YEAR(PL!$AD$12:$BN$12)=PL!CG$12)*(array_timeline&lt;=PL!CG$11)))))</f>
        <v>#NAME?</v>
      </c>
      <c r="CH178" s="1461" t="e" cm="1">
        <f t="array" ca="1" aca="1" ref="CH178">_xlfn.LET(_xlpm.CheckBlank,SUM(PL!$AD178:$BN178)=0,IF(_xlpm.CheckBlank,"",SUM(_xlfn._xlws.FILTER(PL!$AD178:$BN178,(YEAR(PL!$AD$12:$BN$12)=PL!CH$12)*(array_timeline&lt;=PL!CH$11)))))</f>
        <v>#NAME?</v>
      </c>
      <c r="CI178" s="88"/>
      <c r="CJ178" s="1461" cm="1">
        <f t="array" ref="CJ178">_xlfn.LET(_xlpm.CheckBlank,SUM(PL!$AD178:$BN178)=0,IF(_xlpm.CheckBlank,"",SUM(_xlfn.TAKE(_xlfn.DROP(PL!$AD178:$BN178,,-DATEDIFF(PL!CJ$11,val_asOfDate,"M")),1,-12))))</f>
        <v>12</v>
      </c>
      <c r="CK178" s="1461" cm="1">
        <f t="array" ref="CK178">_xlfn.LET(_xlpm.CheckBlank,SUM(PL!$AD178:$BN178)=0,IF(_xlpm.CheckBlank,"",SUM(_xlfn.TAKE(_xlfn.DROP(PL!$AD178:$BN178,,-DATEDIFF(PL!CK$11,val_asOfDate,"M")),1,-12))))</f>
        <v>12</v>
      </c>
      <c r="CL178" s="88"/>
      <c r="CM178" s="3177">
        <v>1</v>
      </c>
      <c r="CN178" s="3177">
        <v>1</v>
      </c>
      <c r="CO178" s="1169"/>
      <c r="CP178" s="3177">
        <v>1</v>
      </c>
      <c r="CQ178" s="3177">
        <v>1</v>
      </c>
      <c r="CR178" s="34"/>
      <c r="CS178" s="2056"/>
      <c r="CT178" s="2447" t="e" cm="1">
        <f t="array" ca="1" aca="1" ref="CT178">IF(ISNUMBER(SEARCH("Select",$Y178)),"",_xldudf_CX_PUSH($Y178,CX_ENTITY,C178,val_asOfDate))</f>
        <v>#NAME?</v>
      </c>
      <c r="CU178" s="2447" t="e" cm="1">
        <f t="array" ca="1" aca="1" ref="CU178">IF(ISNUMBER(SEARCH("Select",$Y178)),"",_xldudf_CX_PUSH($Y178,CX_ENTITY,C178,EOMONTH(val_asOfDate,1)))</f>
        <v>#NAME?</v>
      </c>
      <c r="CV178" s="2447" t="e" cm="1">
        <f t="array" ca="1" aca="1" ref="CV178">IF(ISNUMBER(SEARCH("Select",$Y178)),"",_xldudf_CX_PUSH($Y178,CX_ENTITY,C178,EOMONTH(val_asOfDate,2)))</f>
        <v>#NAME?</v>
      </c>
      <c r="CW178" s="2447" t="e" cm="1">
        <f t="array" ca="1" aca="1" ref="CW178">IF(ISNUMBER(SEARCH("Select",$Y178)),"",_xldudf_CX_PUSH($Y178,CX_ENTITY,C178,EOMONTH(val_asOfDate,3)))</f>
        <v>#NAME?</v>
      </c>
      <c r="CX178" s="2443"/>
      <c r="CY178" s="2444" t="str" cm="1">
        <f t="array" ca="1" aca="1" ref="CY178">IFERROR(IF(CM178*fxVal_normal=_PL!CM178,"",IF(OR($CM178="",$CM178=0,NOT(ISNUMBER($CM178)),ISERROR($CM178),$B178=""),"",IF($I178=1,IFBLANK(_xldudf_CX_PUSH($CM178*fxVal_normal,CX_ENTITY,$B178,$CM$11,$CM$14,$CM$19,),""),IF($I178=2,IFBLANK(_xldudf_CX_PUSH($CM178,CX_ENTITY,$B178,$CM$11,$CM$14,$CM$19,),""),IF($I178=3,"",IFBLANK(_xldudf_CX_PUSH($CM178,CX_ENTITY,$B178,$CM$11,$CM$14,$CM$19,),"")))))),"")</f>
        <v/>
      </c>
      <c r="CZ178" s="2444" t="str" cm="1">
        <f t="array" ca="1" aca="1" ref="CZ178">IFERROR(IF(CN178*fxVal_normal=_PL!CN178,"",IF(OR($CN178="",$CN178=0,NOT(ISNUMBER($CN178)),ISERROR($CN178),$B178=""),"",IF($I178=1,IFBLANK(_xldudf_CX_PUSH($CN178*fxVal_normal,CX_ENTITY,$B178,$CN$11,$CN$14,$CN$19,),""),IF($I178=2,IFBLANK(_xldudf_CX_PUSH($CN178,CX_ENTITY,$B178,$CN$11,$CN$14,$CN$19,),""),IF($I178=3,"",IFBLANK(_xldudf_CX_PUSH($CN178,CX_ENTITY,$B178,$CN$11,$CN$14,$CN$19,),"")))))),"")</f>
        <v/>
      </c>
      <c r="DA178" s="2444" t="str" cm="1">
        <f t="array" ca="1" aca="1" ref="DA178">IFERROR(IF(CP178*fxVal_normal=_PL!CP178,"",IF(OR($CP178="",$CP178=0,NOT(ISNUMBER($CP178)),ISERROR($CP178),$B178=""),"",IF($I178=1,IFBLANK(_xldudf_CX_PUSH($CP178*fxVal_normal,CX_ENTITY,$B178,$CP$11,$CP$14,$CP$19,),""),IF($I178=2,IFBLANK(_xldudf_CX_PUSH($CP178,CX_ENTITY,$B178,$CP$11,$CP$14,$CP$19,),""),IF($I178=3,"",IFBLANK(_xldudf_CX_PUSH($CP178,CX_ENTITY,$B178,$CP$11,$CP$14,$CP$19,),"")))))),"")</f>
        <v/>
      </c>
      <c r="DB178" s="2444" t="str" cm="1">
        <f t="array" ca="1" aca="1" ref="DB178">IFERROR(IF(CQ178*fxVal_normal=_PL!CQ178,"",IF(OR($CQ178="",$CQ178=0,NOT(ISNUMBER($CQ178)),ISERROR($CQ178),$B178=""),"",IF($I178=1,IFBLANK(_xldudf_CX_PUSH($CQ178*fxVal_normal,CX_ENTITY,$B178,$CQ$11,$CQ$14,$CQ$19,),""),IF($I178=2,IFBLANK(_xldudf_CX_PUSH($CQ178,CX_ENTITY,$B178,$CQ$11,$CQ$14,$CQ$19,),""),IF($I178=3,"",IFBLANK(_xldudf_CX_PUSH($CQ178,CX_ENTITY,$B178,$CQ$11,$CQ$14,$CQ$19,),"")))))),"")</f>
        <v/>
      </c>
      <c r="DC178" s="2443"/>
      <c r="DD178" s="2445" t="str" cm="1">
        <f t="array" ca="1" aca="1" ref="DD178">IFERROR(IF(AD178*fxVal_normal=_PL!AD178,"",IF(OR(AD178="",NOT(ISNUMBER(AD178)),ISERROR(AD178),$B178=""),"",IF($I178=1,IFBLANK(_xldudf_CX_PUSH(AD178*fxVal_normal,CX_ENTITY,$B178,AD$11,AD$14,AD$174,),""),IF($I178=2,IFBLANK(_xldudf_CX_PUSH(AD178,CX_ENTITY,$B178,AD$11,AD$14,AD$174,),""),IF($I178=3,"",IFBLANK(_xldudf_CX_PUSH(AD178,CX_ENTITY,$B178,AD$11,AD$14,AD$174,),"")))))),"")</f>
        <v/>
      </c>
      <c r="DE178" s="2445" t="str" cm="1">
        <f t="array" ca="1" aca="1" ref="DE178">IFERROR(IF(AE178*fxVal_normal=_PL!AE178,"",IF(OR(AE178="",NOT(ISNUMBER(AE178)),ISERROR(AE178),$B178=""),"",IF($I178=1,IFBLANK(_xldudf_CX_PUSH(AE178*fxVal_normal,CX_ENTITY,$B178,AE$11,AE$14,AE$174,),""),IF($I178=2,IFBLANK(_xldudf_CX_PUSH(AE178,CX_ENTITY,$B178,AE$11,AE$14,AE$174,),""),IF($I178=3,"",IFBLANK(_xldudf_CX_PUSH(AE178,CX_ENTITY,$B178,AE$11,AE$14,AE$174,),"")))))),"")</f>
        <v/>
      </c>
      <c r="DF178" s="2445" t="str" cm="1">
        <f t="array" ca="1" aca="1" ref="DF178">IFERROR(IF(AF178*fxVal_normal=_PL!AF178,"",IF(OR(AF178="",NOT(ISNUMBER(AF178)),ISERROR(AF178),$B178=""),"",IF($I178=1,IFBLANK(_xldudf_CX_PUSH(AF178*fxVal_normal,CX_ENTITY,$B178,AF$11,AF$14,AF$174,),""),IF($I178=2,IFBLANK(_xldudf_CX_PUSH(AF178,CX_ENTITY,$B178,AF$11,AF$14,AF$174,),""),IF($I178=3,"",IFBLANK(_xldudf_CX_PUSH(AF178,CX_ENTITY,$B178,AF$11,AF$14,AF$174,),"")))))),"")</f>
        <v/>
      </c>
      <c r="DG178" s="2445" t="str" cm="1">
        <f t="array" ca="1" aca="1" ref="DG178">IFERROR(IF(AG178*fxVal_normal=_PL!AG178,"",IF(OR(AG178="",NOT(ISNUMBER(AG178)),ISERROR(AG178),$B178=""),"",IF($I178=1,IFBLANK(_xldudf_CX_PUSH(AG178*fxVal_normal,CX_ENTITY,$B178,AG$11,AG$14,AG$174,),""),IF($I178=2,IFBLANK(_xldudf_CX_PUSH(AG178,CX_ENTITY,$B178,AG$11,AG$14,AG$174,),""),IF($I178=3,"",IFBLANK(_xldudf_CX_PUSH(AG178,CX_ENTITY,$B178,AG$11,AG$14,AG$174,),"")))))),"")</f>
        <v/>
      </c>
      <c r="DH178" s="2445" t="str" cm="1">
        <f t="array" ca="1" aca="1" ref="DH178">IFERROR(IF(AH178*fxVal_normal=_PL!AH178,"",IF(OR(AH178="",NOT(ISNUMBER(AH178)),ISERROR(AH178),$B178=""),"",IF($I178=1,IFBLANK(_xldudf_CX_PUSH(AH178*fxVal_normal,CX_ENTITY,$B178,AH$11,AH$14,AH$174,),""),IF($I178=2,IFBLANK(_xldudf_CX_PUSH(AH178,CX_ENTITY,$B178,AH$11,AH$14,AH$174,),""),IF($I178=3,"",IFBLANK(_xldudf_CX_PUSH(AH178,CX_ENTITY,$B178,AH$11,AH$14,AH$174,),"")))))),"")</f>
        <v/>
      </c>
      <c r="DI178" s="2445" t="str" cm="1">
        <f t="array" ca="1" aca="1" ref="DI178">IFERROR(IF(AI178*fxVal_normal=_PL!AI178,"",IF(OR(AI178="",NOT(ISNUMBER(AI178)),ISERROR(AI178),$B178=""),"",IF($I178=1,IFBLANK(_xldudf_CX_PUSH(AI178*fxVal_normal,CX_ENTITY,$B178,AI$11,AI$14,AI$174,),""),IF($I178=2,IFBLANK(_xldudf_CX_PUSH(AI178,CX_ENTITY,$B178,AI$11,AI$14,AI$174,),""),IF($I178=3,"",IFBLANK(_xldudf_CX_PUSH(AI178,CX_ENTITY,$B178,AI$11,AI$14,AI$174,),"")))))),"")</f>
        <v/>
      </c>
      <c r="DJ178" s="2445" t="str" cm="1">
        <f t="array" ca="1" aca="1" ref="DJ178">IFERROR(IF(AJ178*fxVal_normal=_PL!AJ178,"",IF(OR(AJ178="",NOT(ISNUMBER(AJ178)),ISERROR(AJ178),$B178=""),"",IF($I178=1,IFBLANK(_xldudf_CX_PUSH(AJ178*fxVal_normal,CX_ENTITY,$B178,AJ$11,AJ$14,AJ$174,),""),IF($I178=2,IFBLANK(_xldudf_CX_PUSH(AJ178,CX_ENTITY,$B178,AJ$11,AJ$14,AJ$174,),""),IF($I178=3,"",IFBLANK(_xldudf_CX_PUSH(AJ178,CX_ENTITY,$B178,AJ$11,AJ$14,AJ$174,),"")))))),"")</f>
        <v/>
      </c>
      <c r="DK178" s="2445" t="str" cm="1">
        <f t="array" ca="1" aca="1" ref="DK178">IFERROR(IF(AK178*fxVal_normal=_PL!AK178,"",IF(OR(AK178="",NOT(ISNUMBER(AK178)),ISERROR(AK178),$B178=""),"",IF($I178=1,IFBLANK(_xldudf_CX_PUSH(AK178*fxVal_normal,CX_ENTITY,$B178,AK$11,AK$14,AK$174,),""),IF($I178=2,IFBLANK(_xldudf_CX_PUSH(AK178,CX_ENTITY,$B178,AK$11,AK$14,AK$174,),""),IF($I178=3,"",IFBLANK(_xldudf_CX_PUSH(AK178,CX_ENTITY,$B178,AK$11,AK$14,AK$174,),"")))))),"")</f>
        <v/>
      </c>
      <c r="DL178" s="2445" t="str" cm="1">
        <f t="array" ca="1" aca="1" ref="DL178">IFERROR(IF(AL178*fxVal_normal=_PL!AL178,"",IF(OR(AL178="",NOT(ISNUMBER(AL178)),ISERROR(AL178),$B178=""),"",IF($I178=1,IFBLANK(_xldudf_CX_PUSH(AL178*fxVal_normal,CX_ENTITY,$B178,AL$11,AL$14,AL$174,),""),IF($I178=2,IFBLANK(_xldudf_CX_PUSH(AL178,CX_ENTITY,$B178,AL$11,AL$14,AL$174,),""),IF($I178=3,"",IFBLANK(_xldudf_CX_PUSH(AL178,CX_ENTITY,$B178,AL$11,AL$14,AL$174,),"")))))),"")</f>
        <v/>
      </c>
      <c r="DM178" s="2445" t="str" cm="1">
        <f t="array" ca="1" aca="1" ref="DM178">IFERROR(IF(AM178*fxVal_normal=_PL!AM178,"",IF(OR(AM178="",NOT(ISNUMBER(AM178)),ISERROR(AM178),$B178=""),"",IF($I178=1,IFBLANK(_xldudf_CX_PUSH(AM178*fxVal_normal,CX_ENTITY,$B178,AM$11,AM$14,AM$174,),""),IF($I178=2,IFBLANK(_xldudf_CX_PUSH(AM178,CX_ENTITY,$B178,AM$11,AM$14,AM$174,),""),IF($I178=3,"",IFBLANK(_xldudf_CX_PUSH(AM178,CX_ENTITY,$B178,AM$11,AM$14,AM$174,),"")))))),"")</f>
        <v/>
      </c>
      <c r="DN178" s="2445" t="str" cm="1">
        <f t="array" ca="1" aca="1" ref="DN178">IFERROR(IF(AN178*fxVal_normal=_PL!AN178,"",IF(OR(AN178="",NOT(ISNUMBER(AN178)),ISERROR(AN178),$B178=""),"",IF($I178=1,IFBLANK(_xldudf_CX_PUSH(AN178*fxVal_normal,CX_ENTITY,$B178,AN$11,AN$14,AN$174,),""),IF($I178=2,IFBLANK(_xldudf_CX_PUSH(AN178,CX_ENTITY,$B178,AN$11,AN$14,AN$174,),""),IF($I178=3,"",IFBLANK(_xldudf_CX_PUSH(AN178,CX_ENTITY,$B178,AN$11,AN$14,AN$174,),"")))))),"")</f>
        <v/>
      </c>
      <c r="DO178" s="2445" t="str" cm="1">
        <f t="array" ca="1" aca="1" ref="DO178">IFERROR(IF(AO178*fxVal_normal=_PL!AO178,"",IF(OR(AO178="",NOT(ISNUMBER(AO178)),ISERROR(AO178),$B178=""),"",IF($I178=1,IFBLANK(_xldudf_CX_PUSH(AO178*fxVal_normal,CX_ENTITY,$B178,AO$11,AO$14,AO$174,),""),IF($I178=2,IFBLANK(_xldudf_CX_PUSH(AO178,CX_ENTITY,$B178,AO$11,AO$14,AO$174,),""),IF($I178=3,"",IFBLANK(_xldudf_CX_PUSH(AO178,CX_ENTITY,$B178,AO$11,AO$14,AO$174,),"")))))),"")</f>
        <v/>
      </c>
      <c r="DP178" s="2445" t="str" cm="1">
        <f t="array" ca="1" aca="1" ref="DP178">IFERROR(IF(AP178*fxVal_normal=_PL!AP178,"",IF(OR(AP178="",NOT(ISNUMBER(AP178)),ISERROR(AP178),$B178=""),"",IF($I178=1,IFBLANK(_xldudf_CX_PUSH(AP178*fxVal_normal,CX_ENTITY,$B178,AP$11,AP$14,AP$174,),""),IF($I178=2,IFBLANK(_xldudf_CX_PUSH(AP178,CX_ENTITY,$B178,AP$11,AP$14,AP$174,),""),IF($I178=3,"",IFBLANK(_xldudf_CX_PUSH(AP178,CX_ENTITY,$B178,AP$11,AP$14,AP$174,),"")))))),"")</f>
        <v/>
      </c>
      <c r="DQ178" s="2445" t="str" cm="1">
        <f t="array" ca="1" aca="1" ref="DQ178">IFERROR(IF(AQ178*fxVal_normal=_PL!AQ178,"",IF(OR(AQ178="",NOT(ISNUMBER(AQ178)),ISERROR(AQ178),$B178=""),"",IF($I178=1,IFBLANK(_xldudf_CX_PUSH(AQ178*fxVal_normal,CX_ENTITY,$B178,AQ$11,AQ$14,AQ$174,),""),IF($I178=2,IFBLANK(_xldudf_CX_PUSH(AQ178,CX_ENTITY,$B178,AQ$11,AQ$14,AQ$174,),""),IF($I178=3,"",IFBLANK(_xldudf_CX_PUSH(AQ178,CX_ENTITY,$B178,AQ$11,AQ$14,AQ$174,),"")))))),"")</f>
        <v/>
      </c>
      <c r="DR178" s="2445" t="str" cm="1">
        <f t="array" ca="1" aca="1" ref="DR178">IFERROR(IF(AR178*fxVal_normal=_PL!AR178,"",IF(OR(AR178="",NOT(ISNUMBER(AR178)),ISERROR(AR178),$B178=""),"",IF($I178=1,IFBLANK(_xldudf_CX_PUSH(AR178*fxVal_normal,CX_ENTITY,$B178,AR$11,AR$14,AR$174,),""),IF($I178=2,IFBLANK(_xldudf_CX_PUSH(AR178,CX_ENTITY,$B178,AR$11,AR$14,AR$174,),""),IF($I178=3,"",IFBLANK(_xldudf_CX_PUSH(AR178,CX_ENTITY,$B178,AR$11,AR$14,AR$174,),"")))))),"")</f>
        <v/>
      </c>
      <c r="DS178" s="2445" t="str" cm="1">
        <f t="array" ca="1" aca="1" ref="DS178">IFERROR(IF(AS178*fxVal_normal=_PL!AS178,"",IF(OR(AS178="",NOT(ISNUMBER(AS178)),ISERROR(AS178),$B178=""),"",IF($I178=1,IFBLANK(_xldudf_CX_PUSH(AS178*fxVal_normal,CX_ENTITY,$B178,AS$11,AS$14,AS$174,),""),IF($I178=2,IFBLANK(_xldudf_CX_PUSH(AS178,CX_ENTITY,$B178,AS$11,AS$14,AS$174,),""),IF($I178=3,"",IFBLANK(_xldudf_CX_PUSH(AS178,CX_ENTITY,$B178,AS$11,AS$14,AS$174,),"")))))),"")</f>
        <v/>
      </c>
      <c r="DT178" s="2445" t="str" cm="1">
        <f t="array" ca="1" aca="1" ref="DT178">IFERROR(IF(AT178*fxVal_normal=_PL!AT178,"",IF(OR(AT178="",NOT(ISNUMBER(AT178)),ISERROR(AT178),$B178=""),"",IF($I178=1,IFBLANK(_xldudf_CX_PUSH(AT178*fxVal_normal,CX_ENTITY,$B178,AT$11,AT$14,AT$174,),""),IF($I178=2,IFBLANK(_xldudf_CX_PUSH(AT178,CX_ENTITY,$B178,AT$11,AT$14,AT$174,),""),IF($I178=3,"",IFBLANK(_xldudf_CX_PUSH(AT178,CX_ENTITY,$B178,AT$11,AT$14,AT$174,),"")))))),"")</f>
        <v/>
      </c>
      <c r="DU178" s="2445" t="str" cm="1">
        <f t="array" ca="1" aca="1" ref="DU178">IFERROR(IF(AU178*fxVal_normal=_PL!AU178,"",IF(OR(AU178="",NOT(ISNUMBER(AU178)),ISERROR(AU178),$B178=""),"",IF($I178=1,IFBLANK(_xldudf_CX_PUSH(AU178*fxVal_normal,CX_ENTITY,$B178,AU$11,AU$14,AU$174,),""),IF($I178=2,IFBLANK(_xldudf_CX_PUSH(AU178,CX_ENTITY,$B178,AU$11,AU$14,AU$174,),""),IF($I178=3,"",IFBLANK(_xldudf_CX_PUSH(AU178,CX_ENTITY,$B178,AU$11,AU$14,AU$174,),"")))))),"")</f>
        <v/>
      </c>
      <c r="DV178" s="2445" t="str" cm="1">
        <f t="array" ca="1" aca="1" ref="DV178">IFERROR(IF(AV178*fxVal_normal=_PL!AV178,"",IF(OR(AV178="",NOT(ISNUMBER(AV178)),ISERROR(AV178),$B178=""),"",IF($I178=1,IFBLANK(_xldudf_CX_PUSH(AV178*fxVal_normal,CX_ENTITY,$B178,AV$11,AV$14,AV$174,),""),IF($I178=2,IFBLANK(_xldudf_CX_PUSH(AV178,CX_ENTITY,$B178,AV$11,AV$14,AV$174,),""),IF($I178=3,"",IFBLANK(_xldudf_CX_PUSH(AV178,CX_ENTITY,$B178,AV$11,AV$14,AV$174,),"")))))),"")</f>
        <v/>
      </c>
      <c r="DW178" s="2445" t="str" cm="1">
        <f t="array" ca="1" aca="1" ref="DW178">IFERROR(IF(AW178*fxVal_normal=_PL!AW178,"",IF(OR(AW178="",NOT(ISNUMBER(AW178)),ISERROR(AW178),$B178=""),"",IF($I178=1,IFBLANK(_xldudf_CX_PUSH(AW178*fxVal_normal,CX_ENTITY,$B178,AW$11,AW$14,AW$174,),""),IF($I178=2,IFBLANK(_xldudf_CX_PUSH(AW178,CX_ENTITY,$B178,AW$11,AW$14,AW$174,),""),IF($I178=3,"",IFBLANK(_xldudf_CX_PUSH(AW178,CX_ENTITY,$B178,AW$11,AW$14,AW$174,),"")))))),"")</f>
        <v/>
      </c>
      <c r="DX178" s="2445" t="str" cm="1">
        <f t="array" ca="1" aca="1" ref="DX178">IFERROR(IF(AX178*fxVal_normal=_PL!AX178,"",IF(OR(AX178="",NOT(ISNUMBER(AX178)),ISERROR(AX178),$B178=""),"",IF($I178=1,IFBLANK(_xldudf_CX_PUSH(AX178*fxVal_normal,CX_ENTITY,$B178,AX$11,AX$14,AX$174,),""),IF($I178=2,IFBLANK(_xldudf_CX_PUSH(AX178,CX_ENTITY,$B178,AX$11,AX$14,AX$174,),""),IF($I178=3,"",IFBLANK(_xldudf_CX_PUSH(AX178,CX_ENTITY,$B178,AX$11,AX$14,AX$174,),"")))))),"")</f>
        <v/>
      </c>
      <c r="DY178" s="2445" t="str" cm="1">
        <f t="array" ca="1" aca="1" ref="DY178">IFERROR(IF(AY178*fxVal_normal=_PL!AY178,"",IF(OR(AY178="",NOT(ISNUMBER(AY178)),ISERROR(AY178),$B178=""),"",IF($I178=1,IFBLANK(_xldudf_CX_PUSH(AY178*fxVal_normal,CX_ENTITY,$B178,AY$11,AY$14,AY$174,),""),IF($I178=2,IFBLANK(_xldudf_CX_PUSH(AY178,CX_ENTITY,$B178,AY$11,AY$14,AY$174,),""),IF($I178=3,"",IFBLANK(_xldudf_CX_PUSH(AY178,CX_ENTITY,$B178,AY$11,AY$14,AY$174,),"")))))),"")</f>
        <v/>
      </c>
      <c r="DZ178" s="2445" t="str" cm="1">
        <f t="array" ca="1" aca="1" ref="DZ178">IFERROR(IF(AZ178*fxVal_normal=_PL!AZ178,"",IF(OR(AZ178="",NOT(ISNUMBER(AZ178)),ISERROR(AZ178),$B178=""),"",IF($I178=1,IFBLANK(_xldudf_CX_PUSH(AZ178*fxVal_normal,CX_ENTITY,$B178,AZ$11,AZ$14,AZ$174,),""),IF($I178=2,IFBLANK(_xldudf_CX_PUSH(AZ178,CX_ENTITY,$B178,AZ$11,AZ$14,AZ$174,),""),IF($I178=3,"",IFBLANK(_xldudf_CX_PUSH(AZ178,CX_ENTITY,$B178,AZ$11,AZ$14,AZ$174,),"")))))),"")</f>
        <v/>
      </c>
      <c r="EA178" s="2445" t="str" cm="1">
        <f t="array" ca="1" aca="1" ref="EA178">IFERROR(IF(BA178*fxVal_normal=_PL!BA178,"",IF(OR(BA178="",NOT(ISNUMBER(BA178)),ISERROR(BA178),$B178=""),"",IF($I178=1,IFBLANK(_xldudf_CX_PUSH(BA178*fxVal_normal,CX_ENTITY,$B178,BA$11,BA$14,BA$174,),""),IF($I178=2,IFBLANK(_xldudf_CX_PUSH(BA178,CX_ENTITY,$B178,BA$11,BA$14,BA$174,),""),IF($I178=3,"",IFBLANK(_xldudf_CX_PUSH(BA178,CX_ENTITY,$B178,BA$11,BA$14,BA$174,),"")))))),"")</f>
        <v/>
      </c>
      <c r="EB178" s="2445" t="str" cm="1">
        <f t="array" ca="1" aca="1" ref="EB178">IFERROR(IF(BB178*fxVal_normal=_PL!BB178,"",IF(OR(BB178="",NOT(ISNUMBER(BB178)),ISERROR(BB178),$B178=""),"",IF($I178=1,IFBLANK(_xldudf_CX_PUSH(BB178*fxVal_normal,CX_ENTITY,$B178,BB$11,BB$14,BB$174,),""),IF($I178=2,IFBLANK(_xldudf_CX_PUSH(BB178,CX_ENTITY,$B178,BB$11,BB$14,BB$174,),""),IF($I178=3,"",IFBLANK(_xldudf_CX_PUSH(BB178,CX_ENTITY,$B178,BB$11,BB$14,BB$174,),"")))))),"")</f>
        <v/>
      </c>
      <c r="EC178" s="2445" t="str" cm="1">
        <f t="array" ca="1" aca="1" ref="EC178">IFERROR(IF(BC178*fxVal_normal=_PL!BC178,"",IF(OR(BC178="",NOT(ISNUMBER(BC178)),ISERROR(BC178),$B178=""),"",IF($I178=1,IFBLANK(_xldudf_CX_PUSH(BC178*fxVal_normal,CX_ENTITY,$B178,BC$11,BC$14,BC$174,),""),IF($I178=2,IFBLANK(_xldudf_CX_PUSH(BC178,CX_ENTITY,$B178,BC$11,BC$14,BC$174,),""),IF($I178=3,"",IFBLANK(_xldudf_CX_PUSH(BC178,CX_ENTITY,$B178,BC$11,BC$14,BC$174,),"")))))),"")</f>
        <v/>
      </c>
      <c r="ED178" s="2445" t="str" cm="1">
        <f t="array" ca="1" aca="1" ref="ED178">IFERROR(IF(BD178*fxVal_normal=_PL!BD178,"",IF(OR(BD178="",NOT(ISNUMBER(BD178)),ISERROR(BD178),$B178=""),"",IF($I178=1,IFBLANK(_xldudf_CX_PUSH(BD178*fxVal_normal,CX_ENTITY,$B178,BD$11,BD$14,BD$174,),""),IF($I178=2,IFBLANK(_xldudf_CX_PUSH(BD178,CX_ENTITY,$B178,BD$11,BD$14,BD$174,),""),IF($I178=3,"",IFBLANK(_xldudf_CX_PUSH(BD178,CX_ENTITY,$B178,BD$11,BD$14,BD$174,),"")))))),"")</f>
        <v/>
      </c>
      <c r="EE178" s="2445" t="str" cm="1">
        <f t="array" ca="1" aca="1" ref="EE178">IFERROR(IF(BE178*fxVal_normal=_PL!BE178,"",IF(OR(BE178="",NOT(ISNUMBER(BE178)),ISERROR(BE178),$B178=""),"",IF($I178=1,IFBLANK(_xldudf_CX_PUSH(BE178*fxVal_normal,CX_ENTITY,$B178,BE$11,BE$14,BE$174,),""),IF($I178=2,IFBLANK(_xldudf_CX_PUSH(BE178,CX_ENTITY,$B178,BE$11,BE$14,BE$174,),""),IF($I178=3,"",IFBLANK(_xldudf_CX_PUSH(BE178,CX_ENTITY,$B178,BE$11,BE$14,BE$174,),"")))))),"")</f>
        <v/>
      </c>
      <c r="EF178" s="2445" t="str" cm="1">
        <f t="array" ca="1" aca="1" ref="EF178">IFERROR(IF(BF178*fxVal_normal=_PL!BF178,"",IF(OR(BF178="",NOT(ISNUMBER(BF178)),ISERROR(BF178),$B178=""),"",IF($I178=1,IFBLANK(_xldudf_CX_PUSH(BF178*fxVal_normal,CX_ENTITY,$B178,BF$11,BF$14,BF$174,),""),IF($I178=2,IFBLANK(_xldudf_CX_PUSH(BF178,CX_ENTITY,$B178,BF$11,BF$14,BF$174,),""),IF($I178=3,"",IFBLANK(_xldudf_CX_PUSH(BF178,CX_ENTITY,$B178,BF$11,BF$14,BF$174,),"")))))),"")</f>
        <v/>
      </c>
      <c r="EG178" s="2445" t="str" cm="1">
        <f t="array" ca="1" aca="1" ref="EG178">IFERROR(IF(BG178*fxVal_normal=_PL!BG178,"",IF(OR(BG178="",NOT(ISNUMBER(BG178)),ISERROR(BG178),$B178=""),"",IF($I178=1,IFBLANK(_xldudf_CX_PUSH(BG178*fxVal_normal,CX_ENTITY,$B178,BG$11,BG$14,BG$174,),""),IF($I178=2,IFBLANK(_xldudf_CX_PUSH(BG178,CX_ENTITY,$B178,BG$11,BG$14,BG$174,),""),IF($I178=3,"",IFBLANK(_xldudf_CX_PUSH(BG178,CX_ENTITY,$B178,BG$11,BG$14,BG$174,),"")))))),"")</f>
        <v/>
      </c>
      <c r="EH178" s="2445" t="str" cm="1">
        <f t="array" ca="1" aca="1" ref="EH178">IFERROR(IF(BH178*fxVal_normal=_PL!BH178,"",IF(OR(BH178="",NOT(ISNUMBER(BH178)),ISERROR(BH178),$B178=""),"",IF($I178=1,IFBLANK(_xldudf_CX_PUSH(BH178*fxVal_normal,CX_ENTITY,$B178,BH$11,BH$14,BH$174,),""),IF($I178=2,IFBLANK(_xldudf_CX_PUSH(BH178,CX_ENTITY,$B178,BH$11,BH$14,BH$174,),""),IF($I178=3,"",IFBLANK(_xldudf_CX_PUSH(BH178,CX_ENTITY,$B178,BH$11,BH$14,BH$174,),"")))))),"")</f>
        <v/>
      </c>
      <c r="EI178" s="2445" t="str" cm="1">
        <f t="array" ca="1" aca="1" ref="EI178">IFERROR(IF(BI178*fxVal_normal=_PL!BI178,"",IF(OR(BI178="",NOT(ISNUMBER(BI178)),ISERROR(BI178),$B178=""),"",IF($I178=1,IFBLANK(_xldudf_CX_PUSH(BI178*fxVal_normal,CX_ENTITY,$B178,BI$11,BI$14,BI$174,),""),IF($I178=2,IFBLANK(_xldudf_CX_PUSH(BI178,CX_ENTITY,$B178,BI$11,BI$14,BI$174,),""),IF($I178=3,"",IFBLANK(_xldudf_CX_PUSH(BI178,CX_ENTITY,$B178,BI$11,BI$14,BI$174,),"")))))),"")</f>
        <v/>
      </c>
      <c r="EJ178" s="2445" t="str" cm="1">
        <f t="array" ca="1" aca="1" ref="EJ178">IFERROR(IF(BJ178*fxVal_normal=_PL!BJ178,"",IF(OR(BJ178="",NOT(ISNUMBER(BJ178)),ISERROR(BJ178),$B178=""),"",IF($I178=1,IFBLANK(_xldudf_CX_PUSH(BJ178*fxVal_normal,CX_ENTITY,$B178,BJ$11,BJ$14,BJ$174,),""),IF($I178=2,IFBLANK(_xldudf_CX_PUSH(BJ178,CX_ENTITY,$B178,BJ$11,BJ$14,BJ$174,),""),IF($I178=3,"",IFBLANK(_xldudf_CX_PUSH(BJ178,CX_ENTITY,$B178,BJ$11,BJ$14,BJ$174,),"")))))),"")</f>
        <v/>
      </c>
      <c r="EK178" s="2445" t="str" cm="1">
        <f t="array" ca="1" aca="1" ref="EK178">IFERROR(IF(BK178*fxVal_normal=_PL!BK178,"",IF(OR(BK178="",NOT(ISNUMBER(BK178)),ISERROR(BK178),$B178=""),"",IF($I178=1,IFBLANK(_xldudf_CX_PUSH(BK178*fxVal_normal,CX_ENTITY,$B178,BK$11,BK$14,BK$174,),""),IF($I178=2,IFBLANK(_xldudf_CX_PUSH(BK178,CX_ENTITY,$B178,BK$11,BK$14,BK$174,),""),IF($I178=3,"",IFBLANK(_xldudf_CX_PUSH(BK178,CX_ENTITY,$B178,BK$11,BK$14,BK$174,),"")))))),"")</f>
        <v/>
      </c>
      <c r="EL178" s="2445" t="str" cm="1">
        <f t="array" ca="1" aca="1" ref="EL178">IFERROR(IF(BL178*fxVal_normal=_PL!BL178,"",IF(OR(BL178="",NOT(ISNUMBER(BL178)),ISERROR(BL178),$B178=""),"",IF($I178=1,IFBLANK(_xldudf_CX_PUSH(BL178*fxVal_normal,CX_ENTITY,$B178,BL$11,BL$14,BL$174,),""),IF($I178=2,IFBLANK(_xldudf_CX_PUSH(BL178,CX_ENTITY,$B178,BL$11,BL$14,BL$174,),""),IF($I178=3,"",IFBLANK(_xldudf_CX_PUSH(BL178,CX_ENTITY,$B178,BL$11,BL$14,BL$174,),"")))))),"")</f>
        <v/>
      </c>
      <c r="EM178" s="2445" t="str" cm="1">
        <f t="array" ca="1" aca="1" ref="EM178">IFERROR(IF(BM178*fxVal_normal=_PL!BM178,"",IF(OR(BM178="",NOT(ISNUMBER(BM178)),ISERROR(BM178),$B178=""),"",IF($I178=1,IFBLANK(_xldudf_CX_PUSH(BM178*fxVal_normal,CX_ENTITY,$B178,BM$11,BM$14,BM$174,),""),IF($I178=2,IFBLANK(_xldudf_CX_PUSH(BM178,CX_ENTITY,$B178,BM$11,BM$14,BM$174,),""),IF($I178=3,"",IFBLANK(_xldudf_CX_PUSH(BM178,CX_ENTITY,$B178,BM$11,BM$14,BM$174,),"")))))),"")</f>
        <v/>
      </c>
      <c r="EN178" s="2445" t="str" cm="1">
        <f t="array" ca="1" aca="1" ref="EN178">IFERROR(IF(BN178*fxVal_normal=_PL!BN178,"",IF(OR(BN178="",NOT(ISNUMBER(BN178)),ISERROR(BN178),$B178=""),"",IF($I178=1,IFBLANK(_xldudf_CX_PUSH(BN178*fxVal_normal,CX_ENTITY,$B178,BN$11,BN$14,BN$174,),""),IF($I178=2,IFBLANK(_xldudf_CX_PUSH(BN178,CX_ENTITY,$B178,BN$11,BN$14,BN$174,),""),IF($I178=3,"",IFBLANK(_xldudf_CX_PUSH(BN178,CX_ENTITY,$B178,BN$11,BN$14,BN$174,),"")))))),"")</f>
        <v/>
      </c>
    </row>
    <row r="179" spans="1:144" ht="21" customHeight="1">
      <c r="A179" s="1625"/>
      <c r="B179" s="2439" t="s">
        <v>149</v>
      </c>
      <c r="C179" s="3459" t="str" cm="1">
        <f t="array" ref="C179">IFBLANK(_PL!C179,"")</f>
        <v>Valuation Metric Adjustment Type II - Label 4</v>
      </c>
      <c r="D179" s="1548" t="s">
        <v>123</v>
      </c>
      <c r="E179" s="2440" t="e" cm="1">
        <f t="array" ca="1" aca="1" ref="E17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179:$CQ179,Z179)</f>
        <v>#NAME?</v>
      </c>
      <c r="F179" s="578"/>
      <c r="G179" s="578"/>
      <c r="H179" s="510">
        <v>0</v>
      </c>
      <c r="I179" s="3302">
        <v>1</v>
      </c>
      <c r="J179" s="401" cm="1">
        <f t="array" ref="J179">IFBLANK(Z179,"")</f>
        <v>-1</v>
      </c>
      <c r="K179" s="578" t="str">
        <f t="shared" si="51"/>
        <v>Yes</v>
      </c>
      <c r="L179" s="37"/>
      <c r="N179" s="158"/>
      <c r="O179" s="101"/>
      <c r="P179" s="52"/>
      <c r="Q179" s="101"/>
      <c r="R179" s="101"/>
      <c r="S179" s="101"/>
      <c r="T179" s="101"/>
      <c r="U179" s="39"/>
      <c r="V179" s="37"/>
      <c r="W179" s="91" t="str">
        <f>W175</f>
        <v>Actual</v>
      </c>
      <c r="X179" s="2081" t="str">
        <f>_PL!X179</f>
        <v>a</v>
      </c>
      <c r="Y179" s="3218">
        <v>2</v>
      </c>
      <c r="Z179" s="198">
        <f>_PL!Z179</f>
        <v>-1</v>
      </c>
      <c r="AA179" s="2571"/>
      <c r="AB179" s="2575" t="s">
        <v>125</v>
      </c>
      <c r="AC179" s="914" t="str" cm="1">
        <f t="array" ca="1" aca="1" ref="AC179">_xlfn.LET(_xlpm._termname,$AB179,_xlpm._iconname,"find",_xlpm._icon,fx_getIcon(_xlpm._iconname),_xlpm._location,_xlfn.XLOOKUP(LOWER(_xlpm._termname),LOWER(tbl_acctDef[Term]),tbl_acctDef[Term]),_xlpm._hyperlink,HYPERLINK("#"&amp;CELL("address",_xlpm._location),_xlpm._icon),IFERROR(_xlpm._hyperlink,""))</f>
        <v/>
      </c>
      <c r="AD179" s="3177">
        <v>1</v>
      </c>
      <c r="AE179" s="3177">
        <v>1</v>
      </c>
      <c r="AF179" s="3177">
        <v>1</v>
      </c>
      <c r="AG179" s="3177">
        <v>1</v>
      </c>
      <c r="AH179" s="3177">
        <v>1</v>
      </c>
      <c r="AI179" s="3177">
        <v>1</v>
      </c>
      <c r="AJ179" s="3177">
        <v>1</v>
      </c>
      <c r="AK179" s="3177">
        <v>1</v>
      </c>
      <c r="AL179" s="3177">
        <v>1</v>
      </c>
      <c r="AM179" s="3177">
        <v>1</v>
      </c>
      <c r="AN179" s="3177">
        <v>1</v>
      </c>
      <c r="AO179" s="3177">
        <v>1</v>
      </c>
      <c r="AP179" s="3177">
        <v>1</v>
      </c>
      <c r="AQ179" s="3177">
        <v>1</v>
      </c>
      <c r="AR179" s="3177">
        <v>1</v>
      </c>
      <c r="AS179" s="3177">
        <v>1</v>
      </c>
      <c r="AT179" s="3177">
        <v>1</v>
      </c>
      <c r="AU179" s="3177">
        <v>1</v>
      </c>
      <c r="AV179" s="3177">
        <v>1</v>
      </c>
      <c r="AW179" s="3177">
        <v>1</v>
      </c>
      <c r="AX179" s="3177">
        <v>1</v>
      </c>
      <c r="AY179" s="3177">
        <v>1</v>
      </c>
      <c r="AZ179" s="3177">
        <v>1</v>
      </c>
      <c r="BA179" s="3177">
        <v>1</v>
      </c>
      <c r="BB179" s="3177">
        <v>1</v>
      </c>
      <c r="BC179" s="3177">
        <v>1</v>
      </c>
      <c r="BD179" s="3177">
        <v>1</v>
      </c>
      <c r="BE179" s="3177">
        <v>1</v>
      </c>
      <c r="BF179" s="3177">
        <v>1</v>
      </c>
      <c r="BG179" s="3177">
        <v>1</v>
      </c>
      <c r="BH179" s="3177">
        <v>1</v>
      </c>
      <c r="BI179" s="3177">
        <v>1</v>
      </c>
      <c r="BJ179" s="3177">
        <v>1</v>
      </c>
      <c r="BK179" s="3177">
        <v>1</v>
      </c>
      <c r="BL179" s="3177">
        <v>1</v>
      </c>
      <c r="BM179" s="3177">
        <v>1</v>
      </c>
      <c r="BN179" s="3177">
        <v>1</v>
      </c>
      <c r="BO179" s="2442"/>
      <c r="BP179" s="2442"/>
      <c r="BQ179" s="2442"/>
      <c r="BR179" s="2442"/>
      <c r="BS179" s="2442"/>
      <c r="BT179" s="2442"/>
      <c r="BU179" s="2442"/>
      <c r="BV179" s="2442"/>
      <c r="BW179" s="2442"/>
      <c r="BX179" s="2442"/>
      <c r="BY179" s="2442"/>
      <c r="BZ179" s="2442"/>
      <c r="CA179" s="34"/>
      <c r="CC179" s="2064"/>
      <c r="CD179" s="1461" t="e" cm="1">
        <f t="array" ca="1" aca="1" ref="CD179">_xlfn.LET(_xlpm.CheckBlank,SUM(PL!$AD179:$BN179)=0,IF(_xlpm.CheckBlank,"",SUM(_xlfn._xlws.FILTER(PL!$AD179:$BN179,(YEAR(PL!$AD$12:$BN$12)=PL!CD$12)*(array_timeline&lt;=PL!CD$11)))))</f>
        <v>#NAME?</v>
      </c>
      <c r="CE179" s="1461" t="e" cm="1">
        <f t="array" ca="1" aca="1" ref="CE179">_xlfn.LET(_xlpm.CheckBlank,SUM(PL!$AD179:$BN179)=0,IF(_xlpm.CheckBlank,"",SUM(_xlfn._xlws.FILTER(PL!$AD179:$BN179,(YEAR(PL!$AD$12:$BN$12)=PL!CE$12)*(array_timeline&lt;=PL!CE$11)))))</f>
        <v>#NAME?</v>
      </c>
      <c r="CF179" s="88"/>
      <c r="CG179" s="1461" t="e" cm="1">
        <f t="array" ca="1" aca="1" ref="CG179">_xlfn.LET(_xlpm.CheckBlank,SUM(PL!$AD179:$BN179)=0,IF(_xlpm.CheckBlank,"",SUM(_xlfn._xlws.FILTER(PL!$AD179:$BN179,(YEAR(PL!$AD$12:$BN$12)=PL!CG$12)*(array_timeline&lt;=PL!CG$11)))))</f>
        <v>#NAME?</v>
      </c>
      <c r="CH179" s="1461" t="e" cm="1">
        <f t="array" ca="1" aca="1" ref="CH179">_xlfn.LET(_xlpm.CheckBlank,SUM(PL!$AD179:$BN179)=0,IF(_xlpm.CheckBlank,"",SUM(_xlfn._xlws.FILTER(PL!$AD179:$BN179,(YEAR(PL!$AD$12:$BN$12)=PL!CH$12)*(array_timeline&lt;=PL!CH$11)))))</f>
        <v>#NAME?</v>
      </c>
      <c r="CI179" s="88"/>
      <c r="CJ179" s="1461" cm="1">
        <f t="array" ref="CJ179">_xlfn.LET(_xlpm.CheckBlank,SUM(PL!$AD179:$BN179)=0,IF(_xlpm.CheckBlank,"",SUM(_xlfn.TAKE(_xlfn.DROP(PL!$AD179:$BN179,,-DATEDIFF(PL!CJ$11,val_asOfDate,"M")),1,-12))))</f>
        <v>12</v>
      </c>
      <c r="CK179" s="1461" cm="1">
        <f t="array" ref="CK179">_xlfn.LET(_xlpm.CheckBlank,SUM(PL!$AD179:$BN179)=0,IF(_xlpm.CheckBlank,"",SUM(_xlfn.TAKE(_xlfn.DROP(PL!$AD179:$BN179,,-DATEDIFF(PL!CK$11,val_asOfDate,"M")),1,-12))))</f>
        <v>12</v>
      </c>
      <c r="CL179" s="88"/>
      <c r="CM179" s="3177">
        <v>1</v>
      </c>
      <c r="CN179" s="3177">
        <v>1</v>
      </c>
      <c r="CO179" s="1169"/>
      <c r="CP179" s="3177">
        <v>1</v>
      </c>
      <c r="CQ179" s="3177">
        <v>1</v>
      </c>
      <c r="CR179" s="34"/>
      <c r="CS179" s="2056"/>
      <c r="CT179" s="2447" t="e" cm="1">
        <f t="array" ca="1" aca="1" ref="CT179">IF(ISNUMBER(SEARCH("Select",$Y179)),"",_xldudf_CX_PUSH($Y179,CX_ENTITY,C179,val_asOfDate))</f>
        <v>#NAME?</v>
      </c>
      <c r="CU179" s="2447" t="e" cm="1">
        <f t="array" ca="1" aca="1" ref="CU179">IF(ISNUMBER(SEARCH("Select",$Y179)),"",_xldudf_CX_PUSH($Y179,CX_ENTITY,C179,EOMONTH(val_asOfDate,1)))</f>
        <v>#NAME?</v>
      </c>
      <c r="CV179" s="2447" t="e" cm="1">
        <f t="array" ca="1" aca="1" ref="CV179">IF(ISNUMBER(SEARCH("Select",$Y179)),"",_xldudf_CX_PUSH($Y179,CX_ENTITY,C179,EOMONTH(val_asOfDate,2)))</f>
        <v>#NAME?</v>
      </c>
      <c r="CW179" s="2447" t="e" cm="1">
        <f t="array" ca="1" aca="1" ref="CW179">IF(ISNUMBER(SEARCH("Select",$Y179)),"",_xldudf_CX_PUSH($Y179,CX_ENTITY,C179,EOMONTH(val_asOfDate,3)))</f>
        <v>#NAME?</v>
      </c>
      <c r="CX179" s="2443"/>
      <c r="CY179" s="2444" t="str" cm="1">
        <f t="array" ca="1" aca="1" ref="CY179">IFERROR(IF(CM179*fxVal_normal=_PL!CM179,"",IF(OR($CM179="",$CM179=0,NOT(ISNUMBER($CM179)),ISERROR($CM179),$B179=""),"",IF($I179=1,IFBLANK(_xldudf_CX_PUSH($CM179*fxVal_normal,CX_ENTITY,$B179,$CM$11,$CM$14,$CM$19,),""),IF($I179=2,IFBLANK(_xldudf_CX_PUSH($CM179,CX_ENTITY,$B179,$CM$11,$CM$14,$CM$19,),""),IF($I179=3,"",IFBLANK(_xldudf_CX_PUSH($CM179,CX_ENTITY,$B179,$CM$11,$CM$14,$CM$19,),"")))))),"")</f>
        <v/>
      </c>
      <c r="CZ179" s="2444" t="str" cm="1">
        <f t="array" ca="1" aca="1" ref="CZ179">IFERROR(IF(CN179*fxVal_normal=_PL!CN179,"",IF(OR($CN179="",$CN179=0,NOT(ISNUMBER($CN179)),ISERROR($CN179),$B179=""),"",IF($I179=1,IFBLANK(_xldudf_CX_PUSH($CN179*fxVal_normal,CX_ENTITY,$B179,$CN$11,$CN$14,$CN$19,),""),IF($I179=2,IFBLANK(_xldudf_CX_PUSH($CN179,CX_ENTITY,$B179,$CN$11,$CN$14,$CN$19,),""),IF($I179=3,"",IFBLANK(_xldudf_CX_PUSH($CN179,CX_ENTITY,$B179,$CN$11,$CN$14,$CN$19,),"")))))),"")</f>
        <v/>
      </c>
      <c r="DA179" s="2444" t="str" cm="1">
        <f t="array" ca="1" aca="1" ref="DA179">IFERROR(IF(CP179*fxVal_normal=_PL!CP179,"",IF(OR($CP179="",$CP179=0,NOT(ISNUMBER($CP179)),ISERROR($CP179),$B179=""),"",IF($I179=1,IFBLANK(_xldudf_CX_PUSH($CP179*fxVal_normal,CX_ENTITY,$B179,$CP$11,$CP$14,$CP$19,),""),IF($I179=2,IFBLANK(_xldudf_CX_PUSH($CP179,CX_ENTITY,$B179,$CP$11,$CP$14,$CP$19,),""),IF($I179=3,"",IFBLANK(_xldudf_CX_PUSH($CP179,CX_ENTITY,$B179,$CP$11,$CP$14,$CP$19,),"")))))),"")</f>
        <v/>
      </c>
      <c r="DB179" s="2444" t="str" cm="1">
        <f t="array" ca="1" aca="1" ref="DB179">IFERROR(IF(CQ179*fxVal_normal=_PL!CQ179,"",IF(OR($CQ179="",$CQ179=0,NOT(ISNUMBER($CQ179)),ISERROR($CQ179),$B179=""),"",IF($I179=1,IFBLANK(_xldudf_CX_PUSH($CQ179*fxVal_normal,CX_ENTITY,$B179,$CQ$11,$CQ$14,$CQ$19,),""),IF($I179=2,IFBLANK(_xldudf_CX_PUSH($CQ179,CX_ENTITY,$B179,$CQ$11,$CQ$14,$CQ$19,),""),IF($I179=3,"",IFBLANK(_xldudf_CX_PUSH($CQ179,CX_ENTITY,$B179,$CQ$11,$CQ$14,$CQ$19,),"")))))),"")</f>
        <v/>
      </c>
      <c r="DC179" s="2443"/>
      <c r="DD179" s="2445" t="str" cm="1">
        <f t="array" ca="1" aca="1" ref="DD179">IFERROR(IF(AD179*fxVal_normal=_PL!AD179,"",IF(OR(AD179="",NOT(ISNUMBER(AD179)),ISERROR(AD179),$B179=""),"",IF($I179=1,IFBLANK(_xldudf_CX_PUSH(AD179*fxVal_normal,CX_ENTITY,$B179,AD$11,AD$14,AD$174,),""),IF($I179=2,IFBLANK(_xldudf_CX_PUSH(AD179,CX_ENTITY,$B179,AD$11,AD$14,AD$174,),""),IF($I179=3,"",IFBLANK(_xldudf_CX_PUSH(AD179,CX_ENTITY,$B179,AD$11,AD$14,AD$174,),"")))))),"")</f>
        <v/>
      </c>
      <c r="DE179" s="2445" t="str" cm="1">
        <f t="array" ca="1" aca="1" ref="DE179">IFERROR(IF(AE179*fxVal_normal=_PL!AE179,"",IF(OR(AE179="",NOT(ISNUMBER(AE179)),ISERROR(AE179),$B179=""),"",IF($I179=1,IFBLANK(_xldudf_CX_PUSH(AE179*fxVal_normal,CX_ENTITY,$B179,AE$11,AE$14,AE$174,),""),IF($I179=2,IFBLANK(_xldudf_CX_PUSH(AE179,CX_ENTITY,$B179,AE$11,AE$14,AE$174,),""),IF($I179=3,"",IFBLANK(_xldudf_CX_PUSH(AE179,CX_ENTITY,$B179,AE$11,AE$14,AE$174,),"")))))),"")</f>
        <v/>
      </c>
      <c r="DF179" s="2445" t="str" cm="1">
        <f t="array" ca="1" aca="1" ref="DF179">IFERROR(IF(AF179*fxVal_normal=_PL!AF179,"",IF(OR(AF179="",NOT(ISNUMBER(AF179)),ISERROR(AF179),$B179=""),"",IF($I179=1,IFBLANK(_xldudf_CX_PUSH(AF179*fxVal_normal,CX_ENTITY,$B179,AF$11,AF$14,AF$174,),""),IF($I179=2,IFBLANK(_xldudf_CX_PUSH(AF179,CX_ENTITY,$B179,AF$11,AF$14,AF$174,),""),IF($I179=3,"",IFBLANK(_xldudf_CX_PUSH(AF179,CX_ENTITY,$B179,AF$11,AF$14,AF$174,),"")))))),"")</f>
        <v/>
      </c>
      <c r="DG179" s="2445" t="str" cm="1">
        <f t="array" ca="1" aca="1" ref="DG179">IFERROR(IF(AG179*fxVal_normal=_PL!AG179,"",IF(OR(AG179="",NOT(ISNUMBER(AG179)),ISERROR(AG179),$B179=""),"",IF($I179=1,IFBLANK(_xldudf_CX_PUSH(AG179*fxVal_normal,CX_ENTITY,$B179,AG$11,AG$14,AG$174,),""),IF($I179=2,IFBLANK(_xldudf_CX_PUSH(AG179,CX_ENTITY,$B179,AG$11,AG$14,AG$174,),""),IF($I179=3,"",IFBLANK(_xldudf_CX_PUSH(AG179,CX_ENTITY,$B179,AG$11,AG$14,AG$174,),"")))))),"")</f>
        <v/>
      </c>
      <c r="DH179" s="2445" t="str" cm="1">
        <f t="array" ca="1" aca="1" ref="DH179">IFERROR(IF(AH179*fxVal_normal=_PL!AH179,"",IF(OR(AH179="",NOT(ISNUMBER(AH179)),ISERROR(AH179),$B179=""),"",IF($I179=1,IFBLANK(_xldudf_CX_PUSH(AH179*fxVal_normal,CX_ENTITY,$B179,AH$11,AH$14,AH$174,),""),IF($I179=2,IFBLANK(_xldudf_CX_PUSH(AH179,CX_ENTITY,$B179,AH$11,AH$14,AH$174,),""),IF($I179=3,"",IFBLANK(_xldudf_CX_PUSH(AH179,CX_ENTITY,$B179,AH$11,AH$14,AH$174,),"")))))),"")</f>
        <v/>
      </c>
      <c r="DI179" s="2445" t="str" cm="1">
        <f t="array" ca="1" aca="1" ref="DI179">IFERROR(IF(AI179*fxVal_normal=_PL!AI179,"",IF(OR(AI179="",NOT(ISNUMBER(AI179)),ISERROR(AI179),$B179=""),"",IF($I179=1,IFBLANK(_xldudf_CX_PUSH(AI179*fxVal_normal,CX_ENTITY,$B179,AI$11,AI$14,AI$174,),""),IF($I179=2,IFBLANK(_xldudf_CX_PUSH(AI179,CX_ENTITY,$B179,AI$11,AI$14,AI$174,),""),IF($I179=3,"",IFBLANK(_xldudf_CX_PUSH(AI179,CX_ENTITY,$B179,AI$11,AI$14,AI$174,),"")))))),"")</f>
        <v/>
      </c>
      <c r="DJ179" s="2445" t="str" cm="1">
        <f t="array" ca="1" aca="1" ref="DJ179">IFERROR(IF(AJ179*fxVal_normal=_PL!AJ179,"",IF(OR(AJ179="",NOT(ISNUMBER(AJ179)),ISERROR(AJ179),$B179=""),"",IF($I179=1,IFBLANK(_xldudf_CX_PUSH(AJ179*fxVal_normal,CX_ENTITY,$B179,AJ$11,AJ$14,AJ$174,),""),IF($I179=2,IFBLANK(_xldudf_CX_PUSH(AJ179,CX_ENTITY,$B179,AJ$11,AJ$14,AJ$174,),""),IF($I179=3,"",IFBLANK(_xldudf_CX_PUSH(AJ179,CX_ENTITY,$B179,AJ$11,AJ$14,AJ$174,),"")))))),"")</f>
        <v/>
      </c>
      <c r="DK179" s="2445" t="str" cm="1">
        <f t="array" ca="1" aca="1" ref="DK179">IFERROR(IF(AK179*fxVal_normal=_PL!AK179,"",IF(OR(AK179="",NOT(ISNUMBER(AK179)),ISERROR(AK179),$B179=""),"",IF($I179=1,IFBLANK(_xldudf_CX_PUSH(AK179*fxVal_normal,CX_ENTITY,$B179,AK$11,AK$14,AK$174,),""),IF($I179=2,IFBLANK(_xldudf_CX_PUSH(AK179,CX_ENTITY,$B179,AK$11,AK$14,AK$174,),""),IF($I179=3,"",IFBLANK(_xldudf_CX_PUSH(AK179,CX_ENTITY,$B179,AK$11,AK$14,AK$174,),"")))))),"")</f>
        <v/>
      </c>
      <c r="DL179" s="2445" t="str" cm="1">
        <f t="array" ca="1" aca="1" ref="DL179">IFERROR(IF(AL179*fxVal_normal=_PL!AL179,"",IF(OR(AL179="",NOT(ISNUMBER(AL179)),ISERROR(AL179),$B179=""),"",IF($I179=1,IFBLANK(_xldudf_CX_PUSH(AL179*fxVal_normal,CX_ENTITY,$B179,AL$11,AL$14,AL$174,),""),IF($I179=2,IFBLANK(_xldudf_CX_PUSH(AL179,CX_ENTITY,$B179,AL$11,AL$14,AL$174,),""),IF($I179=3,"",IFBLANK(_xldudf_CX_PUSH(AL179,CX_ENTITY,$B179,AL$11,AL$14,AL$174,),"")))))),"")</f>
        <v/>
      </c>
      <c r="DM179" s="2445" t="str" cm="1">
        <f t="array" ca="1" aca="1" ref="DM179">IFERROR(IF(AM179*fxVal_normal=_PL!AM179,"",IF(OR(AM179="",NOT(ISNUMBER(AM179)),ISERROR(AM179),$B179=""),"",IF($I179=1,IFBLANK(_xldudf_CX_PUSH(AM179*fxVal_normal,CX_ENTITY,$B179,AM$11,AM$14,AM$174,),""),IF($I179=2,IFBLANK(_xldudf_CX_PUSH(AM179,CX_ENTITY,$B179,AM$11,AM$14,AM$174,),""),IF($I179=3,"",IFBLANK(_xldudf_CX_PUSH(AM179,CX_ENTITY,$B179,AM$11,AM$14,AM$174,),"")))))),"")</f>
        <v/>
      </c>
      <c r="DN179" s="2445" t="str" cm="1">
        <f t="array" ca="1" aca="1" ref="DN179">IFERROR(IF(AN179*fxVal_normal=_PL!AN179,"",IF(OR(AN179="",NOT(ISNUMBER(AN179)),ISERROR(AN179),$B179=""),"",IF($I179=1,IFBLANK(_xldudf_CX_PUSH(AN179*fxVal_normal,CX_ENTITY,$B179,AN$11,AN$14,AN$174,),""),IF($I179=2,IFBLANK(_xldudf_CX_PUSH(AN179,CX_ENTITY,$B179,AN$11,AN$14,AN$174,),""),IF($I179=3,"",IFBLANK(_xldudf_CX_PUSH(AN179,CX_ENTITY,$B179,AN$11,AN$14,AN$174,),"")))))),"")</f>
        <v/>
      </c>
      <c r="DO179" s="2445" t="str" cm="1">
        <f t="array" ca="1" aca="1" ref="DO179">IFERROR(IF(AO179*fxVal_normal=_PL!AO179,"",IF(OR(AO179="",NOT(ISNUMBER(AO179)),ISERROR(AO179),$B179=""),"",IF($I179=1,IFBLANK(_xldudf_CX_PUSH(AO179*fxVal_normal,CX_ENTITY,$B179,AO$11,AO$14,AO$174,),""),IF($I179=2,IFBLANK(_xldudf_CX_PUSH(AO179,CX_ENTITY,$B179,AO$11,AO$14,AO$174,),""),IF($I179=3,"",IFBLANK(_xldudf_CX_PUSH(AO179,CX_ENTITY,$B179,AO$11,AO$14,AO$174,),"")))))),"")</f>
        <v/>
      </c>
      <c r="DP179" s="2445" t="str" cm="1">
        <f t="array" ca="1" aca="1" ref="DP179">IFERROR(IF(AP179*fxVal_normal=_PL!AP179,"",IF(OR(AP179="",NOT(ISNUMBER(AP179)),ISERROR(AP179),$B179=""),"",IF($I179=1,IFBLANK(_xldudf_CX_PUSH(AP179*fxVal_normal,CX_ENTITY,$B179,AP$11,AP$14,AP$174,),""),IF($I179=2,IFBLANK(_xldudf_CX_PUSH(AP179,CX_ENTITY,$B179,AP$11,AP$14,AP$174,),""),IF($I179=3,"",IFBLANK(_xldudf_CX_PUSH(AP179,CX_ENTITY,$B179,AP$11,AP$14,AP$174,),"")))))),"")</f>
        <v/>
      </c>
      <c r="DQ179" s="2445" t="str" cm="1">
        <f t="array" ca="1" aca="1" ref="DQ179">IFERROR(IF(AQ179*fxVal_normal=_PL!AQ179,"",IF(OR(AQ179="",NOT(ISNUMBER(AQ179)),ISERROR(AQ179),$B179=""),"",IF($I179=1,IFBLANK(_xldudf_CX_PUSH(AQ179*fxVal_normal,CX_ENTITY,$B179,AQ$11,AQ$14,AQ$174,),""),IF($I179=2,IFBLANK(_xldudf_CX_PUSH(AQ179,CX_ENTITY,$B179,AQ$11,AQ$14,AQ$174,),""),IF($I179=3,"",IFBLANK(_xldudf_CX_PUSH(AQ179,CX_ENTITY,$B179,AQ$11,AQ$14,AQ$174,),"")))))),"")</f>
        <v/>
      </c>
      <c r="DR179" s="2445" t="str" cm="1">
        <f t="array" ca="1" aca="1" ref="DR179">IFERROR(IF(AR179*fxVal_normal=_PL!AR179,"",IF(OR(AR179="",NOT(ISNUMBER(AR179)),ISERROR(AR179),$B179=""),"",IF($I179=1,IFBLANK(_xldudf_CX_PUSH(AR179*fxVal_normal,CX_ENTITY,$B179,AR$11,AR$14,AR$174,),""),IF($I179=2,IFBLANK(_xldudf_CX_PUSH(AR179,CX_ENTITY,$B179,AR$11,AR$14,AR$174,),""),IF($I179=3,"",IFBLANK(_xldudf_CX_PUSH(AR179,CX_ENTITY,$B179,AR$11,AR$14,AR$174,),"")))))),"")</f>
        <v/>
      </c>
      <c r="DS179" s="2445" t="str" cm="1">
        <f t="array" ca="1" aca="1" ref="DS179">IFERROR(IF(AS179*fxVal_normal=_PL!AS179,"",IF(OR(AS179="",NOT(ISNUMBER(AS179)),ISERROR(AS179),$B179=""),"",IF($I179=1,IFBLANK(_xldudf_CX_PUSH(AS179*fxVal_normal,CX_ENTITY,$B179,AS$11,AS$14,AS$174,),""),IF($I179=2,IFBLANK(_xldudf_CX_PUSH(AS179,CX_ENTITY,$B179,AS$11,AS$14,AS$174,),""),IF($I179=3,"",IFBLANK(_xldudf_CX_PUSH(AS179,CX_ENTITY,$B179,AS$11,AS$14,AS$174,),"")))))),"")</f>
        <v/>
      </c>
      <c r="DT179" s="2445" t="str" cm="1">
        <f t="array" ca="1" aca="1" ref="DT179">IFERROR(IF(AT179*fxVal_normal=_PL!AT179,"",IF(OR(AT179="",NOT(ISNUMBER(AT179)),ISERROR(AT179),$B179=""),"",IF($I179=1,IFBLANK(_xldudf_CX_PUSH(AT179*fxVal_normal,CX_ENTITY,$B179,AT$11,AT$14,AT$174,),""),IF($I179=2,IFBLANK(_xldudf_CX_PUSH(AT179,CX_ENTITY,$B179,AT$11,AT$14,AT$174,),""),IF($I179=3,"",IFBLANK(_xldudf_CX_PUSH(AT179,CX_ENTITY,$B179,AT$11,AT$14,AT$174,),"")))))),"")</f>
        <v/>
      </c>
      <c r="DU179" s="2445" t="str" cm="1">
        <f t="array" ca="1" aca="1" ref="DU179">IFERROR(IF(AU179*fxVal_normal=_PL!AU179,"",IF(OR(AU179="",NOT(ISNUMBER(AU179)),ISERROR(AU179),$B179=""),"",IF($I179=1,IFBLANK(_xldudf_CX_PUSH(AU179*fxVal_normal,CX_ENTITY,$B179,AU$11,AU$14,AU$174,),""),IF($I179=2,IFBLANK(_xldudf_CX_PUSH(AU179,CX_ENTITY,$B179,AU$11,AU$14,AU$174,),""),IF($I179=3,"",IFBLANK(_xldudf_CX_PUSH(AU179,CX_ENTITY,$B179,AU$11,AU$14,AU$174,),"")))))),"")</f>
        <v/>
      </c>
      <c r="DV179" s="2445" t="str" cm="1">
        <f t="array" ca="1" aca="1" ref="DV179">IFERROR(IF(AV179*fxVal_normal=_PL!AV179,"",IF(OR(AV179="",NOT(ISNUMBER(AV179)),ISERROR(AV179),$B179=""),"",IF($I179=1,IFBLANK(_xldudf_CX_PUSH(AV179*fxVal_normal,CX_ENTITY,$B179,AV$11,AV$14,AV$174,),""),IF($I179=2,IFBLANK(_xldudf_CX_PUSH(AV179,CX_ENTITY,$B179,AV$11,AV$14,AV$174,),""),IF($I179=3,"",IFBLANK(_xldudf_CX_PUSH(AV179,CX_ENTITY,$B179,AV$11,AV$14,AV$174,),"")))))),"")</f>
        <v/>
      </c>
      <c r="DW179" s="2445" t="str" cm="1">
        <f t="array" ca="1" aca="1" ref="DW179">IFERROR(IF(AW179*fxVal_normal=_PL!AW179,"",IF(OR(AW179="",NOT(ISNUMBER(AW179)),ISERROR(AW179),$B179=""),"",IF($I179=1,IFBLANK(_xldudf_CX_PUSH(AW179*fxVal_normal,CX_ENTITY,$B179,AW$11,AW$14,AW$174,),""),IF($I179=2,IFBLANK(_xldudf_CX_PUSH(AW179,CX_ENTITY,$B179,AW$11,AW$14,AW$174,),""),IF($I179=3,"",IFBLANK(_xldudf_CX_PUSH(AW179,CX_ENTITY,$B179,AW$11,AW$14,AW$174,),"")))))),"")</f>
        <v/>
      </c>
      <c r="DX179" s="2445" t="str" cm="1">
        <f t="array" ca="1" aca="1" ref="DX179">IFERROR(IF(AX179*fxVal_normal=_PL!AX179,"",IF(OR(AX179="",NOT(ISNUMBER(AX179)),ISERROR(AX179),$B179=""),"",IF($I179=1,IFBLANK(_xldudf_CX_PUSH(AX179*fxVal_normal,CX_ENTITY,$B179,AX$11,AX$14,AX$174,),""),IF($I179=2,IFBLANK(_xldudf_CX_PUSH(AX179,CX_ENTITY,$B179,AX$11,AX$14,AX$174,),""),IF($I179=3,"",IFBLANK(_xldudf_CX_PUSH(AX179,CX_ENTITY,$B179,AX$11,AX$14,AX$174,),"")))))),"")</f>
        <v/>
      </c>
      <c r="DY179" s="2445" t="str" cm="1">
        <f t="array" ca="1" aca="1" ref="DY179">IFERROR(IF(AY179*fxVal_normal=_PL!AY179,"",IF(OR(AY179="",NOT(ISNUMBER(AY179)),ISERROR(AY179),$B179=""),"",IF($I179=1,IFBLANK(_xldudf_CX_PUSH(AY179*fxVal_normal,CX_ENTITY,$B179,AY$11,AY$14,AY$174,),""),IF($I179=2,IFBLANK(_xldudf_CX_PUSH(AY179,CX_ENTITY,$B179,AY$11,AY$14,AY$174,),""),IF($I179=3,"",IFBLANK(_xldudf_CX_PUSH(AY179,CX_ENTITY,$B179,AY$11,AY$14,AY$174,),"")))))),"")</f>
        <v/>
      </c>
      <c r="DZ179" s="2445" t="str" cm="1">
        <f t="array" ca="1" aca="1" ref="DZ179">IFERROR(IF(AZ179*fxVal_normal=_PL!AZ179,"",IF(OR(AZ179="",NOT(ISNUMBER(AZ179)),ISERROR(AZ179),$B179=""),"",IF($I179=1,IFBLANK(_xldudf_CX_PUSH(AZ179*fxVal_normal,CX_ENTITY,$B179,AZ$11,AZ$14,AZ$174,),""),IF($I179=2,IFBLANK(_xldudf_CX_PUSH(AZ179,CX_ENTITY,$B179,AZ$11,AZ$14,AZ$174,),""),IF($I179=3,"",IFBLANK(_xldudf_CX_PUSH(AZ179,CX_ENTITY,$B179,AZ$11,AZ$14,AZ$174,),"")))))),"")</f>
        <v/>
      </c>
      <c r="EA179" s="2445" t="str" cm="1">
        <f t="array" ca="1" aca="1" ref="EA179">IFERROR(IF(BA179*fxVal_normal=_PL!BA179,"",IF(OR(BA179="",NOT(ISNUMBER(BA179)),ISERROR(BA179),$B179=""),"",IF($I179=1,IFBLANK(_xldudf_CX_PUSH(BA179*fxVal_normal,CX_ENTITY,$B179,BA$11,BA$14,BA$174,),""),IF($I179=2,IFBLANK(_xldudf_CX_PUSH(BA179,CX_ENTITY,$B179,BA$11,BA$14,BA$174,),""),IF($I179=3,"",IFBLANK(_xldudf_CX_PUSH(BA179,CX_ENTITY,$B179,BA$11,BA$14,BA$174,),"")))))),"")</f>
        <v/>
      </c>
      <c r="EB179" s="2445" t="str" cm="1">
        <f t="array" ca="1" aca="1" ref="EB179">IFERROR(IF(BB179*fxVal_normal=_PL!BB179,"",IF(OR(BB179="",NOT(ISNUMBER(BB179)),ISERROR(BB179),$B179=""),"",IF($I179=1,IFBLANK(_xldudf_CX_PUSH(BB179*fxVal_normal,CX_ENTITY,$B179,BB$11,BB$14,BB$174,),""),IF($I179=2,IFBLANK(_xldudf_CX_PUSH(BB179,CX_ENTITY,$B179,BB$11,BB$14,BB$174,),""),IF($I179=3,"",IFBLANK(_xldudf_CX_PUSH(BB179,CX_ENTITY,$B179,BB$11,BB$14,BB$174,),"")))))),"")</f>
        <v/>
      </c>
      <c r="EC179" s="2445" t="str" cm="1">
        <f t="array" ca="1" aca="1" ref="EC179">IFERROR(IF(BC179*fxVal_normal=_PL!BC179,"",IF(OR(BC179="",NOT(ISNUMBER(BC179)),ISERROR(BC179),$B179=""),"",IF($I179=1,IFBLANK(_xldudf_CX_PUSH(BC179*fxVal_normal,CX_ENTITY,$B179,BC$11,BC$14,BC$174,),""),IF($I179=2,IFBLANK(_xldudf_CX_PUSH(BC179,CX_ENTITY,$B179,BC$11,BC$14,BC$174,),""),IF($I179=3,"",IFBLANK(_xldudf_CX_PUSH(BC179,CX_ENTITY,$B179,BC$11,BC$14,BC$174,),"")))))),"")</f>
        <v/>
      </c>
      <c r="ED179" s="2445" t="str" cm="1">
        <f t="array" ca="1" aca="1" ref="ED179">IFERROR(IF(BD179*fxVal_normal=_PL!BD179,"",IF(OR(BD179="",NOT(ISNUMBER(BD179)),ISERROR(BD179),$B179=""),"",IF($I179=1,IFBLANK(_xldudf_CX_PUSH(BD179*fxVal_normal,CX_ENTITY,$B179,BD$11,BD$14,BD$174,),""),IF($I179=2,IFBLANK(_xldudf_CX_PUSH(BD179,CX_ENTITY,$B179,BD$11,BD$14,BD$174,),""),IF($I179=3,"",IFBLANK(_xldudf_CX_PUSH(BD179,CX_ENTITY,$B179,BD$11,BD$14,BD$174,),"")))))),"")</f>
        <v/>
      </c>
      <c r="EE179" s="2445" t="str" cm="1">
        <f t="array" ca="1" aca="1" ref="EE179">IFERROR(IF(BE179*fxVal_normal=_PL!BE179,"",IF(OR(BE179="",NOT(ISNUMBER(BE179)),ISERROR(BE179),$B179=""),"",IF($I179=1,IFBLANK(_xldudf_CX_PUSH(BE179*fxVal_normal,CX_ENTITY,$B179,BE$11,BE$14,BE$174,),""),IF($I179=2,IFBLANK(_xldudf_CX_PUSH(BE179,CX_ENTITY,$B179,BE$11,BE$14,BE$174,),""),IF($I179=3,"",IFBLANK(_xldudf_CX_PUSH(BE179,CX_ENTITY,$B179,BE$11,BE$14,BE$174,),"")))))),"")</f>
        <v/>
      </c>
      <c r="EF179" s="2445" t="str" cm="1">
        <f t="array" ca="1" aca="1" ref="EF179">IFERROR(IF(BF179*fxVal_normal=_PL!BF179,"",IF(OR(BF179="",NOT(ISNUMBER(BF179)),ISERROR(BF179),$B179=""),"",IF($I179=1,IFBLANK(_xldudf_CX_PUSH(BF179*fxVal_normal,CX_ENTITY,$B179,BF$11,BF$14,BF$174,),""),IF($I179=2,IFBLANK(_xldudf_CX_PUSH(BF179,CX_ENTITY,$B179,BF$11,BF$14,BF$174,),""),IF($I179=3,"",IFBLANK(_xldudf_CX_PUSH(BF179,CX_ENTITY,$B179,BF$11,BF$14,BF$174,),"")))))),"")</f>
        <v/>
      </c>
      <c r="EG179" s="2445" t="str" cm="1">
        <f t="array" ca="1" aca="1" ref="EG179">IFERROR(IF(BG179*fxVal_normal=_PL!BG179,"",IF(OR(BG179="",NOT(ISNUMBER(BG179)),ISERROR(BG179),$B179=""),"",IF($I179=1,IFBLANK(_xldudf_CX_PUSH(BG179*fxVal_normal,CX_ENTITY,$B179,BG$11,BG$14,BG$174,),""),IF($I179=2,IFBLANK(_xldudf_CX_PUSH(BG179,CX_ENTITY,$B179,BG$11,BG$14,BG$174,),""),IF($I179=3,"",IFBLANK(_xldudf_CX_PUSH(BG179,CX_ENTITY,$B179,BG$11,BG$14,BG$174,),"")))))),"")</f>
        <v/>
      </c>
      <c r="EH179" s="2445" t="str" cm="1">
        <f t="array" ca="1" aca="1" ref="EH179">IFERROR(IF(BH179*fxVal_normal=_PL!BH179,"",IF(OR(BH179="",NOT(ISNUMBER(BH179)),ISERROR(BH179),$B179=""),"",IF($I179=1,IFBLANK(_xldudf_CX_PUSH(BH179*fxVal_normal,CX_ENTITY,$B179,BH$11,BH$14,BH$174,),""),IF($I179=2,IFBLANK(_xldudf_CX_PUSH(BH179,CX_ENTITY,$B179,BH$11,BH$14,BH$174,),""),IF($I179=3,"",IFBLANK(_xldudf_CX_PUSH(BH179,CX_ENTITY,$B179,BH$11,BH$14,BH$174,),"")))))),"")</f>
        <v/>
      </c>
      <c r="EI179" s="2445" t="str" cm="1">
        <f t="array" ca="1" aca="1" ref="EI179">IFERROR(IF(BI179*fxVal_normal=_PL!BI179,"",IF(OR(BI179="",NOT(ISNUMBER(BI179)),ISERROR(BI179),$B179=""),"",IF($I179=1,IFBLANK(_xldudf_CX_PUSH(BI179*fxVal_normal,CX_ENTITY,$B179,BI$11,BI$14,BI$174,),""),IF($I179=2,IFBLANK(_xldudf_CX_PUSH(BI179,CX_ENTITY,$B179,BI$11,BI$14,BI$174,),""),IF($I179=3,"",IFBLANK(_xldudf_CX_PUSH(BI179,CX_ENTITY,$B179,BI$11,BI$14,BI$174,),"")))))),"")</f>
        <v/>
      </c>
      <c r="EJ179" s="2445" t="str" cm="1">
        <f t="array" ca="1" aca="1" ref="EJ179">IFERROR(IF(BJ179*fxVal_normal=_PL!BJ179,"",IF(OR(BJ179="",NOT(ISNUMBER(BJ179)),ISERROR(BJ179),$B179=""),"",IF($I179=1,IFBLANK(_xldudf_CX_PUSH(BJ179*fxVal_normal,CX_ENTITY,$B179,BJ$11,BJ$14,BJ$174,),""),IF($I179=2,IFBLANK(_xldudf_CX_PUSH(BJ179,CX_ENTITY,$B179,BJ$11,BJ$14,BJ$174,),""),IF($I179=3,"",IFBLANK(_xldudf_CX_PUSH(BJ179,CX_ENTITY,$B179,BJ$11,BJ$14,BJ$174,),"")))))),"")</f>
        <v/>
      </c>
      <c r="EK179" s="2445" t="str" cm="1">
        <f t="array" ca="1" aca="1" ref="EK179">IFERROR(IF(BK179*fxVal_normal=_PL!BK179,"",IF(OR(BK179="",NOT(ISNUMBER(BK179)),ISERROR(BK179),$B179=""),"",IF($I179=1,IFBLANK(_xldudf_CX_PUSH(BK179*fxVal_normal,CX_ENTITY,$B179,BK$11,BK$14,BK$174,),""),IF($I179=2,IFBLANK(_xldudf_CX_PUSH(BK179,CX_ENTITY,$B179,BK$11,BK$14,BK$174,),""),IF($I179=3,"",IFBLANK(_xldudf_CX_PUSH(BK179,CX_ENTITY,$B179,BK$11,BK$14,BK$174,),"")))))),"")</f>
        <v/>
      </c>
      <c r="EL179" s="2445" t="str" cm="1">
        <f t="array" ca="1" aca="1" ref="EL179">IFERROR(IF(BL179*fxVal_normal=_PL!BL179,"",IF(OR(BL179="",NOT(ISNUMBER(BL179)),ISERROR(BL179),$B179=""),"",IF($I179=1,IFBLANK(_xldudf_CX_PUSH(BL179*fxVal_normal,CX_ENTITY,$B179,BL$11,BL$14,BL$174,),""),IF($I179=2,IFBLANK(_xldudf_CX_PUSH(BL179,CX_ENTITY,$B179,BL$11,BL$14,BL$174,),""),IF($I179=3,"",IFBLANK(_xldudf_CX_PUSH(BL179,CX_ENTITY,$B179,BL$11,BL$14,BL$174,),"")))))),"")</f>
        <v/>
      </c>
      <c r="EM179" s="2445" t="str" cm="1">
        <f t="array" ca="1" aca="1" ref="EM179">IFERROR(IF(BM179*fxVal_normal=_PL!BM179,"",IF(OR(BM179="",NOT(ISNUMBER(BM179)),ISERROR(BM179),$B179=""),"",IF($I179=1,IFBLANK(_xldudf_CX_PUSH(BM179*fxVal_normal,CX_ENTITY,$B179,BM$11,BM$14,BM$174,),""),IF($I179=2,IFBLANK(_xldudf_CX_PUSH(BM179,CX_ENTITY,$B179,BM$11,BM$14,BM$174,),""),IF($I179=3,"",IFBLANK(_xldudf_CX_PUSH(BM179,CX_ENTITY,$B179,BM$11,BM$14,BM$174,),"")))))),"")</f>
        <v/>
      </c>
      <c r="EN179" s="2445" t="str" cm="1">
        <f t="array" ca="1" aca="1" ref="EN179">IFERROR(IF(BN179*fxVal_normal=_PL!BN179,"",IF(OR(BN179="",NOT(ISNUMBER(BN179)),ISERROR(BN179),$B179=""),"",IF($I179=1,IFBLANK(_xldudf_CX_PUSH(BN179*fxVal_normal,CX_ENTITY,$B179,BN$11,BN$14,BN$174,),""),IF($I179=2,IFBLANK(_xldudf_CX_PUSH(BN179,CX_ENTITY,$B179,BN$11,BN$14,BN$174,),""),IF($I179=3,"",IFBLANK(_xldudf_CX_PUSH(BN179,CX_ENTITY,$B179,BN$11,BN$14,BN$174,),"")))))),"")</f>
        <v/>
      </c>
    </row>
    <row r="180" spans="1:144" ht="21" customHeight="1">
      <c r="A180" s="1625"/>
      <c r="B180" s="2439" t="s">
        <v>150</v>
      </c>
      <c r="C180" s="3459" t="str" cm="1">
        <f t="array" ref="C180">IFBLANK(_PL!C180,"")</f>
        <v>Valuation Metric Adjustment Type II - Label 5</v>
      </c>
      <c r="D180" s="1548" t="s">
        <v>123</v>
      </c>
      <c r="E180" s="2440" t="e" cm="1">
        <f t="array" ca="1" aca="1" ref="E18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180:$CQ180,Z180)</f>
        <v>#NAME?</v>
      </c>
      <c r="F180" s="578"/>
      <c r="G180" s="578"/>
      <c r="H180" s="510">
        <v>0</v>
      </c>
      <c r="I180" s="3302">
        <v>1</v>
      </c>
      <c r="J180" s="401" cm="1">
        <f t="array" ref="J180">IFBLANK(Z180,"")</f>
        <v>-1</v>
      </c>
      <c r="K180" s="578" t="str">
        <f t="shared" si="51"/>
        <v>No</v>
      </c>
      <c r="L180" s="37"/>
      <c r="N180" s="158"/>
      <c r="O180" s="101"/>
      <c r="P180" s="52"/>
      <c r="Q180" s="101"/>
      <c r="R180" s="101"/>
      <c r="S180" s="101"/>
      <c r="T180" s="101"/>
      <c r="U180" s="39"/>
      <c r="V180" s="37"/>
      <c r="W180" s="91" t="str">
        <f>W175</f>
        <v>Actual</v>
      </c>
      <c r="X180" s="2081" t="str">
        <f>_PL!X180</f>
        <v>a</v>
      </c>
      <c r="Y180" s="3218">
        <v>2</v>
      </c>
      <c r="Z180" s="198">
        <f>_PL!Z180</f>
        <v>-1</v>
      </c>
      <c r="AA180" s="2571"/>
      <c r="AB180" s="1128"/>
      <c r="AC180" s="914" t="str" cm="1">
        <f t="array" ca="1" aca="1" ref="AC180">_xlfn.LET(_xlpm._termname,$AB180,_xlpm._iconname,"find",_xlpm._icon,fx_getIcon(_xlpm._iconname),_xlpm._location,_xlfn.XLOOKUP(LOWER(_xlpm._termname),LOWER(tbl_acctDef[Term]),tbl_acctDef[Term]),_xlpm._hyperlink,HYPERLINK("#"&amp;CELL("address",_xlpm._location),_xlpm._icon),IFERROR(_xlpm._hyperlink,""))</f>
        <v/>
      </c>
      <c r="AD180" s="3177">
        <v>1</v>
      </c>
      <c r="AE180" s="3177">
        <v>1</v>
      </c>
      <c r="AF180" s="3177">
        <v>1</v>
      </c>
      <c r="AG180" s="3177">
        <v>1</v>
      </c>
      <c r="AH180" s="3177">
        <v>1</v>
      </c>
      <c r="AI180" s="3177">
        <v>1</v>
      </c>
      <c r="AJ180" s="3177">
        <v>1</v>
      </c>
      <c r="AK180" s="3177">
        <v>1</v>
      </c>
      <c r="AL180" s="3177">
        <v>1</v>
      </c>
      <c r="AM180" s="3177">
        <v>1</v>
      </c>
      <c r="AN180" s="3177">
        <v>1</v>
      </c>
      <c r="AO180" s="3177">
        <v>1</v>
      </c>
      <c r="AP180" s="3177">
        <v>1</v>
      </c>
      <c r="AQ180" s="3177">
        <v>1</v>
      </c>
      <c r="AR180" s="3177">
        <v>1</v>
      </c>
      <c r="AS180" s="3177">
        <v>1</v>
      </c>
      <c r="AT180" s="3177">
        <v>1</v>
      </c>
      <c r="AU180" s="3177">
        <v>1</v>
      </c>
      <c r="AV180" s="3177">
        <v>1</v>
      </c>
      <c r="AW180" s="3177">
        <v>1</v>
      </c>
      <c r="AX180" s="3177">
        <v>1</v>
      </c>
      <c r="AY180" s="3177">
        <v>1</v>
      </c>
      <c r="AZ180" s="3177">
        <v>1</v>
      </c>
      <c r="BA180" s="3177">
        <v>1</v>
      </c>
      <c r="BB180" s="3177">
        <v>1</v>
      </c>
      <c r="BC180" s="3177">
        <v>1</v>
      </c>
      <c r="BD180" s="3177">
        <v>1</v>
      </c>
      <c r="BE180" s="3177">
        <v>1</v>
      </c>
      <c r="BF180" s="3177">
        <v>1</v>
      </c>
      <c r="BG180" s="3177">
        <v>1</v>
      </c>
      <c r="BH180" s="3177">
        <v>1</v>
      </c>
      <c r="BI180" s="3177">
        <v>1</v>
      </c>
      <c r="BJ180" s="3177">
        <v>1</v>
      </c>
      <c r="BK180" s="3177">
        <v>1</v>
      </c>
      <c r="BL180" s="3177">
        <v>1</v>
      </c>
      <c r="BM180" s="3177">
        <v>1</v>
      </c>
      <c r="BN180" s="3177">
        <v>1</v>
      </c>
      <c r="BO180" s="2442"/>
      <c r="BP180" s="2442"/>
      <c r="BQ180" s="2442"/>
      <c r="BR180" s="2442"/>
      <c r="BS180" s="2442"/>
      <c r="BT180" s="2442"/>
      <c r="BU180" s="2442"/>
      <c r="BV180" s="2442"/>
      <c r="BW180" s="2442"/>
      <c r="BX180" s="2442"/>
      <c r="BY180" s="2442"/>
      <c r="BZ180" s="2442"/>
      <c r="CA180" s="34"/>
      <c r="CC180" s="2064"/>
      <c r="CD180" s="1461" t="e" cm="1">
        <f t="array" ca="1" aca="1" ref="CD180">_xlfn.LET(_xlpm.CheckBlank,SUM(PL!$AD180:$BN180)=0,IF(_xlpm.CheckBlank,"",SUM(_xlfn._xlws.FILTER(PL!$AD180:$BN180,(YEAR(PL!$AD$12:$BN$12)=PL!CD$12)*(array_timeline&lt;=PL!CD$11)))))</f>
        <v>#NAME?</v>
      </c>
      <c r="CE180" s="1461" t="e" cm="1">
        <f t="array" ca="1" aca="1" ref="CE180">_xlfn.LET(_xlpm.CheckBlank,SUM(PL!$AD180:$BN180)=0,IF(_xlpm.CheckBlank,"",SUM(_xlfn._xlws.FILTER(PL!$AD180:$BN180,(YEAR(PL!$AD$12:$BN$12)=PL!CE$12)*(array_timeline&lt;=PL!CE$11)))))</f>
        <v>#NAME?</v>
      </c>
      <c r="CF180" s="88"/>
      <c r="CG180" s="1461" t="e" cm="1">
        <f t="array" ca="1" aca="1" ref="CG180">_xlfn.LET(_xlpm.CheckBlank,SUM(PL!$AD180:$BN180)=0,IF(_xlpm.CheckBlank,"",SUM(_xlfn._xlws.FILTER(PL!$AD180:$BN180,(YEAR(PL!$AD$12:$BN$12)=PL!CG$12)*(array_timeline&lt;=PL!CG$11)))))</f>
        <v>#NAME?</v>
      </c>
      <c r="CH180" s="1461" t="e" cm="1">
        <f t="array" ca="1" aca="1" ref="CH180">_xlfn.LET(_xlpm.CheckBlank,SUM(PL!$AD180:$BN180)=0,IF(_xlpm.CheckBlank,"",SUM(_xlfn._xlws.FILTER(PL!$AD180:$BN180,(YEAR(PL!$AD$12:$BN$12)=PL!CH$12)*(array_timeline&lt;=PL!CH$11)))))</f>
        <v>#NAME?</v>
      </c>
      <c r="CI180" s="88"/>
      <c r="CJ180" s="1461" cm="1">
        <f t="array" ref="CJ180">_xlfn.LET(_xlpm.CheckBlank,SUM(PL!$AD180:$BN180)=0,IF(_xlpm.CheckBlank,"",SUM(_xlfn.TAKE(_xlfn.DROP(PL!$AD180:$BN180,,-DATEDIFF(PL!CJ$11,val_asOfDate,"M")),1,-12))))</f>
        <v>12</v>
      </c>
      <c r="CK180" s="1461" cm="1">
        <f t="array" ref="CK180">_xlfn.LET(_xlpm.CheckBlank,SUM(PL!$AD180:$BN180)=0,IF(_xlpm.CheckBlank,"",SUM(_xlfn.TAKE(_xlfn.DROP(PL!$AD180:$BN180,,-DATEDIFF(PL!CK$11,val_asOfDate,"M")),1,-12))))</f>
        <v>12</v>
      </c>
      <c r="CL180" s="88"/>
      <c r="CM180" s="3177">
        <v>1</v>
      </c>
      <c r="CN180" s="3177">
        <v>1</v>
      </c>
      <c r="CO180" s="1169"/>
      <c r="CP180" s="3177">
        <v>1</v>
      </c>
      <c r="CQ180" s="3177">
        <v>1</v>
      </c>
      <c r="CR180" s="34"/>
      <c r="CS180" s="2056"/>
      <c r="CT180" s="2447" t="e" cm="1">
        <f t="array" ca="1" aca="1" ref="CT180">IF(ISNUMBER(SEARCH("Select",$Y180)),"",_xldudf_CX_PUSH($Y180,CX_ENTITY,C180,val_asOfDate))</f>
        <v>#NAME?</v>
      </c>
      <c r="CU180" s="2447" t="e" cm="1">
        <f t="array" ca="1" aca="1" ref="CU180">IF(ISNUMBER(SEARCH("Select",$Y180)),"",_xldudf_CX_PUSH($Y180,CX_ENTITY,C180,EOMONTH(val_asOfDate,1)))</f>
        <v>#NAME?</v>
      </c>
      <c r="CV180" s="2447" t="e" cm="1">
        <f t="array" ca="1" aca="1" ref="CV180">IF(ISNUMBER(SEARCH("Select",$Y180)),"",_xldudf_CX_PUSH($Y180,CX_ENTITY,C180,EOMONTH(val_asOfDate,2)))</f>
        <v>#NAME?</v>
      </c>
      <c r="CW180" s="2447" t="e" cm="1">
        <f t="array" ca="1" aca="1" ref="CW180">IF(ISNUMBER(SEARCH("Select",$Y180)),"",_xldudf_CX_PUSH($Y180,CX_ENTITY,C180,EOMONTH(val_asOfDate,3)))</f>
        <v>#NAME?</v>
      </c>
      <c r="CX180" s="2443"/>
      <c r="CY180" s="2444" t="str" cm="1">
        <f t="array" ca="1" aca="1" ref="CY180">IFERROR(IF(CM180*fxVal_normal=_PL!CM180,"",IF(OR($CM180="",$CM180=0,NOT(ISNUMBER($CM180)),ISERROR($CM180),$B180=""),"",IF($I180=1,IFBLANK(_xldudf_CX_PUSH($CM180*fxVal_normal,CX_ENTITY,$B180,$CM$11,$CM$14,$CM$19,),""),IF($I180=2,IFBLANK(_xldudf_CX_PUSH($CM180,CX_ENTITY,$B180,$CM$11,$CM$14,$CM$19,),""),IF($I180=3,"",IFBLANK(_xldudf_CX_PUSH($CM180,CX_ENTITY,$B180,$CM$11,$CM$14,$CM$19,),"")))))),"")</f>
        <v/>
      </c>
      <c r="CZ180" s="2444" t="str" cm="1">
        <f t="array" ca="1" aca="1" ref="CZ180">IFERROR(IF(CN180*fxVal_normal=_PL!CN180,"",IF(OR($CN180="",$CN180=0,NOT(ISNUMBER($CN180)),ISERROR($CN180),$B180=""),"",IF($I180=1,IFBLANK(_xldudf_CX_PUSH($CN180*fxVal_normal,CX_ENTITY,$B180,$CN$11,$CN$14,$CN$19,),""),IF($I180=2,IFBLANK(_xldudf_CX_PUSH($CN180,CX_ENTITY,$B180,$CN$11,$CN$14,$CN$19,),""),IF($I180=3,"",IFBLANK(_xldudf_CX_PUSH($CN180,CX_ENTITY,$B180,$CN$11,$CN$14,$CN$19,),"")))))),"")</f>
        <v/>
      </c>
      <c r="DA180" s="2444" t="str" cm="1">
        <f t="array" ca="1" aca="1" ref="DA180">IFERROR(IF(CP180*fxVal_normal=_PL!CP180,"",IF(OR($CP180="",$CP180=0,NOT(ISNUMBER($CP180)),ISERROR($CP180),$B180=""),"",IF($I180=1,IFBLANK(_xldudf_CX_PUSH($CP180*fxVal_normal,CX_ENTITY,$B180,$CP$11,$CP$14,$CP$19,),""),IF($I180=2,IFBLANK(_xldudf_CX_PUSH($CP180,CX_ENTITY,$B180,$CP$11,$CP$14,$CP$19,),""),IF($I180=3,"",IFBLANK(_xldudf_CX_PUSH($CP180,CX_ENTITY,$B180,$CP$11,$CP$14,$CP$19,),"")))))),"")</f>
        <v/>
      </c>
      <c r="DB180" s="2444" t="str" cm="1">
        <f t="array" ca="1" aca="1" ref="DB180">IFERROR(IF(CQ180*fxVal_normal=_PL!CQ180,"",IF(OR($CQ180="",$CQ180=0,NOT(ISNUMBER($CQ180)),ISERROR($CQ180),$B180=""),"",IF($I180=1,IFBLANK(_xldudf_CX_PUSH($CQ180*fxVal_normal,CX_ENTITY,$B180,$CQ$11,$CQ$14,$CQ$19,),""),IF($I180=2,IFBLANK(_xldudf_CX_PUSH($CQ180,CX_ENTITY,$B180,$CQ$11,$CQ$14,$CQ$19,),""),IF($I180=3,"",IFBLANK(_xldudf_CX_PUSH($CQ180,CX_ENTITY,$B180,$CQ$11,$CQ$14,$CQ$19,),"")))))),"")</f>
        <v/>
      </c>
      <c r="DC180" s="2443"/>
      <c r="DD180" s="2445" t="str" cm="1">
        <f t="array" ca="1" aca="1" ref="DD180">IFERROR(IF(AD180*fxVal_normal=_PL!AD180,"",IF(OR(AD180="",NOT(ISNUMBER(AD180)),ISERROR(AD180),$B180=""),"",IF($I180=1,IFBLANK(_xldudf_CX_PUSH(AD180*fxVal_normal,CX_ENTITY,$B180,AD$11,AD$14,AD$174,),""),IF($I180=2,IFBLANK(_xldudf_CX_PUSH(AD180,CX_ENTITY,$B180,AD$11,AD$14,AD$174,),""),IF($I180=3,"",IFBLANK(_xldudf_CX_PUSH(AD180,CX_ENTITY,$B180,AD$11,AD$14,AD$174,),"")))))),"")</f>
        <v/>
      </c>
      <c r="DE180" s="2445" t="str" cm="1">
        <f t="array" ca="1" aca="1" ref="DE180">IFERROR(IF(AE180*fxVal_normal=_PL!AE180,"",IF(OR(AE180="",NOT(ISNUMBER(AE180)),ISERROR(AE180),$B180=""),"",IF($I180=1,IFBLANK(_xldudf_CX_PUSH(AE180*fxVal_normal,CX_ENTITY,$B180,AE$11,AE$14,AE$174,),""),IF($I180=2,IFBLANK(_xldudf_CX_PUSH(AE180,CX_ENTITY,$B180,AE$11,AE$14,AE$174,),""),IF($I180=3,"",IFBLANK(_xldudf_CX_PUSH(AE180,CX_ENTITY,$B180,AE$11,AE$14,AE$174,),"")))))),"")</f>
        <v/>
      </c>
      <c r="DF180" s="2445" t="str" cm="1">
        <f t="array" ca="1" aca="1" ref="DF180">IFERROR(IF(AF180*fxVal_normal=_PL!AF180,"",IF(OR(AF180="",NOT(ISNUMBER(AF180)),ISERROR(AF180),$B180=""),"",IF($I180=1,IFBLANK(_xldudf_CX_PUSH(AF180*fxVal_normal,CX_ENTITY,$B180,AF$11,AF$14,AF$174,),""),IF($I180=2,IFBLANK(_xldudf_CX_PUSH(AF180,CX_ENTITY,$B180,AF$11,AF$14,AF$174,),""),IF($I180=3,"",IFBLANK(_xldudf_CX_PUSH(AF180,CX_ENTITY,$B180,AF$11,AF$14,AF$174,),"")))))),"")</f>
        <v/>
      </c>
      <c r="DG180" s="2445" t="str" cm="1">
        <f t="array" ca="1" aca="1" ref="DG180">IFERROR(IF(AG180*fxVal_normal=_PL!AG180,"",IF(OR(AG180="",NOT(ISNUMBER(AG180)),ISERROR(AG180),$B180=""),"",IF($I180=1,IFBLANK(_xldudf_CX_PUSH(AG180*fxVal_normal,CX_ENTITY,$B180,AG$11,AG$14,AG$174,),""),IF($I180=2,IFBLANK(_xldudf_CX_PUSH(AG180,CX_ENTITY,$B180,AG$11,AG$14,AG$174,),""),IF($I180=3,"",IFBLANK(_xldudf_CX_PUSH(AG180,CX_ENTITY,$B180,AG$11,AG$14,AG$174,),"")))))),"")</f>
        <v/>
      </c>
      <c r="DH180" s="2445" t="str" cm="1">
        <f t="array" ca="1" aca="1" ref="DH180">IFERROR(IF(AH180*fxVal_normal=_PL!AH180,"",IF(OR(AH180="",NOT(ISNUMBER(AH180)),ISERROR(AH180),$B180=""),"",IF($I180=1,IFBLANK(_xldudf_CX_PUSH(AH180*fxVal_normal,CX_ENTITY,$B180,AH$11,AH$14,AH$174,),""),IF($I180=2,IFBLANK(_xldudf_CX_PUSH(AH180,CX_ENTITY,$B180,AH$11,AH$14,AH$174,),""),IF($I180=3,"",IFBLANK(_xldudf_CX_PUSH(AH180,CX_ENTITY,$B180,AH$11,AH$14,AH$174,),"")))))),"")</f>
        <v/>
      </c>
      <c r="DI180" s="2445" t="str" cm="1">
        <f t="array" ca="1" aca="1" ref="DI180">IFERROR(IF(AI180*fxVal_normal=_PL!AI180,"",IF(OR(AI180="",NOT(ISNUMBER(AI180)),ISERROR(AI180),$B180=""),"",IF($I180=1,IFBLANK(_xldudf_CX_PUSH(AI180*fxVal_normal,CX_ENTITY,$B180,AI$11,AI$14,AI$174,),""),IF($I180=2,IFBLANK(_xldudf_CX_PUSH(AI180,CX_ENTITY,$B180,AI$11,AI$14,AI$174,),""),IF($I180=3,"",IFBLANK(_xldudf_CX_PUSH(AI180,CX_ENTITY,$B180,AI$11,AI$14,AI$174,),"")))))),"")</f>
        <v/>
      </c>
      <c r="DJ180" s="2445" t="str" cm="1">
        <f t="array" ca="1" aca="1" ref="DJ180">IFERROR(IF(AJ180*fxVal_normal=_PL!AJ180,"",IF(OR(AJ180="",NOT(ISNUMBER(AJ180)),ISERROR(AJ180),$B180=""),"",IF($I180=1,IFBLANK(_xldudf_CX_PUSH(AJ180*fxVal_normal,CX_ENTITY,$B180,AJ$11,AJ$14,AJ$174,),""),IF($I180=2,IFBLANK(_xldudf_CX_PUSH(AJ180,CX_ENTITY,$B180,AJ$11,AJ$14,AJ$174,),""),IF($I180=3,"",IFBLANK(_xldudf_CX_PUSH(AJ180,CX_ENTITY,$B180,AJ$11,AJ$14,AJ$174,),"")))))),"")</f>
        <v/>
      </c>
      <c r="DK180" s="2445" t="str" cm="1">
        <f t="array" ca="1" aca="1" ref="DK180">IFERROR(IF(AK180*fxVal_normal=_PL!AK180,"",IF(OR(AK180="",NOT(ISNUMBER(AK180)),ISERROR(AK180),$B180=""),"",IF($I180=1,IFBLANK(_xldudf_CX_PUSH(AK180*fxVal_normal,CX_ENTITY,$B180,AK$11,AK$14,AK$174,),""),IF($I180=2,IFBLANK(_xldudf_CX_PUSH(AK180,CX_ENTITY,$B180,AK$11,AK$14,AK$174,),""),IF($I180=3,"",IFBLANK(_xldudf_CX_PUSH(AK180,CX_ENTITY,$B180,AK$11,AK$14,AK$174,),"")))))),"")</f>
        <v/>
      </c>
      <c r="DL180" s="2445" t="str" cm="1">
        <f t="array" ca="1" aca="1" ref="DL180">IFERROR(IF(AL180*fxVal_normal=_PL!AL180,"",IF(OR(AL180="",NOT(ISNUMBER(AL180)),ISERROR(AL180),$B180=""),"",IF($I180=1,IFBLANK(_xldudf_CX_PUSH(AL180*fxVal_normal,CX_ENTITY,$B180,AL$11,AL$14,AL$174,),""),IF($I180=2,IFBLANK(_xldudf_CX_PUSH(AL180,CX_ENTITY,$B180,AL$11,AL$14,AL$174,),""),IF($I180=3,"",IFBLANK(_xldudf_CX_PUSH(AL180,CX_ENTITY,$B180,AL$11,AL$14,AL$174,),"")))))),"")</f>
        <v/>
      </c>
      <c r="DM180" s="2445" t="str" cm="1">
        <f t="array" ca="1" aca="1" ref="DM180">IFERROR(IF(AM180*fxVal_normal=_PL!AM180,"",IF(OR(AM180="",NOT(ISNUMBER(AM180)),ISERROR(AM180),$B180=""),"",IF($I180=1,IFBLANK(_xldudf_CX_PUSH(AM180*fxVal_normal,CX_ENTITY,$B180,AM$11,AM$14,AM$174,),""),IF($I180=2,IFBLANK(_xldudf_CX_PUSH(AM180,CX_ENTITY,$B180,AM$11,AM$14,AM$174,),""),IF($I180=3,"",IFBLANK(_xldudf_CX_PUSH(AM180,CX_ENTITY,$B180,AM$11,AM$14,AM$174,),"")))))),"")</f>
        <v/>
      </c>
      <c r="DN180" s="2445" t="str" cm="1">
        <f t="array" ca="1" aca="1" ref="DN180">IFERROR(IF(AN180*fxVal_normal=_PL!AN180,"",IF(OR(AN180="",NOT(ISNUMBER(AN180)),ISERROR(AN180),$B180=""),"",IF($I180=1,IFBLANK(_xldudf_CX_PUSH(AN180*fxVal_normal,CX_ENTITY,$B180,AN$11,AN$14,AN$174,),""),IF($I180=2,IFBLANK(_xldudf_CX_PUSH(AN180,CX_ENTITY,$B180,AN$11,AN$14,AN$174,),""),IF($I180=3,"",IFBLANK(_xldudf_CX_PUSH(AN180,CX_ENTITY,$B180,AN$11,AN$14,AN$174,),"")))))),"")</f>
        <v/>
      </c>
      <c r="DO180" s="2445" t="str" cm="1">
        <f t="array" ca="1" aca="1" ref="DO180">IFERROR(IF(AO180*fxVal_normal=_PL!AO180,"",IF(OR(AO180="",NOT(ISNUMBER(AO180)),ISERROR(AO180),$B180=""),"",IF($I180=1,IFBLANK(_xldudf_CX_PUSH(AO180*fxVal_normal,CX_ENTITY,$B180,AO$11,AO$14,AO$174,),""),IF($I180=2,IFBLANK(_xldudf_CX_PUSH(AO180,CX_ENTITY,$B180,AO$11,AO$14,AO$174,),""),IF($I180=3,"",IFBLANK(_xldudf_CX_PUSH(AO180,CX_ENTITY,$B180,AO$11,AO$14,AO$174,),"")))))),"")</f>
        <v/>
      </c>
      <c r="DP180" s="2445" t="str" cm="1">
        <f t="array" ca="1" aca="1" ref="DP180">IFERROR(IF(AP180*fxVal_normal=_PL!AP180,"",IF(OR(AP180="",NOT(ISNUMBER(AP180)),ISERROR(AP180),$B180=""),"",IF($I180=1,IFBLANK(_xldudf_CX_PUSH(AP180*fxVal_normal,CX_ENTITY,$B180,AP$11,AP$14,AP$174,),""),IF($I180=2,IFBLANK(_xldudf_CX_PUSH(AP180,CX_ENTITY,$B180,AP$11,AP$14,AP$174,),""),IF($I180=3,"",IFBLANK(_xldudf_CX_PUSH(AP180,CX_ENTITY,$B180,AP$11,AP$14,AP$174,),"")))))),"")</f>
        <v/>
      </c>
      <c r="DQ180" s="2445" t="str" cm="1">
        <f t="array" ca="1" aca="1" ref="DQ180">IFERROR(IF(AQ180*fxVal_normal=_PL!AQ180,"",IF(OR(AQ180="",NOT(ISNUMBER(AQ180)),ISERROR(AQ180),$B180=""),"",IF($I180=1,IFBLANK(_xldudf_CX_PUSH(AQ180*fxVal_normal,CX_ENTITY,$B180,AQ$11,AQ$14,AQ$174,),""),IF($I180=2,IFBLANK(_xldudf_CX_PUSH(AQ180,CX_ENTITY,$B180,AQ$11,AQ$14,AQ$174,),""),IF($I180=3,"",IFBLANK(_xldudf_CX_PUSH(AQ180,CX_ENTITY,$B180,AQ$11,AQ$14,AQ$174,),"")))))),"")</f>
        <v/>
      </c>
      <c r="DR180" s="2445" t="str" cm="1">
        <f t="array" ca="1" aca="1" ref="DR180">IFERROR(IF(AR180*fxVal_normal=_PL!AR180,"",IF(OR(AR180="",NOT(ISNUMBER(AR180)),ISERROR(AR180),$B180=""),"",IF($I180=1,IFBLANK(_xldudf_CX_PUSH(AR180*fxVal_normal,CX_ENTITY,$B180,AR$11,AR$14,AR$174,),""),IF($I180=2,IFBLANK(_xldudf_CX_PUSH(AR180,CX_ENTITY,$B180,AR$11,AR$14,AR$174,),""),IF($I180=3,"",IFBLANK(_xldudf_CX_PUSH(AR180,CX_ENTITY,$B180,AR$11,AR$14,AR$174,),"")))))),"")</f>
        <v/>
      </c>
      <c r="DS180" s="2445" t="str" cm="1">
        <f t="array" ca="1" aca="1" ref="DS180">IFERROR(IF(AS180*fxVal_normal=_PL!AS180,"",IF(OR(AS180="",NOT(ISNUMBER(AS180)),ISERROR(AS180),$B180=""),"",IF($I180=1,IFBLANK(_xldudf_CX_PUSH(AS180*fxVal_normal,CX_ENTITY,$B180,AS$11,AS$14,AS$174,),""),IF($I180=2,IFBLANK(_xldudf_CX_PUSH(AS180,CX_ENTITY,$B180,AS$11,AS$14,AS$174,),""),IF($I180=3,"",IFBLANK(_xldudf_CX_PUSH(AS180,CX_ENTITY,$B180,AS$11,AS$14,AS$174,),"")))))),"")</f>
        <v/>
      </c>
      <c r="DT180" s="2445" t="str" cm="1">
        <f t="array" ca="1" aca="1" ref="DT180">IFERROR(IF(AT180*fxVal_normal=_PL!AT180,"",IF(OR(AT180="",NOT(ISNUMBER(AT180)),ISERROR(AT180),$B180=""),"",IF($I180=1,IFBLANK(_xldudf_CX_PUSH(AT180*fxVal_normal,CX_ENTITY,$B180,AT$11,AT$14,AT$174,),""),IF($I180=2,IFBLANK(_xldudf_CX_PUSH(AT180,CX_ENTITY,$B180,AT$11,AT$14,AT$174,),""),IF($I180=3,"",IFBLANK(_xldudf_CX_PUSH(AT180,CX_ENTITY,$B180,AT$11,AT$14,AT$174,),"")))))),"")</f>
        <v/>
      </c>
      <c r="DU180" s="2445" t="str" cm="1">
        <f t="array" ca="1" aca="1" ref="DU180">IFERROR(IF(AU180*fxVal_normal=_PL!AU180,"",IF(OR(AU180="",NOT(ISNUMBER(AU180)),ISERROR(AU180),$B180=""),"",IF($I180=1,IFBLANK(_xldudf_CX_PUSH(AU180*fxVal_normal,CX_ENTITY,$B180,AU$11,AU$14,AU$174,),""),IF($I180=2,IFBLANK(_xldudf_CX_PUSH(AU180,CX_ENTITY,$B180,AU$11,AU$14,AU$174,),""),IF($I180=3,"",IFBLANK(_xldudf_CX_PUSH(AU180,CX_ENTITY,$B180,AU$11,AU$14,AU$174,),"")))))),"")</f>
        <v/>
      </c>
      <c r="DV180" s="2445" t="str" cm="1">
        <f t="array" ca="1" aca="1" ref="DV180">IFERROR(IF(AV180*fxVal_normal=_PL!AV180,"",IF(OR(AV180="",NOT(ISNUMBER(AV180)),ISERROR(AV180),$B180=""),"",IF($I180=1,IFBLANK(_xldudf_CX_PUSH(AV180*fxVal_normal,CX_ENTITY,$B180,AV$11,AV$14,AV$174,),""),IF($I180=2,IFBLANK(_xldudf_CX_PUSH(AV180,CX_ENTITY,$B180,AV$11,AV$14,AV$174,),""),IF($I180=3,"",IFBLANK(_xldudf_CX_PUSH(AV180,CX_ENTITY,$B180,AV$11,AV$14,AV$174,),"")))))),"")</f>
        <v/>
      </c>
      <c r="DW180" s="2445" t="str" cm="1">
        <f t="array" ca="1" aca="1" ref="DW180">IFERROR(IF(AW180*fxVal_normal=_PL!AW180,"",IF(OR(AW180="",NOT(ISNUMBER(AW180)),ISERROR(AW180),$B180=""),"",IF($I180=1,IFBLANK(_xldudf_CX_PUSH(AW180*fxVal_normal,CX_ENTITY,$B180,AW$11,AW$14,AW$174,),""),IF($I180=2,IFBLANK(_xldudf_CX_PUSH(AW180,CX_ENTITY,$B180,AW$11,AW$14,AW$174,),""),IF($I180=3,"",IFBLANK(_xldudf_CX_PUSH(AW180,CX_ENTITY,$B180,AW$11,AW$14,AW$174,),"")))))),"")</f>
        <v/>
      </c>
      <c r="DX180" s="2445" t="str" cm="1">
        <f t="array" ca="1" aca="1" ref="DX180">IFERROR(IF(AX180*fxVal_normal=_PL!AX180,"",IF(OR(AX180="",NOT(ISNUMBER(AX180)),ISERROR(AX180),$B180=""),"",IF($I180=1,IFBLANK(_xldudf_CX_PUSH(AX180*fxVal_normal,CX_ENTITY,$B180,AX$11,AX$14,AX$174,),""),IF($I180=2,IFBLANK(_xldudf_CX_PUSH(AX180,CX_ENTITY,$B180,AX$11,AX$14,AX$174,),""),IF($I180=3,"",IFBLANK(_xldudf_CX_PUSH(AX180,CX_ENTITY,$B180,AX$11,AX$14,AX$174,),"")))))),"")</f>
        <v/>
      </c>
      <c r="DY180" s="2445" t="str" cm="1">
        <f t="array" ca="1" aca="1" ref="DY180">IFERROR(IF(AY180*fxVal_normal=_PL!AY180,"",IF(OR(AY180="",NOT(ISNUMBER(AY180)),ISERROR(AY180),$B180=""),"",IF($I180=1,IFBLANK(_xldudf_CX_PUSH(AY180*fxVal_normal,CX_ENTITY,$B180,AY$11,AY$14,AY$174,),""),IF($I180=2,IFBLANK(_xldudf_CX_PUSH(AY180,CX_ENTITY,$B180,AY$11,AY$14,AY$174,),""),IF($I180=3,"",IFBLANK(_xldudf_CX_PUSH(AY180,CX_ENTITY,$B180,AY$11,AY$14,AY$174,),"")))))),"")</f>
        <v/>
      </c>
      <c r="DZ180" s="2445" t="str" cm="1">
        <f t="array" ca="1" aca="1" ref="DZ180">IFERROR(IF(AZ180*fxVal_normal=_PL!AZ180,"",IF(OR(AZ180="",NOT(ISNUMBER(AZ180)),ISERROR(AZ180),$B180=""),"",IF($I180=1,IFBLANK(_xldudf_CX_PUSH(AZ180*fxVal_normal,CX_ENTITY,$B180,AZ$11,AZ$14,AZ$174,),""),IF($I180=2,IFBLANK(_xldudf_CX_PUSH(AZ180,CX_ENTITY,$B180,AZ$11,AZ$14,AZ$174,),""),IF($I180=3,"",IFBLANK(_xldudf_CX_PUSH(AZ180,CX_ENTITY,$B180,AZ$11,AZ$14,AZ$174,),"")))))),"")</f>
        <v/>
      </c>
      <c r="EA180" s="2445" t="str" cm="1">
        <f t="array" ca="1" aca="1" ref="EA180">IFERROR(IF(BA180*fxVal_normal=_PL!BA180,"",IF(OR(BA180="",NOT(ISNUMBER(BA180)),ISERROR(BA180),$B180=""),"",IF($I180=1,IFBLANK(_xldudf_CX_PUSH(BA180*fxVal_normal,CX_ENTITY,$B180,BA$11,BA$14,BA$174,),""),IF($I180=2,IFBLANK(_xldudf_CX_PUSH(BA180,CX_ENTITY,$B180,BA$11,BA$14,BA$174,),""),IF($I180=3,"",IFBLANK(_xldudf_CX_PUSH(BA180,CX_ENTITY,$B180,BA$11,BA$14,BA$174,),"")))))),"")</f>
        <v/>
      </c>
      <c r="EB180" s="2445" t="str" cm="1">
        <f t="array" ca="1" aca="1" ref="EB180">IFERROR(IF(BB180*fxVal_normal=_PL!BB180,"",IF(OR(BB180="",NOT(ISNUMBER(BB180)),ISERROR(BB180),$B180=""),"",IF($I180=1,IFBLANK(_xldudf_CX_PUSH(BB180*fxVal_normal,CX_ENTITY,$B180,BB$11,BB$14,BB$174,),""),IF($I180=2,IFBLANK(_xldudf_CX_PUSH(BB180,CX_ENTITY,$B180,BB$11,BB$14,BB$174,),""),IF($I180=3,"",IFBLANK(_xldudf_CX_PUSH(BB180,CX_ENTITY,$B180,BB$11,BB$14,BB$174,),"")))))),"")</f>
        <v/>
      </c>
      <c r="EC180" s="2445" t="str" cm="1">
        <f t="array" ca="1" aca="1" ref="EC180">IFERROR(IF(BC180*fxVal_normal=_PL!BC180,"",IF(OR(BC180="",NOT(ISNUMBER(BC180)),ISERROR(BC180),$B180=""),"",IF($I180=1,IFBLANK(_xldudf_CX_PUSH(BC180*fxVal_normal,CX_ENTITY,$B180,BC$11,BC$14,BC$174,),""),IF($I180=2,IFBLANK(_xldudf_CX_PUSH(BC180,CX_ENTITY,$B180,BC$11,BC$14,BC$174,),""),IF($I180=3,"",IFBLANK(_xldudf_CX_PUSH(BC180,CX_ENTITY,$B180,BC$11,BC$14,BC$174,),"")))))),"")</f>
        <v/>
      </c>
      <c r="ED180" s="2445" t="str" cm="1">
        <f t="array" ca="1" aca="1" ref="ED180">IFERROR(IF(BD180*fxVal_normal=_PL!BD180,"",IF(OR(BD180="",NOT(ISNUMBER(BD180)),ISERROR(BD180),$B180=""),"",IF($I180=1,IFBLANK(_xldudf_CX_PUSH(BD180*fxVal_normal,CX_ENTITY,$B180,BD$11,BD$14,BD$174,),""),IF($I180=2,IFBLANK(_xldudf_CX_PUSH(BD180,CX_ENTITY,$B180,BD$11,BD$14,BD$174,),""),IF($I180=3,"",IFBLANK(_xldudf_CX_PUSH(BD180,CX_ENTITY,$B180,BD$11,BD$14,BD$174,),"")))))),"")</f>
        <v/>
      </c>
      <c r="EE180" s="2445" t="str" cm="1">
        <f t="array" ca="1" aca="1" ref="EE180">IFERROR(IF(BE180*fxVal_normal=_PL!BE180,"",IF(OR(BE180="",NOT(ISNUMBER(BE180)),ISERROR(BE180),$B180=""),"",IF($I180=1,IFBLANK(_xldudf_CX_PUSH(BE180*fxVal_normal,CX_ENTITY,$B180,BE$11,BE$14,BE$174,),""),IF($I180=2,IFBLANK(_xldudf_CX_PUSH(BE180,CX_ENTITY,$B180,BE$11,BE$14,BE$174,),""),IF($I180=3,"",IFBLANK(_xldudf_CX_PUSH(BE180,CX_ENTITY,$B180,BE$11,BE$14,BE$174,),"")))))),"")</f>
        <v/>
      </c>
      <c r="EF180" s="2445" t="str" cm="1">
        <f t="array" ca="1" aca="1" ref="EF180">IFERROR(IF(BF180*fxVal_normal=_PL!BF180,"",IF(OR(BF180="",NOT(ISNUMBER(BF180)),ISERROR(BF180),$B180=""),"",IF($I180=1,IFBLANK(_xldudf_CX_PUSH(BF180*fxVal_normal,CX_ENTITY,$B180,BF$11,BF$14,BF$174,),""),IF($I180=2,IFBLANK(_xldudf_CX_PUSH(BF180,CX_ENTITY,$B180,BF$11,BF$14,BF$174,),""),IF($I180=3,"",IFBLANK(_xldudf_CX_PUSH(BF180,CX_ENTITY,$B180,BF$11,BF$14,BF$174,),"")))))),"")</f>
        <v/>
      </c>
      <c r="EG180" s="2445" t="str" cm="1">
        <f t="array" ca="1" aca="1" ref="EG180">IFERROR(IF(BG180*fxVal_normal=_PL!BG180,"",IF(OR(BG180="",NOT(ISNUMBER(BG180)),ISERROR(BG180),$B180=""),"",IF($I180=1,IFBLANK(_xldudf_CX_PUSH(BG180*fxVal_normal,CX_ENTITY,$B180,BG$11,BG$14,BG$174,),""),IF($I180=2,IFBLANK(_xldudf_CX_PUSH(BG180,CX_ENTITY,$B180,BG$11,BG$14,BG$174,),""),IF($I180=3,"",IFBLANK(_xldudf_CX_PUSH(BG180,CX_ENTITY,$B180,BG$11,BG$14,BG$174,),"")))))),"")</f>
        <v/>
      </c>
      <c r="EH180" s="2445" t="str" cm="1">
        <f t="array" ca="1" aca="1" ref="EH180">IFERROR(IF(BH180*fxVal_normal=_PL!BH180,"",IF(OR(BH180="",NOT(ISNUMBER(BH180)),ISERROR(BH180),$B180=""),"",IF($I180=1,IFBLANK(_xldudf_CX_PUSH(BH180*fxVal_normal,CX_ENTITY,$B180,BH$11,BH$14,BH$174,),""),IF($I180=2,IFBLANK(_xldudf_CX_PUSH(BH180,CX_ENTITY,$B180,BH$11,BH$14,BH$174,),""),IF($I180=3,"",IFBLANK(_xldudf_CX_PUSH(BH180,CX_ENTITY,$B180,BH$11,BH$14,BH$174,),"")))))),"")</f>
        <v/>
      </c>
      <c r="EI180" s="2445" t="str" cm="1">
        <f t="array" ca="1" aca="1" ref="EI180">IFERROR(IF(BI180*fxVal_normal=_PL!BI180,"",IF(OR(BI180="",NOT(ISNUMBER(BI180)),ISERROR(BI180),$B180=""),"",IF($I180=1,IFBLANK(_xldudf_CX_PUSH(BI180*fxVal_normal,CX_ENTITY,$B180,BI$11,BI$14,BI$174,),""),IF($I180=2,IFBLANK(_xldudf_CX_PUSH(BI180,CX_ENTITY,$B180,BI$11,BI$14,BI$174,),""),IF($I180=3,"",IFBLANK(_xldudf_CX_PUSH(BI180,CX_ENTITY,$B180,BI$11,BI$14,BI$174,),"")))))),"")</f>
        <v/>
      </c>
      <c r="EJ180" s="2445" t="str" cm="1">
        <f t="array" ca="1" aca="1" ref="EJ180">IFERROR(IF(BJ180*fxVal_normal=_PL!BJ180,"",IF(OR(BJ180="",NOT(ISNUMBER(BJ180)),ISERROR(BJ180),$B180=""),"",IF($I180=1,IFBLANK(_xldudf_CX_PUSH(BJ180*fxVal_normal,CX_ENTITY,$B180,BJ$11,BJ$14,BJ$174,),""),IF($I180=2,IFBLANK(_xldudf_CX_PUSH(BJ180,CX_ENTITY,$B180,BJ$11,BJ$14,BJ$174,),""),IF($I180=3,"",IFBLANK(_xldudf_CX_PUSH(BJ180,CX_ENTITY,$B180,BJ$11,BJ$14,BJ$174,),"")))))),"")</f>
        <v/>
      </c>
      <c r="EK180" s="2445" t="str" cm="1">
        <f t="array" ca="1" aca="1" ref="EK180">IFERROR(IF(BK180*fxVal_normal=_PL!BK180,"",IF(OR(BK180="",NOT(ISNUMBER(BK180)),ISERROR(BK180),$B180=""),"",IF($I180=1,IFBLANK(_xldudf_CX_PUSH(BK180*fxVal_normal,CX_ENTITY,$B180,BK$11,BK$14,BK$174,),""),IF($I180=2,IFBLANK(_xldudf_CX_PUSH(BK180,CX_ENTITY,$B180,BK$11,BK$14,BK$174,),""),IF($I180=3,"",IFBLANK(_xldudf_CX_PUSH(BK180,CX_ENTITY,$B180,BK$11,BK$14,BK$174,),"")))))),"")</f>
        <v/>
      </c>
      <c r="EL180" s="2445" t="str" cm="1">
        <f t="array" ca="1" aca="1" ref="EL180">IFERROR(IF(BL180*fxVal_normal=_PL!BL180,"",IF(OR(BL180="",NOT(ISNUMBER(BL180)),ISERROR(BL180),$B180=""),"",IF($I180=1,IFBLANK(_xldudf_CX_PUSH(BL180*fxVal_normal,CX_ENTITY,$B180,BL$11,BL$14,BL$174,),""),IF($I180=2,IFBLANK(_xldudf_CX_PUSH(BL180,CX_ENTITY,$B180,BL$11,BL$14,BL$174,),""),IF($I180=3,"",IFBLANK(_xldudf_CX_PUSH(BL180,CX_ENTITY,$B180,BL$11,BL$14,BL$174,),"")))))),"")</f>
        <v/>
      </c>
      <c r="EM180" s="2445" t="str" cm="1">
        <f t="array" ca="1" aca="1" ref="EM180">IFERROR(IF(BM180*fxVal_normal=_PL!BM180,"",IF(OR(BM180="",NOT(ISNUMBER(BM180)),ISERROR(BM180),$B180=""),"",IF($I180=1,IFBLANK(_xldudf_CX_PUSH(BM180*fxVal_normal,CX_ENTITY,$B180,BM$11,BM$14,BM$174,),""),IF($I180=2,IFBLANK(_xldudf_CX_PUSH(BM180,CX_ENTITY,$B180,BM$11,BM$14,BM$174,),""),IF($I180=3,"",IFBLANK(_xldudf_CX_PUSH(BM180,CX_ENTITY,$B180,BM$11,BM$14,BM$174,),"")))))),"")</f>
        <v/>
      </c>
      <c r="EN180" s="2445" t="str" cm="1">
        <f t="array" ca="1" aca="1" ref="EN180">IFERROR(IF(BN180*fxVal_normal=_PL!BN180,"",IF(OR(BN180="",NOT(ISNUMBER(BN180)),ISERROR(BN180),$B180=""),"",IF($I180=1,IFBLANK(_xldudf_CX_PUSH(BN180*fxVal_normal,CX_ENTITY,$B180,BN$11,BN$14,BN$174,),""),IF($I180=2,IFBLANK(_xldudf_CX_PUSH(BN180,CX_ENTITY,$B180,BN$11,BN$14,BN$174,),""),IF($I180=3,"",IFBLANK(_xldudf_CX_PUSH(BN180,CX_ENTITY,$B180,BN$11,BN$14,BN$174,),"")))))),"")</f>
        <v/>
      </c>
    </row>
    <row r="181" spans="1:144" ht="21" customHeight="1">
      <c r="A181" s="1625"/>
      <c r="B181" s="2439" t="s">
        <v>151</v>
      </c>
      <c r="C181" s="3459" t="str" cm="1">
        <f t="array" ref="C181">IFBLANK(_PL!C181,"")</f>
        <v>Valuation Metric Adjustment Type II - Label 6</v>
      </c>
      <c r="D181" s="1548" t="s">
        <v>123</v>
      </c>
      <c r="E181" s="2440" t="e" cm="1">
        <f t="array" ca="1" aca="1" ref="E18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181:$CQ181,Z181)</f>
        <v>#NAME?</v>
      </c>
      <c r="F181" s="578"/>
      <c r="G181" s="578"/>
      <c r="H181" s="510">
        <v>0</v>
      </c>
      <c r="I181" s="3302">
        <v>1</v>
      </c>
      <c r="J181" s="401" cm="1">
        <f t="array" ref="J181">IFBLANK(Z181,"")</f>
        <v>-1</v>
      </c>
      <c r="K181" s="578" t="str">
        <f t="shared" si="51"/>
        <v>No</v>
      </c>
      <c r="L181" s="37"/>
      <c r="N181" s="158"/>
      <c r="O181" s="101"/>
      <c r="P181" s="52"/>
      <c r="Q181" s="101"/>
      <c r="R181" s="101"/>
      <c r="S181" s="101"/>
      <c r="T181" s="101"/>
      <c r="U181" s="39"/>
      <c r="V181" s="37"/>
      <c r="W181" s="91" t="str">
        <f>W175</f>
        <v>Actual</v>
      </c>
      <c r="X181" s="2081" t="str">
        <f>_PL!X181</f>
        <v>a</v>
      </c>
      <c r="Y181" s="3218">
        <v>2</v>
      </c>
      <c r="Z181" s="198">
        <f>_PL!Z181</f>
        <v>-1</v>
      </c>
      <c r="AA181" s="2571"/>
      <c r="AB181" s="1128"/>
      <c r="AC181" s="914" t="str" cm="1">
        <f t="array" ca="1" aca="1" ref="AC181">_xlfn.LET(_xlpm._termname,$AB181,_xlpm._iconname,"find",_xlpm._icon,fx_getIcon(_xlpm._iconname),_xlpm._location,_xlfn.XLOOKUP(LOWER(_xlpm._termname),LOWER(tbl_acctDef[Term]),tbl_acctDef[Term]),_xlpm._hyperlink,HYPERLINK("#"&amp;CELL("address",_xlpm._location),_xlpm._icon),IFERROR(_xlpm._hyperlink,""))</f>
        <v/>
      </c>
      <c r="AD181" s="3177">
        <v>1</v>
      </c>
      <c r="AE181" s="3177">
        <v>1</v>
      </c>
      <c r="AF181" s="3177">
        <v>1</v>
      </c>
      <c r="AG181" s="3177">
        <v>1</v>
      </c>
      <c r="AH181" s="3177">
        <v>1</v>
      </c>
      <c r="AI181" s="3177">
        <v>1</v>
      </c>
      <c r="AJ181" s="3177">
        <v>1</v>
      </c>
      <c r="AK181" s="3177">
        <v>1</v>
      </c>
      <c r="AL181" s="3177">
        <v>1</v>
      </c>
      <c r="AM181" s="3177">
        <v>1</v>
      </c>
      <c r="AN181" s="3177">
        <v>1</v>
      </c>
      <c r="AO181" s="3177">
        <v>1</v>
      </c>
      <c r="AP181" s="3177">
        <v>1</v>
      </c>
      <c r="AQ181" s="3177">
        <v>1</v>
      </c>
      <c r="AR181" s="3177">
        <v>1</v>
      </c>
      <c r="AS181" s="3177">
        <v>1</v>
      </c>
      <c r="AT181" s="3177">
        <v>1</v>
      </c>
      <c r="AU181" s="3177">
        <v>1</v>
      </c>
      <c r="AV181" s="3177">
        <v>1</v>
      </c>
      <c r="AW181" s="3177">
        <v>1</v>
      </c>
      <c r="AX181" s="3177">
        <v>1</v>
      </c>
      <c r="AY181" s="3177">
        <v>1</v>
      </c>
      <c r="AZ181" s="3177">
        <v>1</v>
      </c>
      <c r="BA181" s="3177">
        <v>1</v>
      </c>
      <c r="BB181" s="3177">
        <v>1</v>
      </c>
      <c r="BC181" s="3177">
        <v>1</v>
      </c>
      <c r="BD181" s="3177">
        <v>1</v>
      </c>
      <c r="BE181" s="3177">
        <v>1</v>
      </c>
      <c r="BF181" s="3177">
        <v>1</v>
      </c>
      <c r="BG181" s="3177">
        <v>1</v>
      </c>
      <c r="BH181" s="3177">
        <v>1</v>
      </c>
      <c r="BI181" s="3177">
        <v>1</v>
      </c>
      <c r="BJ181" s="3177">
        <v>1</v>
      </c>
      <c r="BK181" s="3177">
        <v>1</v>
      </c>
      <c r="BL181" s="3177">
        <v>1</v>
      </c>
      <c r="BM181" s="3177">
        <v>1</v>
      </c>
      <c r="BN181" s="3177">
        <v>1</v>
      </c>
      <c r="BO181" s="2442"/>
      <c r="BP181" s="2442"/>
      <c r="BQ181" s="2442"/>
      <c r="BR181" s="2442"/>
      <c r="BS181" s="2442"/>
      <c r="BT181" s="2442"/>
      <c r="BU181" s="2442"/>
      <c r="BV181" s="2442"/>
      <c r="BW181" s="2442"/>
      <c r="BX181" s="2442"/>
      <c r="BY181" s="2442"/>
      <c r="BZ181" s="2442"/>
      <c r="CA181" s="34"/>
      <c r="CC181" s="2064"/>
      <c r="CD181" s="1461" t="e" cm="1">
        <f t="array" ca="1" aca="1" ref="CD181">_xlfn.LET(_xlpm.CheckBlank,SUM(PL!$AD181:$BN181)=0,IF(_xlpm.CheckBlank,"",SUM(_xlfn._xlws.FILTER(PL!$AD181:$BN181,(YEAR(PL!$AD$12:$BN$12)=PL!CD$12)*(array_timeline&lt;=PL!CD$11)))))</f>
        <v>#NAME?</v>
      </c>
      <c r="CE181" s="1461" t="e" cm="1">
        <f t="array" ca="1" aca="1" ref="CE181">_xlfn.LET(_xlpm.CheckBlank,SUM(PL!$AD181:$BN181)=0,IF(_xlpm.CheckBlank,"",SUM(_xlfn._xlws.FILTER(PL!$AD181:$BN181,(YEAR(PL!$AD$12:$BN$12)=PL!CE$12)*(array_timeline&lt;=PL!CE$11)))))</f>
        <v>#NAME?</v>
      </c>
      <c r="CF181" s="88"/>
      <c r="CG181" s="1461" t="e" cm="1">
        <f t="array" ca="1" aca="1" ref="CG181">_xlfn.LET(_xlpm.CheckBlank,SUM(PL!$AD181:$BN181)=0,IF(_xlpm.CheckBlank,"",SUM(_xlfn._xlws.FILTER(PL!$AD181:$BN181,(YEAR(PL!$AD$12:$BN$12)=PL!CG$12)*(array_timeline&lt;=PL!CG$11)))))</f>
        <v>#NAME?</v>
      </c>
      <c r="CH181" s="1461" t="e" cm="1">
        <f t="array" ca="1" aca="1" ref="CH181">_xlfn.LET(_xlpm.CheckBlank,SUM(PL!$AD181:$BN181)=0,IF(_xlpm.CheckBlank,"",SUM(_xlfn._xlws.FILTER(PL!$AD181:$BN181,(YEAR(PL!$AD$12:$BN$12)=PL!CH$12)*(array_timeline&lt;=PL!CH$11)))))</f>
        <v>#NAME?</v>
      </c>
      <c r="CI181" s="88"/>
      <c r="CJ181" s="1461" cm="1">
        <f t="array" ref="CJ181">_xlfn.LET(_xlpm.CheckBlank,SUM(PL!$AD181:$BN181)=0,IF(_xlpm.CheckBlank,"",SUM(_xlfn.TAKE(_xlfn.DROP(PL!$AD181:$BN181,,-DATEDIFF(PL!CJ$11,val_asOfDate,"M")),1,-12))))</f>
        <v>12</v>
      </c>
      <c r="CK181" s="1461" cm="1">
        <f t="array" ref="CK181">_xlfn.LET(_xlpm.CheckBlank,SUM(PL!$AD181:$BN181)=0,IF(_xlpm.CheckBlank,"",SUM(_xlfn.TAKE(_xlfn.DROP(PL!$AD181:$BN181,,-DATEDIFF(PL!CK$11,val_asOfDate,"M")),1,-12))))</f>
        <v>12</v>
      </c>
      <c r="CL181" s="88"/>
      <c r="CM181" s="3177">
        <v>1</v>
      </c>
      <c r="CN181" s="3177">
        <v>1</v>
      </c>
      <c r="CO181" s="1169"/>
      <c r="CP181" s="3177">
        <v>1</v>
      </c>
      <c r="CQ181" s="3177">
        <v>1</v>
      </c>
      <c r="CR181" s="34"/>
      <c r="CS181" s="2056"/>
      <c r="CT181" s="2447" t="e" cm="1">
        <f t="array" ca="1" aca="1" ref="CT181">IF(ISNUMBER(SEARCH("Select",$Y181)),"",_xldudf_CX_PUSH($Y181,CX_ENTITY,C181,val_asOfDate))</f>
        <v>#NAME?</v>
      </c>
      <c r="CU181" s="2447" t="e" cm="1">
        <f t="array" ca="1" aca="1" ref="CU181">IF(ISNUMBER(SEARCH("Select",$Y181)),"",_xldudf_CX_PUSH($Y181,CX_ENTITY,C181,EOMONTH(val_asOfDate,1)))</f>
        <v>#NAME?</v>
      </c>
      <c r="CV181" s="2447" t="e" cm="1">
        <f t="array" ca="1" aca="1" ref="CV181">IF(ISNUMBER(SEARCH("Select",$Y181)),"",_xldudf_CX_PUSH($Y181,CX_ENTITY,C181,EOMONTH(val_asOfDate,2)))</f>
        <v>#NAME?</v>
      </c>
      <c r="CW181" s="2447" t="e" cm="1">
        <f t="array" ca="1" aca="1" ref="CW181">IF(ISNUMBER(SEARCH("Select",$Y181)),"",_xldudf_CX_PUSH($Y181,CX_ENTITY,C181,EOMONTH(val_asOfDate,3)))</f>
        <v>#NAME?</v>
      </c>
      <c r="CX181" s="2443"/>
      <c r="CY181" s="2444" t="str" cm="1">
        <f t="array" ca="1" aca="1" ref="CY181">IFERROR(IF(CM181*fxVal_normal=_PL!CM181,"",IF(OR($CM181="",$CM181=0,NOT(ISNUMBER($CM181)),ISERROR($CM181),$B181=""),"",IF($I181=1,IFBLANK(_xldudf_CX_PUSH($CM181*fxVal_normal,CX_ENTITY,$B181,$CM$11,$CM$14,$CM$19,),""),IF($I181=2,IFBLANK(_xldudf_CX_PUSH($CM181,CX_ENTITY,$B181,$CM$11,$CM$14,$CM$19,),""),IF($I181=3,"",IFBLANK(_xldudf_CX_PUSH($CM181,CX_ENTITY,$B181,$CM$11,$CM$14,$CM$19,),"")))))),"")</f>
        <v/>
      </c>
      <c r="CZ181" s="2444" t="str" cm="1">
        <f t="array" ca="1" aca="1" ref="CZ181">IFERROR(IF(CN181*fxVal_normal=_PL!CN181,"",IF(OR($CN181="",$CN181=0,NOT(ISNUMBER($CN181)),ISERROR($CN181),$B181=""),"",IF($I181=1,IFBLANK(_xldudf_CX_PUSH($CN181*fxVal_normal,CX_ENTITY,$B181,$CN$11,$CN$14,$CN$19,),""),IF($I181=2,IFBLANK(_xldudf_CX_PUSH($CN181,CX_ENTITY,$B181,$CN$11,$CN$14,$CN$19,),""),IF($I181=3,"",IFBLANK(_xldudf_CX_PUSH($CN181,CX_ENTITY,$B181,$CN$11,$CN$14,$CN$19,),"")))))),"")</f>
        <v/>
      </c>
      <c r="DA181" s="2444" t="str" cm="1">
        <f t="array" ca="1" aca="1" ref="DA181">IFERROR(IF(CP181*fxVal_normal=_PL!CP181,"",IF(OR($CP181="",$CP181=0,NOT(ISNUMBER($CP181)),ISERROR($CP181),$B181=""),"",IF($I181=1,IFBLANK(_xldudf_CX_PUSH($CP181*fxVal_normal,CX_ENTITY,$B181,$CP$11,$CP$14,$CP$19,),""),IF($I181=2,IFBLANK(_xldudf_CX_PUSH($CP181,CX_ENTITY,$B181,$CP$11,$CP$14,$CP$19,),""),IF($I181=3,"",IFBLANK(_xldudf_CX_PUSH($CP181,CX_ENTITY,$B181,$CP$11,$CP$14,$CP$19,),"")))))),"")</f>
        <v/>
      </c>
      <c r="DB181" s="2444" t="str" cm="1">
        <f t="array" ca="1" aca="1" ref="DB181">IFERROR(IF(CQ181*fxVal_normal=_PL!CQ181,"",IF(OR($CQ181="",$CQ181=0,NOT(ISNUMBER($CQ181)),ISERROR($CQ181),$B181=""),"",IF($I181=1,IFBLANK(_xldudf_CX_PUSH($CQ181*fxVal_normal,CX_ENTITY,$B181,$CQ$11,$CQ$14,$CQ$19,),""),IF($I181=2,IFBLANK(_xldudf_CX_PUSH($CQ181,CX_ENTITY,$B181,$CQ$11,$CQ$14,$CQ$19,),""),IF($I181=3,"",IFBLANK(_xldudf_CX_PUSH($CQ181,CX_ENTITY,$B181,$CQ$11,$CQ$14,$CQ$19,),"")))))),"")</f>
        <v/>
      </c>
      <c r="DC181" s="2443"/>
      <c r="DD181" s="2445" t="str" cm="1">
        <f t="array" ca="1" aca="1" ref="DD181">IFERROR(IF(AD181*fxVal_normal=_PL!AD181,"",IF(OR(AD181="",NOT(ISNUMBER(AD181)),ISERROR(AD181),$B181=""),"",IF($I181=1,IFBLANK(_xldudf_CX_PUSH(AD181*fxVal_normal,CX_ENTITY,$B181,AD$11,AD$14,AD$174,),""),IF($I181=2,IFBLANK(_xldudf_CX_PUSH(AD181,CX_ENTITY,$B181,AD$11,AD$14,AD$174,),""),IF($I181=3,"",IFBLANK(_xldudf_CX_PUSH(AD181,CX_ENTITY,$B181,AD$11,AD$14,AD$174,),"")))))),"")</f>
        <v/>
      </c>
      <c r="DE181" s="2445" t="str" cm="1">
        <f t="array" ca="1" aca="1" ref="DE181">IFERROR(IF(AE181*fxVal_normal=_PL!AE181,"",IF(OR(AE181="",NOT(ISNUMBER(AE181)),ISERROR(AE181),$B181=""),"",IF($I181=1,IFBLANK(_xldudf_CX_PUSH(AE181*fxVal_normal,CX_ENTITY,$B181,AE$11,AE$14,AE$174,),""),IF($I181=2,IFBLANK(_xldudf_CX_PUSH(AE181,CX_ENTITY,$B181,AE$11,AE$14,AE$174,),""),IF($I181=3,"",IFBLANK(_xldudf_CX_PUSH(AE181,CX_ENTITY,$B181,AE$11,AE$14,AE$174,),"")))))),"")</f>
        <v/>
      </c>
      <c r="DF181" s="2445" t="str" cm="1">
        <f t="array" ca="1" aca="1" ref="DF181">IFERROR(IF(AF181*fxVal_normal=_PL!AF181,"",IF(OR(AF181="",NOT(ISNUMBER(AF181)),ISERROR(AF181),$B181=""),"",IF($I181=1,IFBLANK(_xldudf_CX_PUSH(AF181*fxVal_normal,CX_ENTITY,$B181,AF$11,AF$14,AF$174,),""),IF($I181=2,IFBLANK(_xldudf_CX_PUSH(AF181,CX_ENTITY,$B181,AF$11,AF$14,AF$174,),""),IF($I181=3,"",IFBLANK(_xldudf_CX_PUSH(AF181,CX_ENTITY,$B181,AF$11,AF$14,AF$174,),"")))))),"")</f>
        <v/>
      </c>
      <c r="DG181" s="2445" t="str" cm="1">
        <f t="array" ca="1" aca="1" ref="DG181">IFERROR(IF(AG181*fxVal_normal=_PL!AG181,"",IF(OR(AG181="",NOT(ISNUMBER(AG181)),ISERROR(AG181),$B181=""),"",IF($I181=1,IFBLANK(_xldudf_CX_PUSH(AG181*fxVal_normal,CX_ENTITY,$B181,AG$11,AG$14,AG$174,),""),IF($I181=2,IFBLANK(_xldudf_CX_PUSH(AG181,CX_ENTITY,$B181,AG$11,AG$14,AG$174,),""),IF($I181=3,"",IFBLANK(_xldudf_CX_PUSH(AG181,CX_ENTITY,$B181,AG$11,AG$14,AG$174,),"")))))),"")</f>
        <v/>
      </c>
      <c r="DH181" s="2445" t="str" cm="1">
        <f t="array" ca="1" aca="1" ref="DH181">IFERROR(IF(AH181*fxVal_normal=_PL!AH181,"",IF(OR(AH181="",NOT(ISNUMBER(AH181)),ISERROR(AH181),$B181=""),"",IF($I181=1,IFBLANK(_xldudf_CX_PUSH(AH181*fxVal_normal,CX_ENTITY,$B181,AH$11,AH$14,AH$174,),""),IF($I181=2,IFBLANK(_xldudf_CX_PUSH(AH181,CX_ENTITY,$B181,AH$11,AH$14,AH$174,),""),IF($I181=3,"",IFBLANK(_xldudf_CX_PUSH(AH181,CX_ENTITY,$B181,AH$11,AH$14,AH$174,),"")))))),"")</f>
        <v/>
      </c>
      <c r="DI181" s="2445" t="str" cm="1">
        <f t="array" ca="1" aca="1" ref="DI181">IFERROR(IF(AI181*fxVal_normal=_PL!AI181,"",IF(OR(AI181="",NOT(ISNUMBER(AI181)),ISERROR(AI181),$B181=""),"",IF($I181=1,IFBLANK(_xldudf_CX_PUSH(AI181*fxVal_normal,CX_ENTITY,$B181,AI$11,AI$14,AI$174,),""),IF($I181=2,IFBLANK(_xldudf_CX_PUSH(AI181,CX_ENTITY,$B181,AI$11,AI$14,AI$174,),""),IF($I181=3,"",IFBLANK(_xldudf_CX_PUSH(AI181,CX_ENTITY,$B181,AI$11,AI$14,AI$174,),"")))))),"")</f>
        <v/>
      </c>
      <c r="DJ181" s="2445" t="str" cm="1">
        <f t="array" ca="1" aca="1" ref="DJ181">IFERROR(IF(AJ181*fxVal_normal=_PL!AJ181,"",IF(OR(AJ181="",NOT(ISNUMBER(AJ181)),ISERROR(AJ181),$B181=""),"",IF($I181=1,IFBLANK(_xldudf_CX_PUSH(AJ181*fxVal_normal,CX_ENTITY,$B181,AJ$11,AJ$14,AJ$174,),""),IF($I181=2,IFBLANK(_xldudf_CX_PUSH(AJ181,CX_ENTITY,$B181,AJ$11,AJ$14,AJ$174,),""),IF($I181=3,"",IFBLANK(_xldudf_CX_PUSH(AJ181,CX_ENTITY,$B181,AJ$11,AJ$14,AJ$174,),"")))))),"")</f>
        <v/>
      </c>
      <c r="DK181" s="2445" t="str" cm="1">
        <f t="array" ca="1" aca="1" ref="DK181">IFERROR(IF(AK181*fxVal_normal=_PL!AK181,"",IF(OR(AK181="",NOT(ISNUMBER(AK181)),ISERROR(AK181),$B181=""),"",IF($I181=1,IFBLANK(_xldudf_CX_PUSH(AK181*fxVal_normal,CX_ENTITY,$B181,AK$11,AK$14,AK$174,),""),IF($I181=2,IFBLANK(_xldudf_CX_PUSH(AK181,CX_ENTITY,$B181,AK$11,AK$14,AK$174,),""),IF($I181=3,"",IFBLANK(_xldudf_CX_PUSH(AK181,CX_ENTITY,$B181,AK$11,AK$14,AK$174,),"")))))),"")</f>
        <v/>
      </c>
      <c r="DL181" s="2445" t="str" cm="1">
        <f t="array" ca="1" aca="1" ref="DL181">IFERROR(IF(AL181*fxVal_normal=_PL!AL181,"",IF(OR(AL181="",NOT(ISNUMBER(AL181)),ISERROR(AL181),$B181=""),"",IF($I181=1,IFBLANK(_xldudf_CX_PUSH(AL181*fxVal_normal,CX_ENTITY,$B181,AL$11,AL$14,AL$174,),""),IF($I181=2,IFBLANK(_xldudf_CX_PUSH(AL181,CX_ENTITY,$B181,AL$11,AL$14,AL$174,),""),IF($I181=3,"",IFBLANK(_xldudf_CX_PUSH(AL181,CX_ENTITY,$B181,AL$11,AL$14,AL$174,),"")))))),"")</f>
        <v/>
      </c>
      <c r="DM181" s="2445" t="str" cm="1">
        <f t="array" ca="1" aca="1" ref="DM181">IFERROR(IF(AM181*fxVal_normal=_PL!AM181,"",IF(OR(AM181="",NOT(ISNUMBER(AM181)),ISERROR(AM181),$B181=""),"",IF($I181=1,IFBLANK(_xldudf_CX_PUSH(AM181*fxVal_normal,CX_ENTITY,$B181,AM$11,AM$14,AM$174,),""),IF($I181=2,IFBLANK(_xldudf_CX_PUSH(AM181,CX_ENTITY,$B181,AM$11,AM$14,AM$174,),""),IF($I181=3,"",IFBLANK(_xldudf_CX_PUSH(AM181,CX_ENTITY,$B181,AM$11,AM$14,AM$174,),"")))))),"")</f>
        <v/>
      </c>
      <c r="DN181" s="2445" t="str" cm="1">
        <f t="array" ca="1" aca="1" ref="DN181">IFERROR(IF(AN181*fxVal_normal=_PL!AN181,"",IF(OR(AN181="",NOT(ISNUMBER(AN181)),ISERROR(AN181),$B181=""),"",IF($I181=1,IFBLANK(_xldudf_CX_PUSH(AN181*fxVal_normal,CX_ENTITY,$B181,AN$11,AN$14,AN$174,),""),IF($I181=2,IFBLANK(_xldudf_CX_PUSH(AN181,CX_ENTITY,$B181,AN$11,AN$14,AN$174,),""),IF($I181=3,"",IFBLANK(_xldudf_CX_PUSH(AN181,CX_ENTITY,$B181,AN$11,AN$14,AN$174,),"")))))),"")</f>
        <v/>
      </c>
      <c r="DO181" s="2445" t="str" cm="1">
        <f t="array" ca="1" aca="1" ref="DO181">IFERROR(IF(AO181*fxVal_normal=_PL!AO181,"",IF(OR(AO181="",NOT(ISNUMBER(AO181)),ISERROR(AO181),$B181=""),"",IF($I181=1,IFBLANK(_xldudf_CX_PUSH(AO181*fxVal_normal,CX_ENTITY,$B181,AO$11,AO$14,AO$174,),""),IF($I181=2,IFBLANK(_xldudf_CX_PUSH(AO181,CX_ENTITY,$B181,AO$11,AO$14,AO$174,),""),IF($I181=3,"",IFBLANK(_xldudf_CX_PUSH(AO181,CX_ENTITY,$B181,AO$11,AO$14,AO$174,),"")))))),"")</f>
        <v/>
      </c>
      <c r="DP181" s="2445" t="str" cm="1">
        <f t="array" ca="1" aca="1" ref="DP181">IFERROR(IF(AP181*fxVal_normal=_PL!AP181,"",IF(OR(AP181="",NOT(ISNUMBER(AP181)),ISERROR(AP181),$B181=""),"",IF($I181=1,IFBLANK(_xldudf_CX_PUSH(AP181*fxVal_normal,CX_ENTITY,$B181,AP$11,AP$14,AP$174,),""),IF($I181=2,IFBLANK(_xldudf_CX_PUSH(AP181,CX_ENTITY,$B181,AP$11,AP$14,AP$174,),""),IF($I181=3,"",IFBLANK(_xldudf_CX_PUSH(AP181,CX_ENTITY,$B181,AP$11,AP$14,AP$174,),"")))))),"")</f>
        <v/>
      </c>
      <c r="DQ181" s="2445" t="str" cm="1">
        <f t="array" ca="1" aca="1" ref="DQ181">IFERROR(IF(AQ181*fxVal_normal=_PL!AQ181,"",IF(OR(AQ181="",NOT(ISNUMBER(AQ181)),ISERROR(AQ181),$B181=""),"",IF($I181=1,IFBLANK(_xldudf_CX_PUSH(AQ181*fxVal_normal,CX_ENTITY,$B181,AQ$11,AQ$14,AQ$174,),""),IF($I181=2,IFBLANK(_xldudf_CX_PUSH(AQ181,CX_ENTITY,$B181,AQ$11,AQ$14,AQ$174,),""),IF($I181=3,"",IFBLANK(_xldudf_CX_PUSH(AQ181,CX_ENTITY,$B181,AQ$11,AQ$14,AQ$174,),"")))))),"")</f>
        <v/>
      </c>
      <c r="DR181" s="2445" t="str" cm="1">
        <f t="array" ca="1" aca="1" ref="DR181">IFERROR(IF(AR181*fxVal_normal=_PL!AR181,"",IF(OR(AR181="",NOT(ISNUMBER(AR181)),ISERROR(AR181),$B181=""),"",IF($I181=1,IFBLANK(_xldudf_CX_PUSH(AR181*fxVal_normal,CX_ENTITY,$B181,AR$11,AR$14,AR$174,),""),IF($I181=2,IFBLANK(_xldudf_CX_PUSH(AR181,CX_ENTITY,$B181,AR$11,AR$14,AR$174,),""),IF($I181=3,"",IFBLANK(_xldudf_CX_PUSH(AR181,CX_ENTITY,$B181,AR$11,AR$14,AR$174,),"")))))),"")</f>
        <v/>
      </c>
      <c r="DS181" s="2445" t="str" cm="1">
        <f t="array" ca="1" aca="1" ref="DS181">IFERROR(IF(AS181*fxVal_normal=_PL!AS181,"",IF(OR(AS181="",NOT(ISNUMBER(AS181)),ISERROR(AS181),$B181=""),"",IF($I181=1,IFBLANK(_xldudf_CX_PUSH(AS181*fxVal_normal,CX_ENTITY,$B181,AS$11,AS$14,AS$174,),""),IF($I181=2,IFBLANK(_xldudf_CX_PUSH(AS181,CX_ENTITY,$B181,AS$11,AS$14,AS$174,),""),IF($I181=3,"",IFBLANK(_xldudf_CX_PUSH(AS181,CX_ENTITY,$B181,AS$11,AS$14,AS$174,),"")))))),"")</f>
        <v/>
      </c>
      <c r="DT181" s="2445" t="str" cm="1">
        <f t="array" ca="1" aca="1" ref="DT181">IFERROR(IF(AT181*fxVal_normal=_PL!AT181,"",IF(OR(AT181="",NOT(ISNUMBER(AT181)),ISERROR(AT181),$B181=""),"",IF($I181=1,IFBLANK(_xldudf_CX_PUSH(AT181*fxVal_normal,CX_ENTITY,$B181,AT$11,AT$14,AT$174,),""),IF($I181=2,IFBLANK(_xldudf_CX_PUSH(AT181,CX_ENTITY,$B181,AT$11,AT$14,AT$174,),""),IF($I181=3,"",IFBLANK(_xldudf_CX_PUSH(AT181,CX_ENTITY,$B181,AT$11,AT$14,AT$174,),"")))))),"")</f>
        <v/>
      </c>
      <c r="DU181" s="2445" t="str" cm="1">
        <f t="array" ca="1" aca="1" ref="DU181">IFERROR(IF(AU181*fxVal_normal=_PL!AU181,"",IF(OR(AU181="",NOT(ISNUMBER(AU181)),ISERROR(AU181),$B181=""),"",IF($I181=1,IFBLANK(_xldudf_CX_PUSH(AU181*fxVal_normal,CX_ENTITY,$B181,AU$11,AU$14,AU$174,),""),IF($I181=2,IFBLANK(_xldudf_CX_PUSH(AU181,CX_ENTITY,$B181,AU$11,AU$14,AU$174,),""),IF($I181=3,"",IFBLANK(_xldudf_CX_PUSH(AU181,CX_ENTITY,$B181,AU$11,AU$14,AU$174,),"")))))),"")</f>
        <v/>
      </c>
      <c r="DV181" s="2445" t="str" cm="1">
        <f t="array" ca="1" aca="1" ref="DV181">IFERROR(IF(AV181*fxVal_normal=_PL!AV181,"",IF(OR(AV181="",NOT(ISNUMBER(AV181)),ISERROR(AV181),$B181=""),"",IF($I181=1,IFBLANK(_xldudf_CX_PUSH(AV181*fxVal_normal,CX_ENTITY,$B181,AV$11,AV$14,AV$174,),""),IF($I181=2,IFBLANK(_xldudf_CX_PUSH(AV181,CX_ENTITY,$B181,AV$11,AV$14,AV$174,),""),IF($I181=3,"",IFBLANK(_xldudf_CX_PUSH(AV181,CX_ENTITY,$B181,AV$11,AV$14,AV$174,),"")))))),"")</f>
        <v/>
      </c>
      <c r="DW181" s="2445" t="str" cm="1">
        <f t="array" ca="1" aca="1" ref="DW181">IFERROR(IF(AW181*fxVal_normal=_PL!AW181,"",IF(OR(AW181="",NOT(ISNUMBER(AW181)),ISERROR(AW181),$B181=""),"",IF($I181=1,IFBLANK(_xldudf_CX_PUSH(AW181*fxVal_normal,CX_ENTITY,$B181,AW$11,AW$14,AW$174,),""),IF($I181=2,IFBLANK(_xldudf_CX_PUSH(AW181,CX_ENTITY,$B181,AW$11,AW$14,AW$174,),""),IF($I181=3,"",IFBLANK(_xldudf_CX_PUSH(AW181,CX_ENTITY,$B181,AW$11,AW$14,AW$174,),"")))))),"")</f>
        <v/>
      </c>
      <c r="DX181" s="2445" t="str" cm="1">
        <f t="array" ca="1" aca="1" ref="DX181">IFERROR(IF(AX181*fxVal_normal=_PL!AX181,"",IF(OR(AX181="",NOT(ISNUMBER(AX181)),ISERROR(AX181),$B181=""),"",IF($I181=1,IFBLANK(_xldudf_CX_PUSH(AX181*fxVal_normal,CX_ENTITY,$B181,AX$11,AX$14,AX$174,),""),IF($I181=2,IFBLANK(_xldudf_CX_PUSH(AX181,CX_ENTITY,$B181,AX$11,AX$14,AX$174,),""),IF($I181=3,"",IFBLANK(_xldudf_CX_PUSH(AX181,CX_ENTITY,$B181,AX$11,AX$14,AX$174,),"")))))),"")</f>
        <v/>
      </c>
      <c r="DY181" s="2445" t="str" cm="1">
        <f t="array" ca="1" aca="1" ref="DY181">IFERROR(IF(AY181*fxVal_normal=_PL!AY181,"",IF(OR(AY181="",NOT(ISNUMBER(AY181)),ISERROR(AY181),$B181=""),"",IF($I181=1,IFBLANK(_xldudf_CX_PUSH(AY181*fxVal_normal,CX_ENTITY,$B181,AY$11,AY$14,AY$174,),""),IF($I181=2,IFBLANK(_xldudf_CX_PUSH(AY181,CX_ENTITY,$B181,AY$11,AY$14,AY$174,),""),IF($I181=3,"",IFBLANK(_xldudf_CX_PUSH(AY181,CX_ENTITY,$B181,AY$11,AY$14,AY$174,),"")))))),"")</f>
        <v/>
      </c>
      <c r="DZ181" s="2445" t="str" cm="1">
        <f t="array" ca="1" aca="1" ref="DZ181">IFERROR(IF(AZ181*fxVal_normal=_PL!AZ181,"",IF(OR(AZ181="",NOT(ISNUMBER(AZ181)),ISERROR(AZ181),$B181=""),"",IF($I181=1,IFBLANK(_xldudf_CX_PUSH(AZ181*fxVal_normal,CX_ENTITY,$B181,AZ$11,AZ$14,AZ$174,),""),IF($I181=2,IFBLANK(_xldudf_CX_PUSH(AZ181,CX_ENTITY,$B181,AZ$11,AZ$14,AZ$174,),""),IF($I181=3,"",IFBLANK(_xldudf_CX_PUSH(AZ181,CX_ENTITY,$B181,AZ$11,AZ$14,AZ$174,),"")))))),"")</f>
        <v/>
      </c>
      <c r="EA181" s="2445" t="str" cm="1">
        <f t="array" ca="1" aca="1" ref="EA181">IFERROR(IF(BA181*fxVal_normal=_PL!BA181,"",IF(OR(BA181="",NOT(ISNUMBER(BA181)),ISERROR(BA181),$B181=""),"",IF($I181=1,IFBLANK(_xldudf_CX_PUSH(BA181*fxVal_normal,CX_ENTITY,$B181,BA$11,BA$14,BA$174,),""),IF($I181=2,IFBLANK(_xldudf_CX_PUSH(BA181,CX_ENTITY,$B181,BA$11,BA$14,BA$174,),""),IF($I181=3,"",IFBLANK(_xldudf_CX_PUSH(BA181,CX_ENTITY,$B181,BA$11,BA$14,BA$174,),"")))))),"")</f>
        <v/>
      </c>
      <c r="EB181" s="2445" t="str" cm="1">
        <f t="array" ca="1" aca="1" ref="EB181">IFERROR(IF(BB181*fxVal_normal=_PL!BB181,"",IF(OR(BB181="",NOT(ISNUMBER(BB181)),ISERROR(BB181),$B181=""),"",IF($I181=1,IFBLANK(_xldudf_CX_PUSH(BB181*fxVal_normal,CX_ENTITY,$B181,BB$11,BB$14,BB$174,),""),IF($I181=2,IFBLANK(_xldudf_CX_PUSH(BB181,CX_ENTITY,$B181,BB$11,BB$14,BB$174,),""),IF($I181=3,"",IFBLANK(_xldudf_CX_PUSH(BB181,CX_ENTITY,$B181,BB$11,BB$14,BB$174,),"")))))),"")</f>
        <v/>
      </c>
      <c r="EC181" s="2445" t="str" cm="1">
        <f t="array" ca="1" aca="1" ref="EC181">IFERROR(IF(BC181*fxVal_normal=_PL!BC181,"",IF(OR(BC181="",NOT(ISNUMBER(BC181)),ISERROR(BC181),$B181=""),"",IF($I181=1,IFBLANK(_xldudf_CX_PUSH(BC181*fxVal_normal,CX_ENTITY,$B181,BC$11,BC$14,BC$174,),""),IF($I181=2,IFBLANK(_xldudf_CX_PUSH(BC181,CX_ENTITY,$B181,BC$11,BC$14,BC$174,),""),IF($I181=3,"",IFBLANK(_xldudf_CX_PUSH(BC181,CX_ENTITY,$B181,BC$11,BC$14,BC$174,),"")))))),"")</f>
        <v/>
      </c>
      <c r="ED181" s="2445" t="str" cm="1">
        <f t="array" ca="1" aca="1" ref="ED181">IFERROR(IF(BD181*fxVal_normal=_PL!BD181,"",IF(OR(BD181="",NOT(ISNUMBER(BD181)),ISERROR(BD181),$B181=""),"",IF($I181=1,IFBLANK(_xldudf_CX_PUSH(BD181*fxVal_normal,CX_ENTITY,$B181,BD$11,BD$14,BD$174,),""),IF($I181=2,IFBLANK(_xldudf_CX_PUSH(BD181,CX_ENTITY,$B181,BD$11,BD$14,BD$174,),""),IF($I181=3,"",IFBLANK(_xldudf_CX_PUSH(BD181,CX_ENTITY,$B181,BD$11,BD$14,BD$174,),"")))))),"")</f>
        <v/>
      </c>
      <c r="EE181" s="2445" t="str" cm="1">
        <f t="array" ca="1" aca="1" ref="EE181">IFERROR(IF(BE181*fxVal_normal=_PL!BE181,"",IF(OR(BE181="",NOT(ISNUMBER(BE181)),ISERROR(BE181),$B181=""),"",IF($I181=1,IFBLANK(_xldudf_CX_PUSH(BE181*fxVal_normal,CX_ENTITY,$B181,BE$11,BE$14,BE$174,),""),IF($I181=2,IFBLANK(_xldudf_CX_PUSH(BE181,CX_ENTITY,$B181,BE$11,BE$14,BE$174,),""),IF($I181=3,"",IFBLANK(_xldudf_CX_PUSH(BE181,CX_ENTITY,$B181,BE$11,BE$14,BE$174,),"")))))),"")</f>
        <v/>
      </c>
      <c r="EF181" s="2445" t="str" cm="1">
        <f t="array" ca="1" aca="1" ref="EF181">IFERROR(IF(BF181*fxVal_normal=_PL!BF181,"",IF(OR(BF181="",NOT(ISNUMBER(BF181)),ISERROR(BF181),$B181=""),"",IF($I181=1,IFBLANK(_xldudf_CX_PUSH(BF181*fxVal_normal,CX_ENTITY,$B181,BF$11,BF$14,BF$174,),""),IF($I181=2,IFBLANK(_xldudf_CX_PUSH(BF181,CX_ENTITY,$B181,BF$11,BF$14,BF$174,),""),IF($I181=3,"",IFBLANK(_xldudf_CX_PUSH(BF181,CX_ENTITY,$B181,BF$11,BF$14,BF$174,),"")))))),"")</f>
        <v/>
      </c>
      <c r="EG181" s="2445" t="str" cm="1">
        <f t="array" ca="1" aca="1" ref="EG181">IFERROR(IF(BG181*fxVal_normal=_PL!BG181,"",IF(OR(BG181="",NOT(ISNUMBER(BG181)),ISERROR(BG181),$B181=""),"",IF($I181=1,IFBLANK(_xldudf_CX_PUSH(BG181*fxVal_normal,CX_ENTITY,$B181,BG$11,BG$14,BG$174,),""),IF($I181=2,IFBLANK(_xldudf_CX_PUSH(BG181,CX_ENTITY,$B181,BG$11,BG$14,BG$174,),""),IF($I181=3,"",IFBLANK(_xldudf_CX_PUSH(BG181,CX_ENTITY,$B181,BG$11,BG$14,BG$174,),"")))))),"")</f>
        <v/>
      </c>
      <c r="EH181" s="2445" t="str" cm="1">
        <f t="array" ca="1" aca="1" ref="EH181">IFERROR(IF(BH181*fxVal_normal=_PL!BH181,"",IF(OR(BH181="",NOT(ISNUMBER(BH181)),ISERROR(BH181),$B181=""),"",IF($I181=1,IFBLANK(_xldudf_CX_PUSH(BH181*fxVal_normal,CX_ENTITY,$B181,BH$11,BH$14,BH$174,),""),IF($I181=2,IFBLANK(_xldudf_CX_PUSH(BH181,CX_ENTITY,$B181,BH$11,BH$14,BH$174,),""),IF($I181=3,"",IFBLANK(_xldudf_CX_PUSH(BH181,CX_ENTITY,$B181,BH$11,BH$14,BH$174,),"")))))),"")</f>
        <v/>
      </c>
      <c r="EI181" s="2445" t="str" cm="1">
        <f t="array" ca="1" aca="1" ref="EI181">IFERROR(IF(BI181*fxVal_normal=_PL!BI181,"",IF(OR(BI181="",NOT(ISNUMBER(BI181)),ISERROR(BI181),$B181=""),"",IF($I181=1,IFBLANK(_xldudf_CX_PUSH(BI181*fxVal_normal,CX_ENTITY,$B181,BI$11,BI$14,BI$174,),""),IF($I181=2,IFBLANK(_xldudf_CX_PUSH(BI181,CX_ENTITY,$B181,BI$11,BI$14,BI$174,),""),IF($I181=3,"",IFBLANK(_xldudf_CX_PUSH(BI181,CX_ENTITY,$B181,BI$11,BI$14,BI$174,),"")))))),"")</f>
        <v/>
      </c>
      <c r="EJ181" s="2445" t="str" cm="1">
        <f t="array" ca="1" aca="1" ref="EJ181">IFERROR(IF(BJ181*fxVal_normal=_PL!BJ181,"",IF(OR(BJ181="",NOT(ISNUMBER(BJ181)),ISERROR(BJ181),$B181=""),"",IF($I181=1,IFBLANK(_xldudf_CX_PUSH(BJ181*fxVal_normal,CX_ENTITY,$B181,BJ$11,BJ$14,BJ$174,),""),IF($I181=2,IFBLANK(_xldudf_CX_PUSH(BJ181,CX_ENTITY,$B181,BJ$11,BJ$14,BJ$174,),""),IF($I181=3,"",IFBLANK(_xldudf_CX_PUSH(BJ181,CX_ENTITY,$B181,BJ$11,BJ$14,BJ$174,),"")))))),"")</f>
        <v/>
      </c>
      <c r="EK181" s="2445" t="str" cm="1">
        <f t="array" ca="1" aca="1" ref="EK181">IFERROR(IF(BK181*fxVal_normal=_PL!BK181,"",IF(OR(BK181="",NOT(ISNUMBER(BK181)),ISERROR(BK181),$B181=""),"",IF($I181=1,IFBLANK(_xldudf_CX_PUSH(BK181*fxVal_normal,CX_ENTITY,$B181,BK$11,BK$14,BK$174,),""),IF($I181=2,IFBLANK(_xldudf_CX_PUSH(BK181,CX_ENTITY,$B181,BK$11,BK$14,BK$174,),""),IF($I181=3,"",IFBLANK(_xldudf_CX_PUSH(BK181,CX_ENTITY,$B181,BK$11,BK$14,BK$174,),"")))))),"")</f>
        <v/>
      </c>
      <c r="EL181" s="2445" t="str" cm="1">
        <f t="array" ca="1" aca="1" ref="EL181">IFERROR(IF(BL181*fxVal_normal=_PL!BL181,"",IF(OR(BL181="",NOT(ISNUMBER(BL181)),ISERROR(BL181),$B181=""),"",IF($I181=1,IFBLANK(_xldudf_CX_PUSH(BL181*fxVal_normal,CX_ENTITY,$B181,BL$11,BL$14,BL$174,),""),IF($I181=2,IFBLANK(_xldudf_CX_PUSH(BL181,CX_ENTITY,$B181,BL$11,BL$14,BL$174,),""),IF($I181=3,"",IFBLANK(_xldudf_CX_PUSH(BL181,CX_ENTITY,$B181,BL$11,BL$14,BL$174,),"")))))),"")</f>
        <v/>
      </c>
      <c r="EM181" s="2445" t="str" cm="1">
        <f t="array" ca="1" aca="1" ref="EM181">IFERROR(IF(BM181*fxVal_normal=_PL!BM181,"",IF(OR(BM181="",NOT(ISNUMBER(BM181)),ISERROR(BM181),$B181=""),"",IF($I181=1,IFBLANK(_xldudf_CX_PUSH(BM181*fxVal_normal,CX_ENTITY,$B181,BM$11,BM$14,BM$174,),""),IF($I181=2,IFBLANK(_xldudf_CX_PUSH(BM181,CX_ENTITY,$B181,BM$11,BM$14,BM$174,),""),IF($I181=3,"",IFBLANK(_xldudf_CX_PUSH(BM181,CX_ENTITY,$B181,BM$11,BM$14,BM$174,),"")))))),"")</f>
        <v/>
      </c>
      <c r="EN181" s="2445" t="str" cm="1">
        <f t="array" ca="1" aca="1" ref="EN181">IFERROR(IF(BN181*fxVal_normal=_PL!BN181,"",IF(OR(BN181="",NOT(ISNUMBER(BN181)),ISERROR(BN181),$B181=""),"",IF($I181=1,IFBLANK(_xldudf_CX_PUSH(BN181*fxVal_normal,CX_ENTITY,$B181,BN$11,BN$14,BN$174,),""),IF($I181=2,IFBLANK(_xldudf_CX_PUSH(BN181,CX_ENTITY,$B181,BN$11,BN$14,BN$174,),""),IF($I181=3,"",IFBLANK(_xldudf_CX_PUSH(BN181,CX_ENTITY,$B181,BN$11,BN$14,BN$174,),"")))))),"")</f>
        <v/>
      </c>
    </row>
    <row r="182" spans="1:151" ht="21" customHeight="1">
      <c r="A182" s="2449" t="s">
        <v>22</v>
      </c>
      <c r="B182" s="2439" t="s">
        <v>152</v>
      </c>
      <c r="C182" s="2439" t="str" cm="1">
        <f t="array" ref="C182">IFBLANK(_PL!C182,"")</f>
        <v>Adjusted Valuation Label</v>
      </c>
      <c r="D182" s="1548" t="s">
        <v>153</v>
      </c>
      <c r="E182" s="2440" t="e" cm="1">
        <f t="array" ca="1" aca="1" ref="E18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182:$CQ182,Z182)</f>
        <v>#NAME?</v>
      </c>
      <c r="F182" s="578"/>
      <c r="G182" s="576"/>
      <c r="H182" s="3297">
        <v>2</v>
      </c>
      <c r="I182" s="3295">
        <v>1</v>
      </c>
      <c r="J182" s="401" cm="1">
        <f t="array" ref="J182">IFBLANK(Z182,"")</f>
        <v>0</v>
      </c>
      <c r="K182" s="578" t="str">
        <f t="shared" si="51"/>
        <v>Yes</v>
      </c>
      <c r="L182" s="37"/>
      <c r="N182" s="158"/>
      <c r="O182" s="101"/>
      <c r="P182" s="52"/>
      <c r="Q182" s="101"/>
      <c r="R182" s="101"/>
      <c r="S182" s="101"/>
      <c r="T182" s="101"/>
      <c r="U182" s="39"/>
      <c r="V182" s="37"/>
      <c r="W182" s="268" t="str">
        <f>W175</f>
        <v>Actual</v>
      </c>
      <c r="X182" s="2452">
        <f>_PL!X182</f>
        <v>0</v>
      </c>
      <c r="Y182" s="2583" t="e">
        <f ca="1">_PL!Y182</f>
        <v>#NAME?</v>
      </c>
      <c r="Z182" s="538">
        <f>_PL!Z182</f>
        <v>0</v>
      </c>
      <c r="AA182" s="787"/>
      <c r="AB182" s="1133" t="s">
        <v>142</v>
      </c>
      <c r="AC182" s="1163" t="str" cm="1">
        <f t="array" ca="1" aca="1" ref="AC182">_xlfn.LET(_xlpm._termname,$AB182,_xlpm._iconname,"find",_xlpm._icon,fx_getIcon(_xlpm._iconname),_xlpm._location,_xlfn.XLOOKUP(LOWER(_xlpm._termname),LOWER(tbl_acctDef[Term]),tbl_acctDef[Term]),_xlpm._hyperlink,HYPERLINK("#"&amp;CELL("address",_xlpm._location),_xlpm._icon),IFERROR(_xlpm._hyperlink,""))</f>
        <v/>
      </c>
      <c r="AD182" s="2376" cm="1">
        <f t="array" ref="AD182:BN182">IF(ISNUMBER(AD175),_xlfn.BYCOL(_xlfn.VSTACK(AD175:BN175,AD176:BN181),_xleta.SUM),"")</f>
        <v>5</v>
      </c>
      <c r="AE182" s="3468">
        <v>5</v>
      </c>
      <c r="AF182" s="3468">
        <v>5</v>
      </c>
      <c r="AG182" s="3468">
        <v>5</v>
      </c>
      <c r="AH182" s="3468">
        <v>5</v>
      </c>
      <c r="AI182" s="3468">
        <v>5</v>
      </c>
      <c r="AJ182" s="3468">
        <v>5</v>
      </c>
      <c r="AK182" s="3468">
        <v>5</v>
      </c>
      <c r="AL182" s="3468">
        <v>5</v>
      </c>
      <c r="AM182" s="3468">
        <v>5</v>
      </c>
      <c r="AN182" s="3468">
        <v>5</v>
      </c>
      <c r="AO182" s="3468">
        <v>5</v>
      </c>
      <c r="AP182" s="3468">
        <v>5</v>
      </c>
      <c r="AQ182" s="3468">
        <v>5</v>
      </c>
      <c r="AR182" s="3468">
        <v>5</v>
      </c>
      <c r="AS182" s="3468">
        <v>5</v>
      </c>
      <c r="AT182" s="3468">
        <v>5</v>
      </c>
      <c r="AU182" s="3468">
        <v>5</v>
      </c>
      <c r="AV182" s="3468">
        <v>5</v>
      </c>
      <c r="AW182" s="3468">
        <v>5</v>
      </c>
      <c r="AX182" s="3468">
        <v>5</v>
      </c>
      <c r="AY182" s="3468">
        <v>5</v>
      </c>
      <c r="AZ182" s="3468">
        <v>5</v>
      </c>
      <c r="BA182" s="3468">
        <v>5</v>
      </c>
      <c r="BB182" s="3468">
        <v>5</v>
      </c>
      <c r="BC182" s="3468">
        <v>5</v>
      </c>
      <c r="BD182" s="3468">
        <v>5</v>
      </c>
      <c r="BE182" s="3468">
        <v>5</v>
      </c>
      <c r="BF182" s="3468">
        <v>5</v>
      </c>
      <c r="BG182" s="3468">
        <v>5</v>
      </c>
      <c r="BH182" s="3468">
        <v>5</v>
      </c>
      <c r="BI182" s="3468">
        <v>5</v>
      </c>
      <c r="BJ182" s="3468">
        <v>5</v>
      </c>
      <c r="BK182" s="3468">
        <v>5</v>
      </c>
      <c r="BL182" s="3468">
        <v>5</v>
      </c>
      <c r="BM182" s="3468">
        <v>5</v>
      </c>
      <c r="BN182" s="3468">
        <v>5</v>
      </c>
      <c r="BO182" s="2577"/>
      <c r="BP182" s="2577"/>
      <c r="BQ182" s="2577"/>
      <c r="BR182" s="2577"/>
      <c r="BS182" s="2577"/>
      <c r="BT182" s="2577"/>
      <c r="BU182" s="2577"/>
      <c r="BV182" s="2577"/>
      <c r="BW182" s="2577"/>
      <c r="BX182" s="2577"/>
      <c r="BY182" s="2577"/>
      <c r="BZ182" s="2577"/>
      <c r="CA182" s="34"/>
      <c r="CC182" s="33"/>
      <c r="CD182" s="1461" t="e" cm="1">
        <f t="array" ca="1" aca="1" ref="CD182">_xlfn.LET(_xlpm.CheckBlank,SUM(PL!$AD182:$BN182)=0,IF(_xlpm.CheckBlank,"",SUM(_xlfn._xlws.FILTER(PL!$AD182:$BN182,(YEAR(PL!$AD$12:$BN$12)=PL!CD$12)*(array_timeline&lt;=PL!CD$11)))))</f>
        <v>#NAME?</v>
      </c>
      <c r="CE182" s="1461" t="e" cm="1">
        <f t="array" ca="1" aca="1" ref="CE182">_xlfn.LET(_xlpm.CheckBlank,SUM(PL!$AD182:$BN182)=0,IF(_xlpm.CheckBlank,"",SUM(_xlfn._xlws.FILTER(PL!$AD182:$BN182,(YEAR(PL!$AD$12:$BN$12)=PL!CE$12)*(array_timeline&lt;=PL!CE$11)))))</f>
        <v>#NAME?</v>
      </c>
      <c r="CF182" s="88"/>
      <c r="CG182" s="1461" t="e" cm="1">
        <f t="array" ca="1" aca="1" ref="CG182">_xlfn.LET(_xlpm.CheckBlank,SUM(PL!$AD182:$BN182)=0,IF(_xlpm.CheckBlank,"",SUM(_xlfn._xlws.FILTER(PL!$AD182:$BN182,(YEAR(PL!$AD$12:$BN$12)=PL!CG$12)*(array_timeline&lt;=PL!CG$11)))))</f>
        <v>#NAME?</v>
      </c>
      <c r="CH182" s="1461" t="e" cm="1">
        <f t="array" ca="1" aca="1" ref="CH182">_xlfn.LET(_xlpm.CheckBlank,SUM(PL!$AD182:$BN182)=0,IF(_xlpm.CheckBlank,"",SUM(_xlfn._xlws.FILTER(PL!$AD182:$BN182,(YEAR(PL!$AD$12:$BN$12)=PL!CH$12)*(array_timeline&lt;=PL!CH$11)))))</f>
        <v>#NAME?</v>
      </c>
      <c r="CI182" s="88"/>
      <c r="CJ182" s="1461" cm="1">
        <f t="array" ref="CJ182">_xlfn.LET(_xlpm.CheckBlank,SUM(PL!$AD182:$BN182)=0,IF(_xlpm.CheckBlank,"",SUM(_xlfn.TAKE(_xlfn.DROP(PL!$AD182:$BN182,,-DATEDIFF(PL!CJ$11,val_asOfDate,"M")),1,-12))))</f>
        <v>60</v>
      </c>
      <c r="CK182" s="1461" cm="1">
        <f t="array" ref="CK182">_xlfn.LET(_xlpm.CheckBlank,SUM(PL!$AD182:$BN182)=0,IF(_xlpm.CheckBlank,"",SUM(_xlfn.TAKE(_xlfn.DROP(PL!$AD182:$BN182,,-DATEDIFF(PL!CK$11,val_asOfDate,"M")),1,-12))))</f>
        <v>60</v>
      </c>
      <c r="CL182" s="88"/>
      <c r="CM182" s="2061" cm="1">
        <f t="array" ref="CM182:CN182">IF(ISNUMBER(CM175:CN175),_xlfn.BYCOL(_xlfn.VSTACK(CM175:CN175,CM176:CN181),_xleta.SUM),"")</f>
        <v>7</v>
      </c>
      <c r="CN182" s="2061">
        <v>7</v>
      </c>
      <c r="CO182" s="128"/>
      <c r="CP182" s="2061" cm="1">
        <f t="array" ref="CP182:CQ182">IF(ISNUMBER(CP175:CQ175),_xlfn.BYCOL(_xlfn.VSTACK(CP175:CQ175,CP176:CQ181),_xleta.SUM),"")</f>
        <v>7</v>
      </c>
      <c r="CQ182" s="2061">
        <v>7</v>
      </c>
      <c r="CR182" s="34"/>
      <c r="CS182" s="2056"/>
      <c r="CT182" s="2085" t="e" cm="1">
        <f t="array" ca="1" aca="1" ref="CT182">IF(K182&lt;&gt;"Yes","",IF(OR(Y182="Select,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III"),"",IF(OR(Y182&lt;&gt;AB182,AND(LEN(B182)=0,NOT(OR(Y182="Select,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III")))),_xldudf_CX_PUSH(Y182,CX_ENTITY,C182,EOMONTH(val_asOfDate,0)),"")))</f>
        <v>#NAME?</v>
      </c>
      <c r="CU182" s="2085" t="e" cm="1">
        <f t="array" ca="1" aca="1" ref="CU182">IF(K182&lt;&gt;"Yes","",IF(OR(Y182="Select,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III"),"",IF(OR(Y182&lt;&gt;AB182,AND(LEN(B182)=0,NOT(OR(Y182="Select,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III")))),_xldudf_CX_PUSH(Y182,CX_ENTITY,C182,EOMONTH(val_asOfDate,1)),"")))</f>
        <v>#NAME?</v>
      </c>
      <c r="CV182" s="2085" t="e" cm="1">
        <f t="array" ca="1" aca="1" ref="CV182">IF(K182&lt;&gt;"Yes","",IF(OR(Y182="Select,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III"),"",IF(OR(Y182&lt;&gt;AB182,AND(LEN(B182)=0,NOT(OR(Y182="Select,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III")))),_xldudf_CX_PUSH(Y182,CX_ENTITY,C182,EOMONTH(val_asOfDate,2)),"")))</f>
        <v>#NAME?</v>
      </c>
      <c r="CW182" s="2085" t="e" cm="1">
        <f t="array" ca="1" aca="1" ref="CW182">IF(K182&lt;&gt;"Yes","",IF(OR(Y182="Select,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III"),"",IF(OR(Y182&lt;&gt;AB182,AND(LEN(B182)=0,NOT(OR(Y182="Select,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III")))),_xldudf_CX_PUSH(Y182,CX_ENTITY,C182,EOMONTH(val_asOfDate,3)),"")))</f>
        <v>#NAME?</v>
      </c>
      <c r="CX182" s="2443"/>
      <c r="CY182" s="2444" t="str" cm="1">
        <f t="array" ca="1" aca="1" ref="CY182">IFERROR(IF(CM182*fxVal_normal=_PL!CM182,"",IF(OR($CM182="",$CM182=0,NOT(ISNUMBER($CM182)),ISERROR($CM182),$B182=""),"",IF($I182=1,IFBLANK(_xldudf_CX_PUSH($CM182*fxVal_normal,CX_ENTITY,$B182,$CM$11,$CM$14,$CM$19,),""),IF($I182=2,IFBLANK(_xldudf_CX_PUSH($CM182,CX_ENTITY,$B182,$CM$11,$CM$14,$CM$19,),""),IF($I182=3,"",IFBLANK(_xldudf_CX_PUSH($CM182,CX_ENTITY,$B182,$CM$11,$CM$14,$CM$19,),"")))))),"")</f>
        <v/>
      </c>
      <c r="CZ182" s="2444" t="str" cm="1">
        <f t="array" ca="1" aca="1" ref="CZ182">IFERROR(IF(CN182*fxVal_normal=_PL!CN182,"",IF(OR($CN182="",$CN182=0,NOT(ISNUMBER($CN182)),ISERROR($CN182),$B182=""),"",IF($I182=1,IFBLANK(_xldudf_CX_PUSH($CN182*fxVal_normal,CX_ENTITY,$B182,$CN$11,$CN$14,$CN$19,),""),IF($I182=2,IFBLANK(_xldudf_CX_PUSH($CN182,CX_ENTITY,$B182,$CN$11,$CN$14,$CN$19,),""),IF($I182=3,"",IFBLANK(_xldudf_CX_PUSH($CN182,CX_ENTITY,$B182,$CN$11,$CN$14,$CN$19,),"")))))),"")</f>
        <v/>
      </c>
      <c r="DA182" s="2444" t="str" cm="1">
        <f t="array" ca="1" aca="1" ref="DA182">IFERROR(IF(CP182*fxVal_normal=_PL!CP182,"",IF(OR($CP182="",$CP182=0,NOT(ISNUMBER($CP182)),ISERROR($CP182),$B182=""),"",IF($I182=1,IFBLANK(_xldudf_CX_PUSH($CP182*fxVal_normal,CX_ENTITY,$B182,$CP$11,$CP$14,$CP$19,),""),IF($I182=2,IFBLANK(_xldudf_CX_PUSH($CP182,CX_ENTITY,$B182,$CP$11,$CP$14,$CP$19,),""),IF($I182=3,"",IFBLANK(_xldudf_CX_PUSH($CP182,CX_ENTITY,$B182,$CP$11,$CP$14,$CP$19,),"")))))),"")</f>
        <v/>
      </c>
      <c r="DB182" s="2444" t="str" cm="1">
        <f t="array" ca="1" aca="1" ref="DB182">IFERROR(IF(CQ182*fxVal_normal=_PL!CQ182,"",IF(OR($CQ182="",$CQ182=0,NOT(ISNUMBER($CQ182)),ISERROR($CQ182),$B182=""),"",IF($I182=1,IFBLANK(_xldudf_CX_PUSH($CQ182*fxVal_normal,CX_ENTITY,$B182,$CQ$11,$CQ$14,$CQ$19,),""),IF($I182=2,IFBLANK(_xldudf_CX_PUSH($CQ182,CX_ENTITY,$B182,$CQ$11,$CQ$14,$CQ$19,),""),IF($I182=3,"",IFBLANK(_xldudf_CX_PUSH($CQ182,CX_ENTITY,$B182,$CQ$11,$CQ$14,$CQ$19,),"")))))),"")</f>
        <v/>
      </c>
      <c r="DC182" s="2443"/>
      <c r="DD182" s="2445" t="str" cm="1">
        <f t="array" ca="1" aca="1" ref="DD182">IFERROR(IF(AD182*fxVal_normal=_PL!AD182,"",IF(OR(AD182="",NOT(ISNUMBER(AD182)),ISERROR(AD182),$B182=""),"",IF($I182=1,IFBLANK(_xldudf_CX_PUSH(AD182*fxVal_normal,CX_ENTITY,$B182,AD$11,AD$14,AD$174,),""),IF($I182=2,IFBLANK(_xldudf_CX_PUSH(AD182,CX_ENTITY,$B182,AD$11,AD$14,AD$174,),""),IF($I182=3,"",IFBLANK(_xldudf_CX_PUSH(AD182,CX_ENTITY,$B182,AD$11,AD$14,AD$174,),"")))))),"")</f>
        <v/>
      </c>
      <c r="DE182" s="2445" t="str" cm="1">
        <f t="array" ca="1" aca="1" ref="DE182">IFERROR(IF(AE182*fxVal_normal=_PL!AE182,"",IF(OR(AE182="",NOT(ISNUMBER(AE182)),ISERROR(AE182),$B182=""),"",IF($I182=1,IFBLANK(_xldudf_CX_PUSH(AE182*fxVal_normal,CX_ENTITY,$B182,AE$11,AE$14,AE$174,),""),IF($I182=2,IFBLANK(_xldudf_CX_PUSH(AE182,CX_ENTITY,$B182,AE$11,AE$14,AE$174,),""),IF($I182=3,"",IFBLANK(_xldudf_CX_PUSH(AE182,CX_ENTITY,$B182,AE$11,AE$14,AE$174,),"")))))),"")</f>
        <v/>
      </c>
      <c r="DF182" s="2445" t="str" cm="1">
        <f t="array" ca="1" aca="1" ref="DF182">IFERROR(IF(AF182*fxVal_normal=_PL!AF182,"",IF(OR(AF182="",NOT(ISNUMBER(AF182)),ISERROR(AF182),$B182=""),"",IF($I182=1,IFBLANK(_xldudf_CX_PUSH(AF182*fxVal_normal,CX_ENTITY,$B182,AF$11,AF$14,AF$174,),""),IF($I182=2,IFBLANK(_xldudf_CX_PUSH(AF182,CX_ENTITY,$B182,AF$11,AF$14,AF$174,),""),IF($I182=3,"",IFBLANK(_xldudf_CX_PUSH(AF182,CX_ENTITY,$B182,AF$11,AF$14,AF$174,),"")))))),"")</f>
        <v/>
      </c>
      <c r="DG182" s="2445" t="str" cm="1">
        <f t="array" ca="1" aca="1" ref="DG182">IFERROR(IF(AG182*fxVal_normal=_PL!AG182,"",IF(OR(AG182="",NOT(ISNUMBER(AG182)),ISERROR(AG182),$B182=""),"",IF($I182=1,IFBLANK(_xldudf_CX_PUSH(AG182*fxVal_normal,CX_ENTITY,$B182,AG$11,AG$14,AG$174,),""),IF($I182=2,IFBLANK(_xldudf_CX_PUSH(AG182,CX_ENTITY,$B182,AG$11,AG$14,AG$174,),""),IF($I182=3,"",IFBLANK(_xldudf_CX_PUSH(AG182,CX_ENTITY,$B182,AG$11,AG$14,AG$174,),"")))))),"")</f>
        <v/>
      </c>
      <c r="DH182" s="2445" t="str" cm="1">
        <f t="array" ca="1" aca="1" ref="DH182">IFERROR(IF(AH182*fxVal_normal=_PL!AH182,"",IF(OR(AH182="",NOT(ISNUMBER(AH182)),ISERROR(AH182),$B182=""),"",IF($I182=1,IFBLANK(_xldudf_CX_PUSH(AH182*fxVal_normal,CX_ENTITY,$B182,AH$11,AH$14,AH$174,),""),IF($I182=2,IFBLANK(_xldudf_CX_PUSH(AH182,CX_ENTITY,$B182,AH$11,AH$14,AH$174,),""),IF($I182=3,"",IFBLANK(_xldudf_CX_PUSH(AH182,CX_ENTITY,$B182,AH$11,AH$14,AH$174,),"")))))),"")</f>
        <v/>
      </c>
      <c r="DI182" s="2445" t="str" cm="1">
        <f t="array" ca="1" aca="1" ref="DI182">IFERROR(IF(AI182*fxVal_normal=_PL!AI182,"",IF(OR(AI182="",NOT(ISNUMBER(AI182)),ISERROR(AI182),$B182=""),"",IF($I182=1,IFBLANK(_xldudf_CX_PUSH(AI182*fxVal_normal,CX_ENTITY,$B182,AI$11,AI$14,AI$174,),""),IF($I182=2,IFBLANK(_xldudf_CX_PUSH(AI182,CX_ENTITY,$B182,AI$11,AI$14,AI$174,),""),IF($I182=3,"",IFBLANK(_xldudf_CX_PUSH(AI182,CX_ENTITY,$B182,AI$11,AI$14,AI$174,),"")))))),"")</f>
        <v/>
      </c>
      <c r="DJ182" s="2445" t="str" cm="1">
        <f t="array" ca="1" aca="1" ref="DJ182">IFERROR(IF(AJ182*fxVal_normal=_PL!AJ182,"",IF(OR(AJ182="",NOT(ISNUMBER(AJ182)),ISERROR(AJ182),$B182=""),"",IF($I182=1,IFBLANK(_xldudf_CX_PUSH(AJ182*fxVal_normal,CX_ENTITY,$B182,AJ$11,AJ$14,AJ$174,),""),IF($I182=2,IFBLANK(_xldudf_CX_PUSH(AJ182,CX_ENTITY,$B182,AJ$11,AJ$14,AJ$174,),""),IF($I182=3,"",IFBLANK(_xldudf_CX_PUSH(AJ182,CX_ENTITY,$B182,AJ$11,AJ$14,AJ$174,),"")))))),"")</f>
        <v/>
      </c>
      <c r="DK182" s="2445" t="str" cm="1">
        <f t="array" ca="1" aca="1" ref="DK182">IFERROR(IF(AK182*fxVal_normal=_PL!AK182,"",IF(OR(AK182="",NOT(ISNUMBER(AK182)),ISERROR(AK182),$B182=""),"",IF($I182=1,IFBLANK(_xldudf_CX_PUSH(AK182*fxVal_normal,CX_ENTITY,$B182,AK$11,AK$14,AK$174,),""),IF($I182=2,IFBLANK(_xldudf_CX_PUSH(AK182,CX_ENTITY,$B182,AK$11,AK$14,AK$174,),""),IF($I182=3,"",IFBLANK(_xldudf_CX_PUSH(AK182,CX_ENTITY,$B182,AK$11,AK$14,AK$174,),"")))))),"")</f>
        <v/>
      </c>
      <c r="DL182" s="2445" t="str" cm="1">
        <f t="array" ca="1" aca="1" ref="DL182">IFERROR(IF(AL182*fxVal_normal=_PL!AL182,"",IF(OR(AL182="",NOT(ISNUMBER(AL182)),ISERROR(AL182),$B182=""),"",IF($I182=1,IFBLANK(_xldudf_CX_PUSH(AL182*fxVal_normal,CX_ENTITY,$B182,AL$11,AL$14,AL$174,),""),IF($I182=2,IFBLANK(_xldudf_CX_PUSH(AL182,CX_ENTITY,$B182,AL$11,AL$14,AL$174,),""),IF($I182=3,"",IFBLANK(_xldudf_CX_PUSH(AL182,CX_ENTITY,$B182,AL$11,AL$14,AL$174,),"")))))),"")</f>
        <v/>
      </c>
      <c r="DM182" s="2445" t="str" cm="1">
        <f t="array" ca="1" aca="1" ref="DM182">IFERROR(IF(AM182*fxVal_normal=_PL!AM182,"",IF(OR(AM182="",NOT(ISNUMBER(AM182)),ISERROR(AM182),$B182=""),"",IF($I182=1,IFBLANK(_xldudf_CX_PUSH(AM182*fxVal_normal,CX_ENTITY,$B182,AM$11,AM$14,AM$174,),""),IF($I182=2,IFBLANK(_xldudf_CX_PUSH(AM182,CX_ENTITY,$B182,AM$11,AM$14,AM$174,),""),IF($I182=3,"",IFBLANK(_xldudf_CX_PUSH(AM182,CX_ENTITY,$B182,AM$11,AM$14,AM$174,),"")))))),"")</f>
        <v/>
      </c>
      <c r="DN182" s="2445" t="str" cm="1">
        <f t="array" ca="1" aca="1" ref="DN182">IFERROR(IF(AN182*fxVal_normal=_PL!AN182,"",IF(OR(AN182="",NOT(ISNUMBER(AN182)),ISERROR(AN182),$B182=""),"",IF($I182=1,IFBLANK(_xldudf_CX_PUSH(AN182*fxVal_normal,CX_ENTITY,$B182,AN$11,AN$14,AN$174,),""),IF($I182=2,IFBLANK(_xldudf_CX_PUSH(AN182,CX_ENTITY,$B182,AN$11,AN$14,AN$174,),""),IF($I182=3,"",IFBLANK(_xldudf_CX_PUSH(AN182,CX_ENTITY,$B182,AN$11,AN$14,AN$174,),"")))))),"")</f>
        <v/>
      </c>
      <c r="DO182" s="2445" t="str" cm="1">
        <f t="array" ca="1" aca="1" ref="DO182">IFERROR(IF(AO182*fxVal_normal=_PL!AO182,"",IF(OR(AO182="",NOT(ISNUMBER(AO182)),ISERROR(AO182),$B182=""),"",IF($I182=1,IFBLANK(_xldudf_CX_PUSH(AO182*fxVal_normal,CX_ENTITY,$B182,AO$11,AO$14,AO$174,),""),IF($I182=2,IFBLANK(_xldudf_CX_PUSH(AO182,CX_ENTITY,$B182,AO$11,AO$14,AO$174,),""),IF($I182=3,"",IFBLANK(_xldudf_CX_PUSH(AO182,CX_ENTITY,$B182,AO$11,AO$14,AO$174,),"")))))),"")</f>
        <v/>
      </c>
      <c r="DP182" s="2445" t="str" cm="1">
        <f t="array" ca="1" aca="1" ref="DP182">IFERROR(IF(AP182*fxVal_normal=_PL!AP182,"",IF(OR(AP182="",NOT(ISNUMBER(AP182)),ISERROR(AP182),$B182=""),"",IF($I182=1,IFBLANK(_xldudf_CX_PUSH(AP182*fxVal_normal,CX_ENTITY,$B182,AP$11,AP$14,AP$174,),""),IF($I182=2,IFBLANK(_xldudf_CX_PUSH(AP182,CX_ENTITY,$B182,AP$11,AP$14,AP$174,),""),IF($I182=3,"",IFBLANK(_xldudf_CX_PUSH(AP182,CX_ENTITY,$B182,AP$11,AP$14,AP$174,),"")))))),"")</f>
        <v/>
      </c>
      <c r="DQ182" s="2445" t="str" cm="1">
        <f t="array" ca="1" aca="1" ref="DQ182">IFERROR(IF(AQ182*fxVal_normal=_PL!AQ182,"",IF(OR(AQ182="",NOT(ISNUMBER(AQ182)),ISERROR(AQ182),$B182=""),"",IF($I182=1,IFBLANK(_xldudf_CX_PUSH(AQ182*fxVal_normal,CX_ENTITY,$B182,AQ$11,AQ$14,AQ$174,),""),IF($I182=2,IFBLANK(_xldudf_CX_PUSH(AQ182,CX_ENTITY,$B182,AQ$11,AQ$14,AQ$174,),""),IF($I182=3,"",IFBLANK(_xldudf_CX_PUSH(AQ182,CX_ENTITY,$B182,AQ$11,AQ$14,AQ$174,),"")))))),"")</f>
        <v/>
      </c>
      <c r="DR182" s="2445" t="str" cm="1">
        <f t="array" ca="1" aca="1" ref="DR182">IFERROR(IF(AR182*fxVal_normal=_PL!AR182,"",IF(OR(AR182="",NOT(ISNUMBER(AR182)),ISERROR(AR182),$B182=""),"",IF($I182=1,IFBLANK(_xldudf_CX_PUSH(AR182*fxVal_normal,CX_ENTITY,$B182,AR$11,AR$14,AR$174,),""),IF($I182=2,IFBLANK(_xldudf_CX_PUSH(AR182,CX_ENTITY,$B182,AR$11,AR$14,AR$174,),""),IF($I182=3,"",IFBLANK(_xldudf_CX_PUSH(AR182,CX_ENTITY,$B182,AR$11,AR$14,AR$174,),"")))))),"")</f>
        <v/>
      </c>
      <c r="DS182" s="2445" t="str" cm="1">
        <f t="array" ca="1" aca="1" ref="DS182">IFERROR(IF(AS182*fxVal_normal=_PL!AS182,"",IF(OR(AS182="",NOT(ISNUMBER(AS182)),ISERROR(AS182),$B182=""),"",IF($I182=1,IFBLANK(_xldudf_CX_PUSH(AS182*fxVal_normal,CX_ENTITY,$B182,AS$11,AS$14,AS$174,),""),IF($I182=2,IFBLANK(_xldudf_CX_PUSH(AS182,CX_ENTITY,$B182,AS$11,AS$14,AS$174,),""),IF($I182=3,"",IFBLANK(_xldudf_CX_PUSH(AS182,CX_ENTITY,$B182,AS$11,AS$14,AS$174,),"")))))),"")</f>
        <v/>
      </c>
      <c r="DT182" s="2445" t="str" cm="1">
        <f t="array" ca="1" aca="1" ref="DT182">IFERROR(IF(AT182*fxVal_normal=_PL!AT182,"",IF(OR(AT182="",NOT(ISNUMBER(AT182)),ISERROR(AT182),$B182=""),"",IF($I182=1,IFBLANK(_xldudf_CX_PUSH(AT182*fxVal_normal,CX_ENTITY,$B182,AT$11,AT$14,AT$174,),""),IF($I182=2,IFBLANK(_xldudf_CX_PUSH(AT182,CX_ENTITY,$B182,AT$11,AT$14,AT$174,),""),IF($I182=3,"",IFBLANK(_xldudf_CX_PUSH(AT182,CX_ENTITY,$B182,AT$11,AT$14,AT$174,),"")))))),"")</f>
        <v/>
      </c>
      <c r="DU182" s="2445" t="str" cm="1">
        <f t="array" ca="1" aca="1" ref="DU182">IFERROR(IF(AU182*fxVal_normal=_PL!AU182,"",IF(OR(AU182="",NOT(ISNUMBER(AU182)),ISERROR(AU182),$B182=""),"",IF($I182=1,IFBLANK(_xldudf_CX_PUSH(AU182*fxVal_normal,CX_ENTITY,$B182,AU$11,AU$14,AU$174,),""),IF($I182=2,IFBLANK(_xldudf_CX_PUSH(AU182,CX_ENTITY,$B182,AU$11,AU$14,AU$174,),""),IF($I182=3,"",IFBLANK(_xldudf_CX_PUSH(AU182,CX_ENTITY,$B182,AU$11,AU$14,AU$174,),"")))))),"")</f>
        <v/>
      </c>
      <c r="DV182" s="2445" t="str" cm="1">
        <f t="array" ca="1" aca="1" ref="DV182">IFERROR(IF(AV182*fxVal_normal=_PL!AV182,"",IF(OR(AV182="",NOT(ISNUMBER(AV182)),ISERROR(AV182),$B182=""),"",IF($I182=1,IFBLANK(_xldudf_CX_PUSH(AV182*fxVal_normal,CX_ENTITY,$B182,AV$11,AV$14,AV$174,),""),IF($I182=2,IFBLANK(_xldudf_CX_PUSH(AV182,CX_ENTITY,$B182,AV$11,AV$14,AV$174,),""),IF($I182=3,"",IFBLANK(_xldudf_CX_PUSH(AV182,CX_ENTITY,$B182,AV$11,AV$14,AV$174,),"")))))),"")</f>
        <v/>
      </c>
      <c r="DW182" s="2445" t="str" cm="1">
        <f t="array" ca="1" aca="1" ref="DW182">IFERROR(IF(AW182*fxVal_normal=_PL!AW182,"",IF(OR(AW182="",NOT(ISNUMBER(AW182)),ISERROR(AW182),$B182=""),"",IF($I182=1,IFBLANK(_xldudf_CX_PUSH(AW182*fxVal_normal,CX_ENTITY,$B182,AW$11,AW$14,AW$174,),""),IF($I182=2,IFBLANK(_xldudf_CX_PUSH(AW182,CX_ENTITY,$B182,AW$11,AW$14,AW$174,),""),IF($I182=3,"",IFBLANK(_xldudf_CX_PUSH(AW182,CX_ENTITY,$B182,AW$11,AW$14,AW$174,),"")))))),"")</f>
        <v/>
      </c>
      <c r="DX182" s="2445" t="str" cm="1">
        <f t="array" ca="1" aca="1" ref="DX182">IFERROR(IF(AX182*fxVal_normal=_PL!AX182,"",IF(OR(AX182="",NOT(ISNUMBER(AX182)),ISERROR(AX182),$B182=""),"",IF($I182=1,IFBLANK(_xldudf_CX_PUSH(AX182*fxVal_normal,CX_ENTITY,$B182,AX$11,AX$14,AX$174,),""),IF($I182=2,IFBLANK(_xldudf_CX_PUSH(AX182,CX_ENTITY,$B182,AX$11,AX$14,AX$174,),""),IF($I182=3,"",IFBLANK(_xldudf_CX_PUSH(AX182,CX_ENTITY,$B182,AX$11,AX$14,AX$174,),"")))))),"")</f>
        <v/>
      </c>
      <c r="DY182" s="2445" t="str" cm="1">
        <f t="array" ca="1" aca="1" ref="DY182">IFERROR(IF(AY182*fxVal_normal=_PL!AY182,"",IF(OR(AY182="",NOT(ISNUMBER(AY182)),ISERROR(AY182),$B182=""),"",IF($I182=1,IFBLANK(_xldudf_CX_PUSH(AY182*fxVal_normal,CX_ENTITY,$B182,AY$11,AY$14,AY$174,),""),IF($I182=2,IFBLANK(_xldudf_CX_PUSH(AY182,CX_ENTITY,$B182,AY$11,AY$14,AY$174,),""),IF($I182=3,"",IFBLANK(_xldudf_CX_PUSH(AY182,CX_ENTITY,$B182,AY$11,AY$14,AY$174,),"")))))),"")</f>
        <v/>
      </c>
      <c r="DZ182" s="2445" t="str" cm="1">
        <f t="array" ca="1" aca="1" ref="DZ182">IFERROR(IF(AZ182*fxVal_normal=_PL!AZ182,"",IF(OR(AZ182="",NOT(ISNUMBER(AZ182)),ISERROR(AZ182),$B182=""),"",IF($I182=1,IFBLANK(_xldudf_CX_PUSH(AZ182*fxVal_normal,CX_ENTITY,$B182,AZ$11,AZ$14,AZ$174,),""),IF($I182=2,IFBLANK(_xldudf_CX_PUSH(AZ182,CX_ENTITY,$B182,AZ$11,AZ$14,AZ$174,),""),IF($I182=3,"",IFBLANK(_xldudf_CX_PUSH(AZ182,CX_ENTITY,$B182,AZ$11,AZ$14,AZ$174,),"")))))),"")</f>
        <v/>
      </c>
      <c r="EA182" s="2445" t="str" cm="1">
        <f t="array" ca="1" aca="1" ref="EA182">IFERROR(IF(BA182*fxVal_normal=_PL!BA182,"",IF(OR(BA182="",NOT(ISNUMBER(BA182)),ISERROR(BA182),$B182=""),"",IF($I182=1,IFBLANK(_xldudf_CX_PUSH(BA182*fxVal_normal,CX_ENTITY,$B182,BA$11,BA$14,BA$174,),""),IF($I182=2,IFBLANK(_xldudf_CX_PUSH(BA182,CX_ENTITY,$B182,BA$11,BA$14,BA$174,),""),IF($I182=3,"",IFBLANK(_xldudf_CX_PUSH(BA182,CX_ENTITY,$B182,BA$11,BA$14,BA$174,),"")))))),"")</f>
        <v/>
      </c>
      <c r="EB182" s="2445" t="str" cm="1">
        <f t="array" ca="1" aca="1" ref="EB182">IFERROR(IF(BB182*fxVal_normal=_PL!BB182,"",IF(OR(BB182="",NOT(ISNUMBER(BB182)),ISERROR(BB182),$B182=""),"",IF($I182=1,IFBLANK(_xldudf_CX_PUSH(BB182*fxVal_normal,CX_ENTITY,$B182,BB$11,BB$14,BB$174,),""),IF($I182=2,IFBLANK(_xldudf_CX_PUSH(BB182,CX_ENTITY,$B182,BB$11,BB$14,BB$174,),""),IF($I182=3,"",IFBLANK(_xldudf_CX_PUSH(BB182,CX_ENTITY,$B182,BB$11,BB$14,BB$174,),"")))))),"")</f>
        <v/>
      </c>
      <c r="EC182" s="2445" t="str" cm="1">
        <f t="array" ca="1" aca="1" ref="EC182">IFERROR(IF(BC182*fxVal_normal=_PL!BC182,"",IF(OR(BC182="",NOT(ISNUMBER(BC182)),ISERROR(BC182),$B182=""),"",IF($I182=1,IFBLANK(_xldudf_CX_PUSH(BC182*fxVal_normal,CX_ENTITY,$B182,BC$11,BC$14,BC$174,),""),IF($I182=2,IFBLANK(_xldudf_CX_PUSH(BC182,CX_ENTITY,$B182,BC$11,BC$14,BC$174,),""),IF($I182=3,"",IFBLANK(_xldudf_CX_PUSH(BC182,CX_ENTITY,$B182,BC$11,BC$14,BC$174,),"")))))),"")</f>
        <v/>
      </c>
      <c r="ED182" s="2445" t="str" cm="1">
        <f t="array" ca="1" aca="1" ref="ED182">IFERROR(IF(BD182*fxVal_normal=_PL!BD182,"",IF(OR(BD182="",NOT(ISNUMBER(BD182)),ISERROR(BD182),$B182=""),"",IF($I182=1,IFBLANK(_xldudf_CX_PUSH(BD182*fxVal_normal,CX_ENTITY,$B182,BD$11,BD$14,BD$174,),""),IF($I182=2,IFBLANK(_xldudf_CX_PUSH(BD182,CX_ENTITY,$B182,BD$11,BD$14,BD$174,),""),IF($I182=3,"",IFBLANK(_xldudf_CX_PUSH(BD182,CX_ENTITY,$B182,BD$11,BD$14,BD$174,),"")))))),"")</f>
        <v/>
      </c>
      <c r="EE182" s="2445" t="str" cm="1">
        <f t="array" ca="1" aca="1" ref="EE182">IFERROR(IF(BE182*fxVal_normal=_PL!BE182,"",IF(OR(BE182="",NOT(ISNUMBER(BE182)),ISERROR(BE182),$B182=""),"",IF($I182=1,IFBLANK(_xldudf_CX_PUSH(BE182*fxVal_normal,CX_ENTITY,$B182,BE$11,BE$14,BE$174,),""),IF($I182=2,IFBLANK(_xldudf_CX_PUSH(BE182,CX_ENTITY,$B182,BE$11,BE$14,BE$174,),""),IF($I182=3,"",IFBLANK(_xldudf_CX_PUSH(BE182,CX_ENTITY,$B182,BE$11,BE$14,BE$174,),"")))))),"")</f>
        <v/>
      </c>
      <c r="EF182" s="2445" t="str" cm="1">
        <f t="array" ca="1" aca="1" ref="EF182">IFERROR(IF(BF182*fxVal_normal=_PL!BF182,"",IF(OR(BF182="",NOT(ISNUMBER(BF182)),ISERROR(BF182),$B182=""),"",IF($I182=1,IFBLANK(_xldudf_CX_PUSH(BF182*fxVal_normal,CX_ENTITY,$B182,BF$11,BF$14,BF$174,),""),IF($I182=2,IFBLANK(_xldudf_CX_PUSH(BF182,CX_ENTITY,$B182,BF$11,BF$14,BF$174,),""),IF($I182=3,"",IFBLANK(_xldudf_CX_PUSH(BF182,CX_ENTITY,$B182,BF$11,BF$14,BF$174,),"")))))),"")</f>
        <v/>
      </c>
      <c r="EG182" s="2445" t="str" cm="1">
        <f t="array" ca="1" aca="1" ref="EG182">IFERROR(IF(BG182*fxVal_normal=_PL!BG182,"",IF(OR(BG182="",NOT(ISNUMBER(BG182)),ISERROR(BG182),$B182=""),"",IF($I182=1,IFBLANK(_xldudf_CX_PUSH(BG182*fxVal_normal,CX_ENTITY,$B182,BG$11,BG$14,BG$174,),""),IF($I182=2,IFBLANK(_xldudf_CX_PUSH(BG182,CX_ENTITY,$B182,BG$11,BG$14,BG$174,),""),IF($I182=3,"",IFBLANK(_xldudf_CX_PUSH(BG182,CX_ENTITY,$B182,BG$11,BG$14,BG$174,),"")))))),"")</f>
        <v/>
      </c>
      <c r="EH182" s="2445" t="str" cm="1">
        <f t="array" ca="1" aca="1" ref="EH182">IFERROR(IF(BH182*fxVal_normal=_PL!BH182,"",IF(OR(BH182="",NOT(ISNUMBER(BH182)),ISERROR(BH182),$B182=""),"",IF($I182=1,IFBLANK(_xldudf_CX_PUSH(BH182*fxVal_normal,CX_ENTITY,$B182,BH$11,BH$14,BH$174,),""),IF($I182=2,IFBLANK(_xldudf_CX_PUSH(BH182,CX_ENTITY,$B182,BH$11,BH$14,BH$174,),""),IF($I182=3,"",IFBLANK(_xldudf_CX_PUSH(BH182,CX_ENTITY,$B182,BH$11,BH$14,BH$174,),"")))))),"")</f>
        <v/>
      </c>
      <c r="EI182" s="2445" t="str" cm="1">
        <f t="array" ca="1" aca="1" ref="EI182">IFERROR(IF(BI182*fxVal_normal=_PL!BI182,"",IF(OR(BI182="",NOT(ISNUMBER(BI182)),ISERROR(BI182),$B182=""),"",IF($I182=1,IFBLANK(_xldudf_CX_PUSH(BI182*fxVal_normal,CX_ENTITY,$B182,BI$11,BI$14,BI$174,),""),IF($I182=2,IFBLANK(_xldudf_CX_PUSH(BI182,CX_ENTITY,$B182,BI$11,BI$14,BI$174,),""),IF($I182=3,"",IFBLANK(_xldudf_CX_PUSH(BI182,CX_ENTITY,$B182,BI$11,BI$14,BI$174,),"")))))),"")</f>
        <v/>
      </c>
      <c r="EJ182" s="2445" t="str" cm="1">
        <f t="array" ca="1" aca="1" ref="EJ182">IFERROR(IF(BJ182*fxVal_normal=_PL!BJ182,"",IF(OR(BJ182="",NOT(ISNUMBER(BJ182)),ISERROR(BJ182),$B182=""),"",IF($I182=1,IFBLANK(_xldudf_CX_PUSH(BJ182*fxVal_normal,CX_ENTITY,$B182,BJ$11,BJ$14,BJ$174,),""),IF($I182=2,IFBLANK(_xldudf_CX_PUSH(BJ182,CX_ENTITY,$B182,BJ$11,BJ$14,BJ$174,),""),IF($I182=3,"",IFBLANK(_xldudf_CX_PUSH(BJ182,CX_ENTITY,$B182,BJ$11,BJ$14,BJ$174,),"")))))),"")</f>
        <v/>
      </c>
      <c r="EK182" s="2445" t="str" cm="1">
        <f t="array" ca="1" aca="1" ref="EK182">IFERROR(IF(BK182*fxVal_normal=_PL!BK182,"",IF(OR(BK182="",NOT(ISNUMBER(BK182)),ISERROR(BK182),$B182=""),"",IF($I182=1,IFBLANK(_xldudf_CX_PUSH(BK182*fxVal_normal,CX_ENTITY,$B182,BK$11,BK$14,BK$174,),""),IF($I182=2,IFBLANK(_xldudf_CX_PUSH(BK182,CX_ENTITY,$B182,BK$11,BK$14,BK$174,),""),IF($I182=3,"",IFBLANK(_xldudf_CX_PUSH(BK182,CX_ENTITY,$B182,BK$11,BK$14,BK$174,),"")))))),"")</f>
        <v/>
      </c>
      <c r="EL182" s="2445" t="str" cm="1">
        <f t="array" ca="1" aca="1" ref="EL182">IFERROR(IF(BL182*fxVal_normal=_PL!BL182,"",IF(OR(BL182="",NOT(ISNUMBER(BL182)),ISERROR(BL182),$B182=""),"",IF($I182=1,IFBLANK(_xldudf_CX_PUSH(BL182*fxVal_normal,CX_ENTITY,$B182,BL$11,BL$14,BL$174,),""),IF($I182=2,IFBLANK(_xldudf_CX_PUSH(BL182,CX_ENTITY,$B182,BL$11,BL$14,BL$174,),""),IF($I182=3,"",IFBLANK(_xldudf_CX_PUSH(BL182,CX_ENTITY,$B182,BL$11,BL$14,BL$174,),"")))))),"")</f>
        <v/>
      </c>
      <c r="EM182" s="2445" t="str" cm="1">
        <f t="array" ca="1" aca="1" ref="EM182">IFERROR(IF(BM182*fxVal_normal=_PL!BM182,"",IF(OR(BM182="",NOT(ISNUMBER(BM182)),ISERROR(BM182),$B182=""),"",IF($I182=1,IFBLANK(_xldudf_CX_PUSH(BM182*fxVal_normal,CX_ENTITY,$B182,BM$11,BM$14,BM$174,),""),IF($I182=2,IFBLANK(_xldudf_CX_PUSH(BM182,CX_ENTITY,$B182,BM$11,BM$14,BM$174,),""),IF($I182=3,"",IFBLANK(_xldudf_CX_PUSH(BM182,CX_ENTITY,$B182,BM$11,BM$14,BM$174,),"")))))),"")</f>
        <v/>
      </c>
      <c r="EN182" s="2445" t="str" cm="1">
        <f t="array" ca="1" aca="1" ref="EN182">IFERROR(IF(BN182*fxVal_normal=_PL!BN182,"",IF(OR(BN182="",NOT(ISNUMBER(BN182)),ISERROR(BN182),$B182=""),"",IF($I182=1,IFBLANK(_xldudf_CX_PUSH(BN182*fxVal_normal,CX_ENTITY,$B182,BN$11,BN$14,BN$174,),""),IF($I182=2,IFBLANK(_xldudf_CX_PUSH(BN182,CX_ENTITY,$B182,BN$11,BN$14,BN$174,),""),IF($I182=3,"",IFBLANK(_xldudf_CX_PUSH(BN182,CX_ENTITY,$B182,BN$11,BN$14,BN$174,),"")))))),"")</f>
        <v/>
      </c>
      <c r="EO182" s="1880"/>
      <c r="EP182" s="1880"/>
      <c r="EQ182" s="1880"/>
      <c r="ER182" s="1880"/>
      <c r="ES182" s="1880"/>
      <c r="ET182" s="1880"/>
      <c r="EU182" s="1880"/>
    </row>
    <row r="183" spans="1:151" ht="18">
      <c r="A183" s="1625"/>
      <c r="B183" s="2439" t="str">
        <f>_xlfn.LET(_xlpm.IsNotAttrDynamic,D183="",_xlpm.Attr,_PL!F183,_xlpm.NotInUse,Y183=D183,_xlpm.RESULT,IF(_xlpm.IsNotAttrDynamic,_xlpm.Attr,IF(_xlpm.NotInUse,"",Y183)),IF(_xlpm.RESULT="","",_xlpm.RESULT))</f>
        <v/>
      </c>
      <c r="C183" s="2439" t="str" cm="1">
        <f t="array" ref="C183">IFBLANK(_PL!C183,"")</f>
        <v/>
      </c>
      <c r="D183" s="1548"/>
      <c r="E183" s="2453"/>
      <c r="F183" s="578"/>
      <c r="G183" s="578"/>
      <c r="H183" s="510"/>
      <c r="I183" s="510"/>
      <c r="J183" s="401"/>
      <c r="K183" s="578" t="str">
        <f t="shared" si="51"/>
        <v>No</v>
      </c>
      <c r="L183" s="37"/>
      <c r="N183" s="158"/>
      <c r="O183" s="101"/>
      <c r="P183" s="52"/>
      <c r="Q183" s="101"/>
      <c r="R183" s="101"/>
      <c r="S183" s="101"/>
      <c r="T183" s="101"/>
      <c r="U183" s="39"/>
      <c r="V183" s="37"/>
      <c r="W183" s="794"/>
      <c r="X183" s="887"/>
      <c r="Y183" s="324"/>
      <c r="Z183" s="795"/>
      <c r="AA183" s="97"/>
      <c r="AB183" s="97"/>
      <c r="AC183" s="128"/>
      <c r="AD183" s="796"/>
      <c r="AE183" s="796"/>
      <c r="AF183" s="796"/>
      <c r="AG183" s="796"/>
      <c r="AH183" s="796"/>
      <c r="AI183" s="796"/>
      <c r="AJ183" s="796"/>
      <c r="AK183" s="796"/>
      <c r="AL183" s="796"/>
      <c r="AM183" s="796"/>
      <c r="AN183" s="796"/>
      <c r="AO183" s="796"/>
      <c r="AP183" s="796"/>
      <c r="AQ183" s="796"/>
      <c r="AR183" s="796"/>
      <c r="AS183" s="796"/>
      <c r="AT183" s="796"/>
      <c r="AU183" s="796"/>
      <c r="AV183" s="796"/>
      <c r="AW183" s="796"/>
      <c r="AX183" s="796"/>
      <c r="AY183" s="796"/>
      <c r="AZ183" s="796"/>
      <c r="BA183" s="796"/>
      <c r="BB183" s="796"/>
      <c r="BC183" s="796"/>
      <c r="BD183" s="796"/>
      <c r="BE183" s="796"/>
      <c r="BF183" s="796"/>
      <c r="BG183" s="796"/>
      <c r="BH183" s="796"/>
      <c r="BI183" s="796"/>
      <c r="BJ183" s="796"/>
      <c r="BK183" s="796"/>
      <c r="BL183" s="796"/>
      <c r="BM183" s="796"/>
      <c r="BN183" s="796"/>
      <c r="BO183" s="796"/>
      <c r="BP183" s="796"/>
      <c r="BQ183" s="796"/>
      <c r="BR183" s="796"/>
      <c r="BS183" s="796"/>
      <c r="BT183" s="796"/>
      <c r="BU183" s="796"/>
      <c r="BV183" s="796"/>
      <c r="BW183" s="796"/>
      <c r="BX183" s="796"/>
      <c r="BY183" s="796"/>
      <c r="BZ183" s="796"/>
      <c r="CA183" s="34"/>
      <c r="CC183" s="797"/>
      <c r="CD183" s="184"/>
      <c r="CE183" s="184"/>
      <c r="CF183" s="184"/>
      <c r="CG183" s="184"/>
      <c r="CH183" s="184"/>
      <c r="CI183" s="88"/>
      <c r="CJ183" s="796"/>
      <c r="CK183" s="796"/>
      <c r="CL183" s="88"/>
      <c r="CM183" s="88"/>
      <c r="CN183" s="88"/>
      <c r="CO183" s="88"/>
      <c r="CP183" s="88"/>
      <c r="CQ183" s="88"/>
      <c r="CR183" s="34"/>
      <c r="CS183" s="2056"/>
      <c r="CT183" s="1880"/>
      <c r="CU183" s="1880"/>
      <c r="CV183" s="1880"/>
      <c r="CW183" s="1880"/>
      <c r="CX183" s="2121"/>
      <c r="CY183" s="1880"/>
      <c r="CZ183" s="1880"/>
      <c r="DA183" s="1880"/>
      <c r="DB183" s="1880"/>
      <c r="DC183" s="2121"/>
      <c r="DD183" s="1880"/>
      <c r="DE183" s="1880"/>
      <c r="DF183" s="1880"/>
      <c r="DG183" s="1880"/>
      <c r="DH183" s="1880"/>
      <c r="DI183" s="1880"/>
      <c r="DJ183" s="1880"/>
      <c r="DK183" s="1880"/>
      <c r="DL183" s="1880"/>
      <c r="DM183" s="1880"/>
      <c r="DN183" s="1880"/>
      <c r="DO183" s="1880"/>
      <c r="DP183" s="1880"/>
      <c r="DQ183" s="1880"/>
      <c r="DR183" s="1880"/>
      <c r="DS183" s="1880"/>
      <c r="DT183" s="1880"/>
      <c r="DU183" s="1880"/>
      <c r="DV183" s="1880"/>
      <c r="DW183" s="1880"/>
      <c r="DX183" s="1880"/>
      <c r="DY183" s="1880"/>
      <c r="DZ183" s="1880"/>
      <c r="EA183" s="1880"/>
      <c r="EB183" s="1880"/>
      <c r="EC183" s="1880"/>
      <c r="ED183" s="1880"/>
      <c r="EE183" s="1880"/>
      <c r="EF183" s="1880"/>
      <c r="EG183" s="1880"/>
      <c r="EH183" s="1880"/>
      <c r="EI183" s="1880"/>
      <c r="EJ183" s="1880"/>
      <c r="EK183" s="1880"/>
      <c r="EL183" s="1880"/>
      <c r="EM183" s="1880"/>
      <c r="EN183" s="1880"/>
      <c r="EO183" s="1880"/>
      <c r="EP183" s="1880"/>
      <c r="EQ183" s="1880"/>
      <c r="ER183" s="1880"/>
      <c r="ES183" s="1880"/>
      <c r="ET183" s="1880"/>
      <c r="EU183" s="1880"/>
    </row>
    <row r="184" spans="1:151" ht="15.5">
      <c r="A184" s="1625"/>
      <c r="B184" s="2439" t="str">
        <f>_xlfn.LET(_xlpm.IsNotAttrDynamic,D184="",_xlpm.Attr,_PL!F184,_xlpm.NotInUse,Y184=D184,_xlpm.RESULT,IF(_xlpm.IsNotAttrDynamic,_xlpm.Attr,IF(_xlpm.NotInUse,"",Y184)),IF(_xlpm.RESULT="","",_xlpm.RESULT))</f>
        <v/>
      </c>
      <c r="C184" s="2439" t="str" cm="1">
        <f t="array" ref="C184">IFBLANK(_PL!C184,"")</f>
        <v/>
      </c>
      <c r="D184" s="1548"/>
      <c r="E184" s="2453"/>
      <c r="F184" s="578"/>
      <c r="G184" s="578"/>
      <c r="H184" s="578"/>
      <c r="I184" s="578"/>
      <c r="J184" s="401"/>
      <c r="K184" s="578" t="str">
        <f t="shared" si="51"/>
        <v>No</v>
      </c>
      <c r="L184" s="37"/>
      <c r="N184" s="158"/>
      <c r="O184" s="101"/>
      <c r="P184" s="52"/>
      <c r="Q184" s="101"/>
      <c r="R184" s="101"/>
      <c r="S184" s="101"/>
      <c r="T184" s="101"/>
      <c r="U184" s="39"/>
      <c r="V184" s="37"/>
      <c r="W184" s="91"/>
      <c r="X184" s="887"/>
      <c r="Y184" s="136"/>
      <c r="Z184" s="792"/>
      <c r="AA184" s="97"/>
      <c r="AB184" s="97"/>
      <c r="AC184" s="128"/>
      <c r="AD184" s="88"/>
      <c r="AE184" s="88"/>
      <c r="AF184" s="88"/>
      <c r="AG184" s="88"/>
      <c r="AH184" s="88"/>
      <c r="AI184" s="88"/>
      <c r="AJ184" s="88"/>
      <c r="AK184" s="88"/>
      <c r="AL184" s="88"/>
      <c r="AM184" s="88"/>
      <c r="AN184" s="88"/>
      <c r="AO184" s="88"/>
      <c r="AP184" s="88"/>
      <c r="AQ184" s="88"/>
      <c r="AR184" s="88"/>
      <c r="AS184" s="88"/>
      <c r="AT184" s="88"/>
      <c r="AU184" s="783"/>
      <c r="AV184" s="783"/>
      <c r="AW184" s="783"/>
      <c r="AX184" s="783"/>
      <c r="AY184" s="783"/>
      <c r="AZ184" s="783"/>
      <c r="BA184" s="783"/>
      <c r="BB184" s="783"/>
      <c r="BC184" s="783"/>
      <c r="BD184" s="783"/>
      <c r="BE184" s="783"/>
      <c r="BF184" s="783"/>
      <c r="BG184" s="783"/>
      <c r="BH184" s="783"/>
      <c r="BI184" s="783"/>
      <c r="BJ184" s="783"/>
      <c r="BK184" s="783"/>
      <c r="BL184" s="783"/>
      <c r="BM184" s="783"/>
      <c r="BN184" s="783"/>
      <c r="BO184" s="783"/>
      <c r="BP184" s="783"/>
      <c r="BQ184" s="783"/>
      <c r="BR184" s="783"/>
      <c r="BS184" s="783"/>
      <c r="BT184" s="783"/>
      <c r="BU184" s="783"/>
      <c r="BV184" s="783"/>
      <c r="BW184" s="783"/>
      <c r="BX184" s="783"/>
      <c r="BY184" s="783"/>
      <c r="BZ184" s="783"/>
      <c r="CA184" s="34"/>
      <c r="CC184" s="50"/>
      <c r="CD184" s="182"/>
      <c r="CE184" s="182"/>
      <c r="CF184" s="182"/>
      <c r="CG184" s="182"/>
      <c r="CH184" s="182"/>
      <c r="CI184" s="88"/>
      <c r="CJ184" s="172"/>
      <c r="CK184" s="172"/>
      <c r="CL184" s="88"/>
      <c r="CM184" s="88"/>
      <c r="CN184" s="88"/>
      <c r="CO184" s="88"/>
      <c r="CP184" s="88"/>
      <c r="CQ184" s="88"/>
      <c r="CR184" s="34"/>
      <c r="CS184" s="2056"/>
      <c r="CT184" s="1880"/>
      <c r="CU184" s="1880"/>
      <c r="CV184" s="1880"/>
      <c r="CW184" s="1880"/>
      <c r="CX184" s="2121"/>
      <c r="CY184" s="1880"/>
      <c r="CZ184" s="1880"/>
      <c r="DA184" s="1880"/>
      <c r="DB184" s="1880"/>
      <c r="DC184" s="2121"/>
      <c r="DD184" s="1880"/>
      <c r="DE184" s="1880"/>
      <c r="DF184" s="1880"/>
      <c r="DG184" s="1880"/>
      <c r="DH184" s="1880"/>
      <c r="DI184" s="1880"/>
      <c r="DJ184" s="1880"/>
      <c r="DK184" s="1880"/>
      <c r="DL184" s="1880"/>
      <c r="DM184" s="1880"/>
      <c r="DN184" s="1880"/>
      <c r="DO184" s="1880"/>
      <c r="DP184" s="1880"/>
      <c r="DQ184" s="1880"/>
      <c r="DR184" s="1880"/>
      <c r="DS184" s="1880"/>
      <c r="DT184" s="1880"/>
      <c r="DU184" s="1880"/>
      <c r="DV184" s="1880"/>
      <c r="DW184" s="1880"/>
      <c r="DX184" s="1880"/>
      <c r="DY184" s="1880"/>
      <c r="DZ184" s="1880"/>
      <c r="EA184" s="1880"/>
      <c r="EB184" s="1880"/>
      <c r="EC184" s="1880"/>
      <c r="ED184" s="1880"/>
      <c r="EE184" s="1880"/>
      <c r="EF184" s="1880"/>
      <c r="EG184" s="1880"/>
      <c r="EH184" s="1880"/>
      <c r="EI184" s="1880"/>
      <c r="EJ184" s="1880"/>
      <c r="EK184" s="1880"/>
      <c r="EL184" s="1880"/>
      <c r="EM184" s="1880"/>
      <c r="EN184" s="1880"/>
      <c r="EO184" s="1880"/>
      <c r="EP184" s="1880"/>
      <c r="EQ184" s="1880"/>
      <c r="ER184" s="1880"/>
      <c r="ES184" s="1880"/>
      <c r="ET184" s="1880"/>
      <c r="EU184" s="1880"/>
    </row>
    <row r="185" spans="1:151" ht="32.5">
      <c r="A185" s="1625"/>
      <c r="B185" s="2439" t="str">
        <f>_xlfn.LET(_xlpm.IsNotAttrDynamic,D185="",_xlpm.Attr,_PL!F185,_xlpm.NotInUse,Y185=D185,_xlpm.RESULT,IF(_xlpm.IsNotAttrDynamic,_xlpm.Attr,IF(_xlpm.NotInUse,"",Y185)),IF(_xlpm.RESULT="","",_xlpm.RESULT))</f>
        <v/>
      </c>
      <c r="C185" s="2439" t="str" cm="1">
        <f t="array" ref="C185">IFBLANK(_PL!C185,"")</f>
        <v/>
      </c>
      <c r="D185" s="1548"/>
      <c r="E185" s="2453"/>
      <c r="F185" s="578"/>
      <c r="G185" s="578"/>
      <c r="H185" s="578"/>
      <c r="I185" s="578"/>
      <c r="J185" s="401"/>
      <c r="K185" s="578" t="str">
        <f t="shared" si="51"/>
        <v>No</v>
      </c>
      <c r="L185" s="37"/>
      <c r="N185" s="158"/>
      <c r="O185" s="101"/>
      <c r="P185" s="52"/>
      <c r="Q185" s="101"/>
      <c r="R185" s="101"/>
      <c r="S185" s="101"/>
      <c r="T185" s="101"/>
      <c r="U185" s="39"/>
      <c r="V185" s="37"/>
      <c r="W185" s="33"/>
      <c r="X185" s="887"/>
      <c r="Y185" s="23" t="s">
        <v>154</v>
      </c>
      <c r="Z185" s="788"/>
      <c r="AA185" s="97"/>
      <c r="AB185" s="97"/>
      <c r="AC185" s="128"/>
      <c r="AD185" s="88"/>
      <c r="AE185" s="88"/>
      <c r="AF185" s="88"/>
      <c r="AG185" s="88"/>
      <c r="AH185" s="88"/>
      <c r="AI185" s="88"/>
      <c r="AJ185" s="88"/>
      <c r="AK185" s="88"/>
      <c r="AL185" s="88"/>
      <c r="AM185" s="88"/>
      <c r="AN185" s="88"/>
      <c r="AO185" s="88"/>
      <c r="AP185" s="88"/>
      <c r="AQ185" s="88"/>
      <c r="AR185" s="88"/>
      <c r="AS185" s="88"/>
      <c r="AT185" s="88"/>
      <c r="AU185" s="783"/>
      <c r="AV185" s="783"/>
      <c r="AW185" s="783"/>
      <c r="AX185" s="783"/>
      <c r="AY185" s="783"/>
      <c r="AZ185" s="783"/>
      <c r="BA185" s="783"/>
      <c r="BB185" s="783"/>
      <c r="BC185" s="783"/>
      <c r="BD185" s="783"/>
      <c r="BE185" s="783"/>
      <c r="BF185" s="783"/>
      <c r="BG185" s="783"/>
      <c r="BH185" s="783"/>
      <c r="BI185" s="783"/>
      <c r="BJ185" s="783"/>
      <c r="BK185" s="783"/>
      <c r="BL185" s="783"/>
      <c r="BM185" s="783"/>
      <c r="BN185" s="783"/>
      <c r="BO185" s="783"/>
      <c r="BP185" s="783"/>
      <c r="BQ185" s="783"/>
      <c r="BR185" s="783"/>
      <c r="BS185" s="783"/>
      <c r="BT185" s="783"/>
      <c r="BU185" s="783"/>
      <c r="BV185" s="783"/>
      <c r="BW185" s="783"/>
      <c r="BX185" s="783"/>
      <c r="BY185" s="783"/>
      <c r="BZ185" s="783"/>
      <c r="CA185" s="34"/>
      <c r="CC185" s="50"/>
      <c r="CD185" s="1357"/>
      <c r="CE185" s="1357"/>
      <c r="CF185" s="1357"/>
      <c r="CG185" s="1357"/>
      <c r="CH185" s="1357"/>
      <c r="CI185" s="88"/>
      <c r="CJ185" s="383"/>
      <c r="CK185" s="383"/>
      <c r="CL185" s="88"/>
      <c r="CM185" s="88"/>
      <c r="CN185" s="88"/>
      <c r="CO185" s="88"/>
      <c r="CP185" s="88"/>
      <c r="CQ185" s="88"/>
      <c r="CR185" s="34"/>
      <c r="CS185" s="2056"/>
      <c r="CT185" s="1880"/>
      <c r="CU185" s="1880"/>
      <c r="CV185" s="1880"/>
      <c r="CW185" s="1880"/>
      <c r="CX185" s="2121"/>
      <c r="CY185" s="1880"/>
      <c r="CZ185" s="1880"/>
      <c r="DA185" s="1880"/>
      <c r="DB185" s="1880"/>
      <c r="DC185" s="2121"/>
      <c r="DD185" s="1880"/>
      <c r="DE185" s="1880"/>
      <c r="DF185" s="1880"/>
      <c r="DG185" s="1880"/>
      <c r="DH185" s="1880"/>
      <c r="DI185" s="1880"/>
      <c r="DJ185" s="1880"/>
      <c r="DK185" s="1880"/>
      <c r="DL185" s="1880"/>
      <c r="DM185" s="1880"/>
      <c r="DN185" s="1880"/>
      <c r="DO185" s="1880"/>
      <c r="DP185" s="1880"/>
      <c r="DQ185" s="1880"/>
      <c r="DR185" s="1880"/>
      <c r="DS185" s="1880"/>
      <c r="DT185" s="1880"/>
      <c r="DU185" s="1880"/>
      <c r="DV185" s="1880"/>
      <c r="DW185" s="1880"/>
      <c r="DX185" s="1880"/>
      <c r="DY185" s="1880"/>
      <c r="DZ185" s="1880"/>
      <c r="EA185" s="1880"/>
      <c r="EB185" s="1880"/>
      <c r="EC185" s="1880"/>
      <c r="ED185" s="1880"/>
      <c r="EE185" s="1880"/>
      <c r="EF185" s="1880"/>
      <c r="EG185" s="1880"/>
      <c r="EH185" s="1880"/>
      <c r="EI185" s="1880"/>
      <c r="EJ185" s="1880"/>
      <c r="EK185" s="1880"/>
      <c r="EL185" s="1880"/>
      <c r="EM185" s="1880"/>
      <c r="EN185" s="1880"/>
      <c r="EO185" s="1880"/>
      <c r="EP185" s="1880"/>
      <c r="EQ185" s="1880"/>
      <c r="ER185" s="1880"/>
      <c r="ES185" s="1880"/>
      <c r="ET185" s="1880"/>
      <c r="EU185" s="1880"/>
    </row>
    <row r="186" spans="1:151" ht="32.5">
      <c r="A186" s="1625"/>
      <c r="B186" s="2439" t="str">
        <f>_xlfn.LET(_xlpm.IsNotAttrDynamic,D186="",_xlpm.Attr,_PL!F186,_xlpm.NotInUse,Y186=D186,_xlpm.RESULT,IF(_xlpm.IsNotAttrDynamic,_xlpm.Attr,IF(_xlpm.NotInUse,"",Y186)),IF(_xlpm.RESULT="","",_xlpm.RESULT))</f>
        <v/>
      </c>
      <c r="C186" s="2439" t="str" cm="1">
        <f t="array" ref="C186">IFBLANK(_PL!C186,"")</f>
        <v/>
      </c>
      <c r="D186" s="1548"/>
      <c r="E186" s="2453"/>
      <c r="F186" s="578"/>
      <c r="G186" s="578"/>
      <c r="H186" s="578"/>
      <c r="I186" s="578"/>
      <c r="J186" s="401"/>
      <c r="K186" s="578" t="str">
        <f t="shared" si="51"/>
        <v>No</v>
      </c>
      <c r="L186" s="37"/>
      <c r="N186" s="158"/>
      <c r="O186" s="101"/>
      <c r="P186" s="101"/>
      <c r="Q186" s="101"/>
      <c r="R186" s="101"/>
      <c r="S186" s="101"/>
      <c r="T186" s="101"/>
      <c r="U186" s="39"/>
      <c r="V186" s="37"/>
      <c r="W186" s="2133" t="s">
        <v>155</v>
      </c>
      <c r="X186" s="887"/>
      <c r="Y186" s="23"/>
      <c r="Z186" s="788"/>
      <c r="AA186" s="97"/>
      <c r="AB186" s="97"/>
      <c r="AC186" s="128"/>
      <c r="AD186" s="88"/>
      <c r="AE186" s="88"/>
      <c r="AF186" s="88"/>
      <c r="AG186" s="88"/>
      <c r="AH186" s="88"/>
      <c r="AI186" s="88"/>
      <c r="AJ186" s="88"/>
      <c r="AK186" s="88"/>
      <c r="AL186" s="88"/>
      <c r="AM186" s="88"/>
      <c r="AN186" s="88"/>
      <c r="AO186" s="88"/>
      <c r="AP186" s="88"/>
      <c r="AQ186" s="88"/>
      <c r="AR186" s="88"/>
      <c r="AS186" s="88"/>
      <c r="AT186" s="88"/>
      <c r="AU186" s="783"/>
      <c r="AV186" s="783"/>
      <c r="AW186" s="783"/>
      <c r="AX186" s="783"/>
      <c r="AY186" s="783"/>
      <c r="AZ186" s="783"/>
      <c r="BA186" s="783"/>
      <c r="BB186" s="783"/>
      <c r="BC186" s="783"/>
      <c r="BD186" s="783"/>
      <c r="BE186" s="783"/>
      <c r="BF186" s="783"/>
      <c r="BG186" s="783"/>
      <c r="BH186" s="783"/>
      <c r="BI186" s="783"/>
      <c r="BJ186" s="783"/>
      <c r="BK186" s="783"/>
      <c r="BL186" s="783"/>
      <c r="BM186" s="783"/>
      <c r="BN186" s="783"/>
      <c r="BO186" s="783"/>
      <c r="BP186" s="783"/>
      <c r="BQ186" s="783"/>
      <c r="BR186" s="783"/>
      <c r="BS186" s="783"/>
      <c r="BT186" s="783"/>
      <c r="BU186" s="783"/>
      <c r="BV186" s="783"/>
      <c r="BW186" s="783"/>
      <c r="BX186" s="783"/>
      <c r="BY186" s="783"/>
      <c r="BZ186" s="783"/>
      <c r="CA186" s="34"/>
      <c r="CC186" s="50"/>
      <c r="CD186" s="3024" t="s">
        <v>41</v>
      </c>
      <c r="CE186" s="3025"/>
      <c r="CF186" s="1472"/>
      <c r="CG186" s="3020" t="s">
        <v>109</v>
      </c>
      <c r="CH186" s="3021"/>
      <c r="CI186" s="1473"/>
      <c r="CJ186" s="3022" t="s">
        <v>43</v>
      </c>
      <c r="CK186" s="3023"/>
      <c r="CL186" s="1473"/>
      <c r="CM186" s="3015" t="s">
        <v>44</v>
      </c>
      <c r="CN186" s="3016"/>
      <c r="CO186" s="1470"/>
      <c r="CP186" s="3015" t="s">
        <v>45</v>
      </c>
      <c r="CQ186" s="3016"/>
      <c r="CR186" s="34"/>
      <c r="CS186" s="2056"/>
      <c r="CT186" s="1880"/>
      <c r="CU186" s="2088"/>
      <c r="CV186" s="1880"/>
      <c r="CW186" s="1880"/>
      <c r="CX186" s="2121"/>
      <c r="CY186" s="1880"/>
      <c r="CZ186" s="1880"/>
      <c r="DA186" s="1880"/>
      <c r="DB186" s="1880"/>
      <c r="DC186" s="2121"/>
      <c r="DD186" s="1880"/>
      <c r="DE186" s="1880"/>
      <c r="DF186" s="1880"/>
      <c r="DG186" s="1880"/>
      <c r="DH186" s="1880"/>
      <c r="DI186" s="1880"/>
      <c r="DJ186" s="1880"/>
      <c r="DK186" s="1880"/>
      <c r="DL186" s="1880"/>
      <c r="DM186" s="1880"/>
      <c r="DN186" s="1880"/>
      <c r="DO186" s="1880"/>
      <c r="DP186" s="1880"/>
      <c r="DQ186" s="1880"/>
      <c r="DR186" s="1880"/>
      <c r="DS186" s="1880"/>
      <c r="DT186" s="1880"/>
      <c r="DU186" s="1880"/>
      <c r="DV186" s="1880"/>
      <c r="DW186" s="1880"/>
      <c r="DX186" s="1880"/>
      <c r="DY186" s="1880"/>
      <c r="DZ186" s="1880"/>
      <c r="EA186" s="1880"/>
      <c r="EB186" s="1880"/>
      <c r="EC186" s="1880"/>
      <c r="ED186" s="1880"/>
      <c r="EE186" s="1880"/>
      <c r="EF186" s="1880"/>
      <c r="EG186" s="1880"/>
      <c r="EH186" s="1880"/>
      <c r="EI186" s="1880"/>
      <c r="EJ186" s="1880"/>
      <c r="EK186" s="1880"/>
      <c r="EL186" s="1880"/>
      <c r="EM186" s="1880"/>
      <c r="EN186" s="1880"/>
      <c r="EO186" s="1880"/>
      <c r="EP186" s="1880"/>
      <c r="EQ186" s="1880"/>
      <c r="ER186" s="1880"/>
      <c r="ES186" s="1880"/>
      <c r="ET186" s="1880"/>
      <c r="EU186" s="1880"/>
    </row>
    <row r="187" spans="1:144" ht="18" customHeight="1">
      <c r="A187" s="2427"/>
      <c r="B187" s="2439"/>
      <c r="C187" s="3459" t="str" cm="1">
        <f t="array" ref="C187">IFBLANK(_PL!C187,"")</f>
        <v>Segment I Name</v>
      </c>
      <c r="D187" s="2458" t="s">
        <v>156</v>
      </c>
      <c r="E187" s="572"/>
      <c r="F187" s="2459"/>
      <c r="G187" s="578"/>
      <c r="H187" s="578"/>
      <c r="I187" s="578"/>
      <c r="J187" s="401"/>
      <c r="K187" s="578" t="str">
        <f t="shared" si="51"/>
        <v>No</v>
      </c>
      <c r="L187" s="37"/>
      <c r="N187" s="158"/>
      <c r="O187" s="101"/>
      <c r="P187" s="151"/>
      <c r="Q187" s="151"/>
      <c r="R187" s="101"/>
      <c r="S187" s="291"/>
      <c r="T187" s="291"/>
      <c r="U187" s="39"/>
      <c r="V187" s="37"/>
      <c r="W187" s="3469" t="e">
        <f ca="1">_PL!W187</f>
        <v>#NAME?</v>
      </c>
      <c r="X187" s="1247"/>
      <c r="Y187" s="3219">
        <v>2</v>
      </c>
      <c r="Z187" s="2589" t="s">
        <v>157</v>
      </c>
      <c r="AA187" s="1249"/>
      <c r="AB187" s="1630" t="s">
        <v>83</v>
      </c>
      <c r="AC187" s="1273"/>
      <c r="AD187" s="3186" cm="1">
        <f t="array" ca="1" aca="1" ref="AD187:AD188">fx_checkComp(AD192:AD197)</f>
        <v>1</v>
      </c>
      <c r="AE187" s="3186" cm="1">
        <f t="array" ca="1" aca="1" ref="AE187:AE188">fx_checkComp(AE192:AE197)</f>
        <v>1</v>
      </c>
      <c r="AF187" s="3186" cm="1">
        <f t="array" ca="1" aca="1" ref="AF187:AF188">fx_checkComp(AF192:AF197)</f>
        <v>1</v>
      </c>
      <c r="AG187" s="3186" cm="1">
        <f t="array" ca="1" aca="1" ref="AG187:AG188">fx_checkComp(AG192:AG197)</f>
        <v>1</v>
      </c>
      <c r="AH187" s="3186" cm="1">
        <f t="array" ca="1" aca="1" ref="AH187:AH188">fx_checkComp(AH192:AH197)</f>
        <v>1</v>
      </c>
      <c r="AI187" s="3186" cm="1">
        <f t="array" ca="1" aca="1" ref="AI187:AI188">fx_checkComp(AI192:AI197)</f>
        <v>1</v>
      </c>
      <c r="AJ187" s="3186" cm="1">
        <f t="array" ca="1" aca="1" ref="AJ187:AJ188">fx_checkComp(AJ192:AJ197)</f>
        <v>1</v>
      </c>
      <c r="AK187" s="3186" cm="1">
        <f t="array" ca="1" aca="1" ref="AK187:AK188">fx_checkComp(AK192:AK197)</f>
        <v>1</v>
      </c>
      <c r="AL187" s="3186" cm="1">
        <f t="array" ca="1" aca="1" ref="AL187:AL188">fx_checkComp(AL192:AL197)</f>
        <v>1</v>
      </c>
      <c r="AM187" s="3186" cm="1">
        <f t="array" ca="1" aca="1" ref="AM187:AM188">fx_checkComp(AM192:AM197)</f>
        <v>1</v>
      </c>
      <c r="AN187" s="3186" cm="1">
        <f t="array" ca="1" aca="1" ref="AN187:AN188">fx_checkComp(AN192:AN197)</f>
        <v>1</v>
      </c>
      <c r="AO187" s="3186" cm="1">
        <f t="array" ca="1" aca="1" ref="AO187:AO188">fx_checkComp(AO192:AO197)</f>
        <v>1</v>
      </c>
      <c r="AP187" s="3186" cm="1">
        <f t="array" ca="1" aca="1" ref="AP187:AP188">fx_checkComp(AP192:AP197)</f>
        <v>1</v>
      </c>
      <c r="AQ187" s="3186" cm="1">
        <f t="array" ca="1" aca="1" ref="AQ187:AQ188">fx_checkComp(AQ192:AQ197)</f>
        <v>1</v>
      </c>
      <c r="AR187" s="3186" cm="1">
        <f t="array" ca="1" aca="1" ref="AR187:AR188">fx_checkComp(AR192:AR197)</f>
        <v>1</v>
      </c>
      <c r="AS187" s="3186" cm="1">
        <f t="array" ca="1" aca="1" ref="AS187:AS188">fx_checkComp(AS192:AS197)</f>
        <v>1</v>
      </c>
      <c r="AT187" s="3186" cm="1">
        <f t="array" ca="1" aca="1" ref="AT187:AT188">fx_checkComp(AT192:AT197)</f>
        <v>1</v>
      </c>
      <c r="AU187" s="3186" cm="1">
        <f t="array" ca="1" aca="1" ref="AU187:AU188">fx_checkComp(AU192:AU197)</f>
        <v>1</v>
      </c>
      <c r="AV187" s="3186" cm="1">
        <f t="array" ca="1" aca="1" ref="AV187:AV188">fx_checkComp(AV192:AV197)</f>
        <v>1</v>
      </c>
      <c r="AW187" s="3186" cm="1">
        <f t="array" ca="1" aca="1" ref="AW187:AW188">fx_checkComp(AW192:AW197)</f>
        <v>1</v>
      </c>
      <c r="AX187" s="3186" cm="1">
        <f t="array" ca="1" aca="1" ref="AX187:AX188">fx_checkComp(AX192:AX197)</f>
        <v>1</v>
      </c>
      <c r="AY187" s="3186" cm="1">
        <f t="array" ca="1" aca="1" ref="AY187:AY188">fx_checkComp(AY192:AY197)</f>
        <v>1</v>
      </c>
      <c r="AZ187" s="3186" cm="1">
        <f t="array" ca="1" aca="1" ref="AZ187:AZ188">fx_checkComp(AZ192:AZ197)</f>
        <v>1</v>
      </c>
      <c r="BA187" s="3186" cm="1">
        <f t="array" ca="1" aca="1" ref="BA187:BA188">fx_checkComp(BA192:BA197)</f>
        <v>1</v>
      </c>
      <c r="BB187" s="3186" cm="1">
        <f t="array" ca="1" aca="1" ref="BB187:BB188">fx_checkComp(BB192:BB197)</f>
        <v>1</v>
      </c>
      <c r="BC187" s="3186" cm="1">
        <f t="array" ca="1" aca="1" ref="BC187:BC188">fx_checkComp(BC192:BC197)</f>
        <v>1</v>
      </c>
      <c r="BD187" s="3186" cm="1">
        <f t="array" ca="1" aca="1" ref="BD187:BD188">fx_checkComp(BD192:BD197)</f>
        <v>1</v>
      </c>
      <c r="BE187" s="3186" cm="1">
        <f t="array" ca="1" aca="1" ref="BE187:BE188">fx_checkComp(BE192:BE197)</f>
        <v>1</v>
      </c>
      <c r="BF187" s="3186" cm="1">
        <f t="array" ca="1" aca="1" ref="BF187:BF188">fx_checkComp(BF192:BF197)</f>
        <v>1</v>
      </c>
      <c r="BG187" s="3186" cm="1">
        <f t="array" ca="1" aca="1" ref="BG187:BG188">fx_checkComp(BG192:BG197)</f>
        <v>1</v>
      </c>
      <c r="BH187" s="3186" cm="1">
        <f t="array" ca="1" aca="1" ref="BH187:BH188">fx_checkComp(BH192:BH197)</f>
        <v>1</v>
      </c>
      <c r="BI187" s="3186" cm="1">
        <f t="array" ca="1" aca="1" ref="BI187:BI188">fx_checkComp(BI192:BI197)</f>
        <v>1</v>
      </c>
      <c r="BJ187" s="3186" cm="1">
        <f t="array" ca="1" aca="1" ref="BJ187:BJ188">fx_checkComp(BJ192:BJ197)</f>
        <v>1</v>
      </c>
      <c r="BK187" s="3186" cm="1">
        <f t="array" ca="1" aca="1" ref="BK187:BK188">fx_checkComp(BK192:BK197)</f>
        <v>1</v>
      </c>
      <c r="BL187" s="3186" cm="1">
        <f t="array" ca="1" aca="1" ref="BL187:BL188">fx_checkComp(BL192:BL197)</f>
        <v>1</v>
      </c>
      <c r="BM187" s="3186" cm="1">
        <f t="array" ca="1" aca="1" ref="BM187:BM188">fx_checkComp(BM192:BM197)</f>
        <v>1</v>
      </c>
      <c r="BN187" s="3187" cm="1">
        <f t="array" ca="1" aca="1" ref="BN187:BN188">fx_checkComp(BN192:BN197)</f>
        <v>1</v>
      </c>
      <c r="BO187" s="1804"/>
      <c r="BP187" s="1804"/>
      <c r="BQ187" s="1804"/>
      <c r="BR187" s="1804"/>
      <c r="BS187" s="1804"/>
      <c r="BT187" s="1804"/>
      <c r="BU187" s="1804"/>
      <c r="BV187" s="1804"/>
      <c r="BW187" s="1804"/>
      <c r="BX187" s="1804"/>
      <c r="BY187" s="1804"/>
      <c r="BZ187" s="1804"/>
      <c r="CA187" s="34"/>
      <c r="CC187" s="33"/>
      <c r="CD187" s="1343" t="e" cm="1">
        <f t="array" ca="1" aca="1" ref="CD187">YEAR(val_currentFYE)-2</f>
        <v>#NAME?</v>
      </c>
      <c r="CE187" s="1344" t="e" cm="1">
        <f t="array" ca="1" aca="1" ref="CE187">YEAR(val_currentFYE)-1</f>
        <v>#NAME?</v>
      </c>
      <c r="CF187" s="88"/>
      <c r="CG187" s="1350" t="e" cm="1">
        <f t="array" ca="1" aca="1" ref="CG187">YEAR(val_currentFYE)</f>
        <v>#NAME?</v>
      </c>
      <c r="CH187" s="1351" t="e" cm="1">
        <f t="array" ca="1" aca="1" ref="CH187">YEAR(val_currentFYE)</f>
        <v>#NAME?</v>
      </c>
      <c r="CI187" s="170"/>
      <c r="CJ187" s="208" t="s">
        <v>54</v>
      </c>
      <c r="CK187" s="209" t="s">
        <v>54</v>
      </c>
      <c r="CL187" s="88"/>
      <c r="CM187" s="3220" cm="1">
        <f t="array" ca="1" aca="1" ref="CM187:CM188">fx_checkComp(CM192:CM197)</f>
        <v>1</v>
      </c>
      <c r="CN187" s="3221" cm="1">
        <f t="array" ca="1" aca="1" ref="CN187:CN188">fx_checkComp(CN192:CN197)</f>
        <v>1</v>
      </c>
      <c r="CO187" s="88"/>
      <c r="CP187" s="3220" cm="1">
        <f t="array" ca="1" aca="1" ref="CP187:CP188">fx_checkComp(CP192:CP197)</f>
        <v>1</v>
      </c>
      <c r="CQ187" s="3221" cm="1">
        <f t="array" ca="1" aca="1" ref="CQ187:CQ188">fx_checkComp(CQ192:CQ197)</f>
        <v>1</v>
      </c>
      <c r="CR187" s="34"/>
      <c r="CS187" s="2056"/>
      <c r="CT187" s="2447" t="e" cm="1">
        <f t="array" ca="1" aca="1" ref="CT187">IF(Y187="Untitled Segmentation I","",_xldudf_CX_PUSH(Y187,CX_ENTITY,C187,val_asOfDate))</f>
        <v>#NAME?</v>
      </c>
      <c r="CU187" s="2447" t="e" cm="1">
        <f t="array" ca="1" aca="1" ref="CU187">IF(Y187="Untitled Segmentation I","",_xldudf_CX_PUSH(Y187,CX_ENTITY,C187,EOMONTH(val_asOfDate,1)))</f>
        <v>#NAME?</v>
      </c>
      <c r="CV187" s="2447" t="e" cm="1">
        <f t="array" ca="1" aca="1" ref="CV187">IF(Y187="Untitled Segmentation I","",_xldudf_CX_PUSH(Y187,CX_ENTITY,C187,EOMONTH(val_asOfDate,2)))</f>
        <v>#NAME?</v>
      </c>
      <c r="CW187" s="2447" t="e" cm="1">
        <f t="array" ca="1" aca="1" ref="CW187">IF(Y187="Untitled Segmentation I","",_xldudf_CX_PUSH(Y187,CX_ENTITY,C187,EOMONTH(val_asOfDate,3)))</f>
        <v>#NAME?</v>
      </c>
      <c r="CX187" s="2566"/>
      <c r="CY187" s="1880"/>
      <c r="CZ187" s="1880"/>
      <c r="DA187" s="1880"/>
      <c r="DB187" s="1880"/>
      <c r="DC187" s="2121"/>
      <c r="DD187" s="1880"/>
      <c r="DE187" s="1880"/>
      <c r="DF187" s="1880"/>
      <c r="DG187" s="1880"/>
      <c r="DH187" s="1880"/>
      <c r="DI187" s="1880"/>
      <c r="DJ187" s="1880"/>
      <c r="DK187" s="1880"/>
      <c r="DL187" s="1880"/>
      <c r="DM187" s="1880"/>
      <c r="DN187" s="1880"/>
      <c r="DO187" s="1880"/>
      <c r="DP187" s="1880"/>
      <c r="DQ187" s="1880"/>
      <c r="DR187" s="1880"/>
      <c r="DS187" s="1880"/>
      <c r="DT187" s="1880"/>
      <c r="DU187" s="1880"/>
      <c r="DV187" s="1880"/>
      <c r="DW187" s="1880"/>
      <c r="DX187" s="1880"/>
      <c r="DY187" s="1880"/>
      <c r="DZ187" s="1880"/>
      <c r="EA187" s="1880"/>
      <c r="EB187" s="1880"/>
      <c r="EC187" s="1880"/>
      <c r="ED187" s="1880"/>
      <c r="EE187" s="1880"/>
      <c r="EF187" s="1880"/>
      <c r="EG187" s="1880"/>
      <c r="EH187" s="1880"/>
      <c r="EI187" s="1880"/>
      <c r="EJ187" s="1880"/>
      <c r="EK187" s="1880"/>
      <c r="EL187" s="1880"/>
      <c r="EM187" s="1880"/>
      <c r="EN187" s="1880"/>
    </row>
    <row r="188" spans="1:147" ht="18" customHeight="1">
      <c r="A188" s="2427"/>
      <c r="B188" s="2439"/>
      <c r="C188" s="3459" t="s">
        <v>158</v>
      </c>
      <c r="D188" s="2458" t="s">
        <v>94</v>
      </c>
      <c r="E188" s="572"/>
      <c r="F188" s="2459"/>
      <c r="G188" s="578"/>
      <c r="H188" s="578"/>
      <c r="I188" s="578"/>
      <c r="J188" s="401"/>
      <c r="K188" s="578" t="str">
        <f t="shared" si="51"/>
        <v>No</v>
      </c>
      <c r="L188" s="37"/>
      <c r="N188" s="158"/>
      <c r="O188" s="101"/>
      <c r="P188" s="151"/>
      <c r="Q188" s="151"/>
      <c r="R188" s="101"/>
      <c r="S188" s="289"/>
      <c r="T188" s="289"/>
      <c r="U188" s="39"/>
      <c r="V188" s="37"/>
      <c r="W188" s="3039"/>
      <c r="X188" s="1250"/>
      <c r="Y188" s="3049"/>
      <c r="Z188" s="1251"/>
      <c r="AA188" s="1252"/>
      <c r="AB188" s="1631" t="s">
        <v>84</v>
      </c>
      <c r="AC188" s="1162"/>
      <c r="AD188" s="2430" t="str">
        <f ca="1"/>
        <v>O: 6 / 6</v>
      </c>
      <c r="AE188" s="2430" t="str">
        <f ca="1"/>
        <v>O: 6 / 6</v>
      </c>
      <c r="AF188" s="2430" t="str">
        <f ca="1"/>
        <v>O: 6 / 6</v>
      </c>
      <c r="AG188" s="2430" t="str">
        <f ca="1"/>
        <v>O: 6 / 6</v>
      </c>
      <c r="AH188" s="2430" t="str">
        <f ca="1"/>
        <v>O: 6 / 6</v>
      </c>
      <c r="AI188" s="2430" t="str">
        <f ca="1"/>
        <v>O: 6 / 6</v>
      </c>
      <c r="AJ188" s="2430" t="str">
        <f ca="1"/>
        <v>O: 6 / 6</v>
      </c>
      <c r="AK188" s="2430" t="str">
        <f ca="1"/>
        <v>O: 6 / 6</v>
      </c>
      <c r="AL188" s="2430" t="str">
        <f ca="1"/>
        <v>O: 6 / 6</v>
      </c>
      <c r="AM188" s="2430" t="str">
        <f ca="1"/>
        <v>O: 6 / 6</v>
      </c>
      <c r="AN188" s="2430" t="str">
        <f ca="1"/>
        <v>O: 6 / 6</v>
      </c>
      <c r="AO188" s="2430" t="str">
        <f ca="1"/>
        <v>O: 6 / 6</v>
      </c>
      <c r="AP188" s="2430" t="str">
        <f ca="1"/>
        <v>O: 6 / 6</v>
      </c>
      <c r="AQ188" s="2430" t="str">
        <f ca="1"/>
        <v>O: 6 / 6</v>
      </c>
      <c r="AR188" s="2430" t="str">
        <f ca="1"/>
        <v>O: 6 / 6</v>
      </c>
      <c r="AS188" s="2430" t="str">
        <f ca="1"/>
        <v>O: 6 / 6</v>
      </c>
      <c r="AT188" s="2430" t="str">
        <f ca="1"/>
        <v>O: 6 / 6</v>
      </c>
      <c r="AU188" s="2430" t="str">
        <f ca="1"/>
        <v>O: 6 / 6</v>
      </c>
      <c r="AV188" s="2430" t="str">
        <f ca="1"/>
        <v>O: 6 / 6</v>
      </c>
      <c r="AW188" s="2430" t="str">
        <f ca="1"/>
        <v>O: 6 / 6</v>
      </c>
      <c r="AX188" s="2430" t="str">
        <f ca="1"/>
        <v>O: 6 / 6</v>
      </c>
      <c r="AY188" s="2430" t="str">
        <f ca="1"/>
        <v>O: 6 / 6</v>
      </c>
      <c r="AZ188" s="2430" t="str">
        <f ca="1"/>
        <v>O: 6 / 6</v>
      </c>
      <c r="BA188" s="2430" t="str">
        <f ca="1"/>
        <v>O: 6 / 6</v>
      </c>
      <c r="BB188" s="2430" t="str">
        <f ca="1"/>
        <v>O: 6 / 6</v>
      </c>
      <c r="BC188" s="2430" t="str">
        <f ca="1"/>
        <v>O: 6 / 6</v>
      </c>
      <c r="BD188" s="2430" t="str">
        <f ca="1"/>
        <v>O: 6 / 6</v>
      </c>
      <c r="BE188" s="2430" t="str">
        <f ca="1"/>
        <v>O: 6 / 6</v>
      </c>
      <c r="BF188" s="2430" t="str">
        <f ca="1"/>
        <v>O: 6 / 6</v>
      </c>
      <c r="BG188" s="2430" t="str">
        <f ca="1"/>
        <v>O: 6 / 6</v>
      </c>
      <c r="BH188" s="2430" t="str">
        <f ca="1"/>
        <v>O: 6 / 6</v>
      </c>
      <c r="BI188" s="2430" t="str">
        <f ca="1"/>
        <v>O: 6 / 6</v>
      </c>
      <c r="BJ188" s="2430" t="str">
        <f ca="1"/>
        <v>O: 6 / 6</v>
      </c>
      <c r="BK188" s="2430" t="str">
        <f ca="1"/>
        <v>O: 6 / 6</v>
      </c>
      <c r="BL188" s="2430" t="str">
        <f ca="1"/>
        <v>O: 6 / 6</v>
      </c>
      <c r="BM188" s="2430" t="str">
        <f ca="1"/>
        <v>O: 6 / 6</v>
      </c>
      <c r="BN188" s="2431" t="str">
        <f ca="1"/>
        <v>O: 6 / 6</v>
      </c>
      <c r="BO188" s="2432"/>
      <c r="BP188" s="2432"/>
      <c r="BQ188" s="2432"/>
      <c r="BR188" s="2432"/>
      <c r="BS188" s="2432"/>
      <c r="BT188" s="2432"/>
      <c r="BU188" s="2432"/>
      <c r="BV188" s="2432"/>
      <c r="BW188" s="2432"/>
      <c r="BX188" s="2432"/>
      <c r="BY188" s="2432"/>
      <c r="BZ188" s="2432"/>
      <c r="CA188" s="34"/>
      <c r="CC188" s="33"/>
      <c r="CD188" s="1341"/>
      <c r="CE188" s="1342"/>
      <c r="CF188" s="88"/>
      <c r="CG188" s="1350"/>
      <c r="CH188" s="1351"/>
      <c r="CI188" s="170"/>
      <c r="CJ188" s="1348"/>
      <c r="CK188" s="1349"/>
      <c r="CL188" s="88"/>
      <c r="CM188" s="1660" t="str">
        <f ca="1"/>
        <v>O: 6 / 6</v>
      </c>
      <c r="CN188" s="1660" t="str">
        <f ca="1"/>
        <v>O: 6 / 6</v>
      </c>
      <c r="CO188" s="88"/>
      <c r="CP188" s="1660" t="str">
        <f ca="1"/>
        <v>O: 6 / 6</v>
      </c>
      <c r="CQ188" s="1660" t="str">
        <f ca="1"/>
        <v>O: 6 / 6</v>
      </c>
      <c r="CR188" s="34"/>
      <c r="CS188" s="2056"/>
      <c r="CT188" s="2447" t="e" cm="1">
        <f t="array" ca="1" aca="1" ref="CT188">IF(W187="Scenario","",_xldudf_CX_PUSH(W187,CX_ENTITY,C188,val_asOfDate))</f>
        <v>#NAME?</v>
      </c>
      <c r="CU188" s="2447" t="e" cm="1">
        <f t="array" ca="1" aca="1" ref="CU188">IF(W187="Scenario","",_xldudf_CX_PUSH(W187,CX_ENTITY,C188,EOMONTH(val_asOfDate,1)))</f>
        <v>#NAME?</v>
      </c>
      <c r="CV188" s="2447" t="e" cm="1">
        <f t="array" ca="1" aca="1" ref="CV188">IF(W187="Scenario","",_xldudf_CX_PUSH(W187,CX_ENTITY,C188,EOMONTH(val_asOfDate,2)))</f>
        <v>#NAME?</v>
      </c>
      <c r="CW188" s="2447" t="e" cm="1">
        <f t="array" ca="1" aca="1" ref="CW188">IF(W187="Scenario","",_xldudf_CX_PUSH(W187,CX_ENTITY,C188,EOMONTH(val_asOfDate,3)))</f>
        <v>#NAME?</v>
      </c>
      <c r="CX188" s="2566"/>
      <c r="CY188" s="1880"/>
      <c r="CZ188" s="1880"/>
      <c r="DA188" s="1880"/>
      <c r="DB188" s="1880"/>
      <c r="DC188" s="2121"/>
      <c r="DD188" s="1880"/>
      <c r="DE188" s="1880"/>
      <c r="DF188" s="1880"/>
      <c r="DG188" s="1880"/>
      <c r="DH188" s="1880"/>
      <c r="DI188" s="1880"/>
      <c r="DJ188" s="1880"/>
      <c r="DK188" s="1880"/>
      <c r="DL188" s="1880"/>
      <c r="DM188" s="1880"/>
      <c r="DN188" s="1880"/>
      <c r="DO188" s="1880"/>
      <c r="DP188" s="1880"/>
      <c r="DQ188" s="1880"/>
      <c r="DR188" s="1880"/>
      <c r="DS188" s="1880"/>
      <c r="DT188" s="1880"/>
      <c r="DU188" s="1880"/>
      <c r="DV188" s="1880"/>
      <c r="DW188" s="1880"/>
      <c r="DX188" s="1880"/>
      <c r="DY188" s="1880"/>
      <c r="DZ188" s="1880"/>
      <c r="EA188" s="1880"/>
      <c r="EB188" s="1880"/>
      <c r="EC188" s="1880"/>
      <c r="ED188" s="1880"/>
      <c r="EE188" s="1880"/>
      <c r="EF188" s="1880"/>
      <c r="EG188" s="1880"/>
      <c r="EH188" s="1880"/>
      <c r="EI188" s="1880"/>
      <c r="EJ188" s="1880"/>
      <c r="EK188" s="1880"/>
      <c r="EL188" s="1880"/>
      <c r="EM188" s="1880"/>
      <c r="EN188" s="1880"/>
      <c r="EO188" s="1880"/>
      <c r="EP188" s="1880"/>
      <c r="EQ188" s="1880"/>
    </row>
    <row r="189" spans="1:147" ht="30.75" customHeight="1">
      <c r="A189" s="1627"/>
      <c r="B189" s="2439" t="str">
        <f>_xlfn.LET(_xlpm.IsNotAttrDynamic,D189="",_xlpm.Attr,_PL!F189,_xlpm.NotInUse,Y189=D189,_xlpm.RESULT,IF(_xlpm.IsNotAttrDynamic,_xlpm.Attr,IF(_xlpm.NotInUse,"",Y189)),IF(_xlpm.RESULT="","",_xlpm.RESULT))</f>
        <v/>
      </c>
      <c r="C189" s="2439" t="str" cm="1">
        <f t="array" ref="C189">IFBLANK(_PL!C189,"")</f>
        <v/>
      </c>
      <c r="D189" s="1548"/>
      <c r="E189" s="2453"/>
      <c r="F189" s="572"/>
      <c r="G189" s="572"/>
      <c r="H189" s="572"/>
      <c r="I189" s="572">
        <v>3</v>
      </c>
      <c r="J189" s="401"/>
      <c r="K189" s="578" t="str">
        <f t="shared" si="51"/>
        <v>No</v>
      </c>
      <c r="L189" s="37"/>
      <c r="N189" s="158"/>
      <c r="O189" s="101"/>
      <c r="P189" s="101"/>
      <c r="Q189" s="101"/>
      <c r="R189" s="101"/>
      <c r="S189" s="101"/>
      <c r="T189" s="101"/>
      <c r="U189" s="39"/>
      <c r="V189" s="37"/>
      <c r="W189" s="161"/>
      <c r="X189" s="887"/>
      <c r="Y189" s="887"/>
      <c r="Z189" s="789"/>
      <c r="AA189" s="163"/>
      <c r="AB189" s="162"/>
      <c r="AC189" s="1164"/>
      <c r="AD189" s="2493" cm="1">
        <f t="array" ref="AD189:BN189">array_timeline</f>
        <v>44926</v>
      </c>
      <c r="AE189" s="2493">
        <v>44957</v>
      </c>
      <c r="AF189" s="2493">
        <v>44985</v>
      </c>
      <c r="AG189" s="2493">
        <v>45016</v>
      </c>
      <c r="AH189" s="2493">
        <v>45046</v>
      </c>
      <c r="AI189" s="2493">
        <v>45077</v>
      </c>
      <c r="AJ189" s="2493">
        <v>45107</v>
      </c>
      <c r="AK189" s="2493">
        <v>45138</v>
      </c>
      <c r="AL189" s="2493">
        <v>45169</v>
      </c>
      <c r="AM189" s="2493">
        <v>45199</v>
      </c>
      <c r="AN189" s="2493">
        <v>45230</v>
      </c>
      <c r="AO189" s="2493">
        <v>45260</v>
      </c>
      <c r="AP189" s="2493">
        <v>45291</v>
      </c>
      <c r="AQ189" s="2493">
        <v>45322</v>
      </c>
      <c r="AR189" s="2493">
        <v>45351</v>
      </c>
      <c r="AS189" s="2493">
        <v>45382</v>
      </c>
      <c r="AT189" s="2493">
        <v>45412</v>
      </c>
      <c r="AU189" s="2493">
        <v>45443</v>
      </c>
      <c r="AV189" s="2493">
        <v>45473</v>
      </c>
      <c r="AW189" s="2493">
        <v>45504</v>
      </c>
      <c r="AX189" s="2493">
        <v>45535</v>
      </c>
      <c r="AY189" s="2493">
        <v>45565</v>
      </c>
      <c r="AZ189" s="2493">
        <v>45596</v>
      </c>
      <c r="BA189" s="2493">
        <v>45626</v>
      </c>
      <c r="BB189" s="2493">
        <v>45657</v>
      </c>
      <c r="BC189" s="2493">
        <v>45688</v>
      </c>
      <c r="BD189" s="2493">
        <v>45716</v>
      </c>
      <c r="BE189" s="2493">
        <v>45747</v>
      </c>
      <c r="BF189" s="2493">
        <v>45777</v>
      </c>
      <c r="BG189" s="2493">
        <v>45808</v>
      </c>
      <c r="BH189" s="2493">
        <v>45838</v>
      </c>
      <c r="BI189" s="2493">
        <v>45869</v>
      </c>
      <c r="BJ189" s="2493">
        <v>45900</v>
      </c>
      <c r="BK189" s="2493">
        <v>45930</v>
      </c>
      <c r="BL189" s="2493">
        <v>45961</v>
      </c>
      <c r="BM189" s="2493">
        <v>45991</v>
      </c>
      <c r="BN189" s="2494">
        <v>46022</v>
      </c>
      <c r="BO189" s="2495"/>
      <c r="BP189" s="2495"/>
      <c r="BQ189" s="2495"/>
      <c r="BR189" s="2495"/>
      <c r="BS189" s="2495"/>
      <c r="BT189" s="2495"/>
      <c r="BU189" s="2495"/>
      <c r="BV189" s="2495"/>
      <c r="BW189" s="2495"/>
      <c r="BX189" s="2495"/>
      <c r="BY189" s="2495"/>
      <c r="BZ189" s="2495"/>
      <c r="CA189" s="34"/>
      <c r="CC189" s="2542"/>
      <c r="CD189" s="1722" t="e" cm="1">
        <f t="array" ca="1" aca="1" ref="CD189">EOMONTH(val_currentFYE,-24)</f>
        <v>#NAME?</v>
      </c>
      <c r="CE189" s="1723" t="e" cm="1">
        <f t="array" ca="1" aca="1" ref="CE189">EOMONTH(val_currentFYE,-12)</f>
        <v>#NAME?</v>
      </c>
      <c r="CF189" s="277"/>
      <c r="CG189" s="1732">
        <f>EOMONTH(val_asOfDate,0)</f>
        <v>46022</v>
      </c>
      <c r="CH189" s="1733">
        <f>EOMONTH(val_asOfDate,0)</f>
        <v>46022</v>
      </c>
      <c r="CI189" s="276"/>
      <c r="CJ189" s="1730">
        <f>EOMONTH(val_asOfDate,-1)</f>
        <v>45991</v>
      </c>
      <c r="CK189" s="1731">
        <f>EOMONTH(val_asOfDate,0)</f>
        <v>46022</v>
      </c>
      <c r="CL189" s="88"/>
      <c r="CM189" s="2561" t="e" cm="1">
        <f t="array" ca="1" aca="1" ref="CM189">val_currentFYE</f>
        <v>#NAME?</v>
      </c>
      <c r="CN189" s="2581" t="e" cm="1">
        <f t="array" ca="1" aca="1" ref="CN189">val_currentFYE</f>
        <v>#NAME?</v>
      </c>
      <c r="CO189" s="2580"/>
      <c r="CP189" s="2561" t="e" cm="1">
        <f t="array" ca="1" aca="1" ref="CP189">EOMONTH(val_currentFYE,12)</f>
        <v>#NAME?</v>
      </c>
      <c r="CQ189" s="2581" t="e" cm="1">
        <f t="array" ca="1" aca="1" ref="CQ189">EOMONTH(val_currentFYE,12)</f>
        <v>#NAME?</v>
      </c>
      <c r="CR189" s="34"/>
      <c r="CS189" s="2056"/>
      <c r="CT189" s="1880"/>
      <c r="CU189" s="1880"/>
      <c r="CV189" s="1880"/>
      <c r="CW189" s="1880"/>
      <c r="CX189" s="2121"/>
      <c r="CY189" s="1880"/>
      <c r="CZ189" s="1880"/>
      <c r="DA189" s="1880"/>
      <c r="DB189" s="1880"/>
      <c r="DC189" s="2121"/>
      <c r="DD189" s="1880"/>
      <c r="DE189" s="1880"/>
      <c r="DF189" s="1880"/>
      <c r="DG189" s="1880"/>
      <c r="DH189" s="1880"/>
      <c r="DI189" s="1880"/>
      <c r="DJ189" s="1880"/>
      <c r="DK189" s="1880"/>
      <c r="DL189" s="1880"/>
      <c r="DM189" s="1880"/>
      <c r="DN189" s="1880"/>
      <c r="DO189" s="1880"/>
      <c r="DP189" s="1880"/>
      <c r="DQ189" s="1880"/>
      <c r="DR189" s="1880"/>
      <c r="DS189" s="1880"/>
      <c r="DT189" s="1880"/>
      <c r="DU189" s="1880"/>
      <c r="DV189" s="1880"/>
      <c r="DW189" s="1880"/>
      <c r="DX189" s="1880"/>
      <c r="DY189" s="1880"/>
      <c r="DZ189" s="1880"/>
      <c r="EA189" s="1880"/>
      <c r="EB189" s="1880"/>
      <c r="EC189" s="1880"/>
      <c r="ED189" s="1880"/>
      <c r="EE189" s="1880"/>
      <c r="EF189" s="1880"/>
      <c r="EG189" s="1880"/>
      <c r="EH189" s="1880"/>
      <c r="EI189" s="1880"/>
      <c r="EJ189" s="1880"/>
      <c r="EK189" s="1880"/>
      <c r="EL189" s="1880"/>
      <c r="EM189" s="1880"/>
      <c r="EN189" s="1880"/>
      <c r="EO189" s="1880"/>
      <c r="EP189" s="1880"/>
      <c r="EQ189" s="1880"/>
    </row>
    <row r="190" spans="1:147" ht="30.75" customHeight="1">
      <c r="A190" s="2449"/>
      <c r="B190" s="2439" t="str">
        <f>_xlfn.LET(_xlpm.IsNotAttrDynamic,D190="",_xlpm.Attr,_PL!F190,_xlpm.NotInUse,Y190=D190,_xlpm.RESULT,IF(_xlpm.IsNotAttrDynamic,_xlpm.Attr,IF(_xlpm.NotInUse,"",Y190)),IF(_xlpm.RESULT="","",_xlpm.RESULT))</f>
        <v/>
      </c>
      <c r="C190" s="2439" t="str" cm="1">
        <f t="array" ref="C190">IFBLANK(_PL!C190,"")</f>
        <v/>
      </c>
      <c r="D190" s="1548" t="s">
        <v>159</v>
      </c>
      <c r="E190" s="2453"/>
      <c r="F190" s="576"/>
      <c r="G190" s="576"/>
      <c r="H190" s="2546"/>
      <c r="I190" s="2546"/>
      <c r="J190" s="401"/>
      <c r="K190" s="578" t="str">
        <f t="shared" si="51"/>
        <v>No</v>
      </c>
      <c r="L190" s="37"/>
      <c r="N190" s="158"/>
      <c r="O190" s="101"/>
      <c r="P190" s="52"/>
      <c r="Q190" s="101"/>
      <c r="R190" s="101"/>
      <c r="S190" s="101"/>
      <c r="T190" s="101"/>
      <c r="U190" s="39"/>
      <c r="V190" s="37"/>
      <c r="W190" s="272" t="s">
        <v>94</v>
      </c>
      <c r="X190" s="889"/>
      <c r="Y190" s="279" t="s">
        <v>159</v>
      </c>
      <c r="Z190" s="790"/>
      <c r="AA190" s="193"/>
      <c r="AB190" s="193"/>
      <c r="AC190" s="125"/>
      <c r="AD190" s="2641" t="e">
        <f ca="1">$W$187</f>
        <v>#NAME?</v>
      </c>
      <c r="AE190" s="2641" t="e">
        <f ca="1" t="shared" si="53" ref="AE190:BN190">$W$187</f>
        <v>#NAME?</v>
      </c>
      <c r="AF190" s="2641" t="e">
        <f t="shared" ca="1" si="53"/>
        <v>#NAME?</v>
      </c>
      <c r="AG190" s="2641" t="e">
        <f t="shared" ca="1" si="53"/>
        <v>#NAME?</v>
      </c>
      <c r="AH190" s="2641" t="e">
        <f t="shared" ca="1" si="53"/>
        <v>#NAME?</v>
      </c>
      <c r="AI190" s="2641" t="e">
        <f t="shared" ca="1" si="53"/>
        <v>#NAME?</v>
      </c>
      <c r="AJ190" s="2641" t="e">
        <f t="shared" ca="1" si="53"/>
        <v>#NAME?</v>
      </c>
      <c r="AK190" s="2641" t="e">
        <f t="shared" ca="1" si="53"/>
        <v>#NAME?</v>
      </c>
      <c r="AL190" s="2641" t="e">
        <f t="shared" ca="1" si="53"/>
        <v>#NAME?</v>
      </c>
      <c r="AM190" s="2641" t="e">
        <f t="shared" ca="1" si="53"/>
        <v>#NAME?</v>
      </c>
      <c r="AN190" s="2641" t="e">
        <f t="shared" ca="1" si="53"/>
        <v>#NAME?</v>
      </c>
      <c r="AO190" s="2641" t="e">
        <f t="shared" ca="1" si="53"/>
        <v>#NAME?</v>
      </c>
      <c r="AP190" s="2641" t="e">
        <f t="shared" ca="1" si="53"/>
        <v>#NAME?</v>
      </c>
      <c r="AQ190" s="2641" t="e">
        <f t="shared" ca="1" si="53"/>
        <v>#NAME?</v>
      </c>
      <c r="AR190" s="2641" t="e">
        <f t="shared" ca="1" si="53"/>
        <v>#NAME?</v>
      </c>
      <c r="AS190" s="2641" t="e">
        <f t="shared" ca="1" si="53"/>
        <v>#NAME?</v>
      </c>
      <c r="AT190" s="2641" t="e">
        <f t="shared" ca="1" si="53"/>
        <v>#NAME?</v>
      </c>
      <c r="AU190" s="2641" t="e">
        <f t="shared" ca="1" si="53"/>
        <v>#NAME?</v>
      </c>
      <c r="AV190" s="2641" t="e">
        <f t="shared" ca="1" si="53"/>
        <v>#NAME?</v>
      </c>
      <c r="AW190" s="2641" t="e">
        <f t="shared" ca="1" si="53"/>
        <v>#NAME?</v>
      </c>
      <c r="AX190" s="2641" t="e">
        <f t="shared" ca="1" si="53"/>
        <v>#NAME?</v>
      </c>
      <c r="AY190" s="2641" t="e">
        <f t="shared" ca="1" si="53"/>
        <v>#NAME?</v>
      </c>
      <c r="AZ190" s="2641" t="e">
        <f t="shared" ca="1" si="53"/>
        <v>#NAME?</v>
      </c>
      <c r="BA190" s="2641" t="e">
        <f t="shared" ca="1" si="53"/>
        <v>#NAME?</v>
      </c>
      <c r="BB190" s="2641" t="e">
        <f t="shared" ca="1" si="53"/>
        <v>#NAME?</v>
      </c>
      <c r="BC190" s="2641" t="e">
        <f t="shared" ca="1" si="53"/>
        <v>#NAME?</v>
      </c>
      <c r="BD190" s="2641" t="e">
        <f t="shared" ca="1" si="53"/>
        <v>#NAME?</v>
      </c>
      <c r="BE190" s="2641" t="e">
        <f t="shared" ca="1" si="53"/>
        <v>#NAME?</v>
      </c>
      <c r="BF190" s="2641" t="e">
        <f t="shared" ca="1" si="53"/>
        <v>#NAME?</v>
      </c>
      <c r="BG190" s="2641" t="e">
        <f t="shared" ca="1" si="53"/>
        <v>#NAME?</v>
      </c>
      <c r="BH190" s="2641" t="e">
        <f t="shared" ca="1" si="53"/>
        <v>#NAME?</v>
      </c>
      <c r="BI190" s="2641" t="e">
        <f t="shared" ca="1" si="53"/>
        <v>#NAME?</v>
      </c>
      <c r="BJ190" s="2641" t="e">
        <f t="shared" ca="1" si="53"/>
        <v>#NAME?</v>
      </c>
      <c r="BK190" s="2641" t="e">
        <f t="shared" ca="1" si="53"/>
        <v>#NAME?</v>
      </c>
      <c r="BL190" s="2641" t="e">
        <f t="shared" ca="1" si="53"/>
        <v>#NAME?</v>
      </c>
      <c r="BM190" s="2641" t="e">
        <f t="shared" ca="1" si="53"/>
        <v>#NAME?</v>
      </c>
      <c r="BN190" s="2641" t="e">
        <f t="shared" ca="1" si="53"/>
        <v>#NAME?</v>
      </c>
      <c r="BO190" s="2070"/>
      <c r="BP190" s="2070"/>
      <c r="BQ190" s="2070"/>
      <c r="BR190" s="2070"/>
      <c r="BS190" s="2070"/>
      <c r="BT190" s="2070"/>
      <c r="BU190" s="2070"/>
      <c r="BV190" s="2070"/>
      <c r="BW190" s="2070"/>
      <c r="BX190" s="2070"/>
      <c r="BY190" s="2070"/>
      <c r="BZ190" s="2070"/>
      <c r="CA190" s="34"/>
      <c r="CC190" s="58"/>
      <c r="CD190" s="1720" t="e" cm="1">
        <f t="array" ca="1" aca="1" ref="CD190">fx_scenarioConverter($W187)</f>
        <v>#NAME?</v>
      </c>
      <c r="CE190" s="1721" t="e" cm="1">
        <f t="array" ca="1" aca="1" ref="CE190">fx_scenarioConverter($W187)</f>
        <v>#NAME?</v>
      </c>
      <c r="CF190" s="128"/>
      <c r="CG190" s="1734" t="e" cm="1">
        <f t="array" ca="1" aca="1" ref="CG190">fx_scenarioConverter($W187)</f>
        <v>#NAME?</v>
      </c>
      <c r="CH190" s="1735" t="e" cm="1">
        <f t="array" ca="1" aca="1" ref="CH190">fx_scenarioConverter($W187)</f>
        <v>#NAME?</v>
      </c>
      <c r="CI190" s="207"/>
      <c r="CJ190" s="1724" t="e" cm="1">
        <f t="array" ca="1" aca="1" ref="CJ190">fx_scenarioConverter($W187)</f>
        <v>#NAME?</v>
      </c>
      <c r="CK190" s="1725" t="e" cm="1">
        <f t="array" ca="1" aca="1" ref="CK190">fx_scenarioConverter($W187)</f>
        <v>#NAME?</v>
      </c>
      <c r="CL190" s="88"/>
      <c r="CM190" s="1198" t="str">
        <f>CM$19</f>
        <v>Original Budget</v>
      </c>
      <c r="CN190" s="1198" t="str">
        <f>CN$19</f>
        <v>LE</v>
      </c>
      <c r="CO190" s="88"/>
      <c r="CP190" s="1198" t="str">
        <f>CP$19</f>
        <v>Original Budget</v>
      </c>
      <c r="CQ190" s="1198" t="str">
        <f>CQ$19</f>
        <v>LE</v>
      </c>
      <c r="CR190" s="34"/>
      <c r="CS190" s="2056"/>
      <c r="CT190" s="1880"/>
      <c r="CU190" s="1880"/>
      <c r="CV190" s="1880"/>
      <c r="CW190" s="1880"/>
      <c r="CX190" s="2121"/>
      <c r="CY190" s="1880"/>
      <c r="CZ190" s="1880"/>
      <c r="DA190" s="1880"/>
      <c r="DB190" s="1880"/>
      <c r="DC190" s="2121"/>
      <c r="DD190" s="1880"/>
      <c r="DE190" s="1880"/>
      <c r="DF190" s="1880"/>
      <c r="DG190" s="1880"/>
      <c r="DH190" s="1880"/>
      <c r="DI190" s="1880"/>
      <c r="DJ190" s="1880"/>
      <c r="DK190" s="1880"/>
      <c r="DL190" s="1880"/>
      <c r="DM190" s="1880"/>
      <c r="DN190" s="1880"/>
      <c r="DO190" s="1880"/>
      <c r="DP190" s="1880"/>
      <c r="DQ190" s="1880"/>
      <c r="DR190" s="1880"/>
      <c r="DS190" s="1880"/>
      <c r="DT190" s="1880"/>
      <c r="DU190" s="1880"/>
      <c r="DV190" s="1880"/>
      <c r="DW190" s="1880"/>
      <c r="DX190" s="1880"/>
      <c r="DY190" s="1880"/>
      <c r="DZ190" s="1880"/>
      <c r="EA190" s="1880"/>
      <c r="EB190" s="1880"/>
      <c r="EC190" s="1880"/>
      <c r="ED190" s="1880"/>
      <c r="EE190" s="1880"/>
      <c r="EF190" s="1880"/>
      <c r="EG190" s="1880"/>
      <c r="EH190" s="1880"/>
      <c r="EI190" s="1880"/>
      <c r="EJ190" s="1880"/>
      <c r="EK190" s="1880"/>
      <c r="EL190" s="1880"/>
      <c r="EM190" s="1880"/>
      <c r="EN190" s="1880"/>
      <c r="EO190" s="1880"/>
      <c r="EP190" s="1880"/>
      <c r="EQ190" s="1880"/>
    </row>
    <row r="191" spans="1:144" ht="21" customHeight="1">
      <c r="A191" s="1625" t="s">
        <v>96</v>
      </c>
      <c r="B191" s="3182">
        <f>_xlfn.LET(_xlpm.IsNotAttrDynamic,D191="",_xlpm.Attr,_PL!F191,_xlpm.NotInUse,Y191=D191,_xlpm.RESULT,IF(_xlpm.IsNotAttrDynamic,_xlpm.Attr,IF(_xlpm.NotInUse,"",Y191)),IF(_xlpm.RESULT="","",_xlpm.RESULT))</f>
        <v>2</v>
      </c>
      <c r="C191" s="3459" t="str" cm="1">
        <f t="array" ref="C191">IFBLANK(_PL!C191,"")</f>
        <v>Segment I Breakdown Top Line Label</v>
      </c>
      <c r="D191" s="1548" t="s">
        <v>160</v>
      </c>
      <c r="E191" s="2440" t="e" cm="1">
        <f t="array" ca="1" aca="1" ref="E19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191:$CQ191,Z191)</f>
        <v>#NAME?</v>
      </c>
      <c r="F191" s="578"/>
      <c r="G191" s="578"/>
      <c r="H191" s="3294">
        <v>2</v>
      </c>
      <c r="I191" s="3294">
        <v>1</v>
      </c>
      <c r="J191" s="401" cm="1">
        <f t="array" ref="J191">IFBLANK(Z191,"")</f>
        <v>0</v>
      </c>
      <c r="K191" s="578" t="str">
        <f>IFERROR(IF(LEN(AB191)=0,"No",IF(LEN(J191)&gt;0,"Yes","No")),"")</f>
        <v>Yes</v>
      </c>
      <c r="L191" s="37"/>
      <c r="N191" s="158"/>
      <c r="O191" s="101"/>
      <c r="P191" s="52"/>
      <c r="Q191" s="101"/>
      <c r="R191" s="101"/>
      <c r="S191" s="101"/>
      <c r="T191" s="160"/>
      <c r="U191" s="39"/>
      <c r="V191" s="37"/>
      <c r="W191" s="91" t="e" cm="1">
        <f t="array" ca="1" aca="1" ref="W191">fx_scenarioConverter(W187)</f>
        <v>#NAME?</v>
      </c>
      <c r="X191" s="2588" t="e" vm="4">
        <f>_PL!X191</f>
        <v>#VALUE!</v>
      </c>
      <c r="Y191" s="3206">
        <v>2</v>
      </c>
      <c r="Z191" s="878">
        <f>_PL!Z191</f>
        <v>0</v>
      </c>
      <c r="AA191" s="877"/>
      <c r="AB191" s="3184">
        <f>Y191</f>
        <v>2</v>
      </c>
      <c r="AC191" s="1163" t="str" cm="1">
        <f t="array" ca="1" aca="1" ref="AC191">_xlfn.LET(_xlpm._termname,$AB191,_xlpm._iconname,"find",_xlpm._icon,fx_getIcon(_xlpm._iconname),_xlpm._location,_xlfn.XLOOKUP(LOWER(_xlpm._termname),LOWER(tbl_acctDef[Term]),tbl_acctDef[Term]),_xlpm._hyperlink,HYPERLINK("#"&amp;CELL("address",_xlpm._location),_xlpm._icon),IFERROR(_xlpm._hyperlink,""))</f>
        <v/>
      </c>
      <c r="AD191" s="2564" t="e" cm="1">
        <f t="array" ca="1" aca="1" ref="AD191">_xlfn.XLOOKUP($W191&amp;$AB191,$W$20:$W$141&amp;$AB$20:$AB$141,AD$20:BN$141,"")</f>
        <v>#NAME?</v>
      </c>
      <c r="AE191" s="3470"/>
      <c r="AF191" s="3470"/>
      <c r="AG191" s="3470"/>
      <c r="AH191" s="3470"/>
      <c r="AI191" s="3470"/>
      <c r="AJ191" s="3470"/>
      <c r="AK191" s="3470"/>
      <c r="AL191" s="3470"/>
      <c r="AM191" s="3470"/>
      <c r="AN191" s="3470"/>
      <c r="AO191" s="3470"/>
      <c r="AP191" s="3470"/>
      <c r="AQ191" s="3470"/>
      <c r="AR191" s="3470"/>
      <c r="AS191" s="3470"/>
      <c r="AT191" s="3470"/>
      <c r="AU191" s="3470"/>
      <c r="AV191" s="3470"/>
      <c r="AW191" s="3470"/>
      <c r="AX191" s="3470"/>
      <c r="AY191" s="3470"/>
      <c r="AZ191" s="3470"/>
      <c r="BA191" s="3470"/>
      <c r="BB191" s="3470"/>
      <c r="BC191" s="3470"/>
      <c r="BD191" s="3470"/>
      <c r="BE191" s="3470"/>
      <c r="BF191" s="3470"/>
      <c r="BG191" s="3470"/>
      <c r="BH191" s="3470"/>
      <c r="BI191" s="3470"/>
      <c r="BJ191" s="3470"/>
      <c r="BK191" s="3470"/>
      <c r="BL191" s="3470"/>
      <c r="BM191" s="3470"/>
      <c r="BN191" s="3470"/>
      <c r="BO191" s="2096"/>
      <c r="BP191" s="2096"/>
      <c r="BQ191" s="2096"/>
      <c r="BR191" s="2096"/>
      <c r="BS191" s="2096"/>
      <c r="BT191" s="2096"/>
      <c r="BU191" s="2096"/>
      <c r="BV191" s="2096"/>
      <c r="BW191" s="2096"/>
      <c r="BX191" s="2096"/>
      <c r="BY191" s="2096"/>
      <c r="BZ191" s="2096"/>
      <c r="CA191" s="34"/>
      <c r="CC191" s="33"/>
      <c r="CD191" s="1461" t="e" cm="1">
        <f t="array" ca="1" aca="1" ref="CD191">_xlfn.LET(_xlpm.CheckBlank,SUM(PL!$AD191:$BN191)=0,IF(_xlpm.CheckBlank,"",SUM(_xlfn._xlws.FILTER(PL!$AD191:$BN191,(YEAR(PL!$AD$12:$BN$12)=PL!CD$12)*(array_timeline&lt;=PL!CD$11)))))</f>
        <v>#NAME?</v>
      </c>
      <c r="CE191" s="1461" t="e" cm="1">
        <f t="array" ca="1" aca="1" ref="CE191">_xlfn.LET(_xlpm.CheckBlank,SUM(PL!$AD191:$BN191)=0,IF(_xlpm.CheckBlank,"",SUM(_xlfn._xlws.FILTER(PL!$AD191:$BN191,(YEAR(PL!$AD$12:$BN$12)=PL!CE$12)*(array_timeline&lt;=PL!CE$11)))))</f>
        <v>#NAME?</v>
      </c>
      <c r="CF191" s="88"/>
      <c r="CG191" s="1461" t="e" cm="1">
        <f t="array" ca="1" aca="1" ref="CG191">_xlfn.LET(_xlpm.CheckBlank,SUM(PL!$AD191:$BN191)=0,IF(_xlpm.CheckBlank,"",SUM(_xlfn._xlws.FILTER(PL!$AD191:$BN191,(YEAR(PL!$AD$12:$BN$12)=PL!CG$12)*(array_timeline&lt;=PL!CG$11)))))</f>
        <v>#NAME?</v>
      </c>
      <c r="CH191" s="1461" t="e" cm="1">
        <f t="array" ca="1" aca="1" ref="CH191">_xlfn.LET(_xlpm.CheckBlank,SUM(PL!$AD191:$BN191)=0,IF(_xlpm.CheckBlank,"",SUM(_xlfn._xlws.FILTER(PL!$AD191:$BN191,(YEAR(PL!$AD$12:$BN$12)=PL!CH$12)*(array_timeline&lt;=PL!CH$11)))))</f>
        <v>#NAME?</v>
      </c>
      <c r="CI191" s="88"/>
      <c r="CJ191" s="1461" t="e" cm="1">
        <f t="array" ca="1" aca="1" ref="CJ191">_xlfn.LET(_xlpm.CheckBlank,SUM(PL!$AD191:$BN191)=0,IF(_xlpm.CheckBlank,"",SUM(_xlfn.TAKE(_xlfn.DROP(PL!$AD191:$BN191,,-DATEDIFF(PL!CJ$11,val_asOfDate,"M")),1,-12))))</f>
        <v>#NAME?</v>
      </c>
      <c r="CK191" s="1461" t="e" cm="1">
        <f t="array" ca="1" aca="1" ref="CK191">_xlfn.LET(_xlpm.CheckBlank,SUM(PL!$AD191:$BN191)=0,IF(_xlpm.CheckBlank,"",SUM(_xlfn.TAKE(_xlfn.DROP(PL!$AD191:$BN191,,-DATEDIFF(PL!CK$11,val_asOfDate,"M")),1,-12))))</f>
        <v>#NAME?</v>
      </c>
      <c r="CL191" s="88"/>
      <c r="CM191" s="2060" t="str" cm="1">
        <f t="array" ca="1" aca="1" ref="CM191">_xlfn.LET(_xlpm.findRow,_xlfn.XMATCH($W191&amp;$Y191,$W$20:$W$118&amp;$AB$20:$AB$118,0),_xlpm.Choose,_xlfn.CHOOSEROWS(CM$20:CN$118,_xlpm.findRow),_xlpm.RESULT,IF(ISERROR(_xlpm.findRow),"",_xlpm.Choose),_xlpm.RESULT)</f>
        <v/>
      </c>
      <c r="CN191" s="3471"/>
      <c r="CO191" s="88"/>
      <c r="CP191" s="2060" t="str" cm="1">
        <f t="array" ca="1" aca="1" ref="CP191">_xlfn.LET(_xlpm.findRow,_xlfn.XMATCH($W191&amp;$Y191,$W$20:$W$118&amp;$AB$20:$AB$118,0),_xlpm.Choose,_xlfn.CHOOSEROWS(CP$20:CQ$118,_xlpm.findRow),_xlpm.RESULT,IF(ISERROR(_xlpm.findRow),"",_xlpm.Choose),_xlpm.RESULT)</f>
        <v/>
      </c>
      <c r="CQ191" s="3471"/>
      <c r="CR191" s="34"/>
      <c r="CS191" s="2056"/>
      <c r="CT191" s="2447" t="e" cm="1">
        <f t="array" ca="1" aca="1" ref="CT191">IF(Y191="Please select the metric for segmentation","",_xldudf_CX_PUSH(Y191,CX_ENTITY,C191,val_asOfDate))</f>
        <v>#NAME?</v>
      </c>
      <c r="CU191" s="2447" t="e" cm="1">
        <f t="array" ca="1" aca="1" ref="CU191">IF(Y191="Please select the metric for segmentation","",_xldudf_CX_PUSH(Y191,CX_ENTITY,C191,EOMONTH(val_asOfDate,1)))</f>
        <v>#NAME?</v>
      </c>
      <c r="CV191" s="2447" t="e" cm="1">
        <f t="array" ca="1" aca="1" ref="CV191">IF(Y191="Please select the metric for segmentation","",_xldudf_CX_PUSH(Y191,CX_ENTITY,C191,EOMONTH(val_asOfDate,2)))</f>
        <v>#NAME?</v>
      </c>
      <c r="CW191" s="2447" t="e" cm="1">
        <f t="array" ca="1" aca="1" ref="CW191">IF(Y191="Please select the metric for segmentation","",_xldudf_CX_PUSH(Y191,CX_ENTITY,C191,EOMONTH(val_asOfDate,3)))</f>
        <v>#NAME?</v>
      </c>
      <c r="CX191" s="2566"/>
      <c r="CY191" s="2444" t="str" cm="1">
        <f t="array" ca="1" aca="1" ref="CY191">IFERROR(IF(CM191*fxVal_normal=_PL!CM191,"",IF(OR($CM191="",$CM191=0,NOT(ISNUMBER($CM191)),ISERROR($CM191),$B191=""),"",IF($I191=1,IFBLANK(_xldudf_CX_PUSH($CM191*fxVal_normal,CX_ENTITY,$B191,$CM$11,$CM$14,$CM$19,),""),IF($I191=2,IFBLANK(_xldudf_CX_PUSH($CM191,CX_ENTITY,$B191,$CM$11,$CM$14,$CM$19,),""),IF($I191=3,"",IFBLANK(_xldudf_CX_PUSH($CM191,CX_ENTITY,$B191,$CM$11,$CM$14,$CM$19,),"")))))),"")</f>
        <v/>
      </c>
      <c r="CZ191" s="2444" t="str" cm="1">
        <f t="array" ref="CZ191">IFERROR(IF(CN191*fxVal_normal=_PL!CN191,"",IF(OR($CN191="",$CN191=0,NOT(ISNUMBER($CN191)),ISERROR($CN191),$B191=""),"",IF($I191=1,IFBLANK(_xldudf_CX_PUSH($CN191*fxVal_normal,CX_ENTITY,$B191,$CN$11,$CN$14,$CN$19,),""),IF($I191=2,IFBLANK(_xldudf_CX_PUSH($CN191,CX_ENTITY,$B191,$CN$11,$CN$14,$CN$19,),""),IF($I191=3,"",IFBLANK(_xldudf_CX_PUSH($CN191,CX_ENTITY,$B191,$CN$11,$CN$14,$CN$19,),"")))))),"")</f>
        <v/>
      </c>
      <c r="DA191" s="2444" t="str" cm="1">
        <f t="array" ca="1" aca="1" ref="DA191">IFERROR(IF(CP191*fxVal_normal=_PL!CP191,"",IF(OR($CP191="",$CP191=0,NOT(ISNUMBER($CP191)),ISERROR($CP191),$B191=""),"",IF($I191=1,IFBLANK(_xldudf_CX_PUSH($CP191*fxVal_normal,CX_ENTITY,$B191,$CP$11,$CP$14,$CP$19,),""),IF($I191=2,IFBLANK(_xldudf_CX_PUSH($CP191,CX_ENTITY,$B191,$CP$11,$CP$14,$CP$19,),""),IF($I191=3,"",IFBLANK(_xldudf_CX_PUSH($CP191,CX_ENTITY,$B191,$CP$11,$CP$14,$CP$19,),"")))))),"")</f>
        <v/>
      </c>
      <c r="DB191" s="2444" t="str" cm="1">
        <f t="array" ref="DB191">IFERROR(IF(CQ191*fxVal_normal=_PL!CQ191,"",IF(OR($CQ191="",$CQ191=0,NOT(ISNUMBER($CQ191)),ISERROR($CQ191),$B191=""),"",IF($I191=1,IFBLANK(_xldudf_CX_PUSH($CQ191*fxVal_normal,CX_ENTITY,$B191,$CQ$11,$CQ$14,$CQ$19,),""),IF($I191=2,IFBLANK(_xldudf_CX_PUSH($CQ191,CX_ENTITY,$B191,$CQ$11,$CQ$14,$CQ$19,),""),IF($I191=3,"",IFBLANK(_xldudf_CX_PUSH($CQ191,CX_ENTITY,$B191,$CQ$11,$CQ$14,$CQ$19,),"")))))),"")</f>
        <v/>
      </c>
      <c r="DC191" s="2443"/>
      <c r="DD191" s="2445" t="str" cm="1">
        <f t="array" ca="1" aca="1" ref="DD191">IFERROR(IF(AD191*fxVal_normal=_PL!AD191,"",IF(OR(AD191="",NOT(ISNUMBER(AD191)),ISERROR(AD191),$B191=""),"",IF($I191=1,IFBLANK(_xldudf_CX_PUSH(AD191*fxVal_normal,CX_ENTITY,$B191,AD$11,AD$14,AD$190,),""),IF($I191=2,IFBLANK(_xldudf_CX_PUSH(AD191,CX_ENTITY,$B191,AD$11,AD$14,AD$190,),""),IF($I191=3,"",IFBLANK(_xldudf_CX_PUSH(AD191,CX_ENTITY,$B191,AD$11,AD$14,AD$190,),"")))))),"")</f>
        <v/>
      </c>
      <c r="DE191" s="2445" t="str" cm="1">
        <f t="array" ca="1" aca="1" ref="DE191">IFERROR(IF(AE191*fxVal_normal=_PL!AE191,"",IF(OR(AE191="",NOT(ISNUMBER(AE191)),ISERROR(AE191),$B191=""),"",IF($I191=1,IFBLANK(_xldudf_CX_PUSH(AE191*fxVal_normal,CX_ENTITY,$B191,AE$11,AE$14,AE$190,),""),IF($I191=2,IFBLANK(_xldudf_CX_PUSH(AE191,CX_ENTITY,$B191,AE$11,AE$14,AE$190,),""),IF($I191=3,"",IFBLANK(_xldudf_CX_PUSH(AE191,CX_ENTITY,$B191,AE$11,AE$14,AE$190,),"")))))),"")</f>
        <v/>
      </c>
      <c r="DF191" s="2445" t="str" cm="1">
        <f t="array" ca="1" aca="1" ref="DF191">IFERROR(IF(AF191*fxVal_normal=_PL!AF191,"",IF(OR(AF191="",NOT(ISNUMBER(AF191)),ISERROR(AF191),$B191=""),"",IF($I191=1,IFBLANK(_xldudf_CX_PUSH(AF191*fxVal_normal,CX_ENTITY,$B191,AF$11,AF$14,AF$190,),""),IF($I191=2,IFBLANK(_xldudf_CX_PUSH(AF191,CX_ENTITY,$B191,AF$11,AF$14,AF$190,),""),IF($I191=3,"",IFBLANK(_xldudf_CX_PUSH(AF191,CX_ENTITY,$B191,AF$11,AF$14,AF$190,),"")))))),"")</f>
        <v/>
      </c>
      <c r="DG191" s="2445" t="str" cm="1">
        <f t="array" ca="1" aca="1" ref="DG191">IFERROR(IF(AG191*fxVal_normal=_PL!AG191,"",IF(OR(AG191="",NOT(ISNUMBER(AG191)),ISERROR(AG191),$B191=""),"",IF($I191=1,IFBLANK(_xldudf_CX_PUSH(AG191*fxVal_normal,CX_ENTITY,$B191,AG$11,AG$14,AG$190,),""),IF($I191=2,IFBLANK(_xldudf_CX_PUSH(AG191,CX_ENTITY,$B191,AG$11,AG$14,AG$190,),""),IF($I191=3,"",IFBLANK(_xldudf_CX_PUSH(AG191,CX_ENTITY,$B191,AG$11,AG$14,AG$190,),"")))))),"")</f>
        <v/>
      </c>
      <c r="DH191" s="2445" t="str" cm="1">
        <f t="array" ca="1" aca="1" ref="DH191">IFERROR(IF(AH191*fxVal_normal=_PL!AH191,"",IF(OR(AH191="",NOT(ISNUMBER(AH191)),ISERROR(AH191),$B191=""),"",IF($I191=1,IFBLANK(_xldudf_CX_PUSH(AH191*fxVal_normal,CX_ENTITY,$B191,AH$11,AH$14,AH$190,),""),IF($I191=2,IFBLANK(_xldudf_CX_PUSH(AH191,CX_ENTITY,$B191,AH$11,AH$14,AH$190,),""),IF($I191=3,"",IFBLANK(_xldudf_CX_PUSH(AH191,CX_ENTITY,$B191,AH$11,AH$14,AH$190,),"")))))),"")</f>
        <v/>
      </c>
      <c r="DI191" s="2445" t="str" cm="1">
        <f t="array" ca="1" aca="1" ref="DI191">IFERROR(IF(AI191*fxVal_normal=_PL!AI191,"",IF(OR(AI191="",NOT(ISNUMBER(AI191)),ISERROR(AI191),$B191=""),"",IF($I191=1,IFBLANK(_xldudf_CX_PUSH(AI191*fxVal_normal,CX_ENTITY,$B191,AI$11,AI$14,AI$190,),""),IF($I191=2,IFBLANK(_xldudf_CX_PUSH(AI191,CX_ENTITY,$B191,AI$11,AI$14,AI$190,),""),IF($I191=3,"",IFBLANK(_xldudf_CX_PUSH(AI191,CX_ENTITY,$B191,AI$11,AI$14,AI$190,),"")))))),"")</f>
        <v/>
      </c>
      <c r="DJ191" s="2445" t="str" cm="1">
        <f t="array" ca="1" aca="1" ref="DJ191">IFERROR(IF(AJ191*fxVal_normal=_PL!AJ191,"",IF(OR(AJ191="",NOT(ISNUMBER(AJ191)),ISERROR(AJ191),$B191=""),"",IF($I191=1,IFBLANK(_xldudf_CX_PUSH(AJ191*fxVal_normal,CX_ENTITY,$B191,AJ$11,AJ$14,AJ$190,),""),IF($I191=2,IFBLANK(_xldudf_CX_PUSH(AJ191,CX_ENTITY,$B191,AJ$11,AJ$14,AJ$190,),""),IF($I191=3,"",IFBLANK(_xldudf_CX_PUSH(AJ191,CX_ENTITY,$B191,AJ$11,AJ$14,AJ$190,),"")))))),"")</f>
        <v/>
      </c>
      <c r="DK191" s="2445" t="str" cm="1">
        <f t="array" ca="1" aca="1" ref="DK191">IFERROR(IF(AK191*fxVal_normal=_PL!AK191,"",IF(OR(AK191="",NOT(ISNUMBER(AK191)),ISERROR(AK191),$B191=""),"",IF($I191=1,IFBLANK(_xldudf_CX_PUSH(AK191*fxVal_normal,CX_ENTITY,$B191,AK$11,AK$14,AK$190,),""),IF($I191=2,IFBLANK(_xldudf_CX_PUSH(AK191,CX_ENTITY,$B191,AK$11,AK$14,AK$190,),""),IF($I191=3,"",IFBLANK(_xldudf_CX_PUSH(AK191,CX_ENTITY,$B191,AK$11,AK$14,AK$190,),"")))))),"")</f>
        <v/>
      </c>
      <c r="DL191" s="2445" t="str" cm="1">
        <f t="array" ca="1" aca="1" ref="DL191">IFERROR(IF(AL191*fxVal_normal=_PL!AL191,"",IF(OR(AL191="",NOT(ISNUMBER(AL191)),ISERROR(AL191),$B191=""),"",IF($I191=1,IFBLANK(_xldudf_CX_PUSH(AL191*fxVal_normal,CX_ENTITY,$B191,AL$11,AL$14,AL$190,),""),IF($I191=2,IFBLANK(_xldudf_CX_PUSH(AL191,CX_ENTITY,$B191,AL$11,AL$14,AL$190,),""),IF($I191=3,"",IFBLANK(_xldudf_CX_PUSH(AL191,CX_ENTITY,$B191,AL$11,AL$14,AL$190,),"")))))),"")</f>
        <v/>
      </c>
      <c r="DM191" s="2445" t="str" cm="1">
        <f t="array" ca="1" aca="1" ref="DM191">IFERROR(IF(AM191*fxVal_normal=_PL!AM191,"",IF(OR(AM191="",NOT(ISNUMBER(AM191)),ISERROR(AM191),$B191=""),"",IF($I191=1,IFBLANK(_xldudf_CX_PUSH(AM191*fxVal_normal,CX_ENTITY,$B191,AM$11,AM$14,AM$190,),""),IF($I191=2,IFBLANK(_xldudf_CX_PUSH(AM191,CX_ENTITY,$B191,AM$11,AM$14,AM$190,),""),IF($I191=3,"",IFBLANK(_xldudf_CX_PUSH(AM191,CX_ENTITY,$B191,AM$11,AM$14,AM$190,),"")))))),"")</f>
        <v/>
      </c>
      <c r="DN191" s="2445" t="str" cm="1">
        <f t="array" ca="1" aca="1" ref="DN191">IFERROR(IF(AN191*fxVal_normal=_PL!AN191,"",IF(OR(AN191="",NOT(ISNUMBER(AN191)),ISERROR(AN191),$B191=""),"",IF($I191=1,IFBLANK(_xldudf_CX_PUSH(AN191*fxVal_normal,CX_ENTITY,$B191,AN$11,AN$14,AN$190,),""),IF($I191=2,IFBLANK(_xldudf_CX_PUSH(AN191,CX_ENTITY,$B191,AN$11,AN$14,AN$190,),""),IF($I191=3,"",IFBLANK(_xldudf_CX_PUSH(AN191,CX_ENTITY,$B191,AN$11,AN$14,AN$190,),"")))))),"")</f>
        <v/>
      </c>
      <c r="DO191" s="2445" t="str" cm="1">
        <f t="array" ca="1" aca="1" ref="DO191">IFERROR(IF(AO191*fxVal_normal=_PL!AO191,"",IF(OR(AO191="",NOT(ISNUMBER(AO191)),ISERROR(AO191),$B191=""),"",IF($I191=1,IFBLANK(_xldudf_CX_PUSH(AO191*fxVal_normal,CX_ENTITY,$B191,AO$11,AO$14,AO$190,),""),IF($I191=2,IFBLANK(_xldudf_CX_PUSH(AO191,CX_ENTITY,$B191,AO$11,AO$14,AO$190,),""),IF($I191=3,"",IFBLANK(_xldudf_CX_PUSH(AO191,CX_ENTITY,$B191,AO$11,AO$14,AO$190,),"")))))),"")</f>
        <v/>
      </c>
      <c r="DP191" s="2445" t="str" cm="1">
        <f t="array" ca="1" aca="1" ref="DP191">IFERROR(IF(AP191*fxVal_normal=_PL!AP191,"",IF(OR(AP191="",NOT(ISNUMBER(AP191)),ISERROR(AP191),$B191=""),"",IF($I191=1,IFBLANK(_xldudf_CX_PUSH(AP191*fxVal_normal,CX_ENTITY,$B191,AP$11,AP$14,AP$190,),""),IF($I191=2,IFBLANK(_xldudf_CX_PUSH(AP191,CX_ENTITY,$B191,AP$11,AP$14,AP$190,),""),IF($I191=3,"",IFBLANK(_xldudf_CX_PUSH(AP191,CX_ENTITY,$B191,AP$11,AP$14,AP$190,),"")))))),"")</f>
        <v/>
      </c>
      <c r="DQ191" s="2445" t="str" cm="1">
        <f t="array" ca="1" aca="1" ref="DQ191">IFERROR(IF(AQ191*fxVal_normal=_PL!AQ191,"",IF(OR(AQ191="",NOT(ISNUMBER(AQ191)),ISERROR(AQ191),$B191=""),"",IF($I191=1,IFBLANK(_xldudf_CX_PUSH(AQ191*fxVal_normal,CX_ENTITY,$B191,AQ$11,AQ$14,AQ$190,),""),IF($I191=2,IFBLANK(_xldudf_CX_PUSH(AQ191,CX_ENTITY,$B191,AQ$11,AQ$14,AQ$190,),""),IF($I191=3,"",IFBLANK(_xldudf_CX_PUSH(AQ191,CX_ENTITY,$B191,AQ$11,AQ$14,AQ$190,),"")))))),"")</f>
        <v/>
      </c>
      <c r="DR191" s="2445" t="str" cm="1">
        <f t="array" ca="1" aca="1" ref="DR191">IFERROR(IF(AR191*fxVal_normal=_PL!AR191,"",IF(OR(AR191="",NOT(ISNUMBER(AR191)),ISERROR(AR191),$B191=""),"",IF($I191=1,IFBLANK(_xldudf_CX_PUSH(AR191*fxVal_normal,CX_ENTITY,$B191,AR$11,AR$14,AR$190,),""),IF($I191=2,IFBLANK(_xldudf_CX_PUSH(AR191,CX_ENTITY,$B191,AR$11,AR$14,AR$190,),""),IF($I191=3,"",IFBLANK(_xldudf_CX_PUSH(AR191,CX_ENTITY,$B191,AR$11,AR$14,AR$190,),"")))))),"")</f>
        <v/>
      </c>
      <c r="DS191" s="2445" t="str" cm="1">
        <f t="array" ca="1" aca="1" ref="DS191">IFERROR(IF(AS191*fxVal_normal=_PL!AS191,"",IF(OR(AS191="",NOT(ISNUMBER(AS191)),ISERROR(AS191),$B191=""),"",IF($I191=1,IFBLANK(_xldudf_CX_PUSH(AS191*fxVal_normal,CX_ENTITY,$B191,AS$11,AS$14,AS$190,),""),IF($I191=2,IFBLANK(_xldudf_CX_PUSH(AS191,CX_ENTITY,$B191,AS$11,AS$14,AS$190,),""),IF($I191=3,"",IFBLANK(_xldudf_CX_PUSH(AS191,CX_ENTITY,$B191,AS$11,AS$14,AS$190,),"")))))),"")</f>
        <v/>
      </c>
      <c r="DT191" s="2445" t="str" cm="1">
        <f t="array" ca="1" aca="1" ref="DT191">IFERROR(IF(AT191*fxVal_normal=_PL!AT191,"",IF(OR(AT191="",NOT(ISNUMBER(AT191)),ISERROR(AT191),$B191=""),"",IF($I191=1,IFBLANK(_xldudf_CX_PUSH(AT191*fxVal_normal,CX_ENTITY,$B191,AT$11,AT$14,AT$190,),""),IF($I191=2,IFBLANK(_xldudf_CX_PUSH(AT191,CX_ENTITY,$B191,AT$11,AT$14,AT$190,),""),IF($I191=3,"",IFBLANK(_xldudf_CX_PUSH(AT191,CX_ENTITY,$B191,AT$11,AT$14,AT$190,),"")))))),"")</f>
        <v/>
      </c>
      <c r="DU191" s="2445" t="str" cm="1">
        <f t="array" ca="1" aca="1" ref="DU191">IFERROR(IF(AU191*fxVal_normal=_PL!AU191,"",IF(OR(AU191="",NOT(ISNUMBER(AU191)),ISERROR(AU191),$B191=""),"",IF($I191=1,IFBLANK(_xldudf_CX_PUSH(AU191*fxVal_normal,CX_ENTITY,$B191,AU$11,AU$14,AU$190,),""),IF($I191=2,IFBLANK(_xldudf_CX_PUSH(AU191,CX_ENTITY,$B191,AU$11,AU$14,AU$190,),""),IF($I191=3,"",IFBLANK(_xldudf_CX_PUSH(AU191,CX_ENTITY,$B191,AU$11,AU$14,AU$190,),"")))))),"")</f>
        <v/>
      </c>
      <c r="DV191" s="2445" t="str" cm="1">
        <f t="array" ca="1" aca="1" ref="DV191">IFERROR(IF(AV191*fxVal_normal=_PL!AV191,"",IF(OR(AV191="",NOT(ISNUMBER(AV191)),ISERROR(AV191),$B191=""),"",IF($I191=1,IFBLANK(_xldudf_CX_PUSH(AV191*fxVal_normal,CX_ENTITY,$B191,AV$11,AV$14,AV$190,),""),IF($I191=2,IFBLANK(_xldudf_CX_PUSH(AV191,CX_ENTITY,$B191,AV$11,AV$14,AV$190,),""),IF($I191=3,"",IFBLANK(_xldudf_CX_PUSH(AV191,CX_ENTITY,$B191,AV$11,AV$14,AV$190,),"")))))),"")</f>
        <v/>
      </c>
      <c r="DW191" s="2445" t="str" cm="1">
        <f t="array" ca="1" aca="1" ref="DW191">IFERROR(IF(AW191*fxVal_normal=_PL!AW191,"",IF(OR(AW191="",NOT(ISNUMBER(AW191)),ISERROR(AW191),$B191=""),"",IF($I191=1,IFBLANK(_xldudf_CX_PUSH(AW191*fxVal_normal,CX_ENTITY,$B191,AW$11,AW$14,AW$190,),""),IF($I191=2,IFBLANK(_xldudf_CX_PUSH(AW191,CX_ENTITY,$B191,AW$11,AW$14,AW$190,),""),IF($I191=3,"",IFBLANK(_xldudf_CX_PUSH(AW191,CX_ENTITY,$B191,AW$11,AW$14,AW$190,),"")))))),"")</f>
        <v/>
      </c>
      <c r="DX191" s="2445" t="str" cm="1">
        <f t="array" ca="1" aca="1" ref="DX191">IFERROR(IF(AX191*fxVal_normal=_PL!AX191,"",IF(OR(AX191="",NOT(ISNUMBER(AX191)),ISERROR(AX191),$B191=""),"",IF($I191=1,IFBLANK(_xldudf_CX_PUSH(AX191*fxVal_normal,CX_ENTITY,$B191,AX$11,AX$14,AX$190,),""),IF($I191=2,IFBLANK(_xldudf_CX_PUSH(AX191,CX_ENTITY,$B191,AX$11,AX$14,AX$190,),""),IF($I191=3,"",IFBLANK(_xldudf_CX_PUSH(AX191,CX_ENTITY,$B191,AX$11,AX$14,AX$190,),"")))))),"")</f>
        <v/>
      </c>
      <c r="DY191" s="2445" t="str" cm="1">
        <f t="array" ca="1" aca="1" ref="DY191">IFERROR(IF(AY191*fxVal_normal=_PL!AY191,"",IF(OR(AY191="",NOT(ISNUMBER(AY191)),ISERROR(AY191),$B191=""),"",IF($I191=1,IFBLANK(_xldudf_CX_PUSH(AY191*fxVal_normal,CX_ENTITY,$B191,AY$11,AY$14,AY$190,),""),IF($I191=2,IFBLANK(_xldudf_CX_PUSH(AY191,CX_ENTITY,$B191,AY$11,AY$14,AY$190,),""),IF($I191=3,"",IFBLANK(_xldudf_CX_PUSH(AY191,CX_ENTITY,$B191,AY$11,AY$14,AY$190,),"")))))),"")</f>
        <v/>
      </c>
      <c r="DZ191" s="2445" t="str" cm="1">
        <f t="array" ca="1" aca="1" ref="DZ191">IFERROR(IF(AZ191*fxVal_normal=_PL!AZ191,"",IF(OR(AZ191="",NOT(ISNUMBER(AZ191)),ISERROR(AZ191),$B191=""),"",IF($I191=1,IFBLANK(_xldudf_CX_PUSH(AZ191*fxVal_normal,CX_ENTITY,$B191,AZ$11,AZ$14,AZ$190,),""),IF($I191=2,IFBLANK(_xldudf_CX_PUSH(AZ191,CX_ENTITY,$B191,AZ$11,AZ$14,AZ$190,),""),IF($I191=3,"",IFBLANK(_xldudf_CX_PUSH(AZ191,CX_ENTITY,$B191,AZ$11,AZ$14,AZ$190,),"")))))),"")</f>
        <v/>
      </c>
      <c r="EA191" s="2445" t="str" cm="1">
        <f t="array" ca="1" aca="1" ref="EA191">IFERROR(IF(BA191*fxVal_normal=_PL!BA191,"",IF(OR(BA191="",NOT(ISNUMBER(BA191)),ISERROR(BA191),$B191=""),"",IF($I191=1,IFBLANK(_xldudf_CX_PUSH(BA191*fxVal_normal,CX_ENTITY,$B191,BA$11,BA$14,BA$190,),""),IF($I191=2,IFBLANK(_xldudf_CX_PUSH(BA191,CX_ENTITY,$B191,BA$11,BA$14,BA$190,),""),IF($I191=3,"",IFBLANK(_xldudf_CX_PUSH(BA191,CX_ENTITY,$B191,BA$11,BA$14,BA$190,),"")))))),"")</f>
        <v/>
      </c>
      <c r="EB191" s="2445" t="str" cm="1">
        <f t="array" ca="1" aca="1" ref="EB191">IFERROR(IF(BB191*fxVal_normal=_PL!BB191,"",IF(OR(BB191="",NOT(ISNUMBER(BB191)),ISERROR(BB191),$B191=""),"",IF($I191=1,IFBLANK(_xldudf_CX_PUSH(BB191*fxVal_normal,CX_ENTITY,$B191,BB$11,BB$14,BB$190,),""),IF($I191=2,IFBLANK(_xldudf_CX_PUSH(BB191,CX_ENTITY,$B191,BB$11,BB$14,BB$190,),""),IF($I191=3,"",IFBLANK(_xldudf_CX_PUSH(BB191,CX_ENTITY,$B191,BB$11,BB$14,BB$190,),"")))))),"")</f>
        <v/>
      </c>
      <c r="EC191" s="2445" t="str" cm="1">
        <f t="array" ca="1" aca="1" ref="EC191">IFERROR(IF(BC191*fxVal_normal=_PL!BC191,"",IF(OR(BC191="",NOT(ISNUMBER(BC191)),ISERROR(BC191),$B191=""),"",IF($I191=1,IFBLANK(_xldudf_CX_PUSH(BC191*fxVal_normal,CX_ENTITY,$B191,BC$11,BC$14,BC$190,),""),IF($I191=2,IFBLANK(_xldudf_CX_PUSH(BC191,CX_ENTITY,$B191,BC$11,BC$14,BC$190,),""),IF($I191=3,"",IFBLANK(_xldudf_CX_PUSH(BC191,CX_ENTITY,$B191,BC$11,BC$14,BC$190,),"")))))),"")</f>
        <v/>
      </c>
      <c r="ED191" s="2445" t="str" cm="1">
        <f t="array" ca="1" aca="1" ref="ED191">IFERROR(IF(BD191*fxVal_normal=_PL!BD191,"",IF(OR(BD191="",NOT(ISNUMBER(BD191)),ISERROR(BD191),$B191=""),"",IF($I191=1,IFBLANK(_xldudf_CX_PUSH(BD191*fxVal_normal,CX_ENTITY,$B191,BD$11,BD$14,BD$190,),""),IF($I191=2,IFBLANK(_xldudf_CX_PUSH(BD191,CX_ENTITY,$B191,BD$11,BD$14,BD$190,),""),IF($I191=3,"",IFBLANK(_xldudf_CX_PUSH(BD191,CX_ENTITY,$B191,BD$11,BD$14,BD$190,),"")))))),"")</f>
        <v/>
      </c>
      <c r="EE191" s="2445" t="str" cm="1">
        <f t="array" ca="1" aca="1" ref="EE191">IFERROR(IF(BE191*fxVal_normal=_PL!BE191,"",IF(OR(BE191="",NOT(ISNUMBER(BE191)),ISERROR(BE191),$B191=""),"",IF($I191=1,IFBLANK(_xldudf_CX_PUSH(BE191*fxVal_normal,CX_ENTITY,$B191,BE$11,BE$14,BE$190,),""),IF($I191=2,IFBLANK(_xldudf_CX_PUSH(BE191,CX_ENTITY,$B191,BE$11,BE$14,BE$190,),""),IF($I191=3,"",IFBLANK(_xldudf_CX_PUSH(BE191,CX_ENTITY,$B191,BE$11,BE$14,BE$190,),"")))))),"")</f>
        <v/>
      </c>
      <c r="EF191" s="2445" t="str" cm="1">
        <f t="array" ca="1" aca="1" ref="EF191">IFERROR(IF(BF191*fxVal_normal=_PL!BF191,"",IF(OR(BF191="",NOT(ISNUMBER(BF191)),ISERROR(BF191),$B191=""),"",IF($I191=1,IFBLANK(_xldudf_CX_PUSH(BF191*fxVal_normal,CX_ENTITY,$B191,BF$11,BF$14,BF$190,),""),IF($I191=2,IFBLANK(_xldudf_CX_PUSH(BF191,CX_ENTITY,$B191,BF$11,BF$14,BF$190,),""),IF($I191=3,"",IFBLANK(_xldudf_CX_PUSH(BF191,CX_ENTITY,$B191,BF$11,BF$14,BF$190,),"")))))),"")</f>
        <v/>
      </c>
      <c r="EG191" s="2445" t="str" cm="1">
        <f t="array" ca="1" aca="1" ref="EG191">IFERROR(IF(BG191*fxVal_normal=_PL!BG191,"",IF(OR(BG191="",NOT(ISNUMBER(BG191)),ISERROR(BG191),$B191=""),"",IF($I191=1,IFBLANK(_xldudf_CX_PUSH(BG191*fxVal_normal,CX_ENTITY,$B191,BG$11,BG$14,BG$190,),""),IF($I191=2,IFBLANK(_xldudf_CX_PUSH(BG191,CX_ENTITY,$B191,BG$11,BG$14,BG$190,),""),IF($I191=3,"",IFBLANK(_xldudf_CX_PUSH(BG191,CX_ENTITY,$B191,BG$11,BG$14,BG$190,),"")))))),"")</f>
        <v/>
      </c>
      <c r="EH191" s="2445" t="str" cm="1">
        <f t="array" ca="1" aca="1" ref="EH191">IFERROR(IF(BH191*fxVal_normal=_PL!BH191,"",IF(OR(BH191="",NOT(ISNUMBER(BH191)),ISERROR(BH191),$B191=""),"",IF($I191=1,IFBLANK(_xldudf_CX_PUSH(BH191*fxVal_normal,CX_ENTITY,$B191,BH$11,BH$14,BH$190,),""),IF($I191=2,IFBLANK(_xldudf_CX_PUSH(BH191,CX_ENTITY,$B191,BH$11,BH$14,BH$190,),""),IF($I191=3,"",IFBLANK(_xldudf_CX_PUSH(BH191,CX_ENTITY,$B191,BH$11,BH$14,BH$190,),"")))))),"")</f>
        <v/>
      </c>
      <c r="EI191" s="2445" t="str" cm="1">
        <f t="array" ca="1" aca="1" ref="EI191">IFERROR(IF(BI191*fxVal_normal=_PL!BI191,"",IF(OR(BI191="",NOT(ISNUMBER(BI191)),ISERROR(BI191),$B191=""),"",IF($I191=1,IFBLANK(_xldudf_CX_PUSH(BI191*fxVal_normal,CX_ENTITY,$B191,BI$11,BI$14,BI$190,),""),IF($I191=2,IFBLANK(_xldudf_CX_PUSH(BI191,CX_ENTITY,$B191,BI$11,BI$14,BI$190,),""),IF($I191=3,"",IFBLANK(_xldudf_CX_PUSH(BI191,CX_ENTITY,$B191,BI$11,BI$14,BI$190,),"")))))),"")</f>
        <v/>
      </c>
      <c r="EJ191" s="2445" t="str" cm="1">
        <f t="array" ca="1" aca="1" ref="EJ191">IFERROR(IF(BJ191*fxVal_normal=_PL!BJ191,"",IF(OR(BJ191="",NOT(ISNUMBER(BJ191)),ISERROR(BJ191),$B191=""),"",IF($I191=1,IFBLANK(_xldudf_CX_PUSH(BJ191*fxVal_normal,CX_ENTITY,$B191,BJ$11,BJ$14,BJ$190,),""),IF($I191=2,IFBLANK(_xldudf_CX_PUSH(BJ191,CX_ENTITY,$B191,BJ$11,BJ$14,BJ$190,),""),IF($I191=3,"",IFBLANK(_xldudf_CX_PUSH(BJ191,CX_ENTITY,$B191,BJ$11,BJ$14,BJ$190,),"")))))),"")</f>
        <v/>
      </c>
      <c r="EK191" s="2445" t="str" cm="1">
        <f t="array" ca="1" aca="1" ref="EK191">IFERROR(IF(BK191*fxVal_normal=_PL!BK191,"",IF(OR(BK191="",NOT(ISNUMBER(BK191)),ISERROR(BK191),$B191=""),"",IF($I191=1,IFBLANK(_xldudf_CX_PUSH(BK191*fxVal_normal,CX_ENTITY,$B191,BK$11,BK$14,BK$190,),""),IF($I191=2,IFBLANK(_xldudf_CX_PUSH(BK191,CX_ENTITY,$B191,BK$11,BK$14,BK$190,),""),IF($I191=3,"",IFBLANK(_xldudf_CX_PUSH(BK191,CX_ENTITY,$B191,BK$11,BK$14,BK$190,),"")))))),"")</f>
        <v/>
      </c>
      <c r="EL191" s="2445" t="str" cm="1">
        <f t="array" ca="1" aca="1" ref="EL191">IFERROR(IF(BL191*fxVal_normal=_PL!BL191,"",IF(OR(BL191="",NOT(ISNUMBER(BL191)),ISERROR(BL191),$B191=""),"",IF($I191=1,IFBLANK(_xldudf_CX_PUSH(BL191*fxVal_normal,CX_ENTITY,$B191,BL$11,BL$14,BL$190,),""),IF($I191=2,IFBLANK(_xldudf_CX_PUSH(BL191,CX_ENTITY,$B191,BL$11,BL$14,BL$190,),""),IF($I191=3,"",IFBLANK(_xldudf_CX_PUSH(BL191,CX_ENTITY,$B191,BL$11,BL$14,BL$190,),"")))))),"")</f>
        <v/>
      </c>
      <c r="EM191" s="2445" t="str" cm="1">
        <f t="array" ca="1" aca="1" ref="EM191">IFERROR(IF(BM191*fxVal_normal=_PL!BM191,"",IF(OR(BM191="",NOT(ISNUMBER(BM191)),ISERROR(BM191),$B191=""),"",IF($I191=1,IFBLANK(_xldudf_CX_PUSH(BM191*fxVal_normal,CX_ENTITY,$B191,BM$11,BM$14,BM$190,),""),IF($I191=2,IFBLANK(_xldudf_CX_PUSH(BM191,CX_ENTITY,$B191,BM$11,BM$14,BM$190,),""),IF($I191=3,"",IFBLANK(_xldudf_CX_PUSH(BM191,CX_ENTITY,$B191,BM$11,BM$14,BM$190,),"")))))),"")</f>
        <v/>
      </c>
      <c r="EN191" s="2445" t="str" cm="1">
        <f t="array" ca="1" aca="1" ref="EN191">IFERROR(IF(BN191*fxVal_normal=_PL!BN191,"",IF(OR(BN191="",NOT(ISNUMBER(BN191)),ISERROR(BN191),$B191=""),"",IF($I191=1,IFBLANK(_xldudf_CX_PUSH(BN191*fxVal_normal,CX_ENTITY,$B191,BN$11,BN$14,BN$190,),""),IF($I191=2,IFBLANK(_xldudf_CX_PUSH(BN191,CX_ENTITY,$B191,BN$11,BN$14,BN$190,),""),IF($I191=3,"",IFBLANK(_xldudf_CX_PUSH(BN191,CX_ENTITY,$B191,BN$11,BN$14,BN$190,),"")))))),"")</f>
        <v/>
      </c>
    </row>
    <row r="192" spans="1:144" ht="21" customHeight="1">
      <c r="A192" s="1625"/>
      <c r="B192" s="2439" t="s">
        <v>161</v>
      </c>
      <c r="C192" s="3459" t="str" cm="1">
        <f t="array" ref="C192">IFBLANK(_PL!C192,"")</f>
        <v>Segment I Breakdown - Label 1</v>
      </c>
      <c r="D192" s="1548" t="s">
        <v>161</v>
      </c>
      <c r="E192" s="2440" t="e" cm="1">
        <f t="array" ca="1" aca="1" ref="E19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192:$CQ192,Z192)</f>
        <v>#NAME?</v>
      </c>
      <c r="F192" s="578"/>
      <c r="G192" s="578"/>
      <c r="H192" s="510">
        <v>0</v>
      </c>
      <c r="I192" s="3302">
        <v>1</v>
      </c>
      <c r="J192" s="401" cm="1">
        <f t="array" ref="J192">IFBLANK(Z192,"")</f>
        <v>-1</v>
      </c>
      <c r="K192" s="578" t="str">
        <f t="shared" si="51"/>
        <v>No</v>
      </c>
      <c r="L192" s="37"/>
      <c r="N192" s="158"/>
      <c r="O192" s="101"/>
      <c r="P192" s="52"/>
      <c r="Q192" s="101"/>
      <c r="R192" s="101"/>
      <c r="S192" s="101"/>
      <c r="T192" s="101"/>
      <c r="U192" s="39"/>
      <c r="V192" s="37"/>
      <c r="W192" s="91" t="e">
        <f ca="1">W191</f>
        <v>#NAME?</v>
      </c>
      <c r="X192" s="2081" t="str">
        <f>_PL!X192</f>
        <v>a</v>
      </c>
      <c r="Y192" s="3222">
        <v>2</v>
      </c>
      <c r="Z192" s="198">
        <f>_PL!Z192</f>
        <v>-1</v>
      </c>
      <c r="AA192" s="2571"/>
      <c r="AB192" s="2592"/>
      <c r="AC192" s="914" t="str" cm="1">
        <f t="array" ca="1" aca="1" ref="AC192">_xlfn.LET(_xlpm._termname,$AB192,_xlpm._iconname,"find",_xlpm._icon,fx_getIcon(_xlpm._iconname),_xlpm._location,_xlfn.XLOOKUP(LOWER(_xlpm._termname),LOWER(tbl_acctDef[Term]),tbl_acctDef[Term]),_xlpm._hyperlink,HYPERLINK("#"&amp;CELL("address",_xlpm._location),_xlpm._icon),IFERROR(_xlpm._hyperlink,""))</f>
        <v/>
      </c>
      <c r="AD192" s="3177">
        <v>1</v>
      </c>
      <c r="AE192" s="3177">
        <v>1</v>
      </c>
      <c r="AF192" s="3177">
        <v>1</v>
      </c>
      <c r="AG192" s="3177">
        <v>1</v>
      </c>
      <c r="AH192" s="3177">
        <v>1</v>
      </c>
      <c r="AI192" s="3177">
        <v>1</v>
      </c>
      <c r="AJ192" s="3177">
        <v>1</v>
      </c>
      <c r="AK192" s="3177">
        <v>1</v>
      </c>
      <c r="AL192" s="3177">
        <v>1</v>
      </c>
      <c r="AM192" s="3177">
        <v>1</v>
      </c>
      <c r="AN192" s="3177">
        <v>1</v>
      </c>
      <c r="AO192" s="3177">
        <v>1</v>
      </c>
      <c r="AP192" s="3177">
        <v>1</v>
      </c>
      <c r="AQ192" s="3177">
        <v>1</v>
      </c>
      <c r="AR192" s="3177">
        <v>1</v>
      </c>
      <c r="AS192" s="3177">
        <v>1</v>
      </c>
      <c r="AT192" s="3177">
        <v>1</v>
      </c>
      <c r="AU192" s="3177">
        <v>1</v>
      </c>
      <c r="AV192" s="3177">
        <v>1</v>
      </c>
      <c r="AW192" s="3177">
        <v>1</v>
      </c>
      <c r="AX192" s="3177">
        <v>1</v>
      </c>
      <c r="AY192" s="3177">
        <v>1</v>
      </c>
      <c r="AZ192" s="3177">
        <v>1</v>
      </c>
      <c r="BA192" s="3177">
        <v>1</v>
      </c>
      <c r="BB192" s="3177">
        <v>1</v>
      </c>
      <c r="BC192" s="3177">
        <v>1</v>
      </c>
      <c r="BD192" s="3177">
        <v>1</v>
      </c>
      <c r="BE192" s="3177">
        <v>1</v>
      </c>
      <c r="BF192" s="3177">
        <v>1</v>
      </c>
      <c r="BG192" s="3177">
        <v>1</v>
      </c>
      <c r="BH192" s="3177">
        <v>1</v>
      </c>
      <c r="BI192" s="3177">
        <v>1</v>
      </c>
      <c r="BJ192" s="3177">
        <v>1</v>
      </c>
      <c r="BK192" s="3177">
        <v>1</v>
      </c>
      <c r="BL192" s="3177">
        <v>1</v>
      </c>
      <c r="BM192" s="3177">
        <v>1</v>
      </c>
      <c r="BN192" s="3177">
        <v>1</v>
      </c>
      <c r="BO192" s="2442"/>
      <c r="BP192" s="2442"/>
      <c r="BQ192" s="2442"/>
      <c r="BR192" s="2442"/>
      <c r="BS192" s="2442"/>
      <c r="BT192" s="2442"/>
      <c r="BU192" s="2442"/>
      <c r="BV192" s="2442"/>
      <c r="BW192" s="2442"/>
      <c r="BX192" s="2442"/>
      <c r="BY192" s="2442"/>
      <c r="BZ192" s="2442"/>
      <c r="CA192" s="34"/>
      <c r="CC192" s="58"/>
      <c r="CD192" s="1461" t="e" cm="1">
        <f t="array" ca="1" aca="1" ref="CD192">_xlfn.LET(_xlpm.CheckBlank,SUM(PL!$AD192:$BN192)=0,IF(_xlpm.CheckBlank,"",SUM(_xlfn._xlws.FILTER(PL!$AD192:$BN192,(YEAR(PL!$AD$12:$BN$12)=PL!CD$12)*(array_timeline&lt;=PL!CD$11)))))</f>
        <v>#NAME?</v>
      </c>
      <c r="CE192" s="1461" t="e" cm="1">
        <f t="array" ca="1" aca="1" ref="CE192">_xlfn.LET(_xlpm.CheckBlank,SUM(PL!$AD192:$BN192)=0,IF(_xlpm.CheckBlank,"",SUM(_xlfn._xlws.FILTER(PL!$AD192:$BN192,(YEAR(PL!$AD$12:$BN$12)=PL!CE$12)*(array_timeline&lt;=PL!CE$11)))))</f>
        <v>#NAME?</v>
      </c>
      <c r="CF192" s="88"/>
      <c r="CG192" s="1461" t="e" cm="1">
        <f t="array" ca="1" aca="1" ref="CG192">_xlfn.LET(_xlpm.CheckBlank,SUM(PL!$AD192:$BN192)=0,IF(_xlpm.CheckBlank,"",SUM(_xlfn._xlws.FILTER(PL!$AD192:$BN192,(YEAR(PL!$AD$12:$BN$12)=PL!CG$12)*(array_timeline&lt;=PL!CG$11)))))</f>
        <v>#NAME?</v>
      </c>
      <c r="CH192" s="1461" t="e" cm="1">
        <f t="array" ca="1" aca="1" ref="CH192">_xlfn.LET(_xlpm.CheckBlank,SUM(PL!$AD192:$BN192)=0,IF(_xlpm.CheckBlank,"",SUM(_xlfn._xlws.FILTER(PL!$AD192:$BN192,(YEAR(PL!$AD$12:$BN$12)=PL!CH$12)*(array_timeline&lt;=PL!CH$11)))))</f>
        <v>#NAME?</v>
      </c>
      <c r="CI192" s="88"/>
      <c r="CJ192" s="1461" cm="1">
        <f t="array" ref="CJ192">_xlfn.LET(_xlpm.CheckBlank,SUM(PL!$AD192:$BN192)=0,IF(_xlpm.CheckBlank,"",SUM(_xlfn.TAKE(_xlfn.DROP(PL!$AD192:$BN192,,-DATEDIFF(PL!CJ$11,val_asOfDate,"M")),1,-12))))</f>
        <v>12</v>
      </c>
      <c r="CK192" s="1461" cm="1">
        <f t="array" ref="CK192">_xlfn.LET(_xlpm.CheckBlank,SUM(PL!$AD192:$BN192)=0,IF(_xlpm.CheckBlank,"",SUM(_xlfn.TAKE(_xlfn.DROP(PL!$AD192:$BN192,,-DATEDIFF(PL!CK$11,val_asOfDate,"M")),1,-12))))</f>
        <v>12</v>
      </c>
      <c r="CL192" s="88"/>
      <c r="CM192" s="3175">
        <v>1</v>
      </c>
      <c r="CN192" s="3175">
        <v>1</v>
      </c>
      <c r="CO192" s="1169"/>
      <c r="CP192" s="3175">
        <v>1</v>
      </c>
      <c r="CQ192" s="3175">
        <v>1</v>
      </c>
      <c r="CR192" s="34"/>
      <c r="CS192" s="2056"/>
      <c r="CT192" s="2447" t="e" cm="1">
        <f t="array" ca="1" aca="1" ref="CT192">IF(OR($Y192="Segment I Breakdown - Amount 1",$Y192="Segment I Breakdown - Amount 2",$Y192="Segment I Breakdown - Amount 3",$Y192="Segment I Breakdown - Amount 4",$Y192="Segment I Breakdown - Amount 5",$Y192="Segment I Breakdown - Amount 6",$Y192="Please select the metric for segmentation"),"",_xldudf_CX_PUSH($Y192,CX_ENTITY,$C192,val_asOfDate))</f>
        <v>#NAME?</v>
      </c>
      <c r="CU192" s="2447" t="e" cm="1">
        <f t="array" ca="1" aca="1" ref="CU192">IF(OR($Y192="Segment I Breakdown - Amount 1",$Y192="Segment I Breakdown - Amount 2",$Y192="Segment I Breakdown - Amount 3",$Y192="Segment I Breakdown - Amount 4",$Y192="Segment I Breakdown - Amount 5",$Y192="Segment I Breakdown - Amount 6",$Y192="Please select the metric for segmentation"),"",_xldudf_CX_PUSH($Y192,CX_ENTITY,$C192,EOMONTH(val_asOfDate,1)))</f>
        <v>#NAME?</v>
      </c>
      <c r="CV192" s="2447" t="e" cm="1">
        <f t="array" ca="1" aca="1" ref="CV192">IF(OR($Y192="Segment I Breakdown - Amount 1",$Y192="Segment I Breakdown - Amount 2",$Y192="Segment I Breakdown - Amount 3",$Y192="Segment I Breakdown - Amount 4",$Y192="Segment I Breakdown - Amount 5",$Y192="Segment I Breakdown - Amount 6",$Y192="Please select the metric for segmentation"),"",_xldudf_CX_PUSH($Y192,CX_ENTITY,$C192,EOMONTH(val_asOfDate,2)))</f>
        <v>#NAME?</v>
      </c>
      <c r="CW192" s="2447" t="e" cm="1">
        <f t="array" ca="1" aca="1" ref="CW192">IF(OR($Y192="Segment I Breakdown - Amount 1",$Y192="Segment I Breakdown - Amount 2",$Y192="Segment I Breakdown - Amount 3",$Y192="Segment I Breakdown - Amount 4",$Y192="Segment I Breakdown - Amount 5",$Y192="Segment I Breakdown - Amount 6",$Y192="Please select the metric for segmentation"),"",_xldudf_CX_PUSH($Y192,CX_ENTITY,$C192,EOMONTH(val_asOfDate,3)))</f>
        <v>#NAME?</v>
      </c>
      <c r="CX192" s="2443"/>
      <c r="CY192" s="2444" t="str" cm="1">
        <f t="array" ca="1" aca="1" ref="CY192">IFERROR(IF(CM192*fxVal_normal=_PL!CM192,"",IF(OR($CM192="",$CM192=0,NOT(ISNUMBER($CM192)),ISERROR($CM192),$B192=""),"",IF($I192=1,IFBLANK(_xldudf_CX_PUSH($CM192*fxVal_normal,CX_ENTITY,$B192,$CM$11,$CM$14,$CM$19,),""),IF($I192=2,IFBLANK(_xldudf_CX_PUSH($CM192,CX_ENTITY,$B192,$CM$11,$CM$14,$CM$19,),""),IF($I192=3,"",IFBLANK(_xldudf_CX_PUSH($CM192,CX_ENTITY,$B192,$CM$11,$CM$14,$CM$19,),"")))))),"")</f>
        <v/>
      </c>
      <c r="CZ192" s="2444" t="str" cm="1">
        <f t="array" ca="1" aca="1" ref="CZ192">IFERROR(IF(CN192*fxVal_normal=_PL!CN192,"",IF(OR($CN192="",$CN192=0,NOT(ISNUMBER($CN192)),ISERROR($CN192),$B192=""),"",IF($I192=1,IFBLANK(_xldudf_CX_PUSH($CN192*fxVal_normal,CX_ENTITY,$B192,$CN$11,$CN$14,$CN$19,),""),IF($I192=2,IFBLANK(_xldudf_CX_PUSH($CN192,CX_ENTITY,$B192,$CN$11,$CN$14,$CN$19,),""),IF($I192=3,"",IFBLANK(_xldudf_CX_PUSH($CN192,CX_ENTITY,$B192,$CN$11,$CN$14,$CN$19,),"")))))),"")</f>
        <v/>
      </c>
      <c r="DA192" s="2444" t="str" cm="1">
        <f t="array" ca="1" aca="1" ref="DA192">IFERROR(IF(CP192*fxVal_normal=_PL!CP192,"",IF(OR($CP192="",$CP192=0,NOT(ISNUMBER($CP192)),ISERROR($CP192),$B192=""),"",IF($I192=1,IFBLANK(_xldudf_CX_PUSH($CP192*fxVal_normal,CX_ENTITY,$B192,$CP$11,$CP$14,$CP$19,),""),IF($I192=2,IFBLANK(_xldudf_CX_PUSH($CP192,CX_ENTITY,$B192,$CP$11,$CP$14,$CP$19,),""),IF($I192=3,"",IFBLANK(_xldudf_CX_PUSH($CP192,CX_ENTITY,$B192,$CP$11,$CP$14,$CP$19,),"")))))),"")</f>
        <v/>
      </c>
      <c r="DB192" s="2444" t="str" cm="1">
        <f t="array" ca="1" aca="1" ref="DB192">IFERROR(IF(CQ192*fxVal_normal=_PL!CQ192,"",IF(OR($CQ192="",$CQ192=0,NOT(ISNUMBER($CQ192)),ISERROR($CQ192),$B192=""),"",IF($I192=1,IFBLANK(_xldudf_CX_PUSH($CQ192*fxVal_normal,CX_ENTITY,$B192,$CQ$11,$CQ$14,$CQ$19,),""),IF($I192=2,IFBLANK(_xldudf_CX_PUSH($CQ192,CX_ENTITY,$B192,$CQ$11,$CQ$14,$CQ$19,),""),IF($I192=3,"",IFBLANK(_xldudf_CX_PUSH($CQ192,CX_ENTITY,$B192,$CQ$11,$CQ$14,$CQ$19,),"")))))),"")</f>
        <v/>
      </c>
      <c r="DC192" s="2443"/>
      <c r="DD192" s="2445" t="str" cm="1">
        <f t="array" ca="1" aca="1" ref="DD192">IFERROR(IF(AD192*fxVal_normal=_PL!AD192,"",IF(OR(AD192="",NOT(ISNUMBER(AD192)),ISERROR(AD192),$B192=""),"",IF($I192=1,IFBLANK(_xldudf_CX_PUSH(AD192*fxVal_normal,CX_ENTITY,$B192,AD$11,AD$14,AD$190,),""),IF($I192=2,IFBLANK(_xldudf_CX_PUSH(AD192,CX_ENTITY,$B192,AD$11,AD$14,AD$190,),""),IF($I192=3,"",IFBLANK(_xldudf_CX_PUSH(AD192,CX_ENTITY,$B192,AD$11,AD$14,AD$190,),"")))))),"")</f>
        <v/>
      </c>
      <c r="DE192" s="2445" t="str" cm="1">
        <f t="array" ca="1" aca="1" ref="DE192">IFERROR(IF(AE192*fxVal_normal=_PL!AE192,"",IF(OR(AE192="",NOT(ISNUMBER(AE192)),ISERROR(AE192),$B192=""),"",IF($I192=1,IFBLANK(_xldudf_CX_PUSH(AE192*fxVal_normal,CX_ENTITY,$B192,AE$11,AE$14,AE$190,),""),IF($I192=2,IFBLANK(_xldudf_CX_PUSH(AE192,CX_ENTITY,$B192,AE$11,AE$14,AE$190,),""),IF($I192=3,"",IFBLANK(_xldudf_CX_PUSH(AE192,CX_ENTITY,$B192,AE$11,AE$14,AE$190,),"")))))),"")</f>
        <v/>
      </c>
      <c r="DF192" s="2445" t="str" cm="1">
        <f t="array" ca="1" aca="1" ref="DF192">IFERROR(IF(AF192*fxVal_normal=_PL!AF192,"",IF(OR(AF192="",NOT(ISNUMBER(AF192)),ISERROR(AF192),$B192=""),"",IF($I192=1,IFBLANK(_xldudf_CX_PUSH(AF192*fxVal_normal,CX_ENTITY,$B192,AF$11,AF$14,AF$190,),""),IF($I192=2,IFBLANK(_xldudf_CX_PUSH(AF192,CX_ENTITY,$B192,AF$11,AF$14,AF$190,),""),IF($I192=3,"",IFBLANK(_xldudf_CX_PUSH(AF192,CX_ENTITY,$B192,AF$11,AF$14,AF$190,),"")))))),"")</f>
        <v/>
      </c>
      <c r="DG192" s="2445" t="str" cm="1">
        <f t="array" ca="1" aca="1" ref="DG192">IFERROR(IF(AG192*fxVal_normal=_PL!AG192,"",IF(OR(AG192="",NOT(ISNUMBER(AG192)),ISERROR(AG192),$B192=""),"",IF($I192=1,IFBLANK(_xldudf_CX_PUSH(AG192*fxVal_normal,CX_ENTITY,$B192,AG$11,AG$14,AG$190,),""),IF($I192=2,IFBLANK(_xldudf_CX_PUSH(AG192,CX_ENTITY,$B192,AG$11,AG$14,AG$190,),""),IF($I192=3,"",IFBLANK(_xldudf_CX_PUSH(AG192,CX_ENTITY,$B192,AG$11,AG$14,AG$190,),"")))))),"")</f>
        <v/>
      </c>
      <c r="DH192" s="2445" t="str" cm="1">
        <f t="array" ca="1" aca="1" ref="DH192">IFERROR(IF(AH192*fxVal_normal=_PL!AH192,"",IF(OR(AH192="",NOT(ISNUMBER(AH192)),ISERROR(AH192),$B192=""),"",IF($I192=1,IFBLANK(_xldudf_CX_PUSH(AH192*fxVal_normal,CX_ENTITY,$B192,AH$11,AH$14,AH$190,),""),IF($I192=2,IFBLANK(_xldudf_CX_PUSH(AH192,CX_ENTITY,$B192,AH$11,AH$14,AH$190,),""),IF($I192=3,"",IFBLANK(_xldudf_CX_PUSH(AH192,CX_ENTITY,$B192,AH$11,AH$14,AH$190,),"")))))),"")</f>
        <v/>
      </c>
      <c r="DI192" s="2445" t="str" cm="1">
        <f t="array" ca="1" aca="1" ref="DI192">IFERROR(IF(AI192*fxVal_normal=_PL!AI192,"",IF(OR(AI192="",NOT(ISNUMBER(AI192)),ISERROR(AI192),$B192=""),"",IF($I192=1,IFBLANK(_xldudf_CX_PUSH(AI192*fxVal_normal,CX_ENTITY,$B192,AI$11,AI$14,AI$190,),""),IF($I192=2,IFBLANK(_xldudf_CX_PUSH(AI192,CX_ENTITY,$B192,AI$11,AI$14,AI$190,),""),IF($I192=3,"",IFBLANK(_xldudf_CX_PUSH(AI192,CX_ENTITY,$B192,AI$11,AI$14,AI$190,),"")))))),"")</f>
        <v/>
      </c>
      <c r="DJ192" s="2445" t="str" cm="1">
        <f t="array" ca="1" aca="1" ref="DJ192">IFERROR(IF(AJ192*fxVal_normal=_PL!AJ192,"",IF(OR(AJ192="",NOT(ISNUMBER(AJ192)),ISERROR(AJ192),$B192=""),"",IF($I192=1,IFBLANK(_xldudf_CX_PUSH(AJ192*fxVal_normal,CX_ENTITY,$B192,AJ$11,AJ$14,AJ$190,),""),IF($I192=2,IFBLANK(_xldudf_CX_PUSH(AJ192,CX_ENTITY,$B192,AJ$11,AJ$14,AJ$190,),""),IF($I192=3,"",IFBLANK(_xldudf_CX_PUSH(AJ192,CX_ENTITY,$B192,AJ$11,AJ$14,AJ$190,),"")))))),"")</f>
        <v/>
      </c>
      <c r="DK192" s="2445" t="str" cm="1">
        <f t="array" ca="1" aca="1" ref="DK192">IFERROR(IF(AK192*fxVal_normal=_PL!AK192,"",IF(OR(AK192="",NOT(ISNUMBER(AK192)),ISERROR(AK192),$B192=""),"",IF($I192=1,IFBLANK(_xldudf_CX_PUSH(AK192*fxVal_normal,CX_ENTITY,$B192,AK$11,AK$14,AK$190,),""),IF($I192=2,IFBLANK(_xldudf_CX_PUSH(AK192,CX_ENTITY,$B192,AK$11,AK$14,AK$190,),""),IF($I192=3,"",IFBLANK(_xldudf_CX_PUSH(AK192,CX_ENTITY,$B192,AK$11,AK$14,AK$190,),"")))))),"")</f>
        <v/>
      </c>
      <c r="DL192" s="2445" t="str" cm="1">
        <f t="array" ca="1" aca="1" ref="DL192">IFERROR(IF(AL192*fxVal_normal=_PL!AL192,"",IF(OR(AL192="",NOT(ISNUMBER(AL192)),ISERROR(AL192),$B192=""),"",IF($I192=1,IFBLANK(_xldudf_CX_PUSH(AL192*fxVal_normal,CX_ENTITY,$B192,AL$11,AL$14,AL$190,),""),IF($I192=2,IFBLANK(_xldudf_CX_PUSH(AL192,CX_ENTITY,$B192,AL$11,AL$14,AL$190,),""),IF($I192=3,"",IFBLANK(_xldudf_CX_PUSH(AL192,CX_ENTITY,$B192,AL$11,AL$14,AL$190,),"")))))),"")</f>
        <v/>
      </c>
      <c r="DM192" s="2445" t="str" cm="1">
        <f t="array" ca="1" aca="1" ref="DM192">IFERROR(IF(AM192*fxVal_normal=_PL!AM192,"",IF(OR(AM192="",NOT(ISNUMBER(AM192)),ISERROR(AM192),$B192=""),"",IF($I192=1,IFBLANK(_xldudf_CX_PUSH(AM192*fxVal_normal,CX_ENTITY,$B192,AM$11,AM$14,AM$190,),""),IF($I192=2,IFBLANK(_xldudf_CX_PUSH(AM192,CX_ENTITY,$B192,AM$11,AM$14,AM$190,),""),IF($I192=3,"",IFBLANK(_xldudf_CX_PUSH(AM192,CX_ENTITY,$B192,AM$11,AM$14,AM$190,),"")))))),"")</f>
        <v/>
      </c>
      <c r="DN192" s="2445" t="str" cm="1">
        <f t="array" ca="1" aca="1" ref="DN192">IFERROR(IF(AN192*fxVal_normal=_PL!AN192,"",IF(OR(AN192="",NOT(ISNUMBER(AN192)),ISERROR(AN192),$B192=""),"",IF($I192=1,IFBLANK(_xldudf_CX_PUSH(AN192*fxVal_normal,CX_ENTITY,$B192,AN$11,AN$14,AN$190,),""),IF($I192=2,IFBLANK(_xldudf_CX_PUSH(AN192,CX_ENTITY,$B192,AN$11,AN$14,AN$190,),""),IF($I192=3,"",IFBLANK(_xldudf_CX_PUSH(AN192,CX_ENTITY,$B192,AN$11,AN$14,AN$190,),"")))))),"")</f>
        <v/>
      </c>
      <c r="DO192" s="2445" t="str" cm="1">
        <f t="array" ca="1" aca="1" ref="DO192">IFERROR(IF(AO192*fxVal_normal=_PL!AO192,"",IF(OR(AO192="",NOT(ISNUMBER(AO192)),ISERROR(AO192),$B192=""),"",IF($I192=1,IFBLANK(_xldudf_CX_PUSH(AO192*fxVal_normal,CX_ENTITY,$B192,AO$11,AO$14,AO$190,),""),IF($I192=2,IFBLANK(_xldudf_CX_PUSH(AO192,CX_ENTITY,$B192,AO$11,AO$14,AO$190,),""),IF($I192=3,"",IFBLANK(_xldudf_CX_PUSH(AO192,CX_ENTITY,$B192,AO$11,AO$14,AO$190,),"")))))),"")</f>
        <v/>
      </c>
      <c r="DP192" s="2445" t="str" cm="1">
        <f t="array" ca="1" aca="1" ref="DP192">IFERROR(IF(AP192*fxVal_normal=_PL!AP192,"",IF(OR(AP192="",NOT(ISNUMBER(AP192)),ISERROR(AP192),$B192=""),"",IF($I192=1,IFBLANK(_xldudf_CX_PUSH(AP192*fxVal_normal,CX_ENTITY,$B192,AP$11,AP$14,AP$190,),""),IF($I192=2,IFBLANK(_xldudf_CX_PUSH(AP192,CX_ENTITY,$B192,AP$11,AP$14,AP$190,),""),IF($I192=3,"",IFBLANK(_xldudf_CX_PUSH(AP192,CX_ENTITY,$B192,AP$11,AP$14,AP$190,),"")))))),"")</f>
        <v/>
      </c>
      <c r="DQ192" s="2445" t="str" cm="1">
        <f t="array" ca="1" aca="1" ref="DQ192">IFERROR(IF(AQ192*fxVal_normal=_PL!AQ192,"",IF(OR(AQ192="",NOT(ISNUMBER(AQ192)),ISERROR(AQ192),$B192=""),"",IF($I192=1,IFBLANK(_xldudf_CX_PUSH(AQ192*fxVal_normal,CX_ENTITY,$B192,AQ$11,AQ$14,AQ$190,),""),IF($I192=2,IFBLANK(_xldudf_CX_PUSH(AQ192,CX_ENTITY,$B192,AQ$11,AQ$14,AQ$190,),""),IF($I192=3,"",IFBLANK(_xldudf_CX_PUSH(AQ192,CX_ENTITY,$B192,AQ$11,AQ$14,AQ$190,),"")))))),"")</f>
        <v/>
      </c>
      <c r="DR192" s="2445" t="str" cm="1">
        <f t="array" ca="1" aca="1" ref="DR192">IFERROR(IF(AR192*fxVal_normal=_PL!AR192,"",IF(OR(AR192="",NOT(ISNUMBER(AR192)),ISERROR(AR192),$B192=""),"",IF($I192=1,IFBLANK(_xldudf_CX_PUSH(AR192*fxVal_normal,CX_ENTITY,$B192,AR$11,AR$14,AR$190,),""),IF($I192=2,IFBLANK(_xldudf_CX_PUSH(AR192,CX_ENTITY,$B192,AR$11,AR$14,AR$190,),""),IF($I192=3,"",IFBLANK(_xldudf_CX_PUSH(AR192,CX_ENTITY,$B192,AR$11,AR$14,AR$190,),"")))))),"")</f>
        <v/>
      </c>
      <c r="DS192" s="2445" t="str" cm="1">
        <f t="array" ca="1" aca="1" ref="DS192">IFERROR(IF(AS192*fxVal_normal=_PL!AS192,"",IF(OR(AS192="",NOT(ISNUMBER(AS192)),ISERROR(AS192),$B192=""),"",IF($I192=1,IFBLANK(_xldudf_CX_PUSH(AS192*fxVal_normal,CX_ENTITY,$B192,AS$11,AS$14,AS$190,),""),IF($I192=2,IFBLANK(_xldudf_CX_PUSH(AS192,CX_ENTITY,$B192,AS$11,AS$14,AS$190,),""),IF($I192=3,"",IFBLANK(_xldudf_CX_PUSH(AS192,CX_ENTITY,$B192,AS$11,AS$14,AS$190,),"")))))),"")</f>
        <v/>
      </c>
      <c r="DT192" s="2445" t="str" cm="1">
        <f t="array" ca="1" aca="1" ref="DT192">IFERROR(IF(AT192*fxVal_normal=_PL!AT192,"",IF(OR(AT192="",NOT(ISNUMBER(AT192)),ISERROR(AT192),$B192=""),"",IF($I192=1,IFBLANK(_xldudf_CX_PUSH(AT192*fxVal_normal,CX_ENTITY,$B192,AT$11,AT$14,AT$190,),""),IF($I192=2,IFBLANK(_xldudf_CX_PUSH(AT192,CX_ENTITY,$B192,AT$11,AT$14,AT$190,),""),IF($I192=3,"",IFBLANK(_xldudf_CX_PUSH(AT192,CX_ENTITY,$B192,AT$11,AT$14,AT$190,),"")))))),"")</f>
        <v/>
      </c>
      <c r="DU192" s="2445" t="str" cm="1">
        <f t="array" ca="1" aca="1" ref="DU192">IFERROR(IF(AU192*fxVal_normal=_PL!AU192,"",IF(OR(AU192="",NOT(ISNUMBER(AU192)),ISERROR(AU192),$B192=""),"",IF($I192=1,IFBLANK(_xldudf_CX_PUSH(AU192*fxVal_normal,CX_ENTITY,$B192,AU$11,AU$14,AU$190,),""),IF($I192=2,IFBLANK(_xldudf_CX_PUSH(AU192,CX_ENTITY,$B192,AU$11,AU$14,AU$190,),""),IF($I192=3,"",IFBLANK(_xldudf_CX_PUSH(AU192,CX_ENTITY,$B192,AU$11,AU$14,AU$190,),"")))))),"")</f>
        <v/>
      </c>
      <c r="DV192" s="2445" t="str" cm="1">
        <f t="array" ca="1" aca="1" ref="DV192">IFERROR(IF(AV192*fxVal_normal=_PL!AV192,"",IF(OR(AV192="",NOT(ISNUMBER(AV192)),ISERROR(AV192),$B192=""),"",IF($I192=1,IFBLANK(_xldudf_CX_PUSH(AV192*fxVal_normal,CX_ENTITY,$B192,AV$11,AV$14,AV$190,),""),IF($I192=2,IFBLANK(_xldudf_CX_PUSH(AV192,CX_ENTITY,$B192,AV$11,AV$14,AV$190,),""),IF($I192=3,"",IFBLANK(_xldudf_CX_PUSH(AV192,CX_ENTITY,$B192,AV$11,AV$14,AV$190,),"")))))),"")</f>
        <v/>
      </c>
      <c r="DW192" s="2445" t="str" cm="1">
        <f t="array" ca="1" aca="1" ref="DW192">IFERROR(IF(AW192*fxVal_normal=_PL!AW192,"",IF(OR(AW192="",NOT(ISNUMBER(AW192)),ISERROR(AW192),$B192=""),"",IF($I192=1,IFBLANK(_xldudf_CX_PUSH(AW192*fxVal_normal,CX_ENTITY,$B192,AW$11,AW$14,AW$190,),""),IF($I192=2,IFBLANK(_xldudf_CX_PUSH(AW192,CX_ENTITY,$B192,AW$11,AW$14,AW$190,),""),IF($I192=3,"",IFBLANK(_xldudf_CX_PUSH(AW192,CX_ENTITY,$B192,AW$11,AW$14,AW$190,),"")))))),"")</f>
        <v/>
      </c>
      <c r="DX192" s="2445" t="str" cm="1">
        <f t="array" ca="1" aca="1" ref="DX192">IFERROR(IF(AX192*fxVal_normal=_PL!AX192,"",IF(OR(AX192="",NOT(ISNUMBER(AX192)),ISERROR(AX192),$B192=""),"",IF($I192=1,IFBLANK(_xldudf_CX_PUSH(AX192*fxVal_normal,CX_ENTITY,$B192,AX$11,AX$14,AX$190,),""),IF($I192=2,IFBLANK(_xldudf_CX_PUSH(AX192,CX_ENTITY,$B192,AX$11,AX$14,AX$190,),""),IF($I192=3,"",IFBLANK(_xldudf_CX_PUSH(AX192,CX_ENTITY,$B192,AX$11,AX$14,AX$190,),"")))))),"")</f>
        <v/>
      </c>
      <c r="DY192" s="2445" t="str" cm="1">
        <f t="array" ca="1" aca="1" ref="DY192">IFERROR(IF(AY192*fxVal_normal=_PL!AY192,"",IF(OR(AY192="",NOT(ISNUMBER(AY192)),ISERROR(AY192),$B192=""),"",IF($I192=1,IFBLANK(_xldudf_CX_PUSH(AY192*fxVal_normal,CX_ENTITY,$B192,AY$11,AY$14,AY$190,),""),IF($I192=2,IFBLANK(_xldudf_CX_PUSH(AY192,CX_ENTITY,$B192,AY$11,AY$14,AY$190,),""),IF($I192=3,"",IFBLANK(_xldudf_CX_PUSH(AY192,CX_ENTITY,$B192,AY$11,AY$14,AY$190,),"")))))),"")</f>
        <v/>
      </c>
      <c r="DZ192" s="2445" t="str" cm="1">
        <f t="array" ca="1" aca="1" ref="DZ192">IFERROR(IF(AZ192*fxVal_normal=_PL!AZ192,"",IF(OR(AZ192="",NOT(ISNUMBER(AZ192)),ISERROR(AZ192),$B192=""),"",IF($I192=1,IFBLANK(_xldudf_CX_PUSH(AZ192*fxVal_normal,CX_ENTITY,$B192,AZ$11,AZ$14,AZ$190,),""),IF($I192=2,IFBLANK(_xldudf_CX_PUSH(AZ192,CX_ENTITY,$B192,AZ$11,AZ$14,AZ$190,),""),IF($I192=3,"",IFBLANK(_xldudf_CX_PUSH(AZ192,CX_ENTITY,$B192,AZ$11,AZ$14,AZ$190,),"")))))),"")</f>
        <v/>
      </c>
      <c r="EA192" s="2445" t="str" cm="1">
        <f t="array" ca="1" aca="1" ref="EA192">IFERROR(IF(BA192*fxVal_normal=_PL!BA192,"",IF(OR(BA192="",NOT(ISNUMBER(BA192)),ISERROR(BA192),$B192=""),"",IF($I192=1,IFBLANK(_xldudf_CX_PUSH(BA192*fxVal_normal,CX_ENTITY,$B192,BA$11,BA$14,BA$190,),""),IF($I192=2,IFBLANK(_xldudf_CX_PUSH(BA192,CX_ENTITY,$B192,BA$11,BA$14,BA$190,),""),IF($I192=3,"",IFBLANK(_xldudf_CX_PUSH(BA192,CX_ENTITY,$B192,BA$11,BA$14,BA$190,),"")))))),"")</f>
        <v/>
      </c>
      <c r="EB192" s="2445" t="str" cm="1">
        <f t="array" ca="1" aca="1" ref="EB192">IFERROR(IF(BB192*fxVal_normal=_PL!BB192,"",IF(OR(BB192="",NOT(ISNUMBER(BB192)),ISERROR(BB192),$B192=""),"",IF($I192=1,IFBLANK(_xldudf_CX_PUSH(BB192*fxVal_normal,CX_ENTITY,$B192,BB$11,BB$14,BB$190,),""),IF($I192=2,IFBLANK(_xldudf_CX_PUSH(BB192,CX_ENTITY,$B192,BB$11,BB$14,BB$190,),""),IF($I192=3,"",IFBLANK(_xldudf_CX_PUSH(BB192,CX_ENTITY,$B192,BB$11,BB$14,BB$190,),"")))))),"")</f>
        <v/>
      </c>
      <c r="EC192" s="2445" t="str" cm="1">
        <f t="array" ca="1" aca="1" ref="EC192">IFERROR(IF(BC192*fxVal_normal=_PL!BC192,"",IF(OR(BC192="",NOT(ISNUMBER(BC192)),ISERROR(BC192),$B192=""),"",IF($I192=1,IFBLANK(_xldudf_CX_PUSH(BC192*fxVal_normal,CX_ENTITY,$B192,BC$11,BC$14,BC$190,),""),IF($I192=2,IFBLANK(_xldudf_CX_PUSH(BC192,CX_ENTITY,$B192,BC$11,BC$14,BC$190,),""),IF($I192=3,"",IFBLANK(_xldudf_CX_PUSH(BC192,CX_ENTITY,$B192,BC$11,BC$14,BC$190,),"")))))),"")</f>
        <v/>
      </c>
      <c r="ED192" s="2445" t="str" cm="1">
        <f t="array" ca="1" aca="1" ref="ED192">IFERROR(IF(BD192*fxVal_normal=_PL!BD192,"",IF(OR(BD192="",NOT(ISNUMBER(BD192)),ISERROR(BD192),$B192=""),"",IF($I192=1,IFBLANK(_xldudf_CX_PUSH(BD192*fxVal_normal,CX_ENTITY,$B192,BD$11,BD$14,BD$190,),""),IF($I192=2,IFBLANK(_xldudf_CX_PUSH(BD192,CX_ENTITY,$B192,BD$11,BD$14,BD$190,),""),IF($I192=3,"",IFBLANK(_xldudf_CX_PUSH(BD192,CX_ENTITY,$B192,BD$11,BD$14,BD$190,),"")))))),"")</f>
        <v/>
      </c>
      <c r="EE192" s="2445" t="str" cm="1">
        <f t="array" ca="1" aca="1" ref="EE192">IFERROR(IF(BE192*fxVal_normal=_PL!BE192,"",IF(OR(BE192="",NOT(ISNUMBER(BE192)),ISERROR(BE192),$B192=""),"",IF($I192=1,IFBLANK(_xldudf_CX_PUSH(BE192*fxVal_normal,CX_ENTITY,$B192,BE$11,BE$14,BE$190,),""),IF($I192=2,IFBLANK(_xldudf_CX_PUSH(BE192,CX_ENTITY,$B192,BE$11,BE$14,BE$190,),""),IF($I192=3,"",IFBLANK(_xldudf_CX_PUSH(BE192,CX_ENTITY,$B192,BE$11,BE$14,BE$190,),"")))))),"")</f>
        <v/>
      </c>
      <c r="EF192" s="2445" t="str" cm="1">
        <f t="array" ca="1" aca="1" ref="EF192">IFERROR(IF(BF192*fxVal_normal=_PL!BF192,"",IF(OR(BF192="",NOT(ISNUMBER(BF192)),ISERROR(BF192),$B192=""),"",IF($I192=1,IFBLANK(_xldudf_CX_PUSH(BF192*fxVal_normal,CX_ENTITY,$B192,BF$11,BF$14,BF$190,),""),IF($I192=2,IFBLANK(_xldudf_CX_PUSH(BF192,CX_ENTITY,$B192,BF$11,BF$14,BF$190,),""),IF($I192=3,"",IFBLANK(_xldudf_CX_PUSH(BF192,CX_ENTITY,$B192,BF$11,BF$14,BF$190,),"")))))),"")</f>
        <v/>
      </c>
      <c r="EG192" s="2445" t="str" cm="1">
        <f t="array" ca="1" aca="1" ref="EG192">IFERROR(IF(BG192*fxVal_normal=_PL!BG192,"",IF(OR(BG192="",NOT(ISNUMBER(BG192)),ISERROR(BG192),$B192=""),"",IF($I192=1,IFBLANK(_xldudf_CX_PUSH(BG192*fxVal_normal,CX_ENTITY,$B192,BG$11,BG$14,BG$190,),""),IF($I192=2,IFBLANK(_xldudf_CX_PUSH(BG192,CX_ENTITY,$B192,BG$11,BG$14,BG$190,),""),IF($I192=3,"",IFBLANK(_xldudf_CX_PUSH(BG192,CX_ENTITY,$B192,BG$11,BG$14,BG$190,),"")))))),"")</f>
        <v/>
      </c>
      <c r="EH192" s="2445" t="str" cm="1">
        <f t="array" ca="1" aca="1" ref="EH192">IFERROR(IF(BH192*fxVal_normal=_PL!BH192,"",IF(OR(BH192="",NOT(ISNUMBER(BH192)),ISERROR(BH192),$B192=""),"",IF($I192=1,IFBLANK(_xldudf_CX_PUSH(BH192*fxVal_normal,CX_ENTITY,$B192,BH$11,BH$14,BH$190,),""),IF($I192=2,IFBLANK(_xldudf_CX_PUSH(BH192,CX_ENTITY,$B192,BH$11,BH$14,BH$190,),""),IF($I192=3,"",IFBLANK(_xldudf_CX_PUSH(BH192,CX_ENTITY,$B192,BH$11,BH$14,BH$190,),"")))))),"")</f>
        <v/>
      </c>
      <c r="EI192" s="2445" t="str" cm="1">
        <f t="array" ca="1" aca="1" ref="EI192">IFERROR(IF(BI192*fxVal_normal=_PL!BI192,"",IF(OR(BI192="",NOT(ISNUMBER(BI192)),ISERROR(BI192),$B192=""),"",IF($I192=1,IFBLANK(_xldudf_CX_PUSH(BI192*fxVal_normal,CX_ENTITY,$B192,BI$11,BI$14,BI$190,),""),IF($I192=2,IFBLANK(_xldudf_CX_PUSH(BI192,CX_ENTITY,$B192,BI$11,BI$14,BI$190,),""),IF($I192=3,"",IFBLANK(_xldudf_CX_PUSH(BI192,CX_ENTITY,$B192,BI$11,BI$14,BI$190,),"")))))),"")</f>
        <v/>
      </c>
      <c r="EJ192" s="2445" t="str" cm="1">
        <f t="array" ca="1" aca="1" ref="EJ192">IFERROR(IF(BJ192*fxVal_normal=_PL!BJ192,"",IF(OR(BJ192="",NOT(ISNUMBER(BJ192)),ISERROR(BJ192),$B192=""),"",IF($I192=1,IFBLANK(_xldudf_CX_PUSH(BJ192*fxVal_normal,CX_ENTITY,$B192,BJ$11,BJ$14,BJ$190,),""),IF($I192=2,IFBLANK(_xldudf_CX_PUSH(BJ192,CX_ENTITY,$B192,BJ$11,BJ$14,BJ$190,),""),IF($I192=3,"",IFBLANK(_xldudf_CX_PUSH(BJ192,CX_ENTITY,$B192,BJ$11,BJ$14,BJ$190,),"")))))),"")</f>
        <v/>
      </c>
      <c r="EK192" s="2445" t="str" cm="1">
        <f t="array" ca="1" aca="1" ref="EK192">IFERROR(IF(BK192*fxVal_normal=_PL!BK192,"",IF(OR(BK192="",NOT(ISNUMBER(BK192)),ISERROR(BK192),$B192=""),"",IF($I192=1,IFBLANK(_xldudf_CX_PUSH(BK192*fxVal_normal,CX_ENTITY,$B192,BK$11,BK$14,BK$190,),""),IF($I192=2,IFBLANK(_xldudf_CX_PUSH(BK192,CX_ENTITY,$B192,BK$11,BK$14,BK$190,),""),IF($I192=3,"",IFBLANK(_xldudf_CX_PUSH(BK192,CX_ENTITY,$B192,BK$11,BK$14,BK$190,),"")))))),"")</f>
        <v/>
      </c>
      <c r="EL192" s="2445" t="str" cm="1">
        <f t="array" ca="1" aca="1" ref="EL192">IFERROR(IF(BL192*fxVal_normal=_PL!BL192,"",IF(OR(BL192="",NOT(ISNUMBER(BL192)),ISERROR(BL192),$B192=""),"",IF($I192=1,IFBLANK(_xldudf_CX_PUSH(BL192*fxVal_normal,CX_ENTITY,$B192,BL$11,BL$14,BL$190,),""),IF($I192=2,IFBLANK(_xldudf_CX_PUSH(BL192,CX_ENTITY,$B192,BL$11,BL$14,BL$190,),""),IF($I192=3,"",IFBLANK(_xldudf_CX_PUSH(BL192,CX_ENTITY,$B192,BL$11,BL$14,BL$190,),"")))))),"")</f>
        <v/>
      </c>
      <c r="EM192" s="2445" t="str" cm="1">
        <f t="array" ca="1" aca="1" ref="EM192">IFERROR(IF(BM192*fxVal_normal=_PL!BM192,"",IF(OR(BM192="",NOT(ISNUMBER(BM192)),ISERROR(BM192),$B192=""),"",IF($I192=1,IFBLANK(_xldudf_CX_PUSH(BM192*fxVal_normal,CX_ENTITY,$B192,BM$11,BM$14,BM$190,),""),IF($I192=2,IFBLANK(_xldudf_CX_PUSH(BM192,CX_ENTITY,$B192,BM$11,BM$14,BM$190,),""),IF($I192=3,"",IFBLANK(_xldudf_CX_PUSH(BM192,CX_ENTITY,$B192,BM$11,BM$14,BM$190,),"")))))),"")</f>
        <v/>
      </c>
      <c r="EN192" s="2445" t="str" cm="1">
        <f t="array" ca="1" aca="1" ref="EN192">IFERROR(IF(BN192*fxVal_normal=_PL!BN192,"",IF(OR(BN192="",NOT(ISNUMBER(BN192)),ISERROR(BN192),$B192=""),"",IF($I192=1,IFBLANK(_xldudf_CX_PUSH(BN192*fxVal_normal,CX_ENTITY,$B192,BN$11,BN$14,BN$190,),""),IF($I192=2,IFBLANK(_xldudf_CX_PUSH(BN192,CX_ENTITY,$B192,BN$11,BN$14,BN$190,),""),IF($I192=3,"",IFBLANK(_xldudf_CX_PUSH(BN192,CX_ENTITY,$B192,BN$11,BN$14,BN$190,),"")))))),"")</f>
        <v/>
      </c>
    </row>
    <row r="193" spans="1:144" ht="21" customHeight="1">
      <c r="A193" s="1625"/>
      <c r="B193" s="2439" t="s">
        <v>162</v>
      </c>
      <c r="C193" s="3459" t="str" cm="1">
        <f t="array" ref="C193">IFBLANK(_PL!C193,"")</f>
        <v>Segment I Breakdown - Label 2</v>
      </c>
      <c r="D193" s="1548" t="s">
        <v>162</v>
      </c>
      <c r="E193" s="2440" t="e" cm="1">
        <f t="array" ca="1" aca="1" ref="E19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193:$CQ193,Z193)</f>
        <v>#NAME?</v>
      </c>
      <c r="F193" s="578"/>
      <c r="G193" s="578"/>
      <c r="H193" s="510">
        <v>0</v>
      </c>
      <c r="I193" s="3302">
        <v>1</v>
      </c>
      <c r="J193" s="401" cm="1">
        <f t="array" ref="J193">IFBLANK(Z193,"")</f>
        <v>-1</v>
      </c>
      <c r="K193" s="578" t="str">
        <f ca="1">IFERROR(IF(LEN(AB193)=0,"No",IF(LEN(J193)&gt;0,"Yes","No")),"")</f>
        <v/>
      </c>
      <c r="L193" s="37"/>
      <c r="N193" s="158"/>
      <c r="O193" s="101"/>
      <c r="P193" s="52"/>
      <c r="Q193" s="101"/>
      <c r="R193" s="101"/>
      <c r="S193" s="101"/>
      <c r="T193" s="101"/>
      <c r="U193" s="39"/>
      <c r="V193" s="37"/>
      <c r="W193" s="91" t="e">
        <f ca="1">W191</f>
        <v>#NAME?</v>
      </c>
      <c r="X193" s="2081" t="str">
        <f>_PL!X193</f>
        <v>a</v>
      </c>
      <c r="Y193" s="3222">
        <v>2</v>
      </c>
      <c r="Z193" s="198">
        <f>_PL!Z193</f>
        <v>-1</v>
      </c>
      <c r="AA193" s="2571"/>
      <c r="AB193" s="3017" t="e" cm="1">
        <f t="array" ca="1" aca="1" ref="AB193">IF(AB195&lt;&gt;"",fx_getIcon("alert"),"")</f>
        <v>#NAME?</v>
      </c>
      <c r="AC193" s="914" t="str" cm="1">
        <f t="array" ca="1" aca="1" ref="AC193">_xlfn.LET(_xlpm._termname,$AB193,_xlpm._iconname,"find",_xlpm._icon,fx_getIcon(_xlpm._iconname),_xlpm._location,_xlfn.XLOOKUP(LOWER(_xlpm._termname),LOWER(tbl_acctDef[Term]),tbl_acctDef[Term]),_xlpm._hyperlink,HYPERLINK("#"&amp;CELL("address",_xlpm._location),_xlpm._icon),IFERROR(_xlpm._hyperlink,""))</f>
        <v/>
      </c>
      <c r="AD193" s="3177">
        <v>1</v>
      </c>
      <c r="AE193" s="3177">
        <v>1</v>
      </c>
      <c r="AF193" s="3177">
        <v>1</v>
      </c>
      <c r="AG193" s="3177">
        <v>1</v>
      </c>
      <c r="AH193" s="3177">
        <v>1</v>
      </c>
      <c r="AI193" s="3177">
        <v>1</v>
      </c>
      <c r="AJ193" s="3177">
        <v>1</v>
      </c>
      <c r="AK193" s="3177">
        <v>1</v>
      </c>
      <c r="AL193" s="3177">
        <v>1</v>
      </c>
      <c r="AM193" s="3177">
        <v>1</v>
      </c>
      <c r="AN193" s="3177">
        <v>1</v>
      </c>
      <c r="AO193" s="3177">
        <v>1</v>
      </c>
      <c r="AP193" s="3177">
        <v>1</v>
      </c>
      <c r="AQ193" s="3177">
        <v>1</v>
      </c>
      <c r="AR193" s="3177">
        <v>1</v>
      </c>
      <c r="AS193" s="3177">
        <v>1</v>
      </c>
      <c r="AT193" s="3177">
        <v>1</v>
      </c>
      <c r="AU193" s="3177">
        <v>1</v>
      </c>
      <c r="AV193" s="3177">
        <v>1</v>
      </c>
      <c r="AW193" s="3177">
        <v>1</v>
      </c>
      <c r="AX193" s="3177">
        <v>1</v>
      </c>
      <c r="AY193" s="3177">
        <v>1</v>
      </c>
      <c r="AZ193" s="3177">
        <v>1</v>
      </c>
      <c r="BA193" s="3177">
        <v>1</v>
      </c>
      <c r="BB193" s="3177">
        <v>1</v>
      </c>
      <c r="BC193" s="3177">
        <v>1</v>
      </c>
      <c r="BD193" s="3177">
        <v>1</v>
      </c>
      <c r="BE193" s="3177">
        <v>1</v>
      </c>
      <c r="BF193" s="3177">
        <v>1</v>
      </c>
      <c r="BG193" s="3177">
        <v>1</v>
      </c>
      <c r="BH193" s="3177">
        <v>1</v>
      </c>
      <c r="BI193" s="3177">
        <v>1</v>
      </c>
      <c r="BJ193" s="3177">
        <v>1</v>
      </c>
      <c r="BK193" s="3177">
        <v>1</v>
      </c>
      <c r="BL193" s="3177">
        <v>1</v>
      </c>
      <c r="BM193" s="3177">
        <v>1</v>
      </c>
      <c r="BN193" s="3177">
        <v>1</v>
      </c>
      <c r="BO193" s="2442"/>
      <c r="BP193" s="2442"/>
      <c r="BQ193" s="2442"/>
      <c r="BR193" s="2442"/>
      <c r="BS193" s="2442"/>
      <c r="BT193" s="2442"/>
      <c r="BU193" s="2442"/>
      <c r="BV193" s="2442"/>
      <c r="BW193" s="2442"/>
      <c r="BX193" s="2442"/>
      <c r="BY193" s="2442"/>
      <c r="BZ193" s="2442"/>
      <c r="CA193" s="34"/>
      <c r="CC193" s="58"/>
      <c r="CD193" s="1461" t="e" cm="1">
        <f t="array" ca="1" aca="1" ref="CD193">_xlfn.LET(_xlpm.CheckBlank,SUM(PL!$AD193:$BN193)=0,IF(_xlpm.CheckBlank,"",SUM(_xlfn._xlws.FILTER(PL!$AD193:$BN193,(YEAR(PL!$AD$12:$BN$12)=PL!CD$12)*(array_timeline&lt;=PL!CD$11)))))</f>
        <v>#NAME?</v>
      </c>
      <c r="CE193" s="1461" t="e" cm="1">
        <f t="array" ca="1" aca="1" ref="CE193">_xlfn.LET(_xlpm.CheckBlank,SUM(PL!$AD193:$BN193)=0,IF(_xlpm.CheckBlank,"",SUM(_xlfn._xlws.FILTER(PL!$AD193:$BN193,(YEAR(PL!$AD$12:$BN$12)=PL!CE$12)*(array_timeline&lt;=PL!CE$11)))))</f>
        <v>#NAME?</v>
      </c>
      <c r="CF193" s="88"/>
      <c r="CG193" s="1461" t="e" cm="1">
        <f t="array" ca="1" aca="1" ref="CG193">_xlfn.LET(_xlpm.CheckBlank,SUM(PL!$AD193:$BN193)=0,IF(_xlpm.CheckBlank,"",SUM(_xlfn._xlws.FILTER(PL!$AD193:$BN193,(YEAR(PL!$AD$12:$BN$12)=PL!CG$12)*(array_timeline&lt;=PL!CG$11)))))</f>
        <v>#NAME?</v>
      </c>
      <c r="CH193" s="1461" t="e" cm="1">
        <f t="array" ca="1" aca="1" ref="CH193">_xlfn.LET(_xlpm.CheckBlank,SUM(PL!$AD193:$BN193)=0,IF(_xlpm.CheckBlank,"",SUM(_xlfn._xlws.FILTER(PL!$AD193:$BN193,(YEAR(PL!$AD$12:$BN$12)=PL!CH$12)*(array_timeline&lt;=PL!CH$11)))))</f>
        <v>#NAME?</v>
      </c>
      <c r="CI193" s="88"/>
      <c r="CJ193" s="1461" cm="1">
        <f t="array" ref="CJ193">_xlfn.LET(_xlpm.CheckBlank,SUM(PL!$AD193:$BN193)=0,IF(_xlpm.CheckBlank,"",SUM(_xlfn.TAKE(_xlfn.DROP(PL!$AD193:$BN193,,-DATEDIFF(PL!CJ$11,val_asOfDate,"M")),1,-12))))</f>
        <v>12</v>
      </c>
      <c r="CK193" s="1461" cm="1">
        <f t="array" ref="CK193">_xlfn.LET(_xlpm.CheckBlank,SUM(PL!$AD193:$BN193)=0,IF(_xlpm.CheckBlank,"",SUM(_xlfn.TAKE(_xlfn.DROP(PL!$AD193:$BN193,,-DATEDIFF(PL!CK$11,val_asOfDate,"M")),1,-12))))</f>
        <v>12</v>
      </c>
      <c r="CL193" s="88"/>
      <c r="CM193" s="3177">
        <v>1</v>
      </c>
      <c r="CN193" s="3177">
        <v>1</v>
      </c>
      <c r="CO193" s="1169"/>
      <c r="CP193" s="3177">
        <v>1</v>
      </c>
      <c r="CQ193" s="3177">
        <v>1</v>
      </c>
      <c r="CR193" s="34"/>
      <c r="CS193" s="2056"/>
      <c r="CT193" s="2447" t="e" cm="1">
        <f t="array" ca="1" aca="1" ref="CT193">IF(OR($Y193="Segment I Breakdown - Amount 1",$Y193="Segment I Breakdown - Amount 2",$Y193="Segment I Breakdown - Amount 3",$Y193="Segment I Breakdown - Amount 4",$Y193="Segment I Breakdown - Amount 5",$Y193="Segment I Breakdown - Amount 6",$Y193="Please select the metric for segmentation"),"",_xldudf_CX_PUSH($Y193,CX_ENTITY,$C193,val_asOfDate))</f>
        <v>#NAME?</v>
      </c>
      <c r="CU193" s="2447" t="e" cm="1">
        <f t="array" ca="1" aca="1" ref="CU193">IF(OR($Y193="Segment I Breakdown - Amount 1",$Y193="Segment I Breakdown - Amount 2",$Y193="Segment I Breakdown - Amount 3",$Y193="Segment I Breakdown - Amount 4",$Y193="Segment I Breakdown - Amount 5",$Y193="Segment I Breakdown - Amount 6",$Y193="Please select the metric for segmentation"),"",_xldudf_CX_PUSH($Y193,CX_ENTITY,$C193,EOMONTH(val_asOfDate,1)))</f>
        <v>#NAME?</v>
      </c>
      <c r="CV193" s="2447" t="e" cm="1">
        <f t="array" ca="1" aca="1" ref="CV193">IF(OR($Y193="Segment I Breakdown - Amount 1",$Y193="Segment I Breakdown - Amount 2",$Y193="Segment I Breakdown - Amount 3",$Y193="Segment I Breakdown - Amount 4",$Y193="Segment I Breakdown - Amount 5",$Y193="Segment I Breakdown - Amount 6",$Y193="Please select the metric for segmentation"),"",_xldudf_CX_PUSH($Y193,CX_ENTITY,$C193,EOMONTH(val_asOfDate,2)))</f>
        <v>#NAME?</v>
      </c>
      <c r="CW193" s="2447" t="e" cm="1">
        <f t="array" ca="1" aca="1" ref="CW193">IF(OR($Y193="Segment I Breakdown - Amount 1",$Y193="Segment I Breakdown - Amount 2",$Y193="Segment I Breakdown - Amount 3",$Y193="Segment I Breakdown - Amount 4",$Y193="Segment I Breakdown - Amount 5",$Y193="Segment I Breakdown - Amount 6",$Y193="Please select the metric for segmentation"),"",_xldudf_CX_PUSH($Y193,CX_ENTITY,$C193,EOMONTH(val_asOfDate,3)))</f>
        <v>#NAME?</v>
      </c>
      <c r="CX193" s="2443"/>
      <c r="CY193" s="2444" t="str" cm="1">
        <f t="array" ca="1" aca="1" ref="CY193">IFERROR(IF(CM193*fxVal_normal=_PL!CM193,"",IF(OR($CM193="",$CM193=0,NOT(ISNUMBER($CM193)),ISERROR($CM193),$B193=""),"",IF($I193=1,IFBLANK(_xldudf_CX_PUSH($CM193*fxVal_normal,CX_ENTITY,$B193,$CM$11,$CM$14,$CM$19,),""),IF($I193=2,IFBLANK(_xldudf_CX_PUSH($CM193,CX_ENTITY,$B193,$CM$11,$CM$14,$CM$19,),""),IF($I193=3,"",IFBLANK(_xldudf_CX_PUSH($CM193,CX_ENTITY,$B193,$CM$11,$CM$14,$CM$19,),"")))))),"")</f>
        <v/>
      </c>
      <c r="CZ193" s="2444" t="str" cm="1">
        <f t="array" ca="1" aca="1" ref="CZ193">IFERROR(IF(CN193*fxVal_normal=_PL!CN193,"",IF(OR($CN193="",$CN193=0,NOT(ISNUMBER($CN193)),ISERROR($CN193),$B193=""),"",IF($I193=1,IFBLANK(_xldudf_CX_PUSH($CN193*fxVal_normal,CX_ENTITY,$B193,$CN$11,$CN$14,$CN$19,),""),IF($I193=2,IFBLANK(_xldudf_CX_PUSH($CN193,CX_ENTITY,$B193,$CN$11,$CN$14,$CN$19,),""),IF($I193=3,"",IFBLANK(_xldudf_CX_PUSH($CN193,CX_ENTITY,$B193,$CN$11,$CN$14,$CN$19,),"")))))),"")</f>
        <v/>
      </c>
      <c r="DA193" s="2444" t="str" cm="1">
        <f t="array" ca="1" aca="1" ref="DA193">IFERROR(IF(CP193*fxVal_normal=_PL!CP193,"",IF(OR($CP193="",$CP193=0,NOT(ISNUMBER($CP193)),ISERROR($CP193),$B193=""),"",IF($I193=1,IFBLANK(_xldudf_CX_PUSH($CP193*fxVal_normal,CX_ENTITY,$B193,$CP$11,$CP$14,$CP$19,),""),IF($I193=2,IFBLANK(_xldudf_CX_PUSH($CP193,CX_ENTITY,$B193,$CP$11,$CP$14,$CP$19,),""),IF($I193=3,"",IFBLANK(_xldudf_CX_PUSH($CP193,CX_ENTITY,$B193,$CP$11,$CP$14,$CP$19,),"")))))),"")</f>
        <v/>
      </c>
      <c r="DB193" s="2444" t="str" cm="1">
        <f t="array" ca="1" aca="1" ref="DB193">IFERROR(IF(CQ193*fxVal_normal=_PL!CQ193,"",IF(OR($CQ193="",$CQ193=0,NOT(ISNUMBER($CQ193)),ISERROR($CQ193),$B193=""),"",IF($I193=1,IFBLANK(_xldudf_CX_PUSH($CQ193*fxVal_normal,CX_ENTITY,$B193,$CQ$11,$CQ$14,$CQ$19,),""),IF($I193=2,IFBLANK(_xldudf_CX_PUSH($CQ193,CX_ENTITY,$B193,$CQ$11,$CQ$14,$CQ$19,),""),IF($I193=3,"",IFBLANK(_xldudf_CX_PUSH($CQ193,CX_ENTITY,$B193,$CQ$11,$CQ$14,$CQ$19,),"")))))),"")</f>
        <v/>
      </c>
      <c r="DC193" s="2443"/>
      <c r="DD193" s="2445" t="str" cm="1">
        <f t="array" ca="1" aca="1" ref="DD193">IFERROR(IF(AD193*fxVal_normal=_PL!AD193,"",IF(OR(AD193="",NOT(ISNUMBER(AD193)),ISERROR(AD193),$B193=""),"",IF($I193=1,IFBLANK(_xldudf_CX_PUSH(AD193*fxVal_normal,CX_ENTITY,$B193,AD$11,AD$14,AD$190,),""),IF($I193=2,IFBLANK(_xldudf_CX_PUSH(AD193,CX_ENTITY,$B193,AD$11,AD$14,AD$190,),""),IF($I193=3,"",IFBLANK(_xldudf_CX_PUSH(AD193,CX_ENTITY,$B193,AD$11,AD$14,AD$190,),"")))))),"")</f>
        <v/>
      </c>
      <c r="DE193" s="2445" t="str" cm="1">
        <f t="array" ca="1" aca="1" ref="DE193">IFERROR(IF(AE193*fxVal_normal=_PL!AE193,"",IF(OR(AE193="",NOT(ISNUMBER(AE193)),ISERROR(AE193),$B193=""),"",IF($I193=1,IFBLANK(_xldudf_CX_PUSH(AE193*fxVal_normal,CX_ENTITY,$B193,AE$11,AE$14,AE$190,),""),IF($I193=2,IFBLANK(_xldudf_CX_PUSH(AE193,CX_ENTITY,$B193,AE$11,AE$14,AE$190,),""),IF($I193=3,"",IFBLANK(_xldudf_CX_PUSH(AE193,CX_ENTITY,$B193,AE$11,AE$14,AE$190,),"")))))),"")</f>
        <v/>
      </c>
      <c r="DF193" s="2445" t="str" cm="1">
        <f t="array" ca="1" aca="1" ref="DF193">IFERROR(IF(AF193*fxVal_normal=_PL!AF193,"",IF(OR(AF193="",NOT(ISNUMBER(AF193)),ISERROR(AF193),$B193=""),"",IF($I193=1,IFBLANK(_xldudf_CX_PUSH(AF193*fxVal_normal,CX_ENTITY,$B193,AF$11,AF$14,AF$190,),""),IF($I193=2,IFBLANK(_xldudf_CX_PUSH(AF193,CX_ENTITY,$B193,AF$11,AF$14,AF$190,),""),IF($I193=3,"",IFBLANK(_xldudf_CX_PUSH(AF193,CX_ENTITY,$B193,AF$11,AF$14,AF$190,),"")))))),"")</f>
        <v/>
      </c>
      <c r="DG193" s="2445" t="str" cm="1">
        <f t="array" ca="1" aca="1" ref="DG193">IFERROR(IF(AG193*fxVal_normal=_PL!AG193,"",IF(OR(AG193="",NOT(ISNUMBER(AG193)),ISERROR(AG193),$B193=""),"",IF($I193=1,IFBLANK(_xldudf_CX_PUSH(AG193*fxVal_normal,CX_ENTITY,$B193,AG$11,AG$14,AG$190,),""),IF($I193=2,IFBLANK(_xldudf_CX_PUSH(AG193,CX_ENTITY,$B193,AG$11,AG$14,AG$190,),""),IF($I193=3,"",IFBLANK(_xldudf_CX_PUSH(AG193,CX_ENTITY,$B193,AG$11,AG$14,AG$190,),"")))))),"")</f>
        <v/>
      </c>
      <c r="DH193" s="2445" t="str" cm="1">
        <f t="array" ca="1" aca="1" ref="DH193">IFERROR(IF(AH193*fxVal_normal=_PL!AH193,"",IF(OR(AH193="",NOT(ISNUMBER(AH193)),ISERROR(AH193),$B193=""),"",IF($I193=1,IFBLANK(_xldudf_CX_PUSH(AH193*fxVal_normal,CX_ENTITY,$B193,AH$11,AH$14,AH$190,),""),IF($I193=2,IFBLANK(_xldudf_CX_PUSH(AH193,CX_ENTITY,$B193,AH$11,AH$14,AH$190,),""),IF($I193=3,"",IFBLANK(_xldudf_CX_PUSH(AH193,CX_ENTITY,$B193,AH$11,AH$14,AH$190,),"")))))),"")</f>
        <v/>
      </c>
      <c r="DI193" s="2445" t="str" cm="1">
        <f t="array" ca="1" aca="1" ref="DI193">IFERROR(IF(AI193*fxVal_normal=_PL!AI193,"",IF(OR(AI193="",NOT(ISNUMBER(AI193)),ISERROR(AI193),$B193=""),"",IF($I193=1,IFBLANK(_xldudf_CX_PUSH(AI193*fxVal_normal,CX_ENTITY,$B193,AI$11,AI$14,AI$190,),""),IF($I193=2,IFBLANK(_xldudf_CX_PUSH(AI193,CX_ENTITY,$B193,AI$11,AI$14,AI$190,),""),IF($I193=3,"",IFBLANK(_xldudf_CX_PUSH(AI193,CX_ENTITY,$B193,AI$11,AI$14,AI$190,),"")))))),"")</f>
        <v/>
      </c>
      <c r="DJ193" s="2445" t="str" cm="1">
        <f t="array" ca="1" aca="1" ref="DJ193">IFERROR(IF(AJ193*fxVal_normal=_PL!AJ193,"",IF(OR(AJ193="",NOT(ISNUMBER(AJ193)),ISERROR(AJ193),$B193=""),"",IF($I193=1,IFBLANK(_xldudf_CX_PUSH(AJ193*fxVal_normal,CX_ENTITY,$B193,AJ$11,AJ$14,AJ$190,),""),IF($I193=2,IFBLANK(_xldudf_CX_PUSH(AJ193,CX_ENTITY,$B193,AJ$11,AJ$14,AJ$190,),""),IF($I193=3,"",IFBLANK(_xldudf_CX_PUSH(AJ193,CX_ENTITY,$B193,AJ$11,AJ$14,AJ$190,),"")))))),"")</f>
        <v/>
      </c>
      <c r="DK193" s="2445" t="str" cm="1">
        <f t="array" ca="1" aca="1" ref="DK193">IFERROR(IF(AK193*fxVal_normal=_PL!AK193,"",IF(OR(AK193="",NOT(ISNUMBER(AK193)),ISERROR(AK193),$B193=""),"",IF($I193=1,IFBLANK(_xldudf_CX_PUSH(AK193*fxVal_normal,CX_ENTITY,$B193,AK$11,AK$14,AK$190,),""),IF($I193=2,IFBLANK(_xldudf_CX_PUSH(AK193,CX_ENTITY,$B193,AK$11,AK$14,AK$190,),""),IF($I193=3,"",IFBLANK(_xldudf_CX_PUSH(AK193,CX_ENTITY,$B193,AK$11,AK$14,AK$190,),"")))))),"")</f>
        <v/>
      </c>
      <c r="DL193" s="2445" t="str" cm="1">
        <f t="array" ca="1" aca="1" ref="DL193">IFERROR(IF(AL193*fxVal_normal=_PL!AL193,"",IF(OR(AL193="",NOT(ISNUMBER(AL193)),ISERROR(AL193),$B193=""),"",IF($I193=1,IFBLANK(_xldudf_CX_PUSH(AL193*fxVal_normal,CX_ENTITY,$B193,AL$11,AL$14,AL$190,),""),IF($I193=2,IFBLANK(_xldudf_CX_PUSH(AL193,CX_ENTITY,$B193,AL$11,AL$14,AL$190,),""),IF($I193=3,"",IFBLANK(_xldudf_CX_PUSH(AL193,CX_ENTITY,$B193,AL$11,AL$14,AL$190,),"")))))),"")</f>
        <v/>
      </c>
      <c r="DM193" s="2445" t="str" cm="1">
        <f t="array" ca="1" aca="1" ref="DM193">IFERROR(IF(AM193*fxVal_normal=_PL!AM193,"",IF(OR(AM193="",NOT(ISNUMBER(AM193)),ISERROR(AM193),$B193=""),"",IF($I193=1,IFBLANK(_xldudf_CX_PUSH(AM193*fxVal_normal,CX_ENTITY,$B193,AM$11,AM$14,AM$190,),""),IF($I193=2,IFBLANK(_xldudf_CX_PUSH(AM193,CX_ENTITY,$B193,AM$11,AM$14,AM$190,),""),IF($I193=3,"",IFBLANK(_xldudf_CX_PUSH(AM193,CX_ENTITY,$B193,AM$11,AM$14,AM$190,),"")))))),"")</f>
        <v/>
      </c>
      <c r="DN193" s="2445" t="str" cm="1">
        <f t="array" ca="1" aca="1" ref="DN193">IFERROR(IF(AN193*fxVal_normal=_PL!AN193,"",IF(OR(AN193="",NOT(ISNUMBER(AN193)),ISERROR(AN193),$B193=""),"",IF($I193=1,IFBLANK(_xldudf_CX_PUSH(AN193*fxVal_normal,CX_ENTITY,$B193,AN$11,AN$14,AN$190,),""),IF($I193=2,IFBLANK(_xldudf_CX_PUSH(AN193,CX_ENTITY,$B193,AN$11,AN$14,AN$190,),""),IF($I193=3,"",IFBLANK(_xldudf_CX_PUSH(AN193,CX_ENTITY,$B193,AN$11,AN$14,AN$190,),"")))))),"")</f>
        <v/>
      </c>
      <c r="DO193" s="2445" t="str" cm="1">
        <f t="array" ca="1" aca="1" ref="DO193">IFERROR(IF(AO193*fxVal_normal=_PL!AO193,"",IF(OR(AO193="",NOT(ISNUMBER(AO193)),ISERROR(AO193),$B193=""),"",IF($I193=1,IFBLANK(_xldudf_CX_PUSH(AO193*fxVal_normal,CX_ENTITY,$B193,AO$11,AO$14,AO$190,),""),IF($I193=2,IFBLANK(_xldudf_CX_PUSH(AO193,CX_ENTITY,$B193,AO$11,AO$14,AO$190,),""),IF($I193=3,"",IFBLANK(_xldudf_CX_PUSH(AO193,CX_ENTITY,$B193,AO$11,AO$14,AO$190,),"")))))),"")</f>
        <v/>
      </c>
      <c r="DP193" s="2445" t="str" cm="1">
        <f t="array" ca="1" aca="1" ref="DP193">IFERROR(IF(AP193*fxVal_normal=_PL!AP193,"",IF(OR(AP193="",NOT(ISNUMBER(AP193)),ISERROR(AP193),$B193=""),"",IF($I193=1,IFBLANK(_xldudf_CX_PUSH(AP193*fxVal_normal,CX_ENTITY,$B193,AP$11,AP$14,AP$190,),""),IF($I193=2,IFBLANK(_xldudf_CX_PUSH(AP193,CX_ENTITY,$B193,AP$11,AP$14,AP$190,),""),IF($I193=3,"",IFBLANK(_xldudf_CX_PUSH(AP193,CX_ENTITY,$B193,AP$11,AP$14,AP$190,),"")))))),"")</f>
        <v/>
      </c>
      <c r="DQ193" s="2445" t="str" cm="1">
        <f t="array" ca="1" aca="1" ref="DQ193">IFERROR(IF(AQ193*fxVal_normal=_PL!AQ193,"",IF(OR(AQ193="",NOT(ISNUMBER(AQ193)),ISERROR(AQ193),$B193=""),"",IF($I193=1,IFBLANK(_xldudf_CX_PUSH(AQ193*fxVal_normal,CX_ENTITY,$B193,AQ$11,AQ$14,AQ$190,),""),IF($I193=2,IFBLANK(_xldudf_CX_PUSH(AQ193,CX_ENTITY,$B193,AQ$11,AQ$14,AQ$190,),""),IF($I193=3,"",IFBLANK(_xldudf_CX_PUSH(AQ193,CX_ENTITY,$B193,AQ$11,AQ$14,AQ$190,),"")))))),"")</f>
        <v/>
      </c>
      <c r="DR193" s="2445" t="str" cm="1">
        <f t="array" ca="1" aca="1" ref="DR193">IFERROR(IF(AR193*fxVal_normal=_PL!AR193,"",IF(OR(AR193="",NOT(ISNUMBER(AR193)),ISERROR(AR193),$B193=""),"",IF($I193=1,IFBLANK(_xldudf_CX_PUSH(AR193*fxVal_normal,CX_ENTITY,$B193,AR$11,AR$14,AR$190,),""),IF($I193=2,IFBLANK(_xldudf_CX_PUSH(AR193,CX_ENTITY,$B193,AR$11,AR$14,AR$190,),""),IF($I193=3,"",IFBLANK(_xldudf_CX_PUSH(AR193,CX_ENTITY,$B193,AR$11,AR$14,AR$190,),"")))))),"")</f>
        <v/>
      </c>
      <c r="DS193" s="2445" t="str" cm="1">
        <f t="array" ca="1" aca="1" ref="DS193">IFERROR(IF(AS193*fxVal_normal=_PL!AS193,"",IF(OR(AS193="",NOT(ISNUMBER(AS193)),ISERROR(AS193),$B193=""),"",IF($I193=1,IFBLANK(_xldudf_CX_PUSH(AS193*fxVal_normal,CX_ENTITY,$B193,AS$11,AS$14,AS$190,),""),IF($I193=2,IFBLANK(_xldudf_CX_PUSH(AS193,CX_ENTITY,$B193,AS$11,AS$14,AS$190,),""),IF($I193=3,"",IFBLANK(_xldudf_CX_PUSH(AS193,CX_ENTITY,$B193,AS$11,AS$14,AS$190,),"")))))),"")</f>
        <v/>
      </c>
      <c r="DT193" s="2445" t="str" cm="1">
        <f t="array" ca="1" aca="1" ref="DT193">IFERROR(IF(AT193*fxVal_normal=_PL!AT193,"",IF(OR(AT193="",NOT(ISNUMBER(AT193)),ISERROR(AT193),$B193=""),"",IF($I193=1,IFBLANK(_xldudf_CX_PUSH(AT193*fxVal_normal,CX_ENTITY,$B193,AT$11,AT$14,AT$190,),""),IF($I193=2,IFBLANK(_xldudf_CX_PUSH(AT193,CX_ENTITY,$B193,AT$11,AT$14,AT$190,),""),IF($I193=3,"",IFBLANK(_xldudf_CX_PUSH(AT193,CX_ENTITY,$B193,AT$11,AT$14,AT$190,),"")))))),"")</f>
        <v/>
      </c>
      <c r="DU193" s="2445" t="str" cm="1">
        <f t="array" ca="1" aca="1" ref="DU193">IFERROR(IF(AU193*fxVal_normal=_PL!AU193,"",IF(OR(AU193="",NOT(ISNUMBER(AU193)),ISERROR(AU193),$B193=""),"",IF($I193=1,IFBLANK(_xldudf_CX_PUSH(AU193*fxVal_normal,CX_ENTITY,$B193,AU$11,AU$14,AU$190,),""),IF($I193=2,IFBLANK(_xldudf_CX_PUSH(AU193,CX_ENTITY,$B193,AU$11,AU$14,AU$190,),""),IF($I193=3,"",IFBLANK(_xldudf_CX_PUSH(AU193,CX_ENTITY,$B193,AU$11,AU$14,AU$190,),"")))))),"")</f>
        <v/>
      </c>
      <c r="DV193" s="2445" t="str" cm="1">
        <f t="array" ca="1" aca="1" ref="DV193">IFERROR(IF(AV193*fxVal_normal=_PL!AV193,"",IF(OR(AV193="",NOT(ISNUMBER(AV193)),ISERROR(AV193),$B193=""),"",IF($I193=1,IFBLANK(_xldudf_CX_PUSH(AV193*fxVal_normal,CX_ENTITY,$B193,AV$11,AV$14,AV$190,),""),IF($I193=2,IFBLANK(_xldudf_CX_PUSH(AV193,CX_ENTITY,$B193,AV$11,AV$14,AV$190,),""),IF($I193=3,"",IFBLANK(_xldudf_CX_PUSH(AV193,CX_ENTITY,$B193,AV$11,AV$14,AV$190,),"")))))),"")</f>
        <v/>
      </c>
      <c r="DW193" s="2445" t="str" cm="1">
        <f t="array" ca="1" aca="1" ref="DW193">IFERROR(IF(AW193*fxVal_normal=_PL!AW193,"",IF(OR(AW193="",NOT(ISNUMBER(AW193)),ISERROR(AW193),$B193=""),"",IF($I193=1,IFBLANK(_xldudf_CX_PUSH(AW193*fxVal_normal,CX_ENTITY,$B193,AW$11,AW$14,AW$190,),""),IF($I193=2,IFBLANK(_xldudf_CX_PUSH(AW193,CX_ENTITY,$B193,AW$11,AW$14,AW$190,),""),IF($I193=3,"",IFBLANK(_xldudf_CX_PUSH(AW193,CX_ENTITY,$B193,AW$11,AW$14,AW$190,),"")))))),"")</f>
        <v/>
      </c>
      <c r="DX193" s="2445" t="str" cm="1">
        <f t="array" ca="1" aca="1" ref="DX193">IFERROR(IF(AX193*fxVal_normal=_PL!AX193,"",IF(OR(AX193="",NOT(ISNUMBER(AX193)),ISERROR(AX193),$B193=""),"",IF($I193=1,IFBLANK(_xldudf_CX_PUSH(AX193*fxVal_normal,CX_ENTITY,$B193,AX$11,AX$14,AX$190,),""),IF($I193=2,IFBLANK(_xldudf_CX_PUSH(AX193,CX_ENTITY,$B193,AX$11,AX$14,AX$190,),""),IF($I193=3,"",IFBLANK(_xldudf_CX_PUSH(AX193,CX_ENTITY,$B193,AX$11,AX$14,AX$190,),"")))))),"")</f>
        <v/>
      </c>
      <c r="DY193" s="2445" t="str" cm="1">
        <f t="array" ca="1" aca="1" ref="DY193">IFERROR(IF(AY193*fxVal_normal=_PL!AY193,"",IF(OR(AY193="",NOT(ISNUMBER(AY193)),ISERROR(AY193),$B193=""),"",IF($I193=1,IFBLANK(_xldudf_CX_PUSH(AY193*fxVal_normal,CX_ENTITY,$B193,AY$11,AY$14,AY$190,),""),IF($I193=2,IFBLANK(_xldudf_CX_PUSH(AY193,CX_ENTITY,$B193,AY$11,AY$14,AY$190,),""),IF($I193=3,"",IFBLANK(_xldudf_CX_PUSH(AY193,CX_ENTITY,$B193,AY$11,AY$14,AY$190,),"")))))),"")</f>
        <v/>
      </c>
      <c r="DZ193" s="2445" t="str" cm="1">
        <f t="array" ca="1" aca="1" ref="DZ193">IFERROR(IF(AZ193*fxVal_normal=_PL!AZ193,"",IF(OR(AZ193="",NOT(ISNUMBER(AZ193)),ISERROR(AZ193),$B193=""),"",IF($I193=1,IFBLANK(_xldudf_CX_PUSH(AZ193*fxVal_normal,CX_ENTITY,$B193,AZ$11,AZ$14,AZ$190,),""),IF($I193=2,IFBLANK(_xldudf_CX_PUSH(AZ193,CX_ENTITY,$B193,AZ$11,AZ$14,AZ$190,),""),IF($I193=3,"",IFBLANK(_xldudf_CX_PUSH(AZ193,CX_ENTITY,$B193,AZ$11,AZ$14,AZ$190,),"")))))),"")</f>
        <v/>
      </c>
      <c r="EA193" s="2445" t="str" cm="1">
        <f t="array" ca="1" aca="1" ref="EA193">IFERROR(IF(BA193*fxVal_normal=_PL!BA193,"",IF(OR(BA193="",NOT(ISNUMBER(BA193)),ISERROR(BA193),$B193=""),"",IF($I193=1,IFBLANK(_xldudf_CX_PUSH(BA193*fxVal_normal,CX_ENTITY,$B193,BA$11,BA$14,BA$190,),""),IF($I193=2,IFBLANK(_xldudf_CX_PUSH(BA193,CX_ENTITY,$B193,BA$11,BA$14,BA$190,),""),IF($I193=3,"",IFBLANK(_xldudf_CX_PUSH(BA193,CX_ENTITY,$B193,BA$11,BA$14,BA$190,),"")))))),"")</f>
        <v/>
      </c>
      <c r="EB193" s="2445" t="str" cm="1">
        <f t="array" ca="1" aca="1" ref="EB193">IFERROR(IF(BB193*fxVal_normal=_PL!BB193,"",IF(OR(BB193="",NOT(ISNUMBER(BB193)),ISERROR(BB193),$B193=""),"",IF($I193=1,IFBLANK(_xldudf_CX_PUSH(BB193*fxVal_normal,CX_ENTITY,$B193,BB$11,BB$14,BB$190,),""),IF($I193=2,IFBLANK(_xldudf_CX_PUSH(BB193,CX_ENTITY,$B193,BB$11,BB$14,BB$190,),""),IF($I193=3,"",IFBLANK(_xldudf_CX_PUSH(BB193,CX_ENTITY,$B193,BB$11,BB$14,BB$190,),"")))))),"")</f>
        <v/>
      </c>
      <c r="EC193" s="2445" t="str" cm="1">
        <f t="array" ca="1" aca="1" ref="EC193">IFERROR(IF(BC193*fxVal_normal=_PL!BC193,"",IF(OR(BC193="",NOT(ISNUMBER(BC193)),ISERROR(BC193),$B193=""),"",IF($I193=1,IFBLANK(_xldudf_CX_PUSH(BC193*fxVal_normal,CX_ENTITY,$B193,BC$11,BC$14,BC$190,),""),IF($I193=2,IFBLANK(_xldudf_CX_PUSH(BC193,CX_ENTITY,$B193,BC$11,BC$14,BC$190,),""),IF($I193=3,"",IFBLANK(_xldudf_CX_PUSH(BC193,CX_ENTITY,$B193,BC$11,BC$14,BC$190,),"")))))),"")</f>
        <v/>
      </c>
      <c r="ED193" s="2445" t="str" cm="1">
        <f t="array" ca="1" aca="1" ref="ED193">IFERROR(IF(BD193*fxVal_normal=_PL!BD193,"",IF(OR(BD193="",NOT(ISNUMBER(BD193)),ISERROR(BD193),$B193=""),"",IF($I193=1,IFBLANK(_xldudf_CX_PUSH(BD193*fxVal_normal,CX_ENTITY,$B193,BD$11,BD$14,BD$190,),""),IF($I193=2,IFBLANK(_xldudf_CX_PUSH(BD193,CX_ENTITY,$B193,BD$11,BD$14,BD$190,),""),IF($I193=3,"",IFBLANK(_xldudf_CX_PUSH(BD193,CX_ENTITY,$B193,BD$11,BD$14,BD$190,),"")))))),"")</f>
        <v/>
      </c>
      <c r="EE193" s="2445" t="str" cm="1">
        <f t="array" ca="1" aca="1" ref="EE193">IFERROR(IF(BE193*fxVal_normal=_PL!BE193,"",IF(OR(BE193="",NOT(ISNUMBER(BE193)),ISERROR(BE193),$B193=""),"",IF($I193=1,IFBLANK(_xldudf_CX_PUSH(BE193*fxVal_normal,CX_ENTITY,$B193,BE$11,BE$14,BE$190,),""),IF($I193=2,IFBLANK(_xldudf_CX_PUSH(BE193,CX_ENTITY,$B193,BE$11,BE$14,BE$190,),""),IF($I193=3,"",IFBLANK(_xldudf_CX_PUSH(BE193,CX_ENTITY,$B193,BE$11,BE$14,BE$190,),"")))))),"")</f>
        <v/>
      </c>
      <c r="EF193" s="2445" t="str" cm="1">
        <f t="array" ca="1" aca="1" ref="EF193">IFERROR(IF(BF193*fxVal_normal=_PL!BF193,"",IF(OR(BF193="",NOT(ISNUMBER(BF193)),ISERROR(BF193),$B193=""),"",IF($I193=1,IFBLANK(_xldudf_CX_PUSH(BF193*fxVal_normal,CX_ENTITY,$B193,BF$11,BF$14,BF$190,),""),IF($I193=2,IFBLANK(_xldudf_CX_PUSH(BF193,CX_ENTITY,$B193,BF$11,BF$14,BF$190,),""),IF($I193=3,"",IFBLANK(_xldudf_CX_PUSH(BF193,CX_ENTITY,$B193,BF$11,BF$14,BF$190,),"")))))),"")</f>
        <v/>
      </c>
      <c r="EG193" s="2445" t="str" cm="1">
        <f t="array" ca="1" aca="1" ref="EG193">IFERROR(IF(BG193*fxVal_normal=_PL!BG193,"",IF(OR(BG193="",NOT(ISNUMBER(BG193)),ISERROR(BG193),$B193=""),"",IF($I193=1,IFBLANK(_xldudf_CX_PUSH(BG193*fxVal_normal,CX_ENTITY,$B193,BG$11,BG$14,BG$190,),""),IF($I193=2,IFBLANK(_xldudf_CX_PUSH(BG193,CX_ENTITY,$B193,BG$11,BG$14,BG$190,),""),IF($I193=3,"",IFBLANK(_xldudf_CX_PUSH(BG193,CX_ENTITY,$B193,BG$11,BG$14,BG$190,),"")))))),"")</f>
        <v/>
      </c>
      <c r="EH193" s="2445" t="str" cm="1">
        <f t="array" ca="1" aca="1" ref="EH193">IFERROR(IF(BH193*fxVal_normal=_PL!BH193,"",IF(OR(BH193="",NOT(ISNUMBER(BH193)),ISERROR(BH193),$B193=""),"",IF($I193=1,IFBLANK(_xldudf_CX_PUSH(BH193*fxVal_normal,CX_ENTITY,$B193,BH$11,BH$14,BH$190,),""),IF($I193=2,IFBLANK(_xldudf_CX_PUSH(BH193,CX_ENTITY,$B193,BH$11,BH$14,BH$190,),""),IF($I193=3,"",IFBLANK(_xldudf_CX_PUSH(BH193,CX_ENTITY,$B193,BH$11,BH$14,BH$190,),"")))))),"")</f>
        <v/>
      </c>
      <c r="EI193" s="2445" t="str" cm="1">
        <f t="array" ca="1" aca="1" ref="EI193">IFERROR(IF(BI193*fxVal_normal=_PL!BI193,"",IF(OR(BI193="",NOT(ISNUMBER(BI193)),ISERROR(BI193),$B193=""),"",IF($I193=1,IFBLANK(_xldudf_CX_PUSH(BI193*fxVal_normal,CX_ENTITY,$B193,BI$11,BI$14,BI$190,),""),IF($I193=2,IFBLANK(_xldudf_CX_PUSH(BI193,CX_ENTITY,$B193,BI$11,BI$14,BI$190,),""),IF($I193=3,"",IFBLANK(_xldudf_CX_PUSH(BI193,CX_ENTITY,$B193,BI$11,BI$14,BI$190,),"")))))),"")</f>
        <v/>
      </c>
      <c r="EJ193" s="2445" t="str" cm="1">
        <f t="array" ca="1" aca="1" ref="EJ193">IFERROR(IF(BJ193*fxVal_normal=_PL!BJ193,"",IF(OR(BJ193="",NOT(ISNUMBER(BJ193)),ISERROR(BJ193),$B193=""),"",IF($I193=1,IFBLANK(_xldudf_CX_PUSH(BJ193*fxVal_normal,CX_ENTITY,$B193,BJ$11,BJ$14,BJ$190,),""),IF($I193=2,IFBLANK(_xldudf_CX_PUSH(BJ193,CX_ENTITY,$B193,BJ$11,BJ$14,BJ$190,),""),IF($I193=3,"",IFBLANK(_xldudf_CX_PUSH(BJ193,CX_ENTITY,$B193,BJ$11,BJ$14,BJ$190,),"")))))),"")</f>
        <v/>
      </c>
      <c r="EK193" s="2445" t="str" cm="1">
        <f t="array" ca="1" aca="1" ref="EK193">IFERROR(IF(BK193*fxVal_normal=_PL!BK193,"",IF(OR(BK193="",NOT(ISNUMBER(BK193)),ISERROR(BK193),$B193=""),"",IF($I193=1,IFBLANK(_xldudf_CX_PUSH(BK193*fxVal_normal,CX_ENTITY,$B193,BK$11,BK$14,BK$190,),""),IF($I193=2,IFBLANK(_xldudf_CX_PUSH(BK193,CX_ENTITY,$B193,BK$11,BK$14,BK$190,),""),IF($I193=3,"",IFBLANK(_xldudf_CX_PUSH(BK193,CX_ENTITY,$B193,BK$11,BK$14,BK$190,),"")))))),"")</f>
        <v/>
      </c>
      <c r="EL193" s="2445" t="str" cm="1">
        <f t="array" ca="1" aca="1" ref="EL193">IFERROR(IF(BL193*fxVal_normal=_PL!BL193,"",IF(OR(BL193="",NOT(ISNUMBER(BL193)),ISERROR(BL193),$B193=""),"",IF($I193=1,IFBLANK(_xldudf_CX_PUSH(BL193*fxVal_normal,CX_ENTITY,$B193,BL$11,BL$14,BL$190,),""),IF($I193=2,IFBLANK(_xldudf_CX_PUSH(BL193,CX_ENTITY,$B193,BL$11,BL$14,BL$190,),""),IF($I193=3,"",IFBLANK(_xldudf_CX_PUSH(BL193,CX_ENTITY,$B193,BL$11,BL$14,BL$190,),"")))))),"")</f>
        <v/>
      </c>
      <c r="EM193" s="2445" t="str" cm="1">
        <f t="array" ca="1" aca="1" ref="EM193">IFERROR(IF(BM193*fxVal_normal=_PL!BM193,"",IF(OR(BM193="",NOT(ISNUMBER(BM193)),ISERROR(BM193),$B193=""),"",IF($I193=1,IFBLANK(_xldudf_CX_PUSH(BM193*fxVal_normal,CX_ENTITY,$B193,BM$11,BM$14,BM$190,),""),IF($I193=2,IFBLANK(_xldudf_CX_PUSH(BM193,CX_ENTITY,$B193,BM$11,BM$14,BM$190,),""),IF($I193=3,"",IFBLANK(_xldudf_CX_PUSH(BM193,CX_ENTITY,$B193,BM$11,BM$14,BM$190,),"")))))),"")</f>
        <v/>
      </c>
      <c r="EN193" s="2445" t="str" cm="1">
        <f t="array" ca="1" aca="1" ref="EN193">IFERROR(IF(BN193*fxVal_normal=_PL!BN193,"",IF(OR(BN193="",NOT(ISNUMBER(BN193)),ISERROR(BN193),$B193=""),"",IF($I193=1,IFBLANK(_xldudf_CX_PUSH(BN193*fxVal_normal,CX_ENTITY,$B193,BN$11,BN$14,BN$190,),""),IF($I193=2,IFBLANK(_xldudf_CX_PUSH(BN193,CX_ENTITY,$B193,BN$11,BN$14,BN$190,),""),IF($I193=3,"",IFBLANK(_xldudf_CX_PUSH(BN193,CX_ENTITY,$B193,BN$11,BN$14,BN$190,),"")))))),"")</f>
        <v/>
      </c>
    </row>
    <row r="194" spans="1:144" ht="21" customHeight="1">
      <c r="A194" s="1625"/>
      <c r="B194" s="2439" t="s">
        <v>163</v>
      </c>
      <c r="C194" s="3459" t="str" cm="1">
        <f t="array" ref="C194">IFBLANK(_PL!C194,"")</f>
        <v>Segment I Breakdown - Label 3</v>
      </c>
      <c r="D194" s="1548" t="s">
        <v>163</v>
      </c>
      <c r="E194" s="2440" t="e" cm="1">
        <f t="array" ca="1" aca="1" ref="E19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194:$CQ194,Z194)</f>
        <v>#NAME?</v>
      </c>
      <c r="F194" s="578"/>
      <c r="G194" s="578"/>
      <c r="H194" s="510">
        <v>0</v>
      </c>
      <c r="I194" s="3302">
        <v>1</v>
      </c>
      <c r="J194" s="401" cm="1">
        <f t="array" ref="J194">IFBLANK(Z194,"")</f>
        <v>-1</v>
      </c>
      <c r="K194" s="578" t="str">
        <f t="shared" si="51"/>
        <v>No</v>
      </c>
      <c r="L194" s="37"/>
      <c r="N194" s="158"/>
      <c r="O194" s="101"/>
      <c r="P194" s="52"/>
      <c r="Q194" s="101"/>
      <c r="R194" s="101"/>
      <c r="S194" s="101"/>
      <c r="T194" s="101"/>
      <c r="U194" s="39"/>
      <c r="V194" s="37"/>
      <c r="W194" s="91" t="e">
        <f ca="1">W191</f>
        <v>#NAME?</v>
      </c>
      <c r="X194" s="2081" t="str">
        <f>_PL!X194</f>
        <v>a</v>
      </c>
      <c r="Y194" s="3222">
        <v>2</v>
      </c>
      <c r="Z194" s="198">
        <f>_PL!Z194</f>
        <v>-1</v>
      </c>
      <c r="AA194" s="2571"/>
      <c r="AB194" s="3017"/>
      <c r="AC194" s="914" t="str" cm="1">
        <f t="array" ca="1" aca="1" ref="AC194">_xlfn.LET(_xlpm._termname,$AB194,_xlpm._iconname,"find",_xlpm._icon,fx_getIcon(_xlpm._iconname),_xlpm._location,_xlfn.XLOOKUP(LOWER(_xlpm._termname),LOWER(tbl_acctDef[Term]),tbl_acctDef[Term]),_xlpm._hyperlink,HYPERLINK("#"&amp;CELL("address",_xlpm._location),_xlpm._icon),IFERROR(_xlpm._hyperlink,""))</f>
        <v/>
      </c>
      <c r="AD194" s="3177">
        <v>1</v>
      </c>
      <c r="AE194" s="3177">
        <v>1</v>
      </c>
      <c r="AF194" s="3177">
        <v>1</v>
      </c>
      <c r="AG194" s="3177">
        <v>1</v>
      </c>
      <c r="AH194" s="3177">
        <v>1</v>
      </c>
      <c r="AI194" s="3177">
        <v>1</v>
      </c>
      <c r="AJ194" s="3177">
        <v>1</v>
      </c>
      <c r="AK194" s="3177">
        <v>1</v>
      </c>
      <c r="AL194" s="3177">
        <v>1</v>
      </c>
      <c r="AM194" s="3177">
        <v>1</v>
      </c>
      <c r="AN194" s="3177">
        <v>1</v>
      </c>
      <c r="AO194" s="3177">
        <v>1</v>
      </c>
      <c r="AP194" s="3177">
        <v>1</v>
      </c>
      <c r="AQ194" s="3177">
        <v>1</v>
      </c>
      <c r="AR194" s="3177">
        <v>1</v>
      </c>
      <c r="AS194" s="3177">
        <v>1</v>
      </c>
      <c r="AT194" s="3177">
        <v>1</v>
      </c>
      <c r="AU194" s="3177">
        <v>1</v>
      </c>
      <c r="AV194" s="3177">
        <v>1</v>
      </c>
      <c r="AW194" s="3177">
        <v>1</v>
      </c>
      <c r="AX194" s="3177">
        <v>1</v>
      </c>
      <c r="AY194" s="3177">
        <v>1</v>
      </c>
      <c r="AZ194" s="3177">
        <v>1</v>
      </c>
      <c r="BA194" s="3177">
        <v>1</v>
      </c>
      <c r="BB194" s="3177">
        <v>1</v>
      </c>
      <c r="BC194" s="3177">
        <v>1</v>
      </c>
      <c r="BD194" s="3177">
        <v>1</v>
      </c>
      <c r="BE194" s="3177">
        <v>1</v>
      </c>
      <c r="BF194" s="3177">
        <v>1</v>
      </c>
      <c r="BG194" s="3177">
        <v>1</v>
      </c>
      <c r="BH194" s="3177">
        <v>1</v>
      </c>
      <c r="BI194" s="3177">
        <v>1</v>
      </c>
      <c r="BJ194" s="3177">
        <v>1</v>
      </c>
      <c r="BK194" s="3177">
        <v>1</v>
      </c>
      <c r="BL194" s="3177">
        <v>1</v>
      </c>
      <c r="BM194" s="3177">
        <v>1</v>
      </c>
      <c r="BN194" s="3177">
        <v>1</v>
      </c>
      <c r="BO194" s="2442"/>
      <c r="BP194" s="2442"/>
      <c r="BQ194" s="2442"/>
      <c r="BR194" s="2442"/>
      <c r="BS194" s="2442"/>
      <c r="BT194" s="2442"/>
      <c r="BU194" s="2442"/>
      <c r="BV194" s="2442"/>
      <c r="BW194" s="2442"/>
      <c r="BX194" s="2442"/>
      <c r="BY194" s="2442"/>
      <c r="BZ194" s="2442"/>
      <c r="CA194" s="34"/>
      <c r="CC194" s="58"/>
      <c r="CD194" s="1461" t="e" cm="1">
        <f t="array" ca="1" aca="1" ref="CD194">_xlfn.LET(_xlpm.CheckBlank,SUM(PL!$AD194:$BN194)=0,IF(_xlpm.CheckBlank,"",SUM(_xlfn._xlws.FILTER(PL!$AD194:$BN194,(YEAR(PL!$AD$12:$BN$12)=PL!CD$12)*(array_timeline&lt;=PL!CD$11)))))</f>
        <v>#NAME?</v>
      </c>
      <c r="CE194" s="1461" t="e" cm="1">
        <f t="array" ca="1" aca="1" ref="CE194">_xlfn.LET(_xlpm.CheckBlank,SUM(PL!$AD194:$BN194)=0,IF(_xlpm.CheckBlank,"",SUM(_xlfn._xlws.FILTER(PL!$AD194:$BN194,(YEAR(PL!$AD$12:$BN$12)=PL!CE$12)*(array_timeline&lt;=PL!CE$11)))))</f>
        <v>#NAME?</v>
      </c>
      <c r="CF194" s="88"/>
      <c r="CG194" s="1461" t="e" cm="1">
        <f t="array" ca="1" aca="1" ref="CG194">_xlfn.LET(_xlpm.CheckBlank,SUM(PL!$AD194:$BN194)=0,IF(_xlpm.CheckBlank,"",SUM(_xlfn._xlws.FILTER(PL!$AD194:$BN194,(YEAR(PL!$AD$12:$BN$12)=PL!CG$12)*(array_timeline&lt;=PL!CG$11)))))</f>
        <v>#NAME?</v>
      </c>
      <c r="CH194" s="1461" t="e" cm="1">
        <f t="array" ca="1" aca="1" ref="CH194">_xlfn.LET(_xlpm.CheckBlank,SUM(PL!$AD194:$BN194)=0,IF(_xlpm.CheckBlank,"",SUM(_xlfn._xlws.FILTER(PL!$AD194:$BN194,(YEAR(PL!$AD$12:$BN$12)=PL!CH$12)*(array_timeline&lt;=PL!CH$11)))))</f>
        <v>#NAME?</v>
      </c>
      <c r="CI194" s="88"/>
      <c r="CJ194" s="1461" cm="1">
        <f t="array" ref="CJ194">_xlfn.LET(_xlpm.CheckBlank,SUM(PL!$AD194:$BN194)=0,IF(_xlpm.CheckBlank,"",SUM(_xlfn.TAKE(_xlfn.DROP(PL!$AD194:$BN194,,-DATEDIFF(PL!CJ$11,val_asOfDate,"M")),1,-12))))</f>
        <v>12</v>
      </c>
      <c r="CK194" s="1461" cm="1">
        <f t="array" ref="CK194">_xlfn.LET(_xlpm.CheckBlank,SUM(PL!$AD194:$BN194)=0,IF(_xlpm.CheckBlank,"",SUM(_xlfn.TAKE(_xlfn.DROP(PL!$AD194:$BN194,,-DATEDIFF(PL!CK$11,val_asOfDate,"M")),1,-12))))</f>
        <v>12</v>
      </c>
      <c r="CL194" s="88"/>
      <c r="CM194" s="3177">
        <v>1</v>
      </c>
      <c r="CN194" s="3177">
        <v>1</v>
      </c>
      <c r="CO194" s="1169"/>
      <c r="CP194" s="3177">
        <v>1</v>
      </c>
      <c r="CQ194" s="3177">
        <v>1</v>
      </c>
      <c r="CR194" s="34"/>
      <c r="CS194" s="2056"/>
      <c r="CT194" s="2447" t="e" cm="1">
        <f t="array" ca="1" aca="1" ref="CT194">IF(OR($Y194="Segment I Breakdown - Amount 1",$Y194="Segment I Breakdown - Amount 2",$Y194="Segment I Breakdown - Amount 3",$Y194="Segment I Breakdown - Amount 4",$Y194="Segment I Breakdown - Amount 5",$Y194="Segment I Breakdown - Amount 6",$Y194="Please select the metric for segmentation"),"",_xldudf_CX_PUSH($Y194,CX_ENTITY,$C194,val_asOfDate))</f>
        <v>#NAME?</v>
      </c>
      <c r="CU194" s="2447" t="e" cm="1">
        <f t="array" ca="1" aca="1" ref="CU194">IF(OR($Y194="Segment I Breakdown - Amount 1",$Y194="Segment I Breakdown - Amount 2",$Y194="Segment I Breakdown - Amount 3",$Y194="Segment I Breakdown - Amount 4",$Y194="Segment I Breakdown - Amount 5",$Y194="Segment I Breakdown - Amount 6",$Y194="Please select the metric for segmentation"),"",_xldudf_CX_PUSH($Y194,CX_ENTITY,$C194,EOMONTH(val_asOfDate,1)))</f>
        <v>#NAME?</v>
      </c>
      <c r="CV194" s="2447" t="e" cm="1">
        <f t="array" ca="1" aca="1" ref="CV194">IF(OR($Y194="Segment I Breakdown - Amount 1",$Y194="Segment I Breakdown - Amount 2",$Y194="Segment I Breakdown - Amount 3",$Y194="Segment I Breakdown - Amount 4",$Y194="Segment I Breakdown - Amount 5",$Y194="Segment I Breakdown - Amount 6",$Y194="Please select the metric for segmentation"),"",_xldudf_CX_PUSH($Y194,CX_ENTITY,$C194,EOMONTH(val_asOfDate,2)))</f>
        <v>#NAME?</v>
      </c>
      <c r="CW194" s="2447" t="e" cm="1">
        <f t="array" ca="1" aca="1" ref="CW194">IF(OR($Y194="Segment I Breakdown - Amount 1",$Y194="Segment I Breakdown - Amount 2",$Y194="Segment I Breakdown - Amount 3",$Y194="Segment I Breakdown - Amount 4",$Y194="Segment I Breakdown - Amount 5",$Y194="Segment I Breakdown - Amount 6",$Y194="Please select the metric for segmentation"),"",_xldudf_CX_PUSH($Y194,CX_ENTITY,$C194,EOMONTH(val_asOfDate,3)))</f>
        <v>#NAME?</v>
      </c>
      <c r="CX194" s="2443"/>
      <c r="CY194" s="2444" t="str" cm="1">
        <f t="array" ca="1" aca="1" ref="CY194">IFERROR(IF(CM194*fxVal_normal=_PL!CM194,"",IF(OR($CM194="",$CM194=0,NOT(ISNUMBER($CM194)),ISERROR($CM194),$B194=""),"",IF($I194=1,IFBLANK(_xldudf_CX_PUSH($CM194*fxVal_normal,CX_ENTITY,$B194,$CM$11,$CM$14,$CM$19,),""),IF($I194=2,IFBLANK(_xldudf_CX_PUSH($CM194,CX_ENTITY,$B194,$CM$11,$CM$14,$CM$19,),""),IF($I194=3,"",IFBLANK(_xldudf_CX_PUSH($CM194,CX_ENTITY,$B194,$CM$11,$CM$14,$CM$19,),"")))))),"")</f>
        <v/>
      </c>
      <c r="CZ194" s="2444" t="str" cm="1">
        <f t="array" ca="1" aca="1" ref="CZ194">IFERROR(IF(CN194*fxVal_normal=_PL!CN194,"",IF(OR($CN194="",$CN194=0,NOT(ISNUMBER($CN194)),ISERROR($CN194),$B194=""),"",IF($I194=1,IFBLANK(_xldudf_CX_PUSH($CN194*fxVal_normal,CX_ENTITY,$B194,$CN$11,$CN$14,$CN$19,),""),IF($I194=2,IFBLANK(_xldudf_CX_PUSH($CN194,CX_ENTITY,$B194,$CN$11,$CN$14,$CN$19,),""),IF($I194=3,"",IFBLANK(_xldudf_CX_PUSH($CN194,CX_ENTITY,$B194,$CN$11,$CN$14,$CN$19,),"")))))),"")</f>
        <v/>
      </c>
      <c r="DA194" s="2444" t="str" cm="1">
        <f t="array" ca="1" aca="1" ref="DA194">IFERROR(IF(CP194*fxVal_normal=_PL!CP194,"",IF(OR($CP194="",$CP194=0,NOT(ISNUMBER($CP194)),ISERROR($CP194),$B194=""),"",IF($I194=1,IFBLANK(_xldudf_CX_PUSH($CP194*fxVal_normal,CX_ENTITY,$B194,$CP$11,$CP$14,$CP$19,),""),IF($I194=2,IFBLANK(_xldudf_CX_PUSH($CP194,CX_ENTITY,$B194,$CP$11,$CP$14,$CP$19,),""),IF($I194=3,"",IFBLANK(_xldudf_CX_PUSH($CP194,CX_ENTITY,$B194,$CP$11,$CP$14,$CP$19,),"")))))),"")</f>
        <v/>
      </c>
      <c r="DB194" s="2444" t="str" cm="1">
        <f t="array" ca="1" aca="1" ref="DB194">IFERROR(IF(CQ194*fxVal_normal=_PL!CQ194,"",IF(OR($CQ194="",$CQ194=0,NOT(ISNUMBER($CQ194)),ISERROR($CQ194),$B194=""),"",IF($I194=1,IFBLANK(_xldudf_CX_PUSH($CQ194*fxVal_normal,CX_ENTITY,$B194,$CQ$11,$CQ$14,$CQ$19,),""),IF($I194=2,IFBLANK(_xldudf_CX_PUSH($CQ194,CX_ENTITY,$B194,$CQ$11,$CQ$14,$CQ$19,),""),IF($I194=3,"",IFBLANK(_xldudf_CX_PUSH($CQ194,CX_ENTITY,$B194,$CQ$11,$CQ$14,$CQ$19,),"")))))),"")</f>
        <v/>
      </c>
      <c r="DC194" s="2443"/>
      <c r="DD194" s="2445" t="str" cm="1">
        <f t="array" ca="1" aca="1" ref="DD194">IFERROR(IF(AD194*fxVal_normal=_PL!AD194,"",IF(OR(AD194="",NOT(ISNUMBER(AD194)),ISERROR(AD194),$B194=""),"",IF($I194=1,IFBLANK(_xldudf_CX_PUSH(AD194*fxVal_normal,CX_ENTITY,$B194,AD$11,AD$14,AD$190,),""),IF($I194=2,IFBLANK(_xldudf_CX_PUSH(AD194,CX_ENTITY,$B194,AD$11,AD$14,AD$190,),""),IF($I194=3,"",IFBLANK(_xldudf_CX_PUSH(AD194,CX_ENTITY,$B194,AD$11,AD$14,AD$190,),"")))))),"")</f>
        <v/>
      </c>
      <c r="DE194" s="2445" t="str" cm="1">
        <f t="array" ca="1" aca="1" ref="DE194">IFERROR(IF(AE194*fxVal_normal=_PL!AE194,"",IF(OR(AE194="",NOT(ISNUMBER(AE194)),ISERROR(AE194),$B194=""),"",IF($I194=1,IFBLANK(_xldudf_CX_PUSH(AE194*fxVal_normal,CX_ENTITY,$B194,AE$11,AE$14,AE$190,),""),IF($I194=2,IFBLANK(_xldudf_CX_PUSH(AE194,CX_ENTITY,$B194,AE$11,AE$14,AE$190,),""),IF($I194=3,"",IFBLANK(_xldudf_CX_PUSH(AE194,CX_ENTITY,$B194,AE$11,AE$14,AE$190,),"")))))),"")</f>
        <v/>
      </c>
      <c r="DF194" s="2445" t="str" cm="1">
        <f t="array" ca="1" aca="1" ref="DF194">IFERROR(IF(AF194*fxVal_normal=_PL!AF194,"",IF(OR(AF194="",NOT(ISNUMBER(AF194)),ISERROR(AF194),$B194=""),"",IF($I194=1,IFBLANK(_xldudf_CX_PUSH(AF194*fxVal_normal,CX_ENTITY,$B194,AF$11,AF$14,AF$190,),""),IF($I194=2,IFBLANK(_xldudf_CX_PUSH(AF194,CX_ENTITY,$B194,AF$11,AF$14,AF$190,),""),IF($I194=3,"",IFBLANK(_xldudf_CX_PUSH(AF194,CX_ENTITY,$B194,AF$11,AF$14,AF$190,),"")))))),"")</f>
        <v/>
      </c>
      <c r="DG194" s="2445" t="str" cm="1">
        <f t="array" ca="1" aca="1" ref="DG194">IFERROR(IF(AG194*fxVal_normal=_PL!AG194,"",IF(OR(AG194="",NOT(ISNUMBER(AG194)),ISERROR(AG194),$B194=""),"",IF($I194=1,IFBLANK(_xldudf_CX_PUSH(AG194*fxVal_normal,CX_ENTITY,$B194,AG$11,AG$14,AG$190,),""),IF($I194=2,IFBLANK(_xldudf_CX_PUSH(AG194,CX_ENTITY,$B194,AG$11,AG$14,AG$190,),""),IF($I194=3,"",IFBLANK(_xldudf_CX_PUSH(AG194,CX_ENTITY,$B194,AG$11,AG$14,AG$190,),"")))))),"")</f>
        <v/>
      </c>
      <c r="DH194" s="2445" t="str" cm="1">
        <f t="array" ca="1" aca="1" ref="DH194">IFERROR(IF(AH194*fxVal_normal=_PL!AH194,"",IF(OR(AH194="",NOT(ISNUMBER(AH194)),ISERROR(AH194),$B194=""),"",IF($I194=1,IFBLANK(_xldudf_CX_PUSH(AH194*fxVal_normal,CX_ENTITY,$B194,AH$11,AH$14,AH$190,),""),IF($I194=2,IFBLANK(_xldudf_CX_PUSH(AH194,CX_ENTITY,$B194,AH$11,AH$14,AH$190,),""),IF($I194=3,"",IFBLANK(_xldudf_CX_PUSH(AH194,CX_ENTITY,$B194,AH$11,AH$14,AH$190,),"")))))),"")</f>
        <v/>
      </c>
      <c r="DI194" s="2445" t="str" cm="1">
        <f t="array" ca="1" aca="1" ref="DI194">IFERROR(IF(AI194*fxVal_normal=_PL!AI194,"",IF(OR(AI194="",NOT(ISNUMBER(AI194)),ISERROR(AI194),$B194=""),"",IF($I194=1,IFBLANK(_xldudf_CX_PUSH(AI194*fxVal_normal,CX_ENTITY,$B194,AI$11,AI$14,AI$190,),""),IF($I194=2,IFBLANK(_xldudf_CX_PUSH(AI194,CX_ENTITY,$B194,AI$11,AI$14,AI$190,),""),IF($I194=3,"",IFBLANK(_xldudf_CX_PUSH(AI194,CX_ENTITY,$B194,AI$11,AI$14,AI$190,),"")))))),"")</f>
        <v/>
      </c>
      <c r="DJ194" s="2445" t="str" cm="1">
        <f t="array" ca="1" aca="1" ref="DJ194">IFERROR(IF(AJ194*fxVal_normal=_PL!AJ194,"",IF(OR(AJ194="",NOT(ISNUMBER(AJ194)),ISERROR(AJ194),$B194=""),"",IF($I194=1,IFBLANK(_xldudf_CX_PUSH(AJ194*fxVal_normal,CX_ENTITY,$B194,AJ$11,AJ$14,AJ$190,),""),IF($I194=2,IFBLANK(_xldudf_CX_PUSH(AJ194,CX_ENTITY,$B194,AJ$11,AJ$14,AJ$190,),""),IF($I194=3,"",IFBLANK(_xldudf_CX_PUSH(AJ194,CX_ENTITY,$B194,AJ$11,AJ$14,AJ$190,),"")))))),"")</f>
        <v/>
      </c>
      <c r="DK194" s="2445" t="str" cm="1">
        <f t="array" ca="1" aca="1" ref="DK194">IFERROR(IF(AK194*fxVal_normal=_PL!AK194,"",IF(OR(AK194="",NOT(ISNUMBER(AK194)),ISERROR(AK194),$B194=""),"",IF($I194=1,IFBLANK(_xldudf_CX_PUSH(AK194*fxVal_normal,CX_ENTITY,$B194,AK$11,AK$14,AK$190,),""),IF($I194=2,IFBLANK(_xldudf_CX_PUSH(AK194,CX_ENTITY,$B194,AK$11,AK$14,AK$190,),""),IF($I194=3,"",IFBLANK(_xldudf_CX_PUSH(AK194,CX_ENTITY,$B194,AK$11,AK$14,AK$190,),"")))))),"")</f>
        <v/>
      </c>
      <c r="DL194" s="2445" t="str" cm="1">
        <f t="array" ca="1" aca="1" ref="DL194">IFERROR(IF(AL194*fxVal_normal=_PL!AL194,"",IF(OR(AL194="",NOT(ISNUMBER(AL194)),ISERROR(AL194),$B194=""),"",IF($I194=1,IFBLANK(_xldudf_CX_PUSH(AL194*fxVal_normal,CX_ENTITY,$B194,AL$11,AL$14,AL$190,),""),IF($I194=2,IFBLANK(_xldudf_CX_PUSH(AL194,CX_ENTITY,$B194,AL$11,AL$14,AL$190,),""),IF($I194=3,"",IFBLANK(_xldudf_CX_PUSH(AL194,CX_ENTITY,$B194,AL$11,AL$14,AL$190,),"")))))),"")</f>
        <v/>
      </c>
      <c r="DM194" s="2445" t="str" cm="1">
        <f t="array" ca="1" aca="1" ref="DM194">IFERROR(IF(AM194*fxVal_normal=_PL!AM194,"",IF(OR(AM194="",NOT(ISNUMBER(AM194)),ISERROR(AM194),$B194=""),"",IF($I194=1,IFBLANK(_xldudf_CX_PUSH(AM194*fxVal_normal,CX_ENTITY,$B194,AM$11,AM$14,AM$190,),""),IF($I194=2,IFBLANK(_xldudf_CX_PUSH(AM194,CX_ENTITY,$B194,AM$11,AM$14,AM$190,),""),IF($I194=3,"",IFBLANK(_xldudf_CX_PUSH(AM194,CX_ENTITY,$B194,AM$11,AM$14,AM$190,),"")))))),"")</f>
        <v/>
      </c>
      <c r="DN194" s="2445" t="str" cm="1">
        <f t="array" ca="1" aca="1" ref="DN194">IFERROR(IF(AN194*fxVal_normal=_PL!AN194,"",IF(OR(AN194="",NOT(ISNUMBER(AN194)),ISERROR(AN194),$B194=""),"",IF($I194=1,IFBLANK(_xldudf_CX_PUSH(AN194*fxVal_normal,CX_ENTITY,$B194,AN$11,AN$14,AN$190,),""),IF($I194=2,IFBLANK(_xldudf_CX_PUSH(AN194,CX_ENTITY,$B194,AN$11,AN$14,AN$190,),""),IF($I194=3,"",IFBLANK(_xldudf_CX_PUSH(AN194,CX_ENTITY,$B194,AN$11,AN$14,AN$190,),"")))))),"")</f>
        <v/>
      </c>
      <c r="DO194" s="2445" t="str" cm="1">
        <f t="array" ca="1" aca="1" ref="DO194">IFERROR(IF(AO194*fxVal_normal=_PL!AO194,"",IF(OR(AO194="",NOT(ISNUMBER(AO194)),ISERROR(AO194),$B194=""),"",IF($I194=1,IFBLANK(_xldudf_CX_PUSH(AO194*fxVal_normal,CX_ENTITY,$B194,AO$11,AO$14,AO$190,),""),IF($I194=2,IFBLANK(_xldudf_CX_PUSH(AO194,CX_ENTITY,$B194,AO$11,AO$14,AO$190,),""),IF($I194=3,"",IFBLANK(_xldudf_CX_PUSH(AO194,CX_ENTITY,$B194,AO$11,AO$14,AO$190,),"")))))),"")</f>
        <v/>
      </c>
      <c r="DP194" s="2445" t="str" cm="1">
        <f t="array" ca="1" aca="1" ref="DP194">IFERROR(IF(AP194*fxVal_normal=_PL!AP194,"",IF(OR(AP194="",NOT(ISNUMBER(AP194)),ISERROR(AP194),$B194=""),"",IF($I194=1,IFBLANK(_xldudf_CX_PUSH(AP194*fxVal_normal,CX_ENTITY,$B194,AP$11,AP$14,AP$190,),""),IF($I194=2,IFBLANK(_xldudf_CX_PUSH(AP194,CX_ENTITY,$B194,AP$11,AP$14,AP$190,),""),IF($I194=3,"",IFBLANK(_xldudf_CX_PUSH(AP194,CX_ENTITY,$B194,AP$11,AP$14,AP$190,),"")))))),"")</f>
        <v/>
      </c>
      <c r="DQ194" s="2445" t="str" cm="1">
        <f t="array" ca="1" aca="1" ref="DQ194">IFERROR(IF(AQ194*fxVal_normal=_PL!AQ194,"",IF(OR(AQ194="",NOT(ISNUMBER(AQ194)),ISERROR(AQ194),$B194=""),"",IF($I194=1,IFBLANK(_xldudf_CX_PUSH(AQ194*fxVal_normal,CX_ENTITY,$B194,AQ$11,AQ$14,AQ$190,),""),IF($I194=2,IFBLANK(_xldudf_CX_PUSH(AQ194,CX_ENTITY,$B194,AQ$11,AQ$14,AQ$190,),""),IF($I194=3,"",IFBLANK(_xldudf_CX_PUSH(AQ194,CX_ENTITY,$B194,AQ$11,AQ$14,AQ$190,),"")))))),"")</f>
        <v/>
      </c>
      <c r="DR194" s="2445" t="str" cm="1">
        <f t="array" ca="1" aca="1" ref="DR194">IFERROR(IF(AR194*fxVal_normal=_PL!AR194,"",IF(OR(AR194="",NOT(ISNUMBER(AR194)),ISERROR(AR194),$B194=""),"",IF($I194=1,IFBLANK(_xldudf_CX_PUSH(AR194*fxVal_normal,CX_ENTITY,$B194,AR$11,AR$14,AR$190,),""),IF($I194=2,IFBLANK(_xldudf_CX_PUSH(AR194,CX_ENTITY,$B194,AR$11,AR$14,AR$190,),""),IF($I194=3,"",IFBLANK(_xldudf_CX_PUSH(AR194,CX_ENTITY,$B194,AR$11,AR$14,AR$190,),"")))))),"")</f>
        <v/>
      </c>
      <c r="DS194" s="2445" t="str" cm="1">
        <f t="array" ca="1" aca="1" ref="DS194">IFERROR(IF(AS194*fxVal_normal=_PL!AS194,"",IF(OR(AS194="",NOT(ISNUMBER(AS194)),ISERROR(AS194),$B194=""),"",IF($I194=1,IFBLANK(_xldudf_CX_PUSH(AS194*fxVal_normal,CX_ENTITY,$B194,AS$11,AS$14,AS$190,),""),IF($I194=2,IFBLANK(_xldudf_CX_PUSH(AS194,CX_ENTITY,$B194,AS$11,AS$14,AS$190,),""),IF($I194=3,"",IFBLANK(_xldudf_CX_PUSH(AS194,CX_ENTITY,$B194,AS$11,AS$14,AS$190,),"")))))),"")</f>
        <v/>
      </c>
      <c r="DT194" s="2445" t="str" cm="1">
        <f t="array" ca="1" aca="1" ref="DT194">IFERROR(IF(AT194*fxVal_normal=_PL!AT194,"",IF(OR(AT194="",NOT(ISNUMBER(AT194)),ISERROR(AT194),$B194=""),"",IF($I194=1,IFBLANK(_xldudf_CX_PUSH(AT194*fxVal_normal,CX_ENTITY,$B194,AT$11,AT$14,AT$190,),""),IF($I194=2,IFBLANK(_xldudf_CX_PUSH(AT194,CX_ENTITY,$B194,AT$11,AT$14,AT$190,),""),IF($I194=3,"",IFBLANK(_xldudf_CX_PUSH(AT194,CX_ENTITY,$B194,AT$11,AT$14,AT$190,),"")))))),"")</f>
        <v/>
      </c>
      <c r="DU194" s="2445" t="str" cm="1">
        <f t="array" ca="1" aca="1" ref="DU194">IFERROR(IF(AU194*fxVal_normal=_PL!AU194,"",IF(OR(AU194="",NOT(ISNUMBER(AU194)),ISERROR(AU194),$B194=""),"",IF($I194=1,IFBLANK(_xldudf_CX_PUSH(AU194*fxVal_normal,CX_ENTITY,$B194,AU$11,AU$14,AU$190,),""),IF($I194=2,IFBLANK(_xldudf_CX_PUSH(AU194,CX_ENTITY,$B194,AU$11,AU$14,AU$190,),""),IF($I194=3,"",IFBLANK(_xldudf_CX_PUSH(AU194,CX_ENTITY,$B194,AU$11,AU$14,AU$190,),"")))))),"")</f>
        <v/>
      </c>
      <c r="DV194" s="2445" t="str" cm="1">
        <f t="array" ca="1" aca="1" ref="DV194">IFERROR(IF(AV194*fxVal_normal=_PL!AV194,"",IF(OR(AV194="",NOT(ISNUMBER(AV194)),ISERROR(AV194),$B194=""),"",IF($I194=1,IFBLANK(_xldudf_CX_PUSH(AV194*fxVal_normal,CX_ENTITY,$B194,AV$11,AV$14,AV$190,),""),IF($I194=2,IFBLANK(_xldudf_CX_PUSH(AV194,CX_ENTITY,$B194,AV$11,AV$14,AV$190,),""),IF($I194=3,"",IFBLANK(_xldudf_CX_PUSH(AV194,CX_ENTITY,$B194,AV$11,AV$14,AV$190,),"")))))),"")</f>
        <v/>
      </c>
      <c r="DW194" s="2445" t="str" cm="1">
        <f t="array" ca="1" aca="1" ref="DW194">IFERROR(IF(AW194*fxVal_normal=_PL!AW194,"",IF(OR(AW194="",NOT(ISNUMBER(AW194)),ISERROR(AW194),$B194=""),"",IF($I194=1,IFBLANK(_xldudf_CX_PUSH(AW194*fxVal_normal,CX_ENTITY,$B194,AW$11,AW$14,AW$190,),""),IF($I194=2,IFBLANK(_xldudf_CX_PUSH(AW194,CX_ENTITY,$B194,AW$11,AW$14,AW$190,),""),IF($I194=3,"",IFBLANK(_xldudf_CX_PUSH(AW194,CX_ENTITY,$B194,AW$11,AW$14,AW$190,),"")))))),"")</f>
        <v/>
      </c>
      <c r="DX194" s="2445" t="str" cm="1">
        <f t="array" ca="1" aca="1" ref="DX194">IFERROR(IF(AX194*fxVal_normal=_PL!AX194,"",IF(OR(AX194="",NOT(ISNUMBER(AX194)),ISERROR(AX194),$B194=""),"",IF($I194=1,IFBLANK(_xldudf_CX_PUSH(AX194*fxVal_normal,CX_ENTITY,$B194,AX$11,AX$14,AX$190,),""),IF($I194=2,IFBLANK(_xldudf_CX_PUSH(AX194,CX_ENTITY,$B194,AX$11,AX$14,AX$190,),""),IF($I194=3,"",IFBLANK(_xldudf_CX_PUSH(AX194,CX_ENTITY,$B194,AX$11,AX$14,AX$190,),"")))))),"")</f>
        <v/>
      </c>
      <c r="DY194" s="2445" t="str" cm="1">
        <f t="array" ca="1" aca="1" ref="DY194">IFERROR(IF(AY194*fxVal_normal=_PL!AY194,"",IF(OR(AY194="",NOT(ISNUMBER(AY194)),ISERROR(AY194),$B194=""),"",IF($I194=1,IFBLANK(_xldudf_CX_PUSH(AY194*fxVal_normal,CX_ENTITY,$B194,AY$11,AY$14,AY$190,),""),IF($I194=2,IFBLANK(_xldudf_CX_PUSH(AY194,CX_ENTITY,$B194,AY$11,AY$14,AY$190,),""),IF($I194=3,"",IFBLANK(_xldudf_CX_PUSH(AY194,CX_ENTITY,$B194,AY$11,AY$14,AY$190,),"")))))),"")</f>
        <v/>
      </c>
      <c r="DZ194" s="2445" t="str" cm="1">
        <f t="array" ca="1" aca="1" ref="DZ194">IFERROR(IF(AZ194*fxVal_normal=_PL!AZ194,"",IF(OR(AZ194="",NOT(ISNUMBER(AZ194)),ISERROR(AZ194),$B194=""),"",IF($I194=1,IFBLANK(_xldudf_CX_PUSH(AZ194*fxVal_normal,CX_ENTITY,$B194,AZ$11,AZ$14,AZ$190,),""),IF($I194=2,IFBLANK(_xldudf_CX_PUSH(AZ194,CX_ENTITY,$B194,AZ$11,AZ$14,AZ$190,),""),IF($I194=3,"",IFBLANK(_xldudf_CX_PUSH(AZ194,CX_ENTITY,$B194,AZ$11,AZ$14,AZ$190,),"")))))),"")</f>
        <v/>
      </c>
      <c r="EA194" s="2445" t="str" cm="1">
        <f t="array" ca="1" aca="1" ref="EA194">IFERROR(IF(BA194*fxVal_normal=_PL!BA194,"",IF(OR(BA194="",NOT(ISNUMBER(BA194)),ISERROR(BA194),$B194=""),"",IF($I194=1,IFBLANK(_xldudf_CX_PUSH(BA194*fxVal_normal,CX_ENTITY,$B194,BA$11,BA$14,BA$190,),""),IF($I194=2,IFBLANK(_xldudf_CX_PUSH(BA194,CX_ENTITY,$B194,BA$11,BA$14,BA$190,),""),IF($I194=3,"",IFBLANK(_xldudf_CX_PUSH(BA194,CX_ENTITY,$B194,BA$11,BA$14,BA$190,),"")))))),"")</f>
        <v/>
      </c>
      <c r="EB194" s="2445" t="str" cm="1">
        <f t="array" ca="1" aca="1" ref="EB194">IFERROR(IF(BB194*fxVal_normal=_PL!BB194,"",IF(OR(BB194="",NOT(ISNUMBER(BB194)),ISERROR(BB194),$B194=""),"",IF($I194=1,IFBLANK(_xldudf_CX_PUSH(BB194*fxVal_normal,CX_ENTITY,$B194,BB$11,BB$14,BB$190,),""),IF($I194=2,IFBLANK(_xldudf_CX_PUSH(BB194,CX_ENTITY,$B194,BB$11,BB$14,BB$190,),""),IF($I194=3,"",IFBLANK(_xldudf_CX_PUSH(BB194,CX_ENTITY,$B194,BB$11,BB$14,BB$190,),"")))))),"")</f>
        <v/>
      </c>
      <c r="EC194" s="2445" t="str" cm="1">
        <f t="array" ca="1" aca="1" ref="EC194">IFERROR(IF(BC194*fxVal_normal=_PL!BC194,"",IF(OR(BC194="",NOT(ISNUMBER(BC194)),ISERROR(BC194),$B194=""),"",IF($I194=1,IFBLANK(_xldudf_CX_PUSH(BC194*fxVal_normal,CX_ENTITY,$B194,BC$11,BC$14,BC$190,),""),IF($I194=2,IFBLANK(_xldudf_CX_PUSH(BC194,CX_ENTITY,$B194,BC$11,BC$14,BC$190,),""),IF($I194=3,"",IFBLANK(_xldudf_CX_PUSH(BC194,CX_ENTITY,$B194,BC$11,BC$14,BC$190,),"")))))),"")</f>
        <v/>
      </c>
      <c r="ED194" s="2445" t="str" cm="1">
        <f t="array" ca="1" aca="1" ref="ED194">IFERROR(IF(BD194*fxVal_normal=_PL!BD194,"",IF(OR(BD194="",NOT(ISNUMBER(BD194)),ISERROR(BD194),$B194=""),"",IF($I194=1,IFBLANK(_xldudf_CX_PUSH(BD194*fxVal_normal,CX_ENTITY,$B194,BD$11,BD$14,BD$190,),""),IF($I194=2,IFBLANK(_xldudf_CX_PUSH(BD194,CX_ENTITY,$B194,BD$11,BD$14,BD$190,),""),IF($I194=3,"",IFBLANK(_xldudf_CX_PUSH(BD194,CX_ENTITY,$B194,BD$11,BD$14,BD$190,),"")))))),"")</f>
        <v/>
      </c>
      <c r="EE194" s="2445" t="str" cm="1">
        <f t="array" ca="1" aca="1" ref="EE194">IFERROR(IF(BE194*fxVal_normal=_PL!BE194,"",IF(OR(BE194="",NOT(ISNUMBER(BE194)),ISERROR(BE194),$B194=""),"",IF($I194=1,IFBLANK(_xldudf_CX_PUSH(BE194*fxVal_normal,CX_ENTITY,$B194,BE$11,BE$14,BE$190,),""),IF($I194=2,IFBLANK(_xldudf_CX_PUSH(BE194,CX_ENTITY,$B194,BE$11,BE$14,BE$190,),""),IF($I194=3,"",IFBLANK(_xldudf_CX_PUSH(BE194,CX_ENTITY,$B194,BE$11,BE$14,BE$190,),"")))))),"")</f>
        <v/>
      </c>
      <c r="EF194" s="2445" t="str" cm="1">
        <f t="array" ca="1" aca="1" ref="EF194">IFERROR(IF(BF194*fxVal_normal=_PL!BF194,"",IF(OR(BF194="",NOT(ISNUMBER(BF194)),ISERROR(BF194),$B194=""),"",IF($I194=1,IFBLANK(_xldudf_CX_PUSH(BF194*fxVal_normal,CX_ENTITY,$B194,BF$11,BF$14,BF$190,),""),IF($I194=2,IFBLANK(_xldudf_CX_PUSH(BF194,CX_ENTITY,$B194,BF$11,BF$14,BF$190,),""),IF($I194=3,"",IFBLANK(_xldudf_CX_PUSH(BF194,CX_ENTITY,$B194,BF$11,BF$14,BF$190,),"")))))),"")</f>
        <v/>
      </c>
      <c r="EG194" s="2445" t="str" cm="1">
        <f t="array" ca="1" aca="1" ref="EG194">IFERROR(IF(BG194*fxVal_normal=_PL!BG194,"",IF(OR(BG194="",NOT(ISNUMBER(BG194)),ISERROR(BG194),$B194=""),"",IF($I194=1,IFBLANK(_xldudf_CX_PUSH(BG194*fxVal_normal,CX_ENTITY,$B194,BG$11,BG$14,BG$190,),""),IF($I194=2,IFBLANK(_xldudf_CX_PUSH(BG194,CX_ENTITY,$B194,BG$11,BG$14,BG$190,),""),IF($I194=3,"",IFBLANK(_xldudf_CX_PUSH(BG194,CX_ENTITY,$B194,BG$11,BG$14,BG$190,),"")))))),"")</f>
        <v/>
      </c>
      <c r="EH194" s="2445" t="str" cm="1">
        <f t="array" ca="1" aca="1" ref="EH194">IFERROR(IF(BH194*fxVal_normal=_PL!BH194,"",IF(OR(BH194="",NOT(ISNUMBER(BH194)),ISERROR(BH194),$B194=""),"",IF($I194=1,IFBLANK(_xldudf_CX_PUSH(BH194*fxVal_normal,CX_ENTITY,$B194,BH$11,BH$14,BH$190,),""),IF($I194=2,IFBLANK(_xldudf_CX_PUSH(BH194,CX_ENTITY,$B194,BH$11,BH$14,BH$190,),""),IF($I194=3,"",IFBLANK(_xldudf_CX_PUSH(BH194,CX_ENTITY,$B194,BH$11,BH$14,BH$190,),"")))))),"")</f>
        <v/>
      </c>
      <c r="EI194" s="2445" t="str" cm="1">
        <f t="array" ca="1" aca="1" ref="EI194">IFERROR(IF(BI194*fxVal_normal=_PL!BI194,"",IF(OR(BI194="",NOT(ISNUMBER(BI194)),ISERROR(BI194),$B194=""),"",IF($I194=1,IFBLANK(_xldudf_CX_PUSH(BI194*fxVal_normal,CX_ENTITY,$B194,BI$11,BI$14,BI$190,),""),IF($I194=2,IFBLANK(_xldudf_CX_PUSH(BI194,CX_ENTITY,$B194,BI$11,BI$14,BI$190,),""),IF($I194=3,"",IFBLANK(_xldudf_CX_PUSH(BI194,CX_ENTITY,$B194,BI$11,BI$14,BI$190,),"")))))),"")</f>
        <v/>
      </c>
      <c r="EJ194" s="2445" t="str" cm="1">
        <f t="array" ca="1" aca="1" ref="EJ194">IFERROR(IF(BJ194*fxVal_normal=_PL!BJ194,"",IF(OR(BJ194="",NOT(ISNUMBER(BJ194)),ISERROR(BJ194),$B194=""),"",IF($I194=1,IFBLANK(_xldudf_CX_PUSH(BJ194*fxVal_normal,CX_ENTITY,$B194,BJ$11,BJ$14,BJ$190,),""),IF($I194=2,IFBLANK(_xldudf_CX_PUSH(BJ194,CX_ENTITY,$B194,BJ$11,BJ$14,BJ$190,),""),IF($I194=3,"",IFBLANK(_xldudf_CX_PUSH(BJ194,CX_ENTITY,$B194,BJ$11,BJ$14,BJ$190,),"")))))),"")</f>
        <v/>
      </c>
      <c r="EK194" s="2445" t="str" cm="1">
        <f t="array" ca="1" aca="1" ref="EK194">IFERROR(IF(BK194*fxVal_normal=_PL!BK194,"",IF(OR(BK194="",NOT(ISNUMBER(BK194)),ISERROR(BK194),$B194=""),"",IF($I194=1,IFBLANK(_xldudf_CX_PUSH(BK194*fxVal_normal,CX_ENTITY,$B194,BK$11,BK$14,BK$190,),""),IF($I194=2,IFBLANK(_xldudf_CX_PUSH(BK194,CX_ENTITY,$B194,BK$11,BK$14,BK$190,),""),IF($I194=3,"",IFBLANK(_xldudf_CX_PUSH(BK194,CX_ENTITY,$B194,BK$11,BK$14,BK$190,),"")))))),"")</f>
        <v/>
      </c>
      <c r="EL194" s="2445" t="str" cm="1">
        <f t="array" ca="1" aca="1" ref="EL194">IFERROR(IF(BL194*fxVal_normal=_PL!BL194,"",IF(OR(BL194="",NOT(ISNUMBER(BL194)),ISERROR(BL194),$B194=""),"",IF($I194=1,IFBLANK(_xldudf_CX_PUSH(BL194*fxVal_normal,CX_ENTITY,$B194,BL$11,BL$14,BL$190,),""),IF($I194=2,IFBLANK(_xldudf_CX_PUSH(BL194,CX_ENTITY,$B194,BL$11,BL$14,BL$190,),""),IF($I194=3,"",IFBLANK(_xldudf_CX_PUSH(BL194,CX_ENTITY,$B194,BL$11,BL$14,BL$190,),"")))))),"")</f>
        <v/>
      </c>
      <c r="EM194" s="2445" t="str" cm="1">
        <f t="array" ca="1" aca="1" ref="EM194">IFERROR(IF(BM194*fxVal_normal=_PL!BM194,"",IF(OR(BM194="",NOT(ISNUMBER(BM194)),ISERROR(BM194),$B194=""),"",IF($I194=1,IFBLANK(_xldudf_CX_PUSH(BM194*fxVal_normal,CX_ENTITY,$B194,BM$11,BM$14,BM$190,),""),IF($I194=2,IFBLANK(_xldudf_CX_PUSH(BM194,CX_ENTITY,$B194,BM$11,BM$14,BM$190,),""),IF($I194=3,"",IFBLANK(_xldudf_CX_PUSH(BM194,CX_ENTITY,$B194,BM$11,BM$14,BM$190,),"")))))),"")</f>
        <v/>
      </c>
      <c r="EN194" s="2445" t="str" cm="1">
        <f t="array" ca="1" aca="1" ref="EN194">IFERROR(IF(BN194*fxVal_normal=_PL!BN194,"",IF(OR(BN194="",NOT(ISNUMBER(BN194)),ISERROR(BN194),$B194=""),"",IF($I194=1,IFBLANK(_xldudf_CX_PUSH(BN194*fxVal_normal,CX_ENTITY,$B194,BN$11,BN$14,BN$190,),""),IF($I194=2,IFBLANK(_xldudf_CX_PUSH(BN194,CX_ENTITY,$B194,BN$11,BN$14,BN$190,),""),IF($I194=3,"",IFBLANK(_xldudf_CX_PUSH(BN194,CX_ENTITY,$B194,BN$11,BN$14,BN$190,),"")))))),"")</f>
        <v/>
      </c>
    </row>
    <row r="195" spans="1:144" ht="21" customHeight="1">
      <c r="A195" s="1625"/>
      <c r="B195" s="2439" t="s">
        <v>164</v>
      </c>
      <c r="C195" s="3459" t="str" cm="1">
        <f t="array" ref="C195">IFBLANK(_PL!C195,"")</f>
        <v>Segment I Breakdown - Label 4</v>
      </c>
      <c r="D195" s="1548" t="s">
        <v>164</v>
      </c>
      <c r="E195" s="2440" t="e" cm="1">
        <f t="array" ca="1" aca="1" ref="E19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195:$CQ195,Z195)</f>
        <v>#NAME?</v>
      </c>
      <c r="F195" s="578"/>
      <c r="G195" s="578"/>
      <c r="H195" s="510">
        <v>0</v>
      </c>
      <c r="I195" s="3302">
        <v>1</v>
      </c>
      <c r="J195" s="401" cm="1">
        <f t="array" ref="J195">IFBLANK(Z195,"")</f>
        <v>-1</v>
      </c>
      <c r="K195" s="578" t="str">
        <f ca="1">IFERROR(IF(LEN(AB195)=0,"No",IF(LEN(J195)&gt;0,"Yes","No")),"")</f>
        <v/>
      </c>
      <c r="L195" s="37"/>
      <c r="N195" s="158"/>
      <c r="O195" s="101"/>
      <c r="P195" s="52"/>
      <c r="Q195" s="101"/>
      <c r="R195" s="101"/>
      <c r="S195" s="101"/>
      <c r="T195" s="101"/>
      <c r="U195" s="39"/>
      <c r="V195" s="37"/>
      <c r="W195" s="91" t="e">
        <f ca="1">W191</f>
        <v>#NAME?</v>
      </c>
      <c r="X195" s="2081" t="str">
        <f>_PL!X195</f>
        <v>a</v>
      </c>
      <c r="Y195" s="3222">
        <v>2</v>
      </c>
      <c r="Z195" s="198">
        <f>_PL!Z195</f>
        <v>-1</v>
      </c>
      <c r="AA195" s="2571"/>
      <c r="AB195" s="2575" t="e" cm="1">
        <f t="array" ca="1" aca="1" ref="AB195">IF(W187="Scenario","Please select scenario in cell! "&amp;CELL("address",W187),"")</f>
        <v>#NAME?</v>
      </c>
      <c r="AC195" s="914" t="str" cm="1">
        <f t="array" ca="1" aca="1" ref="AC195">_xlfn.LET(_xlpm._termname,$AB195,_xlpm._iconname,"find",_xlpm._icon,fx_getIcon(_xlpm._iconname),_xlpm._location,_xlfn.XLOOKUP(LOWER(_xlpm._termname),LOWER(tbl_acctDef[Term]),tbl_acctDef[Term]),_xlpm._hyperlink,HYPERLINK("#"&amp;CELL("address",_xlpm._location),_xlpm._icon),IFERROR(_xlpm._hyperlink,""))</f>
        <v/>
      </c>
      <c r="AD195" s="3177">
        <v>1</v>
      </c>
      <c r="AE195" s="3177">
        <v>1</v>
      </c>
      <c r="AF195" s="3177">
        <v>1</v>
      </c>
      <c r="AG195" s="3177">
        <v>1</v>
      </c>
      <c r="AH195" s="3177">
        <v>1</v>
      </c>
      <c r="AI195" s="3177">
        <v>1</v>
      </c>
      <c r="AJ195" s="3177">
        <v>1</v>
      </c>
      <c r="AK195" s="3177">
        <v>1</v>
      </c>
      <c r="AL195" s="3177">
        <v>1</v>
      </c>
      <c r="AM195" s="3177">
        <v>1</v>
      </c>
      <c r="AN195" s="3177">
        <v>1</v>
      </c>
      <c r="AO195" s="3177">
        <v>1</v>
      </c>
      <c r="AP195" s="3177">
        <v>1</v>
      </c>
      <c r="AQ195" s="3177">
        <v>1</v>
      </c>
      <c r="AR195" s="3177">
        <v>1</v>
      </c>
      <c r="AS195" s="3177">
        <v>1</v>
      </c>
      <c r="AT195" s="3177">
        <v>1</v>
      </c>
      <c r="AU195" s="3177">
        <v>1</v>
      </c>
      <c r="AV195" s="3177">
        <v>1</v>
      </c>
      <c r="AW195" s="3177">
        <v>1</v>
      </c>
      <c r="AX195" s="3177">
        <v>1</v>
      </c>
      <c r="AY195" s="3177">
        <v>1</v>
      </c>
      <c r="AZ195" s="3177">
        <v>1</v>
      </c>
      <c r="BA195" s="3177">
        <v>1</v>
      </c>
      <c r="BB195" s="3177">
        <v>1</v>
      </c>
      <c r="BC195" s="3177">
        <v>1</v>
      </c>
      <c r="BD195" s="3177">
        <v>1</v>
      </c>
      <c r="BE195" s="3177">
        <v>1</v>
      </c>
      <c r="BF195" s="3177">
        <v>1</v>
      </c>
      <c r="BG195" s="3177">
        <v>1</v>
      </c>
      <c r="BH195" s="3177">
        <v>1</v>
      </c>
      <c r="BI195" s="3177">
        <v>1</v>
      </c>
      <c r="BJ195" s="3177">
        <v>1</v>
      </c>
      <c r="BK195" s="3177">
        <v>1</v>
      </c>
      <c r="BL195" s="3177">
        <v>1</v>
      </c>
      <c r="BM195" s="3177">
        <v>1</v>
      </c>
      <c r="BN195" s="3177">
        <v>1</v>
      </c>
      <c r="BO195" s="2442"/>
      <c r="BP195" s="2442"/>
      <c r="BQ195" s="2442"/>
      <c r="BR195" s="2442"/>
      <c r="BS195" s="2442"/>
      <c r="BT195" s="2442"/>
      <c r="BU195" s="2442"/>
      <c r="BV195" s="2442"/>
      <c r="BW195" s="2442"/>
      <c r="BX195" s="2442"/>
      <c r="BY195" s="2442"/>
      <c r="BZ195" s="2442"/>
      <c r="CA195" s="34"/>
      <c r="CC195" s="58"/>
      <c r="CD195" s="1461" t="e" cm="1">
        <f t="array" ca="1" aca="1" ref="CD195">_xlfn.LET(_xlpm.CheckBlank,SUM(PL!$AD195:$BN195)=0,IF(_xlpm.CheckBlank,"",SUM(_xlfn._xlws.FILTER(PL!$AD195:$BN195,(YEAR(PL!$AD$12:$BN$12)=PL!CD$12)*(array_timeline&lt;=PL!CD$11)))))</f>
        <v>#NAME?</v>
      </c>
      <c r="CE195" s="1461" t="e" cm="1">
        <f t="array" ca="1" aca="1" ref="CE195">_xlfn.LET(_xlpm.CheckBlank,SUM(PL!$AD195:$BN195)=0,IF(_xlpm.CheckBlank,"",SUM(_xlfn._xlws.FILTER(PL!$AD195:$BN195,(YEAR(PL!$AD$12:$BN$12)=PL!CE$12)*(array_timeline&lt;=PL!CE$11)))))</f>
        <v>#NAME?</v>
      </c>
      <c r="CF195" s="88"/>
      <c r="CG195" s="1461" t="e" cm="1">
        <f t="array" ca="1" aca="1" ref="CG195">_xlfn.LET(_xlpm.CheckBlank,SUM(PL!$AD195:$BN195)=0,IF(_xlpm.CheckBlank,"",SUM(_xlfn._xlws.FILTER(PL!$AD195:$BN195,(YEAR(PL!$AD$12:$BN$12)=PL!CG$12)*(array_timeline&lt;=PL!CG$11)))))</f>
        <v>#NAME?</v>
      </c>
      <c r="CH195" s="1461" t="e" cm="1">
        <f t="array" ca="1" aca="1" ref="CH195">_xlfn.LET(_xlpm.CheckBlank,SUM(PL!$AD195:$BN195)=0,IF(_xlpm.CheckBlank,"",SUM(_xlfn._xlws.FILTER(PL!$AD195:$BN195,(YEAR(PL!$AD$12:$BN$12)=PL!CH$12)*(array_timeline&lt;=PL!CH$11)))))</f>
        <v>#NAME?</v>
      </c>
      <c r="CI195" s="88"/>
      <c r="CJ195" s="1461" cm="1">
        <f t="array" ref="CJ195">_xlfn.LET(_xlpm.CheckBlank,SUM(PL!$AD195:$BN195)=0,IF(_xlpm.CheckBlank,"",SUM(_xlfn.TAKE(_xlfn.DROP(PL!$AD195:$BN195,,-DATEDIFF(PL!CJ$11,val_asOfDate,"M")),1,-12))))</f>
        <v>12</v>
      </c>
      <c r="CK195" s="1461" cm="1">
        <f t="array" ref="CK195">_xlfn.LET(_xlpm.CheckBlank,SUM(PL!$AD195:$BN195)=0,IF(_xlpm.CheckBlank,"",SUM(_xlfn.TAKE(_xlfn.DROP(PL!$AD195:$BN195,,-DATEDIFF(PL!CK$11,val_asOfDate,"M")),1,-12))))</f>
        <v>12</v>
      </c>
      <c r="CL195" s="88"/>
      <c r="CM195" s="3177">
        <v>1</v>
      </c>
      <c r="CN195" s="3177">
        <v>1</v>
      </c>
      <c r="CO195" s="1169"/>
      <c r="CP195" s="3177">
        <v>1</v>
      </c>
      <c r="CQ195" s="3177">
        <v>1</v>
      </c>
      <c r="CR195" s="34"/>
      <c r="CS195" s="2056"/>
      <c r="CT195" s="2447" t="e" cm="1">
        <f t="array" ca="1" aca="1" ref="CT195">IF(OR($Y195="Segment I Breakdown - Amount 1",$Y195="Segment I Breakdown - Amount 2",$Y195="Segment I Breakdown - Amount 3",$Y195="Segment I Breakdown - Amount 4",$Y195="Segment I Breakdown - Amount 5",$Y195="Segment I Breakdown - Amount 6",$Y195="Please select the metric for segmentation"),"",_xldudf_CX_PUSH($Y195,CX_ENTITY,$C195,val_asOfDate))</f>
        <v>#NAME?</v>
      </c>
      <c r="CU195" s="2447" t="e" cm="1">
        <f t="array" ca="1" aca="1" ref="CU195">IF(OR($Y195="Segment I Breakdown - Amount 1",$Y195="Segment I Breakdown - Amount 2",$Y195="Segment I Breakdown - Amount 3",$Y195="Segment I Breakdown - Amount 4",$Y195="Segment I Breakdown - Amount 5",$Y195="Segment I Breakdown - Amount 6",$Y195="Please select the metric for segmentation"),"",_xldudf_CX_PUSH($Y195,CX_ENTITY,$C195,EOMONTH(val_asOfDate,1)))</f>
        <v>#NAME?</v>
      </c>
      <c r="CV195" s="2447" t="e" cm="1">
        <f t="array" ca="1" aca="1" ref="CV195">IF(OR($Y195="Segment I Breakdown - Amount 1",$Y195="Segment I Breakdown - Amount 2",$Y195="Segment I Breakdown - Amount 3",$Y195="Segment I Breakdown - Amount 4",$Y195="Segment I Breakdown - Amount 5",$Y195="Segment I Breakdown - Amount 6",$Y195="Please select the metric for segmentation"),"",_xldudf_CX_PUSH($Y195,CX_ENTITY,$C195,EOMONTH(val_asOfDate,2)))</f>
        <v>#NAME?</v>
      </c>
      <c r="CW195" s="2447" t="e" cm="1">
        <f t="array" ca="1" aca="1" ref="CW195">IF(OR($Y195="Segment I Breakdown - Amount 1",$Y195="Segment I Breakdown - Amount 2",$Y195="Segment I Breakdown - Amount 3",$Y195="Segment I Breakdown - Amount 4",$Y195="Segment I Breakdown - Amount 5",$Y195="Segment I Breakdown - Amount 6",$Y195="Please select the metric for segmentation"),"",_xldudf_CX_PUSH($Y195,CX_ENTITY,$C195,EOMONTH(val_asOfDate,3)))</f>
        <v>#NAME?</v>
      </c>
      <c r="CX195" s="2443"/>
      <c r="CY195" s="2444" t="str" cm="1">
        <f t="array" ca="1" aca="1" ref="CY195">IFERROR(IF(CM195*fxVal_normal=_PL!CM195,"",IF(OR($CM195="",$CM195=0,NOT(ISNUMBER($CM195)),ISERROR($CM195),$B195=""),"",IF($I195=1,IFBLANK(_xldudf_CX_PUSH($CM195*fxVal_normal,CX_ENTITY,$B195,$CM$11,$CM$14,$CM$19,),""),IF($I195=2,IFBLANK(_xldudf_CX_PUSH($CM195,CX_ENTITY,$B195,$CM$11,$CM$14,$CM$19,),""),IF($I195=3,"",IFBLANK(_xldudf_CX_PUSH($CM195,CX_ENTITY,$B195,$CM$11,$CM$14,$CM$19,),"")))))),"")</f>
        <v/>
      </c>
      <c r="CZ195" s="2444" t="str" cm="1">
        <f t="array" ca="1" aca="1" ref="CZ195">IFERROR(IF(CN195*fxVal_normal=_PL!CN195,"",IF(OR($CN195="",$CN195=0,NOT(ISNUMBER($CN195)),ISERROR($CN195),$B195=""),"",IF($I195=1,IFBLANK(_xldudf_CX_PUSH($CN195*fxVal_normal,CX_ENTITY,$B195,$CN$11,$CN$14,$CN$19,),""),IF($I195=2,IFBLANK(_xldudf_CX_PUSH($CN195,CX_ENTITY,$B195,$CN$11,$CN$14,$CN$19,),""),IF($I195=3,"",IFBLANK(_xldudf_CX_PUSH($CN195,CX_ENTITY,$B195,$CN$11,$CN$14,$CN$19,),"")))))),"")</f>
        <v/>
      </c>
      <c r="DA195" s="2444" t="str" cm="1">
        <f t="array" ca="1" aca="1" ref="DA195">IFERROR(IF(CP195*fxVal_normal=_PL!CP195,"",IF(OR($CP195="",$CP195=0,NOT(ISNUMBER($CP195)),ISERROR($CP195),$B195=""),"",IF($I195=1,IFBLANK(_xldudf_CX_PUSH($CP195*fxVal_normal,CX_ENTITY,$B195,$CP$11,$CP$14,$CP$19,),""),IF($I195=2,IFBLANK(_xldudf_CX_PUSH($CP195,CX_ENTITY,$B195,$CP$11,$CP$14,$CP$19,),""),IF($I195=3,"",IFBLANK(_xldudf_CX_PUSH($CP195,CX_ENTITY,$B195,$CP$11,$CP$14,$CP$19,),"")))))),"")</f>
        <v/>
      </c>
      <c r="DB195" s="2444" t="str" cm="1">
        <f t="array" ca="1" aca="1" ref="DB195">IFERROR(IF(CQ195*fxVal_normal=_PL!CQ195,"",IF(OR($CQ195="",$CQ195=0,NOT(ISNUMBER($CQ195)),ISERROR($CQ195),$B195=""),"",IF($I195=1,IFBLANK(_xldudf_CX_PUSH($CQ195*fxVal_normal,CX_ENTITY,$B195,$CQ$11,$CQ$14,$CQ$19,),""),IF($I195=2,IFBLANK(_xldudf_CX_PUSH($CQ195,CX_ENTITY,$B195,$CQ$11,$CQ$14,$CQ$19,),""),IF($I195=3,"",IFBLANK(_xldudf_CX_PUSH($CQ195,CX_ENTITY,$B195,$CQ$11,$CQ$14,$CQ$19,),"")))))),"")</f>
        <v/>
      </c>
      <c r="DC195" s="2443"/>
      <c r="DD195" s="2445" t="str" cm="1">
        <f t="array" ca="1" aca="1" ref="DD195">IFERROR(IF(AD195*fxVal_normal=_PL!AD195,"",IF(OR(AD195="",NOT(ISNUMBER(AD195)),ISERROR(AD195),$B195=""),"",IF($I195=1,IFBLANK(_xldudf_CX_PUSH(AD195*fxVal_normal,CX_ENTITY,$B195,AD$11,AD$14,AD$190,),""),IF($I195=2,IFBLANK(_xldudf_CX_PUSH(AD195,CX_ENTITY,$B195,AD$11,AD$14,AD$190,),""),IF($I195=3,"",IFBLANK(_xldudf_CX_PUSH(AD195,CX_ENTITY,$B195,AD$11,AD$14,AD$190,),"")))))),"")</f>
        <v/>
      </c>
      <c r="DE195" s="2445" t="str" cm="1">
        <f t="array" ca="1" aca="1" ref="DE195">IFERROR(IF(AE195*fxVal_normal=_PL!AE195,"",IF(OR(AE195="",NOT(ISNUMBER(AE195)),ISERROR(AE195),$B195=""),"",IF($I195=1,IFBLANK(_xldudf_CX_PUSH(AE195*fxVal_normal,CX_ENTITY,$B195,AE$11,AE$14,AE$190,),""),IF($I195=2,IFBLANK(_xldudf_CX_PUSH(AE195,CX_ENTITY,$B195,AE$11,AE$14,AE$190,),""),IF($I195=3,"",IFBLANK(_xldudf_CX_PUSH(AE195,CX_ENTITY,$B195,AE$11,AE$14,AE$190,),"")))))),"")</f>
        <v/>
      </c>
      <c r="DF195" s="2445" t="str" cm="1">
        <f t="array" ca="1" aca="1" ref="DF195">IFERROR(IF(AF195*fxVal_normal=_PL!AF195,"",IF(OR(AF195="",NOT(ISNUMBER(AF195)),ISERROR(AF195),$B195=""),"",IF($I195=1,IFBLANK(_xldudf_CX_PUSH(AF195*fxVal_normal,CX_ENTITY,$B195,AF$11,AF$14,AF$190,),""),IF($I195=2,IFBLANK(_xldudf_CX_PUSH(AF195,CX_ENTITY,$B195,AF$11,AF$14,AF$190,),""),IF($I195=3,"",IFBLANK(_xldudf_CX_PUSH(AF195,CX_ENTITY,$B195,AF$11,AF$14,AF$190,),"")))))),"")</f>
        <v/>
      </c>
      <c r="DG195" s="2445" t="str" cm="1">
        <f t="array" ca="1" aca="1" ref="DG195">IFERROR(IF(AG195*fxVal_normal=_PL!AG195,"",IF(OR(AG195="",NOT(ISNUMBER(AG195)),ISERROR(AG195),$B195=""),"",IF($I195=1,IFBLANK(_xldudf_CX_PUSH(AG195*fxVal_normal,CX_ENTITY,$B195,AG$11,AG$14,AG$190,),""),IF($I195=2,IFBLANK(_xldudf_CX_PUSH(AG195,CX_ENTITY,$B195,AG$11,AG$14,AG$190,),""),IF($I195=3,"",IFBLANK(_xldudf_CX_PUSH(AG195,CX_ENTITY,$B195,AG$11,AG$14,AG$190,),"")))))),"")</f>
        <v/>
      </c>
      <c r="DH195" s="2445" t="str" cm="1">
        <f t="array" ca="1" aca="1" ref="DH195">IFERROR(IF(AH195*fxVal_normal=_PL!AH195,"",IF(OR(AH195="",NOT(ISNUMBER(AH195)),ISERROR(AH195),$B195=""),"",IF($I195=1,IFBLANK(_xldudf_CX_PUSH(AH195*fxVal_normal,CX_ENTITY,$B195,AH$11,AH$14,AH$190,),""),IF($I195=2,IFBLANK(_xldudf_CX_PUSH(AH195,CX_ENTITY,$B195,AH$11,AH$14,AH$190,),""),IF($I195=3,"",IFBLANK(_xldudf_CX_PUSH(AH195,CX_ENTITY,$B195,AH$11,AH$14,AH$190,),"")))))),"")</f>
        <v/>
      </c>
      <c r="DI195" s="2445" t="str" cm="1">
        <f t="array" ca="1" aca="1" ref="DI195">IFERROR(IF(AI195*fxVal_normal=_PL!AI195,"",IF(OR(AI195="",NOT(ISNUMBER(AI195)),ISERROR(AI195),$B195=""),"",IF($I195=1,IFBLANK(_xldudf_CX_PUSH(AI195*fxVal_normal,CX_ENTITY,$B195,AI$11,AI$14,AI$190,),""),IF($I195=2,IFBLANK(_xldudf_CX_PUSH(AI195,CX_ENTITY,$B195,AI$11,AI$14,AI$190,),""),IF($I195=3,"",IFBLANK(_xldudf_CX_PUSH(AI195,CX_ENTITY,$B195,AI$11,AI$14,AI$190,),"")))))),"")</f>
        <v/>
      </c>
      <c r="DJ195" s="2445" t="str" cm="1">
        <f t="array" ca="1" aca="1" ref="DJ195">IFERROR(IF(AJ195*fxVal_normal=_PL!AJ195,"",IF(OR(AJ195="",NOT(ISNUMBER(AJ195)),ISERROR(AJ195),$B195=""),"",IF($I195=1,IFBLANK(_xldudf_CX_PUSH(AJ195*fxVal_normal,CX_ENTITY,$B195,AJ$11,AJ$14,AJ$190,),""),IF($I195=2,IFBLANK(_xldudf_CX_PUSH(AJ195,CX_ENTITY,$B195,AJ$11,AJ$14,AJ$190,),""),IF($I195=3,"",IFBLANK(_xldudf_CX_PUSH(AJ195,CX_ENTITY,$B195,AJ$11,AJ$14,AJ$190,),"")))))),"")</f>
        <v/>
      </c>
      <c r="DK195" s="2445" t="str" cm="1">
        <f t="array" ca="1" aca="1" ref="DK195">IFERROR(IF(AK195*fxVal_normal=_PL!AK195,"",IF(OR(AK195="",NOT(ISNUMBER(AK195)),ISERROR(AK195),$B195=""),"",IF($I195=1,IFBLANK(_xldudf_CX_PUSH(AK195*fxVal_normal,CX_ENTITY,$B195,AK$11,AK$14,AK$190,),""),IF($I195=2,IFBLANK(_xldudf_CX_PUSH(AK195,CX_ENTITY,$B195,AK$11,AK$14,AK$190,),""),IF($I195=3,"",IFBLANK(_xldudf_CX_PUSH(AK195,CX_ENTITY,$B195,AK$11,AK$14,AK$190,),"")))))),"")</f>
        <v/>
      </c>
      <c r="DL195" s="2445" t="str" cm="1">
        <f t="array" ca="1" aca="1" ref="DL195">IFERROR(IF(AL195*fxVal_normal=_PL!AL195,"",IF(OR(AL195="",NOT(ISNUMBER(AL195)),ISERROR(AL195),$B195=""),"",IF($I195=1,IFBLANK(_xldudf_CX_PUSH(AL195*fxVal_normal,CX_ENTITY,$B195,AL$11,AL$14,AL$190,),""),IF($I195=2,IFBLANK(_xldudf_CX_PUSH(AL195,CX_ENTITY,$B195,AL$11,AL$14,AL$190,),""),IF($I195=3,"",IFBLANK(_xldudf_CX_PUSH(AL195,CX_ENTITY,$B195,AL$11,AL$14,AL$190,),"")))))),"")</f>
        <v/>
      </c>
      <c r="DM195" s="2445" t="str" cm="1">
        <f t="array" ca="1" aca="1" ref="DM195">IFERROR(IF(AM195*fxVal_normal=_PL!AM195,"",IF(OR(AM195="",NOT(ISNUMBER(AM195)),ISERROR(AM195),$B195=""),"",IF($I195=1,IFBLANK(_xldudf_CX_PUSH(AM195*fxVal_normal,CX_ENTITY,$B195,AM$11,AM$14,AM$190,),""),IF($I195=2,IFBLANK(_xldudf_CX_PUSH(AM195,CX_ENTITY,$B195,AM$11,AM$14,AM$190,),""),IF($I195=3,"",IFBLANK(_xldudf_CX_PUSH(AM195,CX_ENTITY,$B195,AM$11,AM$14,AM$190,),"")))))),"")</f>
        <v/>
      </c>
      <c r="DN195" s="2445" t="str" cm="1">
        <f t="array" ca="1" aca="1" ref="DN195">IFERROR(IF(AN195*fxVal_normal=_PL!AN195,"",IF(OR(AN195="",NOT(ISNUMBER(AN195)),ISERROR(AN195),$B195=""),"",IF($I195=1,IFBLANK(_xldudf_CX_PUSH(AN195*fxVal_normal,CX_ENTITY,$B195,AN$11,AN$14,AN$190,),""),IF($I195=2,IFBLANK(_xldudf_CX_PUSH(AN195,CX_ENTITY,$B195,AN$11,AN$14,AN$190,),""),IF($I195=3,"",IFBLANK(_xldudf_CX_PUSH(AN195,CX_ENTITY,$B195,AN$11,AN$14,AN$190,),"")))))),"")</f>
        <v/>
      </c>
      <c r="DO195" s="2445" t="str" cm="1">
        <f t="array" ca="1" aca="1" ref="DO195">IFERROR(IF(AO195*fxVal_normal=_PL!AO195,"",IF(OR(AO195="",NOT(ISNUMBER(AO195)),ISERROR(AO195),$B195=""),"",IF($I195=1,IFBLANK(_xldudf_CX_PUSH(AO195*fxVal_normal,CX_ENTITY,$B195,AO$11,AO$14,AO$190,),""),IF($I195=2,IFBLANK(_xldudf_CX_PUSH(AO195,CX_ENTITY,$B195,AO$11,AO$14,AO$190,),""),IF($I195=3,"",IFBLANK(_xldudf_CX_PUSH(AO195,CX_ENTITY,$B195,AO$11,AO$14,AO$190,),"")))))),"")</f>
        <v/>
      </c>
      <c r="DP195" s="2445" t="str" cm="1">
        <f t="array" ca="1" aca="1" ref="DP195">IFERROR(IF(AP195*fxVal_normal=_PL!AP195,"",IF(OR(AP195="",NOT(ISNUMBER(AP195)),ISERROR(AP195),$B195=""),"",IF($I195=1,IFBLANK(_xldudf_CX_PUSH(AP195*fxVal_normal,CX_ENTITY,$B195,AP$11,AP$14,AP$190,),""),IF($I195=2,IFBLANK(_xldudf_CX_PUSH(AP195,CX_ENTITY,$B195,AP$11,AP$14,AP$190,),""),IF($I195=3,"",IFBLANK(_xldudf_CX_PUSH(AP195,CX_ENTITY,$B195,AP$11,AP$14,AP$190,),"")))))),"")</f>
        <v/>
      </c>
      <c r="DQ195" s="2445" t="str" cm="1">
        <f t="array" ca="1" aca="1" ref="DQ195">IFERROR(IF(AQ195*fxVal_normal=_PL!AQ195,"",IF(OR(AQ195="",NOT(ISNUMBER(AQ195)),ISERROR(AQ195),$B195=""),"",IF($I195=1,IFBLANK(_xldudf_CX_PUSH(AQ195*fxVal_normal,CX_ENTITY,$B195,AQ$11,AQ$14,AQ$190,),""),IF($I195=2,IFBLANK(_xldudf_CX_PUSH(AQ195,CX_ENTITY,$B195,AQ$11,AQ$14,AQ$190,),""),IF($I195=3,"",IFBLANK(_xldudf_CX_PUSH(AQ195,CX_ENTITY,$B195,AQ$11,AQ$14,AQ$190,),"")))))),"")</f>
        <v/>
      </c>
      <c r="DR195" s="2445" t="str" cm="1">
        <f t="array" ca="1" aca="1" ref="DR195">IFERROR(IF(AR195*fxVal_normal=_PL!AR195,"",IF(OR(AR195="",NOT(ISNUMBER(AR195)),ISERROR(AR195),$B195=""),"",IF($I195=1,IFBLANK(_xldudf_CX_PUSH(AR195*fxVal_normal,CX_ENTITY,$B195,AR$11,AR$14,AR$190,),""),IF($I195=2,IFBLANK(_xldudf_CX_PUSH(AR195,CX_ENTITY,$B195,AR$11,AR$14,AR$190,),""),IF($I195=3,"",IFBLANK(_xldudf_CX_PUSH(AR195,CX_ENTITY,$B195,AR$11,AR$14,AR$190,),"")))))),"")</f>
        <v/>
      </c>
      <c r="DS195" s="2445" t="str" cm="1">
        <f t="array" ca="1" aca="1" ref="DS195">IFERROR(IF(AS195*fxVal_normal=_PL!AS195,"",IF(OR(AS195="",NOT(ISNUMBER(AS195)),ISERROR(AS195),$B195=""),"",IF($I195=1,IFBLANK(_xldudf_CX_PUSH(AS195*fxVal_normal,CX_ENTITY,$B195,AS$11,AS$14,AS$190,),""),IF($I195=2,IFBLANK(_xldudf_CX_PUSH(AS195,CX_ENTITY,$B195,AS$11,AS$14,AS$190,),""),IF($I195=3,"",IFBLANK(_xldudf_CX_PUSH(AS195,CX_ENTITY,$B195,AS$11,AS$14,AS$190,),"")))))),"")</f>
        <v/>
      </c>
      <c r="DT195" s="2445" t="str" cm="1">
        <f t="array" ca="1" aca="1" ref="DT195">IFERROR(IF(AT195*fxVal_normal=_PL!AT195,"",IF(OR(AT195="",NOT(ISNUMBER(AT195)),ISERROR(AT195),$B195=""),"",IF($I195=1,IFBLANK(_xldudf_CX_PUSH(AT195*fxVal_normal,CX_ENTITY,$B195,AT$11,AT$14,AT$190,),""),IF($I195=2,IFBLANK(_xldudf_CX_PUSH(AT195,CX_ENTITY,$B195,AT$11,AT$14,AT$190,),""),IF($I195=3,"",IFBLANK(_xldudf_CX_PUSH(AT195,CX_ENTITY,$B195,AT$11,AT$14,AT$190,),"")))))),"")</f>
        <v/>
      </c>
      <c r="DU195" s="2445" t="str" cm="1">
        <f t="array" ca="1" aca="1" ref="DU195">IFERROR(IF(AU195*fxVal_normal=_PL!AU195,"",IF(OR(AU195="",NOT(ISNUMBER(AU195)),ISERROR(AU195),$B195=""),"",IF($I195=1,IFBLANK(_xldudf_CX_PUSH(AU195*fxVal_normal,CX_ENTITY,$B195,AU$11,AU$14,AU$190,),""),IF($I195=2,IFBLANK(_xldudf_CX_PUSH(AU195,CX_ENTITY,$B195,AU$11,AU$14,AU$190,),""),IF($I195=3,"",IFBLANK(_xldudf_CX_PUSH(AU195,CX_ENTITY,$B195,AU$11,AU$14,AU$190,),"")))))),"")</f>
        <v/>
      </c>
      <c r="DV195" s="2445" t="str" cm="1">
        <f t="array" ca="1" aca="1" ref="DV195">IFERROR(IF(AV195*fxVal_normal=_PL!AV195,"",IF(OR(AV195="",NOT(ISNUMBER(AV195)),ISERROR(AV195),$B195=""),"",IF($I195=1,IFBLANK(_xldudf_CX_PUSH(AV195*fxVal_normal,CX_ENTITY,$B195,AV$11,AV$14,AV$190,),""),IF($I195=2,IFBLANK(_xldudf_CX_PUSH(AV195,CX_ENTITY,$B195,AV$11,AV$14,AV$190,),""),IF($I195=3,"",IFBLANK(_xldudf_CX_PUSH(AV195,CX_ENTITY,$B195,AV$11,AV$14,AV$190,),"")))))),"")</f>
        <v/>
      </c>
      <c r="DW195" s="2445" t="str" cm="1">
        <f t="array" ca="1" aca="1" ref="DW195">IFERROR(IF(AW195*fxVal_normal=_PL!AW195,"",IF(OR(AW195="",NOT(ISNUMBER(AW195)),ISERROR(AW195),$B195=""),"",IF($I195=1,IFBLANK(_xldudf_CX_PUSH(AW195*fxVal_normal,CX_ENTITY,$B195,AW$11,AW$14,AW$190,),""),IF($I195=2,IFBLANK(_xldudf_CX_PUSH(AW195,CX_ENTITY,$B195,AW$11,AW$14,AW$190,),""),IF($I195=3,"",IFBLANK(_xldudf_CX_PUSH(AW195,CX_ENTITY,$B195,AW$11,AW$14,AW$190,),"")))))),"")</f>
        <v/>
      </c>
      <c r="DX195" s="2445" t="str" cm="1">
        <f t="array" ca="1" aca="1" ref="DX195">IFERROR(IF(AX195*fxVal_normal=_PL!AX195,"",IF(OR(AX195="",NOT(ISNUMBER(AX195)),ISERROR(AX195),$B195=""),"",IF($I195=1,IFBLANK(_xldudf_CX_PUSH(AX195*fxVal_normal,CX_ENTITY,$B195,AX$11,AX$14,AX$190,),""),IF($I195=2,IFBLANK(_xldudf_CX_PUSH(AX195,CX_ENTITY,$B195,AX$11,AX$14,AX$190,),""),IF($I195=3,"",IFBLANK(_xldudf_CX_PUSH(AX195,CX_ENTITY,$B195,AX$11,AX$14,AX$190,),"")))))),"")</f>
        <v/>
      </c>
      <c r="DY195" s="2445" t="str" cm="1">
        <f t="array" ca="1" aca="1" ref="DY195">IFERROR(IF(AY195*fxVal_normal=_PL!AY195,"",IF(OR(AY195="",NOT(ISNUMBER(AY195)),ISERROR(AY195),$B195=""),"",IF($I195=1,IFBLANK(_xldudf_CX_PUSH(AY195*fxVal_normal,CX_ENTITY,$B195,AY$11,AY$14,AY$190,),""),IF($I195=2,IFBLANK(_xldudf_CX_PUSH(AY195,CX_ENTITY,$B195,AY$11,AY$14,AY$190,),""),IF($I195=3,"",IFBLANK(_xldudf_CX_PUSH(AY195,CX_ENTITY,$B195,AY$11,AY$14,AY$190,),"")))))),"")</f>
        <v/>
      </c>
      <c r="DZ195" s="2445" t="str" cm="1">
        <f t="array" ca="1" aca="1" ref="DZ195">IFERROR(IF(AZ195*fxVal_normal=_PL!AZ195,"",IF(OR(AZ195="",NOT(ISNUMBER(AZ195)),ISERROR(AZ195),$B195=""),"",IF($I195=1,IFBLANK(_xldudf_CX_PUSH(AZ195*fxVal_normal,CX_ENTITY,$B195,AZ$11,AZ$14,AZ$190,),""),IF($I195=2,IFBLANK(_xldudf_CX_PUSH(AZ195,CX_ENTITY,$B195,AZ$11,AZ$14,AZ$190,),""),IF($I195=3,"",IFBLANK(_xldudf_CX_PUSH(AZ195,CX_ENTITY,$B195,AZ$11,AZ$14,AZ$190,),"")))))),"")</f>
        <v/>
      </c>
      <c r="EA195" s="2445" t="str" cm="1">
        <f t="array" ca="1" aca="1" ref="EA195">IFERROR(IF(BA195*fxVal_normal=_PL!BA195,"",IF(OR(BA195="",NOT(ISNUMBER(BA195)),ISERROR(BA195),$B195=""),"",IF($I195=1,IFBLANK(_xldudf_CX_PUSH(BA195*fxVal_normal,CX_ENTITY,$B195,BA$11,BA$14,BA$190,),""),IF($I195=2,IFBLANK(_xldudf_CX_PUSH(BA195,CX_ENTITY,$B195,BA$11,BA$14,BA$190,),""),IF($I195=3,"",IFBLANK(_xldudf_CX_PUSH(BA195,CX_ENTITY,$B195,BA$11,BA$14,BA$190,),"")))))),"")</f>
        <v/>
      </c>
      <c r="EB195" s="2445" t="str" cm="1">
        <f t="array" ca="1" aca="1" ref="EB195">IFERROR(IF(BB195*fxVal_normal=_PL!BB195,"",IF(OR(BB195="",NOT(ISNUMBER(BB195)),ISERROR(BB195),$B195=""),"",IF($I195=1,IFBLANK(_xldudf_CX_PUSH(BB195*fxVal_normal,CX_ENTITY,$B195,BB$11,BB$14,BB$190,),""),IF($I195=2,IFBLANK(_xldudf_CX_PUSH(BB195,CX_ENTITY,$B195,BB$11,BB$14,BB$190,),""),IF($I195=3,"",IFBLANK(_xldudf_CX_PUSH(BB195,CX_ENTITY,$B195,BB$11,BB$14,BB$190,),"")))))),"")</f>
        <v/>
      </c>
      <c r="EC195" s="2445" t="str" cm="1">
        <f t="array" ca="1" aca="1" ref="EC195">IFERROR(IF(BC195*fxVal_normal=_PL!BC195,"",IF(OR(BC195="",NOT(ISNUMBER(BC195)),ISERROR(BC195),$B195=""),"",IF($I195=1,IFBLANK(_xldudf_CX_PUSH(BC195*fxVal_normal,CX_ENTITY,$B195,BC$11,BC$14,BC$190,),""),IF($I195=2,IFBLANK(_xldudf_CX_PUSH(BC195,CX_ENTITY,$B195,BC$11,BC$14,BC$190,),""),IF($I195=3,"",IFBLANK(_xldudf_CX_PUSH(BC195,CX_ENTITY,$B195,BC$11,BC$14,BC$190,),"")))))),"")</f>
        <v/>
      </c>
      <c r="ED195" s="2445" t="str" cm="1">
        <f t="array" ca="1" aca="1" ref="ED195">IFERROR(IF(BD195*fxVal_normal=_PL!BD195,"",IF(OR(BD195="",NOT(ISNUMBER(BD195)),ISERROR(BD195),$B195=""),"",IF($I195=1,IFBLANK(_xldudf_CX_PUSH(BD195*fxVal_normal,CX_ENTITY,$B195,BD$11,BD$14,BD$190,),""),IF($I195=2,IFBLANK(_xldudf_CX_PUSH(BD195,CX_ENTITY,$B195,BD$11,BD$14,BD$190,),""),IF($I195=3,"",IFBLANK(_xldudf_CX_PUSH(BD195,CX_ENTITY,$B195,BD$11,BD$14,BD$190,),"")))))),"")</f>
        <v/>
      </c>
      <c r="EE195" s="2445" t="str" cm="1">
        <f t="array" ca="1" aca="1" ref="EE195">IFERROR(IF(BE195*fxVal_normal=_PL!BE195,"",IF(OR(BE195="",NOT(ISNUMBER(BE195)),ISERROR(BE195),$B195=""),"",IF($I195=1,IFBLANK(_xldudf_CX_PUSH(BE195*fxVal_normal,CX_ENTITY,$B195,BE$11,BE$14,BE$190,),""),IF($I195=2,IFBLANK(_xldudf_CX_PUSH(BE195,CX_ENTITY,$B195,BE$11,BE$14,BE$190,),""),IF($I195=3,"",IFBLANK(_xldudf_CX_PUSH(BE195,CX_ENTITY,$B195,BE$11,BE$14,BE$190,),"")))))),"")</f>
        <v/>
      </c>
      <c r="EF195" s="2445" t="str" cm="1">
        <f t="array" ca="1" aca="1" ref="EF195">IFERROR(IF(BF195*fxVal_normal=_PL!BF195,"",IF(OR(BF195="",NOT(ISNUMBER(BF195)),ISERROR(BF195),$B195=""),"",IF($I195=1,IFBLANK(_xldudf_CX_PUSH(BF195*fxVal_normal,CX_ENTITY,$B195,BF$11,BF$14,BF$190,),""),IF($I195=2,IFBLANK(_xldudf_CX_PUSH(BF195,CX_ENTITY,$B195,BF$11,BF$14,BF$190,),""),IF($I195=3,"",IFBLANK(_xldudf_CX_PUSH(BF195,CX_ENTITY,$B195,BF$11,BF$14,BF$190,),"")))))),"")</f>
        <v/>
      </c>
      <c r="EG195" s="2445" t="str" cm="1">
        <f t="array" ca="1" aca="1" ref="EG195">IFERROR(IF(BG195*fxVal_normal=_PL!BG195,"",IF(OR(BG195="",NOT(ISNUMBER(BG195)),ISERROR(BG195),$B195=""),"",IF($I195=1,IFBLANK(_xldudf_CX_PUSH(BG195*fxVal_normal,CX_ENTITY,$B195,BG$11,BG$14,BG$190,),""),IF($I195=2,IFBLANK(_xldudf_CX_PUSH(BG195,CX_ENTITY,$B195,BG$11,BG$14,BG$190,),""),IF($I195=3,"",IFBLANK(_xldudf_CX_PUSH(BG195,CX_ENTITY,$B195,BG$11,BG$14,BG$190,),"")))))),"")</f>
        <v/>
      </c>
      <c r="EH195" s="2445" t="str" cm="1">
        <f t="array" ca="1" aca="1" ref="EH195">IFERROR(IF(BH195*fxVal_normal=_PL!BH195,"",IF(OR(BH195="",NOT(ISNUMBER(BH195)),ISERROR(BH195),$B195=""),"",IF($I195=1,IFBLANK(_xldudf_CX_PUSH(BH195*fxVal_normal,CX_ENTITY,$B195,BH$11,BH$14,BH$190,),""),IF($I195=2,IFBLANK(_xldudf_CX_PUSH(BH195,CX_ENTITY,$B195,BH$11,BH$14,BH$190,),""),IF($I195=3,"",IFBLANK(_xldudf_CX_PUSH(BH195,CX_ENTITY,$B195,BH$11,BH$14,BH$190,),"")))))),"")</f>
        <v/>
      </c>
      <c r="EI195" s="2445" t="str" cm="1">
        <f t="array" ca="1" aca="1" ref="EI195">IFERROR(IF(BI195*fxVal_normal=_PL!BI195,"",IF(OR(BI195="",NOT(ISNUMBER(BI195)),ISERROR(BI195),$B195=""),"",IF($I195=1,IFBLANK(_xldudf_CX_PUSH(BI195*fxVal_normal,CX_ENTITY,$B195,BI$11,BI$14,BI$190,),""),IF($I195=2,IFBLANK(_xldudf_CX_PUSH(BI195,CX_ENTITY,$B195,BI$11,BI$14,BI$190,),""),IF($I195=3,"",IFBLANK(_xldudf_CX_PUSH(BI195,CX_ENTITY,$B195,BI$11,BI$14,BI$190,),"")))))),"")</f>
        <v/>
      </c>
      <c r="EJ195" s="2445" t="str" cm="1">
        <f t="array" ca="1" aca="1" ref="EJ195">IFERROR(IF(BJ195*fxVal_normal=_PL!BJ195,"",IF(OR(BJ195="",NOT(ISNUMBER(BJ195)),ISERROR(BJ195),$B195=""),"",IF($I195=1,IFBLANK(_xldudf_CX_PUSH(BJ195*fxVal_normal,CX_ENTITY,$B195,BJ$11,BJ$14,BJ$190,),""),IF($I195=2,IFBLANK(_xldudf_CX_PUSH(BJ195,CX_ENTITY,$B195,BJ$11,BJ$14,BJ$190,),""),IF($I195=3,"",IFBLANK(_xldudf_CX_PUSH(BJ195,CX_ENTITY,$B195,BJ$11,BJ$14,BJ$190,),"")))))),"")</f>
        <v/>
      </c>
      <c r="EK195" s="2445" t="str" cm="1">
        <f t="array" ca="1" aca="1" ref="EK195">IFERROR(IF(BK195*fxVal_normal=_PL!BK195,"",IF(OR(BK195="",NOT(ISNUMBER(BK195)),ISERROR(BK195),$B195=""),"",IF($I195=1,IFBLANK(_xldudf_CX_PUSH(BK195*fxVal_normal,CX_ENTITY,$B195,BK$11,BK$14,BK$190,),""),IF($I195=2,IFBLANK(_xldudf_CX_PUSH(BK195,CX_ENTITY,$B195,BK$11,BK$14,BK$190,),""),IF($I195=3,"",IFBLANK(_xldudf_CX_PUSH(BK195,CX_ENTITY,$B195,BK$11,BK$14,BK$190,),"")))))),"")</f>
        <v/>
      </c>
      <c r="EL195" s="2445" t="str" cm="1">
        <f t="array" ca="1" aca="1" ref="EL195">IFERROR(IF(BL195*fxVal_normal=_PL!BL195,"",IF(OR(BL195="",NOT(ISNUMBER(BL195)),ISERROR(BL195),$B195=""),"",IF($I195=1,IFBLANK(_xldudf_CX_PUSH(BL195*fxVal_normal,CX_ENTITY,$B195,BL$11,BL$14,BL$190,),""),IF($I195=2,IFBLANK(_xldudf_CX_PUSH(BL195,CX_ENTITY,$B195,BL$11,BL$14,BL$190,),""),IF($I195=3,"",IFBLANK(_xldudf_CX_PUSH(BL195,CX_ENTITY,$B195,BL$11,BL$14,BL$190,),"")))))),"")</f>
        <v/>
      </c>
      <c r="EM195" s="2445" t="str" cm="1">
        <f t="array" ca="1" aca="1" ref="EM195">IFERROR(IF(BM195*fxVal_normal=_PL!BM195,"",IF(OR(BM195="",NOT(ISNUMBER(BM195)),ISERROR(BM195),$B195=""),"",IF($I195=1,IFBLANK(_xldudf_CX_PUSH(BM195*fxVal_normal,CX_ENTITY,$B195,BM$11,BM$14,BM$190,),""),IF($I195=2,IFBLANK(_xldudf_CX_PUSH(BM195,CX_ENTITY,$B195,BM$11,BM$14,BM$190,),""),IF($I195=3,"",IFBLANK(_xldudf_CX_PUSH(BM195,CX_ENTITY,$B195,BM$11,BM$14,BM$190,),"")))))),"")</f>
        <v/>
      </c>
      <c r="EN195" s="2445" t="str" cm="1">
        <f t="array" ca="1" aca="1" ref="EN195">IFERROR(IF(BN195*fxVal_normal=_PL!BN195,"",IF(OR(BN195="",NOT(ISNUMBER(BN195)),ISERROR(BN195),$B195=""),"",IF($I195=1,IFBLANK(_xldudf_CX_PUSH(BN195*fxVal_normal,CX_ENTITY,$B195,BN$11,BN$14,BN$190,),""),IF($I195=2,IFBLANK(_xldudf_CX_PUSH(BN195,CX_ENTITY,$B195,BN$11,BN$14,BN$190,),""),IF($I195=3,"",IFBLANK(_xldudf_CX_PUSH(BN195,CX_ENTITY,$B195,BN$11,BN$14,BN$190,),"")))))),"")</f>
        <v/>
      </c>
    </row>
    <row r="196" spans="1:144" ht="21" customHeight="1">
      <c r="A196" s="1625"/>
      <c r="B196" s="2439" t="s">
        <v>165</v>
      </c>
      <c r="C196" s="3459" t="str" cm="1">
        <f t="array" ref="C196">IFBLANK(_PL!C196,"")</f>
        <v>Segment I Breakdown - Label 5</v>
      </c>
      <c r="D196" s="1548" t="s">
        <v>165</v>
      </c>
      <c r="E196" s="2440" t="e" cm="1">
        <f t="array" ca="1" aca="1" ref="E19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196:$CQ196,Z196)</f>
        <v>#NAME?</v>
      </c>
      <c r="F196" s="578"/>
      <c r="G196" s="578"/>
      <c r="H196" s="510">
        <v>0</v>
      </c>
      <c r="I196" s="3302">
        <v>1</v>
      </c>
      <c r="J196" s="401" cm="1">
        <f t="array" ref="J196">IFBLANK(Z196,"")</f>
        <v>-1</v>
      </c>
      <c r="K196" s="578" t="str">
        <f t="shared" si="51"/>
        <v>No</v>
      </c>
      <c r="L196" s="37"/>
      <c r="N196" s="158"/>
      <c r="O196" s="101"/>
      <c r="P196" s="52"/>
      <c r="Q196" s="101"/>
      <c r="R196" s="101"/>
      <c r="S196" s="2"/>
      <c r="T196" s="153"/>
      <c r="U196" s="39"/>
      <c r="V196" s="37"/>
      <c r="W196" s="91" t="e">
        <f ca="1">W191</f>
        <v>#NAME?</v>
      </c>
      <c r="X196" s="2081" t="str">
        <f>_PL!X196</f>
        <v>a</v>
      </c>
      <c r="Y196" s="3222">
        <v>2</v>
      </c>
      <c r="Z196" s="198">
        <f>_PL!Z196</f>
        <v>-1</v>
      </c>
      <c r="AA196" s="2571"/>
      <c r="AB196" s="2592"/>
      <c r="AC196" s="914" t="str" cm="1">
        <f t="array" ca="1" aca="1" ref="AC196">_xlfn.LET(_xlpm._termname,$AB196,_xlpm._iconname,"find",_xlpm._icon,fx_getIcon(_xlpm._iconname),_xlpm._location,_xlfn.XLOOKUP(LOWER(_xlpm._termname),LOWER(tbl_acctDef[Term]),tbl_acctDef[Term]),_xlpm._hyperlink,HYPERLINK("#"&amp;CELL("address",_xlpm._location),_xlpm._icon),IFERROR(_xlpm._hyperlink,""))</f>
        <v/>
      </c>
      <c r="AD196" s="3177">
        <v>1</v>
      </c>
      <c r="AE196" s="3177">
        <v>1</v>
      </c>
      <c r="AF196" s="3177">
        <v>1</v>
      </c>
      <c r="AG196" s="3177">
        <v>1</v>
      </c>
      <c r="AH196" s="3177">
        <v>1</v>
      </c>
      <c r="AI196" s="3177">
        <v>1</v>
      </c>
      <c r="AJ196" s="3177">
        <v>1</v>
      </c>
      <c r="AK196" s="3177">
        <v>1</v>
      </c>
      <c r="AL196" s="3177">
        <v>1</v>
      </c>
      <c r="AM196" s="3177">
        <v>1</v>
      </c>
      <c r="AN196" s="3177">
        <v>1</v>
      </c>
      <c r="AO196" s="3177">
        <v>1</v>
      </c>
      <c r="AP196" s="3177">
        <v>1</v>
      </c>
      <c r="AQ196" s="3177">
        <v>1</v>
      </c>
      <c r="AR196" s="3177">
        <v>1</v>
      </c>
      <c r="AS196" s="3177">
        <v>1</v>
      </c>
      <c r="AT196" s="3177">
        <v>1</v>
      </c>
      <c r="AU196" s="3177">
        <v>1</v>
      </c>
      <c r="AV196" s="3177">
        <v>1</v>
      </c>
      <c r="AW196" s="3177">
        <v>1</v>
      </c>
      <c r="AX196" s="3177">
        <v>1</v>
      </c>
      <c r="AY196" s="3177">
        <v>1</v>
      </c>
      <c r="AZ196" s="3177">
        <v>1</v>
      </c>
      <c r="BA196" s="3177">
        <v>1</v>
      </c>
      <c r="BB196" s="3177">
        <v>1</v>
      </c>
      <c r="BC196" s="3177">
        <v>1</v>
      </c>
      <c r="BD196" s="3177">
        <v>1</v>
      </c>
      <c r="BE196" s="3177">
        <v>1</v>
      </c>
      <c r="BF196" s="3177">
        <v>1</v>
      </c>
      <c r="BG196" s="3177">
        <v>1</v>
      </c>
      <c r="BH196" s="3177">
        <v>1</v>
      </c>
      <c r="BI196" s="3177">
        <v>1</v>
      </c>
      <c r="BJ196" s="3177">
        <v>1</v>
      </c>
      <c r="BK196" s="3177">
        <v>1</v>
      </c>
      <c r="BL196" s="3177">
        <v>1</v>
      </c>
      <c r="BM196" s="3177">
        <v>1</v>
      </c>
      <c r="BN196" s="3177">
        <v>1</v>
      </c>
      <c r="BO196" s="2442"/>
      <c r="BP196" s="2442"/>
      <c r="BQ196" s="2442"/>
      <c r="BR196" s="2442"/>
      <c r="BS196" s="2442"/>
      <c r="BT196" s="2442"/>
      <c r="BU196" s="2442"/>
      <c r="BV196" s="2442"/>
      <c r="BW196" s="2442"/>
      <c r="BX196" s="2442"/>
      <c r="BY196" s="2442"/>
      <c r="BZ196" s="2442"/>
      <c r="CA196" s="34"/>
      <c r="CC196" s="58"/>
      <c r="CD196" s="1461" t="e" cm="1">
        <f t="array" ca="1" aca="1" ref="CD196">_xlfn.LET(_xlpm.CheckBlank,SUM(PL!$AD196:$BN196)=0,IF(_xlpm.CheckBlank,"",SUM(_xlfn._xlws.FILTER(PL!$AD196:$BN196,(YEAR(PL!$AD$12:$BN$12)=PL!CD$12)*(array_timeline&lt;=PL!CD$11)))))</f>
        <v>#NAME?</v>
      </c>
      <c r="CE196" s="1461" t="e" cm="1">
        <f t="array" ca="1" aca="1" ref="CE196">_xlfn.LET(_xlpm.CheckBlank,SUM(PL!$AD196:$BN196)=0,IF(_xlpm.CheckBlank,"",SUM(_xlfn._xlws.FILTER(PL!$AD196:$BN196,(YEAR(PL!$AD$12:$BN$12)=PL!CE$12)*(array_timeline&lt;=PL!CE$11)))))</f>
        <v>#NAME?</v>
      </c>
      <c r="CF196" s="88"/>
      <c r="CG196" s="1461" t="e" cm="1">
        <f t="array" ca="1" aca="1" ref="CG196">_xlfn.LET(_xlpm.CheckBlank,SUM(PL!$AD196:$BN196)=0,IF(_xlpm.CheckBlank,"",SUM(_xlfn._xlws.FILTER(PL!$AD196:$BN196,(YEAR(PL!$AD$12:$BN$12)=PL!CG$12)*(array_timeline&lt;=PL!CG$11)))))</f>
        <v>#NAME?</v>
      </c>
      <c r="CH196" s="1461" t="e" cm="1">
        <f t="array" ca="1" aca="1" ref="CH196">_xlfn.LET(_xlpm.CheckBlank,SUM(PL!$AD196:$BN196)=0,IF(_xlpm.CheckBlank,"",SUM(_xlfn._xlws.FILTER(PL!$AD196:$BN196,(YEAR(PL!$AD$12:$BN$12)=PL!CH$12)*(array_timeline&lt;=PL!CH$11)))))</f>
        <v>#NAME?</v>
      </c>
      <c r="CI196" s="88"/>
      <c r="CJ196" s="1461" cm="1">
        <f t="array" ref="CJ196">_xlfn.LET(_xlpm.CheckBlank,SUM(PL!$AD196:$BN196)=0,IF(_xlpm.CheckBlank,"",SUM(_xlfn.TAKE(_xlfn.DROP(PL!$AD196:$BN196,,-DATEDIFF(PL!CJ$11,val_asOfDate,"M")),1,-12))))</f>
        <v>12</v>
      </c>
      <c r="CK196" s="1461" cm="1">
        <f t="array" ref="CK196">_xlfn.LET(_xlpm.CheckBlank,SUM(PL!$AD196:$BN196)=0,IF(_xlpm.CheckBlank,"",SUM(_xlfn.TAKE(_xlfn.DROP(PL!$AD196:$BN196,,-DATEDIFF(PL!CK$11,val_asOfDate,"M")),1,-12))))</f>
        <v>12</v>
      </c>
      <c r="CL196" s="88"/>
      <c r="CM196" s="3177">
        <v>1</v>
      </c>
      <c r="CN196" s="3177">
        <v>1</v>
      </c>
      <c r="CO196" s="1169"/>
      <c r="CP196" s="3177">
        <v>1</v>
      </c>
      <c r="CQ196" s="3177">
        <v>1</v>
      </c>
      <c r="CR196" s="34"/>
      <c r="CS196" s="2056"/>
      <c r="CT196" s="2447" t="e" cm="1">
        <f t="array" ca="1" aca="1" ref="CT196">IF(OR($Y196="Segment I Breakdown - Amount 1",$Y196="Segment I Breakdown - Amount 2",$Y196="Segment I Breakdown - Amount 3",$Y196="Segment I Breakdown - Amount 4",$Y196="Segment I Breakdown - Amount 5",$Y196="Segment I Breakdown - Amount 6",$Y196="Please select the metric for segmentation"),"",_xldudf_CX_PUSH($Y196,CX_ENTITY,$C196,val_asOfDate))</f>
        <v>#NAME?</v>
      </c>
      <c r="CU196" s="2447" t="e" cm="1">
        <f t="array" ca="1" aca="1" ref="CU196">IF(OR($Y196="Segment I Breakdown - Amount 1",$Y196="Segment I Breakdown - Amount 2",$Y196="Segment I Breakdown - Amount 3",$Y196="Segment I Breakdown - Amount 4",$Y196="Segment I Breakdown - Amount 5",$Y196="Segment I Breakdown - Amount 6",$Y196="Please select the metric for segmentation"),"",_xldudf_CX_PUSH($Y196,CX_ENTITY,$C196,EOMONTH(val_asOfDate,1)))</f>
        <v>#NAME?</v>
      </c>
      <c r="CV196" s="2447" t="e" cm="1">
        <f t="array" ca="1" aca="1" ref="CV196">IF(OR($Y196="Segment I Breakdown - Amount 1",$Y196="Segment I Breakdown - Amount 2",$Y196="Segment I Breakdown - Amount 3",$Y196="Segment I Breakdown - Amount 4",$Y196="Segment I Breakdown - Amount 5",$Y196="Segment I Breakdown - Amount 6",$Y196="Please select the metric for segmentation"),"",_xldudf_CX_PUSH($Y196,CX_ENTITY,$C196,EOMONTH(val_asOfDate,2)))</f>
        <v>#NAME?</v>
      </c>
      <c r="CW196" s="2447" t="e" cm="1">
        <f t="array" ca="1" aca="1" ref="CW196">IF(OR($Y196="Segment I Breakdown - Amount 1",$Y196="Segment I Breakdown - Amount 2",$Y196="Segment I Breakdown - Amount 3",$Y196="Segment I Breakdown - Amount 4",$Y196="Segment I Breakdown - Amount 5",$Y196="Segment I Breakdown - Amount 6",$Y196="Please select the metric for segmentation"),"",_xldudf_CX_PUSH($Y196,CX_ENTITY,$C196,EOMONTH(val_asOfDate,3)))</f>
        <v>#NAME?</v>
      </c>
      <c r="CX196" s="2443"/>
      <c r="CY196" s="2444" t="str" cm="1">
        <f t="array" ca="1" aca="1" ref="CY196">IFERROR(IF(CM196*fxVal_normal=_PL!CM196,"",IF(OR($CM196="",$CM196=0,NOT(ISNUMBER($CM196)),ISERROR($CM196),$B196=""),"",IF($I196=1,IFBLANK(_xldudf_CX_PUSH($CM196*fxVal_normal,CX_ENTITY,$B196,$CM$11,$CM$14,$CM$19,),""),IF($I196=2,IFBLANK(_xldudf_CX_PUSH($CM196,CX_ENTITY,$B196,$CM$11,$CM$14,$CM$19,),""),IF($I196=3,"",IFBLANK(_xldudf_CX_PUSH($CM196,CX_ENTITY,$B196,$CM$11,$CM$14,$CM$19,),"")))))),"")</f>
        <v/>
      </c>
      <c r="CZ196" s="2444" t="str" cm="1">
        <f t="array" ca="1" aca="1" ref="CZ196">IFERROR(IF(CN196*fxVal_normal=_PL!CN196,"",IF(OR($CN196="",$CN196=0,NOT(ISNUMBER($CN196)),ISERROR($CN196),$B196=""),"",IF($I196=1,IFBLANK(_xldudf_CX_PUSH($CN196*fxVal_normal,CX_ENTITY,$B196,$CN$11,$CN$14,$CN$19,),""),IF($I196=2,IFBLANK(_xldudf_CX_PUSH($CN196,CX_ENTITY,$B196,$CN$11,$CN$14,$CN$19,),""),IF($I196=3,"",IFBLANK(_xldudf_CX_PUSH($CN196,CX_ENTITY,$B196,$CN$11,$CN$14,$CN$19,),"")))))),"")</f>
        <v/>
      </c>
      <c r="DA196" s="2444" t="str" cm="1">
        <f t="array" ca="1" aca="1" ref="DA196">IFERROR(IF(CP196*fxVal_normal=_PL!CP196,"",IF(OR($CP196="",$CP196=0,NOT(ISNUMBER($CP196)),ISERROR($CP196),$B196=""),"",IF($I196=1,IFBLANK(_xldudf_CX_PUSH($CP196*fxVal_normal,CX_ENTITY,$B196,$CP$11,$CP$14,$CP$19,),""),IF($I196=2,IFBLANK(_xldudf_CX_PUSH($CP196,CX_ENTITY,$B196,$CP$11,$CP$14,$CP$19,),""),IF($I196=3,"",IFBLANK(_xldudf_CX_PUSH($CP196,CX_ENTITY,$B196,$CP$11,$CP$14,$CP$19,),"")))))),"")</f>
        <v/>
      </c>
      <c r="DB196" s="2444" t="str" cm="1">
        <f t="array" ca="1" aca="1" ref="DB196">IFERROR(IF(CQ196*fxVal_normal=_PL!CQ196,"",IF(OR($CQ196="",$CQ196=0,NOT(ISNUMBER($CQ196)),ISERROR($CQ196),$B196=""),"",IF($I196=1,IFBLANK(_xldudf_CX_PUSH($CQ196*fxVal_normal,CX_ENTITY,$B196,$CQ$11,$CQ$14,$CQ$19,),""),IF($I196=2,IFBLANK(_xldudf_CX_PUSH($CQ196,CX_ENTITY,$B196,$CQ$11,$CQ$14,$CQ$19,),""),IF($I196=3,"",IFBLANK(_xldudf_CX_PUSH($CQ196,CX_ENTITY,$B196,$CQ$11,$CQ$14,$CQ$19,),"")))))),"")</f>
        <v/>
      </c>
      <c r="DC196" s="2443"/>
      <c r="DD196" s="2445" t="str" cm="1">
        <f t="array" ca="1" aca="1" ref="DD196">IFERROR(IF(AD196*fxVal_normal=_PL!AD196,"",IF(OR(AD196="",NOT(ISNUMBER(AD196)),ISERROR(AD196),$B196=""),"",IF($I196=1,IFBLANK(_xldudf_CX_PUSH(AD196*fxVal_normal,CX_ENTITY,$B196,AD$11,AD$14,AD$190,),""),IF($I196=2,IFBLANK(_xldudf_CX_PUSH(AD196,CX_ENTITY,$B196,AD$11,AD$14,AD$190,),""),IF($I196=3,"",IFBLANK(_xldudf_CX_PUSH(AD196,CX_ENTITY,$B196,AD$11,AD$14,AD$190,),"")))))),"")</f>
        <v/>
      </c>
      <c r="DE196" s="2445" t="str" cm="1">
        <f t="array" ca="1" aca="1" ref="DE196">IFERROR(IF(AE196*fxVal_normal=_PL!AE196,"",IF(OR(AE196="",NOT(ISNUMBER(AE196)),ISERROR(AE196),$B196=""),"",IF($I196=1,IFBLANK(_xldudf_CX_PUSH(AE196*fxVal_normal,CX_ENTITY,$B196,AE$11,AE$14,AE$190,),""),IF($I196=2,IFBLANK(_xldudf_CX_PUSH(AE196,CX_ENTITY,$B196,AE$11,AE$14,AE$190,),""),IF($I196=3,"",IFBLANK(_xldudf_CX_PUSH(AE196,CX_ENTITY,$B196,AE$11,AE$14,AE$190,),"")))))),"")</f>
        <v/>
      </c>
      <c r="DF196" s="2445" t="str" cm="1">
        <f t="array" ca="1" aca="1" ref="DF196">IFERROR(IF(AF196*fxVal_normal=_PL!AF196,"",IF(OR(AF196="",NOT(ISNUMBER(AF196)),ISERROR(AF196),$B196=""),"",IF($I196=1,IFBLANK(_xldudf_CX_PUSH(AF196*fxVal_normal,CX_ENTITY,$B196,AF$11,AF$14,AF$190,),""),IF($I196=2,IFBLANK(_xldudf_CX_PUSH(AF196,CX_ENTITY,$B196,AF$11,AF$14,AF$190,),""),IF($I196=3,"",IFBLANK(_xldudf_CX_PUSH(AF196,CX_ENTITY,$B196,AF$11,AF$14,AF$190,),"")))))),"")</f>
        <v/>
      </c>
      <c r="DG196" s="2445" t="str" cm="1">
        <f t="array" ca="1" aca="1" ref="DG196">IFERROR(IF(AG196*fxVal_normal=_PL!AG196,"",IF(OR(AG196="",NOT(ISNUMBER(AG196)),ISERROR(AG196),$B196=""),"",IF($I196=1,IFBLANK(_xldudf_CX_PUSH(AG196*fxVal_normal,CX_ENTITY,$B196,AG$11,AG$14,AG$190,),""),IF($I196=2,IFBLANK(_xldudf_CX_PUSH(AG196,CX_ENTITY,$B196,AG$11,AG$14,AG$190,),""),IF($I196=3,"",IFBLANK(_xldudf_CX_PUSH(AG196,CX_ENTITY,$B196,AG$11,AG$14,AG$190,),"")))))),"")</f>
        <v/>
      </c>
      <c r="DH196" s="2445" t="str" cm="1">
        <f t="array" ca="1" aca="1" ref="DH196">IFERROR(IF(AH196*fxVal_normal=_PL!AH196,"",IF(OR(AH196="",NOT(ISNUMBER(AH196)),ISERROR(AH196),$B196=""),"",IF($I196=1,IFBLANK(_xldudf_CX_PUSH(AH196*fxVal_normal,CX_ENTITY,$B196,AH$11,AH$14,AH$190,),""),IF($I196=2,IFBLANK(_xldudf_CX_PUSH(AH196,CX_ENTITY,$B196,AH$11,AH$14,AH$190,),""),IF($I196=3,"",IFBLANK(_xldudf_CX_PUSH(AH196,CX_ENTITY,$B196,AH$11,AH$14,AH$190,),"")))))),"")</f>
        <v/>
      </c>
      <c r="DI196" s="2445" t="str" cm="1">
        <f t="array" ca="1" aca="1" ref="DI196">IFERROR(IF(AI196*fxVal_normal=_PL!AI196,"",IF(OR(AI196="",NOT(ISNUMBER(AI196)),ISERROR(AI196),$B196=""),"",IF($I196=1,IFBLANK(_xldudf_CX_PUSH(AI196*fxVal_normal,CX_ENTITY,$B196,AI$11,AI$14,AI$190,),""),IF($I196=2,IFBLANK(_xldudf_CX_PUSH(AI196,CX_ENTITY,$B196,AI$11,AI$14,AI$190,),""),IF($I196=3,"",IFBLANK(_xldudf_CX_PUSH(AI196,CX_ENTITY,$B196,AI$11,AI$14,AI$190,),"")))))),"")</f>
        <v/>
      </c>
      <c r="DJ196" s="2445" t="str" cm="1">
        <f t="array" ca="1" aca="1" ref="DJ196">IFERROR(IF(AJ196*fxVal_normal=_PL!AJ196,"",IF(OR(AJ196="",NOT(ISNUMBER(AJ196)),ISERROR(AJ196),$B196=""),"",IF($I196=1,IFBLANK(_xldudf_CX_PUSH(AJ196*fxVal_normal,CX_ENTITY,$B196,AJ$11,AJ$14,AJ$190,),""),IF($I196=2,IFBLANK(_xldudf_CX_PUSH(AJ196,CX_ENTITY,$B196,AJ$11,AJ$14,AJ$190,),""),IF($I196=3,"",IFBLANK(_xldudf_CX_PUSH(AJ196,CX_ENTITY,$B196,AJ$11,AJ$14,AJ$190,),"")))))),"")</f>
        <v/>
      </c>
      <c r="DK196" s="2445" t="str" cm="1">
        <f t="array" ca="1" aca="1" ref="DK196">IFERROR(IF(AK196*fxVal_normal=_PL!AK196,"",IF(OR(AK196="",NOT(ISNUMBER(AK196)),ISERROR(AK196),$B196=""),"",IF($I196=1,IFBLANK(_xldudf_CX_PUSH(AK196*fxVal_normal,CX_ENTITY,$B196,AK$11,AK$14,AK$190,),""),IF($I196=2,IFBLANK(_xldudf_CX_PUSH(AK196,CX_ENTITY,$B196,AK$11,AK$14,AK$190,),""),IF($I196=3,"",IFBLANK(_xldudf_CX_PUSH(AK196,CX_ENTITY,$B196,AK$11,AK$14,AK$190,),"")))))),"")</f>
        <v/>
      </c>
      <c r="DL196" s="2445" t="str" cm="1">
        <f t="array" ca="1" aca="1" ref="DL196">IFERROR(IF(AL196*fxVal_normal=_PL!AL196,"",IF(OR(AL196="",NOT(ISNUMBER(AL196)),ISERROR(AL196),$B196=""),"",IF($I196=1,IFBLANK(_xldudf_CX_PUSH(AL196*fxVal_normal,CX_ENTITY,$B196,AL$11,AL$14,AL$190,),""),IF($I196=2,IFBLANK(_xldudf_CX_PUSH(AL196,CX_ENTITY,$B196,AL$11,AL$14,AL$190,),""),IF($I196=3,"",IFBLANK(_xldudf_CX_PUSH(AL196,CX_ENTITY,$B196,AL$11,AL$14,AL$190,),"")))))),"")</f>
        <v/>
      </c>
      <c r="DM196" s="2445" t="str" cm="1">
        <f t="array" ca="1" aca="1" ref="DM196">IFERROR(IF(AM196*fxVal_normal=_PL!AM196,"",IF(OR(AM196="",NOT(ISNUMBER(AM196)),ISERROR(AM196),$B196=""),"",IF($I196=1,IFBLANK(_xldudf_CX_PUSH(AM196*fxVal_normal,CX_ENTITY,$B196,AM$11,AM$14,AM$190,),""),IF($I196=2,IFBLANK(_xldudf_CX_PUSH(AM196,CX_ENTITY,$B196,AM$11,AM$14,AM$190,),""),IF($I196=3,"",IFBLANK(_xldudf_CX_PUSH(AM196,CX_ENTITY,$B196,AM$11,AM$14,AM$190,),"")))))),"")</f>
        <v/>
      </c>
      <c r="DN196" s="2445" t="str" cm="1">
        <f t="array" ca="1" aca="1" ref="DN196">IFERROR(IF(AN196*fxVal_normal=_PL!AN196,"",IF(OR(AN196="",NOT(ISNUMBER(AN196)),ISERROR(AN196),$B196=""),"",IF($I196=1,IFBLANK(_xldudf_CX_PUSH(AN196*fxVal_normal,CX_ENTITY,$B196,AN$11,AN$14,AN$190,),""),IF($I196=2,IFBLANK(_xldudf_CX_PUSH(AN196,CX_ENTITY,$B196,AN$11,AN$14,AN$190,),""),IF($I196=3,"",IFBLANK(_xldudf_CX_PUSH(AN196,CX_ENTITY,$B196,AN$11,AN$14,AN$190,),"")))))),"")</f>
        <v/>
      </c>
      <c r="DO196" s="2445" t="str" cm="1">
        <f t="array" ca="1" aca="1" ref="DO196">IFERROR(IF(AO196*fxVal_normal=_PL!AO196,"",IF(OR(AO196="",NOT(ISNUMBER(AO196)),ISERROR(AO196),$B196=""),"",IF($I196=1,IFBLANK(_xldudf_CX_PUSH(AO196*fxVal_normal,CX_ENTITY,$B196,AO$11,AO$14,AO$190,),""),IF($I196=2,IFBLANK(_xldudf_CX_PUSH(AO196,CX_ENTITY,$B196,AO$11,AO$14,AO$190,),""),IF($I196=3,"",IFBLANK(_xldudf_CX_PUSH(AO196,CX_ENTITY,$B196,AO$11,AO$14,AO$190,),"")))))),"")</f>
        <v/>
      </c>
      <c r="DP196" s="2445" t="str" cm="1">
        <f t="array" ca="1" aca="1" ref="DP196">IFERROR(IF(AP196*fxVal_normal=_PL!AP196,"",IF(OR(AP196="",NOT(ISNUMBER(AP196)),ISERROR(AP196),$B196=""),"",IF($I196=1,IFBLANK(_xldudf_CX_PUSH(AP196*fxVal_normal,CX_ENTITY,$B196,AP$11,AP$14,AP$190,),""),IF($I196=2,IFBLANK(_xldudf_CX_PUSH(AP196,CX_ENTITY,$B196,AP$11,AP$14,AP$190,),""),IF($I196=3,"",IFBLANK(_xldudf_CX_PUSH(AP196,CX_ENTITY,$B196,AP$11,AP$14,AP$190,),"")))))),"")</f>
        <v/>
      </c>
      <c r="DQ196" s="2445" t="str" cm="1">
        <f t="array" ca="1" aca="1" ref="DQ196">IFERROR(IF(AQ196*fxVal_normal=_PL!AQ196,"",IF(OR(AQ196="",NOT(ISNUMBER(AQ196)),ISERROR(AQ196),$B196=""),"",IF($I196=1,IFBLANK(_xldudf_CX_PUSH(AQ196*fxVal_normal,CX_ENTITY,$B196,AQ$11,AQ$14,AQ$190,),""),IF($I196=2,IFBLANK(_xldudf_CX_PUSH(AQ196,CX_ENTITY,$B196,AQ$11,AQ$14,AQ$190,),""),IF($I196=3,"",IFBLANK(_xldudf_CX_PUSH(AQ196,CX_ENTITY,$B196,AQ$11,AQ$14,AQ$190,),"")))))),"")</f>
        <v/>
      </c>
      <c r="DR196" s="2445" t="str" cm="1">
        <f t="array" ca="1" aca="1" ref="DR196">IFERROR(IF(AR196*fxVal_normal=_PL!AR196,"",IF(OR(AR196="",NOT(ISNUMBER(AR196)),ISERROR(AR196),$B196=""),"",IF($I196=1,IFBLANK(_xldudf_CX_PUSH(AR196*fxVal_normal,CX_ENTITY,$B196,AR$11,AR$14,AR$190,),""),IF($I196=2,IFBLANK(_xldudf_CX_PUSH(AR196,CX_ENTITY,$B196,AR$11,AR$14,AR$190,),""),IF($I196=3,"",IFBLANK(_xldudf_CX_PUSH(AR196,CX_ENTITY,$B196,AR$11,AR$14,AR$190,),"")))))),"")</f>
        <v/>
      </c>
      <c r="DS196" s="2445" t="str" cm="1">
        <f t="array" ca="1" aca="1" ref="DS196">IFERROR(IF(AS196*fxVal_normal=_PL!AS196,"",IF(OR(AS196="",NOT(ISNUMBER(AS196)),ISERROR(AS196),$B196=""),"",IF($I196=1,IFBLANK(_xldudf_CX_PUSH(AS196*fxVal_normal,CX_ENTITY,$B196,AS$11,AS$14,AS$190,),""),IF($I196=2,IFBLANK(_xldudf_CX_PUSH(AS196,CX_ENTITY,$B196,AS$11,AS$14,AS$190,),""),IF($I196=3,"",IFBLANK(_xldudf_CX_PUSH(AS196,CX_ENTITY,$B196,AS$11,AS$14,AS$190,),"")))))),"")</f>
        <v/>
      </c>
      <c r="DT196" s="2445" t="str" cm="1">
        <f t="array" ca="1" aca="1" ref="DT196">IFERROR(IF(AT196*fxVal_normal=_PL!AT196,"",IF(OR(AT196="",NOT(ISNUMBER(AT196)),ISERROR(AT196),$B196=""),"",IF($I196=1,IFBLANK(_xldudf_CX_PUSH(AT196*fxVal_normal,CX_ENTITY,$B196,AT$11,AT$14,AT$190,),""),IF($I196=2,IFBLANK(_xldudf_CX_PUSH(AT196,CX_ENTITY,$B196,AT$11,AT$14,AT$190,),""),IF($I196=3,"",IFBLANK(_xldudf_CX_PUSH(AT196,CX_ENTITY,$B196,AT$11,AT$14,AT$190,),"")))))),"")</f>
        <v/>
      </c>
      <c r="DU196" s="2445" t="str" cm="1">
        <f t="array" ca="1" aca="1" ref="DU196">IFERROR(IF(AU196*fxVal_normal=_PL!AU196,"",IF(OR(AU196="",NOT(ISNUMBER(AU196)),ISERROR(AU196),$B196=""),"",IF($I196=1,IFBLANK(_xldudf_CX_PUSH(AU196*fxVal_normal,CX_ENTITY,$B196,AU$11,AU$14,AU$190,),""),IF($I196=2,IFBLANK(_xldudf_CX_PUSH(AU196,CX_ENTITY,$B196,AU$11,AU$14,AU$190,),""),IF($I196=3,"",IFBLANK(_xldudf_CX_PUSH(AU196,CX_ENTITY,$B196,AU$11,AU$14,AU$190,),"")))))),"")</f>
        <v/>
      </c>
      <c r="DV196" s="2445" t="str" cm="1">
        <f t="array" ca="1" aca="1" ref="DV196">IFERROR(IF(AV196*fxVal_normal=_PL!AV196,"",IF(OR(AV196="",NOT(ISNUMBER(AV196)),ISERROR(AV196),$B196=""),"",IF($I196=1,IFBLANK(_xldudf_CX_PUSH(AV196*fxVal_normal,CX_ENTITY,$B196,AV$11,AV$14,AV$190,),""),IF($I196=2,IFBLANK(_xldudf_CX_PUSH(AV196,CX_ENTITY,$B196,AV$11,AV$14,AV$190,),""),IF($I196=3,"",IFBLANK(_xldudf_CX_PUSH(AV196,CX_ENTITY,$B196,AV$11,AV$14,AV$190,),"")))))),"")</f>
        <v/>
      </c>
      <c r="DW196" s="2445" t="str" cm="1">
        <f t="array" ca="1" aca="1" ref="DW196">IFERROR(IF(AW196*fxVal_normal=_PL!AW196,"",IF(OR(AW196="",NOT(ISNUMBER(AW196)),ISERROR(AW196),$B196=""),"",IF($I196=1,IFBLANK(_xldudf_CX_PUSH(AW196*fxVal_normal,CX_ENTITY,$B196,AW$11,AW$14,AW$190,),""),IF($I196=2,IFBLANK(_xldudf_CX_PUSH(AW196,CX_ENTITY,$B196,AW$11,AW$14,AW$190,),""),IF($I196=3,"",IFBLANK(_xldudf_CX_PUSH(AW196,CX_ENTITY,$B196,AW$11,AW$14,AW$190,),"")))))),"")</f>
        <v/>
      </c>
      <c r="DX196" s="2445" t="str" cm="1">
        <f t="array" ca="1" aca="1" ref="DX196">IFERROR(IF(AX196*fxVal_normal=_PL!AX196,"",IF(OR(AX196="",NOT(ISNUMBER(AX196)),ISERROR(AX196),$B196=""),"",IF($I196=1,IFBLANK(_xldudf_CX_PUSH(AX196*fxVal_normal,CX_ENTITY,$B196,AX$11,AX$14,AX$190,),""),IF($I196=2,IFBLANK(_xldudf_CX_PUSH(AX196,CX_ENTITY,$B196,AX$11,AX$14,AX$190,),""),IF($I196=3,"",IFBLANK(_xldudf_CX_PUSH(AX196,CX_ENTITY,$B196,AX$11,AX$14,AX$190,),"")))))),"")</f>
        <v/>
      </c>
      <c r="DY196" s="2445" t="str" cm="1">
        <f t="array" ca="1" aca="1" ref="DY196">IFERROR(IF(AY196*fxVal_normal=_PL!AY196,"",IF(OR(AY196="",NOT(ISNUMBER(AY196)),ISERROR(AY196),$B196=""),"",IF($I196=1,IFBLANK(_xldudf_CX_PUSH(AY196*fxVal_normal,CX_ENTITY,$B196,AY$11,AY$14,AY$190,),""),IF($I196=2,IFBLANK(_xldudf_CX_PUSH(AY196,CX_ENTITY,$B196,AY$11,AY$14,AY$190,),""),IF($I196=3,"",IFBLANK(_xldudf_CX_PUSH(AY196,CX_ENTITY,$B196,AY$11,AY$14,AY$190,),"")))))),"")</f>
        <v/>
      </c>
      <c r="DZ196" s="2445" t="str" cm="1">
        <f t="array" ca="1" aca="1" ref="DZ196">IFERROR(IF(AZ196*fxVal_normal=_PL!AZ196,"",IF(OR(AZ196="",NOT(ISNUMBER(AZ196)),ISERROR(AZ196),$B196=""),"",IF($I196=1,IFBLANK(_xldudf_CX_PUSH(AZ196*fxVal_normal,CX_ENTITY,$B196,AZ$11,AZ$14,AZ$190,),""),IF($I196=2,IFBLANK(_xldudf_CX_PUSH(AZ196,CX_ENTITY,$B196,AZ$11,AZ$14,AZ$190,),""),IF($I196=3,"",IFBLANK(_xldudf_CX_PUSH(AZ196,CX_ENTITY,$B196,AZ$11,AZ$14,AZ$190,),"")))))),"")</f>
        <v/>
      </c>
      <c r="EA196" s="2445" t="str" cm="1">
        <f t="array" ca="1" aca="1" ref="EA196">IFERROR(IF(BA196*fxVal_normal=_PL!BA196,"",IF(OR(BA196="",NOT(ISNUMBER(BA196)),ISERROR(BA196),$B196=""),"",IF($I196=1,IFBLANK(_xldudf_CX_PUSH(BA196*fxVal_normal,CX_ENTITY,$B196,BA$11,BA$14,BA$190,),""),IF($I196=2,IFBLANK(_xldudf_CX_PUSH(BA196,CX_ENTITY,$B196,BA$11,BA$14,BA$190,),""),IF($I196=3,"",IFBLANK(_xldudf_CX_PUSH(BA196,CX_ENTITY,$B196,BA$11,BA$14,BA$190,),"")))))),"")</f>
        <v/>
      </c>
      <c r="EB196" s="2445" t="str" cm="1">
        <f t="array" ca="1" aca="1" ref="EB196">IFERROR(IF(BB196*fxVal_normal=_PL!BB196,"",IF(OR(BB196="",NOT(ISNUMBER(BB196)),ISERROR(BB196),$B196=""),"",IF($I196=1,IFBLANK(_xldudf_CX_PUSH(BB196*fxVal_normal,CX_ENTITY,$B196,BB$11,BB$14,BB$190,),""),IF($I196=2,IFBLANK(_xldudf_CX_PUSH(BB196,CX_ENTITY,$B196,BB$11,BB$14,BB$190,),""),IF($I196=3,"",IFBLANK(_xldudf_CX_PUSH(BB196,CX_ENTITY,$B196,BB$11,BB$14,BB$190,),"")))))),"")</f>
        <v/>
      </c>
      <c r="EC196" s="2445" t="str" cm="1">
        <f t="array" ca="1" aca="1" ref="EC196">IFERROR(IF(BC196*fxVal_normal=_PL!BC196,"",IF(OR(BC196="",NOT(ISNUMBER(BC196)),ISERROR(BC196),$B196=""),"",IF($I196=1,IFBLANK(_xldudf_CX_PUSH(BC196*fxVal_normal,CX_ENTITY,$B196,BC$11,BC$14,BC$190,),""),IF($I196=2,IFBLANK(_xldudf_CX_PUSH(BC196,CX_ENTITY,$B196,BC$11,BC$14,BC$190,),""),IF($I196=3,"",IFBLANK(_xldudf_CX_PUSH(BC196,CX_ENTITY,$B196,BC$11,BC$14,BC$190,),"")))))),"")</f>
        <v/>
      </c>
      <c r="ED196" s="2445" t="str" cm="1">
        <f t="array" ca="1" aca="1" ref="ED196">IFERROR(IF(BD196*fxVal_normal=_PL!BD196,"",IF(OR(BD196="",NOT(ISNUMBER(BD196)),ISERROR(BD196),$B196=""),"",IF($I196=1,IFBLANK(_xldudf_CX_PUSH(BD196*fxVal_normal,CX_ENTITY,$B196,BD$11,BD$14,BD$190,),""),IF($I196=2,IFBLANK(_xldudf_CX_PUSH(BD196,CX_ENTITY,$B196,BD$11,BD$14,BD$190,),""),IF($I196=3,"",IFBLANK(_xldudf_CX_PUSH(BD196,CX_ENTITY,$B196,BD$11,BD$14,BD$190,),"")))))),"")</f>
        <v/>
      </c>
      <c r="EE196" s="2445" t="str" cm="1">
        <f t="array" ca="1" aca="1" ref="EE196">IFERROR(IF(BE196*fxVal_normal=_PL!BE196,"",IF(OR(BE196="",NOT(ISNUMBER(BE196)),ISERROR(BE196),$B196=""),"",IF($I196=1,IFBLANK(_xldudf_CX_PUSH(BE196*fxVal_normal,CX_ENTITY,$B196,BE$11,BE$14,BE$190,),""),IF($I196=2,IFBLANK(_xldudf_CX_PUSH(BE196,CX_ENTITY,$B196,BE$11,BE$14,BE$190,),""),IF($I196=3,"",IFBLANK(_xldudf_CX_PUSH(BE196,CX_ENTITY,$B196,BE$11,BE$14,BE$190,),"")))))),"")</f>
        <v/>
      </c>
      <c r="EF196" s="2445" t="str" cm="1">
        <f t="array" ca="1" aca="1" ref="EF196">IFERROR(IF(BF196*fxVal_normal=_PL!BF196,"",IF(OR(BF196="",NOT(ISNUMBER(BF196)),ISERROR(BF196),$B196=""),"",IF($I196=1,IFBLANK(_xldudf_CX_PUSH(BF196*fxVal_normal,CX_ENTITY,$B196,BF$11,BF$14,BF$190,),""),IF($I196=2,IFBLANK(_xldudf_CX_PUSH(BF196,CX_ENTITY,$B196,BF$11,BF$14,BF$190,),""),IF($I196=3,"",IFBLANK(_xldudf_CX_PUSH(BF196,CX_ENTITY,$B196,BF$11,BF$14,BF$190,),"")))))),"")</f>
        <v/>
      </c>
      <c r="EG196" s="2445" t="str" cm="1">
        <f t="array" ca="1" aca="1" ref="EG196">IFERROR(IF(BG196*fxVal_normal=_PL!BG196,"",IF(OR(BG196="",NOT(ISNUMBER(BG196)),ISERROR(BG196),$B196=""),"",IF($I196=1,IFBLANK(_xldudf_CX_PUSH(BG196*fxVal_normal,CX_ENTITY,$B196,BG$11,BG$14,BG$190,),""),IF($I196=2,IFBLANK(_xldudf_CX_PUSH(BG196,CX_ENTITY,$B196,BG$11,BG$14,BG$190,),""),IF($I196=3,"",IFBLANK(_xldudf_CX_PUSH(BG196,CX_ENTITY,$B196,BG$11,BG$14,BG$190,),"")))))),"")</f>
        <v/>
      </c>
      <c r="EH196" s="2445" t="str" cm="1">
        <f t="array" ca="1" aca="1" ref="EH196">IFERROR(IF(BH196*fxVal_normal=_PL!BH196,"",IF(OR(BH196="",NOT(ISNUMBER(BH196)),ISERROR(BH196),$B196=""),"",IF($I196=1,IFBLANK(_xldudf_CX_PUSH(BH196*fxVal_normal,CX_ENTITY,$B196,BH$11,BH$14,BH$190,),""),IF($I196=2,IFBLANK(_xldudf_CX_PUSH(BH196,CX_ENTITY,$B196,BH$11,BH$14,BH$190,),""),IF($I196=3,"",IFBLANK(_xldudf_CX_PUSH(BH196,CX_ENTITY,$B196,BH$11,BH$14,BH$190,),"")))))),"")</f>
        <v/>
      </c>
      <c r="EI196" s="2445" t="str" cm="1">
        <f t="array" ca="1" aca="1" ref="EI196">IFERROR(IF(BI196*fxVal_normal=_PL!BI196,"",IF(OR(BI196="",NOT(ISNUMBER(BI196)),ISERROR(BI196),$B196=""),"",IF($I196=1,IFBLANK(_xldudf_CX_PUSH(BI196*fxVal_normal,CX_ENTITY,$B196,BI$11,BI$14,BI$190,),""),IF($I196=2,IFBLANK(_xldudf_CX_PUSH(BI196,CX_ENTITY,$B196,BI$11,BI$14,BI$190,),""),IF($I196=3,"",IFBLANK(_xldudf_CX_PUSH(BI196,CX_ENTITY,$B196,BI$11,BI$14,BI$190,),"")))))),"")</f>
        <v/>
      </c>
      <c r="EJ196" s="2445" t="str" cm="1">
        <f t="array" ca="1" aca="1" ref="EJ196">IFERROR(IF(BJ196*fxVal_normal=_PL!BJ196,"",IF(OR(BJ196="",NOT(ISNUMBER(BJ196)),ISERROR(BJ196),$B196=""),"",IF($I196=1,IFBLANK(_xldudf_CX_PUSH(BJ196*fxVal_normal,CX_ENTITY,$B196,BJ$11,BJ$14,BJ$190,),""),IF($I196=2,IFBLANK(_xldudf_CX_PUSH(BJ196,CX_ENTITY,$B196,BJ$11,BJ$14,BJ$190,),""),IF($I196=3,"",IFBLANK(_xldudf_CX_PUSH(BJ196,CX_ENTITY,$B196,BJ$11,BJ$14,BJ$190,),"")))))),"")</f>
        <v/>
      </c>
      <c r="EK196" s="2445" t="str" cm="1">
        <f t="array" ca="1" aca="1" ref="EK196">IFERROR(IF(BK196*fxVal_normal=_PL!BK196,"",IF(OR(BK196="",NOT(ISNUMBER(BK196)),ISERROR(BK196),$B196=""),"",IF($I196=1,IFBLANK(_xldudf_CX_PUSH(BK196*fxVal_normal,CX_ENTITY,$B196,BK$11,BK$14,BK$190,),""),IF($I196=2,IFBLANK(_xldudf_CX_PUSH(BK196,CX_ENTITY,$B196,BK$11,BK$14,BK$190,),""),IF($I196=3,"",IFBLANK(_xldudf_CX_PUSH(BK196,CX_ENTITY,$B196,BK$11,BK$14,BK$190,),"")))))),"")</f>
        <v/>
      </c>
      <c r="EL196" s="2445" t="str" cm="1">
        <f t="array" ca="1" aca="1" ref="EL196">IFERROR(IF(BL196*fxVal_normal=_PL!BL196,"",IF(OR(BL196="",NOT(ISNUMBER(BL196)),ISERROR(BL196),$B196=""),"",IF($I196=1,IFBLANK(_xldudf_CX_PUSH(BL196*fxVal_normal,CX_ENTITY,$B196,BL$11,BL$14,BL$190,),""),IF($I196=2,IFBLANK(_xldudf_CX_PUSH(BL196,CX_ENTITY,$B196,BL$11,BL$14,BL$190,),""),IF($I196=3,"",IFBLANK(_xldudf_CX_PUSH(BL196,CX_ENTITY,$B196,BL$11,BL$14,BL$190,),"")))))),"")</f>
        <v/>
      </c>
      <c r="EM196" s="2445" t="str" cm="1">
        <f t="array" ca="1" aca="1" ref="EM196">IFERROR(IF(BM196*fxVal_normal=_PL!BM196,"",IF(OR(BM196="",NOT(ISNUMBER(BM196)),ISERROR(BM196),$B196=""),"",IF($I196=1,IFBLANK(_xldudf_CX_PUSH(BM196*fxVal_normal,CX_ENTITY,$B196,BM$11,BM$14,BM$190,),""),IF($I196=2,IFBLANK(_xldudf_CX_PUSH(BM196,CX_ENTITY,$B196,BM$11,BM$14,BM$190,),""),IF($I196=3,"",IFBLANK(_xldudf_CX_PUSH(BM196,CX_ENTITY,$B196,BM$11,BM$14,BM$190,),"")))))),"")</f>
        <v/>
      </c>
      <c r="EN196" s="2445" t="str" cm="1">
        <f t="array" ca="1" aca="1" ref="EN196">IFERROR(IF(BN196*fxVal_normal=_PL!BN196,"",IF(OR(BN196="",NOT(ISNUMBER(BN196)),ISERROR(BN196),$B196=""),"",IF($I196=1,IFBLANK(_xldudf_CX_PUSH(BN196*fxVal_normal,CX_ENTITY,$B196,BN$11,BN$14,BN$190,),""),IF($I196=2,IFBLANK(_xldudf_CX_PUSH(BN196,CX_ENTITY,$B196,BN$11,BN$14,BN$190,),""),IF($I196=3,"",IFBLANK(_xldudf_CX_PUSH(BN196,CX_ENTITY,$B196,BN$11,BN$14,BN$190,),"")))))),"")</f>
        <v/>
      </c>
    </row>
    <row r="197" spans="1:144" ht="21" customHeight="1">
      <c r="A197" s="1626"/>
      <c r="B197" s="2439" t="s">
        <v>166</v>
      </c>
      <c r="C197" s="3459" t="str" cm="1">
        <f t="array" ref="C197">IFBLANK(_PL!C197,"")</f>
        <v>Segment I Breakdown - Label 6</v>
      </c>
      <c r="D197" s="1548" t="s">
        <v>166</v>
      </c>
      <c r="E197" s="2440" t="e" cm="1">
        <f t="array" ca="1" aca="1" ref="E19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197:$CQ197,Z197)</f>
        <v>#NAME?</v>
      </c>
      <c r="F197" s="578"/>
      <c r="G197" s="578"/>
      <c r="H197" s="585">
        <v>0</v>
      </c>
      <c r="I197" s="3309">
        <v>1</v>
      </c>
      <c r="J197" s="401" cm="1">
        <f t="array" ref="J197">IFBLANK(Z197,"")</f>
        <v>-1</v>
      </c>
      <c r="K197" s="578" t="str">
        <f t="shared" si="54" ref="K197:K227">IFERROR(IF(LEN(AB197)=0,"No",IF(LEN(J197)&gt;0,"Yes","No")),"")</f>
        <v>No</v>
      </c>
      <c r="L197" s="37"/>
      <c r="N197" s="158"/>
      <c r="O197" s="101"/>
      <c r="P197" s="52"/>
      <c r="Q197" s="101"/>
      <c r="R197" s="101"/>
      <c r="S197" s="2"/>
      <c r="T197" s="153"/>
      <c r="U197" s="39"/>
      <c r="V197" s="37"/>
      <c r="W197" s="2593" t="e">
        <f ca="1">W191</f>
        <v>#NAME?</v>
      </c>
      <c r="X197" s="2081" t="str">
        <f>_PL!X197</f>
        <v>a</v>
      </c>
      <c r="Y197" s="3222">
        <v>2</v>
      </c>
      <c r="Z197" s="198">
        <f>_PL!Z197</f>
        <v>-1</v>
      </c>
      <c r="AA197" s="2571"/>
      <c r="AB197" s="2592"/>
      <c r="AC197" s="914" t="str" cm="1">
        <f t="array" ca="1" aca="1" ref="AC197">_xlfn.LET(_xlpm._termname,$AB197,_xlpm._iconname,"find",_xlpm._icon,fx_getIcon(_xlpm._iconname),_xlpm._location,_xlfn.XLOOKUP(LOWER(_xlpm._termname),LOWER(tbl_acctDef[Term]),tbl_acctDef[Term]),_xlpm._hyperlink,HYPERLINK("#"&amp;CELL("address",_xlpm._location),_xlpm._icon),IFERROR(_xlpm._hyperlink,""))</f>
        <v/>
      </c>
      <c r="AD197" s="3177">
        <v>1</v>
      </c>
      <c r="AE197" s="3177">
        <v>1</v>
      </c>
      <c r="AF197" s="3177">
        <v>1</v>
      </c>
      <c r="AG197" s="3177">
        <v>1</v>
      </c>
      <c r="AH197" s="3177">
        <v>1</v>
      </c>
      <c r="AI197" s="3177">
        <v>1</v>
      </c>
      <c r="AJ197" s="3177">
        <v>1</v>
      </c>
      <c r="AK197" s="3177">
        <v>1</v>
      </c>
      <c r="AL197" s="3177">
        <v>1</v>
      </c>
      <c r="AM197" s="3177">
        <v>1</v>
      </c>
      <c r="AN197" s="3177">
        <v>1</v>
      </c>
      <c r="AO197" s="3177">
        <v>1</v>
      </c>
      <c r="AP197" s="3177">
        <v>1</v>
      </c>
      <c r="AQ197" s="3177">
        <v>1</v>
      </c>
      <c r="AR197" s="3177">
        <v>1</v>
      </c>
      <c r="AS197" s="3177">
        <v>1</v>
      </c>
      <c r="AT197" s="3177">
        <v>1</v>
      </c>
      <c r="AU197" s="3177">
        <v>1</v>
      </c>
      <c r="AV197" s="3177">
        <v>1</v>
      </c>
      <c r="AW197" s="3177">
        <v>1</v>
      </c>
      <c r="AX197" s="3177">
        <v>1</v>
      </c>
      <c r="AY197" s="3177">
        <v>1</v>
      </c>
      <c r="AZ197" s="3177">
        <v>1</v>
      </c>
      <c r="BA197" s="3177">
        <v>1</v>
      </c>
      <c r="BB197" s="3177">
        <v>1</v>
      </c>
      <c r="BC197" s="3177">
        <v>1</v>
      </c>
      <c r="BD197" s="3177">
        <v>1</v>
      </c>
      <c r="BE197" s="3177">
        <v>1</v>
      </c>
      <c r="BF197" s="3177">
        <v>1</v>
      </c>
      <c r="BG197" s="3177">
        <v>1</v>
      </c>
      <c r="BH197" s="3177">
        <v>1</v>
      </c>
      <c r="BI197" s="3177">
        <v>1</v>
      </c>
      <c r="BJ197" s="3177">
        <v>1</v>
      </c>
      <c r="BK197" s="3177">
        <v>1</v>
      </c>
      <c r="BL197" s="3177">
        <v>1</v>
      </c>
      <c r="BM197" s="3177">
        <v>1</v>
      </c>
      <c r="BN197" s="3177">
        <v>1</v>
      </c>
      <c r="BO197" s="2442"/>
      <c r="BP197" s="2442"/>
      <c r="BQ197" s="2442"/>
      <c r="BR197" s="2442"/>
      <c r="BS197" s="2442"/>
      <c r="BT197" s="2442"/>
      <c r="BU197" s="2442"/>
      <c r="BV197" s="2442"/>
      <c r="BW197" s="2442"/>
      <c r="BX197" s="2442"/>
      <c r="BY197" s="2442"/>
      <c r="BZ197" s="2442"/>
      <c r="CA197" s="34"/>
      <c r="CC197" s="58"/>
      <c r="CD197" s="1461" t="e" cm="1">
        <f t="array" ca="1" aca="1" ref="CD197">_xlfn.LET(_xlpm.CheckBlank,SUM(PL!$AD197:$BN197)=0,IF(_xlpm.CheckBlank,"",SUM(_xlfn._xlws.FILTER(PL!$AD197:$BN197,(YEAR(PL!$AD$12:$BN$12)=PL!CD$12)*(array_timeline&lt;=PL!CD$11)))))</f>
        <v>#NAME?</v>
      </c>
      <c r="CE197" s="1461" t="e" cm="1">
        <f t="array" ca="1" aca="1" ref="CE197">_xlfn.LET(_xlpm.CheckBlank,SUM(PL!$AD197:$BN197)=0,IF(_xlpm.CheckBlank,"",SUM(_xlfn._xlws.FILTER(PL!$AD197:$BN197,(YEAR(PL!$AD$12:$BN$12)=PL!CE$12)*(array_timeline&lt;=PL!CE$11)))))</f>
        <v>#NAME?</v>
      </c>
      <c r="CF197" s="88"/>
      <c r="CG197" s="1461" t="e" cm="1">
        <f t="array" ca="1" aca="1" ref="CG197">_xlfn.LET(_xlpm.CheckBlank,SUM(PL!$AD197:$BN197)=0,IF(_xlpm.CheckBlank,"",SUM(_xlfn._xlws.FILTER(PL!$AD197:$BN197,(YEAR(PL!$AD$12:$BN$12)=PL!CG$12)*(array_timeline&lt;=PL!CG$11)))))</f>
        <v>#NAME?</v>
      </c>
      <c r="CH197" s="1461" t="e" cm="1">
        <f t="array" ca="1" aca="1" ref="CH197">_xlfn.LET(_xlpm.CheckBlank,SUM(PL!$AD197:$BN197)=0,IF(_xlpm.CheckBlank,"",SUM(_xlfn._xlws.FILTER(PL!$AD197:$BN197,(YEAR(PL!$AD$12:$BN$12)=PL!CH$12)*(array_timeline&lt;=PL!CH$11)))))</f>
        <v>#NAME?</v>
      </c>
      <c r="CI197" s="88"/>
      <c r="CJ197" s="1461" cm="1">
        <f t="array" ref="CJ197">_xlfn.LET(_xlpm.CheckBlank,SUM(PL!$AD197:$BN197)=0,IF(_xlpm.CheckBlank,"",SUM(_xlfn.TAKE(_xlfn.DROP(PL!$AD197:$BN197,,-DATEDIFF(PL!CJ$11,val_asOfDate,"M")),1,-12))))</f>
        <v>12</v>
      </c>
      <c r="CK197" s="1461" cm="1">
        <f t="array" ref="CK197">_xlfn.LET(_xlpm.CheckBlank,SUM(PL!$AD197:$BN197)=0,IF(_xlpm.CheckBlank,"",SUM(_xlfn.TAKE(_xlfn.DROP(PL!$AD197:$BN197,,-DATEDIFF(PL!CK$11,val_asOfDate,"M")),1,-12))))</f>
        <v>12</v>
      </c>
      <c r="CL197" s="88"/>
      <c r="CM197" s="3177">
        <v>1</v>
      </c>
      <c r="CN197" s="3177">
        <v>1</v>
      </c>
      <c r="CO197" s="1169"/>
      <c r="CP197" s="3177">
        <v>1</v>
      </c>
      <c r="CQ197" s="3177">
        <v>1</v>
      </c>
      <c r="CR197" s="34"/>
      <c r="CS197" s="2056"/>
      <c r="CT197" s="2447" t="e" cm="1">
        <f t="array" ca="1" aca="1" ref="CT197">IF(OR($Y197="Segment I Breakdown - Amount 1",$Y197="Segment I Breakdown - Amount 2",$Y197="Segment I Breakdown - Amount 3",$Y197="Segment I Breakdown - Amount 4",$Y197="Segment I Breakdown - Amount 5",$Y197="Segment I Breakdown - Amount 6",$Y197="Please select the metric for segmentation"),"",_xldudf_CX_PUSH($Y197,CX_ENTITY,$C197,val_asOfDate))</f>
        <v>#NAME?</v>
      </c>
      <c r="CU197" s="2447" t="e" cm="1">
        <f t="array" ca="1" aca="1" ref="CU197">IF(OR($Y197="Segment I Breakdown - Amount 1",$Y197="Segment I Breakdown - Amount 2",$Y197="Segment I Breakdown - Amount 3",$Y197="Segment I Breakdown - Amount 4",$Y197="Segment I Breakdown - Amount 5",$Y197="Segment I Breakdown - Amount 6",$Y197="Please select the metric for segmentation"),"",_xldudf_CX_PUSH($Y197,CX_ENTITY,$C197,EOMONTH(val_asOfDate,1)))</f>
        <v>#NAME?</v>
      </c>
      <c r="CV197" s="2447" t="e" cm="1">
        <f t="array" ca="1" aca="1" ref="CV197">IF(OR($Y197="Segment I Breakdown - Amount 1",$Y197="Segment I Breakdown - Amount 2",$Y197="Segment I Breakdown - Amount 3",$Y197="Segment I Breakdown - Amount 4",$Y197="Segment I Breakdown - Amount 5",$Y197="Segment I Breakdown - Amount 6",$Y197="Please select the metric for segmentation"),"",_xldudf_CX_PUSH($Y197,CX_ENTITY,$C197,EOMONTH(val_asOfDate,2)))</f>
        <v>#NAME?</v>
      </c>
      <c r="CW197" s="2447" t="e" cm="1">
        <f t="array" ca="1" aca="1" ref="CW197">IF(OR($Y197="Segment I Breakdown - Amount 1",$Y197="Segment I Breakdown - Amount 2",$Y197="Segment I Breakdown - Amount 3",$Y197="Segment I Breakdown - Amount 4",$Y197="Segment I Breakdown - Amount 5",$Y197="Segment I Breakdown - Amount 6",$Y197="Please select the metric for segmentation"),"",_xldudf_CX_PUSH($Y197,CX_ENTITY,$C197,EOMONTH(val_asOfDate,3)))</f>
        <v>#NAME?</v>
      </c>
      <c r="CX197" s="2443"/>
      <c r="CY197" s="2444" t="str" cm="1">
        <f t="array" ca="1" aca="1" ref="CY197">IFERROR(IF(CM197*fxVal_normal=_PL!CM197,"",IF(OR($CM197="",$CM197=0,NOT(ISNUMBER($CM197)),ISERROR($CM197),$B197=""),"",IF($I197=1,IFBLANK(_xldudf_CX_PUSH($CM197*fxVal_normal,CX_ENTITY,$B197,$CM$11,$CM$14,$CM$19,),""),IF($I197=2,IFBLANK(_xldudf_CX_PUSH($CM197,CX_ENTITY,$B197,$CM$11,$CM$14,$CM$19,),""),IF($I197=3,"",IFBLANK(_xldudf_CX_PUSH($CM197,CX_ENTITY,$B197,$CM$11,$CM$14,$CM$19,),"")))))),"")</f>
        <v/>
      </c>
      <c r="CZ197" s="2444" t="str" cm="1">
        <f t="array" ca="1" aca="1" ref="CZ197">IFERROR(IF(CN197*fxVal_normal=_PL!CN197,"",IF(OR($CN197="",$CN197=0,NOT(ISNUMBER($CN197)),ISERROR($CN197),$B197=""),"",IF($I197=1,IFBLANK(_xldudf_CX_PUSH($CN197*fxVal_normal,CX_ENTITY,$B197,$CN$11,$CN$14,$CN$19,),""),IF($I197=2,IFBLANK(_xldudf_CX_PUSH($CN197,CX_ENTITY,$B197,$CN$11,$CN$14,$CN$19,),""),IF($I197=3,"",IFBLANK(_xldudf_CX_PUSH($CN197,CX_ENTITY,$B197,$CN$11,$CN$14,$CN$19,),"")))))),"")</f>
        <v/>
      </c>
      <c r="DA197" s="2444" t="str" cm="1">
        <f t="array" ca="1" aca="1" ref="DA197">IFERROR(IF(CP197*fxVal_normal=_PL!CP197,"",IF(OR($CP197="",$CP197=0,NOT(ISNUMBER($CP197)),ISERROR($CP197),$B197=""),"",IF($I197=1,IFBLANK(_xldudf_CX_PUSH($CP197*fxVal_normal,CX_ENTITY,$B197,$CP$11,$CP$14,$CP$19,),""),IF($I197=2,IFBLANK(_xldudf_CX_PUSH($CP197,CX_ENTITY,$B197,$CP$11,$CP$14,$CP$19,),""),IF($I197=3,"",IFBLANK(_xldudf_CX_PUSH($CP197,CX_ENTITY,$B197,$CP$11,$CP$14,$CP$19,),"")))))),"")</f>
        <v/>
      </c>
      <c r="DB197" s="2444" t="str" cm="1">
        <f t="array" ca="1" aca="1" ref="DB197">IFERROR(IF(CQ197*fxVal_normal=_PL!CQ197,"",IF(OR($CQ197="",$CQ197=0,NOT(ISNUMBER($CQ197)),ISERROR($CQ197),$B197=""),"",IF($I197=1,IFBLANK(_xldudf_CX_PUSH($CQ197*fxVal_normal,CX_ENTITY,$B197,$CQ$11,$CQ$14,$CQ$19,),""),IF($I197=2,IFBLANK(_xldudf_CX_PUSH($CQ197,CX_ENTITY,$B197,$CQ$11,$CQ$14,$CQ$19,),""),IF($I197=3,"",IFBLANK(_xldudf_CX_PUSH($CQ197,CX_ENTITY,$B197,$CQ$11,$CQ$14,$CQ$19,),"")))))),"")</f>
        <v/>
      </c>
      <c r="DC197" s="2443"/>
      <c r="DD197" s="2445" t="str" cm="1">
        <f t="array" ca="1" aca="1" ref="DD197">IFERROR(IF(AD197*fxVal_normal=_PL!AD197,"",IF(OR(AD197="",NOT(ISNUMBER(AD197)),ISERROR(AD197),$B197=""),"",IF($I197=1,IFBLANK(_xldudf_CX_PUSH(AD197*fxVal_normal,CX_ENTITY,$B197,AD$11,AD$14,AD$190,),""),IF($I197=2,IFBLANK(_xldudf_CX_PUSH(AD197,CX_ENTITY,$B197,AD$11,AD$14,AD$190,),""),IF($I197=3,"",IFBLANK(_xldudf_CX_PUSH(AD197,CX_ENTITY,$B197,AD$11,AD$14,AD$190,),"")))))),"")</f>
        <v/>
      </c>
      <c r="DE197" s="2445" t="str" cm="1">
        <f t="array" ca="1" aca="1" ref="DE197">IFERROR(IF(AE197*fxVal_normal=_PL!AE197,"",IF(OR(AE197="",NOT(ISNUMBER(AE197)),ISERROR(AE197),$B197=""),"",IF($I197=1,IFBLANK(_xldudf_CX_PUSH(AE197*fxVal_normal,CX_ENTITY,$B197,AE$11,AE$14,AE$190,),""),IF($I197=2,IFBLANK(_xldudf_CX_PUSH(AE197,CX_ENTITY,$B197,AE$11,AE$14,AE$190,),""),IF($I197=3,"",IFBLANK(_xldudf_CX_PUSH(AE197,CX_ENTITY,$B197,AE$11,AE$14,AE$190,),"")))))),"")</f>
        <v/>
      </c>
      <c r="DF197" s="2445" t="str" cm="1">
        <f t="array" ca="1" aca="1" ref="DF197">IFERROR(IF(AF197*fxVal_normal=_PL!AF197,"",IF(OR(AF197="",NOT(ISNUMBER(AF197)),ISERROR(AF197),$B197=""),"",IF($I197=1,IFBLANK(_xldudf_CX_PUSH(AF197*fxVal_normal,CX_ENTITY,$B197,AF$11,AF$14,AF$190,),""),IF($I197=2,IFBLANK(_xldudf_CX_PUSH(AF197,CX_ENTITY,$B197,AF$11,AF$14,AF$190,),""),IF($I197=3,"",IFBLANK(_xldudf_CX_PUSH(AF197,CX_ENTITY,$B197,AF$11,AF$14,AF$190,),"")))))),"")</f>
        <v/>
      </c>
      <c r="DG197" s="2445" t="str" cm="1">
        <f t="array" ca="1" aca="1" ref="DG197">IFERROR(IF(AG197*fxVal_normal=_PL!AG197,"",IF(OR(AG197="",NOT(ISNUMBER(AG197)),ISERROR(AG197),$B197=""),"",IF($I197=1,IFBLANK(_xldudf_CX_PUSH(AG197*fxVal_normal,CX_ENTITY,$B197,AG$11,AG$14,AG$190,),""),IF($I197=2,IFBLANK(_xldudf_CX_PUSH(AG197,CX_ENTITY,$B197,AG$11,AG$14,AG$190,),""),IF($I197=3,"",IFBLANK(_xldudf_CX_PUSH(AG197,CX_ENTITY,$B197,AG$11,AG$14,AG$190,),"")))))),"")</f>
        <v/>
      </c>
      <c r="DH197" s="2445" t="str" cm="1">
        <f t="array" ca="1" aca="1" ref="DH197">IFERROR(IF(AH197*fxVal_normal=_PL!AH197,"",IF(OR(AH197="",NOT(ISNUMBER(AH197)),ISERROR(AH197),$B197=""),"",IF($I197=1,IFBLANK(_xldudf_CX_PUSH(AH197*fxVal_normal,CX_ENTITY,$B197,AH$11,AH$14,AH$190,),""),IF($I197=2,IFBLANK(_xldudf_CX_PUSH(AH197,CX_ENTITY,$B197,AH$11,AH$14,AH$190,),""),IF($I197=3,"",IFBLANK(_xldudf_CX_PUSH(AH197,CX_ENTITY,$B197,AH$11,AH$14,AH$190,),"")))))),"")</f>
        <v/>
      </c>
      <c r="DI197" s="2445" t="str" cm="1">
        <f t="array" ca="1" aca="1" ref="DI197">IFERROR(IF(AI197*fxVal_normal=_PL!AI197,"",IF(OR(AI197="",NOT(ISNUMBER(AI197)),ISERROR(AI197),$B197=""),"",IF($I197=1,IFBLANK(_xldudf_CX_PUSH(AI197*fxVal_normal,CX_ENTITY,$B197,AI$11,AI$14,AI$190,),""),IF($I197=2,IFBLANK(_xldudf_CX_PUSH(AI197,CX_ENTITY,$B197,AI$11,AI$14,AI$190,),""),IF($I197=3,"",IFBLANK(_xldudf_CX_PUSH(AI197,CX_ENTITY,$B197,AI$11,AI$14,AI$190,),"")))))),"")</f>
        <v/>
      </c>
      <c r="DJ197" s="2445" t="str" cm="1">
        <f t="array" ca="1" aca="1" ref="DJ197">IFERROR(IF(AJ197*fxVal_normal=_PL!AJ197,"",IF(OR(AJ197="",NOT(ISNUMBER(AJ197)),ISERROR(AJ197),$B197=""),"",IF($I197=1,IFBLANK(_xldudf_CX_PUSH(AJ197*fxVal_normal,CX_ENTITY,$B197,AJ$11,AJ$14,AJ$190,),""),IF($I197=2,IFBLANK(_xldudf_CX_PUSH(AJ197,CX_ENTITY,$B197,AJ$11,AJ$14,AJ$190,),""),IF($I197=3,"",IFBLANK(_xldudf_CX_PUSH(AJ197,CX_ENTITY,$B197,AJ$11,AJ$14,AJ$190,),"")))))),"")</f>
        <v/>
      </c>
      <c r="DK197" s="2445" t="str" cm="1">
        <f t="array" ca="1" aca="1" ref="DK197">IFERROR(IF(AK197*fxVal_normal=_PL!AK197,"",IF(OR(AK197="",NOT(ISNUMBER(AK197)),ISERROR(AK197),$B197=""),"",IF($I197=1,IFBLANK(_xldudf_CX_PUSH(AK197*fxVal_normal,CX_ENTITY,$B197,AK$11,AK$14,AK$190,),""),IF($I197=2,IFBLANK(_xldudf_CX_PUSH(AK197,CX_ENTITY,$B197,AK$11,AK$14,AK$190,),""),IF($I197=3,"",IFBLANK(_xldudf_CX_PUSH(AK197,CX_ENTITY,$B197,AK$11,AK$14,AK$190,),"")))))),"")</f>
        <v/>
      </c>
      <c r="DL197" s="2445" t="str" cm="1">
        <f t="array" ca="1" aca="1" ref="DL197">IFERROR(IF(AL197*fxVal_normal=_PL!AL197,"",IF(OR(AL197="",NOT(ISNUMBER(AL197)),ISERROR(AL197),$B197=""),"",IF($I197=1,IFBLANK(_xldudf_CX_PUSH(AL197*fxVal_normal,CX_ENTITY,$B197,AL$11,AL$14,AL$190,),""),IF($I197=2,IFBLANK(_xldudf_CX_PUSH(AL197,CX_ENTITY,$B197,AL$11,AL$14,AL$190,),""),IF($I197=3,"",IFBLANK(_xldudf_CX_PUSH(AL197,CX_ENTITY,$B197,AL$11,AL$14,AL$190,),"")))))),"")</f>
        <v/>
      </c>
      <c r="DM197" s="2445" t="str" cm="1">
        <f t="array" ca="1" aca="1" ref="DM197">IFERROR(IF(AM197*fxVal_normal=_PL!AM197,"",IF(OR(AM197="",NOT(ISNUMBER(AM197)),ISERROR(AM197),$B197=""),"",IF($I197=1,IFBLANK(_xldudf_CX_PUSH(AM197*fxVal_normal,CX_ENTITY,$B197,AM$11,AM$14,AM$190,),""),IF($I197=2,IFBLANK(_xldudf_CX_PUSH(AM197,CX_ENTITY,$B197,AM$11,AM$14,AM$190,),""),IF($I197=3,"",IFBLANK(_xldudf_CX_PUSH(AM197,CX_ENTITY,$B197,AM$11,AM$14,AM$190,),"")))))),"")</f>
        <v/>
      </c>
      <c r="DN197" s="2445" t="str" cm="1">
        <f t="array" ca="1" aca="1" ref="DN197">IFERROR(IF(AN197*fxVal_normal=_PL!AN197,"",IF(OR(AN197="",NOT(ISNUMBER(AN197)),ISERROR(AN197),$B197=""),"",IF($I197=1,IFBLANK(_xldudf_CX_PUSH(AN197*fxVal_normal,CX_ENTITY,$B197,AN$11,AN$14,AN$190,),""),IF($I197=2,IFBLANK(_xldudf_CX_PUSH(AN197,CX_ENTITY,$B197,AN$11,AN$14,AN$190,),""),IF($I197=3,"",IFBLANK(_xldudf_CX_PUSH(AN197,CX_ENTITY,$B197,AN$11,AN$14,AN$190,),"")))))),"")</f>
        <v/>
      </c>
      <c r="DO197" s="2445" t="str" cm="1">
        <f t="array" ca="1" aca="1" ref="DO197">IFERROR(IF(AO197*fxVal_normal=_PL!AO197,"",IF(OR(AO197="",NOT(ISNUMBER(AO197)),ISERROR(AO197),$B197=""),"",IF($I197=1,IFBLANK(_xldudf_CX_PUSH(AO197*fxVal_normal,CX_ENTITY,$B197,AO$11,AO$14,AO$190,),""),IF($I197=2,IFBLANK(_xldudf_CX_PUSH(AO197,CX_ENTITY,$B197,AO$11,AO$14,AO$190,),""),IF($I197=3,"",IFBLANK(_xldudf_CX_PUSH(AO197,CX_ENTITY,$B197,AO$11,AO$14,AO$190,),"")))))),"")</f>
        <v/>
      </c>
      <c r="DP197" s="2445" t="str" cm="1">
        <f t="array" ca="1" aca="1" ref="DP197">IFERROR(IF(AP197*fxVal_normal=_PL!AP197,"",IF(OR(AP197="",NOT(ISNUMBER(AP197)),ISERROR(AP197),$B197=""),"",IF($I197=1,IFBLANK(_xldudf_CX_PUSH(AP197*fxVal_normal,CX_ENTITY,$B197,AP$11,AP$14,AP$190,),""),IF($I197=2,IFBLANK(_xldudf_CX_PUSH(AP197,CX_ENTITY,$B197,AP$11,AP$14,AP$190,),""),IF($I197=3,"",IFBLANK(_xldudf_CX_PUSH(AP197,CX_ENTITY,$B197,AP$11,AP$14,AP$190,),"")))))),"")</f>
        <v/>
      </c>
      <c r="DQ197" s="2445" t="str" cm="1">
        <f t="array" ca="1" aca="1" ref="DQ197">IFERROR(IF(AQ197*fxVal_normal=_PL!AQ197,"",IF(OR(AQ197="",NOT(ISNUMBER(AQ197)),ISERROR(AQ197),$B197=""),"",IF($I197=1,IFBLANK(_xldudf_CX_PUSH(AQ197*fxVal_normal,CX_ENTITY,$B197,AQ$11,AQ$14,AQ$190,),""),IF($I197=2,IFBLANK(_xldudf_CX_PUSH(AQ197,CX_ENTITY,$B197,AQ$11,AQ$14,AQ$190,),""),IF($I197=3,"",IFBLANK(_xldudf_CX_PUSH(AQ197,CX_ENTITY,$B197,AQ$11,AQ$14,AQ$190,),"")))))),"")</f>
        <v/>
      </c>
      <c r="DR197" s="2445" t="str" cm="1">
        <f t="array" ca="1" aca="1" ref="DR197">IFERROR(IF(AR197*fxVal_normal=_PL!AR197,"",IF(OR(AR197="",NOT(ISNUMBER(AR197)),ISERROR(AR197),$B197=""),"",IF($I197=1,IFBLANK(_xldudf_CX_PUSH(AR197*fxVal_normal,CX_ENTITY,$B197,AR$11,AR$14,AR$190,),""),IF($I197=2,IFBLANK(_xldudf_CX_PUSH(AR197,CX_ENTITY,$B197,AR$11,AR$14,AR$190,),""),IF($I197=3,"",IFBLANK(_xldudf_CX_PUSH(AR197,CX_ENTITY,$B197,AR$11,AR$14,AR$190,),"")))))),"")</f>
        <v/>
      </c>
      <c r="DS197" s="2445" t="str" cm="1">
        <f t="array" ca="1" aca="1" ref="DS197">IFERROR(IF(AS197*fxVal_normal=_PL!AS197,"",IF(OR(AS197="",NOT(ISNUMBER(AS197)),ISERROR(AS197),$B197=""),"",IF($I197=1,IFBLANK(_xldudf_CX_PUSH(AS197*fxVal_normal,CX_ENTITY,$B197,AS$11,AS$14,AS$190,),""),IF($I197=2,IFBLANK(_xldudf_CX_PUSH(AS197,CX_ENTITY,$B197,AS$11,AS$14,AS$190,),""),IF($I197=3,"",IFBLANK(_xldudf_CX_PUSH(AS197,CX_ENTITY,$B197,AS$11,AS$14,AS$190,),"")))))),"")</f>
        <v/>
      </c>
      <c r="DT197" s="2445" t="str" cm="1">
        <f t="array" ca="1" aca="1" ref="DT197">IFERROR(IF(AT197*fxVal_normal=_PL!AT197,"",IF(OR(AT197="",NOT(ISNUMBER(AT197)),ISERROR(AT197),$B197=""),"",IF($I197=1,IFBLANK(_xldudf_CX_PUSH(AT197*fxVal_normal,CX_ENTITY,$B197,AT$11,AT$14,AT$190,),""),IF($I197=2,IFBLANK(_xldudf_CX_PUSH(AT197,CX_ENTITY,$B197,AT$11,AT$14,AT$190,),""),IF($I197=3,"",IFBLANK(_xldudf_CX_PUSH(AT197,CX_ENTITY,$B197,AT$11,AT$14,AT$190,),"")))))),"")</f>
        <v/>
      </c>
      <c r="DU197" s="2445" t="str" cm="1">
        <f t="array" ca="1" aca="1" ref="DU197">IFERROR(IF(AU197*fxVal_normal=_PL!AU197,"",IF(OR(AU197="",NOT(ISNUMBER(AU197)),ISERROR(AU197),$B197=""),"",IF($I197=1,IFBLANK(_xldudf_CX_PUSH(AU197*fxVal_normal,CX_ENTITY,$B197,AU$11,AU$14,AU$190,),""),IF($I197=2,IFBLANK(_xldudf_CX_PUSH(AU197,CX_ENTITY,$B197,AU$11,AU$14,AU$190,),""),IF($I197=3,"",IFBLANK(_xldudf_CX_PUSH(AU197,CX_ENTITY,$B197,AU$11,AU$14,AU$190,),"")))))),"")</f>
        <v/>
      </c>
      <c r="DV197" s="2445" t="str" cm="1">
        <f t="array" ca="1" aca="1" ref="DV197">IFERROR(IF(AV197*fxVal_normal=_PL!AV197,"",IF(OR(AV197="",NOT(ISNUMBER(AV197)),ISERROR(AV197),$B197=""),"",IF($I197=1,IFBLANK(_xldudf_CX_PUSH(AV197*fxVal_normal,CX_ENTITY,$B197,AV$11,AV$14,AV$190,),""),IF($I197=2,IFBLANK(_xldudf_CX_PUSH(AV197,CX_ENTITY,$B197,AV$11,AV$14,AV$190,),""),IF($I197=3,"",IFBLANK(_xldudf_CX_PUSH(AV197,CX_ENTITY,$B197,AV$11,AV$14,AV$190,),"")))))),"")</f>
        <v/>
      </c>
      <c r="DW197" s="2445" t="str" cm="1">
        <f t="array" ca="1" aca="1" ref="DW197">IFERROR(IF(AW197*fxVal_normal=_PL!AW197,"",IF(OR(AW197="",NOT(ISNUMBER(AW197)),ISERROR(AW197),$B197=""),"",IF($I197=1,IFBLANK(_xldudf_CX_PUSH(AW197*fxVal_normal,CX_ENTITY,$B197,AW$11,AW$14,AW$190,),""),IF($I197=2,IFBLANK(_xldudf_CX_PUSH(AW197,CX_ENTITY,$B197,AW$11,AW$14,AW$190,),""),IF($I197=3,"",IFBLANK(_xldudf_CX_PUSH(AW197,CX_ENTITY,$B197,AW$11,AW$14,AW$190,),"")))))),"")</f>
        <v/>
      </c>
      <c r="DX197" s="2445" t="str" cm="1">
        <f t="array" ca="1" aca="1" ref="DX197">IFERROR(IF(AX197*fxVal_normal=_PL!AX197,"",IF(OR(AX197="",NOT(ISNUMBER(AX197)),ISERROR(AX197),$B197=""),"",IF($I197=1,IFBLANK(_xldudf_CX_PUSH(AX197*fxVal_normal,CX_ENTITY,$B197,AX$11,AX$14,AX$190,),""),IF($I197=2,IFBLANK(_xldudf_CX_PUSH(AX197,CX_ENTITY,$B197,AX$11,AX$14,AX$190,),""),IF($I197=3,"",IFBLANK(_xldudf_CX_PUSH(AX197,CX_ENTITY,$B197,AX$11,AX$14,AX$190,),"")))))),"")</f>
        <v/>
      </c>
      <c r="DY197" s="2445" t="str" cm="1">
        <f t="array" ca="1" aca="1" ref="DY197">IFERROR(IF(AY197*fxVal_normal=_PL!AY197,"",IF(OR(AY197="",NOT(ISNUMBER(AY197)),ISERROR(AY197),$B197=""),"",IF($I197=1,IFBLANK(_xldudf_CX_PUSH(AY197*fxVal_normal,CX_ENTITY,$B197,AY$11,AY$14,AY$190,),""),IF($I197=2,IFBLANK(_xldudf_CX_PUSH(AY197,CX_ENTITY,$B197,AY$11,AY$14,AY$190,),""),IF($I197=3,"",IFBLANK(_xldudf_CX_PUSH(AY197,CX_ENTITY,$B197,AY$11,AY$14,AY$190,),"")))))),"")</f>
        <v/>
      </c>
      <c r="DZ197" s="2445" t="str" cm="1">
        <f t="array" ca="1" aca="1" ref="DZ197">IFERROR(IF(AZ197*fxVal_normal=_PL!AZ197,"",IF(OR(AZ197="",NOT(ISNUMBER(AZ197)),ISERROR(AZ197),$B197=""),"",IF($I197=1,IFBLANK(_xldudf_CX_PUSH(AZ197*fxVal_normal,CX_ENTITY,$B197,AZ$11,AZ$14,AZ$190,),""),IF($I197=2,IFBLANK(_xldudf_CX_PUSH(AZ197,CX_ENTITY,$B197,AZ$11,AZ$14,AZ$190,),""),IF($I197=3,"",IFBLANK(_xldudf_CX_PUSH(AZ197,CX_ENTITY,$B197,AZ$11,AZ$14,AZ$190,),"")))))),"")</f>
        <v/>
      </c>
      <c r="EA197" s="2445" t="str" cm="1">
        <f t="array" ca="1" aca="1" ref="EA197">IFERROR(IF(BA197*fxVal_normal=_PL!BA197,"",IF(OR(BA197="",NOT(ISNUMBER(BA197)),ISERROR(BA197),$B197=""),"",IF($I197=1,IFBLANK(_xldudf_CX_PUSH(BA197*fxVal_normal,CX_ENTITY,$B197,BA$11,BA$14,BA$190,),""),IF($I197=2,IFBLANK(_xldudf_CX_PUSH(BA197,CX_ENTITY,$B197,BA$11,BA$14,BA$190,),""),IF($I197=3,"",IFBLANK(_xldudf_CX_PUSH(BA197,CX_ENTITY,$B197,BA$11,BA$14,BA$190,),"")))))),"")</f>
        <v/>
      </c>
      <c r="EB197" s="2445" t="str" cm="1">
        <f t="array" ca="1" aca="1" ref="EB197">IFERROR(IF(BB197*fxVal_normal=_PL!BB197,"",IF(OR(BB197="",NOT(ISNUMBER(BB197)),ISERROR(BB197),$B197=""),"",IF($I197=1,IFBLANK(_xldudf_CX_PUSH(BB197*fxVal_normal,CX_ENTITY,$B197,BB$11,BB$14,BB$190,),""),IF($I197=2,IFBLANK(_xldudf_CX_PUSH(BB197,CX_ENTITY,$B197,BB$11,BB$14,BB$190,),""),IF($I197=3,"",IFBLANK(_xldudf_CX_PUSH(BB197,CX_ENTITY,$B197,BB$11,BB$14,BB$190,),"")))))),"")</f>
        <v/>
      </c>
      <c r="EC197" s="2445" t="str" cm="1">
        <f t="array" ca="1" aca="1" ref="EC197">IFERROR(IF(BC197*fxVal_normal=_PL!BC197,"",IF(OR(BC197="",NOT(ISNUMBER(BC197)),ISERROR(BC197),$B197=""),"",IF($I197=1,IFBLANK(_xldudf_CX_PUSH(BC197*fxVal_normal,CX_ENTITY,$B197,BC$11,BC$14,BC$190,),""),IF($I197=2,IFBLANK(_xldudf_CX_PUSH(BC197,CX_ENTITY,$B197,BC$11,BC$14,BC$190,),""),IF($I197=3,"",IFBLANK(_xldudf_CX_PUSH(BC197,CX_ENTITY,$B197,BC$11,BC$14,BC$190,),"")))))),"")</f>
        <v/>
      </c>
      <c r="ED197" s="2445" t="str" cm="1">
        <f t="array" ca="1" aca="1" ref="ED197">IFERROR(IF(BD197*fxVal_normal=_PL!BD197,"",IF(OR(BD197="",NOT(ISNUMBER(BD197)),ISERROR(BD197),$B197=""),"",IF($I197=1,IFBLANK(_xldudf_CX_PUSH(BD197*fxVal_normal,CX_ENTITY,$B197,BD$11,BD$14,BD$190,),""),IF($I197=2,IFBLANK(_xldudf_CX_PUSH(BD197,CX_ENTITY,$B197,BD$11,BD$14,BD$190,),""),IF($I197=3,"",IFBLANK(_xldudf_CX_PUSH(BD197,CX_ENTITY,$B197,BD$11,BD$14,BD$190,),"")))))),"")</f>
        <v/>
      </c>
      <c r="EE197" s="2445" t="str" cm="1">
        <f t="array" ca="1" aca="1" ref="EE197">IFERROR(IF(BE197*fxVal_normal=_PL!BE197,"",IF(OR(BE197="",NOT(ISNUMBER(BE197)),ISERROR(BE197),$B197=""),"",IF($I197=1,IFBLANK(_xldudf_CX_PUSH(BE197*fxVal_normal,CX_ENTITY,$B197,BE$11,BE$14,BE$190,),""),IF($I197=2,IFBLANK(_xldudf_CX_PUSH(BE197,CX_ENTITY,$B197,BE$11,BE$14,BE$190,),""),IF($I197=3,"",IFBLANK(_xldudf_CX_PUSH(BE197,CX_ENTITY,$B197,BE$11,BE$14,BE$190,),"")))))),"")</f>
        <v/>
      </c>
      <c r="EF197" s="2445" t="str" cm="1">
        <f t="array" ca="1" aca="1" ref="EF197">IFERROR(IF(BF197*fxVal_normal=_PL!BF197,"",IF(OR(BF197="",NOT(ISNUMBER(BF197)),ISERROR(BF197),$B197=""),"",IF($I197=1,IFBLANK(_xldudf_CX_PUSH(BF197*fxVal_normal,CX_ENTITY,$B197,BF$11,BF$14,BF$190,),""),IF($I197=2,IFBLANK(_xldudf_CX_PUSH(BF197,CX_ENTITY,$B197,BF$11,BF$14,BF$190,),""),IF($I197=3,"",IFBLANK(_xldudf_CX_PUSH(BF197,CX_ENTITY,$B197,BF$11,BF$14,BF$190,),"")))))),"")</f>
        <v/>
      </c>
      <c r="EG197" s="2445" t="str" cm="1">
        <f t="array" ca="1" aca="1" ref="EG197">IFERROR(IF(BG197*fxVal_normal=_PL!BG197,"",IF(OR(BG197="",NOT(ISNUMBER(BG197)),ISERROR(BG197),$B197=""),"",IF($I197=1,IFBLANK(_xldudf_CX_PUSH(BG197*fxVal_normal,CX_ENTITY,$B197,BG$11,BG$14,BG$190,),""),IF($I197=2,IFBLANK(_xldudf_CX_PUSH(BG197,CX_ENTITY,$B197,BG$11,BG$14,BG$190,),""),IF($I197=3,"",IFBLANK(_xldudf_CX_PUSH(BG197,CX_ENTITY,$B197,BG$11,BG$14,BG$190,),"")))))),"")</f>
        <v/>
      </c>
      <c r="EH197" s="2445" t="str" cm="1">
        <f t="array" ca="1" aca="1" ref="EH197">IFERROR(IF(BH197*fxVal_normal=_PL!BH197,"",IF(OR(BH197="",NOT(ISNUMBER(BH197)),ISERROR(BH197),$B197=""),"",IF($I197=1,IFBLANK(_xldudf_CX_PUSH(BH197*fxVal_normal,CX_ENTITY,$B197,BH$11,BH$14,BH$190,),""),IF($I197=2,IFBLANK(_xldudf_CX_PUSH(BH197,CX_ENTITY,$B197,BH$11,BH$14,BH$190,),""),IF($I197=3,"",IFBLANK(_xldudf_CX_PUSH(BH197,CX_ENTITY,$B197,BH$11,BH$14,BH$190,),"")))))),"")</f>
        <v/>
      </c>
      <c r="EI197" s="2445" t="str" cm="1">
        <f t="array" ca="1" aca="1" ref="EI197">IFERROR(IF(BI197*fxVal_normal=_PL!BI197,"",IF(OR(BI197="",NOT(ISNUMBER(BI197)),ISERROR(BI197),$B197=""),"",IF($I197=1,IFBLANK(_xldudf_CX_PUSH(BI197*fxVal_normal,CX_ENTITY,$B197,BI$11,BI$14,BI$190,),""),IF($I197=2,IFBLANK(_xldudf_CX_PUSH(BI197,CX_ENTITY,$B197,BI$11,BI$14,BI$190,),""),IF($I197=3,"",IFBLANK(_xldudf_CX_PUSH(BI197,CX_ENTITY,$B197,BI$11,BI$14,BI$190,),"")))))),"")</f>
        <v/>
      </c>
      <c r="EJ197" s="2445" t="str" cm="1">
        <f t="array" ca="1" aca="1" ref="EJ197">IFERROR(IF(BJ197*fxVal_normal=_PL!BJ197,"",IF(OR(BJ197="",NOT(ISNUMBER(BJ197)),ISERROR(BJ197),$B197=""),"",IF($I197=1,IFBLANK(_xldudf_CX_PUSH(BJ197*fxVal_normal,CX_ENTITY,$B197,BJ$11,BJ$14,BJ$190,),""),IF($I197=2,IFBLANK(_xldudf_CX_PUSH(BJ197,CX_ENTITY,$B197,BJ$11,BJ$14,BJ$190,),""),IF($I197=3,"",IFBLANK(_xldudf_CX_PUSH(BJ197,CX_ENTITY,$B197,BJ$11,BJ$14,BJ$190,),"")))))),"")</f>
        <v/>
      </c>
      <c r="EK197" s="2445" t="str" cm="1">
        <f t="array" ca="1" aca="1" ref="EK197">IFERROR(IF(BK197*fxVal_normal=_PL!BK197,"",IF(OR(BK197="",NOT(ISNUMBER(BK197)),ISERROR(BK197),$B197=""),"",IF($I197=1,IFBLANK(_xldudf_CX_PUSH(BK197*fxVal_normal,CX_ENTITY,$B197,BK$11,BK$14,BK$190,),""),IF($I197=2,IFBLANK(_xldudf_CX_PUSH(BK197,CX_ENTITY,$B197,BK$11,BK$14,BK$190,),""),IF($I197=3,"",IFBLANK(_xldudf_CX_PUSH(BK197,CX_ENTITY,$B197,BK$11,BK$14,BK$190,),"")))))),"")</f>
        <v/>
      </c>
      <c r="EL197" s="2445" t="str" cm="1">
        <f t="array" ca="1" aca="1" ref="EL197">IFERROR(IF(BL197*fxVal_normal=_PL!BL197,"",IF(OR(BL197="",NOT(ISNUMBER(BL197)),ISERROR(BL197),$B197=""),"",IF($I197=1,IFBLANK(_xldudf_CX_PUSH(BL197*fxVal_normal,CX_ENTITY,$B197,BL$11,BL$14,BL$190,),""),IF($I197=2,IFBLANK(_xldudf_CX_PUSH(BL197,CX_ENTITY,$B197,BL$11,BL$14,BL$190,),""),IF($I197=3,"",IFBLANK(_xldudf_CX_PUSH(BL197,CX_ENTITY,$B197,BL$11,BL$14,BL$190,),"")))))),"")</f>
        <v/>
      </c>
      <c r="EM197" s="2445" t="str" cm="1">
        <f t="array" ca="1" aca="1" ref="EM197">IFERROR(IF(BM197*fxVal_normal=_PL!BM197,"",IF(OR(BM197="",NOT(ISNUMBER(BM197)),ISERROR(BM197),$B197=""),"",IF($I197=1,IFBLANK(_xldudf_CX_PUSH(BM197*fxVal_normal,CX_ENTITY,$B197,BM$11,BM$14,BM$190,),""),IF($I197=2,IFBLANK(_xldudf_CX_PUSH(BM197,CX_ENTITY,$B197,BM$11,BM$14,BM$190,),""),IF($I197=3,"",IFBLANK(_xldudf_CX_PUSH(BM197,CX_ENTITY,$B197,BM$11,BM$14,BM$190,),"")))))),"")</f>
        <v/>
      </c>
      <c r="EN197" s="2445" t="str" cm="1">
        <f t="array" ca="1" aca="1" ref="EN197">IFERROR(IF(BN197*fxVal_normal=_PL!BN197,"",IF(OR(BN197="",NOT(ISNUMBER(BN197)),ISERROR(BN197),$B197=""),"",IF($I197=1,IFBLANK(_xldudf_CX_PUSH(BN197*fxVal_normal,CX_ENTITY,$B197,BN$11,BN$14,BN$190,),""),IF($I197=2,IFBLANK(_xldudf_CX_PUSH(BN197,CX_ENTITY,$B197,BN$11,BN$14,BN$190,),""),IF($I197=3,"",IFBLANK(_xldudf_CX_PUSH(BN197,CX_ENTITY,$B197,BN$11,BN$14,BN$190,),"")))))),"")</f>
        <v/>
      </c>
    </row>
    <row r="198" spans="1:153" ht="21" customHeight="1">
      <c r="A198" s="2449" t="s">
        <v>22</v>
      </c>
      <c r="B198" s="2439"/>
      <c r="C198" s="2439" t="str" cm="1">
        <f t="array" ref="C198">IFBLANK(_PL!C198,"")</f>
        <v/>
      </c>
      <c r="D198" s="1548"/>
      <c r="E198" s="2440" cm="1">
        <f t="array" ca="1" aca="1" ref="E198:G19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198:$CQ198,Z198)</f>
        <v>0</v>
      </c>
      <c r="F198" s="576">
        <f ca="1"/>
        <v>0</v>
      </c>
      <c r="G198" s="576" t="str">
        <f ca="1"/>
        <v>A</v>
      </c>
      <c r="H198" s="3297">
        <v>2</v>
      </c>
      <c r="I198" s="3297">
        <v>1</v>
      </c>
      <c r="J198" s="401" cm="1">
        <f t="array" ref="J198">IFBLANK(Z198,"")</f>
        <v>0</v>
      </c>
      <c r="K198" s="578" t="str">
        <f t="shared" si="54"/>
        <v>No</v>
      </c>
      <c r="L198" s="37"/>
      <c r="N198" s="158"/>
      <c r="O198" s="101"/>
      <c r="P198" s="52"/>
      <c r="Q198" s="101"/>
      <c r="R198" s="101"/>
      <c r="S198" s="153"/>
      <c r="T198" s="153"/>
      <c r="U198" s="39"/>
      <c r="V198" s="37"/>
      <c r="W198" s="2594" t="e">
        <f ca="1">W191</f>
        <v>#NAME?</v>
      </c>
      <c r="X198" s="2452">
        <f>_PL!X198</f>
        <v>0</v>
      </c>
      <c r="Y198" s="971" t="s">
        <v>167</v>
      </c>
      <c r="Z198" s="538">
        <f>_PL!Z198</f>
        <v>0</v>
      </c>
      <c r="AA198" s="787"/>
      <c r="AB198" s="1133"/>
      <c r="AC198" s="1163" t="str" cm="1">
        <f t="array" ca="1" aca="1" ref="AC198">_xlfn.LET(_xlpm._termname,$AB198,_xlpm._iconname,"find",_xlpm._icon,fx_getIcon(_xlpm._iconname),_xlpm._location,_xlfn.XLOOKUP(LOWER(_xlpm._termname),LOWER(tbl_acctDef[Term]),tbl_acctDef[Term]),_xlpm._hyperlink,HYPERLINK("#"&amp;CELL("address",_xlpm._location),_xlpm._icon),IFERROR(_xlpm._hyperlink,""))</f>
        <v/>
      </c>
      <c r="AD198" s="2590" t="str">
        <f ca="1">IF(ISNUMBER(AD191),IF(ABS(SUM(AD192:AD197)-AD191)&lt;0.1,0,1),"")</f>
        <v/>
      </c>
      <c r="AE198" s="2590" t="str">
        <f t="shared" si="55" ref="AE198:BN198">IF(ISNUMBER(AE191),IF(ABS(SUM(AE192:AE197)-AE191)&lt;0.1,0,1),"")</f>
        <v/>
      </c>
      <c r="AF198" s="2590" t="str">
        <f t="shared" si="55"/>
        <v/>
      </c>
      <c r="AG198" s="2590" t="str">
        <f t="shared" si="55"/>
        <v/>
      </c>
      <c r="AH198" s="2590" t="str">
        <f t="shared" si="55"/>
        <v/>
      </c>
      <c r="AI198" s="2590" t="str">
        <f t="shared" si="55"/>
        <v/>
      </c>
      <c r="AJ198" s="2590" t="str">
        <f t="shared" si="55"/>
        <v/>
      </c>
      <c r="AK198" s="2590" t="str">
        <f t="shared" si="55"/>
        <v/>
      </c>
      <c r="AL198" s="2590" t="str">
        <f t="shared" si="55"/>
        <v/>
      </c>
      <c r="AM198" s="2590" t="str">
        <f t="shared" si="55"/>
        <v/>
      </c>
      <c r="AN198" s="2590" t="str">
        <f t="shared" si="55"/>
        <v/>
      </c>
      <c r="AO198" s="2590" t="str">
        <f t="shared" si="55"/>
        <v/>
      </c>
      <c r="AP198" s="2590" t="str">
        <f t="shared" si="55"/>
        <v/>
      </c>
      <c r="AQ198" s="2590" t="str">
        <f t="shared" si="55"/>
        <v/>
      </c>
      <c r="AR198" s="2590" t="str">
        <f t="shared" si="55"/>
        <v/>
      </c>
      <c r="AS198" s="2590" t="str">
        <f t="shared" si="55"/>
        <v/>
      </c>
      <c r="AT198" s="2590" t="str">
        <f t="shared" si="55"/>
        <v/>
      </c>
      <c r="AU198" s="2590" t="str">
        <f t="shared" si="55"/>
        <v/>
      </c>
      <c r="AV198" s="2590" t="str">
        <f t="shared" si="55"/>
        <v/>
      </c>
      <c r="AW198" s="2590" t="str">
        <f t="shared" si="55"/>
        <v/>
      </c>
      <c r="AX198" s="2590" t="str">
        <f t="shared" si="55"/>
        <v/>
      </c>
      <c r="AY198" s="2590" t="str">
        <f t="shared" si="55"/>
        <v/>
      </c>
      <c r="AZ198" s="2590" t="str">
        <f t="shared" si="55"/>
        <v/>
      </c>
      <c r="BA198" s="2590" t="str">
        <f t="shared" si="55"/>
        <v/>
      </c>
      <c r="BB198" s="2590" t="str">
        <f t="shared" si="55"/>
        <v/>
      </c>
      <c r="BC198" s="2590" t="str">
        <f t="shared" si="55"/>
        <v/>
      </c>
      <c r="BD198" s="2590" t="str">
        <f t="shared" si="55"/>
        <v/>
      </c>
      <c r="BE198" s="2590" t="str">
        <f t="shared" si="55"/>
        <v/>
      </c>
      <c r="BF198" s="2590" t="str">
        <f t="shared" si="55"/>
        <v/>
      </c>
      <c r="BG198" s="2590" t="str">
        <f t="shared" si="55"/>
        <v/>
      </c>
      <c r="BH198" s="2590" t="str">
        <f t="shared" si="55"/>
        <v/>
      </c>
      <c r="BI198" s="2590" t="str">
        <f t="shared" si="55"/>
        <v/>
      </c>
      <c r="BJ198" s="2590" t="str">
        <f t="shared" si="55"/>
        <v/>
      </c>
      <c r="BK198" s="2590" t="str">
        <f t="shared" si="55"/>
        <v/>
      </c>
      <c r="BL198" s="2590" t="str">
        <f t="shared" si="55"/>
        <v/>
      </c>
      <c r="BM198" s="2590" t="str">
        <f t="shared" si="55"/>
        <v/>
      </c>
      <c r="BN198" s="2590" t="str">
        <f t="shared" si="55"/>
        <v/>
      </c>
      <c r="BO198" s="2595"/>
      <c r="BP198" s="2595"/>
      <c r="BQ198" s="2595"/>
      <c r="BR198" s="2595"/>
      <c r="BS198" s="2595"/>
      <c r="BT198" s="2595"/>
      <c r="BU198" s="2595"/>
      <c r="BV198" s="2595"/>
      <c r="BW198" s="2595"/>
      <c r="BX198" s="2595"/>
      <c r="BY198" s="2595"/>
      <c r="BZ198" s="2595"/>
      <c r="CA198" s="34"/>
      <c r="CC198" s="33"/>
      <c r="CD198" s="1461" t="str" cm="1">
        <f t="array" ca="1" aca="1" ref="CD198">_xlfn.LET(_xlpm.CheckBlank,SUM(PL!$AD198:$BN198)=0,IF(_xlpm.CheckBlank,"",SUM(_xlfn._xlws.FILTER(PL!$AD198:$BN198,(YEAR(PL!$AD$12:$BN$12)=PL!CD$12)*(array_timeline&lt;=PL!CD$11)))))</f>
        <v/>
      </c>
      <c r="CE198" s="1461" t="str" cm="1">
        <f t="array" ca="1" aca="1" ref="CE198">_xlfn.LET(_xlpm.CheckBlank,SUM(PL!$AD198:$BN198)=0,IF(_xlpm.CheckBlank,"",SUM(_xlfn._xlws.FILTER(PL!$AD198:$BN198,(YEAR(PL!$AD$12:$BN$12)=PL!CE$12)*(array_timeline&lt;=PL!CE$11)))))</f>
        <v/>
      </c>
      <c r="CF198" s="88"/>
      <c r="CG198" s="1461" t="str" cm="1">
        <f t="array" ca="1" aca="1" ref="CG198">_xlfn.LET(_xlpm.CheckBlank,SUM(PL!$AD198:$BN198)=0,IF(_xlpm.CheckBlank,"",SUM(_xlfn._xlws.FILTER(PL!$AD198:$BN198,(YEAR(PL!$AD$12:$BN$12)=PL!CG$12)*(array_timeline&lt;=PL!CG$11)))))</f>
        <v/>
      </c>
      <c r="CH198" s="1461" t="str" cm="1">
        <f t="array" ca="1" aca="1" ref="CH198">_xlfn.LET(_xlpm.CheckBlank,SUM(PL!$AD198:$BN198)=0,IF(_xlpm.CheckBlank,"",SUM(_xlfn._xlws.FILTER(PL!$AD198:$BN198,(YEAR(PL!$AD$12:$BN$12)=PL!CH$12)*(array_timeline&lt;=PL!CH$11)))))</f>
        <v/>
      </c>
      <c r="CI198" s="88"/>
      <c r="CJ198" s="1461" t="str" cm="1">
        <f t="array" ca="1" aca="1" ref="CJ198">_xlfn.LET(_xlpm.CheckBlank,SUM(PL!$AD198:$BN198)=0,IF(_xlpm.CheckBlank,"",SUM(_xlfn.TAKE(_xlfn.DROP(PL!$AD198:$BN198,,-DATEDIFF(PL!CJ$11,val_asOfDate,"M")),1,-12))))</f>
        <v/>
      </c>
      <c r="CK198" s="1461" t="str" cm="1">
        <f t="array" ca="1" aca="1" ref="CK198">_xlfn.LET(_xlpm.CheckBlank,SUM(PL!$AD198:$BN198)=0,IF(_xlpm.CheckBlank,"",SUM(_xlfn.TAKE(_xlfn.DROP(PL!$AD198:$BN198,,-DATEDIFF(PL!CK$11,val_asOfDate,"M")),1,-12))))</f>
        <v/>
      </c>
      <c r="CL198" s="88"/>
      <c r="CM198" s="2061" t="str">
        <f ca="1">IF(ISNUMBER(CM191),IF(ABS(SUM(CM192:CM197)-CM191)&lt;0.1,0,1),"")</f>
        <v/>
      </c>
      <c r="CN198" s="2061" t="str">
        <f>IF(ISNUMBER(CN191),IF(ABS(SUM(CN192:CN197)-CN191)&lt;0.1,0,1),"")</f>
        <v/>
      </c>
      <c r="CO198" s="128"/>
      <c r="CP198" s="2061" t="str">
        <f ca="1">IF(ISNUMBER(CP191),IF(ABS(SUM(CP192:CP197)-CP191)&lt;0.1,0,1),"")</f>
        <v/>
      </c>
      <c r="CQ198" s="2061" t="str">
        <f>IF(ISNUMBER(CQ191),IF(ABS(SUM(CQ192:CQ197)-CQ191)&lt;0.1,0,1),"")</f>
        <v/>
      </c>
      <c r="CR198" s="34"/>
      <c r="CS198" s="2056"/>
      <c r="CT198" s="1880"/>
      <c r="CU198" s="1880"/>
      <c r="CV198" s="1880"/>
      <c r="CW198" s="1880"/>
      <c r="CX198" s="2121"/>
      <c r="CY198" s="1880"/>
      <c r="CZ198" s="1880"/>
      <c r="DA198" s="1880"/>
      <c r="DB198" s="1880"/>
      <c r="DC198" s="2121"/>
      <c r="DD198" s="1880"/>
      <c r="DE198" s="1880"/>
      <c r="DF198" s="1880"/>
      <c r="DG198" s="1880"/>
      <c r="DH198" s="1880"/>
      <c r="DI198" s="1880"/>
      <c r="DJ198" s="1880"/>
      <c r="DK198" s="1880"/>
      <c r="DL198" s="1880"/>
      <c r="DM198" s="1880"/>
      <c r="DN198" s="1880"/>
      <c r="DO198" s="1880"/>
      <c r="DP198" s="1880"/>
      <c r="DQ198" s="1880"/>
      <c r="DR198" s="1880"/>
      <c r="DS198" s="1880"/>
      <c r="DT198" s="1880"/>
      <c r="DU198" s="1880"/>
      <c r="DV198" s="1880"/>
      <c r="DW198" s="1880"/>
      <c r="DX198" s="1880"/>
      <c r="DY198" s="1880"/>
      <c r="DZ198" s="1880"/>
      <c r="EA198" s="1880"/>
      <c r="EB198" s="1880"/>
      <c r="EC198" s="1880"/>
      <c r="ED198" s="1880"/>
      <c r="EE198" s="1880"/>
      <c r="EF198" s="1880"/>
      <c r="EG198" s="1880"/>
      <c r="EH198" s="1880"/>
      <c r="EI198" s="1880"/>
      <c r="EJ198" s="1880"/>
      <c r="EK198" s="1880"/>
      <c r="EL198" s="1880"/>
      <c r="EM198" s="1880"/>
      <c r="EN198" s="1880"/>
      <c r="EO198" s="1880"/>
      <c r="EP198" s="1880"/>
      <c r="EQ198" s="1880"/>
      <c r="ER198" s="1880"/>
      <c r="ES198" s="1880"/>
      <c r="ET198" s="1880"/>
      <c r="EU198" s="1880"/>
      <c r="EV198" s="1880"/>
      <c r="EW198" s="1880"/>
    </row>
    <row r="199" spans="1:153" ht="15.5">
      <c r="A199" s="1625"/>
      <c r="B199" s="2439" t="str">
        <f>_xlfn.LET(_xlpm.IsNotAttrDynamic,D199="",_xlpm.Attr,_PL!F199,_xlpm.NotInUse,Y199=D199,_xlpm.RESULT,IF(_xlpm.IsNotAttrDynamic,_xlpm.Attr,IF(_xlpm.NotInUse,"",Y199)),IF(_xlpm.RESULT="","",_xlpm.RESULT))</f>
        <v/>
      </c>
      <c r="C199" s="2439" t="str" cm="1">
        <f t="array" ref="C199">IFBLANK(_PL!C199,"")</f>
        <v/>
      </c>
      <c r="D199" s="1548"/>
      <c r="E199" s="2453"/>
      <c r="F199" s="578"/>
      <c r="G199" s="578"/>
      <c r="H199" s="578"/>
      <c r="I199" s="578"/>
      <c r="J199" s="401"/>
      <c r="K199" s="578" t="str">
        <f t="shared" si="54"/>
        <v>No</v>
      </c>
      <c r="L199" s="37"/>
      <c r="N199" s="158"/>
      <c r="O199" s="101"/>
      <c r="P199" s="52"/>
      <c r="Q199" s="101"/>
      <c r="R199" s="101"/>
      <c r="S199" s="153"/>
      <c r="T199" s="153"/>
      <c r="U199" s="39"/>
      <c r="V199" s="37"/>
      <c r="W199" s="91"/>
      <c r="X199" s="901"/>
      <c r="Y199" s="136"/>
      <c r="Z199" s="792"/>
      <c r="AA199" s="284"/>
      <c r="AB199" s="284"/>
      <c r="AC199" s="128"/>
      <c r="AD199" s="88"/>
      <c r="AE199" s="88"/>
      <c r="AF199" s="88"/>
      <c r="AG199" s="88"/>
      <c r="AH199" s="88"/>
      <c r="AI199" s="88"/>
      <c r="AJ199" s="88"/>
      <c r="AK199" s="88"/>
      <c r="AL199" s="88"/>
      <c r="AM199" s="88"/>
      <c r="AN199" s="88"/>
      <c r="AO199" s="88"/>
      <c r="AP199" s="88"/>
      <c r="AQ199" s="88"/>
      <c r="AR199" s="88"/>
      <c r="AS199" s="88"/>
      <c r="AT199" s="88"/>
      <c r="AU199" s="783"/>
      <c r="AV199" s="783"/>
      <c r="AW199" s="783"/>
      <c r="AX199" s="783"/>
      <c r="AY199" s="783"/>
      <c r="AZ199" s="783"/>
      <c r="BA199" s="783"/>
      <c r="BB199" s="783"/>
      <c r="BC199" s="783"/>
      <c r="BD199" s="783"/>
      <c r="BE199" s="783"/>
      <c r="BF199" s="783"/>
      <c r="BG199" s="783"/>
      <c r="BH199" s="783"/>
      <c r="BI199" s="783"/>
      <c r="BJ199" s="783"/>
      <c r="BK199" s="783"/>
      <c r="BL199" s="783"/>
      <c r="BM199" s="783"/>
      <c r="BN199" s="783"/>
      <c r="BO199" s="783"/>
      <c r="BP199" s="783"/>
      <c r="BQ199" s="783"/>
      <c r="BR199" s="783"/>
      <c r="BS199" s="783"/>
      <c r="BT199" s="783"/>
      <c r="BU199" s="783"/>
      <c r="BV199" s="783"/>
      <c r="BW199" s="783"/>
      <c r="BX199" s="783"/>
      <c r="BY199" s="783"/>
      <c r="BZ199" s="783"/>
      <c r="CA199" s="34"/>
      <c r="CC199" s="58"/>
      <c r="CD199" s="182"/>
      <c r="CE199" s="182"/>
      <c r="CF199" s="182"/>
      <c r="CG199" s="182"/>
      <c r="CH199" s="182"/>
      <c r="CI199" s="88"/>
      <c r="CJ199" s="172"/>
      <c r="CK199" s="172"/>
      <c r="CL199" s="88"/>
      <c r="CM199" s="88"/>
      <c r="CN199" s="88"/>
      <c r="CO199" s="88"/>
      <c r="CP199" s="88"/>
      <c r="CQ199" s="88"/>
      <c r="CR199" s="34"/>
      <c r="CS199" s="2056"/>
      <c r="CT199" s="1880"/>
      <c r="CU199" s="1880"/>
      <c r="CV199" s="1880"/>
      <c r="CW199" s="1880"/>
      <c r="CX199" s="2121"/>
      <c r="CY199" s="1880"/>
      <c r="CZ199" s="1880"/>
      <c r="DA199" s="1880"/>
      <c r="DB199" s="1880"/>
      <c r="DC199" s="2121"/>
      <c r="DD199" s="1880"/>
      <c r="DE199" s="1880"/>
      <c r="DF199" s="1880"/>
      <c r="DG199" s="1880"/>
      <c r="DH199" s="1880"/>
      <c r="DI199" s="1880"/>
      <c r="DJ199" s="1880"/>
      <c r="DK199" s="1880"/>
      <c r="DL199" s="1880"/>
      <c r="DM199" s="1880"/>
      <c r="DN199" s="1880"/>
      <c r="DO199" s="1880"/>
      <c r="DP199" s="1880"/>
      <c r="DQ199" s="1880"/>
      <c r="DR199" s="1880"/>
      <c r="DS199" s="1880"/>
      <c r="DT199" s="1880"/>
      <c r="DU199" s="1880"/>
      <c r="DV199" s="1880"/>
      <c r="DW199" s="1880"/>
      <c r="DX199" s="1880"/>
      <c r="DY199" s="1880"/>
      <c r="DZ199" s="1880"/>
      <c r="EA199" s="1880"/>
      <c r="EB199" s="1880"/>
      <c r="EC199" s="1880"/>
      <c r="ED199" s="1880"/>
      <c r="EE199" s="1880"/>
      <c r="EF199" s="1880"/>
      <c r="EG199" s="1880"/>
      <c r="EH199" s="1880"/>
      <c r="EI199" s="1880"/>
      <c r="EJ199" s="1880"/>
      <c r="EK199" s="1880"/>
      <c r="EL199" s="1880"/>
      <c r="EM199" s="1880"/>
      <c r="EN199" s="1880"/>
      <c r="EO199" s="1880"/>
      <c r="EP199" s="1880"/>
      <c r="EQ199" s="1880"/>
      <c r="ER199" s="1880"/>
      <c r="ES199" s="1880"/>
      <c r="ET199" s="1880"/>
      <c r="EU199" s="1880"/>
      <c r="EV199" s="1880"/>
      <c r="EW199" s="1880"/>
    </row>
    <row r="200" spans="1:153" ht="22.5">
      <c r="A200" s="1625"/>
      <c r="B200" s="2439" t="str">
        <f>_xlfn.LET(_xlpm.IsNotAttrDynamic,D200="",_xlpm.Attr,_PL!F200,_xlpm.NotInUse,Y200=D200,_xlpm.RESULT,IF(_xlpm.IsNotAttrDynamic,_xlpm.Attr,IF(_xlpm.NotInUse,"",Y200)),IF(_xlpm.RESULT="","",_xlpm.RESULT))</f>
        <v/>
      </c>
      <c r="C200" s="2439" t="str" cm="1">
        <f t="array" ref="C200">IFBLANK(_PL!C200,"")</f>
        <v/>
      </c>
      <c r="D200" s="1548"/>
      <c r="E200" s="2453"/>
      <c r="F200" s="578"/>
      <c r="G200" s="578"/>
      <c r="H200" s="510"/>
      <c r="I200" s="510"/>
      <c r="J200" s="401"/>
      <c r="K200" s="578" t="str">
        <f t="shared" si="54"/>
        <v>No</v>
      </c>
      <c r="L200" s="37"/>
      <c r="N200" s="158"/>
      <c r="O200" s="101"/>
      <c r="P200" s="52"/>
      <c r="Q200" s="101"/>
      <c r="R200" s="101"/>
      <c r="S200" s="153"/>
      <c r="T200" s="153"/>
      <c r="U200" s="39"/>
      <c r="V200" s="37"/>
      <c r="W200" s="2133" t="s">
        <v>168</v>
      </c>
      <c r="X200" s="898"/>
      <c r="Y200" s="127"/>
      <c r="Z200" s="791"/>
      <c r="AA200" s="127"/>
      <c r="AB200" s="127"/>
      <c r="AC200" s="127"/>
      <c r="AD200" s="127"/>
      <c r="AE200" s="127"/>
      <c r="AF200" s="127"/>
      <c r="AG200" s="127"/>
      <c r="AH200" s="127"/>
      <c r="AI200" s="127"/>
      <c r="AJ200" s="127"/>
      <c r="AK200" s="127"/>
      <c r="AL200" s="127"/>
      <c r="AM200" s="2596"/>
      <c r="AN200" s="2596"/>
      <c r="AO200" s="2596"/>
      <c r="AP200" s="2596"/>
      <c r="AQ200" s="2596"/>
      <c r="AR200" s="2596"/>
      <c r="AS200" s="2596"/>
      <c r="AT200" s="2596"/>
      <c r="AU200" s="2596"/>
      <c r="AV200" s="2596"/>
      <c r="AW200" s="2596"/>
      <c r="AX200" s="2596"/>
      <c r="AY200" s="2596"/>
      <c r="AZ200" s="2596"/>
      <c r="BA200" s="2596"/>
      <c r="BB200" s="2596"/>
      <c r="BC200" s="2596"/>
      <c r="BD200" s="2596"/>
      <c r="BE200" s="2596"/>
      <c r="BF200" s="2596"/>
      <c r="BG200" s="2596"/>
      <c r="BH200" s="2596"/>
      <c r="BI200" s="2596"/>
      <c r="BJ200" s="2596"/>
      <c r="BK200" s="2596"/>
      <c r="BL200" s="2596"/>
      <c r="BM200" s="2596"/>
      <c r="BN200" s="2596"/>
      <c r="BO200" s="2596"/>
      <c r="BP200" s="2596"/>
      <c r="BQ200" s="2596"/>
      <c r="BR200" s="2596"/>
      <c r="BS200" s="2596"/>
      <c r="BT200" s="2596"/>
      <c r="BU200" s="2596"/>
      <c r="BV200" s="2596"/>
      <c r="BW200" s="2596"/>
      <c r="BX200" s="2596"/>
      <c r="BY200" s="2596"/>
      <c r="BZ200" s="2596"/>
      <c r="CA200" s="34"/>
      <c r="CC200" s="58"/>
      <c r="CD200" s="3024" t="s">
        <v>41</v>
      </c>
      <c r="CE200" s="3025"/>
      <c r="CF200" s="1472"/>
      <c r="CG200" s="3020" t="s">
        <v>109</v>
      </c>
      <c r="CH200" s="3021"/>
      <c r="CI200" s="1473"/>
      <c r="CJ200" s="3022" t="s">
        <v>43</v>
      </c>
      <c r="CK200" s="3023"/>
      <c r="CL200" s="1473"/>
      <c r="CM200" s="3015" t="s">
        <v>44</v>
      </c>
      <c r="CN200" s="3016"/>
      <c r="CO200" s="1470"/>
      <c r="CP200" s="3015" t="s">
        <v>45</v>
      </c>
      <c r="CQ200" s="3016"/>
      <c r="CR200" s="34"/>
      <c r="CS200" s="2056"/>
      <c r="CT200" s="1880"/>
      <c r="CU200" s="1880"/>
      <c r="CV200" s="1880"/>
      <c r="CW200" s="1880"/>
      <c r="CX200" s="2121"/>
      <c r="CY200" s="1880"/>
      <c r="CZ200" s="1880"/>
      <c r="DA200" s="1880"/>
      <c r="DB200" s="1880"/>
      <c r="DC200" s="2121"/>
      <c r="DD200" s="1880"/>
      <c r="DE200" s="1880"/>
      <c r="DF200" s="1880"/>
      <c r="DG200" s="1880"/>
      <c r="DH200" s="1880"/>
      <c r="DI200" s="1880"/>
      <c r="DJ200" s="1880"/>
      <c r="DK200" s="1880"/>
      <c r="DL200" s="1880"/>
      <c r="DM200" s="1880"/>
      <c r="DN200" s="1880"/>
      <c r="DO200" s="1880"/>
      <c r="DP200" s="1880"/>
      <c r="DQ200" s="1880"/>
      <c r="DR200" s="1880"/>
      <c r="DS200" s="1880"/>
      <c r="DT200" s="1880"/>
      <c r="DU200" s="1880"/>
      <c r="DV200" s="1880"/>
      <c r="DW200" s="1880"/>
      <c r="DX200" s="1880"/>
      <c r="DY200" s="1880"/>
      <c r="DZ200" s="1880"/>
      <c r="EA200" s="1880"/>
      <c r="EB200" s="1880"/>
      <c r="EC200" s="1880"/>
      <c r="ED200" s="1880"/>
      <c r="EE200" s="1880"/>
      <c r="EF200" s="1880"/>
      <c r="EG200" s="1880"/>
      <c r="EH200" s="1880"/>
      <c r="EI200" s="1880"/>
      <c r="EJ200" s="1880"/>
      <c r="EK200" s="1880"/>
      <c r="EL200" s="1880"/>
      <c r="EM200" s="1880"/>
      <c r="EN200" s="1880"/>
      <c r="EO200" s="1880"/>
      <c r="EP200" s="1880"/>
      <c r="EQ200" s="1880"/>
      <c r="ER200" s="1880"/>
      <c r="ES200" s="1880"/>
      <c r="ET200" s="1880"/>
      <c r="EU200" s="1880"/>
      <c r="EV200" s="1880"/>
      <c r="EW200" s="1880"/>
    </row>
    <row r="201" spans="1:153" ht="18" customHeight="1">
      <c r="A201" s="1627"/>
      <c r="B201" s="2439" t="e">
        <f ca="1">_xlfn.LET(_xlpm.IsNotAttrDynamic,D201="",_xlpm.Attr,_PL!F201,_xlpm.NotInUse,Y201=D201,_xlpm.RESULT,IF(_xlpm.IsNotAttrDynamic,_xlpm.Attr,IF(_xlpm.NotInUse,"",Y201)),IF(_xlpm.RESULT="","",_xlpm.RESULT))</f>
        <v>#NAME?</v>
      </c>
      <c r="C201" s="3459" t="str" cm="1">
        <f t="array" ref="C201">IFBLANK(_PL!C201,"")</f>
        <v>Segment II Name</v>
      </c>
      <c r="D201" s="1548" t="s">
        <v>169</v>
      </c>
      <c r="E201" s="2453"/>
      <c r="F201" s="572"/>
      <c r="G201" s="572"/>
      <c r="H201" s="572"/>
      <c r="I201" s="572"/>
      <c r="J201" s="401"/>
      <c r="K201" s="578" t="str">
        <f t="shared" si="54"/>
        <v>No</v>
      </c>
      <c r="L201" s="37"/>
      <c r="N201" s="158"/>
      <c r="O201" s="101"/>
      <c r="P201" s="52"/>
      <c r="Q201" s="2"/>
      <c r="R201" s="101"/>
      <c r="S201" s="153"/>
      <c r="T201" s="153"/>
      <c r="U201" s="39"/>
      <c r="V201" s="37"/>
      <c r="W201" s="3469" t="e">
        <f ca="1">_PL!W201</f>
        <v>#NAME?</v>
      </c>
      <c r="X201" s="1247"/>
      <c r="Y201" s="3472" t="e">
        <f ca="1">_PL!Y201</f>
        <v>#NAME?</v>
      </c>
      <c r="Z201" s="1632" t="s">
        <v>157</v>
      </c>
      <c r="AA201" s="1249"/>
      <c r="AB201" s="1630" t="s">
        <v>83</v>
      </c>
      <c r="AC201" s="1273"/>
      <c r="AD201" s="3186" cm="1">
        <f t="array" ca="1" aca="1" ref="AD201:AD202">fx_checkComp(AD206:AD211)</f>
        <v>1</v>
      </c>
      <c r="AE201" s="3186" cm="1">
        <f t="array" ca="1" aca="1" ref="AE201:AE202">fx_checkComp(AE206:AE211)</f>
        <v>1</v>
      </c>
      <c r="AF201" s="3186" cm="1">
        <f t="array" ca="1" aca="1" ref="AF201:AF202">fx_checkComp(AF206:AF211)</f>
        <v>1</v>
      </c>
      <c r="AG201" s="3186" cm="1">
        <f t="array" ca="1" aca="1" ref="AG201:AG202">fx_checkComp(AG206:AG211)</f>
        <v>1</v>
      </c>
      <c r="AH201" s="3186" cm="1">
        <f t="array" ca="1" aca="1" ref="AH201:AH202">fx_checkComp(AH206:AH211)</f>
        <v>1</v>
      </c>
      <c r="AI201" s="3186" cm="1">
        <f t="array" ca="1" aca="1" ref="AI201:AI202">fx_checkComp(AI206:AI211)</f>
        <v>1</v>
      </c>
      <c r="AJ201" s="3186" cm="1">
        <f t="array" ca="1" aca="1" ref="AJ201:AJ202">fx_checkComp(AJ206:AJ211)</f>
        <v>1</v>
      </c>
      <c r="AK201" s="3186" cm="1">
        <f t="array" ca="1" aca="1" ref="AK201:AK202">fx_checkComp(AK206:AK211)</f>
        <v>1</v>
      </c>
      <c r="AL201" s="3186" cm="1">
        <f t="array" ca="1" aca="1" ref="AL201:AL202">fx_checkComp(AL206:AL211)</f>
        <v>1</v>
      </c>
      <c r="AM201" s="3186" cm="1">
        <f t="array" ca="1" aca="1" ref="AM201:AM202">fx_checkComp(AM206:AM211)</f>
        <v>1</v>
      </c>
      <c r="AN201" s="3186" cm="1">
        <f t="array" ca="1" aca="1" ref="AN201:AN202">fx_checkComp(AN206:AN211)</f>
        <v>1</v>
      </c>
      <c r="AO201" s="3186" cm="1">
        <f t="array" ca="1" aca="1" ref="AO201:AO202">fx_checkComp(AO206:AO211)</f>
        <v>1</v>
      </c>
      <c r="AP201" s="3186" cm="1">
        <f t="array" ca="1" aca="1" ref="AP201:AP202">fx_checkComp(AP206:AP211)</f>
        <v>1</v>
      </c>
      <c r="AQ201" s="3186" cm="1">
        <f t="array" ca="1" aca="1" ref="AQ201:AQ202">fx_checkComp(AQ206:AQ211)</f>
        <v>1</v>
      </c>
      <c r="AR201" s="3186" cm="1">
        <f t="array" ca="1" aca="1" ref="AR201:AR202">fx_checkComp(AR206:AR211)</f>
        <v>1</v>
      </c>
      <c r="AS201" s="3186" cm="1">
        <f t="array" ca="1" aca="1" ref="AS201:AS202">fx_checkComp(AS206:AS211)</f>
        <v>1</v>
      </c>
      <c r="AT201" s="3186" cm="1">
        <f t="array" ca="1" aca="1" ref="AT201:AT202">fx_checkComp(AT206:AT211)</f>
        <v>1</v>
      </c>
      <c r="AU201" s="3186" cm="1">
        <f t="array" ca="1" aca="1" ref="AU201:AU202">fx_checkComp(AU206:AU211)</f>
        <v>1</v>
      </c>
      <c r="AV201" s="3186" cm="1">
        <f t="array" ca="1" aca="1" ref="AV201:AV202">fx_checkComp(AV206:AV211)</f>
        <v>1</v>
      </c>
      <c r="AW201" s="3186" cm="1">
        <f t="array" ca="1" aca="1" ref="AW201:AW202">fx_checkComp(AW206:AW211)</f>
        <v>1</v>
      </c>
      <c r="AX201" s="3186" cm="1">
        <f t="array" ca="1" aca="1" ref="AX201:AX202">fx_checkComp(AX206:AX211)</f>
        <v>1</v>
      </c>
      <c r="AY201" s="3186" cm="1">
        <f t="array" ca="1" aca="1" ref="AY201:AY202">fx_checkComp(AY206:AY211)</f>
        <v>1</v>
      </c>
      <c r="AZ201" s="3186" cm="1">
        <f t="array" ca="1" aca="1" ref="AZ201:AZ202">fx_checkComp(AZ206:AZ211)</f>
        <v>1</v>
      </c>
      <c r="BA201" s="3186" cm="1">
        <f t="array" ca="1" aca="1" ref="BA201:BA202">fx_checkComp(BA206:BA211)</f>
        <v>1</v>
      </c>
      <c r="BB201" s="3186" cm="1">
        <f t="array" ca="1" aca="1" ref="BB201:BB202">fx_checkComp(BB206:BB211)</f>
        <v>1</v>
      </c>
      <c r="BC201" s="3186" cm="1">
        <f t="array" ca="1" aca="1" ref="BC201:BC202">fx_checkComp(BC206:BC211)</f>
        <v>1</v>
      </c>
      <c r="BD201" s="3186" cm="1">
        <f t="array" ca="1" aca="1" ref="BD201:BD202">fx_checkComp(BD206:BD211)</f>
        <v>1</v>
      </c>
      <c r="BE201" s="3186" cm="1">
        <f t="array" ca="1" aca="1" ref="BE201:BE202">fx_checkComp(BE206:BE211)</f>
        <v>1</v>
      </c>
      <c r="BF201" s="3186" cm="1">
        <f t="array" ca="1" aca="1" ref="BF201:BF202">fx_checkComp(BF206:BF211)</f>
        <v>1</v>
      </c>
      <c r="BG201" s="3186" cm="1">
        <f t="array" ca="1" aca="1" ref="BG201:BG202">fx_checkComp(BG206:BG211)</f>
        <v>1</v>
      </c>
      <c r="BH201" s="3186" cm="1">
        <f t="array" ca="1" aca="1" ref="BH201:BH202">fx_checkComp(BH206:BH211)</f>
        <v>1</v>
      </c>
      <c r="BI201" s="3186" cm="1">
        <f t="array" ca="1" aca="1" ref="BI201:BI202">fx_checkComp(BI206:BI211)</f>
        <v>1</v>
      </c>
      <c r="BJ201" s="3186" cm="1">
        <f t="array" ca="1" aca="1" ref="BJ201:BJ202">fx_checkComp(BJ206:BJ211)</f>
        <v>1</v>
      </c>
      <c r="BK201" s="3186" cm="1">
        <f t="array" ca="1" aca="1" ref="BK201:BK202">fx_checkComp(BK206:BK211)</f>
        <v>1</v>
      </c>
      <c r="BL201" s="3186" cm="1">
        <f t="array" ca="1" aca="1" ref="BL201:BL202">fx_checkComp(BL206:BL211)</f>
        <v>1</v>
      </c>
      <c r="BM201" s="3186" cm="1">
        <f t="array" ca="1" aca="1" ref="BM201:BM202">fx_checkComp(BM206:BM211)</f>
        <v>1</v>
      </c>
      <c r="BN201" s="3187" cm="1">
        <f t="array" ca="1" aca="1" ref="BN201:BN202">fx_checkComp(BN206:BN211)</f>
        <v>1</v>
      </c>
      <c r="BO201" s="1804"/>
      <c r="BP201" s="1804"/>
      <c r="BQ201" s="1804"/>
      <c r="BR201" s="1804"/>
      <c r="BS201" s="1804"/>
      <c r="BT201" s="1804"/>
      <c r="BU201" s="1804"/>
      <c r="BV201" s="1804"/>
      <c r="BW201" s="1804"/>
      <c r="BX201" s="1804"/>
      <c r="BY201" s="1804"/>
      <c r="BZ201" s="1804"/>
      <c r="CA201" s="34"/>
      <c r="CB201" s="108"/>
      <c r="CC201" s="58"/>
      <c r="CD201" s="203" t="e" cm="1">
        <f t="array" ca="1" aca="1" ref="CD201">YEAR(val_currentFYE)-2</f>
        <v>#NAME?</v>
      </c>
      <c r="CE201" s="204" t="e" cm="1">
        <f t="array" ca="1" aca="1" ref="CE201">YEAR(val_currentFYE)-1</f>
        <v>#NAME?</v>
      </c>
      <c r="CF201" s="128"/>
      <c r="CG201" s="205" t="e" cm="1">
        <f t="array" ca="1" aca="1" ref="CG201">YEAR(val_currentFYE)</f>
        <v>#NAME?</v>
      </c>
      <c r="CH201" s="206" t="e" cm="1">
        <f t="array" ca="1" aca="1" ref="CH201">YEAR(val_currentFYE)</f>
        <v>#NAME?</v>
      </c>
      <c r="CI201" s="207"/>
      <c r="CJ201" s="208" t="s">
        <v>54</v>
      </c>
      <c r="CK201" s="209" t="s">
        <v>54</v>
      </c>
      <c r="CL201" s="88"/>
      <c r="CM201" s="1200" t="e" cm="1">
        <f t="array" ca="1" aca="1" ref="CM201">YEAR(val_currentFYE)</f>
        <v>#NAME?</v>
      </c>
      <c r="CN201" s="1340" t="e" cm="1">
        <f t="array" ca="1" aca="1" ref="CN201">YEAR(val_currentFYE)</f>
        <v>#NAME?</v>
      </c>
      <c r="CO201" s="88"/>
      <c r="CP201" s="1200" t="e" cm="1">
        <f t="array" ca="1" aca="1" ref="CP201">YEAR(val_currentFYE)+1</f>
        <v>#NAME?</v>
      </c>
      <c r="CQ201" s="1340" t="e" cm="1">
        <f t="array" ca="1" aca="1" ref="CQ201">YEAR(val_currentFYE)+1</f>
        <v>#NAME?</v>
      </c>
      <c r="CR201" s="34"/>
      <c r="CS201" s="2056"/>
      <c r="CT201" s="2447" t="e" cm="1">
        <f t="array" ca="1" aca="1" ref="CT201">IF(Y201="Untitled Segmentation II","",_xldudf_CX_PUSH(Y201,CX_ENTITY,C201,val_asOfDate))</f>
        <v>#NAME?</v>
      </c>
      <c r="CU201" s="2447" t="e" cm="1">
        <f t="array" ca="1" aca="1" ref="CU201">IF(Y201="Untitled Segmentation II","",_xldudf_CX_PUSH(Y201,CX_ENTITY,C201,EOMONTH(val_asOfDate,1)))</f>
        <v>#NAME?</v>
      </c>
      <c r="CV201" s="2447" t="e" cm="1">
        <f t="array" ca="1" aca="1" ref="CV201">IF(Y201="Untitled Segmentation II","",_xldudf_CX_PUSH(Y201,CX_ENTITY,C201,EOMONTH(val_asOfDate,2)))</f>
        <v>#NAME?</v>
      </c>
      <c r="CW201" s="2447" t="e" cm="1">
        <f t="array" ca="1" aca="1" ref="CW201">IF(Y201="Untitled Segmentation II","",_xldudf_CX_PUSH(Y201,CX_ENTITY,C201,EOMONTH(val_asOfDate,3)))</f>
        <v>#NAME?</v>
      </c>
      <c r="CX201" s="2566"/>
      <c r="CY201" s="1880"/>
      <c r="CZ201" s="1880"/>
      <c r="DA201" s="1880"/>
      <c r="DB201" s="1880"/>
      <c r="DC201" s="2121"/>
      <c r="DD201" s="1880"/>
      <c r="DE201" s="1880"/>
      <c r="DF201" s="1880"/>
      <c r="DG201" s="1880"/>
      <c r="DH201" s="1880"/>
      <c r="DI201" s="1880"/>
      <c r="DJ201" s="1880"/>
      <c r="DK201" s="1880"/>
      <c r="DL201" s="1880"/>
      <c r="DM201" s="1880"/>
      <c r="DN201" s="1880"/>
      <c r="DO201" s="1880"/>
      <c r="DP201" s="1880"/>
      <c r="DQ201" s="1880"/>
      <c r="DR201" s="1880"/>
      <c r="DS201" s="1880"/>
      <c r="DT201" s="1880"/>
      <c r="DU201" s="1880"/>
      <c r="DV201" s="1880"/>
      <c r="DW201" s="1880"/>
      <c r="DX201" s="1880"/>
      <c r="DY201" s="1880"/>
      <c r="DZ201" s="1880"/>
      <c r="EA201" s="1880"/>
      <c r="EB201" s="1880"/>
      <c r="EC201" s="1880"/>
      <c r="ED201" s="1880"/>
      <c r="EE201" s="1880"/>
      <c r="EF201" s="1880"/>
      <c r="EG201" s="1880"/>
      <c r="EH201" s="1880"/>
      <c r="EI201" s="1880"/>
      <c r="EJ201" s="1880"/>
      <c r="EK201" s="1880"/>
      <c r="EL201" s="1880"/>
      <c r="EM201" s="1880"/>
      <c r="EN201" s="1880"/>
      <c r="EO201" s="1880"/>
      <c r="EP201" s="1880"/>
      <c r="EQ201" s="1880"/>
      <c r="ER201" s="1880"/>
      <c r="ES201" s="1880"/>
      <c r="ET201" s="1880"/>
      <c r="EU201" s="1880"/>
      <c r="EV201" s="1880"/>
      <c r="EW201" s="1880"/>
    </row>
    <row r="202" spans="1:153" ht="18" customHeight="1">
      <c r="A202" s="1627"/>
      <c r="B202" s="2439"/>
      <c r="C202" s="3459" t="s">
        <v>170</v>
      </c>
      <c r="D202" s="2458" t="s">
        <v>94</v>
      </c>
      <c r="E202" s="2453"/>
      <c r="F202" s="572"/>
      <c r="G202" s="572"/>
      <c r="H202" s="572"/>
      <c r="I202" s="572"/>
      <c r="J202" s="401"/>
      <c r="K202" s="578" t="str">
        <f t="shared" si="54"/>
        <v>No</v>
      </c>
      <c r="L202" s="37"/>
      <c r="N202" s="158"/>
      <c r="O202" s="101"/>
      <c r="P202" s="52"/>
      <c r="Q202" s="2"/>
      <c r="R202" s="101"/>
      <c r="S202" s="153"/>
      <c r="T202" s="153"/>
      <c r="U202" s="39"/>
      <c r="V202" s="37"/>
      <c r="W202" s="3039"/>
      <c r="X202" s="1250"/>
      <c r="Y202" s="3049"/>
      <c r="Z202" s="1252"/>
      <c r="AA202" s="1252"/>
      <c r="AB202" s="1631" t="s">
        <v>84</v>
      </c>
      <c r="AC202" s="1162"/>
      <c r="AD202" s="2430" t="str">
        <f ca="1"/>
        <v>O: 6 / 6</v>
      </c>
      <c r="AE202" s="2430" t="str">
        <f ca="1"/>
        <v>O: 6 / 6</v>
      </c>
      <c r="AF202" s="2430" t="str">
        <f ca="1"/>
        <v>O: 6 / 6</v>
      </c>
      <c r="AG202" s="2430" t="str">
        <f ca="1"/>
        <v>O: 6 / 6</v>
      </c>
      <c r="AH202" s="2430" t="str">
        <f ca="1"/>
        <v>O: 6 / 6</v>
      </c>
      <c r="AI202" s="2430" t="str">
        <f ca="1"/>
        <v>O: 6 / 6</v>
      </c>
      <c r="AJ202" s="2430" t="str">
        <f ca="1"/>
        <v>O: 6 / 6</v>
      </c>
      <c r="AK202" s="2430" t="str">
        <f ca="1"/>
        <v>O: 6 / 6</v>
      </c>
      <c r="AL202" s="2430" t="str">
        <f ca="1"/>
        <v>O: 6 / 6</v>
      </c>
      <c r="AM202" s="2430" t="str">
        <f ca="1"/>
        <v>O: 6 / 6</v>
      </c>
      <c r="AN202" s="2430" t="str">
        <f ca="1"/>
        <v>O: 6 / 6</v>
      </c>
      <c r="AO202" s="2430" t="str">
        <f ca="1"/>
        <v>O: 6 / 6</v>
      </c>
      <c r="AP202" s="2430" t="str">
        <f ca="1"/>
        <v>O: 6 / 6</v>
      </c>
      <c r="AQ202" s="2430" t="str">
        <f ca="1"/>
        <v>O: 6 / 6</v>
      </c>
      <c r="AR202" s="2430" t="str">
        <f ca="1"/>
        <v>O: 6 / 6</v>
      </c>
      <c r="AS202" s="2430" t="str">
        <f ca="1"/>
        <v>O: 6 / 6</v>
      </c>
      <c r="AT202" s="2430" t="str">
        <f ca="1"/>
        <v>O: 6 / 6</v>
      </c>
      <c r="AU202" s="2430" t="str">
        <f ca="1"/>
        <v>O: 6 / 6</v>
      </c>
      <c r="AV202" s="2430" t="str">
        <f ca="1"/>
        <v>O: 6 / 6</v>
      </c>
      <c r="AW202" s="2430" t="str">
        <f ca="1"/>
        <v>O: 6 / 6</v>
      </c>
      <c r="AX202" s="2430" t="str">
        <f ca="1"/>
        <v>O: 6 / 6</v>
      </c>
      <c r="AY202" s="2430" t="str">
        <f ca="1"/>
        <v>O: 6 / 6</v>
      </c>
      <c r="AZ202" s="2430" t="str">
        <f ca="1"/>
        <v>O: 6 / 6</v>
      </c>
      <c r="BA202" s="2430" t="str">
        <f ca="1"/>
        <v>O: 6 / 6</v>
      </c>
      <c r="BB202" s="2430" t="str">
        <f ca="1"/>
        <v>O: 6 / 6</v>
      </c>
      <c r="BC202" s="2430" t="str">
        <f ca="1"/>
        <v>O: 6 / 6</v>
      </c>
      <c r="BD202" s="2430" t="str">
        <f ca="1"/>
        <v>O: 6 / 6</v>
      </c>
      <c r="BE202" s="2430" t="str">
        <f ca="1"/>
        <v>O: 6 / 6</v>
      </c>
      <c r="BF202" s="2430" t="str">
        <f ca="1"/>
        <v>O: 6 / 6</v>
      </c>
      <c r="BG202" s="2430" t="str">
        <f ca="1"/>
        <v>O: 6 / 6</v>
      </c>
      <c r="BH202" s="2430" t="str">
        <f ca="1"/>
        <v>O: 6 / 6</v>
      </c>
      <c r="BI202" s="2430" t="str">
        <f ca="1"/>
        <v>O: 6 / 6</v>
      </c>
      <c r="BJ202" s="2430" t="str">
        <f ca="1"/>
        <v>O: 6 / 6</v>
      </c>
      <c r="BK202" s="2430" t="str">
        <f ca="1"/>
        <v>O: 6 / 6</v>
      </c>
      <c r="BL202" s="2430" t="str">
        <f ca="1"/>
        <v>O: 6 / 6</v>
      </c>
      <c r="BM202" s="2430" t="str">
        <f ca="1"/>
        <v>O: 6 / 6</v>
      </c>
      <c r="BN202" s="2431" t="str">
        <f ca="1"/>
        <v>O: 6 / 6</v>
      </c>
      <c r="BO202" s="2432"/>
      <c r="BP202" s="2432"/>
      <c r="BQ202" s="2432"/>
      <c r="BR202" s="2432"/>
      <c r="BS202" s="2432"/>
      <c r="BT202" s="2432"/>
      <c r="BU202" s="2432"/>
      <c r="BV202" s="2432"/>
      <c r="BW202" s="2432"/>
      <c r="BX202" s="2432"/>
      <c r="BY202" s="2432"/>
      <c r="BZ202" s="2432"/>
      <c r="CA202" s="34"/>
      <c r="CC202" s="58"/>
      <c r="CD202" s="203"/>
      <c r="CE202" s="204"/>
      <c r="CF202" s="128"/>
      <c r="CG202" s="205"/>
      <c r="CH202" s="206"/>
      <c r="CI202" s="207"/>
      <c r="CJ202" s="208"/>
      <c r="CK202" s="209"/>
      <c r="CL202" s="88"/>
      <c r="CM202" s="1200"/>
      <c r="CN202" s="1340"/>
      <c r="CO202" s="88"/>
      <c r="CP202" s="1200"/>
      <c r="CQ202" s="1340"/>
      <c r="CR202" s="34"/>
      <c r="CS202" s="2056"/>
      <c r="CT202" s="2447" t="e" cm="1">
        <f t="array" ca="1" aca="1" ref="CT202">IF(W201="Scenario","",_xldudf_CX_PUSH(W201,CX_ENTITY,C202,val_asOfDate))</f>
        <v>#NAME?</v>
      </c>
      <c r="CU202" s="2447" t="e" cm="1">
        <f t="array" ca="1" aca="1" ref="CU202">IF(W201="Scenario","",_xldudf_CX_PUSH(W201,CX_ENTITY,C202,EOMONTH(val_asOfDate,1)))</f>
        <v>#NAME?</v>
      </c>
      <c r="CV202" s="2447" t="e" cm="1">
        <f t="array" ca="1" aca="1" ref="CV202">IF(W201="Scenario","",_xldudf_CX_PUSH(W201,CX_ENTITY,C202,EOMONTH(val_asOfDate,2)))</f>
        <v>#NAME?</v>
      </c>
      <c r="CW202" s="2447" t="e" cm="1">
        <f t="array" ca="1" aca="1" ref="CW202">IF(W201="Scenario","",_xldudf_CX_PUSH(W201,CX_ENTITY,C202,EOMONTH(val_asOfDate,3)))</f>
        <v>#NAME?</v>
      </c>
      <c r="CX202" s="2566"/>
      <c r="CY202" s="1880"/>
      <c r="CZ202" s="1880"/>
      <c r="DA202" s="1880"/>
      <c r="DB202" s="1880"/>
      <c r="DC202" s="2121"/>
      <c r="DD202" s="1880"/>
      <c r="DE202" s="1880"/>
      <c r="DF202" s="1880"/>
      <c r="DG202" s="1880"/>
      <c r="DH202" s="1880"/>
      <c r="DI202" s="1880"/>
      <c r="DJ202" s="1880"/>
      <c r="DK202" s="1880"/>
      <c r="DL202" s="1880"/>
      <c r="DM202" s="1880"/>
      <c r="DN202" s="1880"/>
      <c r="DO202" s="1880"/>
      <c r="DP202" s="1880"/>
      <c r="DQ202" s="1880"/>
      <c r="DR202" s="1880"/>
      <c r="DS202" s="1880"/>
      <c r="DT202" s="1880"/>
      <c r="DU202" s="1880"/>
      <c r="DV202" s="1880"/>
      <c r="DW202" s="1880"/>
      <c r="DX202" s="1880"/>
      <c r="DY202" s="1880"/>
      <c r="DZ202" s="1880"/>
      <c r="EA202" s="1880"/>
      <c r="EB202" s="1880"/>
      <c r="EC202" s="1880"/>
      <c r="ED202" s="1880"/>
      <c r="EE202" s="1880"/>
      <c r="EF202" s="1880"/>
      <c r="EG202" s="1880"/>
      <c r="EH202" s="1880"/>
      <c r="EI202" s="1880"/>
      <c r="EJ202" s="1880"/>
      <c r="EK202" s="1880"/>
      <c r="EL202" s="1880"/>
      <c r="EM202" s="1880"/>
      <c r="EN202" s="1880"/>
      <c r="EO202" s="1880"/>
      <c r="EP202" s="1880"/>
      <c r="EQ202" s="1880"/>
      <c r="ER202" s="1880"/>
      <c r="ES202" s="1880"/>
      <c r="ET202" s="1880"/>
      <c r="EU202" s="1880"/>
      <c r="EV202" s="1880"/>
      <c r="EW202" s="1880"/>
    </row>
    <row r="203" spans="1:153" ht="30.75" customHeight="1">
      <c r="A203" s="1627"/>
      <c r="B203" s="2439" t="str">
        <f>_xlfn.LET(_xlpm.IsNotAttrDynamic,D203="",_xlpm.Attr,_PL!F203,_xlpm.NotInUse,Y203=D203,_xlpm.RESULT,IF(_xlpm.IsNotAttrDynamic,_xlpm.Attr,IF(_xlpm.NotInUse,"",Y203)),IF(_xlpm.RESULT="","",_xlpm.RESULT))</f>
        <v/>
      </c>
      <c r="C203" s="2439" t="str" cm="1">
        <f t="array" ref="C203">IFBLANK(_PL!C203,"")</f>
        <v/>
      </c>
      <c r="D203" s="1548"/>
      <c r="E203" s="2453"/>
      <c r="F203" s="572"/>
      <c r="G203" s="572"/>
      <c r="H203" s="572"/>
      <c r="I203" s="572">
        <v>3</v>
      </c>
      <c r="J203" s="401"/>
      <c r="K203" s="578" t="str">
        <f t="shared" si="54"/>
        <v>No</v>
      </c>
      <c r="L203" s="37"/>
      <c r="N203" s="158"/>
      <c r="O203" s="101"/>
      <c r="P203" s="52"/>
      <c r="Q203" s="101"/>
      <c r="R203" s="101"/>
      <c r="S203" s="153"/>
      <c r="T203" s="153"/>
      <c r="U203" s="39"/>
      <c r="V203" s="37"/>
      <c r="W203" s="161"/>
      <c r="X203" s="887"/>
      <c r="Y203" s="2597"/>
      <c r="Z203" s="789"/>
      <c r="AA203" s="163"/>
      <c r="AB203" s="162"/>
      <c r="AC203" s="1164"/>
      <c r="AD203" s="2493" cm="1">
        <f t="array" ref="AD203:BN203">array_timeline</f>
        <v>44926</v>
      </c>
      <c r="AE203" s="2493">
        <v>44957</v>
      </c>
      <c r="AF203" s="2493">
        <v>44985</v>
      </c>
      <c r="AG203" s="2493">
        <v>45016</v>
      </c>
      <c r="AH203" s="2493">
        <v>45046</v>
      </c>
      <c r="AI203" s="2493">
        <v>45077</v>
      </c>
      <c r="AJ203" s="2493">
        <v>45107</v>
      </c>
      <c r="AK203" s="2493">
        <v>45138</v>
      </c>
      <c r="AL203" s="2493">
        <v>45169</v>
      </c>
      <c r="AM203" s="2493">
        <v>45199</v>
      </c>
      <c r="AN203" s="2493">
        <v>45230</v>
      </c>
      <c r="AO203" s="2493">
        <v>45260</v>
      </c>
      <c r="AP203" s="2493">
        <v>45291</v>
      </c>
      <c r="AQ203" s="2493">
        <v>45322</v>
      </c>
      <c r="AR203" s="2493">
        <v>45351</v>
      </c>
      <c r="AS203" s="2493">
        <v>45382</v>
      </c>
      <c r="AT203" s="2493">
        <v>45412</v>
      </c>
      <c r="AU203" s="2493">
        <v>45443</v>
      </c>
      <c r="AV203" s="2493">
        <v>45473</v>
      </c>
      <c r="AW203" s="2493">
        <v>45504</v>
      </c>
      <c r="AX203" s="2493">
        <v>45535</v>
      </c>
      <c r="AY203" s="2493">
        <v>45565</v>
      </c>
      <c r="AZ203" s="2493">
        <v>45596</v>
      </c>
      <c r="BA203" s="2493">
        <v>45626</v>
      </c>
      <c r="BB203" s="2493">
        <v>45657</v>
      </c>
      <c r="BC203" s="2493">
        <v>45688</v>
      </c>
      <c r="BD203" s="2493">
        <v>45716</v>
      </c>
      <c r="BE203" s="2493">
        <v>45747</v>
      </c>
      <c r="BF203" s="2493">
        <v>45777</v>
      </c>
      <c r="BG203" s="2493">
        <v>45808</v>
      </c>
      <c r="BH203" s="2493">
        <v>45838</v>
      </c>
      <c r="BI203" s="2493">
        <v>45869</v>
      </c>
      <c r="BJ203" s="2493">
        <v>45900</v>
      </c>
      <c r="BK203" s="2493">
        <v>45930</v>
      </c>
      <c r="BL203" s="2493">
        <v>45961</v>
      </c>
      <c r="BM203" s="2493">
        <v>45991</v>
      </c>
      <c r="BN203" s="2494">
        <v>46022</v>
      </c>
      <c r="BO203" s="2495"/>
      <c r="BP203" s="2495"/>
      <c r="BQ203" s="2495"/>
      <c r="BR203" s="2495"/>
      <c r="BS203" s="2495"/>
      <c r="BT203" s="2495"/>
      <c r="BU203" s="2495"/>
      <c r="BV203" s="2495"/>
      <c r="BW203" s="2495"/>
      <c r="BX203" s="2495"/>
      <c r="BY203" s="2495"/>
      <c r="BZ203" s="2495"/>
      <c r="CA203" s="34"/>
      <c r="CC203" s="2587"/>
      <c r="CD203" s="1722" t="e" cm="1">
        <f t="array" ca="1" aca="1" ref="CD203">EOMONTH(val_currentFYE,-24)</f>
        <v>#NAME?</v>
      </c>
      <c r="CE203" s="1723" t="e" cm="1">
        <f t="array" ca="1" aca="1" ref="CE203">EOMONTH(val_currentFYE,-12)</f>
        <v>#NAME?</v>
      </c>
      <c r="CF203" s="277"/>
      <c r="CG203" s="1732">
        <f>EOMONTH(val_asOfDate,0)</f>
        <v>46022</v>
      </c>
      <c r="CH203" s="1733">
        <f>EOMONTH(val_asOfDate,0)</f>
        <v>46022</v>
      </c>
      <c r="CI203" s="276"/>
      <c r="CJ203" s="1730">
        <f>EOMONTH(val_asOfDate,-1)</f>
        <v>45991</v>
      </c>
      <c r="CK203" s="1731">
        <f>EOMONTH(val_asOfDate,0)</f>
        <v>46022</v>
      </c>
      <c r="CL203" s="88"/>
      <c r="CM203" s="2561" t="e" cm="1">
        <f t="array" ca="1" aca="1" ref="CM203">val_currentFYE</f>
        <v>#NAME?</v>
      </c>
      <c r="CN203" s="2581" t="e" cm="1">
        <f t="array" ca="1" aca="1" ref="CN203">val_currentFYE</f>
        <v>#NAME?</v>
      </c>
      <c r="CO203" s="2580"/>
      <c r="CP203" s="2561" t="e" cm="1">
        <f t="array" ca="1" aca="1" ref="CP203">EOMONTH(val_currentFYE,12)</f>
        <v>#NAME?</v>
      </c>
      <c r="CQ203" s="2581" t="e" cm="1">
        <f t="array" ca="1" aca="1" ref="CQ203">EOMONTH(val_currentFYE,12)</f>
        <v>#NAME?</v>
      </c>
      <c r="CR203" s="34"/>
      <c r="CS203" s="2056"/>
      <c r="CT203" s="1880"/>
      <c r="CU203" s="1880"/>
      <c r="CV203" s="1880"/>
      <c r="CW203" s="1880"/>
      <c r="CX203" s="2121"/>
      <c r="CY203" s="1880"/>
      <c r="CZ203" s="1880"/>
      <c r="DA203" s="1880"/>
      <c r="DB203" s="1880"/>
      <c r="DC203" s="2121"/>
      <c r="DD203" s="1880"/>
      <c r="DE203" s="1880"/>
      <c r="DF203" s="1880"/>
      <c r="DG203" s="1880"/>
      <c r="DH203" s="1880"/>
      <c r="DI203" s="1880"/>
      <c r="DJ203" s="1880"/>
      <c r="DK203" s="1880"/>
      <c r="DL203" s="1880"/>
      <c r="DM203" s="1880"/>
      <c r="DN203" s="1880"/>
      <c r="DO203" s="1880"/>
      <c r="DP203" s="1880"/>
      <c r="DQ203" s="1880"/>
      <c r="DR203" s="1880"/>
      <c r="DS203" s="1880"/>
      <c r="DT203" s="1880"/>
      <c r="DU203" s="1880"/>
      <c r="DV203" s="1880"/>
      <c r="DW203" s="1880"/>
      <c r="DX203" s="1880"/>
      <c r="DY203" s="1880"/>
      <c r="DZ203" s="1880"/>
      <c r="EA203" s="1880"/>
      <c r="EB203" s="1880"/>
      <c r="EC203" s="1880"/>
      <c r="ED203" s="1880"/>
      <c r="EE203" s="1880"/>
      <c r="EF203" s="1880"/>
      <c r="EG203" s="1880"/>
      <c r="EH203" s="1880"/>
      <c r="EI203" s="1880"/>
      <c r="EJ203" s="1880"/>
      <c r="EK203" s="1880"/>
      <c r="EL203" s="1880"/>
      <c r="EM203" s="1880"/>
      <c r="EN203" s="1880"/>
      <c r="EO203" s="1880"/>
      <c r="EP203" s="1880"/>
      <c r="EQ203" s="1880"/>
      <c r="ER203" s="1880"/>
      <c r="ES203" s="1880"/>
      <c r="ET203" s="1880"/>
      <c r="EU203" s="1880"/>
      <c r="EV203" s="1880"/>
      <c r="EW203" s="1880"/>
    </row>
    <row r="204" spans="1:146" ht="30.75" customHeight="1">
      <c r="A204" s="1627"/>
      <c r="B204" s="2439" t="str">
        <f>_xlfn.LET(_xlpm.IsNotAttrDynamic,D204="",_xlpm.Attr,_PL!F204,_xlpm.NotInUse,Y204=D204,_xlpm.RESULT,IF(_xlpm.IsNotAttrDynamic,_xlpm.Attr,IF(_xlpm.NotInUse,"",Y204)),IF(_xlpm.RESULT="","",_xlpm.RESULT))</f>
        <v/>
      </c>
      <c r="C204" s="2439" t="str" cm="1">
        <f t="array" ref="C204">IFBLANK(_PL!C204,"")</f>
        <v/>
      </c>
      <c r="D204" s="1548" t="s">
        <v>159</v>
      </c>
      <c r="E204" s="2453"/>
      <c r="F204" s="576"/>
      <c r="G204" s="576"/>
      <c r="H204" s="2546"/>
      <c r="I204" s="2546"/>
      <c r="J204" s="401"/>
      <c r="K204" s="578" t="str">
        <f t="shared" si="54"/>
        <v>No</v>
      </c>
      <c r="L204" s="37"/>
      <c r="N204" s="158"/>
      <c r="O204" s="101"/>
      <c r="P204" s="52"/>
      <c r="Q204" s="101"/>
      <c r="R204" s="101"/>
      <c r="S204" s="3008" t="e" vm="7">
        <v>#VALUE!</v>
      </c>
      <c r="T204" s="3008"/>
      <c r="U204" s="39"/>
      <c r="V204" s="37"/>
      <c r="W204" s="272" t="s">
        <v>94</v>
      </c>
      <c r="X204" s="889"/>
      <c r="Y204" s="279" t="s">
        <v>159</v>
      </c>
      <c r="Z204" s="798"/>
      <c r="AA204" s="193"/>
      <c r="AB204" s="193"/>
      <c r="AC204" s="125"/>
      <c r="AD204" s="2641" t="e">
        <f ca="1">$W$201</f>
        <v>#NAME?</v>
      </c>
      <c r="AE204" s="2641" t="e">
        <f ca="1" t="shared" si="56" ref="AE204:BN204">$W$201</f>
        <v>#NAME?</v>
      </c>
      <c r="AF204" s="2641" t="e">
        <f t="shared" ca="1" si="56"/>
        <v>#NAME?</v>
      </c>
      <c r="AG204" s="2641" t="e">
        <f t="shared" ca="1" si="56"/>
        <v>#NAME?</v>
      </c>
      <c r="AH204" s="2641" t="e">
        <f t="shared" ca="1" si="56"/>
        <v>#NAME?</v>
      </c>
      <c r="AI204" s="2641" t="e">
        <f t="shared" ca="1" si="56"/>
        <v>#NAME?</v>
      </c>
      <c r="AJ204" s="2641" t="e">
        <f t="shared" ca="1" si="56"/>
        <v>#NAME?</v>
      </c>
      <c r="AK204" s="2641" t="e">
        <f t="shared" ca="1" si="56"/>
        <v>#NAME?</v>
      </c>
      <c r="AL204" s="2641" t="e">
        <f t="shared" ca="1" si="56"/>
        <v>#NAME?</v>
      </c>
      <c r="AM204" s="2641" t="e">
        <f t="shared" ca="1" si="56"/>
        <v>#NAME?</v>
      </c>
      <c r="AN204" s="2641" t="e">
        <f t="shared" ca="1" si="56"/>
        <v>#NAME?</v>
      </c>
      <c r="AO204" s="2641" t="e">
        <f t="shared" ca="1" si="56"/>
        <v>#NAME?</v>
      </c>
      <c r="AP204" s="2641" t="e">
        <f t="shared" ca="1" si="56"/>
        <v>#NAME?</v>
      </c>
      <c r="AQ204" s="2641" t="e">
        <f t="shared" ca="1" si="56"/>
        <v>#NAME?</v>
      </c>
      <c r="AR204" s="2641" t="e">
        <f t="shared" ca="1" si="56"/>
        <v>#NAME?</v>
      </c>
      <c r="AS204" s="2641" t="e">
        <f t="shared" ca="1" si="56"/>
        <v>#NAME?</v>
      </c>
      <c r="AT204" s="2641" t="e">
        <f t="shared" ca="1" si="56"/>
        <v>#NAME?</v>
      </c>
      <c r="AU204" s="2641" t="e">
        <f t="shared" ca="1" si="56"/>
        <v>#NAME?</v>
      </c>
      <c r="AV204" s="2641" t="e">
        <f t="shared" ca="1" si="56"/>
        <v>#NAME?</v>
      </c>
      <c r="AW204" s="2641" t="e">
        <f t="shared" ca="1" si="56"/>
        <v>#NAME?</v>
      </c>
      <c r="AX204" s="2641" t="e">
        <f t="shared" ca="1" si="56"/>
        <v>#NAME?</v>
      </c>
      <c r="AY204" s="2641" t="e">
        <f t="shared" ca="1" si="56"/>
        <v>#NAME?</v>
      </c>
      <c r="AZ204" s="2641" t="e">
        <f t="shared" ca="1" si="56"/>
        <v>#NAME?</v>
      </c>
      <c r="BA204" s="2641" t="e">
        <f t="shared" ca="1" si="56"/>
        <v>#NAME?</v>
      </c>
      <c r="BB204" s="2641" t="e">
        <f t="shared" ca="1" si="56"/>
        <v>#NAME?</v>
      </c>
      <c r="BC204" s="2641" t="e">
        <f t="shared" ca="1" si="56"/>
        <v>#NAME?</v>
      </c>
      <c r="BD204" s="2641" t="e">
        <f t="shared" ca="1" si="56"/>
        <v>#NAME?</v>
      </c>
      <c r="BE204" s="2641" t="e">
        <f t="shared" ca="1" si="56"/>
        <v>#NAME?</v>
      </c>
      <c r="BF204" s="2641" t="e">
        <f t="shared" ca="1" si="56"/>
        <v>#NAME?</v>
      </c>
      <c r="BG204" s="2641" t="e">
        <f t="shared" ca="1" si="56"/>
        <v>#NAME?</v>
      </c>
      <c r="BH204" s="2641" t="e">
        <f t="shared" ca="1" si="56"/>
        <v>#NAME?</v>
      </c>
      <c r="BI204" s="2641" t="e">
        <f t="shared" ca="1" si="56"/>
        <v>#NAME?</v>
      </c>
      <c r="BJ204" s="2641" t="e">
        <f t="shared" ca="1" si="56"/>
        <v>#NAME?</v>
      </c>
      <c r="BK204" s="2641" t="e">
        <f t="shared" ca="1" si="56"/>
        <v>#NAME?</v>
      </c>
      <c r="BL204" s="2641" t="e">
        <f t="shared" ca="1" si="56"/>
        <v>#NAME?</v>
      </c>
      <c r="BM204" s="2641" t="e">
        <f t="shared" ca="1" si="56"/>
        <v>#NAME?</v>
      </c>
      <c r="BN204" s="2641" t="e">
        <f t="shared" ca="1" si="56"/>
        <v>#NAME?</v>
      </c>
      <c r="BO204" s="2070"/>
      <c r="BP204" s="2070"/>
      <c r="BQ204" s="2070"/>
      <c r="BR204" s="2070"/>
      <c r="BS204" s="2070"/>
      <c r="BT204" s="2070"/>
      <c r="BU204" s="2070"/>
      <c r="BV204" s="2070"/>
      <c r="BW204" s="2070"/>
      <c r="BX204" s="2070"/>
      <c r="BY204" s="2070"/>
      <c r="BZ204" s="2070"/>
      <c r="CA204" s="34"/>
      <c r="CC204" s="58"/>
      <c r="CD204" s="1720" t="e" cm="1">
        <f t="array" ca="1" aca="1" ref="CD204">fx_scenarioConverter($W201)</f>
        <v>#NAME?</v>
      </c>
      <c r="CE204" s="1721" t="e" cm="1">
        <f t="array" ca="1" aca="1" ref="CE204">fx_scenarioConverter($W201)</f>
        <v>#NAME?</v>
      </c>
      <c r="CF204" s="128"/>
      <c r="CG204" s="1734" t="e" cm="1">
        <f t="array" ca="1" aca="1" ref="CG204">fx_scenarioConverter($W201)</f>
        <v>#NAME?</v>
      </c>
      <c r="CH204" s="1735" t="e" cm="1">
        <f t="array" ca="1" aca="1" ref="CH204">fx_scenarioConverter($W201)</f>
        <v>#NAME?</v>
      </c>
      <c r="CI204" s="207"/>
      <c r="CJ204" s="1724" t="e" cm="1">
        <f t="array" ca="1" aca="1" ref="CJ204">fx_scenarioConverter($W201)</f>
        <v>#NAME?</v>
      </c>
      <c r="CK204" s="1725" t="e" cm="1">
        <f t="array" ca="1" aca="1" ref="CK204">fx_scenarioConverter($W201)</f>
        <v>#NAME?</v>
      </c>
      <c r="CL204" s="88"/>
      <c r="CM204" s="1198" t="str">
        <f>CM$19</f>
        <v>Original Budget</v>
      </c>
      <c r="CN204" s="1198" t="str">
        <f>CN$19</f>
        <v>LE</v>
      </c>
      <c r="CO204" s="88"/>
      <c r="CP204" s="1198" t="str">
        <f>CP$19</f>
        <v>Original Budget</v>
      </c>
      <c r="CQ204" s="1198" t="str">
        <f>CQ$19</f>
        <v>LE</v>
      </c>
      <c r="CR204" s="34"/>
      <c r="CS204" s="2056"/>
      <c r="CT204" s="1880"/>
      <c r="CU204" s="1880"/>
      <c r="CV204" s="1880"/>
      <c r="CW204" s="1880"/>
      <c r="CX204" s="2121"/>
      <c r="CY204" s="1880"/>
      <c r="CZ204" s="1880"/>
      <c r="DA204" s="1880"/>
      <c r="DB204" s="1880"/>
      <c r="DC204" s="2121"/>
      <c r="DD204" s="1880"/>
      <c r="DE204" s="1880"/>
      <c r="DF204" s="1880"/>
      <c r="DG204" s="1880"/>
      <c r="DH204" s="1880"/>
      <c r="DI204" s="1880"/>
      <c r="DJ204" s="1880"/>
      <c r="DK204" s="1880"/>
      <c r="DL204" s="1880"/>
      <c r="DM204" s="1880"/>
      <c r="DN204" s="1880"/>
      <c r="DO204" s="1880"/>
      <c r="DP204" s="1880"/>
      <c r="DQ204" s="1880"/>
      <c r="DR204" s="1880"/>
      <c r="DS204" s="1880"/>
      <c r="DT204" s="1880"/>
      <c r="DU204" s="1880"/>
      <c r="DV204" s="1880"/>
      <c r="DW204" s="1880"/>
      <c r="DX204" s="1880"/>
      <c r="DY204" s="1880"/>
      <c r="DZ204" s="1880"/>
      <c r="EA204" s="1880"/>
      <c r="EB204" s="1880"/>
      <c r="EC204" s="1880"/>
      <c r="ED204" s="1880"/>
      <c r="EE204" s="1880"/>
      <c r="EF204" s="1880"/>
      <c r="EG204" s="1880"/>
      <c r="EH204" s="1880"/>
      <c r="EI204" s="1880"/>
      <c r="EJ204" s="1880"/>
      <c r="EK204" s="1880"/>
      <c r="EL204" s="1880"/>
      <c r="EM204" s="1880"/>
      <c r="EN204" s="1880"/>
      <c r="EO204" s="1880"/>
      <c r="EP204" s="1880"/>
    </row>
    <row r="205" spans="1:144" ht="21" customHeight="1">
      <c r="A205" s="1627" t="s">
        <v>96</v>
      </c>
      <c r="B205" s="3182">
        <f>_xlfn.LET(_xlpm.IsNotAttrDynamic,D205="",_xlpm.Attr,_PL!F205,_xlpm.NotInUse,Y205=D205,_xlpm.RESULT,IF(_xlpm.IsNotAttrDynamic,_xlpm.Attr,IF(_xlpm.NotInUse,"",Y205)),IF(_xlpm.RESULT="","",_xlpm.RESULT))</f>
        <v>2</v>
      </c>
      <c r="C205" s="2439" t="str" cm="1">
        <f t="array" ref="C205">IFBLANK(_PL!C205,"")</f>
        <v>Segment II Breakdown Top Line Label</v>
      </c>
      <c r="D205" s="1548" t="s">
        <v>160</v>
      </c>
      <c r="E205" s="2440" t="e" cm="1">
        <f t="array" ca="1" aca="1" ref="E20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205:$CQ205,Z205)</f>
        <v>#NAME?</v>
      </c>
      <c r="F205" s="578"/>
      <c r="G205" s="578"/>
      <c r="H205" s="3294">
        <v>2</v>
      </c>
      <c r="I205" s="3294">
        <v>1</v>
      </c>
      <c r="J205" s="401" cm="1">
        <f t="array" ref="J205">IFBLANK(Z205,"")</f>
        <v>0</v>
      </c>
      <c r="K205" s="578" t="str">
        <f>IFERROR(IF(LEN(AB205)=0,"No",IF(LEN(J205)&gt;0,"Yes","No")),"")</f>
        <v>Yes</v>
      </c>
      <c r="L205" s="37"/>
      <c r="N205" s="158"/>
      <c r="O205" s="101"/>
      <c r="P205" s="52"/>
      <c r="Q205" s="101"/>
      <c r="R205" s="101"/>
      <c r="S205" s="3008"/>
      <c r="T205" s="3008"/>
      <c r="U205" s="39"/>
      <c r="V205" s="37"/>
      <c r="W205" s="91" t="e" cm="1">
        <f t="array" ca="1" aca="1" ref="W205">fx_scenarioConverter(W201)</f>
        <v>#NAME?</v>
      </c>
      <c r="X205" s="897" t="e" vm="4">
        <f>_PL!X205</f>
        <v>#VALUE!</v>
      </c>
      <c r="Y205" s="3223">
        <v>2</v>
      </c>
      <c r="Z205" s="878">
        <f>_PL!Z205</f>
        <v>0</v>
      </c>
      <c r="AA205" s="877"/>
      <c r="AB205" s="3184">
        <f>Y205</f>
        <v>2</v>
      </c>
      <c r="AC205" s="1163" t="str" cm="1">
        <f t="array" ca="1" aca="1" ref="AC205">_xlfn.LET(_xlpm._termname,$AB205,_xlpm._iconname,"find",_xlpm._icon,fx_getIcon(_xlpm._iconname),_xlpm._location,_xlfn.XLOOKUP(LOWER(_xlpm._termname),LOWER(tbl_acctDef[Term]),tbl_acctDef[Term]),_xlpm._hyperlink,HYPERLINK("#"&amp;CELL("address",_xlpm._location),_xlpm._icon),IFERROR(_xlpm._hyperlink,""))</f>
        <v/>
      </c>
      <c r="AD205" s="2642" t="e" cm="1">
        <f t="array" ca="1" aca="1" ref="AD205">_xlfn.XLOOKUP($W205&amp;$AB205,$W$20:$W$141&amp;$AB$20:$AB$141,AD$20:BN$141,"")</f>
        <v>#NAME?</v>
      </c>
      <c r="AE205" s="2564"/>
      <c r="AF205" s="918"/>
      <c r="AG205" s="918"/>
      <c r="AH205" s="918"/>
      <c r="AI205" s="918"/>
      <c r="AJ205" s="918"/>
      <c r="AK205" s="918"/>
      <c r="AL205" s="918"/>
      <c r="AM205" s="918"/>
      <c r="AN205" s="918"/>
      <c r="AO205" s="918"/>
      <c r="AP205" s="918"/>
      <c r="AQ205" s="918"/>
      <c r="AR205" s="918"/>
      <c r="AS205" s="918"/>
      <c r="AT205" s="918"/>
      <c r="AU205" s="918"/>
      <c r="AV205" s="918"/>
      <c r="AW205" s="918"/>
      <c r="AX205" s="918"/>
      <c r="AY205" s="918"/>
      <c r="AZ205" s="918"/>
      <c r="BA205" s="918"/>
      <c r="BB205" s="918"/>
      <c r="BC205" s="918"/>
      <c r="BD205" s="918"/>
      <c r="BE205" s="918"/>
      <c r="BF205" s="918"/>
      <c r="BG205" s="918"/>
      <c r="BH205" s="918"/>
      <c r="BI205" s="918"/>
      <c r="BJ205" s="918"/>
      <c r="BK205" s="918"/>
      <c r="BL205" s="918"/>
      <c r="BM205" s="918"/>
      <c r="BN205" s="918"/>
      <c r="BO205" s="2096"/>
      <c r="BP205" s="2096"/>
      <c r="BQ205" s="2096"/>
      <c r="BR205" s="2096"/>
      <c r="BS205" s="2096"/>
      <c r="BT205" s="2096"/>
      <c r="BU205" s="2096"/>
      <c r="BV205" s="2096"/>
      <c r="BW205" s="2096"/>
      <c r="BX205" s="2096"/>
      <c r="BY205" s="2096"/>
      <c r="BZ205" s="2096"/>
      <c r="CA205" s="34"/>
      <c r="CC205" s="927"/>
      <c r="CD205" s="1461" t="e" cm="1">
        <f t="array" ca="1" aca="1" ref="CD205">_xlfn.LET(_xlpm.CheckBlank,SUM(PL!$AD205:$BN205)=0,IF(_xlpm.CheckBlank,"",SUM(_xlfn._xlws.FILTER(PL!$AD205:$BN205,(YEAR(PL!$AD$12:$BN$12)=PL!CD$12)*(array_timeline&lt;=PL!CD$11)))))</f>
        <v>#NAME?</v>
      </c>
      <c r="CE205" s="1461" t="e" cm="1">
        <f t="array" ca="1" aca="1" ref="CE205">_xlfn.LET(_xlpm.CheckBlank,SUM(PL!$AD205:$BN205)=0,IF(_xlpm.CheckBlank,"",SUM(_xlfn._xlws.FILTER(PL!$AD205:$BN205,(YEAR(PL!$AD$12:$BN$12)=PL!CE$12)*(array_timeline&lt;=PL!CE$11)))))</f>
        <v>#NAME?</v>
      </c>
      <c r="CF205" s="88"/>
      <c r="CG205" s="1461" t="e" cm="1">
        <f t="array" ca="1" aca="1" ref="CG205">_xlfn.LET(_xlpm.CheckBlank,SUM(PL!$AD205:$BN205)=0,IF(_xlpm.CheckBlank,"",SUM(_xlfn._xlws.FILTER(PL!$AD205:$BN205,(YEAR(PL!$AD$12:$BN$12)=PL!CG$12)*(array_timeline&lt;=PL!CG$11)))))</f>
        <v>#NAME?</v>
      </c>
      <c r="CH205" s="1461" t="e" cm="1">
        <f t="array" ca="1" aca="1" ref="CH205">_xlfn.LET(_xlpm.CheckBlank,SUM(PL!$AD205:$BN205)=0,IF(_xlpm.CheckBlank,"",SUM(_xlfn._xlws.FILTER(PL!$AD205:$BN205,(YEAR(PL!$AD$12:$BN$12)=PL!CH$12)*(array_timeline&lt;=PL!CH$11)))))</f>
        <v>#NAME?</v>
      </c>
      <c r="CI205" s="88"/>
      <c r="CJ205" s="1461" t="e" cm="1">
        <f t="array" ca="1" aca="1" ref="CJ205">_xlfn.LET(_xlpm.CheckBlank,SUM(PL!$AD205:$BN205)=0,IF(_xlpm.CheckBlank,"",SUM(_xlfn.TAKE(_xlfn.DROP(PL!$AD205:$BN205,,-DATEDIFF(PL!CJ$11,val_asOfDate,"M")),1,-12))))</f>
        <v>#NAME?</v>
      </c>
      <c r="CK205" s="1461" t="e" cm="1">
        <f t="array" ca="1" aca="1" ref="CK205">_xlfn.LET(_xlpm.CheckBlank,SUM(PL!$AD205:$BN205)=0,IF(_xlpm.CheckBlank,"",SUM(_xlfn.TAKE(_xlfn.DROP(PL!$AD205:$BN205,,-DATEDIFF(PL!CK$11,val_asOfDate,"M")),1,-12))))</f>
        <v>#NAME?</v>
      </c>
      <c r="CL205" s="88"/>
      <c r="CM205" s="2060" t="str" cm="1">
        <f t="array" ca="1" aca="1" ref="CM205">_xlfn.LET(_xlpm.findRow,_xlfn.XMATCH($W205&amp;$Y205,$W$20:$W$118&amp;$AB$20:$AB$118,0),_xlpm.Choose,_xlfn.CHOOSEROWS(CM$20:CN$118,_xlpm.findRow),_xlpm.RESULT,IF(ISERROR(_xlpm.findRow),"",_xlpm.Choose),_xlpm.RESULT)</f>
        <v/>
      </c>
      <c r="CN205" s="2060"/>
      <c r="CO205" s="88"/>
      <c r="CP205" s="2060" t="str" cm="1">
        <f t="array" ca="1" aca="1" ref="CP205">_xlfn.LET(_xlpm.findRow,_xlfn.XMATCH($W205&amp;$Y205,$W$20:$W$118&amp;$AB$20:$AB$118,0),_xlpm.Choose,_xlfn.CHOOSEROWS(CP$20:CQ$118,_xlpm.findRow),_xlpm.RESULT,IF(ISERROR(_xlpm.findRow),"",_xlpm.Choose),_xlpm.RESULT)</f>
        <v/>
      </c>
      <c r="CQ205" s="2060"/>
      <c r="CR205" s="34"/>
      <c r="CS205" s="2056"/>
      <c r="CT205" s="2447" t="e" cm="1">
        <f t="array" ca="1" aca="1" ref="CT205">IF(Y205="Please select the metric for segmentation","",_xldudf_CX_PUSH(Y205,CX_ENTITY,C205,val_asOfDate))</f>
        <v>#NAME?</v>
      </c>
      <c r="CU205" s="2447" t="e" cm="1">
        <f t="array" ca="1" aca="1" ref="CU205">IF(Y205="Please select the metric for segmentation","",_xldudf_CX_PUSH(Y205,CX_ENTITY,C205,EOMONTH(val_asOfDate,1)))</f>
        <v>#NAME?</v>
      </c>
      <c r="CV205" s="2447" t="e" cm="1">
        <f t="array" ca="1" aca="1" ref="CV205">IF(Y205="Please select the metric for segmentation","",_xldudf_CX_PUSH(Y205,CX_ENTITY,C205,EOMONTH(val_asOfDate,2)))</f>
        <v>#NAME?</v>
      </c>
      <c r="CW205" s="2447" t="e" cm="1">
        <f t="array" ca="1" aca="1" ref="CW205">IF(Y205="Please select the metric for segmentation","",_xldudf_CX_PUSH(Y205,CX_ENTITY,C205,EOMONTH(val_asOfDate,3)))</f>
        <v>#NAME?</v>
      </c>
      <c r="CX205" s="2566"/>
      <c r="CY205" s="2444" t="str" cm="1">
        <f t="array" ca="1" aca="1" ref="CY205">IFERROR(IF(CM205*fxVal_normal=_PL!CM205,"",IF(OR($CM205="",$CM205=0,NOT(ISNUMBER($CM205)),ISERROR($CM205),$B205=""),"",IF($I205=1,IFBLANK(_xldudf_CX_PUSH($CM205*fxVal_normal,CX_ENTITY,$B205,$CM$11,$CM$14,$CM$19,),""),IF($I205=2,IFBLANK(_xldudf_CX_PUSH($CM205,CX_ENTITY,$B205,$CM$11,$CM$14,$CM$19,),""),IF($I205=3,"",IFBLANK(_xldudf_CX_PUSH($CM205,CX_ENTITY,$B205,$CM$11,$CM$14,$CM$19,),"")))))),"")</f>
        <v/>
      </c>
      <c r="CZ205" s="2444" t="str" cm="1">
        <f t="array" ref="CZ205">IFERROR(IF(CN205*fxVal_normal=_PL!CN205,"",IF(OR($CN205="",$CN205=0,NOT(ISNUMBER($CN205)),ISERROR($CN205),$B205=""),"",IF($I205=1,IFBLANK(_xldudf_CX_PUSH($CN205*fxVal_normal,CX_ENTITY,$B205,$CN$11,$CN$14,$CN$19,),""),IF($I205=2,IFBLANK(_xldudf_CX_PUSH($CN205,CX_ENTITY,$B205,$CN$11,$CN$14,$CN$19,),""),IF($I205=3,"",IFBLANK(_xldudf_CX_PUSH($CN205,CX_ENTITY,$B205,$CN$11,$CN$14,$CN$19,),"")))))),"")</f>
        <v/>
      </c>
      <c r="DA205" s="2444" t="str" cm="1">
        <f t="array" ca="1" aca="1" ref="DA205">IFERROR(IF(CP205*fxVal_normal=_PL!CP205,"",IF(OR($CP205="",$CP205=0,NOT(ISNUMBER($CP205)),ISERROR($CP205),$B205=""),"",IF($I205=1,IFBLANK(_xldudf_CX_PUSH($CP205*fxVal_normal,CX_ENTITY,$B205,$CP$11,$CP$14,$CP$19,),""),IF($I205=2,IFBLANK(_xldudf_CX_PUSH($CP205,CX_ENTITY,$B205,$CP$11,$CP$14,$CP$19,),""),IF($I205=3,"",IFBLANK(_xldudf_CX_PUSH($CP205,CX_ENTITY,$B205,$CP$11,$CP$14,$CP$19,),"")))))),"")</f>
        <v/>
      </c>
      <c r="DB205" s="2444" t="str" cm="1">
        <f t="array" ref="DB205">IFERROR(IF(CQ205*fxVal_normal=_PL!CQ205,"",IF(OR($CQ205="",$CQ205=0,NOT(ISNUMBER($CQ205)),ISERROR($CQ205),$B205=""),"",IF($I205=1,IFBLANK(_xldudf_CX_PUSH($CQ205*fxVal_normal,CX_ENTITY,$B205,$CQ$11,$CQ$14,$CQ$19,),""),IF($I205=2,IFBLANK(_xldudf_CX_PUSH($CQ205,CX_ENTITY,$B205,$CQ$11,$CQ$14,$CQ$19,),""),IF($I205=3,"",IFBLANK(_xldudf_CX_PUSH($CQ205,CX_ENTITY,$B205,$CQ$11,$CQ$14,$CQ$19,),"")))))),"")</f>
        <v/>
      </c>
      <c r="DC205" s="2443"/>
      <c r="DD205" s="2445" t="str" cm="1">
        <f t="array" ca="1" aca="1" ref="DD205">IFERROR(IF(AD205*fxVal_normal=_PL!AD205,"",IF(OR(AD205="",NOT(ISNUMBER(AD205)),ISERROR(AD205),$B205=""),"",IF($I205=1,IFBLANK(_xldudf_CX_PUSH(AD205*fxVal_normal,CX_ENTITY,$B205,AD$11,AD$14,AD$204,),""),IF($I205=2,IFBLANK(_xldudf_CX_PUSH(AD205,CX_ENTITY,$B205,AD$11,AD$14,AD$204,),""),IF($I205=3,"",IFBLANK(_xldudf_CX_PUSH(AD205,CX_ENTITY,$B205,AD$11,AD$14,AD$204,),"")))))),"")</f>
        <v/>
      </c>
      <c r="DE205" s="2445" t="str" cm="1">
        <f t="array" ca="1" aca="1" ref="DE205">IFERROR(IF(AE205*fxVal_normal=_PL!AE205,"",IF(OR(AE205="",NOT(ISNUMBER(AE205)),ISERROR(AE205),$B205=""),"",IF($I205=1,IFBLANK(_xldudf_CX_PUSH(AE205*fxVal_normal,CX_ENTITY,$B205,AE$11,AE$14,AE$204,),""),IF($I205=2,IFBLANK(_xldudf_CX_PUSH(AE205,CX_ENTITY,$B205,AE$11,AE$14,AE$204,),""),IF($I205=3,"",IFBLANK(_xldudf_CX_PUSH(AE205,CX_ENTITY,$B205,AE$11,AE$14,AE$204,),"")))))),"")</f>
        <v/>
      </c>
      <c r="DF205" s="2445" t="str" cm="1">
        <f t="array" ca="1" aca="1" ref="DF205">IFERROR(IF(AF205*fxVal_normal=_PL!AF205,"",IF(OR(AF205="",NOT(ISNUMBER(AF205)),ISERROR(AF205),$B205=""),"",IF($I205=1,IFBLANK(_xldudf_CX_PUSH(AF205*fxVal_normal,CX_ENTITY,$B205,AF$11,AF$14,AF$204,),""),IF($I205=2,IFBLANK(_xldudf_CX_PUSH(AF205,CX_ENTITY,$B205,AF$11,AF$14,AF$204,),""),IF($I205=3,"",IFBLANK(_xldudf_CX_PUSH(AF205,CX_ENTITY,$B205,AF$11,AF$14,AF$204,),"")))))),"")</f>
        <v/>
      </c>
      <c r="DG205" s="2445" t="str" cm="1">
        <f t="array" ca="1" aca="1" ref="DG205">IFERROR(IF(AG205*fxVal_normal=_PL!AG205,"",IF(OR(AG205="",NOT(ISNUMBER(AG205)),ISERROR(AG205),$B205=""),"",IF($I205=1,IFBLANK(_xldudf_CX_PUSH(AG205*fxVal_normal,CX_ENTITY,$B205,AG$11,AG$14,AG$204,),""),IF($I205=2,IFBLANK(_xldudf_CX_PUSH(AG205,CX_ENTITY,$B205,AG$11,AG$14,AG$204,),""),IF($I205=3,"",IFBLANK(_xldudf_CX_PUSH(AG205,CX_ENTITY,$B205,AG$11,AG$14,AG$204,),"")))))),"")</f>
        <v/>
      </c>
      <c r="DH205" s="2445" t="str" cm="1">
        <f t="array" ca="1" aca="1" ref="DH205">IFERROR(IF(AH205*fxVal_normal=_PL!AH205,"",IF(OR(AH205="",NOT(ISNUMBER(AH205)),ISERROR(AH205),$B205=""),"",IF($I205=1,IFBLANK(_xldudf_CX_PUSH(AH205*fxVal_normal,CX_ENTITY,$B205,AH$11,AH$14,AH$204,),""),IF($I205=2,IFBLANK(_xldudf_CX_PUSH(AH205,CX_ENTITY,$B205,AH$11,AH$14,AH$204,),""),IF($I205=3,"",IFBLANK(_xldudf_CX_PUSH(AH205,CX_ENTITY,$B205,AH$11,AH$14,AH$204,),"")))))),"")</f>
        <v/>
      </c>
      <c r="DI205" s="2445" t="str" cm="1">
        <f t="array" ca="1" aca="1" ref="DI205">IFERROR(IF(AI205*fxVal_normal=_PL!AI205,"",IF(OR(AI205="",NOT(ISNUMBER(AI205)),ISERROR(AI205),$B205=""),"",IF($I205=1,IFBLANK(_xldudf_CX_PUSH(AI205*fxVal_normal,CX_ENTITY,$B205,AI$11,AI$14,AI$204,),""),IF($I205=2,IFBLANK(_xldudf_CX_PUSH(AI205,CX_ENTITY,$B205,AI$11,AI$14,AI$204,),""),IF($I205=3,"",IFBLANK(_xldudf_CX_PUSH(AI205,CX_ENTITY,$B205,AI$11,AI$14,AI$204,),"")))))),"")</f>
        <v/>
      </c>
      <c r="DJ205" s="2445" t="str" cm="1">
        <f t="array" ca="1" aca="1" ref="DJ205">IFERROR(IF(AJ205*fxVal_normal=_PL!AJ205,"",IF(OR(AJ205="",NOT(ISNUMBER(AJ205)),ISERROR(AJ205),$B205=""),"",IF($I205=1,IFBLANK(_xldudf_CX_PUSH(AJ205*fxVal_normal,CX_ENTITY,$B205,AJ$11,AJ$14,AJ$204,),""),IF($I205=2,IFBLANK(_xldudf_CX_PUSH(AJ205,CX_ENTITY,$B205,AJ$11,AJ$14,AJ$204,),""),IF($I205=3,"",IFBLANK(_xldudf_CX_PUSH(AJ205,CX_ENTITY,$B205,AJ$11,AJ$14,AJ$204,),"")))))),"")</f>
        <v/>
      </c>
      <c r="DK205" s="2445" t="str" cm="1">
        <f t="array" ca="1" aca="1" ref="DK205">IFERROR(IF(AK205*fxVal_normal=_PL!AK205,"",IF(OR(AK205="",NOT(ISNUMBER(AK205)),ISERROR(AK205),$B205=""),"",IF($I205=1,IFBLANK(_xldudf_CX_PUSH(AK205*fxVal_normal,CX_ENTITY,$B205,AK$11,AK$14,AK$204,),""),IF($I205=2,IFBLANK(_xldudf_CX_PUSH(AK205,CX_ENTITY,$B205,AK$11,AK$14,AK$204,),""),IF($I205=3,"",IFBLANK(_xldudf_CX_PUSH(AK205,CX_ENTITY,$B205,AK$11,AK$14,AK$204,),"")))))),"")</f>
        <v/>
      </c>
      <c r="DL205" s="2445" t="str" cm="1">
        <f t="array" ca="1" aca="1" ref="DL205">IFERROR(IF(AL205*fxVal_normal=_PL!AL205,"",IF(OR(AL205="",NOT(ISNUMBER(AL205)),ISERROR(AL205),$B205=""),"",IF($I205=1,IFBLANK(_xldudf_CX_PUSH(AL205*fxVal_normal,CX_ENTITY,$B205,AL$11,AL$14,AL$204,),""),IF($I205=2,IFBLANK(_xldudf_CX_PUSH(AL205,CX_ENTITY,$B205,AL$11,AL$14,AL$204,),""),IF($I205=3,"",IFBLANK(_xldudf_CX_PUSH(AL205,CX_ENTITY,$B205,AL$11,AL$14,AL$204,),"")))))),"")</f>
        <v/>
      </c>
      <c r="DM205" s="2445" t="str" cm="1">
        <f t="array" ca="1" aca="1" ref="DM205">IFERROR(IF(AM205*fxVal_normal=_PL!AM205,"",IF(OR(AM205="",NOT(ISNUMBER(AM205)),ISERROR(AM205),$B205=""),"",IF($I205=1,IFBLANK(_xldudf_CX_PUSH(AM205*fxVal_normal,CX_ENTITY,$B205,AM$11,AM$14,AM$204,),""),IF($I205=2,IFBLANK(_xldudf_CX_PUSH(AM205,CX_ENTITY,$B205,AM$11,AM$14,AM$204,),""),IF($I205=3,"",IFBLANK(_xldudf_CX_PUSH(AM205,CX_ENTITY,$B205,AM$11,AM$14,AM$204,),"")))))),"")</f>
        <v/>
      </c>
      <c r="DN205" s="2445" t="str" cm="1">
        <f t="array" ca="1" aca="1" ref="DN205">IFERROR(IF(AN205*fxVal_normal=_PL!AN205,"",IF(OR(AN205="",NOT(ISNUMBER(AN205)),ISERROR(AN205),$B205=""),"",IF($I205=1,IFBLANK(_xldudf_CX_PUSH(AN205*fxVal_normal,CX_ENTITY,$B205,AN$11,AN$14,AN$204,),""),IF($I205=2,IFBLANK(_xldudf_CX_PUSH(AN205,CX_ENTITY,$B205,AN$11,AN$14,AN$204,),""),IF($I205=3,"",IFBLANK(_xldudf_CX_PUSH(AN205,CX_ENTITY,$B205,AN$11,AN$14,AN$204,),"")))))),"")</f>
        <v/>
      </c>
      <c r="DO205" s="2445" t="str" cm="1">
        <f t="array" ca="1" aca="1" ref="DO205">IFERROR(IF(AO205*fxVal_normal=_PL!AO205,"",IF(OR(AO205="",NOT(ISNUMBER(AO205)),ISERROR(AO205),$B205=""),"",IF($I205=1,IFBLANK(_xldudf_CX_PUSH(AO205*fxVal_normal,CX_ENTITY,$B205,AO$11,AO$14,AO$204,),""),IF($I205=2,IFBLANK(_xldudf_CX_PUSH(AO205,CX_ENTITY,$B205,AO$11,AO$14,AO$204,),""),IF($I205=3,"",IFBLANK(_xldudf_CX_PUSH(AO205,CX_ENTITY,$B205,AO$11,AO$14,AO$204,),"")))))),"")</f>
        <v/>
      </c>
      <c r="DP205" s="2445" t="str" cm="1">
        <f t="array" ca="1" aca="1" ref="DP205">IFERROR(IF(AP205*fxVal_normal=_PL!AP205,"",IF(OR(AP205="",NOT(ISNUMBER(AP205)),ISERROR(AP205),$B205=""),"",IF($I205=1,IFBLANK(_xldudf_CX_PUSH(AP205*fxVal_normal,CX_ENTITY,$B205,AP$11,AP$14,AP$204,),""),IF($I205=2,IFBLANK(_xldudf_CX_PUSH(AP205,CX_ENTITY,$B205,AP$11,AP$14,AP$204,),""),IF($I205=3,"",IFBLANK(_xldudf_CX_PUSH(AP205,CX_ENTITY,$B205,AP$11,AP$14,AP$204,),"")))))),"")</f>
        <v/>
      </c>
      <c r="DQ205" s="2445" t="str" cm="1">
        <f t="array" ca="1" aca="1" ref="DQ205">IFERROR(IF(AQ205*fxVal_normal=_PL!AQ205,"",IF(OR(AQ205="",NOT(ISNUMBER(AQ205)),ISERROR(AQ205),$B205=""),"",IF($I205=1,IFBLANK(_xldudf_CX_PUSH(AQ205*fxVal_normal,CX_ENTITY,$B205,AQ$11,AQ$14,AQ$204,),""),IF($I205=2,IFBLANK(_xldudf_CX_PUSH(AQ205,CX_ENTITY,$B205,AQ$11,AQ$14,AQ$204,),""),IF($I205=3,"",IFBLANK(_xldudf_CX_PUSH(AQ205,CX_ENTITY,$B205,AQ$11,AQ$14,AQ$204,),"")))))),"")</f>
        <v/>
      </c>
      <c r="DR205" s="2445" t="str" cm="1">
        <f t="array" ca="1" aca="1" ref="DR205">IFERROR(IF(AR205*fxVal_normal=_PL!AR205,"",IF(OR(AR205="",NOT(ISNUMBER(AR205)),ISERROR(AR205),$B205=""),"",IF($I205=1,IFBLANK(_xldudf_CX_PUSH(AR205*fxVal_normal,CX_ENTITY,$B205,AR$11,AR$14,AR$204,),""),IF($I205=2,IFBLANK(_xldudf_CX_PUSH(AR205,CX_ENTITY,$B205,AR$11,AR$14,AR$204,),""),IF($I205=3,"",IFBLANK(_xldudf_CX_PUSH(AR205,CX_ENTITY,$B205,AR$11,AR$14,AR$204,),"")))))),"")</f>
        <v/>
      </c>
      <c r="DS205" s="2445" t="str" cm="1">
        <f t="array" ca="1" aca="1" ref="DS205">IFERROR(IF(AS205*fxVal_normal=_PL!AS205,"",IF(OR(AS205="",NOT(ISNUMBER(AS205)),ISERROR(AS205),$B205=""),"",IF($I205=1,IFBLANK(_xldudf_CX_PUSH(AS205*fxVal_normal,CX_ENTITY,$B205,AS$11,AS$14,AS$204,),""),IF($I205=2,IFBLANK(_xldudf_CX_PUSH(AS205,CX_ENTITY,$B205,AS$11,AS$14,AS$204,),""),IF($I205=3,"",IFBLANK(_xldudf_CX_PUSH(AS205,CX_ENTITY,$B205,AS$11,AS$14,AS$204,),"")))))),"")</f>
        <v/>
      </c>
      <c r="DT205" s="2445" t="str" cm="1">
        <f t="array" ca="1" aca="1" ref="DT205">IFERROR(IF(AT205*fxVal_normal=_PL!AT205,"",IF(OR(AT205="",NOT(ISNUMBER(AT205)),ISERROR(AT205),$B205=""),"",IF($I205=1,IFBLANK(_xldudf_CX_PUSH(AT205*fxVal_normal,CX_ENTITY,$B205,AT$11,AT$14,AT$204,),""),IF($I205=2,IFBLANK(_xldudf_CX_PUSH(AT205,CX_ENTITY,$B205,AT$11,AT$14,AT$204,),""),IF($I205=3,"",IFBLANK(_xldudf_CX_PUSH(AT205,CX_ENTITY,$B205,AT$11,AT$14,AT$204,),"")))))),"")</f>
        <v/>
      </c>
      <c r="DU205" s="2445" t="str" cm="1">
        <f t="array" ca="1" aca="1" ref="DU205">IFERROR(IF(AU205*fxVal_normal=_PL!AU205,"",IF(OR(AU205="",NOT(ISNUMBER(AU205)),ISERROR(AU205),$B205=""),"",IF($I205=1,IFBLANK(_xldudf_CX_PUSH(AU205*fxVal_normal,CX_ENTITY,$B205,AU$11,AU$14,AU$204,),""),IF($I205=2,IFBLANK(_xldudf_CX_PUSH(AU205,CX_ENTITY,$B205,AU$11,AU$14,AU$204,),""),IF($I205=3,"",IFBLANK(_xldudf_CX_PUSH(AU205,CX_ENTITY,$B205,AU$11,AU$14,AU$204,),"")))))),"")</f>
        <v/>
      </c>
      <c r="DV205" s="2445" t="str" cm="1">
        <f t="array" ca="1" aca="1" ref="DV205">IFERROR(IF(AV205*fxVal_normal=_PL!AV205,"",IF(OR(AV205="",NOT(ISNUMBER(AV205)),ISERROR(AV205),$B205=""),"",IF($I205=1,IFBLANK(_xldudf_CX_PUSH(AV205*fxVal_normal,CX_ENTITY,$B205,AV$11,AV$14,AV$204,),""),IF($I205=2,IFBLANK(_xldudf_CX_PUSH(AV205,CX_ENTITY,$B205,AV$11,AV$14,AV$204,),""),IF($I205=3,"",IFBLANK(_xldudf_CX_PUSH(AV205,CX_ENTITY,$B205,AV$11,AV$14,AV$204,),"")))))),"")</f>
        <v/>
      </c>
      <c r="DW205" s="2445" t="str" cm="1">
        <f t="array" ca="1" aca="1" ref="DW205">IFERROR(IF(AW205*fxVal_normal=_PL!AW205,"",IF(OR(AW205="",NOT(ISNUMBER(AW205)),ISERROR(AW205),$B205=""),"",IF($I205=1,IFBLANK(_xldudf_CX_PUSH(AW205*fxVal_normal,CX_ENTITY,$B205,AW$11,AW$14,AW$204,),""),IF($I205=2,IFBLANK(_xldudf_CX_PUSH(AW205,CX_ENTITY,$B205,AW$11,AW$14,AW$204,),""),IF($I205=3,"",IFBLANK(_xldudf_CX_PUSH(AW205,CX_ENTITY,$B205,AW$11,AW$14,AW$204,),"")))))),"")</f>
        <v/>
      </c>
      <c r="DX205" s="2445" t="str" cm="1">
        <f t="array" ca="1" aca="1" ref="DX205">IFERROR(IF(AX205*fxVal_normal=_PL!AX205,"",IF(OR(AX205="",NOT(ISNUMBER(AX205)),ISERROR(AX205),$B205=""),"",IF($I205=1,IFBLANK(_xldudf_CX_PUSH(AX205*fxVal_normal,CX_ENTITY,$B205,AX$11,AX$14,AX$204,),""),IF($I205=2,IFBLANK(_xldudf_CX_PUSH(AX205,CX_ENTITY,$B205,AX$11,AX$14,AX$204,),""),IF($I205=3,"",IFBLANK(_xldudf_CX_PUSH(AX205,CX_ENTITY,$B205,AX$11,AX$14,AX$204,),"")))))),"")</f>
        <v/>
      </c>
      <c r="DY205" s="2445" t="str" cm="1">
        <f t="array" ca="1" aca="1" ref="DY205">IFERROR(IF(AY205*fxVal_normal=_PL!AY205,"",IF(OR(AY205="",NOT(ISNUMBER(AY205)),ISERROR(AY205),$B205=""),"",IF($I205=1,IFBLANK(_xldudf_CX_PUSH(AY205*fxVal_normal,CX_ENTITY,$B205,AY$11,AY$14,AY$204,),""),IF($I205=2,IFBLANK(_xldudf_CX_PUSH(AY205,CX_ENTITY,$B205,AY$11,AY$14,AY$204,),""),IF($I205=3,"",IFBLANK(_xldudf_CX_PUSH(AY205,CX_ENTITY,$B205,AY$11,AY$14,AY$204,),"")))))),"")</f>
        <v/>
      </c>
      <c r="DZ205" s="2445" t="str" cm="1">
        <f t="array" ca="1" aca="1" ref="DZ205">IFERROR(IF(AZ205*fxVal_normal=_PL!AZ205,"",IF(OR(AZ205="",NOT(ISNUMBER(AZ205)),ISERROR(AZ205),$B205=""),"",IF($I205=1,IFBLANK(_xldudf_CX_PUSH(AZ205*fxVal_normal,CX_ENTITY,$B205,AZ$11,AZ$14,AZ$204,),""),IF($I205=2,IFBLANK(_xldudf_CX_PUSH(AZ205,CX_ENTITY,$B205,AZ$11,AZ$14,AZ$204,),""),IF($I205=3,"",IFBLANK(_xldudf_CX_PUSH(AZ205,CX_ENTITY,$B205,AZ$11,AZ$14,AZ$204,),"")))))),"")</f>
        <v/>
      </c>
      <c r="EA205" s="2445" t="str" cm="1">
        <f t="array" ca="1" aca="1" ref="EA205">IFERROR(IF(BA205*fxVal_normal=_PL!BA205,"",IF(OR(BA205="",NOT(ISNUMBER(BA205)),ISERROR(BA205),$B205=""),"",IF($I205=1,IFBLANK(_xldudf_CX_PUSH(BA205*fxVal_normal,CX_ENTITY,$B205,BA$11,BA$14,BA$204,),""),IF($I205=2,IFBLANK(_xldudf_CX_PUSH(BA205,CX_ENTITY,$B205,BA$11,BA$14,BA$204,),""),IF($I205=3,"",IFBLANK(_xldudf_CX_PUSH(BA205,CX_ENTITY,$B205,BA$11,BA$14,BA$204,),"")))))),"")</f>
        <v/>
      </c>
      <c r="EB205" s="2445" t="str" cm="1">
        <f t="array" ca="1" aca="1" ref="EB205">IFERROR(IF(BB205*fxVal_normal=_PL!BB205,"",IF(OR(BB205="",NOT(ISNUMBER(BB205)),ISERROR(BB205),$B205=""),"",IF($I205=1,IFBLANK(_xldudf_CX_PUSH(BB205*fxVal_normal,CX_ENTITY,$B205,BB$11,BB$14,BB$204,),""),IF($I205=2,IFBLANK(_xldudf_CX_PUSH(BB205,CX_ENTITY,$B205,BB$11,BB$14,BB$204,),""),IF($I205=3,"",IFBLANK(_xldudf_CX_PUSH(BB205,CX_ENTITY,$B205,BB$11,BB$14,BB$204,),"")))))),"")</f>
        <v/>
      </c>
      <c r="EC205" s="2445" t="str" cm="1">
        <f t="array" ca="1" aca="1" ref="EC205">IFERROR(IF(BC205*fxVal_normal=_PL!BC205,"",IF(OR(BC205="",NOT(ISNUMBER(BC205)),ISERROR(BC205),$B205=""),"",IF($I205=1,IFBLANK(_xldudf_CX_PUSH(BC205*fxVal_normal,CX_ENTITY,$B205,BC$11,BC$14,BC$204,),""),IF($I205=2,IFBLANK(_xldudf_CX_PUSH(BC205,CX_ENTITY,$B205,BC$11,BC$14,BC$204,),""),IF($I205=3,"",IFBLANK(_xldudf_CX_PUSH(BC205,CX_ENTITY,$B205,BC$11,BC$14,BC$204,),"")))))),"")</f>
        <v/>
      </c>
      <c r="ED205" s="2445" t="str" cm="1">
        <f t="array" ca="1" aca="1" ref="ED205">IFERROR(IF(BD205*fxVal_normal=_PL!BD205,"",IF(OR(BD205="",NOT(ISNUMBER(BD205)),ISERROR(BD205),$B205=""),"",IF($I205=1,IFBLANK(_xldudf_CX_PUSH(BD205*fxVal_normal,CX_ENTITY,$B205,BD$11,BD$14,BD$204,),""),IF($I205=2,IFBLANK(_xldudf_CX_PUSH(BD205,CX_ENTITY,$B205,BD$11,BD$14,BD$204,),""),IF($I205=3,"",IFBLANK(_xldudf_CX_PUSH(BD205,CX_ENTITY,$B205,BD$11,BD$14,BD$204,),"")))))),"")</f>
        <v/>
      </c>
      <c r="EE205" s="2445" t="str" cm="1">
        <f t="array" ca="1" aca="1" ref="EE205">IFERROR(IF(BE205*fxVal_normal=_PL!BE205,"",IF(OR(BE205="",NOT(ISNUMBER(BE205)),ISERROR(BE205),$B205=""),"",IF($I205=1,IFBLANK(_xldudf_CX_PUSH(BE205*fxVal_normal,CX_ENTITY,$B205,BE$11,BE$14,BE$204,),""),IF($I205=2,IFBLANK(_xldudf_CX_PUSH(BE205,CX_ENTITY,$B205,BE$11,BE$14,BE$204,),""),IF($I205=3,"",IFBLANK(_xldudf_CX_PUSH(BE205,CX_ENTITY,$B205,BE$11,BE$14,BE$204,),"")))))),"")</f>
        <v/>
      </c>
      <c r="EF205" s="2445" t="str" cm="1">
        <f t="array" ca="1" aca="1" ref="EF205">IFERROR(IF(BF205*fxVal_normal=_PL!BF205,"",IF(OR(BF205="",NOT(ISNUMBER(BF205)),ISERROR(BF205),$B205=""),"",IF($I205=1,IFBLANK(_xldudf_CX_PUSH(BF205*fxVal_normal,CX_ENTITY,$B205,BF$11,BF$14,BF$204,),""),IF($I205=2,IFBLANK(_xldudf_CX_PUSH(BF205,CX_ENTITY,$B205,BF$11,BF$14,BF$204,),""),IF($I205=3,"",IFBLANK(_xldudf_CX_PUSH(BF205,CX_ENTITY,$B205,BF$11,BF$14,BF$204,),"")))))),"")</f>
        <v/>
      </c>
      <c r="EG205" s="2445" t="str" cm="1">
        <f t="array" ca="1" aca="1" ref="EG205">IFERROR(IF(BG205*fxVal_normal=_PL!BG205,"",IF(OR(BG205="",NOT(ISNUMBER(BG205)),ISERROR(BG205),$B205=""),"",IF($I205=1,IFBLANK(_xldudf_CX_PUSH(BG205*fxVal_normal,CX_ENTITY,$B205,BG$11,BG$14,BG$204,),""),IF($I205=2,IFBLANK(_xldudf_CX_PUSH(BG205,CX_ENTITY,$B205,BG$11,BG$14,BG$204,),""),IF($I205=3,"",IFBLANK(_xldudf_CX_PUSH(BG205,CX_ENTITY,$B205,BG$11,BG$14,BG$204,),"")))))),"")</f>
        <v/>
      </c>
      <c r="EH205" s="2445" t="str" cm="1">
        <f t="array" ca="1" aca="1" ref="EH205">IFERROR(IF(BH205*fxVal_normal=_PL!BH205,"",IF(OR(BH205="",NOT(ISNUMBER(BH205)),ISERROR(BH205),$B205=""),"",IF($I205=1,IFBLANK(_xldudf_CX_PUSH(BH205*fxVal_normal,CX_ENTITY,$B205,BH$11,BH$14,BH$204,),""),IF($I205=2,IFBLANK(_xldudf_CX_PUSH(BH205,CX_ENTITY,$B205,BH$11,BH$14,BH$204,),""),IF($I205=3,"",IFBLANK(_xldudf_CX_PUSH(BH205,CX_ENTITY,$B205,BH$11,BH$14,BH$204,),"")))))),"")</f>
        <v/>
      </c>
      <c r="EI205" s="2445" t="str" cm="1">
        <f t="array" ca="1" aca="1" ref="EI205">IFERROR(IF(BI205*fxVal_normal=_PL!BI205,"",IF(OR(BI205="",NOT(ISNUMBER(BI205)),ISERROR(BI205),$B205=""),"",IF($I205=1,IFBLANK(_xldudf_CX_PUSH(BI205*fxVal_normal,CX_ENTITY,$B205,BI$11,BI$14,BI$204,),""),IF($I205=2,IFBLANK(_xldudf_CX_PUSH(BI205,CX_ENTITY,$B205,BI$11,BI$14,BI$204,),""),IF($I205=3,"",IFBLANK(_xldudf_CX_PUSH(BI205,CX_ENTITY,$B205,BI$11,BI$14,BI$204,),"")))))),"")</f>
        <v/>
      </c>
      <c r="EJ205" s="2445" t="str" cm="1">
        <f t="array" ca="1" aca="1" ref="EJ205">IFERROR(IF(BJ205*fxVal_normal=_PL!BJ205,"",IF(OR(BJ205="",NOT(ISNUMBER(BJ205)),ISERROR(BJ205),$B205=""),"",IF($I205=1,IFBLANK(_xldudf_CX_PUSH(BJ205*fxVal_normal,CX_ENTITY,$B205,BJ$11,BJ$14,BJ$204,),""),IF($I205=2,IFBLANK(_xldudf_CX_PUSH(BJ205,CX_ENTITY,$B205,BJ$11,BJ$14,BJ$204,),""),IF($I205=3,"",IFBLANK(_xldudf_CX_PUSH(BJ205,CX_ENTITY,$B205,BJ$11,BJ$14,BJ$204,),"")))))),"")</f>
        <v/>
      </c>
      <c r="EK205" s="2445" t="str" cm="1">
        <f t="array" ca="1" aca="1" ref="EK205">IFERROR(IF(BK205*fxVal_normal=_PL!BK205,"",IF(OR(BK205="",NOT(ISNUMBER(BK205)),ISERROR(BK205),$B205=""),"",IF($I205=1,IFBLANK(_xldudf_CX_PUSH(BK205*fxVal_normal,CX_ENTITY,$B205,BK$11,BK$14,BK$204,),""),IF($I205=2,IFBLANK(_xldudf_CX_PUSH(BK205,CX_ENTITY,$B205,BK$11,BK$14,BK$204,),""),IF($I205=3,"",IFBLANK(_xldudf_CX_PUSH(BK205,CX_ENTITY,$B205,BK$11,BK$14,BK$204,),"")))))),"")</f>
        <v/>
      </c>
      <c r="EL205" s="2445" t="str" cm="1">
        <f t="array" ca="1" aca="1" ref="EL205">IFERROR(IF(BL205*fxVal_normal=_PL!BL205,"",IF(OR(BL205="",NOT(ISNUMBER(BL205)),ISERROR(BL205),$B205=""),"",IF($I205=1,IFBLANK(_xldudf_CX_PUSH(BL205*fxVal_normal,CX_ENTITY,$B205,BL$11,BL$14,BL$204,),""),IF($I205=2,IFBLANK(_xldudf_CX_PUSH(BL205,CX_ENTITY,$B205,BL$11,BL$14,BL$204,),""),IF($I205=3,"",IFBLANK(_xldudf_CX_PUSH(BL205,CX_ENTITY,$B205,BL$11,BL$14,BL$204,),"")))))),"")</f>
        <v/>
      </c>
      <c r="EM205" s="2445" t="str" cm="1">
        <f t="array" ca="1" aca="1" ref="EM205">IFERROR(IF(BM205*fxVal_normal=_PL!BM205,"",IF(OR(BM205="",NOT(ISNUMBER(BM205)),ISERROR(BM205),$B205=""),"",IF($I205=1,IFBLANK(_xldudf_CX_PUSH(BM205*fxVal_normal,CX_ENTITY,$B205,BM$11,BM$14,BM$204,),""),IF($I205=2,IFBLANK(_xldudf_CX_PUSH(BM205,CX_ENTITY,$B205,BM$11,BM$14,BM$204,),""),IF($I205=3,"",IFBLANK(_xldudf_CX_PUSH(BM205,CX_ENTITY,$B205,BM$11,BM$14,BM$204,),"")))))),"")</f>
        <v/>
      </c>
      <c r="EN205" s="2445" t="str" cm="1">
        <f t="array" ca="1" aca="1" ref="EN205">IFERROR(IF(BN205*fxVal_normal=_PL!BN205,"",IF(OR(BN205="",NOT(ISNUMBER(BN205)),ISERROR(BN205),$B205=""),"",IF($I205=1,IFBLANK(_xldudf_CX_PUSH(BN205*fxVal_normal,CX_ENTITY,$B205,BN$11,BN$14,BN$204,),""),IF($I205=2,IFBLANK(_xldudf_CX_PUSH(BN205,CX_ENTITY,$B205,BN$11,BN$14,BN$204,),""),IF($I205=3,"",IFBLANK(_xldudf_CX_PUSH(BN205,CX_ENTITY,$B205,BN$11,BN$14,BN$204,),"")))))),"")</f>
        <v/>
      </c>
    </row>
    <row r="206" spans="1:144" ht="21" customHeight="1">
      <c r="A206" s="1627"/>
      <c r="B206" s="2439" t="s">
        <v>171</v>
      </c>
      <c r="C206" s="3459" t="str" cm="1">
        <f t="array" ref="C206">IFBLANK(_PL!C206,"")</f>
        <v>Segment II Breakdown - Label 1</v>
      </c>
      <c r="D206" s="1548" t="s">
        <v>171</v>
      </c>
      <c r="E206" s="2440" t="e" cm="1">
        <f t="array" ca="1" aca="1" ref="E20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206:$CQ206,Z206)</f>
        <v>#NAME?</v>
      </c>
      <c r="F206" s="578"/>
      <c r="G206" s="578"/>
      <c r="H206" s="510">
        <v>0</v>
      </c>
      <c r="I206" s="3302">
        <v>1</v>
      </c>
      <c r="J206" s="401" cm="1">
        <f t="array" ref="J206">IFBLANK(Z206,"")</f>
        <v>-1</v>
      </c>
      <c r="K206" s="578" t="str">
        <f t="shared" si="54"/>
        <v>No</v>
      </c>
      <c r="L206" s="37"/>
      <c r="N206" s="158"/>
      <c r="O206" s="101"/>
      <c r="P206" s="52"/>
      <c r="Q206" s="101"/>
      <c r="R206" s="101"/>
      <c r="S206" s="3008"/>
      <c r="T206" s="3008"/>
      <c r="U206" s="39"/>
      <c r="V206" s="37"/>
      <c r="W206" s="91" t="e">
        <f ca="1">W205</f>
        <v>#NAME?</v>
      </c>
      <c r="X206" s="2081" t="str">
        <f>_PL!X206</f>
        <v>a</v>
      </c>
      <c r="Y206" s="3224">
        <v>2</v>
      </c>
      <c r="Z206" s="198">
        <f>_PL!Z206</f>
        <v>-1</v>
      </c>
      <c r="AA206" s="2571"/>
      <c r="AB206" s="2592"/>
      <c r="AC206" s="914" t="str" cm="1">
        <f t="array" ca="1" aca="1" ref="AC206">_xlfn.LET(_xlpm._termname,$AB206,_xlpm._iconname,"find",_xlpm._icon,fx_getIcon(_xlpm._iconname),_xlpm._location,_xlfn.XLOOKUP(LOWER(_xlpm._termname),LOWER(tbl_acctDef[Term]),tbl_acctDef[Term]),_xlpm._hyperlink,HYPERLINK("#"&amp;CELL("address",_xlpm._location),_xlpm._icon),IFERROR(_xlpm._hyperlink,""))</f>
        <v/>
      </c>
      <c r="AD206" s="3177">
        <v>1</v>
      </c>
      <c r="AE206" s="3177">
        <v>1</v>
      </c>
      <c r="AF206" s="3177">
        <v>1</v>
      </c>
      <c r="AG206" s="3177">
        <v>1</v>
      </c>
      <c r="AH206" s="3177">
        <v>1</v>
      </c>
      <c r="AI206" s="3177">
        <v>1</v>
      </c>
      <c r="AJ206" s="3177">
        <v>1</v>
      </c>
      <c r="AK206" s="3177">
        <v>1</v>
      </c>
      <c r="AL206" s="3177">
        <v>1</v>
      </c>
      <c r="AM206" s="3177">
        <v>1</v>
      </c>
      <c r="AN206" s="3177">
        <v>1</v>
      </c>
      <c r="AO206" s="3177">
        <v>1</v>
      </c>
      <c r="AP206" s="3177">
        <v>1</v>
      </c>
      <c r="AQ206" s="3177">
        <v>1</v>
      </c>
      <c r="AR206" s="3177">
        <v>1</v>
      </c>
      <c r="AS206" s="3177">
        <v>1</v>
      </c>
      <c r="AT206" s="3177">
        <v>1</v>
      </c>
      <c r="AU206" s="3177">
        <v>1</v>
      </c>
      <c r="AV206" s="3177">
        <v>1</v>
      </c>
      <c r="AW206" s="3177">
        <v>1</v>
      </c>
      <c r="AX206" s="3177">
        <v>1</v>
      </c>
      <c r="AY206" s="3177">
        <v>1</v>
      </c>
      <c r="AZ206" s="3177">
        <v>1</v>
      </c>
      <c r="BA206" s="3177">
        <v>1</v>
      </c>
      <c r="BB206" s="3177">
        <v>1</v>
      </c>
      <c r="BC206" s="3177">
        <v>1</v>
      </c>
      <c r="BD206" s="3177">
        <v>1</v>
      </c>
      <c r="BE206" s="3177">
        <v>1</v>
      </c>
      <c r="BF206" s="3177">
        <v>1</v>
      </c>
      <c r="BG206" s="3177">
        <v>1</v>
      </c>
      <c r="BH206" s="3177">
        <v>1</v>
      </c>
      <c r="BI206" s="3177">
        <v>1</v>
      </c>
      <c r="BJ206" s="3177">
        <v>1</v>
      </c>
      <c r="BK206" s="3177">
        <v>1</v>
      </c>
      <c r="BL206" s="3177">
        <v>1</v>
      </c>
      <c r="BM206" s="3177">
        <v>1</v>
      </c>
      <c r="BN206" s="3177">
        <v>1</v>
      </c>
      <c r="BO206" s="2442"/>
      <c r="BP206" s="2442"/>
      <c r="BQ206" s="2442"/>
      <c r="BR206" s="2442"/>
      <c r="BS206" s="2442"/>
      <c r="BT206" s="2442"/>
      <c r="BU206" s="2442"/>
      <c r="BV206" s="2442"/>
      <c r="BW206" s="2442"/>
      <c r="BX206" s="2442"/>
      <c r="BY206" s="2442"/>
      <c r="BZ206" s="2442"/>
      <c r="CA206" s="34"/>
      <c r="CC206" s="2572"/>
      <c r="CD206" s="1461" t="e" cm="1">
        <f t="array" ca="1" aca="1" ref="CD206">_xlfn.LET(_xlpm.CheckBlank,SUM(PL!$AD206:$BN206)=0,IF(_xlpm.CheckBlank,"",SUM(_xlfn._xlws.FILTER(PL!$AD206:$BN206,(YEAR(PL!$AD$12:$BN$12)=PL!CD$12)*(array_timeline&lt;=PL!CD$11)))))</f>
        <v>#NAME?</v>
      </c>
      <c r="CE206" s="1461" t="e" cm="1">
        <f t="array" ca="1" aca="1" ref="CE206">_xlfn.LET(_xlpm.CheckBlank,SUM(PL!$AD206:$BN206)=0,IF(_xlpm.CheckBlank,"",SUM(_xlfn._xlws.FILTER(PL!$AD206:$BN206,(YEAR(PL!$AD$12:$BN$12)=PL!CE$12)*(array_timeline&lt;=PL!CE$11)))))</f>
        <v>#NAME?</v>
      </c>
      <c r="CF206" s="88"/>
      <c r="CG206" s="1461" t="e" cm="1">
        <f t="array" ca="1" aca="1" ref="CG206">_xlfn.LET(_xlpm.CheckBlank,SUM(PL!$AD206:$BN206)=0,IF(_xlpm.CheckBlank,"",SUM(_xlfn._xlws.FILTER(PL!$AD206:$BN206,(YEAR(PL!$AD$12:$BN$12)=PL!CG$12)*(array_timeline&lt;=PL!CG$11)))))</f>
        <v>#NAME?</v>
      </c>
      <c r="CH206" s="1461" t="e" cm="1">
        <f t="array" ca="1" aca="1" ref="CH206">_xlfn.LET(_xlpm.CheckBlank,SUM(PL!$AD206:$BN206)=0,IF(_xlpm.CheckBlank,"",SUM(_xlfn._xlws.FILTER(PL!$AD206:$BN206,(YEAR(PL!$AD$12:$BN$12)=PL!CH$12)*(array_timeline&lt;=PL!CH$11)))))</f>
        <v>#NAME?</v>
      </c>
      <c r="CI206" s="88"/>
      <c r="CJ206" s="1461" cm="1">
        <f t="array" ref="CJ206">_xlfn.LET(_xlpm.CheckBlank,SUM(PL!$AD206:$BN206)=0,IF(_xlpm.CheckBlank,"",SUM(_xlfn.TAKE(_xlfn.DROP(PL!$AD206:$BN206,,-DATEDIFF(PL!CJ$11,val_asOfDate,"M")),1,-12))))</f>
        <v>12</v>
      </c>
      <c r="CK206" s="1461" cm="1">
        <f t="array" ref="CK206">_xlfn.LET(_xlpm.CheckBlank,SUM(PL!$AD206:$BN206)=0,IF(_xlpm.CheckBlank,"",SUM(_xlfn.TAKE(_xlfn.DROP(PL!$AD206:$BN206,,-DATEDIFF(PL!CK$11,val_asOfDate,"M")),1,-12))))</f>
        <v>12</v>
      </c>
      <c r="CL206" s="88"/>
      <c r="CM206" s="3175">
        <v>1</v>
      </c>
      <c r="CN206" s="3175">
        <v>1</v>
      </c>
      <c r="CO206" s="1169"/>
      <c r="CP206" s="3175">
        <v>1</v>
      </c>
      <c r="CQ206" s="3175">
        <v>1</v>
      </c>
      <c r="CR206" s="34"/>
      <c r="CS206" s="2056"/>
      <c r="CT206" s="2447" t="e" cm="1">
        <f t="array" ca="1" aca="1" ref="CT206">IF(OR($Y206="Segment II Breakdown - Amount 1",$Y206="Segment II Breakdown - Amount 2",$Y206="Segment II Breakdown - Amount 3",$Y206="Segment II Breakdown - Amount 4",$Y206="Segment II Breakdown - Amount 5",$Y206="Segment II Breakdown - Amount 6",$Y206="Please select the metric for segmentation"),"",_xldudf_CX_PUSH($Y206,CX_ENTITY,$C206,val_asOfDate))</f>
        <v>#NAME?</v>
      </c>
      <c r="CU206" s="2447" t="e" cm="1">
        <f t="array" ca="1" aca="1" ref="CU206">IF(OR($Y206="Segment II Breakdown - Amount 1",$Y206="Segment II Breakdown - Amount 2",$Y206="Segment II Breakdown - Amount 3",$Y206="Segment II Breakdown - Amount 4",$Y206="Segment II Breakdown - Amount 5",$Y206="Segment II Breakdown - Amount 6",$Y206="Please select the metric for segmentation"),"",_xldudf_CX_PUSH($Y206,CX_ENTITY,$C206,EOMONTH(val_asOfDate,1)))</f>
        <v>#NAME?</v>
      </c>
      <c r="CV206" s="2447" t="e" cm="1">
        <f t="array" ca="1" aca="1" ref="CV206">IF(OR($Y206="Segment II Breakdown - Amount 1",$Y206="Segment II Breakdown - Amount 2",$Y206="Segment II Breakdown - Amount 3",$Y206="Segment II Breakdown - Amount 4",$Y206="Segment II Breakdown - Amount 5",$Y206="Segment II Breakdown - Amount 6",$Y206="Please select the metric for segmentation"),"",_xldudf_CX_PUSH($Y206,CX_ENTITY,$C206,EOMONTH(val_asOfDate,2)))</f>
        <v>#NAME?</v>
      </c>
      <c r="CW206" s="2447" t="e" cm="1">
        <f t="array" ca="1" aca="1" ref="CW206">IF(OR($Y206="Segment II Breakdown - Amount 1",$Y206="Segment II Breakdown - Amount 2",$Y206="Segment II Breakdown - Amount 3",$Y206="Segment II Breakdown - Amount 4",$Y206="Segment II Breakdown - Amount 5",$Y206="Segment II Breakdown - Amount 6",$Y206="Please select the metric for segmentation"),"",_xldudf_CX_PUSH($Y206,CX_ENTITY,$C206,EOMONTH(val_asOfDate,3)))</f>
        <v>#NAME?</v>
      </c>
      <c r="CX206" s="2443"/>
      <c r="CY206" s="2444" t="str" cm="1">
        <f t="array" ca="1" aca="1" ref="CY206">IFERROR(IF(CM206*fxVal_normal=_PL!CM206,"",IF(OR($CM206="",$CM206=0,NOT(ISNUMBER($CM206)),ISERROR($CM206),$B206=""),"",IF($I206=1,IFBLANK(_xldudf_CX_PUSH($CM206*fxVal_normal,CX_ENTITY,$B206,$CM$11,$CM$14,$CM$19,),""),IF($I206=2,IFBLANK(_xldudf_CX_PUSH($CM206,CX_ENTITY,$B206,$CM$11,$CM$14,$CM$19,),""),IF($I206=3,"",IFBLANK(_xldudf_CX_PUSH($CM206,CX_ENTITY,$B206,$CM$11,$CM$14,$CM$19,),"")))))),"")</f>
        <v/>
      </c>
      <c r="CZ206" s="2444" t="str" cm="1">
        <f t="array" ca="1" aca="1" ref="CZ206">IFERROR(IF(CN206*fxVal_normal=_PL!CN206,"",IF(OR($CN206="",$CN206=0,NOT(ISNUMBER($CN206)),ISERROR($CN206),$B206=""),"",IF($I206=1,IFBLANK(_xldudf_CX_PUSH($CN206*fxVal_normal,CX_ENTITY,$B206,$CN$11,$CN$14,$CN$19,),""),IF($I206=2,IFBLANK(_xldudf_CX_PUSH($CN206,CX_ENTITY,$B206,$CN$11,$CN$14,$CN$19,),""),IF($I206=3,"",IFBLANK(_xldudf_CX_PUSH($CN206,CX_ENTITY,$B206,$CN$11,$CN$14,$CN$19,),"")))))),"")</f>
        <v/>
      </c>
      <c r="DA206" s="2444" t="str" cm="1">
        <f t="array" ca="1" aca="1" ref="DA206">IFERROR(IF(CP206*fxVal_normal=_PL!CP206,"",IF(OR($CP206="",$CP206=0,NOT(ISNUMBER($CP206)),ISERROR($CP206),$B206=""),"",IF($I206=1,IFBLANK(_xldudf_CX_PUSH($CP206*fxVal_normal,CX_ENTITY,$B206,$CP$11,$CP$14,$CP$19,),""),IF($I206=2,IFBLANK(_xldudf_CX_PUSH($CP206,CX_ENTITY,$B206,$CP$11,$CP$14,$CP$19,),""),IF($I206=3,"",IFBLANK(_xldudf_CX_PUSH($CP206,CX_ENTITY,$B206,$CP$11,$CP$14,$CP$19,),"")))))),"")</f>
        <v/>
      </c>
      <c r="DB206" s="2444" t="str" cm="1">
        <f t="array" ca="1" aca="1" ref="DB206">IFERROR(IF(CQ206*fxVal_normal=_PL!CQ206,"",IF(OR($CQ206="",$CQ206=0,NOT(ISNUMBER($CQ206)),ISERROR($CQ206),$B206=""),"",IF($I206=1,IFBLANK(_xldudf_CX_PUSH($CQ206*fxVal_normal,CX_ENTITY,$B206,$CQ$11,$CQ$14,$CQ$19,),""),IF($I206=2,IFBLANK(_xldudf_CX_PUSH($CQ206,CX_ENTITY,$B206,$CQ$11,$CQ$14,$CQ$19,),""),IF($I206=3,"",IFBLANK(_xldudf_CX_PUSH($CQ206,CX_ENTITY,$B206,$CQ$11,$CQ$14,$CQ$19,),"")))))),"")</f>
        <v/>
      </c>
      <c r="DC206" s="2443"/>
      <c r="DD206" s="2445" t="str" cm="1">
        <f t="array" ca="1" aca="1" ref="DD206">IFERROR(IF(AD206*fxVal_normal=_PL!AD206,"",IF(OR(AD206="",NOT(ISNUMBER(AD206)),ISERROR(AD206),$B206=""),"",IF($I206=1,IFBLANK(_xldudf_CX_PUSH(AD206*fxVal_normal,CX_ENTITY,$B206,AD$11,AD$14,AD$204,),""),IF($I206=2,IFBLANK(_xldudf_CX_PUSH(AD206,CX_ENTITY,$B206,AD$11,AD$14,AD$204,),""),IF($I206=3,"",IFBLANK(_xldudf_CX_PUSH(AD206,CX_ENTITY,$B206,AD$11,AD$14,AD$204,),"")))))),"")</f>
        <v/>
      </c>
      <c r="DE206" s="2445" t="str" cm="1">
        <f t="array" ca="1" aca="1" ref="DE206">IFERROR(IF(AE206*fxVal_normal=_PL!AE206,"",IF(OR(AE206="",NOT(ISNUMBER(AE206)),ISERROR(AE206),$B206=""),"",IF($I206=1,IFBLANK(_xldudf_CX_PUSH(AE206*fxVal_normal,CX_ENTITY,$B206,AE$11,AE$14,AE$204,),""),IF($I206=2,IFBLANK(_xldudf_CX_PUSH(AE206,CX_ENTITY,$B206,AE$11,AE$14,AE$204,),""),IF($I206=3,"",IFBLANK(_xldudf_CX_PUSH(AE206,CX_ENTITY,$B206,AE$11,AE$14,AE$204,),"")))))),"")</f>
        <v/>
      </c>
      <c r="DF206" s="2445" t="str" cm="1">
        <f t="array" ca="1" aca="1" ref="DF206">IFERROR(IF(AF206*fxVal_normal=_PL!AF206,"",IF(OR(AF206="",NOT(ISNUMBER(AF206)),ISERROR(AF206),$B206=""),"",IF($I206=1,IFBLANK(_xldudf_CX_PUSH(AF206*fxVal_normal,CX_ENTITY,$B206,AF$11,AF$14,AF$204,),""),IF($I206=2,IFBLANK(_xldudf_CX_PUSH(AF206,CX_ENTITY,$B206,AF$11,AF$14,AF$204,),""),IF($I206=3,"",IFBLANK(_xldudf_CX_PUSH(AF206,CX_ENTITY,$B206,AF$11,AF$14,AF$204,),"")))))),"")</f>
        <v/>
      </c>
      <c r="DG206" s="2445" t="str" cm="1">
        <f t="array" ca="1" aca="1" ref="DG206">IFERROR(IF(AG206*fxVal_normal=_PL!AG206,"",IF(OR(AG206="",NOT(ISNUMBER(AG206)),ISERROR(AG206),$B206=""),"",IF($I206=1,IFBLANK(_xldudf_CX_PUSH(AG206*fxVal_normal,CX_ENTITY,$B206,AG$11,AG$14,AG$204,),""),IF($I206=2,IFBLANK(_xldudf_CX_PUSH(AG206,CX_ENTITY,$B206,AG$11,AG$14,AG$204,),""),IF($I206=3,"",IFBLANK(_xldudf_CX_PUSH(AG206,CX_ENTITY,$B206,AG$11,AG$14,AG$204,),"")))))),"")</f>
        <v/>
      </c>
      <c r="DH206" s="2445" t="str" cm="1">
        <f t="array" ca="1" aca="1" ref="DH206">IFERROR(IF(AH206*fxVal_normal=_PL!AH206,"",IF(OR(AH206="",NOT(ISNUMBER(AH206)),ISERROR(AH206),$B206=""),"",IF($I206=1,IFBLANK(_xldudf_CX_PUSH(AH206*fxVal_normal,CX_ENTITY,$B206,AH$11,AH$14,AH$204,),""),IF($I206=2,IFBLANK(_xldudf_CX_PUSH(AH206,CX_ENTITY,$B206,AH$11,AH$14,AH$204,),""),IF($I206=3,"",IFBLANK(_xldudf_CX_PUSH(AH206,CX_ENTITY,$B206,AH$11,AH$14,AH$204,),"")))))),"")</f>
        <v/>
      </c>
      <c r="DI206" s="2445" t="str" cm="1">
        <f t="array" ca="1" aca="1" ref="DI206">IFERROR(IF(AI206*fxVal_normal=_PL!AI206,"",IF(OR(AI206="",NOT(ISNUMBER(AI206)),ISERROR(AI206),$B206=""),"",IF($I206=1,IFBLANK(_xldudf_CX_PUSH(AI206*fxVal_normal,CX_ENTITY,$B206,AI$11,AI$14,AI$204,),""),IF($I206=2,IFBLANK(_xldudf_CX_PUSH(AI206,CX_ENTITY,$B206,AI$11,AI$14,AI$204,),""),IF($I206=3,"",IFBLANK(_xldudf_CX_PUSH(AI206,CX_ENTITY,$B206,AI$11,AI$14,AI$204,),"")))))),"")</f>
        <v/>
      </c>
      <c r="DJ206" s="2445" t="str" cm="1">
        <f t="array" ca="1" aca="1" ref="DJ206">IFERROR(IF(AJ206*fxVal_normal=_PL!AJ206,"",IF(OR(AJ206="",NOT(ISNUMBER(AJ206)),ISERROR(AJ206),$B206=""),"",IF($I206=1,IFBLANK(_xldudf_CX_PUSH(AJ206*fxVal_normal,CX_ENTITY,$B206,AJ$11,AJ$14,AJ$204,),""),IF($I206=2,IFBLANK(_xldudf_CX_PUSH(AJ206,CX_ENTITY,$B206,AJ$11,AJ$14,AJ$204,),""),IF($I206=3,"",IFBLANK(_xldudf_CX_PUSH(AJ206,CX_ENTITY,$B206,AJ$11,AJ$14,AJ$204,),"")))))),"")</f>
        <v/>
      </c>
      <c r="DK206" s="2445" t="str" cm="1">
        <f t="array" ca="1" aca="1" ref="DK206">IFERROR(IF(AK206*fxVal_normal=_PL!AK206,"",IF(OR(AK206="",NOT(ISNUMBER(AK206)),ISERROR(AK206),$B206=""),"",IF($I206=1,IFBLANK(_xldudf_CX_PUSH(AK206*fxVal_normal,CX_ENTITY,$B206,AK$11,AK$14,AK$204,),""),IF($I206=2,IFBLANK(_xldudf_CX_PUSH(AK206,CX_ENTITY,$B206,AK$11,AK$14,AK$204,),""),IF($I206=3,"",IFBLANK(_xldudf_CX_PUSH(AK206,CX_ENTITY,$B206,AK$11,AK$14,AK$204,),"")))))),"")</f>
        <v/>
      </c>
      <c r="DL206" s="2445" t="str" cm="1">
        <f t="array" ca="1" aca="1" ref="DL206">IFERROR(IF(AL206*fxVal_normal=_PL!AL206,"",IF(OR(AL206="",NOT(ISNUMBER(AL206)),ISERROR(AL206),$B206=""),"",IF($I206=1,IFBLANK(_xldudf_CX_PUSH(AL206*fxVal_normal,CX_ENTITY,$B206,AL$11,AL$14,AL$204,),""),IF($I206=2,IFBLANK(_xldudf_CX_PUSH(AL206,CX_ENTITY,$B206,AL$11,AL$14,AL$204,),""),IF($I206=3,"",IFBLANK(_xldudf_CX_PUSH(AL206,CX_ENTITY,$B206,AL$11,AL$14,AL$204,),"")))))),"")</f>
        <v/>
      </c>
      <c r="DM206" s="2445" t="str" cm="1">
        <f t="array" ca="1" aca="1" ref="DM206">IFERROR(IF(AM206*fxVal_normal=_PL!AM206,"",IF(OR(AM206="",NOT(ISNUMBER(AM206)),ISERROR(AM206),$B206=""),"",IF($I206=1,IFBLANK(_xldudf_CX_PUSH(AM206*fxVal_normal,CX_ENTITY,$B206,AM$11,AM$14,AM$204,),""),IF($I206=2,IFBLANK(_xldudf_CX_PUSH(AM206,CX_ENTITY,$B206,AM$11,AM$14,AM$204,),""),IF($I206=3,"",IFBLANK(_xldudf_CX_PUSH(AM206,CX_ENTITY,$B206,AM$11,AM$14,AM$204,),"")))))),"")</f>
        <v/>
      </c>
      <c r="DN206" s="2445" t="str" cm="1">
        <f t="array" ca="1" aca="1" ref="DN206">IFERROR(IF(AN206*fxVal_normal=_PL!AN206,"",IF(OR(AN206="",NOT(ISNUMBER(AN206)),ISERROR(AN206),$B206=""),"",IF($I206=1,IFBLANK(_xldudf_CX_PUSH(AN206*fxVal_normal,CX_ENTITY,$B206,AN$11,AN$14,AN$204,),""),IF($I206=2,IFBLANK(_xldudf_CX_PUSH(AN206,CX_ENTITY,$B206,AN$11,AN$14,AN$204,),""),IF($I206=3,"",IFBLANK(_xldudf_CX_PUSH(AN206,CX_ENTITY,$B206,AN$11,AN$14,AN$204,),"")))))),"")</f>
        <v/>
      </c>
      <c r="DO206" s="2445" t="str" cm="1">
        <f t="array" ca="1" aca="1" ref="DO206">IFERROR(IF(AO206*fxVal_normal=_PL!AO206,"",IF(OR(AO206="",NOT(ISNUMBER(AO206)),ISERROR(AO206),$B206=""),"",IF($I206=1,IFBLANK(_xldudf_CX_PUSH(AO206*fxVal_normal,CX_ENTITY,$B206,AO$11,AO$14,AO$204,),""),IF($I206=2,IFBLANK(_xldudf_CX_PUSH(AO206,CX_ENTITY,$B206,AO$11,AO$14,AO$204,),""),IF($I206=3,"",IFBLANK(_xldudf_CX_PUSH(AO206,CX_ENTITY,$B206,AO$11,AO$14,AO$204,),"")))))),"")</f>
        <v/>
      </c>
      <c r="DP206" s="2445" t="str" cm="1">
        <f t="array" ca="1" aca="1" ref="DP206">IFERROR(IF(AP206*fxVal_normal=_PL!AP206,"",IF(OR(AP206="",NOT(ISNUMBER(AP206)),ISERROR(AP206),$B206=""),"",IF($I206=1,IFBLANK(_xldudf_CX_PUSH(AP206*fxVal_normal,CX_ENTITY,$B206,AP$11,AP$14,AP$204,),""),IF($I206=2,IFBLANK(_xldudf_CX_PUSH(AP206,CX_ENTITY,$B206,AP$11,AP$14,AP$204,),""),IF($I206=3,"",IFBLANK(_xldudf_CX_PUSH(AP206,CX_ENTITY,$B206,AP$11,AP$14,AP$204,),"")))))),"")</f>
        <v/>
      </c>
      <c r="DQ206" s="2445" t="str" cm="1">
        <f t="array" ca="1" aca="1" ref="DQ206">IFERROR(IF(AQ206*fxVal_normal=_PL!AQ206,"",IF(OR(AQ206="",NOT(ISNUMBER(AQ206)),ISERROR(AQ206),$B206=""),"",IF($I206=1,IFBLANK(_xldudf_CX_PUSH(AQ206*fxVal_normal,CX_ENTITY,$B206,AQ$11,AQ$14,AQ$204,),""),IF($I206=2,IFBLANK(_xldudf_CX_PUSH(AQ206,CX_ENTITY,$B206,AQ$11,AQ$14,AQ$204,),""),IF($I206=3,"",IFBLANK(_xldudf_CX_PUSH(AQ206,CX_ENTITY,$B206,AQ$11,AQ$14,AQ$204,),"")))))),"")</f>
        <v/>
      </c>
      <c r="DR206" s="2445" t="str" cm="1">
        <f t="array" ca="1" aca="1" ref="DR206">IFERROR(IF(AR206*fxVal_normal=_PL!AR206,"",IF(OR(AR206="",NOT(ISNUMBER(AR206)),ISERROR(AR206),$B206=""),"",IF($I206=1,IFBLANK(_xldudf_CX_PUSH(AR206*fxVal_normal,CX_ENTITY,$B206,AR$11,AR$14,AR$204,),""),IF($I206=2,IFBLANK(_xldudf_CX_PUSH(AR206,CX_ENTITY,$B206,AR$11,AR$14,AR$204,),""),IF($I206=3,"",IFBLANK(_xldudf_CX_PUSH(AR206,CX_ENTITY,$B206,AR$11,AR$14,AR$204,),"")))))),"")</f>
        <v/>
      </c>
      <c r="DS206" s="2445" t="str" cm="1">
        <f t="array" ca="1" aca="1" ref="DS206">IFERROR(IF(AS206*fxVal_normal=_PL!AS206,"",IF(OR(AS206="",NOT(ISNUMBER(AS206)),ISERROR(AS206),$B206=""),"",IF($I206=1,IFBLANK(_xldudf_CX_PUSH(AS206*fxVal_normal,CX_ENTITY,$B206,AS$11,AS$14,AS$204,),""),IF($I206=2,IFBLANK(_xldudf_CX_PUSH(AS206,CX_ENTITY,$B206,AS$11,AS$14,AS$204,),""),IF($I206=3,"",IFBLANK(_xldudf_CX_PUSH(AS206,CX_ENTITY,$B206,AS$11,AS$14,AS$204,),"")))))),"")</f>
        <v/>
      </c>
      <c r="DT206" s="2445" t="str" cm="1">
        <f t="array" ca="1" aca="1" ref="DT206">IFERROR(IF(AT206*fxVal_normal=_PL!AT206,"",IF(OR(AT206="",NOT(ISNUMBER(AT206)),ISERROR(AT206),$B206=""),"",IF($I206=1,IFBLANK(_xldudf_CX_PUSH(AT206*fxVal_normal,CX_ENTITY,$B206,AT$11,AT$14,AT$204,),""),IF($I206=2,IFBLANK(_xldudf_CX_PUSH(AT206,CX_ENTITY,$B206,AT$11,AT$14,AT$204,),""),IF($I206=3,"",IFBLANK(_xldudf_CX_PUSH(AT206,CX_ENTITY,$B206,AT$11,AT$14,AT$204,),"")))))),"")</f>
        <v/>
      </c>
      <c r="DU206" s="2445" t="str" cm="1">
        <f t="array" ca="1" aca="1" ref="DU206">IFERROR(IF(AU206*fxVal_normal=_PL!AU206,"",IF(OR(AU206="",NOT(ISNUMBER(AU206)),ISERROR(AU206),$B206=""),"",IF($I206=1,IFBLANK(_xldudf_CX_PUSH(AU206*fxVal_normal,CX_ENTITY,$B206,AU$11,AU$14,AU$204,),""),IF($I206=2,IFBLANK(_xldudf_CX_PUSH(AU206,CX_ENTITY,$B206,AU$11,AU$14,AU$204,),""),IF($I206=3,"",IFBLANK(_xldudf_CX_PUSH(AU206,CX_ENTITY,$B206,AU$11,AU$14,AU$204,),"")))))),"")</f>
        <v/>
      </c>
      <c r="DV206" s="2445" t="str" cm="1">
        <f t="array" ca="1" aca="1" ref="DV206">IFERROR(IF(AV206*fxVal_normal=_PL!AV206,"",IF(OR(AV206="",NOT(ISNUMBER(AV206)),ISERROR(AV206),$B206=""),"",IF($I206=1,IFBLANK(_xldudf_CX_PUSH(AV206*fxVal_normal,CX_ENTITY,$B206,AV$11,AV$14,AV$204,),""),IF($I206=2,IFBLANK(_xldudf_CX_PUSH(AV206,CX_ENTITY,$B206,AV$11,AV$14,AV$204,),""),IF($I206=3,"",IFBLANK(_xldudf_CX_PUSH(AV206,CX_ENTITY,$B206,AV$11,AV$14,AV$204,),"")))))),"")</f>
        <v/>
      </c>
      <c r="DW206" s="2445" t="str" cm="1">
        <f t="array" ca="1" aca="1" ref="DW206">IFERROR(IF(AW206*fxVal_normal=_PL!AW206,"",IF(OR(AW206="",NOT(ISNUMBER(AW206)),ISERROR(AW206),$B206=""),"",IF($I206=1,IFBLANK(_xldudf_CX_PUSH(AW206*fxVal_normal,CX_ENTITY,$B206,AW$11,AW$14,AW$204,),""),IF($I206=2,IFBLANK(_xldudf_CX_PUSH(AW206,CX_ENTITY,$B206,AW$11,AW$14,AW$204,),""),IF($I206=3,"",IFBLANK(_xldudf_CX_PUSH(AW206,CX_ENTITY,$B206,AW$11,AW$14,AW$204,),"")))))),"")</f>
        <v/>
      </c>
      <c r="DX206" s="2445" t="str" cm="1">
        <f t="array" ca="1" aca="1" ref="DX206">IFERROR(IF(AX206*fxVal_normal=_PL!AX206,"",IF(OR(AX206="",NOT(ISNUMBER(AX206)),ISERROR(AX206),$B206=""),"",IF($I206=1,IFBLANK(_xldudf_CX_PUSH(AX206*fxVal_normal,CX_ENTITY,$B206,AX$11,AX$14,AX$204,),""),IF($I206=2,IFBLANK(_xldudf_CX_PUSH(AX206,CX_ENTITY,$B206,AX$11,AX$14,AX$204,),""),IF($I206=3,"",IFBLANK(_xldudf_CX_PUSH(AX206,CX_ENTITY,$B206,AX$11,AX$14,AX$204,),"")))))),"")</f>
        <v/>
      </c>
      <c r="DY206" s="2445" t="str" cm="1">
        <f t="array" ca="1" aca="1" ref="DY206">IFERROR(IF(AY206*fxVal_normal=_PL!AY206,"",IF(OR(AY206="",NOT(ISNUMBER(AY206)),ISERROR(AY206),$B206=""),"",IF($I206=1,IFBLANK(_xldudf_CX_PUSH(AY206*fxVal_normal,CX_ENTITY,$B206,AY$11,AY$14,AY$204,),""),IF($I206=2,IFBLANK(_xldudf_CX_PUSH(AY206,CX_ENTITY,$B206,AY$11,AY$14,AY$204,),""),IF($I206=3,"",IFBLANK(_xldudf_CX_PUSH(AY206,CX_ENTITY,$B206,AY$11,AY$14,AY$204,),"")))))),"")</f>
        <v/>
      </c>
      <c r="DZ206" s="2445" t="str" cm="1">
        <f t="array" ca="1" aca="1" ref="DZ206">IFERROR(IF(AZ206*fxVal_normal=_PL!AZ206,"",IF(OR(AZ206="",NOT(ISNUMBER(AZ206)),ISERROR(AZ206),$B206=""),"",IF($I206=1,IFBLANK(_xldudf_CX_PUSH(AZ206*fxVal_normal,CX_ENTITY,$B206,AZ$11,AZ$14,AZ$204,),""),IF($I206=2,IFBLANK(_xldudf_CX_PUSH(AZ206,CX_ENTITY,$B206,AZ$11,AZ$14,AZ$204,),""),IF($I206=3,"",IFBLANK(_xldudf_CX_PUSH(AZ206,CX_ENTITY,$B206,AZ$11,AZ$14,AZ$204,),"")))))),"")</f>
        <v/>
      </c>
      <c r="EA206" s="2445" t="str" cm="1">
        <f t="array" ca="1" aca="1" ref="EA206">IFERROR(IF(BA206*fxVal_normal=_PL!BA206,"",IF(OR(BA206="",NOT(ISNUMBER(BA206)),ISERROR(BA206),$B206=""),"",IF($I206=1,IFBLANK(_xldudf_CX_PUSH(BA206*fxVal_normal,CX_ENTITY,$B206,BA$11,BA$14,BA$204,),""),IF($I206=2,IFBLANK(_xldudf_CX_PUSH(BA206,CX_ENTITY,$B206,BA$11,BA$14,BA$204,),""),IF($I206=3,"",IFBLANK(_xldudf_CX_PUSH(BA206,CX_ENTITY,$B206,BA$11,BA$14,BA$204,),"")))))),"")</f>
        <v/>
      </c>
      <c r="EB206" s="2445" t="str" cm="1">
        <f t="array" ca="1" aca="1" ref="EB206">IFERROR(IF(BB206*fxVal_normal=_PL!BB206,"",IF(OR(BB206="",NOT(ISNUMBER(BB206)),ISERROR(BB206),$B206=""),"",IF($I206=1,IFBLANK(_xldudf_CX_PUSH(BB206*fxVal_normal,CX_ENTITY,$B206,BB$11,BB$14,BB$204,),""),IF($I206=2,IFBLANK(_xldudf_CX_PUSH(BB206,CX_ENTITY,$B206,BB$11,BB$14,BB$204,),""),IF($I206=3,"",IFBLANK(_xldudf_CX_PUSH(BB206,CX_ENTITY,$B206,BB$11,BB$14,BB$204,),"")))))),"")</f>
        <v/>
      </c>
      <c r="EC206" s="2445" t="str" cm="1">
        <f t="array" ca="1" aca="1" ref="EC206">IFERROR(IF(BC206*fxVal_normal=_PL!BC206,"",IF(OR(BC206="",NOT(ISNUMBER(BC206)),ISERROR(BC206),$B206=""),"",IF($I206=1,IFBLANK(_xldudf_CX_PUSH(BC206*fxVal_normal,CX_ENTITY,$B206,BC$11,BC$14,BC$204,),""),IF($I206=2,IFBLANK(_xldudf_CX_PUSH(BC206,CX_ENTITY,$B206,BC$11,BC$14,BC$204,),""),IF($I206=3,"",IFBLANK(_xldudf_CX_PUSH(BC206,CX_ENTITY,$B206,BC$11,BC$14,BC$204,),"")))))),"")</f>
        <v/>
      </c>
      <c r="ED206" s="2445" t="str" cm="1">
        <f t="array" ca="1" aca="1" ref="ED206">IFERROR(IF(BD206*fxVal_normal=_PL!BD206,"",IF(OR(BD206="",NOT(ISNUMBER(BD206)),ISERROR(BD206),$B206=""),"",IF($I206=1,IFBLANK(_xldudf_CX_PUSH(BD206*fxVal_normal,CX_ENTITY,$B206,BD$11,BD$14,BD$204,),""),IF($I206=2,IFBLANK(_xldudf_CX_PUSH(BD206,CX_ENTITY,$B206,BD$11,BD$14,BD$204,),""),IF($I206=3,"",IFBLANK(_xldudf_CX_PUSH(BD206,CX_ENTITY,$B206,BD$11,BD$14,BD$204,),"")))))),"")</f>
        <v/>
      </c>
      <c r="EE206" s="2445" t="str" cm="1">
        <f t="array" ca="1" aca="1" ref="EE206">IFERROR(IF(BE206*fxVal_normal=_PL!BE206,"",IF(OR(BE206="",NOT(ISNUMBER(BE206)),ISERROR(BE206),$B206=""),"",IF($I206=1,IFBLANK(_xldudf_CX_PUSH(BE206*fxVal_normal,CX_ENTITY,$B206,BE$11,BE$14,BE$204,),""),IF($I206=2,IFBLANK(_xldudf_CX_PUSH(BE206,CX_ENTITY,$B206,BE$11,BE$14,BE$204,),""),IF($I206=3,"",IFBLANK(_xldudf_CX_PUSH(BE206,CX_ENTITY,$B206,BE$11,BE$14,BE$204,),"")))))),"")</f>
        <v/>
      </c>
      <c r="EF206" s="2445" t="str" cm="1">
        <f t="array" ca="1" aca="1" ref="EF206">IFERROR(IF(BF206*fxVal_normal=_PL!BF206,"",IF(OR(BF206="",NOT(ISNUMBER(BF206)),ISERROR(BF206),$B206=""),"",IF($I206=1,IFBLANK(_xldudf_CX_PUSH(BF206*fxVal_normal,CX_ENTITY,$B206,BF$11,BF$14,BF$204,),""),IF($I206=2,IFBLANK(_xldudf_CX_PUSH(BF206,CX_ENTITY,$B206,BF$11,BF$14,BF$204,),""),IF($I206=3,"",IFBLANK(_xldudf_CX_PUSH(BF206,CX_ENTITY,$B206,BF$11,BF$14,BF$204,),"")))))),"")</f>
        <v/>
      </c>
      <c r="EG206" s="2445" t="str" cm="1">
        <f t="array" ca="1" aca="1" ref="EG206">IFERROR(IF(BG206*fxVal_normal=_PL!BG206,"",IF(OR(BG206="",NOT(ISNUMBER(BG206)),ISERROR(BG206),$B206=""),"",IF($I206=1,IFBLANK(_xldudf_CX_PUSH(BG206*fxVal_normal,CX_ENTITY,$B206,BG$11,BG$14,BG$204,),""),IF($I206=2,IFBLANK(_xldudf_CX_PUSH(BG206,CX_ENTITY,$B206,BG$11,BG$14,BG$204,),""),IF($I206=3,"",IFBLANK(_xldudf_CX_PUSH(BG206,CX_ENTITY,$B206,BG$11,BG$14,BG$204,),"")))))),"")</f>
        <v/>
      </c>
      <c r="EH206" s="2445" t="str" cm="1">
        <f t="array" ca="1" aca="1" ref="EH206">IFERROR(IF(BH206*fxVal_normal=_PL!BH206,"",IF(OR(BH206="",NOT(ISNUMBER(BH206)),ISERROR(BH206),$B206=""),"",IF($I206=1,IFBLANK(_xldudf_CX_PUSH(BH206*fxVal_normal,CX_ENTITY,$B206,BH$11,BH$14,BH$204,),""),IF($I206=2,IFBLANK(_xldudf_CX_PUSH(BH206,CX_ENTITY,$B206,BH$11,BH$14,BH$204,),""),IF($I206=3,"",IFBLANK(_xldudf_CX_PUSH(BH206,CX_ENTITY,$B206,BH$11,BH$14,BH$204,),"")))))),"")</f>
        <v/>
      </c>
      <c r="EI206" s="2445" t="str" cm="1">
        <f t="array" ca="1" aca="1" ref="EI206">IFERROR(IF(BI206*fxVal_normal=_PL!BI206,"",IF(OR(BI206="",NOT(ISNUMBER(BI206)),ISERROR(BI206),$B206=""),"",IF($I206=1,IFBLANK(_xldudf_CX_PUSH(BI206*fxVal_normal,CX_ENTITY,$B206,BI$11,BI$14,BI$204,),""),IF($I206=2,IFBLANK(_xldudf_CX_PUSH(BI206,CX_ENTITY,$B206,BI$11,BI$14,BI$204,),""),IF($I206=3,"",IFBLANK(_xldudf_CX_PUSH(BI206,CX_ENTITY,$B206,BI$11,BI$14,BI$204,),"")))))),"")</f>
        <v/>
      </c>
      <c r="EJ206" s="2445" t="str" cm="1">
        <f t="array" ca="1" aca="1" ref="EJ206">IFERROR(IF(BJ206*fxVal_normal=_PL!BJ206,"",IF(OR(BJ206="",NOT(ISNUMBER(BJ206)),ISERROR(BJ206),$B206=""),"",IF($I206=1,IFBLANK(_xldudf_CX_PUSH(BJ206*fxVal_normal,CX_ENTITY,$B206,BJ$11,BJ$14,BJ$204,),""),IF($I206=2,IFBLANK(_xldudf_CX_PUSH(BJ206,CX_ENTITY,$B206,BJ$11,BJ$14,BJ$204,),""),IF($I206=3,"",IFBLANK(_xldudf_CX_PUSH(BJ206,CX_ENTITY,$B206,BJ$11,BJ$14,BJ$204,),"")))))),"")</f>
        <v/>
      </c>
      <c r="EK206" s="2445" t="str" cm="1">
        <f t="array" ca="1" aca="1" ref="EK206">IFERROR(IF(BK206*fxVal_normal=_PL!BK206,"",IF(OR(BK206="",NOT(ISNUMBER(BK206)),ISERROR(BK206),$B206=""),"",IF($I206=1,IFBLANK(_xldudf_CX_PUSH(BK206*fxVal_normal,CX_ENTITY,$B206,BK$11,BK$14,BK$204,),""),IF($I206=2,IFBLANK(_xldudf_CX_PUSH(BK206,CX_ENTITY,$B206,BK$11,BK$14,BK$204,),""),IF($I206=3,"",IFBLANK(_xldudf_CX_PUSH(BK206,CX_ENTITY,$B206,BK$11,BK$14,BK$204,),"")))))),"")</f>
        <v/>
      </c>
      <c r="EL206" s="2445" t="str" cm="1">
        <f t="array" ca="1" aca="1" ref="EL206">IFERROR(IF(BL206*fxVal_normal=_PL!BL206,"",IF(OR(BL206="",NOT(ISNUMBER(BL206)),ISERROR(BL206),$B206=""),"",IF($I206=1,IFBLANK(_xldudf_CX_PUSH(BL206*fxVal_normal,CX_ENTITY,$B206,BL$11,BL$14,BL$204,),""),IF($I206=2,IFBLANK(_xldudf_CX_PUSH(BL206,CX_ENTITY,$B206,BL$11,BL$14,BL$204,),""),IF($I206=3,"",IFBLANK(_xldudf_CX_PUSH(BL206,CX_ENTITY,$B206,BL$11,BL$14,BL$204,),"")))))),"")</f>
        <v/>
      </c>
      <c r="EM206" s="2445" t="str" cm="1">
        <f t="array" ca="1" aca="1" ref="EM206">IFERROR(IF(BM206*fxVal_normal=_PL!BM206,"",IF(OR(BM206="",NOT(ISNUMBER(BM206)),ISERROR(BM206),$B206=""),"",IF($I206=1,IFBLANK(_xldudf_CX_PUSH(BM206*fxVal_normal,CX_ENTITY,$B206,BM$11,BM$14,BM$204,),""),IF($I206=2,IFBLANK(_xldudf_CX_PUSH(BM206,CX_ENTITY,$B206,BM$11,BM$14,BM$204,),""),IF($I206=3,"",IFBLANK(_xldudf_CX_PUSH(BM206,CX_ENTITY,$B206,BM$11,BM$14,BM$204,),"")))))),"")</f>
        <v/>
      </c>
      <c r="EN206" s="2445" t="str" cm="1">
        <f t="array" ca="1" aca="1" ref="EN206">IFERROR(IF(BN206*fxVal_normal=_PL!BN206,"",IF(OR(BN206="",NOT(ISNUMBER(BN206)),ISERROR(BN206),$B206=""),"",IF($I206=1,IFBLANK(_xldudf_CX_PUSH(BN206*fxVal_normal,CX_ENTITY,$B206,BN$11,BN$14,BN$204,),""),IF($I206=2,IFBLANK(_xldudf_CX_PUSH(BN206,CX_ENTITY,$B206,BN$11,BN$14,BN$204,),""),IF($I206=3,"",IFBLANK(_xldudf_CX_PUSH(BN206,CX_ENTITY,$B206,BN$11,BN$14,BN$204,),"")))))),"")</f>
        <v/>
      </c>
    </row>
    <row r="207" spans="1:144" ht="21" customHeight="1">
      <c r="A207" s="1627"/>
      <c r="B207" s="2439" t="s">
        <v>172</v>
      </c>
      <c r="C207" s="3459" t="str" cm="1">
        <f t="array" ref="C207">IFBLANK(_PL!C207,"")</f>
        <v>Segment II Breakdown - Label 2</v>
      </c>
      <c r="D207" s="1548" t="s">
        <v>172</v>
      </c>
      <c r="E207" s="2440" t="e" cm="1">
        <f t="array" ca="1" aca="1" ref="E20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207:$CQ207,Z207)</f>
        <v>#NAME?</v>
      </c>
      <c r="F207" s="578"/>
      <c r="G207" s="578"/>
      <c r="H207" s="510">
        <v>0</v>
      </c>
      <c r="I207" s="3302">
        <v>1</v>
      </c>
      <c r="J207" s="401" cm="1">
        <f t="array" ref="J207">IFBLANK(Z207,"")</f>
        <v>-1</v>
      </c>
      <c r="K207" s="578" t="str">
        <f ca="1">IFERROR(IF(LEN(AB207)=0,"No",IF(LEN(J207)&gt;0,"Yes","No")),"")</f>
        <v/>
      </c>
      <c r="L207" s="37"/>
      <c r="N207" s="158"/>
      <c r="O207" s="101"/>
      <c r="P207" s="52"/>
      <c r="Q207" s="101"/>
      <c r="R207" s="101"/>
      <c r="S207" s="3008"/>
      <c r="T207" s="3008"/>
      <c r="U207" s="39"/>
      <c r="V207" s="37"/>
      <c r="W207" s="91" t="e">
        <f ca="1">W205</f>
        <v>#NAME?</v>
      </c>
      <c r="X207" s="2081" t="str">
        <f>_PL!X207</f>
        <v>a</v>
      </c>
      <c r="Y207" s="3224">
        <v>2</v>
      </c>
      <c r="Z207" s="198">
        <f>_PL!Z207</f>
        <v>-1</v>
      </c>
      <c r="AA207" s="2571"/>
      <c r="AB207" s="3017" t="e" cm="1">
        <f t="array" ca="1" aca="1" ref="AB207">IF(AB209&lt;&gt;"",fx_getIcon("alert"),"")</f>
        <v>#NAME?</v>
      </c>
      <c r="AC207" s="914" t="str" cm="1">
        <f t="array" ca="1" aca="1" ref="AC207">_xlfn.LET(_xlpm._termname,$AB207,_xlpm._iconname,"find",_xlpm._icon,fx_getIcon(_xlpm._iconname),_xlpm._location,_xlfn.XLOOKUP(LOWER(_xlpm._termname),LOWER(tbl_acctDef[Term]),tbl_acctDef[Term]),_xlpm._hyperlink,HYPERLINK("#"&amp;CELL("address",_xlpm._location),_xlpm._icon),IFERROR(_xlpm._hyperlink,""))</f>
        <v/>
      </c>
      <c r="AD207" s="3177">
        <v>1</v>
      </c>
      <c r="AE207" s="3177">
        <v>1</v>
      </c>
      <c r="AF207" s="3177">
        <v>1</v>
      </c>
      <c r="AG207" s="3177">
        <v>1</v>
      </c>
      <c r="AH207" s="3177">
        <v>1</v>
      </c>
      <c r="AI207" s="3177">
        <v>1</v>
      </c>
      <c r="AJ207" s="3177">
        <v>1</v>
      </c>
      <c r="AK207" s="3177">
        <v>1</v>
      </c>
      <c r="AL207" s="3177">
        <v>1</v>
      </c>
      <c r="AM207" s="3177">
        <v>1</v>
      </c>
      <c r="AN207" s="3177">
        <v>1</v>
      </c>
      <c r="AO207" s="3177">
        <v>1</v>
      </c>
      <c r="AP207" s="3177">
        <v>1</v>
      </c>
      <c r="AQ207" s="3177">
        <v>1</v>
      </c>
      <c r="AR207" s="3177">
        <v>1</v>
      </c>
      <c r="AS207" s="3177">
        <v>1</v>
      </c>
      <c r="AT207" s="3177">
        <v>1</v>
      </c>
      <c r="AU207" s="3177">
        <v>1</v>
      </c>
      <c r="AV207" s="3177">
        <v>1</v>
      </c>
      <c r="AW207" s="3177">
        <v>1</v>
      </c>
      <c r="AX207" s="3177">
        <v>1</v>
      </c>
      <c r="AY207" s="3177">
        <v>1</v>
      </c>
      <c r="AZ207" s="3177">
        <v>1</v>
      </c>
      <c r="BA207" s="3177">
        <v>1</v>
      </c>
      <c r="BB207" s="3177">
        <v>1</v>
      </c>
      <c r="BC207" s="3177">
        <v>1</v>
      </c>
      <c r="BD207" s="3177">
        <v>1</v>
      </c>
      <c r="BE207" s="3177">
        <v>1</v>
      </c>
      <c r="BF207" s="3177">
        <v>1</v>
      </c>
      <c r="BG207" s="3177">
        <v>1</v>
      </c>
      <c r="BH207" s="3177">
        <v>1</v>
      </c>
      <c r="BI207" s="3177">
        <v>1</v>
      </c>
      <c r="BJ207" s="3177">
        <v>1</v>
      </c>
      <c r="BK207" s="3177">
        <v>1</v>
      </c>
      <c r="BL207" s="3177">
        <v>1</v>
      </c>
      <c r="BM207" s="3177">
        <v>1</v>
      </c>
      <c r="BN207" s="3177">
        <v>1</v>
      </c>
      <c r="BO207" s="2442"/>
      <c r="BP207" s="2442"/>
      <c r="BQ207" s="2442"/>
      <c r="BR207" s="2442"/>
      <c r="BS207" s="2442"/>
      <c r="BT207" s="2442"/>
      <c r="BU207" s="2442"/>
      <c r="BV207" s="2442"/>
      <c r="BW207" s="2442"/>
      <c r="BX207" s="2442"/>
      <c r="BY207" s="2442"/>
      <c r="BZ207" s="2442"/>
      <c r="CA207" s="34"/>
      <c r="CC207" s="2572"/>
      <c r="CD207" s="1461" t="e" cm="1">
        <f t="array" ca="1" aca="1" ref="CD207">_xlfn.LET(_xlpm.CheckBlank,SUM(PL!$AD207:$BN207)=0,IF(_xlpm.CheckBlank,"",SUM(_xlfn._xlws.FILTER(PL!$AD207:$BN207,(YEAR(PL!$AD$12:$BN$12)=PL!CD$12)*(array_timeline&lt;=PL!CD$11)))))</f>
        <v>#NAME?</v>
      </c>
      <c r="CE207" s="1461" t="e" cm="1">
        <f t="array" ca="1" aca="1" ref="CE207">_xlfn.LET(_xlpm.CheckBlank,SUM(PL!$AD207:$BN207)=0,IF(_xlpm.CheckBlank,"",SUM(_xlfn._xlws.FILTER(PL!$AD207:$BN207,(YEAR(PL!$AD$12:$BN$12)=PL!CE$12)*(array_timeline&lt;=PL!CE$11)))))</f>
        <v>#NAME?</v>
      </c>
      <c r="CF207" s="88"/>
      <c r="CG207" s="1461" t="e" cm="1">
        <f t="array" ca="1" aca="1" ref="CG207">_xlfn.LET(_xlpm.CheckBlank,SUM(PL!$AD207:$BN207)=0,IF(_xlpm.CheckBlank,"",SUM(_xlfn._xlws.FILTER(PL!$AD207:$BN207,(YEAR(PL!$AD$12:$BN$12)=PL!CG$12)*(array_timeline&lt;=PL!CG$11)))))</f>
        <v>#NAME?</v>
      </c>
      <c r="CH207" s="1461" t="e" cm="1">
        <f t="array" ca="1" aca="1" ref="CH207">_xlfn.LET(_xlpm.CheckBlank,SUM(PL!$AD207:$BN207)=0,IF(_xlpm.CheckBlank,"",SUM(_xlfn._xlws.FILTER(PL!$AD207:$BN207,(YEAR(PL!$AD$12:$BN$12)=PL!CH$12)*(array_timeline&lt;=PL!CH$11)))))</f>
        <v>#NAME?</v>
      </c>
      <c r="CI207" s="88"/>
      <c r="CJ207" s="1461" cm="1">
        <f t="array" ref="CJ207">_xlfn.LET(_xlpm.CheckBlank,SUM(PL!$AD207:$BN207)=0,IF(_xlpm.CheckBlank,"",SUM(_xlfn.TAKE(_xlfn.DROP(PL!$AD207:$BN207,,-DATEDIFF(PL!CJ$11,val_asOfDate,"M")),1,-12))))</f>
        <v>12</v>
      </c>
      <c r="CK207" s="1461" cm="1">
        <f t="array" ref="CK207">_xlfn.LET(_xlpm.CheckBlank,SUM(PL!$AD207:$BN207)=0,IF(_xlpm.CheckBlank,"",SUM(_xlfn.TAKE(_xlfn.DROP(PL!$AD207:$BN207,,-DATEDIFF(PL!CK$11,val_asOfDate,"M")),1,-12))))</f>
        <v>12</v>
      </c>
      <c r="CL207" s="88"/>
      <c r="CM207" s="3177">
        <v>1</v>
      </c>
      <c r="CN207" s="3177">
        <v>1</v>
      </c>
      <c r="CO207" s="1169"/>
      <c r="CP207" s="3177">
        <v>1</v>
      </c>
      <c r="CQ207" s="3177">
        <v>1</v>
      </c>
      <c r="CR207" s="34"/>
      <c r="CS207" s="2056"/>
      <c r="CT207" s="2447" t="e" cm="1">
        <f t="array" ca="1" aca="1" ref="CT207">IF(OR($Y207="Segment II Breakdown - Amount 1",$Y207="Segment II Breakdown - Amount 2",$Y207="Segment II Breakdown - Amount 3",$Y207="Segment II Breakdown - Amount 4",$Y207="Segment II Breakdown - Amount 5",$Y207="Segment II Breakdown - Amount 6",$Y207="Please select the metric for segmentation"),"",_xldudf_CX_PUSH($Y207,CX_ENTITY,$C207,val_asOfDate))</f>
        <v>#NAME?</v>
      </c>
      <c r="CU207" s="2447" t="e" cm="1">
        <f t="array" ca="1" aca="1" ref="CU207">IF(OR($Y207="Segment II Breakdown - Amount 1",$Y207="Segment II Breakdown - Amount 2",$Y207="Segment II Breakdown - Amount 3",$Y207="Segment II Breakdown - Amount 4",$Y207="Segment II Breakdown - Amount 5",$Y207="Segment II Breakdown - Amount 6",$Y207="Please select the metric for segmentation"),"",_xldudf_CX_PUSH($Y207,CX_ENTITY,$C207,EOMONTH(val_asOfDate,1)))</f>
        <v>#NAME?</v>
      </c>
      <c r="CV207" s="2447" t="e" cm="1">
        <f t="array" ca="1" aca="1" ref="CV207">IF(OR($Y207="Segment II Breakdown - Amount 1",$Y207="Segment II Breakdown - Amount 2",$Y207="Segment II Breakdown - Amount 3",$Y207="Segment II Breakdown - Amount 4",$Y207="Segment II Breakdown - Amount 5",$Y207="Segment II Breakdown - Amount 6",$Y207="Please select the metric for segmentation"),"",_xldudf_CX_PUSH($Y207,CX_ENTITY,$C207,EOMONTH(val_asOfDate,2)))</f>
        <v>#NAME?</v>
      </c>
      <c r="CW207" s="2447" t="e" cm="1">
        <f t="array" ca="1" aca="1" ref="CW207">IF(OR($Y207="Segment II Breakdown - Amount 1",$Y207="Segment II Breakdown - Amount 2",$Y207="Segment II Breakdown - Amount 3",$Y207="Segment II Breakdown - Amount 4",$Y207="Segment II Breakdown - Amount 5",$Y207="Segment II Breakdown - Amount 6",$Y207="Please select the metric for segmentation"),"",_xldudf_CX_PUSH($Y207,CX_ENTITY,$C207,EOMONTH(val_asOfDate,3)))</f>
        <v>#NAME?</v>
      </c>
      <c r="CX207" s="2443"/>
      <c r="CY207" s="2444" t="str" cm="1">
        <f t="array" ca="1" aca="1" ref="CY207">IFERROR(IF(CM207*fxVal_normal=_PL!CM207,"",IF(OR($CM207="",$CM207=0,NOT(ISNUMBER($CM207)),ISERROR($CM207),$B207=""),"",IF($I207=1,IFBLANK(_xldudf_CX_PUSH($CM207*fxVal_normal,CX_ENTITY,$B207,$CM$11,$CM$14,$CM$19,),""),IF($I207=2,IFBLANK(_xldudf_CX_PUSH($CM207,CX_ENTITY,$B207,$CM$11,$CM$14,$CM$19,),""),IF($I207=3,"",IFBLANK(_xldudf_CX_PUSH($CM207,CX_ENTITY,$B207,$CM$11,$CM$14,$CM$19,),"")))))),"")</f>
        <v/>
      </c>
      <c r="CZ207" s="2444" t="str" cm="1">
        <f t="array" ca="1" aca="1" ref="CZ207">IFERROR(IF(CN207*fxVal_normal=_PL!CN207,"",IF(OR($CN207="",$CN207=0,NOT(ISNUMBER($CN207)),ISERROR($CN207),$B207=""),"",IF($I207=1,IFBLANK(_xldudf_CX_PUSH($CN207*fxVal_normal,CX_ENTITY,$B207,$CN$11,$CN$14,$CN$19,),""),IF($I207=2,IFBLANK(_xldudf_CX_PUSH($CN207,CX_ENTITY,$B207,$CN$11,$CN$14,$CN$19,),""),IF($I207=3,"",IFBLANK(_xldudf_CX_PUSH($CN207,CX_ENTITY,$B207,$CN$11,$CN$14,$CN$19,),"")))))),"")</f>
        <v/>
      </c>
      <c r="DA207" s="2444" t="str" cm="1">
        <f t="array" ca="1" aca="1" ref="DA207">IFERROR(IF(CP207*fxVal_normal=_PL!CP207,"",IF(OR($CP207="",$CP207=0,NOT(ISNUMBER($CP207)),ISERROR($CP207),$B207=""),"",IF($I207=1,IFBLANK(_xldudf_CX_PUSH($CP207*fxVal_normal,CX_ENTITY,$B207,$CP$11,$CP$14,$CP$19,),""),IF($I207=2,IFBLANK(_xldudf_CX_PUSH($CP207,CX_ENTITY,$B207,$CP$11,$CP$14,$CP$19,),""),IF($I207=3,"",IFBLANK(_xldudf_CX_PUSH($CP207,CX_ENTITY,$B207,$CP$11,$CP$14,$CP$19,),"")))))),"")</f>
        <v/>
      </c>
      <c r="DB207" s="2444" t="str" cm="1">
        <f t="array" ca="1" aca="1" ref="DB207">IFERROR(IF(CQ207*fxVal_normal=_PL!CQ207,"",IF(OR($CQ207="",$CQ207=0,NOT(ISNUMBER($CQ207)),ISERROR($CQ207),$B207=""),"",IF($I207=1,IFBLANK(_xldudf_CX_PUSH($CQ207*fxVal_normal,CX_ENTITY,$B207,$CQ$11,$CQ$14,$CQ$19,),""),IF($I207=2,IFBLANK(_xldudf_CX_PUSH($CQ207,CX_ENTITY,$B207,$CQ$11,$CQ$14,$CQ$19,),""),IF($I207=3,"",IFBLANK(_xldudf_CX_PUSH($CQ207,CX_ENTITY,$B207,$CQ$11,$CQ$14,$CQ$19,),"")))))),"")</f>
        <v/>
      </c>
      <c r="DC207" s="2443"/>
      <c r="DD207" s="2445" t="str" cm="1">
        <f t="array" ca="1" aca="1" ref="DD207">IFERROR(IF(AD207*fxVal_normal=_PL!AD207,"",IF(OR(AD207="",NOT(ISNUMBER(AD207)),ISERROR(AD207),$B207=""),"",IF($I207=1,IFBLANK(_xldudf_CX_PUSH(AD207*fxVal_normal,CX_ENTITY,$B207,AD$11,AD$14,AD$204,),""),IF($I207=2,IFBLANK(_xldudf_CX_PUSH(AD207,CX_ENTITY,$B207,AD$11,AD$14,AD$204,),""),IF($I207=3,"",IFBLANK(_xldudf_CX_PUSH(AD207,CX_ENTITY,$B207,AD$11,AD$14,AD$204,),"")))))),"")</f>
        <v/>
      </c>
      <c r="DE207" s="2445" t="str" cm="1">
        <f t="array" ca="1" aca="1" ref="DE207">IFERROR(IF(AE207*fxVal_normal=_PL!AE207,"",IF(OR(AE207="",NOT(ISNUMBER(AE207)),ISERROR(AE207),$B207=""),"",IF($I207=1,IFBLANK(_xldudf_CX_PUSH(AE207*fxVal_normal,CX_ENTITY,$B207,AE$11,AE$14,AE$204,),""),IF($I207=2,IFBLANK(_xldudf_CX_PUSH(AE207,CX_ENTITY,$B207,AE$11,AE$14,AE$204,),""),IF($I207=3,"",IFBLANK(_xldudf_CX_PUSH(AE207,CX_ENTITY,$B207,AE$11,AE$14,AE$204,),"")))))),"")</f>
        <v/>
      </c>
      <c r="DF207" s="2445" t="str" cm="1">
        <f t="array" ca="1" aca="1" ref="DF207">IFERROR(IF(AF207*fxVal_normal=_PL!AF207,"",IF(OR(AF207="",NOT(ISNUMBER(AF207)),ISERROR(AF207),$B207=""),"",IF($I207=1,IFBLANK(_xldudf_CX_PUSH(AF207*fxVal_normal,CX_ENTITY,$B207,AF$11,AF$14,AF$204,),""),IF($I207=2,IFBLANK(_xldudf_CX_PUSH(AF207,CX_ENTITY,$B207,AF$11,AF$14,AF$204,),""),IF($I207=3,"",IFBLANK(_xldudf_CX_PUSH(AF207,CX_ENTITY,$B207,AF$11,AF$14,AF$204,),"")))))),"")</f>
        <v/>
      </c>
      <c r="DG207" s="2445" t="str" cm="1">
        <f t="array" ca="1" aca="1" ref="DG207">IFERROR(IF(AG207*fxVal_normal=_PL!AG207,"",IF(OR(AG207="",NOT(ISNUMBER(AG207)),ISERROR(AG207),$B207=""),"",IF($I207=1,IFBLANK(_xldudf_CX_PUSH(AG207*fxVal_normal,CX_ENTITY,$B207,AG$11,AG$14,AG$204,),""),IF($I207=2,IFBLANK(_xldudf_CX_PUSH(AG207,CX_ENTITY,$B207,AG$11,AG$14,AG$204,),""),IF($I207=3,"",IFBLANK(_xldudf_CX_PUSH(AG207,CX_ENTITY,$B207,AG$11,AG$14,AG$204,),"")))))),"")</f>
        <v/>
      </c>
      <c r="DH207" s="2445" t="str" cm="1">
        <f t="array" ca="1" aca="1" ref="DH207">IFERROR(IF(AH207*fxVal_normal=_PL!AH207,"",IF(OR(AH207="",NOT(ISNUMBER(AH207)),ISERROR(AH207),$B207=""),"",IF($I207=1,IFBLANK(_xldudf_CX_PUSH(AH207*fxVal_normal,CX_ENTITY,$B207,AH$11,AH$14,AH$204,),""),IF($I207=2,IFBLANK(_xldudf_CX_PUSH(AH207,CX_ENTITY,$B207,AH$11,AH$14,AH$204,),""),IF($I207=3,"",IFBLANK(_xldudf_CX_PUSH(AH207,CX_ENTITY,$B207,AH$11,AH$14,AH$204,),"")))))),"")</f>
        <v/>
      </c>
      <c r="DI207" s="2445" t="str" cm="1">
        <f t="array" ca="1" aca="1" ref="DI207">IFERROR(IF(AI207*fxVal_normal=_PL!AI207,"",IF(OR(AI207="",NOT(ISNUMBER(AI207)),ISERROR(AI207),$B207=""),"",IF($I207=1,IFBLANK(_xldudf_CX_PUSH(AI207*fxVal_normal,CX_ENTITY,$B207,AI$11,AI$14,AI$204,),""),IF($I207=2,IFBLANK(_xldudf_CX_PUSH(AI207,CX_ENTITY,$B207,AI$11,AI$14,AI$204,),""),IF($I207=3,"",IFBLANK(_xldudf_CX_PUSH(AI207,CX_ENTITY,$B207,AI$11,AI$14,AI$204,),"")))))),"")</f>
        <v/>
      </c>
      <c r="DJ207" s="2445" t="str" cm="1">
        <f t="array" ca="1" aca="1" ref="DJ207">IFERROR(IF(AJ207*fxVal_normal=_PL!AJ207,"",IF(OR(AJ207="",NOT(ISNUMBER(AJ207)),ISERROR(AJ207),$B207=""),"",IF($I207=1,IFBLANK(_xldudf_CX_PUSH(AJ207*fxVal_normal,CX_ENTITY,$B207,AJ$11,AJ$14,AJ$204,),""),IF($I207=2,IFBLANK(_xldudf_CX_PUSH(AJ207,CX_ENTITY,$B207,AJ$11,AJ$14,AJ$204,),""),IF($I207=3,"",IFBLANK(_xldudf_CX_PUSH(AJ207,CX_ENTITY,$B207,AJ$11,AJ$14,AJ$204,),"")))))),"")</f>
        <v/>
      </c>
      <c r="DK207" s="2445" t="str" cm="1">
        <f t="array" ca="1" aca="1" ref="DK207">IFERROR(IF(AK207*fxVal_normal=_PL!AK207,"",IF(OR(AK207="",NOT(ISNUMBER(AK207)),ISERROR(AK207),$B207=""),"",IF($I207=1,IFBLANK(_xldudf_CX_PUSH(AK207*fxVal_normal,CX_ENTITY,$B207,AK$11,AK$14,AK$204,),""),IF($I207=2,IFBLANK(_xldudf_CX_PUSH(AK207,CX_ENTITY,$B207,AK$11,AK$14,AK$204,),""),IF($I207=3,"",IFBLANK(_xldudf_CX_PUSH(AK207,CX_ENTITY,$B207,AK$11,AK$14,AK$204,),"")))))),"")</f>
        <v/>
      </c>
      <c r="DL207" s="2445" t="str" cm="1">
        <f t="array" ca="1" aca="1" ref="DL207">IFERROR(IF(AL207*fxVal_normal=_PL!AL207,"",IF(OR(AL207="",NOT(ISNUMBER(AL207)),ISERROR(AL207),$B207=""),"",IF($I207=1,IFBLANK(_xldudf_CX_PUSH(AL207*fxVal_normal,CX_ENTITY,$B207,AL$11,AL$14,AL$204,),""),IF($I207=2,IFBLANK(_xldudf_CX_PUSH(AL207,CX_ENTITY,$B207,AL$11,AL$14,AL$204,),""),IF($I207=3,"",IFBLANK(_xldudf_CX_PUSH(AL207,CX_ENTITY,$B207,AL$11,AL$14,AL$204,),"")))))),"")</f>
        <v/>
      </c>
      <c r="DM207" s="2445" t="str" cm="1">
        <f t="array" ca="1" aca="1" ref="DM207">IFERROR(IF(AM207*fxVal_normal=_PL!AM207,"",IF(OR(AM207="",NOT(ISNUMBER(AM207)),ISERROR(AM207),$B207=""),"",IF($I207=1,IFBLANK(_xldudf_CX_PUSH(AM207*fxVal_normal,CX_ENTITY,$B207,AM$11,AM$14,AM$204,),""),IF($I207=2,IFBLANK(_xldudf_CX_PUSH(AM207,CX_ENTITY,$B207,AM$11,AM$14,AM$204,),""),IF($I207=3,"",IFBLANK(_xldudf_CX_PUSH(AM207,CX_ENTITY,$B207,AM$11,AM$14,AM$204,),"")))))),"")</f>
        <v/>
      </c>
      <c r="DN207" s="2445" t="str" cm="1">
        <f t="array" ca="1" aca="1" ref="DN207">IFERROR(IF(AN207*fxVal_normal=_PL!AN207,"",IF(OR(AN207="",NOT(ISNUMBER(AN207)),ISERROR(AN207),$B207=""),"",IF($I207=1,IFBLANK(_xldudf_CX_PUSH(AN207*fxVal_normal,CX_ENTITY,$B207,AN$11,AN$14,AN$204,),""),IF($I207=2,IFBLANK(_xldudf_CX_PUSH(AN207,CX_ENTITY,$B207,AN$11,AN$14,AN$204,),""),IF($I207=3,"",IFBLANK(_xldudf_CX_PUSH(AN207,CX_ENTITY,$B207,AN$11,AN$14,AN$204,),"")))))),"")</f>
        <v/>
      </c>
      <c r="DO207" s="2445" t="str" cm="1">
        <f t="array" ca="1" aca="1" ref="DO207">IFERROR(IF(AO207*fxVal_normal=_PL!AO207,"",IF(OR(AO207="",NOT(ISNUMBER(AO207)),ISERROR(AO207),$B207=""),"",IF($I207=1,IFBLANK(_xldudf_CX_PUSH(AO207*fxVal_normal,CX_ENTITY,$B207,AO$11,AO$14,AO$204,),""),IF($I207=2,IFBLANK(_xldudf_CX_PUSH(AO207,CX_ENTITY,$B207,AO$11,AO$14,AO$204,),""),IF($I207=3,"",IFBLANK(_xldudf_CX_PUSH(AO207,CX_ENTITY,$B207,AO$11,AO$14,AO$204,),"")))))),"")</f>
        <v/>
      </c>
      <c r="DP207" s="2445" t="str" cm="1">
        <f t="array" ca="1" aca="1" ref="DP207">IFERROR(IF(AP207*fxVal_normal=_PL!AP207,"",IF(OR(AP207="",NOT(ISNUMBER(AP207)),ISERROR(AP207),$B207=""),"",IF($I207=1,IFBLANK(_xldudf_CX_PUSH(AP207*fxVal_normal,CX_ENTITY,$B207,AP$11,AP$14,AP$204,),""),IF($I207=2,IFBLANK(_xldudf_CX_PUSH(AP207,CX_ENTITY,$B207,AP$11,AP$14,AP$204,),""),IF($I207=3,"",IFBLANK(_xldudf_CX_PUSH(AP207,CX_ENTITY,$B207,AP$11,AP$14,AP$204,),"")))))),"")</f>
        <v/>
      </c>
      <c r="DQ207" s="2445" t="str" cm="1">
        <f t="array" ca="1" aca="1" ref="DQ207">IFERROR(IF(AQ207*fxVal_normal=_PL!AQ207,"",IF(OR(AQ207="",NOT(ISNUMBER(AQ207)),ISERROR(AQ207),$B207=""),"",IF($I207=1,IFBLANK(_xldudf_CX_PUSH(AQ207*fxVal_normal,CX_ENTITY,$B207,AQ$11,AQ$14,AQ$204,),""),IF($I207=2,IFBLANK(_xldudf_CX_PUSH(AQ207,CX_ENTITY,$B207,AQ$11,AQ$14,AQ$204,),""),IF($I207=3,"",IFBLANK(_xldudf_CX_PUSH(AQ207,CX_ENTITY,$B207,AQ$11,AQ$14,AQ$204,),"")))))),"")</f>
        <v/>
      </c>
      <c r="DR207" s="2445" t="str" cm="1">
        <f t="array" ca="1" aca="1" ref="DR207">IFERROR(IF(AR207*fxVal_normal=_PL!AR207,"",IF(OR(AR207="",NOT(ISNUMBER(AR207)),ISERROR(AR207),$B207=""),"",IF($I207=1,IFBLANK(_xldudf_CX_PUSH(AR207*fxVal_normal,CX_ENTITY,$B207,AR$11,AR$14,AR$204,),""),IF($I207=2,IFBLANK(_xldudf_CX_PUSH(AR207,CX_ENTITY,$B207,AR$11,AR$14,AR$204,),""),IF($I207=3,"",IFBLANK(_xldudf_CX_PUSH(AR207,CX_ENTITY,$B207,AR$11,AR$14,AR$204,),"")))))),"")</f>
        <v/>
      </c>
      <c r="DS207" s="2445" t="str" cm="1">
        <f t="array" ca="1" aca="1" ref="DS207">IFERROR(IF(AS207*fxVal_normal=_PL!AS207,"",IF(OR(AS207="",NOT(ISNUMBER(AS207)),ISERROR(AS207),$B207=""),"",IF($I207=1,IFBLANK(_xldudf_CX_PUSH(AS207*fxVal_normal,CX_ENTITY,$B207,AS$11,AS$14,AS$204,),""),IF($I207=2,IFBLANK(_xldudf_CX_PUSH(AS207,CX_ENTITY,$B207,AS$11,AS$14,AS$204,),""),IF($I207=3,"",IFBLANK(_xldudf_CX_PUSH(AS207,CX_ENTITY,$B207,AS$11,AS$14,AS$204,),"")))))),"")</f>
        <v/>
      </c>
      <c r="DT207" s="2445" t="str" cm="1">
        <f t="array" ca="1" aca="1" ref="DT207">IFERROR(IF(AT207*fxVal_normal=_PL!AT207,"",IF(OR(AT207="",NOT(ISNUMBER(AT207)),ISERROR(AT207),$B207=""),"",IF($I207=1,IFBLANK(_xldudf_CX_PUSH(AT207*fxVal_normal,CX_ENTITY,$B207,AT$11,AT$14,AT$204,),""),IF($I207=2,IFBLANK(_xldudf_CX_PUSH(AT207,CX_ENTITY,$B207,AT$11,AT$14,AT$204,),""),IF($I207=3,"",IFBLANK(_xldudf_CX_PUSH(AT207,CX_ENTITY,$B207,AT$11,AT$14,AT$204,),"")))))),"")</f>
        <v/>
      </c>
      <c r="DU207" s="2445" t="str" cm="1">
        <f t="array" ca="1" aca="1" ref="DU207">IFERROR(IF(AU207*fxVal_normal=_PL!AU207,"",IF(OR(AU207="",NOT(ISNUMBER(AU207)),ISERROR(AU207),$B207=""),"",IF($I207=1,IFBLANK(_xldudf_CX_PUSH(AU207*fxVal_normal,CX_ENTITY,$B207,AU$11,AU$14,AU$204,),""),IF($I207=2,IFBLANK(_xldudf_CX_PUSH(AU207,CX_ENTITY,$B207,AU$11,AU$14,AU$204,),""),IF($I207=3,"",IFBLANK(_xldudf_CX_PUSH(AU207,CX_ENTITY,$B207,AU$11,AU$14,AU$204,),"")))))),"")</f>
        <v/>
      </c>
      <c r="DV207" s="2445" t="str" cm="1">
        <f t="array" ca="1" aca="1" ref="DV207">IFERROR(IF(AV207*fxVal_normal=_PL!AV207,"",IF(OR(AV207="",NOT(ISNUMBER(AV207)),ISERROR(AV207),$B207=""),"",IF($I207=1,IFBLANK(_xldudf_CX_PUSH(AV207*fxVal_normal,CX_ENTITY,$B207,AV$11,AV$14,AV$204,),""),IF($I207=2,IFBLANK(_xldudf_CX_PUSH(AV207,CX_ENTITY,$B207,AV$11,AV$14,AV$204,),""),IF($I207=3,"",IFBLANK(_xldudf_CX_PUSH(AV207,CX_ENTITY,$B207,AV$11,AV$14,AV$204,),"")))))),"")</f>
        <v/>
      </c>
      <c r="DW207" s="2445" t="str" cm="1">
        <f t="array" ca="1" aca="1" ref="DW207">IFERROR(IF(AW207*fxVal_normal=_PL!AW207,"",IF(OR(AW207="",NOT(ISNUMBER(AW207)),ISERROR(AW207),$B207=""),"",IF($I207=1,IFBLANK(_xldudf_CX_PUSH(AW207*fxVal_normal,CX_ENTITY,$B207,AW$11,AW$14,AW$204,),""),IF($I207=2,IFBLANK(_xldudf_CX_PUSH(AW207,CX_ENTITY,$B207,AW$11,AW$14,AW$204,),""),IF($I207=3,"",IFBLANK(_xldudf_CX_PUSH(AW207,CX_ENTITY,$B207,AW$11,AW$14,AW$204,),"")))))),"")</f>
        <v/>
      </c>
      <c r="DX207" s="2445" t="str" cm="1">
        <f t="array" ca="1" aca="1" ref="DX207">IFERROR(IF(AX207*fxVal_normal=_PL!AX207,"",IF(OR(AX207="",NOT(ISNUMBER(AX207)),ISERROR(AX207),$B207=""),"",IF($I207=1,IFBLANK(_xldudf_CX_PUSH(AX207*fxVal_normal,CX_ENTITY,$B207,AX$11,AX$14,AX$204,),""),IF($I207=2,IFBLANK(_xldudf_CX_PUSH(AX207,CX_ENTITY,$B207,AX$11,AX$14,AX$204,),""),IF($I207=3,"",IFBLANK(_xldudf_CX_PUSH(AX207,CX_ENTITY,$B207,AX$11,AX$14,AX$204,),"")))))),"")</f>
        <v/>
      </c>
      <c r="DY207" s="2445" t="str" cm="1">
        <f t="array" ca="1" aca="1" ref="DY207">IFERROR(IF(AY207*fxVal_normal=_PL!AY207,"",IF(OR(AY207="",NOT(ISNUMBER(AY207)),ISERROR(AY207),$B207=""),"",IF($I207=1,IFBLANK(_xldudf_CX_PUSH(AY207*fxVal_normal,CX_ENTITY,$B207,AY$11,AY$14,AY$204,),""),IF($I207=2,IFBLANK(_xldudf_CX_PUSH(AY207,CX_ENTITY,$B207,AY$11,AY$14,AY$204,),""),IF($I207=3,"",IFBLANK(_xldudf_CX_PUSH(AY207,CX_ENTITY,$B207,AY$11,AY$14,AY$204,),"")))))),"")</f>
        <v/>
      </c>
      <c r="DZ207" s="2445" t="str" cm="1">
        <f t="array" ca="1" aca="1" ref="DZ207">IFERROR(IF(AZ207*fxVal_normal=_PL!AZ207,"",IF(OR(AZ207="",NOT(ISNUMBER(AZ207)),ISERROR(AZ207),$B207=""),"",IF($I207=1,IFBLANK(_xldudf_CX_PUSH(AZ207*fxVal_normal,CX_ENTITY,$B207,AZ$11,AZ$14,AZ$204,),""),IF($I207=2,IFBLANK(_xldudf_CX_PUSH(AZ207,CX_ENTITY,$B207,AZ$11,AZ$14,AZ$204,),""),IF($I207=3,"",IFBLANK(_xldudf_CX_PUSH(AZ207,CX_ENTITY,$B207,AZ$11,AZ$14,AZ$204,),"")))))),"")</f>
        <v/>
      </c>
      <c r="EA207" s="2445" t="str" cm="1">
        <f t="array" ca="1" aca="1" ref="EA207">IFERROR(IF(BA207*fxVal_normal=_PL!BA207,"",IF(OR(BA207="",NOT(ISNUMBER(BA207)),ISERROR(BA207),$B207=""),"",IF($I207=1,IFBLANK(_xldudf_CX_PUSH(BA207*fxVal_normal,CX_ENTITY,$B207,BA$11,BA$14,BA$204,),""),IF($I207=2,IFBLANK(_xldudf_CX_PUSH(BA207,CX_ENTITY,$B207,BA$11,BA$14,BA$204,),""),IF($I207=3,"",IFBLANK(_xldudf_CX_PUSH(BA207,CX_ENTITY,$B207,BA$11,BA$14,BA$204,),"")))))),"")</f>
        <v/>
      </c>
      <c r="EB207" s="2445" t="str" cm="1">
        <f t="array" ca="1" aca="1" ref="EB207">IFERROR(IF(BB207*fxVal_normal=_PL!BB207,"",IF(OR(BB207="",NOT(ISNUMBER(BB207)),ISERROR(BB207),$B207=""),"",IF($I207=1,IFBLANK(_xldudf_CX_PUSH(BB207*fxVal_normal,CX_ENTITY,$B207,BB$11,BB$14,BB$204,),""),IF($I207=2,IFBLANK(_xldudf_CX_PUSH(BB207,CX_ENTITY,$B207,BB$11,BB$14,BB$204,),""),IF($I207=3,"",IFBLANK(_xldudf_CX_PUSH(BB207,CX_ENTITY,$B207,BB$11,BB$14,BB$204,),"")))))),"")</f>
        <v/>
      </c>
      <c r="EC207" s="2445" t="str" cm="1">
        <f t="array" ca="1" aca="1" ref="EC207">IFERROR(IF(BC207*fxVal_normal=_PL!BC207,"",IF(OR(BC207="",NOT(ISNUMBER(BC207)),ISERROR(BC207),$B207=""),"",IF($I207=1,IFBLANK(_xldudf_CX_PUSH(BC207*fxVal_normal,CX_ENTITY,$B207,BC$11,BC$14,BC$204,),""),IF($I207=2,IFBLANK(_xldudf_CX_PUSH(BC207,CX_ENTITY,$B207,BC$11,BC$14,BC$204,),""),IF($I207=3,"",IFBLANK(_xldudf_CX_PUSH(BC207,CX_ENTITY,$B207,BC$11,BC$14,BC$204,),"")))))),"")</f>
        <v/>
      </c>
      <c r="ED207" s="2445" t="str" cm="1">
        <f t="array" ca="1" aca="1" ref="ED207">IFERROR(IF(BD207*fxVal_normal=_PL!BD207,"",IF(OR(BD207="",NOT(ISNUMBER(BD207)),ISERROR(BD207),$B207=""),"",IF($I207=1,IFBLANK(_xldudf_CX_PUSH(BD207*fxVal_normal,CX_ENTITY,$B207,BD$11,BD$14,BD$204,),""),IF($I207=2,IFBLANK(_xldudf_CX_PUSH(BD207,CX_ENTITY,$B207,BD$11,BD$14,BD$204,),""),IF($I207=3,"",IFBLANK(_xldudf_CX_PUSH(BD207,CX_ENTITY,$B207,BD$11,BD$14,BD$204,),"")))))),"")</f>
        <v/>
      </c>
      <c r="EE207" s="2445" t="str" cm="1">
        <f t="array" ca="1" aca="1" ref="EE207">IFERROR(IF(BE207*fxVal_normal=_PL!BE207,"",IF(OR(BE207="",NOT(ISNUMBER(BE207)),ISERROR(BE207),$B207=""),"",IF($I207=1,IFBLANK(_xldudf_CX_PUSH(BE207*fxVal_normal,CX_ENTITY,$B207,BE$11,BE$14,BE$204,),""),IF($I207=2,IFBLANK(_xldudf_CX_PUSH(BE207,CX_ENTITY,$B207,BE$11,BE$14,BE$204,),""),IF($I207=3,"",IFBLANK(_xldudf_CX_PUSH(BE207,CX_ENTITY,$B207,BE$11,BE$14,BE$204,),"")))))),"")</f>
        <v/>
      </c>
      <c r="EF207" s="2445" t="str" cm="1">
        <f t="array" ca="1" aca="1" ref="EF207">IFERROR(IF(BF207*fxVal_normal=_PL!BF207,"",IF(OR(BF207="",NOT(ISNUMBER(BF207)),ISERROR(BF207),$B207=""),"",IF($I207=1,IFBLANK(_xldudf_CX_PUSH(BF207*fxVal_normal,CX_ENTITY,$B207,BF$11,BF$14,BF$204,),""),IF($I207=2,IFBLANK(_xldudf_CX_PUSH(BF207,CX_ENTITY,$B207,BF$11,BF$14,BF$204,),""),IF($I207=3,"",IFBLANK(_xldudf_CX_PUSH(BF207,CX_ENTITY,$B207,BF$11,BF$14,BF$204,),"")))))),"")</f>
        <v/>
      </c>
      <c r="EG207" s="2445" t="str" cm="1">
        <f t="array" ca="1" aca="1" ref="EG207">IFERROR(IF(BG207*fxVal_normal=_PL!BG207,"",IF(OR(BG207="",NOT(ISNUMBER(BG207)),ISERROR(BG207),$B207=""),"",IF($I207=1,IFBLANK(_xldudf_CX_PUSH(BG207*fxVal_normal,CX_ENTITY,$B207,BG$11,BG$14,BG$204,),""),IF($I207=2,IFBLANK(_xldudf_CX_PUSH(BG207,CX_ENTITY,$B207,BG$11,BG$14,BG$204,),""),IF($I207=3,"",IFBLANK(_xldudf_CX_PUSH(BG207,CX_ENTITY,$B207,BG$11,BG$14,BG$204,),"")))))),"")</f>
        <v/>
      </c>
      <c r="EH207" s="2445" t="str" cm="1">
        <f t="array" ca="1" aca="1" ref="EH207">IFERROR(IF(BH207*fxVal_normal=_PL!BH207,"",IF(OR(BH207="",NOT(ISNUMBER(BH207)),ISERROR(BH207),$B207=""),"",IF($I207=1,IFBLANK(_xldudf_CX_PUSH(BH207*fxVal_normal,CX_ENTITY,$B207,BH$11,BH$14,BH$204,),""),IF($I207=2,IFBLANK(_xldudf_CX_PUSH(BH207,CX_ENTITY,$B207,BH$11,BH$14,BH$204,),""),IF($I207=3,"",IFBLANK(_xldudf_CX_PUSH(BH207,CX_ENTITY,$B207,BH$11,BH$14,BH$204,),"")))))),"")</f>
        <v/>
      </c>
      <c r="EI207" s="2445" t="str" cm="1">
        <f t="array" ca="1" aca="1" ref="EI207">IFERROR(IF(BI207*fxVal_normal=_PL!BI207,"",IF(OR(BI207="",NOT(ISNUMBER(BI207)),ISERROR(BI207),$B207=""),"",IF($I207=1,IFBLANK(_xldudf_CX_PUSH(BI207*fxVal_normal,CX_ENTITY,$B207,BI$11,BI$14,BI$204,),""),IF($I207=2,IFBLANK(_xldudf_CX_PUSH(BI207,CX_ENTITY,$B207,BI$11,BI$14,BI$204,),""),IF($I207=3,"",IFBLANK(_xldudf_CX_PUSH(BI207,CX_ENTITY,$B207,BI$11,BI$14,BI$204,),"")))))),"")</f>
        <v/>
      </c>
      <c r="EJ207" s="2445" t="str" cm="1">
        <f t="array" ca="1" aca="1" ref="EJ207">IFERROR(IF(BJ207*fxVal_normal=_PL!BJ207,"",IF(OR(BJ207="",NOT(ISNUMBER(BJ207)),ISERROR(BJ207),$B207=""),"",IF($I207=1,IFBLANK(_xldudf_CX_PUSH(BJ207*fxVal_normal,CX_ENTITY,$B207,BJ$11,BJ$14,BJ$204,),""),IF($I207=2,IFBLANK(_xldudf_CX_PUSH(BJ207,CX_ENTITY,$B207,BJ$11,BJ$14,BJ$204,),""),IF($I207=3,"",IFBLANK(_xldudf_CX_PUSH(BJ207,CX_ENTITY,$B207,BJ$11,BJ$14,BJ$204,),"")))))),"")</f>
        <v/>
      </c>
      <c r="EK207" s="2445" t="str" cm="1">
        <f t="array" ca="1" aca="1" ref="EK207">IFERROR(IF(BK207*fxVal_normal=_PL!BK207,"",IF(OR(BK207="",NOT(ISNUMBER(BK207)),ISERROR(BK207),$B207=""),"",IF($I207=1,IFBLANK(_xldudf_CX_PUSH(BK207*fxVal_normal,CX_ENTITY,$B207,BK$11,BK$14,BK$204,),""),IF($I207=2,IFBLANK(_xldudf_CX_PUSH(BK207,CX_ENTITY,$B207,BK$11,BK$14,BK$204,),""),IF($I207=3,"",IFBLANK(_xldudf_CX_PUSH(BK207,CX_ENTITY,$B207,BK$11,BK$14,BK$204,),"")))))),"")</f>
        <v/>
      </c>
      <c r="EL207" s="2445" t="str" cm="1">
        <f t="array" ca="1" aca="1" ref="EL207">IFERROR(IF(BL207*fxVal_normal=_PL!BL207,"",IF(OR(BL207="",NOT(ISNUMBER(BL207)),ISERROR(BL207),$B207=""),"",IF($I207=1,IFBLANK(_xldudf_CX_PUSH(BL207*fxVal_normal,CX_ENTITY,$B207,BL$11,BL$14,BL$204,),""),IF($I207=2,IFBLANK(_xldudf_CX_PUSH(BL207,CX_ENTITY,$B207,BL$11,BL$14,BL$204,),""),IF($I207=3,"",IFBLANK(_xldudf_CX_PUSH(BL207,CX_ENTITY,$B207,BL$11,BL$14,BL$204,),"")))))),"")</f>
        <v/>
      </c>
      <c r="EM207" s="2445" t="str" cm="1">
        <f t="array" ca="1" aca="1" ref="EM207">IFERROR(IF(BM207*fxVal_normal=_PL!BM207,"",IF(OR(BM207="",NOT(ISNUMBER(BM207)),ISERROR(BM207),$B207=""),"",IF($I207=1,IFBLANK(_xldudf_CX_PUSH(BM207*fxVal_normal,CX_ENTITY,$B207,BM$11,BM$14,BM$204,),""),IF($I207=2,IFBLANK(_xldudf_CX_PUSH(BM207,CX_ENTITY,$B207,BM$11,BM$14,BM$204,),""),IF($I207=3,"",IFBLANK(_xldudf_CX_PUSH(BM207,CX_ENTITY,$B207,BM$11,BM$14,BM$204,),"")))))),"")</f>
        <v/>
      </c>
      <c r="EN207" s="2445" t="str" cm="1">
        <f t="array" ca="1" aca="1" ref="EN207">IFERROR(IF(BN207*fxVal_normal=_PL!BN207,"",IF(OR(BN207="",NOT(ISNUMBER(BN207)),ISERROR(BN207),$B207=""),"",IF($I207=1,IFBLANK(_xldudf_CX_PUSH(BN207*fxVal_normal,CX_ENTITY,$B207,BN$11,BN$14,BN$204,),""),IF($I207=2,IFBLANK(_xldudf_CX_PUSH(BN207,CX_ENTITY,$B207,BN$11,BN$14,BN$204,),""),IF($I207=3,"",IFBLANK(_xldudf_CX_PUSH(BN207,CX_ENTITY,$B207,BN$11,BN$14,BN$204,),"")))))),"")</f>
        <v/>
      </c>
    </row>
    <row r="208" spans="1:144" ht="21" customHeight="1">
      <c r="A208" s="1627"/>
      <c r="B208" s="2439" t="s">
        <v>173</v>
      </c>
      <c r="C208" s="3459" t="str" cm="1">
        <f t="array" ref="C208">IFBLANK(_PL!C208,"")</f>
        <v>Segment II Breakdown - Label 3</v>
      </c>
      <c r="D208" s="1548" t="s">
        <v>173</v>
      </c>
      <c r="E208" s="2440" t="e" cm="1">
        <f t="array" ca="1" aca="1" ref="E20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208:$CQ208,Z208)</f>
        <v>#NAME?</v>
      </c>
      <c r="F208" s="578"/>
      <c r="G208" s="578"/>
      <c r="H208" s="510">
        <v>0</v>
      </c>
      <c r="I208" s="3302">
        <v>1</v>
      </c>
      <c r="J208" s="401" cm="1">
        <f t="array" ref="J208">IFBLANK(Z208,"")</f>
        <v>-1</v>
      </c>
      <c r="K208" s="578" t="str">
        <f t="shared" si="54"/>
        <v>No</v>
      </c>
      <c r="L208" s="37"/>
      <c r="N208" s="158"/>
      <c r="O208" s="101"/>
      <c r="P208" s="52"/>
      <c r="Q208" s="101"/>
      <c r="R208" s="101"/>
      <c r="S208" s="3008"/>
      <c r="T208" s="3008"/>
      <c r="U208" s="39"/>
      <c r="V208" s="37"/>
      <c r="W208" s="91" t="e">
        <f ca="1">W205</f>
        <v>#NAME?</v>
      </c>
      <c r="X208" s="2081" t="str">
        <f>_PL!X208</f>
        <v>a</v>
      </c>
      <c r="Y208" s="3224">
        <v>2</v>
      </c>
      <c r="Z208" s="198">
        <f>_PL!Z208</f>
        <v>-1</v>
      </c>
      <c r="AA208" s="2571"/>
      <c r="AB208" s="3017"/>
      <c r="AC208" s="914" t="str" cm="1">
        <f t="array" ca="1" aca="1" ref="AC208">_xlfn.LET(_xlpm._termname,$AB208,_xlpm._iconname,"find",_xlpm._icon,fx_getIcon(_xlpm._iconname),_xlpm._location,_xlfn.XLOOKUP(LOWER(_xlpm._termname),LOWER(tbl_acctDef[Term]),tbl_acctDef[Term]),_xlpm._hyperlink,HYPERLINK("#"&amp;CELL("address",_xlpm._location),_xlpm._icon),IFERROR(_xlpm._hyperlink,""))</f>
        <v/>
      </c>
      <c r="AD208" s="3177">
        <v>1</v>
      </c>
      <c r="AE208" s="3177">
        <v>1</v>
      </c>
      <c r="AF208" s="3177">
        <v>1</v>
      </c>
      <c r="AG208" s="3177">
        <v>1</v>
      </c>
      <c r="AH208" s="3177">
        <v>1</v>
      </c>
      <c r="AI208" s="3177">
        <v>1</v>
      </c>
      <c r="AJ208" s="3177">
        <v>1</v>
      </c>
      <c r="AK208" s="3177">
        <v>1</v>
      </c>
      <c r="AL208" s="3177">
        <v>1</v>
      </c>
      <c r="AM208" s="3177">
        <v>1</v>
      </c>
      <c r="AN208" s="3177">
        <v>1</v>
      </c>
      <c r="AO208" s="3177">
        <v>1</v>
      </c>
      <c r="AP208" s="3177">
        <v>1</v>
      </c>
      <c r="AQ208" s="3177">
        <v>1</v>
      </c>
      <c r="AR208" s="3177">
        <v>1</v>
      </c>
      <c r="AS208" s="3177">
        <v>1</v>
      </c>
      <c r="AT208" s="3177">
        <v>1</v>
      </c>
      <c r="AU208" s="3177">
        <v>1</v>
      </c>
      <c r="AV208" s="3177">
        <v>1</v>
      </c>
      <c r="AW208" s="3177">
        <v>1</v>
      </c>
      <c r="AX208" s="3177">
        <v>1</v>
      </c>
      <c r="AY208" s="3177">
        <v>1</v>
      </c>
      <c r="AZ208" s="3177">
        <v>1</v>
      </c>
      <c r="BA208" s="3177">
        <v>1</v>
      </c>
      <c r="BB208" s="3177">
        <v>1</v>
      </c>
      <c r="BC208" s="3177">
        <v>1</v>
      </c>
      <c r="BD208" s="3177">
        <v>1</v>
      </c>
      <c r="BE208" s="3177">
        <v>1</v>
      </c>
      <c r="BF208" s="3177">
        <v>1</v>
      </c>
      <c r="BG208" s="3177">
        <v>1</v>
      </c>
      <c r="BH208" s="3177">
        <v>1</v>
      </c>
      <c r="BI208" s="3177">
        <v>1</v>
      </c>
      <c r="BJ208" s="3177">
        <v>1</v>
      </c>
      <c r="BK208" s="3177">
        <v>1</v>
      </c>
      <c r="BL208" s="3177">
        <v>1</v>
      </c>
      <c r="BM208" s="3177">
        <v>1</v>
      </c>
      <c r="BN208" s="3177">
        <v>1</v>
      </c>
      <c r="BO208" s="2442"/>
      <c r="BP208" s="2442"/>
      <c r="BQ208" s="2442"/>
      <c r="BR208" s="2442"/>
      <c r="BS208" s="2442"/>
      <c r="BT208" s="2442"/>
      <c r="BU208" s="2442"/>
      <c r="BV208" s="2442"/>
      <c r="BW208" s="2442"/>
      <c r="BX208" s="2442"/>
      <c r="BY208" s="2442"/>
      <c r="BZ208" s="2442"/>
      <c r="CA208" s="34"/>
      <c r="CC208" s="2572"/>
      <c r="CD208" s="1461" t="e" cm="1">
        <f t="array" ca="1" aca="1" ref="CD208">_xlfn.LET(_xlpm.CheckBlank,SUM(PL!$AD208:$BN208)=0,IF(_xlpm.CheckBlank,"",SUM(_xlfn._xlws.FILTER(PL!$AD208:$BN208,(YEAR(PL!$AD$12:$BN$12)=PL!CD$12)*(array_timeline&lt;=PL!CD$11)))))</f>
        <v>#NAME?</v>
      </c>
      <c r="CE208" s="1461" t="e" cm="1">
        <f t="array" ca="1" aca="1" ref="CE208">_xlfn.LET(_xlpm.CheckBlank,SUM(PL!$AD208:$BN208)=0,IF(_xlpm.CheckBlank,"",SUM(_xlfn._xlws.FILTER(PL!$AD208:$BN208,(YEAR(PL!$AD$12:$BN$12)=PL!CE$12)*(array_timeline&lt;=PL!CE$11)))))</f>
        <v>#NAME?</v>
      </c>
      <c r="CF208" s="88"/>
      <c r="CG208" s="1461" t="e" cm="1">
        <f t="array" ca="1" aca="1" ref="CG208">_xlfn.LET(_xlpm.CheckBlank,SUM(PL!$AD208:$BN208)=0,IF(_xlpm.CheckBlank,"",SUM(_xlfn._xlws.FILTER(PL!$AD208:$BN208,(YEAR(PL!$AD$12:$BN$12)=PL!CG$12)*(array_timeline&lt;=PL!CG$11)))))</f>
        <v>#NAME?</v>
      </c>
      <c r="CH208" s="1461" t="e" cm="1">
        <f t="array" ca="1" aca="1" ref="CH208">_xlfn.LET(_xlpm.CheckBlank,SUM(PL!$AD208:$BN208)=0,IF(_xlpm.CheckBlank,"",SUM(_xlfn._xlws.FILTER(PL!$AD208:$BN208,(YEAR(PL!$AD$12:$BN$12)=PL!CH$12)*(array_timeline&lt;=PL!CH$11)))))</f>
        <v>#NAME?</v>
      </c>
      <c r="CI208" s="88"/>
      <c r="CJ208" s="1461" cm="1">
        <f t="array" ref="CJ208">_xlfn.LET(_xlpm.CheckBlank,SUM(PL!$AD208:$BN208)=0,IF(_xlpm.CheckBlank,"",SUM(_xlfn.TAKE(_xlfn.DROP(PL!$AD208:$BN208,,-DATEDIFF(PL!CJ$11,val_asOfDate,"M")),1,-12))))</f>
        <v>12</v>
      </c>
      <c r="CK208" s="1461" cm="1">
        <f t="array" ref="CK208">_xlfn.LET(_xlpm.CheckBlank,SUM(PL!$AD208:$BN208)=0,IF(_xlpm.CheckBlank,"",SUM(_xlfn.TAKE(_xlfn.DROP(PL!$AD208:$BN208,,-DATEDIFF(PL!CK$11,val_asOfDate,"M")),1,-12))))</f>
        <v>12</v>
      </c>
      <c r="CL208" s="88"/>
      <c r="CM208" s="3177">
        <v>1</v>
      </c>
      <c r="CN208" s="3177">
        <v>1</v>
      </c>
      <c r="CO208" s="1169"/>
      <c r="CP208" s="3177">
        <v>1</v>
      </c>
      <c r="CQ208" s="3177">
        <v>1</v>
      </c>
      <c r="CR208" s="34"/>
      <c r="CS208" s="2056"/>
      <c r="CT208" s="2447" t="e" cm="1">
        <f t="array" ca="1" aca="1" ref="CT208">IF(OR($Y208="Segment II Breakdown - Amount 1",$Y208="Segment II Breakdown - Amount 2",$Y208="Segment II Breakdown - Amount 3",$Y208="Segment II Breakdown - Amount 4",$Y208="Segment II Breakdown - Amount 5",$Y208="Segment II Breakdown - Amount 6",$Y208="Please select the metric for segmentation"),"",_xldudf_CX_PUSH($Y208,CX_ENTITY,$C208,val_asOfDate))</f>
        <v>#NAME?</v>
      </c>
      <c r="CU208" s="2447" t="e" cm="1">
        <f t="array" ca="1" aca="1" ref="CU208">IF(OR($Y208="Segment II Breakdown - Amount 1",$Y208="Segment II Breakdown - Amount 2",$Y208="Segment II Breakdown - Amount 3",$Y208="Segment II Breakdown - Amount 4",$Y208="Segment II Breakdown - Amount 5",$Y208="Segment II Breakdown - Amount 6",$Y208="Please select the metric for segmentation"),"",_xldudf_CX_PUSH($Y208,CX_ENTITY,$C208,EOMONTH(val_asOfDate,1)))</f>
        <v>#NAME?</v>
      </c>
      <c r="CV208" s="2447" t="e" cm="1">
        <f t="array" ca="1" aca="1" ref="CV208">IF(OR($Y208="Segment II Breakdown - Amount 1",$Y208="Segment II Breakdown - Amount 2",$Y208="Segment II Breakdown - Amount 3",$Y208="Segment II Breakdown - Amount 4",$Y208="Segment II Breakdown - Amount 5",$Y208="Segment II Breakdown - Amount 6",$Y208="Please select the metric for segmentation"),"",_xldudf_CX_PUSH($Y208,CX_ENTITY,$C208,EOMONTH(val_asOfDate,2)))</f>
        <v>#NAME?</v>
      </c>
      <c r="CW208" s="2447" t="e" cm="1">
        <f t="array" ca="1" aca="1" ref="CW208">IF(OR($Y208="Segment II Breakdown - Amount 1",$Y208="Segment II Breakdown - Amount 2",$Y208="Segment II Breakdown - Amount 3",$Y208="Segment II Breakdown - Amount 4",$Y208="Segment II Breakdown - Amount 5",$Y208="Segment II Breakdown - Amount 6",$Y208="Please select the metric for segmentation"),"",_xldudf_CX_PUSH($Y208,CX_ENTITY,$C208,EOMONTH(val_asOfDate,3)))</f>
        <v>#NAME?</v>
      </c>
      <c r="CX208" s="2443"/>
      <c r="CY208" s="2444" t="str" cm="1">
        <f t="array" ca="1" aca="1" ref="CY208">IFERROR(IF(CM208*fxVal_normal=_PL!CM208,"",IF(OR($CM208="",$CM208=0,NOT(ISNUMBER($CM208)),ISERROR($CM208),$B208=""),"",IF($I208=1,IFBLANK(_xldudf_CX_PUSH($CM208*fxVal_normal,CX_ENTITY,$B208,$CM$11,$CM$14,$CM$19,),""),IF($I208=2,IFBLANK(_xldudf_CX_PUSH($CM208,CX_ENTITY,$B208,$CM$11,$CM$14,$CM$19,),""),IF($I208=3,"",IFBLANK(_xldudf_CX_PUSH($CM208,CX_ENTITY,$B208,$CM$11,$CM$14,$CM$19,),"")))))),"")</f>
        <v/>
      </c>
      <c r="CZ208" s="2444" t="str" cm="1">
        <f t="array" ca="1" aca="1" ref="CZ208">IFERROR(IF(CN208*fxVal_normal=_PL!CN208,"",IF(OR($CN208="",$CN208=0,NOT(ISNUMBER($CN208)),ISERROR($CN208),$B208=""),"",IF($I208=1,IFBLANK(_xldudf_CX_PUSH($CN208*fxVal_normal,CX_ENTITY,$B208,$CN$11,$CN$14,$CN$19,),""),IF($I208=2,IFBLANK(_xldudf_CX_PUSH($CN208,CX_ENTITY,$B208,$CN$11,$CN$14,$CN$19,),""),IF($I208=3,"",IFBLANK(_xldudf_CX_PUSH($CN208,CX_ENTITY,$B208,$CN$11,$CN$14,$CN$19,),"")))))),"")</f>
        <v/>
      </c>
      <c r="DA208" s="2444" t="str" cm="1">
        <f t="array" ca="1" aca="1" ref="DA208">IFERROR(IF(CP208*fxVal_normal=_PL!CP208,"",IF(OR($CP208="",$CP208=0,NOT(ISNUMBER($CP208)),ISERROR($CP208),$B208=""),"",IF($I208=1,IFBLANK(_xldudf_CX_PUSH($CP208*fxVal_normal,CX_ENTITY,$B208,$CP$11,$CP$14,$CP$19,),""),IF($I208=2,IFBLANK(_xldudf_CX_PUSH($CP208,CX_ENTITY,$B208,$CP$11,$CP$14,$CP$19,),""),IF($I208=3,"",IFBLANK(_xldudf_CX_PUSH($CP208,CX_ENTITY,$B208,$CP$11,$CP$14,$CP$19,),"")))))),"")</f>
        <v/>
      </c>
      <c r="DB208" s="2444" t="str" cm="1">
        <f t="array" ca="1" aca="1" ref="DB208">IFERROR(IF(CQ208*fxVal_normal=_PL!CQ208,"",IF(OR($CQ208="",$CQ208=0,NOT(ISNUMBER($CQ208)),ISERROR($CQ208),$B208=""),"",IF($I208=1,IFBLANK(_xldudf_CX_PUSH($CQ208*fxVal_normal,CX_ENTITY,$B208,$CQ$11,$CQ$14,$CQ$19,),""),IF($I208=2,IFBLANK(_xldudf_CX_PUSH($CQ208,CX_ENTITY,$B208,$CQ$11,$CQ$14,$CQ$19,),""),IF($I208=3,"",IFBLANK(_xldudf_CX_PUSH($CQ208,CX_ENTITY,$B208,$CQ$11,$CQ$14,$CQ$19,),"")))))),"")</f>
        <v/>
      </c>
      <c r="DC208" s="2443"/>
      <c r="DD208" s="2445" t="str" cm="1">
        <f t="array" ca="1" aca="1" ref="DD208">IFERROR(IF(AD208*fxVal_normal=_PL!AD208,"",IF(OR(AD208="",NOT(ISNUMBER(AD208)),ISERROR(AD208),$B208=""),"",IF($I208=1,IFBLANK(_xldudf_CX_PUSH(AD208*fxVal_normal,CX_ENTITY,$B208,AD$11,AD$14,AD$204,),""),IF($I208=2,IFBLANK(_xldudf_CX_PUSH(AD208,CX_ENTITY,$B208,AD$11,AD$14,AD$204,),""),IF($I208=3,"",IFBLANK(_xldudf_CX_PUSH(AD208,CX_ENTITY,$B208,AD$11,AD$14,AD$204,),"")))))),"")</f>
        <v/>
      </c>
      <c r="DE208" s="2445" t="str" cm="1">
        <f t="array" ca="1" aca="1" ref="DE208">IFERROR(IF(AE208*fxVal_normal=_PL!AE208,"",IF(OR(AE208="",NOT(ISNUMBER(AE208)),ISERROR(AE208),$B208=""),"",IF($I208=1,IFBLANK(_xldudf_CX_PUSH(AE208*fxVal_normal,CX_ENTITY,$B208,AE$11,AE$14,AE$204,),""),IF($I208=2,IFBLANK(_xldudf_CX_PUSH(AE208,CX_ENTITY,$B208,AE$11,AE$14,AE$204,),""),IF($I208=3,"",IFBLANK(_xldudf_CX_PUSH(AE208,CX_ENTITY,$B208,AE$11,AE$14,AE$204,),"")))))),"")</f>
        <v/>
      </c>
      <c r="DF208" s="2445" t="str" cm="1">
        <f t="array" ca="1" aca="1" ref="DF208">IFERROR(IF(AF208*fxVal_normal=_PL!AF208,"",IF(OR(AF208="",NOT(ISNUMBER(AF208)),ISERROR(AF208),$B208=""),"",IF($I208=1,IFBLANK(_xldudf_CX_PUSH(AF208*fxVal_normal,CX_ENTITY,$B208,AF$11,AF$14,AF$204,),""),IF($I208=2,IFBLANK(_xldudf_CX_PUSH(AF208,CX_ENTITY,$B208,AF$11,AF$14,AF$204,),""),IF($I208=3,"",IFBLANK(_xldudf_CX_PUSH(AF208,CX_ENTITY,$B208,AF$11,AF$14,AF$204,),"")))))),"")</f>
        <v/>
      </c>
      <c r="DG208" s="2445" t="str" cm="1">
        <f t="array" ca="1" aca="1" ref="DG208">IFERROR(IF(AG208*fxVal_normal=_PL!AG208,"",IF(OR(AG208="",NOT(ISNUMBER(AG208)),ISERROR(AG208),$B208=""),"",IF($I208=1,IFBLANK(_xldudf_CX_PUSH(AG208*fxVal_normal,CX_ENTITY,$B208,AG$11,AG$14,AG$204,),""),IF($I208=2,IFBLANK(_xldudf_CX_PUSH(AG208,CX_ENTITY,$B208,AG$11,AG$14,AG$204,),""),IF($I208=3,"",IFBLANK(_xldudf_CX_PUSH(AG208,CX_ENTITY,$B208,AG$11,AG$14,AG$204,),"")))))),"")</f>
        <v/>
      </c>
      <c r="DH208" s="2445" t="str" cm="1">
        <f t="array" ca="1" aca="1" ref="DH208">IFERROR(IF(AH208*fxVal_normal=_PL!AH208,"",IF(OR(AH208="",NOT(ISNUMBER(AH208)),ISERROR(AH208),$B208=""),"",IF($I208=1,IFBLANK(_xldudf_CX_PUSH(AH208*fxVal_normal,CX_ENTITY,$B208,AH$11,AH$14,AH$204,),""),IF($I208=2,IFBLANK(_xldudf_CX_PUSH(AH208,CX_ENTITY,$B208,AH$11,AH$14,AH$204,),""),IF($I208=3,"",IFBLANK(_xldudf_CX_PUSH(AH208,CX_ENTITY,$B208,AH$11,AH$14,AH$204,),"")))))),"")</f>
        <v/>
      </c>
      <c r="DI208" s="2445" t="str" cm="1">
        <f t="array" ca="1" aca="1" ref="DI208">IFERROR(IF(AI208*fxVal_normal=_PL!AI208,"",IF(OR(AI208="",NOT(ISNUMBER(AI208)),ISERROR(AI208),$B208=""),"",IF($I208=1,IFBLANK(_xldudf_CX_PUSH(AI208*fxVal_normal,CX_ENTITY,$B208,AI$11,AI$14,AI$204,),""),IF($I208=2,IFBLANK(_xldudf_CX_PUSH(AI208,CX_ENTITY,$B208,AI$11,AI$14,AI$204,),""),IF($I208=3,"",IFBLANK(_xldudf_CX_PUSH(AI208,CX_ENTITY,$B208,AI$11,AI$14,AI$204,),"")))))),"")</f>
        <v/>
      </c>
      <c r="DJ208" s="2445" t="str" cm="1">
        <f t="array" ca="1" aca="1" ref="DJ208">IFERROR(IF(AJ208*fxVal_normal=_PL!AJ208,"",IF(OR(AJ208="",NOT(ISNUMBER(AJ208)),ISERROR(AJ208),$B208=""),"",IF($I208=1,IFBLANK(_xldudf_CX_PUSH(AJ208*fxVal_normal,CX_ENTITY,$B208,AJ$11,AJ$14,AJ$204,),""),IF($I208=2,IFBLANK(_xldudf_CX_PUSH(AJ208,CX_ENTITY,$B208,AJ$11,AJ$14,AJ$204,),""),IF($I208=3,"",IFBLANK(_xldudf_CX_PUSH(AJ208,CX_ENTITY,$B208,AJ$11,AJ$14,AJ$204,),"")))))),"")</f>
        <v/>
      </c>
      <c r="DK208" s="2445" t="str" cm="1">
        <f t="array" ca="1" aca="1" ref="DK208">IFERROR(IF(AK208*fxVal_normal=_PL!AK208,"",IF(OR(AK208="",NOT(ISNUMBER(AK208)),ISERROR(AK208),$B208=""),"",IF($I208=1,IFBLANK(_xldudf_CX_PUSH(AK208*fxVal_normal,CX_ENTITY,$B208,AK$11,AK$14,AK$204,),""),IF($I208=2,IFBLANK(_xldudf_CX_PUSH(AK208,CX_ENTITY,$B208,AK$11,AK$14,AK$204,),""),IF($I208=3,"",IFBLANK(_xldudf_CX_PUSH(AK208,CX_ENTITY,$B208,AK$11,AK$14,AK$204,),"")))))),"")</f>
        <v/>
      </c>
      <c r="DL208" s="2445" t="str" cm="1">
        <f t="array" ca="1" aca="1" ref="DL208">IFERROR(IF(AL208*fxVal_normal=_PL!AL208,"",IF(OR(AL208="",NOT(ISNUMBER(AL208)),ISERROR(AL208),$B208=""),"",IF($I208=1,IFBLANK(_xldudf_CX_PUSH(AL208*fxVal_normal,CX_ENTITY,$B208,AL$11,AL$14,AL$204,),""),IF($I208=2,IFBLANK(_xldudf_CX_PUSH(AL208,CX_ENTITY,$B208,AL$11,AL$14,AL$204,),""),IF($I208=3,"",IFBLANK(_xldudf_CX_PUSH(AL208,CX_ENTITY,$B208,AL$11,AL$14,AL$204,),"")))))),"")</f>
        <v/>
      </c>
      <c r="DM208" s="2445" t="str" cm="1">
        <f t="array" ca="1" aca="1" ref="DM208">IFERROR(IF(AM208*fxVal_normal=_PL!AM208,"",IF(OR(AM208="",NOT(ISNUMBER(AM208)),ISERROR(AM208),$B208=""),"",IF($I208=1,IFBLANK(_xldudf_CX_PUSH(AM208*fxVal_normal,CX_ENTITY,$B208,AM$11,AM$14,AM$204,),""),IF($I208=2,IFBLANK(_xldudf_CX_PUSH(AM208,CX_ENTITY,$B208,AM$11,AM$14,AM$204,),""),IF($I208=3,"",IFBLANK(_xldudf_CX_PUSH(AM208,CX_ENTITY,$B208,AM$11,AM$14,AM$204,),"")))))),"")</f>
        <v/>
      </c>
      <c r="DN208" s="2445" t="str" cm="1">
        <f t="array" ca="1" aca="1" ref="DN208">IFERROR(IF(AN208*fxVal_normal=_PL!AN208,"",IF(OR(AN208="",NOT(ISNUMBER(AN208)),ISERROR(AN208),$B208=""),"",IF($I208=1,IFBLANK(_xldudf_CX_PUSH(AN208*fxVal_normal,CX_ENTITY,$B208,AN$11,AN$14,AN$204,),""),IF($I208=2,IFBLANK(_xldudf_CX_PUSH(AN208,CX_ENTITY,$B208,AN$11,AN$14,AN$204,),""),IF($I208=3,"",IFBLANK(_xldudf_CX_PUSH(AN208,CX_ENTITY,$B208,AN$11,AN$14,AN$204,),"")))))),"")</f>
        <v/>
      </c>
      <c r="DO208" s="2445" t="str" cm="1">
        <f t="array" ca="1" aca="1" ref="DO208">IFERROR(IF(AO208*fxVal_normal=_PL!AO208,"",IF(OR(AO208="",NOT(ISNUMBER(AO208)),ISERROR(AO208),$B208=""),"",IF($I208=1,IFBLANK(_xldudf_CX_PUSH(AO208*fxVal_normal,CX_ENTITY,$B208,AO$11,AO$14,AO$204,),""),IF($I208=2,IFBLANK(_xldudf_CX_PUSH(AO208,CX_ENTITY,$B208,AO$11,AO$14,AO$204,),""),IF($I208=3,"",IFBLANK(_xldudf_CX_PUSH(AO208,CX_ENTITY,$B208,AO$11,AO$14,AO$204,),"")))))),"")</f>
        <v/>
      </c>
      <c r="DP208" s="2445" t="str" cm="1">
        <f t="array" ca="1" aca="1" ref="DP208">IFERROR(IF(AP208*fxVal_normal=_PL!AP208,"",IF(OR(AP208="",NOT(ISNUMBER(AP208)),ISERROR(AP208),$B208=""),"",IF($I208=1,IFBLANK(_xldudf_CX_PUSH(AP208*fxVal_normal,CX_ENTITY,$B208,AP$11,AP$14,AP$204,),""),IF($I208=2,IFBLANK(_xldudf_CX_PUSH(AP208,CX_ENTITY,$B208,AP$11,AP$14,AP$204,),""),IF($I208=3,"",IFBLANK(_xldudf_CX_PUSH(AP208,CX_ENTITY,$B208,AP$11,AP$14,AP$204,),"")))))),"")</f>
        <v/>
      </c>
      <c r="DQ208" s="2445" t="str" cm="1">
        <f t="array" ca="1" aca="1" ref="DQ208">IFERROR(IF(AQ208*fxVal_normal=_PL!AQ208,"",IF(OR(AQ208="",NOT(ISNUMBER(AQ208)),ISERROR(AQ208),$B208=""),"",IF($I208=1,IFBLANK(_xldudf_CX_PUSH(AQ208*fxVal_normal,CX_ENTITY,$B208,AQ$11,AQ$14,AQ$204,),""),IF($I208=2,IFBLANK(_xldudf_CX_PUSH(AQ208,CX_ENTITY,$B208,AQ$11,AQ$14,AQ$204,),""),IF($I208=3,"",IFBLANK(_xldudf_CX_PUSH(AQ208,CX_ENTITY,$B208,AQ$11,AQ$14,AQ$204,),"")))))),"")</f>
        <v/>
      </c>
      <c r="DR208" s="2445" t="str" cm="1">
        <f t="array" ca="1" aca="1" ref="DR208">IFERROR(IF(AR208*fxVal_normal=_PL!AR208,"",IF(OR(AR208="",NOT(ISNUMBER(AR208)),ISERROR(AR208),$B208=""),"",IF($I208=1,IFBLANK(_xldudf_CX_PUSH(AR208*fxVal_normal,CX_ENTITY,$B208,AR$11,AR$14,AR$204,),""),IF($I208=2,IFBLANK(_xldudf_CX_PUSH(AR208,CX_ENTITY,$B208,AR$11,AR$14,AR$204,),""),IF($I208=3,"",IFBLANK(_xldudf_CX_PUSH(AR208,CX_ENTITY,$B208,AR$11,AR$14,AR$204,),"")))))),"")</f>
        <v/>
      </c>
      <c r="DS208" s="2445" t="str" cm="1">
        <f t="array" ca="1" aca="1" ref="DS208">IFERROR(IF(AS208*fxVal_normal=_PL!AS208,"",IF(OR(AS208="",NOT(ISNUMBER(AS208)),ISERROR(AS208),$B208=""),"",IF($I208=1,IFBLANK(_xldudf_CX_PUSH(AS208*fxVal_normal,CX_ENTITY,$B208,AS$11,AS$14,AS$204,),""),IF($I208=2,IFBLANK(_xldudf_CX_PUSH(AS208,CX_ENTITY,$B208,AS$11,AS$14,AS$204,),""),IF($I208=3,"",IFBLANK(_xldudf_CX_PUSH(AS208,CX_ENTITY,$B208,AS$11,AS$14,AS$204,),"")))))),"")</f>
        <v/>
      </c>
      <c r="DT208" s="2445" t="str" cm="1">
        <f t="array" ca="1" aca="1" ref="DT208">IFERROR(IF(AT208*fxVal_normal=_PL!AT208,"",IF(OR(AT208="",NOT(ISNUMBER(AT208)),ISERROR(AT208),$B208=""),"",IF($I208=1,IFBLANK(_xldudf_CX_PUSH(AT208*fxVal_normal,CX_ENTITY,$B208,AT$11,AT$14,AT$204,),""),IF($I208=2,IFBLANK(_xldudf_CX_PUSH(AT208,CX_ENTITY,$B208,AT$11,AT$14,AT$204,),""),IF($I208=3,"",IFBLANK(_xldudf_CX_PUSH(AT208,CX_ENTITY,$B208,AT$11,AT$14,AT$204,),"")))))),"")</f>
        <v/>
      </c>
      <c r="DU208" s="2445" t="str" cm="1">
        <f t="array" ca="1" aca="1" ref="DU208">IFERROR(IF(AU208*fxVal_normal=_PL!AU208,"",IF(OR(AU208="",NOT(ISNUMBER(AU208)),ISERROR(AU208),$B208=""),"",IF($I208=1,IFBLANK(_xldudf_CX_PUSH(AU208*fxVal_normal,CX_ENTITY,$B208,AU$11,AU$14,AU$204,),""),IF($I208=2,IFBLANK(_xldudf_CX_PUSH(AU208,CX_ENTITY,$B208,AU$11,AU$14,AU$204,),""),IF($I208=3,"",IFBLANK(_xldudf_CX_PUSH(AU208,CX_ENTITY,$B208,AU$11,AU$14,AU$204,),"")))))),"")</f>
        <v/>
      </c>
      <c r="DV208" s="2445" t="str" cm="1">
        <f t="array" ca="1" aca="1" ref="DV208">IFERROR(IF(AV208*fxVal_normal=_PL!AV208,"",IF(OR(AV208="",NOT(ISNUMBER(AV208)),ISERROR(AV208),$B208=""),"",IF($I208=1,IFBLANK(_xldudf_CX_PUSH(AV208*fxVal_normal,CX_ENTITY,$B208,AV$11,AV$14,AV$204,),""),IF($I208=2,IFBLANK(_xldudf_CX_PUSH(AV208,CX_ENTITY,$B208,AV$11,AV$14,AV$204,),""),IF($I208=3,"",IFBLANK(_xldudf_CX_PUSH(AV208,CX_ENTITY,$B208,AV$11,AV$14,AV$204,),"")))))),"")</f>
        <v/>
      </c>
      <c r="DW208" s="2445" t="str" cm="1">
        <f t="array" ca="1" aca="1" ref="DW208">IFERROR(IF(AW208*fxVal_normal=_PL!AW208,"",IF(OR(AW208="",NOT(ISNUMBER(AW208)),ISERROR(AW208),$B208=""),"",IF($I208=1,IFBLANK(_xldudf_CX_PUSH(AW208*fxVal_normal,CX_ENTITY,$B208,AW$11,AW$14,AW$204,),""),IF($I208=2,IFBLANK(_xldudf_CX_PUSH(AW208,CX_ENTITY,$B208,AW$11,AW$14,AW$204,),""),IF($I208=3,"",IFBLANK(_xldudf_CX_PUSH(AW208,CX_ENTITY,$B208,AW$11,AW$14,AW$204,),"")))))),"")</f>
        <v/>
      </c>
      <c r="DX208" s="2445" t="str" cm="1">
        <f t="array" ca="1" aca="1" ref="DX208">IFERROR(IF(AX208*fxVal_normal=_PL!AX208,"",IF(OR(AX208="",NOT(ISNUMBER(AX208)),ISERROR(AX208),$B208=""),"",IF($I208=1,IFBLANK(_xldudf_CX_PUSH(AX208*fxVal_normal,CX_ENTITY,$B208,AX$11,AX$14,AX$204,),""),IF($I208=2,IFBLANK(_xldudf_CX_PUSH(AX208,CX_ENTITY,$B208,AX$11,AX$14,AX$204,),""),IF($I208=3,"",IFBLANK(_xldudf_CX_PUSH(AX208,CX_ENTITY,$B208,AX$11,AX$14,AX$204,),"")))))),"")</f>
        <v/>
      </c>
      <c r="DY208" s="2445" t="str" cm="1">
        <f t="array" ca="1" aca="1" ref="DY208">IFERROR(IF(AY208*fxVal_normal=_PL!AY208,"",IF(OR(AY208="",NOT(ISNUMBER(AY208)),ISERROR(AY208),$B208=""),"",IF($I208=1,IFBLANK(_xldudf_CX_PUSH(AY208*fxVal_normal,CX_ENTITY,$B208,AY$11,AY$14,AY$204,),""),IF($I208=2,IFBLANK(_xldudf_CX_PUSH(AY208,CX_ENTITY,$B208,AY$11,AY$14,AY$204,),""),IF($I208=3,"",IFBLANK(_xldudf_CX_PUSH(AY208,CX_ENTITY,$B208,AY$11,AY$14,AY$204,),"")))))),"")</f>
        <v/>
      </c>
      <c r="DZ208" s="2445" t="str" cm="1">
        <f t="array" ca="1" aca="1" ref="DZ208">IFERROR(IF(AZ208*fxVal_normal=_PL!AZ208,"",IF(OR(AZ208="",NOT(ISNUMBER(AZ208)),ISERROR(AZ208),$B208=""),"",IF($I208=1,IFBLANK(_xldudf_CX_PUSH(AZ208*fxVal_normal,CX_ENTITY,$B208,AZ$11,AZ$14,AZ$204,),""),IF($I208=2,IFBLANK(_xldudf_CX_PUSH(AZ208,CX_ENTITY,$B208,AZ$11,AZ$14,AZ$204,),""),IF($I208=3,"",IFBLANK(_xldudf_CX_PUSH(AZ208,CX_ENTITY,$B208,AZ$11,AZ$14,AZ$204,),"")))))),"")</f>
        <v/>
      </c>
      <c r="EA208" s="2445" t="str" cm="1">
        <f t="array" ca="1" aca="1" ref="EA208">IFERROR(IF(BA208*fxVal_normal=_PL!BA208,"",IF(OR(BA208="",NOT(ISNUMBER(BA208)),ISERROR(BA208),$B208=""),"",IF($I208=1,IFBLANK(_xldudf_CX_PUSH(BA208*fxVal_normal,CX_ENTITY,$B208,BA$11,BA$14,BA$204,),""),IF($I208=2,IFBLANK(_xldudf_CX_PUSH(BA208,CX_ENTITY,$B208,BA$11,BA$14,BA$204,),""),IF($I208=3,"",IFBLANK(_xldudf_CX_PUSH(BA208,CX_ENTITY,$B208,BA$11,BA$14,BA$204,),"")))))),"")</f>
        <v/>
      </c>
      <c r="EB208" s="2445" t="str" cm="1">
        <f t="array" ca="1" aca="1" ref="EB208">IFERROR(IF(BB208*fxVal_normal=_PL!BB208,"",IF(OR(BB208="",NOT(ISNUMBER(BB208)),ISERROR(BB208),$B208=""),"",IF($I208=1,IFBLANK(_xldudf_CX_PUSH(BB208*fxVal_normal,CX_ENTITY,$B208,BB$11,BB$14,BB$204,),""),IF($I208=2,IFBLANK(_xldudf_CX_PUSH(BB208,CX_ENTITY,$B208,BB$11,BB$14,BB$204,),""),IF($I208=3,"",IFBLANK(_xldudf_CX_PUSH(BB208,CX_ENTITY,$B208,BB$11,BB$14,BB$204,),"")))))),"")</f>
        <v/>
      </c>
      <c r="EC208" s="2445" t="str" cm="1">
        <f t="array" ca="1" aca="1" ref="EC208">IFERROR(IF(BC208*fxVal_normal=_PL!BC208,"",IF(OR(BC208="",NOT(ISNUMBER(BC208)),ISERROR(BC208),$B208=""),"",IF($I208=1,IFBLANK(_xldudf_CX_PUSH(BC208*fxVal_normal,CX_ENTITY,$B208,BC$11,BC$14,BC$204,),""),IF($I208=2,IFBLANK(_xldudf_CX_PUSH(BC208,CX_ENTITY,$B208,BC$11,BC$14,BC$204,),""),IF($I208=3,"",IFBLANK(_xldudf_CX_PUSH(BC208,CX_ENTITY,$B208,BC$11,BC$14,BC$204,),"")))))),"")</f>
        <v/>
      </c>
      <c r="ED208" s="2445" t="str" cm="1">
        <f t="array" ca="1" aca="1" ref="ED208">IFERROR(IF(BD208*fxVal_normal=_PL!BD208,"",IF(OR(BD208="",NOT(ISNUMBER(BD208)),ISERROR(BD208),$B208=""),"",IF($I208=1,IFBLANK(_xldudf_CX_PUSH(BD208*fxVal_normal,CX_ENTITY,$B208,BD$11,BD$14,BD$204,),""),IF($I208=2,IFBLANK(_xldudf_CX_PUSH(BD208,CX_ENTITY,$B208,BD$11,BD$14,BD$204,),""),IF($I208=3,"",IFBLANK(_xldudf_CX_PUSH(BD208,CX_ENTITY,$B208,BD$11,BD$14,BD$204,),"")))))),"")</f>
        <v/>
      </c>
      <c r="EE208" s="2445" t="str" cm="1">
        <f t="array" ca="1" aca="1" ref="EE208">IFERROR(IF(BE208*fxVal_normal=_PL!BE208,"",IF(OR(BE208="",NOT(ISNUMBER(BE208)),ISERROR(BE208),$B208=""),"",IF($I208=1,IFBLANK(_xldudf_CX_PUSH(BE208*fxVal_normal,CX_ENTITY,$B208,BE$11,BE$14,BE$204,),""),IF($I208=2,IFBLANK(_xldudf_CX_PUSH(BE208,CX_ENTITY,$B208,BE$11,BE$14,BE$204,),""),IF($I208=3,"",IFBLANK(_xldudf_CX_PUSH(BE208,CX_ENTITY,$B208,BE$11,BE$14,BE$204,),"")))))),"")</f>
        <v/>
      </c>
      <c r="EF208" s="2445" t="str" cm="1">
        <f t="array" ca="1" aca="1" ref="EF208">IFERROR(IF(BF208*fxVal_normal=_PL!BF208,"",IF(OR(BF208="",NOT(ISNUMBER(BF208)),ISERROR(BF208),$B208=""),"",IF($I208=1,IFBLANK(_xldudf_CX_PUSH(BF208*fxVal_normal,CX_ENTITY,$B208,BF$11,BF$14,BF$204,),""),IF($I208=2,IFBLANK(_xldudf_CX_PUSH(BF208,CX_ENTITY,$B208,BF$11,BF$14,BF$204,),""),IF($I208=3,"",IFBLANK(_xldudf_CX_PUSH(BF208,CX_ENTITY,$B208,BF$11,BF$14,BF$204,),"")))))),"")</f>
        <v/>
      </c>
      <c r="EG208" s="2445" t="str" cm="1">
        <f t="array" ca="1" aca="1" ref="EG208">IFERROR(IF(BG208*fxVal_normal=_PL!BG208,"",IF(OR(BG208="",NOT(ISNUMBER(BG208)),ISERROR(BG208),$B208=""),"",IF($I208=1,IFBLANK(_xldudf_CX_PUSH(BG208*fxVal_normal,CX_ENTITY,$B208,BG$11,BG$14,BG$204,),""),IF($I208=2,IFBLANK(_xldudf_CX_PUSH(BG208,CX_ENTITY,$B208,BG$11,BG$14,BG$204,),""),IF($I208=3,"",IFBLANK(_xldudf_CX_PUSH(BG208,CX_ENTITY,$B208,BG$11,BG$14,BG$204,),"")))))),"")</f>
        <v/>
      </c>
      <c r="EH208" s="2445" t="str" cm="1">
        <f t="array" ca="1" aca="1" ref="EH208">IFERROR(IF(BH208*fxVal_normal=_PL!BH208,"",IF(OR(BH208="",NOT(ISNUMBER(BH208)),ISERROR(BH208),$B208=""),"",IF($I208=1,IFBLANK(_xldudf_CX_PUSH(BH208*fxVal_normal,CX_ENTITY,$B208,BH$11,BH$14,BH$204,),""),IF($I208=2,IFBLANK(_xldudf_CX_PUSH(BH208,CX_ENTITY,$B208,BH$11,BH$14,BH$204,),""),IF($I208=3,"",IFBLANK(_xldudf_CX_PUSH(BH208,CX_ENTITY,$B208,BH$11,BH$14,BH$204,),"")))))),"")</f>
        <v/>
      </c>
      <c r="EI208" s="2445" t="str" cm="1">
        <f t="array" ca="1" aca="1" ref="EI208">IFERROR(IF(BI208*fxVal_normal=_PL!BI208,"",IF(OR(BI208="",NOT(ISNUMBER(BI208)),ISERROR(BI208),$B208=""),"",IF($I208=1,IFBLANK(_xldudf_CX_PUSH(BI208*fxVal_normal,CX_ENTITY,$B208,BI$11,BI$14,BI$204,),""),IF($I208=2,IFBLANK(_xldudf_CX_PUSH(BI208,CX_ENTITY,$B208,BI$11,BI$14,BI$204,),""),IF($I208=3,"",IFBLANK(_xldudf_CX_PUSH(BI208,CX_ENTITY,$B208,BI$11,BI$14,BI$204,),"")))))),"")</f>
        <v/>
      </c>
      <c r="EJ208" s="2445" t="str" cm="1">
        <f t="array" ca="1" aca="1" ref="EJ208">IFERROR(IF(BJ208*fxVal_normal=_PL!BJ208,"",IF(OR(BJ208="",NOT(ISNUMBER(BJ208)),ISERROR(BJ208),$B208=""),"",IF($I208=1,IFBLANK(_xldudf_CX_PUSH(BJ208*fxVal_normal,CX_ENTITY,$B208,BJ$11,BJ$14,BJ$204,),""),IF($I208=2,IFBLANK(_xldudf_CX_PUSH(BJ208,CX_ENTITY,$B208,BJ$11,BJ$14,BJ$204,),""),IF($I208=3,"",IFBLANK(_xldudf_CX_PUSH(BJ208,CX_ENTITY,$B208,BJ$11,BJ$14,BJ$204,),"")))))),"")</f>
        <v/>
      </c>
      <c r="EK208" s="2445" t="str" cm="1">
        <f t="array" ca="1" aca="1" ref="EK208">IFERROR(IF(BK208*fxVal_normal=_PL!BK208,"",IF(OR(BK208="",NOT(ISNUMBER(BK208)),ISERROR(BK208),$B208=""),"",IF($I208=1,IFBLANK(_xldudf_CX_PUSH(BK208*fxVal_normal,CX_ENTITY,$B208,BK$11,BK$14,BK$204,),""),IF($I208=2,IFBLANK(_xldudf_CX_PUSH(BK208,CX_ENTITY,$B208,BK$11,BK$14,BK$204,),""),IF($I208=3,"",IFBLANK(_xldudf_CX_PUSH(BK208,CX_ENTITY,$B208,BK$11,BK$14,BK$204,),"")))))),"")</f>
        <v/>
      </c>
      <c r="EL208" s="2445" t="str" cm="1">
        <f t="array" ca="1" aca="1" ref="EL208">IFERROR(IF(BL208*fxVal_normal=_PL!BL208,"",IF(OR(BL208="",NOT(ISNUMBER(BL208)),ISERROR(BL208),$B208=""),"",IF($I208=1,IFBLANK(_xldudf_CX_PUSH(BL208*fxVal_normal,CX_ENTITY,$B208,BL$11,BL$14,BL$204,),""),IF($I208=2,IFBLANK(_xldudf_CX_PUSH(BL208,CX_ENTITY,$B208,BL$11,BL$14,BL$204,),""),IF($I208=3,"",IFBLANK(_xldudf_CX_PUSH(BL208,CX_ENTITY,$B208,BL$11,BL$14,BL$204,),"")))))),"")</f>
        <v/>
      </c>
      <c r="EM208" s="2445" t="str" cm="1">
        <f t="array" ca="1" aca="1" ref="EM208">IFERROR(IF(BM208*fxVal_normal=_PL!BM208,"",IF(OR(BM208="",NOT(ISNUMBER(BM208)),ISERROR(BM208),$B208=""),"",IF($I208=1,IFBLANK(_xldudf_CX_PUSH(BM208*fxVal_normal,CX_ENTITY,$B208,BM$11,BM$14,BM$204,),""),IF($I208=2,IFBLANK(_xldudf_CX_PUSH(BM208,CX_ENTITY,$B208,BM$11,BM$14,BM$204,),""),IF($I208=3,"",IFBLANK(_xldudf_CX_PUSH(BM208,CX_ENTITY,$B208,BM$11,BM$14,BM$204,),"")))))),"")</f>
        <v/>
      </c>
      <c r="EN208" s="2445" t="str" cm="1">
        <f t="array" ca="1" aca="1" ref="EN208">IFERROR(IF(BN208*fxVal_normal=_PL!BN208,"",IF(OR(BN208="",NOT(ISNUMBER(BN208)),ISERROR(BN208),$B208=""),"",IF($I208=1,IFBLANK(_xldudf_CX_PUSH(BN208*fxVal_normal,CX_ENTITY,$B208,BN$11,BN$14,BN$204,),""),IF($I208=2,IFBLANK(_xldudf_CX_PUSH(BN208,CX_ENTITY,$B208,BN$11,BN$14,BN$204,),""),IF($I208=3,"",IFBLANK(_xldudf_CX_PUSH(BN208,CX_ENTITY,$B208,BN$11,BN$14,BN$204,),"")))))),"")</f>
        <v/>
      </c>
    </row>
    <row r="209" spans="1:144" ht="21" customHeight="1">
      <c r="A209" s="1627"/>
      <c r="B209" s="2439" t="s">
        <v>174</v>
      </c>
      <c r="C209" s="3459" t="str" cm="1">
        <f t="array" ref="C209">IFBLANK(_PL!C209,"")</f>
        <v>Segment II Breakdown - Label 4</v>
      </c>
      <c r="D209" s="1548" t="s">
        <v>174</v>
      </c>
      <c r="E209" s="2440" t="e" cm="1">
        <f t="array" ca="1" aca="1" ref="E20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209:$CQ209,Z209)</f>
        <v>#NAME?</v>
      </c>
      <c r="F209" s="578"/>
      <c r="G209" s="578"/>
      <c r="H209" s="510">
        <v>0</v>
      </c>
      <c r="I209" s="3302">
        <v>1</v>
      </c>
      <c r="J209" s="401" cm="1">
        <f t="array" ref="J209">IFBLANK(Z209,"")</f>
        <v>-1</v>
      </c>
      <c r="K209" s="578" t="str">
        <f ca="1">IFERROR(IF(LEN(AB209)=0,"No",IF(LEN(J209)&gt;0,"Yes","No")),"")</f>
        <v/>
      </c>
      <c r="L209" s="37"/>
      <c r="N209" s="158"/>
      <c r="O209" s="101"/>
      <c r="P209" s="52"/>
      <c r="Q209" s="101"/>
      <c r="R209" s="101"/>
      <c r="S209" s="3008"/>
      <c r="T209" s="3008"/>
      <c r="U209" s="39"/>
      <c r="V209" s="37"/>
      <c r="W209" s="91" t="e">
        <f ca="1">W205</f>
        <v>#NAME?</v>
      </c>
      <c r="X209" s="2081" t="str">
        <f>_PL!X209</f>
        <v>a</v>
      </c>
      <c r="Y209" s="3224">
        <v>2</v>
      </c>
      <c r="Z209" s="198">
        <f>_PL!Z209</f>
        <v>-1</v>
      </c>
      <c r="AA209" s="2571"/>
      <c r="AB209" s="2575" t="e" cm="1">
        <f t="array" ca="1" aca="1" ref="AB209">IF(W201="Scenario","Please select scenario in cell! "&amp;CELL("address",W201),"")</f>
        <v>#NAME?</v>
      </c>
      <c r="AC209" s="914" t="str" cm="1">
        <f t="array" ca="1" aca="1" ref="AC209">_xlfn.LET(_xlpm._termname,$AB209,_xlpm._iconname,"find",_xlpm._icon,fx_getIcon(_xlpm._iconname),_xlpm._location,_xlfn.XLOOKUP(LOWER(_xlpm._termname),LOWER(tbl_acctDef[Term]),tbl_acctDef[Term]),_xlpm._hyperlink,HYPERLINK("#"&amp;CELL("address",_xlpm._location),_xlpm._icon),IFERROR(_xlpm._hyperlink,""))</f>
        <v/>
      </c>
      <c r="AD209" s="3177">
        <v>1</v>
      </c>
      <c r="AE209" s="3177">
        <v>1</v>
      </c>
      <c r="AF209" s="3177">
        <v>1</v>
      </c>
      <c r="AG209" s="3177">
        <v>1</v>
      </c>
      <c r="AH209" s="3177">
        <v>1</v>
      </c>
      <c r="AI209" s="3177">
        <v>1</v>
      </c>
      <c r="AJ209" s="3177">
        <v>1</v>
      </c>
      <c r="AK209" s="3177">
        <v>1</v>
      </c>
      <c r="AL209" s="3177">
        <v>1</v>
      </c>
      <c r="AM209" s="3177">
        <v>1</v>
      </c>
      <c r="AN209" s="3177">
        <v>1</v>
      </c>
      <c r="AO209" s="3177">
        <v>1</v>
      </c>
      <c r="AP209" s="3177">
        <v>1</v>
      </c>
      <c r="AQ209" s="3177">
        <v>1</v>
      </c>
      <c r="AR209" s="3177">
        <v>1</v>
      </c>
      <c r="AS209" s="3177">
        <v>1</v>
      </c>
      <c r="AT209" s="3177">
        <v>1</v>
      </c>
      <c r="AU209" s="3177">
        <v>1</v>
      </c>
      <c r="AV209" s="3177">
        <v>1</v>
      </c>
      <c r="AW209" s="3177">
        <v>1</v>
      </c>
      <c r="AX209" s="3177">
        <v>1</v>
      </c>
      <c r="AY209" s="3177">
        <v>1</v>
      </c>
      <c r="AZ209" s="3177">
        <v>1</v>
      </c>
      <c r="BA209" s="3177">
        <v>1</v>
      </c>
      <c r="BB209" s="3177">
        <v>1</v>
      </c>
      <c r="BC209" s="3177">
        <v>1</v>
      </c>
      <c r="BD209" s="3177">
        <v>1</v>
      </c>
      <c r="BE209" s="3177">
        <v>1</v>
      </c>
      <c r="BF209" s="3177">
        <v>1</v>
      </c>
      <c r="BG209" s="3177">
        <v>1</v>
      </c>
      <c r="BH209" s="3177">
        <v>1</v>
      </c>
      <c r="BI209" s="3177">
        <v>1</v>
      </c>
      <c r="BJ209" s="3177">
        <v>1</v>
      </c>
      <c r="BK209" s="3177">
        <v>1</v>
      </c>
      <c r="BL209" s="3177">
        <v>1</v>
      </c>
      <c r="BM209" s="3177">
        <v>1</v>
      </c>
      <c r="BN209" s="3177">
        <v>1</v>
      </c>
      <c r="BO209" s="2442"/>
      <c r="BP209" s="2442"/>
      <c r="BQ209" s="2442"/>
      <c r="BR209" s="2442"/>
      <c r="BS209" s="2442"/>
      <c r="BT209" s="2442"/>
      <c r="BU209" s="2442"/>
      <c r="BV209" s="2442"/>
      <c r="BW209" s="2442"/>
      <c r="BX209" s="2442"/>
      <c r="BY209" s="2442"/>
      <c r="BZ209" s="2442"/>
      <c r="CA209" s="34"/>
      <c r="CC209" s="2572"/>
      <c r="CD209" s="1461" t="e" cm="1">
        <f t="array" ca="1" aca="1" ref="CD209">_xlfn.LET(_xlpm.CheckBlank,SUM(PL!$AD209:$BN209)=0,IF(_xlpm.CheckBlank,"",SUM(_xlfn._xlws.FILTER(PL!$AD209:$BN209,(YEAR(PL!$AD$12:$BN$12)=PL!CD$12)*(array_timeline&lt;=PL!CD$11)))))</f>
        <v>#NAME?</v>
      </c>
      <c r="CE209" s="1461" t="e" cm="1">
        <f t="array" ca="1" aca="1" ref="CE209">_xlfn.LET(_xlpm.CheckBlank,SUM(PL!$AD209:$BN209)=0,IF(_xlpm.CheckBlank,"",SUM(_xlfn._xlws.FILTER(PL!$AD209:$BN209,(YEAR(PL!$AD$12:$BN$12)=PL!CE$12)*(array_timeline&lt;=PL!CE$11)))))</f>
        <v>#NAME?</v>
      </c>
      <c r="CF209" s="88"/>
      <c r="CG209" s="1461" t="e" cm="1">
        <f t="array" ca="1" aca="1" ref="CG209">_xlfn.LET(_xlpm.CheckBlank,SUM(PL!$AD209:$BN209)=0,IF(_xlpm.CheckBlank,"",SUM(_xlfn._xlws.FILTER(PL!$AD209:$BN209,(YEAR(PL!$AD$12:$BN$12)=PL!CG$12)*(array_timeline&lt;=PL!CG$11)))))</f>
        <v>#NAME?</v>
      </c>
      <c r="CH209" s="1461" t="e" cm="1">
        <f t="array" ca="1" aca="1" ref="CH209">_xlfn.LET(_xlpm.CheckBlank,SUM(PL!$AD209:$BN209)=0,IF(_xlpm.CheckBlank,"",SUM(_xlfn._xlws.FILTER(PL!$AD209:$BN209,(YEAR(PL!$AD$12:$BN$12)=PL!CH$12)*(array_timeline&lt;=PL!CH$11)))))</f>
        <v>#NAME?</v>
      </c>
      <c r="CI209" s="88"/>
      <c r="CJ209" s="1461" cm="1">
        <f t="array" ref="CJ209">_xlfn.LET(_xlpm.CheckBlank,SUM(PL!$AD209:$BN209)=0,IF(_xlpm.CheckBlank,"",SUM(_xlfn.TAKE(_xlfn.DROP(PL!$AD209:$BN209,,-DATEDIFF(PL!CJ$11,val_asOfDate,"M")),1,-12))))</f>
        <v>12</v>
      </c>
      <c r="CK209" s="1461" cm="1">
        <f t="array" ref="CK209">_xlfn.LET(_xlpm.CheckBlank,SUM(PL!$AD209:$BN209)=0,IF(_xlpm.CheckBlank,"",SUM(_xlfn.TAKE(_xlfn.DROP(PL!$AD209:$BN209,,-DATEDIFF(PL!CK$11,val_asOfDate,"M")),1,-12))))</f>
        <v>12</v>
      </c>
      <c r="CL209" s="88"/>
      <c r="CM209" s="3177">
        <v>1</v>
      </c>
      <c r="CN209" s="3177">
        <v>1</v>
      </c>
      <c r="CO209" s="1169"/>
      <c r="CP209" s="3177">
        <v>1</v>
      </c>
      <c r="CQ209" s="3177">
        <v>1</v>
      </c>
      <c r="CR209" s="34"/>
      <c r="CS209" s="2056"/>
      <c r="CT209" s="2447" t="e" cm="1">
        <f t="array" ca="1" aca="1" ref="CT209">IF(OR($Y209="Segment II Breakdown - Amount 1",$Y209="Segment II Breakdown - Amount 2",$Y209="Segment II Breakdown - Amount 3",$Y209="Segment II Breakdown - Amount 4",$Y209="Segment II Breakdown - Amount 5",$Y209="Segment II Breakdown - Amount 6",$Y209="Please select the metric for segmentation"),"",_xldudf_CX_PUSH($Y209,CX_ENTITY,$C209,val_asOfDate))</f>
        <v>#NAME?</v>
      </c>
      <c r="CU209" s="2447" t="e" cm="1">
        <f t="array" ca="1" aca="1" ref="CU209">IF(OR($Y209="Segment II Breakdown - Amount 1",$Y209="Segment II Breakdown - Amount 2",$Y209="Segment II Breakdown - Amount 3",$Y209="Segment II Breakdown - Amount 4",$Y209="Segment II Breakdown - Amount 5",$Y209="Segment II Breakdown - Amount 6",$Y209="Please select the metric for segmentation"),"",_xldudf_CX_PUSH($Y209,CX_ENTITY,$C209,EOMONTH(val_asOfDate,1)))</f>
        <v>#NAME?</v>
      </c>
      <c r="CV209" s="2447" t="e" cm="1">
        <f t="array" ca="1" aca="1" ref="CV209">IF(OR($Y209="Segment II Breakdown - Amount 1",$Y209="Segment II Breakdown - Amount 2",$Y209="Segment II Breakdown - Amount 3",$Y209="Segment II Breakdown - Amount 4",$Y209="Segment II Breakdown - Amount 5",$Y209="Segment II Breakdown - Amount 6",$Y209="Please select the metric for segmentation"),"",_xldudf_CX_PUSH($Y209,CX_ENTITY,$C209,EOMONTH(val_asOfDate,2)))</f>
        <v>#NAME?</v>
      </c>
      <c r="CW209" s="2447" t="e" cm="1">
        <f t="array" ca="1" aca="1" ref="CW209">IF(OR($Y209="Segment II Breakdown - Amount 1",$Y209="Segment II Breakdown - Amount 2",$Y209="Segment II Breakdown - Amount 3",$Y209="Segment II Breakdown - Amount 4",$Y209="Segment II Breakdown - Amount 5",$Y209="Segment II Breakdown - Amount 6",$Y209="Please select the metric for segmentation"),"",_xldudf_CX_PUSH($Y209,CX_ENTITY,$C209,EOMONTH(val_asOfDate,3)))</f>
        <v>#NAME?</v>
      </c>
      <c r="CX209" s="2443"/>
      <c r="CY209" s="2444" t="str" cm="1">
        <f t="array" ca="1" aca="1" ref="CY209">IFERROR(IF(CM209*fxVal_normal=_PL!CM209,"",IF(OR($CM209="",$CM209=0,NOT(ISNUMBER($CM209)),ISERROR($CM209),$B209=""),"",IF($I209=1,IFBLANK(_xldudf_CX_PUSH($CM209*fxVal_normal,CX_ENTITY,$B209,$CM$11,$CM$14,$CM$19,),""),IF($I209=2,IFBLANK(_xldudf_CX_PUSH($CM209,CX_ENTITY,$B209,$CM$11,$CM$14,$CM$19,),""),IF($I209=3,"",IFBLANK(_xldudf_CX_PUSH($CM209,CX_ENTITY,$B209,$CM$11,$CM$14,$CM$19,),"")))))),"")</f>
        <v/>
      </c>
      <c r="CZ209" s="2444" t="str" cm="1">
        <f t="array" ca="1" aca="1" ref="CZ209">IFERROR(IF(CN209*fxVal_normal=_PL!CN209,"",IF(OR($CN209="",$CN209=0,NOT(ISNUMBER($CN209)),ISERROR($CN209),$B209=""),"",IF($I209=1,IFBLANK(_xldudf_CX_PUSH($CN209*fxVal_normal,CX_ENTITY,$B209,$CN$11,$CN$14,$CN$19,),""),IF($I209=2,IFBLANK(_xldudf_CX_PUSH($CN209,CX_ENTITY,$B209,$CN$11,$CN$14,$CN$19,),""),IF($I209=3,"",IFBLANK(_xldudf_CX_PUSH($CN209,CX_ENTITY,$B209,$CN$11,$CN$14,$CN$19,),"")))))),"")</f>
        <v/>
      </c>
      <c r="DA209" s="2444" t="str" cm="1">
        <f t="array" ca="1" aca="1" ref="DA209">IFERROR(IF(CP209*fxVal_normal=_PL!CP209,"",IF(OR($CP209="",$CP209=0,NOT(ISNUMBER($CP209)),ISERROR($CP209),$B209=""),"",IF($I209=1,IFBLANK(_xldudf_CX_PUSH($CP209*fxVal_normal,CX_ENTITY,$B209,$CP$11,$CP$14,$CP$19,),""),IF($I209=2,IFBLANK(_xldudf_CX_PUSH($CP209,CX_ENTITY,$B209,$CP$11,$CP$14,$CP$19,),""),IF($I209=3,"",IFBLANK(_xldudf_CX_PUSH($CP209,CX_ENTITY,$B209,$CP$11,$CP$14,$CP$19,),"")))))),"")</f>
        <v/>
      </c>
      <c r="DB209" s="2444" t="str" cm="1">
        <f t="array" ca="1" aca="1" ref="DB209">IFERROR(IF(CQ209*fxVal_normal=_PL!CQ209,"",IF(OR($CQ209="",$CQ209=0,NOT(ISNUMBER($CQ209)),ISERROR($CQ209),$B209=""),"",IF($I209=1,IFBLANK(_xldudf_CX_PUSH($CQ209*fxVal_normal,CX_ENTITY,$B209,$CQ$11,$CQ$14,$CQ$19,),""),IF($I209=2,IFBLANK(_xldudf_CX_PUSH($CQ209,CX_ENTITY,$B209,$CQ$11,$CQ$14,$CQ$19,),""),IF($I209=3,"",IFBLANK(_xldudf_CX_PUSH($CQ209,CX_ENTITY,$B209,$CQ$11,$CQ$14,$CQ$19,),"")))))),"")</f>
        <v/>
      </c>
      <c r="DC209" s="2443"/>
      <c r="DD209" s="2445" t="str" cm="1">
        <f t="array" ca="1" aca="1" ref="DD209">IFERROR(IF(AD209*fxVal_normal=_PL!AD209,"",IF(OR(AD209="",NOT(ISNUMBER(AD209)),ISERROR(AD209),$B209=""),"",IF($I209=1,IFBLANK(_xldudf_CX_PUSH(AD209*fxVal_normal,CX_ENTITY,$B209,AD$11,AD$14,AD$204,),""),IF($I209=2,IFBLANK(_xldudf_CX_PUSH(AD209,CX_ENTITY,$B209,AD$11,AD$14,AD$204,),""),IF($I209=3,"",IFBLANK(_xldudf_CX_PUSH(AD209,CX_ENTITY,$B209,AD$11,AD$14,AD$204,),"")))))),"")</f>
        <v/>
      </c>
      <c r="DE209" s="2445" t="str" cm="1">
        <f t="array" ca="1" aca="1" ref="DE209">IFERROR(IF(AE209*fxVal_normal=_PL!AE209,"",IF(OR(AE209="",NOT(ISNUMBER(AE209)),ISERROR(AE209),$B209=""),"",IF($I209=1,IFBLANK(_xldudf_CX_PUSH(AE209*fxVal_normal,CX_ENTITY,$B209,AE$11,AE$14,AE$204,),""),IF($I209=2,IFBLANK(_xldudf_CX_PUSH(AE209,CX_ENTITY,$B209,AE$11,AE$14,AE$204,),""),IF($I209=3,"",IFBLANK(_xldudf_CX_PUSH(AE209,CX_ENTITY,$B209,AE$11,AE$14,AE$204,),"")))))),"")</f>
        <v/>
      </c>
      <c r="DF209" s="2445" t="str" cm="1">
        <f t="array" ca="1" aca="1" ref="DF209">IFERROR(IF(AF209*fxVal_normal=_PL!AF209,"",IF(OR(AF209="",NOT(ISNUMBER(AF209)),ISERROR(AF209),$B209=""),"",IF($I209=1,IFBLANK(_xldudf_CX_PUSH(AF209*fxVal_normal,CX_ENTITY,$B209,AF$11,AF$14,AF$204,),""),IF($I209=2,IFBLANK(_xldudf_CX_PUSH(AF209,CX_ENTITY,$B209,AF$11,AF$14,AF$204,),""),IF($I209=3,"",IFBLANK(_xldudf_CX_PUSH(AF209,CX_ENTITY,$B209,AF$11,AF$14,AF$204,),"")))))),"")</f>
        <v/>
      </c>
      <c r="DG209" s="2445" t="str" cm="1">
        <f t="array" ca="1" aca="1" ref="DG209">IFERROR(IF(AG209*fxVal_normal=_PL!AG209,"",IF(OR(AG209="",NOT(ISNUMBER(AG209)),ISERROR(AG209),$B209=""),"",IF($I209=1,IFBLANK(_xldudf_CX_PUSH(AG209*fxVal_normal,CX_ENTITY,$B209,AG$11,AG$14,AG$204,),""),IF($I209=2,IFBLANK(_xldudf_CX_PUSH(AG209,CX_ENTITY,$B209,AG$11,AG$14,AG$204,),""),IF($I209=3,"",IFBLANK(_xldudf_CX_PUSH(AG209,CX_ENTITY,$B209,AG$11,AG$14,AG$204,),"")))))),"")</f>
        <v/>
      </c>
      <c r="DH209" s="2445" t="str" cm="1">
        <f t="array" ca="1" aca="1" ref="DH209">IFERROR(IF(AH209*fxVal_normal=_PL!AH209,"",IF(OR(AH209="",NOT(ISNUMBER(AH209)),ISERROR(AH209),$B209=""),"",IF($I209=1,IFBLANK(_xldudf_CX_PUSH(AH209*fxVal_normal,CX_ENTITY,$B209,AH$11,AH$14,AH$204,),""),IF($I209=2,IFBLANK(_xldudf_CX_PUSH(AH209,CX_ENTITY,$B209,AH$11,AH$14,AH$204,),""),IF($I209=3,"",IFBLANK(_xldudf_CX_PUSH(AH209,CX_ENTITY,$B209,AH$11,AH$14,AH$204,),"")))))),"")</f>
        <v/>
      </c>
      <c r="DI209" s="2445" t="str" cm="1">
        <f t="array" ca="1" aca="1" ref="DI209">IFERROR(IF(AI209*fxVal_normal=_PL!AI209,"",IF(OR(AI209="",NOT(ISNUMBER(AI209)),ISERROR(AI209),$B209=""),"",IF($I209=1,IFBLANK(_xldudf_CX_PUSH(AI209*fxVal_normal,CX_ENTITY,$B209,AI$11,AI$14,AI$204,),""),IF($I209=2,IFBLANK(_xldudf_CX_PUSH(AI209,CX_ENTITY,$B209,AI$11,AI$14,AI$204,),""),IF($I209=3,"",IFBLANK(_xldudf_CX_PUSH(AI209,CX_ENTITY,$B209,AI$11,AI$14,AI$204,),"")))))),"")</f>
        <v/>
      </c>
      <c r="DJ209" s="2445" t="str" cm="1">
        <f t="array" ca="1" aca="1" ref="DJ209">IFERROR(IF(AJ209*fxVal_normal=_PL!AJ209,"",IF(OR(AJ209="",NOT(ISNUMBER(AJ209)),ISERROR(AJ209),$B209=""),"",IF($I209=1,IFBLANK(_xldudf_CX_PUSH(AJ209*fxVal_normal,CX_ENTITY,$B209,AJ$11,AJ$14,AJ$204,),""),IF($I209=2,IFBLANK(_xldudf_CX_PUSH(AJ209,CX_ENTITY,$B209,AJ$11,AJ$14,AJ$204,),""),IF($I209=3,"",IFBLANK(_xldudf_CX_PUSH(AJ209,CX_ENTITY,$B209,AJ$11,AJ$14,AJ$204,),"")))))),"")</f>
        <v/>
      </c>
      <c r="DK209" s="2445" t="str" cm="1">
        <f t="array" ca="1" aca="1" ref="DK209">IFERROR(IF(AK209*fxVal_normal=_PL!AK209,"",IF(OR(AK209="",NOT(ISNUMBER(AK209)),ISERROR(AK209),$B209=""),"",IF($I209=1,IFBLANK(_xldudf_CX_PUSH(AK209*fxVal_normal,CX_ENTITY,$B209,AK$11,AK$14,AK$204,),""),IF($I209=2,IFBLANK(_xldudf_CX_PUSH(AK209,CX_ENTITY,$B209,AK$11,AK$14,AK$204,),""),IF($I209=3,"",IFBLANK(_xldudf_CX_PUSH(AK209,CX_ENTITY,$B209,AK$11,AK$14,AK$204,),"")))))),"")</f>
        <v/>
      </c>
      <c r="DL209" s="2445" t="str" cm="1">
        <f t="array" ca="1" aca="1" ref="DL209">IFERROR(IF(AL209*fxVal_normal=_PL!AL209,"",IF(OR(AL209="",NOT(ISNUMBER(AL209)),ISERROR(AL209),$B209=""),"",IF($I209=1,IFBLANK(_xldudf_CX_PUSH(AL209*fxVal_normal,CX_ENTITY,$B209,AL$11,AL$14,AL$204,),""),IF($I209=2,IFBLANK(_xldudf_CX_PUSH(AL209,CX_ENTITY,$B209,AL$11,AL$14,AL$204,),""),IF($I209=3,"",IFBLANK(_xldudf_CX_PUSH(AL209,CX_ENTITY,$B209,AL$11,AL$14,AL$204,),"")))))),"")</f>
        <v/>
      </c>
      <c r="DM209" s="2445" t="str" cm="1">
        <f t="array" ca="1" aca="1" ref="DM209">IFERROR(IF(AM209*fxVal_normal=_PL!AM209,"",IF(OR(AM209="",NOT(ISNUMBER(AM209)),ISERROR(AM209),$B209=""),"",IF($I209=1,IFBLANK(_xldudf_CX_PUSH(AM209*fxVal_normal,CX_ENTITY,$B209,AM$11,AM$14,AM$204,),""),IF($I209=2,IFBLANK(_xldudf_CX_PUSH(AM209,CX_ENTITY,$B209,AM$11,AM$14,AM$204,),""),IF($I209=3,"",IFBLANK(_xldudf_CX_PUSH(AM209,CX_ENTITY,$B209,AM$11,AM$14,AM$204,),"")))))),"")</f>
        <v/>
      </c>
      <c r="DN209" s="2445" t="str" cm="1">
        <f t="array" ca="1" aca="1" ref="DN209">IFERROR(IF(AN209*fxVal_normal=_PL!AN209,"",IF(OR(AN209="",NOT(ISNUMBER(AN209)),ISERROR(AN209),$B209=""),"",IF($I209=1,IFBLANK(_xldudf_CX_PUSH(AN209*fxVal_normal,CX_ENTITY,$B209,AN$11,AN$14,AN$204,),""),IF($I209=2,IFBLANK(_xldudf_CX_PUSH(AN209,CX_ENTITY,$B209,AN$11,AN$14,AN$204,),""),IF($I209=3,"",IFBLANK(_xldudf_CX_PUSH(AN209,CX_ENTITY,$B209,AN$11,AN$14,AN$204,),"")))))),"")</f>
        <v/>
      </c>
      <c r="DO209" s="2445" t="str" cm="1">
        <f t="array" ca="1" aca="1" ref="DO209">IFERROR(IF(AO209*fxVal_normal=_PL!AO209,"",IF(OR(AO209="",NOT(ISNUMBER(AO209)),ISERROR(AO209),$B209=""),"",IF($I209=1,IFBLANK(_xldudf_CX_PUSH(AO209*fxVal_normal,CX_ENTITY,$B209,AO$11,AO$14,AO$204,),""),IF($I209=2,IFBLANK(_xldudf_CX_PUSH(AO209,CX_ENTITY,$B209,AO$11,AO$14,AO$204,),""),IF($I209=3,"",IFBLANK(_xldudf_CX_PUSH(AO209,CX_ENTITY,$B209,AO$11,AO$14,AO$204,),"")))))),"")</f>
        <v/>
      </c>
      <c r="DP209" s="2445" t="str" cm="1">
        <f t="array" ca="1" aca="1" ref="DP209">IFERROR(IF(AP209*fxVal_normal=_PL!AP209,"",IF(OR(AP209="",NOT(ISNUMBER(AP209)),ISERROR(AP209),$B209=""),"",IF($I209=1,IFBLANK(_xldudf_CX_PUSH(AP209*fxVal_normal,CX_ENTITY,$B209,AP$11,AP$14,AP$204,),""),IF($I209=2,IFBLANK(_xldudf_CX_PUSH(AP209,CX_ENTITY,$B209,AP$11,AP$14,AP$204,),""),IF($I209=3,"",IFBLANK(_xldudf_CX_PUSH(AP209,CX_ENTITY,$B209,AP$11,AP$14,AP$204,),"")))))),"")</f>
        <v/>
      </c>
      <c r="DQ209" s="2445" t="str" cm="1">
        <f t="array" ca="1" aca="1" ref="DQ209">IFERROR(IF(AQ209*fxVal_normal=_PL!AQ209,"",IF(OR(AQ209="",NOT(ISNUMBER(AQ209)),ISERROR(AQ209),$B209=""),"",IF($I209=1,IFBLANK(_xldudf_CX_PUSH(AQ209*fxVal_normal,CX_ENTITY,$B209,AQ$11,AQ$14,AQ$204,),""),IF($I209=2,IFBLANK(_xldudf_CX_PUSH(AQ209,CX_ENTITY,$B209,AQ$11,AQ$14,AQ$204,),""),IF($I209=3,"",IFBLANK(_xldudf_CX_PUSH(AQ209,CX_ENTITY,$B209,AQ$11,AQ$14,AQ$204,),"")))))),"")</f>
        <v/>
      </c>
      <c r="DR209" s="2445" t="str" cm="1">
        <f t="array" ca="1" aca="1" ref="DR209">IFERROR(IF(AR209*fxVal_normal=_PL!AR209,"",IF(OR(AR209="",NOT(ISNUMBER(AR209)),ISERROR(AR209),$B209=""),"",IF($I209=1,IFBLANK(_xldudf_CX_PUSH(AR209*fxVal_normal,CX_ENTITY,$B209,AR$11,AR$14,AR$204,),""),IF($I209=2,IFBLANK(_xldudf_CX_PUSH(AR209,CX_ENTITY,$B209,AR$11,AR$14,AR$204,),""),IF($I209=3,"",IFBLANK(_xldudf_CX_PUSH(AR209,CX_ENTITY,$B209,AR$11,AR$14,AR$204,),"")))))),"")</f>
        <v/>
      </c>
      <c r="DS209" s="2445" t="str" cm="1">
        <f t="array" ca="1" aca="1" ref="DS209">IFERROR(IF(AS209*fxVal_normal=_PL!AS209,"",IF(OR(AS209="",NOT(ISNUMBER(AS209)),ISERROR(AS209),$B209=""),"",IF($I209=1,IFBLANK(_xldudf_CX_PUSH(AS209*fxVal_normal,CX_ENTITY,$B209,AS$11,AS$14,AS$204,),""),IF($I209=2,IFBLANK(_xldudf_CX_PUSH(AS209,CX_ENTITY,$B209,AS$11,AS$14,AS$204,),""),IF($I209=3,"",IFBLANK(_xldudf_CX_PUSH(AS209,CX_ENTITY,$B209,AS$11,AS$14,AS$204,),"")))))),"")</f>
        <v/>
      </c>
      <c r="DT209" s="2445" t="str" cm="1">
        <f t="array" ca="1" aca="1" ref="DT209">IFERROR(IF(AT209*fxVal_normal=_PL!AT209,"",IF(OR(AT209="",NOT(ISNUMBER(AT209)),ISERROR(AT209),$B209=""),"",IF($I209=1,IFBLANK(_xldudf_CX_PUSH(AT209*fxVal_normal,CX_ENTITY,$B209,AT$11,AT$14,AT$204,),""),IF($I209=2,IFBLANK(_xldudf_CX_PUSH(AT209,CX_ENTITY,$B209,AT$11,AT$14,AT$204,),""),IF($I209=3,"",IFBLANK(_xldudf_CX_PUSH(AT209,CX_ENTITY,$B209,AT$11,AT$14,AT$204,),"")))))),"")</f>
        <v/>
      </c>
      <c r="DU209" s="2445" t="str" cm="1">
        <f t="array" ca="1" aca="1" ref="DU209">IFERROR(IF(AU209*fxVal_normal=_PL!AU209,"",IF(OR(AU209="",NOT(ISNUMBER(AU209)),ISERROR(AU209),$B209=""),"",IF($I209=1,IFBLANK(_xldudf_CX_PUSH(AU209*fxVal_normal,CX_ENTITY,$B209,AU$11,AU$14,AU$204,),""),IF($I209=2,IFBLANK(_xldudf_CX_PUSH(AU209,CX_ENTITY,$B209,AU$11,AU$14,AU$204,),""),IF($I209=3,"",IFBLANK(_xldudf_CX_PUSH(AU209,CX_ENTITY,$B209,AU$11,AU$14,AU$204,),"")))))),"")</f>
        <v/>
      </c>
      <c r="DV209" s="2445" t="str" cm="1">
        <f t="array" ca="1" aca="1" ref="DV209">IFERROR(IF(AV209*fxVal_normal=_PL!AV209,"",IF(OR(AV209="",NOT(ISNUMBER(AV209)),ISERROR(AV209),$B209=""),"",IF($I209=1,IFBLANK(_xldudf_CX_PUSH(AV209*fxVal_normal,CX_ENTITY,$B209,AV$11,AV$14,AV$204,),""),IF($I209=2,IFBLANK(_xldudf_CX_PUSH(AV209,CX_ENTITY,$B209,AV$11,AV$14,AV$204,),""),IF($I209=3,"",IFBLANK(_xldudf_CX_PUSH(AV209,CX_ENTITY,$B209,AV$11,AV$14,AV$204,),"")))))),"")</f>
        <v/>
      </c>
      <c r="DW209" s="2445" t="str" cm="1">
        <f t="array" ca="1" aca="1" ref="DW209">IFERROR(IF(AW209*fxVal_normal=_PL!AW209,"",IF(OR(AW209="",NOT(ISNUMBER(AW209)),ISERROR(AW209),$B209=""),"",IF($I209=1,IFBLANK(_xldudf_CX_PUSH(AW209*fxVal_normal,CX_ENTITY,$B209,AW$11,AW$14,AW$204,),""),IF($I209=2,IFBLANK(_xldudf_CX_PUSH(AW209,CX_ENTITY,$B209,AW$11,AW$14,AW$204,),""),IF($I209=3,"",IFBLANK(_xldudf_CX_PUSH(AW209,CX_ENTITY,$B209,AW$11,AW$14,AW$204,),"")))))),"")</f>
        <v/>
      </c>
      <c r="DX209" s="2445" t="str" cm="1">
        <f t="array" ca="1" aca="1" ref="DX209">IFERROR(IF(AX209*fxVal_normal=_PL!AX209,"",IF(OR(AX209="",NOT(ISNUMBER(AX209)),ISERROR(AX209),$B209=""),"",IF($I209=1,IFBLANK(_xldudf_CX_PUSH(AX209*fxVal_normal,CX_ENTITY,$B209,AX$11,AX$14,AX$204,),""),IF($I209=2,IFBLANK(_xldudf_CX_PUSH(AX209,CX_ENTITY,$B209,AX$11,AX$14,AX$204,),""),IF($I209=3,"",IFBLANK(_xldudf_CX_PUSH(AX209,CX_ENTITY,$B209,AX$11,AX$14,AX$204,),"")))))),"")</f>
        <v/>
      </c>
      <c r="DY209" s="2445" t="str" cm="1">
        <f t="array" ca="1" aca="1" ref="DY209">IFERROR(IF(AY209*fxVal_normal=_PL!AY209,"",IF(OR(AY209="",NOT(ISNUMBER(AY209)),ISERROR(AY209),$B209=""),"",IF($I209=1,IFBLANK(_xldudf_CX_PUSH(AY209*fxVal_normal,CX_ENTITY,$B209,AY$11,AY$14,AY$204,),""),IF($I209=2,IFBLANK(_xldudf_CX_PUSH(AY209,CX_ENTITY,$B209,AY$11,AY$14,AY$204,),""),IF($I209=3,"",IFBLANK(_xldudf_CX_PUSH(AY209,CX_ENTITY,$B209,AY$11,AY$14,AY$204,),"")))))),"")</f>
        <v/>
      </c>
      <c r="DZ209" s="2445" t="str" cm="1">
        <f t="array" ca="1" aca="1" ref="DZ209">IFERROR(IF(AZ209*fxVal_normal=_PL!AZ209,"",IF(OR(AZ209="",NOT(ISNUMBER(AZ209)),ISERROR(AZ209),$B209=""),"",IF($I209=1,IFBLANK(_xldudf_CX_PUSH(AZ209*fxVal_normal,CX_ENTITY,$B209,AZ$11,AZ$14,AZ$204,),""),IF($I209=2,IFBLANK(_xldudf_CX_PUSH(AZ209,CX_ENTITY,$B209,AZ$11,AZ$14,AZ$204,),""),IF($I209=3,"",IFBLANK(_xldudf_CX_PUSH(AZ209,CX_ENTITY,$B209,AZ$11,AZ$14,AZ$204,),"")))))),"")</f>
        <v/>
      </c>
      <c r="EA209" s="2445" t="str" cm="1">
        <f t="array" ca="1" aca="1" ref="EA209">IFERROR(IF(BA209*fxVal_normal=_PL!BA209,"",IF(OR(BA209="",NOT(ISNUMBER(BA209)),ISERROR(BA209),$B209=""),"",IF($I209=1,IFBLANK(_xldudf_CX_PUSH(BA209*fxVal_normal,CX_ENTITY,$B209,BA$11,BA$14,BA$204,),""),IF($I209=2,IFBLANK(_xldudf_CX_PUSH(BA209,CX_ENTITY,$B209,BA$11,BA$14,BA$204,),""),IF($I209=3,"",IFBLANK(_xldudf_CX_PUSH(BA209,CX_ENTITY,$B209,BA$11,BA$14,BA$204,),"")))))),"")</f>
        <v/>
      </c>
      <c r="EB209" s="2445" t="str" cm="1">
        <f t="array" ca="1" aca="1" ref="EB209">IFERROR(IF(BB209*fxVal_normal=_PL!BB209,"",IF(OR(BB209="",NOT(ISNUMBER(BB209)),ISERROR(BB209),$B209=""),"",IF($I209=1,IFBLANK(_xldudf_CX_PUSH(BB209*fxVal_normal,CX_ENTITY,$B209,BB$11,BB$14,BB$204,),""),IF($I209=2,IFBLANK(_xldudf_CX_PUSH(BB209,CX_ENTITY,$B209,BB$11,BB$14,BB$204,),""),IF($I209=3,"",IFBLANK(_xldudf_CX_PUSH(BB209,CX_ENTITY,$B209,BB$11,BB$14,BB$204,),"")))))),"")</f>
        <v/>
      </c>
      <c r="EC209" s="2445" t="str" cm="1">
        <f t="array" ca="1" aca="1" ref="EC209">IFERROR(IF(BC209*fxVal_normal=_PL!BC209,"",IF(OR(BC209="",NOT(ISNUMBER(BC209)),ISERROR(BC209),$B209=""),"",IF($I209=1,IFBLANK(_xldudf_CX_PUSH(BC209*fxVal_normal,CX_ENTITY,$B209,BC$11,BC$14,BC$204,),""),IF($I209=2,IFBLANK(_xldudf_CX_PUSH(BC209,CX_ENTITY,$B209,BC$11,BC$14,BC$204,),""),IF($I209=3,"",IFBLANK(_xldudf_CX_PUSH(BC209,CX_ENTITY,$B209,BC$11,BC$14,BC$204,),"")))))),"")</f>
        <v/>
      </c>
      <c r="ED209" s="2445" t="str" cm="1">
        <f t="array" ca="1" aca="1" ref="ED209">IFERROR(IF(BD209*fxVal_normal=_PL!BD209,"",IF(OR(BD209="",NOT(ISNUMBER(BD209)),ISERROR(BD209),$B209=""),"",IF($I209=1,IFBLANK(_xldudf_CX_PUSH(BD209*fxVal_normal,CX_ENTITY,$B209,BD$11,BD$14,BD$204,),""),IF($I209=2,IFBLANK(_xldudf_CX_PUSH(BD209,CX_ENTITY,$B209,BD$11,BD$14,BD$204,),""),IF($I209=3,"",IFBLANK(_xldudf_CX_PUSH(BD209,CX_ENTITY,$B209,BD$11,BD$14,BD$204,),"")))))),"")</f>
        <v/>
      </c>
      <c r="EE209" s="2445" t="str" cm="1">
        <f t="array" ca="1" aca="1" ref="EE209">IFERROR(IF(BE209*fxVal_normal=_PL!BE209,"",IF(OR(BE209="",NOT(ISNUMBER(BE209)),ISERROR(BE209),$B209=""),"",IF($I209=1,IFBLANK(_xldudf_CX_PUSH(BE209*fxVal_normal,CX_ENTITY,$B209,BE$11,BE$14,BE$204,),""),IF($I209=2,IFBLANK(_xldudf_CX_PUSH(BE209,CX_ENTITY,$B209,BE$11,BE$14,BE$204,),""),IF($I209=3,"",IFBLANK(_xldudf_CX_PUSH(BE209,CX_ENTITY,$B209,BE$11,BE$14,BE$204,),"")))))),"")</f>
        <v/>
      </c>
      <c r="EF209" s="2445" t="str" cm="1">
        <f t="array" ca="1" aca="1" ref="EF209">IFERROR(IF(BF209*fxVal_normal=_PL!BF209,"",IF(OR(BF209="",NOT(ISNUMBER(BF209)),ISERROR(BF209),$B209=""),"",IF($I209=1,IFBLANK(_xldudf_CX_PUSH(BF209*fxVal_normal,CX_ENTITY,$B209,BF$11,BF$14,BF$204,),""),IF($I209=2,IFBLANK(_xldudf_CX_PUSH(BF209,CX_ENTITY,$B209,BF$11,BF$14,BF$204,),""),IF($I209=3,"",IFBLANK(_xldudf_CX_PUSH(BF209,CX_ENTITY,$B209,BF$11,BF$14,BF$204,),"")))))),"")</f>
        <v/>
      </c>
      <c r="EG209" s="2445" t="str" cm="1">
        <f t="array" ca="1" aca="1" ref="EG209">IFERROR(IF(BG209*fxVal_normal=_PL!BG209,"",IF(OR(BG209="",NOT(ISNUMBER(BG209)),ISERROR(BG209),$B209=""),"",IF($I209=1,IFBLANK(_xldudf_CX_PUSH(BG209*fxVal_normal,CX_ENTITY,$B209,BG$11,BG$14,BG$204,),""),IF($I209=2,IFBLANK(_xldudf_CX_PUSH(BG209,CX_ENTITY,$B209,BG$11,BG$14,BG$204,),""),IF($I209=3,"",IFBLANK(_xldudf_CX_PUSH(BG209,CX_ENTITY,$B209,BG$11,BG$14,BG$204,),"")))))),"")</f>
        <v/>
      </c>
      <c r="EH209" s="2445" t="str" cm="1">
        <f t="array" ca="1" aca="1" ref="EH209">IFERROR(IF(BH209*fxVal_normal=_PL!BH209,"",IF(OR(BH209="",NOT(ISNUMBER(BH209)),ISERROR(BH209),$B209=""),"",IF($I209=1,IFBLANK(_xldudf_CX_PUSH(BH209*fxVal_normal,CX_ENTITY,$B209,BH$11,BH$14,BH$204,),""),IF($I209=2,IFBLANK(_xldudf_CX_PUSH(BH209,CX_ENTITY,$B209,BH$11,BH$14,BH$204,),""),IF($I209=3,"",IFBLANK(_xldudf_CX_PUSH(BH209,CX_ENTITY,$B209,BH$11,BH$14,BH$204,),"")))))),"")</f>
        <v/>
      </c>
      <c r="EI209" s="2445" t="str" cm="1">
        <f t="array" ca="1" aca="1" ref="EI209">IFERROR(IF(BI209*fxVal_normal=_PL!BI209,"",IF(OR(BI209="",NOT(ISNUMBER(BI209)),ISERROR(BI209),$B209=""),"",IF($I209=1,IFBLANK(_xldudf_CX_PUSH(BI209*fxVal_normal,CX_ENTITY,$B209,BI$11,BI$14,BI$204,),""),IF($I209=2,IFBLANK(_xldudf_CX_PUSH(BI209,CX_ENTITY,$B209,BI$11,BI$14,BI$204,),""),IF($I209=3,"",IFBLANK(_xldudf_CX_PUSH(BI209,CX_ENTITY,$B209,BI$11,BI$14,BI$204,),"")))))),"")</f>
        <v/>
      </c>
      <c r="EJ209" s="2445" t="str" cm="1">
        <f t="array" ca="1" aca="1" ref="EJ209">IFERROR(IF(BJ209*fxVal_normal=_PL!BJ209,"",IF(OR(BJ209="",NOT(ISNUMBER(BJ209)),ISERROR(BJ209),$B209=""),"",IF($I209=1,IFBLANK(_xldudf_CX_PUSH(BJ209*fxVal_normal,CX_ENTITY,$B209,BJ$11,BJ$14,BJ$204,),""),IF($I209=2,IFBLANK(_xldudf_CX_PUSH(BJ209,CX_ENTITY,$B209,BJ$11,BJ$14,BJ$204,),""),IF($I209=3,"",IFBLANK(_xldudf_CX_PUSH(BJ209,CX_ENTITY,$B209,BJ$11,BJ$14,BJ$204,),"")))))),"")</f>
        <v/>
      </c>
      <c r="EK209" s="2445" t="str" cm="1">
        <f t="array" ca="1" aca="1" ref="EK209">IFERROR(IF(BK209*fxVal_normal=_PL!BK209,"",IF(OR(BK209="",NOT(ISNUMBER(BK209)),ISERROR(BK209),$B209=""),"",IF($I209=1,IFBLANK(_xldudf_CX_PUSH(BK209*fxVal_normal,CX_ENTITY,$B209,BK$11,BK$14,BK$204,),""),IF($I209=2,IFBLANK(_xldudf_CX_PUSH(BK209,CX_ENTITY,$B209,BK$11,BK$14,BK$204,),""),IF($I209=3,"",IFBLANK(_xldudf_CX_PUSH(BK209,CX_ENTITY,$B209,BK$11,BK$14,BK$204,),"")))))),"")</f>
        <v/>
      </c>
      <c r="EL209" s="2445" t="str" cm="1">
        <f t="array" ca="1" aca="1" ref="EL209">IFERROR(IF(BL209*fxVal_normal=_PL!BL209,"",IF(OR(BL209="",NOT(ISNUMBER(BL209)),ISERROR(BL209),$B209=""),"",IF($I209=1,IFBLANK(_xldudf_CX_PUSH(BL209*fxVal_normal,CX_ENTITY,$B209,BL$11,BL$14,BL$204,),""),IF($I209=2,IFBLANK(_xldudf_CX_PUSH(BL209,CX_ENTITY,$B209,BL$11,BL$14,BL$204,),""),IF($I209=3,"",IFBLANK(_xldudf_CX_PUSH(BL209,CX_ENTITY,$B209,BL$11,BL$14,BL$204,),"")))))),"")</f>
        <v/>
      </c>
      <c r="EM209" s="2445" t="str" cm="1">
        <f t="array" ca="1" aca="1" ref="EM209">IFERROR(IF(BM209*fxVal_normal=_PL!BM209,"",IF(OR(BM209="",NOT(ISNUMBER(BM209)),ISERROR(BM209),$B209=""),"",IF($I209=1,IFBLANK(_xldudf_CX_PUSH(BM209*fxVal_normal,CX_ENTITY,$B209,BM$11,BM$14,BM$204,),""),IF($I209=2,IFBLANK(_xldudf_CX_PUSH(BM209,CX_ENTITY,$B209,BM$11,BM$14,BM$204,),""),IF($I209=3,"",IFBLANK(_xldudf_CX_PUSH(BM209,CX_ENTITY,$B209,BM$11,BM$14,BM$204,),"")))))),"")</f>
        <v/>
      </c>
      <c r="EN209" s="2445" t="str" cm="1">
        <f t="array" ca="1" aca="1" ref="EN209">IFERROR(IF(BN209*fxVal_normal=_PL!BN209,"",IF(OR(BN209="",NOT(ISNUMBER(BN209)),ISERROR(BN209),$B209=""),"",IF($I209=1,IFBLANK(_xldudf_CX_PUSH(BN209*fxVal_normal,CX_ENTITY,$B209,BN$11,BN$14,BN$204,),""),IF($I209=2,IFBLANK(_xldudf_CX_PUSH(BN209,CX_ENTITY,$B209,BN$11,BN$14,BN$204,),""),IF($I209=3,"",IFBLANK(_xldudf_CX_PUSH(BN209,CX_ENTITY,$B209,BN$11,BN$14,BN$204,),"")))))),"")</f>
        <v/>
      </c>
    </row>
    <row r="210" spans="1:144" ht="21" customHeight="1">
      <c r="A210" s="1627"/>
      <c r="B210" s="2439" t="s">
        <v>175</v>
      </c>
      <c r="C210" s="3459" t="str" cm="1">
        <f t="array" ref="C210">IFBLANK(_PL!C210,"")</f>
        <v>Segment II Breakdown - Label 5</v>
      </c>
      <c r="D210" s="1548" t="s">
        <v>175</v>
      </c>
      <c r="E210" s="2440" t="e" cm="1">
        <f t="array" ca="1" aca="1" ref="E21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210:$CQ210,Z210)</f>
        <v>#NAME?</v>
      </c>
      <c r="F210" s="578"/>
      <c r="G210" s="578"/>
      <c r="H210" s="510">
        <v>0</v>
      </c>
      <c r="I210" s="3302">
        <v>1</v>
      </c>
      <c r="J210" s="401" cm="1">
        <f t="array" ref="J210">IFBLANK(Z210,"")</f>
        <v>-1</v>
      </c>
      <c r="K210" s="578" t="str">
        <f t="shared" si="54"/>
        <v>No</v>
      </c>
      <c r="L210" s="37"/>
      <c r="N210" s="158"/>
      <c r="O210" s="101"/>
      <c r="P210" s="52"/>
      <c r="Q210" s="101"/>
      <c r="R210" s="101"/>
      <c r="S210" s="3008"/>
      <c r="T210" s="3008"/>
      <c r="U210" s="39"/>
      <c r="V210" s="37"/>
      <c r="W210" s="91" t="e">
        <f ca="1">W205</f>
        <v>#NAME?</v>
      </c>
      <c r="X210" s="2081" t="str">
        <f>_PL!X210</f>
        <v>a</v>
      </c>
      <c r="Y210" s="3224">
        <v>2</v>
      </c>
      <c r="Z210" s="198">
        <f>_PL!Z210</f>
        <v>-1</v>
      </c>
      <c r="AA210" s="2571"/>
      <c r="AB210" s="2592"/>
      <c r="AC210" s="914" t="str" cm="1">
        <f t="array" ca="1" aca="1" ref="AC210">_xlfn.LET(_xlpm._termname,$AB210,_xlpm._iconname,"find",_xlpm._icon,fx_getIcon(_xlpm._iconname),_xlpm._location,_xlfn.XLOOKUP(LOWER(_xlpm._termname),LOWER(tbl_acctDef[Term]),tbl_acctDef[Term]),_xlpm._hyperlink,HYPERLINK("#"&amp;CELL("address",_xlpm._location),_xlpm._icon),IFERROR(_xlpm._hyperlink,""))</f>
        <v/>
      </c>
      <c r="AD210" s="3177">
        <v>1</v>
      </c>
      <c r="AE210" s="3177">
        <v>1</v>
      </c>
      <c r="AF210" s="3177">
        <v>1</v>
      </c>
      <c r="AG210" s="3177">
        <v>1</v>
      </c>
      <c r="AH210" s="3177">
        <v>1</v>
      </c>
      <c r="AI210" s="3177">
        <v>1</v>
      </c>
      <c r="AJ210" s="3177">
        <v>1</v>
      </c>
      <c r="AK210" s="3177">
        <v>1</v>
      </c>
      <c r="AL210" s="3177">
        <v>1</v>
      </c>
      <c r="AM210" s="3177">
        <v>1</v>
      </c>
      <c r="AN210" s="3177">
        <v>1</v>
      </c>
      <c r="AO210" s="3177">
        <v>1</v>
      </c>
      <c r="AP210" s="3177">
        <v>1</v>
      </c>
      <c r="AQ210" s="3177">
        <v>1</v>
      </c>
      <c r="AR210" s="3177">
        <v>1</v>
      </c>
      <c r="AS210" s="3177">
        <v>1</v>
      </c>
      <c r="AT210" s="3177">
        <v>1</v>
      </c>
      <c r="AU210" s="3177">
        <v>1</v>
      </c>
      <c r="AV210" s="3177">
        <v>1</v>
      </c>
      <c r="AW210" s="3177">
        <v>1</v>
      </c>
      <c r="AX210" s="3177">
        <v>1</v>
      </c>
      <c r="AY210" s="3177">
        <v>1</v>
      </c>
      <c r="AZ210" s="3177">
        <v>1</v>
      </c>
      <c r="BA210" s="3177">
        <v>1</v>
      </c>
      <c r="BB210" s="3177">
        <v>1</v>
      </c>
      <c r="BC210" s="3177">
        <v>1</v>
      </c>
      <c r="BD210" s="3177">
        <v>1</v>
      </c>
      <c r="BE210" s="3177">
        <v>1</v>
      </c>
      <c r="BF210" s="3177">
        <v>1</v>
      </c>
      <c r="BG210" s="3177">
        <v>1</v>
      </c>
      <c r="BH210" s="3177">
        <v>1</v>
      </c>
      <c r="BI210" s="3177">
        <v>1</v>
      </c>
      <c r="BJ210" s="3177">
        <v>1</v>
      </c>
      <c r="BK210" s="3177">
        <v>1</v>
      </c>
      <c r="BL210" s="3177">
        <v>1</v>
      </c>
      <c r="BM210" s="3177">
        <v>1</v>
      </c>
      <c r="BN210" s="3177">
        <v>1</v>
      </c>
      <c r="BO210" s="2442"/>
      <c r="BP210" s="2442"/>
      <c r="BQ210" s="2442"/>
      <c r="BR210" s="2442"/>
      <c r="BS210" s="2442"/>
      <c r="BT210" s="2442"/>
      <c r="BU210" s="2442"/>
      <c r="BV210" s="2442"/>
      <c r="BW210" s="2442"/>
      <c r="BX210" s="2442"/>
      <c r="BY210" s="2442"/>
      <c r="BZ210" s="2442"/>
      <c r="CA210" s="34"/>
      <c r="CC210" s="2572"/>
      <c r="CD210" s="1461" t="e" cm="1">
        <f t="array" ca="1" aca="1" ref="CD210">_xlfn.LET(_xlpm.CheckBlank,SUM(PL!$AD210:$BN210)=0,IF(_xlpm.CheckBlank,"",SUM(_xlfn._xlws.FILTER(PL!$AD210:$BN210,(YEAR(PL!$AD$12:$BN$12)=PL!CD$12)*(array_timeline&lt;=PL!CD$11)))))</f>
        <v>#NAME?</v>
      </c>
      <c r="CE210" s="1461" t="e" cm="1">
        <f t="array" ca="1" aca="1" ref="CE210">_xlfn.LET(_xlpm.CheckBlank,SUM(PL!$AD210:$BN210)=0,IF(_xlpm.CheckBlank,"",SUM(_xlfn._xlws.FILTER(PL!$AD210:$BN210,(YEAR(PL!$AD$12:$BN$12)=PL!CE$12)*(array_timeline&lt;=PL!CE$11)))))</f>
        <v>#NAME?</v>
      </c>
      <c r="CF210" s="88"/>
      <c r="CG210" s="1461" t="e" cm="1">
        <f t="array" ca="1" aca="1" ref="CG210">_xlfn.LET(_xlpm.CheckBlank,SUM(PL!$AD210:$BN210)=0,IF(_xlpm.CheckBlank,"",SUM(_xlfn._xlws.FILTER(PL!$AD210:$BN210,(YEAR(PL!$AD$12:$BN$12)=PL!CG$12)*(array_timeline&lt;=PL!CG$11)))))</f>
        <v>#NAME?</v>
      </c>
      <c r="CH210" s="1461" t="e" cm="1">
        <f t="array" ca="1" aca="1" ref="CH210">_xlfn.LET(_xlpm.CheckBlank,SUM(PL!$AD210:$BN210)=0,IF(_xlpm.CheckBlank,"",SUM(_xlfn._xlws.FILTER(PL!$AD210:$BN210,(YEAR(PL!$AD$12:$BN$12)=PL!CH$12)*(array_timeline&lt;=PL!CH$11)))))</f>
        <v>#NAME?</v>
      </c>
      <c r="CI210" s="88"/>
      <c r="CJ210" s="1461" cm="1">
        <f t="array" ref="CJ210">_xlfn.LET(_xlpm.CheckBlank,SUM(PL!$AD210:$BN210)=0,IF(_xlpm.CheckBlank,"",SUM(_xlfn.TAKE(_xlfn.DROP(PL!$AD210:$BN210,,-DATEDIFF(PL!CJ$11,val_asOfDate,"M")),1,-12))))</f>
        <v>12</v>
      </c>
      <c r="CK210" s="1461" cm="1">
        <f t="array" ref="CK210">_xlfn.LET(_xlpm.CheckBlank,SUM(PL!$AD210:$BN210)=0,IF(_xlpm.CheckBlank,"",SUM(_xlfn.TAKE(_xlfn.DROP(PL!$AD210:$BN210,,-DATEDIFF(PL!CK$11,val_asOfDate,"M")),1,-12))))</f>
        <v>12</v>
      </c>
      <c r="CL210" s="88"/>
      <c r="CM210" s="3177">
        <v>1</v>
      </c>
      <c r="CN210" s="3177">
        <v>1</v>
      </c>
      <c r="CO210" s="1169"/>
      <c r="CP210" s="3177">
        <v>1</v>
      </c>
      <c r="CQ210" s="3177">
        <v>1</v>
      </c>
      <c r="CR210" s="34"/>
      <c r="CS210" s="2056"/>
      <c r="CT210" s="2447" t="e" cm="1">
        <f t="array" ca="1" aca="1" ref="CT210">IF(OR($Y210="Segment II Breakdown - Amount 1",$Y210="Segment II Breakdown - Amount 2",$Y210="Segment II Breakdown - Amount 3",$Y210="Segment II Breakdown - Amount 4",$Y210="Segment II Breakdown - Amount 5",$Y210="Segment II Breakdown - Amount 6",$Y210="Please select the metric for segmentation"),"",_xldudf_CX_PUSH($Y210,CX_ENTITY,$C210,val_asOfDate))</f>
        <v>#NAME?</v>
      </c>
      <c r="CU210" s="2447" t="e" cm="1">
        <f t="array" ca="1" aca="1" ref="CU210">IF(OR($Y210="Segment II Breakdown - Amount 1",$Y210="Segment II Breakdown - Amount 2",$Y210="Segment II Breakdown - Amount 3",$Y210="Segment II Breakdown - Amount 4",$Y210="Segment II Breakdown - Amount 5",$Y210="Segment II Breakdown - Amount 6",$Y210="Please select the metric for segmentation"),"",_xldudf_CX_PUSH($Y210,CX_ENTITY,$C210,EOMONTH(val_asOfDate,1)))</f>
        <v>#NAME?</v>
      </c>
      <c r="CV210" s="2447" t="e" cm="1">
        <f t="array" ca="1" aca="1" ref="CV210">IF(OR($Y210="Segment II Breakdown - Amount 1",$Y210="Segment II Breakdown - Amount 2",$Y210="Segment II Breakdown - Amount 3",$Y210="Segment II Breakdown - Amount 4",$Y210="Segment II Breakdown - Amount 5",$Y210="Segment II Breakdown - Amount 6",$Y210="Please select the metric for segmentation"),"",_xldudf_CX_PUSH($Y210,CX_ENTITY,$C210,EOMONTH(val_asOfDate,2)))</f>
        <v>#NAME?</v>
      </c>
      <c r="CW210" s="2447" t="e" cm="1">
        <f t="array" ca="1" aca="1" ref="CW210">IF(OR($Y210="Segment II Breakdown - Amount 1",$Y210="Segment II Breakdown - Amount 2",$Y210="Segment II Breakdown - Amount 3",$Y210="Segment II Breakdown - Amount 4",$Y210="Segment II Breakdown - Amount 5",$Y210="Segment II Breakdown - Amount 6",$Y210="Please select the metric for segmentation"),"",_xldudf_CX_PUSH($Y210,CX_ENTITY,$C210,EOMONTH(val_asOfDate,3)))</f>
        <v>#NAME?</v>
      </c>
      <c r="CX210" s="2443"/>
      <c r="CY210" s="2444" t="str" cm="1">
        <f t="array" ca="1" aca="1" ref="CY210">IFERROR(IF(CM210*fxVal_normal=_PL!CM210,"",IF(OR($CM210="",$CM210=0,NOT(ISNUMBER($CM210)),ISERROR($CM210),$B210=""),"",IF($I210=1,IFBLANK(_xldudf_CX_PUSH($CM210*fxVal_normal,CX_ENTITY,$B210,$CM$11,$CM$14,$CM$19,),""),IF($I210=2,IFBLANK(_xldudf_CX_PUSH($CM210,CX_ENTITY,$B210,$CM$11,$CM$14,$CM$19,),""),IF($I210=3,"",IFBLANK(_xldudf_CX_PUSH($CM210,CX_ENTITY,$B210,$CM$11,$CM$14,$CM$19,),"")))))),"")</f>
        <v/>
      </c>
      <c r="CZ210" s="2444" t="str" cm="1">
        <f t="array" ca="1" aca="1" ref="CZ210">IFERROR(IF(CN210*fxVal_normal=_PL!CN210,"",IF(OR($CN210="",$CN210=0,NOT(ISNUMBER($CN210)),ISERROR($CN210),$B210=""),"",IF($I210=1,IFBLANK(_xldudf_CX_PUSH($CN210*fxVal_normal,CX_ENTITY,$B210,$CN$11,$CN$14,$CN$19,),""),IF($I210=2,IFBLANK(_xldudf_CX_PUSH($CN210,CX_ENTITY,$B210,$CN$11,$CN$14,$CN$19,),""),IF($I210=3,"",IFBLANK(_xldudf_CX_PUSH($CN210,CX_ENTITY,$B210,$CN$11,$CN$14,$CN$19,),"")))))),"")</f>
        <v/>
      </c>
      <c r="DA210" s="2444" t="str" cm="1">
        <f t="array" ca="1" aca="1" ref="DA210">IFERROR(IF(CP210*fxVal_normal=_PL!CP210,"",IF(OR($CP210="",$CP210=0,NOT(ISNUMBER($CP210)),ISERROR($CP210),$B210=""),"",IF($I210=1,IFBLANK(_xldudf_CX_PUSH($CP210*fxVal_normal,CX_ENTITY,$B210,$CP$11,$CP$14,$CP$19,),""),IF($I210=2,IFBLANK(_xldudf_CX_PUSH($CP210,CX_ENTITY,$B210,$CP$11,$CP$14,$CP$19,),""),IF($I210=3,"",IFBLANK(_xldudf_CX_PUSH($CP210,CX_ENTITY,$B210,$CP$11,$CP$14,$CP$19,),"")))))),"")</f>
        <v/>
      </c>
      <c r="DB210" s="2444" t="str" cm="1">
        <f t="array" ca="1" aca="1" ref="DB210">IFERROR(IF(CQ210*fxVal_normal=_PL!CQ210,"",IF(OR($CQ210="",$CQ210=0,NOT(ISNUMBER($CQ210)),ISERROR($CQ210),$B210=""),"",IF($I210=1,IFBLANK(_xldudf_CX_PUSH($CQ210*fxVal_normal,CX_ENTITY,$B210,$CQ$11,$CQ$14,$CQ$19,),""),IF($I210=2,IFBLANK(_xldudf_CX_PUSH($CQ210,CX_ENTITY,$B210,$CQ$11,$CQ$14,$CQ$19,),""),IF($I210=3,"",IFBLANK(_xldudf_CX_PUSH($CQ210,CX_ENTITY,$B210,$CQ$11,$CQ$14,$CQ$19,),"")))))),"")</f>
        <v/>
      </c>
      <c r="DC210" s="2443"/>
      <c r="DD210" s="2445" t="str" cm="1">
        <f t="array" ca="1" aca="1" ref="DD210">IFERROR(IF(AD210*fxVal_normal=_PL!AD210,"",IF(OR(AD210="",NOT(ISNUMBER(AD210)),ISERROR(AD210),$B210=""),"",IF($I210=1,IFBLANK(_xldudf_CX_PUSH(AD210*fxVal_normal,CX_ENTITY,$B210,AD$11,AD$14,AD$204,),""),IF($I210=2,IFBLANK(_xldudf_CX_PUSH(AD210,CX_ENTITY,$B210,AD$11,AD$14,AD$204,),""),IF($I210=3,"",IFBLANK(_xldudf_CX_PUSH(AD210,CX_ENTITY,$B210,AD$11,AD$14,AD$204,),"")))))),"")</f>
        <v/>
      </c>
      <c r="DE210" s="2445" t="str" cm="1">
        <f t="array" ca="1" aca="1" ref="DE210">IFERROR(IF(AE210*fxVal_normal=_PL!AE210,"",IF(OR(AE210="",NOT(ISNUMBER(AE210)),ISERROR(AE210),$B210=""),"",IF($I210=1,IFBLANK(_xldudf_CX_PUSH(AE210*fxVal_normal,CX_ENTITY,$B210,AE$11,AE$14,AE$204,),""),IF($I210=2,IFBLANK(_xldudf_CX_PUSH(AE210,CX_ENTITY,$B210,AE$11,AE$14,AE$204,),""),IF($I210=3,"",IFBLANK(_xldudf_CX_PUSH(AE210,CX_ENTITY,$B210,AE$11,AE$14,AE$204,),"")))))),"")</f>
        <v/>
      </c>
      <c r="DF210" s="2445" t="str" cm="1">
        <f t="array" ca="1" aca="1" ref="DF210">IFERROR(IF(AF210*fxVal_normal=_PL!AF210,"",IF(OR(AF210="",NOT(ISNUMBER(AF210)),ISERROR(AF210),$B210=""),"",IF($I210=1,IFBLANK(_xldudf_CX_PUSH(AF210*fxVal_normal,CX_ENTITY,$B210,AF$11,AF$14,AF$204,),""),IF($I210=2,IFBLANK(_xldudf_CX_PUSH(AF210,CX_ENTITY,$B210,AF$11,AF$14,AF$204,),""),IF($I210=3,"",IFBLANK(_xldudf_CX_PUSH(AF210,CX_ENTITY,$B210,AF$11,AF$14,AF$204,),"")))))),"")</f>
        <v/>
      </c>
      <c r="DG210" s="2445" t="str" cm="1">
        <f t="array" ca="1" aca="1" ref="DG210">IFERROR(IF(AG210*fxVal_normal=_PL!AG210,"",IF(OR(AG210="",NOT(ISNUMBER(AG210)),ISERROR(AG210),$B210=""),"",IF($I210=1,IFBLANK(_xldudf_CX_PUSH(AG210*fxVal_normal,CX_ENTITY,$B210,AG$11,AG$14,AG$204,),""),IF($I210=2,IFBLANK(_xldudf_CX_PUSH(AG210,CX_ENTITY,$B210,AG$11,AG$14,AG$204,),""),IF($I210=3,"",IFBLANK(_xldudf_CX_PUSH(AG210,CX_ENTITY,$B210,AG$11,AG$14,AG$204,),"")))))),"")</f>
        <v/>
      </c>
      <c r="DH210" s="2445" t="str" cm="1">
        <f t="array" ca="1" aca="1" ref="DH210">IFERROR(IF(AH210*fxVal_normal=_PL!AH210,"",IF(OR(AH210="",NOT(ISNUMBER(AH210)),ISERROR(AH210),$B210=""),"",IF($I210=1,IFBLANK(_xldudf_CX_PUSH(AH210*fxVal_normal,CX_ENTITY,$B210,AH$11,AH$14,AH$204,),""),IF($I210=2,IFBLANK(_xldudf_CX_PUSH(AH210,CX_ENTITY,$B210,AH$11,AH$14,AH$204,),""),IF($I210=3,"",IFBLANK(_xldudf_CX_PUSH(AH210,CX_ENTITY,$B210,AH$11,AH$14,AH$204,),"")))))),"")</f>
        <v/>
      </c>
      <c r="DI210" s="2445" t="str" cm="1">
        <f t="array" ca="1" aca="1" ref="DI210">IFERROR(IF(AI210*fxVal_normal=_PL!AI210,"",IF(OR(AI210="",NOT(ISNUMBER(AI210)),ISERROR(AI210),$B210=""),"",IF($I210=1,IFBLANK(_xldudf_CX_PUSH(AI210*fxVal_normal,CX_ENTITY,$B210,AI$11,AI$14,AI$204,),""),IF($I210=2,IFBLANK(_xldudf_CX_PUSH(AI210,CX_ENTITY,$B210,AI$11,AI$14,AI$204,),""),IF($I210=3,"",IFBLANK(_xldudf_CX_PUSH(AI210,CX_ENTITY,$B210,AI$11,AI$14,AI$204,),"")))))),"")</f>
        <v/>
      </c>
      <c r="DJ210" s="2445" t="str" cm="1">
        <f t="array" ca="1" aca="1" ref="DJ210">IFERROR(IF(AJ210*fxVal_normal=_PL!AJ210,"",IF(OR(AJ210="",NOT(ISNUMBER(AJ210)),ISERROR(AJ210),$B210=""),"",IF($I210=1,IFBLANK(_xldudf_CX_PUSH(AJ210*fxVal_normal,CX_ENTITY,$B210,AJ$11,AJ$14,AJ$204,),""),IF($I210=2,IFBLANK(_xldudf_CX_PUSH(AJ210,CX_ENTITY,$B210,AJ$11,AJ$14,AJ$204,),""),IF($I210=3,"",IFBLANK(_xldudf_CX_PUSH(AJ210,CX_ENTITY,$B210,AJ$11,AJ$14,AJ$204,),"")))))),"")</f>
        <v/>
      </c>
      <c r="DK210" s="2445" t="str" cm="1">
        <f t="array" ca="1" aca="1" ref="DK210">IFERROR(IF(AK210*fxVal_normal=_PL!AK210,"",IF(OR(AK210="",NOT(ISNUMBER(AK210)),ISERROR(AK210),$B210=""),"",IF($I210=1,IFBLANK(_xldudf_CX_PUSH(AK210*fxVal_normal,CX_ENTITY,$B210,AK$11,AK$14,AK$204,),""),IF($I210=2,IFBLANK(_xldudf_CX_PUSH(AK210,CX_ENTITY,$B210,AK$11,AK$14,AK$204,),""),IF($I210=3,"",IFBLANK(_xldudf_CX_PUSH(AK210,CX_ENTITY,$B210,AK$11,AK$14,AK$204,),"")))))),"")</f>
        <v/>
      </c>
      <c r="DL210" s="2445" t="str" cm="1">
        <f t="array" ca="1" aca="1" ref="DL210">IFERROR(IF(AL210*fxVal_normal=_PL!AL210,"",IF(OR(AL210="",NOT(ISNUMBER(AL210)),ISERROR(AL210),$B210=""),"",IF($I210=1,IFBLANK(_xldudf_CX_PUSH(AL210*fxVal_normal,CX_ENTITY,$B210,AL$11,AL$14,AL$204,),""),IF($I210=2,IFBLANK(_xldudf_CX_PUSH(AL210,CX_ENTITY,$B210,AL$11,AL$14,AL$204,),""),IF($I210=3,"",IFBLANK(_xldudf_CX_PUSH(AL210,CX_ENTITY,$B210,AL$11,AL$14,AL$204,),"")))))),"")</f>
        <v/>
      </c>
      <c r="DM210" s="2445" t="str" cm="1">
        <f t="array" ca="1" aca="1" ref="DM210">IFERROR(IF(AM210*fxVal_normal=_PL!AM210,"",IF(OR(AM210="",NOT(ISNUMBER(AM210)),ISERROR(AM210),$B210=""),"",IF($I210=1,IFBLANK(_xldudf_CX_PUSH(AM210*fxVal_normal,CX_ENTITY,$B210,AM$11,AM$14,AM$204,),""),IF($I210=2,IFBLANK(_xldudf_CX_PUSH(AM210,CX_ENTITY,$B210,AM$11,AM$14,AM$204,),""),IF($I210=3,"",IFBLANK(_xldudf_CX_PUSH(AM210,CX_ENTITY,$B210,AM$11,AM$14,AM$204,),"")))))),"")</f>
        <v/>
      </c>
      <c r="DN210" s="2445" t="str" cm="1">
        <f t="array" ca="1" aca="1" ref="DN210">IFERROR(IF(AN210*fxVal_normal=_PL!AN210,"",IF(OR(AN210="",NOT(ISNUMBER(AN210)),ISERROR(AN210),$B210=""),"",IF($I210=1,IFBLANK(_xldudf_CX_PUSH(AN210*fxVal_normal,CX_ENTITY,$B210,AN$11,AN$14,AN$204,),""),IF($I210=2,IFBLANK(_xldudf_CX_PUSH(AN210,CX_ENTITY,$B210,AN$11,AN$14,AN$204,),""),IF($I210=3,"",IFBLANK(_xldudf_CX_PUSH(AN210,CX_ENTITY,$B210,AN$11,AN$14,AN$204,),"")))))),"")</f>
        <v/>
      </c>
      <c r="DO210" s="2445" t="str" cm="1">
        <f t="array" ca="1" aca="1" ref="DO210">IFERROR(IF(AO210*fxVal_normal=_PL!AO210,"",IF(OR(AO210="",NOT(ISNUMBER(AO210)),ISERROR(AO210),$B210=""),"",IF($I210=1,IFBLANK(_xldudf_CX_PUSH(AO210*fxVal_normal,CX_ENTITY,$B210,AO$11,AO$14,AO$204,),""),IF($I210=2,IFBLANK(_xldudf_CX_PUSH(AO210,CX_ENTITY,$B210,AO$11,AO$14,AO$204,),""),IF($I210=3,"",IFBLANK(_xldudf_CX_PUSH(AO210,CX_ENTITY,$B210,AO$11,AO$14,AO$204,),"")))))),"")</f>
        <v/>
      </c>
      <c r="DP210" s="2445" t="str" cm="1">
        <f t="array" ca="1" aca="1" ref="DP210">IFERROR(IF(AP210*fxVal_normal=_PL!AP210,"",IF(OR(AP210="",NOT(ISNUMBER(AP210)),ISERROR(AP210),$B210=""),"",IF($I210=1,IFBLANK(_xldudf_CX_PUSH(AP210*fxVal_normal,CX_ENTITY,$B210,AP$11,AP$14,AP$204,),""),IF($I210=2,IFBLANK(_xldudf_CX_PUSH(AP210,CX_ENTITY,$B210,AP$11,AP$14,AP$204,),""),IF($I210=3,"",IFBLANK(_xldudf_CX_PUSH(AP210,CX_ENTITY,$B210,AP$11,AP$14,AP$204,),"")))))),"")</f>
        <v/>
      </c>
      <c r="DQ210" s="2445" t="str" cm="1">
        <f t="array" ca="1" aca="1" ref="DQ210">IFERROR(IF(AQ210*fxVal_normal=_PL!AQ210,"",IF(OR(AQ210="",NOT(ISNUMBER(AQ210)),ISERROR(AQ210),$B210=""),"",IF($I210=1,IFBLANK(_xldudf_CX_PUSH(AQ210*fxVal_normal,CX_ENTITY,$B210,AQ$11,AQ$14,AQ$204,),""),IF($I210=2,IFBLANK(_xldudf_CX_PUSH(AQ210,CX_ENTITY,$B210,AQ$11,AQ$14,AQ$204,),""),IF($I210=3,"",IFBLANK(_xldudf_CX_PUSH(AQ210,CX_ENTITY,$B210,AQ$11,AQ$14,AQ$204,),"")))))),"")</f>
        <v/>
      </c>
      <c r="DR210" s="2445" t="str" cm="1">
        <f t="array" ca="1" aca="1" ref="DR210">IFERROR(IF(AR210*fxVal_normal=_PL!AR210,"",IF(OR(AR210="",NOT(ISNUMBER(AR210)),ISERROR(AR210),$B210=""),"",IF($I210=1,IFBLANK(_xldudf_CX_PUSH(AR210*fxVal_normal,CX_ENTITY,$B210,AR$11,AR$14,AR$204,),""),IF($I210=2,IFBLANK(_xldudf_CX_PUSH(AR210,CX_ENTITY,$B210,AR$11,AR$14,AR$204,),""),IF($I210=3,"",IFBLANK(_xldudf_CX_PUSH(AR210,CX_ENTITY,$B210,AR$11,AR$14,AR$204,),"")))))),"")</f>
        <v/>
      </c>
      <c r="DS210" s="2445" t="str" cm="1">
        <f t="array" ca="1" aca="1" ref="DS210">IFERROR(IF(AS210*fxVal_normal=_PL!AS210,"",IF(OR(AS210="",NOT(ISNUMBER(AS210)),ISERROR(AS210),$B210=""),"",IF($I210=1,IFBLANK(_xldudf_CX_PUSH(AS210*fxVal_normal,CX_ENTITY,$B210,AS$11,AS$14,AS$204,),""),IF($I210=2,IFBLANK(_xldudf_CX_PUSH(AS210,CX_ENTITY,$B210,AS$11,AS$14,AS$204,),""),IF($I210=3,"",IFBLANK(_xldudf_CX_PUSH(AS210,CX_ENTITY,$B210,AS$11,AS$14,AS$204,),"")))))),"")</f>
        <v/>
      </c>
      <c r="DT210" s="2445" t="str" cm="1">
        <f t="array" ca="1" aca="1" ref="DT210">IFERROR(IF(AT210*fxVal_normal=_PL!AT210,"",IF(OR(AT210="",NOT(ISNUMBER(AT210)),ISERROR(AT210),$B210=""),"",IF($I210=1,IFBLANK(_xldudf_CX_PUSH(AT210*fxVal_normal,CX_ENTITY,$B210,AT$11,AT$14,AT$204,),""),IF($I210=2,IFBLANK(_xldudf_CX_PUSH(AT210,CX_ENTITY,$B210,AT$11,AT$14,AT$204,),""),IF($I210=3,"",IFBLANK(_xldudf_CX_PUSH(AT210,CX_ENTITY,$B210,AT$11,AT$14,AT$204,),"")))))),"")</f>
        <v/>
      </c>
      <c r="DU210" s="2445" t="str" cm="1">
        <f t="array" ca="1" aca="1" ref="DU210">IFERROR(IF(AU210*fxVal_normal=_PL!AU210,"",IF(OR(AU210="",NOT(ISNUMBER(AU210)),ISERROR(AU210),$B210=""),"",IF($I210=1,IFBLANK(_xldudf_CX_PUSH(AU210*fxVal_normal,CX_ENTITY,$B210,AU$11,AU$14,AU$204,),""),IF($I210=2,IFBLANK(_xldudf_CX_PUSH(AU210,CX_ENTITY,$B210,AU$11,AU$14,AU$204,),""),IF($I210=3,"",IFBLANK(_xldudf_CX_PUSH(AU210,CX_ENTITY,$B210,AU$11,AU$14,AU$204,),"")))))),"")</f>
        <v/>
      </c>
      <c r="DV210" s="2445" t="str" cm="1">
        <f t="array" ca="1" aca="1" ref="DV210">IFERROR(IF(AV210*fxVal_normal=_PL!AV210,"",IF(OR(AV210="",NOT(ISNUMBER(AV210)),ISERROR(AV210),$B210=""),"",IF($I210=1,IFBLANK(_xldudf_CX_PUSH(AV210*fxVal_normal,CX_ENTITY,$B210,AV$11,AV$14,AV$204,),""),IF($I210=2,IFBLANK(_xldudf_CX_PUSH(AV210,CX_ENTITY,$B210,AV$11,AV$14,AV$204,),""),IF($I210=3,"",IFBLANK(_xldudf_CX_PUSH(AV210,CX_ENTITY,$B210,AV$11,AV$14,AV$204,),"")))))),"")</f>
        <v/>
      </c>
      <c r="DW210" s="2445" t="str" cm="1">
        <f t="array" ca="1" aca="1" ref="DW210">IFERROR(IF(AW210*fxVal_normal=_PL!AW210,"",IF(OR(AW210="",NOT(ISNUMBER(AW210)),ISERROR(AW210),$B210=""),"",IF($I210=1,IFBLANK(_xldudf_CX_PUSH(AW210*fxVal_normal,CX_ENTITY,$B210,AW$11,AW$14,AW$204,),""),IF($I210=2,IFBLANK(_xldudf_CX_PUSH(AW210,CX_ENTITY,$B210,AW$11,AW$14,AW$204,),""),IF($I210=3,"",IFBLANK(_xldudf_CX_PUSH(AW210,CX_ENTITY,$B210,AW$11,AW$14,AW$204,),"")))))),"")</f>
        <v/>
      </c>
      <c r="DX210" s="2445" t="str" cm="1">
        <f t="array" ca="1" aca="1" ref="DX210">IFERROR(IF(AX210*fxVal_normal=_PL!AX210,"",IF(OR(AX210="",NOT(ISNUMBER(AX210)),ISERROR(AX210),$B210=""),"",IF($I210=1,IFBLANK(_xldudf_CX_PUSH(AX210*fxVal_normal,CX_ENTITY,$B210,AX$11,AX$14,AX$204,),""),IF($I210=2,IFBLANK(_xldudf_CX_PUSH(AX210,CX_ENTITY,$B210,AX$11,AX$14,AX$204,),""),IF($I210=3,"",IFBLANK(_xldudf_CX_PUSH(AX210,CX_ENTITY,$B210,AX$11,AX$14,AX$204,),"")))))),"")</f>
        <v/>
      </c>
      <c r="DY210" s="2445" t="str" cm="1">
        <f t="array" ca="1" aca="1" ref="DY210">IFERROR(IF(AY210*fxVal_normal=_PL!AY210,"",IF(OR(AY210="",NOT(ISNUMBER(AY210)),ISERROR(AY210),$B210=""),"",IF($I210=1,IFBLANK(_xldudf_CX_PUSH(AY210*fxVal_normal,CX_ENTITY,$B210,AY$11,AY$14,AY$204,),""),IF($I210=2,IFBLANK(_xldudf_CX_PUSH(AY210,CX_ENTITY,$B210,AY$11,AY$14,AY$204,),""),IF($I210=3,"",IFBLANK(_xldudf_CX_PUSH(AY210,CX_ENTITY,$B210,AY$11,AY$14,AY$204,),"")))))),"")</f>
        <v/>
      </c>
      <c r="DZ210" s="2445" t="str" cm="1">
        <f t="array" ca="1" aca="1" ref="DZ210">IFERROR(IF(AZ210*fxVal_normal=_PL!AZ210,"",IF(OR(AZ210="",NOT(ISNUMBER(AZ210)),ISERROR(AZ210),$B210=""),"",IF($I210=1,IFBLANK(_xldudf_CX_PUSH(AZ210*fxVal_normal,CX_ENTITY,$B210,AZ$11,AZ$14,AZ$204,),""),IF($I210=2,IFBLANK(_xldudf_CX_PUSH(AZ210,CX_ENTITY,$B210,AZ$11,AZ$14,AZ$204,),""),IF($I210=3,"",IFBLANK(_xldudf_CX_PUSH(AZ210,CX_ENTITY,$B210,AZ$11,AZ$14,AZ$204,),"")))))),"")</f>
        <v/>
      </c>
      <c r="EA210" s="2445" t="str" cm="1">
        <f t="array" ca="1" aca="1" ref="EA210">IFERROR(IF(BA210*fxVal_normal=_PL!BA210,"",IF(OR(BA210="",NOT(ISNUMBER(BA210)),ISERROR(BA210),$B210=""),"",IF($I210=1,IFBLANK(_xldudf_CX_PUSH(BA210*fxVal_normal,CX_ENTITY,$B210,BA$11,BA$14,BA$204,),""),IF($I210=2,IFBLANK(_xldudf_CX_PUSH(BA210,CX_ENTITY,$B210,BA$11,BA$14,BA$204,),""),IF($I210=3,"",IFBLANK(_xldudf_CX_PUSH(BA210,CX_ENTITY,$B210,BA$11,BA$14,BA$204,),"")))))),"")</f>
        <v/>
      </c>
      <c r="EB210" s="2445" t="str" cm="1">
        <f t="array" ca="1" aca="1" ref="EB210">IFERROR(IF(BB210*fxVal_normal=_PL!BB210,"",IF(OR(BB210="",NOT(ISNUMBER(BB210)),ISERROR(BB210),$B210=""),"",IF($I210=1,IFBLANK(_xldudf_CX_PUSH(BB210*fxVal_normal,CX_ENTITY,$B210,BB$11,BB$14,BB$204,),""),IF($I210=2,IFBLANK(_xldudf_CX_PUSH(BB210,CX_ENTITY,$B210,BB$11,BB$14,BB$204,),""),IF($I210=3,"",IFBLANK(_xldudf_CX_PUSH(BB210,CX_ENTITY,$B210,BB$11,BB$14,BB$204,),"")))))),"")</f>
        <v/>
      </c>
      <c r="EC210" s="2445" t="str" cm="1">
        <f t="array" ca="1" aca="1" ref="EC210">IFERROR(IF(BC210*fxVal_normal=_PL!BC210,"",IF(OR(BC210="",NOT(ISNUMBER(BC210)),ISERROR(BC210),$B210=""),"",IF($I210=1,IFBLANK(_xldudf_CX_PUSH(BC210*fxVal_normal,CX_ENTITY,$B210,BC$11,BC$14,BC$204,),""),IF($I210=2,IFBLANK(_xldudf_CX_PUSH(BC210,CX_ENTITY,$B210,BC$11,BC$14,BC$204,),""),IF($I210=3,"",IFBLANK(_xldudf_CX_PUSH(BC210,CX_ENTITY,$B210,BC$11,BC$14,BC$204,),"")))))),"")</f>
        <v/>
      </c>
      <c r="ED210" s="2445" t="str" cm="1">
        <f t="array" ca="1" aca="1" ref="ED210">IFERROR(IF(BD210*fxVal_normal=_PL!BD210,"",IF(OR(BD210="",NOT(ISNUMBER(BD210)),ISERROR(BD210),$B210=""),"",IF($I210=1,IFBLANK(_xldudf_CX_PUSH(BD210*fxVal_normal,CX_ENTITY,$B210,BD$11,BD$14,BD$204,),""),IF($I210=2,IFBLANK(_xldudf_CX_PUSH(BD210,CX_ENTITY,$B210,BD$11,BD$14,BD$204,),""),IF($I210=3,"",IFBLANK(_xldudf_CX_PUSH(BD210,CX_ENTITY,$B210,BD$11,BD$14,BD$204,),"")))))),"")</f>
        <v/>
      </c>
      <c r="EE210" s="2445" t="str" cm="1">
        <f t="array" ca="1" aca="1" ref="EE210">IFERROR(IF(BE210*fxVal_normal=_PL!BE210,"",IF(OR(BE210="",NOT(ISNUMBER(BE210)),ISERROR(BE210),$B210=""),"",IF($I210=1,IFBLANK(_xldudf_CX_PUSH(BE210*fxVal_normal,CX_ENTITY,$B210,BE$11,BE$14,BE$204,),""),IF($I210=2,IFBLANK(_xldudf_CX_PUSH(BE210,CX_ENTITY,$B210,BE$11,BE$14,BE$204,),""),IF($I210=3,"",IFBLANK(_xldudf_CX_PUSH(BE210,CX_ENTITY,$B210,BE$11,BE$14,BE$204,),"")))))),"")</f>
        <v/>
      </c>
      <c r="EF210" s="2445" t="str" cm="1">
        <f t="array" ca="1" aca="1" ref="EF210">IFERROR(IF(BF210*fxVal_normal=_PL!BF210,"",IF(OR(BF210="",NOT(ISNUMBER(BF210)),ISERROR(BF210),$B210=""),"",IF($I210=1,IFBLANK(_xldudf_CX_PUSH(BF210*fxVal_normal,CX_ENTITY,$B210,BF$11,BF$14,BF$204,),""),IF($I210=2,IFBLANK(_xldudf_CX_PUSH(BF210,CX_ENTITY,$B210,BF$11,BF$14,BF$204,),""),IF($I210=3,"",IFBLANK(_xldudf_CX_PUSH(BF210,CX_ENTITY,$B210,BF$11,BF$14,BF$204,),"")))))),"")</f>
        <v/>
      </c>
      <c r="EG210" s="2445" t="str" cm="1">
        <f t="array" ca="1" aca="1" ref="EG210">IFERROR(IF(BG210*fxVal_normal=_PL!BG210,"",IF(OR(BG210="",NOT(ISNUMBER(BG210)),ISERROR(BG210),$B210=""),"",IF($I210=1,IFBLANK(_xldudf_CX_PUSH(BG210*fxVal_normal,CX_ENTITY,$B210,BG$11,BG$14,BG$204,),""),IF($I210=2,IFBLANK(_xldudf_CX_PUSH(BG210,CX_ENTITY,$B210,BG$11,BG$14,BG$204,),""),IF($I210=3,"",IFBLANK(_xldudf_CX_PUSH(BG210,CX_ENTITY,$B210,BG$11,BG$14,BG$204,),"")))))),"")</f>
        <v/>
      </c>
      <c r="EH210" s="2445" t="str" cm="1">
        <f t="array" ca="1" aca="1" ref="EH210">IFERROR(IF(BH210*fxVal_normal=_PL!BH210,"",IF(OR(BH210="",NOT(ISNUMBER(BH210)),ISERROR(BH210),$B210=""),"",IF($I210=1,IFBLANK(_xldudf_CX_PUSH(BH210*fxVal_normal,CX_ENTITY,$B210,BH$11,BH$14,BH$204,),""),IF($I210=2,IFBLANK(_xldudf_CX_PUSH(BH210,CX_ENTITY,$B210,BH$11,BH$14,BH$204,),""),IF($I210=3,"",IFBLANK(_xldudf_CX_PUSH(BH210,CX_ENTITY,$B210,BH$11,BH$14,BH$204,),"")))))),"")</f>
        <v/>
      </c>
      <c r="EI210" s="2445" t="str" cm="1">
        <f t="array" ca="1" aca="1" ref="EI210">IFERROR(IF(BI210*fxVal_normal=_PL!BI210,"",IF(OR(BI210="",NOT(ISNUMBER(BI210)),ISERROR(BI210),$B210=""),"",IF($I210=1,IFBLANK(_xldudf_CX_PUSH(BI210*fxVal_normal,CX_ENTITY,$B210,BI$11,BI$14,BI$204,),""),IF($I210=2,IFBLANK(_xldudf_CX_PUSH(BI210,CX_ENTITY,$B210,BI$11,BI$14,BI$204,),""),IF($I210=3,"",IFBLANK(_xldudf_CX_PUSH(BI210,CX_ENTITY,$B210,BI$11,BI$14,BI$204,),"")))))),"")</f>
        <v/>
      </c>
      <c r="EJ210" s="2445" t="str" cm="1">
        <f t="array" ca="1" aca="1" ref="EJ210">IFERROR(IF(BJ210*fxVal_normal=_PL!BJ210,"",IF(OR(BJ210="",NOT(ISNUMBER(BJ210)),ISERROR(BJ210),$B210=""),"",IF($I210=1,IFBLANK(_xldudf_CX_PUSH(BJ210*fxVal_normal,CX_ENTITY,$B210,BJ$11,BJ$14,BJ$204,),""),IF($I210=2,IFBLANK(_xldudf_CX_PUSH(BJ210,CX_ENTITY,$B210,BJ$11,BJ$14,BJ$204,),""),IF($I210=3,"",IFBLANK(_xldudf_CX_PUSH(BJ210,CX_ENTITY,$B210,BJ$11,BJ$14,BJ$204,),"")))))),"")</f>
        <v/>
      </c>
      <c r="EK210" s="2445" t="str" cm="1">
        <f t="array" ca="1" aca="1" ref="EK210">IFERROR(IF(BK210*fxVal_normal=_PL!BK210,"",IF(OR(BK210="",NOT(ISNUMBER(BK210)),ISERROR(BK210),$B210=""),"",IF($I210=1,IFBLANK(_xldudf_CX_PUSH(BK210*fxVal_normal,CX_ENTITY,$B210,BK$11,BK$14,BK$204,),""),IF($I210=2,IFBLANK(_xldudf_CX_PUSH(BK210,CX_ENTITY,$B210,BK$11,BK$14,BK$204,),""),IF($I210=3,"",IFBLANK(_xldudf_CX_PUSH(BK210,CX_ENTITY,$B210,BK$11,BK$14,BK$204,),"")))))),"")</f>
        <v/>
      </c>
      <c r="EL210" s="2445" t="str" cm="1">
        <f t="array" ca="1" aca="1" ref="EL210">IFERROR(IF(BL210*fxVal_normal=_PL!BL210,"",IF(OR(BL210="",NOT(ISNUMBER(BL210)),ISERROR(BL210),$B210=""),"",IF($I210=1,IFBLANK(_xldudf_CX_PUSH(BL210*fxVal_normal,CX_ENTITY,$B210,BL$11,BL$14,BL$204,),""),IF($I210=2,IFBLANK(_xldudf_CX_PUSH(BL210,CX_ENTITY,$B210,BL$11,BL$14,BL$204,),""),IF($I210=3,"",IFBLANK(_xldudf_CX_PUSH(BL210,CX_ENTITY,$B210,BL$11,BL$14,BL$204,),"")))))),"")</f>
        <v/>
      </c>
      <c r="EM210" s="2445" t="str" cm="1">
        <f t="array" ca="1" aca="1" ref="EM210">IFERROR(IF(BM210*fxVal_normal=_PL!BM210,"",IF(OR(BM210="",NOT(ISNUMBER(BM210)),ISERROR(BM210),$B210=""),"",IF($I210=1,IFBLANK(_xldudf_CX_PUSH(BM210*fxVal_normal,CX_ENTITY,$B210,BM$11,BM$14,BM$204,),""),IF($I210=2,IFBLANK(_xldudf_CX_PUSH(BM210,CX_ENTITY,$B210,BM$11,BM$14,BM$204,),""),IF($I210=3,"",IFBLANK(_xldudf_CX_PUSH(BM210,CX_ENTITY,$B210,BM$11,BM$14,BM$204,),"")))))),"")</f>
        <v/>
      </c>
      <c r="EN210" s="2445" t="str" cm="1">
        <f t="array" ca="1" aca="1" ref="EN210">IFERROR(IF(BN210*fxVal_normal=_PL!BN210,"",IF(OR(BN210="",NOT(ISNUMBER(BN210)),ISERROR(BN210),$B210=""),"",IF($I210=1,IFBLANK(_xldudf_CX_PUSH(BN210*fxVal_normal,CX_ENTITY,$B210,BN$11,BN$14,BN$204,),""),IF($I210=2,IFBLANK(_xldudf_CX_PUSH(BN210,CX_ENTITY,$B210,BN$11,BN$14,BN$204,),""),IF($I210=3,"",IFBLANK(_xldudf_CX_PUSH(BN210,CX_ENTITY,$B210,BN$11,BN$14,BN$204,),"")))))),"")</f>
        <v/>
      </c>
    </row>
    <row r="211" spans="1:144" ht="21" customHeight="1">
      <c r="A211" s="1627"/>
      <c r="B211" s="2439" t="s">
        <v>176</v>
      </c>
      <c r="C211" s="3459" t="str" cm="1">
        <f t="array" ref="C211">IFBLANK(_PL!C211,"")</f>
        <v>Segment II Breakdown - Label 6</v>
      </c>
      <c r="D211" s="1548" t="s">
        <v>176</v>
      </c>
      <c r="E211" s="2440" t="e" cm="1">
        <f t="array" ca="1" aca="1" ref="E21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211:$CQ211,Z211)</f>
        <v>#NAME?</v>
      </c>
      <c r="F211" s="578"/>
      <c r="G211" s="578"/>
      <c r="H211" s="585">
        <v>0</v>
      </c>
      <c r="I211" s="3309">
        <v>1</v>
      </c>
      <c r="J211" s="401" cm="1">
        <f t="array" ref="J211">IFBLANK(Z211,"")</f>
        <v>-1</v>
      </c>
      <c r="K211" s="578" t="str">
        <f t="shared" si="54"/>
        <v>No</v>
      </c>
      <c r="L211" s="37"/>
      <c r="N211" s="158"/>
      <c r="O211" s="101"/>
      <c r="P211" s="52"/>
      <c r="Q211" s="101"/>
      <c r="R211" s="101"/>
      <c r="S211" s="3008"/>
      <c r="T211" s="3008"/>
      <c r="U211" s="39"/>
      <c r="V211" s="37"/>
      <c r="W211" s="2593" t="e">
        <f ca="1">W205</f>
        <v>#NAME?</v>
      </c>
      <c r="X211" s="2081" t="str">
        <f>_PL!X211</f>
        <v>a</v>
      </c>
      <c r="Y211" s="3224">
        <v>2</v>
      </c>
      <c r="Z211" s="198">
        <f>_PL!Z211</f>
        <v>-1</v>
      </c>
      <c r="AA211" s="2571"/>
      <c r="AB211" s="2592"/>
      <c r="AC211" s="914" t="str" cm="1">
        <f t="array" ca="1" aca="1" ref="AC211">_xlfn.LET(_xlpm._termname,$AB211,_xlpm._iconname,"find",_xlpm._icon,fx_getIcon(_xlpm._iconname),_xlpm._location,_xlfn.XLOOKUP(LOWER(_xlpm._termname),LOWER(tbl_acctDef[Term]),tbl_acctDef[Term]),_xlpm._hyperlink,HYPERLINK("#"&amp;CELL("address",_xlpm._location),_xlpm._icon),IFERROR(_xlpm._hyperlink,""))</f>
        <v/>
      </c>
      <c r="AD211" s="3177">
        <v>1</v>
      </c>
      <c r="AE211" s="3177">
        <v>1</v>
      </c>
      <c r="AF211" s="3177">
        <v>1</v>
      </c>
      <c r="AG211" s="3177">
        <v>1</v>
      </c>
      <c r="AH211" s="3177">
        <v>1</v>
      </c>
      <c r="AI211" s="3177">
        <v>1</v>
      </c>
      <c r="AJ211" s="3177">
        <v>1</v>
      </c>
      <c r="AK211" s="3177">
        <v>1</v>
      </c>
      <c r="AL211" s="3177">
        <v>1</v>
      </c>
      <c r="AM211" s="3177">
        <v>1</v>
      </c>
      <c r="AN211" s="3177">
        <v>1</v>
      </c>
      <c r="AO211" s="3177">
        <v>1</v>
      </c>
      <c r="AP211" s="3177">
        <v>1</v>
      </c>
      <c r="AQ211" s="3177">
        <v>1</v>
      </c>
      <c r="AR211" s="3177">
        <v>1</v>
      </c>
      <c r="AS211" s="3177">
        <v>1</v>
      </c>
      <c r="AT211" s="3177">
        <v>1</v>
      </c>
      <c r="AU211" s="3177">
        <v>1</v>
      </c>
      <c r="AV211" s="3177">
        <v>1</v>
      </c>
      <c r="AW211" s="3177">
        <v>1</v>
      </c>
      <c r="AX211" s="3177">
        <v>1</v>
      </c>
      <c r="AY211" s="3177">
        <v>1</v>
      </c>
      <c r="AZ211" s="3177">
        <v>1</v>
      </c>
      <c r="BA211" s="3177">
        <v>1</v>
      </c>
      <c r="BB211" s="3177">
        <v>1</v>
      </c>
      <c r="BC211" s="3177">
        <v>1</v>
      </c>
      <c r="BD211" s="3177">
        <v>1</v>
      </c>
      <c r="BE211" s="3177">
        <v>1</v>
      </c>
      <c r="BF211" s="3177">
        <v>1</v>
      </c>
      <c r="BG211" s="3177">
        <v>1</v>
      </c>
      <c r="BH211" s="3177">
        <v>1</v>
      </c>
      <c r="BI211" s="3177">
        <v>1</v>
      </c>
      <c r="BJ211" s="3177">
        <v>1</v>
      </c>
      <c r="BK211" s="3177">
        <v>1</v>
      </c>
      <c r="BL211" s="3177">
        <v>1</v>
      </c>
      <c r="BM211" s="3177">
        <v>1</v>
      </c>
      <c r="BN211" s="3177">
        <v>1</v>
      </c>
      <c r="BO211" s="2442"/>
      <c r="BP211" s="2442"/>
      <c r="BQ211" s="2442"/>
      <c r="BR211" s="2442"/>
      <c r="BS211" s="2442"/>
      <c r="BT211" s="2442"/>
      <c r="BU211" s="2442"/>
      <c r="BV211" s="2442"/>
      <c r="BW211" s="2442"/>
      <c r="BX211" s="2442"/>
      <c r="BY211" s="2442"/>
      <c r="BZ211" s="2442"/>
      <c r="CA211" s="34"/>
      <c r="CC211" s="2572"/>
      <c r="CD211" s="1461" t="e" cm="1">
        <f t="array" ca="1" aca="1" ref="CD211">_xlfn.LET(_xlpm.CheckBlank,SUM(PL!$AD211:$BN211)=0,IF(_xlpm.CheckBlank,"",SUM(_xlfn._xlws.FILTER(PL!$AD211:$BN211,(YEAR(PL!$AD$12:$BN$12)=PL!CD$12)*(array_timeline&lt;=PL!CD$11)))))</f>
        <v>#NAME?</v>
      </c>
      <c r="CE211" s="1461" t="e" cm="1">
        <f t="array" ca="1" aca="1" ref="CE211">_xlfn.LET(_xlpm.CheckBlank,SUM(PL!$AD211:$BN211)=0,IF(_xlpm.CheckBlank,"",SUM(_xlfn._xlws.FILTER(PL!$AD211:$BN211,(YEAR(PL!$AD$12:$BN$12)=PL!CE$12)*(array_timeline&lt;=PL!CE$11)))))</f>
        <v>#NAME?</v>
      </c>
      <c r="CF211" s="88"/>
      <c r="CG211" s="1461" t="e" cm="1">
        <f t="array" ca="1" aca="1" ref="CG211">_xlfn.LET(_xlpm.CheckBlank,SUM(PL!$AD211:$BN211)=0,IF(_xlpm.CheckBlank,"",SUM(_xlfn._xlws.FILTER(PL!$AD211:$BN211,(YEAR(PL!$AD$12:$BN$12)=PL!CG$12)*(array_timeline&lt;=PL!CG$11)))))</f>
        <v>#NAME?</v>
      </c>
      <c r="CH211" s="1461" t="e" cm="1">
        <f t="array" ca="1" aca="1" ref="CH211">_xlfn.LET(_xlpm.CheckBlank,SUM(PL!$AD211:$BN211)=0,IF(_xlpm.CheckBlank,"",SUM(_xlfn._xlws.FILTER(PL!$AD211:$BN211,(YEAR(PL!$AD$12:$BN$12)=PL!CH$12)*(array_timeline&lt;=PL!CH$11)))))</f>
        <v>#NAME?</v>
      </c>
      <c r="CI211" s="88"/>
      <c r="CJ211" s="1461" cm="1">
        <f t="array" ref="CJ211">_xlfn.LET(_xlpm.CheckBlank,SUM(PL!$AD211:$BN211)=0,IF(_xlpm.CheckBlank,"",SUM(_xlfn.TAKE(_xlfn.DROP(PL!$AD211:$BN211,,-DATEDIFF(PL!CJ$11,val_asOfDate,"M")),1,-12))))</f>
        <v>12</v>
      </c>
      <c r="CK211" s="1461" cm="1">
        <f t="array" ref="CK211">_xlfn.LET(_xlpm.CheckBlank,SUM(PL!$AD211:$BN211)=0,IF(_xlpm.CheckBlank,"",SUM(_xlfn.TAKE(_xlfn.DROP(PL!$AD211:$BN211,,-DATEDIFF(PL!CK$11,val_asOfDate,"M")),1,-12))))</f>
        <v>12</v>
      </c>
      <c r="CL211" s="88"/>
      <c r="CM211" s="3177">
        <v>1</v>
      </c>
      <c r="CN211" s="3177">
        <v>1</v>
      </c>
      <c r="CO211" s="1169"/>
      <c r="CP211" s="3177">
        <v>1</v>
      </c>
      <c r="CQ211" s="3177">
        <v>1</v>
      </c>
      <c r="CR211" s="34"/>
      <c r="CS211" s="2056"/>
      <c r="CT211" s="2447" t="e" cm="1">
        <f t="array" ca="1" aca="1" ref="CT211">IF(OR($Y211="Segment II Breakdown - Amount 1",$Y211="Segment II Breakdown - Amount 2",$Y211="Segment II Breakdown - Amount 3",$Y211="Segment II Breakdown - Amount 4",$Y211="Segment II Breakdown - Amount 5",$Y211="Segment II Breakdown - Amount 6",$Y211="Please select the metric for segmentation"),"",_xldudf_CX_PUSH($Y211,CX_ENTITY,$C211,val_asOfDate))</f>
        <v>#NAME?</v>
      </c>
      <c r="CU211" s="2447" t="e" cm="1">
        <f t="array" ca="1" aca="1" ref="CU211">IF(OR($Y211="Segment II Breakdown - Amount 1",$Y211="Segment II Breakdown - Amount 2",$Y211="Segment II Breakdown - Amount 3",$Y211="Segment II Breakdown - Amount 4",$Y211="Segment II Breakdown - Amount 5",$Y211="Segment II Breakdown - Amount 6",$Y211="Please select the metric for segmentation"),"",_xldudf_CX_PUSH($Y211,CX_ENTITY,$C211,EOMONTH(val_asOfDate,1)))</f>
        <v>#NAME?</v>
      </c>
      <c r="CV211" s="2447" t="e" cm="1">
        <f t="array" ca="1" aca="1" ref="CV211">IF(OR($Y211="Segment II Breakdown - Amount 1",$Y211="Segment II Breakdown - Amount 2",$Y211="Segment II Breakdown - Amount 3",$Y211="Segment II Breakdown - Amount 4",$Y211="Segment II Breakdown - Amount 5",$Y211="Segment II Breakdown - Amount 6",$Y211="Please select the metric for segmentation"),"",_xldudf_CX_PUSH($Y211,CX_ENTITY,$C211,EOMONTH(val_asOfDate,2)))</f>
        <v>#NAME?</v>
      </c>
      <c r="CW211" s="2447" t="e" cm="1">
        <f t="array" ca="1" aca="1" ref="CW211">IF(OR($Y211="Segment II Breakdown - Amount 1",$Y211="Segment II Breakdown - Amount 2",$Y211="Segment II Breakdown - Amount 3",$Y211="Segment II Breakdown - Amount 4",$Y211="Segment II Breakdown - Amount 5",$Y211="Segment II Breakdown - Amount 6",$Y211="Please select the metric for segmentation"),"",_xldudf_CX_PUSH($Y211,CX_ENTITY,$C211,EOMONTH(val_asOfDate,3)))</f>
        <v>#NAME?</v>
      </c>
      <c r="CX211" s="2443"/>
      <c r="CY211" s="2444" t="str" cm="1">
        <f t="array" ca="1" aca="1" ref="CY211">IFERROR(IF(CM211*fxVal_normal=_PL!CM211,"",IF(OR($CM211="",$CM211=0,NOT(ISNUMBER($CM211)),ISERROR($CM211),$B211=""),"",IF($I211=1,IFBLANK(_xldudf_CX_PUSH($CM211*fxVal_normal,CX_ENTITY,$B211,$CM$11,$CM$14,$CM$19,),""),IF($I211=2,IFBLANK(_xldudf_CX_PUSH($CM211,CX_ENTITY,$B211,$CM$11,$CM$14,$CM$19,),""),IF($I211=3,"",IFBLANK(_xldudf_CX_PUSH($CM211,CX_ENTITY,$B211,$CM$11,$CM$14,$CM$19,),"")))))),"")</f>
        <v/>
      </c>
      <c r="CZ211" s="2444" t="str" cm="1">
        <f t="array" ca="1" aca="1" ref="CZ211">IFERROR(IF(CN211*fxVal_normal=_PL!CN211,"",IF(OR($CN211="",$CN211=0,NOT(ISNUMBER($CN211)),ISERROR($CN211),$B211=""),"",IF($I211=1,IFBLANK(_xldudf_CX_PUSH($CN211*fxVal_normal,CX_ENTITY,$B211,$CN$11,$CN$14,$CN$19,),""),IF($I211=2,IFBLANK(_xldudf_CX_PUSH($CN211,CX_ENTITY,$B211,$CN$11,$CN$14,$CN$19,),""),IF($I211=3,"",IFBLANK(_xldudf_CX_PUSH($CN211,CX_ENTITY,$B211,$CN$11,$CN$14,$CN$19,),"")))))),"")</f>
        <v/>
      </c>
      <c r="DA211" s="2444" t="str" cm="1">
        <f t="array" ca="1" aca="1" ref="DA211">IFERROR(IF(CP211*fxVal_normal=_PL!CP211,"",IF(OR($CP211="",$CP211=0,NOT(ISNUMBER($CP211)),ISERROR($CP211),$B211=""),"",IF($I211=1,IFBLANK(_xldudf_CX_PUSH($CP211*fxVal_normal,CX_ENTITY,$B211,$CP$11,$CP$14,$CP$19,),""),IF($I211=2,IFBLANK(_xldudf_CX_PUSH($CP211,CX_ENTITY,$B211,$CP$11,$CP$14,$CP$19,),""),IF($I211=3,"",IFBLANK(_xldudf_CX_PUSH($CP211,CX_ENTITY,$B211,$CP$11,$CP$14,$CP$19,),"")))))),"")</f>
        <v/>
      </c>
      <c r="DB211" s="2444" t="str" cm="1">
        <f t="array" ca="1" aca="1" ref="DB211">IFERROR(IF(CQ211*fxVal_normal=_PL!CQ211,"",IF(OR($CQ211="",$CQ211=0,NOT(ISNUMBER($CQ211)),ISERROR($CQ211),$B211=""),"",IF($I211=1,IFBLANK(_xldudf_CX_PUSH($CQ211*fxVal_normal,CX_ENTITY,$B211,$CQ$11,$CQ$14,$CQ$19,),""),IF($I211=2,IFBLANK(_xldudf_CX_PUSH($CQ211,CX_ENTITY,$B211,$CQ$11,$CQ$14,$CQ$19,),""),IF($I211=3,"",IFBLANK(_xldudf_CX_PUSH($CQ211,CX_ENTITY,$B211,$CQ$11,$CQ$14,$CQ$19,),"")))))),"")</f>
        <v/>
      </c>
      <c r="DC211" s="2443"/>
      <c r="DD211" s="2445" t="str" cm="1">
        <f t="array" ca="1" aca="1" ref="DD211">IFERROR(IF(AD211*fxVal_normal=_PL!AD211,"",IF(OR(AD211="",NOT(ISNUMBER(AD211)),ISERROR(AD211),$B211=""),"",IF($I211=1,IFBLANK(_xldudf_CX_PUSH(AD211*fxVal_normal,CX_ENTITY,$B211,AD$11,AD$14,AD$204,),""),IF($I211=2,IFBLANK(_xldudf_CX_PUSH(AD211,CX_ENTITY,$B211,AD$11,AD$14,AD$204,),""),IF($I211=3,"",IFBLANK(_xldudf_CX_PUSH(AD211,CX_ENTITY,$B211,AD$11,AD$14,AD$204,),"")))))),"")</f>
        <v/>
      </c>
      <c r="DE211" s="2445" t="str" cm="1">
        <f t="array" ca="1" aca="1" ref="DE211">IFERROR(IF(AE211*fxVal_normal=_PL!AE211,"",IF(OR(AE211="",NOT(ISNUMBER(AE211)),ISERROR(AE211),$B211=""),"",IF($I211=1,IFBLANK(_xldudf_CX_PUSH(AE211*fxVal_normal,CX_ENTITY,$B211,AE$11,AE$14,AE$204,),""),IF($I211=2,IFBLANK(_xldudf_CX_PUSH(AE211,CX_ENTITY,$B211,AE$11,AE$14,AE$204,),""),IF($I211=3,"",IFBLANK(_xldudf_CX_PUSH(AE211,CX_ENTITY,$B211,AE$11,AE$14,AE$204,),"")))))),"")</f>
        <v/>
      </c>
      <c r="DF211" s="2445" t="str" cm="1">
        <f t="array" ca="1" aca="1" ref="DF211">IFERROR(IF(AF211*fxVal_normal=_PL!AF211,"",IF(OR(AF211="",NOT(ISNUMBER(AF211)),ISERROR(AF211),$B211=""),"",IF($I211=1,IFBLANK(_xldudf_CX_PUSH(AF211*fxVal_normal,CX_ENTITY,$B211,AF$11,AF$14,AF$204,),""),IF($I211=2,IFBLANK(_xldudf_CX_PUSH(AF211,CX_ENTITY,$B211,AF$11,AF$14,AF$204,),""),IF($I211=3,"",IFBLANK(_xldudf_CX_PUSH(AF211,CX_ENTITY,$B211,AF$11,AF$14,AF$204,),"")))))),"")</f>
        <v/>
      </c>
      <c r="DG211" s="2445" t="str" cm="1">
        <f t="array" ca="1" aca="1" ref="DG211">IFERROR(IF(AG211*fxVal_normal=_PL!AG211,"",IF(OR(AG211="",NOT(ISNUMBER(AG211)),ISERROR(AG211),$B211=""),"",IF($I211=1,IFBLANK(_xldudf_CX_PUSH(AG211*fxVal_normal,CX_ENTITY,$B211,AG$11,AG$14,AG$204,),""),IF($I211=2,IFBLANK(_xldudf_CX_PUSH(AG211,CX_ENTITY,$B211,AG$11,AG$14,AG$204,),""),IF($I211=3,"",IFBLANK(_xldudf_CX_PUSH(AG211,CX_ENTITY,$B211,AG$11,AG$14,AG$204,),"")))))),"")</f>
        <v/>
      </c>
      <c r="DH211" s="2445" t="str" cm="1">
        <f t="array" ca="1" aca="1" ref="DH211">IFERROR(IF(AH211*fxVal_normal=_PL!AH211,"",IF(OR(AH211="",NOT(ISNUMBER(AH211)),ISERROR(AH211),$B211=""),"",IF($I211=1,IFBLANK(_xldudf_CX_PUSH(AH211*fxVal_normal,CX_ENTITY,$B211,AH$11,AH$14,AH$204,),""),IF($I211=2,IFBLANK(_xldudf_CX_PUSH(AH211,CX_ENTITY,$B211,AH$11,AH$14,AH$204,),""),IF($I211=3,"",IFBLANK(_xldudf_CX_PUSH(AH211,CX_ENTITY,$B211,AH$11,AH$14,AH$204,),"")))))),"")</f>
        <v/>
      </c>
      <c r="DI211" s="2445" t="str" cm="1">
        <f t="array" ca="1" aca="1" ref="DI211">IFERROR(IF(AI211*fxVal_normal=_PL!AI211,"",IF(OR(AI211="",NOT(ISNUMBER(AI211)),ISERROR(AI211),$B211=""),"",IF($I211=1,IFBLANK(_xldudf_CX_PUSH(AI211*fxVal_normal,CX_ENTITY,$B211,AI$11,AI$14,AI$204,),""),IF($I211=2,IFBLANK(_xldudf_CX_PUSH(AI211,CX_ENTITY,$B211,AI$11,AI$14,AI$204,),""),IF($I211=3,"",IFBLANK(_xldudf_CX_PUSH(AI211,CX_ENTITY,$B211,AI$11,AI$14,AI$204,),"")))))),"")</f>
        <v/>
      </c>
      <c r="DJ211" s="2445" t="str" cm="1">
        <f t="array" ca="1" aca="1" ref="DJ211">IFERROR(IF(AJ211*fxVal_normal=_PL!AJ211,"",IF(OR(AJ211="",NOT(ISNUMBER(AJ211)),ISERROR(AJ211),$B211=""),"",IF($I211=1,IFBLANK(_xldudf_CX_PUSH(AJ211*fxVal_normal,CX_ENTITY,$B211,AJ$11,AJ$14,AJ$204,),""),IF($I211=2,IFBLANK(_xldudf_CX_PUSH(AJ211,CX_ENTITY,$B211,AJ$11,AJ$14,AJ$204,),""),IF($I211=3,"",IFBLANK(_xldudf_CX_PUSH(AJ211,CX_ENTITY,$B211,AJ$11,AJ$14,AJ$204,),"")))))),"")</f>
        <v/>
      </c>
      <c r="DK211" s="2445" t="str" cm="1">
        <f t="array" ca="1" aca="1" ref="DK211">IFERROR(IF(AK211*fxVal_normal=_PL!AK211,"",IF(OR(AK211="",NOT(ISNUMBER(AK211)),ISERROR(AK211),$B211=""),"",IF($I211=1,IFBLANK(_xldudf_CX_PUSH(AK211*fxVal_normal,CX_ENTITY,$B211,AK$11,AK$14,AK$204,),""),IF($I211=2,IFBLANK(_xldudf_CX_PUSH(AK211,CX_ENTITY,$B211,AK$11,AK$14,AK$204,),""),IF($I211=3,"",IFBLANK(_xldudf_CX_PUSH(AK211,CX_ENTITY,$B211,AK$11,AK$14,AK$204,),"")))))),"")</f>
        <v/>
      </c>
      <c r="DL211" s="2445" t="str" cm="1">
        <f t="array" ca="1" aca="1" ref="DL211">IFERROR(IF(AL211*fxVal_normal=_PL!AL211,"",IF(OR(AL211="",NOT(ISNUMBER(AL211)),ISERROR(AL211),$B211=""),"",IF($I211=1,IFBLANK(_xldudf_CX_PUSH(AL211*fxVal_normal,CX_ENTITY,$B211,AL$11,AL$14,AL$204,),""),IF($I211=2,IFBLANK(_xldudf_CX_PUSH(AL211,CX_ENTITY,$B211,AL$11,AL$14,AL$204,),""),IF($I211=3,"",IFBLANK(_xldudf_CX_PUSH(AL211,CX_ENTITY,$B211,AL$11,AL$14,AL$204,),"")))))),"")</f>
        <v/>
      </c>
      <c r="DM211" s="2445" t="str" cm="1">
        <f t="array" ca="1" aca="1" ref="DM211">IFERROR(IF(AM211*fxVal_normal=_PL!AM211,"",IF(OR(AM211="",NOT(ISNUMBER(AM211)),ISERROR(AM211),$B211=""),"",IF($I211=1,IFBLANK(_xldudf_CX_PUSH(AM211*fxVal_normal,CX_ENTITY,$B211,AM$11,AM$14,AM$204,),""),IF($I211=2,IFBLANK(_xldudf_CX_PUSH(AM211,CX_ENTITY,$B211,AM$11,AM$14,AM$204,),""),IF($I211=3,"",IFBLANK(_xldudf_CX_PUSH(AM211,CX_ENTITY,$B211,AM$11,AM$14,AM$204,),"")))))),"")</f>
        <v/>
      </c>
      <c r="DN211" s="2445" t="str" cm="1">
        <f t="array" ca="1" aca="1" ref="DN211">IFERROR(IF(AN211*fxVal_normal=_PL!AN211,"",IF(OR(AN211="",NOT(ISNUMBER(AN211)),ISERROR(AN211),$B211=""),"",IF($I211=1,IFBLANK(_xldudf_CX_PUSH(AN211*fxVal_normal,CX_ENTITY,$B211,AN$11,AN$14,AN$204,),""),IF($I211=2,IFBLANK(_xldudf_CX_PUSH(AN211,CX_ENTITY,$B211,AN$11,AN$14,AN$204,),""),IF($I211=3,"",IFBLANK(_xldudf_CX_PUSH(AN211,CX_ENTITY,$B211,AN$11,AN$14,AN$204,),"")))))),"")</f>
        <v/>
      </c>
      <c r="DO211" s="2445" t="str" cm="1">
        <f t="array" ca="1" aca="1" ref="DO211">IFERROR(IF(AO211*fxVal_normal=_PL!AO211,"",IF(OR(AO211="",NOT(ISNUMBER(AO211)),ISERROR(AO211),$B211=""),"",IF($I211=1,IFBLANK(_xldudf_CX_PUSH(AO211*fxVal_normal,CX_ENTITY,$B211,AO$11,AO$14,AO$204,),""),IF($I211=2,IFBLANK(_xldudf_CX_PUSH(AO211,CX_ENTITY,$B211,AO$11,AO$14,AO$204,),""),IF($I211=3,"",IFBLANK(_xldudf_CX_PUSH(AO211,CX_ENTITY,$B211,AO$11,AO$14,AO$204,),"")))))),"")</f>
        <v/>
      </c>
      <c r="DP211" s="2445" t="str" cm="1">
        <f t="array" ca="1" aca="1" ref="DP211">IFERROR(IF(AP211*fxVal_normal=_PL!AP211,"",IF(OR(AP211="",NOT(ISNUMBER(AP211)),ISERROR(AP211),$B211=""),"",IF($I211=1,IFBLANK(_xldudf_CX_PUSH(AP211*fxVal_normal,CX_ENTITY,$B211,AP$11,AP$14,AP$204,),""),IF($I211=2,IFBLANK(_xldudf_CX_PUSH(AP211,CX_ENTITY,$B211,AP$11,AP$14,AP$204,),""),IF($I211=3,"",IFBLANK(_xldudf_CX_PUSH(AP211,CX_ENTITY,$B211,AP$11,AP$14,AP$204,),"")))))),"")</f>
        <v/>
      </c>
      <c r="DQ211" s="2445" t="str" cm="1">
        <f t="array" ca="1" aca="1" ref="DQ211">IFERROR(IF(AQ211*fxVal_normal=_PL!AQ211,"",IF(OR(AQ211="",NOT(ISNUMBER(AQ211)),ISERROR(AQ211),$B211=""),"",IF($I211=1,IFBLANK(_xldudf_CX_PUSH(AQ211*fxVal_normal,CX_ENTITY,$B211,AQ$11,AQ$14,AQ$204,),""),IF($I211=2,IFBLANK(_xldudf_CX_PUSH(AQ211,CX_ENTITY,$B211,AQ$11,AQ$14,AQ$204,),""),IF($I211=3,"",IFBLANK(_xldudf_CX_PUSH(AQ211,CX_ENTITY,$B211,AQ$11,AQ$14,AQ$204,),"")))))),"")</f>
        <v/>
      </c>
      <c r="DR211" s="2445" t="str" cm="1">
        <f t="array" ca="1" aca="1" ref="DR211">IFERROR(IF(AR211*fxVal_normal=_PL!AR211,"",IF(OR(AR211="",NOT(ISNUMBER(AR211)),ISERROR(AR211),$B211=""),"",IF($I211=1,IFBLANK(_xldudf_CX_PUSH(AR211*fxVal_normal,CX_ENTITY,$B211,AR$11,AR$14,AR$204,),""),IF($I211=2,IFBLANK(_xldudf_CX_PUSH(AR211,CX_ENTITY,$B211,AR$11,AR$14,AR$204,),""),IF($I211=3,"",IFBLANK(_xldudf_CX_PUSH(AR211,CX_ENTITY,$B211,AR$11,AR$14,AR$204,),"")))))),"")</f>
        <v/>
      </c>
      <c r="DS211" s="2445" t="str" cm="1">
        <f t="array" ca="1" aca="1" ref="DS211">IFERROR(IF(AS211*fxVal_normal=_PL!AS211,"",IF(OR(AS211="",NOT(ISNUMBER(AS211)),ISERROR(AS211),$B211=""),"",IF($I211=1,IFBLANK(_xldudf_CX_PUSH(AS211*fxVal_normal,CX_ENTITY,$B211,AS$11,AS$14,AS$204,),""),IF($I211=2,IFBLANK(_xldudf_CX_PUSH(AS211,CX_ENTITY,$B211,AS$11,AS$14,AS$204,),""),IF($I211=3,"",IFBLANK(_xldudf_CX_PUSH(AS211,CX_ENTITY,$B211,AS$11,AS$14,AS$204,),"")))))),"")</f>
        <v/>
      </c>
      <c r="DT211" s="2445" t="str" cm="1">
        <f t="array" ca="1" aca="1" ref="DT211">IFERROR(IF(AT211*fxVal_normal=_PL!AT211,"",IF(OR(AT211="",NOT(ISNUMBER(AT211)),ISERROR(AT211),$B211=""),"",IF($I211=1,IFBLANK(_xldudf_CX_PUSH(AT211*fxVal_normal,CX_ENTITY,$B211,AT$11,AT$14,AT$204,),""),IF($I211=2,IFBLANK(_xldudf_CX_PUSH(AT211,CX_ENTITY,$B211,AT$11,AT$14,AT$204,),""),IF($I211=3,"",IFBLANK(_xldudf_CX_PUSH(AT211,CX_ENTITY,$B211,AT$11,AT$14,AT$204,),"")))))),"")</f>
        <v/>
      </c>
      <c r="DU211" s="2445" t="str" cm="1">
        <f t="array" ca="1" aca="1" ref="DU211">IFERROR(IF(AU211*fxVal_normal=_PL!AU211,"",IF(OR(AU211="",NOT(ISNUMBER(AU211)),ISERROR(AU211),$B211=""),"",IF($I211=1,IFBLANK(_xldudf_CX_PUSH(AU211*fxVal_normal,CX_ENTITY,$B211,AU$11,AU$14,AU$204,),""),IF($I211=2,IFBLANK(_xldudf_CX_PUSH(AU211,CX_ENTITY,$B211,AU$11,AU$14,AU$204,),""),IF($I211=3,"",IFBLANK(_xldudf_CX_PUSH(AU211,CX_ENTITY,$B211,AU$11,AU$14,AU$204,),"")))))),"")</f>
        <v/>
      </c>
      <c r="DV211" s="2445" t="str" cm="1">
        <f t="array" ca="1" aca="1" ref="DV211">IFERROR(IF(AV211*fxVal_normal=_PL!AV211,"",IF(OR(AV211="",NOT(ISNUMBER(AV211)),ISERROR(AV211),$B211=""),"",IF($I211=1,IFBLANK(_xldudf_CX_PUSH(AV211*fxVal_normal,CX_ENTITY,$B211,AV$11,AV$14,AV$204,),""),IF($I211=2,IFBLANK(_xldudf_CX_PUSH(AV211,CX_ENTITY,$B211,AV$11,AV$14,AV$204,),""),IF($I211=3,"",IFBLANK(_xldudf_CX_PUSH(AV211,CX_ENTITY,$B211,AV$11,AV$14,AV$204,),"")))))),"")</f>
        <v/>
      </c>
      <c r="DW211" s="2445" t="str" cm="1">
        <f t="array" ca="1" aca="1" ref="DW211">IFERROR(IF(AW211*fxVal_normal=_PL!AW211,"",IF(OR(AW211="",NOT(ISNUMBER(AW211)),ISERROR(AW211),$B211=""),"",IF($I211=1,IFBLANK(_xldudf_CX_PUSH(AW211*fxVal_normal,CX_ENTITY,$B211,AW$11,AW$14,AW$204,),""),IF($I211=2,IFBLANK(_xldudf_CX_PUSH(AW211,CX_ENTITY,$B211,AW$11,AW$14,AW$204,),""),IF($I211=3,"",IFBLANK(_xldudf_CX_PUSH(AW211,CX_ENTITY,$B211,AW$11,AW$14,AW$204,),"")))))),"")</f>
        <v/>
      </c>
      <c r="DX211" s="2445" t="str" cm="1">
        <f t="array" ca="1" aca="1" ref="DX211">IFERROR(IF(AX211*fxVal_normal=_PL!AX211,"",IF(OR(AX211="",NOT(ISNUMBER(AX211)),ISERROR(AX211),$B211=""),"",IF($I211=1,IFBLANK(_xldudf_CX_PUSH(AX211*fxVal_normal,CX_ENTITY,$B211,AX$11,AX$14,AX$204,),""),IF($I211=2,IFBLANK(_xldudf_CX_PUSH(AX211,CX_ENTITY,$B211,AX$11,AX$14,AX$204,),""),IF($I211=3,"",IFBLANK(_xldudf_CX_PUSH(AX211,CX_ENTITY,$B211,AX$11,AX$14,AX$204,),"")))))),"")</f>
        <v/>
      </c>
      <c r="DY211" s="2445" t="str" cm="1">
        <f t="array" ca="1" aca="1" ref="DY211">IFERROR(IF(AY211*fxVal_normal=_PL!AY211,"",IF(OR(AY211="",NOT(ISNUMBER(AY211)),ISERROR(AY211),$B211=""),"",IF($I211=1,IFBLANK(_xldudf_CX_PUSH(AY211*fxVal_normal,CX_ENTITY,$B211,AY$11,AY$14,AY$204,),""),IF($I211=2,IFBLANK(_xldudf_CX_PUSH(AY211,CX_ENTITY,$B211,AY$11,AY$14,AY$204,),""),IF($I211=3,"",IFBLANK(_xldudf_CX_PUSH(AY211,CX_ENTITY,$B211,AY$11,AY$14,AY$204,),"")))))),"")</f>
        <v/>
      </c>
      <c r="DZ211" s="2445" t="str" cm="1">
        <f t="array" ca="1" aca="1" ref="DZ211">IFERROR(IF(AZ211*fxVal_normal=_PL!AZ211,"",IF(OR(AZ211="",NOT(ISNUMBER(AZ211)),ISERROR(AZ211),$B211=""),"",IF($I211=1,IFBLANK(_xldudf_CX_PUSH(AZ211*fxVal_normal,CX_ENTITY,$B211,AZ$11,AZ$14,AZ$204,),""),IF($I211=2,IFBLANK(_xldudf_CX_PUSH(AZ211,CX_ENTITY,$B211,AZ$11,AZ$14,AZ$204,),""),IF($I211=3,"",IFBLANK(_xldudf_CX_PUSH(AZ211,CX_ENTITY,$B211,AZ$11,AZ$14,AZ$204,),"")))))),"")</f>
        <v/>
      </c>
      <c r="EA211" s="2445" t="str" cm="1">
        <f t="array" ca="1" aca="1" ref="EA211">IFERROR(IF(BA211*fxVal_normal=_PL!BA211,"",IF(OR(BA211="",NOT(ISNUMBER(BA211)),ISERROR(BA211),$B211=""),"",IF($I211=1,IFBLANK(_xldudf_CX_PUSH(BA211*fxVal_normal,CX_ENTITY,$B211,BA$11,BA$14,BA$204,),""),IF($I211=2,IFBLANK(_xldudf_CX_PUSH(BA211,CX_ENTITY,$B211,BA$11,BA$14,BA$204,),""),IF($I211=3,"",IFBLANK(_xldudf_CX_PUSH(BA211,CX_ENTITY,$B211,BA$11,BA$14,BA$204,),"")))))),"")</f>
        <v/>
      </c>
      <c r="EB211" s="2445" t="str" cm="1">
        <f t="array" ca="1" aca="1" ref="EB211">IFERROR(IF(BB211*fxVal_normal=_PL!BB211,"",IF(OR(BB211="",NOT(ISNUMBER(BB211)),ISERROR(BB211),$B211=""),"",IF($I211=1,IFBLANK(_xldudf_CX_PUSH(BB211*fxVal_normal,CX_ENTITY,$B211,BB$11,BB$14,BB$204,),""),IF($I211=2,IFBLANK(_xldudf_CX_PUSH(BB211,CX_ENTITY,$B211,BB$11,BB$14,BB$204,),""),IF($I211=3,"",IFBLANK(_xldudf_CX_PUSH(BB211,CX_ENTITY,$B211,BB$11,BB$14,BB$204,),"")))))),"")</f>
        <v/>
      </c>
      <c r="EC211" s="2445" t="str" cm="1">
        <f t="array" ca="1" aca="1" ref="EC211">IFERROR(IF(BC211*fxVal_normal=_PL!BC211,"",IF(OR(BC211="",NOT(ISNUMBER(BC211)),ISERROR(BC211),$B211=""),"",IF($I211=1,IFBLANK(_xldudf_CX_PUSH(BC211*fxVal_normal,CX_ENTITY,$B211,BC$11,BC$14,BC$204,),""),IF($I211=2,IFBLANK(_xldudf_CX_PUSH(BC211,CX_ENTITY,$B211,BC$11,BC$14,BC$204,),""),IF($I211=3,"",IFBLANK(_xldudf_CX_PUSH(BC211,CX_ENTITY,$B211,BC$11,BC$14,BC$204,),"")))))),"")</f>
        <v/>
      </c>
      <c r="ED211" s="2445" t="str" cm="1">
        <f t="array" ca="1" aca="1" ref="ED211">IFERROR(IF(BD211*fxVal_normal=_PL!BD211,"",IF(OR(BD211="",NOT(ISNUMBER(BD211)),ISERROR(BD211),$B211=""),"",IF($I211=1,IFBLANK(_xldudf_CX_PUSH(BD211*fxVal_normal,CX_ENTITY,$B211,BD$11,BD$14,BD$204,),""),IF($I211=2,IFBLANK(_xldudf_CX_PUSH(BD211,CX_ENTITY,$B211,BD$11,BD$14,BD$204,),""),IF($I211=3,"",IFBLANK(_xldudf_CX_PUSH(BD211,CX_ENTITY,$B211,BD$11,BD$14,BD$204,),"")))))),"")</f>
        <v/>
      </c>
      <c r="EE211" s="2445" t="str" cm="1">
        <f t="array" ca="1" aca="1" ref="EE211">IFERROR(IF(BE211*fxVal_normal=_PL!BE211,"",IF(OR(BE211="",NOT(ISNUMBER(BE211)),ISERROR(BE211),$B211=""),"",IF($I211=1,IFBLANK(_xldudf_CX_PUSH(BE211*fxVal_normal,CX_ENTITY,$B211,BE$11,BE$14,BE$204,),""),IF($I211=2,IFBLANK(_xldudf_CX_PUSH(BE211,CX_ENTITY,$B211,BE$11,BE$14,BE$204,),""),IF($I211=3,"",IFBLANK(_xldudf_CX_PUSH(BE211,CX_ENTITY,$B211,BE$11,BE$14,BE$204,),"")))))),"")</f>
        <v/>
      </c>
      <c r="EF211" s="2445" t="str" cm="1">
        <f t="array" ca="1" aca="1" ref="EF211">IFERROR(IF(BF211*fxVal_normal=_PL!BF211,"",IF(OR(BF211="",NOT(ISNUMBER(BF211)),ISERROR(BF211),$B211=""),"",IF($I211=1,IFBLANK(_xldudf_CX_PUSH(BF211*fxVal_normal,CX_ENTITY,$B211,BF$11,BF$14,BF$204,),""),IF($I211=2,IFBLANK(_xldudf_CX_PUSH(BF211,CX_ENTITY,$B211,BF$11,BF$14,BF$204,),""),IF($I211=3,"",IFBLANK(_xldudf_CX_PUSH(BF211,CX_ENTITY,$B211,BF$11,BF$14,BF$204,),"")))))),"")</f>
        <v/>
      </c>
      <c r="EG211" s="2445" t="str" cm="1">
        <f t="array" ca="1" aca="1" ref="EG211">IFERROR(IF(BG211*fxVal_normal=_PL!BG211,"",IF(OR(BG211="",NOT(ISNUMBER(BG211)),ISERROR(BG211),$B211=""),"",IF($I211=1,IFBLANK(_xldudf_CX_PUSH(BG211*fxVal_normal,CX_ENTITY,$B211,BG$11,BG$14,BG$204,),""),IF($I211=2,IFBLANK(_xldudf_CX_PUSH(BG211,CX_ENTITY,$B211,BG$11,BG$14,BG$204,),""),IF($I211=3,"",IFBLANK(_xldudf_CX_PUSH(BG211,CX_ENTITY,$B211,BG$11,BG$14,BG$204,),"")))))),"")</f>
        <v/>
      </c>
      <c r="EH211" s="2445" t="str" cm="1">
        <f t="array" ca="1" aca="1" ref="EH211">IFERROR(IF(BH211*fxVal_normal=_PL!BH211,"",IF(OR(BH211="",NOT(ISNUMBER(BH211)),ISERROR(BH211),$B211=""),"",IF($I211=1,IFBLANK(_xldudf_CX_PUSH(BH211*fxVal_normal,CX_ENTITY,$B211,BH$11,BH$14,BH$204,),""),IF($I211=2,IFBLANK(_xldudf_CX_PUSH(BH211,CX_ENTITY,$B211,BH$11,BH$14,BH$204,),""),IF($I211=3,"",IFBLANK(_xldudf_CX_PUSH(BH211,CX_ENTITY,$B211,BH$11,BH$14,BH$204,),"")))))),"")</f>
        <v/>
      </c>
      <c r="EI211" s="2445" t="str" cm="1">
        <f t="array" ca="1" aca="1" ref="EI211">IFERROR(IF(BI211*fxVal_normal=_PL!BI211,"",IF(OR(BI211="",NOT(ISNUMBER(BI211)),ISERROR(BI211),$B211=""),"",IF($I211=1,IFBLANK(_xldudf_CX_PUSH(BI211*fxVal_normal,CX_ENTITY,$B211,BI$11,BI$14,BI$204,),""),IF($I211=2,IFBLANK(_xldudf_CX_PUSH(BI211,CX_ENTITY,$B211,BI$11,BI$14,BI$204,),""),IF($I211=3,"",IFBLANK(_xldudf_CX_PUSH(BI211,CX_ENTITY,$B211,BI$11,BI$14,BI$204,),"")))))),"")</f>
        <v/>
      </c>
      <c r="EJ211" s="2445" t="str" cm="1">
        <f t="array" ca="1" aca="1" ref="EJ211">IFERROR(IF(BJ211*fxVal_normal=_PL!BJ211,"",IF(OR(BJ211="",NOT(ISNUMBER(BJ211)),ISERROR(BJ211),$B211=""),"",IF($I211=1,IFBLANK(_xldudf_CX_PUSH(BJ211*fxVal_normal,CX_ENTITY,$B211,BJ$11,BJ$14,BJ$204,),""),IF($I211=2,IFBLANK(_xldudf_CX_PUSH(BJ211,CX_ENTITY,$B211,BJ$11,BJ$14,BJ$204,),""),IF($I211=3,"",IFBLANK(_xldudf_CX_PUSH(BJ211,CX_ENTITY,$B211,BJ$11,BJ$14,BJ$204,),"")))))),"")</f>
        <v/>
      </c>
      <c r="EK211" s="2445" t="str" cm="1">
        <f t="array" ca="1" aca="1" ref="EK211">IFERROR(IF(BK211*fxVal_normal=_PL!BK211,"",IF(OR(BK211="",NOT(ISNUMBER(BK211)),ISERROR(BK211),$B211=""),"",IF($I211=1,IFBLANK(_xldudf_CX_PUSH(BK211*fxVal_normal,CX_ENTITY,$B211,BK$11,BK$14,BK$204,),""),IF($I211=2,IFBLANK(_xldudf_CX_PUSH(BK211,CX_ENTITY,$B211,BK$11,BK$14,BK$204,),""),IF($I211=3,"",IFBLANK(_xldudf_CX_PUSH(BK211,CX_ENTITY,$B211,BK$11,BK$14,BK$204,),"")))))),"")</f>
        <v/>
      </c>
      <c r="EL211" s="2445" t="str" cm="1">
        <f t="array" ca="1" aca="1" ref="EL211">IFERROR(IF(BL211*fxVal_normal=_PL!BL211,"",IF(OR(BL211="",NOT(ISNUMBER(BL211)),ISERROR(BL211),$B211=""),"",IF($I211=1,IFBLANK(_xldudf_CX_PUSH(BL211*fxVal_normal,CX_ENTITY,$B211,BL$11,BL$14,BL$204,),""),IF($I211=2,IFBLANK(_xldudf_CX_PUSH(BL211,CX_ENTITY,$B211,BL$11,BL$14,BL$204,),""),IF($I211=3,"",IFBLANK(_xldudf_CX_PUSH(BL211,CX_ENTITY,$B211,BL$11,BL$14,BL$204,),"")))))),"")</f>
        <v/>
      </c>
      <c r="EM211" s="2445" t="str" cm="1">
        <f t="array" ca="1" aca="1" ref="EM211">IFERROR(IF(BM211*fxVal_normal=_PL!BM211,"",IF(OR(BM211="",NOT(ISNUMBER(BM211)),ISERROR(BM211),$B211=""),"",IF($I211=1,IFBLANK(_xldudf_CX_PUSH(BM211*fxVal_normal,CX_ENTITY,$B211,BM$11,BM$14,BM$204,),""),IF($I211=2,IFBLANK(_xldudf_CX_PUSH(BM211,CX_ENTITY,$B211,BM$11,BM$14,BM$204,),""),IF($I211=3,"",IFBLANK(_xldudf_CX_PUSH(BM211,CX_ENTITY,$B211,BM$11,BM$14,BM$204,),"")))))),"")</f>
        <v/>
      </c>
      <c r="EN211" s="2445" t="str" cm="1">
        <f t="array" ca="1" aca="1" ref="EN211">IFERROR(IF(BN211*fxVal_normal=_PL!BN211,"",IF(OR(BN211="",NOT(ISNUMBER(BN211)),ISERROR(BN211),$B211=""),"",IF($I211=1,IFBLANK(_xldudf_CX_PUSH(BN211*fxVal_normal,CX_ENTITY,$B211,BN$11,BN$14,BN$204,),""),IF($I211=2,IFBLANK(_xldudf_CX_PUSH(BN211,CX_ENTITY,$B211,BN$11,BN$14,BN$204,),""),IF($I211=3,"",IFBLANK(_xldudf_CX_PUSH(BN211,CX_ENTITY,$B211,BN$11,BN$14,BN$204,),"")))))),"")</f>
        <v/>
      </c>
    </row>
    <row r="212" spans="1:158" ht="21" customHeight="1">
      <c r="A212" s="1627" t="s">
        <v>22</v>
      </c>
      <c r="B212" s="2439"/>
      <c r="C212" s="2439" t="str" cm="1">
        <f t="array" ref="C212">IFBLANK(_PL!C212,"")</f>
        <v/>
      </c>
      <c r="D212" s="1548"/>
      <c r="E212" s="2440" cm="1">
        <f t="array" ca="1" aca="1" ref="E212:G21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212:$CQ212,Z212)</f>
        <v>0</v>
      </c>
      <c r="F212" s="576">
        <f ca="1"/>
        <v>0</v>
      </c>
      <c r="G212" s="576" t="str">
        <f ca="1"/>
        <v>A</v>
      </c>
      <c r="H212" s="3297">
        <v>2</v>
      </c>
      <c r="I212" s="3297">
        <v>1</v>
      </c>
      <c r="J212" s="401" cm="1">
        <f t="array" ref="J212">IFBLANK(Z212,"")</f>
        <v>0</v>
      </c>
      <c r="K212" s="578" t="str">
        <f t="shared" si="54"/>
        <v>No</v>
      </c>
      <c r="L212" s="37"/>
      <c r="N212" s="158"/>
      <c r="O212" s="101"/>
      <c r="P212" s="52"/>
      <c r="Q212" s="101"/>
      <c r="R212" s="101"/>
      <c r="S212" s="3008"/>
      <c r="T212" s="3008"/>
      <c r="U212" s="39"/>
      <c r="V212" s="37"/>
      <c r="W212" s="2594" t="e">
        <f ca="1">W205</f>
        <v>#NAME?</v>
      </c>
      <c r="X212" s="2452">
        <f>_PL!X212</f>
        <v>0</v>
      </c>
      <c r="Y212" s="971" t="s">
        <v>167</v>
      </c>
      <c r="Z212" s="538">
        <f>_PL!Z212</f>
        <v>0</v>
      </c>
      <c r="AA212" s="787"/>
      <c r="AB212" s="1133"/>
      <c r="AC212" s="2598" t="str" cm="1">
        <f t="array" ca="1" aca="1" ref="AC212">_xlfn.LET(_xlpm._termname,$AB212,_xlpm._iconname,"find",_xlpm._icon,fx_getIcon(_xlpm._iconname),_xlpm._location,_xlfn.XLOOKUP(LOWER(_xlpm._termname),LOWER(tbl_acctDef[Term]),tbl_acctDef[Term]),_xlpm._hyperlink,HYPERLINK("#"&amp;CELL("address",_xlpm._location),_xlpm._icon),IFERROR(_xlpm._hyperlink,""))</f>
        <v/>
      </c>
      <c r="AD212" s="2590" t="str">
        <f ca="1">IF(ISNUMBER(AD205),IF(ABS(SUM(AD206:AD211)-AD205)&lt;0.1,0,1),"")</f>
        <v/>
      </c>
      <c r="AE212" s="2590" t="str">
        <f t="shared" si="57" ref="AE212:BN212">IF(ISNUMBER(AE205),IF(ABS(SUM(AE206:AE211)-AE205)&lt;0.1,0,1),"")</f>
        <v/>
      </c>
      <c r="AF212" s="2599" t="str">
        <f t="shared" si="57"/>
        <v/>
      </c>
      <c r="AG212" s="2599" t="str">
        <f t="shared" si="57"/>
        <v/>
      </c>
      <c r="AH212" s="2599" t="str">
        <f t="shared" si="57"/>
        <v/>
      </c>
      <c r="AI212" s="2599" t="str">
        <f t="shared" si="57"/>
        <v/>
      </c>
      <c r="AJ212" s="2599" t="str">
        <f t="shared" si="57"/>
        <v/>
      </c>
      <c r="AK212" s="2599" t="str">
        <f t="shared" si="57"/>
        <v/>
      </c>
      <c r="AL212" s="2599" t="str">
        <f t="shared" si="57"/>
        <v/>
      </c>
      <c r="AM212" s="2599" t="str">
        <f t="shared" si="57"/>
        <v/>
      </c>
      <c r="AN212" s="2599" t="str">
        <f t="shared" si="57"/>
        <v/>
      </c>
      <c r="AO212" s="2599" t="str">
        <f t="shared" si="57"/>
        <v/>
      </c>
      <c r="AP212" s="2599" t="str">
        <f t="shared" si="57"/>
        <v/>
      </c>
      <c r="AQ212" s="2599" t="str">
        <f t="shared" si="57"/>
        <v/>
      </c>
      <c r="AR212" s="2599" t="str">
        <f t="shared" si="57"/>
        <v/>
      </c>
      <c r="AS212" s="2599" t="str">
        <f t="shared" si="57"/>
        <v/>
      </c>
      <c r="AT212" s="2599" t="str">
        <f t="shared" si="57"/>
        <v/>
      </c>
      <c r="AU212" s="2599" t="str">
        <f t="shared" si="57"/>
        <v/>
      </c>
      <c r="AV212" s="2599" t="str">
        <f t="shared" si="57"/>
        <v/>
      </c>
      <c r="AW212" s="2599" t="str">
        <f t="shared" si="57"/>
        <v/>
      </c>
      <c r="AX212" s="2599" t="str">
        <f t="shared" si="57"/>
        <v/>
      </c>
      <c r="AY212" s="2599" t="str">
        <f t="shared" si="57"/>
        <v/>
      </c>
      <c r="AZ212" s="2599" t="str">
        <f t="shared" si="57"/>
        <v/>
      </c>
      <c r="BA212" s="2599" t="str">
        <f t="shared" si="57"/>
        <v/>
      </c>
      <c r="BB212" s="2599" t="str">
        <f t="shared" si="57"/>
        <v/>
      </c>
      <c r="BC212" s="2599" t="str">
        <f t="shared" si="57"/>
        <v/>
      </c>
      <c r="BD212" s="2599" t="str">
        <f t="shared" si="57"/>
        <v/>
      </c>
      <c r="BE212" s="2599" t="str">
        <f t="shared" si="57"/>
        <v/>
      </c>
      <c r="BF212" s="2599" t="str">
        <f t="shared" si="57"/>
        <v/>
      </c>
      <c r="BG212" s="2599" t="str">
        <f t="shared" si="57"/>
        <v/>
      </c>
      <c r="BH212" s="2599" t="str">
        <f t="shared" si="57"/>
        <v/>
      </c>
      <c r="BI212" s="2599" t="str">
        <f t="shared" si="57"/>
        <v/>
      </c>
      <c r="BJ212" s="2599" t="str">
        <f t="shared" si="57"/>
        <v/>
      </c>
      <c r="BK212" s="2599" t="str">
        <f t="shared" si="57"/>
        <v/>
      </c>
      <c r="BL212" s="2599" t="str">
        <f t="shared" si="57"/>
        <v/>
      </c>
      <c r="BM212" s="2599" t="str">
        <f t="shared" si="57"/>
        <v/>
      </c>
      <c r="BN212" s="2599" t="str">
        <f t="shared" si="57"/>
        <v/>
      </c>
      <c r="BO212" s="2600"/>
      <c r="BP212" s="2600"/>
      <c r="BQ212" s="2600"/>
      <c r="BR212" s="2600"/>
      <c r="BS212" s="2600"/>
      <c r="BT212" s="2600"/>
      <c r="BU212" s="2600"/>
      <c r="BV212" s="2600"/>
      <c r="BW212" s="2600"/>
      <c r="BX212" s="2600"/>
      <c r="BY212" s="2600"/>
      <c r="BZ212" s="2600"/>
      <c r="CA212" s="34"/>
      <c r="CC212" s="927"/>
      <c r="CD212" s="1461" t="str" cm="1">
        <f t="array" ca="1" aca="1" ref="CD212">_xlfn.LET(_xlpm.CheckBlank,SUM(PL!$AD212:$BN212)=0,IF(_xlpm.CheckBlank,"",SUM(_xlfn._xlws.FILTER(PL!$AD212:$BN212,(YEAR(PL!$AD$12:$BN$12)=PL!CD$12)*(array_timeline&lt;=PL!CD$11)))))</f>
        <v/>
      </c>
      <c r="CE212" s="1461" t="str" cm="1">
        <f t="array" ca="1" aca="1" ref="CE212">_xlfn.LET(_xlpm.CheckBlank,SUM(PL!$AD212:$BN212)=0,IF(_xlpm.CheckBlank,"",SUM(_xlfn._xlws.FILTER(PL!$AD212:$BN212,(YEAR(PL!$AD$12:$BN$12)=PL!CE$12)*(array_timeline&lt;=PL!CE$11)))))</f>
        <v/>
      </c>
      <c r="CF212" s="88"/>
      <c r="CG212" s="1461" t="str" cm="1">
        <f t="array" ca="1" aca="1" ref="CG212">_xlfn.LET(_xlpm.CheckBlank,SUM(PL!$AD212:$BN212)=0,IF(_xlpm.CheckBlank,"",SUM(_xlfn._xlws.FILTER(PL!$AD212:$BN212,(YEAR(PL!$AD$12:$BN$12)=PL!CG$12)*(array_timeline&lt;=PL!CG$11)))))</f>
        <v/>
      </c>
      <c r="CH212" s="1461" t="str" cm="1">
        <f t="array" ca="1" aca="1" ref="CH212">_xlfn.LET(_xlpm.CheckBlank,SUM(PL!$AD212:$BN212)=0,IF(_xlpm.CheckBlank,"",SUM(_xlfn._xlws.FILTER(PL!$AD212:$BN212,(YEAR(PL!$AD$12:$BN$12)=PL!CH$12)*(array_timeline&lt;=PL!CH$11)))))</f>
        <v/>
      </c>
      <c r="CI212" s="88"/>
      <c r="CJ212" s="1461" t="str" cm="1">
        <f t="array" ca="1" aca="1" ref="CJ212">_xlfn.LET(_xlpm.CheckBlank,SUM(PL!$AD212:$BN212)=0,IF(_xlpm.CheckBlank,"",SUM(_xlfn.TAKE(_xlfn.DROP(PL!$AD212:$BN212,,-DATEDIFF(PL!CJ$11,val_asOfDate,"M")),1,-12))))</f>
        <v/>
      </c>
      <c r="CK212" s="1461" t="str" cm="1">
        <f t="array" ca="1" aca="1" ref="CK212">_xlfn.LET(_xlpm.CheckBlank,SUM(PL!$AD212:$BN212)=0,IF(_xlpm.CheckBlank,"",SUM(_xlfn.TAKE(_xlfn.DROP(PL!$AD212:$BN212,,-DATEDIFF(PL!CK$11,val_asOfDate,"M")),1,-12))))</f>
        <v/>
      </c>
      <c r="CL212" s="88"/>
      <c r="CM212" s="2061" t="str">
        <f ca="1">IF(ISNUMBER(CM205),IF(ABS(SUM(CM206:CM211)-CM205)&lt;0.1,0,1),"")</f>
        <v/>
      </c>
      <c r="CN212" s="2061" t="str">
        <f>IF(ISNUMBER(CN205),IF(ABS(SUM(CN206:CN211)-CN205)&lt;0.1,0,1),"")</f>
        <v/>
      </c>
      <c r="CO212" s="128"/>
      <c r="CP212" s="2061" t="str">
        <f ca="1">IF(ISNUMBER(CP205),IF(ABS(SUM(CP206:CP211)-CP205)&lt;0.1,0,1),"")</f>
        <v/>
      </c>
      <c r="CQ212" s="2061" t="str">
        <f>IF(ISNUMBER(CQ205),IF(ABS(SUM(CQ206:CQ211)-CQ205)&lt;0.1,0,1),"")</f>
        <v/>
      </c>
      <c r="CR212" s="34"/>
      <c r="CS212" s="2056"/>
      <c r="CT212" s="1880"/>
      <c r="CU212" s="1880"/>
      <c r="CV212" s="1880"/>
      <c r="CW212" s="1880"/>
      <c r="CX212" s="2121"/>
      <c r="CY212" s="1880"/>
      <c r="CZ212" s="1880"/>
      <c r="DA212" s="1880"/>
      <c r="DB212" s="1880"/>
      <c r="DC212" s="2121"/>
      <c r="DD212" s="1880"/>
      <c r="DE212" s="1880"/>
      <c r="DF212" s="1880"/>
      <c r="DG212" s="1880"/>
      <c r="DH212" s="1880"/>
      <c r="DI212" s="1880"/>
      <c r="DJ212" s="1880"/>
      <c r="DK212" s="1880"/>
      <c r="DL212" s="1880"/>
      <c r="DM212" s="1880"/>
      <c r="DN212" s="1880"/>
      <c r="DO212" s="1880"/>
      <c r="DP212" s="1880"/>
      <c r="DQ212" s="1880"/>
      <c r="DR212" s="1880"/>
      <c r="DS212" s="1880"/>
      <c r="DT212" s="1880"/>
      <c r="DU212" s="1880"/>
      <c r="DV212" s="1880"/>
      <c r="DW212" s="1880"/>
      <c r="DX212" s="1880"/>
      <c r="DY212" s="1880"/>
      <c r="DZ212" s="1880"/>
      <c r="EA212" s="1880"/>
      <c r="EB212" s="1880"/>
      <c r="EC212" s="1880"/>
      <c r="ED212" s="1880"/>
      <c r="EE212" s="1880"/>
      <c r="EF212" s="1880"/>
      <c r="EG212" s="1880"/>
      <c r="EH212" s="1880"/>
      <c r="EI212" s="1880"/>
      <c r="EJ212" s="1880"/>
      <c r="EK212" s="1880"/>
      <c r="EL212" s="1880"/>
      <c r="EM212" s="1880"/>
      <c r="EN212" s="1880"/>
      <c r="EO212" s="1880"/>
      <c r="EP212" s="1880"/>
      <c r="EQ212" s="1880"/>
      <c r="ER212" s="1880"/>
      <c r="ES212" s="1880"/>
      <c r="ET212" s="1880"/>
      <c r="EU212" s="1880"/>
      <c r="EV212" s="1880"/>
      <c r="EW212" s="1880"/>
      <c r="EX212" s="1880"/>
      <c r="EY212" s="1880"/>
      <c r="EZ212" s="1880"/>
      <c r="FA212" s="1880"/>
      <c r="FB212" s="1880"/>
    </row>
    <row r="213" spans="1:158" ht="18">
      <c r="A213" s="1627"/>
      <c r="B213" s="2439" t="str">
        <f>_xlfn.LET(_xlpm.IsNotAttrDynamic,D213="",_xlpm.Attr,_PL!F213,_xlpm.NotInUse,Y213=D213,_xlpm.RESULT,IF(_xlpm.IsNotAttrDynamic,_xlpm.Attr,IF(_xlpm.NotInUse,"",Y213)),IF(_xlpm.RESULT="","",_xlpm.RESULT))</f>
        <v/>
      </c>
      <c r="C213" s="2439" t="str" cm="1">
        <f t="array" ref="C213">IFBLANK(_PL!C213,"")</f>
        <v/>
      </c>
      <c r="D213" s="1548"/>
      <c r="E213" s="2453"/>
      <c r="F213" s="578"/>
      <c r="G213" s="578"/>
      <c r="H213" s="578"/>
      <c r="I213" s="578"/>
      <c r="J213" s="401"/>
      <c r="K213" s="578" t="str">
        <f t="shared" si="54"/>
        <v>No</v>
      </c>
      <c r="L213" s="37"/>
      <c r="N213" s="158"/>
      <c r="O213" s="101"/>
      <c r="P213" s="52"/>
      <c r="Q213" s="101"/>
      <c r="R213" s="101"/>
      <c r="S213" s="3008"/>
      <c r="T213" s="3008"/>
      <c r="U213" s="39"/>
      <c r="V213" s="37"/>
      <c r="W213" s="285"/>
      <c r="X213" s="901"/>
      <c r="Y213" s="136"/>
      <c r="Z213" s="792"/>
      <c r="AA213" s="97"/>
      <c r="AB213" s="284"/>
      <c r="AC213" s="128"/>
      <c r="AD213" s="88"/>
      <c r="AE213" s="88"/>
      <c r="AF213" s="88"/>
      <c r="AG213" s="88"/>
      <c r="AH213" s="88"/>
      <c r="AI213" s="88"/>
      <c r="AJ213" s="88"/>
      <c r="AK213" s="88"/>
      <c r="AL213" s="88"/>
      <c r="AM213" s="88"/>
      <c r="AN213" s="88"/>
      <c r="AO213" s="88"/>
      <c r="AP213" s="88"/>
      <c r="AQ213" s="88"/>
      <c r="AR213" s="88"/>
      <c r="AS213" s="88"/>
      <c r="AT213" s="88"/>
      <c r="AU213" s="783"/>
      <c r="AV213" s="783"/>
      <c r="AW213" s="783"/>
      <c r="AX213" s="783"/>
      <c r="AY213" s="783"/>
      <c r="AZ213" s="783"/>
      <c r="BA213" s="783"/>
      <c r="BB213" s="783"/>
      <c r="BC213" s="783"/>
      <c r="BD213" s="783"/>
      <c r="BE213" s="783"/>
      <c r="BF213" s="783"/>
      <c r="BG213" s="783"/>
      <c r="BH213" s="783"/>
      <c r="BI213" s="783"/>
      <c r="BJ213" s="783"/>
      <c r="BK213" s="783"/>
      <c r="BL213" s="783"/>
      <c r="BM213" s="783"/>
      <c r="BN213" s="783"/>
      <c r="BO213" s="783"/>
      <c r="BP213" s="783"/>
      <c r="BQ213" s="783"/>
      <c r="BR213" s="783"/>
      <c r="BS213" s="783"/>
      <c r="BT213" s="783"/>
      <c r="BU213" s="783"/>
      <c r="BV213" s="783"/>
      <c r="BW213" s="783"/>
      <c r="BX213" s="783"/>
      <c r="BY213" s="783"/>
      <c r="BZ213" s="783"/>
      <c r="CA213" s="34"/>
      <c r="CC213" s="50"/>
      <c r="CD213" s="182"/>
      <c r="CE213" s="182"/>
      <c r="CF213" s="182"/>
      <c r="CG213" s="182"/>
      <c r="CH213" s="182"/>
      <c r="CI213" s="88"/>
      <c r="CJ213" s="172"/>
      <c r="CK213" s="172"/>
      <c r="CL213" s="88"/>
      <c r="CM213" s="88"/>
      <c r="CN213" s="88"/>
      <c r="CO213" s="88"/>
      <c r="CP213" s="88"/>
      <c r="CQ213" s="88"/>
      <c r="CR213" s="34"/>
      <c r="CS213" s="2056"/>
      <c r="CT213" s="1880"/>
      <c r="CU213" s="1880"/>
      <c r="CV213" s="1880"/>
      <c r="CW213" s="1880"/>
      <c r="CX213" s="2121"/>
      <c r="CY213" s="1880"/>
      <c r="CZ213" s="1880"/>
      <c r="DA213" s="1880"/>
      <c r="DB213" s="1880"/>
      <c r="DC213" s="2121"/>
      <c r="DD213" s="1880"/>
      <c r="DE213" s="1880"/>
      <c r="DF213" s="1880"/>
      <c r="DG213" s="1880"/>
      <c r="DH213" s="1880"/>
      <c r="DI213" s="1880"/>
      <c r="DJ213" s="1880"/>
      <c r="DK213" s="1880"/>
      <c r="DL213" s="1880"/>
      <c r="DM213" s="1880"/>
      <c r="DN213" s="1880"/>
      <c r="DO213" s="1880"/>
      <c r="DP213" s="1880"/>
      <c r="DQ213" s="1880"/>
      <c r="DR213" s="1880"/>
      <c r="DS213" s="1880"/>
      <c r="DT213" s="1880"/>
      <c r="DU213" s="1880"/>
      <c r="DV213" s="1880"/>
      <c r="DW213" s="1880"/>
      <c r="DX213" s="1880"/>
      <c r="DY213" s="1880"/>
      <c r="DZ213" s="1880"/>
      <c r="EA213" s="1880"/>
      <c r="EB213" s="1880"/>
      <c r="EC213" s="1880"/>
      <c r="ED213" s="1880"/>
      <c r="EE213" s="1880"/>
      <c r="EF213" s="1880"/>
      <c r="EG213" s="1880"/>
      <c r="EH213" s="1880"/>
      <c r="EI213" s="1880"/>
      <c r="EJ213" s="1880"/>
      <c r="EK213" s="1880"/>
      <c r="EL213" s="1880"/>
      <c r="EM213" s="1880"/>
      <c r="EN213" s="1880"/>
      <c r="EO213" s="1880"/>
      <c r="EP213" s="1880"/>
      <c r="EQ213" s="1880"/>
      <c r="ER213" s="1880"/>
      <c r="ES213" s="1880"/>
      <c r="ET213" s="1880"/>
      <c r="EU213" s="1880"/>
      <c r="EV213" s="1880"/>
      <c r="EW213" s="1880"/>
      <c r="EX213" s="1880"/>
      <c r="EY213" s="1880"/>
      <c r="EZ213" s="1880"/>
      <c r="FA213" s="1880"/>
      <c r="FB213" s="1880"/>
    </row>
    <row r="214" spans="1:158" ht="15.5">
      <c r="A214" s="1625"/>
      <c r="B214" s="2439" t="str">
        <f>_xlfn.LET(_xlpm.IsNotAttrDynamic,D214="",_xlpm.Attr,_PL!F214,_xlpm.NotInUse,Y214=D214,_xlpm.RESULT,IF(_xlpm.IsNotAttrDynamic,_xlpm.Attr,IF(_xlpm.NotInUse,"",Y214)),IF(_xlpm.RESULT="","",_xlpm.RESULT))</f>
        <v/>
      </c>
      <c r="C214" s="2439" t="str" cm="1">
        <f t="array" ref="C214">IFBLANK(_PL!C214,"")</f>
        <v/>
      </c>
      <c r="D214" s="1548"/>
      <c r="E214" s="2453"/>
      <c r="F214" s="578"/>
      <c r="G214" s="578"/>
      <c r="H214" s="578"/>
      <c r="I214" s="578"/>
      <c r="J214" s="401"/>
      <c r="K214" s="578" t="str">
        <f t="shared" si="54"/>
        <v>No</v>
      </c>
      <c r="L214" s="37"/>
      <c r="N214" s="158"/>
      <c r="O214" s="101"/>
      <c r="P214" s="52"/>
      <c r="Q214" s="101"/>
      <c r="R214" s="101"/>
      <c r="S214" s="3008"/>
      <c r="T214" s="3008"/>
      <c r="U214" s="39"/>
      <c r="V214" s="37"/>
      <c r="W214" s="285"/>
      <c r="X214" s="887"/>
      <c r="Y214" s="136"/>
      <c r="Z214" s="792"/>
      <c r="AA214" s="97"/>
      <c r="AB214" s="97"/>
      <c r="AC214" s="128"/>
      <c r="AD214" s="88"/>
      <c r="AE214" s="88"/>
      <c r="AF214" s="88"/>
      <c r="AG214" s="88"/>
      <c r="AH214" s="88"/>
      <c r="AI214" s="88"/>
      <c r="AJ214" s="88"/>
      <c r="AK214" s="88"/>
      <c r="AL214" s="88"/>
      <c r="AM214" s="88"/>
      <c r="AN214" s="88"/>
      <c r="AO214" s="88"/>
      <c r="AP214" s="88"/>
      <c r="AQ214" s="88"/>
      <c r="AR214" s="88"/>
      <c r="AS214" s="88"/>
      <c r="AT214" s="88"/>
      <c r="AU214" s="783"/>
      <c r="AV214" s="783"/>
      <c r="AW214" s="783"/>
      <c r="AX214" s="783"/>
      <c r="AY214" s="783"/>
      <c r="AZ214" s="783"/>
      <c r="BA214" s="783"/>
      <c r="BB214" s="783"/>
      <c r="BC214" s="783"/>
      <c r="BD214" s="783"/>
      <c r="BE214" s="783"/>
      <c r="BF214" s="783"/>
      <c r="BG214" s="783"/>
      <c r="BH214" s="783"/>
      <c r="BI214" s="783"/>
      <c r="BJ214" s="783"/>
      <c r="BK214" s="783"/>
      <c r="BL214" s="783"/>
      <c r="BM214" s="783"/>
      <c r="BN214" s="783"/>
      <c r="BO214" s="783"/>
      <c r="BP214" s="783"/>
      <c r="BQ214" s="783"/>
      <c r="BR214" s="783"/>
      <c r="BS214" s="783"/>
      <c r="BT214" s="783"/>
      <c r="BU214" s="783"/>
      <c r="BV214" s="783"/>
      <c r="BW214" s="783"/>
      <c r="BX214" s="783"/>
      <c r="BY214" s="783"/>
      <c r="BZ214" s="783"/>
      <c r="CA214" s="34"/>
      <c r="CC214" s="50"/>
      <c r="CD214" s="182"/>
      <c r="CE214" s="182"/>
      <c r="CF214" s="182"/>
      <c r="CG214" s="182"/>
      <c r="CH214" s="182"/>
      <c r="CI214" s="88"/>
      <c r="CJ214" s="172"/>
      <c r="CK214" s="172"/>
      <c r="CL214" s="88"/>
      <c r="CM214" s="88"/>
      <c r="CN214" s="88"/>
      <c r="CO214" s="88"/>
      <c r="CP214" s="88"/>
      <c r="CQ214" s="88"/>
      <c r="CR214" s="34"/>
      <c r="CS214" s="2056"/>
      <c r="CT214" s="1880"/>
      <c r="CU214" s="1880"/>
      <c r="CV214" s="1880"/>
      <c r="CW214" s="1880"/>
      <c r="CX214" s="2121"/>
      <c r="CY214" s="1880"/>
      <c r="CZ214" s="1880"/>
      <c r="DA214" s="1880"/>
      <c r="DB214" s="1880"/>
      <c r="DC214" s="2121"/>
      <c r="DD214" s="1880"/>
      <c r="DE214" s="1880"/>
      <c r="DF214" s="1880"/>
      <c r="DG214" s="1880"/>
      <c r="DH214" s="1880"/>
      <c r="DI214" s="1880"/>
      <c r="DJ214" s="1880"/>
      <c r="DK214" s="1880"/>
      <c r="DL214" s="1880"/>
      <c r="DM214" s="1880"/>
      <c r="DN214" s="1880"/>
      <c r="DO214" s="1880"/>
      <c r="DP214" s="1880"/>
      <c r="DQ214" s="1880"/>
      <c r="DR214" s="1880"/>
      <c r="DS214" s="1880"/>
      <c r="DT214" s="1880"/>
      <c r="DU214" s="1880"/>
      <c r="DV214" s="1880"/>
      <c r="DW214" s="1880"/>
      <c r="DX214" s="1880"/>
      <c r="DY214" s="1880"/>
      <c r="DZ214" s="1880"/>
      <c r="EA214" s="1880"/>
      <c r="EB214" s="1880"/>
      <c r="EC214" s="1880"/>
      <c r="ED214" s="1880"/>
      <c r="EE214" s="1880"/>
      <c r="EF214" s="1880"/>
      <c r="EG214" s="1880"/>
      <c r="EH214" s="1880"/>
      <c r="EI214" s="1880"/>
      <c r="EJ214" s="1880"/>
      <c r="EK214" s="1880"/>
      <c r="EL214" s="1880"/>
      <c r="EM214" s="1880"/>
      <c r="EN214" s="1880"/>
      <c r="EO214" s="1880"/>
      <c r="EP214" s="1880"/>
      <c r="EQ214" s="1880"/>
      <c r="ER214" s="1880"/>
      <c r="ES214" s="1880"/>
      <c r="ET214" s="1880"/>
      <c r="EU214" s="1880"/>
      <c r="EV214" s="1880"/>
      <c r="EW214" s="1880"/>
      <c r="EX214" s="1880"/>
      <c r="EY214" s="1880"/>
      <c r="EZ214" s="1880"/>
      <c r="FA214" s="1880"/>
      <c r="FB214" s="1880"/>
    </row>
    <row r="215" spans="1:146" ht="22.5">
      <c r="A215" s="1625"/>
      <c r="B215" s="2439" t="str">
        <f>_xlfn.LET(_xlpm.IsNotAttrDynamic,D215="",_xlpm.Attr,_PL!F215,_xlpm.NotInUse,Y215=D215,_xlpm.RESULT,IF(_xlpm.IsNotAttrDynamic,_xlpm.Attr,IF(_xlpm.NotInUse,"",Y215)),IF(_xlpm.RESULT="","",_xlpm.RESULT))</f>
        <v/>
      </c>
      <c r="C215" s="2439" t="str" cm="1">
        <f t="array" ref="C215">IFBLANK(_PL!C215,"")</f>
        <v/>
      </c>
      <c r="D215" s="1548"/>
      <c r="E215" s="2453"/>
      <c r="F215" s="578"/>
      <c r="G215" s="578"/>
      <c r="H215" s="510"/>
      <c r="I215" s="510"/>
      <c r="J215" s="401"/>
      <c r="K215" s="578" t="str">
        <f t="shared" si="54"/>
        <v>No</v>
      </c>
      <c r="L215" s="37"/>
      <c r="N215" s="158"/>
      <c r="O215" s="101"/>
      <c r="P215" s="52"/>
      <c r="Q215" s="101"/>
      <c r="R215" s="101"/>
      <c r="S215" s="3008"/>
      <c r="T215" s="3008"/>
      <c r="U215" s="39"/>
      <c r="V215" s="37"/>
      <c r="W215" s="2133" t="s">
        <v>168</v>
      </c>
      <c r="X215" s="887"/>
      <c r="Y215" s="324"/>
      <c r="Z215" s="795"/>
      <c r="AA215" s="97"/>
      <c r="AB215" s="97"/>
      <c r="AC215" s="128"/>
      <c r="AD215" s="796"/>
      <c r="AE215" s="796"/>
      <c r="AF215" s="796"/>
      <c r="AG215" s="796"/>
      <c r="AH215" s="796"/>
      <c r="AI215" s="796"/>
      <c r="AJ215" s="796"/>
      <c r="AK215" s="796"/>
      <c r="AL215" s="796"/>
      <c r="AM215" s="796"/>
      <c r="AN215" s="796"/>
      <c r="AO215" s="796"/>
      <c r="AP215" s="796"/>
      <c r="AQ215" s="796"/>
      <c r="AR215" s="796"/>
      <c r="AS215" s="796"/>
      <c r="AT215" s="796"/>
      <c r="AU215" s="796"/>
      <c r="AV215" s="796"/>
      <c r="AW215" s="796"/>
      <c r="AX215" s="796"/>
      <c r="AY215" s="796"/>
      <c r="AZ215" s="796"/>
      <c r="BA215" s="796"/>
      <c r="BB215" s="796"/>
      <c r="BC215" s="796"/>
      <c r="BD215" s="796"/>
      <c r="BE215" s="796"/>
      <c r="BF215" s="796"/>
      <c r="BG215" s="796"/>
      <c r="BH215" s="796"/>
      <c r="BI215" s="796"/>
      <c r="BJ215" s="796"/>
      <c r="BK215" s="796"/>
      <c r="BL215" s="796"/>
      <c r="BM215" s="796"/>
      <c r="BN215" s="796"/>
      <c r="BO215" s="796"/>
      <c r="BP215" s="796"/>
      <c r="BQ215" s="796"/>
      <c r="BR215" s="796"/>
      <c r="BS215" s="796"/>
      <c r="BT215" s="796"/>
      <c r="BU215" s="796"/>
      <c r="BV215" s="796"/>
      <c r="BW215" s="796"/>
      <c r="BX215" s="796"/>
      <c r="BY215" s="796"/>
      <c r="BZ215" s="796"/>
      <c r="CA215" s="34"/>
      <c r="CC215" s="797"/>
      <c r="CD215" s="3018" t="s">
        <v>41</v>
      </c>
      <c r="CE215" s="3019"/>
      <c r="CF215" s="1472"/>
      <c r="CG215" s="3020" t="s">
        <v>109</v>
      </c>
      <c r="CH215" s="3021"/>
      <c r="CI215" s="1473"/>
      <c r="CJ215" s="3022" t="s">
        <v>43</v>
      </c>
      <c r="CK215" s="3023"/>
      <c r="CL215" s="1473"/>
      <c r="CM215" s="3013" t="s">
        <v>44</v>
      </c>
      <c r="CN215" s="3014"/>
      <c r="CO215" s="1470"/>
      <c r="CP215" s="3013" t="s">
        <v>45</v>
      </c>
      <c r="CQ215" s="3014"/>
      <c r="CR215" s="34"/>
      <c r="CS215" s="2056"/>
      <c r="CT215" s="1880"/>
      <c r="CU215" s="1880"/>
      <c r="CV215" s="1880"/>
      <c r="CW215" s="1880"/>
      <c r="CX215" s="2121"/>
      <c r="CY215" s="1880"/>
      <c r="CZ215" s="1880"/>
      <c r="DA215" s="1880"/>
      <c r="DB215" s="1880"/>
      <c r="DC215" s="2121"/>
      <c r="DD215" s="1880"/>
      <c r="DE215" s="1880"/>
      <c r="DF215" s="1880"/>
      <c r="DG215" s="1880"/>
      <c r="DH215" s="1880"/>
      <c r="DI215" s="1880"/>
      <c r="DJ215" s="1880"/>
      <c r="DK215" s="1880"/>
      <c r="DL215" s="1880"/>
      <c r="DM215" s="1880"/>
      <c r="DN215" s="1880"/>
      <c r="DO215" s="1880"/>
      <c r="DP215" s="1880"/>
      <c r="DQ215" s="1880"/>
      <c r="DR215" s="1880"/>
      <c r="DS215" s="1880"/>
      <c r="DT215" s="1880"/>
      <c r="DU215" s="1880"/>
      <c r="DV215" s="1880"/>
      <c r="DW215" s="1880"/>
      <c r="DX215" s="1880"/>
      <c r="DY215" s="1880"/>
      <c r="DZ215" s="1880"/>
      <c r="EA215" s="1880"/>
      <c r="EB215" s="1880"/>
      <c r="EC215" s="1880"/>
      <c r="ED215" s="1880"/>
      <c r="EE215" s="1880"/>
      <c r="EF215" s="1880"/>
      <c r="EG215" s="1880"/>
      <c r="EH215" s="1880"/>
      <c r="EI215" s="1880"/>
      <c r="EJ215" s="1880"/>
      <c r="EK215" s="1880"/>
      <c r="EL215" s="1880"/>
      <c r="EM215" s="1880"/>
      <c r="EN215" s="1880"/>
      <c r="EO215" s="1880"/>
      <c r="EP215" s="1880"/>
    </row>
    <row r="216" spans="1:146" ht="18" customHeight="1">
      <c r="A216" s="1627"/>
      <c r="B216" s="2439" t="e">
        <f ca="1">_xlfn.LET(_xlpm.IsNotAttrDynamic,D216="",_xlpm.Attr,_PL!F216,_xlpm.NotInUse,Y216=D216,_xlpm.RESULT,IF(_xlpm.IsNotAttrDynamic,_xlpm.Attr,IF(_xlpm.NotInUse,"",Y216)),IF(_xlpm.RESULT="","",_xlpm.RESULT))</f>
        <v>#NAME?</v>
      </c>
      <c r="C216" s="3459" t="str" cm="1">
        <f t="array" ref="C216">IFBLANK(_PL!C216,"")</f>
        <v>Segment III Name</v>
      </c>
      <c r="D216" s="1548" t="s">
        <v>177</v>
      </c>
      <c r="E216" s="2453"/>
      <c r="F216" s="572"/>
      <c r="G216" s="572"/>
      <c r="H216" s="572"/>
      <c r="I216" s="572"/>
      <c r="J216" s="401"/>
      <c r="K216" s="578" t="str">
        <f t="shared" si="54"/>
        <v>No</v>
      </c>
      <c r="L216" s="37"/>
      <c r="N216" s="158"/>
      <c r="O216" s="101"/>
      <c r="P216" s="52"/>
      <c r="Q216" s="2"/>
      <c r="R216" s="101"/>
      <c r="S216" s="3008"/>
      <c r="T216" s="3008"/>
      <c r="U216" s="39"/>
      <c r="V216" s="37"/>
      <c r="W216" s="3469" t="e">
        <f ca="1">_PL!W216</f>
        <v>#NAME?</v>
      </c>
      <c r="X216" s="1247"/>
      <c r="Y216" s="3472" t="e">
        <f ca="1">_PL!Y216</f>
        <v>#NAME?</v>
      </c>
      <c r="Z216" s="1632" t="s">
        <v>157</v>
      </c>
      <c r="AA216" s="1633"/>
      <c r="AB216" s="1630" t="s">
        <v>83</v>
      </c>
      <c r="AC216" s="876"/>
      <c r="AD216" s="3186" cm="1">
        <f t="array" ca="1" aca="1" ref="AD216:AD217">fx_checkComp(AD221:AD226)</f>
        <v>1</v>
      </c>
      <c r="AE216" s="3186" cm="1">
        <f t="array" ca="1" aca="1" ref="AE216:AE217">fx_checkComp(AE221:AE226)</f>
        <v>1</v>
      </c>
      <c r="AF216" s="3186" cm="1">
        <f t="array" ca="1" aca="1" ref="AF216:AF217">fx_checkComp(AF221:AF226)</f>
        <v>1</v>
      </c>
      <c r="AG216" s="3186" cm="1">
        <f t="array" ca="1" aca="1" ref="AG216:AG217">fx_checkComp(AG221:AG226)</f>
        <v>1</v>
      </c>
      <c r="AH216" s="3186" cm="1">
        <f t="array" ca="1" aca="1" ref="AH216:AH217">fx_checkComp(AH221:AH226)</f>
        <v>1</v>
      </c>
      <c r="AI216" s="3186" cm="1">
        <f t="array" ca="1" aca="1" ref="AI216:AI217">fx_checkComp(AI221:AI226)</f>
        <v>1</v>
      </c>
      <c r="AJ216" s="3186" cm="1">
        <f t="array" ca="1" aca="1" ref="AJ216:AJ217">fx_checkComp(AJ221:AJ226)</f>
        <v>1</v>
      </c>
      <c r="AK216" s="3186" cm="1">
        <f t="array" ca="1" aca="1" ref="AK216:AK217">fx_checkComp(AK221:AK226)</f>
        <v>1</v>
      </c>
      <c r="AL216" s="3186" cm="1">
        <f t="array" ca="1" aca="1" ref="AL216:AL217">fx_checkComp(AL221:AL226)</f>
        <v>1</v>
      </c>
      <c r="AM216" s="3186" cm="1">
        <f t="array" ca="1" aca="1" ref="AM216:AM217">fx_checkComp(AM221:AM226)</f>
        <v>1</v>
      </c>
      <c r="AN216" s="3186" cm="1">
        <f t="array" ca="1" aca="1" ref="AN216:AN217">fx_checkComp(AN221:AN226)</f>
        <v>1</v>
      </c>
      <c r="AO216" s="3186" cm="1">
        <f t="array" ca="1" aca="1" ref="AO216:AO217">fx_checkComp(AO221:AO226)</f>
        <v>1</v>
      </c>
      <c r="AP216" s="3186" cm="1">
        <f t="array" ca="1" aca="1" ref="AP216:AP217">fx_checkComp(AP221:AP226)</f>
        <v>1</v>
      </c>
      <c r="AQ216" s="3186" cm="1">
        <f t="array" ca="1" aca="1" ref="AQ216:AQ217">fx_checkComp(AQ221:AQ226)</f>
        <v>1</v>
      </c>
      <c r="AR216" s="3186" cm="1">
        <f t="array" ca="1" aca="1" ref="AR216:AR217">fx_checkComp(AR221:AR226)</f>
        <v>1</v>
      </c>
      <c r="AS216" s="3186" cm="1">
        <f t="array" ca="1" aca="1" ref="AS216:AS217">fx_checkComp(AS221:AS226)</f>
        <v>1</v>
      </c>
      <c r="AT216" s="3186" cm="1">
        <f t="array" ca="1" aca="1" ref="AT216:AT217">fx_checkComp(AT221:AT226)</f>
        <v>1</v>
      </c>
      <c r="AU216" s="3186" cm="1">
        <f t="array" ca="1" aca="1" ref="AU216:AU217">fx_checkComp(AU221:AU226)</f>
        <v>1</v>
      </c>
      <c r="AV216" s="3186" cm="1">
        <f t="array" ca="1" aca="1" ref="AV216:AV217">fx_checkComp(AV221:AV226)</f>
        <v>1</v>
      </c>
      <c r="AW216" s="3186" cm="1">
        <f t="array" ca="1" aca="1" ref="AW216:AW217">fx_checkComp(AW221:AW226)</f>
        <v>1</v>
      </c>
      <c r="AX216" s="3186" cm="1">
        <f t="array" ca="1" aca="1" ref="AX216:AX217">fx_checkComp(AX221:AX226)</f>
        <v>1</v>
      </c>
      <c r="AY216" s="3186" cm="1">
        <f t="array" ca="1" aca="1" ref="AY216:AY217">fx_checkComp(AY221:AY226)</f>
        <v>1</v>
      </c>
      <c r="AZ216" s="3186" cm="1">
        <f t="array" ca="1" aca="1" ref="AZ216:AZ217">fx_checkComp(AZ221:AZ226)</f>
        <v>1</v>
      </c>
      <c r="BA216" s="3186" cm="1">
        <f t="array" ca="1" aca="1" ref="BA216:BA217">fx_checkComp(BA221:BA226)</f>
        <v>1</v>
      </c>
      <c r="BB216" s="3186" cm="1">
        <f t="array" ca="1" aca="1" ref="BB216:BB217">fx_checkComp(BB221:BB226)</f>
        <v>1</v>
      </c>
      <c r="BC216" s="3186" cm="1">
        <f t="array" ca="1" aca="1" ref="BC216:BC217">fx_checkComp(BC221:BC226)</f>
        <v>1</v>
      </c>
      <c r="BD216" s="3186" cm="1">
        <f t="array" ca="1" aca="1" ref="BD216:BD217">fx_checkComp(BD221:BD226)</f>
        <v>1</v>
      </c>
      <c r="BE216" s="3186" cm="1">
        <f t="array" ca="1" aca="1" ref="BE216:BE217">fx_checkComp(BE221:BE226)</f>
        <v>1</v>
      </c>
      <c r="BF216" s="3186" cm="1">
        <f t="array" ca="1" aca="1" ref="BF216:BF217">fx_checkComp(BF221:BF226)</f>
        <v>1</v>
      </c>
      <c r="BG216" s="3186" cm="1">
        <f t="array" ca="1" aca="1" ref="BG216:BG217">fx_checkComp(BG221:BG226)</f>
        <v>1</v>
      </c>
      <c r="BH216" s="3186" cm="1">
        <f t="array" ca="1" aca="1" ref="BH216:BH217">fx_checkComp(BH221:BH226)</f>
        <v>1</v>
      </c>
      <c r="BI216" s="3186" cm="1">
        <f t="array" ca="1" aca="1" ref="BI216:BI217">fx_checkComp(BI221:BI226)</f>
        <v>1</v>
      </c>
      <c r="BJ216" s="3186" cm="1">
        <f t="array" ca="1" aca="1" ref="BJ216:BJ217">fx_checkComp(BJ221:BJ226)</f>
        <v>1</v>
      </c>
      <c r="BK216" s="3186" cm="1">
        <f t="array" ca="1" aca="1" ref="BK216:BK217">fx_checkComp(BK221:BK226)</f>
        <v>1</v>
      </c>
      <c r="BL216" s="3186" cm="1">
        <f t="array" ca="1" aca="1" ref="BL216:BL217">fx_checkComp(BL221:BL226)</f>
        <v>1</v>
      </c>
      <c r="BM216" s="3186" cm="1">
        <f t="array" ca="1" aca="1" ref="BM216:BM217">fx_checkComp(BM221:BM226)</f>
        <v>1</v>
      </c>
      <c r="BN216" s="3187" cm="1">
        <f t="array" ca="1" aca="1" ref="BN216:BN217">fx_checkComp(BN221:BN226)</f>
        <v>1</v>
      </c>
      <c r="BO216" s="1804"/>
      <c r="BP216" s="1804"/>
      <c r="BQ216" s="1804"/>
      <c r="BR216" s="1804"/>
      <c r="BS216" s="1804"/>
      <c r="BT216" s="1804"/>
      <c r="BU216" s="1804"/>
      <c r="BV216" s="1804"/>
      <c r="BW216" s="1804"/>
      <c r="BX216" s="1804"/>
      <c r="BY216" s="1804"/>
      <c r="BZ216" s="1804"/>
      <c r="CA216" s="34"/>
      <c r="CC216" s="2587"/>
      <c r="CD216" s="1343" t="e" cm="1">
        <f t="array" ca="1" aca="1" ref="CD216">YEAR(val_currentFYE)-2</f>
        <v>#NAME?</v>
      </c>
      <c r="CE216" s="1344" t="e" cm="1">
        <f t="array" ca="1" aca="1" ref="CE216">YEAR(val_currentFYE)-1</f>
        <v>#NAME?</v>
      </c>
      <c r="CF216" s="128"/>
      <c r="CG216" s="205" t="e" cm="1">
        <f t="array" ca="1" aca="1" ref="CG216">YEAR(val_currentFYE)</f>
        <v>#NAME?</v>
      </c>
      <c r="CH216" s="206" t="e" cm="1">
        <f t="array" ca="1" aca="1" ref="CH216">YEAR(val_currentFYE)</f>
        <v>#NAME?</v>
      </c>
      <c r="CI216" s="207"/>
      <c r="CJ216" s="208" t="s">
        <v>54</v>
      </c>
      <c r="CK216" s="209" t="s">
        <v>54</v>
      </c>
      <c r="CL216" s="88"/>
      <c r="CM216" s="1200" t="e" cm="1">
        <f t="array" ca="1" aca="1" ref="CM216">YEAR(val_currentFYE)</f>
        <v>#NAME?</v>
      </c>
      <c r="CN216" s="1340" t="e" cm="1">
        <f t="array" ca="1" aca="1" ref="CN216">YEAR(val_currentFYE)</f>
        <v>#NAME?</v>
      </c>
      <c r="CO216" s="88"/>
      <c r="CP216" s="1200" t="e" cm="1">
        <f t="array" ca="1" aca="1" ref="CP216">YEAR(val_currentFYE)+1</f>
        <v>#NAME?</v>
      </c>
      <c r="CQ216" s="1340" t="e" cm="1">
        <f t="array" ca="1" aca="1" ref="CQ216">YEAR(val_currentFYE)+1</f>
        <v>#NAME?</v>
      </c>
      <c r="CR216" s="34"/>
      <c r="CS216" s="2056"/>
      <c r="CT216" s="2447" t="e" cm="1">
        <f t="array" ca="1" aca="1" ref="CT216">IF(Y216="Untitled Segmentation III","",_xldudf_CX_PUSH(Y216,CX_ENTITY,C216,val_asOfDate))</f>
        <v>#NAME?</v>
      </c>
      <c r="CU216" s="2447" t="e" cm="1">
        <f t="array" ca="1" aca="1" ref="CU216">IF(Y216="Untitled Segmentation III","",_xldudf_CX_PUSH(Y216,CX_ENTITY,C216,EOMONTH(val_asOfDate,1)))</f>
        <v>#NAME?</v>
      </c>
      <c r="CV216" s="2447" t="e" cm="1">
        <f t="array" ca="1" aca="1" ref="CV216">IF(Y216="Untitled Segmentation III","",_xldudf_CX_PUSH(Y216,CX_ENTITY,C216,EOMONTH(val_asOfDate,2)))</f>
        <v>#NAME?</v>
      </c>
      <c r="CW216" s="2447" t="e" cm="1">
        <f t="array" ca="1" aca="1" ref="CW216">IF(Y216="Untitled Segmentation III","",_xldudf_CX_PUSH(Y216,CX_ENTITY,C216,EOMONTH(val_asOfDate,3)))</f>
        <v>#NAME?</v>
      </c>
      <c r="CX216" s="2566"/>
      <c r="CY216" s="1880"/>
      <c r="CZ216" s="1880"/>
      <c r="DA216" s="1880"/>
      <c r="DB216" s="1880"/>
      <c r="DC216" s="2121"/>
      <c r="DD216" s="1880"/>
      <c r="DE216" s="1880"/>
      <c r="DF216" s="1880"/>
      <c r="DG216" s="1880"/>
      <c r="DH216" s="1880"/>
      <c r="DI216" s="1880"/>
      <c r="DJ216" s="1880"/>
      <c r="DK216" s="1880"/>
      <c r="DL216" s="1880"/>
      <c r="DM216" s="1880"/>
      <c r="DN216" s="1880"/>
      <c r="DO216" s="1880"/>
      <c r="DP216" s="1880"/>
      <c r="DQ216" s="1880"/>
      <c r="DR216" s="1880"/>
      <c r="DS216" s="1880"/>
      <c r="DT216" s="1880"/>
      <c r="DU216" s="1880"/>
      <c r="DV216" s="1880"/>
      <c r="DW216" s="1880"/>
      <c r="DX216" s="1880"/>
      <c r="DY216" s="1880"/>
      <c r="DZ216" s="1880"/>
      <c r="EA216" s="1880"/>
      <c r="EB216" s="1880"/>
      <c r="EC216" s="1880"/>
      <c r="ED216" s="1880"/>
      <c r="EE216" s="1880"/>
      <c r="EF216" s="1880"/>
      <c r="EG216" s="1880"/>
      <c r="EH216" s="1880"/>
      <c r="EI216" s="1880"/>
      <c r="EJ216" s="1880"/>
      <c r="EK216" s="1880"/>
      <c r="EL216" s="1880"/>
      <c r="EM216" s="1880"/>
      <c r="EN216" s="1880"/>
      <c r="EO216" s="1880"/>
      <c r="EP216" s="1880"/>
    </row>
    <row r="217" spans="1:146" ht="18" customHeight="1">
      <c r="A217" s="1627"/>
      <c r="B217" s="2439"/>
      <c r="C217" s="3459" t="s">
        <v>178</v>
      </c>
      <c r="D217" s="2458" t="s">
        <v>94</v>
      </c>
      <c r="E217" s="2453"/>
      <c r="F217" s="572"/>
      <c r="G217" s="572"/>
      <c r="H217" s="572"/>
      <c r="I217" s="572"/>
      <c r="J217" s="401"/>
      <c r="K217" s="578" t="str">
        <f t="shared" si="54"/>
        <v>No</v>
      </c>
      <c r="L217" s="37"/>
      <c r="N217" s="158"/>
      <c r="O217" s="101"/>
      <c r="P217" s="52"/>
      <c r="Q217" s="2"/>
      <c r="R217" s="101"/>
      <c r="S217" s="3008"/>
      <c r="T217" s="3008"/>
      <c r="U217" s="39"/>
      <c r="V217" s="37"/>
      <c r="W217" s="3039"/>
      <c r="X217" s="1250"/>
      <c r="Y217" s="3049"/>
      <c r="Z217" s="1636"/>
      <c r="AA217" s="1629"/>
      <c r="AB217" s="1631" t="s">
        <v>84</v>
      </c>
      <c r="AC217" s="1637"/>
      <c r="AD217" s="2430" t="str">
        <f ca="1"/>
        <v>O: 6 / 6</v>
      </c>
      <c r="AE217" s="2430" t="str">
        <f ca="1"/>
        <v>O: 6 / 6</v>
      </c>
      <c r="AF217" s="2430" t="str">
        <f ca="1"/>
        <v>O: 6 / 6</v>
      </c>
      <c r="AG217" s="2430" t="str">
        <f ca="1"/>
        <v>O: 6 / 6</v>
      </c>
      <c r="AH217" s="2430" t="str">
        <f ca="1"/>
        <v>O: 6 / 6</v>
      </c>
      <c r="AI217" s="2430" t="str">
        <f ca="1"/>
        <v>O: 6 / 6</v>
      </c>
      <c r="AJ217" s="2430" t="str">
        <f ca="1"/>
        <v>O: 6 / 6</v>
      </c>
      <c r="AK217" s="2430" t="str">
        <f ca="1"/>
        <v>O: 6 / 6</v>
      </c>
      <c r="AL217" s="2430" t="str">
        <f ca="1"/>
        <v>O: 6 / 6</v>
      </c>
      <c r="AM217" s="2430" t="str">
        <f ca="1"/>
        <v>O: 6 / 6</v>
      </c>
      <c r="AN217" s="2430" t="str">
        <f ca="1"/>
        <v>O: 6 / 6</v>
      </c>
      <c r="AO217" s="2430" t="str">
        <f ca="1"/>
        <v>O: 6 / 6</v>
      </c>
      <c r="AP217" s="2430" t="str">
        <f ca="1"/>
        <v>O: 6 / 6</v>
      </c>
      <c r="AQ217" s="2430" t="str">
        <f ca="1"/>
        <v>O: 6 / 6</v>
      </c>
      <c r="AR217" s="2430" t="str">
        <f ca="1"/>
        <v>O: 6 / 6</v>
      </c>
      <c r="AS217" s="2430" t="str">
        <f ca="1"/>
        <v>O: 6 / 6</v>
      </c>
      <c r="AT217" s="2430" t="str">
        <f ca="1"/>
        <v>O: 6 / 6</v>
      </c>
      <c r="AU217" s="2430" t="str">
        <f ca="1"/>
        <v>O: 6 / 6</v>
      </c>
      <c r="AV217" s="2430" t="str">
        <f ca="1"/>
        <v>O: 6 / 6</v>
      </c>
      <c r="AW217" s="2430" t="str">
        <f ca="1"/>
        <v>O: 6 / 6</v>
      </c>
      <c r="AX217" s="2430" t="str">
        <f ca="1"/>
        <v>O: 6 / 6</v>
      </c>
      <c r="AY217" s="2430" t="str">
        <f ca="1"/>
        <v>O: 6 / 6</v>
      </c>
      <c r="AZ217" s="2430" t="str">
        <f ca="1"/>
        <v>O: 6 / 6</v>
      </c>
      <c r="BA217" s="2430" t="str">
        <f ca="1"/>
        <v>O: 6 / 6</v>
      </c>
      <c r="BB217" s="2430" t="str">
        <f ca="1"/>
        <v>O: 6 / 6</v>
      </c>
      <c r="BC217" s="2430" t="str">
        <f ca="1"/>
        <v>O: 6 / 6</v>
      </c>
      <c r="BD217" s="2430" t="str">
        <f ca="1"/>
        <v>O: 6 / 6</v>
      </c>
      <c r="BE217" s="2430" t="str">
        <f ca="1"/>
        <v>O: 6 / 6</v>
      </c>
      <c r="BF217" s="2430" t="str">
        <f ca="1"/>
        <v>O: 6 / 6</v>
      </c>
      <c r="BG217" s="2430" t="str">
        <f ca="1"/>
        <v>O: 6 / 6</v>
      </c>
      <c r="BH217" s="2430" t="str">
        <f ca="1"/>
        <v>O: 6 / 6</v>
      </c>
      <c r="BI217" s="2430" t="str">
        <f ca="1"/>
        <v>O: 6 / 6</v>
      </c>
      <c r="BJ217" s="2430" t="str">
        <f ca="1"/>
        <v>O: 6 / 6</v>
      </c>
      <c r="BK217" s="2430" t="str">
        <f ca="1"/>
        <v>O: 6 / 6</v>
      </c>
      <c r="BL217" s="2430" t="str">
        <f ca="1"/>
        <v>O: 6 / 6</v>
      </c>
      <c r="BM217" s="2430" t="str">
        <f ca="1"/>
        <v>O: 6 / 6</v>
      </c>
      <c r="BN217" s="2431" t="str">
        <f ca="1"/>
        <v>O: 6 / 6</v>
      </c>
      <c r="BO217" s="2432"/>
      <c r="BP217" s="2432"/>
      <c r="BQ217" s="2432"/>
      <c r="BR217" s="2432"/>
      <c r="BS217" s="2432"/>
      <c r="BT217" s="2432"/>
      <c r="BU217" s="2432"/>
      <c r="BV217" s="2432"/>
      <c r="BW217" s="2432"/>
      <c r="BX217" s="2432"/>
      <c r="BY217" s="2432"/>
      <c r="BZ217" s="2432"/>
      <c r="CA217" s="34"/>
      <c r="CC217" s="2587"/>
      <c r="CD217" s="1343"/>
      <c r="CE217" s="1344"/>
      <c r="CF217" s="128"/>
      <c r="CG217" s="205"/>
      <c r="CH217" s="206"/>
      <c r="CI217" s="207"/>
      <c r="CJ217" s="208"/>
      <c r="CK217" s="209"/>
      <c r="CL217" s="88"/>
      <c r="CM217" s="1200"/>
      <c r="CN217" s="1340"/>
      <c r="CO217" s="88"/>
      <c r="CP217" s="1200"/>
      <c r="CQ217" s="1340"/>
      <c r="CR217" s="34"/>
      <c r="CS217" s="2056"/>
      <c r="CT217" s="2447" t="e" cm="1">
        <f t="array" ca="1" aca="1" ref="CT217">IF(W216="Scenario","",_xldudf_CX_PUSH(W216,CX_ENTITY,C217,val_asOfDate))</f>
        <v>#NAME?</v>
      </c>
      <c r="CU217" s="2447" t="e" cm="1">
        <f t="array" ca="1" aca="1" ref="CU217">IF(W216="Scenario","",_xldudf_CX_PUSH(W216,CX_ENTITY,C217,EOMONTH(val_asOfDate,1)))</f>
        <v>#NAME?</v>
      </c>
      <c r="CV217" s="2447" t="e" cm="1">
        <f t="array" ca="1" aca="1" ref="CV217">IF(W216="Scenario","",_xldudf_CX_PUSH(W216,CX_ENTITY,C217,EOMONTH(val_asOfDate,2)))</f>
        <v>#NAME?</v>
      </c>
      <c r="CW217" s="2447" t="e" cm="1">
        <f t="array" ca="1" aca="1" ref="CW217">IF(W216="Scenario","",_xldudf_CX_PUSH(W216,CX_ENTITY,C217,EOMONTH(val_asOfDate,3)))</f>
        <v>#NAME?</v>
      </c>
      <c r="CX217" s="2566"/>
      <c r="CY217" s="1880"/>
      <c r="CZ217" s="1880"/>
      <c r="DA217" s="1880"/>
      <c r="DB217" s="1880"/>
      <c r="DC217" s="2121"/>
      <c r="DD217" s="1880"/>
      <c r="DE217" s="1880"/>
      <c r="DF217" s="1880"/>
      <c r="DG217" s="1880"/>
      <c r="DH217" s="1880"/>
      <c r="DI217" s="1880"/>
      <c r="DJ217" s="1880"/>
      <c r="DK217" s="1880"/>
      <c r="DL217" s="1880"/>
      <c r="DM217" s="1880"/>
      <c r="DN217" s="1880"/>
      <c r="DO217" s="1880"/>
      <c r="DP217" s="1880"/>
      <c r="DQ217" s="1880"/>
      <c r="DR217" s="1880"/>
      <c r="DS217" s="1880"/>
      <c r="DT217" s="1880"/>
      <c r="DU217" s="1880"/>
      <c r="DV217" s="1880"/>
      <c r="DW217" s="1880"/>
      <c r="DX217" s="1880"/>
      <c r="DY217" s="1880"/>
      <c r="DZ217" s="1880"/>
      <c r="EA217" s="1880"/>
      <c r="EB217" s="1880"/>
      <c r="EC217" s="1880"/>
      <c r="ED217" s="1880"/>
      <c r="EE217" s="1880"/>
      <c r="EF217" s="1880"/>
      <c r="EG217" s="1880"/>
      <c r="EH217" s="1880"/>
      <c r="EI217" s="1880"/>
      <c r="EJ217" s="1880"/>
      <c r="EK217" s="1880"/>
      <c r="EL217" s="1880"/>
      <c r="EM217" s="1880"/>
      <c r="EN217" s="1880"/>
      <c r="EO217" s="1880"/>
      <c r="EP217" s="1880"/>
    </row>
    <row r="218" spans="1:146" ht="30.75" customHeight="1">
      <c r="A218" s="1627"/>
      <c r="B218" s="2439" t="str">
        <f>_xlfn.LET(_xlpm.IsNotAttrDynamic,D218="",_xlpm.Attr,_PL!F218,_xlpm.NotInUse,Y218=D218,_xlpm.RESULT,IF(_xlpm.IsNotAttrDynamic,_xlpm.Attr,IF(_xlpm.NotInUse,"",Y218)),IF(_xlpm.RESULT="","",_xlpm.RESULT))</f>
        <v/>
      </c>
      <c r="C218" s="2439" t="str" cm="1">
        <f t="array" ref="C218">IFBLANK(_PL!C218,"")</f>
        <v/>
      </c>
      <c r="D218" s="1548"/>
      <c r="E218" s="2453"/>
      <c r="F218" s="572"/>
      <c r="G218" s="572"/>
      <c r="H218" s="572"/>
      <c r="I218" s="572">
        <v>3</v>
      </c>
      <c r="J218" s="401"/>
      <c r="K218" s="578" t="str">
        <f t="shared" si="54"/>
        <v>No</v>
      </c>
      <c r="L218" s="37"/>
      <c r="N218" s="158"/>
      <c r="O218" s="101"/>
      <c r="P218" s="52"/>
      <c r="Q218" s="101"/>
      <c r="R218" s="101"/>
      <c r="S218" s="3008"/>
      <c r="T218" s="3008"/>
      <c r="U218" s="39"/>
      <c r="V218" s="37"/>
      <c r="W218" s="161"/>
      <c r="X218" s="887"/>
      <c r="Y218" s="2597"/>
      <c r="Z218" s="789"/>
      <c r="AA218" s="163"/>
      <c r="AB218" s="162"/>
      <c r="AC218" s="1164"/>
      <c r="AD218" s="2361" cm="1">
        <f t="array" ref="AD218:BN218">array_timeline</f>
        <v>44926</v>
      </c>
      <c r="AE218" s="2361">
        <v>44957</v>
      </c>
      <c r="AF218" s="2361">
        <v>44985</v>
      </c>
      <c r="AG218" s="2361">
        <v>45016</v>
      </c>
      <c r="AH218" s="2361">
        <v>45046</v>
      </c>
      <c r="AI218" s="2361">
        <v>45077</v>
      </c>
      <c r="AJ218" s="2361">
        <v>45107</v>
      </c>
      <c r="AK218" s="2361">
        <v>45138</v>
      </c>
      <c r="AL218" s="2361">
        <v>45169</v>
      </c>
      <c r="AM218" s="2361">
        <v>45199</v>
      </c>
      <c r="AN218" s="2361">
        <v>45230</v>
      </c>
      <c r="AO218" s="2361">
        <v>45260</v>
      </c>
      <c r="AP218" s="2361">
        <v>45291</v>
      </c>
      <c r="AQ218" s="2361">
        <v>45322</v>
      </c>
      <c r="AR218" s="2361">
        <v>45351</v>
      </c>
      <c r="AS218" s="2361">
        <v>45382</v>
      </c>
      <c r="AT218" s="2361">
        <v>45412</v>
      </c>
      <c r="AU218" s="2361">
        <v>45443</v>
      </c>
      <c r="AV218" s="2361">
        <v>45473</v>
      </c>
      <c r="AW218" s="2361">
        <v>45504</v>
      </c>
      <c r="AX218" s="2361">
        <v>45535</v>
      </c>
      <c r="AY218" s="2361">
        <v>45565</v>
      </c>
      <c r="AZ218" s="2361">
        <v>45596</v>
      </c>
      <c r="BA218" s="2361">
        <v>45626</v>
      </c>
      <c r="BB218" s="2361">
        <v>45657</v>
      </c>
      <c r="BC218" s="2361">
        <v>45688</v>
      </c>
      <c r="BD218" s="2361">
        <v>45716</v>
      </c>
      <c r="BE218" s="2361">
        <v>45747</v>
      </c>
      <c r="BF218" s="2361">
        <v>45777</v>
      </c>
      <c r="BG218" s="2361">
        <v>45808</v>
      </c>
      <c r="BH218" s="2361">
        <v>45838</v>
      </c>
      <c r="BI218" s="2361">
        <v>45869</v>
      </c>
      <c r="BJ218" s="2361">
        <v>45900</v>
      </c>
      <c r="BK218" s="2361">
        <v>45930</v>
      </c>
      <c r="BL218" s="2361">
        <v>45961</v>
      </c>
      <c r="BM218" s="2361">
        <v>45991</v>
      </c>
      <c r="BN218" s="2541">
        <v>46022</v>
      </c>
      <c r="BO218" s="2495"/>
      <c r="BP218" s="2495"/>
      <c r="BQ218" s="2495"/>
      <c r="BR218" s="2495"/>
      <c r="BS218" s="2495"/>
      <c r="BT218" s="2495"/>
      <c r="BU218" s="2495"/>
      <c r="BV218" s="2495"/>
      <c r="BW218" s="2495"/>
      <c r="BX218" s="2495"/>
      <c r="BY218" s="2495"/>
      <c r="BZ218" s="2495"/>
      <c r="CA218" s="34"/>
      <c r="CC218" s="2587"/>
      <c r="CD218" s="1722" t="e" cm="1">
        <f t="array" ca="1" aca="1" ref="CD218">EOMONTH(val_currentFYE,-24)</f>
        <v>#NAME?</v>
      </c>
      <c r="CE218" s="1723" t="e" cm="1">
        <f t="array" ca="1" aca="1" ref="CE218">EOMONTH(val_currentFYE,-12)</f>
        <v>#NAME?</v>
      </c>
      <c r="CF218" s="277"/>
      <c r="CG218" s="1732">
        <f>EOMONTH(val_asOfDate,0)</f>
        <v>46022</v>
      </c>
      <c r="CH218" s="1733">
        <f>EOMONTH(val_asOfDate,0)</f>
        <v>46022</v>
      </c>
      <c r="CI218" s="276"/>
      <c r="CJ218" s="1730">
        <f>EOMONTH(val_asOfDate,-1)</f>
        <v>45991</v>
      </c>
      <c r="CK218" s="1731">
        <f>EOMONTH(val_asOfDate,0)</f>
        <v>46022</v>
      </c>
      <c r="CL218" s="88"/>
      <c r="CM218" s="2561" t="e" cm="1">
        <f t="array" ca="1" aca="1" ref="CM218">val_currentFYE</f>
        <v>#NAME?</v>
      </c>
      <c r="CN218" s="2581" t="e" cm="1">
        <f t="array" ca="1" aca="1" ref="CN218">val_currentFYE</f>
        <v>#NAME?</v>
      </c>
      <c r="CO218" s="2580"/>
      <c r="CP218" s="2561" t="e" cm="1">
        <f t="array" ca="1" aca="1" ref="CP218">EOMONTH(val_currentFYE,12)</f>
        <v>#NAME?</v>
      </c>
      <c r="CQ218" s="2581" t="e" cm="1">
        <f t="array" ca="1" aca="1" ref="CQ218">EOMONTH(val_currentFYE,12)</f>
        <v>#NAME?</v>
      </c>
      <c r="CR218" s="34"/>
      <c r="CS218" s="2056"/>
      <c r="CT218" s="1880"/>
      <c r="CU218" s="1880"/>
      <c r="CV218" s="1880"/>
      <c r="CW218" s="1880"/>
      <c r="CX218" s="2121"/>
      <c r="CY218" s="1880"/>
      <c r="CZ218" s="1880"/>
      <c r="DA218" s="1880"/>
      <c r="DB218" s="1880"/>
      <c r="DC218" s="2121"/>
      <c r="DD218" s="1880"/>
      <c r="DE218" s="1880"/>
      <c r="DF218" s="1880"/>
      <c r="DG218" s="1880"/>
      <c r="DH218" s="1880"/>
      <c r="DI218" s="1880"/>
      <c r="DJ218" s="1880"/>
      <c r="DK218" s="1880"/>
      <c r="DL218" s="1880"/>
      <c r="DM218" s="1880"/>
      <c r="DN218" s="1880"/>
      <c r="DO218" s="1880"/>
      <c r="DP218" s="1880"/>
      <c r="DQ218" s="1880"/>
      <c r="DR218" s="1880"/>
      <c r="DS218" s="1880"/>
      <c r="DT218" s="1880"/>
      <c r="DU218" s="1880"/>
      <c r="DV218" s="1880"/>
      <c r="DW218" s="1880"/>
      <c r="DX218" s="1880"/>
      <c r="DY218" s="1880"/>
      <c r="DZ218" s="1880"/>
      <c r="EA218" s="1880"/>
      <c r="EB218" s="1880"/>
      <c r="EC218" s="1880"/>
      <c r="ED218" s="1880"/>
      <c r="EE218" s="1880"/>
      <c r="EF218" s="1880"/>
      <c r="EG218" s="1880"/>
      <c r="EH218" s="1880"/>
      <c r="EI218" s="1880"/>
      <c r="EJ218" s="1880"/>
      <c r="EK218" s="1880"/>
      <c r="EL218" s="1880"/>
      <c r="EM218" s="1880"/>
      <c r="EN218" s="1880"/>
      <c r="EO218" s="1880"/>
      <c r="EP218" s="1880"/>
    </row>
    <row r="219" spans="1:146" ht="30.75" customHeight="1">
      <c r="A219" s="1627"/>
      <c r="B219" s="2439" t="str">
        <f>_xlfn.LET(_xlpm.IsNotAttrDynamic,D219="",_xlpm.Attr,_PL!F219,_xlpm.NotInUse,Y219=D219,_xlpm.RESULT,IF(_xlpm.IsNotAttrDynamic,_xlpm.Attr,IF(_xlpm.NotInUse,"",Y219)),IF(_xlpm.RESULT="","",_xlpm.RESULT))</f>
        <v>Segments Structure</v>
      </c>
      <c r="C219" s="2439" t="str" cm="1">
        <f t="array" ref="C219">IFBLANK(_PL!C219,"")</f>
        <v/>
      </c>
      <c r="D219" s="1548" t="s">
        <v>118</v>
      </c>
      <c r="E219" s="2453"/>
      <c r="F219" s="576"/>
      <c r="G219" s="576"/>
      <c r="H219" s="2546"/>
      <c r="I219" s="2546"/>
      <c r="J219" s="401"/>
      <c r="K219" s="578" t="str">
        <f t="shared" si="54"/>
        <v>No</v>
      </c>
      <c r="L219" s="37"/>
      <c r="N219" s="158"/>
      <c r="O219" s="101"/>
      <c r="P219" s="52"/>
      <c r="Q219" s="101"/>
      <c r="R219" s="101"/>
      <c r="S219" s="3008"/>
      <c r="T219" s="3008"/>
      <c r="U219" s="39"/>
      <c r="V219" s="37"/>
      <c r="W219" s="272" t="s">
        <v>94</v>
      </c>
      <c r="X219" s="889"/>
      <c r="Y219" s="762" t="s">
        <v>159</v>
      </c>
      <c r="Z219" s="798"/>
      <c r="AA219" s="193"/>
      <c r="AB219" s="193"/>
      <c r="AC219" s="125"/>
      <c r="AD219" s="2641" t="e">
        <f ca="1">$W$216</f>
        <v>#NAME?</v>
      </c>
      <c r="AE219" s="2641" t="e">
        <f ca="1" t="shared" si="58" ref="AE219:BN219">$W$216</f>
        <v>#NAME?</v>
      </c>
      <c r="AF219" s="2641" t="e">
        <f t="shared" ca="1" si="58"/>
        <v>#NAME?</v>
      </c>
      <c r="AG219" s="2641" t="e">
        <f t="shared" ca="1" si="58"/>
        <v>#NAME?</v>
      </c>
      <c r="AH219" s="2641" t="e">
        <f t="shared" ca="1" si="58"/>
        <v>#NAME?</v>
      </c>
      <c r="AI219" s="2641" t="e">
        <f t="shared" ca="1" si="58"/>
        <v>#NAME?</v>
      </c>
      <c r="AJ219" s="2641" t="e">
        <f t="shared" ca="1" si="58"/>
        <v>#NAME?</v>
      </c>
      <c r="AK219" s="2641" t="e">
        <f t="shared" ca="1" si="58"/>
        <v>#NAME?</v>
      </c>
      <c r="AL219" s="2641" t="e">
        <f t="shared" ca="1" si="58"/>
        <v>#NAME?</v>
      </c>
      <c r="AM219" s="2641" t="e">
        <f t="shared" ca="1" si="58"/>
        <v>#NAME?</v>
      </c>
      <c r="AN219" s="2641" t="e">
        <f t="shared" ca="1" si="58"/>
        <v>#NAME?</v>
      </c>
      <c r="AO219" s="2641" t="e">
        <f t="shared" ca="1" si="58"/>
        <v>#NAME?</v>
      </c>
      <c r="AP219" s="2641" t="e">
        <f t="shared" ca="1" si="58"/>
        <v>#NAME?</v>
      </c>
      <c r="AQ219" s="2641" t="e">
        <f t="shared" ca="1" si="58"/>
        <v>#NAME?</v>
      </c>
      <c r="AR219" s="2641" t="e">
        <f t="shared" ca="1" si="58"/>
        <v>#NAME?</v>
      </c>
      <c r="AS219" s="2641" t="e">
        <f t="shared" ca="1" si="58"/>
        <v>#NAME?</v>
      </c>
      <c r="AT219" s="2641" t="e">
        <f t="shared" ca="1" si="58"/>
        <v>#NAME?</v>
      </c>
      <c r="AU219" s="2641" t="e">
        <f t="shared" ca="1" si="58"/>
        <v>#NAME?</v>
      </c>
      <c r="AV219" s="2641" t="e">
        <f t="shared" ca="1" si="58"/>
        <v>#NAME?</v>
      </c>
      <c r="AW219" s="2641" t="e">
        <f t="shared" ca="1" si="58"/>
        <v>#NAME?</v>
      </c>
      <c r="AX219" s="2641" t="e">
        <f t="shared" ca="1" si="58"/>
        <v>#NAME?</v>
      </c>
      <c r="AY219" s="2641" t="e">
        <f t="shared" ca="1" si="58"/>
        <v>#NAME?</v>
      </c>
      <c r="AZ219" s="2641" t="e">
        <f t="shared" ca="1" si="58"/>
        <v>#NAME?</v>
      </c>
      <c r="BA219" s="2641" t="e">
        <f t="shared" ca="1" si="58"/>
        <v>#NAME?</v>
      </c>
      <c r="BB219" s="2641" t="e">
        <f t="shared" ca="1" si="58"/>
        <v>#NAME?</v>
      </c>
      <c r="BC219" s="2641" t="e">
        <f t="shared" ca="1" si="58"/>
        <v>#NAME?</v>
      </c>
      <c r="BD219" s="2641" t="e">
        <f t="shared" ca="1" si="58"/>
        <v>#NAME?</v>
      </c>
      <c r="BE219" s="2641" t="e">
        <f t="shared" ca="1" si="58"/>
        <v>#NAME?</v>
      </c>
      <c r="BF219" s="2641" t="e">
        <f t="shared" ca="1" si="58"/>
        <v>#NAME?</v>
      </c>
      <c r="BG219" s="2641" t="e">
        <f t="shared" ca="1" si="58"/>
        <v>#NAME?</v>
      </c>
      <c r="BH219" s="2641" t="e">
        <f t="shared" ca="1" si="58"/>
        <v>#NAME?</v>
      </c>
      <c r="BI219" s="2641" t="e">
        <f t="shared" ca="1" si="58"/>
        <v>#NAME?</v>
      </c>
      <c r="BJ219" s="2641" t="e">
        <f t="shared" ca="1" si="58"/>
        <v>#NAME?</v>
      </c>
      <c r="BK219" s="2641" t="e">
        <f t="shared" ca="1" si="58"/>
        <v>#NAME?</v>
      </c>
      <c r="BL219" s="2641" t="e">
        <f t="shared" ca="1" si="58"/>
        <v>#NAME?</v>
      </c>
      <c r="BM219" s="2641" t="e">
        <f t="shared" ca="1" si="58"/>
        <v>#NAME?</v>
      </c>
      <c r="BN219" s="2641" t="e">
        <f t="shared" ca="1" si="58"/>
        <v>#NAME?</v>
      </c>
      <c r="BO219" s="2070"/>
      <c r="BP219" s="2070"/>
      <c r="BQ219" s="2070"/>
      <c r="BR219" s="2070"/>
      <c r="BS219" s="2070"/>
      <c r="BT219" s="2070"/>
      <c r="BU219" s="2070"/>
      <c r="BV219" s="2070"/>
      <c r="BW219" s="2070"/>
      <c r="BX219" s="2070"/>
      <c r="BY219" s="2070"/>
      <c r="BZ219" s="2070"/>
      <c r="CA219" s="34"/>
      <c r="CC219" s="58"/>
      <c r="CD219" s="1720" t="e" cm="1">
        <f t="array" ca="1" aca="1" ref="CD219">fx_scenarioConverter($W216)</f>
        <v>#NAME?</v>
      </c>
      <c r="CE219" s="1721" t="e" cm="1">
        <f t="array" ca="1" aca="1" ref="CE219">fx_scenarioConverter($W216)</f>
        <v>#NAME?</v>
      </c>
      <c r="CF219" s="128"/>
      <c r="CG219" s="1734" t="e" cm="1">
        <f t="array" ca="1" aca="1" ref="CG219">fx_scenarioConverter($W216)</f>
        <v>#NAME?</v>
      </c>
      <c r="CH219" s="1735" t="e" cm="1">
        <f t="array" ca="1" aca="1" ref="CH219">fx_scenarioConverter($W216)</f>
        <v>#NAME?</v>
      </c>
      <c r="CI219" s="207"/>
      <c r="CJ219" s="1724" t="e" cm="1">
        <f t="array" ca="1" aca="1" ref="CJ219">fx_scenarioConverter($W216)</f>
        <v>#NAME?</v>
      </c>
      <c r="CK219" s="1725" t="e" cm="1">
        <f t="array" ca="1" aca="1" ref="CK219">fx_scenarioConverter($W216)</f>
        <v>#NAME?</v>
      </c>
      <c r="CL219" s="88"/>
      <c r="CM219" s="1198" t="str">
        <f>CM$19</f>
        <v>Original Budget</v>
      </c>
      <c r="CN219" s="1198" t="str">
        <f>CN$19</f>
        <v>LE</v>
      </c>
      <c r="CO219" s="88"/>
      <c r="CP219" s="1198" t="str">
        <f>CP$19</f>
        <v>Original Budget</v>
      </c>
      <c r="CQ219" s="1198" t="str">
        <f>CQ$19</f>
        <v>LE</v>
      </c>
      <c r="CR219" s="34"/>
      <c r="CS219" s="2056"/>
      <c r="CT219" s="1880"/>
      <c r="CU219" s="1880"/>
      <c r="CV219" s="1880"/>
      <c r="CW219" s="1880"/>
      <c r="CX219" s="2121"/>
      <c r="CY219" s="1880"/>
      <c r="CZ219" s="1880"/>
      <c r="DA219" s="1880"/>
      <c r="DB219" s="1880"/>
      <c r="DC219" s="2121"/>
      <c r="DD219" s="1880"/>
      <c r="DE219" s="1880"/>
      <c r="DF219" s="1880"/>
      <c r="DG219" s="1880"/>
      <c r="DH219" s="1880"/>
      <c r="DI219" s="1880"/>
      <c r="DJ219" s="1880"/>
      <c r="DK219" s="1880"/>
      <c r="DL219" s="1880"/>
      <c r="DM219" s="1880"/>
      <c r="DN219" s="1880"/>
      <c r="DO219" s="1880"/>
      <c r="DP219" s="1880"/>
      <c r="DQ219" s="1880"/>
      <c r="DR219" s="1880"/>
      <c r="DS219" s="1880"/>
      <c r="DT219" s="1880"/>
      <c r="DU219" s="1880"/>
      <c r="DV219" s="1880"/>
      <c r="DW219" s="1880"/>
      <c r="DX219" s="1880"/>
      <c r="DY219" s="1880"/>
      <c r="DZ219" s="1880"/>
      <c r="EA219" s="1880"/>
      <c r="EB219" s="1880"/>
      <c r="EC219" s="1880"/>
      <c r="ED219" s="1880"/>
      <c r="EE219" s="1880"/>
      <c r="EF219" s="1880"/>
      <c r="EG219" s="1880"/>
      <c r="EH219" s="1880"/>
      <c r="EI219" s="1880"/>
      <c r="EJ219" s="1880"/>
      <c r="EK219" s="1880"/>
      <c r="EL219" s="1880"/>
      <c r="EM219" s="1880"/>
      <c r="EN219" s="1880"/>
      <c r="EO219" s="1880"/>
      <c r="EP219" s="1880"/>
    </row>
    <row r="220" spans="1:144" ht="21" customHeight="1">
      <c r="A220" s="1627" t="s">
        <v>96</v>
      </c>
      <c r="B220" s="3182">
        <f>_xlfn.LET(_xlpm.IsNotAttrDynamic,D220="",_xlpm.Attr,_PL!F220,_xlpm.NotInUse,Y220=D220,_xlpm.RESULT,IF(_xlpm.IsNotAttrDynamic,_xlpm.Attr,IF(_xlpm.NotInUse,"",Y220)),IF(_xlpm.RESULT="","",_xlpm.RESULT))</f>
        <v>2</v>
      </c>
      <c r="C220" s="2439" t="str" cm="1">
        <f t="array" ref="C220">IFBLANK(_PL!C220,"")</f>
        <v>Segment III Breakdown Top Line Label</v>
      </c>
      <c r="D220" s="1548" t="s">
        <v>160</v>
      </c>
      <c r="E220" s="2440" t="e" cm="1">
        <f t="array" ca="1" aca="1" ref="E22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220:$CQ220,Z220)</f>
        <v>#NAME?</v>
      </c>
      <c r="F220" s="578"/>
      <c r="G220" s="578"/>
      <c r="H220" s="3294">
        <v>2</v>
      </c>
      <c r="I220" s="3294">
        <v>1</v>
      </c>
      <c r="J220" s="401" cm="1">
        <f t="array" ref="J220">IFBLANK(Z220,"")</f>
        <v>0</v>
      </c>
      <c r="K220" s="578" t="str">
        <f>IFERROR(IF(LEN(AB220)=0,"No",IF(LEN(J220)&gt;0,"Yes","No")),"")</f>
        <v>Yes</v>
      </c>
      <c r="L220" s="37"/>
      <c r="N220" s="158"/>
      <c r="O220" s="101"/>
      <c r="P220" s="52"/>
      <c r="Q220" s="101"/>
      <c r="R220" s="101"/>
      <c r="S220" s="3008"/>
      <c r="T220" s="3008"/>
      <c r="U220" s="39"/>
      <c r="V220" s="37"/>
      <c r="W220" s="91" t="e" cm="1">
        <f t="array" ca="1" aca="1" ref="W220">fx_scenarioConverter(W216)</f>
        <v>#NAME?</v>
      </c>
      <c r="X220" s="897" t="e" vm="4">
        <f>_PL!X220</f>
        <v>#VALUE!</v>
      </c>
      <c r="Y220" s="3223">
        <v>2</v>
      </c>
      <c r="Z220" s="878">
        <f>_PL!Z220</f>
        <v>0</v>
      </c>
      <c r="AA220" s="877"/>
      <c r="AB220" s="3184">
        <f>Y220</f>
        <v>2</v>
      </c>
      <c r="AC220" s="1163" t="str" cm="1">
        <f t="array" ca="1" aca="1" ref="AC220">_xlfn.LET(_xlpm._termname,$AB220,_xlpm._iconname,"find",_xlpm._icon,fx_getIcon(_xlpm._iconname),_xlpm._location,_xlfn.XLOOKUP(LOWER(_xlpm._termname),LOWER(tbl_acctDef[Term]),tbl_acctDef[Term]),_xlpm._hyperlink,HYPERLINK("#"&amp;CELL("address",_xlpm._location),_xlpm._icon),IFERROR(_xlpm._hyperlink,""))</f>
        <v/>
      </c>
      <c r="AD220" s="2643" t="e" cm="1">
        <f t="array" ca="1" aca="1" ref="AD220">_xlfn.XLOOKUP($W220&amp;$AB220,$W$20:$W$141&amp;$AB$20:$AB$141,AD$20:BN$141,"")</f>
        <v>#NAME?</v>
      </c>
      <c r="AE220" s="2644"/>
      <c r="AF220" s="2644"/>
      <c r="AG220" s="2644"/>
      <c r="AH220" s="2644"/>
      <c r="AI220" s="2644"/>
      <c r="AJ220" s="2644"/>
      <c r="AK220" s="2644"/>
      <c r="AL220" s="2644"/>
      <c r="AM220" s="2644"/>
      <c r="AN220" s="2644"/>
      <c r="AO220" s="2644"/>
      <c r="AP220" s="2644"/>
      <c r="AQ220" s="2644"/>
      <c r="AR220" s="2644"/>
      <c r="AS220" s="2644"/>
      <c r="AT220" s="2644"/>
      <c r="AU220" s="2644"/>
      <c r="AV220" s="2644"/>
      <c r="AW220" s="2644"/>
      <c r="AX220" s="2644"/>
      <c r="AY220" s="2644"/>
      <c r="AZ220" s="2644"/>
      <c r="BA220" s="2644"/>
      <c r="BB220" s="2644"/>
      <c r="BC220" s="2644"/>
      <c r="BD220" s="2644"/>
      <c r="BE220" s="2644"/>
      <c r="BF220" s="2644"/>
      <c r="BG220" s="2644"/>
      <c r="BH220" s="2644"/>
      <c r="BI220" s="2644"/>
      <c r="BJ220" s="2644"/>
      <c r="BK220" s="2644"/>
      <c r="BL220" s="2644"/>
      <c r="BM220" s="2644"/>
      <c r="BN220" s="2644"/>
      <c r="BO220" s="2601"/>
      <c r="BP220" s="2601"/>
      <c r="BQ220" s="2601"/>
      <c r="BR220" s="2601"/>
      <c r="BS220" s="2601"/>
      <c r="BT220" s="2601"/>
      <c r="BU220" s="2601"/>
      <c r="BV220" s="2601"/>
      <c r="BW220" s="2601"/>
      <c r="BX220" s="2601"/>
      <c r="BY220" s="2601"/>
      <c r="BZ220" s="2601"/>
      <c r="CA220" s="34"/>
      <c r="CC220" s="58"/>
      <c r="CD220" s="1461" t="e" cm="1">
        <f t="array" ca="1" aca="1" ref="CD220">_xlfn.LET(_xlpm.CheckBlank,SUM(PL!$AD220:$BN220)=0,IF(_xlpm.CheckBlank,"",SUM(_xlfn._xlws.FILTER(PL!$AD220:$BN220,(YEAR(PL!$AD$12:$BN$12)=PL!CD$12)*(array_timeline&lt;=PL!CD$11)))))</f>
        <v>#NAME?</v>
      </c>
      <c r="CE220" s="1461" t="e" cm="1">
        <f t="array" ca="1" aca="1" ref="CE220">_xlfn.LET(_xlpm.CheckBlank,SUM(PL!$AD220:$BN220)=0,IF(_xlpm.CheckBlank,"",SUM(_xlfn._xlws.FILTER(PL!$AD220:$BN220,(YEAR(PL!$AD$12:$BN$12)=PL!CE$12)*(array_timeline&lt;=PL!CE$11)))))</f>
        <v>#NAME?</v>
      </c>
      <c r="CF220" s="88"/>
      <c r="CG220" s="1461" t="e" cm="1">
        <f t="array" ca="1" aca="1" ref="CG220">_xlfn.LET(_xlpm.CheckBlank,SUM(PL!$AD220:$BN220)=0,IF(_xlpm.CheckBlank,"",SUM(_xlfn._xlws.FILTER(PL!$AD220:$BN220,(YEAR(PL!$AD$12:$BN$12)=PL!CG$12)*(array_timeline&lt;=PL!CG$11)))))</f>
        <v>#NAME?</v>
      </c>
      <c r="CH220" s="1461" t="e" cm="1">
        <f t="array" ca="1" aca="1" ref="CH220">_xlfn.LET(_xlpm.CheckBlank,SUM(PL!$AD220:$BN220)=0,IF(_xlpm.CheckBlank,"",SUM(_xlfn._xlws.FILTER(PL!$AD220:$BN220,(YEAR(PL!$AD$12:$BN$12)=PL!CH$12)*(array_timeline&lt;=PL!CH$11)))))</f>
        <v>#NAME?</v>
      </c>
      <c r="CI220" s="88"/>
      <c r="CJ220" s="1461" t="e" cm="1">
        <f t="array" ca="1" aca="1" ref="CJ220">_xlfn.LET(_xlpm.CheckBlank,SUM(PL!$AD220:$BN220)=0,IF(_xlpm.CheckBlank,"",SUM(_xlfn.TAKE(_xlfn.DROP(PL!$AD220:$BN220,,-DATEDIFF(PL!CJ$11,val_asOfDate,"M")),1,-12))))</f>
        <v>#NAME?</v>
      </c>
      <c r="CK220" s="1461" t="e" cm="1">
        <f t="array" ca="1" aca="1" ref="CK220">_xlfn.LET(_xlpm.CheckBlank,SUM(PL!$AD220:$BN220)=0,IF(_xlpm.CheckBlank,"",SUM(_xlfn.TAKE(_xlfn.DROP(PL!$AD220:$BN220,,-DATEDIFF(PL!CK$11,val_asOfDate,"M")),1,-12))))</f>
        <v>#NAME?</v>
      </c>
      <c r="CL220" s="88"/>
      <c r="CM220" s="2060" t="str" cm="1">
        <f t="array" ca="1" aca="1" ref="CM220">_xlfn.LET(_xlpm.findRow,_xlfn.XMATCH($W220&amp;$Y220,$W$20:$W$118&amp;$AB$20:$AB$118,0),_xlpm.Choose,_xlfn.CHOOSEROWS(CM$20:CN$118,_xlpm.findRow),_xlpm.RESULT,IF(ISERROR(_xlpm.findRow),"",_xlpm.Choose),_xlpm.RESULT)</f>
        <v/>
      </c>
      <c r="CN220" s="2060"/>
      <c r="CO220" s="88"/>
      <c r="CP220" s="2060" t="str" cm="1">
        <f t="array" ca="1" aca="1" ref="CP220">_xlfn.LET(_xlpm.findRow,_xlfn.XMATCH($W220&amp;$Y220,$W$20:$W$118&amp;$AB$20:$AB$118,0),_xlpm.Choose,_xlfn.CHOOSEROWS(CP$20:CQ$118,_xlpm.findRow),_xlpm.RESULT,IF(ISERROR(_xlpm.findRow),"",_xlpm.Choose),_xlpm.RESULT)</f>
        <v/>
      </c>
      <c r="CQ220" s="2060"/>
      <c r="CR220" s="34"/>
      <c r="CS220" s="2056"/>
      <c r="CT220" s="2447" t="e" cm="1">
        <f t="array" ca="1" aca="1" ref="CT220">IF(Y220="Please select the metric for segmentation","",_xldudf_CX_PUSH(Y220,CX_ENTITY,C220,val_asOfDate))</f>
        <v>#NAME?</v>
      </c>
      <c r="CU220" s="2447" t="e" cm="1">
        <f t="array" ca="1" aca="1" ref="CU220">IF(Y220="Please select the metric for segmentation","",_xldudf_CX_PUSH(Y220,CX_ENTITY,C220,EOMONTH(val_asOfDate,1)))</f>
        <v>#NAME?</v>
      </c>
      <c r="CV220" s="2447" t="e" cm="1">
        <f t="array" ca="1" aca="1" ref="CV220">IF(Y220="Please select the metric for segmentation","",_xldudf_CX_PUSH(Y220,CX_ENTITY,C220,EOMONTH(val_asOfDate,2)))</f>
        <v>#NAME?</v>
      </c>
      <c r="CW220" s="2447" t="e" cm="1">
        <f t="array" ca="1" aca="1" ref="CW220">IF(Y220="Please select the metric for segmentation","",_xldudf_CX_PUSH(Y220,CX_ENTITY,C220,EOMONTH(val_asOfDate,3)))</f>
        <v>#NAME?</v>
      </c>
      <c r="CX220" s="2566"/>
      <c r="CY220" s="2444" t="str" cm="1">
        <f t="array" ca="1" aca="1" ref="CY220">IFERROR(IF(CM220*fxVal_normal=_PL!CM220,"",IF(OR($CM220="",$CM220=0,NOT(ISNUMBER($CM220)),ISERROR($CM220),$B220=""),"",IF($I220=1,IFBLANK(_xldudf_CX_PUSH($CM220*fxVal_normal,CX_ENTITY,$B220,$CM$11,$CM$14,$CM$19,),""),IF($I220=2,IFBLANK(_xldudf_CX_PUSH($CM220,CX_ENTITY,$B220,$CM$11,$CM$14,$CM$19,),""),IF($I220=3,"",IFBLANK(_xldudf_CX_PUSH($CM220,CX_ENTITY,$B220,$CM$11,$CM$14,$CM$19,),"")))))),"")</f>
        <v/>
      </c>
      <c r="CZ220" s="2444" t="str" cm="1">
        <f t="array" ref="CZ220">IFERROR(IF(CN220*fxVal_normal=_PL!CN220,"",IF(OR($CN220="",$CN220=0,NOT(ISNUMBER($CN220)),ISERROR($CN220),$B220=""),"",IF($I220=1,IFBLANK(_xldudf_CX_PUSH($CN220*fxVal_normal,CX_ENTITY,$B220,$CN$11,$CN$14,$CN$19,),""),IF($I220=2,IFBLANK(_xldudf_CX_PUSH($CN220,CX_ENTITY,$B220,$CN$11,$CN$14,$CN$19,),""),IF($I220=3,"",IFBLANK(_xldudf_CX_PUSH($CN220,CX_ENTITY,$B220,$CN$11,$CN$14,$CN$19,),"")))))),"")</f>
        <v/>
      </c>
      <c r="DA220" s="2444" t="str" cm="1">
        <f t="array" ca="1" aca="1" ref="DA220">IFERROR(IF(CP220*fxVal_normal=_PL!CP220,"",IF(OR($CP220="",$CP220=0,NOT(ISNUMBER($CP220)),ISERROR($CP220),$B220=""),"",IF($I220=1,IFBLANK(_xldudf_CX_PUSH($CP220*fxVal_normal,CX_ENTITY,$B220,$CP$11,$CP$14,$CP$19,),""),IF($I220=2,IFBLANK(_xldudf_CX_PUSH($CP220,CX_ENTITY,$B220,$CP$11,$CP$14,$CP$19,),""),IF($I220=3,"",IFBLANK(_xldudf_CX_PUSH($CP220,CX_ENTITY,$B220,$CP$11,$CP$14,$CP$19,),"")))))),"")</f>
        <v/>
      </c>
      <c r="DB220" s="2444" t="str" cm="1">
        <f t="array" ref="DB220">IFERROR(IF(CQ220*fxVal_normal=_PL!CQ220,"",IF(OR($CQ220="",$CQ220=0,NOT(ISNUMBER($CQ220)),ISERROR($CQ220),$B220=""),"",IF($I220=1,IFBLANK(_xldudf_CX_PUSH($CQ220*fxVal_normal,CX_ENTITY,$B220,$CQ$11,$CQ$14,$CQ$19,),""),IF($I220=2,IFBLANK(_xldudf_CX_PUSH($CQ220,CX_ENTITY,$B220,$CQ$11,$CQ$14,$CQ$19,),""),IF($I220=3,"",IFBLANK(_xldudf_CX_PUSH($CQ220,CX_ENTITY,$B220,$CQ$11,$CQ$14,$CQ$19,),"")))))),"")</f>
        <v/>
      </c>
      <c r="DC220" s="2443"/>
      <c r="DD220" s="2445" t="str" cm="1">
        <f t="array" ca="1" aca="1" ref="DD220">IFERROR(IF(AD220*fxVal_normal=_PL!AD220,"",IF(OR(AD220="",NOT(ISNUMBER(AD220)),ISERROR(AD220),$B220=""),"",IF($I220=1,IFBLANK(_xldudf_CX_PUSH(AD220*fxVal_normal,CX_ENTITY,$B220,AD$11,AD$14,AD$219,),""),IF($I220=2,IFBLANK(_xldudf_CX_PUSH(AD220,CX_ENTITY,$B220,AD$11,AD$14,AD$219,),""),IF($I220=3,"",IFBLANK(_xldudf_CX_PUSH(AD220,CX_ENTITY,$B220,AD$11,AD$14,AD$219,),"")))))),"")</f>
        <v/>
      </c>
      <c r="DE220" s="2445" t="str" cm="1">
        <f t="array" ca="1" aca="1" ref="DE220">IFERROR(IF(AE220*fxVal_normal=_PL!AE220,"",IF(OR(AE220="",NOT(ISNUMBER(AE220)),ISERROR(AE220),$B220=""),"",IF($I220=1,IFBLANK(_xldudf_CX_PUSH(AE220*fxVal_normal,CX_ENTITY,$B220,AE$11,AE$14,AE$219,),""),IF($I220=2,IFBLANK(_xldudf_CX_PUSH(AE220,CX_ENTITY,$B220,AE$11,AE$14,AE$219,),""),IF($I220=3,"",IFBLANK(_xldudf_CX_PUSH(AE220,CX_ENTITY,$B220,AE$11,AE$14,AE$219,),"")))))),"")</f>
        <v/>
      </c>
      <c r="DF220" s="2445" t="str" cm="1">
        <f t="array" ca="1" aca="1" ref="DF220">IFERROR(IF(AF220*fxVal_normal=_PL!AF220,"",IF(OR(AF220="",NOT(ISNUMBER(AF220)),ISERROR(AF220),$B220=""),"",IF($I220=1,IFBLANK(_xldudf_CX_PUSH(AF220*fxVal_normal,CX_ENTITY,$B220,AF$11,AF$14,AF$219,),""),IF($I220=2,IFBLANK(_xldudf_CX_PUSH(AF220,CX_ENTITY,$B220,AF$11,AF$14,AF$219,),""),IF($I220=3,"",IFBLANK(_xldudf_CX_PUSH(AF220,CX_ENTITY,$B220,AF$11,AF$14,AF$219,),"")))))),"")</f>
        <v/>
      </c>
      <c r="DG220" s="2445" t="str" cm="1">
        <f t="array" ca="1" aca="1" ref="DG220">IFERROR(IF(AG220*fxVal_normal=_PL!AG220,"",IF(OR(AG220="",NOT(ISNUMBER(AG220)),ISERROR(AG220),$B220=""),"",IF($I220=1,IFBLANK(_xldudf_CX_PUSH(AG220*fxVal_normal,CX_ENTITY,$B220,AG$11,AG$14,AG$219,),""),IF($I220=2,IFBLANK(_xldudf_CX_PUSH(AG220,CX_ENTITY,$B220,AG$11,AG$14,AG$219,),""),IF($I220=3,"",IFBLANK(_xldudf_CX_PUSH(AG220,CX_ENTITY,$B220,AG$11,AG$14,AG$219,),"")))))),"")</f>
        <v/>
      </c>
      <c r="DH220" s="2445" t="str" cm="1">
        <f t="array" ca="1" aca="1" ref="DH220">IFERROR(IF(AH220*fxVal_normal=_PL!AH220,"",IF(OR(AH220="",NOT(ISNUMBER(AH220)),ISERROR(AH220),$B220=""),"",IF($I220=1,IFBLANK(_xldudf_CX_PUSH(AH220*fxVal_normal,CX_ENTITY,$B220,AH$11,AH$14,AH$219,),""),IF($I220=2,IFBLANK(_xldudf_CX_PUSH(AH220,CX_ENTITY,$B220,AH$11,AH$14,AH$219,),""),IF($I220=3,"",IFBLANK(_xldudf_CX_PUSH(AH220,CX_ENTITY,$B220,AH$11,AH$14,AH$219,),"")))))),"")</f>
        <v/>
      </c>
      <c r="DI220" s="2445" t="str" cm="1">
        <f t="array" ca="1" aca="1" ref="DI220">IFERROR(IF(AI220*fxVal_normal=_PL!AI220,"",IF(OR(AI220="",NOT(ISNUMBER(AI220)),ISERROR(AI220),$B220=""),"",IF($I220=1,IFBLANK(_xldudf_CX_PUSH(AI220*fxVal_normal,CX_ENTITY,$B220,AI$11,AI$14,AI$219,),""),IF($I220=2,IFBLANK(_xldudf_CX_PUSH(AI220,CX_ENTITY,$B220,AI$11,AI$14,AI$219,),""),IF($I220=3,"",IFBLANK(_xldudf_CX_PUSH(AI220,CX_ENTITY,$B220,AI$11,AI$14,AI$219,),"")))))),"")</f>
        <v/>
      </c>
      <c r="DJ220" s="2445" t="str" cm="1">
        <f t="array" ca="1" aca="1" ref="DJ220">IFERROR(IF(AJ220*fxVal_normal=_PL!AJ220,"",IF(OR(AJ220="",NOT(ISNUMBER(AJ220)),ISERROR(AJ220),$B220=""),"",IF($I220=1,IFBLANK(_xldudf_CX_PUSH(AJ220*fxVal_normal,CX_ENTITY,$B220,AJ$11,AJ$14,AJ$219,),""),IF($I220=2,IFBLANK(_xldudf_CX_PUSH(AJ220,CX_ENTITY,$B220,AJ$11,AJ$14,AJ$219,),""),IF($I220=3,"",IFBLANK(_xldudf_CX_PUSH(AJ220,CX_ENTITY,$B220,AJ$11,AJ$14,AJ$219,),"")))))),"")</f>
        <v/>
      </c>
      <c r="DK220" s="2445" t="str" cm="1">
        <f t="array" ca="1" aca="1" ref="DK220">IFERROR(IF(AK220*fxVal_normal=_PL!AK220,"",IF(OR(AK220="",NOT(ISNUMBER(AK220)),ISERROR(AK220),$B220=""),"",IF($I220=1,IFBLANK(_xldudf_CX_PUSH(AK220*fxVal_normal,CX_ENTITY,$B220,AK$11,AK$14,AK$219,),""),IF($I220=2,IFBLANK(_xldudf_CX_PUSH(AK220,CX_ENTITY,$B220,AK$11,AK$14,AK$219,),""),IF($I220=3,"",IFBLANK(_xldudf_CX_PUSH(AK220,CX_ENTITY,$B220,AK$11,AK$14,AK$219,),"")))))),"")</f>
        <v/>
      </c>
      <c r="DL220" s="2445" t="str" cm="1">
        <f t="array" ca="1" aca="1" ref="DL220">IFERROR(IF(AL220*fxVal_normal=_PL!AL220,"",IF(OR(AL220="",NOT(ISNUMBER(AL220)),ISERROR(AL220),$B220=""),"",IF($I220=1,IFBLANK(_xldudf_CX_PUSH(AL220*fxVal_normal,CX_ENTITY,$B220,AL$11,AL$14,AL$219,),""),IF($I220=2,IFBLANK(_xldudf_CX_PUSH(AL220,CX_ENTITY,$B220,AL$11,AL$14,AL$219,),""),IF($I220=3,"",IFBLANK(_xldudf_CX_PUSH(AL220,CX_ENTITY,$B220,AL$11,AL$14,AL$219,),"")))))),"")</f>
        <v/>
      </c>
      <c r="DM220" s="2445" t="str" cm="1">
        <f t="array" ca="1" aca="1" ref="DM220">IFERROR(IF(AM220*fxVal_normal=_PL!AM220,"",IF(OR(AM220="",NOT(ISNUMBER(AM220)),ISERROR(AM220),$B220=""),"",IF($I220=1,IFBLANK(_xldudf_CX_PUSH(AM220*fxVal_normal,CX_ENTITY,$B220,AM$11,AM$14,AM$219,),""),IF($I220=2,IFBLANK(_xldudf_CX_PUSH(AM220,CX_ENTITY,$B220,AM$11,AM$14,AM$219,),""),IF($I220=3,"",IFBLANK(_xldudf_CX_PUSH(AM220,CX_ENTITY,$B220,AM$11,AM$14,AM$219,),"")))))),"")</f>
        <v/>
      </c>
      <c r="DN220" s="2445" t="str" cm="1">
        <f t="array" ca="1" aca="1" ref="DN220">IFERROR(IF(AN220*fxVal_normal=_PL!AN220,"",IF(OR(AN220="",NOT(ISNUMBER(AN220)),ISERROR(AN220),$B220=""),"",IF($I220=1,IFBLANK(_xldudf_CX_PUSH(AN220*fxVal_normal,CX_ENTITY,$B220,AN$11,AN$14,AN$219,),""),IF($I220=2,IFBLANK(_xldudf_CX_PUSH(AN220,CX_ENTITY,$B220,AN$11,AN$14,AN$219,),""),IF($I220=3,"",IFBLANK(_xldudf_CX_PUSH(AN220,CX_ENTITY,$B220,AN$11,AN$14,AN$219,),"")))))),"")</f>
        <v/>
      </c>
      <c r="DO220" s="2445" t="str" cm="1">
        <f t="array" ca="1" aca="1" ref="DO220">IFERROR(IF(AO220*fxVal_normal=_PL!AO220,"",IF(OR(AO220="",NOT(ISNUMBER(AO220)),ISERROR(AO220),$B220=""),"",IF($I220=1,IFBLANK(_xldudf_CX_PUSH(AO220*fxVal_normal,CX_ENTITY,$B220,AO$11,AO$14,AO$219,),""),IF($I220=2,IFBLANK(_xldudf_CX_PUSH(AO220,CX_ENTITY,$B220,AO$11,AO$14,AO$219,),""),IF($I220=3,"",IFBLANK(_xldudf_CX_PUSH(AO220,CX_ENTITY,$B220,AO$11,AO$14,AO$219,),"")))))),"")</f>
        <v/>
      </c>
      <c r="DP220" s="2445" t="str" cm="1">
        <f t="array" ca="1" aca="1" ref="DP220">IFERROR(IF(AP220*fxVal_normal=_PL!AP220,"",IF(OR(AP220="",NOT(ISNUMBER(AP220)),ISERROR(AP220),$B220=""),"",IF($I220=1,IFBLANK(_xldudf_CX_PUSH(AP220*fxVal_normal,CX_ENTITY,$B220,AP$11,AP$14,AP$219,),""),IF($I220=2,IFBLANK(_xldudf_CX_PUSH(AP220,CX_ENTITY,$B220,AP$11,AP$14,AP$219,),""),IF($I220=3,"",IFBLANK(_xldudf_CX_PUSH(AP220,CX_ENTITY,$B220,AP$11,AP$14,AP$219,),"")))))),"")</f>
        <v/>
      </c>
      <c r="DQ220" s="2445" t="str" cm="1">
        <f t="array" ca="1" aca="1" ref="DQ220">IFERROR(IF(AQ220*fxVal_normal=_PL!AQ220,"",IF(OR(AQ220="",NOT(ISNUMBER(AQ220)),ISERROR(AQ220),$B220=""),"",IF($I220=1,IFBLANK(_xldudf_CX_PUSH(AQ220*fxVal_normal,CX_ENTITY,$B220,AQ$11,AQ$14,AQ$219,),""),IF($I220=2,IFBLANK(_xldudf_CX_PUSH(AQ220,CX_ENTITY,$B220,AQ$11,AQ$14,AQ$219,),""),IF($I220=3,"",IFBLANK(_xldudf_CX_PUSH(AQ220,CX_ENTITY,$B220,AQ$11,AQ$14,AQ$219,),"")))))),"")</f>
        <v/>
      </c>
      <c r="DR220" s="2445" t="str" cm="1">
        <f t="array" ca="1" aca="1" ref="DR220">IFERROR(IF(AR220*fxVal_normal=_PL!AR220,"",IF(OR(AR220="",NOT(ISNUMBER(AR220)),ISERROR(AR220),$B220=""),"",IF($I220=1,IFBLANK(_xldudf_CX_PUSH(AR220*fxVal_normal,CX_ENTITY,$B220,AR$11,AR$14,AR$219,),""),IF($I220=2,IFBLANK(_xldudf_CX_PUSH(AR220,CX_ENTITY,$B220,AR$11,AR$14,AR$219,),""),IF($I220=3,"",IFBLANK(_xldudf_CX_PUSH(AR220,CX_ENTITY,$B220,AR$11,AR$14,AR$219,),"")))))),"")</f>
        <v/>
      </c>
      <c r="DS220" s="2445" t="str" cm="1">
        <f t="array" ca="1" aca="1" ref="DS220">IFERROR(IF(AS220*fxVal_normal=_PL!AS220,"",IF(OR(AS220="",NOT(ISNUMBER(AS220)),ISERROR(AS220),$B220=""),"",IF($I220=1,IFBLANK(_xldudf_CX_PUSH(AS220*fxVal_normal,CX_ENTITY,$B220,AS$11,AS$14,AS$219,),""),IF($I220=2,IFBLANK(_xldudf_CX_PUSH(AS220,CX_ENTITY,$B220,AS$11,AS$14,AS$219,),""),IF($I220=3,"",IFBLANK(_xldudf_CX_PUSH(AS220,CX_ENTITY,$B220,AS$11,AS$14,AS$219,),"")))))),"")</f>
        <v/>
      </c>
      <c r="DT220" s="2445" t="str" cm="1">
        <f t="array" ca="1" aca="1" ref="DT220">IFERROR(IF(AT220*fxVal_normal=_PL!AT220,"",IF(OR(AT220="",NOT(ISNUMBER(AT220)),ISERROR(AT220),$B220=""),"",IF($I220=1,IFBLANK(_xldudf_CX_PUSH(AT220*fxVal_normal,CX_ENTITY,$B220,AT$11,AT$14,AT$219,),""),IF($I220=2,IFBLANK(_xldudf_CX_PUSH(AT220,CX_ENTITY,$B220,AT$11,AT$14,AT$219,),""),IF($I220=3,"",IFBLANK(_xldudf_CX_PUSH(AT220,CX_ENTITY,$B220,AT$11,AT$14,AT$219,),"")))))),"")</f>
        <v/>
      </c>
      <c r="DU220" s="2445" t="str" cm="1">
        <f t="array" ca="1" aca="1" ref="DU220">IFERROR(IF(AU220*fxVal_normal=_PL!AU220,"",IF(OR(AU220="",NOT(ISNUMBER(AU220)),ISERROR(AU220),$B220=""),"",IF($I220=1,IFBLANK(_xldudf_CX_PUSH(AU220*fxVal_normal,CX_ENTITY,$B220,AU$11,AU$14,AU$219,),""),IF($I220=2,IFBLANK(_xldudf_CX_PUSH(AU220,CX_ENTITY,$B220,AU$11,AU$14,AU$219,),""),IF($I220=3,"",IFBLANK(_xldudf_CX_PUSH(AU220,CX_ENTITY,$B220,AU$11,AU$14,AU$219,),"")))))),"")</f>
        <v/>
      </c>
      <c r="DV220" s="2445" t="str" cm="1">
        <f t="array" ca="1" aca="1" ref="DV220">IFERROR(IF(AV220*fxVal_normal=_PL!AV220,"",IF(OR(AV220="",NOT(ISNUMBER(AV220)),ISERROR(AV220),$B220=""),"",IF($I220=1,IFBLANK(_xldudf_CX_PUSH(AV220*fxVal_normal,CX_ENTITY,$B220,AV$11,AV$14,AV$219,),""),IF($I220=2,IFBLANK(_xldudf_CX_PUSH(AV220,CX_ENTITY,$B220,AV$11,AV$14,AV$219,),""),IF($I220=3,"",IFBLANK(_xldudf_CX_PUSH(AV220,CX_ENTITY,$B220,AV$11,AV$14,AV$219,),"")))))),"")</f>
        <v/>
      </c>
      <c r="DW220" s="2445" t="str" cm="1">
        <f t="array" ca="1" aca="1" ref="DW220">IFERROR(IF(AW220*fxVal_normal=_PL!AW220,"",IF(OR(AW220="",NOT(ISNUMBER(AW220)),ISERROR(AW220),$B220=""),"",IF($I220=1,IFBLANK(_xldudf_CX_PUSH(AW220*fxVal_normal,CX_ENTITY,$B220,AW$11,AW$14,AW$219,),""),IF($I220=2,IFBLANK(_xldudf_CX_PUSH(AW220,CX_ENTITY,$B220,AW$11,AW$14,AW$219,),""),IF($I220=3,"",IFBLANK(_xldudf_CX_PUSH(AW220,CX_ENTITY,$B220,AW$11,AW$14,AW$219,),"")))))),"")</f>
        <v/>
      </c>
      <c r="DX220" s="2445" t="str" cm="1">
        <f t="array" ca="1" aca="1" ref="DX220">IFERROR(IF(AX220*fxVal_normal=_PL!AX220,"",IF(OR(AX220="",NOT(ISNUMBER(AX220)),ISERROR(AX220),$B220=""),"",IF($I220=1,IFBLANK(_xldudf_CX_PUSH(AX220*fxVal_normal,CX_ENTITY,$B220,AX$11,AX$14,AX$219,),""),IF($I220=2,IFBLANK(_xldudf_CX_PUSH(AX220,CX_ENTITY,$B220,AX$11,AX$14,AX$219,),""),IF($I220=3,"",IFBLANK(_xldudf_CX_PUSH(AX220,CX_ENTITY,$B220,AX$11,AX$14,AX$219,),"")))))),"")</f>
        <v/>
      </c>
      <c r="DY220" s="2445" t="str" cm="1">
        <f t="array" ca="1" aca="1" ref="DY220">IFERROR(IF(AY220*fxVal_normal=_PL!AY220,"",IF(OR(AY220="",NOT(ISNUMBER(AY220)),ISERROR(AY220),$B220=""),"",IF($I220=1,IFBLANK(_xldudf_CX_PUSH(AY220*fxVal_normal,CX_ENTITY,$B220,AY$11,AY$14,AY$219,),""),IF($I220=2,IFBLANK(_xldudf_CX_PUSH(AY220,CX_ENTITY,$B220,AY$11,AY$14,AY$219,),""),IF($I220=3,"",IFBLANK(_xldudf_CX_PUSH(AY220,CX_ENTITY,$B220,AY$11,AY$14,AY$219,),"")))))),"")</f>
        <v/>
      </c>
      <c r="DZ220" s="2445" t="str" cm="1">
        <f t="array" ca="1" aca="1" ref="DZ220">IFERROR(IF(AZ220*fxVal_normal=_PL!AZ220,"",IF(OR(AZ220="",NOT(ISNUMBER(AZ220)),ISERROR(AZ220),$B220=""),"",IF($I220=1,IFBLANK(_xldudf_CX_PUSH(AZ220*fxVal_normal,CX_ENTITY,$B220,AZ$11,AZ$14,AZ$219,),""),IF($I220=2,IFBLANK(_xldudf_CX_PUSH(AZ220,CX_ENTITY,$B220,AZ$11,AZ$14,AZ$219,),""),IF($I220=3,"",IFBLANK(_xldudf_CX_PUSH(AZ220,CX_ENTITY,$B220,AZ$11,AZ$14,AZ$219,),"")))))),"")</f>
        <v/>
      </c>
      <c r="EA220" s="2445" t="str" cm="1">
        <f t="array" ca="1" aca="1" ref="EA220">IFERROR(IF(BA220*fxVal_normal=_PL!BA220,"",IF(OR(BA220="",NOT(ISNUMBER(BA220)),ISERROR(BA220),$B220=""),"",IF($I220=1,IFBLANK(_xldudf_CX_PUSH(BA220*fxVal_normal,CX_ENTITY,$B220,BA$11,BA$14,BA$219,),""),IF($I220=2,IFBLANK(_xldudf_CX_PUSH(BA220,CX_ENTITY,$B220,BA$11,BA$14,BA$219,),""),IF($I220=3,"",IFBLANK(_xldudf_CX_PUSH(BA220,CX_ENTITY,$B220,BA$11,BA$14,BA$219,),"")))))),"")</f>
        <v/>
      </c>
      <c r="EB220" s="2445" t="str" cm="1">
        <f t="array" ca="1" aca="1" ref="EB220">IFERROR(IF(BB220*fxVal_normal=_PL!BB220,"",IF(OR(BB220="",NOT(ISNUMBER(BB220)),ISERROR(BB220),$B220=""),"",IF($I220=1,IFBLANK(_xldudf_CX_PUSH(BB220*fxVal_normal,CX_ENTITY,$B220,BB$11,BB$14,BB$219,),""),IF($I220=2,IFBLANK(_xldudf_CX_PUSH(BB220,CX_ENTITY,$B220,BB$11,BB$14,BB$219,),""),IF($I220=3,"",IFBLANK(_xldudf_CX_PUSH(BB220,CX_ENTITY,$B220,BB$11,BB$14,BB$219,),"")))))),"")</f>
        <v/>
      </c>
      <c r="EC220" s="2445" t="str" cm="1">
        <f t="array" ca="1" aca="1" ref="EC220">IFERROR(IF(BC220*fxVal_normal=_PL!BC220,"",IF(OR(BC220="",NOT(ISNUMBER(BC220)),ISERROR(BC220),$B220=""),"",IF($I220=1,IFBLANK(_xldudf_CX_PUSH(BC220*fxVal_normal,CX_ENTITY,$B220,BC$11,BC$14,BC$219,),""),IF($I220=2,IFBLANK(_xldudf_CX_PUSH(BC220,CX_ENTITY,$B220,BC$11,BC$14,BC$219,),""),IF($I220=3,"",IFBLANK(_xldudf_CX_PUSH(BC220,CX_ENTITY,$B220,BC$11,BC$14,BC$219,),"")))))),"")</f>
        <v/>
      </c>
      <c r="ED220" s="2445" t="str" cm="1">
        <f t="array" ca="1" aca="1" ref="ED220">IFERROR(IF(BD220*fxVal_normal=_PL!BD220,"",IF(OR(BD220="",NOT(ISNUMBER(BD220)),ISERROR(BD220),$B220=""),"",IF($I220=1,IFBLANK(_xldudf_CX_PUSH(BD220*fxVal_normal,CX_ENTITY,$B220,BD$11,BD$14,BD$219,),""),IF($I220=2,IFBLANK(_xldudf_CX_PUSH(BD220,CX_ENTITY,$B220,BD$11,BD$14,BD$219,),""),IF($I220=3,"",IFBLANK(_xldudf_CX_PUSH(BD220,CX_ENTITY,$B220,BD$11,BD$14,BD$219,),"")))))),"")</f>
        <v/>
      </c>
      <c r="EE220" s="2445" t="str" cm="1">
        <f t="array" ca="1" aca="1" ref="EE220">IFERROR(IF(BE220*fxVal_normal=_PL!BE220,"",IF(OR(BE220="",NOT(ISNUMBER(BE220)),ISERROR(BE220),$B220=""),"",IF($I220=1,IFBLANK(_xldudf_CX_PUSH(BE220*fxVal_normal,CX_ENTITY,$B220,BE$11,BE$14,BE$219,),""),IF($I220=2,IFBLANK(_xldudf_CX_PUSH(BE220,CX_ENTITY,$B220,BE$11,BE$14,BE$219,),""),IF($I220=3,"",IFBLANK(_xldudf_CX_PUSH(BE220,CX_ENTITY,$B220,BE$11,BE$14,BE$219,),"")))))),"")</f>
        <v/>
      </c>
      <c r="EF220" s="2445" t="str" cm="1">
        <f t="array" ca="1" aca="1" ref="EF220">IFERROR(IF(BF220*fxVal_normal=_PL!BF220,"",IF(OR(BF220="",NOT(ISNUMBER(BF220)),ISERROR(BF220),$B220=""),"",IF($I220=1,IFBLANK(_xldudf_CX_PUSH(BF220*fxVal_normal,CX_ENTITY,$B220,BF$11,BF$14,BF$219,),""),IF($I220=2,IFBLANK(_xldudf_CX_PUSH(BF220,CX_ENTITY,$B220,BF$11,BF$14,BF$219,),""),IF($I220=3,"",IFBLANK(_xldudf_CX_PUSH(BF220,CX_ENTITY,$B220,BF$11,BF$14,BF$219,),"")))))),"")</f>
        <v/>
      </c>
      <c r="EG220" s="2445" t="str" cm="1">
        <f t="array" ca="1" aca="1" ref="EG220">IFERROR(IF(BG220*fxVal_normal=_PL!BG220,"",IF(OR(BG220="",NOT(ISNUMBER(BG220)),ISERROR(BG220),$B220=""),"",IF($I220=1,IFBLANK(_xldudf_CX_PUSH(BG220*fxVal_normal,CX_ENTITY,$B220,BG$11,BG$14,BG$219,),""),IF($I220=2,IFBLANK(_xldudf_CX_PUSH(BG220,CX_ENTITY,$B220,BG$11,BG$14,BG$219,),""),IF($I220=3,"",IFBLANK(_xldudf_CX_PUSH(BG220,CX_ENTITY,$B220,BG$11,BG$14,BG$219,),"")))))),"")</f>
        <v/>
      </c>
      <c r="EH220" s="2445" t="str" cm="1">
        <f t="array" ca="1" aca="1" ref="EH220">IFERROR(IF(BH220*fxVal_normal=_PL!BH220,"",IF(OR(BH220="",NOT(ISNUMBER(BH220)),ISERROR(BH220),$B220=""),"",IF($I220=1,IFBLANK(_xldudf_CX_PUSH(BH220*fxVal_normal,CX_ENTITY,$B220,BH$11,BH$14,BH$219,),""),IF($I220=2,IFBLANK(_xldudf_CX_PUSH(BH220,CX_ENTITY,$B220,BH$11,BH$14,BH$219,),""),IF($I220=3,"",IFBLANK(_xldudf_CX_PUSH(BH220,CX_ENTITY,$B220,BH$11,BH$14,BH$219,),"")))))),"")</f>
        <v/>
      </c>
      <c r="EI220" s="2445" t="str" cm="1">
        <f t="array" ca="1" aca="1" ref="EI220">IFERROR(IF(BI220*fxVal_normal=_PL!BI220,"",IF(OR(BI220="",NOT(ISNUMBER(BI220)),ISERROR(BI220),$B220=""),"",IF($I220=1,IFBLANK(_xldudf_CX_PUSH(BI220*fxVal_normal,CX_ENTITY,$B220,BI$11,BI$14,BI$219,),""),IF($I220=2,IFBLANK(_xldudf_CX_PUSH(BI220,CX_ENTITY,$B220,BI$11,BI$14,BI$219,),""),IF($I220=3,"",IFBLANK(_xldudf_CX_PUSH(BI220,CX_ENTITY,$B220,BI$11,BI$14,BI$219,),"")))))),"")</f>
        <v/>
      </c>
      <c r="EJ220" s="2445" t="str" cm="1">
        <f t="array" ca="1" aca="1" ref="EJ220">IFERROR(IF(BJ220*fxVal_normal=_PL!BJ220,"",IF(OR(BJ220="",NOT(ISNUMBER(BJ220)),ISERROR(BJ220),$B220=""),"",IF($I220=1,IFBLANK(_xldudf_CX_PUSH(BJ220*fxVal_normal,CX_ENTITY,$B220,BJ$11,BJ$14,BJ$219,),""),IF($I220=2,IFBLANK(_xldudf_CX_PUSH(BJ220,CX_ENTITY,$B220,BJ$11,BJ$14,BJ$219,),""),IF($I220=3,"",IFBLANK(_xldudf_CX_PUSH(BJ220,CX_ENTITY,$B220,BJ$11,BJ$14,BJ$219,),"")))))),"")</f>
        <v/>
      </c>
      <c r="EK220" s="2445" t="str" cm="1">
        <f t="array" ca="1" aca="1" ref="EK220">IFERROR(IF(BK220*fxVal_normal=_PL!BK220,"",IF(OR(BK220="",NOT(ISNUMBER(BK220)),ISERROR(BK220),$B220=""),"",IF($I220=1,IFBLANK(_xldudf_CX_PUSH(BK220*fxVal_normal,CX_ENTITY,$B220,BK$11,BK$14,BK$219,),""),IF($I220=2,IFBLANK(_xldudf_CX_PUSH(BK220,CX_ENTITY,$B220,BK$11,BK$14,BK$219,),""),IF($I220=3,"",IFBLANK(_xldudf_CX_PUSH(BK220,CX_ENTITY,$B220,BK$11,BK$14,BK$219,),"")))))),"")</f>
        <v/>
      </c>
      <c r="EL220" s="2445" t="str" cm="1">
        <f t="array" ca="1" aca="1" ref="EL220">IFERROR(IF(BL220*fxVal_normal=_PL!BL220,"",IF(OR(BL220="",NOT(ISNUMBER(BL220)),ISERROR(BL220),$B220=""),"",IF($I220=1,IFBLANK(_xldudf_CX_PUSH(BL220*fxVal_normal,CX_ENTITY,$B220,BL$11,BL$14,BL$219,),""),IF($I220=2,IFBLANK(_xldudf_CX_PUSH(BL220,CX_ENTITY,$B220,BL$11,BL$14,BL$219,),""),IF($I220=3,"",IFBLANK(_xldudf_CX_PUSH(BL220,CX_ENTITY,$B220,BL$11,BL$14,BL$219,),"")))))),"")</f>
        <v/>
      </c>
      <c r="EM220" s="2445" t="str" cm="1">
        <f t="array" ca="1" aca="1" ref="EM220">IFERROR(IF(BM220*fxVal_normal=_PL!BM220,"",IF(OR(BM220="",NOT(ISNUMBER(BM220)),ISERROR(BM220),$B220=""),"",IF($I220=1,IFBLANK(_xldudf_CX_PUSH(BM220*fxVal_normal,CX_ENTITY,$B220,BM$11,BM$14,BM$219,),""),IF($I220=2,IFBLANK(_xldudf_CX_PUSH(BM220,CX_ENTITY,$B220,BM$11,BM$14,BM$219,),""),IF($I220=3,"",IFBLANK(_xldudf_CX_PUSH(BM220,CX_ENTITY,$B220,BM$11,BM$14,BM$219,),"")))))),"")</f>
        <v/>
      </c>
      <c r="EN220" s="2445" t="str" cm="1">
        <f t="array" ca="1" aca="1" ref="EN220">IFERROR(IF(BN220*fxVal_normal=_PL!BN220,"",IF(OR(BN220="",NOT(ISNUMBER(BN220)),ISERROR(BN220),$B220=""),"",IF($I220=1,IFBLANK(_xldudf_CX_PUSH(BN220*fxVal_normal,CX_ENTITY,$B220,BN$11,BN$14,BN$219,),""),IF($I220=2,IFBLANK(_xldudf_CX_PUSH(BN220,CX_ENTITY,$B220,BN$11,BN$14,BN$219,),""),IF($I220=3,"",IFBLANK(_xldudf_CX_PUSH(BN220,CX_ENTITY,$B220,BN$11,BN$14,BN$219,),"")))))),"")</f>
        <v/>
      </c>
    </row>
    <row r="221" spans="1:144" ht="21" customHeight="1">
      <c r="A221" s="1627"/>
      <c r="B221" s="2439" t="s">
        <v>179</v>
      </c>
      <c r="C221" s="3459" t="str" cm="1">
        <f t="array" ref="C221">IFBLANK(_PL!C221,"")</f>
        <v>Segment III Breakdown - Label 1</v>
      </c>
      <c r="D221" s="1548" t="s">
        <v>179</v>
      </c>
      <c r="E221" s="2440" t="e" cm="1">
        <f t="array" ca="1" aca="1" ref="E22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221:$CQ221,Z221)</f>
        <v>#NAME?</v>
      </c>
      <c r="F221" s="578"/>
      <c r="G221" s="578"/>
      <c r="H221" s="510">
        <v>0</v>
      </c>
      <c r="I221" s="3302">
        <v>1</v>
      </c>
      <c r="J221" s="401" cm="1">
        <f t="array" ref="J221">IFBLANK(Z221,"")</f>
        <v>-1</v>
      </c>
      <c r="K221" s="578" t="str">
        <f t="shared" si="54"/>
        <v>No</v>
      </c>
      <c r="L221" s="37"/>
      <c r="N221" s="158"/>
      <c r="O221" s="101"/>
      <c r="P221" s="52"/>
      <c r="Q221" s="101"/>
      <c r="R221" s="101"/>
      <c r="S221" s="3008"/>
      <c r="T221" s="3008"/>
      <c r="U221" s="39"/>
      <c r="V221" s="37"/>
      <c r="W221" s="91" t="e">
        <f ca="1">W220</f>
        <v>#NAME?</v>
      </c>
      <c r="X221" s="2081" t="str">
        <f>_PL!X221</f>
        <v>a</v>
      </c>
      <c r="Y221" s="3224">
        <v>2</v>
      </c>
      <c r="Z221" s="198">
        <f>_PL!Z221</f>
        <v>-1</v>
      </c>
      <c r="AA221" s="2571"/>
      <c r="AB221" s="2592"/>
      <c r="AC221" s="914" t="str" cm="1">
        <f t="array" ca="1" aca="1" ref="AC221">_xlfn.LET(_xlpm._termname,$AB221,_xlpm._iconname,"find",_xlpm._icon,fx_getIcon(_xlpm._iconname),_xlpm._location,_xlfn.XLOOKUP(LOWER(_xlpm._termname),LOWER(tbl_acctDef[Term]),tbl_acctDef[Term]),_xlpm._hyperlink,HYPERLINK("#"&amp;CELL("address",_xlpm._location),_xlpm._icon),IFERROR(_xlpm._hyperlink,""))</f>
        <v/>
      </c>
      <c r="AD221" s="3175">
        <v>1</v>
      </c>
      <c r="AE221" s="3175">
        <v>1</v>
      </c>
      <c r="AF221" s="3175">
        <v>1</v>
      </c>
      <c r="AG221" s="3175">
        <v>1</v>
      </c>
      <c r="AH221" s="3175">
        <v>1</v>
      </c>
      <c r="AI221" s="3175">
        <v>1</v>
      </c>
      <c r="AJ221" s="3175">
        <v>1</v>
      </c>
      <c r="AK221" s="3175">
        <v>1</v>
      </c>
      <c r="AL221" s="3175">
        <v>1</v>
      </c>
      <c r="AM221" s="3175">
        <v>1</v>
      </c>
      <c r="AN221" s="3175">
        <v>1</v>
      </c>
      <c r="AO221" s="3175">
        <v>1</v>
      </c>
      <c r="AP221" s="3175">
        <v>1</v>
      </c>
      <c r="AQ221" s="3175">
        <v>1</v>
      </c>
      <c r="AR221" s="3175">
        <v>1</v>
      </c>
      <c r="AS221" s="3175">
        <v>1</v>
      </c>
      <c r="AT221" s="3175">
        <v>1</v>
      </c>
      <c r="AU221" s="3175">
        <v>1</v>
      </c>
      <c r="AV221" s="3175">
        <v>1</v>
      </c>
      <c r="AW221" s="3175">
        <v>1</v>
      </c>
      <c r="AX221" s="3175">
        <v>1</v>
      </c>
      <c r="AY221" s="3175">
        <v>1</v>
      </c>
      <c r="AZ221" s="3175">
        <v>1</v>
      </c>
      <c r="BA221" s="3175">
        <v>1</v>
      </c>
      <c r="BB221" s="3175">
        <v>1</v>
      </c>
      <c r="BC221" s="3175">
        <v>1</v>
      </c>
      <c r="BD221" s="3175">
        <v>1</v>
      </c>
      <c r="BE221" s="3175">
        <v>1</v>
      </c>
      <c r="BF221" s="3175">
        <v>1</v>
      </c>
      <c r="BG221" s="3175">
        <v>1</v>
      </c>
      <c r="BH221" s="3175">
        <v>1</v>
      </c>
      <c r="BI221" s="3175">
        <v>1</v>
      </c>
      <c r="BJ221" s="3175">
        <v>1</v>
      </c>
      <c r="BK221" s="3175">
        <v>1</v>
      </c>
      <c r="BL221" s="3175">
        <v>1</v>
      </c>
      <c r="BM221" s="3175">
        <v>1</v>
      </c>
      <c r="BN221" s="3175">
        <v>1</v>
      </c>
      <c r="BO221" s="2442"/>
      <c r="BP221" s="2442"/>
      <c r="BQ221" s="2442"/>
      <c r="BR221" s="2442"/>
      <c r="BS221" s="2442"/>
      <c r="BT221" s="2442"/>
      <c r="BU221" s="2442"/>
      <c r="BV221" s="2442"/>
      <c r="BW221" s="2442"/>
      <c r="BX221" s="2442"/>
      <c r="BY221" s="2442"/>
      <c r="BZ221" s="2442"/>
      <c r="CA221" s="34"/>
      <c r="CC221" s="58"/>
      <c r="CD221" s="1461" t="e" cm="1">
        <f t="array" ca="1" aca="1" ref="CD221">_xlfn.LET(_xlpm.CheckBlank,SUM(PL!$AD221:$BN221)=0,IF(_xlpm.CheckBlank,"",SUM(_xlfn._xlws.FILTER(PL!$AD221:$BN221,(YEAR(PL!$AD$12:$BN$12)=PL!CD$12)*(array_timeline&lt;=PL!CD$11)))))</f>
        <v>#NAME?</v>
      </c>
      <c r="CE221" s="1461" t="e" cm="1">
        <f t="array" ca="1" aca="1" ref="CE221">_xlfn.LET(_xlpm.CheckBlank,SUM(PL!$AD221:$BN221)=0,IF(_xlpm.CheckBlank,"",SUM(_xlfn._xlws.FILTER(PL!$AD221:$BN221,(YEAR(PL!$AD$12:$BN$12)=PL!CE$12)*(array_timeline&lt;=PL!CE$11)))))</f>
        <v>#NAME?</v>
      </c>
      <c r="CF221" s="88"/>
      <c r="CG221" s="1461" t="e" cm="1">
        <f t="array" ca="1" aca="1" ref="CG221">_xlfn.LET(_xlpm.CheckBlank,SUM(PL!$AD221:$BN221)=0,IF(_xlpm.CheckBlank,"",SUM(_xlfn._xlws.FILTER(PL!$AD221:$BN221,(YEAR(PL!$AD$12:$BN$12)=PL!CG$12)*(array_timeline&lt;=PL!CG$11)))))</f>
        <v>#NAME?</v>
      </c>
      <c r="CH221" s="1461" t="e" cm="1">
        <f t="array" ca="1" aca="1" ref="CH221">_xlfn.LET(_xlpm.CheckBlank,SUM(PL!$AD221:$BN221)=0,IF(_xlpm.CheckBlank,"",SUM(_xlfn._xlws.FILTER(PL!$AD221:$BN221,(YEAR(PL!$AD$12:$BN$12)=PL!CH$12)*(array_timeline&lt;=PL!CH$11)))))</f>
        <v>#NAME?</v>
      </c>
      <c r="CI221" s="88"/>
      <c r="CJ221" s="1461" cm="1">
        <f t="array" ref="CJ221">_xlfn.LET(_xlpm.CheckBlank,SUM(PL!$AD221:$BN221)=0,IF(_xlpm.CheckBlank,"",SUM(_xlfn.TAKE(_xlfn.DROP(PL!$AD221:$BN221,,-DATEDIFF(PL!CJ$11,val_asOfDate,"M")),1,-12))))</f>
        <v>12</v>
      </c>
      <c r="CK221" s="1461" cm="1">
        <f t="array" ref="CK221">_xlfn.LET(_xlpm.CheckBlank,SUM(PL!$AD221:$BN221)=0,IF(_xlpm.CheckBlank,"",SUM(_xlfn.TAKE(_xlfn.DROP(PL!$AD221:$BN221,,-DATEDIFF(PL!CK$11,val_asOfDate,"M")),1,-12))))</f>
        <v>12</v>
      </c>
      <c r="CL221" s="88"/>
      <c r="CM221" s="3175">
        <v>1</v>
      </c>
      <c r="CN221" s="3175">
        <v>1</v>
      </c>
      <c r="CO221" s="1169"/>
      <c r="CP221" s="3175">
        <v>1</v>
      </c>
      <c r="CQ221" s="3175">
        <v>1</v>
      </c>
      <c r="CR221" s="34"/>
      <c r="CS221" s="2056"/>
      <c r="CT221" s="2447" t="e" cm="1">
        <f t="array" ca="1" aca="1" ref="CT221">IF(OR($Y221="Segment III Breakdown - Amount 1",$Y221="Segment III Breakdown - Amount 2",$Y221="Segment III Breakdown - Amount 3",$Y221="Segment III Breakdown - Amount 4",$Y221="Segment III Breakdown - Amount 5",$Y221="Segment III Breakdown - Amount 6",$Y221="Please select the metric for segmentation"),"",_xldudf_CX_PUSH($Y221,CX_ENTITY,$C221,val_asOfDate))</f>
        <v>#NAME?</v>
      </c>
      <c r="CU221" s="2447" t="e" cm="1">
        <f t="array" ca="1" aca="1" ref="CU221">IF(OR($Y221="Segment III Breakdown - Amount 1",$Y221="Segment III Breakdown - Amount 2",$Y221="Segment III Breakdown - Amount 3",$Y221="Segment III Breakdown - Amount 4",$Y221="Segment III Breakdown - Amount 5",$Y221="Segment III Breakdown - Amount 6",$Y221="Please select the metric for segmentation"),"",_xldudf_CX_PUSH($Y221,CX_ENTITY,$C221,EOMONTH(val_asOfDate,1)))</f>
        <v>#NAME?</v>
      </c>
      <c r="CV221" s="2447" t="e" cm="1">
        <f t="array" ca="1" aca="1" ref="CV221">IF(OR($Y221="Segment III Breakdown - Amount 1",$Y221="Segment III Breakdown - Amount 2",$Y221="Segment III Breakdown - Amount 3",$Y221="Segment III Breakdown - Amount 4",$Y221="Segment III Breakdown - Amount 5",$Y221="Segment III Breakdown - Amount 6",$Y221="Please select the metric for segmentation"),"",_xldudf_CX_PUSH($Y221,CX_ENTITY,$C221,EOMONTH(val_asOfDate,2)))</f>
        <v>#NAME?</v>
      </c>
      <c r="CW221" s="2447" t="e" cm="1">
        <f t="array" ca="1" aca="1" ref="CW221">IF(OR($Y221="Segment III Breakdown - Amount 1",$Y221="Segment III Breakdown - Amount 2",$Y221="Segment III Breakdown - Amount 3",$Y221="Segment III Breakdown - Amount 4",$Y221="Segment III Breakdown - Amount 5",$Y221="Segment III Breakdown - Amount 6",$Y221="Please select the metric for segmentation"),"",_xldudf_CX_PUSH($Y221,CX_ENTITY,$C221,EOMONTH(val_asOfDate,3)))</f>
        <v>#NAME?</v>
      </c>
      <c r="CX221" s="2443"/>
      <c r="CY221" s="2444" t="str" cm="1">
        <f t="array" ca="1" aca="1" ref="CY221">IFERROR(IF(CM221*fxVal_normal=_PL!CM221,"",IF(OR($CM221="",$CM221=0,NOT(ISNUMBER($CM221)),ISERROR($CM221),$B221=""),"",IF($I221=1,IFBLANK(_xldudf_CX_PUSH($CM221*fxVal_normal,CX_ENTITY,$B221,$CM$11,$CM$14,$CM$19,),""),IF($I221=2,IFBLANK(_xldudf_CX_PUSH($CM221,CX_ENTITY,$B221,$CM$11,$CM$14,$CM$19,),""),IF($I221=3,"",IFBLANK(_xldudf_CX_PUSH($CM221,CX_ENTITY,$B221,$CM$11,$CM$14,$CM$19,),"")))))),"")</f>
        <v/>
      </c>
      <c r="CZ221" s="2444" t="str" cm="1">
        <f t="array" ca="1" aca="1" ref="CZ221">IFERROR(IF(CN221*fxVal_normal=_PL!CN221,"",IF(OR($CN221="",$CN221=0,NOT(ISNUMBER($CN221)),ISERROR($CN221),$B221=""),"",IF($I221=1,IFBLANK(_xldudf_CX_PUSH($CN221*fxVal_normal,CX_ENTITY,$B221,$CN$11,$CN$14,$CN$19,),""),IF($I221=2,IFBLANK(_xldudf_CX_PUSH($CN221,CX_ENTITY,$B221,$CN$11,$CN$14,$CN$19,),""),IF($I221=3,"",IFBLANK(_xldudf_CX_PUSH($CN221,CX_ENTITY,$B221,$CN$11,$CN$14,$CN$19,),"")))))),"")</f>
        <v/>
      </c>
      <c r="DA221" s="2444" t="str" cm="1">
        <f t="array" ca="1" aca="1" ref="DA221">IFERROR(IF(CP221*fxVal_normal=_PL!CP221,"",IF(OR($CP221="",$CP221=0,NOT(ISNUMBER($CP221)),ISERROR($CP221),$B221=""),"",IF($I221=1,IFBLANK(_xldudf_CX_PUSH($CP221*fxVal_normal,CX_ENTITY,$B221,$CP$11,$CP$14,$CP$19,),""),IF($I221=2,IFBLANK(_xldudf_CX_PUSH($CP221,CX_ENTITY,$B221,$CP$11,$CP$14,$CP$19,),""),IF($I221=3,"",IFBLANK(_xldudf_CX_PUSH($CP221,CX_ENTITY,$B221,$CP$11,$CP$14,$CP$19,),"")))))),"")</f>
        <v/>
      </c>
      <c r="DB221" s="2444" t="str" cm="1">
        <f t="array" ca="1" aca="1" ref="DB221">IFERROR(IF(CQ221*fxVal_normal=_PL!CQ221,"",IF(OR($CQ221="",$CQ221=0,NOT(ISNUMBER($CQ221)),ISERROR($CQ221),$B221=""),"",IF($I221=1,IFBLANK(_xldudf_CX_PUSH($CQ221*fxVal_normal,CX_ENTITY,$B221,$CQ$11,$CQ$14,$CQ$19,),""),IF($I221=2,IFBLANK(_xldudf_CX_PUSH($CQ221,CX_ENTITY,$B221,$CQ$11,$CQ$14,$CQ$19,),""),IF($I221=3,"",IFBLANK(_xldudf_CX_PUSH($CQ221,CX_ENTITY,$B221,$CQ$11,$CQ$14,$CQ$19,),"")))))),"")</f>
        <v/>
      </c>
      <c r="DC221" s="2443"/>
      <c r="DD221" s="2445" t="str" cm="1">
        <f t="array" ca="1" aca="1" ref="DD221">IFERROR(IF(AD221*fxVal_normal=_PL!AD221,"",IF(OR(AD221="",NOT(ISNUMBER(AD221)),ISERROR(AD221),$B221=""),"",IF($I221=1,IFBLANK(_xldudf_CX_PUSH(AD221*fxVal_normal,CX_ENTITY,$B221,AD$11,AD$14,AD$219,),""),IF($I221=2,IFBLANK(_xldudf_CX_PUSH(AD221,CX_ENTITY,$B221,AD$11,AD$14,AD$219,),""),IF($I221=3,"",IFBLANK(_xldudf_CX_PUSH(AD221,CX_ENTITY,$B221,AD$11,AD$14,AD$219,),"")))))),"")</f>
        <v/>
      </c>
      <c r="DE221" s="2445" t="str" cm="1">
        <f t="array" ca="1" aca="1" ref="DE221">IFERROR(IF(AE221*fxVal_normal=_PL!AE221,"",IF(OR(AE221="",NOT(ISNUMBER(AE221)),ISERROR(AE221),$B221=""),"",IF($I221=1,IFBLANK(_xldudf_CX_PUSH(AE221*fxVal_normal,CX_ENTITY,$B221,AE$11,AE$14,AE$219,),""),IF($I221=2,IFBLANK(_xldudf_CX_PUSH(AE221,CX_ENTITY,$B221,AE$11,AE$14,AE$219,),""),IF($I221=3,"",IFBLANK(_xldudf_CX_PUSH(AE221,CX_ENTITY,$B221,AE$11,AE$14,AE$219,),"")))))),"")</f>
        <v/>
      </c>
      <c r="DF221" s="2445" t="str" cm="1">
        <f t="array" ca="1" aca="1" ref="DF221">IFERROR(IF(AF221*fxVal_normal=_PL!AF221,"",IF(OR(AF221="",NOT(ISNUMBER(AF221)),ISERROR(AF221),$B221=""),"",IF($I221=1,IFBLANK(_xldudf_CX_PUSH(AF221*fxVal_normal,CX_ENTITY,$B221,AF$11,AF$14,AF$219,),""),IF($I221=2,IFBLANK(_xldudf_CX_PUSH(AF221,CX_ENTITY,$B221,AF$11,AF$14,AF$219,),""),IF($I221=3,"",IFBLANK(_xldudf_CX_PUSH(AF221,CX_ENTITY,$B221,AF$11,AF$14,AF$219,),"")))))),"")</f>
        <v/>
      </c>
      <c r="DG221" s="2445" t="str" cm="1">
        <f t="array" ca="1" aca="1" ref="DG221">IFERROR(IF(AG221*fxVal_normal=_PL!AG221,"",IF(OR(AG221="",NOT(ISNUMBER(AG221)),ISERROR(AG221),$B221=""),"",IF($I221=1,IFBLANK(_xldudf_CX_PUSH(AG221*fxVal_normal,CX_ENTITY,$B221,AG$11,AG$14,AG$219,),""),IF($I221=2,IFBLANK(_xldudf_CX_PUSH(AG221,CX_ENTITY,$B221,AG$11,AG$14,AG$219,),""),IF($I221=3,"",IFBLANK(_xldudf_CX_PUSH(AG221,CX_ENTITY,$B221,AG$11,AG$14,AG$219,),"")))))),"")</f>
        <v/>
      </c>
      <c r="DH221" s="2445" t="str" cm="1">
        <f t="array" ca="1" aca="1" ref="DH221">IFERROR(IF(AH221*fxVal_normal=_PL!AH221,"",IF(OR(AH221="",NOT(ISNUMBER(AH221)),ISERROR(AH221),$B221=""),"",IF($I221=1,IFBLANK(_xldudf_CX_PUSH(AH221*fxVal_normal,CX_ENTITY,$B221,AH$11,AH$14,AH$219,),""),IF($I221=2,IFBLANK(_xldudf_CX_PUSH(AH221,CX_ENTITY,$B221,AH$11,AH$14,AH$219,),""),IF($I221=3,"",IFBLANK(_xldudf_CX_PUSH(AH221,CX_ENTITY,$B221,AH$11,AH$14,AH$219,),"")))))),"")</f>
        <v/>
      </c>
      <c r="DI221" s="2445" t="str" cm="1">
        <f t="array" ca="1" aca="1" ref="DI221">IFERROR(IF(AI221*fxVal_normal=_PL!AI221,"",IF(OR(AI221="",NOT(ISNUMBER(AI221)),ISERROR(AI221),$B221=""),"",IF($I221=1,IFBLANK(_xldudf_CX_PUSH(AI221*fxVal_normal,CX_ENTITY,$B221,AI$11,AI$14,AI$219,),""),IF($I221=2,IFBLANK(_xldudf_CX_PUSH(AI221,CX_ENTITY,$B221,AI$11,AI$14,AI$219,),""),IF($I221=3,"",IFBLANK(_xldudf_CX_PUSH(AI221,CX_ENTITY,$B221,AI$11,AI$14,AI$219,),"")))))),"")</f>
        <v/>
      </c>
      <c r="DJ221" s="2445" t="str" cm="1">
        <f t="array" ca="1" aca="1" ref="DJ221">IFERROR(IF(AJ221*fxVal_normal=_PL!AJ221,"",IF(OR(AJ221="",NOT(ISNUMBER(AJ221)),ISERROR(AJ221),$B221=""),"",IF($I221=1,IFBLANK(_xldudf_CX_PUSH(AJ221*fxVal_normal,CX_ENTITY,$B221,AJ$11,AJ$14,AJ$219,),""),IF($I221=2,IFBLANK(_xldudf_CX_PUSH(AJ221,CX_ENTITY,$B221,AJ$11,AJ$14,AJ$219,),""),IF($I221=3,"",IFBLANK(_xldudf_CX_PUSH(AJ221,CX_ENTITY,$B221,AJ$11,AJ$14,AJ$219,),"")))))),"")</f>
        <v/>
      </c>
      <c r="DK221" s="2445" t="str" cm="1">
        <f t="array" ca="1" aca="1" ref="DK221">IFERROR(IF(AK221*fxVal_normal=_PL!AK221,"",IF(OR(AK221="",NOT(ISNUMBER(AK221)),ISERROR(AK221),$B221=""),"",IF($I221=1,IFBLANK(_xldudf_CX_PUSH(AK221*fxVal_normal,CX_ENTITY,$B221,AK$11,AK$14,AK$219,),""),IF($I221=2,IFBLANK(_xldudf_CX_PUSH(AK221,CX_ENTITY,$B221,AK$11,AK$14,AK$219,),""),IF($I221=3,"",IFBLANK(_xldudf_CX_PUSH(AK221,CX_ENTITY,$B221,AK$11,AK$14,AK$219,),"")))))),"")</f>
        <v/>
      </c>
      <c r="DL221" s="2445" t="str" cm="1">
        <f t="array" ca="1" aca="1" ref="DL221">IFERROR(IF(AL221*fxVal_normal=_PL!AL221,"",IF(OR(AL221="",NOT(ISNUMBER(AL221)),ISERROR(AL221),$B221=""),"",IF($I221=1,IFBLANK(_xldudf_CX_PUSH(AL221*fxVal_normal,CX_ENTITY,$B221,AL$11,AL$14,AL$219,),""),IF($I221=2,IFBLANK(_xldudf_CX_PUSH(AL221,CX_ENTITY,$B221,AL$11,AL$14,AL$219,),""),IF($I221=3,"",IFBLANK(_xldudf_CX_PUSH(AL221,CX_ENTITY,$B221,AL$11,AL$14,AL$219,),"")))))),"")</f>
        <v/>
      </c>
      <c r="DM221" s="2445" t="str" cm="1">
        <f t="array" ca="1" aca="1" ref="DM221">IFERROR(IF(AM221*fxVal_normal=_PL!AM221,"",IF(OR(AM221="",NOT(ISNUMBER(AM221)),ISERROR(AM221),$B221=""),"",IF($I221=1,IFBLANK(_xldudf_CX_PUSH(AM221*fxVal_normal,CX_ENTITY,$B221,AM$11,AM$14,AM$219,),""),IF($I221=2,IFBLANK(_xldudf_CX_PUSH(AM221,CX_ENTITY,$B221,AM$11,AM$14,AM$219,),""),IF($I221=3,"",IFBLANK(_xldudf_CX_PUSH(AM221,CX_ENTITY,$B221,AM$11,AM$14,AM$219,),"")))))),"")</f>
        <v/>
      </c>
      <c r="DN221" s="2445" t="str" cm="1">
        <f t="array" ca="1" aca="1" ref="DN221">IFERROR(IF(AN221*fxVal_normal=_PL!AN221,"",IF(OR(AN221="",NOT(ISNUMBER(AN221)),ISERROR(AN221),$B221=""),"",IF($I221=1,IFBLANK(_xldudf_CX_PUSH(AN221*fxVal_normal,CX_ENTITY,$B221,AN$11,AN$14,AN$219,),""),IF($I221=2,IFBLANK(_xldudf_CX_PUSH(AN221,CX_ENTITY,$B221,AN$11,AN$14,AN$219,),""),IF($I221=3,"",IFBLANK(_xldudf_CX_PUSH(AN221,CX_ENTITY,$B221,AN$11,AN$14,AN$219,),"")))))),"")</f>
        <v/>
      </c>
      <c r="DO221" s="2445" t="str" cm="1">
        <f t="array" ca="1" aca="1" ref="DO221">IFERROR(IF(AO221*fxVal_normal=_PL!AO221,"",IF(OR(AO221="",NOT(ISNUMBER(AO221)),ISERROR(AO221),$B221=""),"",IF($I221=1,IFBLANK(_xldudf_CX_PUSH(AO221*fxVal_normal,CX_ENTITY,$B221,AO$11,AO$14,AO$219,),""),IF($I221=2,IFBLANK(_xldudf_CX_PUSH(AO221,CX_ENTITY,$B221,AO$11,AO$14,AO$219,),""),IF($I221=3,"",IFBLANK(_xldudf_CX_PUSH(AO221,CX_ENTITY,$B221,AO$11,AO$14,AO$219,),"")))))),"")</f>
        <v/>
      </c>
      <c r="DP221" s="2445" t="str" cm="1">
        <f t="array" ca="1" aca="1" ref="DP221">IFERROR(IF(AP221*fxVal_normal=_PL!AP221,"",IF(OR(AP221="",NOT(ISNUMBER(AP221)),ISERROR(AP221),$B221=""),"",IF($I221=1,IFBLANK(_xldudf_CX_PUSH(AP221*fxVal_normal,CX_ENTITY,$B221,AP$11,AP$14,AP$219,),""),IF($I221=2,IFBLANK(_xldudf_CX_PUSH(AP221,CX_ENTITY,$B221,AP$11,AP$14,AP$219,),""),IF($I221=3,"",IFBLANK(_xldudf_CX_PUSH(AP221,CX_ENTITY,$B221,AP$11,AP$14,AP$219,),"")))))),"")</f>
        <v/>
      </c>
      <c r="DQ221" s="2445" t="str" cm="1">
        <f t="array" ca="1" aca="1" ref="DQ221">IFERROR(IF(AQ221*fxVal_normal=_PL!AQ221,"",IF(OR(AQ221="",NOT(ISNUMBER(AQ221)),ISERROR(AQ221),$B221=""),"",IF($I221=1,IFBLANK(_xldudf_CX_PUSH(AQ221*fxVal_normal,CX_ENTITY,$B221,AQ$11,AQ$14,AQ$219,),""),IF($I221=2,IFBLANK(_xldudf_CX_PUSH(AQ221,CX_ENTITY,$B221,AQ$11,AQ$14,AQ$219,),""),IF($I221=3,"",IFBLANK(_xldudf_CX_PUSH(AQ221,CX_ENTITY,$B221,AQ$11,AQ$14,AQ$219,),"")))))),"")</f>
        <v/>
      </c>
      <c r="DR221" s="2445" t="str" cm="1">
        <f t="array" ca="1" aca="1" ref="DR221">IFERROR(IF(AR221*fxVal_normal=_PL!AR221,"",IF(OR(AR221="",NOT(ISNUMBER(AR221)),ISERROR(AR221),$B221=""),"",IF($I221=1,IFBLANK(_xldudf_CX_PUSH(AR221*fxVal_normal,CX_ENTITY,$B221,AR$11,AR$14,AR$219,),""),IF($I221=2,IFBLANK(_xldudf_CX_PUSH(AR221,CX_ENTITY,$B221,AR$11,AR$14,AR$219,),""),IF($I221=3,"",IFBLANK(_xldudf_CX_PUSH(AR221,CX_ENTITY,$B221,AR$11,AR$14,AR$219,),"")))))),"")</f>
        <v/>
      </c>
      <c r="DS221" s="2445" t="str" cm="1">
        <f t="array" ca="1" aca="1" ref="DS221">IFERROR(IF(AS221*fxVal_normal=_PL!AS221,"",IF(OR(AS221="",NOT(ISNUMBER(AS221)),ISERROR(AS221),$B221=""),"",IF($I221=1,IFBLANK(_xldudf_CX_PUSH(AS221*fxVal_normal,CX_ENTITY,$B221,AS$11,AS$14,AS$219,),""),IF($I221=2,IFBLANK(_xldudf_CX_PUSH(AS221,CX_ENTITY,$B221,AS$11,AS$14,AS$219,),""),IF($I221=3,"",IFBLANK(_xldudf_CX_PUSH(AS221,CX_ENTITY,$B221,AS$11,AS$14,AS$219,),"")))))),"")</f>
        <v/>
      </c>
      <c r="DT221" s="2445" t="str" cm="1">
        <f t="array" ca="1" aca="1" ref="DT221">IFERROR(IF(AT221*fxVal_normal=_PL!AT221,"",IF(OR(AT221="",NOT(ISNUMBER(AT221)),ISERROR(AT221),$B221=""),"",IF($I221=1,IFBLANK(_xldudf_CX_PUSH(AT221*fxVal_normal,CX_ENTITY,$B221,AT$11,AT$14,AT$219,),""),IF($I221=2,IFBLANK(_xldudf_CX_PUSH(AT221,CX_ENTITY,$B221,AT$11,AT$14,AT$219,),""),IF($I221=3,"",IFBLANK(_xldudf_CX_PUSH(AT221,CX_ENTITY,$B221,AT$11,AT$14,AT$219,),"")))))),"")</f>
        <v/>
      </c>
      <c r="DU221" s="2445" t="str" cm="1">
        <f t="array" ca="1" aca="1" ref="DU221">IFERROR(IF(AU221*fxVal_normal=_PL!AU221,"",IF(OR(AU221="",NOT(ISNUMBER(AU221)),ISERROR(AU221),$B221=""),"",IF($I221=1,IFBLANK(_xldudf_CX_PUSH(AU221*fxVal_normal,CX_ENTITY,$B221,AU$11,AU$14,AU$219,),""),IF($I221=2,IFBLANK(_xldudf_CX_PUSH(AU221,CX_ENTITY,$B221,AU$11,AU$14,AU$219,),""),IF($I221=3,"",IFBLANK(_xldudf_CX_PUSH(AU221,CX_ENTITY,$B221,AU$11,AU$14,AU$219,),"")))))),"")</f>
        <v/>
      </c>
      <c r="DV221" s="2445" t="str" cm="1">
        <f t="array" ca="1" aca="1" ref="DV221">IFERROR(IF(AV221*fxVal_normal=_PL!AV221,"",IF(OR(AV221="",NOT(ISNUMBER(AV221)),ISERROR(AV221),$B221=""),"",IF($I221=1,IFBLANK(_xldudf_CX_PUSH(AV221*fxVal_normal,CX_ENTITY,$B221,AV$11,AV$14,AV$219,),""),IF($I221=2,IFBLANK(_xldudf_CX_PUSH(AV221,CX_ENTITY,$B221,AV$11,AV$14,AV$219,),""),IF($I221=3,"",IFBLANK(_xldudf_CX_PUSH(AV221,CX_ENTITY,$B221,AV$11,AV$14,AV$219,),"")))))),"")</f>
        <v/>
      </c>
      <c r="DW221" s="2445" t="str" cm="1">
        <f t="array" ca="1" aca="1" ref="DW221">IFERROR(IF(AW221*fxVal_normal=_PL!AW221,"",IF(OR(AW221="",NOT(ISNUMBER(AW221)),ISERROR(AW221),$B221=""),"",IF($I221=1,IFBLANK(_xldudf_CX_PUSH(AW221*fxVal_normal,CX_ENTITY,$B221,AW$11,AW$14,AW$219,),""),IF($I221=2,IFBLANK(_xldudf_CX_PUSH(AW221,CX_ENTITY,$B221,AW$11,AW$14,AW$219,),""),IF($I221=3,"",IFBLANK(_xldudf_CX_PUSH(AW221,CX_ENTITY,$B221,AW$11,AW$14,AW$219,),"")))))),"")</f>
        <v/>
      </c>
      <c r="DX221" s="2445" t="str" cm="1">
        <f t="array" ca="1" aca="1" ref="DX221">IFERROR(IF(AX221*fxVal_normal=_PL!AX221,"",IF(OR(AX221="",NOT(ISNUMBER(AX221)),ISERROR(AX221),$B221=""),"",IF($I221=1,IFBLANK(_xldudf_CX_PUSH(AX221*fxVal_normal,CX_ENTITY,$B221,AX$11,AX$14,AX$219,),""),IF($I221=2,IFBLANK(_xldudf_CX_PUSH(AX221,CX_ENTITY,$B221,AX$11,AX$14,AX$219,),""),IF($I221=3,"",IFBLANK(_xldudf_CX_PUSH(AX221,CX_ENTITY,$B221,AX$11,AX$14,AX$219,),"")))))),"")</f>
        <v/>
      </c>
      <c r="DY221" s="2445" t="str" cm="1">
        <f t="array" ca="1" aca="1" ref="DY221">IFERROR(IF(AY221*fxVal_normal=_PL!AY221,"",IF(OR(AY221="",NOT(ISNUMBER(AY221)),ISERROR(AY221),$B221=""),"",IF($I221=1,IFBLANK(_xldudf_CX_PUSH(AY221*fxVal_normal,CX_ENTITY,$B221,AY$11,AY$14,AY$219,),""),IF($I221=2,IFBLANK(_xldudf_CX_PUSH(AY221,CX_ENTITY,$B221,AY$11,AY$14,AY$219,),""),IF($I221=3,"",IFBLANK(_xldudf_CX_PUSH(AY221,CX_ENTITY,$B221,AY$11,AY$14,AY$219,),"")))))),"")</f>
        <v/>
      </c>
      <c r="DZ221" s="2445" t="str" cm="1">
        <f t="array" ca="1" aca="1" ref="DZ221">IFERROR(IF(AZ221*fxVal_normal=_PL!AZ221,"",IF(OR(AZ221="",NOT(ISNUMBER(AZ221)),ISERROR(AZ221),$B221=""),"",IF($I221=1,IFBLANK(_xldudf_CX_PUSH(AZ221*fxVal_normal,CX_ENTITY,$B221,AZ$11,AZ$14,AZ$219,),""),IF($I221=2,IFBLANK(_xldudf_CX_PUSH(AZ221,CX_ENTITY,$B221,AZ$11,AZ$14,AZ$219,),""),IF($I221=3,"",IFBLANK(_xldudf_CX_PUSH(AZ221,CX_ENTITY,$B221,AZ$11,AZ$14,AZ$219,),"")))))),"")</f>
        <v/>
      </c>
      <c r="EA221" s="2445" t="str" cm="1">
        <f t="array" ca="1" aca="1" ref="EA221">IFERROR(IF(BA221*fxVal_normal=_PL!BA221,"",IF(OR(BA221="",NOT(ISNUMBER(BA221)),ISERROR(BA221),$B221=""),"",IF($I221=1,IFBLANK(_xldudf_CX_PUSH(BA221*fxVal_normal,CX_ENTITY,$B221,BA$11,BA$14,BA$219,),""),IF($I221=2,IFBLANK(_xldudf_CX_PUSH(BA221,CX_ENTITY,$B221,BA$11,BA$14,BA$219,),""),IF($I221=3,"",IFBLANK(_xldudf_CX_PUSH(BA221,CX_ENTITY,$B221,BA$11,BA$14,BA$219,),"")))))),"")</f>
        <v/>
      </c>
      <c r="EB221" s="2445" t="str" cm="1">
        <f t="array" ca="1" aca="1" ref="EB221">IFERROR(IF(BB221*fxVal_normal=_PL!BB221,"",IF(OR(BB221="",NOT(ISNUMBER(BB221)),ISERROR(BB221),$B221=""),"",IF($I221=1,IFBLANK(_xldudf_CX_PUSH(BB221*fxVal_normal,CX_ENTITY,$B221,BB$11,BB$14,BB$219,),""),IF($I221=2,IFBLANK(_xldudf_CX_PUSH(BB221,CX_ENTITY,$B221,BB$11,BB$14,BB$219,),""),IF($I221=3,"",IFBLANK(_xldudf_CX_PUSH(BB221,CX_ENTITY,$B221,BB$11,BB$14,BB$219,),"")))))),"")</f>
        <v/>
      </c>
      <c r="EC221" s="2445" t="str" cm="1">
        <f t="array" ca="1" aca="1" ref="EC221">IFERROR(IF(BC221*fxVal_normal=_PL!BC221,"",IF(OR(BC221="",NOT(ISNUMBER(BC221)),ISERROR(BC221),$B221=""),"",IF($I221=1,IFBLANK(_xldudf_CX_PUSH(BC221*fxVal_normal,CX_ENTITY,$B221,BC$11,BC$14,BC$219,),""),IF($I221=2,IFBLANK(_xldudf_CX_PUSH(BC221,CX_ENTITY,$B221,BC$11,BC$14,BC$219,),""),IF($I221=3,"",IFBLANK(_xldudf_CX_PUSH(BC221,CX_ENTITY,$B221,BC$11,BC$14,BC$219,),"")))))),"")</f>
        <v/>
      </c>
      <c r="ED221" s="2445" t="str" cm="1">
        <f t="array" ca="1" aca="1" ref="ED221">IFERROR(IF(BD221*fxVal_normal=_PL!BD221,"",IF(OR(BD221="",NOT(ISNUMBER(BD221)),ISERROR(BD221),$B221=""),"",IF($I221=1,IFBLANK(_xldudf_CX_PUSH(BD221*fxVal_normal,CX_ENTITY,$B221,BD$11,BD$14,BD$219,),""),IF($I221=2,IFBLANK(_xldudf_CX_PUSH(BD221,CX_ENTITY,$B221,BD$11,BD$14,BD$219,),""),IF($I221=3,"",IFBLANK(_xldudf_CX_PUSH(BD221,CX_ENTITY,$B221,BD$11,BD$14,BD$219,),"")))))),"")</f>
        <v/>
      </c>
      <c r="EE221" s="2445" t="str" cm="1">
        <f t="array" ca="1" aca="1" ref="EE221">IFERROR(IF(BE221*fxVal_normal=_PL!BE221,"",IF(OR(BE221="",NOT(ISNUMBER(BE221)),ISERROR(BE221),$B221=""),"",IF($I221=1,IFBLANK(_xldudf_CX_PUSH(BE221*fxVal_normal,CX_ENTITY,$B221,BE$11,BE$14,BE$219,),""),IF($I221=2,IFBLANK(_xldudf_CX_PUSH(BE221,CX_ENTITY,$B221,BE$11,BE$14,BE$219,),""),IF($I221=3,"",IFBLANK(_xldudf_CX_PUSH(BE221,CX_ENTITY,$B221,BE$11,BE$14,BE$219,),"")))))),"")</f>
        <v/>
      </c>
      <c r="EF221" s="2445" t="str" cm="1">
        <f t="array" ca="1" aca="1" ref="EF221">IFERROR(IF(BF221*fxVal_normal=_PL!BF221,"",IF(OR(BF221="",NOT(ISNUMBER(BF221)),ISERROR(BF221),$B221=""),"",IF($I221=1,IFBLANK(_xldudf_CX_PUSH(BF221*fxVal_normal,CX_ENTITY,$B221,BF$11,BF$14,BF$219,),""),IF($I221=2,IFBLANK(_xldudf_CX_PUSH(BF221,CX_ENTITY,$B221,BF$11,BF$14,BF$219,),""),IF($I221=3,"",IFBLANK(_xldudf_CX_PUSH(BF221,CX_ENTITY,$B221,BF$11,BF$14,BF$219,),"")))))),"")</f>
        <v/>
      </c>
      <c r="EG221" s="2445" t="str" cm="1">
        <f t="array" ca="1" aca="1" ref="EG221">IFERROR(IF(BG221*fxVal_normal=_PL!BG221,"",IF(OR(BG221="",NOT(ISNUMBER(BG221)),ISERROR(BG221),$B221=""),"",IF($I221=1,IFBLANK(_xldudf_CX_PUSH(BG221*fxVal_normal,CX_ENTITY,$B221,BG$11,BG$14,BG$219,),""),IF($I221=2,IFBLANK(_xldudf_CX_PUSH(BG221,CX_ENTITY,$B221,BG$11,BG$14,BG$219,),""),IF($I221=3,"",IFBLANK(_xldudf_CX_PUSH(BG221,CX_ENTITY,$B221,BG$11,BG$14,BG$219,),"")))))),"")</f>
        <v/>
      </c>
      <c r="EH221" s="2445" t="str" cm="1">
        <f t="array" ca="1" aca="1" ref="EH221">IFERROR(IF(BH221*fxVal_normal=_PL!BH221,"",IF(OR(BH221="",NOT(ISNUMBER(BH221)),ISERROR(BH221),$B221=""),"",IF($I221=1,IFBLANK(_xldudf_CX_PUSH(BH221*fxVal_normal,CX_ENTITY,$B221,BH$11,BH$14,BH$219,),""),IF($I221=2,IFBLANK(_xldudf_CX_PUSH(BH221,CX_ENTITY,$B221,BH$11,BH$14,BH$219,),""),IF($I221=3,"",IFBLANK(_xldudf_CX_PUSH(BH221,CX_ENTITY,$B221,BH$11,BH$14,BH$219,),"")))))),"")</f>
        <v/>
      </c>
      <c r="EI221" s="2445" t="str" cm="1">
        <f t="array" ca="1" aca="1" ref="EI221">IFERROR(IF(BI221*fxVal_normal=_PL!BI221,"",IF(OR(BI221="",NOT(ISNUMBER(BI221)),ISERROR(BI221),$B221=""),"",IF($I221=1,IFBLANK(_xldudf_CX_PUSH(BI221*fxVal_normal,CX_ENTITY,$B221,BI$11,BI$14,BI$219,),""),IF($I221=2,IFBLANK(_xldudf_CX_PUSH(BI221,CX_ENTITY,$B221,BI$11,BI$14,BI$219,),""),IF($I221=3,"",IFBLANK(_xldudf_CX_PUSH(BI221,CX_ENTITY,$B221,BI$11,BI$14,BI$219,),"")))))),"")</f>
        <v/>
      </c>
      <c r="EJ221" s="2445" t="str" cm="1">
        <f t="array" ca="1" aca="1" ref="EJ221">IFERROR(IF(BJ221*fxVal_normal=_PL!BJ221,"",IF(OR(BJ221="",NOT(ISNUMBER(BJ221)),ISERROR(BJ221),$B221=""),"",IF($I221=1,IFBLANK(_xldudf_CX_PUSH(BJ221*fxVal_normal,CX_ENTITY,$B221,BJ$11,BJ$14,BJ$219,),""),IF($I221=2,IFBLANK(_xldudf_CX_PUSH(BJ221,CX_ENTITY,$B221,BJ$11,BJ$14,BJ$219,),""),IF($I221=3,"",IFBLANK(_xldudf_CX_PUSH(BJ221,CX_ENTITY,$B221,BJ$11,BJ$14,BJ$219,),"")))))),"")</f>
        <v/>
      </c>
      <c r="EK221" s="2445" t="str" cm="1">
        <f t="array" ca="1" aca="1" ref="EK221">IFERROR(IF(BK221*fxVal_normal=_PL!BK221,"",IF(OR(BK221="",NOT(ISNUMBER(BK221)),ISERROR(BK221),$B221=""),"",IF($I221=1,IFBLANK(_xldudf_CX_PUSH(BK221*fxVal_normal,CX_ENTITY,$B221,BK$11,BK$14,BK$219,),""),IF($I221=2,IFBLANK(_xldudf_CX_PUSH(BK221,CX_ENTITY,$B221,BK$11,BK$14,BK$219,),""),IF($I221=3,"",IFBLANK(_xldudf_CX_PUSH(BK221,CX_ENTITY,$B221,BK$11,BK$14,BK$219,),"")))))),"")</f>
        <v/>
      </c>
      <c r="EL221" s="2445" t="str" cm="1">
        <f t="array" ca="1" aca="1" ref="EL221">IFERROR(IF(BL221*fxVal_normal=_PL!BL221,"",IF(OR(BL221="",NOT(ISNUMBER(BL221)),ISERROR(BL221),$B221=""),"",IF($I221=1,IFBLANK(_xldudf_CX_PUSH(BL221*fxVal_normal,CX_ENTITY,$B221,BL$11,BL$14,BL$219,),""),IF($I221=2,IFBLANK(_xldudf_CX_PUSH(BL221,CX_ENTITY,$B221,BL$11,BL$14,BL$219,),""),IF($I221=3,"",IFBLANK(_xldudf_CX_PUSH(BL221,CX_ENTITY,$B221,BL$11,BL$14,BL$219,),"")))))),"")</f>
        <v/>
      </c>
      <c r="EM221" s="2445" t="str" cm="1">
        <f t="array" ca="1" aca="1" ref="EM221">IFERROR(IF(BM221*fxVal_normal=_PL!BM221,"",IF(OR(BM221="",NOT(ISNUMBER(BM221)),ISERROR(BM221),$B221=""),"",IF($I221=1,IFBLANK(_xldudf_CX_PUSH(BM221*fxVal_normal,CX_ENTITY,$B221,BM$11,BM$14,BM$219,),""),IF($I221=2,IFBLANK(_xldudf_CX_PUSH(BM221,CX_ENTITY,$B221,BM$11,BM$14,BM$219,),""),IF($I221=3,"",IFBLANK(_xldudf_CX_PUSH(BM221,CX_ENTITY,$B221,BM$11,BM$14,BM$219,),"")))))),"")</f>
        <v/>
      </c>
      <c r="EN221" s="2445" t="str" cm="1">
        <f t="array" ca="1" aca="1" ref="EN221">IFERROR(IF(BN221*fxVal_normal=_PL!BN221,"",IF(OR(BN221="",NOT(ISNUMBER(BN221)),ISERROR(BN221),$B221=""),"",IF($I221=1,IFBLANK(_xldudf_CX_PUSH(BN221*fxVal_normal,CX_ENTITY,$B221,BN$11,BN$14,BN$219,),""),IF($I221=2,IFBLANK(_xldudf_CX_PUSH(BN221,CX_ENTITY,$B221,BN$11,BN$14,BN$219,),""),IF($I221=3,"",IFBLANK(_xldudf_CX_PUSH(BN221,CX_ENTITY,$B221,BN$11,BN$14,BN$219,),"")))))),"")</f>
        <v/>
      </c>
    </row>
    <row r="222" spans="1:144" ht="21" customHeight="1">
      <c r="A222" s="1627"/>
      <c r="B222" s="2439" t="s">
        <v>180</v>
      </c>
      <c r="C222" s="3459" t="str" cm="1">
        <f t="array" ref="C222">IFBLANK(_PL!C222,"")</f>
        <v>Segment III Breakdown - Label 2</v>
      </c>
      <c r="D222" s="1548" t="s">
        <v>180</v>
      </c>
      <c r="E222" s="2440" t="e" cm="1">
        <f t="array" ca="1" aca="1" ref="E22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222:$CQ222,Z222)</f>
        <v>#NAME?</v>
      </c>
      <c r="F222" s="578"/>
      <c r="G222" s="578"/>
      <c r="H222" s="510">
        <v>0</v>
      </c>
      <c r="I222" s="3302">
        <v>1</v>
      </c>
      <c r="J222" s="401" cm="1">
        <f t="array" ref="J222">IFBLANK(Z222,"")</f>
        <v>-1</v>
      </c>
      <c r="K222" s="578" t="str">
        <f ca="1">IFERROR(IF(LEN(AB222)=0,"No",IF(LEN(J222)&gt;0,"Yes","No")),"")</f>
        <v/>
      </c>
      <c r="L222" s="37"/>
      <c r="N222" s="158"/>
      <c r="O222" s="101"/>
      <c r="P222" s="52"/>
      <c r="Q222" s="101"/>
      <c r="R222" s="101"/>
      <c r="S222" s="3008"/>
      <c r="T222" s="3008"/>
      <c r="U222" s="39"/>
      <c r="V222" s="37"/>
      <c r="W222" s="91" t="e">
        <f ca="1">W220</f>
        <v>#NAME?</v>
      </c>
      <c r="X222" s="2081" t="str">
        <f>_PL!X222</f>
        <v>a</v>
      </c>
      <c r="Y222" s="3224">
        <v>2</v>
      </c>
      <c r="Z222" s="198">
        <f>_PL!Z222</f>
        <v>-1</v>
      </c>
      <c r="AA222" s="2571"/>
      <c r="AB222" s="3017" t="e" cm="1">
        <f t="array" ca="1" aca="1" ref="AB222">IF(AB224&lt;&gt;"",fx_getIcon("alert"),"")</f>
        <v>#NAME?</v>
      </c>
      <c r="AC222" s="914" t="str" cm="1">
        <f t="array" ca="1" aca="1" ref="AC222">_xlfn.LET(_xlpm._termname,$AB222,_xlpm._iconname,"find",_xlpm._icon,fx_getIcon(_xlpm._iconname),_xlpm._location,_xlfn.XLOOKUP(LOWER(_xlpm._termname),LOWER(tbl_acctDef[Term]),tbl_acctDef[Term]),_xlpm._hyperlink,HYPERLINK("#"&amp;CELL("address",_xlpm._location),_xlpm._icon),IFERROR(_xlpm._hyperlink,""))</f>
        <v/>
      </c>
      <c r="AD222" s="3177">
        <v>1</v>
      </c>
      <c r="AE222" s="3177">
        <v>1</v>
      </c>
      <c r="AF222" s="3177">
        <v>1</v>
      </c>
      <c r="AG222" s="3177">
        <v>1</v>
      </c>
      <c r="AH222" s="3177">
        <v>1</v>
      </c>
      <c r="AI222" s="3177">
        <v>1</v>
      </c>
      <c r="AJ222" s="3177">
        <v>1</v>
      </c>
      <c r="AK222" s="3177">
        <v>1</v>
      </c>
      <c r="AL222" s="3177">
        <v>1</v>
      </c>
      <c r="AM222" s="3177">
        <v>1</v>
      </c>
      <c r="AN222" s="3177">
        <v>1</v>
      </c>
      <c r="AO222" s="3177">
        <v>1</v>
      </c>
      <c r="AP222" s="3177">
        <v>1</v>
      </c>
      <c r="AQ222" s="3177">
        <v>1</v>
      </c>
      <c r="AR222" s="3177">
        <v>1</v>
      </c>
      <c r="AS222" s="3177">
        <v>1</v>
      </c>
      <c r="AT222" s="3177">
        <v>1</v>
      </c>
      <c r="AU222" s="3177">
        <v>1</v>
      </c>
      <c r="AV222" s="3177">
        <v>1</v>
      </c>
      <c r="AW222" s="3177">
        <v>1</v>
      </c>
      <c r="AX222" s="3177">
        <v>1</v>
      </c>
      <c r="AY222" s="3177">
        <v>1</v>
      </c>
      <c r="AZ222" s="3177">
        <v>1</v>
      </c>
      <c r="BA222" s="3177">
        <v>1</v>
      </c>
      <c r="BB222" s="3177">
        <v>1</v>
      </c>
      <c r="BC222" s="3177">
        <v>1</v>
      </c>
      <c r="BD222" s="3177">
        <v>1</v>
      </c>
      <c r="BE222" s="3177">
        <v>1</v>
      </c>
      <c r="BF222" s="3177">
        <v>1</v>
      </c>
      <c r="BG222" s="3177">
        <v>1</v>
      </c>
      <c r="BH222" s="3177">
        <v>1</v>
      </c>
      <c r="BI222" s="3177">
        <v>1</v>
      </c>
      <c r="BJ222" s="3177">
        <v>1</v>
      </c>
      <c r="BK222" s="3177">
        <v>1</v>
      </c>
      <c r="BL222" s="3177">
        <v>1</v>
      </c>
      <c r="BM222" s="3177">
        <v>1</v>
      </c>
      <c r="BN222" s="3177">
        <v>1</v>
      </c>
      <c r="BO222" s="2442"/>
      <c r="BP222" s="2442"/>
      <c r="BQ222" s="2442"/>
      <c r="BR222" s="2442"/>
      <c r="BS222" s="2442"/>
      <c r="BT222" s="2442"/>
      <c r="BU222" s="2442"/>
      <c r="BV222" s="2442"/>
      <c r="BW222" s="2442"/>
      <c r="BX222" s="2442"/>
      <c r="BY222" s="2442"/>
      <c r="BZ222" s="2442"/>
      <c r="CA222" s="34"/>
      <c r="CC222" s="58"/>
      <c r="CD222" s="1461" t="e" cm="1">
        <f t="array" ca="1" aca="1" ref="CD222">_xlfn.LET(_xlpm.CheckBlank,SUM(PL!$AD222:$BN222)=0,IF(_xlpm.CheckBlank,"",SUM(_xlfn._xlws.FILTER(PL!$AD222:$BN222,(YEAR(PL!$AD$12:$BN$12)=PL!CD$12)*(array_timeline&lt;=PL!CD$11)))))</f>
        <v>#NAME?</v>
      </c>
      <c r="CE222" s="1461" t="e" cm="1">
        <f t="array" ca="1" aca="1" ref="CE222">_xlfn.LET(_xlpm.CheckBlank,SUM(PL!$AD222:$BN222)=0,IF(_xlpm.CheckBlank,"",SUM(_xlfn._xlws.FILTER(PL!$AD222:$BN222,(YEAR(PL!$AD$12:$BN$12)=PL!CE$12)*(array_timeline&lt;=PL!CE$11)))))</f>
        <v>#NAME?</v>
      </c>
      <c r="CF222" s="88"/>
      <c r="CG222" s="1461" t="e" cm="1">
        <f t="array" ca="1" aca="1" ref="CG222">_xlfn.LET(_xlpm.CheckBlank,SUM(PL!$AD222:$BN222)=0,IF(_xlpm.CheckBlank,"",SUM(_xlfn._xlws.FILTER(PL!$AD222:$BN222,(YEAR(PL!$AD$12:$BN$12)=PL!CG$12)*(array_timeline&lt;=PL!CG$11)))))</f>
        <v>#NAME?</v>
      </c>
      <c r="CH222" s="1461" t="e" cm="1">
        <f t="array" ca="1" aca="1" ref="CH222">_xlfn.LET(_xlpm.CheckBlank,SUM(PL!$AD222:$BN222)=0,IF(_xlpm.CheckBlank,"",SUM(_xlfn._xlws.FILTER(PL!$AD222:$BN222,(YEAR(PL!$AD$12:$BN$12)=PL!CH$12)*(array_timeline&lt;=PL!CH$11)))))</f>
        <v>#NAME?</v>
      </c>
      <c r="CI222" s="88"/>
      <c r="CJ222" s="1461" cm="1">
        <f t="array" ref="CJ222">_xlfn.LET(_xlpm.CheckBlank,SUM(PL!$AD222:$BN222)=0,IF(_xlpm.CheckBlank,"",SUM(_xlfn.TAKE(_xlfn.DROP(PL!$AD222:$BN222,,-DATEDIFF(PL!CJ$11,val_asOfDate,"M")),1,-12))))</f>
        <v>12</v>
      </c>
      <c r="CK222" s="1461" cm="1">
        <f t="array" ref="CK222">_xlfn.LET(_xlpm.CheckBlank,SUM(PL!$AD222:$BN222)=0,IF(_xlpm.CheckBlank,"",SUM(_xlfn.TAKE(_xlfn.DROP(PL!$AD222:$BN222,,-DATEDIFF(PL!CK$11,val_asOfDate,"M")),1,-12))))</f>
        <v>12</v>
      </c>
      <c r="CL222" s="88"/>
      <c r="CM222" s="3177">
        <v>1</v>
      </c>
      <c r="CN222" s="3177">
        <v>1</v>
      </c>
      <c r="CO222" s="1169"/>
      <c r="CP222" s="3177">
        <v>1</v>
      </c>
      <c r="CQ222" s="3177">
        <v>1</v>
      </c>
      <c r="CR222" s="34"/>
      <c r="CS222" s="2056"/>
      <c r="CT222" s="2447" t="e" cm="1">
        <f t="array" ca="1" aca="1" ref="CT222">IF(OR($Y222="Segment III Breakdown - Amount 1",$Y222="Segment III Breakdown - Amount 2",$Y222="Segment III Breakdown - Amount 3",$Y222="Segment III Breakdown - Amount 4",$Y222="Segment III Breakdown - Amount 5",$Y222="Segment III Breakdown - Amount 6",$Y222="Please select the metric for segmentation"),"",_xldudf_CX_PUSH($Y222,CX_ENTITY,$C222,val_asOfDate))</f>
        <v>#NAME?</v>
      </c>
      <c r="CU222" s="2447" t="e" cm="1">
        <f t="array" ca="1" aca="1" ref="CU222">IF(OR($Y222="Segment III Breakdown - Amount 1",$Y222="Segment III Breakdown - Amount 2",$Y222="Segment III Breakdown - Amount 3",$Y222="Segment III Breakdown - Amount 4",$Y222="Segment III Breakdown - Amount 5",$Y222="Segment III Breakdown - Amount 6",$Y222="Please select the metric for segmentation"),"",_xldudf_CX_PUSH($Y222,CX_ENTITY,$C222,EOMONTH(val_asOfDate,1)))</f>
        <v>#NAME?</v>
      </c>
      <c r="CV222" s="2447" t="e" cm="1">
        <f t="array" ca="1" aca="1" ref="CV222">IF(OR($Y222="Segment III Breakdown - Amount 1",$Y222="Segment III Breakdown - Amount 2",$Y222="Segment III Breakdown - Amount 3",$Y222="Segment III Breakdown - Amount 4",$Y222="Segment III Breakdown - Amount 5",$Y222="Segment III Breakdown - Amount 6",$Y222="Please select the metric for segmentation"),"",_xldudf_CX_PUSH($Y222,CX_ENTITY,$C222,EOMONTH(val_asOfDate,2)))</f>
        <v>#NAME?</v>
      </c>
      <c r="CW222" s="2447" t="e" cm="1">
        <f t="array" ca="1" aca="1" ref="CW222">IF(OR($Y222="Segment III Breakdown - Amount 1",$Y222="Segment III Breakdown - Amount 2",$Y222="Segment III Breakdown - Amount 3",$Y222="Segment III Breakdown - Amount 4",$Y222="Segment III Breakdown - Amount 5",$Y222="Segment III Breakdown - Amount 6",$Y222="Please select the metric for segmentation"),"",_xldudf_CX_PUSH($Y222,CX_ENTITY,$C222,EOMONTH(val_asOfDate,3)))</f>
        <v>#NAME?</v>
      </c>
      <c r="CX222" s="2443"/>
      <c r="CY222" s="2444" t="str" cm="1">
        <f t="array" ca="1" aca="1" ref="CY222">IFERROR(IF(CM222*fxVal_normal=_PL!CM222,"",IF(OR($CM222="",$CM222=0,NOT(ISNUMBER($CM222)),ISERROR($CM222),$B222=""),"",IF($I222=1,IFBLANK(_xldudf_CX_PUSH($CM222*fxVal_normal,CX_ENTITY,$B222,$CM$11,$CM$14,$CM$19,),""),IF($I222=2,IFBLANK(_xldudf_CX_PUSH($CM222,CX_ENTITY,$B222,$CM$11,$CM$14,$CM$19,),""),IF($I222=3,"",IFBLANK(_xldudf_CX_PUSH($CM222,CX_ENTITY,$B222,$CM$11,$CM$14,$CM$19,),"")))))),"")</f>
        <v/>
      </c>
      <c r="CZ222" s="2444" t="str" cm="1">
        <f t="array" ca="1" aca="1" ref="CZ222">IFERROR(IF(CN222*fxVal_normal=_PL!CN222,"",IF(OR($CN222="",$CN222=0,NOT(ISNUMBER($CN222)),ISERROR($CN222),$B222=""),"",IF($I222=1,IFBLANK(_xldudf_CX_PUSH($CN222*fxVal_normal,CX_ENTITY,$B222,$CN$11,$CN$14,$CN$19,),""),IF($I222=2,IFBLANK(_xldudf_CX_PUSH($CN222,CX_ENTITY,$B222,$CN$11,$CN$14,$CN$19,),""),IF($I222=3,"",IFBLANK(_xldudf_CX_PUSH($CN222,CX_ENTITY,$B222,$CN$11,$CN$14,$CN$19,),"")))))),"")</f>
        <v/>
      </c>
      <c r="DA222" s="2444" t="str" cm="1">
        <f t="array" ca="1" aca="1" ref="DA222">IFERROR(IF(CP222*fxVal_normal=_PL!CP222,"",IF(OR($CP222="",$CP222=0,NOT(ISNUMBER($CP222)),ISERROR($CP222),$B222=""),"",IF($I222=1,IFBLANK(_xldudf_CX_PUSH($CP222*fxVal_normal,CX_ENTITY,$B222,$CP$11,$CP$14,$CP$19,),""),IF($I222=2,IFBLANK(_xldudf_CX_PUSH($CP222,CX_ENTITY,$B222,$CP$11,$CP$14,$CP$19,),""),IF($I222=3,"",IFBLANK(_xldudf_CX_PUSH($CP222,CX_ENTITY,$B222,$CP$11,$CP$14,$CP$19,),"")))))),"")</f>
        <v/>
      </c>
      <c r="DB222" s="2444" t="str" cm="1">
        <f t="array" ca="1" aca="1" ref="DB222">IFERROR(IF(CQ222*fxVal_normal=_PL!CQ222,"",IF(OR($CQ222="",$CQ222=0,NOT(ISNUMBER($CQ222)),ISERROR($CQ222),$B222=""),"",IF($I222=1,IFBLANK(_xldudf_CX_PUSH($CQ222*fxVal_normal,CX_ENTITY,$B222,$CQ$11,$CQ$14,$CQ$19,),""),IF($I222=2,IFBLANK(_xldudf_CX_PUSH($CQ222,CX_ENTITY,$B222,$CQ$11,$CQ$14,$CQ$19,),""),IF($I222=3,"",IFBLANK(_xldudf_CX_PUSH($CQ222,CX_ENTITY,$B222,$CQ$11,$CQ$14,$CQ$19,),"")))))),"")</f>
        <v/>
      </c>
      <c r="DC222" s="2443"/>
      <c r="DD222" s="2445" t="str" cm="1">
        <f t="array" ca="1" aca="1" ref="DD222">IFERROR(IF(AD222*fxVal_normal=_PL!AD222,"",IF(OR(AD222="",NOT(ISNUMBER(AD222)),ISERROR(AD222),$B222=""),"",IF($I222=1,IFBLANK(_xldudf_CX_PUSH(AD222*fxVal_normal,CX_ENTITY,$B222,AD$11,AD$14,AD$219,),""),IF($I222=2,IFBLANK(_xldudf_CX_PUSH(AD222,CX_ENTITY,$B222,AD$11,AD$14,AD$219,),""),IF($I222=3,"",IFBLANK(_xldudf_CX_PUSH(AD222,CX_ENTITY,$B222,AD$11,AD$14,AD$219,),"")))))),"")</f>
        <v/>
      </c>
      <c r="DE222" s="2445" t="str" cm="1">
        <f t="array" ca="1" aca="1" ref="DE222">IFERROR(IF(AE222*fxVal_normal=_PL!AE222,"",IF(OR(AE222="",NOT(ISNUMBER(AE222)),ISERROR(AE222),$B222=""),"",IF($I222=1,IFBLANK(_xldudf_CX_PUSH(AE222*fxVal_normal,CX_ENTITY,$B222,AE$11,AE$14,AE$219,),""),IF($I222=2,IFBLANK(_xldudf_CX_PUSH(AE222,CX_ENTITY,$B222,AE$11,AE$14,AE$219,),""),IF($I222=3,"",IFBLANK(_xldudf_CX_PUSH(AE222,CX_ENTITY,$B222,AE$11,AE$14,AE$219,),"")))))),"")</f>
        <v/>
      </c>
      <c r="DF222" s="2445" t="str" cm="1">
        <f t="array" ca="1" aca="1" ref="DF222">IFERROR(IF(AF222*fxVal_normal=_PL!AF222,"",IF(OR(AF222="",NOT(ISNUMBER(AF222)),ISERROR(AF222),$B222=""),"",IF($I222=1,IFBLANK(_xldudf_CX_PUSH(AF222*fxVal_normal,CX_ENTITY,$B222,AF$11,AF$14,AF$219,),""),IF($I222=2,IFBLANK(_xldudf_CX_PUSH(AF222,CX_ENTITY,$B222,AF$11,AF$14,AF$219,),""),IF($I222=3,"",IFBLANK(_xldudf_CX_PUSH(AF222,CX_ENTITY,$B222,AF$11,AF$14,AF$219,),"")))))),"")</f>
        <v/>
      </c>
      <c r="DG222" s="2445" t="str" cm="1">
        <f t="array" ca="1" aca="1" ref="DG222">IFERROR(IF(AG222*fxVal_normal=_PL!AG222,"",IF(OR(AG222="",NOT(ISNUMBER(AG222)),ISERROR(AG222),$B222=""),"",IF($I222=1,IFBLANK(_xldudf_CX_PUSH(AG222*fxVal_normal,CX_ENTITY,$B222,AG$11,AG$14,AG$219,),""),IF($I222=2,IFBLANK(_xldudf_CX_PUSH(AG222,CX_ENTITY,$B222,AG$11,AG$14,AG$219,),""),IF($I222=3,"",IFBLANK(_xldudf_CX_PUSH(AG222,CX_ENTITY,$B222,AG$11,AG$14,AG$219,),"")))))),"")</f>
        <v/>
      </c>
      <c r="DH222" s="2445" t="str" cm="1">
        <f t="array" ca="1" aca="1" ref="DH222">IFERROR(IF(AH222*fxVal_normal=_PL!AH222,"",IF(OR(AH222="",NOT(ISNUMBER(AH222)),ISERROR(AH222),$B222=""),"",IF($I222=1,IFBLANK(_xldudf_CX_PUSH(AH222*fxVal_normal,CX_ENTITY,$B222,AH$11,AH$14,AH$219,),""),IF($I222=2,IFBLANK(_xldudf_CX_PUSH(AH222,CX_ENTITY,$B222,AH$11,AH$14,AH$219,),""),IF($I222=3,"",IFBLANK(_xldudf_CX_PUSH(AH222,CX_ENTITY,$B222,AH$11,AH$14,AH$219,),"")))))),"")</f>
        <v/>
      </c>
      <c r="DI222" s="2445" t="str" cm="1">
        <f t="array" ca="1" aca="1" ref="DI222">IFERROR(IF(AI222*fxVal_normal=_PL!AI222,"",IF(OR(AI222="",NOT(ISNUMBER(AI222)),ISERROR(AI222),$B222=""),"",IF($I222=1,IFBLANK(_xldudf_CX_PUSH(AI222*fxVal_normal,CX_ENTITY,$B222,AI$11,AI$14,AI$219,),""),IF($I222=2,IFBLANK(_xldudf_CX_PUSH(AI222,CX_ENTITY,$B222,AI$11,AI$14,AI$219,),""),IF($I222=3,"",IFBLANK(_xldudf_CX_PUSH(AI222,CX_ENTITY,$B222,AI$11,AI$14,AI$219,),"")))))),"")</f>
        <v/>
      </c>
      <c r="DJ222" s="2445" t="str" cm="1">
        <f t="array" ca="1" aca="1" ref="DJ222">IFERROR(IF(AJ222*fxVal_normal=_PL!AJ222,"",IF(OR(AJ222="",NOT(ISNUMBER(AJ222)),ISERROR(AJ222),$B222=""),"",IF($I222=1,IFBLANK(_xldudf_CX_PUSH(AJ222*fxVal_normal,CX_ENTITY,$B222,AJ$11,AJ$14,AJ$219,),""),IF($I222=2,IFBLANK(_xldudf_CX_PUSH(AJ222,CX_ENTITY,$B222,AJ$11,AJ$14,AJ$219,),""),IF($I222=3,"",IFBLANK(_xldudf_CX_PUSH(AJ222,CX_ENTITY,$B222,AJ$11,AJ$14,AJ$219,),"")))))),"")</f>
        <v/>
      </c>
      <c r="DK222" s="2445" t="str" cm="1">
        <f t="array" ca="1" aca="1" ref="DK222">IFERROR(IF(AK222*fxVal_normal=_PL!AK222,"",IF(OR(AK222="",NOT(ISNUMBER(AK222)),ISERROR(AK222),$B222=""),"",IF($I222=1,IFBLANK(_xldudf_CX_PUSH(AK222*fxVal_normal,CX_ENTITY,$B222,AK$11,AK$14,AK$219,),""),IF($I222=2,IFBLANK(_xldudf_CX_PUSH(AK222,CX_ENTITY,$B222,AK$11,AK$14,AK$219,),""),IF($I222=3,"",IFBLANK(_xldudf_CX_PUSH(AK222,CX_ENTITY,$B222,AK$11,AK$14,AK$219,),"")))))),"")</f>
        <v/>
      </c>
      <c r="DL222" s="2445" t="str" cm="1">
        <f t="array" ca="1" aca="1" ref="DL222">IFERROR(IF(AL222*fxVal_normal=_PL!AL222,"",IF(OR(AL222="",NOT(ISNUMBER(AL222)),ISERROR(AL222),$B222=""),"",IF($I222=1,IFBLANK(_xldudf_CX_PUSH(AL222*fxVal_normal,CX_ENTITY,$B222,AL$11,AL$14,AL$219,),""),IF($I222=2,IFBLANK(_xldudf_CX_PUSH(AL222,CX_ENTITY,$B222,AL$11,AL$14,AL$219,),""),IF($I222=3,"",IFBLANK(_xldudf_CX_PUSH(AL222,CX_ENTITY,$B222,AL$11,AL$14,AL$219,),"")))))),"")</f>
        <v/>
      </c>
      <c r="DM222" s="2445" t="str" cm="1">
        <f t="array" ca="1" aca="1" ref="DM222">IFERROR(IF(AM222*fxVal_normal=_PL!AM222,"",IF(OR(AM222="",NOT(ISNUMBER(AM222)),ISERROR(AM222),$B222=""),"",IF($I222=1,IFBLANK(_xldudf_CX_PUSH(AM222*fxVal_normal,CX_ENTITY,$B222,AM$11,AM$14,AM$219,),""),IF($I222=2,IFBLANK(_xldudf_CX_PUSH(AM222,CX_ENTITY,$B222,AM$11,AM$14,AM$219,),""),IF($I222=3,"",IFBLANK(_xldudf_CX_PUSH(AM222,CX_ENTITY,$B222,AM$11,AM$14,AM$219,),"")))))),"")</f>
        <v/>
      </c>
      <c r="DN222" s="2445" t="str" cm="1">
        <f t="array" ca="1" aca="1" ref="DN222">IFERROR(IF(AN222*fxVal_normal=_PL!AN222,"",IF(OR(AN222="",NOT(ISNUMBER(AN222)),ISERROR(AN222),$B222=""),"",IF($I222=1,IFBLANK(_xldudf_CX_PUSH(AN222*fxVal_normal,CX_ENTITY,$B222,AN$11,AN$14,AN$219,),""),IF($I222=2,IFBLANK(_xldudf_CX_PUSH(AN222,CX_ENTITY,$B222,AN$11,AN$14,AN$219,),""),IF($I222=3,"",IFBLANK(_xldudf_CX_PUSH(AN222,CX_ENTITY,$B222,AN$11,AN$14,AN$219,),"")))))),"")</f>
        <v/>
      </c>
      <c r="DO222" s="2445" t="str" cm="1">
        <f t="array" ca="1" aca="1" ref="DO222">IFERROR(IF(AO222*fxVal_normal=_PL!AO222,"",IF(OR(AO222="",NOT(ISNUMBER(AO222)),ISERROR(AO222),$B222=""),"",IF($I222=1,IFBLANK(_xldudf_CX_PUSH(AO222*fxVal_normal,CX_ENTITY,$B222,AO$11,AO$14,AO$219,),""),IF($I222=2,IFBLANK(_xldudf_CX_PUSH(AO222,CX_ENTITY,$B222,AO$11,AO$14,AO$219,),""),IF($I222=3,"",IFBLANK(_xldudf_CX_PUSH(AO222,CX_ENTITY,$B222,AO$11,AO$14,AO$219,),"")))))),"")</f>
        <v/>
      </c>
      <c r="DP222" s="2445" t="str" cm="1">
        <f t="array" ca="1" aca="1" ref="DP222">IFERROR(IF(AP222*fxVal_normal=_PL!AP222,"",IF(OR(AP222="",NOT(ISNUMBER(AP222)),ISERROR(AP222),$B222=""),"",IF($I222=1,IFBLANK(_xldudf_CX_PUSH(AP222*fxVal_normal,CX_ENTITY,$B222,AP$11,AP$14,AP$219,),""),IF($I222=2,IFBLANK(_xldudf_CX_PUSH(AP222,CX_ENTITY,$B222,AP$11,AP$14,AP$219,),""),IF($I222=3,"",IFBLANK(_xldudf_CX_PUSH(AP222,CX_ENTITY,$B222,AP$11,AP$14,AP$219,),"")))))),"")</f>
        <v/>
      </c>
      <c r="DQ222" s="2445" t="str" cm="1">
        <f t="array" ca="1" aca="1" ref="DQ222">IFERROR(IF(AQ222*fxVal_normal=_PL!AQ222,"",IF(OR(AQ222="",NOT(ISNUMBER(AQ222)),ISERROR(AQ222),$B222=""),"",IF($I222=1,IFBLANK(_xldudf_CX_PUSH(AQ222*fxVal_normal,CX_ENTITY,$B222,AQ$11,AQ$14,AQ$219,),""),IF($I222=2,IFBLANK(_xldudf_CX_PUSH(AQ222,CX_ENTITY,$B222,AQ$11,AQ$14,AQ$219,),""),IF($I222=3,"",IFBLANK(_xldudf_CX_PUSH(AQ222,CX_ENTITY,$B222,AQ$11,AQ$14,AQ$219,),"")))))),"")</f>
        <v/>
      </c>
      <c r="DR222" s="2445" t="str" cm="1">
        <f t="array" ca="1" aca="1" ref="DR222">IFERROR(IF(AR222*fxVal_normal=_PL!AR222,"",IF(OR(AR222="",NOT(ISNUMBER(AR222)),ISERROR(AR222),$B222=""),"",IF($I222=1,IFBLANK(_xldudf_CX_PUSH(AR222*fxVal_normal,CX_ENTITY,$B222,AR$11,AR$14,AR$219,),""),IF($I222=2,IFBLANK(_xldudf_CX_PUSH(AR222,CX_ENTITY,$B222,AR$11,AR$14,AR$219,),""),IF($I222=3,"",IFBLANK(_xldudf_CX_PUSH(AR222,CX_ENTITY,$B222,AR$11,AR$14,AR$219,),"")))))),"")</f>
        <v/>
      </c>
      <c r="DS222" s="2445" t="str" cm="1">
        <f t="array" ca="1" aca="1" ref="DS222">IFERROR(IF(AS222*fxVal_normal=_PL!AS222,"",IF(OR(AS222="",NOT(ISNUMBER(AS222)),ISERROR(AS222),$B222=""),"",IF($I222=1,IFBLANK(_xldudf_CX_PUSH(AS222*fxVal_normal,CX_ENTITY,$B222,AS$11,AS$14,AS$219,),""),IF($I222=2,IFBLANK(_xldudf_CX_PUSH(AS222,CX_ENTITY,$B222,AS$11,AS$14,AS$219,),""),IF($I222=3,"",IFBLANK(_xldudf_CX_PUSH(AS222,CX_ENTITY,$B222,AS$11,AS$14,AS$219,),"")))))),"")</f>
        <v/>
      </c>
      <c r="DT222" s="2445" t="str" cm="1">
        <f t="array" ca="1" aca="1" ref="DT222">IFERROR(IF(AT222*fxVal_normal=_PL!AT222,"",IF(OR(AT222="",NOT(ISNUMBER(AT222)),ISERROR(AT222),$B222=""),"",IF($I222=1,IFBLANK(_xldudf_CX_PUSH(AT222*fxVal_normal,CX_ENTITY,$B222,AT$11,AT$14,AT$219,),""),IF($I222=2,IFBLANK(_xldudf_CX_PUSH(AT222,CX_ENTITY,$B222,AT$11,AT$14,AT$219,),""),IF($I222=3,"",IFBLANK(_xldudf_CX_PUSH(AT222,CX_ENTITY,$B222,AT$11,AT$14,AT$219,),"")))))),"")</f>
        <v/>
      </c>
      <c r="DU222" s="2445" t="str" cm="1">
        <f t="array" ca="1" aca="1" ref="DU222">IFERROR(IF(AU222*fxVal_normal=_PL!AU222,"",IF(OR(AU222="",NOT(ISNUMBER(AU222)),ISERROR(AU222),$B222=""),"",IF($I222=1,IFBLANK(_xldudf_CX_PUSH(AU222*fxVal_normal,CX_ENTITY,$B222,AU$11,AU$14,AU$219,),""),IF($I222=2,IFBLANK(_xldudf_CX_PUSH(AU222,CX_ENTITY,$B222,AU$11,AU$14,AU$219,),""),IF($I222=3,"",IFBLANK(_xldudf_CX_PUSH(AU222,CX_ENTITY,$B222,AU$11,AU$14,AU$219,),"")))))),"")</f>
        <v/>
      </c>
      <c r="DV222" s="2445" t="str" cm="1">
        <f t="array" ca="1" aca="1" ref="DV222">IFERROR(IF(AV222*fxVal_normal=_PL!AV222,"",IF(OR(AV222="",NOT(ISNUMBER(AV222)),ISERROR(AV222),$B222=""),"",IF($I222=1,IFBLANK(_xldudf_CX_PUSH(AV222*fxVal_normal,CX_ENTITY,$B222,AV$11,AV$14,AV$219,),""),IF($I222=2,IFBLANK(_xldudf_CX_PUSH(AV222,CX_ENTITY,$B222,AV$11,AV$14,AV$219,),""),IF($I222=3,"",IFBLANK(_xldudf_CX_PUSH(AV222,CX_ENTITY,$B222,AV$11,AV$14,AV$219,),"")))))),"")</f>
        <v/>
      </c>
      <c r="DW222" s="2445" t="str" cm="1">
        <f t="array" ca="1" aca="1" ref="DW222">IFERROR(IF(AW222*fxVal_normal=_PL!AW222,"",IF(OR(AW222="",NOT(ISNUMBER(AW222)),ISERROR(AW222),$B222=""),"",IF($I222=1,IFBLANK(_xldudf_CX_PUSH(AW222*fxVal_normal,CX_ENTITY,$B222,AW$11,AW$14,AW$219,),""),IF($I222=2,IFBLANK(_xldudf_CX_PUSH(AW222,CX_ENTITY,$B222,AW$11,AW$14,AW$219,),""),IF($I222=3,"",IFBLANK(_xldudf_CX_PUSH(AW222,CX_ENTITY,$B222,AW$11,AW$14,AW$219,),"")))))),"")</f>
        <v/>
      </c>
      <c r="DX222" s="2445" t="str" cm="1">
        <f t="array" ca="1" aca="1" ref="DX222">IFERROR(IF(AX222*fxVal_normal=_PL!AX222,"",IF(OR(AX222="",NOT(ISNUMBER(AX222)),ISERROR(AX222),$B222=""),"",IF($I222=1,IFBLANK(_xldudf_CX_PUSH(AX222*fxVal_normal,CX_ENTITY,$B222,AX$11,AX$14,AX$219,),""),IF($I222=2,IFBLANK(_xldudf_CX_PUSH(AX222,CX_ENTITY,$B222,AX$11,AX$14,AX$219,),""),IF($I222=3,"",IFBLANK(_xldudf_CX_PUSH(AX222,CX_ENTITY,$B222,AX$11,AX$14,AX$219,),"")))))),"")</f>
        <v/>
      </c>
      <c r="DY222" s="2445" t="str" cm="1">
        <f t="array" ca="1" aca="1" ref="DY222">IFERROR(IF(AY222*fxVal_normal=_PL!AY222,"",IF(OR(AY222="",NOT(ISNUMBER(AY222)),ISERROR(AY222),$B222=""),"",IF($I222=1,IFBLANK(_xldudf_CX_PUSH(AY222*fxVal_normal,CX_ENTITY,$B222,AY$11,AY$14,AY$219,),""),IF($I222=2,IFBLANK(_xldudf_CX_PUSH(AY222,CX_ENTITY,$B222,AY$11,AY$14,AY$219,),""),IF($I222=3,"",IFBLANK(_xldudf_CX_PUSH(AY222,CX_ENTITY,$B222,AY$11,AY$14,AY$219,),"")))))),"")</f>
        <v/>
      </c>
      <c r="DZ222" s="2445" t="str" cm="1">
        <f t="array" ca="1" aca="1" ref="DZ222">IFERROR(IF(AZ222*fxVal_normal=_PL!AZ222,"",IF(OR(AZ222="",NOT(ISNUMBER(AZ222)),ISERROR(AZ222),$B222=""),"",IF($I222=1,IFBLANK(_xldudf_CX_PUSH(AZ222*fxVal_normal,CX_ENTITY,$B222,AZ$11,AZ$14,AZ$219,),""),IF($I222=2,IFBLANK(_xldudf_CX_PUSH(AZ222,CX_ENTITY,$B222,AZ$11,AZ$14,AZ$219,),""),IF($I222=3,"",IFBLANK(_xldudf_CX_PUSH(AZ222,CX_ENTITY,$B222,AZ$11,AZ$14,AZ$219,),"")))))),"")</f>
        <v/>
      </c>
      <c r="EA222" s="2445" t="str" cm="1">
        <f t="array" ca="1" aca="1" ref="EA222">IFERROR(IF(BA222*fxVal_normal=_PL!BA222,"",IF(OR(BA222="",NOT(ISNUMBER(BA222)),ISERROR(BA222),$B222=""),"",IF($I222=1,IFBLANK(_xldudf_CX_PUSH(BA222*fxVal_normal,CX_ENTITY,$B222,BA$11,BA$14,BA$219,),""),IF($I222=2,IFBLANK(_xldudf_CX_PUSH(BA222,CX_ENTITY,$B222,BA$11,BA$14,BA$219,),""),IF($I222=3,"",IFBLANK(_xldudf_CX_PUSH(BA222,CX_ENTITY,$B222,BA$11,BA$14,BA$219,),"")))))),"")</f>
        <v/>
      </c>
      <c r="EB222" s="2445" t="str" cm="1">
        <f t="array" ca="1" aca="1" ref="EB222">IFERROR(IF(BB222*fxVal_normal=_PL!BB222,"",IF(OR(BB222="",NOT(ISNUMBER(BB222)),ISERROR(BB222),$B222=""),"",IF($I222=1,IFBLANK(_xldudf_CX_PUSH(BB222*fxVal_normal,CX_ENTITY,$B222,BB$11,BB$14,BB$219,),""),IF($I222=2,IFBLANK(_xldudf_CX_PUSH(BB222,CX_ENTITY,$B222,BB$11,BB$14,BB$219,),""),IF($I222=3,"",IFBLANK(_xldudf_CX_PUSH(BB222,CX_ENTITY,$B222,BB$11,BB$14,BB$219,),"")))))),"")</f>
        <v/>
      </c>
      <c r="EC222" s="2445" t="str" cm="1">
        <f t="array" ca="1" aca="1" ref="EC222">IFERROR(IF(BC222*fxVal_normal=_PL!BC222,"",IF(OR(BC222="",NOT(ISNUMBER(BC222)),ISERROR(BC222),$B222=""),"",IF($I222=1,IFBLANK(_xldudf_CX_PUSH(BC222*fxVal_normal,CX_ENTITY,$B222,BC$11,BC$14,BC$219,),""),IF($I222=2,IFBLANK(_xldudf_CX_PUSH(BC222,CX_ENTITY,$B222,BC$11,BC$14,BC$219,),""),IF($I222=3,"",IFBLANK(_xldudf_CX_PUSH(BC222,CX_ENTITY,$B222,BC$11,BC$14,BC$219,),"")))))),"")</f>
        <v/>
      </c>
      <c r="ED222" s="2445" t="str" cm="1">
        <f t="array" ca="1" aca="1" ref="ED222">IFERROR(IF(BD222*fxVal_normal=_PL!BD222,"",IF(OR(BD222="",NOT(ISNUMBER(BD222)),ISERROR(BD222),$B222=""),"",IF($I222=1,IFBLANK(_xldudf_CX_PUSH(BD222*fxVal_normal,CX_ENTITY,$B222,BD$11,BD$14,BD$219,),""),IF($I222=2,IFBLANK(_xldudf_CX_PUSH(BD222,CX_ENTITY,$B222,BD$11,BD$14,BD$219,),""),IF($I222=3,"",IFBLANK(_xldudf_CX_PUSH(BD222,CX_ENTITY,$B222,BD$11,BD$14,BD$219,),"")))))),"")</f>
        <v/>
      </c>
      <c r="EE222" s="2445" t="str" cm="1">
        <f t="array" ca="1" aca="1" ref="EE222">IFERROR(IF(BE222*fxVal_normal=_PL!BE222,"",IF(OR(BE222="",NOT(ISNUMBER(BE222)),ISERROR(BE222),$B222=""),"",IF($I222=1,IFBLANK(_xldudf_CX_PUSH(BE222*fxVal_normal,CX_ENTITY,$B222,BE$11,BE$14,BE$219,),""),IF($I222=2,IFBLANK(_xldudf_CX_PUSH(BE222,CX_ENTITY,$B222,BE$11,BE$14,BE$219,),""),IF($I222=3,"",IFBLANK(_xldudf_CX_PUSH(BE222,CX_ENTITY,$B222,BE$11,BE$14,BE$219,),"")))))),"")</f>
        <v/>
      </c>
      <c r="EF222" s="2445" t="str" cm="1">
        <f t="array" ca="1" aca="1" ref="EF222">IFERROR(IF(BF222*fxVal_normal=_PL!BF222,"",IF(OR(BF222="",NOT(ISNUMBER(BF222)),ISERROR(BF222),$B222=""),"",IF($I222=1,IFBLANK(_xldudf_CX_PUSH(BF222*fxVal_normal,CX_ENTITY,$B222,BF$11,BF$14,BF$219,),""),IF($I222=2,IFBLANK(_xldudf_CX_PUSH(BF222,CX_ENTITY,$B222,BF$11,BF$14,BF$219,),""),IF($I222=3,"",IFBLANK(_xldudf_CX_PUSH(BF222,CX_ENTITY,$B222,BF$11,BF$14,BF$219,),"")))))),"")</f>
        <v/>
      </c>
      <c r="EG222" s="2445" t="str" cm="1">
        <f t="array" ca="1" aca="1" ref="EG222">IFERROR(IF(BG222*fxVal_normal=_PL!BG222,"",IF(OR(BG222="",NOT(ISNUMBER(BG222)),ISERROR(BG222),$B222=""),"",IF($I222=1,IFBLANK(_xldudf_CX_PUSH(BG222*fxVal_normal,CX_ENTITY,$B222,BG$11,BG$14,BG$219,),""),IF($I222=2,IFBLANK(_xldudf_CX_PUSH(BG222,CX_ENTITY,$B222,BG$11,BG$14,BG$219,),""),IF($I222=3,"",IFBLANK(_xldudf_CX_PUSH(BG222,CX_ENTITY,$B222,BG$11,BG$14,BG$219,),"")))))),"")</f>
        <v/>
      </c>
      <c r="EH222" s="2445" t="str" cm="1">
        <f t="array" ca="1" aca="1" ref="EH222">IFERROR(IF(BH222*fxVal_normal=_PL!BH222,"",IF(OR(BH222="",NOT(ISNUMBER(BH222)),ISERROR(BH222),$B222=""),"",IF($I222=1,IFBLANK(_xldudf_CX_PUSH(BH222*fxVal_normal,CX_ENTITY,$B222,BH$11,BH$14,BH$219,),""),IF($I222=2,IFBLANK(_xldudf_CX_PUSH(BH222,CX_ENTITY,$B222,BH$11,BH$14,BH$219,),""),IF($I222=3,"",IFBLANK(_xldudf_CX_PUSH(BH222,CX_ENTITY,$B222,BH$11,BH$14,BH$219,),"")))))),"")</f>
        <v/>
      </c>
      <c r="EI222" s="2445" t="str" cm="1">
        <f t="array" ca="1" aca="1" ref="EI222">IFERROR(IF(BI222*fxVal_normal=_PL!BI222,"",IF(OR(BI222="",NOT(ISNUMBER(BI222)),ISERROR(BI222),$B222=""),"",IF($I222=1,IFBLANK(_xldudf_CX_PUSH(BI222*fxVal_normal,CX_ENTITY,$B222,BI$11,BI$14,BI$219,),""),IF($I222=2,IFBLANK(_xldudf_CX_PUSH(BI222,CX_ENTITY,$B222,BI$11,BI$14,BI$219,),""),IF($I222=3,"",IFBLANK(_xldudf_CX_PUSH(BI222,CX_ENTITY,$B222,BI$11,BI$14,BI$219,),"")))))),"")</f>
        <v/>
      </c>
      <c r="EJ222" s="2445" t="str" cm="1">
        <f t="array" ca="1" aca="1" ref="EJ222">IFERROR(IF(BJ222*fxVal_normal=_PL!BJ222,"",IF(OR(BJ222="",NOT(ISNUMBER(BJ222)),ISERROR(BJ222),$B222=""),"",IF($I222=1,IFBLANK(_xldudf_CX_PUSH(BJ222*fxVal_normal,CX_ENTITY,$B222,BJ$11,BJ$14,BJ$219,),""),IF($I222=2,IFBLANK(_xldudf_CX_PUSH(BJ222,CX_ENTITY,$B222,BJ$11,BJ$14,BJ$219,),""),IF($I222=3,"",IFBLANK(_xldudf_CX_PUSH(BJ222,CX_ENTITY,$B222,BJ$11,BJ$14,BJ$219,),"")))))),"")</f>
        <v/>
      </c>
      <c r="EK222" s="2445" t="str" cm="1">
        <f t="array" ca="1" aca="1" ref="EK222">IFERROR(IF(BK222*fxVal_normal=_PL!BK222,"",IF(OR(BK222="",NOT(ISNUMBER(BK222)),ISERROR(BK222),$B222=""),"",IF($I222=1,IFBLANK(_xldudf_CX_PUSH(BK222*fxVal_normal,CX_ENTITY,$B222,BK$11,BK$14,BK$219,),""),IF($I222=2,IFBLANK(_xldudf_CX_PUSH(BK222,CX_ENTITY,$B222,BK$11,BK$14,BK$219,),""),IF($I222=3,"",IFBLANK(_xldudf_CX_PUSH(BK222,CX_ENTITY,$B222,BK$11,BK$14,BK$219,),"")))))),"")</f>
        <v/>
      </c>
      <c r="EL222" s="2445" t="str" cm="1">
        <f t="array" ca="1" aca="1" ref="EL222">IFERROR(IF(BL222*fxVal_normal=_PL!BL222,"",IF(OR(BL222="",NOT(ISNUMBER(BL222)),ISERROR(BL222),$B222=""),"",IF($I222=1,IFBLANK(_xldudf_CX_PUSH(BL222*fxVal_normal,CX_ENTITY,$B222,BL$11,BL$14,BL$219,),""),IF($I222=2,IFBLANK(_xldudf_CX_PUSH(BL222,CX_ENTITY,$B222,BL$11,BL$14,BL$219,),""),IF($I222=3,"",IFBLANK(_xldudf_CX_PUSH(BL222,CX_ENTITY,$B222,BL$11,BL$14,BL$219,),"")))))),"")</f>
        <v/>
      </c>
      <c r="EM222" s="2445" t="str" cm="1">
        <f t="array" ca="1" aca="1" ref="EM222">IFERROR(IF(BM222*fxVal_normal=_PL!BM222,"",IF(OR(BM222="",NOT(ISNUMBER(BM222)),ISERROR(BM222),$B222=""),"",IF($I222=1,IFBLANK(_xldudf_CX_PUSH(BM222*fxVal_normal,CX_ENTITY,$B222,BM$11,BM$14,BM$219,),""),IF($I222=2,IFBLANK(_xldudf_CX_PUSH(BM222,CX_ENTITY,$B222,BM$11,BM$14,BM$219,),""),IF($I222=3,"",IFBLANK(_xldudf_CX_PUSH(BM222,CX_ENTITY,$B222,BM$11,BM$14,BM$219,),"")))))),"")</f>
        <v/>
      </c>
      <c r="EN222" s="2445" t="str" cm="1">
        <f t="array" ca="1" aca="1" ref="EN222">IFERROR(IF(BN222*fxVal_normal=_PL!BN222,"",IF(OR(BN222="",NOT(ISNUMBER(BN222)),ISERROR(BN222),$B222=""),"",IF($I222=1,IFBLANK(_xldudf_CX_PUSH(BN222*fxVal_normal,CX_ENTITY,$B222,BN$11,BN$14,BN$219,),""),IF($I222=2,IFBLANK(_xldudf_CX_PUSH(BN222,CX_ENTITY,$B222,BN$11,BN$14,BN$219,),""),IF($I222=3,"",IFBLANK(_xldudf_CX_PUSH(BN222,CX_ENTITY,$B222,BN$11,BN$14,BN$219,),"")))))),"")</f>
        <v/>
      </c>
    </row>
    <row r="223" spans="1:144" ht="21" customHeight="1">
      <c r="A223" s="1627"/>
      <c r="B223" s="2439" t="s">
        <v>181</v>
      </c>
      <c r="C223" s="3459" t="str" cm="1">
        <f t="array" ref="C223">IFBLANK(_PL!C223,"")</f>
        <v>Segment III Breakdown - Label 3</v>
      </c>
      <c r="D223" s="1548" t="s">
        <v>181</v>
      </c>
      <c r="E223" s="2440" t="e" cm="1">
        <f t="array" ca="1" aca="1" ref="E22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223:$CQ223,Z223)</f>
        <v>#NAME?</v>
      </c>
      <c r="F223" s="578"/>
      <c r="G223" s="578"/>
      <c r="H223" s="510">
        <v>0</v>
      </c>
      <c r="I223" s="3302">
        <v>1</v>
      </c>
      <c r="J223" s="401" cm="1">
        <f t="array" ref="J223">IFBLANK(Z223,"")</f>
        <v>-1</v>
      </c>
      <c r="K223" s="578" t="str">
        <f t="shared" si="54"/>
        <v>No</v>
      </c>
      <c r="L223" s="37"/>
      <c r="N223" s="158"/>
      <c r="O223" s="101"/>
      <c r="P223" s="52"/>
      <c r="Q223" s="101"/>
      <c r="R223" s="101"/>
      <c r="S223" s="3008"/>
      <c r="T223" s="3008"/>
      <c r="U223" s="39"/>
      <c r="V223" s="37"/>
      <c r="W223" s="91" t="e">
        <f ca="1">W220</f>
        <v>#NAME?</v>
      </c>
      <c r="X223" s="2081" t="str">
        <f>_PL!X223</f>
        <v>a</v>
      </c>
      <c r="Y223" s="3224">
        <v>2</v>
      </c>
      <c r="Z223" s="198">
        <f>_PL!Z223</f>
        <v>-1</v>
      </c>
      <c r="AA223" s="2571"/>
      <c r="AB223" s="3017"/>
      <c r="AC223" s="914" t="str" cm="1">
        <f t="array" ca="1" aca="1" ref="AC223">_xlfn.LET(_xlpm._termname,$AB223,_xlpm._iconname,"find",_xlpm._icon,fx_getIcon(_xlpm._iconname),_xlpm._location,_xlfn.XLOOKUP(LOWER(_xlpm._termname),LOWER(tbl_acctDef[Term]),tbl_acctDef[Term]),_xlpm._hyperlink,HYPERLINK("#"&amp;CELL("address",_xlpm._location),_xlpm._icon),IFERROR(_xlpm._hyperlink,""))</f>
        <v/>
      </c>
      <c r="AD223" s="3177">
        <v>1</v>
      </c>
      <c r="AE223" s="3177">
        <v>1</v>
      </c>
      <c r="AF223" s="3177">
        <v>1</v>
      </c>
      <c r="AG223" s="3177">
        <v>1</v>
      </c>
      <c r="AH223" s="3177">
        <v>1</v>
      </c>
      <c r="AI223" s="3177">
        <v>1</v>
      </c>
      <c r="AJ223" s="3177">
        <v>1</v>
      </c>
      <c r="AK223" s="3177">
        <v>1</v>
      </c>
      <c r="AL223" s="3177">
        <v>1</v>
      </c>
      <c r="AM223" s="3177">
        <v>1</v>
      </c>
      <c r="AN223" s="3177">
        <v>1</v>
      </c>
      <c r="AO223" s="3177">
        <v>1</v>
      </c>
      <c r="AP223" s="3177">
        <v>1</v>
      </c>
      <c r="AQ223" s="3177">
        <v>1</v>
      </c>
      <c r="AR223" s="3177">
        <v>1</v>
      </c>
      <c r="AS223" s="3177">
        <v>1</v>
      </c>
      <c r="AT223" s="3177">
        <v>1</v>
      </c>
      <c r="AU223" s="3177">
        <v>1</v>
      </c>
      <c r="AV223" s="3177">
        <v>1</v>
      </c>
      <c r="AW223" s="3177">
        <v>1</v>
      </c>
      <c r="AX223" s="3177">
        <v>1</v>
      </c>
      <c r="AY223" s="3177">
        <v>1</v>
      </c>
      <c r="AZ223" s="3177">
        <v>1</v>
      </c>
      <c r="BA223" s="3177">
        <v>1</v>
      </c>
      <c r="BB223" s="3177">
        <v>1</v>
      </c>
      <c r="BC223" s="3177">
        <v>1</v>
      </c>
      <c r="BD223" s="3177">
        <v>1</v>
      </c>
      <c r="BE223" s="3177">
        <v>1</v>
      </c>
      <c r="BF223" s="3177">
        <v>1</v>
      </c>
      <c r="BG223" s="3177">
        <v>1</v>
      </c>
      <c r="BH223" s="3177">
        <v>1</v>
      </c>
      <c r="BI223" s="3177">
        <v>1</v>
      </c>
      <c r="BJ223" s="3177">
        <v>1</v>
      </c>
      <c r="BK223" s="3177">
        <v>1</v>
      </c>
      <c r="BL223" s="3177">
        <v>1</v>
      </c>
      <c r="BM223" s="3177">
        <v>1</v>
      </c>
      <c r="BN223" s="3177">
        <v>1</v>
      </c>
      <c r="BO223" s="2442"/>
      <c r="BP223" s="2442"/>
      <c r="BQ223" s="2442"/>
      <c r="BR223" s="2442"/>
      <c r="BS223" s="2442"/>
      <c r="BT223" s="2442"/>
      <c r="BU223" s="2442"/>
      <c r="BV223" s="2442"/>
      <c r="BW223" s="2442"/>
      <c r="BX223" s="2442"/>
      <c r="BY223" s="2442"/>
      <c r="BZ223" s="2442"/>
      <c r="CA223" s="34"/>
      <c r="CC223" s="58"/>
      <c r="CD223" s="1461" t="e" cm="1">
        <f t="array" ca="1" aca="1" ref="CD223">_xlfn.LET(_xlpm.CheckBlank,SUM(PL!$AD223:$BN223)=0,IF(_xlpm.CheckBlank,"",SUM(_xlfn._xlws.FILTER(PL!$AD223:$BN223,(YEAR(PL!$AD$12:$BN$12)=PL!CD$12)*(array_timeline&lt;=PL!CD$11)))))</f>
        <v>#NAME?</v>
      </c>
      <c r="CE223" s="1461" t="e" cm="1">
        <f t="array" ca="1" aca="1" ref="CE223">_xlfn.LET(_xlpm.CheckBlank,SUM(PL!$AD223:$BN223)=0,IF(_xlpm.CheckBlank,"",SUM(_xlfn._xlws.FILTER(PL!$AD223:$BN223,(YEAR(PL!$AD$12:$BN$12)=PL!CE$12)*(array_timeline&lt;=PL!CE$11)))))</f>
        <v>#NAME?</v>
      </c>
      <c r="CF223" s="88"/>
      <c r="CG223" s="1461" t="e" cm="1">
        <f t="array" ca="1" aca="1" ref="CG223">_xlfn.LET(_xlpm.CheckBlank,SUM(PL!$AD223:$BN223)=0,IF(_xlpm.CheckBlank,"",SUM(_xlfn._xlws.FILTER(PL!$AD223:$BN223,(YEAR(PL!$AD$12:$BN$12)=PL!CG$12)*(array_timeline&lt;=PL!CG$11)))))</f>
        <v>#NAME?</v>
      </c>
      <c r="CH223" s="1461" t="e" cm="1">
        <f t="array" ca="1" aca="1" ref="CH223">_xlfn.LET(_xlpm.CheckBlank,SUM(PL!$AD223:$BN223)=0,IF(_xlpm.CheckBlank,"",SUM(_xlfn._xlws.FILTER(PL!$AD223:$BN223,(YEAR(PL!$AD$12:$BN$12)=PL!CH$12)*(array_timeline&lt;=PL!CH$11)))))</f>
        <v>#NAME?</v>
      </c>
      <c r="CI223" s="88"/>
      <c r="CJ223" s="1461" cm="1">
        <f t="array" ref="CJ223">_xlfn.LET(_xlpm.CheckBlank,SUM(PL!$AD223:$BN223)=0,IF(_xlpm.CheckBlank,"",SUM(_xlfn.TAKE(_xlfn.DROP(PL!$AD223:$BN223,,-DATEDIFF(PL!CJ$11,val_asOfDate,"M")),1,-12))))</f>
        <v>12</v>
      </c>
      <c r="CK223" s="1461" cm="1">
        <f t="array" ref="CK223">_xlfn.LET(_xlpm.CheckBlank,SUM(PL!$AD223:$BN223)=0,IF(_xlpm.CheckBlank,"",SUM(_xlfn.TAKE(_xlfn.DROP(PL!$AD223:$BN223,,-DATEDIFF(PL!CK$11,val_asOfDate,"M")),1,-12))))</f>
        <v>12</v>
      </c>
      <c r="CL223" s="88"/>
      <c r="CM223" s="3177">
        <v>1</v>
      </c>
      <c r="CN223" s="3177">
        <v>1</v>
      </c>
      <c r="CO223" s="1169"/>
      <c r="CP223" s="3177">
        <v>1</v>
      </c>
      <c r="CQ223" s="3177">
        <v>1</v>
      </c>
      <c r="CR223" s="34"/>
      <c r="CS223" s="2056"/>
      <c r="CT223" s="2447" t="e" cm="1">
        <f t="array" ca="1" aca="1" ref="CT223">IF(OR($Y223="Segment III Breakdown - Amount 1",$Y223="Segment III Breakdown - Amount 2",$Y223="Segment III Breakdown - Amount 3",$Y223="Segment III Breakdown - Amount 4",$Y223="Segment III Breakdown - Amount 5",$Y223="Segment III Breakdown - Amount 6",$Y223="Please select the metric for segmentation"),"",_xldudf_CX_PUSH($Y223,CX_ENTITY,$C223,val_asOfDate))</f>
        <v>#NAME?</v>
      </c>
      <c r="CU223" s="2447" t="e" cm="1">
        <f t="array" ca="1" aca="1" ref="CU223">IF(OR($Y223="Segment III Breakdown - Amount 1",$Y223="Segment III Breakdown - Amount 2",$Y223="Segment III Breakdown - Amount 3",$Y223="Segment III Breakdown - Amount 4",$Y223="Segment III Breakdown - Amount 5",$Y223="Segment III Breakdown - Amount 6",$Y223="Please select the metric for segmentation"),"",_xldudf_CX_PUSH($Y223,CX_ENTITY,$C223,EOMONTH(val_asOfDate,1)))</f>
        <v>#NAME?</v>
      </c>
      <c r="CV223" s="2447" t="e" cm="1">
        <f t="array" ca="1" aca="1" ref="CV223">IF(OR($Y223="Segment III Breakdown - Amount 1",$Y223="Segment III Breakdown - Amount 2",$Y223="Segment III Breakdown - Amount 3",$Y223="Segment III Breakdown - Amount 4",$Y223="Segment III Breakdown - Amount 5",$Y223="Segment III Breakdown - Amount 6",$Y223="Please select the metric for segmentation"),"",_xldudf_CX_PUSH($Y223,CX_ENTITY,$C223,EOMONTH(val_asOfDate,2)))</f>
        <v>#NAME?</v>
      </c>
      <c r="CW223" s="2447" t="e" cm="1">
        <f t="array" ca="1" aca="1" ref="CW223">IF(OR($Y223="Segment III Breakdown - Amount 1",$Y223="Segment III Breakdown - Amount 2",$Y223="Segment III Breakdown - Amount 3",$Y223="Segment III Breakdown - Amount 4",$Y223="Segment III Breakdown - Amount 5",$Y223="Segment III Breakdown - Amount 6",$Y223="Please select the metric for segmentation"),"",_xldudf_CX_PUSH($Y223,CX_ENTITY,$C223,EOMONTH(val_asOfDate,3)))</f>
        <v>#NAME?</v>
      </c>
      <c r="CX223" s="2443"/>
      <c r="CY223" s="2444" t="str" cm="1">
        <f t="array" ca="1" aca="1" ref="CY223">IFERROR(IF(CM223*fxVal_normal=_PL!CM223,"",IF(OR($CM223="",$CM223=0,NOT(ISNUMBER($CM223)),ISERROR($CM223),$B223=""),"",IF($I223=1,IFBLANK(_xldudf_CX_PUSH($CM223*fxVal_normal,CX_ENTITY,$B223,$CM$11,$CM$14,$CM$19,),""),IF($I223=2,IFBLANK(_xldudf_CX_PUSH($CM223,CX_ENTITY,$B223,$CM$11,$CM$14,$CM$19,),""),IF($I223=3,"",IFBLANK(_xldudf_CX_PUSH($CM223,CX_ENTITY,$B223,$CM$11,$CM$14,$CM$19,),"")))))),"")</f>
        <v/>
      </c>
      <c r="CZ223" s="2444" t="str" cm="1">
        <f t="array" ca="1" aca="1" ref="CZ223">IFERROR(IF(CN223*fxVal_normal=_PL!CN223,"",IF(OR($CN223="",$CN223=0,NOT(ISNUMBER($CN223)),ISERROR($CN223),$B223=""),"",IF($I223=1,IFBLANK(_xldudf_CX_PUSH($CN223*fxVal_normal,CX_ENTITY,$B223,$CN$11,$CN$14,$CN$19,),""),IF($I223=2,IFBLANK(_xldudf_CX_PUSH($CN223,CX_ENTITY,$B223,$CN$11,$CN$14,$CN$19,),""),IF($I223=3,"",IFBLANK(_xldudf_CX_PUSH($CN223,CX_ENTITY,$B223,$CN$11,$CN$14,$CN$19,),"")))))),"")</f>
        <v/>
      </c>
      <c r="DA223" s="2444" t="str" cm="1">
        <f t="array" ca="1" aca="1" ref="DA223">IFERROR(IF(CP223*fxVal_normal=_PL!CP223,"",IF(OR($CP223="",$CP223=0,NOT(ISNUMBER($CP223)),ISERROR($CP223),$B223=""),"",IF($I223=1,IFBLANK(_xldudf_CX_PUSH($CP223*fxVal_normal,CX_ENTITY,$B223,$CP$11,$CP$14,$CP$19,),""),IF($I223=2,IFBLANK(_xldudf_CX_PUSH($CP223,CX_ENTITY,$B223,$CP$11,$CP$14,$CP$19,),""),IF($I223=3,"",IFBLANK(_xldudf_CX_PUSH($CP223,CX_ENTITY,$B223,$CP$11,$CP$14,$CP$19,),"")))))),"")</f>
        <v/>
      </c>
      <c r="DB223" s="2444" t="str" cm="1">
        <f t="array" ca="1" aca="1" ref="DB223">IFERROR(IF(CQ223*fxVal_normal=_PL!CQ223,"",IF(OR($CQ223="",$CQ223=0,NOT(ISNUMBER($CQ223)),ISERROR($CQ223),$B223=""),"",IF($I223=1,IFBLANK(_xldudf_CX_PUSH($CQ223*fxVal_normal,CX_ENTITY,$B223,$CQ$11,$CQ$14,$CQ$19,),""),IF($I223=2,IFBLANK(_xldudf_CX_PUSH($CQ223,CX_ENTITY,$B223,$CQ$11,$CQ$14,$CQ$19,),""),IF($I223=3,"",IFBLANK(_xldudf_CX_PUSH($CQ223,CX_ENTITY,$B223,$CQ$11,$CQ$14,$CQ$19,),"")))))),"")</f>
        <v/>
      </c>
      <c r="DC223" s="2443"/>
      <c r="DD223" s="2445" t="str" cm="1">
        <f t="array" ca="1" aca="1" ref="DD223">IFERROR(IF(AD223*fxVal_normal=_PL!AD223,"",IF(OR(AD223="",NOT(ISNUMBER(AD223)),ISERROR(AD223),$B223=""),"",IF($I223=1,IFBLANK(_xldudf_CX_PUSH(AD223*fxVal_normal,CX_ENTITY,$B223,AD$11,AD$14,AD$219,),""),IF($I223=2,IFBLANK(_xldudf_CX_PUSH(AD223,CX_ENTITY,$B223,AD$11,AD$14,AD$219,),""),IF($I223=3,"",IFBLANK(_xldudf_CX_PUSH(AD223,CX_ENTITY,$B223,AD$11,AD$14,AD$219,),"")))))),"")</f>
        <v/>
      </c>
      <c r="DE223" s="2445" t="str" cm="1">
        <f t="array" ca="1" aca="1" ref="DE223">IFERROR(IF(AE223*fxVal_normal=_PL!AE223,"",IF(OR(AE223="",NOT(ISNUMBER(AE223)),ISERROR(AE223),$B223=""),"",IF($I223=1,IFBLANK(_xldudf_CX_PUSH(AE223*fxVal_normal,CX_ENTITY,$B223,AE$11,AE$14,AE$219,),""),IF($I223=2,IFBLANK(_xldudf_CX_PUSH(AE223,CX_ENTITY,$B223,AE$11,AE$14,AE$219,),""),IF($I223=3,"",IFBLANK(_xldudf_CX_PUSH(AE223,CX_ENTITY,$B223,AE$11,AE$14,AE$219,),"")))))),"")</f>
        <v/>
      </c>
      <c r="DF223" s="2445" t="str" cm="1">
        <f t="array" ca="1" aca="1" ref="DF223">IFERROR(IF(AF223*fxVal_normal=_PL!AF223,"",IF(OR(AF223="",NOT(ISNUMBER(AF223)),ISERROR(AF223),$B223=""),"",IF($I223=1,IFBLANK(_xldudf_CX_PUSH(AF223*fxVal_normal,CX_ENTITY,$B223,AF$11,AF$14,AF$219,),""),IF($I223=2,IFBLANK(_xldudf_CX_PUSH(AF223,CX_ENTITY,$B223,AF$11,AF$14,AF$219,),""),IF($I223=3,"",IFBLANK(_xldudf_CX_PUSH(AF223,CX_ENTITY,$B223,AF$11,AF$14,AF$219,),"")))))),"")</f>
        <v/>
      </c>
      <c r="DG223" s="2445" t="str" cm="1">
        <f t="array" ca="1" aca="1" ref="DG223">IFERROR(IF(AG223*fxVal_normal=_PL!AG223,"",IF(OR(AG223="",NOT(ISNUMBER(AG223)),ISERROR(AG223),$B223=""),"",IF($I223=1,IFBLANK(_xldudf_CX_PUSH(AG223*fxVal_normal,CX_ENTITY,$B223,AG$11,AG$14,AG$219,),""),IF($I223=2,IFBLANK(_xldudf_CX_PUSH(AG223,CX_ENTITY,$B223,AG$11,AG$14,AG$219,),""),IF($I223=3,"",IFBLANK(_xldudf_CX_PUSH(AG223,CX_ENTITY,$B223,AG$11,AG$14,AG$219,),"")))))),"")</f>
        <v/>
      </c>
      <c r="DH223" s="2445" t="str" cm="1">
        <f t="array" ca="1" aca="1" ref="DH223">IFERROR(IF(AH223*fxVal_normal=_PL!AH223,"",IF(OR(AH223="",NOT(ISNUMBER(AH223)),ISERROR(AH223),$B223=""),"",IF($I223=1,IFBLANK(_xldudf_CX_PUSH(AH223*fxVal_normal,CX_ENTITY,$B223,AH$11,AH$14,AH$219,),""),IF($I223=2,IFBLANK(_xldudf_CX_PUSH(AH223,CX_ENTITY,$B223,AH$11,AH$14,AH$219,),""),IF($I223=3,"",IFBLANK(_xldudf_CX_PUSH(AH223,CX_ENTITY,$B223,AH$11,AH$14,AH$219,),"")))))),"")</f>
        <v/>
      </c>
      <c r="DI223" s="2445" t="str" cm="1">
        <f t="array" ca="1" aca="1" ref="DI223">IFERROR(IF(AI223*fxVal_normal=_PL!AI223,"",IF(OR(AI223="",NOT(ISNUMBER(AI223)),ISERROR(AI223),$B223=""),"",IF($I223=1,IFBLANK(_xldudf_CX_PUSH(AI223*fxVal_normal,CX_ENTITY,$B223,AI$11,AI$14,AI$219,),""),IF($I223=2,IFBLANK(_xldudf_CX_PUSH(AI223,CX_ENTITY,$B223,AI$11,AI$14,AI$219,),""),IF($I223=3,"",IFBLANK(_xldudf_CX_PUSH(AI223,CX_ENTITY,$B223,AI$11,AI$14,AI$219,),"")))))),"")</f>
        <v/>
      </c>
      <c r="DJ223" s="2445" t="str" cm="1">
        <f t="array" ca="1" aca="1" ref="DJ223">IFERROR(IF(AJ223*fxVal_normal=_PL!AJ223,"",IF(OR(AJ223="",NOT(ISNUMBER(AJ223)),ISERROR(AJ223),$B223=""),"",IF($I223=1,IFBLANK(_xldudf_CX_PUSH(AJ223*fxVal_normal,CX_ENTITY,$B223,AJ$11,AJ$14,AJ$219,),""),IF($I223=2,IFBLANK(_xldudf_CX_PUSH(AJ223,CX_ENTITY,$B223,AJ$11,AJ$14,AJ$219,),""),IF($I223=3,"",IFBLANK(_xldudf_CX_PUSH(AJ223,CX_ENTITY,$B223,AJ$11,AJ$14,AJ$219,),"")))))),"")</f>
        <v/>
      </c>
      <c r="DK223" s="2445" t="str" cm="1">
        <f t="array" ca="1" aca="1" ref="DK223">IFERROR(IF(AK223*fxVal_normal=_PL!AK223,"",IF(OR(AK223="",NOT(ISNUMBER(AK223)),ISERROR(AK223),$B223=""),"",IF($I223=1,IFBLANK(_xldudf_CX_PUSH(AK223*fxVal_normal,CX_ENTITY,$B223,AK$11,AK$14,AK$219,),""),IF($I223=2,IFBLANK(_xldudf_CX_PUSH(AK223,CX_ENTITY,$B223,AK$11,AK$14,AK$219,),""),IF($I223=3,"",IFBLANK(_xldudf_CX_PUSH(AK223,CX_ENTITY,$B223,AK$11,AK$14,AK$219,),"")))))),"")</f>
        <v/>
      </c>
      <c r="DL223" s="2445" t="str" cm="1">
        <f t="array" ca="1" aca="1" ref="DL223">IFERROR(IF(AL223*fxVal_normal=_PL!AL223,"",IF(OR(AL223="",NOT(ISNUMBER(AL223)),ISERROR(AL223),$B223=""),"",IF($I223=1,IFBLANK(_xldudf_CX_PUSH(AL223*fxVal_normal,CX_ENTITY,$B223,AL$11,AL$14,AL$219,),""),IF($I223=2,IFBLANK(_xldudf_CX_PUSH(AL223,CX_ENTITY,$B223,AL$11,AL$14,AL$219,),""),IF($I223=3,"",IFBLANK(_xldudf_CX_PUSH(AL223,CX_ENTITY,$B223,AL$11,AL$14,AL$219,),"")))))),"")</f>
        <v/>
      </c>
      <c r="DM223" s="2445" t="str" cm="1">
        <f t="array" ca="1" aca="1" ref="DM223">IFERROR(IF(AM223*fxVal_normal=_PL!AM223,"",IF(OR(AM223="",NOT(ISNUMBER(AM223)),ISERROR(AM223),$B223=""),"",IF($I223=1,IFBLANK(_xldudf_CX_PUSH(AM223*fxVal_normal,CX_ENTITY,$B223,AM$11,AM$14,AM$219,),""),IF($I223=2,IFBLANK(_xldudf_CX_PUSH(AM223,CX_ENTITY,$B223,AM$11,AM$14,AM$219,),""),IF($I223=3,"",IFBLANK(_xldudf_CX_PUSH(AM223,CX_ENTITY,$B223,AM$11,AM$14,AM$219,),"")))))),"")</f>
        <v/>
      </c>
      <c r="DN223" s="2445" t="str" cm="1">
        <f t="array" ca="1" aca="1" ref="DN223">IFERROR(IF(AN223*fxVal_normal=_PL!AN223,"",IF(OR(AN223="",NOT(ISNUMBER(AN223)),ISERROR(AN223),$B223=""),"",IF($I223=1,IFBLANK(_xldudf_CX_PUSH(AN223*fxVal_normal,CX_ENTITY,$B223,AN$11,AN$14,AN$219,),""),IF($I223=2,IFBLANK(_xldudf_CX_PUSH(AN223,CX_ENTITY,$B223,AN$11,AN$14,AN$219,),""),IF($I223=3,"",IFBLANK(_xldudf_CX_PUSH(AN223,CX_ENTITY,$B223,AN$11,AN$14,AN$219,),"")))))),"")</f>
        <v/>
      </c>
      <c r="DO223" s="2445" t="str" cm="1">
        <f t="array" ca="1" aca="1" ref="DO223">IFERROR(IF(AO223*fxVal_normal=_PL!AO223,"",IF(OR(AO223="",NOT(ISNUMBER(AO223)),ISERROR(AO223),$B223=""),"",IF($I223=1,IFBLANK(_xldudf_CX_PUSH(AO223*fxVal_normal,CX_ENTITY,$B223,AO$11,AO$14,AO$219,),""),IF($I223=2,IFBLANK(_xldudf_CX_PUSH(AO223,CX_ENTITY,$B223,AO$11,AO$14,AO$219,),""),IF($I223=3,"",IFBLANK(_xldudf_CX_PUSH(AO223,CX_ENTITY,$B223,AO$11,AO$14,AO$219,),"")))))),"")</f>
        <v/>
      </c>
      <c r="DP223" s="2445" t="str" cm="1">
        <f t="array" ca="1" aca="1" ref="DP223">IFERROR(IF(AP223*fxVal_normal=_PL!AP223,"",IF(OR(AP223="",NOT(ISNUMBER(AP223)),ISERROR(AP223),$B223=""),"",IF($I223=1,IFBLANK(_xldudf_CX_PUSH(AP223*fxVal_normal,CX_ENTITY,$B223,AP$11,AP$14,AP$219,),""),IF($I223=2,IFBLANK(_xldudf_CX_PUSH(AP223,CX_ENTITY,$B223,AP$11,AP$14,AP$219,),""),IF($I223=3,"",IFBLANK(_xldudf_CX_PUSH(AP223,CX_ENTITY,$B223,AP$11,AP$14,AP$219,),"")))))),"")</f>
        <v/>
      </c>
      <c r="DQ223" s="2445" t="str" cm="1">
        <f t="array" ca="1" aca="1" ref="DQ223">IFERROR(IF(AQ223*fxVal_normal=_PL!AQ223,"",IF(OR(AQ223="",NOT(ISNUMBER(AQ223)),ISERROR(AQ223),$B223=""),"",IF($I223=1,IFBLANK(_xldudf_CX_PUSH(AQ223*fxVal_normal,CX_ENTITY,$B223,AQ$11,AQ$14,AQ$219,),""),IF($I223=2,IFBLANK(_xldudf_CX_PUSH(AQ223,CX_ENTITY,$B223,AQ$11,AQ$14,AQ$219,),""),IF($I223=3,"",IFBLANK(_xldudf_CX_PUSH(AQ223,CX_ENTITY,$B223,AQ$11,AQ$14,AQ$219,),"")))))),"")</f>
        <v/>
      </c>
      <c r="DR223" s="2445" t="str" cm="1">
        <f t="array" ca="1" aca="1" ref="DR223">IFERROR(IF(AR223*fxVal_normal=_PL!AR223,"",IF(OR(AR223="",NOT(ISNUMBER(AR223)),ISERROR(AR223),$B223=""),"",IF($I223=1,IFBLANK(_xldudf_CX_PUSH(AR223*fxVal_normal,CX_ENTITY,$B223,AR$11,AR$14,AR$219,),""),IF($I223=2,IFBLANK(_xldudf_CX_PUSH(AR223,CX_ENTITY,$B223,AR$11,AR$14,AR$219,),""),IF($I223=3,"",IFBLANK(_xldudf_CX_PUSH(AR223,CX_ENTITY,$B223,AR$11,AR$14,AR$219,),"")))))),"")</f>
        <v/>
      </c>
      <c r="DS223" s="2445" t="str" cm="1">
        <f t="array" ca="1" aca="1" ref="DS223">IFERROR(IF(AS223*fxVal_normal=_PL!AS223,"",IF(OR(AS223="",NOT(ISNUMBER(AS223)),ISERROR(AS223),$B223=""),"",IF($I223=1,IFBLANK(_xldudf_CX_PUSH(AS223*fxVal_normal,CX_ENTITY,$B223,AS$11,AS$14,AS$219,),""),IF($I223=2,IFBLANK(_xldudf_CX_PUSH(AS223,CX_ENTITY,$B223,AS$11,AS$14,AS$219,),""),IF($I223=3,"",IFBLANK(_xldudf_CX_PUSH(AS223,CX_ENTITY,$B223,AS$11,AS$14,AS$219,),"")))))),"")</f>
        <v/>
      </c>
      <c r="DT223" s="2445" t="str" cm="1">
        <f t="array" ca="1" aca="1" ref="DT223">IFERROR(IF(AT223*fxVal_normal=_PL!AT223,"",IF(OR(AT223="",NOT(ISNUMBER(AT223)),ISERROR(AT223),$B223=""),"",IF($I223=1,IFBLANK(_xldudf_CX_PUSH(AT223*fxVal_normal,CX_ENTITY,$B223,AT$11,AT$14,AT$219,),""),IF($I223=2,IFBLANK(_xldudf_CX_PUSH(AT223,CX_ENTITY,$B223,AT$11,AT$14,AT$219,),""),IF($I223=3,"",IFBLANK(_xldudf_CX_PUSH(AT223,CX_ENTITY,$B223,AT$11,AT$14,AT$219,),"")))))),"")</f>
        <v/>
      </c>
      <c r="DU223" s="2445" t="str" cm="1">
        <f t="array" ca="1" aca="1" ref="DU223">IFERROR(IF(AU223*fxVal_normal=_PL!AU223,"",IF(OR(AU223="",NOT(ISNUMBER(AU223)),ISERROR(AU223),$B223=""),"",IF($I223=1,IFBLANK(_xldudf_CX_PUSH(AU223*fxVal_normal,CX_ENTITY,$B223,AU$11,AU$14,AU$219,),""),IF($I223=2,IFBLANK(_xldudf_CX_PUSH(AU223,CX_ENTITY,$B223,AU$11,AU$14,AU$219,),""),IF($I223=3,"",IFBLANK(_xldudf_CX_PUSH(AU223,CX_ENTITY,$B223,AU$11,AU$14,AU$219,),"")))))),"")</f>
        <v/>
      </c>
      <c r="DV223" s="2445" t="str" cm="1">
        <f t="array" ca="1" aca="1" ref="DV223">IFERROR(IF(AV223*fxVal_normal=_PL!AV223,"",IF(OR(AV223="",NOT(ISNUMBER(AV223)),ISERROR(AV223),$B223=""),"",IF($I223=1,IFBLANK(_xldudf_CX_PUSH(AV223*fxVal_normal,CX_ENTITY,$B223,AV$11,AV$14,AV$219,),""),IF($I223=2,IFBLANK(_xldudf_CX_PUSH(AV223,CX_ENTITY,$B223,AV$11,AV$14,AV$219,),""),IF($I223=3,"",IFBLANK(_xldudf_CX_PUSH(AV223,CX_ENTITY,$B223,AV$11,AV$14,AV$219,),"")))))),"")</f>
        <v/>
      </c>
      <c r="DW223" s="2445" t="str" cm="1">
        <f t="array" ca="1" aca="1" ref="DW223">IFERROR(IF(AW223*fxVal_normal=_PL!AW223,"",IF(OR(AW223="",NOT(ISNUMBER(AW223)),ISERROR(AW223),$B223=""),"",IF($I223=1,IFBLANK(_xldudf_CX_PUSH(AW223*fxVal_normal,CX_ENTITY,$B223,AW$11,AW$14,AW$219,),""),IF($I223=2,IFBLANK(_xldudf_CX_PUSH(AW223,CX_ENTITY,$B223,AW$11,AW$14,AW$219,),""),IF($I223=3,"",IFBLANK(_xldudf_CX_PUSH(AW223,CX_ENTITY,$B223,AW$11,AW$14,AW$219,),"")))))),"")</f>
        <v/>
      </c>
      <c r="DX223" s="2445" t="str" cm="1">
        <f t="array" ca="1" aca="1" ref="DX223">IFERROR(IF(AX223*fxVal_normal=_PL!AX223,"",IF(OR(AX223="",NOT(ISNUMBER(AX223)),ISERROR(AX223),$B223=""),"",IF($I223=1,IFBLANK(_xldudf_CX_PUSH(AX223*fxVal_normal,CX_ENTITY,$B223,AX$11,AX$14,AX$219,),""),IF($I223=2,IFBLANK(_xldudf_CX_PUSH(AX223,CX_ENTITY,$B223,AX$11,AX$14,AX$219,),""),IF($I223=3,"",IFBLANK(_xldudf_CX_PUSH(AX223,CX_ENTITY,$B223,AX$11,AX$14,AX$219,),"")))))),"")</f>
        <v/>
      </c>
      <c r="DY223" s="2445" t="str" cm="1">
        <f t="array" ca="1" aca="1" ref="DY223">IFERROR(IF(AY223*fxVal_normal=_PL!AY223,"",IF(OR(AY223="",NOT(ISNUMBER(AY223)),ISERROR(AY223),$B223=""),"",IF($I223=1,IFBLANK(_xldudf_CX_PUSH(AY223*fxVal_normal,CX_ENTITY,$B223,AY$11,AY$14,AY$219,),""),IF($I223=2,IFBLANK(_xldudf_CX_PUSH(AY223,CX_ENTITY,$B223,AY$11,AY$14,AY$219,),""),IF($I223=3,"",IFBLANK(_xldudf_CX_PUSH(AY223,CX_ENTITY,$B223,AY$11,AY$14,AY$219,),"")))))),"")</f>
        <v/>
      </c>
      <c r="DZ223" s="2445" t="str" cm="1">
        <f t="array" ca="1" aca="1" ref="DZ223">IFERROR(IF(AZ223*fxVal_normal=_PL!AZ223,"",IF(OR(AZ223="",NOT(ISNUMBER(AZ223)),ISERROR(AZ223),$B223=""),"",IF($I223=1,IFBLANK(_xldudf_CX_PUSH(AZ223*fxVal_normal,CX_ENTITY,$B223,AZ$11,AZ$14,AZ$219,),""),IF($I223=2,IFBLANK(_xldudf_CX_PUSH(AZ223,CX_ENTITY,$B223,AZ$11,AZ$14,AZ$219,),""),IF($I223=3,"",IFBLANK(_xldudf_CX_PUSH(AZ223,CX_ENTITY,$B223,AZ$11,AZ$14,AZ$219,),"")))))),"")</f>
        <v/>
      </c>
      <c r="EA223" s="2445" t="str" cm="1">
        <f t="array" ca="1" aca="1" ref="EA223">IFERROR(IF(BA223*fxVal_normal=_PL!BA223,"",IF(OR(BA223="",NOT(ISNUMBER(BA223)),ISERROR(BA223),$B223=""),"",IF($I223=1,IFBLANK(_xldudf_CX_PUSH(BA223*fxVal_normal,CX_ENTITY,$B223,BA$11,BA$14,BA$219,),""),IF($I223=2,IFBLANK(_xldudf_CX_PUSH(BA223,CX_ENTITY,$B223,BA$11,BA$14,BA$219,),""),IF($I223=3,"",IFBLANK(_xldudf_CX_PUSH(BA223,CX_ENTITY,$B223,BA$11,BA$14,BA$219,),"")))))),"")</f>
        <v/>
      </c>
      <c r="EB223" s="2445" t="str" cm="1">
        <f t="array" ca="1" aca="1" ref="EB223">IFERROR(IF(BB223*fxVal_normal=_PL!BB223,"",IF(OR(BB223="",NOT(ISNUMBER(BB223)),ISERROR(BB223),$B223=""),"",IF($I223=1,IFBLANK(_xldudf_CX_PUSH(BB223*fxVal_normal,CX_ENTITY,$B223,BB$11,BB$14,BB$219,),""),IF($I223=2,IFBLANK(_xldudf_CX_PUSH(BB223,CX_ENTITY,$B223,BB$11,BB$14,BB$219,),""),IF($I223=3,"",IFBLANK(_xldudf_CX_PUSH(BB223,CX_ENTITY,$B223,BB$11,BB$14,BB$219,),"")))))),"")</f>
        <v/>
      </c>
      <c r="EC223" s="2445" t="str" cm="1">
        <f t="array" ca="1" aca="1" ref="EC223">IFERROR(IF(BC223*fxVal_normal=_PL!BC223,"",IF(OR(BC223="",NOT(ISNUMBER(BC223)),ISERROR(BC223),$B223=""),"",IF($I223=1,IFBLANK(_xldudf_CX_PUSH(BC223*fxVal_normal,CX_ENTITY,$B223,BC$11,BC$14,BC$219,),""),IF($I223=2,IFBLANK(_xldudf_CX_PUSH(BC223,CX_ENTITY,$B223,BC$11,BC$14,BC$219,),""),IF($I223=3,"",IFBLANK(_xldudf_CX_PUSH(BC223,CX_ENTITY,$B223,BC$11,BC$14,BC$219,),"")))))),"")</f>
        <v/>
      </c>
      <c r="ED223" s="2445" t="str" cm="1">
        <f t="array" ca="1" aca="1" ref="ED223">IFERROR(IF(BD223*fxVal_normal=_PL!BD223,"",IF(OR(BD223="",NOT(ISNUMBER(BD223)),ISERROR(BD223),$B223=""),"",IF($I223=1,IFBLANK(_xldudf_CX_PUSH(BD223*fxVal_normal,CX_ENTITY,$B223,BD$11,BD$14,BD$219,),""),IF($I223=2,IFBLANK(_xldudf_CX_PUSH(BD223,CX_ENTITY,$B223,BD$11,BD$14,BD$219,),""),IF($I223=3,"",IFBLANK(_xldudf_CX_PUSH(BD223,CX_ENTITY,$B223,BD$11,BD$14,BD$219,),"")))))),"")</f>
        <v/>
      </c>
      <c r="EE223" s="2445" t="str" cm="1">
        <f t="array" ca="1" aca="1" ref="EE223">IFERROR(IF(BE223*fxVal_normal=_PL!BE223,"",IF(OR(BE223="",NOT(ISNUMBER(BE223)),ISERROR(BE223),$B223=""),"",IF($I223=1,IFBLANK(_xldudf_CX_PUSH(BE223*fxVal_normal,CX_ENTITY,$B223,BE$11,BE$14,BE$219,),""),IF($I223=2,IFBLANK(_xldudf_CX_PUSH(BE223,CX_ENTITY,$B223,BE$11,BE$14,BE$219,),""),IF($I223=3,"",IFBLANK(_xldudf_CX_PUSH(BE223,CX_ENTITY,$B223,BE$11,BE$14,BE$219,),"")))))),"")</f>
        <v/>
      </c>
      <c r="EF223" s="2445" t="str" cm="1">
        <f t="array" ca="1" aca="1" ref="EF223">IFERROR(IF(BF223*fxVal_normal=_PL!BF223,"",IF(OR(BF223="",NOT(ISNUMBER(BF223)),ISERROR(BF223),$B223=""),"",IF($I223=1,IFBLANK(_xldudf_CX_PUSH(BF223*fxVal_normal,CX_ENTITY,$B223,BF$11,BF$14,BF$219,),""),IF($I223=2,IFBLANK(_xldudf_CX_PUSH(BF223,CX_ENTITY,$B223,BF$11,BF$14,BF$219,),""),IF($I223=3,"",IFBLANK(_xldudf_CX_PUSH(BF223,CX_ENTITY,$B223,BF$11,BF$14,BF$219,),"")))))),"")</f>
        <v/>
      </c>
      <c r="EG223" s="2445" t="str" cm="1">
        <f t="array" ca="1" aca="1" ref="EG223">IFERROR(IF(BG223*fxVal_normal=_PL!BG223,"",IF(OR(BG223="",NOT(ISNUMBER(BG223)),ISERROR(BG223),$B223=""),"",IF($I223=1,IFBLANK(_xldudf_CX_PUSH(BG223*fxVal_normal,CX_ENTITY,$B223,BG$11,BG$14,BG$219,),""),IF($I223=2,IFBLANK(_xldudf_CX_PUSH(BG223,CX_ENTITY,$B223,BG$11,BG$14,BG$219,),""),IF($I223=3,"",IFBLANK(_xldudf_CX_PUSH(BG223,CX_ENTITY,$B223,BG$11,BG$14,BG$219,),"")))))),"")</f>
        <v/>
      </c>
      <c r="EH223" s="2445" t="str" cm="1">
        <f t="array" ca="1" aca="1" ref="EH223">IFERROR(IF(BH223*fxVal_normal=_PL!BH223,"",IF(OR(BH223="",NOT(ISNUMBER(BH223)),ISERROR(BH223),$B223=""),"",IF($I223=1,IFBLANK(_xldudf_CX_PUSH(BH223*fxVal_normal,CX_ENTITY,$B223,BH$11,BH$14,BH$219,),""),IF($I223=2,IFBLANK(_xldudf_CX_PUSH(BH223,CX_ENTITY,$B223,BH$11,BH$14,BH$219,),""),IF($I223=3,"",IFBLANK(_xldudf_CX_PUSH(BH223,CX_ENTITY,$B223,BH$11,BH$14,BH$219,),"")))))),"")</f>
        <v/>
      </c>
      <c r="EI223" s="2445" t="str" cm="1">
        <f t="array" ca="1" aca="1" ref="EI223">IFERROR(IF(BI223*fxVal_normal=_PL!BI223,"",IF(OR(BI223="",NOT(ISNUMBER(BI223)),ISERROR(BI223),$B223=""),"",IF($I223=1,IFBLANK(_xldudf_CX_PUSH(BI223*fxVal_normal,CX_ENTITY,$B223,BI$11,BI$14,BI$219,),""),IF($I223=2,IFBLANK(_xldudf_CX_PUSH(BI223,CX_ENTITY,$B223,BI$11,BI$14,BI$219,),""),IF($I223=3,"",IFBLANK(_xldudf_CX_PUSH(BI223,CX_ENTITY,$B223,BI$11,BI$14,BI$219,),"")))))),"")</f>
        <v/>
      </c>
      <c r="EJ223" s="2445" t="str" cm="1">
        <f t="array" ca="1" aca="1" ref="EJ223">IFERROR(IF(BJ223*fxVal_normal=_PL!BJ223,"",IF(OR(BJ223="",NOT(ISNUMBER(BJ223)),ISERROR(BJ223),$B223=""),"",IF($I223=1,IFBLANK(_xldudf_CX_PUSH(BJ223*fxVal_normal,CX_ENTITY,$B223,BJ$11,BJ$14,BJ$219,),""),IF($I223=2,IFBLANK(_xldudf_CX_PUSH(BJ223,CX_ENTITY,$B223,BJ$11,BJ$14,BJ$219,),""),IF($I223=3,"",IFBLANK(_xldudf_CX_PUSH(BJ223,CX_ENTITY,$B223,BJ$11,BJ$14,BJ$219,),"")))))),"")</f>
        <v/>
      </c>
      <c r="EK223" s="2445" t="str" cm="1">
        <f t="array" ca="1" aca="1" ref="EK223">IFERROR(IF(BK223*fxVal_normal=_PL!BK223,"",IF(OR(BK223="",NOT(ISNUMBER(BK223)),ISERROR(BK223),$B223=""),"",IF($I223=1,IFBLANK(_xldudf_CX_PUSH(BK223*fxVal_normal,CX_ENTITY,$B223,BK$11,BK$14,BK$219,),""),IF($I223=2,IFBLANK(_xldudf_CX_PUSH(BK223,CX_ENTITY,$B223,BK$11,BK$14,BK$219,),""),IF($I223=3,"",IFBLANK(_xldudf_CX_PUSH(BK223,CX_ENTITY,$B223,BK$11,BK$14,BK$219,),"")))))),"")</f>
        <v/>
      </c>
      <c r="EL223" s="2445" t="str" cm="1">
        <f t="array" ca="1" aca="1" ref="EL223">IFERROR(IF(BL223*fxVal_normal=_PL!BL223,"",IF(OR(BL223="",NOT(ISNUMBER(BL223)),ISERROR(BL223),$B223=""),"",IF($I223=1,IFBLANK(_xldudf_CX_PUSH(BL223*fxVal_normal,CX_ENTITY,$B223,BL$11,BL$14,BL$219,),""),IF($I223=2,IFBLANK(_xldudf_CX_PUSH(BL223,CX_ENTITY,$B223,BL$11,BL$14,BL$219,),""),IF($I223=3,"",IFBLANK(_xldudf_CX_PUSH(BL223,CX_ENTITY,$B223,BL$11,BL$14,BL$219,),"")))))),"")</f>
        <v/>
      </c>
      <c r="EM223" s="2445" t="str" cm="1">
        <f t="array" ca="1" aca="1" ref="EM223">IFERROR(IF(BM223*fxVal_normal=_PL!BM223,"",IF(OR(BM223="",NOT(ISNUMBER(BM223)),ISERROR(BM223),$B223=""),"",IF($I223=1,IFBLANK(_xldudf_CX_PUSH(BM223*fxVal_normal,CX_ENTITY,$B223,BM$11,BM$14,BM$219,),""),IF($I223=2,IFBLANK(_xldudf_CX_PUSH(BM223,CX_ENTITY,$B223,BM$11,BM$14,BM$219,),""),IF($I223=3,"",IFBLANK(_xldudf_CX_PUSH(BM223,CX_ENTITY,$B223,BM$11,BM$14,BM$219,),"")))))),"")</f>
        <v/>
      </c>
      <c r="EN223" s="2445" t="str" cm="1">
        <f t="array" ca="1" aca="1" ref="EN223">IFERROR(IF(BN223*fxVal_normal=_PL!BN223,"",IF(OR(BN223="",NOT(ISNUMBER(BN223)),ISERROR(BN223),$B223=""),"",IF($I223=1,IFBLANK(_xldudf_CX_PUSH(BN223*fxVal_normal,CX_ENTITY,$B223,BN$11,BN$14,BN$219,),""),IF($I223=2,IFBLANK(_xldudf_CX_PUSH(BN223,CX_ENTITY,$B223,BN$11,BN$14,BN$219,),""),IF($I223=3,"",IFBLANK(_xldudf_CX_PUSH(BN223,CX_ENTITY,$B223,BN$11,BN$14,BN$219,),"")))))),"")</f>
        <v/>
      </c>
    </row>
    <row r="224" spans="1:144" ht="21" customHeight="1">
      <c r="A224" s="1627"/>
      <c r="B224" s="2439" t="s">
        <v>182</v>
      </c>
      <c r="C224" s="3459" t="str" cm="1">
        <f t="array" ref="C224">IFBLANK(_PL!C224,"")</f>
        <v>Segment III Breakdown - Label 4</v>
      </c>
      <c r="D224" s="1548" t="s">
        <v>182</v>
      </c>
      <c r="E224" s="2440" t="e" cm="1">
        <f t="array" ca="1" aca="1" ref="E22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224:$CQ224,Z224)</f>
        <v>#NAME?</v>
      </c>
      <c r="F224" s="578"/>
      <c r="G224" s="578"/>
      <c r="H224" s="510">
        <v>0</v>
      </c>
      <c r="I224" s="3302">
        <v>1</v>
      </c>
      <c r="J224" s="401" cm="1">
        <f t="array" ref="J224">IFBLANK(Z224,"")</f>
        <v>-1</v>
      </c>
      <c r="K224" s="578" t="str">
        <f ca="1">IFERROR(IF(LEN(AB224)=0,"No",IF(LEN(J224)&gt;0,"Yes","No")),"")</f>
        <v/>
      </c>
      <c r="L224" s="37"/>
      <c r="N224" s="158"/>
      <c r="O224" s="101"/>
      <c r="P224" s="52"/>
      <c r="Q224" s="101"/>
      <c r="R224" s="101"/>
      <c r="S224" s="3008"/>
      <c r="T224" s="3008"/>
      <c r="U224" s="39"/>
      <c r="V224" s="37"/>
      <c r="W224" s="91" t="e">
        <f ca="1">W220</f>
        <v>#NAME?</v>
      </c>
      <c r="X224" s="2081" t="str">
        <f>_PL!X224</f>
        <v>a</v>
      </c>
      <c r="Y224" s="3224">
        <v>2</v>
      </c>
      <c r="Z224" s="198">
        <f>_PL!Z224</f>
        <v>-1</v>
      </c>
      <c r="AA224" s="2571"/>
      <c r="AB224" s="2575" t="e" cm="1">
        <f t="array" ca="1" aca="1" ref="AB224">IF(W216="Scenario","Please select scenario in cell! "&amp;CELL("address",W216),"")</f>
        <v>#NAME?</v>
      </c>
      <c r="AC224" s="914" t="str" cm="1">
        <f t="array" ca="1" aca="1" ref="AC224">_xlfn.LET(_xlpm._termname,$AB224,_xlpm._iconname,"find",_xlpm._icon,fx_getIcon(_xlpm._iconname),_xlpm._location,_xlfn.XLOOKUP(LOWER(_xlpm._termname),LOWER(tbl_acctDef[Term]),tbl_acctDef[Term]),_xlpm._hyperlink,HYPERLINK("#"&amp;CELL("address",_xlpm._location),_xlpm._icon),IFERROR(_xlpm._hyperlink,""))</f>
        <v/>
      </c>
      <c r="AD224" s="3177">
        <v>1</v>
      </c>
      <c r="AE224" s="3177">
        <v>1</v>
      </c>
      <c r="AF224" s="3177">
        <v>1</v>
      </c>
      <c r="AG224" s="3177">
        <v>1</v>
      </c>
      <c r="AH224" s="3177">
        <v>1</v>
      </c>
      <c r="AI224" s="3177">
        <v>1</v>
      </c>
      <c r="AJ224" s="3177">
        <v>1</v>
      </c>
      <c r="AK224" s="3177">
        <v>1</v>
      </c>
      <c r="AL224" s="3177">
        <v>1</v>
      </c>
      <c r="AM224" s="3177">
        <v>1</v>
      </c>
      <c r="AN224" s="3177">
        <v>1</v>
      </c>
      <c r="AO224" s="3177">
        <v>1</v>
      </c>
      <c r="AP224" s="3177">
        <v>1</v>
      </c>
      <c r="AQ224" s="3177">
        <v>1</v>
      </c>
      <c r="AR224" s="3177">
        <v>1</v>
      </c>
      <c r="AS224" s="3177">
        <v>1</v>
      </c>
      <c r="AT224" s="3177">
        <v>1</v>
      </c>
      <c r="AU224" s="3177">
        <v>1</v>
      </c>
      <c r="AV224" s="3177">
        <v>1</v>
      </c>
      <c r="AW224" s="3177">
        <v>1</v>
      </c>
      <c r="AX224" s="3177">
        <v>1</v>
      </c>
      <c r="AY224" s="3177">
        <v>1</v>
      </c>
      <c r="AZ224" s="3177">
        <v>1</v>
      </c>
      <c r="BA224" s="3177">
        <v>1</v>
      </c>
      <c r="BB224" s="3177">
        <v>1</v>
      </c>
      <c r="BC224" s="3177">
        <v>1</v>
      </c>
      <c r="BD224" s="3177">
        <v>1</v>
      </c>
      <c r="BE224" s="3177">
        <v>1</v>
      </c>
      <c r="BF224" s="3177">
        <v>1</v>
      </c>
      <c r="BG224" s="3177">
        <v>1</v>
      </c>
      <c r="BH224" s="3177">
        <v>1</v>
      </c>
      <c r="BI224" s="3177">
        <v>1</v>
      </c>
      <c r="BJ224" s="3177">
        <v>1</v>
      </c>
      <c r="BK224" s="3177">
        <v>1</v>
      </c>
      <c r="BL224" s="3177">
        <v>1</v>
      </c>
      <c r="BM224" s="3177">
        <v>1</v>
      </c>
      <c r="BN224" s="3177">
        <v>1</v>
      </c>
      <c r="BO224" s="2442"/>
      <c r="BP224" s="2442"/>
      <c r="BQ224" s="2442"/>
      <c r="BR224" s="2442"/>
      <c r="BS224" s="2442"/>
      <c r="BT224" s="2442"/>
      <c r="BU224" s="2442"/>
      <c r="BV224" s="2442"/>
      <c r="BW224" s="2442"/>
      <c r="BX224" s="2442"/>
      <c r="BY224" s="2442"/>
      <c r="BZ224" s="2442"/>
      <c r="CA224" s="34"/>
      <c r="CC224" s="58"/>
      <c r="CD224" s="1461" t="e" cm="1">
        <f t="array" ca="1" aca="1" ref="CD224">_xlfn.LET(_xlpm.CheckBlank,SUM(PL!$AD224:$BN224)=0,IF(_xlpm.CheckBlank,"",SUM(_xlfn._xlws.FILTER(PL!$AD224:$BN224,(YEAR(PL!$AD$12:$BN$12)=PL!CD$12)*(array_timeline&lt;=PL!CD$11)))))</f>
        <v>#NAME?</v>
      </c>
      <c r="CE224" s="1461" t="e" cm="1">
        <f t="array" ca="1" aca="1" ref="CE224">_xlfn.LET(_xlpm.CheckBlank,SUM(PL!$AD224:$BN224)=0,IF(_xlpm.CheckBlank,"",SUM(_xlfn._xlws.FILTER(PL!$AD224:$BN224,(YEAR(PL!$AD$12:$BN$12)=PL!CE$12)*(array_timeline&lt;=PL!CE$11)))))</f>
        <v>#NAME?</v>
      </c>
      <c r="CF224" s="88"/>
      <c r="CG224" s="1461" t="e" cm="1">
        <f t="array" ca="1" aca="1" ref="CG224">_xlfn.LET(_xlpm.CheckBlank,SUM(PL!$AD224:$BN224)=0,IF(_xlpm.CheckBlank,"",SUM(_xlfn._xlws.FILTER(PL!$AD224:$BN224,(YEAR(PL!$AD$12:$BN$12)=PL!CG$12)*(array_timeline&lt;=PL!CG$11)))))</f>
        <v>#NAME?</v>
      </c>
      <c r="CH224" s="1461" t="e" cm="1">
        <f t="array" ca="1" aca="1" ref="CH224">_xlfn.LET(_xlpm.CheckBlank,SUM(PL!$AD224:$BN224)=0,IF(_xlpm.CheckBlank,"",SUM(_xlfn._xlws.FILTER(PL!$AD224:$BN224,(YEAR(PL!$AD$12:$BN$12)=PL!CH$12)*(array_timeline&lt;=PL!CH$11)))))</f>
        <v>#NAME?</v>
      </c>
      <c r="CI224" s="88"/>
      <c r="CJ224" s="1461" cm="1">
        <f t="array" ref="CJ224">_xlfn.LET(_xlpm.CheckBlank,SUM(PL!$AD224:$BN224)=0,IF(_xlpm.CheckBlank,"",SUM(_xlfn.TAKE(_xlfn.DROP(PL!$AD224:$BN224,,-DATEDIFF(PL!CJ$11,val_asOfDate,"M")),1,-12))))</f>
        <v>12</v>
      </c>
      <c r="CK224" s="1461" cm="1">
        <f t="array" ref="CK224">_xlfn.LET(_xlpm.CheckBlank,SUM(PL!$AD224:$BN224)=0,IF(_xlpm.CheckBlank,"",SUM(_xlfn.TAKE(_xlfn.DROP(PL!$AD224:$BN224,,-DATEDIFF(PL!CK$11,val_asOfDate,"M")),1,-12))))</f>
        <v>12</v>
      </c>
      <c r="CL224" s="88"/>
      <c r="CM224" s="3177">
        <v>1</v>
      </c>
      <c r="CN224" s="3177">
        <v>1</v>
      </c>
      <c r="CO224" s="1169"/>
      <c r="CP224" s="3177">
        <v>1</v>
      </c>
      <c r="CQ224" s="3177">
        <v>1</v>
      </c>
      <c r="CR224" s="34"/>
      <c r="CS224" s="2056"/>
      <c r="CT224" s="2447" t="e" cm="1">
        <f t="array" ca="1" aca="1" ref="CT224">IF(OR($Y224="Segment III Breakdown - Amount 1",$Y224="Segment III Breakdown - Amount 2",$Y224="Segment III Breakdown - Amount 3",$Y224="Segment III Breakdown - Amount 4",$Y224="Segment III Breakdown - Amount 5",$Y224="Segment III Breakdown - Amount 6",$Y224="Please select the metric for segmentation"),"",_xldudf_CX_PUSH($Y224,CX_ENTITY,$C224,val_asOfDate))</f>
        <v>#NAME?</v>
      </c>
      <c r="CU224" s="2447" t="e" cm="1">
        <f t="array" ca="1" aca="1" ref="CU224">IF(OR($Y224="Segment III Breakdown - Amount 1",$Y224="Segment III Breakdown - Amount 2",$Y224="Segment III Breakdown - Amount 3",$Y224="Segment III Breakdown - Amount 4",$Y224="Segment III Breakdown - Amount 5",$Y224="Segment III Breakdown - Amount 6",$Y224="Please select the metric for segmentation"),"",_xldudf_CX_PUSH($Y224,CX_ENTITY,$C224,EOMONTH(val_asOfDate,1)))</f>
        <v>#NAME?</v>
      </c>
      <c r="CV224" s="2447" t="e" cm="1">
        <f t="array" ca="1" aca="1" ref="CV224">IF(OR($Y224="Segment III Breakdown - Amount 1",$Y224="Segment III Breakdown - Amount 2",$Y224="Segment III Breakdown - Amount 3",$Y224="Segment III Breakdown - Amount 4",$Y224="Segment III Breakdown - Amount 5",$Y224="Segment III Breakdown - Amount 6",$Y224="Please select the metric for segmentation"),"",_xldudf_CX_PUSH($Y224,CX_ENTITY,$C224,EOMONTH(val_asOfDate,2)))</f>
        <v>#NAME?</v>
      </c>
      <c r="CW224" s="2447" t="e" cm="1">
        <f t="array" ca="1" aca="1" ref="CW224">IF(OR($Y224="Segment III Breakdown - Amount 1",$Y224="Segment III Breakdown - Amount 2",$Y224="Segment III Breakdown - Amount 3",$Y224="Segment III Breakdown - Amount 4",$Y224="Segment III Breakdown - Amount 5",$Y224="Segment III Breakdown - Amount 6",$Y224="Please select the metric for segmentation"),"",_xldudf_CX_PUSH($Y224,CX_ENTITY,$C224,EOMONTH(val_asOfDate,3)))</f>
        <v>#NAME?</v>
      </c>
      <c r="CX224" s="2443"/>
      <c r="CY224" s="2444" t="str" cm="1">
        <f t="array" ca="1" aca="1" ref="CY224">IFERROR(IF(CM224*fxVal_normal=_PL!CM224,"",IF(OR($CM224="",$CM224=0,NOT(ISNUMBER($CM224)),ISERROR($CM224),$B224=""),"",IF($I224=1,IFBLANK(_xldudf_CX_PUSH($CM224*fxVal_normal,CX_ENTITY,$B224,$CM$11,$CM$14,$CM$19,),""),IF($I224=2,IFBLANK(_xldudf_CX_PUSH($CM224,CX_ENTITY,$B224,$CM$11,$CM$14,$CM$19,),""),IF($I224=3,"",IFBLANK(_xldudf_CX_PUSH($CM224,CX_ENTITY,$B224,$CM$11,$CM$14,$CM$19,),"")))))),"")</f>
        <v/>
      </c>
      <c r="CZ224" s="2444" t="str" cm="1">
        <f t="array" ca="1" aca="1" ref="CZ224">IFERROR(IF(CN224*fxVal_normal=_PL!CN224,"",IF(OR($CN224="",$CN224=0,NOT(ISNUMBER($CN224)),ISERROR($CN224),$B224=""),"",IF($I224=1,IFBLANK(_xldudf_CX_PUSH($CN224*fxVal_normal,CX_ENTITY,$B224,$CN$11,$CN$14,$CN$19,),""),IF($I224=2,IFBLANK(_xldudf_CX_PUSH($CN224,CX_ENTITY,$B224,$CN$11,$CN$14,$CN$19,),""),IF($I224=3,"",IFBLANK(_xldudf_CX_PUSH($CN224,CX_ENTITY,$B224,$CN$11,$CN$14,$CN$19,),"")))))),"")</f>
        <v/>
      </c>
      <c r="DA224" s="2444" t="str" cm="1">
        <f t="array" ca="1" aca="1" ref="DA224">IFERROR(IF(CP224*fxVal_normal=_PL!CP224,"",IF(OR($CP224="",$CP224=0,NOT(ISNUMBER($CP224)),ISERROR($CP224),$B224=""),"",IF($I224=1,IFBLANK(_xldudf_CX_PUSH($CP224*fxVal_normal,CX_ENTITY,$B224,$CP$11,$CP$14,$CP$19,),""),IF($I224=2,IFBLANK(_xldudf_CX_PUSH($CP224,CX_ENTITY,$B224,$CP$11,$CP$14,$CP$19,),""),IF($I224=3,"",IFBLANK(_xldudf_CX_PUSH($CP224,CX_ENTITY,$B224,$CP$11,$CP$14,$CP$19,),"")))))),"")</f>
        <v/>
      </c>
      <c r="DB224" s="2444" t="str" cm="1">
        <f t="array" ca="1" aca="1" ref="DB224">IFERROR(IF(CQ224*fxVal_normal=_PL!CQ224,"",IF(OR($CQ224="",$CQ224=0,NOT(ISNUMBER($CQ224)),ISERROR($CQ224),$B224=""),"",IF($I224=1,IFBLANK(_xldudf_CX_PUSH($CQ224*fxVal_normal,CX_ENTITY,$B224,$CQ$11,$CQ$14,$CQ$19,),""),IF($I224=2,IFBLANK(_xldudf_CX_PUSH($CQ224,CX_ENTITY,$B224,$CQ$11,$CQ$14,$CQ$19,),""),IF($I224=3,"",IFBLANK(_xldudf_CX_PUSH($CQ224,CX_ENTITY,$B224,$CQ$11,$CQ$14,$CQ$19,),"")))))),"")</f>
        <v/>
      </c>
      <c r="DC224" s="2443"/>
      <c r="DD224" s="2445" t="str" cm="1">
        <f t="array" ca="1" aca="1" ref="DD224">IFERROR(IF(AD224*fxVal_normal=_PL!AD224,"",IF(OR(AD224="",NOT(ISNUMBER(AD224)),ISERROR(AD224),$B224=""),"",IF($I224=1,IFBLANK(_xldudf_CX_PUSH(AD224*fxVal_normal,CX_ENTITY,$B224,AD$11,AD$14,AD$219,),""),IF($I224=2,IFBLANK(_xldudf_CX_PUSH(AD224,CX_ENTITY,$B224,AD$11,AD$14,AD$219,),""),IF($I224=3,"",IFBLANK(_xldudf_CX_PUSH(AD224,CX_ENTITY,$B224,AD$11,AD$14,AD$219,),"")))))),"")</f>
        <v/>
      </c>
      <c r="DE224" s="2445" t="str" cm="1">
        <f t="array" ca="1" aca="1" ref="DE224">IFERROR(IF(AE224*fxVal_normal=_PL!AE224,"",IF(OR(AE224="",NOT(ISNUMBER(AE224)),ISERROR(AE224),$B224=""),"",IF($I224=1,IFBLANK(_xldudf_CX_PUSH(AE224*fxVal_normal,CX_ENTITY,$B224,AE$11,AE$14,AE$219,),""),IF($I224=2,IFBLANK(_xldudf_CX_PUSH(AE224,CX_ENTITY,$B224,AE$11,AE$14,AE$219,),""),IF($I224=3,"",IFBLANK(_xldudf_CX_PUSH(AE224,CX_ENTITY,$B224,AE$11,AE$14,AE$219,),"")))))),"")</f>
        <v/>
      </c>
      <c r="DF224" s="2445" t="str" cm="1">
        <f t="array" ca="1" aca="1" ref="DF224">IFERROR(IF(AF224*fxVal_normal=_PL!AF224,"",IF(OR(AF224="",NOT(ISNUMBER(AF224)),ISERROR(AF224),$B224=""),"",IF($I224=1,IFBLANK(_xldudf_CX_PUSH(AF224*fxVal_normal,CX_ENTITY,$B224,AF$11,AF$14,AF$219,),""),IF($I224=2,IFBLANK(_xldudf_CX_PUSH(AF224,CX_ENTITY,$B224,AF$11,AF$14,AF$219,),""),IF($I224=3,"",IFBLANK(_xldudf_CX_PUSH(AF224,CX_ENTITY,$B224,AF$11,AF$14,AF$219,),"")))))),"")</f>
        <v/>
      </c>
      <c r="DG224" s="2445" t="str" cm="1">
        <f t="array" ca="1" aca="1" ref="DG224">IFERROR(IF(AG224*fxVal_normal=_PL!AG224,"",IF(OR(AG224="",NOT(ISNUMBER(AG224)),ISERROR(AG224),$B224=""),"",IF($I224=1,IFBLANK(_xldudf_CX_PUSH(AG224*fxVal_normal,CX_ENTITY,$B224,AG$11,AG$14,AG$219,),""),IF($I224=2,IFBLANK(_xldudf_CX_PUSH(AG224,CX_ENTITY,$B224,AG$11,AG$14,AG$219,),""),IF($I224=3,"",IFBLANK(_xldudf_CX_PUSH(AG224,CX_ENTITY,$B224,AG$11,AG$14,AG$219,),"")))))),"")</f>
        <v/>
      </c>
      <c r="DH224" s="2445" t="str" cm="1">
        <f t="array" ca="1" aca="1" ref="DH224">IFERROR(IF(AH224*fxVal_normal=_PL!AH224,"",IF(OR(AH224="",NOT(ISNUMBER(AH224)),ISERROR(AH224),$B224=""),"",IF($I224=1,IFBLANK(_xldudf_CX_PUSH(AH224*fxVal_normal,CX_ENTITY,$B224,AH$11,AH$14,AH$219,),""),IF($I224=2,IFBLANK(_xldudf_CX_PUSH(AH224,CX_ENTITY,$B224,AH$11,AH$14,AH$219,),""),IF($I224=3,"",IFBLANK(_xldudf_CX_PUSH(AH224,CX_ENTITY,$B224,AH$11,AH$14,AH$219,),"")))))),"")</f>
        <v/>
      </c>
      <c r="DI224" s="2445" t="str" cm="1">
        <f t="array" ca="1" aca="1" ref="DI224">IFERROR(IF(AI224*fxVal_normal=_PL!AI224,"",IF(OR(AI224="",NOT(ISNUMBER(AI224)),ISERROR(AI224),$B224=""),"",IF($I224=1,IFBLANK(_xldudf_CX_PUSH(AI224*fxVal_normal,CX_ENTITY,$B224,AI$11,AI$14,AI$219,),""),IF($I224=2,IFBLANK(_xldudf_CX_PUSH(AI224,CX_ENTITY,$B224,AI$11,AI$14,AI$219,),""),IF($I224=3,"",IFBLANK(_xldudf_CX_PUSH(AI224,CX_ENTITY,$B224,AI$11,AI$14,AI$219,),"")))))),"")</f>
        <v/>
      </c>
      <c r="DJ224" s="2445" t="str" cm="1">
        <f t="array" ca="1" aca="1" ref="DJ224">IFERROR(IF(AJ224*fxVal_normal=_PL!AJ224,"",IF(OR(AJ224="",NOT(ISNUMBER(AJ224)),ISERROR(AJ224),$B224=""),"",IF($I224=1,IFBLANK(_xldudf_CX_PUSH(AJ224*fxVal_normal,CX_ENTITY,$B224,AJ$11,AJ$14,AJ$219,),""),IF($I224=2,IFBLANK(_xldudf_CX_PUSH(AJ224,CX_ENTITY,$B224,AJ$11,AJ$14,AJ$219,),""),IF($I224=3,"",IFBLANK(_xldudf_CX_PUSH(AJ224,CX_ENTITY,$B224,AJ$11,AJ$14,AJ$219,),"")))))),"")</f>
        <v/>
      </c>
      <c r="DK224" s="2445" t="str" cm="1">
        <f t="array" ca="1" aca="1" ref="DK224">IFERROR(IF(AK224*fxVal_normal=_PL!AK224,"",IF(OR(AK224="",NOT(ISNUMBER(AK224)),ISERROR(AK224),$B224=""),"",IF($I224=1,IFBLANK(_xldudf_CX_PUSH(AK224*fxVal_normal,CX_ENTITY,$B224,AK$11,AK$14,AK$219,),""),IF($I224=2,IFBLANK(_xldudf_CX_PUSH(AK224,CX_ENTITY,$B224,AK$11,AK$14,AK$219,),""),IF($I224=3,"",IFBLANK(_xldudf_CX_PUSH(AK224,CX_ENTITY,$B224,AK$11,AK$14,AK$219,),"")))))),"")</f>
        <v/>
      </c>
      <c r="DL224" s="2445" t="str" cm="1">
        <f t="array" ca="1" aca="1" ref="DL224">IFERROR(IF(AL224*fxVal_normal=_PL!AL224,"",IF(OR(AL224="",NOT(ISNUMBER(AL224)),ISERROR(AL224),$B224=""),"",IF($I224=1,IFBLANK(_xldudf_CX_PUSH(AL224*fxVal_normal,CX_ENTITY,$B224,AL$11,AL$14,AL$219,),""),IF($I224=2,IFBLANK(_xldudf_CX_PUSH(AL224,CX_ENTITY,$B224,AL$11,AL$14,AL$219,),""),IF($I224=3,"",IFBLANK(_xldudf_CX_PUSH(AL224,CX_ENTITY,$B224,AL$11,AL$14,AL$219,),"")))))),"")</f>
        <v/>
      </c>
      <c r="DM224" s="2445" t="str" cm="1">
        <f t="array" ca="1" aca="1" ref="DM224">IFERROR(IF(AM224*fxVal_normal=_PL!AM224,"",IF(OR(AM224="",NOT(ISNUMBER(AM224)),ISERROR(AM224),$B224=""),"",IF($I224=1,IFBLANK(_xldudf_CX_PUSH(AM224*fxVal_normal,CX_ENTITY,$B224,AM$11,AM$14,AM$219,),""),IF($I224=2,IFBLANK(_xldudf_CX_PUSH(AM224,CX_ENTITY,$B224,AM$11,AM$14,AM$219,),""),IF($I224=3,"",IFBLANK(_xldudf_CX_PUSH(AM224,CX_ENTITY,$B224,AM$11,AM$14,AM$219,),"")))))),"")</f>
        <v/>
      </c>
      <c r="DN224" s="2445" t="str" cm="1">
        <f t="array" ca="1" aca="1" ref="DN224">IFERROR(IF(AN224*fxVal_normal=_PL!AN224,"",IF(OR(AN224="",NOT(ISNUMBER(AN224)),ISERROR(AN224),$B224=""),"",IF($I224=1,IFBLANK(_xldudf_CX_PUSH(AN224*fxVal_normal,CX_ENTITY,$B224,AN$11,AN$14,AN$219,),""),IF($I224=2,IFBLANK(_xldudf_CX_PUSH(AN224,CX_ENTITY,$B224,AN$11,AN$14,AN$219,),""),IF($I224=3,"",IFBLANK(_xldudf_CX_PUSH(AN224,CX_ENTITY,$B224,AN$11,AN$14,AN$219,),"")))))),"")</f>
        <v/>
      </c>
      <c r="DO224" s="2445" t="str" cm="1">
        <f t="array" ca="1" aca="1" ref="DO224">IFERROR(IF(AO224*fxVal_normal=_PL!AO224,"",IF(OR(AO224="",NOT(ISNUMBER(AO224)),ISERROR(AO224),$B224=""),"",IF($I224=1,IFBLANK(_xldudf_CX_PUSH(AO224*fxVal_normal,CX_ENTITY,$B224,AO$11,AO$14,AO$219,),""),IF($I224=2,IFBLANK(_xldudf_CX_PUSH(AO224,CX_ENTITY,$B224,AO$11,AO$14,AO$219,),""),IF($I224=3,"",IFBLANK(_xldudf_CX_PUSH(AO224,CX_ENTITY,$B224,AO$11,AO$14,AO$219,),"")))))),"")</f>
        <v/>
      </c>
      <c r="DP224" s="2445" t="str" cm="1">
        <f t="array" ca="1" aca="1" ref="DP224">IFERROR(IF(AP224*fxVal_normal=_PL!AP224,"",IF(OR(AP224="",NOT(ISNUMBER(AP224)),ISERROR(AP224),$B224=""),"",IF($I224=1,IFBLANK(_xldudf_CX_PUSH(AP224*fxVal_normal,CX_ENTITY,$B224,AP$11,AP$14,AP$219,),""),IF($I224=2,IFBLANK(_xldudf_CX_PUSH(AP224,CX_ENTITY,$B224,AP$11,AP$14,AP$219,),""),IF($I224=3,"",IFBLANK(_xldudf_CX_PUSH(AP224,CX_ENTITY,$B224,AP$11,AP$14,AP$219,),"")))))),"")</f>
        <v/>
      </c>
      <c r="DQ224" s="2445" t="str" cm="1">
        <f t="array" ca="1" aca="1" ref="DQ224">IFERROR(IF(AQ224*fxVal_normal=_PL!AQ224,"",IF(OR(AQ224="",NOT(ISNUMBER(AQ224)),ISERROR(AQ224),$B224=""),"",IF($I224=1,IFBLANK(_xldudf_CX_PUSH(AQ224*fxVal_normal,CX_ENTITY,$B224,AQ$11,AQ$14,AQ$219,),""),IF($I224=2,IFBLANK(_xldudf_CX_PUSH(AQ224,CX_ENTITY,$B224,AQ$11,AQ$14,AQ$219,),""),IF($I224=3,"",IFBLANK(_xldudf_CX_PUSH(AQ224,CX_ENTITY,$B224,AQ$11,AQ$14,AQ$219,),"")))))),"")</f>
        <v/>
      </c>
      <c r="DR224" s="2445" t="str" cm="1">
        <f t="array" ca="1" aca="1" ref="DR224">IFERROR(IF(AR224*fxVal_normal=_PL!AR224,"",IF(OR(AR224="",NOT(ISNUMBER(AR224)),ISERROR(AR224),$B224=""),"",IF($I224=1,IFBLANK(_xldudf_CX_PUSH(AR224*fxVal_normal,CX_ENTITY,$B224,AR$11,AR$14,AR$219,),""),IF($I224=2,IFBLANK(_xldudf_CX_PUSH(AR224,CX_ENTITY,$B224,AR$11,AR$14,AR$219,),""),IF($I224=3,"",IFBLANK(_xldudf_CX_PUSH(AR224,CX_ENTITY,$B224,AR$11,AR$14,AR$219,),"")))))),"")</f>
        <v/>
      </c>
      <c r="DS224" s="2445" t="str" cm="1">
        <f t="array" ca="1" aca="1" ref="DS224">IFERROR(IF(AS224*fxVal_normal=_PL!AS224,"",IF(OR(AS224="",NOT(ISNUMBER(AS224)),ISERROR(AS224),$B224=""),"",IF($I224=1,IFBLANK(_xldudf_CX_PUSH(AS224*fxVal_normal,CX_ENTITY,$B224,AS$11,AS$14,AS$219,),""),IF($I224=2,IFBLANK(_xldudf_CX_PUSH(AS224,CX_ENTITY,$B224,AS$11,AS$14,AS$219,),""),IF($I224=3,"",IFBLANK(_xldudf_CX_PUSH(AS224,CX_ENTITY,$B224,AS$11,AS$14,AS$219,),"")))))),"")</f>
        <v/>
      </c>
      <c r="DT224" s="2445" t="str" cm="1">
        <f t="array" ca="1" aca="1" ref="DT224">IFERROR(IF(AT224*fxVal_normal=_PL!AT224,"",IF(OR(AT224="",NOT(ISNUMBER(AT224)),ISERROR(AT224),$B224=""),"",IF($I224=1,IFBLANK(_xldudf_CX_PUSH(AT224*fxVal_normal,CX_ENTITY,$B224,AT$11,AT$14,AT$219,),""),IF($I224=2,IFBLANK(_xldudf_CX_PUSH(AT224,CX_ENTITY,$B224,AT$11,AT$14,AT$219,),""),IF($I224=3,"",IFBLANK(_xldudf_CX_PUSH(AT224,CX_ENTITY,$B224,AT$11,AT$14,AT$219,),"")))))),"")</f>
        <v/>
      </c>
      <c r="DU224" s="2445" t="str" cm="1">
        <f t="array" ca="1" aca="1" ref="DU224">IFERROR(IF(AU224*fxVal_normal=_PL!AU224,"",IF(OR(AU224="",NOT(ISNUMBER(AU224)),ISERROR(AU224),$B224=""),"",IF($I224=1,IFBLANK(_xldudf_CX_PUSH(AU224*fxVal_normal,CX_ENTITY,$B224,AU$11,AU$14,AU$219,),""),IF($I224=2,IFBLANK(_xldudf_CX_PUSH(AU224,CX_ENTITY,$B224,AU$11,AU$14,AU$219,),""),IF($I224=3,"",IFBLANK(_xldudf_CX_PUSH(AU224,CX_ENTITY,$B224,AU$11,AU$14,AU$219,),"")))))),"")</f>
        <v/>
      </c>
      <c r="DV224" s="2445" t="str" cm="1">
        <f t="array" ca="1" aca="1" ref="DV224">IFERROR(IF(AV224*fxVal_normal=_PL!AV224,"",IF(OR(AV224="",NOT(ISNUMBER(AV224)),ISERROR(AV224),$B224=""),"",IF($I224=1,IFBLANK(_xldudf_CX_PUSH(AV224*fxVal_normal,CX_ENTITY,$B224,AV$11,AV$14,AV$219,),""),IF($I224=2,IFBLANK(_xldudf_CX_PUSH(AV224,CX_ENTITY,$B224,AV$11,AV$14,AV$219,),""),IF($I224=3,"",IFBLANK(_xldudf_CX_PUSH(AV224,CX_ENTITY,$B224,AV$11,AV$14,AV$219,),"")))))),"")</f>
        <v/>
      </c>
      <c r="DW224" s="2445" t="str" cm="1">
        <f t="array" ca="1" aca="1" ref="DW224">IFERROR(IF(AW224*fxVal_normal=_PL!AW224,"",IF(OR(AW224="",NOT(ISNUMBER(AW224)),ISERROR(AW224),$B224=""),"",IF($I224=1,IFBLANK(_xldudf_CX_PUSH(AW224*fxVal_normal,CX_ENTITY,$B224,AW$11,AW$14,AW$219,),""),IF($I224=2,IFBLANK(_xldudf_CX_PUSH(AW224,CX_ENTITY,$B224,AW$11,AW$14,AW$219,),""),IF($I224=3,"",IFBLANK(_xldudf_CX_PUSH(AW224,CX_ENTITY,$B224,AW$11,AW$14,AW$219,),"")))))),"")</f>
        <v/>
      </c>
      <c r="DX224" s="2445" t="str" cm="1">
        <f t="array" ca="1" aca="1" ref="DX224">IFERROR(IF(AX224*fxVal_normal=_PL!AX224,"",IF(OR(AX224="",NOT(ISNUMBER(AX224)),ISERROR(AX224),$B224=""),"",IF($I224=1,IFBLANK(_xldudf_CX_PUSH(AX224*fxVal_normal,CX_ENTITY,$B224,AX$11,AX$14,AX$219,),""),IF($I224=2,IFBLANK(_xldudf_CX_PUSH(AX224,CX_ENTITY,$B224,AX$11,AX$14,AX$219,),""),IF($I224=3,"",IFBLANK(_xldudf_CX_PUSH(AX224,CX_ENTITY,$B224,AX$11,AX$14,AX$219,),"")))))),"")</f>
        <v/>
      </c>
      <c r="DY224" s="2445" t="str" cm="1">
        <f t="array" ca="1" aca="1" ref="DY224">IFERROR(IF(AY224*fxVal_normal=_PL!AY224,"",IF(OR(AY224="",NOT(ISNUMBER(AY224)),ISERROR(AY224),$B224=""),"",IF($I224=1,IFBLANK(_xldudf_CX_PUSH(AY224*fxVal_normal,CX_ENTITY,$B224,AY$11,AY$14,AY$219,),""),IF($I224=2,IFBLANK(_xldudf_CX_PUSH(AY224,CX_ENTITY,$B224,AY$11,AY$14,AY$219,),""),IF($I224=3,"",IFBLANK(_xldudf_CX_PUSH(AY224,CX_ENTITY,$B224,AY$11,AY$14,AY$219,),"")))))),"")</f>
        <v/>
      </c>
      <c r="DZ224" s="2445" t="str" cm="1">
        <f t="array" ca="1" aca="1" ref="DZ224">IFERROR(IF(AZ224*fxVal_normal=_PL!AZ224,"",IF(OR(AZ224="",NOT(ISNUMBER(AZ224)),ISERROR(AZ224),$B224=""),"",IF($I224=1,IFBLANK(_xldudf_CX_PUSH(AZ224*fxVal_normal,CX_ENTITY,$B224,AZ$11,AZ$14,AZ$219,),""),IF($I224=2,IFBLANK(_xldudf_CX_PUSH(AZ224,CX_ENTITY,$B224,AZ$11,AZ$14,AZ$219,),""),IF($I224=3,"",IFBLANK(_xldudf_CX_PUSH(AZ224,CX_ENTITY,$B224,AZ$11,AZ$14,AZ$219,),"")))))),"")</f>
        <v/>
      </c>
      <c r="EA224" s="2445" t="str" cm="1">
        <f t="array" ca="1" aca="1" ref="EA224">IFERROR(IF(BA224*fxVal_normal=_PL!BA224,"",IF(OR(BA224="",NOT(ISNUMBER(BA224)),ISERROR(BA224),$B224=""),"",IF($I224=1,IFBLANK(_xldudf_CX_PUSH(BA224*fxVal_normal,CX_ENTITY,$B224,BA$11,BA$14,BA$219,),""),IF($I224=2,IFBLANK(_xldudf_CX_PUSH(BA224,CX_ENTITY,$B224,BA$11,BA$14,BA$219,),""),IF($I224=3,"",IFBLANK(_xldudf_CX_PUSH(BA224,CX_ENTITY,$B224,BA$11,BA$14,BA$219,),"")))))),"")</f>
        <v/>
      </c>
      <c r="EB224" s="2445" t="str" cm="1">
        <f t="array" ca="1" aca="1" ref="EB224">IFERROR(IF(BB224*fxVal_normal=_PL!BB224,"",IF(OR(BB224="",NOT(ISNUMBER(BB224)),ISERROR(BB224),$B224=""),"",IF($I224=1,IFBLANK(_xldudf_CX_PUSH(BB224*fxVal_normal,CX_ENTITY,$B224,BB$11,BB$14,BB$219,),""),IF($I224=2,IFBLANK(_xldudf_CX_PUSH(BB224,CX_ENTITY,$B224,BB$11,BB$14,BB$219,),""),IF($I224=3,"",IFBLANK(_xldudf_CX_PUSH(BB224,CX_ENTITY,$B224,BB$11,BB$14,BB$219,),"")))))),"")</f>
        <v/>
      </c>
      <c r="EC224" s="2445" t="str" cm="1">
        <f t="array" ca="1" aca="1" ref="EC224">IFERROR(IF(BC224*fxVal_normal=_PL!BC224,"",IF(OR(BC224="",NOT(ISNUMBER(BC224)),ISERROR(BC224),$B224=""),"",IF($I224=1,IFBLANK(_xldudf_CX_PUSH(BC224*fxVal_normal,CX_ENTITY,$B224,BC$11,BC$14,BC$219,),""),IF($I224=2,IFBLANK(_xldudf_CX_PUSH(BC224,CX_ENTITY,$B224,BC$11,BC$14,BC$219,),""),IF($I224=3,"",IFBLANK(_xldudf_CX_PUSH(BC224,CX_ENTITY,$B224,BC$11,BC$14,BC$219,),"")))))),"")</f>
        <v/>
      </c>
      <c r="ED224" s="2445" t="str" cm="1">
        <f t="array" ca="1" aca="1" ref="ED224">IFERROR(IF(BD224*fxVal_normal=_PL!BD224,"",IF(OR(BD224="",NOT(ISNUMBER(BD224)),ISERROR(BD224),$B224=""),"",IF($I224=1,IFBLANK(_xldudf_CX_PUSH(BD224*fxVal_normal,CX_ENTITY,$B224,BD$11,BD$14,BD$219,),""),IF($I224=2,IFBLANK(_xldudf_CX_PUSH(BD224,CX_ENTITY,$B224,BD$11,BD$14,BD$219,),""),IF($I224=3,"",IFBLANK(_xldudf_CX_PUSH(BD224,CX_ENTITY,$B224,BD$11,BD$14,BD$219,),"")))))),"")</f>
        <v/>
      </c>
      <c r="EE224" s="2445" t="str" cm="1">
        <f t="array" ca="1" aca="1" ref="EE224">IFERROR(IF(BE224*fxVal_normal=_PL!BE224,"",IF(OR(BE224="",NOT(ISNUMBER(BE224)),ISERROR(BE224),$B224=""),"",IF($I224=1,IFBLANK(_xldudf_CX_PUSH(BE224*fxVal_normal,CX_ENTITY,$B224,BE$11,BE$14,BE$219,),""),IF($I224=2,IFBLANK(_xldudf_CX_PUSH(BE224,CX_ENTITY,$B224,BE$11,BE$14,BE$219,),""),IF($I224=3,"",IFBLANK(_xldudf_CX_PUSH(BE224,CX_ENTITY,$B224,BE$11,BE$14,BE$219,),"")))))),"")</f>
        <v/>
      </c>
      <c r="EF224" s="2445" t="str" cm="1">
        <f t="array" ca="1" aca="1" ref="EF224">IFERROR(IF(BF224*fxVal_normal=_PL!BF224,"",IF(OR(BF224="",NOT(ISNUMBER(BF224)),ISERROR(BF224),$B224=""),"",IF($I224=1,IFBLANK(_xldudf_CX_PUSH(BF224*fxVal_normal,CX_ENTITY,$B224,BF$11,BF$14,BF$219,),""),IF($I224=2,IFBLANK(_xldudf_CX_PUSH(BF224,CX_ENTITY,$B224,BF$11,BF$14,BF$219,),""),IF($I224=3,"",IFBLANK(_xldudf_CX_PUSH(BF224,CX_ENTITY,$B224,BF$11,BF$14,BF$219,),"")))))),"")</f>
        <v/>
      </c>
      <c r="EG224" s="2445" t="str" cm="1">
        <f t="array" ca="1" aca="1" ref="EG224">IFERROR(IF(BG224*fxVal_normal=_PL!BG224,"",IF(OR(BG224="",NOT(ISNUMBER(BG224)),ISERROR(BG224),$B224=""),"",IF($I224=1,IFBLANK(_xldudf_CX_PUSH(BG224*fxVal_normal,CX_ENTITY,$B224,BG$11,BG$14,BG$219,),""),IF($I224=2,IFBLANK(_xldudf_CX_PUSH(BG224,CX_ENTITY,$B224,BG$11,BG$14,BG$219,),""),IF($I224=3,"",IFBLANK(_xldudf_CX_PUSH(BG224,CX_ENTITY,$B224,BG$11,BG$14,BG$219,),"")))))),"")</f>
        <v/>
      </c>
      <c r="EH224" s="2445" t="str" cm="1">
        <f t="array" ca="1" aca="1" ref="EH224">IFERROR(IF(BH224*fxVal_normal=_PL!BH224,"",IF(OR(BH224="",NOT(ISNUMBER(BH224)),ISERROR(BH224),$B224=""),"",IF($I224=1,IFBLANK(_xldudf_CX_PUSH(BH224*fxVal_normal,CX_ENTITY,$B224,BH$11,BH$14,BH$219,),""),IF($I224=2,IFBLANK(_xldudf_CX_PUSH(BH224,CX_ENTITY,$B224,BH$11,BH$14,BH$219,),""),IF($I224=3,"",IFBLANK(_xldudf_CX_PUSH(BH224,CX_ENTITY,$B224,BH$11,BH$14,BH$219,),"")))))),"")</f>
        <v/>
      </c>
      <c r="EI224" s="2445" t="str" cm="1">
        <f t="array" ca="1" aca="1" ref="EI224">IFERROR(IF(BI224*fxVal_normal=_PL!BI224,"",IF(OR(BI224="",NOT(ISNUMBER(BI224)),ISERROR(BI224),$B224=""),"",IF($I224=1,IFBLANK(_xldudf_CX_PUSH(BI224*fxVal_normal,CX_ENTITY,$B224,BI$11,BI$14,BI$219,),""),IF($I224=2,IFBLANK(_xldudf_CX_PUSH(BI224,CX_ENTITY,$B224,BI$11,BI$14,BI$219,),""),IF($I224=3,"",IFBLANK(_xldudf_CX_PUSH(BI224,CX_ENTITY,$B224,BI$11,BI$14,BI$219,),"")))))),"")</f>
        <v/>
      </c>
      <c r="EJ224" s="2445" t="str" cm="1">
        <f t="array" ca="1" aca="1" ref="EJ224">IFERROR(IF(BJ224*fxVal_normal=_PL!BJ224,"",IF(OR(BJ224="",NOT(ISNUMBER(BJ224)),ISERROR(BJ224),$B224=""),"",IF($I224=1,IFBLANK(_xldudf_CX_PUSH(BJ224*fxVal_normal,CX_ENTITY,$B224,BJ$11,BJ$14,BJ$219,),""),IF($I224=2,IFBLANK(_xldudf_CX_PUSH(BJ224,CX_ENTITY,$B224,BJ$11,BJ$14,BJ$219,),""),IF($I224=3,"",IFBLANK(_xldudf_CX_PUSH(BJ224,CX_ENTITY,$B224,BJ$11,BJ$14,BJ$219,),"")))))),"")</f>
        <v/>
      </c>
      <c r="EK224" s="2445" t="str" cm="1">
        <f t="array" ca="1" aca="1" ref="EK224">IFERROR(IF(BK224*fxVal_normal=_PL!BK224,"",IF(OR(BK224="",NOT(ISNUMBER(BK224)),ISERROR(BK224),$B224=""),"",IF($I224=1,IFBLANK(_xldudf_CX_PUSH(BK224*fxVal_normal,CX_ENTITY,$B224,BK$11,BK$14,BK$219,),""),IF($I224=2,IFBLANK(_xldudf_CX_PUSH(BK224,CX_ENTITY,$B224,BK$11,BK$14,BK$219,),""),IF($I224=3,"",IFBLANK(_xldudf_CX_PUSH(BK224,CX_ENTITY,$B224,BK$11,BK$14,BK$219,),"")))))),"")</f>
        <v/>
      </c>
      <c r="EL224" s="2445" t="str" cm="1">
        <f t="array" ca="1" aca="1" ref="EL224">IFERROR(IF(BL224*fxVal_normal=_PL!BL224,"",IF(OR(BL224="",NOT(ISNUMBER(BL224)),ISERROR(BL224),$B224=""),"",IF($I224=1,IFBLANK(_xldudf_CX_PUSH(BL224*fxVal_normal,CX_ENTITY,$B224,BL$11,BL$14,BL$219,),""),IF($I224=2,IFBLANK(_xldudf_CX_PUSH(BL224,CX_ENTITY,$B224,BL$11,BL$14,BL$219,),""),IF($I224=3,"",IFBLANK(_xldudf_CX_PUSH(BL224,CX_ENTITY,$B224,BL$11,BL$14,BL$219,),"")))))),"")</f>
        <v/>
      </c>
      <c r="EM224" s="2445" t="str" cm="1">
        <f t="array" ca="1" aca="1" ref="EM224">IFERROR(IF(BM224*fxVal_normal=_PL!BM224,"",IF(OR(BM224="",NOT(ISNUMBER(BM224)),ISERROR(BM224),$B224=""),"",IF($I224=1,IFBLANK(_xldudf_CX_PUSH(BM224*fxVal_normal,CX_ENTITY,$B224,BM$11,BM$14,BM$219,),""),IF($I224=2,IFBLANK(_xldudf_CX_PUSH(BM224,CX_ENTITY,$B224,BM$11,BM$14,BM$219,),""),IF($I224=3,"",IFBLANK(_xldudf_CX_PUSH(BM224,CX_ENTITY,$B224,BM$11,BM$14,BM$219,),"")))))),"")</f>
        <v/>
      </c>
      <c r="EN224" s="2445" t="str" cm="1">
        <f t="array" ca="1" aca="1" ref="EN224">IFERROR(IF(BN224*fxVal_normal=_PL!BN224,"",IF(OR(BN224="",NOT(ISNUMBER(BN224)),ISERROR(BN224),$B224=""),"",IF($I224=1,IFBLANK(_xldudf_CX_PUSH(BN224*fxVal_normal,CX_ENTITY,$B224,BN$11,BN$14,BN$219,),""),IF($I224=2,IFBLANK(_xldudf_CX_PUSH(BN224,CX_ENTITY,$B224,BN$11,BN$14,BN$219,),""),IF($I224=3,"",IFBLANK(_xldudf_CX_PUSH(BN224,CX_ENTITY,$B224,BN$11,BN$14,BN$219,),"")))))),"")</f>
        <v/>
      </c>
    </row>
    <row r="225" spans="1:144" ht="21" customHeight="1">
      <c r="A225" s="1627"/>
      <c r="B225" s="2439" t="s">
        <v>183</v>
      </c>
      <c r="C225" s="3459" t="str" cm="1">
        <f t="array" ref="C225">IFBLANK(_PL!C225,"")</f>
        <v>Segment III Breakdown - Label 5</v>
      </c>
      <c r="D225" s="1548" t="s">
        <v>183</v>
      </c>
      <c r="E225" s="2440" t="e" cm="1">
        <f t="array" ca="1" aca="1" ref="E22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225:$CQ225,Z225)</f>
        <v>#NAME?</v>
      </c>
      <c r="F225" s="578"/>
      <c r="G225" s="578"/>
      <c r="H225" s="510">
        <v>0</v>
      </c>
      <c r="I225" s="3302">
        <v>1</v>
      </c>
      <c r="J225" s="401" cm="1">
        <f t="array" ref="J225">IFBLANK(Z225,"")</f>
        <v>-1</v>
      </c>
      <c r="K225" s="578" t="str">
        <f t="shared" si="54"/>
        <v>No</v>
      </c>
      <c r="L225" s="37"/>
      <c r="N225" s="158"/>
      <c r="O225" s="101"/>
      <c r="P225" s="52"/>
      <c r="Q225" s="101"/>
      <c r="R225" s="101"/>
      <c r="S225" s="3008"/>
      <c r="T225" s="3008"/>
      <c r="U225" s="39"/>
      <c r="V225" s="37"/>
      <c r="W225" s="91" t="e">
        <f ca="1">W220</f>
        <v>#NAME?</v>
      </c>
      <c r="X225" s="2081" t="str">
        <f>_PL!X225</f>
        <v>a</v>
      </c>
      <c r="Y225" s="3224">
        <v>2</v>
      </c>
      <c r="Z225" s="198">
        <f>_PL!Z225</f>
        <v>-1</v>
      </c>
      <c r="AA225" s="2571"/>
      <c r="AB225" s="2592"/>
      <c r="AC225" s="914" t="str" cm="1">
        <f t="array" ca="1" aca="1" ref="AC225">_xlfn.LET(_xlpm._termname,$AB225,_xlpm._iconname,"find",_xlpm._icon,fx_getIcon(_xlpm._iconname),_xlpm._location,_xlfn.XLOOKUP(LOWER(_xlpm._termname),LOWER(tbl_acctDef[Term]),tbl_acctDef[Term]),_xlpm._hyperlink,HYPERLINK("#"&amp;CELL("address",_xlpm._location),_xlpm._icon),IFERROR(_xlpm._hyperlink,""))</f>
        <v/>
      </c>
      <c r="AD225" s="3177">
        <v>1</v>
      </c>
      <c r="AE225" s="3177">
        <v>1</v>
      </c>
      <c r="AF225" s="3177">
        <v>1</v>
      </c>
      <c r="AG225" s="3177">
        <v>1</v>
      </c>
      <c r="AH225" s="3177">
        <v>1</v>
      </c>
      <c r="AI225" s="3177">
        <v>1</v>
      </c>
      <c r="AJ225" s="3177">
        <v>1</v>
      </c>
      <c r="AK225" s="3177">
        <v>1</v>
      </c>
      <c r="AL225" s="3177">
        <v>1</v>
      </c>
      <c r="AM225" s="3177">
        <v>1</v>
      </c>
      <c r="AN225" s="3177">
        <v>1</v>
      </c>
      <c r="AO225" s="3177">
        <v>1</v>
      </c>
      <c r="AP225" s="3177">
        <v>1</v>
      </c>
      <c r="AQ225" s="3177">
        <v>1</v>
      </c>
      <c r="AR225" s="3177">
        <v>1</v>
      </c>
      <c r="AS225" s="3177">
        <v>1</v>
      </c>
      <c r="AT225" s="3177">
        <v>1</v>
      </c>
      <c r="AU225" s="3177">
        <v>1</v>
      </c>
      <c r="AV225" s="3177">
        <v>1</v>
      </c>
      <c r="AW225" s="3177">
        <v>1</v>
      </c>
      <c r="AX225" s="3177">
        <v>1</v>
      </c>
      <c r="AY225" s="3177">
        <v>1</v>
      </c>
      <c r="AZ225" s="3177">
        <v>1</v>
      </c>
      <c r="BA225" s="3177">
        <v>1</v>
      </c>
      <c r="BB225" s="3177">
        <v>1</v>
      </c>
      <c r="BC225" s="3177">
        <v>1</v>
      </c>
      <c r="BD225" s="3177">
        <v>1</v>
      </c>
      <c r="BE225" s="3177">
        <v>1</v>
      </c>
      <c r="BF225" s="3177">
        <v>1</v>
      </c>
      <c r="BG225" s="3177">
        <v>1</v>
      </c>
      <c r="BH225" s="3177">
        <v>1</v>
      </c>
      <c r="BI225" s="3177">
        <v>1</v>
      </c>
      <c r="BJ225" s="3177">
        <v>1</v>
      </c>
      <c r="BK225" s="3177">
        <v>1</v>
      </c>
      <c r="BL225" s="3177">
        <v>1</v>
      </c>
      <c r="BM225" s="3177">
        <v>1</v>
      </c>
      <c r="BN225" s="3177">
        <v>1</v>
      </c>
      <c r="BO225" s="2442"/>
      <c r="BP225" s="2442"/>
      <c r="BQ225" s="2442"/>
      <c r="BR225" s="2442"/>
      <c r="BS225" s="2442"/>
      <c r="BT225" s="2442"/>
      <c r="BU225" s="2442"/>
      <c r="BV225" s="2442"/>
      <c r="BW225" s="2442"/>
      <c r="BX225" s="2442"/>
      <c r="BY225" s="2442"/>
      <c r="BZ225" s="2442"/>
      <c r="CA225" s="34"/>
      <c r="CC225" s="58"/>
      <c r="CD225" s="1461" t="e" cm="1">
        <f t="array" ca="1" aca="1" ref="CD225">_xlfn.LET(_xlpm.CheckBlank,SUM(PL!$AD225:$BN225)=0,IF(_xlpm.CheckBlank,"",SUM(_xlfn._xlws.FILTER(PL!$AD225:$BN225,(YEAR(PL!$AD$12:$BN$12)=PL!CD$12)*(array_timeline&lt;=PL!CD$11)))))</f>
        <v>#NAME?</v>
      </c>
      <c r="CE225" s="1461" t="e" cm="1">
        <f t="array" ca="1" aca="1" ref="CE225">_xlfn.LET(_xlpm.CheckBlank,SUM(PL!$AD225:$BN225)=0,IF(_xlpm.CheckBlank,"",SUM(_xlfn._xlws.FILTER(PL!$AD225:$BN225,(YEAR(PL!$AD$12:$BN$12)=PL!CE$12)*(array_timeline&lt;=PL!CE$11)))))</f>
        <v>#NAME?</v>
      </c>
      <c r="CF225" s="88"/>
      <c r="CG225" s="1461" t="e" cm="1">
        <f t="array" ca="1" aca="1" ref="CG225">_xlfn.LET(_xlpm.CheckBlank,SUM(PL!$AD225:$BN225)=0,IF(_xlpm.CheckBlank,"",SUM(_xlfn._xlws.FILTER(PL!$AD225:$BN225,(YEAR(PL!$AD$12:$BN$12)=PL!CG$12)*(array_timeline&lt;=PL!CG$11)))))</f>
        <v>#NAME?</v>
      </c>
      <c r="CH225" s="1461" t="e" cm="1">
        <f t="array" ca="1" aca="1" ref="CH225">_xlfn.LET(_xlpm.CheckBlank,SUM(PL!$AD225:$BN225)=0,IF(_xlpm.CheckBlank,"",SUM(_xlfn._xlws.FILTER(PL!$AD225:$BN225,(YEAR(PL!$AD$12:$BN$12)=PL!CH$12)*(array_timeline&lt;=PL!CH$11)))))</f>
        <v>#NAME?</v>
      </c>
      <c r="CI225" s="88"/>
      <c r="CJ225" s="1461" cm="1">
        <f t="array" ref="CJ225">_xlfn.LET(_xlpm.CheckBlank,SUM(PL!$AD225:$BN225)=0,IF(_xlpm.CheckBlank,"",SUM(_xlfn.TAKE(_xlfn.DROP(PL!$AD225:$BN225,,-DATEDIFF(PL!CJ$11,val_asOfDate,"M")),1,-12))))</f>
        <v>12</v>
      </c>
      <c r="CK225" s="1461" cm="1">
        <f t="array" ref="CK225">_xlfn.LET(_xlpm.CheckBlank,SUM(PL!$AD225:$BN225)=0,IF(_xlpm.CheckBlank,"",SUM(_xlfn.TAKE(_xlfn.DROP(PL!$AD225:$BN225,,-DATEDIFF(PL!CK$11,val_asOfDate,"M")),1,-12))))</f>
        <v>12</v>
      </c>
      <c r="CL225" s="88"/>
      <c r="CM225" s="3177">
        <v>1</v>
      </c>
      <c r="CN225" s="3177">
        <v>1</v>
      </c>
      <c r="CO225" s="1169"/>
      <c r="CP225" s="3177">
        <v>1</v>
      </c>
      <c r="CQ225" s="3177">
        <v>1</v>
      </c>
      <c r="CR225" s="34"/>
      <c r="CS225" s="2056"/>
      <c r="CT225" s="2447" t="e" cm="1">
        <f t="array" ca="1" aca="1" ref="CT225">IF(OR($Y225="Segment III Breakdown - Amount 1",$Y225="Segment III Breakdown - Amount 2",$Y225="Segment III Breakdown - Amount 3",$Y225="Segment III Breakdown - Amount 4",$Y225="Segment III Breakdown - Amount 5",$Y225="Segment III Breakdown - Amount 6",$Y225="Please select the metric for segmentation"),"",_xldudf_CX_PUSH($Y225,CX_ENTITY,$C225,val_asOfDate))</f>
        <v>#NAME?</v>
      </c>
      <c r="CU225" s="2447" t="e" cm="1">
        <f t="array" ca="1" aca="1" ref="CU225">IF(OR($Y225="Segment III Breakdown - Amount 1",$Y225="Segment III Breakdown - Amount 2",$Y225="Segment III Breakdown - Amount 3",$Y225="Segment III Breakdown - Amount 4",$Y225="Segment III Breakdown - Amount 5",$Y225="Segment III Breakdown - Amount 6",$Y225="Please select the metric for segmentation"),"",_xldudf_CX_PUSH($Y225,CX_ENTITY,$C225,EOMONTH(val_asOfDate,1)))</f>
        <v>#NAME?</v>
      </c>
      <c r="CV225" s="2447" t="e" cm="1">
        <f t="array" ca="1" aca="1" ref="CV225">IF(OR($Y225="Segment III Breakdown - Amount 1",$Y225="Segment III Breakdown - Amount 2",$Y225="Segment III Breakdown - Amount 3",$Y225="Segment III Breakdown - Amount 4",$Y225="Segment III Breakdown - Amount 5",$Y225="Segment III Breakdown - Amount 6",$Y225="Please select the metric for segmentation"),"",_xldudf_CX_PUSH($Y225,CX_ENTITY,$C225,EOMONTH(val_asOfDate,2)))</f>
        <v>#NAME?</v>
      </c>
      <c r="CW225" s="2447" t="e" cm="1">
        <f t="array" ca="1" aca="1" ref="CW225">IF(OR($Y225="Segment III Breakdown - Amount 1",$Y225="Segment III Breakdown - Amount 2",$Y225="Segment III Breakdown - Amount 3",$Y225="Segment III Breakdown - Amount 4",$Y225="Segment III Breakdown - Amount 5",$Y225="Segment III Breakdown - Amount 6",$Y225="Please select the metric for segmentation"),"",_xldudf_CX_PUSH($Y225,CX_ENTITY,$C225,EOMONTH(val_asOfDate,3)))</f>
        <v>#NAME?</v>
      </c>
      <c r="CX225" s="2443"/>
      <c r="CY225" s="2444" t="str" cm="1">
        <f t="array" ca="1" aca="1" ref="CY225">IFERROR(IF(CM225*fxVal_normal=_PL!CM225,"",IF(OR($CM225="",$CM225=0,NOT(ISNUMBER($CM225)),ISERROR($CM225),$B225=""),"",IF($I225=1,IFBLANK(_xldudf_CX_PUSH($CM225*fxVal_normal,CX_ENTITY,$B225,$CM$11,$CM$14,$CM$19,),""),IF($I225=2,IFBLANK(_xldudf_CX_PUSH($CM225,CX_ENTITY,$B225,$CM$11,$CM$14,$CM$19,),""),IF($I225=3,"",IFBLANK(_xldudf_CX_PUSH($CM225,CX_ENTITY,$B225,$CM$11,$CM$14,$CM$19,),"")))))),"")</f>
        <v/>
      </c>
      <c r="CZ225" s="2444" t="str" cm="1">
        <f t="array" ca="1" aca="1" ref="CZ225">IFERROR(IF(CN225*fxVal_normal=_PL!CN225,"",IF(OR($CN225="",$CN225=0,NOT(ISNUMBER($CN225)),ISERROR($CN225),$B225=""),"",IF($I225=1,IFBLANK(_xldudf_CX_PUSH($CN225*fxVal_normal,CX_ENTITY,$B225,$CN$11,$CN$14,$CN$19,),""),IF($I225=2,IFBLANK(_xldudf_CX_PUSH($CN225,CX_ENTITY,$B225,$CN$11,$CN$14,$CN$19,),""),IF($I225=3,"",IFBLANK(_xldudf_CX_PUSH($CN225,CX_ENTITY,$B225,$CN$11,$CN$14,$CN$19,),"")))))),"")</f>
        <v/>
      </c>
      <c r="DA225" s="2444" t="str" cm="1">
        <f t="array" ca="1" aca="1" ref="DA225">IFERROR(IF(CP225*fxVal_normal=_PL!CP225,"",IF(OR($CP225="",$CP225=0,NOT(ISNUMBER($CP225)),ISERROR($CP225),$B225=""),"",IF($I225=1,IFBLANK(_xldudf_CX_PUSH($CP225*fxVal_normal,CX_ENTITY,$B225,$CP$11,$CP$14,$CP$19,),""),IF($I225=2,IFBLANK(_xldudf_CX_PUSH($CP225,CX_ENTITY,$B225,$CP$11,$CP$14,$CP$19,),""),IF($I225=3,"",IFBLANK(_xldudf_CX_PUSH($CP225,CX_ENTITY,$B225,$CP$11,$CP$14,$CP$19,),"")))))),"")</f>
        <v/>
      </c>
      <c r="DB225" s="2444" t="str" cm="1">
        <f t="array" ca="1" aca="1" ref="DB225">IFERROR(IF(CQ225*fxVal_normal=_PL!CQ225,"",IF(OR($CQ225="",$CQ225=0,NOT(ISNUMBER($CQ225)),ISERROR($CQ225),$B225=""),"",IF($I225=1,IFBLANK(_xldudf_CX_PUSH($CQ225*fxVal_normal,CX_ENTITY,$B225,$CQ$11,$CQ$14,$CQ$19,),""),IF($I225=2,IFBLANK(_xldudf_CX_PUSH($CQ225,CX_ENTITY,$B225,$CQ$11,$CQ$14,$CQ$19,),""),IF($I225=3,"",IFBLANK(_xldudf_CX_PUSH($CQ225,CX_ENTITY,$B225,$CQ$11,$CQ$14,$CQ$19,),"")))))),"")</f>
        <v/>
      </c>
      <c r="DC225" s="2443"/>
      <c r="DD225" s="2445" t="str" cm="1">
        <f t="array" ca="1" aca="1" ref="DD225">IFERROR(IF(AD225*fxVal_normal=_PL!AD225,"",IF(OR(AD225="",NOT(ISNUMBER(AD225)),ISERROR(AD225),$B225=""),"",IF($I225=1,IFBLANK(_xldudf_CX_PUSH(AD225*fxVal_normal,CX_ENTITY,$B225,AD$11,AD$14,AD$219,),""),IF($I225=2,IFBLANK(_xldudf_CX_PUSH(AD225,CX_ENTITY,$B225,AD$11,AD$14,AD$219,),""),IF($I225=3,"",IFBLANK(_xldudf_CX_PUSH(AD225,CX_ENTITY,$B225,AD$11,AD$14,AD$219,),"")))))),"")</f>
        <v/>
      </c>
      <c r="DE225" s="2445" t="str" cm="1">
        <f t="array" ca="1" aca="1" ref="DE225">IFERROR(IF(AE225*fxVal_normal=_PL!AE225,"",IF(OR(AE225="",NOT(ISNUMBER(AE225)),ISERROR(AE225),$B225=""),"",IF($I225=1,IFBLANK(_xldudf_CX_PUSH(AE225*fxVal_normal,CX_ENTITY,$B225,AE$11,AE$14,AE$219,),""),IF($I225=2,IFBLANK(_xldudf_CX_PUSH(AE225,CX_ENTITY,$B225,AE$11,AE$14,AE$219,),""),IF($I225=3,"",IFBLANK(_xldudf_CX_PUSH(AE225,CX_ENTITY,$B225,AE$11,AE$14,AE$219,),"")))))),"")</f>
        <v/>
      </c>
      <c r="DF225" s="2445" t="str" cm="1">
        <f t="array" ca="1" aca="1" ref="DF225">IFERROR(IF(AF225*fxVal_normal=_PL!AF225,"",IF(OR(AF225="",NOT(ISNUMBER(AF225)),ISERROR(AF225),$B225=""),"",IF($I225=1,IFBLANK(_xldudf_CX_PUSH(AF225*fxVal_normal,CX_ENTITY,$B225,AF$11,AF$14,AF$219,),""),IF($I225=2,IFBLANK(_xldudf_CX_PUSH(AF225,CX_ENTITY,$B225,AF$11,AF$14,AF$219,),""),IF($I225=3,"",IFBLANK(_xldudf_CX_PUSH(AF225,CX_ENTITY,$B225,AF$11,AF$14,AF$219,),"")))))),"")</f>
        <v/>
      </c>
      <c r="DG225" s="2445" t="str" cm="1">
        <f t="array" ca="1" aca="1" ref="DG225">IFERROR(IF(AG225*fxVal_normal=_PL!AG225,"",IF(OR(AG225="",NOT(ISNUMBER(AG225)),ISERROR(AG225),$B225=""),"",IF($I225=1,IFBLANK(_xldudf_CX_PUSH(AG225*fxVal_normal,CX_ENTITY,$B225,AG$11,AG$14,AG$219,),""),IF($I225=2,IFBLANK(_xldudf_CX_PUSH(AG225,CX_ENTITY,$B225,AG$11,AG$14,AG$219,),""),IF($I225=3,"",IFBLANK(_xldudf_CX_PUSH(AG225,CX_ENTITY,$B225,AG$11,AG$14,AG$219,),"")))))),"")</f>
        <v/>
      </c>
      <c r="DH225" s="2445" t="str" cm="1">
        <f t="array" ca="1" aca="1" ref="DH225">IFERROR(IF(AH225*fxVal_normal=_PL!AH225,"",IF(OR(AH225="",NOT(ISNUMBER(AH225)),ISERROR(AH225),$B225=""),"",IF($I225=1,IFBLANK(_xldudf_CX_PUSH(AH225*fxVal_normal,CX_ENTITY,$B225,AH$11,AH$14,AH$219,),""),IF($I225=2,IFBLANK(_xldudf_CX_PUSH(AH225,CX_ENTITY,$B225,AH$11,AH$14,AH$219,),""),IF($I225=3,"",IFBLANK(_xldudf_CX_PUSH(AH225,CX_ENTITY,$B225,AH$11,AH$14,AH$219,),"")))))),"")</f>
        <v/>
      </c>
      <c r="DI225" s="2445" t="str" cm="1">
        <f t="array" ca="1" aca="1" ref="DI225">IFERROR(IF(AI225*fxVal_normal=_PL!AI225,"",IF(OR(AI225="",NOT(ISNUMBER(AI225)),ISERROR(AI225),$B225=""),"",IF($I225=1,IFBLANK(_xldudf_CX_PUSH(AI225*fxVal_normal,CX_ENTITY,$B225,AI$11,AI$14,AI$219,),""),IF($I225=2,IFBLANK(_xldudf_CX_PUSH(AI225,CX_ENTITY,$B225,AI$11,AI$14,AI$219,),""),IF($I225=3,"",IFBLANK(_xldudf_CX_PUSH(AI225,CX_ENTITY,$B225,AI$11,AI$14,AI$219,),"")))))),"")</f>
        <v/>
      </c>
      <c r="DJ225" s="2445" t="str" cm="1">
        <f t="array" ca="1" aca="1" ref="DJ225">IFERROR(IF(AJ225*fxVal_normal=_PL!AJ225,"",IF(OR(AJ225="",NOT(ISNUMBER(AJ225)),ISERROR(AJ225),$B225=""),"",IF($I225=1,IFBLANK(_xldudf_CX_PUSH(AJ225*fxVal_normal,CX_ENTITY,$B225,AJ$11,AJ$14,AJ$219,),""),IF($I225=2,IFBLANK(_xldudf_CX_PUSH(AJ225,CX_ENTITY,$B225,AJ$11,AJ$14,AJ$219,),""),IF($I225=3,"",IFBLANK(_xldudf_CX_PUSH(AJ225,CX_ENTITY,$B225,AJ$11,AJ$14,AJ$219,),"")))))),"")</f>
        <v/>
      </c>
      <c r="DK225" s="2445" t="str" cm="1">
        <f t="array" ca="1" aca="1" ref="DK225">IFERROR(IF(AK225*fxVal_normal=_PL!AK225,"",IF(OR(AK225="",NOT(ISNUMBER(AK225)),ISERROR(AK225),$B225=""),"",IF($I225=1,IFBLANK(_xldudf_CX_PUSH(AK225*fxVal_normal,CX_ENTITY,$B225,AK$11,AK$14,AK$219,),""),IF($I225=2,IFBLANK(_xldudf_CX_PUSH(AK225,CX_ENTITY,$B225,AK$11,AK$14,AK$219,),""),IF($I225=3,"",IFBLANK(_xldudf_CX_PUSH(AK225,CX_ENTITY,$B225,AK$11,AK$14,AK$219,),"")))))),"")</f>
        <v/>
      </c>
      <c r="DL225" s="2445" t="str" cm="1">
        <f t="array" ca="1" aca="1" ref="DL225">IFERROR(IF(AL225*fxVal_normal=_PL!AL225,"",IF(OR(AL225="",NOT(ISNUMBER(AL225)),ISERROR(AL225),$B225=""),"",IF($I225=1,IFBLANK(_xldudf_CX_PUSH(AL225*fxVal_normal,CX_ENTITY,$B225,AL$11,AL$14,AL$219,),""),IF($I225=2,IFBLANK(_xldudf_CX_PUSH(AL225,CX_ENTITY,$B225,AL$11,AL$14,AL$219,),""),IF($I225=3,"",IFBLANK(_xldudf_CX_PUSH(AL225,CX_ENTITY,$B225,AL$11,AL$14,AL$219,),"")))))),"")</f>
        <v/>
      </c>
      <c r="DM225" s="2445" t="str" cm="1">
        <f t="array" ca="1" aca="1" ref="DM225">IFERROR(IF(AM225*fxVal_normal=_PL!AM225,"",IF(OR(AM225="",NOT(ISNUMBER(AM225)),ISERROR(AM225),$B225=""),"",IF($I225=1,IFBLANK(_xldudf_CX_PUSH(AM225*fxVal_normal,CX_ENTITY,$B225,AM$11,AM$14,AM$219,),""),IF($I225=2,IFBLANK(_xldudf_CX_PUSH(AM225,CX_ENTITY,$B225,AM$11,AM$14,AM$219,),""),IF($I225=3,"",IFBLANK(_xldudf_CX_PUSH(AM225,CX_ENTITY,$B225,AM$11,AM$14,AM$219,),"")))))),"")</f>
        <v/>
      </c>
      <c r="DN225" s="2445" t="str" cm="1">
        <f t="array" ca="1" aca="1" ref="DN225">IFERROR(IF(AN225*fxVal_normal=_PL!AN225,"",IF(OR(AN225="",NOT(ISNUMBER(AN225)),ISERROR(AN225),$B225=""),"",IF($I225=1,IFBLANK(_xldudf_CX_PUSH(AN225*fxVal_normal,CX_ENTITY,$B225,AN$11,AN$14,AN$219,),""),IF($I225=2,IFBLANK(_xldudf_CX_PUSH(AN225,CX_ENTITY,$B225,AN$11,AN$14,AN$219,),""),IF($I225=3,"",IFBLANK(_xldudf_CX_PUSH(AN225,CX_ENTITY,$B225,AN$11,AN$14,AN$219,),"")))))),"")</f>
        <v/>
      </c>
      <c r="DO225" s="2445" t="str" cm="1">
        <f t="array" ca="1" aca="1" ref="DO225">IFERROR(IF(AO225*fxVal_normal=_PL!AO225,"",IF(OR(AO225="",NOT(ISNUMBER(AO225)),ISERROR(AO225),$B225=""),"",IF($I225=1,IFBLANK(_xldudf_CX_PUSH(AO225*fxVal_normal,CX_ENTITY,$B225,AO$11,AO$14,AO$219,),""),IF($I225=2,IFBLANK(_xldudf_CX_PUSH(AO225,CX_ENTITY,$B225,AO$11,AO$14,AO$219,),""),IF($I225=3,"",IFBLANK(_xldudf_CX_PUSH(AO225,CX_ENTITY,$B225,AO$11,AO$14,AO$219,),"")))))),"")</f>
        <v/>
      </c>
      <c r="DP225" s="2445" t="str" cm="1">
        <f t="array" ca="1" aca="1" ref="DP225">IFERROR(IF(AP225*fxVal_normal=_PL!AP225,"",IF(OR(AP225="",NOT(ISNUMBER(AP225)),ISERROR(AP225),$B225=""),"",IF($I225=1,IFBLANK(_xldudf_CX_PUSH(AP225*fxVal_normal,CX_ENTITY,$B225,AP$11,AP$14,AP$219,),""),IF($I225=2,IFBLANK(_xldudf_CX_PUSH(AP225,CX_ENTITY,$B225,AP$11,AP$14,AP$219,),""),IF($I225=3,"",IFBLANK(_xldudf_CX_PUSH(AP225,CX_ENTITY,$B225,AP$11,AP$14,AP$219,),"")))))),"")</f>
        <v/>
      </c>
      <c r="DQ225" s="2445" t="str" cm="1">
        <f t="array" ca="1" aca="1" ref="DQ225">IFERROR(IF(AQ225*fxVal_normal=_PL!AQ225,"",IF(OR(AQ225="",NOT(ISNUMBER(AQ225)),ISERROR(AQ225),$B225=""),"",IF($I225=1,IFBLANK(_xldudf_CX_PUSH(AQ225*fxVal_normal,CX_ENTITY,$B225,AQ$11,AQ$14,AQ$219,),""),IF($I225=2,IFBLANK(_xldudf_CX_PUSH(AQ225,CX_ENTITY,$B225,AQ$11,AQ$14,AQ$219,),""),IF($I225=3,"",IFBLANK(_xldudf_CX_PUSH(AQ225,CX_ENTITY,$B225,AQ$11,AQ$14,AQ$219,),"")))))),"")</f>
        <v/>
      </c>
      <c r="DR225" s="2445" t="str" cm="1">
        <f t="array" ca="1" aca="1" ref="DR225">IFERROR(IF(AR225*fxVal_normal=_PL!AR225,"",IF(OR(AR225="",NOT(ISNUMBER(AR225)),ISERROR(AR225),$B225=""),"",IF($I225=1,IFBLANK(_xldudf_CX_PUSH(AR225*fxVal_normal,CX_ENTITY,$B225,AR$11,AR$14,AR$219,),""),IF($I225=2,IFBLANK(_xldudf_CX_PUSH(AR225,CX_ENTITY,$B225,AR$11,AR$14,AR$219,),""),IF($I225=3,"",IFBLANK(_xldudf_CX_PUSH(AR225,CX_ENTITY,$B225,AR$11,AR$14,AR$219,),"")))))),"")</f>
        <v/>
      </c>
      <c r="DS225" s="2445" t="str" cm="1">
        <f t="array" ca="1" aca="1" ref="DS225">IFERROR(IF(AS225*fxVal_normal=_PL!AS225,"",IF(OR(AS225="",NOT(ISNUMBER(AS225)),ISERROR(AS225),$B225=""),"",IF($I225=1,IFBLANK(_xldudf_CX_PUSH(AS225*fxVal_normal,CX_ENTITY,$B225,AS$11,AS$14,AS$219,),""),IF($I225=2,IFBLANK(_xldudf_CX_PUSH(AS225,CX_ENTITY,$B225,AS$11,AS$14,AS$219,),""),IF($I225=3,"",IFBLANK(_xldudf_CX_PUSH(AS225,CX_ENTITY,$B225,AS$11,AS$14,AS$219,),"")))))),"")</f>
        <v/>
      </c>
      <c r="DT225" s="2445" t="str" cm="1">
        <f t="array" ca="1" aca="1" ref="DT225">IFERROR(IF(AT225*fxVal_normal=_PL!AT225,"",IF(OR(AT225="",NOT(ISNUMBER(AT225)),ISERROR(AT225),$B225=""),"",IF($I225=1,IFBLANK(_xldudf_CX_PUSH(AT225*fxVal_normal,CX_ENTITY,$B225,AT$11,AT$14,AT$219,),""),IF($I225=2,IFBLANK(_xldudf_CX_PUSH(AT225,CX_ENTITY,$B225,AT$11,AT$14,AT$219,),""),IF($I225=3,"",IFBLANK(_xldudf_CX_PUSH(AT225,CX_ENTITY,$B225,AT$11,AT$14,AT$219,),"")))))),"")</f>
        <v/>
      </c>
      <c r="DU225" s="2445" t="str" cm="1">
        <f t="array" ca="1" aca="1" ref="DU225">IFERROR(IF(AU225*fxVal_normal=_PL!AU225,"",IF(OR(AU225="",NOT(ISNUMBER(AU225)),ISERROR(AU225),$B225=""),"",IF($I225=1,IFBLANK(_xldudf_CX_PUSH(AU225*fxVal_normal,CX_ENTITY,$B225,AU$11,AU$14,AU$219,),""),IF($I225=2,IFBLANK(_xldudf_CX_PUSH(AU225,CX_ENTITY,$B225,AU$11,AU$14,AU$219,),""),IF($I225=3,"",IFBLANK(_xldudf_CX_PUSH(AU225,CX_ENTITY,$B225,AU$11,AU$14,AU$219,),"")))))),"")</f>
        <v/>
      </c>
      <c r="DV225" s="2445" t="str" cm="1">
        <f t="array" ca="1" aca="1" ref="DV225">IFERROR(IF(AV225*fxVal_normal=_PL!AV225,"",IF(OR(AV225="",NOT(ISNUMBER(AV225)),ISERROR(AV225),$B225=""),"",IF($I225=1,IFBLANK(_xldudf_CX_PUSH(AV225*fxVal_normal,CX_ENTITY,$B225,AV$11,AV$14,AV$219,),""),IF($I225=2,IFBLANK(_xldudf_CX_PUSH(AV225,CX_ENTITY,$B225,AV$11,AV$14,AV$219,),""),IF($I225=3,"",IFBLANK(_xldudf_CX_PUSH(AV225,CX_ENTITY,$B225,AV$11,AV$14,AV$219,),"")))))),"")</f>
        <v/>
      </c>
      <c r="DW225" s="2445" t="str" cm="1">
        <f t="array" ca="1" aca="1" ref="DW225">IFERROR(IF(AW225*fxVal_normal=_PL!AW225,"",IF(OR(AW225="",NOT(ISNUMBER(AW225)),ISERROR(AW225),$B225=""),"",IF($I225=1,IFBLANK(_xldudf_CX_PUSH(AW225*fxVal_normal,CX_ENTITY,$B225,AW$11,AW$14,AW$219,),""),IF($I225=2,IFBLANK(_xldudf_CX_PUSH(AW225,CX_ENTITY,$B225,AW$11,AW$14,AW$219,),""),IF($I225=3,"",IFBLANK(_xldudf_CX_PUSH(AW225,CX_ENTITY,$B225,AW$11,AW$14,AW$219,),"")))))),"")</f>
        <v/>
      </c>
      <c r="DX225" s="2445" t="str" cm="1">
        <f t="array" ca="1" aca="1" ref="DX225">IFERROR(IF(AX225*fxVal_normal=_PL!AX225,"",IF(OR(AX225="",NOT(ISNUMBER(AX225)),ISERROR(AX225),$B225=""),"",IF($I225=1,IFBLANK(_xldudf_CX_PUSH(AX225*fxVal_normal,CX_ENTITY,$B225,AX$11,AX$14,AX$219,),""),IF($I225=2,IFBLANK(_xldudf_CX_PUSH(AX225,CX_ENTITY,$B225,AX$11,AX$14,AX$219,),""),IF($I225=3,"",IFBLANK(_xldudf_CX_PUSH(AX225,CX_ENTITY,$B225,AX$11,AX$14,AX$219,),"")))))),"")</f>
        <v/>
      </c>
      <c r="DY225" s="2445" t="str" cm="1">
        <f t="array" ca="1" aca="1" ref="DY225">IFERROR(IF(AY225*fxVal_normal=_PL!AY225,"",IF(OR(AY225="",NOT(ISNUMBER(AY225)),ISERROR(AY225),$B225=""),"",IF($I225=1,IFBLANK(_xldudf_CX_PUSH(AY225*fxVal_normal,CX_ENTITY,$B225,AY$11,AY$14,AY$219,),""),IF($I225=2,IFBLANK(_xldudf_CX_PUSH(AY225,CX_ENTITY,$B225,AY$11,AY$14,AY$219,),""),IF($I225=3,"",IFBLANK(_xldudf_CX_PUSH(AY225,CX_ENTITY,$B225,AY$11,AY$14,AY$219,),"")))))),"")</f>
        <v/>
      </c>
      <c r="DZ225" s="2445" t="str" cm="1">
        <f t="array" ca="1" aca="1" ref="DZ225">IFERROR(IF(AZ225*fxVal_normal=_PL!AZ225,"",IF(OR(AZ225="",NOT(ISNUMBER(AZ225)),ISERROR(AZ225),$B225=""),"",IF($I225=1,IFBLANK(_xldudf_CX_PUSH(AZ225*fxVal_normal,CX_ENTITY,$B225,AZ$11,AZ$14,AZ$219,),""),IF($I225=2,IFBLANK(_xldudf_CX_PUSH(AZ225,CX_ENTITY,$B225,AZ$11,AZ$14,AZ$219,),""),IF($I225=3,"",IFBLANK(_xldudf_CX_PUSH(AZ225,CX_ENTITY,$B225,AZ$11,AZ$14,AZ$219,),"")))))),"")</f>
        <v/>
      </c>
      <c r="EA225" s="2445" t="str" cm="1">
        <f t="array" ca="1" aca="1" ref="EA225">IFERROR(IF(BA225*fxVal_normal=_PL!BA225,"",IF(OR(BA225="",NOT(ISNUMBER(BA225)),ISERROR(BA225),$B225=""),"",IF($I225=1,IFBLANK(_xldudf_CX_PUSH(BA225*fxVal_normal,CX_ENTITY,$B225,BA$11,BA$14,BA$219,),""),IF($I225=2,IFBLANK(_xldudf_CX_PUSH(BA225,CX_ENTITY,$B225,BA$11,BA$14,BA$219,),""),IF($I225=3,"",IFBLANK(_xldudf_CX_PUSH(BA225,CX_ENTITY,$B225,BA$11,BA$14,BA$219,),"")))))),"")</f>
        <v/>
      </c>
      <c r="EB225" s="2445" t="str" cm="1">
        <f t="array" ca="1" aca="1" ref="EB225">IFERROR(IF(BB225*fxVal_normal=_PL!BB225,"",IF(OR(BB225="",NOT(ISNUMBER(BB225)),ISERROR(BB225),$B225=""),"",IF($I225=1,IFBLANK(_xldudf_CX_PUSH(BB225*fxVal_normal,CX_ENTITY,$B225,BB$11,BB$14,BB$219,),""),IF($I225=2,IFBLANK(_xldudf_CX_PUSH(BB225,CX_ENTITY,$B225,BB$11,BB$14,BB$219,),""),IF($I225=3,"",IFBLANK(_xldudf_CX_PUSH(BB225,CX_ENTITY,$B225,BB$11,BB$14,BB$219,),"")))))),"")</f>
        <v/>
      </c>
      <c r="EC225" s="2445" t="str" cm="1">
        <f t="array" ca="1" aca="1" ref="EC225">IFERROR(IF(BC225*fxVal_normal=_PL!BC225,"",IF(OR(BC225="",NOT(ISNUMBER(BC225)),ISERROR(BC225),$B225=""),"",IF($I225=1,IFBLANK(_xldudf_CX_PUSH(BC225*fxVal_normal,CX_ENTITY,$B225,BC$11,BC$14,BC$219,),""),IF($I225=2,IFBLANK(_xldudf_CX_PUSH(BC225,CX_ENTITY,$B225,BC$11,BC$14,BC$219,),""),IF($I225=3,"",IFBLANK(_xldudf_CX_PUSH(BC225,CX_ENTITY,$B225,BC$11,BC$14,BC$219,),"")))))),"")</f>
        <v/>
      </c>
      <c r="ED225" s="2445" t="str" cm="1">
        <f t="array" ca="1" aca="1" ref="ED225">IFERROR(IF(BD225*fxVal_normal=_PL!BD225,"",IF(OR(BD225="",NOT(ISNUMBER(BD225)),ISERROR(BD225),$B225=""),"",IF($I225=1,IFBLANK(_xldudf_CX_PUSH(BD225*fxVal_normal,CX_ENTITY,$B225,BD$11,BD$14,BD$219,),""),IF($I225=2,IFBLANK(_xldudf_CX_PUSH(BD225,CX_ENTITY,$B225,BD$11,BD$14,BD$219,),""),IF($I225=3,"",IFBLANK(_xldudf_CX_PUSH(BD225,CX_ENTITY,$B225,BD$11,BD$14,BD$219,),"")))))),"")</f>
        <v/>
      </c>
      <c r="EE225" s="2445" t="str" cm="1">
        <f t="array" ca="1" aca="1" ref="EE225">IFERROR(IF(BE225*fxVal_normal=_PL!BE225,"",IF(OR(BE225="",NOT(ISNUMBER(BE225)),ISERROR(BE225),$B225=""),"",IF($I225=1,IFBLANK(_xldudf_CX_PUSH(BE225*fxVal_normal,CX_ENTITY,$B225,BE$11,BE$14,BE$219,),""),IF($I225=2,IFBLANK(_xldudf_CX_PUSH(BE225,CX_ENTITY,$B225,BE$11,BE$14,BE$219,),""),IF($I225=3,"",IFBLANK(_xldudf_CX_PUSH(BE225,CX_ENTITY,$B225,BE$11,BE$14,BE$219,),"")))))),"")</f>
        <v/>
      </c>
      <c r="EF225" s="2445" t="str" cm="1">
        <f t="array" ca="1" aca="1" ref="EF225">IFERROR(IF(BF225*fxVal_normal=_PL!BF225,"",IF(OR(BF225="",NOT(ISNUMBER(BF225)),ISERROR(BF225),$B225=""),"",IF($I225=1,IFBLANK(_xldudf_CX_PUSH(BF225*fxVal_normal,CX_ENTITY,$B225,BF$11,BF$14,BF$219,),""),IF($I225=2,IFBLANK(_xldudf_CX_PUSH(BF225,CX_ENTITY,$B225,BF$11,BF$14,BF$219,),""),IF($I225=3,"",IFBLANK(_xldudf_CX_PUSH(BF225,CX_ENTITY,$B225,BF$11,BF$14,BF$219,),"")))))),"")</f>
        <v/>
      </c>
      <c r="EG225" s="2445" t="str" cm="1">
        <f t="array" ca="1" aca="1" ref="EG225">IFERROR(IF(BG225*fxVal_normal=_PL!BG225,"",IF(OR(BG225="",NOT(ISNUMBER(BG225)),ISERROR(BG225),$B225=""),"",IF($I225=1,IFBLANK(_xldudf_CX_PUSH(BG225*fxVal_normal,CX_ENTITY,$B225,BG$11,BG$14,BG$219,),""),IF($I225=2,IFBLANK(_xldudf_CX_PUSH(BG225,CX_ENTITY,$B225,BG$11,BG$14,BG$219,),""),IF($I225=3,"",IFBLANK(_xldudf_CX_PUSH(BG225,CX_ENTITY,$B225,BG$11,BG$14,BG$219,),"")))))),"")</f>
        <v/>
      </c>
      <c r="EH225" s="2445" t="str" cm="1">
        <f t="array" ca="1" aca="1" ref="EH225">IFERROR(IF(BH225*fxVal_normal=_PL!BH225,"",IF(OR(BH225="",NOT(ISNUMBER(BH225)),ISERROR(BH225),$B225=""),"",IF($I225=1,IFBLANK(_xldudf_CX_PUSH(BH225*fxVal_normal,CX_ENTITY,$B225,BH$11,BH$14,BH$219,),""),IF($I225=2,IFBLANK(_xldudf_CX_PUSH(BH225,CX_ENTITY,$B225,BH$11,BH$14,BH$219,),""),IF($I225=3,"",IFBLANK(_xldudf_CX_PUSH(BH225,CX_ENTITY,$B225,BH$11,BH$14,BH$219,),"")))))),"")</f>
        <v/>
      </c>
      <c r="EI225" s="2445" t="str" cm="1">
        <f t="array" ca="1" aca="1" ref="EI225">IFERROR(IF(BI225*fxVal_normal=_PL!BI225,"",IF(OR(BI225="",NOT(ISNUMBER(BI225)),ISERROR(BI225),$B225=""),"",IF($I225=1,IFBLANK(_xldudf_CX_PUSH(BI225*fxVal_normal,CX_ENTITY,$B225,BI$11,BI$14,BI$219,),""),IF($I225=2,IFBLANK(_xldudf_CX_PUSH(BI225,CX_ENTITY,$B225,BI$11,BI$14,BI$219,),""),IF($I225=3,"",IFBLANK(_xldudf_CX_PUSH(BI225,CX_ENTITY,$B225,BI$11,BI$14,BI$219,),"")))))),"")</f>
        <v/>
      </c>
      <c r="EJ225" s="2445" t="str" cm="1">
        <f t="array" ca="1" aca="1" ref="EJ225">IFERROR(IF(BJ225*fxVal_normal=_PL!BJ225,"",IF(OR(BJ225="",NOT(ISNUMBER(BJ225)),ISERROR(BJ225),$B225=""),"",IF($I225=1,IFBLANK(_xldudf_CX_PUSH(BJ225*fxVal_normal,CX_ENTITY,$B225,BJ$11,BJ$14,BJ$219,),""),IF($I225=2,IFBLANK(_xldudf_CX_PUSH(BJ225,CX_ENTITY,$B225,BJ$11,BJ$14,BJ$219,),""),IF($I225=3,"",IFBLANK(_xldudf_CX_PUSH(BJ225,CX_ENTITY,$B225,BJ$11,BJ$14,BJ$219,),"")))))),"")</f>
        <v/>
      </c>
      <c r="EK225" s="2445" t="str" cm="1">
        <f t="array" ca="1" aca="1" ref="EK225">IFERROR(IF(BK225*fxVal_normal=_PL!BK225,"",IF(OR(BK225="",NOT(ISNUMBER(BK225)),ISERROR(BK225),$B225=""),"",IF($I225=1,IFBLANK(_xldudf_CX_PUSH(BK225*fxVal_normal,CX_ENTITY,$B225,BK$11,BK$14,BK$219,),""),IF($I225=2,IFBLANK(_xldudf_CX_PUSH(BK225,CX_ENTITY,$B225,BK$11,BK$14,BK$219,),""),IF($I225=3,"",IFBLANK(_xldudf_CX_PUSH(BK225,CX_ENTITY,$B225,BK$11,BK$14,BK$219,),"")))))),"")</f>
        <v/>
      </c>
      <c r="EL225" s="2445" t="str" cm="1">
        <f t="array" ca="1" aca="1" ref="EL225">IFERROR(IF(BL225*fxVal_normal=_PL!BL225,"",IF(OR(BL225="",NOT(ISNUMBER(BL225)),ISERROR(BL225),$B225=""),"",IF($I225=1,IFBLANK(_xldudf_CX_PUSH(BL225*fxVal_normal,CX_ENTITY,$B225,BL$11,BL$14,BL$219,),""),IF($I225=2,IFBLANK(_xldudf_CX_PUSH(BL225,CX_ENTITY,$B225,BL$11,BL$14,BL$219,),""),IF($I225=3,"",IFBLANK(_xldudf_CX_PUSH(BL225,CX_ENTITY,$B225,BL$11,BL$14,BL$219,),"")))))),"")</f>
        <v/>
      </c>
      <c r="EM225" s="2445" t="str" cm="1">
        <f t="array" ca="1" aca="1" ref="EM225">IFERROR(IF(BM225*fxVal_normal=_PL!BM225,"",IF(OR(BM225="",NOT(ISNUMBER(BM225)),ISERROR(BM225),$B225=""),"",IF($I225=1,IFBLANK(_xldudf_CX_PUSH(BM225*fxVal_normal,CX_ENTITY,$B225,BM$11,BM$14,BM$219,),""),IF($I225=2,IFBLANK(_xldudf_CX_PUSH(BM225,CX_ENTITY,$B225,BM$11,BM$14,BM$219,),""),IF($I225=3,"",IFBLANK(_xldudf_CX_PUSH(BM225,CX_ENTITY,$B225,BM$11,BM$14,BM$219,),"")))))),"")</f>
        <v/>
      </c>
      <c r="EN225" s="2445" t="str" cm="1">
        <f t="array" ca="1" aca="1" ref="EN225">IFERROR(IF(BN225*fxVal_normal=_PL!BN225,"",IF(OR(BN225="",NOT(ISNUMBER(BN225)),ISERROR(BN225),$B225=""),"",IF($I225=1,IFBLANK(_xldudf_CX_PUSH(BN225*fxVal_normal,CX_ENTITY,$B225,BN$11,BN$14,BN$219,),""),IF($I225=2,IFBLANK(_xldudf_CX_PUSH(BN225,CX_ENTITY,$B225,BN$11,BN$14,BN$219,),""),IF($I225=3,"",IFBLANK(_xldudf_CX_PUSH(BN225,CX_ENTITY,$B225,BN$11,BN$14,BN$219,),"")))))),"")</f>
        <v/>
      </c>
    </row>
    <row r="226" spans="1:144" ht="21" customHeight="1">
      <c r="A226" s="1627"/>
      <c r="B226" s="2439" t="s">
        <v>184</v>
      </c>
      <c r="C226" s="3459" t="str" cm="1">
        <f t="array" ref="C226">IFBLANK(_PL!C226,"")</f>
        <v>Segment III Breakdown - Label 6</v>
      </c>
      <c r="D226" s="1548" t="s">
        <v>184</v>
      </c>
      <c r="E226" s="2440" t="e" cm="1">
        <f t="array" ca="1" aca="1" ref="E22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226:$CQ226,Z226)</f>
        <v>#NAME?</v>
      </c>
      <c r="F226" s="578"/>
      <c r="G226" s="578"/>
      <c r="H226" s="585">
        <v>0</v>
      </c>
      <c r="I226" s="3309">
        <v>1</v>
      </c>
      <c r="J226" s="401" cm="1">
        <f t="array" ref="J226">IFBLANK(Z226,"")</f>
        <v>-1</v>
      </c>
      <c r="K226" s="578" t="str">
        <f t="shared" si="54"/>
        <v>No</v>
      </c>
      <c r="L226" s="37"/>
      <c r="N226" s="158"/>
      <c r="O226" s="101"/>
      <c r="P226" s="52"/>
      <c r="Q226" s="101"/>
      <c r="R226" s="101"/>
      <c r="S226" s="3008"/>
      <c r="T226" s="3008"/>
      <c r="U226" s="39"/>
      <c r="V226" s="37"/>
      <c r="W226" s="2593" t="e">
        <f ca="1">W220</f>
        <v>#NAME?</v>
      </c>
      <c r="X226" s="2081" t="str">
        <f>_PL!X226</f>
        <v>a</v>
      </c>
      <c r="Y226" s="3224">
        <v>2</v>
      </c>
      <c r="Z226" s="198">
        <f>_PL!Z226</f>
        <v>-1</v>
      </c>
      <c r="AA226" s="2571"/>
      <c r="AB226" s="2592"/>
      <c r="AC226" s="914" t="str" cm="1">
        <f t="array" ca="1" aca="1" ref="AC226">_xlfn.LET(_xlpm._termname,$AB226,_xlpm._iconname,"find",_xlpm._icon,fx_getIcon(_xlpm._iconname),_xlpm._location,_xlfn.XLOOKUP(LOWER(_xlpm._termname),LOWER(tbl_acctDef[Term]),tbl_acctDef[Term]),_xlpm._hyperlink,HYPERLINK("#"&amp;CELL("address",_xlpm._location),_xlpm._icon),IFERROR(_xlpm._hyperlink,""))</f>
        <v/>
      </c>
      <c r="AD226" s="3177">
        <v>1</v>
      </c>
      <c r="AE226" s="3177">
        <v>1</v>
      </c>
      <c r="AF226" s="3177">
        <v>1</v>
      </c>
      <c r="AG226" s="3177">
        <v>1</v>
      </c>
      <c r="AH226" s="3177">
        <v>1</v>
      </c>
      <c r="AI226" s="3177">
        <v>1</v>
      </c>
      <c r="AJ226" s="3177">
        <v>1</v>
      </c>
      <c r="AK226" s="3177">
        <v>1</v>
      </c>
      <c r="AL226" s="3177">
        <v>1</v>
      </c>
      <c r="AM226" s="3177">
        <v>1</v>
      </c>
      <c r="AN226" s="3177">
        <v>1</v>
      </c>
      <c r="AO226" s="3177">
        <v>1</v>
      </c>
      <c r="AP226" s="3177">
        <v>1</v>
      </c>
      <c r="AQ226" s="3177">
        <v>1</v>
      </c>
      <c r="AR226" s="3177">
        <v>1</v>
      </c>
      <c r="AS226" s="3177">
        <v>1</v>
      </c>
      <c r="AT226" s="3177">
        <v>1</v>
      </c>
      <c r="AU226" s="3177">
        <v>1</v>
      </c>
      <c r="AV226" s="3177">
        <v>1</v>
      </c>
      <c r="AW226" s="3177">
        <v>1</v>
      </c>
      <c r="AX226" s="3177">
        <v>1</v>
      </c>
      <c r="AY226" s="3177">
        <v>1</v>
      </c>
      <c r="AZ226" s="3177">
        <v>1</v>
      </c>
      <c r="BA226" s="3177">
        <v>1</v>
      </c>
      <c r="BB226" s="3177">
        <v>1</v>
      </c>
      <c r="BC226" s="3177">
        <v>1</v>
      </c>
      <c r="BD226" s="3177">
        <v>1</v>
      </c>
      <c r="BE226" s="3177">
        <v>1</v>
      </c>
      <c r="BF226" s="3177">
        <v>1</v>
      </c>
      <c r="BG226" s="3177">
        <v>1</v>
      </c>
      <c r="BH226" s="3177">
        <v>1</v>
      </c>
      <c r="BI226" s="3177">
        <v>1</v>
      </c>
      <c r="BJ226" s="3177">
        <v>1</v>
      </c>
      <c r="BK226" s="3177">
        <v>1</v>
      </c>
      <c r="BL226" s="3177">
        <v>1</v>
      </c>
      <c r="BM226" s="3177">
        <v>1</v>
      </c>
      <c r="BN226" s="3177">
        <v>1</v>
      </c>
      <c r="BO226" s="2442"/>
      <c r="BP226" s="2442"/>
      <c r="BQ226" s="2442"/>
      <c r="BR226" s="2442"/>
      <c r="BS226" s="2442"/>
      <c r="BT226" s="2442"/>
      <c r="BU226" s="2442"/>
      <c r="BV226" s="2442"/>
      <c r="BW226" s="2442"/>
      <c r="BX226" s="2442"/>
      <c r="BY226" s="2442"/>
      <c r="BZ226" s="2442"/>
      <c r="CA226" s="34"/>
      <c r="CC226" s="58"/>
      <c r="CD226" s="1461" t="e" cm="1">
        <f t="array" ca="1" aca="1" ref="CD226">_xlfn.LET(_xlpm.CheckBlank,SUM(PL!$AD226:$BN226)=0,IF(_xlpm.CheckBlank,"",SUM(_xlfn._xlws.FILTER(PL!$AD226:$BN226,(YEAR(PL!$AD$12:$BN$12)=PL!CD$12)*(array_timeline&lt;=PL!CD$11)))))</f>
        <v>#NAME?</v>
      </c>
      <c r="CE226" s="1461" t="e" cm="1">
        <f t="array" ca="1" aca="1" ref="CE226">_xlfn.LET(_xlpm.CheckBlank,SUM(PL!$AD226:$BN226)=0,IF(_xlpm.CheckBlank,"",SUM(_xlfn._xlws.FILTER(PL!$AD226:$BN226,(YEAR(PL!$AD$12:$BN$12)=PL!CE$12)*(array_timeline&lt;=PL!CE$11)))))</f>
        <v>#NAME?</v>
      </c>
      <c r="CF226" s="88"/>
      <c r="CG226" s="1461" t="e" cm="1">
        <f t="array" ca="1" aca="1" ref="CG226">_xlfn.LET(_xlpm.CheckBlank,SUM(PL!$AD226:$BN226)=0,IF(_xlpm.CheckBlank,"",SUM(_xlfn._xlws.FILTER(PL!$AD226:$BN226,(YEAR(PL!$AD$12:$BN$12)=PL!CG$12)*(array_timeline&lt;=PL!CG$11)))))</f>
        <v>#NAME?</v>
      </c>
      <c r="CH226" s="1461" t="e" cm="1">
        <f t="array" ca="1" aca="1" ref="CH226">_xlfn.LET(_xlpm.CheckBlank,SUM(PL!$AD226:$BN226)=0,IF(_xlpm.CheckBlank,"",SUM(_xlfn._xlws.FILTER(PL!$AD226:$BN226,(YEAR(PL!$AD$12:$BN$12)=PL!CH$12)*(array_timeline&lt;=PL!CH$11)))))</f>
        <v>#NAME?</v>
      </c>
      <c r="CI226" s="88"/>
      <c r="CJ226" s="1461" cm="1">
        <f t="array" ref="CJ226">_xlfn.LET(_xlpm.CheckBlank,SUM(PL!$AD226:$BN226)=0,IF(_xlpm.CheckBlank,"",SUM(_xlfn.TAKE(_xlfn.DROP(PL!$AD226:$BN226,,-DATEDIFF(PL!CJ$11,val_asOfDate,"M")),1,-12))))</f>
        <v>12</v>
      </c>
      <c r="CK226" s="1461" cm="1">
        <f t="array" ref="CK226">_xlfn.LET(_xlpm.CheckBlank,SUM(PL!$AD226:$BN226)=0,IF(_xlpm.CheckBlank,"",SUM(_xlfn.TAKE(_xlfn.DROP(PL!$AD226:$BN226,,-DATEDIFF(PL!CK$11,val_asOfDate,"M")),1,-12))))</f>
        <v>12</v>
      </c>
      <c r="CL226" s="88"/>
      <c r="CM226" s="3177">
        <v>1</v>
      </c>
      <c r="CN226" s="3177">
        <v>1</v>
      </c>
      <c r="CO226" s="1169"/>
      <c r="CP226" s="3177">
        <v>1</v>
      </c>
      <c r="CQ226" s="3177">
        <v>1</v>
      </c>
      <c r="CR226" s="34"/>
      <c r="CS226" s="2056"/>
      <c r="CT226" s="2447" t="e" cm="1">
        <f t="array" ca="1" aca="1" ref="CT226">IF(OR($Y226="Segment III Breakdown - Amount 1",$Y226="Segment III Breakdown - Amount 2",$Y226="Segment III Breakdown - Amount 3",$Y226="Segment III Breakdown - Amount 4",$Y226="Segment III Breakdown - Amount 5",$Y226="Segment III Breakdown - Amount 6",$Y226="Please select the metric for segmentation"),"",_xldudf_CX_PUSH($Y226,CX_ENTITY,$C226,val_asOfDate))</f>
        <v>#NAME?</v>
      </c>
      <c r="CU226" s="2447" t="e" cm="1">
        <f t="array" ca="1" aca="1" ref="CU226">IF(OR($Y226="Segment III Breakdown - Amount 1",$Y226="Segment III Breakdown - Amount 2",$Y226="Segment III Breakdown - Amount 3",$Y226="Segment III Breakdown - Amount 4",$Y226="Segment III Breakdown - Amount 5",$Y226="Segment III Breakdown - Amount 6",$Y226="Please select the metric for segmentation"),"",_xldudf_CX_PUSH($Y226,CX_ENTITY,$C226,EOMONTH(val_asOfDate,1)))</f>
        <v>#NAME?</v>
      </c>
      <c r="CV226" s="2447" t="e" cm="1">
        <f t="array" ca="1" aca="1" ref="CV226">IF(OR($Y226="Segment III Breakdown - Amount 1",$Y226="Segment III Breakdown - Amount 2",$Y226="Segment III Breakdown - Amount 3",$Y226="Segment III Breakdown - Amount 4",$Y226="Segment III Breakdown - Amount 5",$Y226="Segment III Breakdown - Amount 6",$Y226="Please select the metric for segmentation"),"",_xldudf_CX_PUSH($Y226,CX_ENTITY,$C226,EOMONTH(val_asOfDate,2)))</f>
        <v>#NAME?</v>
      </c>
      <c r="CW226" s="2447" t="e" cm="1">
        <f t="array" ca="1" aca="1" ref="CW226">IF(OR($Y226="Segment III Breakdown - Amount 1",$Y226="Segment III Breakdown - Amount 2",$Y226="Segment III Breakdown - Amount 3",$Y226="Segment III Breakdown - Amount 4",$Y226="Segment III Breakdown - Amount 5",$Y226="Segment III Breakdown - Amount 6",$Y226="Please select the metric for segmentation"),"",_xldudf_CX_PUSH($Y226,CX_ENTITY,$C226,EOMONTH(val_asOfDate,3)))</f>
        <v>#NAME?</v>
      </c>
      <c r="CX226" s="2443"/>
      <c r="CY226" s="2444" t="str" cm="1">
        <f t="array" ca="1" aca="1" ref="CY226">IFERROR(IF(CM226*fxVal_normal=_PL!CM226,"",IF(OR($CM226="",$CM226=0,NOT(ISNUMBER($CM226)),ISERROR($CM226),$B226=""),"",IF($I226=1,IFBLANK(_xldudf_CX_PUSH($CM226*fxVal_normal,CX_ENTITY,$B226,$CM$11,$CM$14,$CM$19,),""),IF($I226=2,IFBLANK(_xldudf_CX_PUSH($CM226,CX_ENTITY,$B226,$CM$11,$CM$14,$CM$19,),""),IF($I226=3,"",IFBLANK(_xldudf_CX_PUSH($CM226,CX_ENTITY,$B226,$CM$11,$CM$14,$CM$19,),"")))))),"")</f>
        <v/>
      </c>
      <c r="CZ226" s="2444" t="str" cm="1">
        <f t="array" ca="1" aca="1" ref="CZ226">IFERROR(IF(CN226*fxVal_normal=_PL!CN226,"",IF(OR($CN226="",$CN226=0,NOT(ISNUMBER($CN226)),ISERROR($CN226),$B226=""),"",IF($I226=1,IFBLANK(_xldudf_CX_PUSH($CN226*fxVal_normal,CX_ENTITY,$B226,$CN$11,$CN$14,$CN$19,),""),IF($I226=2,IFBLANK(_xldudf_CX_PUSH($CN226,CX_ENTITY,$B226,$CN$11,$CN$14,$CN$19,),""),IF($I226=3,"",IFBLANK(_xldudf_CX_PUSH($CN226,CX_ENTITY,$B226,$CN$11,$CN$14,$CN$19,),"")))))),"")</f>
        <v/>
      </c>
      <c r="DA226" s="2444" t="str" cm="1">
        <f t="array" ca="1" aca="1" ref="DA226">IFERROR(IF(CP226*fxVal_normal=_PL!CP226,"",IF(OR($CP226="",$CP226=0,NOT(ISNUMBER($CP226)),ISERROR($CP226),$B226=""),"",IF($I226=1,IFBLANK(_xldudf_CX_PUSH($CP226*fxVal_normal,CX_ENTITY,$B226,$CP$11,$CP$14,$CP$19,),""),IF($I226=2,IFBLANK(_xldudf_CX_PUSH($CP226,CX_ENTITY,$B226,$CP$11,$CP$14,$CP$19,),""),IF($I226=3,"",IFBLANK(_xldudf_CX_PUSH($CP226,CX_ENTITY,$B226,$CP$11,$CP$14,$CP$19,),"")))))),"")</f>
        <v/>
      </c>
      <c r="DB226" s="2444" t="str" cm="1">
        <f t="array" ca="1" aca="1" ref="DB226">IFERROR(IF(CQ226*fxVal_normal=_PL!CQ226,"",IF(OR($CQ226="",$CQ226=0,NOT(ISNUMBER($CQ226)),ISERROR($CQ226),$B226=""),"",IF($I226=1,IFBLANK(_xldudf_CX_PUSH($CQ226*fxVal_normal,CX_ENTITY,$B226,$CQ$11,$CQ$14,$CQ$19,),""),IF($I226=2,IFBLANK(_xldudf_CX_PUSH($CQ226,CX_ENTITY,$B226,$CQ$11,$CQ$14,$CQ$19,),""),IF($I226=3,"",IFBLANK(_xldudf_CX_PUSH($CQ226,CX_ENTITY,$B226,$CQ$11,$CQ$14,$CQ$19,),"")))))),"")</f>
        <v/>
      </c>
      <c r="DC226" s="2443"/>
      <c r="DD226" s="2445" t="str" cm="1">
        <f t="array" ca="1" aca="1" ref="DD226">IFERROR(IF(AD226*fxVal_normal=_PL!AD226,"",IF(OR(AD226="",NOT(ISNUMBER(AD226)),ISERROR(AD226),$B226=""),"",IF($I226=1,IFBLANK(_xldudf_CX_PUSH(AD226*fxVal_normal,CX_ENTITY,$B226,AD$11,AD$14,AD$219,),""),IF($I226=2,IFBLANK(_xldudf_CX_PUSH(AD226,CX_ENTITY,$B226,AD$11,AD$14,AD$219,),""),IF($I226=3,"",IFBLANK(_xldudf_CX_PUSH(AD226,CX_ENTITY,$B226,AD$11,AD$14,AD$219,),"")))))),"")</f>
        <v/>
      </c>
      <c r="DE226" s="2445" t="str" cm="1">
        <f t="array" ca="1" aca="1" ref="DE226">IFERROR(IF(AE226*fxVal_normal=_PL!AE226,"",IF(OR(AE226="",NOT(ISNUMBER(AE226)),ISERROR(AE226),$B226=""),"",IF($I226=1,IFBLANK(_xldudf_CX_PUSH(AE226*fxVal_normal,CX_ENTITY,$B226,AE$11,AE$14,AE$219,),""),IF($I226=2,IFBLANK(_xldudf_CX_PUSH(AE226,CX_ENTITY,$B226,AE$11,AE$14,AE$219,),""),IF($I226=3,"",IFBLANK(_xldudf_CX_PUSH(AE226,CX_ENTITY,$B226,AE$11,AE$14,AE$219,),"")))))),"")</f>
        <v/>
      </c>
      <c r="DF226" s="2445" t="str" cm="1">
        <f t="array" ca="1" aca="1" ref="DF226">IFERROR(IF(AF226*fxVal_normal=_PL!AF226,"",IF(OR(AF226="",NOT(ISNUMBER(AF226)),ISERROR(AF226),$B226=""),"",IF($I226=1,IFBLANK(_xldudf_CX_PUSH(AF226*fxVal_normal,CX_ENTITY,$B226,AF$11,AF$14,AF$219,),""),IF($I226=2,IFBLANK(_xldudf_CX_PUSH(AF226,CX_ENTITY,$B226,AF$11,AF$14,AF$219,),""),IF($I226=3,"",IFBLANK(_xldudf_CX_PUSH(AF226,CX_ENTITY,$B226,AF$11,AF$14,AF$219,),"")))))),"")</f>
        <v/>
      </c>
      <c r="DG226" s="2445" t="str" cm="1">
        <f t="array" ca="1" aca="1" ref="DG226">IFERROR(IF(AG226*fxVal_normal=_PL!AG226,"",IF(OR(AG226="",NOT(ISNUMBER(AG226)),ISERROR(AG226),$B226=""),"",IF($I226=1,IFBLANK(_xldudf_CX_PUSH(AG226*fxVal_normal,CX_ENTITY,$B226,AG$11,AG$14,AG$219,),""),IF($I226=2,IFBLANK(_xldudf_CX_PUSH(AG226,CX_ENTITY,$B226,AG$11,AG$14,AG$219,),""),IF($I226=3,"",IFBLANK(_xldudf_CX_PUSH(AG226,CX_ENTITY,$B226,AG$11,AG$14,AG$219,),"")))))),"")</f>
        <v/>
      </c>
      <c r="DH226" s="2445" t="str" cm="1">
        <f t="array" ca="1" aca="1" ref="DH226">IFERROR(IF(AH226*fxVal_normal=_PL!AH226,"",IF(OR(AH226="",NOT(ISNUMBER(AH226)),ISERROR(AH226),$B226=""),"",IF($I226=1,IFBLANK(_xldudf_CX_PUSH(AH226*fxVal_normal,CX_ENTITY,$B226,AH$11,AH$14,AH$219,),""),IF($I226=2,IFBLANK(_xldudf_CX_PUSH(AH226,CX_ENTITY,$B226,AH$11,AH$14,AH$219,),""),IF($I226=3,"",IFBLANK(_xldudf_CX_PUSH(AH226,CX_ENTITY,$B226,AH$11,AH$14,AH$219,),"")))))),"")</f>
        <v/>
      </c>
      <c r="DI226" s="2445" t="str" cm="1">
        <f t="array" ca="1" aca="1" ref="DI226">IFERROR(IF(AI226*fxVal_normal=_PL!AI226,"",IF(OR(AI226="",NOT(ISNUMBER(AI226)),ISERROR(AI226),$B226=""),"",IF($I226=1,IFBLANK(_xldudf_CX_PUSH(AI226*fxVal_normal,CX_ENTITY,$B226,AI$11,AI$14,AI$219,),""),IF($I226=2,IFBLANK(_xldudf_CX_PUSH(AI226,CX_ENTITY,$B226,AI$11,AI$14,AI$219,),""),IF($I226=3,"",IFBLANK(_xldudf_CX_PUSH(AI226,CX_ENTITY,$B226,AI$11,AI$14,AI$219,),"")))))),"")</f>
        <v/>
      </c>
      <c r="DJ226" s="2445" t="str" cm="1">
        <f t="array" ca="1" aca="1" ref="DJ226">IFERROR(IF(AJ226*fxVal_normal=_PL!AJ226,"",IF(OR(AJ226="",NOT(ISNUMBER(AJ226)),ISERROR(AJ226),$B226=""),"",IF($I226=1,IFBLANK(_xldudf_CX_PUSH(AJ226*fxVal_normal,CX_ENTITY,$B226,AJ$11,AJ$14,AJ$219,),""),IF($I226=2,IFBLANK(_xldudf_CX_PUSH(AJ226,CX_ENTITY,$B226,AJ$11,AJ$14,AJ$219,),""),IF($I226=3,"",IFBLANK(_xldudf_CX_PUSH(AJ226,CX_ENTITY,$B226,AJ$11,AJ$14,AJ$219,),"")))))),"")</f>
        <v/>
      </c>
      <c r="DK226" s="2445" t="str" cm="1">
        <f t="array" ca="1" aca="1" ref="DK226">IFERROR(IF(AK226*fxVal_normal=_PL!AK226,"",IF(OR(AK226="",NOT(ISNUMBER(AK226)),ISERROR(AK226),$B226=""),"",IF($I226=1,IFBLANK(_xldudf_CX_PUSH(AK226*fxVal_normal,CX_ENTITY,$B226,AK$11,AK$14,AK$219,),""),IF($I226=2,IFBLANK(_xldudf_CX_PUSH(AK226,CX_ENTITY,$B226,AK$11,AK$14,AK$219,),""),IF($I226=3,"",IFBLANK(_xldudf_CX_PUSH(AK226,CX_ENTITY,$B226,AK$11,AK$14,AK$219,),"")))))),"")</f>
        <v/>
      </c>
      <c r="DL226" s="2445" t="str" cm="1">
        <f t="array" ca="1" aca="1" ref="DL226">IFERROR(IF(AL226*fxVal_normal=_PL!AL226,"",IF(OR(AL226="",NOT(ISNUMBER(AL226)),ISERROR(AL226),$B226=""),"",IF($I226=1,IFBLANK(_xldudf_CX_PUSH(AL226*fxVal_normal,CX_ENTITY,$B226,AL$11,AL$14,AL$219,),""),IF($I226=2,IFBLANK(_xldudf_CX_PUSH(AL226,CX_ENTITY,$B226,AL$11,AL$14,AL$219,),""),IF($I226=3,"",IFBLANK(_xldudf_CX_PUSH(AL226,CX_ENTITY,$B226,AL$11,AL$14,AL$219,),"")))))),"")</f>
        <v/>
      </c>
      <c r="DM226" s="2445" t="str" cm="1">
        <f t="array" ca="1" aca="1" ref="DM226">IFERROR(IF(AM226*fxVal_normal=_PL!AM226,"",IF(OR(AM226="",NOT(ISNUMBER(AM226)),ISERROR(AM226),$B226=""),"",IF($I226=1,IFBLANK(_xldudf_CX_PUSH(AM226*fxVal_normal,CX_ENTITY,$B226,AM$11,AM$14,AM$219,),""),IF($I226=2,IFBLANK(_xldudf_CX_PUSH(AM226,CX_ENTITY,$B226,AM$11,AM$14,AM$219,),""),IF($I226=3,"",IFBLANK(_xldudf_CX_PUSH(AM226,CX_ENTITY,$B226,AM$11,AM$14,AM$219,),"")))))),"")</f>
        <v/>
      </c>
      <c r="DN226" s="2445" t="str" cm="1">
        <f t="array" ca="1" aca="1" ref="DN226">IFERROR(IF(AN226*fxVal_normal=_PL!AN226,"",IF(OR(AN226="",NOT(ISNUMBER(AN226)),ISERROR(AN226),$B226=""),"",IF($I226=1,IFBLANK(_xldudf_CX_PUSH(AN226*fxVal_normal,CX_ENTITY,$B226,AN$11,AN$14,AN$219,),""),IF($I226=2,IFBLANK(_xldudf_CX_PUSH(AN226,CX_ENTITY,$B226,AN$11,AN$14,AN$219,),""),IF($I226=3,"",IFBLANK(_xldudf_CX_PUSH(AN226,CX_ENTITY,$B226,AN$11,AN$14,AN$219,),"")))))),"")</f>
        <v/>
      </c>
      <c r="DO226" s="2445" t="str" cm="1">
        <f t="array" ca="1" aca="1" ref="DO226">IFERROR(IF(AO226*fxVal_normal=_PL!AO226,"",IF(OR(AO226="",NOT(ISNUMBER(AO226)),ISERROR(AO226),$B226=""),"",IF($I226=1,IFBLANK(_xldudf_CX_PUSH(AO226*fxVal_normal,CX_ENTITY,$B226,AO$11,AO$14,AO$219,),""),IF($I226=2,IFBLANK(_xldudf_CX_PUSH(AO226,CX_ENTITY,$B226,AO$11,AO$14,AO$219,),""),IF($I226=3,"",IFBLANK(_xldudf_CX_PUSH(AO226,CX_ENTITY,$B226,AO$11,AO$14,AO$219,),"")))))),"")</f>
        <v/>
      </c>
      <c r="DP226" s="2445" t="str" cm="1">
        <f t="array" ca="1" aca="1" ref="DP226">IFERROR(IF(AP226*fxVal_normal=_PL!AP226,"",IF(OR(AP226="",NOT(ISNUMBER(AP226)),ISERROR(AP226),$B226=""),"",IF($I226=1,IFBLANK(_xldudf_CX_PUSH(AP226*fxVal_normal,CX_ENTITY,$B226,AP$11,AP$14,AP$219,),""),IF($I226=2,IFBLANK(_xldudf_CX_PUSH(AP226,CX_ENTITY,$B226,AP$11,AP$14,AP$219,),""),IF($I226=3,"",IFBLANK(_xldudf_CX_PUSH(AP226,CX_ENTITY,$B226,AP$11,AP$14,AP$219,),"")))))),"")</f>
        <v/>
      </c>
      <c r="DQ226" s="2445" t="str" cm="1">
        <f t="array" ca="1" aca="1" ref="DQ226">IFERROR(IF(AQ226*fxVal_normal=_PL!AQ226,"",IF(OR(AQ226="",NOT(ISNUMBER(AQ226)),ISERROR(AQ226),$B226=""),"",IF($I226=1,IFBLANK(_xldudf_CX_PUSH(AQ226*fxVal_normal,CX_ENTITY,$B226,AQ$11,AQ$14,AQ$219,),""),IF($I226=2,IFBLANK(_xldudf_CX_PUSH(AQ226,CX_ENTITY,$B226,AQ$11,AQ$14,AQ$219,),""),IF($I226=3,"",IFBLANK(_xldudf_CX_PUSH(AQ226,CX_ENTITY,$B226,AQ$11,AQ$14,AQ$219,),"")))))),"")</f>
        <v/>
      </c>
      <c r="DR226" s="2445" t="str" cm="1">
        <f t="array" ca="1" aca="1" ref="DR226">IFERROR(IF(AR226*fxVal_normal=_PL!AR226,"",IF(OR(AR226="",NOT(ISNUMBER(AR226)),ISERROR(AR226),$B226=""),"",IF($I226=1,IFBLANK(_xldudf_CX_PUSH(AR226*fxVal_normal,CX_ENTITY,$B226,AR$11,AR$14,AR$219,),""),IF($I226=2,IFBLANK(_xldudf_CX_PUSH(AR226,CX_ENTITY,$B226,AR$11,AR$14,AR$219,),""),IF($I226=3,"",IFBLANK(_xldudf_CX_PUSH(AR226,CX_ENTITY,$B226,AR$11,AR$14,AR$219,),"")))))),"")</f>
        <v/>
      </c>
      <c r="DS226" s="2445" t="str" cm="1">
        <f t="array" ca="1" aca="1" ref="DS226">IFERROR(IF(AS226*fxVal_normal=_PL!AS226,"",IF(OR(AS226="",NOT(ISNUMBER(AS226)),ISERROR(AS226),$B226=""),"",IF($I226=1,IFBLANK(_xldudf_CX_PUSH(AS226*fxVal_normal,CX_ENTITY,$B226,AS$11,AS$14,AS$219,),""),IF($I226=2,IFBLANK(_xldudf_CX_PUSH(AS226,CX_ENTITY,$B226,AS$11,AS$14,AS$219,),""),IF($I226=3,"",IFBLANK(_xldudf_CX_PUSH(AS226,CX_ENTITY,$B226,AS$11,AS$14,AS$219,),"")))))),"")</f>
        <v/>
      </c>
      <c r="DT226" s="2445" t="str" cm="1">
        <f t="array" ca="1" aca="1" ref="DT226">IFERROR(IF(AT226*fxVal_normal=_PL!AT226,"",IF(OR(AT226="",NOT(ISNUMBER(AT226)),ISERROR(AT226),$B226=""),"",IF($I226=1,IFBLANK(_xldudf_CX_PUSH(AT226*fxVal_normal,CX_ENTITY,$B226,AT$11,AT$14,AT$219,),""),IF($I226=2,IFBLANK(_xldudf_CX_PUSH(AT226,CX_ENTITY,$B226,AT$11,AT$14,AT$219,),""),IF($I226=3,"",IFBLANK(_xldudf_CX_PUSH(AT226,CX_ENTITY,$B226,AT$11,AT$14,AT$219,),"")))))),"")</f>
        <v/>
      </c>
      <c r="DU226" s="2445" t="str" cm="1">
        <f t="array" ca="1" aca="1" ref="DU226">IFERROR(IF(AU226*fxVal_normal=_PL!AU226,"",IF(OR(AU226="",NOT(ISNUMBER(AU226)),ISERROR(AU226),$B226=""),"",IF($I226=1,IFBLANK(_xldudf_CX_PUSH(AU226*fxVal_normal,CX_ENTITY,$B226,AU$11,AU$14,AU$219,),""),IF($I226=2,IFBLANK(_xldudf_CX_PUSH(AU226,CX_ENTITY,$B226,AU$11,AU$14,AU$219,),""),IF($I226=3,"",IFBLANK(_xldudf_CX_PUSH(AU226,CX_ENTITY,$B226,AU$11,AU$14,AU$219,),"")))))),"")</f>
        <v/>
      </c>
      <c r="DV226" s="2445" t="str" cm="1">
        <f t="array" ca="1" aca="1" ref="DV226">IFERROR(IF(AV226*fxVal_normal=_PL!AV226,"",IF(OR(AV226="",NOT(ISNUMBER(AV226)),ISERROR(AV226),$B226=""),"",IF($I226=1,IFBLANK(_xldudf_CX_PUSH(AV226*fxVal_normal,CX_ENTITY,$B226,AV$11,AV$14,AV$219,),""),IF($I226=2,IFBLANK(_xldudf_CX_PUSH(AV226,CX_ENTITY,$B226,AV$11,AV$14,AV$219,),""),IF($I226=3,"",IFBLANK(_xldudf_CX_PUSH(AV226,CX_ENTITY,$B226,AV$11,AV$14,AV$219,),"")))))),"")</f>
        <v/>
      </c>
      <c r="DW226" s="2445" t="str" cm="1">
        <f t="array" ca="1" aca="1" ref="DW226">IFERROR(IF(AW226*fxVal_normal=_PL!AW226,"",IF(OR(AW226="",NOT(ISNUMBER(AW226)),ISERROR(AW226),$B226=""),"",IF($I226=1,IFBLANK(_xldudf_CX_PUSH(AW226*fxVal_normal,CX_ENTITY,$B226,AW$11,AW$14,AW$219,),""),IF($I226=2,IFBLANK(_xldudf_CX_PUSH(AW226,CX_ENTITY,$B226,AW$11,AW$14,AW$219,),""),IF($I226=3,"",IFBLANK(_xldudf_CX_PUSH(AW226,CX_ENTITY,$B226,AW$11,AW$14,AW$219,),"")))))),"")</f>
        <v/>
      </c>
      <c r="DX226" s="2445" t="str" cm="1">
        <f t="array" ca="1" aca="1" ref="DX226">IFERROR(IF(AX226*fxVal_normal=_PL!AX226,"",IF(OR(AX226="",NOT(ISNUMBER(AX226)),ISERROR(AX226),$B226=""),"",IF($I226=1,IFBLANK(_xldudf_CX_PUSH(AX226*fxVal_normal,CX_ENTITY,$B226,AX$11,AX$14,AX$219,),""),IF($I226=2,IFBLANK(_xldudf_CX_PUSH(AX226,CX_ENTITY,$B226,AX$11,AX$14,AX$219,),""),IF($I226=3,"",IFBLANK(_xldudf_CX_PUSH(AX226,CX_ENTITY,$B226,AX$11,AX$14,AX$219,),"")))))),"")</f>
        <v/>
      </c>
      <c r="DY226" s="2445" t="str" cm="1">
        <f t="array" ca="1" aca="1" ref="DY226">IFERROR(IF(AY226*fxVal_normal=_PL!AY226,"",IF(OR(AY226="",NOT(ISNUMBER(AY226)),ISERROR(AY226),$B226=""),"",IF($I226=1,IFBLANK(_xldudf_CX_PUSH(AY226*fxVal_normal,CX_ENTITY,$B226,AY$11,AY$14,AY$219,),""),IF($I226=2,IFBLANK(_xldudf_CX_PUSH(AY226,CX_ENTITY,$B226,AY$11,AY$14,AY$219,),""),IF($I226=3,"",IFBLANK(_xldudf_CX_PUSH(AY226,CX_ENTITY,$B226,AY$11,AY$14,AY$219,),"")))))),"")</f>
        <v/>
      </c>
      <c r="DZ226" s="2445" t="str" cm="1">
        <f t="array" ca="1" aca="1" ref="DZ226">IFERROR(IF(AZ226*fxVal_normal=_PL!AZ226,"",IF(OR(AZ226="",NOT(ISNUMBER(AZ226)),ISERROR(AZ226),$B226=""),"",IF($I226=1,IFBLANK(_xldudf_CX_PUSH(AZ226*fxVal_normal,CX_ENTITY,$B226,AZ$11,AZ$14,AZ$219,),""),IF($I226=2,IFBLANK(_xldudf_CX_PUSH(AZ226,CX_ENTITY,$B226,AZ$11,AZ$14,AZ$219,),""),IF($I226=3,"",IFBLANK(_xldudf_CX_PUSH(AZ226,CX_ENTITY,$B226,AZ$11,AZ$14,AZ$219,),"")))))),"")</f>
        <v/>
      </c>
      <c r="EA226" s="2445" t="str" cm="1">
        <f t="array" ca="1" aca="1" ref="EA226">IFERROR(IF(BA226*fxVal_normal=_PL!BA226,"",IF(OR(BA226="",NOT(ISNUMBER(BA226)),ISERROR(BA226),$B226=""),"",IF($I226=1,IFBLANK(_xldudf_CX_PUSH(BA226*fxVal_normal,CX_ENTITY,$B226,BA$11,BA$14,BA$219,),""),IF($I226=2,IFBLANK(_xldudf_CX_PUSH(BA226,CX_ENTITY,$B226,BA$11,BA$14,BA$219,),""),IF($I226=3,"",IFBLANK(_xldudf_CX_PUSH(BA226,CX_ENTITY,$B226,BA$11,BA$14,BA$219,),"")))))),"")</f>
        <v/>
      </c>
      <c r="EB226" s="2445" t="str" cm="1">
        <f t="array" ca="1" aca="1" ref="EB226">IFERROR(IF(BB226*fxVal_normal=_PL!BB226,"",IF(OR(BB226="",NOT(ISNUMBER(BB226)),ISERROR(BB226),$B226=""),"",IF($I226=1,IFBLANK(_xldudf_CX_PUSH(BB226*fxVal_normal,CX_ENTITY,$B226,BB$11,BB$14,BB$219,),""),IF($I226=2,IFBLANK(_xldudf_CX_PUSH(BB226,CX_ENTITY,$B226,BB$11,BB$14,BB$219,),""),IF($I226=3,"",IFBLANK(_xldudf_CX_PUSH(BB226,CX_ENTITY,$B226,BB$11,BB$14,BB$219,),"")))))),"")</f>
        <v/>
      </c>
      <c r="EC226" s="2445" t="str" cm="1">
        <f t="array" ca="1" aca="1" ref="EC226">IFERROR(IF(BC226*fxVal_normal=_PL!BC226,"",IF(OR(BC226="",NOT(ISNUMBER(BC226)),ISERROR(BC226),$B226=""),"",IF($I226=1,IFBLANK(_xldudf_CX_PUSH(BC226*fxVal_normal,CX_ENTITY,$B226,BC$11,BC$14,BC$219,),""),IF($I226=2,IFBLANK(_xldudf_CX_PUSH(BC226,CX_ENTITY,$B226,BC$11,BC$14,BC$219,),""),IF($I226=3,"",IFBLANK(_xldudf_CX_PUSH(BC226,CX_ENTITY,$B226,BC$11,BC$14,BC$219,),"")))))),"")</f>
        <v/>
      </c>
      <c r="ED226" s="2445" t="str" cm="1">
        <f t="array" ca="1" aca="1" ref="ED226">IFERROR(IF(BD226*fxVal_normal=_PL!BD226,"",IF(OR(BD226="",NOT(ISNUMBER(BD226)),ISERROR(BD226),$B226=""),"",IF($I226=1,IFBLANK(_xldudf_CX_PUSH(BD226*fxVal_normal,CX_ENTITY,$B226,BD$11,BD$14,BD$219,),""),IF($I226=2,IFBLANK(_xldudf_CX_PUSH(BD226,CX_ENTITY,$B226,BD$11,BD$14,BD$219,),""),IF($I226=3,"",IFBLANK(_xldudf_CX_PUSH(BD226,CX_ENTITY,$B226,BD$11,BD$14,BD$219,),"")))))),"")</f>
        <v/>
      </c>
      <c r="EE226" s="2445" t="str" cm="1">
        <f t="array" ca="1" aca="1" ref="EE226">IFERROR(IF(BE226*fxVal_normal=_PL!BE226,"",IF(OR(BE226="",NOT(ISNUMBER(BE226)),ISERROR(BE226),$B226=""),"",IF($I226=1,IFBLANK(_xldudf_CX_PUSH(BE226*fxVal_normal,CX_ENTITY,$B226,BE$11,BE$14,BE$219,),""),IF($I226=2,IFBLANK(_xldudf_CX_PUSH(BE226,CX_ENTITY,$B226,BE$11,BE$14,BE$219,),""),IF($I226=3,"",IFBLANK(_xldudf_CX_PUSH(BE226,CX_ENTITY,$B226,BE$11,BE$14,BE$219,),"")))))),"")</f>
        <v/>
      </c>
      <c r="EF226" s="2445" t="str" cm="1">
        <f t="array" ca="1" aca="1" ref="EF226">IFERROR(IF(BF226*fxVal_normal=_PL!BF226,"",IF(OR(BF226="",NOT(ISNUMBER(BF226)),ISERROR(BF226),$B226=""),"",IF($I226=1,IFBLANK(_xldudf_CX_PUSH(BF226*fxVal_normal,CX_ENTITY,$B226,BF$11,BF$14,BF$219,),""),IF($I226=2,IFBLANK(_xldudf_CX_PUSH(BF226,CX_ENTITY,$B226,BF$11,BF$14,BF$219,),""),IF($I226=3,"",IFBLANK(_xldudf_CX_PUSH(BF226,CX_ENTITY,$B226,BF$11,BF$14,BF$219,),"")))))),"")</f>
        <v/>
      </c>
      <c r="EG226" s="2445" t="str" cm="1">
        <f t="array" ca="1" aca="1" ref="EG226">IFERROR(IF(BG226*fxVal_normal=_PL!BG226,"",IF(OR(BG226="",NOT(ISNUMBER(BG226)),ISERROR(BG226),$B226=""),"",IF($I226=1,IFBLANK(_xldudf_CX_PUSH(BG226*fxVal_normal,CX_ENTITY,$B226,BG$11,BG$14,BG$219,),""),IF($I226=2,IFBLANK(_xldudf_CX_PUSH(BG226,CX_ENTITY,$B226,BG$11,BG$14,BG$219,),""),IF($I226=3,"",IFBLANK(_xldudf_CX_PUSH(BG226,CX_ENTITY,$B226,BG$11,BG$14,BG$219,),"")))))),"")</f>
        <v/>
      </c>
      <c r="EH226" s="2445" t="str" cm="1">
        <f t="array" ca="1" aca="1" ref="EH226">IFERROR(IF(BH226*fxVal_normal=_PL!BH226,"",IF(OR(BH226="",NOT(ISNUMBER(BH226)),ISERROR(BH226),$B226=""),"",IF($I226=1,IFBLANK(_xldudf_CX_PUSH(BH226*fxVal_normal,CX_ENTITY,$B226,BH$11,BH$14,BH$219,),""),IF($I226=2,IFBLANK(_xldudf_CX_PUSH(BH226,CX_ENTITY,$B226,BH$11,BH$14,BH$219,),""),IF($I226=3,"",IFBLANK(_xldudf_CX_PUSH(BH226,CX_ENTITY,$B226,BH$11,BH$14,BH$219,),"")))))),"")</f>
        <v/>
      </c>
      <c r="EI226" s="2445" t="str" cm="1">
        <f t="array" ca="1" aca="1" ref="EI226">IFERROR(IF(BI226*fxVal_normal=_PL!BI226,"",IF(OR(BI226="",NOT(ISNUMBER(BI226)),ISERROR(BI226),$B226=""),"",IF($I226=1,IFBLANK(_xldudf_CX_PUSH(BI226*fxVal_normal,CX_ENTITY,$B226,BI$11,BI$14,BI$219,),""),IF($I226=2,IFBLANK(_xldudf_CX_PUSH(BI226,CX_ENTITY,$B226,BI$11,BI$14,BI$219,),""),IF($I226=3,"",IFBLANK(_xldudf_CX_PUSH(BI226,CX_ENTITY,$B226,BI$11,BI$14,BI$219,),"")))))),"")</f>
        <v/>
      </c>
      <c r="EJ226" s="2445" t="str" cm="1">
        <f t="array" ca="1" aca="1" ref="EJ226">IFERROR(IF(BJ226*fxVal_normal=_PL!BJ226,"",IF(OR(BJ226="",NOT(ISNUMBER(BJ226)),ISERROR(BJ226),$B226=""),"",IF($I226=1,IFBLANK(_xldudf_CX_PUSH(BJ226*fxVal_normal,CX_ENTITY,$B226,BJ$11,BJ$14,BJ$219,),""),IF($I226=2,IFBLANK(_xldudf_CX_PUSH(BJ226,CX_ENTITY,$B226,BJ$11,BJ$14,BJ$219,),""),IF($I226=3,"",IFBLANK(_xldudf_CX_PUSH(BJ226,CX_ENTITY,$B226,BJ$11,BJ$14,BJ$219,),"")))))),"")</f>
        <v/>
      </c>
      <c r="EK226" s="2445" t="str" cm="1">
        <f t="array" ca="1" aca="1" ref="EK226">IFERROR(IF(BK226*fxVal_normal=_PL!BK226,"",IF(OR(BK226="",NOT(ISNUMBER(BK226)),ISERROR(BK226),$B226=""),"",IF($I226=1,IFBLANK(_xldudf_CX_PUSH(BK226*fxVal_normal,CX_ENTITY,$B226,BK$11,BK$14,BK$219,),""),IF($I226=2,IFBLANK(_xldudf_CX_PUSH(BK226,CX_ENTITY,$B226,BK$11,BK$14,BK$219,),""),IF($I226=3,"",IFBLANK(_xldudf_CX_PUSH(BK226,CX_ENTITY,$B226,BK$11,BK$14,BK$219,),"")))))),"")</f>
        <v/>
      </c>
      <c r="EL226" s="2445" t="str" cm="1">
        <f t="array" ca="1" aca="1" ref="EL226">IFERROR(IF(BL226*fxVal_normal=_PL!BL226,"",IF(OR(BL226="",NOT(ISNUMBER(BL226)),ISERROR(BL226),$B226=""),"",IF($I226=1,IFBLANK(_xldudf_CX_PUSH(BL226*fxVal_normal,CX_ENTITY,$B226,BL$11,BL$14,BL$219,),""),IF($I226=2,IFBLANK(_xldudf_CX_PUSH(BL226,CX_ENTITY,$B226,BL$11,BL$14,BL$219,),""),IF($I226=3,"",IFBLANK(_xldudf_CX_PUSH(BL226,CX_ENTITY,$B226,BL$11,BL$14,BL$219,),"")))))),"")</f>
        <v/>
      </c>
      <c r="EM226" s="2445" t="str" cm="1">
        <f t="array" ca="1" aca="1" ref="EM226">IFERROR(IF(BM226*fxVal_normal=_PL!BM226,"",IF(OR(BM226="",NOT(ISNUMBER(BM226)),ISERROR(BM226),$B226=""),"",IF($I226=1,IFBLANK(_xldudf_CX_PUSH(BM226*fxVal_normal,CX_ENTITY,$B226,BM$11,BM$14,BM$219,),""),IF($I226=2,IFBLANK(_xldudf_CX_PUSH(BM226,CX_ENTITY,$B226,BM$11,BM$14,BM$219,),""),IF($I226=3,"",IFBLANK(_xldudf_CX_PUSH(BM226,CX_ENTITY,$B226,BM$11,BM$14,BM$219,),"")))))),"")</f>
        <v/>
      </c>
      <c r="EN226" s="2445" t="str" cm="1">
        <f t="array" ca="1" aca="1" ref="EN226">IFERROR(IF(BN226*fxVal_normal=_PL!BN226,"",IF(OR(BN226="",NOT(ISNUMBER(BN226)),ISERROR(BN226),$B226=""),"",IF($I226=1,IFBLANK(_xldudf_CX_PUSH(BN226*fxVal_normal,CX_ENTITY,$B226,BN$11,BN$14,BN$219,),""),IF($I226=2,IFBLANK(_xldudf_CX_PUSH(BN226,CX_ENTITY,$B226,BN$11,BN$14,BN$219,),""),IF($I226=3,"",IFBLANK(_xldudf_CX_PUSH(BN226,CX_ENTITY,$B226,BN$11,BN$14,BN$219,),"")))))),"")</f>
        <v/>
      </c>
    </row>
    <row r="227" spans="1:107" ht="21" customHeight="1">
      <c r="A227" s="1627" t="s">
        <v>22</v>
      </c>
      <c r="B227" s="2424"/>
      <c r="C227" s="2424"/>
      <c r="D227" s="1548"/>
      <c r="E227" s="2440" cm="1">
        <f t="array" ca="1" aca="1" ref="E227:G22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227:$CQ227,Z227)</f>
        <v>49</v>
      </c>
      <c r="F227" s="576">
        <f ca="1"/>
        <v>0</v>
      </c>
      <c r="G227" s="576" t="str">
        <f ca="1"/>
        <v>A</v>
      </c>
      <c r="H227" s="3297">
        <v>2</v>
      </c>
      <c r="I227" s="3297">
        <v>1</v>
      </c>
      <c r="J227" s="401" cm="1">
        <f t="array" ref="J227">IFBLANK(Z227,"")</f>
        <v>0</v>
      </c>
      <c r="K227" s="578" t="str">
        <f t="shared" si="54"/>
        <v>No</v>
      </c>
      <c r="L227" s="37"/>
      <c r="N227" s="158"/>
      <c r="O227" s="101"/>
      <c r="P227" s="52"/>
      <c r="Q227" s="101"/>
      <c r="R227" s="101"/>
      <c r="S227" s="3008"/>
      <c r="T227" s="3008"/>
      <c r="U227" s="39"/>
      <c r="V227" s="37"/>
      <c r="W227" s="2594" t="e">
        <f ca="1">W220</f>
        <v>#NAME?</v>
      </c>
      <c r="X227" s="2452">
        <f>_PL!X227</f>
        <v>0</v>
      </c>
      <c r="Y227" s="270" t="s">
        <v>167</v>
      </c>
      <c r="Z227" s="538">
        <f>_PL!Z227</f>
        <v>0</v>
      </c>
      <c r="AA227" s="906"/>
      <c r="AB227" s="280"/>
      <c r="AC227" s="1165" t="str" cm="1">
        <f t="array" ca="1" aca="1" ref="AC227">_xlfn.LET(_xlpm._termname,$AB227,_xlpm._iconname,"find",_xlpm._icon,fx_getIcon(_xlpm._iconname),_xlpm._location,_xlfn.XLOOKUP(LOWER(_xlpm._termname),LOWER(tbl_acctDef[Term]),tbl_acctDef[Term]),_xlpm._hyperlink,HYPERLINK("#"&amp;CELL("address",_xlpm._location),_xlpm._icon),IFERROR(_xlpm._hyperlink,""))</f>
        <v/>
      </c>
      <c r="AD227" s="2602" t="str">
        <f ca="1">IF(ISNUMBER(AD220),IF(ABS(SUM(AD221:AD226)-AD220)&lt;0.1,0,1),"")</f>
        <v/>
      </c>
      <c r="AE227" s="2602" t="str">
        <f t="shared" si="59" ref="AE227:BN227">IF(ISNUMBER(AE220),IF(ABS(SUM(AE221:AE226)-AE220)&lt;0.1,0,1),"")</f>
        <v/>
      </c>
      <c r="AF227" s="2603" t="str">
        <f t="shared" si="59"/>
        <v/>
      </c>
      <c r="AG227" s="2603" t="str">
        <f t="shared" si="59"/>
        <v/>
      </c>
      <c r="AH227" s="2603" t="str">
        <f t="shared" si="59"/>
        <v/>
      </c>
      <c r="AI227" s="2603" t="str">
        <f t="shared" si="59"/>
        <v/>
      </c>
      <c r="AJ227" s="2603" t="str">
        <f t="shared" si="59"/>
        <v/>
      </c>
      <c r="AK227" s="2603" t="str">
        <f t="shared" si="59"/>
        <v/>
      </c>
      <c r="AL227" s="2603" t="str">
        <f t="shared" si="59"/>
        <v/>
      </c>
      <c r="AM227" s="2603" t="str">
        <f t="shared" si="59"/>
        <v/>
      </c>
      <c r="AN227" s="2603" t="str">
        <f t="shared" si="59"/>
        <v/>
      </c>
      <c r="AO227" s="2603" t="str">
        <f t="shared" si="59"/>
        <v/>
      </c>
      <c r="AP227" s="2603" t="str">
        <f t="shared" si="59"/>
        <v/>
      </c>
      <c r="AQ227" s="2603" t="str">
        <f t="shared" si="59"/>
        <v/>
      </c>
      <c r="AR227" s="2603" t="str">
        <f t="shared" si="59"/>
        <v/>
      </c>
      <c r="AS227" s="2603" t="str">
        <f t="shared" si="59"/>
        <v/>
      </c>
      <c r="AT227" s="2603" t="str">
        <f t="shared" si="59"/>
        <v/>
      </c>
      <c r="AU227" s="2603" t="str">
        <f t="shared" si="59"/>
        <v/>
      </c>
      <c r="AV227" s="2603" t="str">
        <f t="shared" si="59"/>
        <v/>
      </c>
      <c r="AW227" s="2603" t="str">
        <f t="shared" si="59"/>
        <v/>
      </c>
      <c r="AX227" s="2603" t="str">
        <f t="shared" si="59"/>
        <v/>
      </c>
      <c r="AY227" s="2603" t="str">
        <f t="shared" si="59"/>
        <v/>
      </c>
      <c r="AZ227" s="2603" t="str">
        <f t="shared" si="59"/>
        <v/>
      </c>
      <c r="BA227" s="2603" t="str">
        <f t="shared" si="59"/>
        <v/>
      </c>
      <c r="BB227" s="2603" t="str">
        <f t="shared" si="59"/>
        <v/>
      </c>
      <c r="BC227" s="2603" t="str">
        <f t="shared" si="59"/>
        <v/>
      </c>
      <c r="BD227" s="2603" t="str">
        <f t="shared" si="59"/>
        <v/>
      </c>
      <c r="BE227" s="2603" t="str">
        <f t="shared" si="59"/>
        <v/>
      </c>
      <c r="BF227" s="2603" t="str">
        <f t="shared" si="59"/>
        <v/>
      </c>
      <c r="BG227" s="2603" t="str">
        <f t="shared" si="59"/>
        <v/>
      </c>
      <c r="BH227" s="2603" t="str">
        <f t="shared" si="59"/>
        <v/>
      </c>
      <c r="BI227" s="2603" t="str">
        <f t="shared" si="59"/>
        <v/>
      </c>
      <c r="BJ227" s="2603" t="str">
        <f t="shared" si="59"/>
        <v/>
      </c>
      <c r="BK227" s="2603" t="str">
        <f t="shared" si="59"/>
        <v/>
      </c>
      <c r="BL227" s="2603" t="str">
        <f t="shared" si="59"/>
        <v/>
      </c>
      <c r="BM227" s="2603" t="str">
        <f t="shared" si="59"/>
        <v/>
      </c>
      <c r="BN227" s="2603" t="str">
        <f t="shared" si="59"/>
        <v/>
      </c>
      <c r="BO227" s="2604"/>
      <c r="BP227" s="2604"/>
      <c r="BQ227" s="2604"/>
      <c r="BR227" s="2604"/>
      <c r="BS227" s="2604"/>
      <c r="BT227" s="2604"/>
      <c r="BU227" s="2604"/>
      <c r="BV227" s="2604"/>
      <c r="BW227" s="2604"/>
      <c r="BX227" s="2604"/>
      <c r="BY227" s="2604"/>
      <c r="BZ227" s="2604"/>
      <c r="CA227" s="34"/>
      <c r="CC227" s="58"/>
      <c r="CD227" s="1461" t="str" cm="1">
        <f t="array" ca="1" aca="1" ref="CD227">_xlfn.LET(_xlpm.CheckBlank,SUM(PL!$AD227:$BN227)=0,IF(_xlpm.CheckBlank,"",SUM(_xlfn._xlws.FILTER(PL!$AD227:$BN227,(YEAR(PL!$AD$12:$BN$12)=PL!CD$12)*(array_timeline&lt;=PL!CD$11)))))</f>
        <v/>
      </c>
      <c r="CE227" s="1461" t="str" cm="1">
        <f t="array" ca="1" aca="1" ref="CE227">_xlfn.LET(_xlpm.CheckBlank,SUM(PL!$AD227:$BN227)=0,IF(_xlpm.CheckBlank,"",SUM(_xlfn._xlws.FILTER(PL!$AD227:$BN227,(YEAR(PL!$AD$12:$BN$12)=PL!CE$12)*(array_timeline&lt;=PL!CE$11)))))</f>
        <v/>
      </c>
      <c r="CF227" s="88"/>
      <c r="CG227" s="1461" t="str" cm="1">
        <f t="array" ca="1" aca="1" ref="CG227">_xlfn.LET(_xlpm.CheckBlank,SUM(PL!$AD227:$BN227)=0,IF(_xlpm.CheckBlank,"",SUM(_xlfn._xlws.FILTER(PL!$AD227:$BN227,(YEAR(PL!$AD$12:$BN$12)=PL!CG$12)*(array_timeline&lt;=PL!CG$11)))))</f>
        <v/>
      </c>
      <c r="CH227" s="1461" t="str" cm="1">
        <f t="array" ca="1" aca="1" ref="CH227">_xlfn.LET(_xlpm.CheckBlank,SUM(PL!$AD227:$BN227)=0,IF(_xlpm.CheckBlank,"",SUM(_xlfn._xlws.FILTER(PL!$AD227:$BN227,(YEAR(PL!$AD$12:$BN$12)=PL!CH$12)*(array_timeline&lt;=PL!CH$11)))))</f>
        <v/>
      </c>
      <c r="CI227" s="88"/>
      <c r="CJ227" s="1461" t="str" cm="1">
        <f t="array" ca="1" aca="1" ref="CJ227">_xlfn.LET(_xlpm.CheckBlank,SUM(PL!$AD227:$BN227)=0,IF(_xlpm.CheckBlank,"",SUM(_xlfn.TAKE(_xlfn.DROP(PL!$AD227:$BN227,,-DATEDIFF(PL!CJ$11,val_asOfDate,"M")),1,-12))))</f>
        <v/>
      </c>
      <c r="CK227" s="1461" t="str" cm="1">
        <f t="array" ca="1" aca="1" ref="CK227">_xlfn.LET(_xlpm.CheckBlank,SUM(PL!$AD227:$BN227)=0,IF(_xlpm.CheckBlank,"",SUM(_xlfn.TAKE(_xlfn.DROP(PL!$AD227:$BN227,,-DATEDIFF(PL!CK$11,val_asOfDate,"M")),1,-12))))</f>
        <v/>
      </c>
      <c r="CL227" s="88"/>
      <c r="CM227" s="2061" t="str">
        <f ca="1">IF(ISNUMBER(CM220),IF(ABS(SUM(CM221:CM226)-CM220)&lt;0.1,0,1),"")</f>
        <v/>
      </c>
      <c r="CN227" s="2061" t="str">
        <f>IF(ISNUMBER(CN220),IF(ABS(SUM(CN221:CN226)-CN220)&lt;0.1,0,1),"")</f>
        <v/>
      </c>
      <c r="CO227" s="128"/>
      <c r="CP227" s="2061" t="str">
        <f ca="1">IF(ISNUMBER(CP220),IF(ABS(SUM(CP221:CP226)-CP220)&lt;0.1,0,1),"")</f>
        <v/>
      </c>
      <c r="CQ227" s="2061" t="str">
        <f>IF(ISNUMBER(CQ220),IF(ABS(SUM(CQ221:CQ226)-CQ220)&lt;0.1,0,1),"")</f>
        <v/>
      </c>
      <c r="CR227" s="34"/>
      <c r="CY227" s="1880"/>
      <c r="CZ227" s="1880"/>
      <c r="DA227" s="1880"/>
      <c r="DB227" s="1880"/>
      <c r="DC227" s="2121"/>
    </row>
    <row r="228" spans="1:96" ht="18">
      <c r="A228" s="1627"/>
      <c r="B228" s="2439" t="str">
        <f>_xlfn.LET(_xlpm.IsNotAttrDynamic,D228="",_xlpm.Attr,_PL!F228,_xlpm.NotInUse,Y228=D228,_xlpm.RESULT,IF(_xlpm.IsNotAttrDynamic,_xlpm.Attr,IF(_xlpm.NotInUse,"",Y228)),IF(_xlpm.RESULT="","",_xlpm.RESULT))</f>
        <v/>
      </c>
      <c r="C228" s="2439" t="str" cm="1">
        <f t="array" ref="C228">IFBLANK(_PL!C228,"")</f>
        <v/>
      </c>
      <c r="D228" s="577"/>
      <c r="E228" s="2453"/>
      <c r="F228" s="578"/>
      <c r="G228" s="578"/>
      <c r="H228" s="510"/>
      <c r="I228" s="510"/>
      <c r="J228" s="30"/>
      <c r="K228" s="578"/>
      <c r="L228" s="37"/>
      <c r="N228" s="158"/>
      <c r="O228" s="2"/>
      <c r="P228" s="52"/>
      <c r="Q228" s="2"/>
      <c r="R228" s="2"/>
      <c r="S228" s="2"/>
      <c r="T228" s="2"/>
      <c r="U228" s="39"/>
      <c r="W228" s="794"/>
      <c r="X228" s="887"/>
      <c r="Y228" s="324"/>
      <c r="Z228" s="795"/>
      <c r="AA228" s="97"/>
      <c r="AB228" s="97"/>
      <c r="AC228" s="128"/>
      <c r="AD228" s="796"/>
      <c r="AE228" s="796"/>
      <c r="AF228" s="796"/>
      <c r="AG228" s="796"/>
      <c r="AH228" s="796"/>
      <c r="AI228" s="796"/>
      <c r="AJ228" s="796"/>
      <c r="AK228" s="796"/>
      <c r="AL228" s="796"/>
      <c r="AM228" s="796"/>
      <c r="AN228" s="796"/>
      <c r="AO228" s="796"/>
      <c r="AP228" s="796"/>
      <c r="AQ228" s="796"/>
      <c r="AR228" s="796"/>
      <c r="AS228" s="796"/>
      <c r="AT228" s="796"/>
      <c r="AU228" s="796"/>
      <c r="AV228" s="796"/>
      <c r="AW228" s="796"/>
      <c r="AX228" s="796"/>
      <c r="AY228" s="796"/>
      <c r="AZ228" s="796"/>
      <c r="BA228" s="796"/>
      <c r="BB228" s="796"/>
      <c r="BC228" s="796"/>
      <c r="BD228" s="796"/>
      <c r="BE228" s="796"/>
      <c r="BF228" s="796"/>
      <c r="BG228" s="796"/>
      <c r="BH228" s="796"/>
      <c r="BI228" s="796"/>
      <c r="BJ228" s="796"/>
      <c r="BK228" s="796"/>
      <c r="BL228" s="796"/>
      <c r="BM228" s="796"/>
      <c r="BN228" s="796"/>
      <c r="BO228" s="796"/>
      <c r="BP228" s="796"/>
      <c r="BQ228" s="796"/>
      <c r="BR228" s="796"/>
      <c r="BS228" s="796"/>
      <c r="BT228" s="796"/>
      <c r="BU228" s="796"/>
      <c r="BV228" s="796"/>
      <c r="BW228" s="796"/>
      <c r="BX228" s="796"/>
      <c r="BY228" s="796"/>
      <c r="BZ228" s="796"/>
      <c r="CA228" s="34"/>
      <c r="CC228" s="797"/>
      <c r="CD228" s="3"/>
      <c r="CE228" s="3"/>
      <c r="CF228" s="3"/>
      <c r="CG228" s="3"/>
      <c r="CH228" s="3"/>
      <c r="CI228" s="3"/>
      <c r="CJ228" s="3"/>
      <c r="CK228" s="3"/>
      <c r="CL228" s="3"/>
      <c r="CM228" s="3"/>
      <c r="CN228" s="3"/>
      <c r="CO228" s="3"/>
      <c r="CP228" s="3"/>
      <c r="CQ228" s="3"/>
      <c r="CR228" s="34"/>
    </row>
    <row r="229" spans="1:107" s="108" customFormat="1" ht="18">
      <c r="A229" s="1628"/>
      <c r="B229" s="2439" t="str">
        <f>_xlfn.LET(_xlpm.IsNotAttrDynamic,D229="",_xlpm.Attr,_PL!F229,_xlpm.NotInUse,Y229=D229,_xlpm.RESULT,IF(_xlpm.IsNotAttrDynamic,_xlpm.Attr,IF(_xlpm.NotInUse,"",Y229)),IF(_xlpm.RESULT="","",_xlpm.RESULT))</f>
        <v/>
      </c>
      <c r="C229" s="2439" t="str" cm="1">
        <f t="array" ref="C229">IFBLANK(_PL!C229,"")</f>
        <v/>
      </c>
      <c r="D229" s="574"/>
      <c r="E229" s="2605"/>
      <c r="F229" s="401"/>
      <c r="G229" s="401"/>
      <c r="H229" s="585"/>
      <c r="I229" s="585"/>
      <c r="J229" s="586"/>
      <c r="K229" s="401"/>
      <c r="L229" s="37"/>
      <c r="M229"/>
      <c r="N229" s="158"/>
      <c r="O229" s="101"/>
      <c r="P229" s="101"/>
      <c r="Q229" s="101"/>
      <c r="R229" s="101"/>
      <c r="S229" s="101"/>
      <c r="T229" s="101"/>
      <c r="U229" s="101"/>
      <c r="W229" s="2070"/>
      <c r="X229" s="887"/>
      <c r="Y229" s="324"/>
      <c r="Z229" s="795"/>
      <c r="AA229" s="97"/>
      <c r="AB229" s="97"/>
      <c r="AC229" s="128"/>
      <c r="AD229" s="796"/>
      <c r="AE229" s="796"/>
      <c r="AF229" s="796"/>
      <c r="AG229" s="796"/>
      <c r="AH229" s="796"/>
      <c r="AI229" s="796"/>
      <c r="AJ229" s="796"/>
      <c r="AK229" s="796"/>
      <c r="AL229" s="796"/>
      <c r="AM229" s="796"/>
      <c r="AN229" s="796"/>
      <c r="AO229" s="796"/>
      <c r="AP229" s="796"/>
      <c r="AQ229" s="796"/>
      <c r="AR229" s="796"/>
      <c r="AS229" s="796"/>
      <c r="AT229" s="796"/>
      <c r="AU229" s="796"/>
      <c r="AV229" s="796"/>
      <c r="AW229" s="796"/>
      <c r="AX229" s="796"/>
      <c r="AY229" s="796"/>
      <c r="AZ229" s="796"/>
      <c r="BA229" s="796"/>
      <c r="BB229" s="796"/>
      <c r="BC229" s="796"/>
      <c r="BD229" s="796"/>
      <c r="BE229" s="796"/>
      <c r="BF229" s="796"/>
      <c r="BG229" s="796"/>
      <c r="BH229" s="796"/>
      <c r="BI229" s="796"/>
      <c r="BJ229" s="796"/>
      <c r="BK229" s="796"/>
      <c r="BL229" s="796"/>
      <c r="BM229" s="796"/>
      <c r="BN229" s="796"/>
      <c r="BO229" s="796"/>
      <c r="BP229" s="796"/>
      <c r="BQ229" s="796"/>
      <c r="BR229" s="796"/>
      <c r="BS229" s="796"/>
      <c r="BT229" s="796"/>
      <c r="BU229" s="796"/>
      <c r="BV229" s="796"/>
      <c r="BW229" s="796"/>
      <c r="BX229" s="796"/>
      <c r="BY229" s="796"/>
      <c r="BZ229" s="796"/>
      <c r="CA229" s="88"/>
      <c r="CC229" s="2071"/>
      <c r="CD229" s="88"/>
      <c r="CE229" s="88"/>
      <c r="CF229" s="88"/>
      <c r="CG229" s="88"/>
      <c r="CH229" s="88"/>
      <c r="CI229" s="88"/>
      <c r="CJ229" s="88"/>
      <c r="CK229" s="88"/>
      <c r="CL229" s="88"/>
      <c r="CM229" s="88"/>
      <c r="CN229" s="88"/>
      <c r="CO229" s="88"/>
      <c r="CP229" s="88"/>
      <c r="CQ229" s="88"/>
      <c r="CR229" s="88"/>
      <c r="CX229" s="115"/>
      <c r="DC229" s="115"/>
    </row>
    <row r="230" spans="1:146" ht="22.5">
      <c r="A230" s="1625"/>
      <c r="B230" s="2439" t="str">
        <f>_xlfn.LET(_xlpm.IsNotAttrDynamic,D230="",_xlpm.Attr,_PL!F230,_xlpm.NotInUse,Y230=D230,_xlpm.RESULT,IF(_xlpm.IsNotAttrDynamic,_xlpm.Attr,IF(_xlpm.NotInUse,"",Y230)),IF(_xlpm.RESULT="","",_xlpm.RESULT))</f>
        <v/>
      </c>
      <c r="C230" s="2439" t="str" cm="1">
        <f t="array" ref="C230">IFBLANK(_PL!C230,"")</f>
        <v/>
      </c>
      <c r="D230" s="1548"/>
      <c r="E230" s="2453"/>
      <c r="F230" s="578"/>
      <c r="G230" s="578"/>
      <c r="H230" s="510"/>
      <c r="I230" s="510"/>
      <c r="J230" s="401"/>
      <c r="K230" s="578" t="str">
        <f t="shared" si="60" ref="K230:K242">IFERROR(IF(LEN(AB230)=0,"No",IF(LEN(J230)&gt;0,"Yes","No")),"")</f>
        <v>No</v>
      </c>
      <c r="L230" s="37"/>
      <c r="N230" s="158"/>
      <c r="O230" s="101"/>
      <c r="P230" s="52"/>
      <c r="Q230" s="101"/>
      <c r="R230" s="101"/>
      <c r="S230" s="101"/>
      <c r="T230" s="101"/>
      <c r="U230" s="39"/>
      <c r="V230" s="37"/>
      <c r="W230" s="2133" t="s">
        <v>168</v>
      </c>
      <c r="X230" s="887"/>
      <c r="Y230" s="324"/>
      <c r="Z230" s="795"/>
      <c r="AA230" s="97"/>
      <c r="AB230" s="97"/>
      <c r="AC230" s="128"/>
      <c r="AD230" s="796"/>
      <c r="AE230" s="796"/>
      <c r="AF230" s="796"/>
      <c r="AG230" s="796"/>
      <c r="AH230" s="796"/>
      <c r="AI230" s="796"/>
      <c r="AJ230" s="796"/>
      <c r="AK230" s="796"/>
      <c r="AL230" s="796"/>
      <c r="AM230" s="796"/>
      <c r="AN230" s="796"/>
      <c r="AO230" s="796"/>
      <c r="AP230" s="796"/>
      <c r="AQ230" s="796"/>
      <c r="AR230" s="796"/>
      <c r="AS230" s="796"/>
      <c r="AT230" s="796"/>
      <c r="AU230" s="796"/>
      <c r="AV230" s="796"/>
      <c r="AW230" s="796"/>
      <c r="AX230" s="796"/>
      <c r="AY230" s="796"/>
      <c r="AZ230" s="796"/>
      <c r="BA230" s="796"/>
      <c r="BB230" s="796"/>
      <c r="BC230" s="796"/>
      <c r="BD230" s="796"/>
      <c r="BE230" s="796"/>
      <c r="BF230" s="796"/>
      <c r="BG230" s="796"/>
      <c r="BH230" s="796"/>
      <c r="BI230" s="796"/>
      <c r="BJ230" s="796"/>
      <c r="BK230" s="796"/>
      <c r="BL230" s="796"/>
      <c r="BM230" s="796"/>
      <c r="BN230" s="796"/>
      <c r="BO230" s="796"/>
      <c r="BP230" s="796"/>
      <c r="BQ230" s="796"/>
      <c r="BR230" s="796"/>
      <c r="BS230" s="796"/>
      <c r="BT230" s="796"/>
      <c r="BU230" s="796"/>
      <c r="BV230" s="796"/>
      <c r="BW230" s="796"/>
      <c r="BX230" s="796"/>
      <c r="BY230" s="796"/>
      <c r="BZ230" s="796"/>
      <c r="CA230" s="34"/>
      <c r="CC230" s="797"/>
      <c r="CD230" s="3018" t="s">
        <v>41</v>
      </c>
      <c r="CE230" s="3019"/>
      <c r="CF230" s="1472"/>
      <c r="CG230" s="3020" t="s">
        <v>109</v>
      </c>
      <c r="CH230" s="3021"/>
      <c r="CI230" s="1473"/>
      <c r="CJ230" s="3022" t="s">
        <v>43</v>
      </c>
      <c r="CK230" s="3023"/>
      <c r="CL230" s="1473"/>
      <c r="CM230" s="3013" t="s">
        <v>44</v>
      </c>
      <c r="CN230" s="3014"/>
      <c r="CO230" s="1470"/>
      <c r="CP230" s="3013" t="s">
        <v>45</v>
      </c>
      <c r="CQ230" s="3014"/>
      <c r="CR230" s="34"/>
      <c r="CS230" s="2056"/>
      <c r="CT230" s="1880"/>
      <c r="CU230" s="1880"/>
      <c r="CV230" s="1880"/>
      <c r="CW230" s="1880"/>
      <c r="CX230" s="2121"/>
      <c r="CY230" s="1880"/>
      <c r="CZ230" s="1880"/>
      <c r="DA230" s="1880"/>
      <c r="DB230" s="1880"/>
      <c r="DC230" s="2121"/>
      <c r="DD230" s="1880"/>
      <c r="DE230" s="1880"/>
      <c r="DF230" s="1880"/>
      <c r="DG230" s="1880"/>
      <c r="DH230" s="1880"/>
      <c r="DI230" s="1880"/>
      <c r="DJ230" s="1880"/>
      <c r="DK230" s="1880"/>
      <c r="DL230" s="1880"/>
      <c r="DM230" s="1880"/>
      <c r="DN230" s="1880"/>
      <c r="DO230" s="1880"/>
      <c r="DP230" s="1880"/>
      <c r="DQ230" s="1880"/>
      <c r="DR230" s="1880"/>
      <c r="DS230" s="1880"/>
      <c r="DT230" s="1880"/>
      <c r="DU230" s="1880"/>
      <c r="DV230" s="1880"/>
      <c r="DW230" s="1880"/>
      <c r="DX230" s="1880"/>
      <c r="DY230" s="1880"/>
      <c r="DZ230" s="1880"/>
      <c r="EA230" s="1880"/>
      <c r="EB230" s="1880"/>
      <c r="EC230" s="1880"/>
      <c r="ED230" s="1880"/>
      <c r="EE230" s="1880"/>
      <c r="EF230" s="1880"/>
      <c r="EG230" s="1880"/>
      <c r="EH230" s="1880"/>
      <c r="EI230" s="1880"/>
      <c r="EJ230" s="1880"/>
      <c r="EK230" s="1880"/>
      <c r="EL230" s="1880"/>
      <c r="EM230" s="1880"/>
      <c r="EN230" s="1880"/>
      <c r="EO230" s="1880"/>
      <c r="EP230" s="1880"/>
    </row>
    <row r="231" spans="1:146" ht="18" customHeight="1">
      <c r="A231" s="1627"/>
      <c r="B231" s="2439" t="e">
        <f ca="1">_xlfn.LET(_xlpm.IsNotAttrDynamic,D231="",_xlpm.Attr,_PL!F231,_xlpm.NotInUse,Y231=D231,_xlpm.RESULT,IF(_xlpm.IsNotAttrDynamic,_xlpm.Attr,IF(_xlpm.NotInUse,"",Y231)),IF(_xlpm.RESULT="","",_xlpm.RESULT))</f>
        <v>#NAME?</v>
      </c>
      <c r="C231" s="3459" t="str" cm="1">
        <f t="array" ref="C231">IFBLANK(_PL!C231,"")</f>
        <v>Segment IV Name</v>
      </c>
      <c r="D231" s="1548" t="s">
        <v>185</v>
      </c>
      <c r="E231" s="2453"/>
      <c r="F231" s="572"/>
      <c r="G231" s="572"/>
      <c r="H231" s="572"/>
      <c r="I231" s="572"/>
      <c r="J231" s="401"/>
      <c r="K231" s="578" t="str">
        <f t="shared" si="60"/>
        <v>No</v>
      </c>
      <c r="L231" s="37"/>
      <c r="N231" s="158"/>
      <c r="O231" s="101"/>
      <c r="P231" s="52"/>
      <c r="Q231" s="2"/>
      <c r="R231" s="101"/>
      <c r="S231" s="101"/>
      <c r="T231" s="101"/>
      <c r="U231" s="39"/>
      <c r="V231" s="37"/>
      <c r="W231" s="3469" t="e">
        <f ca="1">_PL!W231</f>
        <v>#NAME?</v>
      </c>
      <c r="X231" s="1247"/>
      <c r="Y231" s="3472" t="e">
        <f ca="1">_PL!Y231</f>
        <v>#NAME?</v>
      </c>
      <c r="Z231" s="1632" t="s">
        <v>157</v>
      </c>
      <c r="AA231" s="1633"/>
      <c r="AB231" s="1630" t="s">
        <v>83</v>
      </c>
      <c r="AC231" s="876"/>
      <c r="AD231" s="3186" cm="1">
        <f t="array" ca="1" aca="1" ref="AD231:AD232">fx_checkComp(AD236:AD241)</f>
        <v>1</v>
      </c>
      <c r="AE231" s="3186" cm="1">
        <f t="array" ca="1" aca="1" ref="AE231:AE232">fx_checkComp(AE236:AE241)</f>
        <v>1</v>
      </c>
      <c r="AF231" s="3186" cm="1">
        <f t="array" ca="1" aca="1" ref="AF231:AF232">fx_checkComp(AF236:AF241)</f>
        <v>1</v>
      </c>
      <c r="AG231" s="3186" cm="1">
        <f t="array" ca="1" aca="1" ref="AG231:AG232">fx_checkComp(AG236:AG241)</f>
        <v>1</v>
      </c>
      <c r="AH231" s="3186" cm="1">
        <f t="array" ca="1" aca="1" ref="AH231:AH232">fx_checkComp(AH236:AH241)</f>
        <v>1</v>
      </c>
      <c r="AI231" s="3186" cm="1">
        <f t="array" ca="1" aca="1" ref="AI231:AI232">fx_checkComp(AI236:AI241)</f>
        <v>1</v>
      </c>
      <c r="AJ231" s="3186" cm="1">
        <f t="array" ca="1" aca="1" ref="AJ231:AJ232">fx_checkComp(AJ236:AJ241)</f>
        <v>1</v>
      </c>
      <c r="AK231" s="3186" cm="1">
        <f t="array" ca="1" aca="1" ref="AK231:AK232">fx_checkComp(AK236:AK241)</f>
        <v>1</v>
      </c>
      <c r="AL231" s="3186" cm="1">
        <f t="array" ca="1" aca="1" ref="AL231:AL232">fx_checkComp(AL236:AL241)</f>
        <v>1</v>
      </c>
      <c r="AM231" s="3186" cm="1">
        <f t="array" ca="1" aca="1" ref="AM231:AM232">fx_checkComp(AM236:AM241)</f>
        <v>1</v>
      </c>
      <c r="AN231" s="3186" cm="1">
        <f t="array" ca="1" aca="1" ref="AN231:AN232">fx_checkComp(AN236:AN241)</f>
        <v>1</v>
      </c>
      <c r="AO231" s="3186" cm="1">
        <f t="array" ca="1" aca="1" ref="AO231:AO232">fx_checkComp(AO236:AO241)</f>
        <v>1</v>
      </c>
      <c r="AP231" s="3186" cm="1">
        <f t="array" ca="1" aca="1" ref="AP231:AP232">fx_checkComp(AP236:AP241)</f>
        <v>1</v>
      </c>
      <c r="AQ231" s="3186" cm="1">
        <f t="array" ca="1" aca="1" ref="AQ231:AQ232">fx_checkComp(AQ236:AQ241)</f>
        <v>1</v>
      </c>
      <c r="AR231" s="3186" cm="1">
        <f t="array" ca="1" aca="1" ref="AR231:AR232">fx_checkComp(AR236:AR241)</f>
        <v>1</v>
      </c>
      <c r="AS231" s="3186" cm="1">
        <f t="array" ca="1" aca="1" ref="AS231:AS232">fx_checkComp(AS236:AS241)</f>
        <v>1</v>
      </c>
      <c r="AT231" s="3186" cm="1">
        <f t="array" ca="1" aca="1" ref="AT231:AT232">fx_checkComp(AT236:AT241)</f>
        <v>1</v>
      </c>
      <c r="AU231" s="3186" cm="1">
        <f t="array" ca="1" aca="1" ref="AU231:AU232">fx_checkComp(AU236:AU241)</f>
        <v>1</v>
      </c>
      <c r="AV231" s="3186" cm="1">
        <f t="array" ca="1" aca="1" ref="AV231:AV232">fx_checkComp(AV236:AV241)</f>
        <v>1</v>
      </c>
      <c r="AW231" s="3186" cm="1">
        <f t="array" ca="1" aca="1" ref="AW231:AW232">fx_checkComp(AW236:AW241)</f>
        <v>1</v>
      </c>
      <c r="AX231" s="3186" cm="1">
        <f t="array" ca="1" aca="1" ref="AX231:AX232">fx_checkComp(AX236:AX241)</f>
        <v>1</v>
      </c>
      <c r="AY231" s="3186" cm="1">
        <f t="array" ca="1" aca="1" ref="AY231:AY232">fx_checkComp(AY236:AY241)</f>
        <v>1</v>
      </c>
      <c r="AZ231" s="3186" cm="1">
        <f t="array" ca="1" aca="1" ref="AZ231:AZ232">fx_checkComp(AZ236:AZ241)</f>
        <v>1</v>
      </c>
      <c r="BA231" s="3186" cm="1">
        <f t="array" ca="1" aca="1" ref="BA231:BA232">fx_checkComp(BA236:BA241)</f>
        <v>1</v>
      </c>
      <c r="BB231" s="3186" cm="1">
        <f t="array" ca="1" aca="1" ref="BB231:BB232">fx_checkComp(BB236:BB241)</f>
        <v>1</v>
      </c>
      <c r="BC231" s="3186" cm="1">
        <f t="array" ca="1" aca="1" ref="BC231:BC232">fx_checkComp(BC236:BC241)</f>
        <v>1</v>
      </c>
      <c r="BD231" s="3186" cm="1">
        <f t="array" ca="1" aca="1" ref="BD231:BD232">fx_checkComp(BD236:BD241)</f>
        <v>1</v>
      </c>
      <c r="BE231" s="3186" cm="1">
        <f t="array" ca="1" aca="1" ref="BE231:BE232">fx_checkComp(BE236:BE241)</f>
        <v>1</v>
      </c>
      <c r="BF231" s="3186" cm="1">
        <f t="array" ca="1" aca="1" ref="BF231:BF232">fx_checkComp(BF236:BF241)</f>
        <v>1</v>
      </c>
      <c r="BG231" s="3186" cm="1">
        <f t="array" ca="1" aca="1" ref="BG231:BG232">fx_checkComp(BG236:BG241)</f>
        <v>1</v>
      </c>
      <c r="BH231" s="3186" cm="1">
        <f t="array" ca="1" aca="1" ref="BH231:BH232">fx_checkComp(BH236:BH241)</f>
        <v>1</v>
      </c>
      <c r="BI231" s="3186" cm="1">
        <f t="array" ca="1" aca="1" ref="BI231:BI232">fx_checkComp(BI236:BI241)</f>
        <v>1</v>
      </c>
      <c r="BJ231" s="3186" cm="1">
        <f t="array" ca="1" aca="1" ref="BJ231:BJ232">fx_checkComp(BJ236:BJ241)</f>
        <v>1</v>
      </c>
      <c r="BK231" s="3186" cm="1">
        <f t="array" ca="1" aca="1" ref="BK231:BK232">fx_checkComp(BK236:BK241)</f>
        <v>1</v>
      </c>
      <c r="BL231" s="3186" cm="1">
        <f t="array" ca="1" aca="1" ref="BL231:BL232">fx_checkComp(BL236:BL241)</f>
        <v>1</v>
      </c>
      <c r="BM231" s="3186" cm="1">
        <f t="array" ca="1" aca="1" ref="BM231:BM232">fx_checkComp(BM236:BM241)</f>
        <v>1</v>
      </c>
      <c r="BN231" s="3187" cm="1">
        <f t="array" ca="1" aca="1" ref="BN231:BN232">fx_checkComp(BN236:BN241)</f>
        <v>1</v>
      </c>
      <c r="BO231" s="1804"/>
      <c r="BP231" s="1804"/>
      <c r="BQ231" s="1804"/>
      <c r="BR231" s="1804"/>
      <c r="BS231" s="1804"/>
      <c r="BT231" s="1804"/>
      <c r="BU231" s="1804"/>
      <c r="BV231" s="1804"/>
      <c r="BW231" s="1804"/>
      <c r="BX231" s="1804"/>
      <c r="BY231" s="1804"/>
      <c r="BZ231" s="1804"/>
      <c r="CA231" s="34"/>
      <c r="CC231" s="2587"/>
      <c r="CD231" s="1343" t="e" cm="1">
        <f t="array" ca="1" aca="1" ref="CD231">YEAR(val_currentFYE)-2</f>
        <v>#NAME?</v>
      </c>
      <c r="CE231" s="1344" t="e" cm="1">
        <f t="array" ca="1" aca="1" ref="CE231">YEAR(val_currentFYE)-1</f>
        <v>#NAME?</v>
      </c>
      <c r="CF231" s="128"/>
      <c r="CG231" s="205" t="e" cm="1">
        <f t="array" ca="1" aca="1" ref="CG231">YEAR(val_currentFYE)</f>
        <v>#NAME?</v>
      </c>
      <c r="CH231" s="206" t="e" cm="1">
        <f t="array" ca="1" aca="1" ref="CH231">YEAR(val_currentFYE)</f>
        <v>#NAME?</v>
      </c>
      <c r="CI231" s="207"/>
      <c r="CJ231" s="208" t="s">
        <v>54</v>
      </c>
      <c r="CK231" s="209" t="s">
        <v>54</v>
      </c>
      <c r="CL231" s="88"/>
      <c r="CM231" s="1200" t="e" cm="1">
        <f t="array" ca="1" aca="1" ref="CM231">YEAR(val_currentFYE)</f>
        <v>#NAME?</v>
      </c>
      <c r="CN231" s="1340" t="e" cm="1">
        <f t="array" ca="1" aca="1" ref="CN231">YEAR(val_currentFYE)</f>
        <v>#NAME?</v>
      </c>
      <c r="CO231" s="88"/>
      <c r="CP231" s="1200" t="e" cm="1">
        <f t="array" ca="1" aca="1" ref="CP231">YEAR(val_currentFYE)+1</f>
        <v>#NAME?</v>
      </c>
      <c r="CQ231" s="1340" t="e" cm="1">
        <f t="array" ca="1" aca="1" ref="CQ231">YEAR(val_currentFYE)+1</f>
        <v>#NAME?</v>
      </c>
      <c r="CR231" s="34"/>
      <c r="CS231" s="2056"/>
      <c r="CT231" s="2447" t="e" cm="1">
        <f t="array" ca="1" aca="1" ref="CT231">IF(Y231="Untitled Segmentation IV","",_xldudf_CX_PUSH(Y231,CX_ENTITY,C231,val_asOfDate))</f>
        <v>#NAME?</v>
      </c>
      <c r="CU231" s="2447" t="e" cm="1">
        <f t="array" ca="1" aca="1" ref="CU231">IF(Y231="Untitled Segmentation IV","",_xldudf_CX_PUSH(Y231,CX_ENTITY,C231,EOMONTH(val_asOfDate,1)))</f>
        <v>#NAME?</v>
      </c>
      <c r="CV231" s="2447" t="e" cm="1">
        <f t="array" ca="1" aca="1" ref="CV231">IF(Y231="Untitled Segmentation IV","",_xldudf_CX_PUSH(Y231,CX_ENTITY,C231,EOMONTH(val_asOfDate,2)))</f>
        <v>#NAME?</v>
      </c>
      <c r="CW231" s="2447" t="e" cm="1">
        <f t="array" ca="1" aca="1" ref="CW231">IF(Y231="Untitled Segmentation IV","",_xldudf_CX_PUSH(Y231,CX_ENTITY,C231,EOMONTH(val_asOfDate,3)))</f>
        <v>#NAME?</v>
      </c>
      <c r="CX231" s="2566"/>
      <c r="CY231" s="1880"/>
      <c r="CZ231" s="1880"/>
      <c r="DA231" s="1880"/>
      <c r="DB231" s="1880"/>
      <c r="DC231" s="2121"/>
      <c r="DD231" s="1880"/>
      <c r="DE231" s="1880"/>
      <c r="DF231" s="1880"/>
      <c r="DG231" s="1880"/>
      <c r="DH231" s="1880"/>
      <c r="DI231" s="1880"/>
      <c r="DJ231" s="1880"/>
      <c r="DK231" s="1880"/>
      <c r="DL231" s="1880"/>
      <c r="DM231" s="1880"/>
      <c r="DN231" s="1880"/>
      <c r="DO231" s="1880"/>
      <c r="DP231" s="1880"/>
      <c r="DQ231" s="1880"/>
      <c r="DR231" s="1880"/>
      <c r="DS231" s="1880"/>
      <c r="DT231" s="1880"/>
      <c r="DU231" s="1880"/>
      <c r="DV231" s="1880"/>
      <c r="DW231" s="1880"/>
      <c r="DX231" s="1880"/>
      <c r="DY231" s="1880"/>
      <c r="DZ231" s="1880"/>
      <c r="EA231" s="1880"/>
      <c r="EB231" s="1880"/>
      <c r="EC231" s="1880"/>
      <c r="ED231" s="1880"/>
      <c r="EE231" s="1880"/>
      <c r="EF231" s="1880"/>
      <c r="EG231" s="1880"/>
      <c r="EH231" s="1880"/>
      <c r="EI231" s="1880"/>
      <c r="EJ231" s="1880"/>
      <c r="EK231" s="1880"/>
      <c r="EL231" s="1880"/>
      <c r="EM231" s="1880"/>
      <c r="EN231" s="1880"/>
      <c r="EO231" s="1880"/>
      <c r="EP231" s="1880"/>
    </row>
    <row r="232" spans="1:146" ht="18" customHeight="1">
      <c r="A232" s="1627"/>
      <c r="B232" s="2439"/>
      <c r="C232" s="3459" t="s">
        <v>186</v>
      </c>
      <c r="D232" s="2458" t="s">
        <v>94</v>
      </c>
      <c r="E232" s="2453"/>
      <c r="F232" s="572"/>
      <c r="G232" s="572"/>
      <c r="H232" s="572"/>
      <c r="I232" s="572"/>
      <c r="J232" s="401"/>
      <c r="K232" s="578" t="str">
        <f t="shared" si="60"/>
        <v>No</v>
      </c>
      <c r="L232" s="37"/>
      <c r="N232" s="158"/>
      <c r="O232" s="101"/>
      <c r="P232" s="52"/>
      <c r="Q232" s="2"/>
      <c r="R232" s="101"/>
      <c r="S232" s="101"/>
      <c r="T232" s="101"/>
      <c r="U232" s="39"/>
      <c r="V232" s="37"/>
      <c r="W232" s="3039"/>
      <c r="X232" s="1250"/>
      <c r="Y232" s="3049"/>
      <c r="Z232" s="1636"/>
      <c r="AA232" s="1629"/>
      <c r="AB232" s="1631" t="s">
        <v>84</v>
      </c>
      <c r="AC232" s="1637"/>
      <c r="AD232" s="2430" t="str">
        <f ca="1"/>
        <v>O: 6 / 6</v>
      </c>
      <c r="AE232" s="2430" t="str">
        <f ca="1"/>
        <v>O: 6 / 6</v>
      </c>
      <c r="AF232" s="2430" t="str">
        <f ca="1"/>
        <v>O: 6 / 6</v>
      </c>
      <c r="AG232" s="2430" t="str">
        <f ca="1"/>
        <v>O: 6 / 6</v>
      </c>
      <c r="AH232" s="2430" t="str">
        <f ca="1"/>
        <v>O: 6 / 6</v>
      </c>
      <c r="AI232" s="2430" t="str">
        <f ca="1"/>
        <v>O: 6 / 6</v>
      </c>
      <c r="AJ232" s="2430" t="str">
        <f ca="1"/>
        <v>O: 6 / 6</v>
      </c>
      <c r="AK232" s="2430" t="str">
        <f ca="1"/>
        <v>O: 6 / 6</v>
      </c>
      <c r="AL232" s="2430" t="str">
        <f ca="1"/>
        <v>O: 6 / 6</v>
      </c>
      <c r="AM232" s="2430" t="str">
        <f ca="1"/>
        <v>O: 6 / 6</v>
      </c>
      <c r="AN232" s="2430" t="str">
        <f ca="1"/>
        <v>O: 6 / 6</v>
      </c>
      <c r="AO232" s="2430" t="str">
        <f ca="1"/>
        <v>O: 6 / 6</v>
      </c>
      <c r="AP232" s="2430" t="str">
        <f ca="1"/>
        <v>O: 6 / 6</v>
      </c>
      <c r="AQ232" s="2430" t="str">
        <f ca="1"/>
        <v>O: 6 / 6</v>
      </c>
      <c r="AR232" s="2430" t="str">
        <f ca="1"/>
        <v>O: 6 / 6</v>
      </c>
      <c r="AS232" s="2430" t="str">
        <f ca="1"/>
        <v>O: 6 / 6</v>
      </c>
      <c r="AT232" s="2430" t="str">
        <f ca="1"/>
        <v>O: 6 / 6</v>
      </c>
      <c r="AU232" s="2430" t="str">
        <f ca="1"/>
        <v>O: 6 / 6</v>
      </c>
      <c r="AV232" s="2430" t="str">
        <f ca="1"/>
        <v>O: 6 / 6</v>
      </c>
      <c r="AW232" s="2430" t="str">
        <f ca="1"/>
        <v>O: 6 / 6</v>
      </c>
      <c r="AX232" s="2430" t="str">
        <f ca="1"/>
        <v>O: 6 / 6</v>
      </c>
      <c r="AY232" s="2430" t="str">
        <f ca="1"/>
        <v>O: 6 / 6</v>
      </c>
      <c r="AZ232" s="2430" t="str">
        <f ca="1"/>
        <v>O: 6 / 6</v>
      </c>
      <c r="BA232" s="2430" t="str">
        <f ca="1"/>
        <v>O: 6 / 6</v>
      </c>
      <c r="BB232" s="2430" t="str">
        <f ca="1"/>
        <v>O: 6 / 6</v>
      </c>
      <c r="BC232" s="2430" t="str">
        <f ca="1"/>
        <v>O: 6 / 6</v>
      </c>
      <c r="BD232" s="2430" t="str">
        <f ca="1"/>
        <v>O: 6 / 6</v>
      </c>
      <c r="BE232" s="2430" t="str">
        <f ca="1"/>
        <v>O: 6 / 6</v>
      </c>
      <c r="BF232" s="2430" t="str">
        <f ca="1"/>
        <v>O: 6 / 6</v>
      </c>
      <c r="BG232" s="2430" t="str">
        <f ca="1"/>
        <v>O: 6 / 6</v>
      </c>
      <c r="BH232" s="2430" t="str">
        <f ca="1"/>
        <v>O: 6 / 6</v>
      </c>
      <c r="BI232" s="2430" t="str">
        <f ca="1"/>
        <v>O: 6 / 6</v>
      </c>
      <c r="BJ232" s="2430" t="str">
        <f ca="1"/>
        <v>O: 6 / 6</v>
      </c>
      <c r="BK232" s="2430" t="str">
        <f ca="1"/>
        <v>O: 6 / 6</v>
      </c>
      <c r="BL232" s="2430" t="str">
        <f ca="1"/>
        <v>O: 6 / 6</v>
      </c>
      <c r="BM232" s="2430" t="str">
        <f ca="1"/>
        <v>O: 6 / 6</v>
      </c>
      <c r="BN232" s="2431" t="str">
        <f ca="1"/>
        <v>O: 6 / 6</v>
      </c>
      <c r="BO232" s="2432"/>
      <c r="BP232" s="2432"/>
      <c r="BQ232" s="2432"/>
      <c r="BR232" s="2432"/>
      <c r="BS232" s="2432"/>
      <c r="BT232" s="2432"/>
      <c r="BU232" s="2432"/>
      <c r="BV232" s="2432"/>
      <c r="BW232" s="2432"/>
      <c r="BX232" s="2432"/>
      <c r="BY232" s="2432"/>
      <c r="BZ232" s="2432"/>
      <c r="CA232" s="34"/>
      <c r="CC232" s="2587"/>
      <c r="CD232" s="1343"/>
      <c r="CE232" s="1344"/>
      <c r="CF232" s="128"/>
      <c r="CG232" s="205"/>
      <c r="CH232" s="206"/>
      <c r="CI232" s="207"/>
      <c r="CJ232" s="208"/>
      <c r="CK232" s="209"/>
      <c r="CL232" s="88"/>
      <c r="CM232" s="1200"/>
      <c r="CN232" s="1340"/>
      <c r="CO232" s="88"/>
      <c r="CP232" s="1200"/>
      <c r="CQ232" s="1340"/>
      <c r="CR232" s="34"/>
      <c r="CS232" s="2056"/>
      <c r="CT232" s="2447" t="e" cm="1">
        <f t="array" ca="1" aca="1" ref="CT232">IF(W231="Scenario","",_xldudf_CX_PUSH(W231,CX_ENTITY,C232,val_asOfDate))</f>
        <v>#NAME?</v>
      </c>
      <c r="CU232" s="2447" t="e" cm="1">
        <f t="array" ca="1" aca="1" ref="CU232">IF(W231="Scenario","",_xldudf_CX_PUSH(W231,CX_ENTITY,C232,EOMONTH(val_asOfDate,1)))</f>
        <v>#NAME?</v>
      </c>
      <c r="CV232" s="2447" t="e" cm="1">
        <f t="array" ca="1" aca="1" ref="CV232">IF(W231="Scenario","",_xldudf_CX_PUSH(W231,CX_ENTITY,C232,EOMONTH(val_asOfDate,2)))</f>
        <v>#NAME?</v>
      </c>
      <c r="CW232" s="2447" t="e" cm="1">
        <f t="array" ca="1" aca="1" ref="CW232">IF(W231="Scenario","",_xldudf_CX_PUSH(W231,CX_ENTITY,C232,EOMONTH(val_asOfDate,3)))</f>
        <v>#NAME?</v>
      </c>
      <c r="CX232" s="2566"/>
      <c r="CY232" s="1880"/>
      <c r="CZ232" s="1880"/>
      <c r="DA232" s="1880"/>
      <c r="DB232" s="1880"/>
      <c r="DC232" s="2121"/>
      <c r="DD232" s="1880"/>
      <c r="DE232" s="1880"/>
      <c r="DF232" s="1880"/>
      <c r="DG232" s="1880"/>
      <c r="DH232" s="1880"/>
      <c r="DI232" s="1880"/>
      <c r="DJ232" s="1880"/>
      <c r="DK232" s="1880"/>
      <c r="DL232" s="1880"/>
      <c r="DM232" s="1880"/>
      <c r="DN232" s="1880"/>
      <c r="DO232" s="1880"/>
      <c r="DP232" s="1880"/>
      <c r="DQ232" s="1880"/>
      <c r="DR232" s="1880"/>
      <c r="DS232" s="1880"/>
      <c r="DT232" s="1880"/>
      <c r="DU232" s="1880"/>
      <c r="DV232" s="1880"/>
      <c r="DW232" s="1880"/>
      <c r="DX232" s="1880"/>
      <c r="DY232" s="1880"/>
      <c r="DZ232" s="1880"/>
      <c r="EA232" s="1880"/>
      <c r="EB232" s="1880"/>
      <c r="EC232" s="1880"/>
      <c r="ED232" s="1880"/>
      <c r="EE232" s="1880"/>
      <c r="EF232" s="1880"/>
      <c r="EG232" s="1880"/>
      <c r="EH232" s="1880"/>
      <c r="EI232" s="1880"/>
      <c r="EJ232" s="1880"/>
      <c r="EK232" s="1880"/>
      <c r="EL232" s="1880"/>
      <c r="EM232" s="1880"/>
      <c r="EN232" s="1880"/>
      <c r="EO232" s="1880"/>
      <c r="EP232" s="1880"/>
    </row>
    <row r="233" spans="1:146" ht="30.75" customHeight="1">
      <c r="A233" s="1627"/>
      <c r="B233" s="2439" t="str">
        <f>_xlfn.LET(_xlpm.IsNotAttrDynamic,D233="",_xlpm.Attr,_PL!F233,_xlpm.NotInUse,Y233=D233,_xlpm.RESULT,IF(_xlpm.IsNotAttrDynamic,_xlpm.Attr,IF(_xlpm.NotInUse,"",Y233)),IF(_xlpm.RESULT="","",_xlpm.RESULT))</f>
        <v/>
      </c>
      <c r="C233" s="2439" t="str" cm="1">
        <f t="array" ref="C233">IFBLANK(_PL!C233,"")</f>
        <v/>
      </c>
      <c r="D233" s="1548"/>
      <c r="E233" s="2453"/>
      <c r="F233" s="572"/>
      <c r="G233" s="572"/>
      <c r="H233" s="572"/>
      <c r="I233" s="572">
        <v>3</v>
      </c>
      <c r="J233" s="401"/>
      <c r="K233" s="578" t="str">
        <f t="shared" si="60"/>
        <v>No</v>
      </c>
      <c r="L233" s="37"/>
      <c r="N233" s="158"/>
      <c r="O233" s="101"/>
      <c r="P233" s="52"/>
      <c r="Q233" s="101"/>
      <c r="R233" s="101"/>
      <c r="S233" s="101"/>
      <c r="T233" s="101"/>
      <c r="U233" s="39"/>
      <c r="V233" s="37"/>
      <c r="W233" s="161"/>
      <c r="X233" s="887"/>
      <c r="Y233" s="2597"/>
      <c r="Z233" s="789"/>
      <c r="AA233" s="163"/>
      <c r="AB233" s="162"/>
      <c r="AC233" s="1164"/>
      <c r="AD233" s="2361" cm="1">
        <f t="array" ref="AD233:BN233">array_timeline</f>
        <v>44926</v>
      </c>
      <c r="AE233" s="2361">
        <v>44957</v>
      </c>
      <c r="AF233" s="2361">
        <v>44985</v>
      </c>
      <c r="AG233" s="2361">
        <v>45016</v>
      </c>
      <c r="AH233" s="2361">
        <v>45046</v>
      </c>
      <c r="AI233" s="2361">
        <v>45077</v>
      </c>
      <c r="AJ233" s="2361">
        <v>45107</v>
      </c>
      <c r="AK233" s="2361">
        <v>45138</v>
      </c>
      <c r="AL233" s="2361">
        <v>45169</v>
      </c>
      <c r="AM233" s="2361">
        <v>45199</v>
      </c>
      <c r="AN233" s="2361">
        <v>45230</v>
      </c>
      <c r="AO233" s="2361">
        <v>45260</v>
      </c>
      <c r="AP233" s="2361">
        <v>45291</v>
      </c>
      <c r="AQ233" s="2361">
        <v>45322</v>
      </c>
      <c r="AR233" s="2361">
        <v>45351</v>
      </c>
      <c r="AS233" s="2361">
        <v>45382</v>
      </c>
      <c r="AT233" s="2361">
        <v>45412</v>
      </c>
      <c r="AU233" s="2361">
        <v>45443</v>
      </c>
      <c r="AV233" s="2361">
        <v>45473</v>
      </c>
      <c r="AW233" s="2361">
        <v>45504</v>
      </c>
      <c r="AX233" s="2361">
        <v>45535</v>
      </c>
      <c r="AY233" s="2361">
        <v>45565</v>
      </c>
      <c r="AZ233" s="2361">
        <v>45596</v>
      </c>
      <c r="BA233" s="2361">
        <v>45626</v>
      </c>
      <c r="BB233" s="2361">
        <v>45657</v>
      </c>
      <c r="BC233" s="2361">
        <v>45688</v>
      </c>
      <c r="BD233" s="2361">
        <v>45716</v>
      </c>
      <c r="BE233" s="2361">
        <v>45747</v>
      </c>
      <c r="BF233" s="2361">
        <v>45777</v>
      </c>
      <c r="BG233" s="2361">
        <v>45808</v>
      </c>
      <c r="BH233" s="2361">
        <v>45838</v>
      </c>
      <c r="BI233" s="2361">
        <v>45869</v>
      </c>
      <c r="BJ233" s="2361">
        <v>45900</v>
      </c>
      <c r="BK233" s="2361">
        <v>45930</v>
      </c>
      <c r="BL233" s="2361">
        <v>45961</v>
      </c>
      <c r="BM233" s="2361">
        <v>45991</v>
      </c>
      <c r="BN233" s="2541">
        <v>46022</v>
      </c>
      <c r="BO233" s="2495"/>
      <c r="BP233" s="2495"/>
      <c r="BQ233" s="2495"/>
      <c r="BR233" s="2495"/>
      <c r="BS233" s="2495"/>
      <c r="BT233" s="2495"/>
      <c r="BU233" s="2495"/>
      <c r="BV233" s="2495"/>
      <c r="BW233" s="2495"/>
      <c r="BX233" s="2495"/>
      <c r="BY233" s="2495"/>
      <c r="BZ233" s="2495"/>
      <c r="CA233" s="34"/>
      <c r="CC233" s="2587"/>
      <c r="CD233" s="1722" t="e" cm="1">
        <f t="array" ca="1" aca="1" ref="CD233">EOMONTH(val_currentFYE,-24)</f>
        <v>#NAME?</v>
      </c>
      <c r="CE233" s="1723" t="e" cm="1">
        <f t="array" ca="1" aca="1" ref="CE233">EOMONTH(val_currentFYE,-12)</f>
        <v>#NAME?</v>
      </c>
      <c r="CF233" s="277"/>
      <c r="CG233" s="1732">
        <f>EOMONTH(val_asOfDate,0)</f>
        <v>46022</v>
      </c>
      <c r="CH233" s="1733">
        <f>EOMONTH(val_asOfDate,0)</f>
        <v>46022</v>
      </c>
      <c r="CI233" s="276"/>
      <c r="CJ233" s="1730">
        <f>EOMONTH(val_asOfDate,-1)</f>
        <v>45991</v>
      </c>
      <c r="CK233" s="1731">
        <f>EOMONTH(val_asOfDate,0)</f>
        <v>46022</v>
      </c>
      <c r="CL233" s="88"/>
      <c r="CM233" s="2561" t="e" cm="1">
        <f t="array" ca="1" aca="1" ref="CM233">val_currentFYE</f>
        <v>#NAME?</v>
      </c>
      <c r="CN233" s="2581" t="e" cm="1">
        <f t="array" ca="1" aca="1" ref="CN233">val_currentFYE</f>
        <v>#NAME?</v>
      </c>
      <c r="CO233" s="2580"/>
      <c r="CP233" s="2561" t="e" cm="1">
        <f t="array" ca="1" aca="1" ref="CP233">EOMONTH(val_currentFYE,12)</f>
        <v>#NAME?</v>
      </c>
      <c r="CQ233" s="2581" t="e" cm="1">
        <f t="array" ca="1" aca="1" ref="CQ233">EOMONTH(val_currentFYE,12)</f>
        <v>#NAME?</v>
      </c>
      <c r="CR233" s="34"/>
      <c r="CS233" s="2056"/>
      <c r="CT233" s="1880"/>
      <c r="CU233" s="1880"/>
      <c r="CV233" s="1880"/>
      <c r="CW233" s="1880"/>
      <c r="CX233" s="2121"/>
      <c r="CY233" s="1880"/>
      <c r="CZ233" s="1880"/>
      <c r="DA233" s="1880"/>
      <c r="DB233" s="1880"/>
      <c r="DC233" s="2121"/>
      <c r="DD233" s="1880"/>
      <c r="DE233" s="1880"/>
      <c r="DF233" s="1880"/>
      <c r="DG233" s="1880"/>
      <c r="DH233" s="1880"/>
      <c r="DI233" s="1880"/>
      <c r="DJ233" s="1880"/>
      <c r="DK233" s="1880"/>
      <c r="DL233" s="1880"/>
      <c r="DM233" s="1880"/>
      <c r="DN233" s="1880"/>
      <c r="DO233" s="1880"/>
      <c r="DP233" s="1880"/>
      <c r="DQ233" s="1880"/>
      <c r="DR233" s="1880"/>
      <c r="DS233" s="1880"/>
      <c r="DT233" s="1880"/>
      <c r="DU233" s="1880"/>
      <c r="DV233" s="1880"/>
      <c r="DW233" s="1880"/>
      <c r="DX233" s="1880"/>
      <c r="DY233" s="1880"/>
      <c r="DZ233" s="1880"/>
      <c r="EA233" s="1880"/>
      <c r="EB233" s="1880"/>
      <c r="EC233" s="1880"/>
      <c r="ED233" s="1880"/>
      <c r="EE233" s="1880"/>
      <c r="EF233" s="1880"/>
      <c r="EG233" s="1880"/>
      <c r="EH233" s="1880"/>
      <c r="EI233" s="1880"/>
      <c r="EJ233" s="1880"/>
      <c r="EK233" s="1880"/>
      <c r="EL233" s="1880"/>
      <c r="EM233" s="1880"/>
      <c r="EN233" s="1880"/>
      <c r="EO233" s="1880"/>
      <c r="EP233" s="1880"/>
    </row>
    <row r="234" spans="1:146" ht="30.75" customHeight="1">
      <c r="A234" s="1627"/>
      <c r="B234" s="2439" t="str">
        <f>_xlfn.LET(_xlpm.IsNotAttrDynamic,D234="",_xlpm.Attr,_PL!F234,_xlpm.NotInUse,Y234=D234,_xlpm.RESULT,IF(_xlpm.IsNotAttrDynamic,_xlpm.Attr,IF(_xlpm.NotInUse,"",Y234)),IF(_xlpm.RESULT="","",_xlpm.RESULT))</f>
        <v>Segments Structure</v>
      </c>
      <c r="C234" s="2439" t="str" cm="1">
        <f t="array" ref="C234">IFBLANK(_PL!C234,"")</f>
        <v/>
      </c>
      <c r="D234" s="1548" t="s">
        <v>118</v>
      </c>
      <c r="E234" s="2453"/>
      <c r="F234" s="576"/>
      <c r="G234" s="576"/>
      <c r="H234" s="2546"/>
      <c r="I234" s="2546"/>
      <c r="J234" s="401"/>
      <c r="K234" s="578" t="str">
        <f t="shared" si="60"/>
        <v>No</v>
      </c>
      <c r="L234" s="37"/>
      <c r="N234" s="158"/>
      <c r="O234" s="101"/>
      <c r="P234" s="52"/>
      <c r="Q234" s="101"/>
      <c r="R234" s="101"/>
      <c r="S234" s="101"/>
      <c r="T234" s="101"/>
      <c r="U234" s="39"/>
      <c r="V234" s="37"/>
      <c r="W234" s="272" t="s">
        <v>94</v>
      </c>
      <c r="X234" s="889"/>
      <c r="Y234" s="762" t="s">
        <v>159</v>
      </c>
      <c r="Z234" s="798"/>
      <c r="AA234" s="193"/>
      <c r="AB234" s="193"/>
      <c r="AC234" s="125"/>
      <c r="AD234" s="2641" t="e">
        <f ca="1">$W$231</f>
        <v>#NAME?</v>
      </c>
      <c r="AE234" s="2641" t="e">
        <f ca="1" t="shared" si="61" ref="AE234:BN234">$W$231</f>
        <v>#NAME?</v>
      </c>
      <c r="AF234" s="2641" t="e">
        <f t="shared" ca="1" si="61"/>
        <v>#NAME?</v>
      </c>
      <c r="AG234" s="2641" t="e">
        <f t="shared" ca="1" si="61"/>
        <v>#NAME?</v>
      </c>
      <c r="AH234" s="2641" t="e">
        <f t="shared" ca="1" si="61"/>
        <v>#NAME?</v>
      </c>
      <c r="AI234" s="2641" t="e">
        <f t="shared" ca="1" si="61"/>
        <v>#NAME?</v>
      </c>
      <c r="AJ234" s="2641" t="e">
        <f t="shared" ca="1" si="61"/>
        <v>#NAME?</v>
      </c>
      <c r="AK234" s="2641" t="e">
        <f t="shared" ca="1" si="61"/>
        <v>#NAME?</v>
      </c>
      <c r="AL234" s="2641" t="e">
        <f t="shared" ca="1" si="61"/>
        <v>#NAME?</v>
      </c>
      <c r="AM234" s="2641" t="e">
        <f t="shared" ca="1" si="61"/>
        <v>#NAME?</v>
      </c>
      <c r="AN234" s="2641" t="e">
        <f t="shared" ca="1" si="61"/>
        <v>#NAME?</v>
      </c>
      <c r="AO234" s="2641" t="e">
        <f t="shared" ca="1" si="61"/>
        <v>#NAME?</v>
      </c>
      <c r="AP234" s="2641" t="e">
        <f t="shared" ca="1" si="61"/>
        <v>#NAME?</v>
      </c>
      <c r="AQ234" s="2641" t="e">
        <f t="shared" ca="1" si="61"/>
        <v>#NAME?</v>
      </c>
      <c r="AR234" s="2641" t="e">
        <f t="shared" ca="1" si="61"/>
        <v>#NAME?</v>
      </c>
      <c r="AS234" s="2641" t="e">
        <f t="shared" ca="1" si="61"/>
        <v>#NAME?</v>
      </c>
      <c r="AT234" s="2641" t="e">
        <f t="shared" ca="1" si="61"/>
        <v>#NAME?</v>
      </c>
      <c r="AU234" s="2641" t="e">
        <f t="shared" ca="1" si="61"/>
        <v>#NAME?</v>
      </c>
      <c r="AV234" s="2641" t="e">
        <f t="shared" ca="1" si="61"/>
        <v>#NAME?</v>
      </c>
      <c r="AW234" s="2641" t="e">
        <f t="shared" ca="1" si="61"/>
        <v>#NAME?</v>
      </c>
      <c r="AX234" s="2641" t="e">
        <f t="shared" ca="1" si="61"/>
        <v>#NAME?</v>
      </c>
      <c r="AY234" s="2641" t="e">
        <f t="shared" ca="1" si="61"/>
        <v>#NAME?</v>
      </c>
      <c r="AZ234" s="2641" t="e">
        <f t="shared" ca="1" si="61"/>
        <v>#NAME?</v>
      </c>
      <c r="BA234" s="2641" t="e">
        <f t="shared" ca="1" si="61"/>
        <v>#NAME?</v>
      </c>
      <c r="BB234" s="2641" t="e">
        <f t="shared" ca="1" si="61"/>
        <v>#NAME?</v>
      </c>
      <c r="BC234" s="2641" t="e">
        <f t="shared" ca="1" si="61"/>
        <v>#NAME?</v>
      </c>
      <c r="BD234" s="2641" t="e">
        <f t="shared" ca="1" si="61"/>
        <v>#NAME?</v>
      </c>
      <c r="BE234" s="2641" t="e">
        <f t="shared" ca="1" si="61"/>
        <v>#NAME?</v>
      </c>
      <c r="BF234" s="2641" t="e">
        <f t="shared" ca="1" si="61"/>
        <v>#NAME?</v>
      </c>
      <c r="BG234" s="2641" t="e">
        <f t="shared" ca="1" si="61"/>
        <v>#NAME?</v>
      </c>
      <c r="BH234" s="2641" t="e">
        <f t="shared" ca="1" si="61"/>
        <v>#NAME?</v>
      </c>
      <c r="BI234" s="2641" t="e">
        <f t="shared" ca="1" si="61"/>
        <v>#NAME?</v>
      </c>
      <c r="BJ234" s="2641" t="e">
        <f t="shared" ca="1" si="61"/>
        <v>#NAME?</v>
      </c>
      <c r="BK234" s="2641" t="e">
        <f t="shared" ca="1" si="61"/>
        <v>#NAME?</v>
      </c>
      <c r="BL234" s="2641" t="e">
        <f t="shared" ca="1" si="61"/>
        <v>#NAME?</v>
      </c>
      <c r="BM234" s="2641" t="e">
        <f t="shared" ca="1" si="61"/>
        <v>#NAME?</v>
      </c>
      <c r="BN234" s="2641" t="e">
        <f t="shared" ca="1" si="61"/>
        <v>#NAME?</v>
      </c>
      <c r="BO234" s="2070"/>
      <c r="BP234" s="2070"/>
      <c r="BQ234" s="2070"/>
      <c r="BR234" s="2070"/>
      <c r="BS234" s="2070"/>
      <c r="BT234" s="2070"/>
      <c r="BU234" s="2070"/>
      <c r="BV234" s="2070"/>
      <c r="BW234" s="2070"/>
      <c r="BX234" s="2070"/>
      <c r="BY234" s="2070"/>
      <c r="BZ234" s="2070"/>
      <c r="CA234" s="34"/>
      <c r="CC234" s="58"/>
      <c r="CD234" s="1720" t="e">
        <f ca="1" t="shared" si="62" ref="CD234:CE234">$W$231</f>
        <v>#NAME?</v>
      </c>
      <c r="CE234" s="1721" t="e">
        <f t="shared" ca="1" si="62"/>
        <v>#NAME?</v>
      </c>
      <c r="CF234" s="128"/>
      <c r="CG234" s="1734" t="e">
        <f ca="1" t="shared" si="63" ref="CG234:CH234">$W$231</f>
        <v>#NAME?</v>
      </c>
      <c r="CH234" s="1735" t="e">
        <f t="shared" ca="1" si="63"/>
        <v>#NAME?</v>
      </c>
      <c r="CI234" s="207"/>
      <c r="CJ234" s="1724" t="e">
        <f ca="1" t="shared" si="64" ref="CJ234:CK234">$W$231</f>
        <v>#NAME?</v>
      </c>
      <c r="CK234" s="1725" t="e">
        <f t="shared" ca="1" si="64"/>
        <v>#NAME?</v>
      </c>
      <c r="CL234" s="88"/>
      <c r="CM234" s="1198" t="str">
        <f>CM$19</f>
        <v>Original Budget</v>
      </c>
      <c r="CN234" s="1198" t="str">
        <f>CN$19</f>
        <v>LE</v>
      </c>
      <c r="CO234" s="88"/>
      <c r="CP234" s="1198" t="str">
        <f>CP$19</f>
        <v>Original Budget</v>
      </c>
      <c r="CQ234" s="1198" t="str">
        <f>CQ$19</f>
        <v>LE</v>
      </c>
      <c r="CR234" s="34"/>
      <c r="CS234" s="2056"/>
      <c r="CT234" s="1880"/>
      <c r="CU234" s="1880"/>
      <c r="CV234" s="1880"/>
      <c r="CW234" s="1880"/>
      <c r="CX234" s="2121"/>
      <c r="CY234" s="1880"/>
      <c r="CZ234" s="1880"/>
      <c r="DA234" s="1880"/>
      <c r="DB234" s="1880"/>
      <c r="DC234" s="2121"/>
      <c r="DD234" s="1880"/>
      <c r="DE234" s="1880"/>
      <c r="DF234" s="1880"/>
      <c r="DG234" s="1880"/>
      <c r="DH234" s="1880"/>
      <c r="DI234" s="1880"/>
      <c r="DJ234" s="1880"/>
      <c r="DK234" s="1880"/>
      <c r="DL234" s="1880"/>
      <c r="DM234" s="1880"/>
      <c r="DN234" s="1880"/>
      <c r="DO234" s="1880"/>
      <c r="DP234" s="1880"/>
      <c r="DQ234" s="1880"/>
      <c r="DR234" s="1880"/>
      <c r="DS234" s="1880"/>
      <c r="DT234" s="1880"/>
      <c r="DU234" s="1880"/>
      <c r="DV234" s="1880"/>
      <c r="DW234" s="1880"/>
      <c r="DX234" s="1880"/>
      <c r="DY234" s="1880"/>
      <c r="DZ234" s="1880"/>
      <c r="EA234" s="1880"/>
      <c r="EB234" s="1880"/>
      <c r="EC234" s="1880"/>
      <c r="ED234" s="1880"/>
      <c r="EE234" s="1880"/>
      <c r="EF234" s="1880"/>
      <c r="EG234" s="1880"/>
      <c r="EH234" s="1880"/>
      <c r="EI234" s="1880"/>
      <c r="EJ234" s="1880"/>
      <c r="EK234" s="1880"/>
      <c r="EL234" s="1880"/>
      <c r="EM234" s="1880"/>
      <c r="EN234" s="1880"/>
      <c r="EO234" s="1880"/>
      <c r="EP234" s="1880"/>
    </row>
    <row r="235" spans="1:144" ht="21" customHeight="1">
      <c r="A235" s="1627" t="s">
        <v>96</v>
      </c>
      <c r="B235" s="3182">
        <f>_xlfn.LET(_xlpm.IsNotAttrDynamic,D235="",_xlpm.Attr,_PL!F235,_xlpm.NotInUse,Y235=D235,_xlpm.RESULT,IF(_xlpm.IsNotAttrDynamic,_xlpm.Attr,IF(_xlpm.NotInUse,"",Y235)),IF(_xlpm.RESULT="","",_xlpm.RESULT))</f>
        <v>2</v>
      </c>
      <c r="C235" s="2439" t="str" cm="1">
        <f t="array" ref="C235">IFBLANK(_PL!C235,"")</f>
        <v>Segment IV Breakdown Top Line Label</v>
      </c>
      <c r="D235" s="1548" t="s">
        <v>160</v>
      </c>
      <c r="E235" s="2440" t="e" cm="1">
        <f t="array" ca="1" aca="1" ref="E23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235:$CQ235,Z235)</f>
        <v>#NAME?</v>
      </c>
      <c r="F235" s="578"/>
      <c r="G235" s="578"/>
      <c r="H235" s="3294">
        <v>2</v>
      </c>
      <c r="I235" s="3294">
        <v>1</v>
      </c>
      <c r="J235" s="401" cm="1">
        <f t="array" ref="J235">IFBLANK(Z235,"")</f>
        <v>0</v>
      </c>
      <c r="K235" s="578" t="str">
        <f>IFERROR(IF(LEN(AB235)=0,"No",IF(LEN(J235)&gt;0,"Yes","No")),"")</f>
        <v>Yes</v>
      </c>
      <c r="L235" s="37"/>
      <c r="N235" s="158"/>
      <c r="O235" s="101"/>
      <c r="P235" s="52"/>
      <c r="Q235" s="101"/>
      <c r="R235" s="101"/>
      <c r="S235" s="101"/>
      <c r="T235" s="101"/>
      <c r="U235" s="39"/>
      <c r="V235" s="37"/>
      <c r="W235" s="91" t="e" cm="1">
        <f t="array" ca="1" aca="1" ref="W235">fx_scenarioConverter(W231)</f>
        <v>#NAME?</v>
      </c>
      <c r="X235" s="897">
        <f>PL!X277</f>
        <v>0</v>
      </c>
      <c r="Y235" s="3223">
        <v>2</v>
      </c>
      <c r="Z235" s="878">
        <f>_PL!Z235</f>
        <v>0</v>
      </c>
      <c r="AA235" s="877"/>
      <c r="AB235" s="3184">
        <f>Y235</f>
        <v>2</v>
      </c>
      <c r="AC235" s="1163" t="str" cm="1">
        <f t="array" ca="1" aca="1" ref="AC235">_xlfn.LET(_xlpm._termname,$AB235,_xlpm._iconname,"find",_xlpm._icon,fx_getIcon(_xlpm._iconname),_xlpm._location,_xlfn.XLOOKUP(LOWER(_xlpm._termname),LOWER(tbl_acctDef[Term]),tbl_acctDef[Term]),_xlpm._hyperlink,HYPERLINK("#"&amp;CELL("address",_xlpm._location),_xlpm._icon),IFERROR(_xlpm._hyperlink,""))</f>
        <v/>
      </c>
      <c r="AD235" s="2643" t="e" cm="1">
        <f t="array" ca="1" aca="1" ref="AD235">IF(W235="Scenario","Please select scenario!",_xlfn.XLOOKUP($W235&amp;$AB235,$W$20:$W$141&amp;$AB$20:$AB$141,AD$20:BN$141,""))</f>
        <v>#NAME?</v>
      </c>
      <c r="AE235" s="2644"/>
      <c r="AF235" s="2644"/>
      <c r="AG235" s="2644"/>
      <c r="AH235" s="2644"/>
      <c r="AI235" s="2644"/>
      <c r="AJ235" s="2644"/>
      <c r="AK235" s="2644"/>
      <c r="AL235" s="2644"/>
      <c r="AM235" s="2644"/>
      <c r="AN235" s="2644"/>
      <c r="AO235" s="2644"/>
      <c r="AP235" s="2644"/>
      <c r="AQ235" s="2644"/>
      <c r="AR235" s="2644"/>
      <c r="AS235" s="2644"/>
      <c r="AT235" s="2644"/>
      <c r="AU235" s="2644"/>
      <c r="AV235" s="2644"/>
      <c r="AW235" s="2644"/>
      <c r="AX235" s="2644"/>
      <c r="AY235" s="2644"/>
      <c r="AZ235" s="2644"/>
      <c r="BA235" s="2644"/>
      <c r="BB235" s="2644"/>
      <c r="BC235" s="2644"/>
      <c r="BD235" s="2644"/>
      <c r="BE235" s="2644"/>
      <c r="BF235" s="2644"/>
      <c r="BG235" s="2644"/>
      <c r="BH235" s="2644"/>
      <c r="BI235" s="2644"/>
      <c r="BJ235" s="2644"/>
      <c r="BK235" s="2644"/>
      <c r="BL235" s="2644"/>
      <c r="BM235" s="2644"/>
      <c r="BN235" s="2644"/>
      <c r="BO235" s="2601"/>
      <c r="BP235" s="2601"/>
      <c r="BQ235" s="2601"/>
      <c r="BR235" s="2601"/>
      <c r="BS235" s="2601"/>
      <c r="BT235" s="2601"/>
      <c r="BU235" s="2601"/>
      <c r="BV235" s="2601"/>
      <c r="BW235" s="2601"/>
      <c r="BX235" s="2601"/>
      <c r="BY235" s="2601"/>
      <c r="BZ235" s="2601"/>
      <c r="CA235" s="34"/>
      <c r="CC235" s="58"/>
      <c r="CD235" s="1461" t="e" cm="1">
        <f t="array" ca="1" aca="1" ref="CD235">_xlfn.LET(_xlpm.CheckBlank,SUM(PL!$AD235:$BN235)=0,IF(_xlpm.CheckBlank,"",SUM(_xlfn._xlws.FILTER(PL!$AD235:$BN235,(YEAR(PL!$AD$12:$BN$12)=PL!CD$12)*(array_timeline&lt;=PL!CD$11)))))</f>
        <v>#NAME?</v>
      </c>
      <c r="CE235" s="1461" t="e" cm="1">
        <f t="array" ca="1" aca="1" ref="CE235">_xlfn.LET(_xlpm.CheckBlank,SUM(PL!$AD235:$BN235)=0,IF(_xlpm.CheckBlank,"",SUM(_xlfn._xlws.FILTER(PL!$AD235:$BN235,(YEAR(PL!$AD$12:$BN$12)=PL!CE$12)*(array_timeline&lt;=PL!CE$11)))))</f>
        <v>#NAME?</v>
      </c>
      <c r="CF235" s="88"/>
      <c r="CG235" s="1461" t="e" cm="1">
        <f t="array" ca="1" aca="1" ref="CG235">_xlfn.LET(_xlpm.CheckBlank,SUM(PL!$AD235:$BN235)=0,IF(_xlpm.CheckBlank,"",SUM(_xlfn._xlws.FILTER(PL!$AD235:$BN235,(YEAR(PL!$AD$12:$BN$12)=PL!CG$12)*(array_timeline&lt;=PL!CG$11)))))</f>
        <v>#NAME?</v>
      </c>
      <c r="CH235" s="1461" t="e" cm="1">
        <f t="array" ca="1" aca="1" ref="CH235">_xlfn.LET(_xlpm.CheckBlank,SUM(PL!$AD235:$BN235)=0,IF(_xlpm.CheckBlank,"",SUM(_xlfn._xlws.FILTER(PL!$AD235:$BN235,(YEAR(PL!$AD$12:$BN$12)=PL!CH$12)*(array_timeline&lt;=PL!CH$11)))))</f>
        <v>#NAME?</v>
      </c>
      <c r="CI235" s="88"/>
      <c r="CJ235" s="1461" t="e" cm="1">
        <f t="array" ca="1" aca="1" ref="CJ235">_xlfn.LET(_xlpm.CheckBlank,SUM(PL!$AD235:$BN235)=0,IF(_xlpm.CheckBlank,"",SUM(_xlfn.TAKE(_xlfn.DROP(PL!$AD235:$BN235,,-DATEDIFF(PL!CJ$11,val_asOfDate,"M")),1,-12))))</f>
        <v>#NAME?</v>
      </c>
      <c r="CK235" s="1461" t="e" cm="1">
        <f t="array" ca="1" aca="1" ref="CK235">_xlfn.LET(_xlpm.CheckBlank,SUM(PL!$AD235:$BN235)=0,IF(_xlpm.CheckBlank,"",SUM(_xlfn.TAKE(_xlfn.DROP(PL!$AD235:$BN235,,-DATEDIFF(PL!CK$11,val_asOfDate,"M")),1,-12))))</f>
        <v>#NAME?</v>
      </c>
      <c r="CL235" s="88"/>
      <c r="CM235" s="2060" t="str" cm="1">
        <f t="array" ca="1" aca="1" ref="CM235">_xlfn.LET(_xlpm.findRow,_xlfn.XMATCH($W235&amp;$Y235,$W$20:$W$118&amp;$AB$20:$AB$118,0),_xlpm.Choose,_xlfn.CHOOSEROWS(CM$20:CN$118,_xlpm.findRow),_xlpm.RESULT,IF(ISERROR(_xlpm.findRow),"",_xlpm.Choose),_xlpm.RESULT)</f>
        <v/>
      </c>
      <c r="CN235" s="2060"/>
      <c r="CO235" s="88"/>
      <c r="CP235" s="2060" t="str" cm="1">
        <f t="array" ca="1" aca="1" ref="CP235">_xlfn.LET(_xlpm.findRow,_xlfn.XMATCH($W235&amp;$Y235,$W$20:$W$118&amp;$AB$20:$AB$118,0),_xlpm.Choose,_xlfn.CHOOSEROWS(CP$20:CQ$118,_xlpm.findRow),_xlpm.RESULT,IF(ISERROR(_xlpm.findRow),"",_xlpm.Choose),_xlpm.RESULT)</f>
        <v/>
      </c>
      <c r="CQ235" s="2060"/>
      <c r="CR235" s="34"/>
      <c r="CS235" s="2056"/>
      <c r="CT235" s="2447" t="e" cm="1">
        <f t="array" ca="1" aca="1" ref="CT235">IF(Y235="Please select the metric for segmentation","",_xldudf_CX_PUSH(Y235,CX_ENTITY,C235,val_asOfDate))</f>
        <v>#NAME?</v>
      </c>
      <c r="CU235" s="2447" t="e" cm="1">
        <f t="array" ca="1" aca="1" ref="CU235">IF(Y235="Please select the metric for segmentation","",_xldudf_CX_PUSH(Y235,CX_ENTITY,C235,EOMONTH(val_asOfDate,1)))</f>
        <v>#NAME?</v>
      </c>
      <c r="CV235" s="2447" t="e" cm="1">
        <f t="array" ca="1" aca="1" ref="CV235">IF(Y235="Please select the metric for segmentation","",_xldudf_CX_PUSH(Y235,CX_ENTITY,C235,EOMONTH(val_asOfDate,2)))</f>
        <v>#NAME?</v>
      </c>
      <c r="CW235" s="2447" t="e" cm="1">
        <f t="array" ca="1" aca="1" ref="CW235">IF(Y235="Please select the metric for segmentation","",_xldudf_CX_PUSH(Y235,CX_ENTITY,C235,EOMONTH(val_asOfDate,3)))</f>
        <v>#NAME?</v>
      </c>
      <c r="CX235" s="2566"/>
      <c r="CY235" s="2444" t="str" cm="1">
        <f t="array" ca="1" aca="1" ref="CY235">IFERROR(IF(CM235*fxVal_normal=PL!CM277,"",IF(OR($CM235="",$CM235=0,NOT(ISNUMBER($CM235)),ISERROR($CM235),$B235=""),"",IF($I235=1,IFBLANK(_xldudf_CX_PUSH($CM235*fxVal_normal,CX_ENTITY,$B235,$CM$11,$CM$14,$CM$19,),""),IF($I235=2,IFBLANK(_xldudf_CX_PUSH($CM235,CX_ENTITY,$B235,$CM$11,$CM$14,$CM$19,),""),IF($I235=3,"",IFBLANK(_xldudf_CX_PUSH($CM235,CX_ENTITY,$B235,$CM$11,$CM$14,$CM$19,),"")))))),"")</f>
        <v/>
      </c>
      <c r="CZ235" s="2444" t="str" cm="1">
        <f t="array" ref="CZ235">IFERROR(IF(CN235*fxVal_normal=PL!CN277,"",IF(OR($CN235="",$CN235=0,NOT(ISNUMBER($CN235)),ISERROR($CN235),$B235=""),"",IF($I235=1,IFBLANK(_xldudf_CX_PUSH($CN235*fxVal_normal,CX_ENTITY,$B235,$CN$11,$CN$14,$CN$19,),""),IF($I235=2,IFBLANK(_xldudf_CX_PUSH($CN235,CX_ENTITY,$B235,$CN$11,$CN$14,$CN$19,),""),IF($I235=3,"",IFBLANK(_xldudf_CX_PUSH($CN235,CX_ENTITY,$B235,$CN$11,$CN$14,$CN$19,),"")))))),"")</f>
        <v/>
      </c>
      <c r="DA235" s="2444" t="str" cm="1">
        <f t="array" ca="1" aca="1" ref="DA235">IFERROR(IF(CP235*fxVal_normal=PL!CP277,"",IF(OR($CP235="",$CP235=0,NOT(ISNUMBER($CP235)),ISERROR($CP235),$B235=""),"",IF($I235=1,IFBLANK(_xldudf_CX_PUSH($CP235*fxVal_normal,CX_ENTITY,$B235,$CP$11,$CP$14,$CP$19,),""),IF($I235=2,IFBLANK(_xldudf_CX_PUSH($CP235,CX_ENTITY,$B235,$CP$11,$CP$14,$CP$19,),""),IF($I235=3,"",IFBLANK(_xldudf_CX_PUSH($CP235,CX_ENTITY,$B235,$CP$11,$CP$14,$CP$19,),"")))))),"")</f>
        <v/>
      </c>
      <c r="DB235" s="2444" t="str" cm="1">
        <f t="array" ref="DB235">IFERROR(IF(CQ235*fxVal_normal=PL!CQ277,"",IF(OR($CQ235="",$CQ235=0,NOT(ISNUMBER($CQ235)),ISERROR($CQ235),$B235=""),"",IF($I235=1,IFBLANK(_xldudf_CX_PUSH($CQ235*fxVal_normal,CX_ENTITY,$B235,$CQ$11,$CQ$14,$CQ$19,),""),IF($I235=2,IFBLANK(_xldudf_CX_PUSH($CQ235,CX_ENTITY,$B235,$CQ$11,$CQ$14,$CQ$19,),""),IF($I235=3,"",IFBLANK(_xldudf_CX_PUSH($CQ235,CX_ENTITY,$B235,$CQ$11,$CQ$14,$CQ$19,),"")))))),"")</f>
        <v/>
      </c>
      <c r="DC235" s="2443"/>
      <c r="DD235" s="2445" t="str" cm="1">
        <f t="array" ca="1" aca="1" ref="DD235">IFERROR(IF(AD235*fxVal_normal=PL!AD277,"",IF(OR(AD235="",NOT(ISNUMBER(AD235)),ISERROR(AD235),$B235=""),"",IF($I235=1,IFBLANK(_xldudf_CX_PUSH(AD235*fxVal_normal,CX_ENTITY,$B235,AD$11,AD$14,AD$234,),""),IF($I235=2,IFBLANK(_xldudf_CX_PUSH(AD235,CX_ENTITY,$B235,AD$11,AD$14,AD$234,),""),IF($I235=3,"",IFBLANK(_xldudf_CX_PUSH(AD235,CX_ENTITY,$B235,AD$11,AD$14,AD$234,),"")))))),"")</f>
        <v/>
      </c>
      <c r="DE235" s="2445" t="str" cm="1">
        <f t="array" ref="DE235">IFERROR(IF(AE235*fxVal_normal=PL!AE277,"",IF(OR(AE235="",NOT(ISNUMBER(AE235)),ISERROR(AE235),$B235=""),"",IF($I235=1,IFBLANK(_xldudf_CX_PUSH(AE235*fxVal_normal,CX_ENTITY,$B235,AE$11,AE$14,AE$234,),""),IF($I235=2,IFBLANK(_xldudf_CX_PUSH(AE235,CX_ENTITY,$B235,AE$11,AE$14,AE$234,),""),IF($I235=3,"",IFBLANK(_xldudf_CX_PUSH(AE235,CX_ENTITY,$B235,AE$11,AE$14,AE$234,),"")))))),"")</f>
        <v/>
      </c>
      <c r="DF235" s="2445" t="str" cm="1">
        <f t="array" ref="DF235">IFERROR(IF(AF235*fxVal_normal=PL!AF277,"",IF(OR(AF235="",NOT(ISNUMBER(AF235)),ISERROR(AF235),$B235=""),"",IF($I235=1,IFBLANK(_xldudf_CX_PUSH(AF235*fxVal_normal,CX_ENTITY,$B235,AF$11,AF$14,AF$234,),""),IF($I235=2,IFBLANK(_xldudf_CX_PUSH(AF235,CX_ENTITY,$B235,AF$11,AF$14,AF$234,),""),IF($I235=3,"",IFBLANK(_xldudf_CX_PUSH(AF235,CX_ENTITY,$B235,AF$11,AF$14,AF$234,),"")))))),"")</f>
        <v/>
      </c>
      <c r="DG235" s="2445" t="str" cm="1">
        <f t="array" ref="DG235">IFERROR(IF(AG235*fxVal_normal=PL!AG277,"",IF(OR(AG235="",NOT(ISNUMBER(AG235)),ISERROR(AG235),$B235=""),"",IF($I235=1,IFBLANK(_xldudf_CX_PUSH(AG235*fxVal_normal,CX_ENTITY,$B235,AG$11,AG$14,AG$234,),""),IF($I235=2,IFBLANK(_xldudf_CX_PUSH(AG235,CX_ENTITY,$B235,AG$11,AG$14,AG$234,),""),IF($I235=3,"",IFBLANK(_xldudf_CX_PUSH(AG235,CX_ENTITY,$B235,AG$11,AG$14,AG$234,),"")))))),"")</f>
        <v/>
      </c>
      <c r="DH235" s="2445" t="str" cm="1">
        <f t="array" ref="DH235">IFERROR(IF(AH235*fxVal_normal=PL!AH277,"",IF(OR(AH235="",NOT(ISNUMBER(AH235)),ISERROR(AH235),$B235=""),"",IF($I235=1,IFBLANK(_xldudf_CX_PUSH(AH235*fxVal_normal,CX_ENTITY,$B235,AH$11,AH$14,AH$234,),""),IF($I235=2,IFBLANK(_xldudf_CX_PUSH(AH235,CX_ENTITY,$B235,AH$11,AH$14,AH$234,),""),IF($I235=3,"",IFBLANK(_xldudf_CX_PUSH(AH235,CX_ENTITY,$B235,AH$11,AH$14,AH$234,),"")))))),"")</f>
        <v/>
      </c>
      <c r="DI235" s="2445" t="str" cm="1">
        <f t="array" ref="DI235">IFERROR(IF(AI235*fxVal_normal=PL!AI277,"",IF(OR(AI235="",NOT(ISNUMBER(AI235)),ISERROR(AI235),$B235=""),"",IF($I235=1,IFBLANK(_xldudf_CX_PUSH(AI235*fxVal_normal,CX_ENTITY,$B235,AI$11,AI$14,AI$234,),""),IF($I235=2,IFBLANK(_xldudf_CX_PUSH(AI235,CX_ENTITY,$B235,AI$11,AI$14,AI$234,),""),IF($I235=3,"",IFBLANK(_xldudf_CX_PUSH(AI235,CX_ENTITY,$B235,AI$11,AI$14,AI$234,),"")))))),"")</f>
        <v/>
      </c>
      <c r="DJ235" s="2445" t="str" cm="1">
        <f t="array" ref="DJ235">IFERROR(IF(AJ235*fxVal_normal=PL!AJ277,"",IF(OR(AJ235="",NOT(ISNUMBER(AJ235)),ISERROR(AJ235),$B235=""),"",IF($I235=1,IFBLANK(_xldudf_CX_PUSH(AJ235*fxVal_normal,CX_ENTITY,$B235,AJ$11,AJ$14,AJ$234,),""),IF($I235=2,IFBLANK(_xldudf_CX_PUSH(AJ235,CX_ENTITY,$B235,AJ$11,AJ$14,AJ$234,),""),IF($I235=3,"",IFBLANK(_xldudf_CX_PUSH(AJ235,CX_ENTITY,$B235,AJ$11,AJ$14,AJ$234,),"")))))),"")</f>
        <v/>
      </c>
      <c r="DK235" s="2445" t="str" cm="1">
        <f t="array" ref="DK235">IFERROR(IF(AK235*fxVal_normal=PL!AK277,"",IF(OR(AK235="",NOT(ISNUMBER(AK235)),ISERROR(AK235),$B235=""),"",IF($I235=1,IFBLANK(_xldudf_CX_PUSH(AK235*fxVal_normal,CX_ENTITY,$B235,AK$11,AK$14,AK$234,),""),IF($I235=2,IFBLANK(_xldudf_CX_PUSH(AK235,CX_ENTITY,$B235,AK$11,AK$14,AK$234,),""),IF($I235=3,"",IFBLANK(_xldudf_CX_PUSH(AK235,CX_ENTITY,$B235,AK$11,AK$14,AK$234,),"")))))),"")</f>
        <v/>
      </c>
      <c r="DL235" s="2445" t="str" cm="1">
        <f t="array" ref="DL235">IFERROR(IF(AL235*fxVal_normal=PL!AL277,"",IF(OR(AL235="",NOT(ISNUMBER(AL235)),ISERROR(AL235),$B235=""),"",IF($I235=1,IFBLANK(_xldudf_CX_PUSH(AL235*fxVal_normal,CX_ENTITY,$B235,AL$11,AL$14,AL$234,),""),IF($I235=2,IFBLANK(_xldudf_CX_PUSH(AL235,CX_ENTITY,$B235,AL$11,AL$14,AL$234,),""),IF($I235=3,"",IFBLANK(_xldudf_CX_PUSH(AL235,CX_ENTITY,$B235,AL$11,AL$14,AL$234,),"")))))),"")</f>
        <v/>
      </c>
      <c r="DM235" s="2445" t="str" cm="1">
        <f t="array" ref="DM235">IFERROR(IF(AM235*fxVal_normal=PL!AM277,"",IF(OR(AM235="",NOT(ISNUMBER(AM235)),ISERROR(AM235),$B235=""),"",IF($I235=1,IFBLANK(_xldudf_CX_PUSH(AM235*fxVal_normal,CX_ENTITY,$B235,AM$11,AM$14,AM$234,),""),IF($I235=2,IFBLANK(_xldudf_CX_PUSH(AM235,CX_ENTITY,$B235,AM$11,AM$14,AM$234,),""),IF($I235=3,"",IFBLANK(_xldudf_CX_PUSH(AM235,CX_ENTITY,$B235,AM$11,AM$14,AM$234,),"")))))),"")</f>
        <v/>
      </c>
      <c r="DN235" s="2445" t="str" cm="1">
        <f t="array" ref="DN235">IFERROR(IF(AN235*fxVal_normal=PL!AN277,"",IF(OR(AN235="",NOT(ISNUMBER(AN235)),ISERROR(AN235),$B235=""),"",IF($I235=1,IFBLANK(_xldudf_CX_PUSH(AN235*fxVal_normal,CX_ENTITY,$B235,AN$11,AN$14,AN$234,),""),IF($I235=2,IFBLANK(_xldudf_CX_PUSH(AN235,CX_ENTITY,$B235,AN$11,AN$14,AN$234,),""),IF($I235=3,"",IFBLANK(_xldudf_CX_PUSH(AN235,CX_ENTITY,$B235,AN$11,AN$14,AN$234,),"")))))),"")</f>
        <v/>
      </c>
      <c r="DO235" s="2445" t="str" cm="1">
        <f t="array" ref="DO235">IFERROR(IF(AO235*fxVal_normal=PL!AO277,"",IF(OR(AO235="",NOT(ISNUMBER(AO235)),ISERROR(AO235),$B235=""),"",IF($I235=1,IFBLANK(_xldudf_CX_PUSH(AO235*fxVal_normal,CX_ENTITY,$B235,AO$11,AO$14,AO$234,),""),IF($I235=2,IFBLANK(_xldudf_CX_PUSH(AO235,CX_ENTITY,$B235,AO$11,AO$14,AO$234,),""),IF($I235=3,"",IFBLANK(_xldudf_CX_PUSH(AO235,CX_ENTITY,$B235,AO$11,AO$14,AO$234,),"")))))),"")</f>
        <v/>
      </c>
      <c r="DP235" s="2445" t="str" cm="1">
        <f t="array" ref="DP235">IFERROR(IF(AP235*fxVal_normal=PL!AP277,"",IF(OR(AP235="",NOT(ISNUMBER(AP235)),ISERROR(AP235),$B235=""),"",IF($I235=1,IFBLANK(_xldudf_CX_PUSH(AP235*fxVal_normal,CX_ENTITY,$B235,AP$11,AP$14,AP$234,),""),IF($I235=2,IFBLANK(_xldudf_CX_PUSH(AP235,CX_ENTITY,$B235,AP$11,AP$14,AP$234,),""),IF($I235=3,"",IFBLANK(_xldudf_CX_PUSH(AP235,CX_ENTITY,$B235,AP$11,AP$14,AP$234,),"")))))),"")</f>
        <v/>
      </c>
      <c r="DQ235" s="2445" t="str" cm="1">
        <f t="array" ref="DQ235">IFERROR(IF(AQ235*fxVal_normal=PL!AQ277,"",IF(OR(AQ235="",NOT(ISNUMBER(AQ235)),ISERROR(AQ235),$B235=""),"",IF($I235=1,IFBLANK(_xldudf_CX_PUSH(AQ235*fxVal_normal,CX_ENTITY,$B235,AQ$11,AQ$14,AQ$234,),""),IF($I235=2,IFBLANK(_xldudf_CX_PUSH(AQ235,CX_ENTITY,$B235,AQ$11,AQ$14,AQ$234,),""),IF($I235=3,"",IFBLANK(_xldudf_CX_PUSH(AQ235,CX_ENTITY,$B235,AQ$11,AQ$14,AQ$234,),"")))))),"")</f>
        <v/>
      </c>
      <c r="DR235" s="2445" t="str" cm="1">
        <f t="array" ref="DR235">IFERROR(IF(AR235*fxVal_normal=PL!AR277,"",IF(OR(AR235="",NOT(ISNUMBER(AR235)),ISERROR(AR235),$B235=""),"",IF($I235=1,IFBLANK(_xldudf_CX_PUSH(AR235*fxVal_normal,CX_ENTITY,$B235,AR$11,AR$14,AR$234,),""),IF($I235=2,IFBLANK(_xldudf_CX_PUSH(AR235,CX_ENTITY,$B235,AR$11,AR$14,AR$234,),""),IF($I235=3,"",IFBLANK(_xldudf_CX_PUSH(AR235,CX_ENTITY,$B235,AR$11,AR$14,AR$234,),"")))))),"")</f>
        <v/>
      </c>
      <c r="DS235" s="2445" t="str" cm="1">
        <f t="array" ref="DS235">IFERROR(IF(AS235*fxVal_normal=PL!AS277,"",IF(OR(AS235="",NOT(ISNUMBER(AS235)),ISERROR(AS235),$B235=""),"",IF($I235=1,IFBLANK(_xldudf_CX_PUSH(AS235*fxVal_normal,CX_ENTITY,$B235,AS$11,AS$14,AS$234,),""),IF($I235=2,IFBLANK(_xldudf_CX_PUSH(AS235,CX_ENTITY,$B235,AS$11,AS$14,AS$234,),""),IF($I235=3,"",IFBLANK(_xldudf_CX_PUSH(AS235,CX_ENTITY,$B235,AS$11,AS$14,AS$234,),"")))))),"")</f>
        <v/>
      </c>
      <c r="DT235" s="2445" t="str" cm="1">
        <f t="array" ref="DT235">IFERROR(IF(AT235*fxVal_normal=PL!AT277,"",IF(OR(AT235="",NOT(ISNUMBER(AT235)),ISERROR(AT235),$B235=""),"",IF($I235=1,IFBLANK(_xldudf_CX_PUSH(AT235*fxVal_normal,CX_ENTITY,$B235,AT$11,AT$14,AT$234,),""),IF($I235=2,IFBLANK(_xldudf_CX_PUSH(AT235,CX_ENTITY,$B235,AT$11,AT$14,AT$234,),""),IF($I235=3,"",IFBLANK(_xldudf_CX_PUSH(AT235,CX_ENTITY,$B235,AT$11,AT$14,AT$234,),"")))))),"")</f>
        <v/>
      </c>
      <c r="DU235" s="2445" t="str" cm="1">
        <f t="array" ref="DU235">IFERROR(IF(AU235*fxVal_normal=PL!AU277,"",IF(OR(AU235="",NOT(ISNUMBER(AU235)),ISERROR(AU235),$B235=""),"",IF($I235=1,IFBLANK(_xldudf_CX_PUSH(AU235*fxVal_normal,CX_ENTITY,$B235,AU$11,AU$14,AU$234,),""),IF($I235=2,IFBLANK(_xldudf_CX_PUSH(AU235,CX_ENTITY,$B235,AU$11,AU$14,AU$234,),""),IF($I235=3,"",IFBLANK(_xldudf_CX_PUSH(AU235,CX_ENTITY,$B235,AU$11,AU$14,AU$234,),"")))))),"")</f>
        <v/>
      </c>
      <c r="DV235" s="2445" t="str" cm="1">
        <f t="array" ref="DV235">IFERROR(IF(AV235*fxVal_normal=PL!AV277,"",IF(OR(AV235="",NOT(ISNUMBER(AV235)),ISERROR(AV235),$B235=""),"",IF($I235=1,IFBLANK(_xldudf_CX_PUSH(AV235*fxVal_normal,CX_ENTITY,$B235,AV$11,AV$14,AV$234,),""),IF($I235=2,IFBLANK(_xldudf_CX_PUSH(AV235,CX_ENTITY,$B235,AV$11,AV$14,AV$234,),""),IF($I235=3,"",IFBLANK(_xldudf_CX_PUSH(AV235,CX_ENTITY,$B235,AV$11,AV$14,AV$234,),"")))))),"")</f>
        <v/>
      </c>
      <c r="DW235" s="2445" t="str" cm="1">
        <f t="array" ref="DW235">IFERROR(IF(AW235*fxVal_normal=PL!AW277,"",IF(OR(AW235="",NOT(ISNUMBER(AW235)),ISERROR(AW235),$B235=""),"",IF($I235=1,IFBLANK(_xldudf_CX_PUSH(AW235*fxVal_normal,CX_ENTITY,$B235,AW$11,AW$14,AW$234,),""),IF($I235=2,IFBLANK(_xldudf_CX_PUSH(AW235,CX_ENTITY,$B235,AW$11,AW$14,AW$234,),""),IF($I235=3,"",IFBLANK(_xldudf_CX_PUSH(AW235,CX_ENTITY,$B235,AW$11,AW$14,AW$234,),"")))))),"")</f>
        <v/>
      </c>
      <c r="DX235" s="2445" t="str" cm="1">
        <f t="array" ref="DX235">IFERROR(IF(AX235*fxVal_normal=PL!AX277,"",IF(OR(AX235="",NOT(ISNUMBER(AX235)),ISERROR(AX235),$B235=""),"",IF($I235=1,IFBLANK(_xldudf_CX_PUSH(AX235*fxVal_normal,CX_ENTITY,$B235,AX$11,AX$14,AX$234,),""),IF($I235=2,IFBLANK(_xldudf_CX_PUSH(AX235,CX_ENTITY,$B235,AX$11,AX$14,AX$234,),""),IF($I235=3,"",IFBLANK(_xldudf_CX_PUSH(AX235,CX_ENTITY,$B235,AX$11,AX$14,AX$234,),"")))))),"")</f>
        <v/>
      </c>
      <c r="DY235" s="2445" t="str" cm="1">
        <f t="array" ref="DY235">IFERROR(IF(AY235*fxVal_normal=PL!AY277,"",IF(OR(AY235="",NOT(ISNUMBER(AY235)),ISERROR(AY235),$B235=""),"",IF($I235=1,IFBLANK(_xldudf_CX_PUSH(AY235*fxVal_normal,CX_ENTITY,$B235,AY$11,AY$14,AY$234,),""),IF($I235=2,IFBLANK(_xldudf_CX_PUSH(AY235,CX_ENTITY,$B235,AY$11,AY$14,AY$234,),""),IF($I235=3,"",IFBLANK(_xldudf_CX_PUSH(AY235,CX_ENTITY,$B235,AY$11,AY$14,AY$234,),"")))))),"")</f>
        <v/>
      </c>
      <c r="DZ235" s="2445" t="str" cm="1">
        <f t="array" ref="DZ235">IFERROR(IF(AZ235*fxVal_normal=PL!AZ277,"",IF(OR(AZ235="",NOT(ISNUMBER(AZ235)),ISERROR(AZ235),$B235=""),"",IF($I235=1,IFBLANK(_xldudf_CX_PUSH(AZ235*fxVal_normal,CX_ENTITY,$B235,AZ$11,AZ$14,AZ$234,),""),IF($I235=2,IFBLANK(_xldudf_CX_PUSH(AZ235,CX_ENTITY,$B235,AZ$11,AZ$14,AZ$234,),""),IF($I235=3,"",IFBLANK(_xldudf_CX_PUSH(AZ235,CX_ENTITY,$B235,AZ$11,AZ$14,AZ$234,),"")))))),"")</f>
        <v/>
      </c>
      <c r="EA235" s="2445" t="str" cm="1">
        <f t="array" ref="EA235">IFERROR(IF(BA235*fxVal_normal=PL!BA277,"",IF(OR(BA235="",NOT(ISNUMBER(BA235)),ISERROR(BA235),$B235=""),"",IF($I235=1,IFBLANK(_xldudf_CX_PUSH(BA235*fxVal_normal,CX_ENTITY,$B235,BA$11,BA$14,BA$234,),""),IF($I235=2,IFBLANK(_xldudf_CX_PUSH(BA235,CX_ENTITY,$B235,BA$11,BA$14,BA$234,),""),IF($I235=3,"",IFBLANK(_xldudf_CX_PUSH(BA235,CX_ENTITY,$B235,BA$11,BA$14,BA$234,),"")))))),"")</f>
        <v/>
      </c>
      <c r="EB235" s="2445" t="str" cm="1">
        <f t="array" ref="EB235">IFERROR(IF(BB235*fxVal_normal=PL!BB277,"",IF(OR(BB235="",NOT(ISNUMBER(BB235)),ISERROR(BB235),$B235=""),"",IF($I235=1,IFBLANK(_xldudf_CX_PUSH(BB235*fxVal_normal,CX_ENTITY,$B235,BB$11,BB$14,BB$234,),""),IF($I235=2,IFBLANK(_xldudf_CX_PUSH(BB235,CX_ENTITY,$B235,BB$11,BB$14,BB$234,),""),IF($I235=3,"",IFBLANK(_xldudf_CX_PUSH(BB235,CX_ENTITY,$B235,BB$11,BB$14,BB$234,),"")))))),"")</f>
        <v/>
      </c>
      <c r="EC235" s="2445" t="str" cm="1">
        <f t="array" ref="EC235">IFERROR(IF(BC235*fxVal_normal=PL!BC277,"",IF(OR(BC235="",NOT(ISNUMBER(BC235)),ISERROR(BC235),$B235=""),"",IF($I235=1,IFBLANK(_xldudf_CX_PUSH(BC235*fxVal_normal,CX_ENTITY,$B235,BC$11,BC$14,BC$234,),""),IF($I235=2,IFBLANK(_xldudf_CX_PUSH(BC235,CX_ENTITY,$B235,BC$11,BC$14,BC$234,),""),IF($I235=3,"",IFBLANK(_xldudf_CX_PUSH(BC235,CX_ENTITY,$B235,BC$11,BC$14,BC$234,),"")))))),"")</f>
        <v/>
      </c>
      <c r="ED235" s="2445" t="str" cm="1">
        <f t="array" ref="ED235">IFERROR(IF(BD235*fxVal_normal=PL!BD277,"",IF(OR(BD235="",NOT(ISNUMBER(BD235)),ISERROR(BD235),$B235=""),"",IF($I235=1,IFBLANK(_xldudf_CX_PUSH(BD235*fxVal_normal,CX_ENTITY,$B235,BD$11,BD$14,BD$234,),""),IF($I235=2,IFBLANK(_xldudf_CX_PUSH(BD235,CX_ENTITY,$B235,BD$11,BD$14,BD$234,),""),IF($I235=3,"",IFBLANK(_xldudf_CX_PUSH(BD235,CX_ENTITY,$B235,BD$11,BD$14,BD$234,),"")))))),"")</f>
        <v/>
      </c>
      <c r="EE235" s="2445" t="str" cm="1">
        <f t="array" ref="EE235">IFERROR(IF(BE235*fxVal_normal=PL!BE277,"",IF(OR(BE235="",NOT(ISNUMBER(BE235)),ISERROR(BE235),$B235=""),"",IF($I235=1,IFBLANK(_xldudf_CX_PUSH(BE235*fxVal_normal,CX_ENTITY,$B235,BE$11,BE$14,BE$234,),""),IF($I235=2,IFBLANK(_xldudf_CX_PUSH(BE235,CX_ENTITY,$B235,BE$11,BE$14,BE$234,),""),IF($I235=3,"",IFBLANK(_xldudf_CX_PUSH(BE235,CX_ENTITY,$B235,BE$11,BE$14,BE$234,),"")))))),"")</f>
        <v/>
      </c>
      <c r="EF235" s="2445" t="str" cm="1">
        <f t="array" ref="EF235">IFERROR(IF(BF235*fxVal_normal=PL!BF277,"",IF(OR(BF235="",NOT(ISNUMBER(BF235)),ISERROR(BF235),$B235=""),"",IF($I235=1,IFBLANK(_xldudf_CX_PUSH(BF235*fxVal_normal,CX_ENTITY,$B235,BF$11,BF$14,BF$234,),""),IF($I235=2,IFBLANK(_xldudf_CX_PUSH(BF235,CX_ENTITY,$B235,BF$11,BF$14,BF$234,),""),IF($I235=3,"",IFBLANK(_xldudf_CX_PUSH(BF235,CX_ENTITY,$B235,BF$11,BF$14,BF$234,),"")))))),"")</f>
        <v/>
      </c>
      <c r="EG235" s="2445" t="str" cm="1">
        <f t="array" ref="EG235">IFERROR(IF(BG235*fxVal_normal=PL!BG277,"",IF(OR(BG235="",NOT(ISNUMBER(BG235)),ISERROR(BG235),$B235=""),"",IF($I235=1,IFBLANK(_xldudf_CX_PUSH(BG235*fxVal_normal,CX_ENTITY,$B235,BG$11,BG$14,BG$234,),""),IF($I235=2,IFBLANK(_xldudf_CX_PUSH(BG235,CX_ENTITY,$B235,BG$11,BG$14,BG$234,),""),IF($I235=3,"",IFBLANK(_xldudf_CX_PUSH(BG235,CX_ENTITY,$B235,BG$11,BG$14,BG$234,),"")))))),"")</f>
        <v/>
      </c>
      <c r="EH235" s="2445" t="str" cm="1">
        <f t="array" ref="EH235">IFERROR(IF(BH235*fxVal_normal=PL!BH277,"",IF(OR(BH235="",NOT(ISNUMBER(BH235)),ISERROR(BH235),$B235=""),"",IF($I235=1,IFBLANK(_xldudf_CX_PUSH(BH235*fxVal_normal,CX_ENTITY,$B235,BH$11,BH$14,BH$234,),""),IF($I235=2,IFBLANK(_xldudf_CX_PUSH(BH235,CX_ENTITY,$B235,BH$11,BH$14,BH$234,),""),IF($I235=3,"",IFBLANK(_xldudf_CX_PUSH(BH235,CX_ENTITY,$B235,BH$11,BH$14,BH$234,),"")))))),"")</f>
        <v/>
      </c>
      <c r="EI235" s="2445" t="str" cm="1">
        <f t="array" ref="EI235">IFERROR(IF(BI235*fxVal_normal=PL!BI277,"",IF(OR(BI235="",NOT(ISNUMBER(BI235)),ISERROR(BI235),$B235=""),"",IF($I235=1,IFBLANK(_xldudf_CX_PUSH(BI235*fxVal_normal,CX_ENTITY,$B235,BI$11,BI$14,BI$234,),""),IF($I235=2,IFBLANK(_xldudf_CX_PUSH(BI235,CX_ENTITY,$B235,BI$11,BI$14,BI$234,),""),IF($I235=3,"",IFBLANK(_xldudf_CX_PUSH(BI235,CX_ENTITY,$B235,BI$11,BI$14,BI$234,),"")))))),"")</f>
        <v/>
      </c>
      <c r="EJ235" s="2445" t="str" cm="1">
        <f t="array" ref="EJ235">IFERROR(IF(BJ235*fxVal_normal=PL!BJ277,"",IF(OR(BJ235="",NOT(ISNUMBER(BJ235)),ISERROR(BJ235),$B235=""),"",IF($I235=1,IFBLANK(_xldudf_CX_PUSH(BJ235*fxVal_normal,CX_ENTITY,$B235,BJ$11,BJ$14,BJ$234,),""),IF($I235=2,IFBLANK(_xldudf_CX_PUSH(BJ235,CX_ENTITY,$B235,BJ$11,BJ$14,BJ$234,),""),IF($I235=3,"",IFBLANK(_xldudf_CX_PUSH(BJ235,CX_ENTITY,$B235,BJ$11,BJ$14,BJ$234,),"")))))),"")</f>
        <v/>
      </c>
      <c r="EK235" s="2445" t="str" cm="1">
        <f t="array" ref="EK235">IFERROR(IF(BK235*fxVal_normal=PL!BK277,"",IF(OR(BK235="",NOT(ISNUMBER(BK235)),ISERROR(BK235),$B235=""),"",IF($I235=1,IFBLANK(_xldudf_CX_PUSH(BK235*fxVal_normal,CX_ENTITY,$B235,BK$11,BK$14,BK$234,),""),IF($I235=2,IFBLANK(_xldudf_CX_PUSH(BK235,CX_ENTITY,$B235,BK$11,BK$14,BK$234,),""),IF($I235=3,"",IFBLANK(_xldudf_CX_PUSH(BK235,CX_ENTITY,$B235,BK$11,BK$14,BK$234,),"")))))),"")</f>
        <v/>
      </c>
      <c r="EL235" s="2445" t="str" cm="1">
        <f t="array" ref="EL235">IFERROR(IF(BL235*fxVal_normal=PL!BL277,"",IF(OR(BL235="",NOT(ISNUMBER(BL235)),ISERROR(BL235),$B235=""),"",IF($I235=1,IFBLANK(_xldudf_CX_PUSH(BL235*fxVal_normal,CX_ENTITY,$B235,BL$11,BL$14,BL$234,),""),IF($I235=2,IFBLANK(_xldudf_CX_PUSH(BL235,CX_ENTITY,$B235,BL$11,BL$14,BL$234,),""),IF($I235=3,"",IFBLANK(_xldudf_CX_PUSH(BL235,CX_ENTITY,$B235,BL$11,BL$14,BL$234,),"")))))),"")</f>
        <v/>
      </c>
      <c r="EM235" s="2445" t="str" cm="1">
        <f t="array" ref="EM235">IFERROR(IF(BM235*fxVal_normal=PL!BM277,"",IF(OR(BM235="",NOT(ISNUMBER(BM235)),ISERROR(BM235),$B235=""),"",IF($I235=1,IFBLANK(_xldudf_CX_PUSH(BM235*fxVal_normal,CX_ENTITY,$B235,BM$11,BM$14,BM$234,),""),IF($I235=2,IFBLANK(_xldudf_CX_PUSH(BM235,CX_ENTITY,$B235,BM$11,BM$14,BM$234,),""),IF($I235=3,"",IFBLANK(_xldudf_CX_PUSH(BM235,CX_ENTITY,$B235,BM$11,BM$14,BM$234,),"")))))),"")</f>
        <v/>
      </c>
      <c r="EN235" s="2445" t="str" cm="1">
        <f t="array" ref="EN235">IFERROR(IF(BN235*fxVal_normal=PL!BN277,"",IF(OR(BN235="",NOT(ISNUMBER(BN235)),ISERROR(BN235),$B235=""),"",IF($I235=1,IFBLANK(_xldudf_CX_PUSH(BN235*fxVal_normal,CX_ENTITY,$B235,BN$11,BN$14,BN$234,),""),IF($I235=2,IFBLANK(_xldudf_CX_PUSH(BN235,CX_ENTITY,$B235,BN$11,BN$14,BN$234,),""),IF($I235=3,"",IFBLANK(_xldudf_CX_PUSH(BN235,CX_ENTITY,$B235,BN$11,BN$14,BN$234,),"")))))),"")</f>
        <v/>
      </c>
    </row>
    <row r="236" spans="1:144" ht="21" customHeight="1">
      <c r="A236" s="1627"/>
      <c r="B236" s="2439" t="s">
        <v>187</v>
      </c>
      <c r="C236" s="3459" t="str" cm="1">
        <f t="array" ref="C236">IFBLANK(_PL!C236,"")</f>
        <v>Segment IV Breakdown - Label 1</v>
      </c>
      <c r="D236" s="1548" t="s">
        <v>187</v>
      </c>
      <c r="E236" s="2440" t="e" cm="1">
        <f t="array" ca="1" aca="1" ref="E23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236:$CQ236,Z236)</f>
        <v>#NAME?</v>
      </c>
      <c r="F236" s="578"/>
      <c r="G236" s="578"/>
      <c r="H236" s="510">
        <v>0</v>
      </c>
      <c r="I236" s="3302">
        <v>1</v>
      </c>
      <c r="J236" s="401" cm="1">
        <f t="array" ref="J236">IFBLANK(Z236,"")</f>
        <v>-1</v>
      </c>
      <c r="K236" s="578" t="str">
        <f t="shared" si="60"/>
        <v>No</v>
      </c>
      <c r="L236" s="37"/>
      <c r="N236" s="158"/>
      <c r="O236" s="101"/>
      <c r="P236" s="52"/>
      <c r="Q236" s="101"/>
      <c r="R236" s="101"/>
      <c r="S236" s="101"/>
      <c r="T236" s="101"/>
      <c r="U236" s="39"/>
      <c r="V236" s="37"/>
      <c r="W236" s="91" t="e">
        <f ca="1">W235</f>
        <v>#NAME?</v>
      </c>
      <c r="X236" s="2081" t="str">
        <f>_PL!X236</f>
        <v>a</v>
      </c>
      <c r="Y236" s="3224">
        <v>2</v>
      </c>
      <c r="Z236" s="198">
        <f>_PL!Z236</f>
        <v>-1</v>
      </c>
      <c r="AA236" s="2571"/>
      <c r="AB236" s="2592"/>
      <c r="AC236" s="914" t="str" cm="1">
        <f t="array" ca="1" aca="1" ref="AC236">_xlfn.LET(_xlpm._termname,$AB236,_xlpm._iconname,"find",_xlpm._icon,fx_getIcon(_xlpm._iconname),_xlpm._location,_xlfn.XLOOKUP(LOWER(_xlpm._termname),LOWER(tbl_acctDef[Term]),tbl_acctDef[Term]),_xlpm._hyperlink,HYPERLINK("#"&amp;CELL("address",_xlpm._location),_xlpm._icon),IFERROR(_xlpm._hyperlink,""))</f>
        <v/>
      </c>
      <c r="AD236" s="3193">
        <v>1</v>
      </c>
      <c r="AE236" s="3193">
        <v>1</v>
      </c>
      <c r="AF236" s="3193">
        <v>1</v>
      </c>
      <c r="AG236" s="3193">
        <v>1</v>
      </c>
      <c r="AH236" s="3193">
        <v>1</v>
      </c>
      <c r="AI236" s="3193">
        <v>1</v>
      </c>
      <c r="AJ236" s="3193">
        <v>1</v>
      </c>
      <c r="AK236" s="3193">
        <v>1</v>
      </c>
      <c r="AL236" s="3193">
        <v>1</v>
      </c>
      <c r="AM236" s="3193">
        <v>1</v>
      </c>
      <c r="AN236" s="3193">
        <v>1</v>
      </c>
      <c r="AO236" s="3193">
        <v>1</v>
      </c>
      <c r="AP236" s="3193">
        <v>1</v>
      </c>
      <c r="AQ236" s="3193">
        <v>1</v>
      </c>
      <c r="AR236" s="3193">
        <v>1</v>
      </c>
      <c r="AS236" s="3193">
        <v>1</v>
      </c>
      <c r="AT236" s="3193">
        <v>1</v>
      </c>
      <c r="AU236" s="3193">
        <v>1</v>
      </c>
      <c r="AV236" s="3193">
        <v>1</v>
      </c>
      <c r="AW236" s="3193">
        <v>1</v>
      </c>
      <c r="AX236" s="3193">
        <v>1</v>
      </c>
      <c r="AY236" s="3193">
        <v>1</v>
      </c>
      <c r="AZ236" s="3193">
        <v>1</v>
      </c>
      <c r="BA236" s="3193">
        <v>1</v>
      </c>
      <c r="BB236" s="3193">
        <v>1</v>
      </c>
      <c r="BC236" s="3193">
        <v>1</v>
      </c>
      <c r="BD236" s="3193">
        <v>1</v>
      </c>
      <c r="BE236" s="3193">
        <v>1</v>
      </c>
      <c r="BF236" s="3193">
        <v>1</v>
      </c>
      <c r="BG236" s="3193">
        <v>1</v>
      </c>
      <c r="BH236" s="3193">
        <v>1</v>
      </c>
      <c r="BI236" s="3193">
        <v>1</v>
      </c>
      <c r="BJ236" s="3193">
        <v>1</v>
      </c>
      <c r="BK236" s="3193">
        <v>1</v>
      </c>
      <c r="BL236" s="3193">
        <v>1</v>
      </c>
      <c r="BM236" s="3193">
        <v>1</v>
      </c>
      <c r="BN236" s="3193">
        <v>1</v>
      </c>
      <c r="BO236" s="2442"/>
      <c r="BP236" s="2442"/>
      <c r="BQ236" s="2442"/>
      <c r="BR236" s="2442"/>
      <c r="BS236" s="2442"/>
      <c r="BT236" s="2442"/>
      <c r="BU236" s="2442"/>
      <c r="BV236" s="2442"/>
      <c r="BW236" s="2442"/>
      <c r="BX236" s="2442"/>
      <c r="BY236" s="2442"/>
      <c r="BZ236" s="2442"/>
      <c r="CA236" s="34"/>
      <c r="CC236" s="58"/>
      <c r="CD236" s="1461" t="e" cm="1">
        <f t="array" ca="1" aca="1" ref="CD236">_xlfn.LET(_xlpm.CheckBlank,SUM(PL!$AD236:$BN236)=0,IF(_xlpm.CheckBlank,"",SUM(_xlfn._xlws.FILTER(PL!$AD236:$BN236,(YEAR(PL!$AD$12:$BN$12)=PL!CD$12)*(array_timeline&lt;=PL!CD$11)))))</f>
        <v>#NAME?</v>
      </c>
      <c r="CE236" s="1461" t="e" cm="1">
        <f t="array" ca="1" aca="1" ref="CE236">_xlfn.LET(_xlpm.CheckBlank,SUM(PL!$AD236:$BN236)=0,IF(_xlpm.CheckBlank,"",SUM(_xlfn._xlws.FILTER(PL!$AD236:$BN236,(YEAR(PL!$AD$12:$BN$12)=PL!CE$12)*(array_timeline&lt;=PL!CE$11)))))</f>
        <v>#NAME?</v>
      </c>
      <c r="CF236" s="88"/>
      <c r="CG236" s="1461" t="e" cm="1">
        <f t="array" ca="1" aca="1" ref="CG236">_xlfn.LET(_xlpm.CheckBlank,SUM(PL!$AD236:$BN236)=0,IF(_xlpm.CheckBlank,"",SUM(_xlfn._xlws.FILTER(PL!$AD236:$BN236,(YEAR(PL!$AD$12:$BN$12)=PL!CG$12)*(array_timeline&lt;=PL!CG$11)))))</f>
        <v>#NAME?</v>
      </c>
      <c r="CH236" s="1461" t="e" cm="1">
        <f t="array" ca="1" aca="1" ref="CH236">_xlfn.LET(_xlpm.CheckBlank,SUM(PL!$AD236:$BN236)=0,IF(_xlpm.CheckBlank,"",SUM(_xlfn._xlws.FILTER(PL!$AD236:$BN236,(YEAR(PL!$AD$12:$BN$12)=PL!CH$12)*(array_timeline&lt;=PL!CH$11)))))</f>
        <v>#NAME?</v>
      </c>
      <c r="CI236" s="88"/>
      <c r="CJ236" s="1461" cm="1">
        <f t="array" ref="CJ236">_xlfn.LET(_xlpm.CheckBlank,SUM(PL!$AD236:$BN236)=0,IF(_xlpm.CheckBlank,"",SUM(_xlfn.TAKE(_xlfn.DROP(PL!$AD236:$BN236,,-DATEDIFF(PL!CJ$11,val_asOfDate,"M")),1,-12))))</f>
        <v>12</v>
      </c>
      <c r="CK236" s="1461" cm="1">
        <f t="array" ref="CK236">_xlfn.LET(_xlpm.CheckBlank,SUM(PL!$AD236:$BN236)=0,IF(_xlpm.CheckBlank,"",SUM(_xlfn.TAKE(_xlfn.DROP(PL!$AD236:$BN236,,-DATEDIFF(PL!CK$11,val_asOfDate,"M")),1,-12))))</f>
        <v>12</v>
      </c>
      <c r="CL236" s="88"/>
      <c r="CM236" s="3193">
        <v>1</v>
      </c>
      <c r="CN236" s="3193">
        <v>1</v>
      </c>
      <c r="CO236" s="1169"/>
      <c r="CP236" s="3193">
        <v>1</v>
      </c>
      <c r="CQ236" s="3193">
        <v>1</v>
      </c>
      <c r="CR236" s="34"/>
      <c r="CS236" s="2056"/>
      <c r="CT236" s="2447" t="e" cm="1">
        <f t="array" ca="1" aca="1" ref="CT236">IF(OR($Y236="Segment IV Breakdown - Amount 1",$Y236="Segment IV Breakdown - Amount 2",$Y236="Segment IV Breakdown - Amount 3",$Y236="Segment IV Breakdown - Amount 4",$Y236="Segment IV Breakdown - Amount 5",$Y236="Segment IV Breakdown - Amount 6",$Y236="Please select the metric for segmentation"),"",_xldudf_CX_PUSH($Y236,CX_ENTITY,$C236,val_asOfDate))</f>
        <v>#NAME?</v>
      </c>
      <c r="CU236" s="2447" t="e" cm="1">
        <f t="array" ca="1" aca="1" ref="CU236">IF(OR($Y236="Segment IV Breakdown - Amount 1",$Y236="Segment IV Breakdown - Amount 2",$Y236="Segment IV Breakdown - Amount 3",$Y236="Segment IV Breakdown - Amount 4",$Y236="Segment IV Breakdown - Amount 5",$Y236="Segment IV Breakdown - Amount 6",$Y236="Please select the metric for segmentation"),"",_xldudf_CX_PUSH($Y236,CX_ENTITY,$C236,EOMONTH(val_asOfDate,1)))</f>
        <v>#NAME?</v>
      </c>
      <c r="CV236" s="2447" t="e" cm="1">
        <f t="array" ca="1" aca="1" ref="CV236">IF(OR($Y236="Segment IV Breakdown - Amount 1",$Y236="Segment IV Breakdown - Amount 2",$Y236="Segment IV Breakdown - Amount 3",$Y236="Segment IV Breakdown - Amount 4",$Y236="Segment IV Breakdown - Amount 5",$Y236="Segment IV Breakdown - Amount 6",$Y236="Please select the metric for segmentation"),"",_xldudf_CX_PUSH($Y236,CX_ENTITY,$C236,EOMONTH(val_asOfDate,2)))</f>
        <v>#NAME?</v>
      </c>
      <c r="CW236" s="2447" t="e" cm="1">
        <f t="array" ca="1" aca="1" ref="CW236">IF(OR($Y236="Segment IV Breakdown - Amount 1",$Y236="Segment IV Breakdown - Amount 2",$Y236="Segment IV Breakdown - Amount 3",$Y236="Segment IV Breakdown - Amount 4",$Y236="Segment IV Breakdown - Amount 5",$Y236="Segment IV Breakdown - Amount 6",$Y236="Please select the metric for segmentation"),"",_xldudf_CX_PUSH($Y236,CX_ENTITY,$C236,EOMONTH(val_asOfDate,3)))</f>
        <v>#NAME?</v>
      </c>
      <c r="CX236" s="2443"/>
      <c r="CY236" s="2444" t="str" cm="1">
        <f t="array" ca="1" aca="1" ref="CY236">IFERROR(IF(CM236*fxVal_normal=PL!CM291,"",IF(OR($CM236="",$CM236=0,NOT(ISNUMBER($CM236)),ISERROR($CM236),$B236=""),"",IF($I236=1,IFBLANK(_xldudf_CX_PUSH($CM236*fxVal_normal,CX_ENTITY,$B236,$CM$11,$CM$14,$CM$19,),""),IF($I236=2,IFBLANK(_xldudf_CX_PUSH($CM236,CX_ENTITY,$B236,$CM$11,$CM$14,$CM$19,),""),IF($I236=3,"",IFBLANK(_xldudf_CX_PUSH($CM236,CX_ENTITY,$B236,$CM$11,$CM$14,$CM$19,),"")))))),"")</f>
        <v/>
      </c>
      <c r="CZ236" s="2444" t="str" cm="1">
        <f t="array" ca="1" aca="1" ref="CZ236">IFERROR(IF(CN236*fxVal_normal=PL!CN291,"",IF(OR($CN236="",$CN236=0,NOT(ISNUMBER($CN236)),ISERROR($CN236),$B236=""),"",IF($I236=1,IFBLANK(_xldudf_CX_PUSH($CN236*fxVal_normal,CX_ENTITY,$B236,$CN$11,$CN$14,$CN$19,),""),IF($I236=2,IFBLANK(_xldudf_CX_PUSH($CN236,CX_ENTITY,$B236,$CN$11,$CN$14,$CN$19,),""),IF($I236=3,"",IFBLANK(_xldudf_CX_PUSH($CN236,CX_ENTITY,$B236,$CN$11,$CN$14,$CN$19,),"")))))),"")</f>
        <v/>
      </c>
      <c r="DA236" s="2444" t="str" cm="1">
        <f t="array" ca="1" aca="1" ref="DA236">IFERROR(IF(CP236*fxVal_normal=PL!CP291,"",IF(OR($CP236="",$CP236=0,NOT(ISNUMBER($CP236)),ISERROR($CP236),$B236=""),"",IF($I236=1,IFBLANK(_xldudf_CX_PUSH($CP236*fxVal_normal,CX_ENTITY,$B236,$CP$11,$CP$14,$CP$19,),""),IF($I236=2,IFBLANK(_xldudf_CX_PUSH($CP236,CX_ENTITY,$B236,$CP$11,$CP$14,$CP$19,),""),IF($I236=3,"",IFBLANK(_xldudf_CX_PUSH($CP236,CX_ENTITY,$B236,$CP$11,$CP$14,$CP$19,),"")))))),"")</f>
        <v/>
      </c>
      <c r="DB236" s="2444" t="str" cm="1">
        <f t="array" ca="1" aca="1" ref="DB236">IFERROR(IF(CQ236*fxVal_normal=PL!CQ291,"",IF(OR($CQ236="",$CQ236=0,NOT(ISNUMBER($CQ236)),ISERROR($CQ236),$B236=""),"",IF($I236=1,IFBLANK(_xldudf_CX_PUSH($CQ236*fxVal_normal,CX_ENTITY,$B236,$CQ$11,$CQ$14,$CQ$19,),""),IF($I236=2,IFBLANK(_xldudf_CX_PUSH($CQ236,CX_ENTITY,$B236,$CQ$11,$CQ$14,$CQ$19,),""),IF($I236=3,"",IFBLANK(_xldudf_CX_PUSH($CQ236,CX_ENTITY,$B236,$CQ$11,$CQ$14,$CQ$19,),"")))))),"")</f>
        <v/>
      </c>
      <c r="DC236" s="2443"/>
      <c r="DD236" s="2445" t="str" cm="1">
        <f t="array" ca="1" aca="1" ref="DD236">IFERROR(IF(AD236*fxVal_normal=PL!AD278,"",IF(OR(AD236="",NOT(ISNUMBER(AD236)),ISERROR(AD236),$B236=""),"",IF($I236=1,IFBLANK(_xldudf_CX_PUSH(AD236*fxVal_normal,CX_ENTITY,$B236,AD$11,AD$14,AD$234,),""),IF($I236=2,IFBLANK(_xldudf_CX_PUSH(AD236,CX_ENTITY,$B236,AD$11,AD$14,AD$234,),""),IF($I236=3,"",IFBLANK(_xldudf_CX_PUSH(AD236,CX_ENTITY,$B236,AD$11,AD$14,AD$234,),"")))))),"")</f>
        <v/>
      </c>
      <c r="DE236" s="2445" t="str" cm="1">
        <f t="array" ca="1" aca="1" ref="DE236">IFERROR(IF(AE236*fxVal_normal=PL!AE278,"",IF(OR(AE236="",NOT(ISNUMBER(AE236)),ISERROR(AE236),$B236=""),"",IF($I236=1,IFBLANK(_xldudf_CX_PUSH(AE236*fxVal_normal,CX_ENTITY,$B236,AE$11,AE$14,AE$234,),""),IF($I236=2,IFBLANK(_xldudf_CX_PUSH(AE236,CX_ENTITY,$B236,AE$11,AE$14,AE$234,),""),IF($I236=3,"",IFBLANK(_xldudf_CX_PUSH(AE236,CX_ENTITY,$B236,AE$11,AE$14,AE$234,),"")))))),"")</f>
        <v/>
      </c>
      <c r="DF236" s="2445" t="str" cm="1">
        <f t="array" ca="1" aca="1" ref="DF236">IFERROR(IF(AF236*fxVal_normal=PL!AF278,"",IF(OR(AF236="",NOT(ISNUMBER(AF236)),ISERROR(AF236),$B236=""),"",IF($I236=1,IFBLANK(_xldudf_CX_PUSH(AF236*fxVal_normal,CX_ENTITY,$B236,AF$11,AF$14,AF$234,),""),IF($I236=2,IFBLANK(_xldudf_CX_PUSH(AF236,CX_ENTITY,$B236,AF$11,AF$14,AF$234,),""),IF($I236=3,"",IFBLANK(_xldudf_CX_PUSH(AF236,CX_ENTITY,$B236,AF$11,AF$14,AF$234,),"")))))),"")</f>
        <v/>
      </c>
      <c r="DG236" s="2445" t="str" cm="1">
        <f t="array" ca="1" aca="1" ref="DG236">IFERROR(IF(AG236*fxVal_normal=PL!AG278,"",IF(OR(AG236="",NOT(ISNUMBER(AG236)),ISERROR(AG236),$B236=""),"",IF($I236=1,IFBLANK(_xldudf_CX_PUSH(AG236*fxVal_normal,CX_ENTITY,$B236,AG$11,AG$14,AG$234,),""),IF($I236=2,IFBLANK(_xldudf_CX_PUSH(AG236,CX_ENTITY,$B236,AG$11,AG$14,AG$234,),""),IF($I236=3,"",IFBLANK(_xldudf_CX_PUSH(AG236,CX_ENTITY,$B236,AG$11,AG$14,AG$234,),"")))))),"")</f>
        <v/>
      </c>
      <c r="DH236" s="2445" t="str" cm="1">
        <f t="array" ca="1" aca="1" ref="DH236">IFERROR(IF(AH236*fxVal_normal=PL!AH278,"",IF(OR(AH236="",NOT(ISNUMBER(AH236)),ISERROR(AH236),$B236=""),"",IF($I236=1,IFBLANK(_xldudf_CX_PUSH(AH236*fxVal_normal,CX_ENTITY,$B236,AH$11,AH$14,AH$234,),""),IF($I236=2,IFBLANK(_xldudf_CX_PUSH(AH236,CX_ENTITY,$B236,AH$11,AH$14,AH$234,),""),IF($I236=3,"",IFBLANK(_xldudf_CX_PUSH(AH236,CX_ENTITY,$B236,AH$11,AH$14,AH$234,),"")))))),"")</f>
        <v/>
      </c>
      <c r="DI236" s="2445" t="str" cm="1">
        <f t="array" ca="1" aca="1" ref="DI236">IFERROR(IF(AI236*fxVal_normal=PL!AI278,"",IF(OR(AI236="",NOT(ISNUMBER(AI236)),ISERROR(AI236),$B236=""),"",IF($I236=1,IFBLANK(_xldudf_CX_PUSH(AI236*fxVal_normal,CX_ENTITY,$B236,AI$11,AI$14,AI$234,),""),IF($I236=2,IFBLANK(_xldudf_CX_PUSH(AI236,CX_ENTITY,$B236,AI$11,AI$14,AI$234,),""),IF($I236=3,"",IFBLANK(_xldudf_CX_PUSH(AI236,CX_ENTITY,$B236,AI$11,AI$14,AI$234,),"")))))),"")</f>
        <v/>
      </c>
      <c r="DJ236" s="2445" t="str" cm="1">
        <f t="array" ca="1" aca="1" ref="DJ236">IFERROR(IF(AJ236*fxVal_normal=PL!AJ278,"",IF(OR(AJ236="",NOT(ISNUMBER(AJ236)),ISERROR(AJ236),$B236=""),"",IF($I236=1,IFBLANK(_xldudf_CX_PUSH(AJ236*fxVal_normal,CX_ENTITY,$B236,AJ$11,AJ$14,AJ$234,),""),IF($I236=2,IFBLANK(_xldudf_CX_PUSH(AJ236,CX_ENTITY,$B236,AJ$11,AJ$14,AJ$234,),""),IF($I236=3,"",IFBLANK(_xldudf_CX_PUSH(AJ236,CX_ENTITY,$B236,AJ$11,AJ$14,AJ$234,),"")))))),"")</f>
        <v/>
      </c>
      <c r="DK236" s="2445" t="str" cm="1">
        <f t="array" ca="1" aca="1" ref="DK236">IFERROR(IF(AK236*fxVal_normal=PL!AK278,"",IF(OR(AK236="",NOT(ISNUMBER(AK236)),ISERROR(AK236),$B236=""),"",IF($I236=1,IFBLANK(_xldudf_CX_PUSH(AK236*fxVal_normal,CX_ENTITY,$B236,AK$11,AK$14,AK$234,),""),IF($I236=2,IFBLANK(_xldudf_CX_PUSH(AK236,CX_ENTITY,$B236,AK$11,AK$14,AK$234,),""),IF($I236=3,"",IFBLANK(_xldudf_CX_PUSH(AK236,CX_ENTITY,$B236,AK$11,AK$14,AK$234,),"")))))),"")</f>
        <v/>
      </c>
      <c r="DL236" s="2445" t="str" cm="1">
        <f t="array" ca="1" aca="1" ref="DL236">IFERROR(IF(AL236*fxVal_normal=PL!AL278,"",IF(OR(AL236="",NOT(ISNUMBER(AL236)),ISERROR(AL236),$B236=""),"",IF($I236=1,IFBLANK(_xldudf_CX_PUSH(AL236*fxVal_normal,CX_ENTITY,$B236,AL$11,AL$14,AL$234,),""),IF($I236=2,IFBLANK(_xldudf_CX_PUSH(AL236,CX_ENTITY,$B236,AL$11,AL$14,AL$234,),""),IF($I236=3,"",IFBLANK(_xldudf_CX_PUSH(AL236,CX_ENTITY,$B236,AL$11,AL$14,AL$234,),"")))))),"")</f>
        <v/>
      </c>
      <c r="DM236" s="2445" t="str" cm="1">
        <f t="array" ca="1" aca="1" ref="DM236">IFERROR(IF(AM236*fxVal_normal=PL!AM278,"",IF(OR(AM236="",NOT(ISNUMBER(AM236)),ISERROR(AM236),$B236=""),"",IF($I236=1,IFBLANK(_xldudf_CX_PUSH(AM236*fxVal_normal,CX_ENTITY,$B236,AM$11,AM$14,AM$234,),""),IF($I236=2,IFBLANK(_xldudf_CX_PUSH(AM236,CX_ENTITY,$B236,AM$11,AM$14,AM$234,),""),IF($I236=3,"",IFBLANK(_xldudf_CX_PUSH(AM236,CX_ENTITY,$B236,AM$11,AM$14,AM$234,),"")))))),"")</f>
        <v/>
      </c>
      <c r="DN236" s="2445" t="str" cm="1">
        <f t="array" ca="1" aca="1" ref="DN236">IFERROR(IF(AN236*fxVal_normal=PL!AN278,"",IF(OR(AN236="",NOT(ISNUMBER(AN236)),ISERROR(AN236),$B236=""),"",IF($I236=1,IFBLANK(_xldudf_CX_PUSH(AN236*fxVal_normal,CX_ENTITY,$B236,AN$11,AN$14,AN$234,),""),IF($I236=2,IFBLANK(_xldudf_CX_PUSH(AN236,CX_ENTITY,$B236,AN$11,AN$14,AN$234,),""),IF($I236=3,"",IFBLANK(_xldudf_CX_PUSH(AN236,CX_ENTITY,$B236,AN$11,AN$14,AN$234,),"")))))),"")</f>
        <v/>
      </c>
      <c r="DO236" s="2445" t="str" cm="1">
        <f t="array" ca="1" aca="1" ref="DO236">IFERROR(IF(AO236*fxVal_normal=PL!AO278,"",IF(OR(AO236="",NOT(ISNUMBER(AO236)),ISERROR(AO236),$B236=""),"",IF($I236=1,IFBLANK(_xldudf_CX_PUSH(AO236*fxVal_normal,CX_ENTITY,$B236,AO$11,AO$14,AO$234,),""),IF($I236=2,IFBLANK(_xldudf_CX_PUSH(AO236,CX_ENTITY,$B236,AO$11,AO$14,AO$234,),""),IF($I236=3,"",IFBLANK(_xldudf_CX_PUSH(AO236,CX_ENTITY,$B236,AO$11,AO$14,AO$234,),"")))))),"")</f>
        <v/>
      </c>
      <c r="DP236" s="2445" t="str" cm="1">
        <f t="array" ca="1" aca="1" ref="DP236">IFERROR(IF(AP236*fxVal_normal=PL!AP278,"",IF(OR(AP236="",NOT(ISNUMBER(AP236)),ISERROR(AP236),$B236=""),"",IF($I236=1,IFBLANK(_xldudf_CX_PUSH(AP236*fxVal_normal,CX_ENTITY,$B236,AP$11,AP$14,AP$234,),""),IF($I236=2,IFBLANK(_xldudf_CX_PUSH(AP236,CX_ENTITY,$B236,AP$11,AP$14,AP$234,),""),IF($I236=3,"",IFBLANK(_xldudf_CX_PUSH(AP236,CX_ENTITY,$B236,AP$11,AP$14,AP$234,),"")))))),"")</f>
        <v/>
      </c>
      <c r="DQ236" s="2445" t="str" cm="1">
        <f t="array" ca="1" aca="1" ref="DQ236">IFERROR(IF(AQ236*fxVal_normal=PL!AQ278,"",IF(OR(AQ236="",NOT(ISNUMBER(AQ236)),ISERROR(AQ236),$B236=""),"",IF($I236=1,IFBLANK(_xldudf_CX_PUSH(AQ236*fxVal_normal,CX_ENTITY,$B236,AQ$11,AQ$14,AQ$234,),""),IF($I236=2,IFBLANK(_xldudf_CX_PUSH(AQ236,CX_ENTITY,$B236,AQ$11,AQ$14,AQ$234,),""),IF($I236=3,"",IFBLANK(_xldudf_CX_PUSH(AQ236,CX_ENTITY,$B236,AQ$11,AQ$14,AQ$234,),"")))))),"")</f>
        <v/>
      </c>
      <c r="DR236" s="2445" t="str" cm="1">
        <f t="array" ca="1" aca="1" ref="DR236">IFERROR(IF(AR236*fxVal_normal=PL!AR278,"",IF(OR(AR236="",NOT(ISNUMBER(AR236)),ISERROR(AR236),$B236=""),"",IF($I236=1,IFBLANK(_xldudf_CX_PUSH(AR236*fxVal_normal,CX_ENTITY,$B236,AR$11,AR$14,AR$234,),""),IF($I236=2,IFBLANK(_xldudf_CX_PUSH(AR236,CX_ENTITY,$B236,AR$11,AR$14,AR$234,),""),IF($I236=3,"",IFBLANK(_xldudf_CX_PUSH(AR236,CX_ENTITY,$B236,AR$11,AR$14,AR$234,),"")))))),"")</f>
        <v/>
      </c>
      <c r="DS236" s="2445" t="str" cm="1">
        <f t="array" ca="1" aca="1" ref="DS236">IFERROR(IF(AS236*fxVal_normal=PL!AS278,"",IF(OR(AS236="",NOT(ISNUMBER(AS236)),ISERROR(AS236),$B236=""),"",IF($I236=1,IFBLANK(_xldudf_CX_PUSH(AS236*fxVal_normal,CX_ENTITY,$B236,AS$11,AS$14,AS$234,),""),IF($I236=2,IFBLANK(_xldudf_CX_PUSH(AS236,CX_ENTITY,$B236,AS$11,AS$14,AS$234,),""),IF($I236=3,"",IFBLANK(_xldudf_CX_PUSH(AS236,CX_ENTITY,$B236,AS$11,AS$14,AS$234,),"")))))),"")</f>
        <v/>
      </c>
      <c r="DT236" s="2445" t="str" cm="1">
        <f t="array" ca="1" aca="1" ref="DT236">IFERROR(IF(AT236*fxVal_normal=PL!AT278,"",IF(OR(AT236="",NOT(ISNUMBER(AT236)),ISERROR(AT236),$B236=""),"",IF($I236=1,IFBLANK(_xldudf_CX_PUSH(AT236*fxVal_normal,CX_ENTITY,$B236,AT$11,AT$14,AT$234,),""),IF($I236=2,IFBLANK(_xldudf_CX_PUSH(AT236,CX_ENTITY,$B236,AT$11,AT$14,AT$234,),""),IF($I236=3,"",IFBLANK(_xldudf_CX_PUSH(AT236,CX_ENTITY,$B236,AT$11,AT$14,AT$234,),"")))))),"")</f>
        <v/>
      </c>
      <c r="DU236" s="2445" t="str" cm="1">
        <f t="array" ca="1" aca="1" ref="DU236">IFERROR(IF(AU236*fxVal_normal=PL!AU278,"",IF(OR(AU236="",NOT(ISNUMBER(AU236)),ISERROR(AU236),$B236=""),"",IF($I236=1,IFBLANK(_xldudf_CX_PUSH(AU236*fxVal_normal,CX_ENTITY,$B236,AU$11,AU$14,AU$234,),""),IF($I236=2,IFBLANK(_xldudf_CX_PUSH(AU236,CX_ENTITY,$B236,AU$11,AU$14,AU$234,),""),IF($I236=3,"",IFBLANK(_xldudf_CX_PUSH(AU236,CX_ENTITY,$B236,AU$11,AU$14,AU$234,),"")))))),"")</f>
        <v/>
      </c>
      <c r="DV236" s="2445" t="str" cm="1">
        <f t="array" ca="1" aca="1" ref="DV236">IFERROR(IF(AV236*fxVal_normal=PL!AV278,"",IF(OR(AV236="",NOT(ISNUMBER(AV236)),ISERROR(AV236),$B236=""),"",IF($I236=1,IFBLANK(_xldudf_CX_PUSH(AV236*fxVal_normal,CX_ENTITY,$B236,AV$11,AV$14,AV$234,),""),IF($I236=2,IFBLANK(_xldudf_CX_PUSH(AV236,CX_ENTITY,$B236,AV$11,AV$14,AV$234,),""),IF($I236=3,"",IFBLANK(_xldudf_CX_PUSH(AV236,CX_ENTITY,$B236,AV$11,AV$14,AV$234,),"")))))),"")</f>
        <v/>
      </c>
      <c r="DW236" s="2445" t="str" cm="1">
        <f t="array" ca="1" aca="1" ref="DW236">IFERROR(IF(AW236*fxVal_normal=PL!AW278,"",IF(OR(AW236="",NOT(ISNUMBER(AW236)),ISERROR(AW236),$B236=""),"",IF($I236=1,IFBLANK(_xldudf_CX_PUSH(AW236*fxVal_normal,CX_ENTITY,$B236,AW$11,AW$14,AW$234,),""),IF($I236=2,IFBLANK(_xldudf_CX_PUSH(AW236,CX_ENTITY,$B236,AW$11,AW$14,AW$234,),""),IF($I236=3,"",IFBLANK(_xldudf_CX_PUSH(AW236,CX_ENTITY,$B236,AW$11,AW$14,AW$234,),"")))))),"")</f>
        <v/>
      </c>
      <c r="DX236" s="2445" t="str" cm="1">
        <f t="array" ca="1" aca="1" ref="DX236">IFERROR(IF(AX236*fxVal_normal=PL!AX278,"",IF(OR(AX236="",NOT(ISNUMBER(AX236)),ISERROR(AX236),$B236=""),"",IF($I236=1,IFBLANK(_xldudf_CX_PUSH(AX236*fxVal_normal,CX_ENTITY,$B236,AX$11,AX$14,AX$234,),""),IF($I236=2,IFBLANK(_xldudf_CX_PUSH(AX236,CX_ENTITY,$B236,AX$11,AX$14,AX$234,),""),IF($I236=3,"",IFBLANK(_xldudf_CX_PUSH(AX236,CX_ENTITY,$B236,AX$11,AX$14,AX$234,),"")))))),"")</f>
        <v/>
      </c>
      <c r="DY236" s="2445" t="str" cm="1">
        <f t="array" ca="1" aca="1" ref="DY236">IFERROR(IF(AY236*fxVal_normal=PL!AY278,"",IF(OR(AY236="",NOT(ISNUMBER(AY236)),ISERROR(AY236),$B236=""),"",IF($I236=1,IFBLANK(_xldudf_CX_PUSH(AY236*fxVal_normal,CX_ENTITY,$B236,AY$11,AY$14,AY$234,),""),IF($I236=2,IFBLANK(_xldudf_CX_PUSH(AY236,CX_ENTITY,$B236,AY$11,AY$14,AY$234,),""),IF($I236=3,"",IFBLANK(_xldudf_CX_PUSH(AY236,CX_ENTITY,$B236,AY$11,AY$14,AY$234,),"")))))),"")</f>
        <v/>
      </c>
      <c r="DZ236" s="2445" t="str" cm="1">
        <f t="array" ca="1" aca="1" ref="DZ236">IFERROR(IF(AZ236*fxVal_normal=PL!AZ278,"",IF(OR(AZ236="",NOT(ISNUMBER(AZ236)),ISERROR(AZ236),$B236=""),"",IF($I236=1,IFBLANK(_xldudf_CX_PUSH(AZ236*fxVal_normal,CX_ENTITY,$B236,AZ$11,AZ$14,AZ$234,),""),IF($I236=2,IFBLANK(_xldudf_CX_PUSH(AZ236,CX_ENTITY,$B236,AZ$11,AZ$14,AZ$234,),""),IF($I236=3,"",IFBLANK(_xldudf_CX_PUSH(AZ236,CX_ENTITY,$B236,AZ$11,AZ$14,AZ$234,),"")))))),"")</f>
        <v/>
      </c>
      <c r="EA236" s="2445" t="str" cm="1">
        <f t="array" ca="1" aca="1" ref="EA236">IFERROR(IF(BA236*fxVal_normal=PL!BA278,"",IF(OR(BA236="",NOT(ISNUMBER(BA236)),ISERROR(BA236),$B236=""),"",IF($I236=1,IFBLANK(_xldudf_CX_PUSH(BA236*fxVal_normal,CX_ENTITY,$B236,BA$11,BA$14,BA$234,),""),IF($I236=2,IFBLANK(_xldudf_CX_PUSH(BA236,CX_ENTITY,$B236,BA$11,BA$14,BA$234,),""),IF($I236=3,"",IFBLANK(_xldudf_CX_PUSH(BA236,CX_ENTITY,$B236,BA$11,BA$14,BA$234,),"")))))),"")</f>
        <v/>
      </c>
      <c r="EB236" s="2445" t="str" cm="1">
        <f t="array" ca="1" aca="1" ref="EB236">IFERROR(IF(BB236*fxVal_normal=PL!BB278,"",IF(OR(BB236="",NOT(ISNUMBER(BB236)),ISERROR(BB236),$B236=""),"",IF($I236=1,IFBLANK(_xldudf_CX_PUSH(BB236*fxVal_normal,CX_ENTITY,$B236,BB$11,BB$14,BB$234,),""),IF($I236=2,IFBLANK(_xldudf_CX_PUSH(BB236,CX_ENTITY,$B236,BB$11,BB$14,BB$234,),""),IF($I236=3,"",IFBLANK(_xldudf_CX_PUSH(BB236,CX_ENTITY,$B236,BB$11,BB$14,BB$234,),"")))))),"")</f>
        <v/>
      </c>
      <c r="EC236" s="2445" t="str" cm="1">
        <f t="array" ca="1" aca="1" ref="EC236">IFERROR(IF(BC236*fxVal_normal=PL!BC278,"",IF(OR(BC236="",NOT(ISNUMBER(BC236)),ISERROR(BC236),$B236=""),"",IF($I236=1,IFBLANK(_xldudf_CX_PUSH(BC236*fxVal_normal,CX_ENTITY,$B236,BC$11,BC$14,BC$234,),""),IF($I236=2,IFBLANK(_xldudf_CX_PUSH(BC236,CX_ENTITY,$B236,BC$11,BC$14,BC$234,),""),IF($I236=3,"",IFBLANK(_xldudf_CX_PUSH(BC236,CX_ENTITY,$B236,BC$11,BC$14,BC$234,),"")))))),"")</f>
        <v/>
      </c>
      <c r="ED236" s="2445" t="str" cm="1">
        <f t="array" ca="1" aca="1" ref="ED236">IFERROR(IF(BD236*fxVal_normal=PL!BD278,"",IF(OR(BD236="",NOT(ISNUMBER(BD236)),ISERROR(BD236),$B236=""),"",IF($I236=1,IFBLANK(_xldudf_CX_PUSH(BD236*fxVal_normal,CX_ENTITY,$B236,BD$11,BD$14,BD$234,),""),IF($I236=2,IFBLANK(_xldudf_CX_PUSH(BD236,CX_ENTITY,$B236,BD$11,BD$14,BD$234,),""),IF($I236=3,"",IFBLANK(_xldudf_CX_PUSH(BD236,CX_ENTITY,$B236,BD$11,BD$14,BD$234,),"")))))),"")</f>
        <v/>
      </c>
      <c r="EE236" s="2445" t="str" cm="1">
        <f t="array" ca="1" aca="1" ref="EE236">IFERROR(IF(BE236*fxVal_normal=PL!BE278,"",IF(OR(BE236="",NOT(ISNUMBER(BE236)),ISERROR(BE236),$B236=""),"",IF($I236=1,IFBLANK(_xldudf_CX_PUSH(BE236*fxVal_normal,CX_ENTITY,$B236,BE$11,BE$14,BE$234,),""),IF($I236=2,IFBLANK(_xldudf_CX_PUSH(BE236,CX_ENTITY,$B236,BE$11,BE$14,BE$234,),""),IF($I236=3,"",IFBLANK(_xldudf_CX_PUSH(BE236,CX_ENTITY,$B236,BE$11,BE$14,BE$234,),"")))))),"")</f>
        <v/>
      </c>
      <c r="EF236" s="2445" t="str" cm="1">
        <f t="array" ca="1" aca="1" ref="EF236">IFERROR(IF(BF236*fxVal_normal=PL!BF278,"",IF(OR(BF236="",NOT(ISNUMBER(BF236)),ISERROR(BF236),$B236=""),"",IF($I236=1,IFBLANK(_xldudf_CX_PUSH(BF236*fxVal_normal,CX_ENTITY,$B236,BF$11,BF$14,BF$234,),""),IF($I236=2,IFBLANK(_xldudf_CX_PUSH(BF236,CX_ENTITY,$B236,BF$11,BF$14,BF$234,),""),IF($I236=3,"",IFBLANK(_xldudf_CX_PUSH(BF236,CX_ENTITY,$B236,BF$11,BF$14,BF$234,),"")))))),"")</f>
        <v/>
      </c>
      <c r="EG236" s="2445" t="str" cm="1">
        <f t="array" ca="1" aca="1" ref="EG236">IFERROR(IF(BG236*fxVal_normal=PL!BG278,"",IF(OR(BG236="",NOT(ISNUMBER(BG236)),ISERROR(BG236),$B236=""),"",IF($I236=1,IFBLANK(_xldudf_CX_PUSH(BG236*fxVal_normal,CX_ENTITY,$B236,BG$11,BG$14,BG$234,),""),IF($I236=2,IFBLANK(_xldudf_CX_PUSH(BG236,CX_ENTITY,$B236,BG$11,BG$14,BG$234,),""),IF($I236=3,"",IFBLANK(_xldudf_CX_PUSH(BG236,CX_ENTITY,$B236,BG$11,BG$14,BG$234,),"")))))),"")</f>
        <v/>
      </c>
      <c r="EH236" s="2445" t="str" cm="1">
        <f t="array" ca="1" aca="1" ref="EH236">IFERROR(IF(BH236*fxVal_normal=PL!BH278,"",IF(OR(BH236="",NOT(ISNUMBER(BH236)),ISERROR(BH236),$B236=""),"",IF($I236=1,IFBLANK(_xldudf_CX_PUSH(BH236*fxVal_normal,CX_ENTITY,$B236,BH$11,BH$14,BH$234,),""),IF($I236=2,IFBLANK(_xldudf_CX_PUSH(BH236,CX_ENTITY,$B236,BH$11,BH$14,BH$234,),""),IF($I236=3,"",IFBLANK(_xldudf_CX_PUSH(BH236,CX_ENTITY,$B236,BH$11,BH$14,BH$234,),"")))))),"")</f>
        <v/>
      </c>
      <c r="EI236" s="2445" t="str" cm="1">
        <f t="array" ca="1" aca="1" ref="EI236">IFERROR(IF(BI236*fxVal_normal=PL!BI278,"",IF(OR(BI236="",NOT(ISNUMBER(BI236)),ISERROR(BI236),$B236=""),"",IF($I236=1,IFBLANK(_xldudf_CX_PUSH(BI236*fxVal_normal,CX_ENTITY,$B236,BI$11,BI$14,BI$234,),""),IF($I236=2,IFBLANK(_xldudf_CX_PUSH(BI236,CX_ENTITY,$B236,BI$11,BI$14,BI$234,),""),IF($I236=3,"",IFBLANK(_xldudf_CX_PUSH(BI236,CX_ENTITY,$B236,BI$11,BI$14,BI$234,),"")))))),"")</f>
        <v/>
      </c>
      <c r="EJ236" s="2445" t="str" cm="1">
        <f t="array" ca="1" aca="1" ref="EJ236">IFERROR(IF(BJ236*fxVal_normal=PL!BJ278,"",IF(OR(BJ236="",NOT(ISNUMBER(BJ236)),ISERROR(BJ236),$B236=""),"",IF($I236=1,IFBLANK(_xldudf_CX_PUSH(BJ236*fxVal_normal,CX_ENTITY,$B236,BJ$11,BJ$14,BJ$234,),""),IF($I236=2,IFBLANK(_xldudf_CX_PUSH(BJ236,CX_ENTITY,$B236,BJ$11,BJ$14,BJ$234,),""),IF($I236=3,"",IFBLANK(_xldudf_CX_PUSH(BJ236,CX_ENTITY,$B236,BJ$11,BJ$14,BJ$234,),"")))))),"")</f>
        <v/>
      </c>
      <c r="EK236" s="2445" t="str" cm="1">
        <f t="array" ca="1" aca="1" ref="EK236">IFERROR(IF(BK236*fxVal_normal=PL!BK278,"",IF(OR(BK236="",NOT(ISNUMBER(BK236)),ISERROR(BK236),$B236=""),"",IF($I236=1,IFBLANK(_xldudf_CX_PUSH(BK236*fxVal_normal,CX_ENTITY,$B236,BK$11,BK$14,BK$234,),""),IF($I236=2,IFBLANK(_xldudf_CX_PUSH(BK236,CX_ENTITY,$B236,BK$11,BK$14,BK$234,),""),IF($I236=3,"",IFBLANK(_xldudf_CX_PUSH(BK236,CX_ENTITY,$B236,BK$11,BK$14,BK$234,),"")))))),"")</f>
        <v/>
      </c>
      <c r="EL236" s="2445" t="str" cm="1">
        <f t="array" ca="1" aca="1" ref="EL236">IFERROR(IF(BL236*fxVal_normal=PL!BL278,"",IF(OR(BL236="",NOT(ISNUMBER(BL236)),ISERROR(BL236),$B236=""),"",IF($I236=1,IFBLANK(_xldudf_CX_PUSH(BL236*fxVal_normal,CX_ENTITY,$B236,BL$11,BL$14,BL$234,),""),IF($I236=2,IFBLANK(_xldudf_CX_PUSH(BL236,CX_ENTITY,$B236,BL$11,BL$14,BL$234,),""),IF($I236=3,"",IFBLANK(_xldudf_CX_PUSH(BL236,CX_ENTITY,$B236,BL$11,BL$14,BL$234,),"")))))),"")</f>
        <v/>
      </c>
      <c r="EM236" s="2445" t="str" cm="1">
        <f t="array" ca="1" aca="1" ref="EM236">IFERROR(IF(BM236*fxVal_normal=PL!BM278,"",IF(OR(BM236="",NOT(ISNUMBER(BM236)),ISERROR(BM236),$B236=""),"",IF($I236=1,IFBLANK(_xldudf_CX_PUSH(BM236*fxVal_normal,CX_ENTITY,$B236,BM$11,BM$14,BM$234,),""),IF($I236=2,IFBLANK(_xldudf_CX_PUSH(BM236,CX_ENTITY,$B236,BM$11,BM$14,BM$234,),""),IF($I236=3,"",IFBLANK(_xldudf_CX_PUSH(BM236,CX_ENTITY,$B236,BM$11,BM$14,BM$234,),"")))))),"")</f>
        <v/>
      </c>
      <c r="EN236" s="2445" t="str" cm="1">
        <f t="array" ca="1" aca="1" ref="EN236">IFERROR(IF(BN236*fxVal_normal=PL!BN278,"",IF(OR(BN236="",NOT(ISNUMBER(BN236)),ISERROR(BN236),$B236=""),"",IF($I236=1,IFBLANK(_xldudf_CX_PUSH(BN236*fxVal_normal,CX_ENTITY,$B236,BN$11,BN$14,BN$234,),""),IF($I236=2,IFBLANK(_xldudf_CX_PUSH(BN236,CX_ENTITY,$B236,BN$11,BN$14,BN$234,),""),IF($I236=3,"",IFBLANK(_xldudf_CX_PUSH(BN236,CX_ENTITY,$B236,BN$11,BN$14,BN$234,),"")))))),"")</f>
        <v/>
      </c>
    </row>
    <row r="237" spans="1:144" ht="21" customHeight="1">
      <c r="A237" s="1627"/>
      <c r="B237" s="2439" t="s">
        <v>188</v>
      </c>
      <c r="C237" s="3459" t="str" cm="1">
        <f t="array" ref="C237">IFBLANK(_PL!C237,"")</f>
        <v>Segment IV Breakdown - Label 2</v>
      </c>
      <c r="D237" s="1548" t="s">
        <v>188</v>
      </c>
      <c r="E237" s="2440" t="e" cm="1">
        <f t="array" ca="1" aca="1" ref="E23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237:$CQ237,Z237)</f>
        <v>#NAME?</v>
      </c>
      <c r="F237" s="578"/>
      <c r="G237" s="578"/>
      <c r="H237" s="510">
        <v>0</v>
      </c>
      <c r="I237" s="3302">
        <v>1</v>
      </c>
      <c r="J237" s="401" cm="1">
        <f t="array" ref="J237">IFBLANK(Z237,"")</f>
        <v>-1</v>
      </c>
      <c r="K237" s="578" t="str">
        <f ca="1">IFERROR(IF(LEN(AB237)=0,"No",IF(LEN(J237)&gt;0,"Yes","No")),"")</f>
        <v/>
      </c>
      <c r="L237" s="37"/>
      <c r="N237" s="158"/>
      <c r="O237" s="101"/>
      <c r="P237" s="52"/>
      <c r="Q237" s="101"/>
      <c r="R237" s="101"/>
      <c r="S237" s="101"/>
      <c r="T237" s="101"/>
      <c r="U237" s="39"/>
      <c r="V237" s="37"/>
      <c r="W237" s="91" t="e">
        <f ca="1">W235</f>
        <v>#NAME?</v>
      </c>
      <c r="X237" s="2081" t="str">
        <f>_PL!X237</f>
        <v>a</v>
      </c>
      <c r="Y237" s="3224">
        <v>2</v>
      </c>
      <c r="Z237" s="198">
        <f>_PL!Z237</f>
        <v>-1</v>
      </c>
      <c r="AA237" s="2571"/>
      <c r="AB237" s="3017" t="e" cm="1">
        <f t="array" ca="1" aca="1" ref="AB237">IF(AB239&lt;&gt;"",fx_getIcon("alert"),"")</f>
        <v>#NAME?</v>
      </c>
      <c r="AC237" s="914" t="str" cm="1">
        <f t="array" ca="1" aca="1" ref="AC237">_xlfn.LET(_xlpm._termname,$AB237,_xlpm._iconname,"find",_xlpm._icon,fx_getIcon(_xlpm._iconname),_xlpm._location,_xlfn.XLOOKUP(LOWER(_xlpm._termname),LOWER(tbl_acctDef[Term]),tbl_acctDef[Term]),_xlpm._hyperlink,HYPERLINK("#"&amp;CELL("address",_xlpm._location),_xlpm._icon),IFERROR(_xlpm._hyperlink,""))</f>
        <v/>
      </c>
      <c r="AD237" s="3185">
        <v>1</v>
      </c>
      <c r="AE237" s="3185">
        <v>1</v>
      </c>
      <c r="AF237" s="3185">
        <v>1</v>
      </c>
      <c r="AG237" s="3185">
        <v>1</v>
      </c>
      <c r="AH237" s="3185">
        <v>1</v>
      </c>
      <c r="AI237" s="3185">
        <v>1</v>
      </c>
      <c r="AJ237" s="3185">
        <v>1</v>
      </c>
      <c r="AK237" s="3185">
        <v>1</v>
      </c>
      <c r="AL237" s="3185">
        <v>1</v>
      </c>
      <c r="AM237" s="3185">
        <v>1</v>
      </c>
      <c r="AN237" s="3185">
        <v>1</v>
      </c>
      <c r="AO237" s="3185">
        <v>1</v>
      </c>
      <c r="AP237" s="3185">
        <v>1</v>
      </c>
      <c r="AQ237" s="3185">
        <v>1</v>
      </c>
      <c r="AR237" s="3185">
        <v>1</v>
      </c>
      <c r="AS237" s="3185">
        <v>1</v>
      </c>
      <c r="AT237" s="3185">
        <v>1</v>
      </c>
      <c r="AU237" s="3185">
        <v>1</v>
      </c>
      <c r="AV237" s="3185">
        <v>1</v>
      </c>
      <c r="AW237" s="3185">
        <v>1</v>
      </c>
      <c r="AX237" s="3185">
        <v>1</v>
      </c>
      <c r="AY237" s="3185">
        <v>1</v>
      </c>
      <c r="AZ237" s="3185">
        <v>1</v>
      </c>
      <c r="BA237" s="3185">
        <v>1</v>
      </c>
      <c r="BB237" s="3185">
        <v>1</v>
      </c>
      <c r="BC237" s="3185">
        <v>1</v>
      </c>
      <c r="BD237" s="3185">
        <v>1</v>
      </c>
      <c r="BE237" s="3185">
        <v>1</v>
      </c>
      <c r="BF237" s="3185">
        <v>1</v>
      </c>
      <c r="BG237" s="3185">
        <v>1</v>
      </c>
      <c r="BH237" s="3185">
        <v>1</v>
      </c>
      <c r="BI237" s="3185">
        <v>1</v>
      </c>
      <c r="BJ237" s="3185">
        <v>1</v>
      </c>
      <c r="BK237" s="3185">
        <v>1</v>
      </c>
      <c r="BL237" s="3185">
        <v>1</v>
      </c>
      <c r="BM237" s="3185">
        <v>1</v>
      </c>
      <c r="BN237" s="3185">
        <v>1</v>
      </c>
      <c r="BO237" s="2442"/>
      <c r="BP237" s="2442"/>
      <c r="BQ237" s="2442"/>
      <c r="BR237" s="2442"/>
      <c r="BS237" s="2442"/>
      <c r="BT237" s="2442"/>
      <c r="BU237" s="2442"/>
      <c r="BV237" s="2442"/>
      <c r="BW237" s="2442"/>
      <c r="BX237" s="2442"/>
      <c r="BY237" s="2442"/>
      <c r="BZ237" s="2442"/>
      <c r="CA237" s="34"/>
      <c r="CC237" s="58"/>
      <c r="CD237" s="1461" t="e" cm="1">
        <f t="array" ca="1" aca="1" ref="CD237">_xlfn.LET(_xlpm.CheckBlank,SUM(PL!$AD237:$BN237)=0,IF(_xlpm.CheckBlank,"",SUM(_xlfn._xlws.FILTER(PL!$AD237:$BN237,(YEAR(PL!$AD$12:$BN$12)=PL!CD$12)*(array_timeline&lt;=PL!CD$11)))))</f>
        <v>#NAME?</v>
      </c>
      <c r="CE237" s="1461" t="e" cm="1">
        <f t="array" ca="1" aca="1" ref="CE237">_xlfn.LET(_xlpm.CheckBlank,SUM(PL!$AD237:$BN237)=0,IF(_xlpm.CheckBlank,"",SUM(_xlfn._xlws.FILTER(PL!$AD237:$BN237,(YEAR(PL!$AD$12:$BN$12)=PL!CE$12)*(array_timeline&lt;=PL!CE$11)))))</f>
        <v>#NAME?</v>
      </c>
      <c r="CF237" s="88"/>
      <c r="CG237" s="1461" t="e" cm="1">
        <f t="array" ca="1" aca="1" ref="CG237">_xlfn.LET(_xlpm.CheckBlank,SUM(PL!$AD237:$BN237)=0,IF(_xlpm.CheckBlank,"",SUM(_xlfn._xlws.FILTER(PL!$AD237:$BN237,(YEAR(PL!$AD$12:$BN$12)=PL!CG$12)*(array_timeline&lt;=PL!CG$11)))))</f>
        <v>#NAME?</v>
      </c>
      <c r="CH237" s="1461" t="e" cm="1">
        <f t="array" ca="1" aca="1" ref="CH237">_xlfn.LET(_xlpm.CheckBlank,SUM(PL!$AD237:$BN237)=0,IF(_xlpm.CheckBlank,"",SUM(_xlfn._xlws.FILTER(PL!$AD237:$BN237,(YEAR(PL!$AD$12:$BN$12)=PL!CH$12)*(array_timeline&lt;=PL!CH$11)))))</f>
        <v>#NAME?</v>
      </c>
      <c r="CI237" s="88"/>
      <c r="CJ237" s="1461" cm="1">
        <f t="array" ref="CJ237">_xlfn.LET(_xlpm.CheckBlank,SUM(PL!$AD237:$BN237)=0,IF(_xlpm.CheckBlank,"",SUM(_xlfn.TAKE(_xlfn.DROP(PL!$AD237:$BN237,,-DATEDIFF(PL!CJ$11,val_asOfDate,"M")),1,-12))))</f>
        <v>12</v>
      </c>
      <c r="CK237" s="1461" cm="1">
        <f t="array" ref="CK237">_xlfn.LET(_xlpm.CheckBlank,SUM(PL!$AD237:$BN237)=0,IF(_xlpm.CheckBlank,"",SUM(_xlfn.TAKE(_xlfn.DROP(PL!$AD237:$BN237,,-DATEDIFF(PL!CK$11,val_asOfDate,"M")),1,-12))))</f>
        <v>12</v>
      </c>
      <c r="CL237" s="88"/>
      <c r="CM237" s="3185">
        <v>1</v>
      </c>
      <c r="CN237" s="3185">
        <v>1</v>
      </c>
      <c r="CO237" s="1169"/>
      <c r="CP237" s="3185">
        <v>1</v>
      </c>
      <c r="CQ237" s="3185">
        <v>1</v>
      </c>
      <c r="CR237" s="34"/>
      <c r="CS237" s="2056"/>
      <c r="CT237" s="2447" t="e" cm="1">
        <f t="array" ca="1" aca="1" ref="CT237">IF(OR($Y237="Segment IV Breakdown - Amount 1",$Y237="Segment IV Breakdown - Amount 2",$Y237="Segment IV Breakdown - Amount 3",$Y237="Segment IV Breakdown - Amount 4",$Y237="Segment IV Breakdown - Amount 5",$Y237="Segment IV Breakdown - Amount 6",$Y237="Please select the metric for segmentation"),"",_xldudf_CX_PUSH($Y237,CX_ENTITY,$C237,val_asOfDate))</f>
        <v>#NAME?</v>
      </c>
      <c r="CU237" s="2447" t="e" cm="1">
        <f t="array" ca="1" aca="1" ref="CU237">IF(OR($Y237="Segment IV Breakdown - Amount 1",$Y237="Segment IV Breakdown - Amount 2",$Y237="Segment IV Breakdown - Amount 3",$Y237="Segment IV Breakdown - Amount 4",$Y237="Segment IV Breakdown - Amount 5",$Y237="Segment IV Breakdown - Amount 6",$Y237="Please select the metric for segmentation"),"",_xldudf_CX_PUSH($Y237,CX_ENTITY,$C237,EOMONTH(val_asOfDate,1)))</f>
        <v>#NAME?</v>
      </c>
      <c r="CV237" s="2447" t="e" cm="1">
        <f t="array" ca="1" aca="1" ref="CV237">IF(OR($Y237="Segment IV Breakdown - Amount 1",$Y237="Segment IV Breakdown - Amount 2",$Y237="Segment IV Breakdown - Amount 3",$Y237="Segment IV Breakdown - Amount 4",$Y237="Segment IV Breakdown - Amount 5",$Y237="Segment IV Breakdown - Amount 6",$Y237="Please select the metric for segmentation"),"",_xldudf_CX_PUSH($Y237,CX_ENTITY,$C237,EOMONTH(val_asOfDate,2)))</f>
        <v>#NAME?</v>
      </c>
      <c r="CW237" s="2447" t="e" cm="1">
        <f t="array" ca="1" aca="1" ref="CW237">IF(OR($Y237="Segment IV Breakdown - Amount 1",$Y237="Segment IV Breakdown - Amount 2",$Y237="Segment IV Breakdown - Amount 3",$Y237="Segment IV Breakdown - Amount 4",$Y237="Segment IV Breakdown - Amount 5",$Y237="Segment IV Breakdown - Amount 6",$Y237="Please select the metric for segmentation"),"",_xldudf_CX_PUSH($Y237,CX_ENTITY,$C237,EOMONTH(val_asOfDate,3)))</f>
        <v>#NAME?</v>
      </c>
      <c r="CX237" s="2443"/>
      <c r="CY237" s="2444" t="str" cm="1">
        <f t="array" ref="CY237">IFERROR(IF(CM237*fxVal_normal=PL!#REF!,"",IF(OR($CM237="",$CM237=0,NOT(ISNUMBER($CM237)),ISERROR($CM237),$B237=""),"",IF($I237=1,IFBLANK(_xldudf_CX_PUSH($CM237*fxVal_normal,CX_ENTITY,$B237,$CM$11,$CM$14,$CM$19,),""),IF($I237=2,IFBLANK(_xldudf_CX_PUSH($CM237,CX_ENTITY,$B237,$CM$11,$CM$14,$CM$19,),""),IF($I237=3,"",IFBLANK(_xldudf_CX_PUSH($CM237,CX_ENTITY,$B237,$CM$11,$CM$14,$CM$19,),"")))))),"")</f>
        <v/>
      </c>
      <c r="CZ237" s="2444" t="str" cm="1">
        <f t="array" ref="CZ237">IFERROR(IF(CN237*fxVal_normal=PL!#REF!,"",IF(OR($CN237="",$CN237=0,NOT(ISNUMBER($CN237)),ISERROR($CN237),$B237=""),"",IF($I237=1,IFBLANK(_xldudf_CX_PUSH($CN237*fxVal_normal,CX_ENTITY,$B237,$CN$11,$CN$14,$CN$19,),""),IF($I237=2,IFBLANK(_xldudf_CX_PUSH($CN237,CX_ENTITY,$B237,$CN$11,$CN$14,$CN$19,),""),IF($I237=3,"",IFBLANK(_xldudf_CX_PUSH($CN237,CX_ENTITY,$B237,$CN$11,$CN$14,$CN$19,),"")))))),"")</f>
        <v/>
      </c>
      <c r="DA237" s="2444" t="str" cm="1">
        <f t="array" ref="DA237">IFERROR(IF(CP237*fxVal_normal=PL!#REF!,"",IF(OR($CP237="",$CP237=0,NOT(ISNUMBER($CP237)),ISERROR($CP237),$B237=""),"",IF($I237=1,IFBLANK(_xldudf_CX_PUSH($CP237*fxVal_normal,CX_ENTITY,$B237,$CP$11,$CP$14,$CP$19,),""),IF($I237=2,IFBLANK(_xldudf_CX_PUSH($CP237,CX_ENTITY,$B237,$CP$11,$CP$14,$CP$19,),""),IF($I237=3,"",IFBLANK(_xldudf_CX_PUSH($CP237,CX_ENTITY,$B237,$CP$11,$CP$14,$CP$19,),"")))))),"")</f>
        <v/>
      </c>
      <c r="DB237" s="2444" t="str" cm="1">
        <f t="array" ref="DB237">IFERROR(IF(CQ237*fxVal_normal=PL!#REF!,"",IF(OR($CQ237="",$CQ237=0,NOT(ISNUMBER($CQ237)),ISERROR($CQ237),$B237=""),"",IF($I237=1,IFBLANK(_xldudf_CX_PUSH($CQ237*fxVal_normal,CX_ENTITY,$B237,$CQ$11,$CQ$14,$CQ$19,),""),IF($I237=2,IFBLANK(_xldudf_CX_PUSH($CQ237,CX_ENTITY,$B237,$CQ$11,$CQ$14,$CQ$19,),""),IF($I237=3,"",IFBLANK(_xldudf_CX_PUSH($CQ237,CX_ENTITY,$B237,$CQ$11,$CQ$14,$CQ$19,),"")))))),"")</f>
        <v/>
      </c>
      <c r="DC237" s="2443"/>
      <c r="DD237" s="2445" t="str" cm="1">
        <f t="array" ca="1" aca="1" ref="DD237">IFERROR(IF(AD237*fxVal_normal=PL!AD279,"",IF(OR(AD237="",NOT(ISNUMBER(AD237)),ISERROR(AD237),$B237=""),"",IF($I237=1,IFBLANK(_xldudf_CX_PUSH(AD237*fxVal_normal,CX_ENTITY,$B237,AD$11,AD$14,AD$234,),""),IF($I237=2,IFBLANK(_xldudf_CX_PUSH(AD237,CX_ENTITY,$B237,AD$11,AD$14,AD$234,),""),IF($I237=3,"",IFBLANK(_xldudf_CX_PUSH(AD237,CX_ENTITY,$B237,AD$11,AD$14,AD$234,),"")))))),"")</f>
        <v/>
      </c>
      <c r="DE237" s="2445" t="str" cm="1">
        <f t="array" ca="1" aca="1" ref="DE237">IFERROR(IF(AE237*fxVal_normal=PL!AE279,"",IF(OR(AE237="",NOT(ISNUMBER(AE237)),ISERROR(AE237),$B237=""),"",IF($I237=1,IFBLANK(_xldudf_CX_PUSH(AE237*fxVal_normal,CX_ENTITY,$B237,AE$11,AE$14,AE$234,),""),IF($I237=2,IFBLANK(_xldudf_CX_PUSH(AE237,CX_ENTITY,$B237,AE$11,AE$14,AE$234,),""),IF($I237=3,"",IFBLANK(_xldudf_CX_PUSH(AE237,CX_ENTITY,$B237,AE$11,AE$14,AE$234,),"")))))),"")</f>
        <v/>
      </c>
      <c r="DF237" s="2445" t="str" cm="1">
        <f t="array" ca="1" aca="1" ref="DF237">IFERROR(IF(AF237*fxVal_normal=PL!AF279,"",IF(OR(AF237="",NOT(ISNUMBER(AF237)),ISERROR(AF237),$B237=""),"",IF($I237=1,IFBLANK(_xldudf_CX_PUSH(AF237*fxVal_normal,CX_ENTITY,$B237,AF$11,AF$14,AF$234,),""),IF($I237=2,IFBLANK(_xldudf_CX_PUSH(AF237,CX_ENTITY,$B237,AF$11,AF$14,AF$234,),""),IF($I237=3,"",IFBLANK(_xldudf_CX_PUSH(AF237,CX_ENTITY,$B237,AF$11,AF$14,AF$234,),"")))))),"")</f>
        <v/>
      </c>
      <c r="DG237" s="2445" t="str" cm="1">
        <f t="array" ca="1" aca="1" ref="DG237">IFERROR(IF(AG237*fxVal_normal=PL!AG279,"",IF(OR(AG237="",NOT(ISNUMBER(AG237)),ISERROR(AG237),$B237=""),"",IF($I237=1,IFBLANK(_xldudf_CX_PUSH(AG237*fxVal_normal,CX_ENTITY,$B237,AG$11,AG$14,AG$234,),""),IF($I237=2,IFBLANK(_xldudf_CX_PUSH(AG237,CX_ENTITY,$B237,AG$11,AG$14,AG$234,),""),IF($I237=3,"",IFBLANK(_xldudf_CX_PUSH(AG237,CX_ENTITY,$B237,AG$11,AG$14,AG$234,),"")))))),"")</f>
        <v/>
      </c>
      <c r="DH237" s="2445" t="str" cm="1">
        <f t="array" ca="1" aca="1" ref="DH237">IFERROR(IF(AH237*fxVal_normal=PL!AH279,"",IF(OR(AH237="",NOT(ISNUMBER(AH237)),ISERROR(AH237),$B237=""),"",IF($I237=1,IFBLANK(_xldudf_CX_PUSH(AH237*fxVal_normal,CX_ENTITY,$B237,AH$11,AH$14,AH$234,),""),IF($I237=2,IFBLANK(_xldudf_CX_PUSH(AH237,CX_ENTITY,$B237,AH$11,AH$14,AH$234,),""),IF($I237=3,"",IFBLANK(_xldudf_CX_PUSH(AH237,CX_ENTITY,$B237,AH$11,AH$14,AH$234,),"")))))),"")</f>
        <v/>
      </c>
      <c r="DI237" s="2445" t="str" cm="1">
        <f t="array" ca="1" aca="1" ref="DI237">IFERROR(IF(AI237*fxVal_normal=PL!AI279,"",IF(OR(AI237="",NOT(ISNUMBER(AI237)),ISERROR(AI237),$B237=""),"",IF($I237=1,IFBLANK(_xldudf_CX_PUSH(AI237*fxVal_normal,CX_ENTITY,$B237,AI$11,AI$14,AI$234,),""),IF($I237=2,IFBLANK(_xldudf_CX_PUSH(AI237,CX_ENTITY,$B237,AI$11,AI$14,AI$234,),""),IF($I237=3,"",IFBLANK(_xldudf_CX_PUSH(AI237,CX_ENTITY,$B237,AI$11,AI$14,AI$234,),"")))))),"")</f>
        <v/>
      </c>
      <c r="DJ237" s="2445" t="str" cm="1">
        <f t="array" ca="1" aca="1" ref="DJ237">IFERROR(IF(AJ237*fxVal_normal=PL!AJ279,"",IF(OR(AJ237="",NOT(ISNUMBER(AJ237)),ISERROR(AJ237),$B237=""),"",IF($I237=1,IFBLANK(_xldudf_CX_PUSH(AJ237*fxVal_normal,CX_ENTITY,$B237,AJ$11,AJ$14,AJ$234,),""),IF($I237=2,IFBLANK(_xldudf_CX_PUSH(AJ237,CX_ENTITY,$B237,AJ$11,AJ$14,AJ$234,),""),IF($I237=3,"",IFBLANK(_xldudf_CX_PUSH(AJ237,CX_ENTITY,$B237,AJ$11,AJ$14,AJ$234,),"")))))),"")</f>
        <v/>
      </c>
      <c r="DK237" s="2445" t="str" cm="1">
        <f t="array" ca="1" aca="1" ref="DK237">IFERROR(IF(AK237*fxVal_normal=PL!AK279,"",IF(OR(AK237="",NOT(ISNUMBER(AK237)),ISERROR(AK237),$B237=""),"",IF($I237=1,IFBLANK(_xldudf_CX_PUSH(AK237*fxVal_normal,CX_ENTITY,$B237,AK$11,AK$14,AK$234,),""),IF($I237=2,IFBLANK(_xldudf_CX_PUSH(AK237,CX_ENTITY,$B237,AK$11,AK$14,AK$234,),""),IF($I237=3,"",IFBLANK(_xldudf_CX_PUSH(AK237,CX_ENTITY,$B237,AK$11,AK$14,AK$234,),"")))))),"")</f>
        <v/>
      </c>
      <c r="DL237" s="2445" t="str" cm="1">
        <f t="array" ca="1" aca="1" ref="DL237">IFERROR(IF(AL237*fxVal_normal=PL!AL279,"",IF(OR(AL237="",NOT(ISNUMBER(AL237)),ISERROR(AL237),$B237=""),"",IF($I237=1,IFBLANK(_xldudf_CX_PUSH(AL237*fxVal_normal,CX_ENTITY,$B237,AL$11,AL$14,AL$234,),""),IF($I237=2,IFBLANK(_xldudf_CX_PUSH(AL237,CX_ENTITY,$B237,AL$11,AL$14,AL$234,),""),IF($I237=3,"",IFBLANK(_xldudf_CX_PUSH(AL237,CX_ENTITY,$B237,AL$11,AL$14,AL$234,),"")))))),"")</f>
        <v/>
      </c>
      <c r="DM237" s="2445" t="str" cm="1">
        <f t="array" ca="1" aca="1" ref="DM237">IFERROR(IF(AM237*fxVal_normal=PL!AM279,"",IF(OR(AM237="",NOT(ISNUMBER(AM237)),ISERROR(AM237),$B237=""),"",IF($I237=1,IFBLANK(_xldudf_CX_PUSH(AM237*fxVal_normal,CX_ENTITY,$B237,AM$11,AM$14,AM$234,),""),IF($I237=2,IFBLANK(_xldudf_CX_PUSH(AM237,CX_ENTITY,$B237,AM$11,AM$14,AM$234,),""),IF($I237=3,"",IFBLANK(_xldudf_CX_PUSH(AM237,CX_ENTITY,$B237,AM$11,AM$14,AM$234,),"")))))),"")</f>
        <v/>
      </c>
      <c r="DN237" s="2445" t="str" cm="1">
        <f t="array" ca="1" aca="1" ref="DN237">IFERROR(IF(AN237*fxVal_normal=PL!AN279,"",IF(OR(AN237="",NOT(ISNUMBER(AN237)),ISERROR(AN237),$B237=""),"",IF($I237=1,IFBLANK(_xldudf_CX_PUSH(AN237*fxVal_normal,CX_ENTITY,$B237,AN$11,AN$14,AN$234,),""),IF($I237=2,IFBLANK(_xldudf_CX_PUSH(AN237,CX_ENTITY,$B237,AN$11,AN$14,AN$234,),""),IF($I237=3,"",IFBLANK(_xldudf_CX_PUSH(AN237,CX_ENTITY,$B237,AN$11,AN$14,AN$234,),"")))))),"")</f>
        <v/>
      </c>
      <c r="DO237" s="2445" t="str" cm="1">
        <f t="array" ca="1" aca="1" ref="DO237">IFERROR(IF(AO237*fxVal_normal=PL!AO279,"",IF(OR(AO237="",NOT(ISNUMBER(AO237)),ISERROR(AO237),$B237=""),"",IF($I237=1,IFBLANK(_xldudf_CX_PUSH(AO237*fxVal_normal,CX_ENTITY,$B237,AO$11,AO$14,AO$234,),""),IF($I237=2,IFBLANK(_xldudf_CX_PUSH(AO237,CX_ENTITY,$B237,AO$11,AO$14,AO$234,),""),IF($I237=3,"",IFBLANK(_xldudf_CX_PUSH(AO237,CX_ENTITY,$B237,AO$11,AO$14,AO$234,),"")))))),"")</f>
        <v/>
      </c>
      <c r="DP237" s="2445" t="str" cm="1">
        <f t="array" ca="1" aca="1" ref="DP237">IFERROR(IF(AP237*fxVal_normal=PL!AP279,"",IF(OR(AP237="",NOT(ISNUMBER(AP237)),ISERROR(AP237),$B237=""),"",IF($I237=1,IFBLANK(_xldudf_CX_PUSH(AP237*fxVal_normal,CX_ENTITY,$B237,AP$11,AP$14,AP$234,),""),IF($I237=2,IFBLANK(_xldudf_CX_PUSH(AP237,CX_ENTITY,$B237,AP$11,AP$14,AP$234,),""),IF($I237=3,"",IFBLANK(_xldudf_CX_PUSH(AP237,CX_ENTITY,$B237,AP$11,AP$14,AP$234,),"")))))),"")</f>
        <v/>
      </c>
      <c r="DQ237" s="2445" t="str" cm="1">
        <f t="array" ca="1" aca="1" ref="DQ237">IFERROR(IF(AQ237*fxVal_normal=PL!AQ279,"",IF(OR(AQ237="",NOT(ISNUMBER(AQ237)),ISERROR(AQ237),$B237=""),"",IF($I237=1,IFBLANK(_xldudf_CX_PUSH(AQ237*fxVal_normal,CX_ENTITY,$B237,AQ$11,AQ$14,AQ$234,),""),IF($I237=2,IFBLANK(_xldudf_CX_PUSH(AQ237,CX_ENTITY,$B237,AQ$11,AQ$14,AQ$234,),""),IF($I237=3,"",IFBLANK(_xldudf_CX_PUSH(AQ237,CX_ENTITY,$B237,AQ$11,AQ$14,AQ$234,),"")))))),"")</f>
        <v/>
      </c>
      <c r="DR237" s="2445" t="str" cm="1">
        <f t="array" ca="1" aca="1" ref="DR237">IFERROR(IF(AR237*fxVal_normal=PL!AR279,"",IF(OR(AR237="",NOT(ISNUMBER(AR237)),ISERROR(AR237),$B237=""),"",IF($I237=1,IFBLANK(_xldudf_CX_PUSH(AR237*fxVal_normal,CX_ENTITY,$B237,AR$11,AR$14,AR$234,),""),IF($I237=2,IFBLANK(_xldudf_CX_PUSH(AR237,CX_ENTITY,$B237,AR$11,AR$14,AR$234,),""),IF($I237=3,"",IFBLANK(_xldudf_CX_PUSH(AR237,CX_ENTITY,$B237,AR$11,AR$14,AR$234,),"")))))),"")</f>
        <v/>
      </c>
      <c r="DS237" s="2445" t="str" cm="1">
        <f t="array" ca="1" aca="1" ref="DS237">IFERROR(IF(AS237*fxVal_normal=PL!AS279,"",IF(OR(AS237="",NOT(ISNUMBER(AS237)),ISERROR(AS237),$B237=""),"",IF($I237=1,IFBLANK(_xldudf_CX_PUSH(AS237*fxVal_normal,CX_ENTITY,$B237,AS$11,AS$14,AS$234,),""),IF($I237=2,IFBLANK(_xldudf_CX_PUSH(AS237,CX_ENTITY,$B237,AS$11,AS$14,AS$234,),""),IF($I237=3,"",IFBLANK(_xldudf_CX_PUSH(AS237,CX_ENTITY,$B237,AS$11,AS$14,AS$234,),"")))))),"")</f>
        <v/>
      </c>
      <c r="DT237" s="2445" t="str" cm="1">
        <f t="array" ca="1" aca="1" ref="DT237">IFERROR(IF(AT237*fxVal_normal=PL!AT279,"",IF(OR(AT237="",NOT(ISNUMBER(AT237)),ISERROR(AT237),$B237=""),"",IF($I237=1,IFBLANK(_xldudf_CX_PUSH(AT237*fxVal_normal,CX_ENTITY,$B237,AT$11,AT$14,AT$234,),""),IF($I237=2,IFBLANK(_xldudf_CX_PUSH(AT237,CX_ENTITY,$B237,AT$11,AT$14,AT$234,),""),IF($I237=3,"",IFBLANK(_xldudf_CX_PUSH(AT237,CX_ENTITY,$B237,AT$11,AT$14,AT$234,),"")))))),"")</f>
        <v/>
      </c>
      <c r="DU237" s="2445" t="str" cm="1">
        <f t="array" ca="1" aca="1" ref="DU237">IFERROR(IF(AU237*fxVal_normal=PL!AU279,"",IF(OR(AU237="",NOT(ISNUMBER(AU237)),ISERROR(AU237),$B237=""),"",IF($I237=1,IFBLANK(_xldudf_CX_PUSH(AU237*fxVal_normal,CX_ENTITY,$B237,AU$11,AU$14,AU$234,),""),IF($I237=2,IFBLANK(_xldudf_CX_PUSH(AU237,CX_ENTITY,$B237,AU$11,AU$14,AU$234,),""),IF($I237=3,"",IFBLANK(_xldudf_CX_PUSH(AU237,CX_ENTITY,$B237,AU$11,AU$14,AU$234,),"")))))),"")</f>
        <v/>
      </c>
      <c r="DV237" s="2445" t="str" cm="1">
        <f t="array" ca="1" aca="1" ref="DV237">IFERROR(IF(AV237*fxVal_normal=PL!AV279,"",IF(OR(AV237="",NOT(ISNUMBER(AV237)),ISERROR(AV237),$B237=""),"",IF($I237=1,IFBLANK(_xldudf_CX_PUSH(AV237*fxVal_normal,CX_ENTITY,$B237,AV$11,AV$14,AV$234,),""),IF($I237=2,IFBLANK(_xldudf_CX_PUSH(AV237,CX_ENTITY,$B237,AV$11,AV$14,AV$234,),""),IF($I237=3,"",IFBLANK(_xldudf_CX_PUSH(AV237,CX_ENTITY,$B237,AV$11,AV$14,AV$234,),"")))))),"")</f>
        <v/>
      </c>
      <c r="DW237" s="2445" t="str" cm="1">
        <f t="array" ca="1" aca="1" ref="DW237">IFERROR(IF(AW237*fxVal_normal=PL!AW279,"",IF(OR(AW237="",NOT(ISNUMBER(AW237)),ISERROR(AW237),$B237=""),"",IF($I237=1,IFBLANK(_xldudf_CX_PUSH(AW237*fxVal_normal,CX_ENTITY,$B237,AW$11,AW$14,AW$234,),""),IF($I237=2,IFBLANK(_xldudf_CX_PUSH(AW237,CX_ENTITY,$B237,AW$11,AW$14,AW$234,),""),IF($I237=3,"",IFBLANK(_xldudf_CX_PUSH(AW237,CX_ENTITY,$B237,AW$11,AW$14,AW$234,),"")))))),"")</f>
        <v/>
      </c>
      <c r="DX237" s="2445" t="str" cm="1">
        <f t="array" ca="1" aca="1" ref="DX237">IFERROR(IF(AX237*fxVal_normal=PL!AX279,"",IF(OR(AX237="",NOT(ISNUMBER(AX237)),ISERROR(AX237),$B237=""),"",IF($I237=1,IFBLANK(_xldudf_CX_PUSH(AX237*fxVal_normal,CX_ENTITY,$B237,AX$11,AX$14,AX$234,),""),IF($I237=2,IFBLANK(_xldudf_CX_PUSH(AX237,CX_ENTITY,$B237,AX$11,AX$14,AX$234,),""),IF($I237=3,"",IFBLANK(_xldudf_CX_PUSH(AX237,CX_ENTITY,$B237,AX$11,AX$14,AX$234,),"")))))),"")</f>
        <v/>
      </c>
      <c r="DY237" s="2445" t="str" cm="1">
        <f t="array" ca="1" aca="1" ref="DY237">IFERROR(IF(AY237*fxVal_normal=PL!AY279,"",IF(OR(AY237="",NOT(ISNUMBER(AY237)),ISERROR(AY237),$B237=""),"",IF($I237=1,IFBLANK(_xldudf_CX_PUSH(AY237*fxVal_normal,CX_ENTITY,$B237,AY$11,AY$14,AY$234,),""),IF($I237=2,IFBLANK(_xldudf_CX_PUSH(AY237,CX_ENTITY,$B237,AY$11,AY$14,AY$234,),""),IF($I237=3,"",IFBLANK(_xldudf_CX_PUSH(AY237,CX_ENTITY,$B237,AY$11,AY$14,AY$234,),"")))))),"")</f>
        <v/>
      </c>
      <c r="DZ237" s="2445" t="str" cm="1">
        <f t="array" ca="1" aca="1" ref="DZ237">IFERROR(IF(AZ237*fxVal_normal=PL!AZ279,"",IF(OR(AZ237="",NOT(ISNUMBER(AZ237)),ISERROR(AZ237),$B237=""),"",IF($I237=1,IFBLANK(_xldudf_CX_PUSH(AZ237*fxVal_normal,CX_ENTITY,$B237,AZ$11,AZ$14,AZ$234,),""),IF($I237=2,IFBLANK(_xldudf_CX_PUSH(AZ237,CX_ENTITY,$B237,AZ$11,AZ$14,AZ$234,),""),IF($I237=3,"",IFBLANK(_xldudf_CX_PUSH(AZ237,CX_ENTITY,$B237,AZ$11,AZ$14,AZ$234,),"")))))),"")</f>
        <v/>
      </c>
      <c r="EA237" s="2445" t="str" cm="1">
        <f t="array" ca="1" aca="1" ref="EA237">IFERROR(IF(BA237*fxVal_normal=PL!BA279,"",IF(OR(BA237="",NOT(ISNUMBER(BA237)),ISERROR(BA237),$B237=""),"",IF($I237=1,IFBLANK(_xldudf_CX_PUSH(BA237*fxVal_normal,CX_ENTITY,$B237,BA$11,BA$14,BA$234,),""),IF($I237=2,IFBLANK(_xldudf_CX_PUSH(BA237,CX_ENTITY,$B237,BA$11,BA$14,BA$234,),""),IF($I237=3,"",IFBLANK(_xldudf_CX_PUSH(BA237,CX_ENTITY,$B237,BA$11,BA$14,BA$234,),"")))))),"")</f>
        <v/>
      </c>
      <c r="EB237" s="2445" t="str" cm="1">
        <f t="array" ca="1" aca="1" ref="EB237">IFERROR(IF(BB237*fxVal_normal=PL!BB279,"",IF(OR(BB237="",NOT(ISNUMBER(BB237)),ISERROR(BB237),$B237=""),"",IF($I237=1,IFBLANK(_xldudf_CX_PUSH(BB237*fxVal_normal,CX_ENTITY,$B237,BB$11,BB$14,BB$234,),""),IF($I237=2,IFBLANK(_xldudf_CX_PUSH(BB237,CX_ENTITY,$B237,BB$11,BB$14,BB$234,),""),IF($I237=3,"",IFBLANK(_xldudf_CX_PUSH(BB237,CX_ENTITY,$B237,BB$11,BB$14,BB$234,),"")))))),"")</f>
        <v/>
      </c>
      <c r="EC237" s="2445" t="str" cm="1">
        <f t="array" ca="1" aca="1" ref="EC237">IFERROR(IF(BC237*fxVal_normal=PL!BC279,"",IF(OR(BC237="",NOT(ISNUMBER(BC237)),ISERROR(BC237),$B237=""),"",IF($I237=1,IFBLANK(_xldudf_CX_PUSH(BC237*fxVal_normal,CX_ENTITY,$B237,BC$11,BC$14,BC$234,),""),IF($I237=2,IFBLANK(_xldudf_CX_PUSH(BC237,CX_ENTITY,$B237,BC$11,BC$14,BC$234,),""),IF($I237=3,"",IFBLANK(_xldudf_CX_PUSH(BC237,CX_ENTITY,$B237,BC$11,BC$14,BC$234,),"")))))),"")</f>
        <v/>
      </c>
      <c r="ED237" s="2445" t="str" cm="1">
        <f t="array" ca="1" aca="1" ref="ED237">IFERROR(IF(BD237*fxVal_normal=PL!BD279,"",IF(OR(BD237="",NOT(ISNUMBER(BD237)),ISERROR(BD237),$B237=""),"",IF($I237=1,IFBLANK(_xldudf_CX_PUSH(BD237*fxVal_normal,CX_ENTITY,$B237,BD$11,BD$14,BD$234,),""),IF($I237=2,IFBLANK(_xldudf_CX_PUSH(BD237,CX_ENTITY,$B237,BD$11,BD$14,BD$234,),""),IF($I237=3,"",IFBLANK(_xldudf_CX_PUSH(BD237,CX_ENTITY,$B237,BD$11,BD$14,BD$234,),"")))))),"")</f>
        <v/>
      </c>
      <c r="EE237" s="2445" t="str" cm="1">
        <f t="array" ca="1" aca="1" ref="EE237">IFERROR(IF(BE237*fxVal_normal=PL!BE279,"",IF(OR(BE237="",NOT(ISNUMBER(BE237)),ISERROR(BE237),$B237=""),"",IF($I237=1,IFBLANK(_xldudf_CX_PUSH(BE237*fxVal_normal,CX_ENTITY,$B237,BE$11,BE$14,BE$234,),""),IF($I237=2,IFBLANK(_xldudf_CX_PUSH(BE237,CX_ENTITY,$B237,BE$11,BE$14,BE$234,),""),IF($I237=3,"",IFBLANK(_xldudf_CX_PUSH(BE237,CX_ENTITY,$B237,BE$11,BE$14,BE$234,),"")))))),"")</f>
        <v/>
      </c>
      <c r="EF237" s="2445" t="str" cm="1">
        <f t="array" ca="1" aca="1" ref="EF237">IFERROR(IF(BF237*fxVal_normal=PL!BF279,"",IF(OR(BF237="",NOT(ISNUMBER(BF237)),ISERROR(BF237),$B237=""),"",IF($I237=1,IFBLANK(_xldudf_CX_PUSH(BF237*fxVal_normal,CX_ENTITY,$B237,BF$11,BF$14,BF$234,),""),IF($I237=2,IFBLANK(_xldudf_CX_PUSH(BF237,CX_ENTITY,$B237,BF$11,BF$14,BF$234,),""),IF($I237=3,"",IFBLANK(_xldudf_CX_PUSH(BF237,CX_ENTITY,$B237,BF$11,BF$14,BF$234,),"")))))),"")</f>
        <v/>
      </c>
      <c r="EG237" s="2445" t="str" cm="1">
        <f t="array" ca="1" aca="1" ref="EG237">IFERROR(IF(BG237*fxVal_normal=PL!BG279,"",IF(OR(BG237="",NOT(ISNUMBER(BG237)),ISERROR(BG237),$B237=""),"",IF($I237=1,IFBLANK(_xldudf_CX_PUSH(BG237*fxVal_normal,CX_ENTITY,$B237,BG$11,BG$14,BG$234,),""),IF($I237=2,IFBLANK(_xldudf_CX_PUSH(BG237,CX_ENTITY,$B237,BG$11,BG$14,BG$234,),""),IF($I237=3,"",IFBLANK(_xldudf_CX_PUSH(BG237,CX_ENTITY,$B237,BG$11,BG$14,BG$234,),"")))))),"")</f>
        <v/>
      </c>
      <c r="EH237" s="2445" t="str" cm="1">
        <f t="array" ca="1" aca="1" ref="EH237">IFERROR(IF(BH237*fxVal_normal=PL!BH279,"",IF(OR(BH237="",NOT(ISNUMBER(BH237)),ISERROR(BH237),$B237=""),"",IF($I237=1,IFBLANK(_xldudf_CX_PUSH(BH237*fxVal_normal,CX_ENTITY,$B237,BH$11,BH$14,BH$234,),""),IF($I237=2,IFBLANK(_xldudf_CX_PUSH(BH237,CX_ENTITY,$B237,BH$11,BH$14,BH$234,),""),IF($I237=3,"",IFBLANK(_xldudf_CX_PUSH(BH237,CX_ENTITY,$B237,BH$11,BH$14,BH$234,),"")))))),"")</f>
        <v/>
      </c>
      <c r="EI237" s="2445" t="str" cm="1">
        <f t="array" ca="1" aca="1" ref="EI237">IFERROR(IF(BI237*fxVal_normal=PL!BI279,"",IF(OR(BI237="",NOT(ISNUMBER(BI237)),ISERROR(BI237),$B237=""),"",IF($I237=1,IFBLANK(_xldudf_CX_PUSH(BI237*fxVal_normal,CX_ENTITY,$B237,BI$11,BI$14,BI$234,),""),IF($I237=2,IFBLANK(_xldudf_CX_PUSH(BI237,CX_ENTITY,$B237,BI$11,BI$14,BI$234,),""),IF($I237=3,"",IFBLANK(_xldudf_CX_PUSH(BI237,CX_ENTITY,$B237,BI$11,BI$14,BI$234,),"")))))),"")</f>
        <v/>
      </c>
      <c r="EJ237" s="2445" t="str" cm="1">
        <f t="array" ca="1" aca="1" ref="EJ237">IFERROR(IF(BJ237*fxVal_normal=PL!BJ279,"",IF(OR(BJ237="",NOT(ISNUMBER(BJ237)),ISERROR(BJ237),$B237=""),"",IF($I237=1,IFBLANK(_xldudf_CX_PUSH(BJ237*fxVal_normal,CX_ENTITY,$B237,BJ$11,BJ$14,BJ$234,),""),IF($I237=2,IFBLANK(_xldudf_CX_PUSH(BJ237,CX_ENTITY,$B237,BJ$11,BJ$14,BJ$234,),""),IF($I237=3,"",IFBLANK(_xldudf_CX_PUSH(BJ237,CX_ENTITY,$B237,BJ$11,BJ$14,BJ$234,),"")))))),"")</f>
        <v/>
      </c>
      <c r="EK237" s="2445" t="str" cm="1">
        <f t="array" ca="1" aca="1" ref="EK237">IFERROR(IF(BK237*fxVal_normal=PL!BK279,"",IF(OR(BK237="",NOT(ISNUMBER(BK237)),ISERROR(BK237),$B237=""),"",IF($I237=1,IFBLANK(_xldudf_CX_PUSH(BK237*fxVal_normal,CX_ENTITY,$B237,BK$11,BK$14,BK$234,),""),IF($I237=2,IFBLANK(_xldudf_CX_PUSH(BK237,CX_ENTITY,$B237,BK$11,BK$14,BK$234,),""),IF($I237=3,"",IFBLANK(_xldudf_CX_PUSH(BK237,CX_ENTITY,$B237,BK$11,BK$14,BK$234,),"")))))),"")</f>
        <v/>
      </c>
      <c r="EL237" s="2445" t="str" cm="1">
        <f t="array" ca="1" aca="1" ref="EL237">IFERROR(IF(BL237*fxVal_normal=PL!BL279,"",IF(OR(BL237="",NOT(ISNUMBER(BL237)),ISERROR(BL237),$B237=""),"",IF($I237=1,IFBLANK(_xldudf_CX_PUSH(BL237*fxVal_normal,CX_ENTITY,$B237,BL$11,BL$14,BL$234,),""),IF($I237=2,IFBLANK(_xldudf_CX_PUSH(BL237,CX_ENTITY,$B237,BL$11,BL$14,BL$234,),""),IF($I237=3,"",IFBLANK(_xldudf_CX_PUSH(BL237,CX_ENTITY,$B237,BL$11,BL$14,BL$234,),"")))))),"")</f>
        <v/>
      </c>
      <c r="EM237" s="2445" t="str" cm="1">
        <f t="array" ca="1" aca="1" ref="EM237">IFERROR(IF(BM237*fxVal_normal=PL!BM279,"",IF(OR(BM237="",NOT(ISNUMBER(BM237)),ISERROR(BM237),$B237=""),"",IF($I237=1,IFBLANK(_xldudf_CX_PUSH(BM237*fxVal_normal,CX_ENTITY,$B237,BM$11,BM$14,BM$234,),""),IF($I237=2,IFBLANK(_xldudf_CX_PUSH(BM237,CX_ENTITY,$B237,BM$11,BM$14,BM$234,),""),IF($I237=3,"",IFBLANK(_xldudf_CX_PUSH(BM237,CX_ENTITY,$B237,BM$11,BM$14,BM$234,),"")))))),"")</f>
        <v/>
      </c>
      <c r="EN237" s="2445" t="str" cm="1">
        <f t="array" ca="1" aca="1" ref="EN237">IFERROR(IF(BN237*fxVal_normal=PL!BN279,"",IF(OR(BN237="",NOT(ISNUMBER(BN237)),ISERROR(BN237),$B237=""),"",IF($I237=1,IFBLANK(_xldudf_CX_PUSH(BN237*fxVal_normal,CX_ENTITY,$B237,BN$11,BN$14,BN$234,),""),IF($I237=2,IFBLANK(_xldudf_CX_PUSH(BN237,CX_ENTITY,$B237,BN$11,BN$14,BN$234,),""),IF($I237=3,"",IFBLANK(_xldudf_CX_PUSH(BN237,CX_ENTITY,$B237,BN$11,BN$14,BN$234,),"")))))),"")</f>
        <v/>
      </c>
    </row>
    <row r="238" spans="1:144" ht="21" customHeight="1">
      <c r="A238" s="1627"/>
      <c r="B238" s="2439" t="s">
        <v>189</v>
      </c>
      <c r="C238" s="3459" t="str" cm="1">
        <f t="array" ref="C238">IFBLANK(_PL!C238,"")</f>
        <v>Segment IV Breakdown - Label 3</v>
      </c>
      <c r="D238" s="1548" t="s">
        <v>189</v>
      </c>
      <c r="E238" s="2440" t="e" cm="1">
        <f t="array" ca="1" aca="1" ref="E23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238:$CQ238,Z238)</f>
        <v>#NAME?</v>
      </c>
      <c r="F238" s="578"/>
      <c r="G238" s="578"/>
      <c r="H238" s="510">
        <v>0</v>
      </c>
      <c r="I238" s="3302">
        <v>1</v>
      </c>
      <c r="J238" s="401" cm="1">
        <f t="array" ref="J238">IFBLANK(Z238,"")</f>
        <v>-1</v>
      </c>
      <c r="K238" s="578" t="str">
        <f t="shared" si="60"/>
        <v>No</v>
      </c>
      <c r="L238" s="37"/>
      <c r="N238" s="158"/>
      <c r="O238" s="101"/>
      <c r="P238" s="52"/>
      <c r="Q238" s="101"/>
      <c r="R238" s="101"/>
      <c r="S238" s="101"/>
      <c r="T238" s="101"/>
      <c r="U238" s="39"/>
      <c r="V238" s="37"/>
      <c r="W238" s="91" t="e">
        <f ca="1">W235</f>
        <v>#NAME?</v>
      </c>
      <c r="X238" s="2081" t="str">
        <f>_PL!X238</f>
        <v>a</v>
      </c>
      <c r="Y238" s="3224">
        <v>2</v>
      </c>
      <c r="Z238" s="198">
        <f>_PL!Z238</f>
        <v>-1</v>
      </c>
      <c r="AA238" s="2571"/>
      <c r="AB238" s="3017"/>
      <c r="AC238" s="914" t="str" cm="1">
        <f t="array" ca="1" aca="1" ref="AC238">_xlfn.LET(_xlpm._termname,$AB238,_xlpm._iconname,"find",_xlpm._icon,fx_getIcon(_xlpm._iconname),_xlpm._location,_xlfn.XLOOKUP(LOWER(_xlpm._termname),LOWER(tbl_acctDef[Term]),tbl_acctDef[Term]),_xlpm._hyperlink,HYPERLINK("#"&amp;CELL("address",_xlpm._location),_xlpm._icon),IFERROR(_xlpm._hyperlink,""))</f>
        <v/>
      </c>
      <c r="AD238" s="3185">
        <v>1</v>
      </c>
      <c r="AE238" s="3185">
        <v>1</v>
      </c>
      <c r="AF238" s="3185">
        <v>1</v>
      </c>
      <c r="AG238" s="3185">
        <v>1</v>
      </c>
      <c r="AH238" s="3185">
        <v>1</v>
      </c>
      <c r="AI238" s="3185">
        <v>1</v>
      </c>
      <c r="AJ238" s="3185">
        <v>1</v>
      </c>
      <c r="AK238" s="3185">
        <v>1</v>
      </c>
      <c r="AL238" s="3185">
        <v>1</v>
      </c>
      <c r="AM238" s="3185">
        <v>1</v>
      </c>
      <c r="AN238" s="3185">
        <v>1</v>
      </c>
      <c r="AO238" s="3185">
        <v>1</v>
      </c>
      <c r="AP238" s="3185">
        <v>1</v>
      </c>
      <c r="AQ238" s="3185">
        <v>1</v>
      </c>
      <c r="AR238" s="3185">
        <v>1</v>
      </c>
      <c r="AS238" s="3185">
        <v>1</v>
      </c>
      <c r="AT238" s="3185">
        <v>1</v>
      </c>
      <c r="AU238" s="3185">
        <v>1</v>
      </c>
      <c r="AV238" s="3185">
        <v>1</v>
      </c>
      <c r="AW238" s="3185">
        <v>1</v>
      </c>
      <c r="AX238" s="3185">
        <v>1</v>
      </c>
      <c r="AY238" s="3185">
        <v>1</v>
      </c>
      <c r="AZ238" s="3185">
        <v>1</v>
      </c>
      <c r="BA238" s="3185">
        <v>1</v>
      </c>
      <c r="BB238" s="3185">
        <v>1</v>
      </c>
      <c r="BC238" s="3185">
        <v>1</v>
      </c>
      <c r="BD238" s="3185">
        <v>1</v>
      </c>
      <c r="BE238" s="3185">
        <v>1</v>
      </c>
      <c r="BF238" s="3185">
        <v>1</v>
      </c>
      <c r="BG238" s="3185">
        <v>1</v>
      </c>
      <c r="BH238" s="3185">
        <v>1</v>
      </c>
      <c r="BI238" s="3185">
        <v>1</v>
      </c>
      <c r="BJ238" s="3185">
        <v>1</v>
      </c>
      <c r="BK238" s="3185">
        <v>1</v>
      </c>
      <c r="BL238" s="3185">
        <v>1</v>
      </c>
      <c r="BM238" s="3185">
        <v>1</v>
      </c>
      <c r="BN238" s="3185">
        <v>1</v>
      </c>
      <c r="BO238" s="2442"/>
      <c r="BP238" s="2442"/>
      <c r="BQ238" s="2442"/>
      <c r="BR238" s="2442"/>
      <c r="BS238" s="2442"/>
      <c r="BT238" s="2442"/>
      <c r="BU238" s="2442"/>
      <c r="BV238" s="2442"/>
      <c r="BW238" s="2442"/>
      <c r="BX238" s="2442"/>
      <c r="BY238" s="2442"/>
      <c r="BZ238" s="2442"/>
      <c r="CA238" s="34"/>
      <c r="CC238" s="58"/>
      <c r="CD238" s="1461" t="e" cm="1">
        <f t="array" ca="1" aca="1" ref="CD238">_xlfn.LET(_xlpm.CheckBlank,SUM(PL!$AD238:$BN238)=0,IF(_xlpm.CheckBlank,"",SUM(_xlfn._xlws.FILTER(PL!$AD238:$BN238,(YEAR(PL!$AD$12:$BN$12)=PL!CD$12)*(array_timeline&lt;=PL!CD$11)))))</f>
        <v>#NAME?</v>
      </c>
      <c r="CE238" s="1461" t="e" cm="1">
        <f t="array" ca="1" aca="1" ref="CE238">_xlfn.LET(_xlpm.CheckBlank,SUM(PL!$AD238:$BN238)=0,IF(_xlpm.CheckBlank,"",SUM(_xlfn._xlws.FILTER(PL!$AD238:$BN238,(YEAR(PL!$AD$12:$BN$12)=PL!CE$12)*(array_timeline&lt;=PL!CE$11)))))</f>
        <v>#NAME?</v>
      </c>
      <c r="CF238" s="88"/>
      <c r="CG238" s="1461" t="e" cm="1">
        <f t="array" ca="1" aca="1" ref="CG238">_xlfn.LET(_xlpm.CheckBlank,SUM(PL!$AD238:$BN238)=0,IF(_xlpm.CheckBlank,"",SUM(_xlfn._xlws.FILTER(PL!$AD238:$BN238,(YEAR(PL!$AD$12:$BN$12)=PL!CG$12)*(array_timeline&lt;=PL!CG$11)))))</f>
        <v>#NAME?</v>
      </c>
      <c r="CH238" s="1461" t="e" cm="1">
        <f t="array" ca="1" aca="1" ref="CH238">_xlfn.LET(_xlpm.CheckBlank,SUM(PL!$AD238:$BN238)=0,IF(_xlpm.CheckBlank,"",SUM(_xlfn._xlws.FILTER(PL!$AD238:$BN238,(YEAR(PL!$AD$12:$BN$12)=PL!CH$12)*(array_timeline&lt;=PL!CH$11)))))</f>
        <v>#NAME?</v>
      </c>
      <c r="CI238" s="88"/>
      <c r="CJ238" s="1461" cm="1">
        <f t="array" ref="CJ238">_xlfn.LET(_xlpm.CheckBlank,SUM(PL!$AD238:$BN238)=0,IF(_xlpm.CheckBlank,"",SUM(_xlfn.TAKE(_xlfn.DROP(PL!$AD238:$BN238,,-DATEDIFF(PL!CJ$11,val_asOfDate,"M")),1,-12))))</f>
        <v>12</v>
      </c>
      <c r="CK238" s="1461" cm="1">
        <f t="array" ref="CK238">_xlfn.LET(_xlpm.CheckBlank,SUM(PL!$AD238:$BN238)=0,IF(_xlpm.CheckBlank,"",SUM(_xlfn.TAKE(_xlfn.DROP(PL!$AD238:$BN238,,-DATEDIFF(PL!CK$11,val_asOfDate,"M")),1,-12))))</f>
        <v>12</v>
      </c>
      <c r="CL238" s="88"/>
      <c r="CM238" s="3185">
        <v>1</v>
      </c>
      <c r="CN238" s="3185">
        <v>1</v>
      </c>
      <c r="CO238" s="1169"/>
      <c r="CP238" s="3185">
        <v>1</v>
      </c>
      <c r="CQ238" s="3185">
        <v>1</v>
      </c>
      <c r="CR238" s="34"/>
      <c r="CS238" s="2056"/>
      <c r="CT238" s="2447" t="e" cm="1">
        <f t="array" ca="1" aca="1" ref="CT238">IF(OR($Y238="Segment IV Breakdown - Amount 1",$Y238="Segment IV Breakdown - Amount 2",$Y238="Segment IV Breakdown - Amount 3",$Y238="Segment IV Breakdown - Amount 4",$Y238="Segment IV Breakdown - Amount 5",$Y238="Segment IV Breakdown - Amount 6",$Y238="Please select the metric for segmentation"),"",_xldudf_CX_PUSH($Y238,CX_ENTITY,$C238,val_asOfDate))</f>
        <v>#NAME?</v>
      </c>
      <c r="CU238" s="2447" t="e" cm="1">
        <f t="array" ca="1" aca="1" ref="CU238">IF(OR($Y238="Segment IV Breakdown - Amount 1",$Y238="Segment IV Breakdown - Amount 2",$Y238="Segment IV Breakdown - Amount 3",$Y238="Segment IV Breakdown - Amount 4",$Y238="Segment IV Breakdown - Amount 5",$Y238="Segment IV Breakdown - Amount 6",$Y238="Please select the metric for segmentation"),"",_xldudf_CX_PUSH($Y238,CX_ENTITY,$C238,EOMONTH(val_asOfDate,1)))</f>
        <v>#NAME?</v>
      </c>
      <c r="CV238" s="2447" t="e" cm="1">
        <f t="array" ca="1" aca="1" ref="CV238">IF(OR($Y238="Segment IV Breakdown - Amount 1",$Y238="Segment IV Breakdown - Amount 2",$Y238="Segment IV Breakdown - Amount 3",$Y238="Segment IV Breakdown - Amount 4",$Y238="Segment IV Breakdown - Amount 5",$Y238="Segment IV Breakdown - Amount 6",$Y238="Please select the metric for segmentation"),"",_xldudf_CX_PUSH($Y238,CX_ENTITY,$C238,EOMONTH(val_asOfDate,2)))</f>
        <v>#NAME?</v>
      </c>
      <c r="CW238" s="2447" t="e" cm="1">
        <f t="array" ca="1" aca="1" ref="CW238">IF(OR($Y238="Segment IV Breakdown - Amount 1",$Y238="Segment IV Breakdown - Amount 2",$Y238="Segment IV Breakdown - Amount 3",$Y238="Segment IV Breakdown - Amount 4",$Y238="Segment IV Breakdown - Amount 5",$Y238="Segment IV Breakdown - Amount 6",$Y238="Please select the metric for segmentation"),"",_xldudf_CX_PUSH($Y238,CX_ENTITY,$C238,EOMONTH(val_asOfDate,3)))</f>
        <v>#NAME?</v>
      </c>
      <c r="CX238" s="2443"/>
      <c r="CY238" s="2444" t="str" cm="1">
        <f t="array" ca="1" aca="1" ref="CY238">IFERROR(IF(CM238*fxVal_normal=PL!CM280,"",IF(OR($CM238="",$CM238=0,NOT(ISNUMBER($CM238)),ISERROR($CM238),$B238=""),"",IF($I238=1,IFBLANK(_xldudf_CX_PUSH($CM238*fxVal_normal,CX_ENTITY,$B238,$CM$11,$CM$14,$CM$19,),""),IF($I238=2,IFBLANK(_xldudf_CX_PUSH($CM238,CX_ENTITY,$B238,$CM$11,$CM$14,$CM$19,),""),IF($I238=3,"",IFBLANK(_xldudf_CX_PUSH($CM238,CX_ENTITY,$B238,$CM$11,$CM$14,$CM$19,),"")))))),"")</f>
        <v/>
      </c>
      <c r="CZ238" s="2444" t="str" cm="1">
        <f t="array" ca="1" aca="1" ref="CZ238">IFERROR(IF(CN238*fxVal_normal=PL!CN280,"",IF(OR($CN238="",$CN238=0,NOT(ISNUMBER($CN238)),ISERROR($CN238),$B238=""),"",IF($I238=1,IFBLANK(_xldudf_CX_PUSH($CN238*fxVal_normal,CX_ENTITY,$B238,$CN$11,$CN$14,$CN$19,),""),IF($I238=2,IFBLANK(_xldudf_CX_PUSH($CN238,CX_ENTITY,$B238,$CN$11,$CN$14,$CN$19,),""),IF($I238=3,"",IFBLANK(_xldudf_CX_PUSH($CN238,CX_ENTITY,$B238,$CN$11,$CN$14,$CN$19,),"")))))),"")</f>
        <v/>
      </c>
      <c r="DA238" s="2444" t="str" cm="1">
        <f t="array" ca="1" aca="1" ref="DA238">IFERROR(IF(CP238*fxVal_normal=PL!CP280,"",IF(OR($CP238="",$CP238=0,NOT(ISNUMBER($CP238)),ISERROR($CP238),$B238=""),"",IF($I238=1,IFBLANK(_xldudf_CX_PUSH($CP238*fxVal_normal,CX_ENTITY,$B238,$CP$11,$CP$14,$CP$19,),""),IF($I238=2,IFBLANK(_xldudf_CX_PUSH($CP238,CX_ENTITY,$B238,$CP$11,$CP$14,$CP$19,),""),IF($I238=3,"",IFBLANK(_xldudf_CX_PUSH($CP238,CX_ENTITY,$B238,$CP$11,$CP$14,$CP$19,),"")))))),"")</f>
        <v/>
      </c>
      <c r="DB238" s="2444" t="str" cm="1">
        <f t="array" ca="1" aca="1" ref="DB238">IFERROR(IF(CQ238*fxVal_normal=PL!CQ280,"",IF(OR($CQ238="",$CQ238=0,NOT(ISNUMBER($CQ238)),ISERROR($CQ238),$B238=""),"",IF($I238=1,IFBLANK(_xldudf_CX_PUSH($CQ238*fxVal_normal,CX_ENTITY,$B238,$CQ$11,$CQ$14,$CQ$19,),""),IF($I238=2,IFBLANK(_xldudf_CX_PUSH($CQ238,CX_ENTITY,$B238,$CQ$11,$CQ$14,$CQ$19,),""),IF($I238=3,"",IFBLANK(_xldudf_CX_PUSH($CQ238,CX_ENTITY,$B238,$CQ$11,$CQ$14,$CQ$19,),"")))))),"")</f>
        <v/>
      </c>
      <c r="DC238" s="2443"/>
      <c r="DD238" s="2445" t="str" cm="1">
        <f t="array" ca="1" aca="1" ref="DD238">IFERROR(IF(AD238*fxVal_normal=PL!AD280,"",IF(OR(AD238="",NOT(ISNUMBER(AD238)),ISERROR(AD238),$B238=""),"",IF($I238=1,IFBLANK(_xldudf_CX_PUSH(AD238*fxVal_normal,CX_ENTITY,$B238,AD$11,AD$14,AD$234,),""),IF($I238=2,IFBLANK(_xldudf_CX_PUSH(AD238,CX_ENTITY,$B238,AD$11,AD$14,AD$234,),""),IF($I238=3,"",IFBLANK(_xldudf_CX_PUSH(AD238,CX_ENTITY,$B238,AD$11,AD$14,AD$234,),"")))))),"")</f>
        <v/>
      </c>
      <c r="DE238" s="2445" t="str" cm="1">
        <f t="array" ca="1" aca="1" ref="DE238">IFERROR(IF(AE238*fxVal_normal=PL!AE280,"",IF(OR(AE238="",NOT(ISNUMBER(AE238)),ISERROR(AE238),$B238=""),"",IF($I238=1,IFBLANK(_xldudf_CX_PUSH(AE238*fxVal_normal,CX_ENTITY,$B238,AE$11,AE$14,AE$234,),""),IF($I238=2,IFBLANK(_xldudf_CX_PUSH(AE238,CX_ENTITY,$B238,AE$11,AE$14,AE$234,),""),IF($I238=3,"",IFBLANK(_xldudf_CX_PUSH(AE238,CX_ENTITY,$B238,AE$11,AE$14,AE$234,),"")))))),"")</f>
        <v/>
      </c>
      <c r="DF238" s="2445" t="str" cm="1">
        <f t="array" ca="1" aca="1" ref="DF238">IFERROR(IF(AF238*fxVal_normal=PL!AF280,"",IF(OR(AF238="",NOT(ISNUMBER(AF238)),ISERROR(AF238),$B238=""),"",IF($I238=1,IFBLANK(_xldudf_CX_PUSH(AF238*fxVal_normal,CX_ENTITY,$B238,AF$11,AF$14,AF$234,),""),IF($I238=2,IFBLANK(_xldudf_CX_PUSH(AF238,CX_ENTITY,$B238,AF$11,AF$14,AF$234,),""),IF($I238=3,"",IFBLANK(_xldudf_CX_PUSH(AF238,CX_ENTITY,$B238,AF$11,AF$14,AF$234,),"")))))),"")</f>
        <v/>
      </c>
      <c r="DG238" s="2445" t="str" cm="1">
        <f t="array" ca="1" aca="1" ref="DG238">IFERROR(IF(AG238*fxVal_normal=PL!AG280,"",IF(OR(AG238="",NOT(ISNUMBER(AG238)),ISERROR(AG238),$B238=""),"",IF($I238=1,IFBLANK(_xldudf_CX_PUSH(AG238*fxVal_normal,CX_ENTITY,$B238,AG$11,AG$14,AG$234,),""),IF($I238=2,IFBLANK(_xldudf_CX_PUSH(AG238,CX_ENTITY,$B238,AG$11,AG$14,AG$234,),""),IF($I238=3,"",IFBLANK(_xldudf_CX_PUSH(AG238,CX_ENTITY,$B238,AG$11,AG$14,AG$234,),"")))))),"")</f>
        <v/>
      </c>
      <c r="DH238" s="2445" t="str" cm="1">
        <f t="array" ca="1" aca="1" ref="DH238">IFERROR(IF(AH238*fxVal_normal=PL!AH280,"",IF(OR(AH238="",NOT(ISNUMBER(AH238)),ISERROR(AH238),$B238=""),"",IF($I238=1,IFBLANK(_xldudf_CX_PUSH(AH238*fxVal_normal,CX_ENTITY,$B238,AH$11,AH$14,AH$234,),""),IF($I238=2,IFBLANK(_xldudf_CX_PUSH(AH238,CX_ENTITY,$B238,AH$11,AH$14,AH$234,),""),IF($I238=3,"",IFBLANK(_xldudf_CX_PUSH(AH238,CX_ENTITY,$B238,AH$11,AH$14,AH$234,),"")))))),"")</f>
        <v/>
      </c>
      <c r="DI238" s="2445" t="str" cm="1">
        <f t="array" ca="1" aca="1" ref="DI238">IFERROR(IF(AI238*fxVal_normal=PL!AI280,"",IF(OR(AI238="",NOT(ISNUMBER(AI238)),ISERROR(AI238),$B238=""),"",IF($I238=1,IFBLANK(_xldudf_CX_PUSH(AI238*fxVal_normal,CX_ENTITY,$B238,AI$11,AI$14,AI$234,),""),IF($I238=2,IFBLANK(_xldudf_CX_PUSH(AI238,CX_ENTITY,$B238,AI$11,AI$14,AI$234,),""),IF($I238=3,"",IFBLANK(_xldudf_CX_PUSH(AI238,CX_ENTITY,$B238,AI$11,AI$14,AI$234,),"")))))),"")</f>
        <v/>
      </c>
      <c r="DJ238" s="2445" t="str" cm="1">
        <f t="array" ca="1" aca="1" ref="DJ238">IFERROR(IF(AJ238*fxVal_normal=PL!AJ280,"",IF(OR(AJ238="",NOT(ISNUMBER(AJ238)),ISERROR(AJ238),$B238=""),"",IF($I238=1,IFBLANK(_xldudf_CX_PUSH(AJ238*fxVal_normal,CX_ENTITY,$B238,AJ$11,AJ$14,AJ$234,),""),IF($I238=2,IFBLANK(_xldudf_CX_PUSH(AJ238,CX_ENTITY,$B238,AJ$11,AJ$14,AJ$234,),""),IF($I238=3,"",IFBLANK(_xldudf_CX_PUSH(AJ238,CX_ENTITY,$B238,AJ$11,AJ$14,AJ$234,),"")))))),"")</f>
        <v/>
      </c>
      <c r="DK238" s="2445" t="str" cm="1">
        <f t="array" ca="1" aca="1" ref="DK238">IFERROR(IF(AK238*fxVal_normal=PL!AK280,"",IF(OR(AK238="",NOT(ISNUMBER(AK238)),ISERROR(AK238),$B238=""),"",IF($I238=1,IFBLANK(_xldudf_CX_PUSH(AK238*fxVal_normal,CX_ENTITY,$B238,AK$11,AK$14,AK$234,),""),IF($I238=2,IFBLANK(_xldudf_CX_PUSH(AK238,CX_ENTITY,$B238,AK$11,AK$14,AK$234,),""),IF($I238=3,"",IFBLANK(_xldudf_CX_PUSH(AK238,CX_ENTITY,$B238,AK$11,AK$14,AK$234,),"")))))),"")</f>
        <v/>
      </c>
      <c r="DL238" s="2445" t="str" cm="1">
        <f t="array" ca="1" aca="1" ref="DL238">IFERROR(IF(AL238*fxVal_normal=PL!AL280,"",IF(OR(AL238="",NOT(ISNUMBER(AL238)),ISERROR(AL238),$B238=""),"",IF($I238=1,IFBLANK(_xldudf_CX_PUSH(AL238*fxVal_normal,CX_ENTITY,$B238,AL$11,AL$14,AL$234,),""),IF($I238=2,IFBLANK(_xldudf_CX_PUSH(AL238,CX_ENTITY,$B238,AL$11,AL$14,AL$234,),""),IF($I238=3,"",IFBLANK(_xldudf_CX_PUSH(AL238,CX_ENTITY,$B238,AL$11,AL$14,AL$234,),"")))))),"")</f>
        <v/>
      </c>
      <c r="DM238" s="2445" t="str" cm="1">
        <f t="array" ca="1" aca="1" ref="DM238">IFERROR(IF(AM238*fxVal_normal=PL!AM280,"",IF(OR(AM238="",NOT(ISNUMBER(AM238)),ISERROR(AM238),$B238=""),"",IF($I238=1,IFBLANK(_xldudf_CX_PUSH(AM238*fxVal_normal,CX_ENTITY,$B238,AM$11,AM$14,AM$234,),""),IF($I238=2,IFBLANK(_xldudf_CX_PUSH(AM238,CX_ENTITY,$B238,AM$11,AM$14,AM$234,),""),IF($I238=3,"",IFBLANK(_xldudf_CX_PUSH(AM238,CX_ENTITY,$B238,AM$11,AM$14,AM$234,),"")))))),"")</f>
        <v/>
      </c>
      <c r="DN238" s="2445" t="str" cm="1">
        <f t="array" ca="1" aca="1" ref="DN238">IFERROR(IF(AN238*fxVal_normal=PL!AN280,"",IF(OR(AN238="",NOT(ISNUMBER(AN238)),ISERROR(AN238),$B238=""),"",IF($I238=1,IFBLANK(_xldudf_CX_PUSH(AN238*fxVal_normal,CX_ENTITY,$B238,AN$11,AN$14,AN$234,),""),IF($I238=2,IFBLANK(_xldudf_CX_PUSH(AN238,CX_ENTITY,$B238,AN$11,AN$14,AN$234,),""),IF($I238=3,"",IFBLANK(_xldudf_CX_PUSH(AN238,CX_ENTITY,$B238,AN$11,AN$14,AN$234,),"")))))),"")</f>
        <v/>
      </c>
      <c r="DO238" s="2445" t="str" cm="1">
        <f t="array" ca="1" aca="1" ref="DO238">IFERROR(IF(AO238*fxVal_normal=PL!AO280,"",IF(OR(AO238="",NOT(ISNUMBER(AO238)),ISERROR(AO238),$B238=""),"",IF($I238=1,IFBLANK(_xldudf_CX_PUSH(AO238*fxVal_normal,CX_ENTITY,$B238,AO$11,AO$14,AO$234,),""),IF($I238=2,IFBLANK(_xldudf_CX_PUSH(AO238,CX_ENTITY,$B238,AO$11,AO$14,AO$234,),""),IF($I238=3,"",IFBLANK(_xldudf_CX_PUSH(AO238,CX_ENTITY,$B238,AO$11,AO$14,AO$234,),"")))))),"")</f>
        <v/>
      </c>
      <c r="DP238" s="2445" t="str" cm="1">
        <f t="array" ca="1" aca="1" ref="DP238">IFERROR(IF(AP238*fxVal_normal=PL!AP280,"",IF(OR(AP238="",NOT(ISNUMBER(AP238)),ISERROR(AP238),$B238=""),"",IF($I238=1,IFBLANK(_xldudf_CX_PUSH(AP238*fxVal_normal,CX_ENTITY,$B238,AP$11,AP$14,AP$234,),""),IF($I238=2,IFBLANK(_xldudf_CX_PUSH(AP238,CX_ENTITY,$B238,AP$11,AP$14,AP$234,),""),IF($I238=3,"",IFBLANK(_xldudf_CX_PUSH(AP238,CX_ENTITY,$B238,AP$11,AP$14,AP$234,),"")))))),"")</f>
        <v/>
      </c>
      <c r="DQ238" s="2445" t="str" cm="1">
        <f t="array" ca="1" aca="1" ref="DQ238">IFERROR(IF(AQ238*fxVal_normal=PL!AQ280,"",IF(OR(AQ238="",NOT(ISNUMBER(AQ238)),ISERROR(AQ238),$B238=""),"",IF($I238=1,IFBLANK(_xldudf_CX_PUSH(AQ238*fxVal_normal,CX_ENTITY,$B238,AQ$11,AQ$14,AQ$234,),""),IF($I238=2,IFBLANK(_xldudf_CX_PUSH(AQ238,CX_ENTITY,$B238,AQ$11,AQ$14,AQ$234,),""),IF($I238=3,"",IFBLANK(_xldudf_CX_PUSH(AQ238,CX_ENTITY,$B238,AQ$11,AQ$14,AQ$234,),"")))))),"")</f>
        <v/>
      </c>
      <c r="DR238" s="2445" t="str" cm="1">
        <f t="array" ca="1" aca="1" ref="DR238">IFERROR(IF(AR238*fxVal_normal=PL!AR280,"",IF(OR(AR238="",NOT(ISNUMBER(AR238)),ISERROR(AR238),$B238=""),"",IF($I238=1,IFBLANK(_xldudf_CX_PUSH(AR238*fxVal_normal,CX_ENTITY,$B238,AR$11,AR$14,AR$234,),""),IF($I238=2,IFBLANK(_xldudf_CX_PUSH(AR238,CX_ENTITY,$B238,AR$11,AR$14,AR$234,),""),IF($I238=3,"",IFBLANK(_xldudf_CX_PUSH(AR238,CX_ENTITY,$B238,AR$11,AR$14,AR$234,),"")))))),"")</f>
        <v/>
      </c>
      <c r="DS238" s="2445" t="str" cm="1">
        <f t="array" ca="1" aca="1" ref="DS238">IFERROR(IF(AS238*fxVal_normal=PL!AS280,"",IF(OR(AS238="",NOT(ISNUMBER(AS238)),ISERROR(AS238),$B238=""),"",IF($I238=1,IFBLANK(_xldudf_CX_PUSH(AS238*fxVal_normal,CX_ENTITY,$B238,AS$11,AS$14,AS$234,),""),IF($I238=2,IFBLANK(_xldudf_CX_PUSH(AS238,CX_ENTITY,$B238,AS$11,AS$14,AS$234,),""),IF($I238=3,"",IFBLANK(_xldudf_CX_PUSH(AS238,CX_ENTITY,$B238,AS$11,AS$14,AS$234,),"")))))),"")</f>
        <v/>
      </c>
      <c r="DT238" s="2445" t="str" cm="1">
        <f t="array" ca="1" aca="1" ref="DT238">IFERROR(IF(AT238*fxVal_normal=PL!AT280,"",IF(OR(AT238="",NOT(ISNUMBER(AT238)),ISERROR(AT238),$B238=""),"",IF($I238=1,IFBLANK(_xldudf_CX_PUSH(AT238*fxVal_normal,CX_ENTITY,$B238,AT$11,AT$14,AT$234,),""),IF($I238=2,IFBLANK(_xldudf_CX_PUSH(AT238,CX_ENTITY,$B238,AT$11,AT$14,AT$234,),""),IF($I238=3,"",IFBLANK(_xldudf_CX_PUSH(AT238,CX_ENTITY,$B238,AT$11,AT$14,AT$234,),"")))))),"")</f>
        <v/>
      </c>
      <c r="DU238" s="2445" t="str" cm="1">
        <f t="array" ca="1" aca="1" ref="DU238">IFERROR(IF(AU238*fxVal_normal=PL!AU280,"",IF(OR(AU238="",NOT(ISNUMBER(AU238)),ISERROR(AU238),$B238=""),"",IF($I238=1,IFBLANK(_xldudf_CX_PUSH(AU238*fxVal_normal,CX_ENTITY,$B238,AU$11,AU$14,AU$234,),""),IF($I238=2,IFBLANK(_xldudf_CX_PUSH(AU238,CX_ENTITY,$B238,AU$11,AU$14,AU$234,),""),IF($I238=3,"",IFBLANK(_xldudf_CX_PUSH(AU238,CX_ENTITY,$B238,AU$11,AU$14,AU$234,),"")))))),"")</f>
        <v/>
      </c>
      <c r="DV238" s="2445" t="str" cm="1">
        <f t="array" ca="1" aca="1" ref="DV238">IFERROR(IF(AV238*fxVal_normal=PL!AV280,"",IF(OR(AV238="",NOT(ISNUMBER(AV238)),ISERROR(AV238),$B238=""),"",IF($I238=1,IFBLANK(_xldudf_CX_PUSH(AV238*fxVal_normal,CX_ENTITY,$B238,AV$11,AV$14,AV$234,),""),IF($I238=2,IFBLANK(_xldudf_CX_PUSH(AV238,CX_ENTITY,$B238,AV$11,AV$14,AV$234,),""),IF($I238=3,"",IFBLANK(_xldudf_CX_PUSH(AV238,CX_ENTITY,$B238,AV$11,AV$14,AV$234,),"")))))),"")</f>
        <v/>
      </c>
      <c r="DW238" s="2445" t="str" cm="1">
        <f t="array" ca="1" aca="1" ref="DW238">IFERROR(IF(AW238*fxVal_normal=PL!AW280,"",IF(OR(AW238="",NOT(ISNUMBER(AW238)),ISERROR(AW238),$B238=""),"",IF($I238=1,IFBLANK(_xldudf_CX_PUSH(AW238*fxVal_normal,CX_ENTITY,$B238,AW$11,AW$14,AW$234,),""),IF($I238=2,IFBLANK(_xldudf_CX_PUSH(AW238,CX_ENTITY,$B238,AW$11,AW$14,AW$234,),""),IF($I238=3,"",IFBLANK(_xldudf_CX_PUSH(AW238,CX_ENTITY,$B238,AW$11,AW$14,AW$234,),"")))))),"")</f>
        <v/>
      </c>
      <c r="DX238" s="2445" t="str" cm="1">
        <f t="array" ca="1" aca="1" ref="DX238">IFERROR(IF(AX238*fxVal_normal=PL!AX280,"",IF(OR(AX238="",NOT(ISNUMBER(AX238)),ISERROR(AX238),$B238=""),"",IF($I238=1,IFBLANK(_xldudf_CX_PUSH(AX238*fxVal_normal,CX_ENTITY,$B238,AX$11,AX$14,AX$234,),""),IF($I238=2,IFBLANK(_xldudf_CX_PUSH(AX238,CX_ENTITY,$B238,AX$11,AX$14,AX$234,),""),IF($I238=3,"",IFBLANK(_xldudf_CX_PUSH(AX238,CX_ENTITY,$B238,AX$11,AX$14,AX$234,),"")))))),"")</f>
        <v/>
      </c>
      <c r="DY238" s="2445" t="str" cm="1">
        <f t="array" ca="1" aca="1" ref="DY238">IFERROR(IF(AY238*fxVal_normal=PL!AY280,"",IF(OR(AY238="",NOT(ISNUMBER(AY238)),ISERROR(AY238),$B238=""),"",IF($I238=1,IFBLANK(_xldudf_CX_PUSH(AY238*fxVal_normal,CX_ENTITY,$B238,AY$11,AY$14,AY$234,),""),IF($I238=2,IFBLANK(_xldudf_CX_PUSH(AY238,CX_ENTITY,$B238,AY$11,AY$14,AY$234,),""),IF($I238=3,"",IFBLANK(_xldudf_CX_PUSH(AY238,CX_ENTITY,$B238,AY$11,AY$14,AY$234,),"")))))),"")</f>
        <v/>
      </c>
      <c r="DZ238" s="2445" t="str" cm="1">
        <f t="array" ca="1" aca="1" ref="DZ238">IFERROR(IF(AZ238*fxVal_normal=PL!AZ280,"",IF(OR(AZ238="",NOT(ISNUMBER(AZ238)),ISERROR(AZ238),$B238=""),"",IF($I238=1,IFBLANK(_xldudf_CX_PUSH(AZ238*fxVal_normal,CX_ENTITY,$B238,AZ$11,AZ$14,AZ$234,),""),IF($I238=2,IFBLANK(_xldudf_CX_PUSH(AZ238,CX_ENTITY,$B238,AZ$11,AZ$14,AZ$234,),""),IF($I238=3,"",IFBLANK(_xldudf_CX_PUSH(AZ238,CX_ENTITY,$B238,AZ$11,AZ$14,AZ$234,),"")))))),"")</f>
        <v/>
      </c>
      <c r="EA238" s="2445" t="str" cm="1">
        <f t="array" ca="1" aca="1" ref="EA238">IFERROR(IF(BA238*fxVal_normal=PL!BA280,"",IF(OR(BA238="",NOT(ISNUMBER(BA238)),ISERROR(BA238),$B238=""),"",IF($I238=1,IFBLANK(_xldudf_CX_PUSH(BA238*fxVal_normal,CX_ENTITY,$B238,BA$11,BA$14,BA$234,),""),IF($I238=2,IFBLANK(_xldudf_CX_PUSH(BA238,CX_ENTITY,$B238,BA$11,BA$14,BA$234,),""),IF($I238=3,"",IFBLANK(_xldudf_CX_PUSH(BA238,CX_ENTITY,$B238,BA$11,BA$14,BA$234,),"")))))),"")</f>
        <v/>
      </c>
      <c r="EB238" s="2445" t="str" cm="1">
        <f t="array" ca="1" aca="1" ref="EB238">IFERROR(IF(BB238*fxVal_normal=PL!BB280,"",IF(OR(BB238="",NOT(ISNUMBER(BB238)),ISERROR(BB238),$B238=""),"",IF($I238=1,IFBLANK(_xldudf_CX_PUSH(BB238*fxVal_normal,CX_ENTITY,$B238,BB$11,BB$14,BB$234,),""),IF($I238=2,IFBLANK(_xldudf_CX_PUSH(BB238,CX_ENTITY,$B238,BB$11,BB$14,BB$234,),""),IF($I238=3,"",IFBLANK(_xldudf_CX_PUSH(BB238,CX_ENTITY,$B238,BB$11,BB$14,BB$234,),"")))))),"")</f>
        <v/>
      </c>
      <c r="EC238" s="2445" t="str" cm="1">
        <f t="array" ca="1" aca="1" ref="EC238">IFERROR(IF(BC238*fxVal_normal=PL!BC280,"",IF(OR(BC238="",NOT(ISNUMBER(BC238)),ISERROR(BC238),$B238=""),"",IF($I238=1,IFBLANK(_xldudf_CX_PUSH(BC238*fxVal_normal,CX_ENTITY,$B238,BC$11,BC$14,BC$234,),""),IF($I238=2,IFBLANK(_xldudf_CX_PUSH(BC238,CX_ENTITY,$B238,BC$11,BC$14,BC$234,),""),IF($I238=3,"",IFBLANK(_xldudf_CX_PUSH(BC238,CX_ENTITY,$B238,BC$11,BC$14,BC$234,),"")))))),"")</f>
        <v/>
      </c>
      <c r="ED238" s="2445" t="str" cm="1">
        <f t="array" ca="1" aca="1" ref="ED238">IFERROR(IF(BD238*fxVal_normal=PL!BD280,"",IF(OR(BD238="",NOT(ISNUMBER(BD238)),ISERROR(BD238),$B238=""),"",IF($I238=1,IFBLANK(_xldudf_CX_PUSH(BD238*fxVal_normal,CX_ENTITY,$B238,BD$11,BD$14,BD$234,),""),IF($I238=2,IFBLANK(_xldudf_CX_PUSH(BD238,CX_ENTITY,$B238,BD$11,BD$14,BD$234,),""),IF($I238=3,"",IFBLANK(_xldudf_CX_PUSH(BD238,CX_ENTITY,$B238,BD$11,BD$14,BD$234,),"")))))),"")</f>
        <v/>
      </c>
      <c r="EE238" s="2445" t="str" cm="1">
        <f t="array" ca="1" aca="1" ref="EE238">IFERROR(IF(BE238*fxVal_normal=PL!BE280,"",IF(OR(BE238="",NOT(ISNUMBER(BE238)),ISERROR(BE238),$B238=""),"",IF($I238=1,IFBLANK(_xldudf_CX_PUSH(BE238*fxVal_normal,CX_ENTITY,$B238,BE$11,BE$14,BE$234,),""),IF($I238=2,IFBLANK(_xldudf_CX_PUSH(BE238,CX_ENTITY,$B238,BE$11,BE$14,BE$234,),""),IF($I238=3,"",IFBLANK(_xldudf_CX_PUSH(BE238,CX_ENTITY,$B238,BE$11,BE$14,BE$234,),"")))))),"")</f>
        <v/>
      </c>
      <c r="EF238" s="2445" t="str" cm="1">
        <f t="array" ca="1" aca="1" ref="EF238">IFERROR(IF(BF238*fxVal_normal=PL!BF280,"",IF(OR(BF238="",NOT(ISNUMBER(BF238)),ISERROR(BF238),$B238=""),"",IF($I238=1,IFBLANK(_xldudf_CX_PUSH(BF238*fxVal_normal,CX_ENTITY,$B238,BF$11,BF$14,BF$234,),""),IF($I238=2,IFBLANK(_xldudf_CX_PUSH(BF238,CX_ENTITY,$B238,BF$11,BF$14,BF$234,),""),IF($I238=3,"",IFBLANK(_xldudf_CX_PUSH(BF238,CX_ENTITY,$B238,BF$11,BF$14,BF$234,),"")))))),"")</f>
        <v/>
      </c>
      <c r="EG238" s="2445" t="str" cm="1">
        <f t="array" ca="1" aca="1" ref="EG238">IFERROR(IF(BG238*fxVal_normal=PL!BG280,"",IF(OR(BG238="",NOT(ISNUMBER(BG238)),ISERROR(BG238),$B238=""),"",IF($I238=1,IFBLANK(_xldudf_CX_PUSH(BG238*fxVal_normal,CX_ENTITY,$B238,BG$11,BG$14,BG$234,),""),IF($I238=2,IFBLANK(_xldudf_CX_PUSH(BG238,CX_ENTITY,$B238,BG$11,BG$14,BG$234,),""),IF($I238=3,"",IFBLANK(_xldudf_CX_PUSH(BG238,CX_ENTITY,$B238,BG$11,BG$14,BG$234,),"")))))),"")</f>
        <v/>
      </c>
      <c r="EH238" s="2445" t="str" cm="1">
        <f t="array" ca="1" aca="1" ref="EH238">IFERROR(IF(BH238*fxVal_normal=PL!BH280,"",IF(OR(BH238="",NOT(ISNUMBER(BH238)),ISERROR(BH238),$B238=""),"",IF($I238=1,IFBLANK(_xldudf_CX_PUSH(BH238*fxVal_normal,CX_ENTITY,$B238,BH$11,BH$14,BH$234,),""),IF($I238=2,IFBLANK(_xldudf_CX_PUSH(BH238,CX_ENTITY,$B238,BH$11,BH$14,BH$234,),""),IF($I238=3,"",IFBLANK(_xldudf_CX_PUSH(BH238,CX_ENTITY,$B238,BH$11,BH$14,BH$234,),"")))))),"")</f>
        <v/>
      </c>
      <c r="EI238" s="2445" t="str" cm="1">
        <f t="array" ca="1" aca="1" ref="EI238">IFERROR(IF(BI238*fxVal_normal=PL!BI280,"",IF(OR(BI238="",NOT(ISNUMBER(BI238)),ISERROR(BI238),$B238=""),"",IF($I238=1,IFBLANK(_xldudf_CX_PUSH(BI238*fxVal_normal,CX_ENTITY,$B238,BI$11,BI$14,BI$234,),""),IF($I238=2,IFBLANK(_xldudf_CX_PUSH(BI238,CX_ENTITY,$B238,BI$11,BI$14,BI$234,),""),IF($I238=3,"",IFBLANK(_xldudf_CX_PUSH(BI238,CX_ENTITY,$B238,BI$11,BI$14,BI$234,),"")))))),"")</f>
        <v/>
      </c>
      <c r="EJ238" s="2445" t="str" cm="1">
        <f t="array" ca="1" aca="1" ref="EJ238">IFERROR(IF(BJ238*fxVal_normal=PL!BJ280,"",IF(OR(BJ238="",NOT(ISNUMBER(BJ238)),ISERROR(BJ238),$B238=""),"",IF($I238=1,IFBLANK(_xldudf_CX_PUSH(BJ238*fxVal_normal,CX_ENTITY,$B238,BJ$11,BJ$14,BJ$234,),""),IF($I238=2,IFBLANK(_xldudf_CX_PUSH(BJ238,CX_ENTITY,$B238,BJ$11,BJ$14,BJ$234,),""),IF($I238=3,"",IFBLANK(_xldudf_CX_PUSH(BJ238,CX_ENTITY,$B238,BJ$11,BJ$14,BJ$234,),"")))))),"")</f>
        <v/>
      </c>
      <c r="EK238" s="2445" t="str" cm="1">
        <f t="array" ca="1" aca="1" ref="EK238">IFERROR(IF(BK238*fxVal_normal=PL!BK280,"",IF(OR(BK238="",NOT(ISNUMBER(BK238)),ISERROR(BK238),$B238=""),"",IF($I238=1,IFBLANK(_xldudf_CX_PUSH(BK238*fxVal_normal,CX_ENTITY,$B238,BK$11,BK$14,BK$234,),""),IF($I238=2,IFBLANK(_xldudf_CX_PUSH(BK238,CX_ENTITY,$B238,BK$11,BK$14,BK$234,),""),IF($I238=3,"",IFBLANK(_xldudf_CX_PUSH(BK238,CX_ENTITY,$B238,BK$11,BK$14,BK$234,),"")))))),"")</f>
        <v/>
      </c>
      <c r="EL238" s="2445" t="str" cm="1">
        <f t="array" ca="1" aca="1" ref="EL238">IFERROR(IF(BL238*fxVal_normal=PL!BL280,"",IF(OR(BL238="",NOT(ISNUMBER(BL238)),ISERROR(BL238),$B238=""),"",IF($I238=1,IFBLANK(_xldudf_CX_PUSH(BL238*fxVal_normal,CX_ENTITY,$B238,BL$11,BL$14,BL$234,),""),IF($I238=2,IFBLANK(_xldudf_CX_PUSH(BL238,CX_ENTITY,$B238,BL$11,BL$14,BL$234,),""),IF($I238=3,"",IFBLANK(_xldudf_CX_PUSH(BL238,CX_ENTITY,$B238,BL$11,BL$14,BL$234,),"")))))),"")</f>
        <v/>
      </c>
      <c r="EM238" s="2445" t="str" cm="1">
        <f t="array" ca="1" aca="1" ref="EM238">IFERROR(IF(BM238*fxVal_normal=PL!BM280,"",IF(OR(BM238="",NOT(ISNUMBER(BM238)),ISERROR(BM238),$B238=""),"",IF($I238=1,IFBLANK(_xldudf_CX_PUSH(BM238*fxVal_normal,CX_ENTITY,$B238,BM$11,BM$14,BM$234,),""),IF($I238=2,IFBLANK(_xldudf_CX_PUSH(BM238,CX_ENTITY,$B238,BM$11,BM$14,BM$234,),""),IF($I238=3,"",IFBLANK(_xldudf_CX_PUSH(BM238,CX_ENTITY,$B238,BM$11,BM$14,BM$234,),"")))))),"")</f>
        <v/>
      </c>
      <c r="EN238" s="2445" t="str" cm="1">
        <f t="array" ca="1" aca="1" ref="EN238">IFERROR(IF(BN238*fxVal_normal=PL!BN280,"",IF(OR(BN238="",NOT(ISNUMBER(BN238)),ISERROR(BN238),$B238=""),"",IF($I238=1,IFBLANK(_xldudf_CX_PUSH(BN238*fxVal_normal,CX_ENTITY,$B238,BN$11,BN$14,BN$234,),""),IF($I238=2,IFBLANK(_xldudf_CX_PUSH(BN238,CX_ENTITY,$B238,BN$11,BN$14,BN$234,),""),IF($I238=3,"",IFBLANK(_xldudf_CX_PUSH(BN238,CX_ENTITY,$B238,BN$11,BN$14,BN$234,),"")))))),"")</f>
        <v/>
      </c>
    </row>
    <row r="239" spans="1:144" ht="21" customHeight="1">
      <c r="A239" s="1627"/>
      <c r="B239" s="2439" t="s">
        <v>190</v>
      </c>
      <c r="C239" s="3459" t="str" cm="1">
        <f t="array" ref="C239">IFBLANK(_PL!C239,"")</f>
        <v>Segment IV Breakdown - Label 4</v>
      </c>
      <c r="D239" s="1548" t="s">
        <v>190</v>
      </c>
      <c r="E239" s="2440" t="e" cm="1">
        <f t="array" ca="1" aca="1" ref="E23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239:$CQ239,Z239)</f>
        <v>#NAME?</v>
      </c>
      <c r="F239" s="578"/>
      <c r="G239" s="578"/>
      <c r="H239" s="510">
        <v>0</v>
      </c>
      <c r="I239" s="3302">
        <v>1</v>
      </c>
      <c r="J239" s="401" cm="1">
        <f t="array" ref="J239">IFBLANK(Z239,"")</f>
        <v>-1</v>
      </c>
      <c r="K239" s="578" t="str">
        <f ca="1">IFERROR(IF(LEN(AB239)=0,"No",IF(LEN(J239)&gt;0,"Yes","No")),"")</f>
        <v/>
      </c>
      <c r="L239" s="37"/>
      <c r="N239" s="158"/>
      <c r="O239" s="101"/>
      <c r="P239" s="52"/>
      <c r="Q239" s="101"/>
      <c r="R239" s="101"/>
      <c r="S239" s="101"/>
      <c r="T239" s="101"/>
      <c r="U239" s="39"/>
      <c r="V239" s="37"/>
      <c r="W239" s="91" t="e">
        <f ca="1">W235</f>
        <v>#NAME?</v>
      </c>
      <c r="X239" s="2081" t="str">
        <f>_PL!X239</f>
        <v>a</v>
      </c>
      <c r="Y239" s="3224">
        <v>2</v>
      </c>
      <c r="Z239" s="198">
        <f>_PL!Z239</f>
        <v>-1</v>
      </c>
      <c r="AA239" s="2571"/>
      <c r="AB239" s="2575" t="e" cm="1">
        <f t="array" ca="1" aca="1" ref="AB239">IF(W231="Scenario","Please select scenario in cell! "&amp;CELL("address",W231),"")</f>
        <v>#NAME?</v>
      </c>
      <c r="AC239" s="914" t="str" cm="1">
        <f t="array" ca="1" aca="1" ref="AC239">_xlfn.LET(_xlpm._termname,$AB239,_xlpm._iconname,"find",_xlpm._icon,fx_getIcon(_xlpm._iconname),_xlpm._location,_xlfn.XLOOKUP(LOWER(_xlpm._termname),LOWER(tbl_acctDef[Term]),tbl_acctDef[Term]),_xlpm._hyperlink,HYPERLINK("#"&amp;CELL("address",_xlpm._location),_xlpm._icon),IFERROR(_xlpm._hyperlink,""))</f>
        <v/>
      </c>
      <c r="AD239" s="3185">
        <v>1</v>
      </c>
      <c r="AE239" s="3185">
        <v>1</v>
      </c>
      <c r="AF239" s="3185">
        <v>1</v>
      </c>
      <c r="AG239" s="3185">
        <v>1</v>
      </c>
      <c r="AH239" s="3185">
        <v>1</v>
      </c>
      <c r="AI239" s="3185">
        <v>1</v>
      </c>
      <c r="AJ239" s="3185">
        <v>1</v>
      </c>
      <c r="AK239" s="3185">
        <v>1</v>
      </c>
      <c r="AL239" s="3185">
        <v>1</v>
      </c>
      <c r="AM239" s="3185">
        <v>1</v>
      </c>
      <c r="AN239" s="3185">
        <v>1</v>
      </c>
      <c r="AO239" s="3185">
        <v>1</v>
      </c>
      <c r="AP239" s="3185">
        <v>1</v>
      </c>
      <c r="AQ239" s="3185">
        <v>1</v>
      </c>
      <c r="AR239" s="3185">
        <v>1</v>
      </c>
      <c r="AS239" s="3185">
        <v>1</v>
      </c>
      <c r="AT239" s="3185">
        <v>1</v>
      </c>
      <c r="AU239" s="3185">
        <v>1</v>
      </c>
      <c r="AV239" s="3185">
        <v>1</v>
      </c>
      <c r="AW239" s="3185">
        <v>1</v>
      </c>
      <c r="AX239" s="3185">
        <v>1</v>
      </c>
      <c r="AY239" s="3185">
        <v>1</v>
      </c>
      <c r="AZ239" s="3185">
        <v>1</v>
      </c>
      <c r="BA239" s="3185">
        <v>1</v>
      </c>
      <c r="BB239" s="3185">
        <v>1</v>
      </c>
      <c r="BC239" s="3185">
        <v>1</v>
      </c>
      <c r="BD239" s="3185">
        <v>1</v>
      </c>
      <c r="BE239" s="3185">
        <v>1</v>
      </c>
      <c r="BF239" s="3185">
        <v>1</v>
      </c>
      <c r="BG239" s="3185">
        <v>1</v>
      </c>
      <c r="BH239" s="3185">
        <v>1</v>
      </c>
      <c r="BI239" s="3185">
        <v>1</v>
      </c>
      <c r="BJ239" s="3185">
        <v>1</v>
      </c>
      <c r="BK239" s="3185">
        <v>1</v>
      </c>
      <c r="BL239" s="3185">
        <v>1</v>
      </c>
      <c r="BM239" s="3185">
        <v>1</v>
      </c>
      <c r="BN239" s="3185">
        <v>1</v>
      </c>
      <c r="BO239" s="2442"/>
      <c r="BP239" s="2442"/>
      <c r="BQ239" s="2442"/>
      <c r="BR239" s="2442"/>
      <c r="BS239" s="2442"/>
      <c r="BT239" s="2442"/>
      <c r="BU239" s="2442"/>
      <c r="BV239" s="2442"/>
      <c r="BW239" s="2442"/>
      <c r="BX239" s="2442"/>
      <c r="BY239" s="2442"/>
      <c r="BZ239" s="2442"/>
      <c r="CA239" s="34"/>
      <c r="CC239" s="58"/>
      <c r="CD239" s="1461" t="e" cm="1">
        <f t="array" ca="1" aca="1" ref="CD239">_xlfn.LET(_xlpm.CheckBlank,SUM(PL!$AD239:$BN239)=0,IF(_xlpm.CheckBlank,"",SUM(_xlfn._xlws.FILTER(PL!$AD239:$BN239,(YEAR(PL!$AD$12:$BN$12)=PL!CD$12)*(array_timeline&lt;=PL!CD$11)))))</f>
        <v>#NAME?</v>
      </c>
      <c r="CE239" s="1461" t="e" cm="1">
        <f t="array" ca="1" aca="1" ref="CE239">_xlfn.LET(_xlpm.CheckBlank,SUM(PL!$AD239:$BN239)=0,IF(_xlpm.CheckBlank,"",SUM(_xlfn._xlws.FILTER(PL!$AD239:$BN239,(YEAR(PL!$AD$12:$BN$12)=PL!CE$12)*(array_timeline&lt;=PL!CE$11)))))</f>
        <v>#NAME?</v>
      </c>
      <c r="CF239" s="88"/>
      <c r="CG239" s="1461" t="e" cm="1">
        <f t="array" ca="1" aca="1" ref="CG239">_xlfn.LET(_xlpm.CheckBlank,SUM(PL!$AD239:$BN239)=0,IF(_xlpm.CheckBlank,"",SUM(_xlfn._xlws.FILTER(PL!$AD239:$BN239,(YEAR(PL!$AD$12:$BN$12)=PL!CG$12)*(array_timeline&lt;=PL!CG$11)))))</f>
        <v>#NAME?</v>
      </c>
      <c r="CH239" s="1461" t="e" cm="1">
        <f t="array" ca="1" aca="1" ref="CH239">_xlfn.LET(_xlpm.CheckBlank,SUM(PL!$AD239:$BN239)=0,IF(_xlpm.CheckBlank,"",SUM(_xlfn._xlws.FILTER(PL!$AD239:$BN239,(YEAR(PL!$AD$12:$BN$12)=PL!CH$12)*(array_timeline&lt;=PL!CH$11)))))</f>
        <v>#NAME?</v>
      </c>
      <c r="CI239" s="88"/>
      <c r="CJ239" s="1461" cm="1">
        <f t="array" ref="CJ239">_xlfn.LET(_xlpm.CheckBlank,SUM(PL!$AD239:$BN239)=0,IF(_xlpm.CheckBlank,"",SUM(_xlfn.TAKE(_xlfn.DROP(PL!$AD239:$BN239,,-DATEDIFF(PL!CJ$11,val_asOfDate,"M")),1,-12))))</f>
        <v>12</v>
      </c>
      <c r="CK239" s="1461" cm="1">
        <f t="array" ref="CK239">_xlfn.LET(_xlpm.CheckBlank,SUM(PL!$AD239:$BN239)=0,IF(_xlpm.CheckBlank,"",SUM(_xlfn.TAKE(_xlfn.DROP(PL!$AD239:$BN239,,-DATEDIFF(PL!CK$11,val_asOfDate,"M")),1,-12))))</f>
        <v>12</v>
      </c>
      <c r="CL239" s="88"/>
      <c r="CM239" s="3185">
        <v>1</v>
      </c>
      <c r="CN239" s="3185">
        <v>1</v>
      </c>
      <c r="CO239" s="1169"/>
      <c r="CP239" s="3185">
        <v>1</v>
      </c>
      <c r="CQ239" s="3185">
        <v>1</v>
      </c>
      <c r="CR239" s="34"/>
      <c r="CS239" s="2056"/>
      <c r="CT239" s="2447" t="e" cm="1">
        <f t="array" ca="1" aca="1" ref="CT239">IF(OR($Y239="Segment IV Breakdown - Amount 1",$Y239="Segment IV Breakdown - Amount 2",$Y239="Segment IV Breakdown - Amount 3",$Y239="Segment IV Breakdown - Amount 4",$Y239="Segment IV Breakdown - Amount 5",$Y239="Segment IV Breakdown - Amount 6",$Y239="Please select the metric for segmentation"),"",_xldudf_CX_PUSH($Y239,CX_ENTITY,$C239,val_asOfDate))</f>
        <v>#NAME?</v>
      </c>
      <c r="CU239" s="2447" t="e" cm="1">
        <f t="array" ca="1" aca="1" ref="CU239">IF(OR($Y239="Segment IV Breakdown - Amount 1",$Y239="Segment IV Breakdown - Amount 2",$Y239="Segment IV Breakdown - Amount 3",$Y239="Segment IV Breakdown - Amount 4",$Y239="Segment IV Breakdown - Amount 5",$Y239="Segment IV Breakdown - Amount 6",$Y239="Please select the metric for segmentation"),"",_xldudf_CX_PUSH($Y239,CX_ENTITY,$C239,EOMONTH(val_asOfDate,1)))</f>
        <v>#NAME?</v>
      </c>
      <c r="CV239" s="2447" t="e" cm="1">
        <f t="array" ca="1" aca="1" ref="CV239">IF(OR($Y239="Segment IV Breakdown - Amount 1",$Y239="Segment IV Breakdown - Amount 2",$Y239="Segment IV Breakdown - Amount 3",$Y239="Segment IV Breakdown - Amount 4",$Y239="Segment IV Breakdown - Amount 5",$Y239="Segment IV Breakdown - Amount 6",$Y239="Please select the metric for segmentation"),"",_xldudf_CX_PUSH($Y239,CX_ENTITY,$C239,EOMONTH(val_asOfDate,2)))</f>
        <v>#NAME?</v>
      </c>
      <c r="CW239" s="2447" t="e" cm="1">
        <f t="array" ca="1" aca="1" ref="CW239">IF(OR($Y239="Segment IV Breakdown - Amount 1",$Y239="Segment IV Breakdown - Amount 2",$Y239="Segment IV Breakdown - Amount 3",$Y239="Segment IV Breakdown - Amount 4",$Y239="Segment IV Breakdown - Amount 5",$Y239="Segment IV Breakdown - Amount 6",$Y239="Please select the metric for segmentation"),"",_xldudf_CX_PUSH($Y239,CX_ENTITY,$C239,EOMONTH(val_asOfDate,3)))</f>
        <v>#NAME?</v>
      </c>
      <c r="CX239" s="2443"/>
      <c r="CY239" s="2444" t="str" cm="1">
        <f t="array" ca="1" aca="1" ref="CY239">IFERROR(IF(CM239*fxVal_normal=PL!CM279,"",IF(OR($CM239="",$CM239=0,NOT(ISNUMBER($CM239)),ISERROR($CM239),$B239=""),"",IF($I239=1,IFBLANK(_xldudf_CX_PUSH($CM239*fxVal_normal,CX_ENTITY,$B239,$CM$11,$CM$14,$CM$19,),""),IF($I239=2,IFBLANK(_xldudf_CX_PUSH($CM239,CX_ENTITY,$B239,$CM$11,$CM$14,$CM$19,),""),IF($I239=3,"",IFBLANK(_xldudf_CX_PUSH($CM239,CX_ENTITY,$B239,$CM$11,$CM$14,$CM$19,),"")))))),"")</f>
        <v/>
      </c>
      <c r="CZ239" s="2444" t="str" cm="1">
        <f t="array" ca="1" aca="1" ref="CZ239">IFERROR(IF(CN239*fxVal_normal=PL!CN279,"",IF(OR($CN239="",$CN239=0,NOT(ISNUMBER($CN239)),ISERROR($CN239),$B239=""),"",IF($I239=1,IFBLANK(_xldudf_CX_PUSH($CN239*fxVal_normal,CX_ENTITY,$B239,$CN$11,$CN$14,$CN$19,),""),IF($I239=2,IFBLANK(_xldudf_CX_PUSH($CN239,CX_ENTITY,$B239,$CN$11,$CN$14,$CN$19,),""),IF($I239=3,"",IFBLANK(_xldudf_CX_PUSH($CN239,CX_ENTITY,$B239,$CN$11,$CN$14,$CN$19,),"")))))),"")</f>
        <v/>
      </c>
      <c r="DA239" s="2444" t="str" cm="1">
        <f t="array" ca="1" aca="1" ref="DA239">IFERROR(IF(CP239*fxVal_normal=PL!CP279,"",IF(OR($CP239="",$CP239=0,NOT(ISNUMBER($CP239)),ISERROR($CP239),$B239=""),"",IF($I239=1,IFBLANK(_xldudf_CX_PUSH($CP239*fxVal_normal,CX_ENTITY,$B239,$CP$11,$CP$14,$CP$19,),""),IF($I239=2,IFBLANK(_xldudf_CX_PUSH($CP239,CX_ENTITY,$B239,$CP$11,$CP$14,$CP$19,),""),IF($I239=3,"",IFBLANK(_xldudf_CX_PUSH($CP239,CX_ENTITY,$B239,$CP$11,$CP$14,$CP$19,),"")))))),"")</f>
        <v/>
      </c>
      <c r="DB239" s="2444" t="str" cm="1">
        <f t="array" ca="1" aca="1" ref="DB239">IFERROR(IF(CQ239*fxVal_normal=PL!CQ279,"",IF(OR($CQ239="",$CQ239=0,NOT(ISNUMBER($CQ239)),ISERROR($CQ239),$B239=""),"",IF($I239=1,IFBLANK(_xldudf_CX_PUSH($CQ239*fxVal_normal,CX_ENTITY,$B239,$CQ$11,$CQ$14,$CQ$19,),""),IF($I239=2,IFBLANK(_xldudf_CX_PUSH($CQ239,CX_ENTITY,$B239,$CQ$11,$CQ$14,$CQ$19,),""),IF($I239=3,"",IFBLANK(_xldudf_CX_PUSH($CQ239,CX_ENTITY,$B239,$CQ$11,$CQ$14,$CQ$19,),"")))))),"")</f>
        <v/>
      </c>
      <c r="DC239" s="2443"/>
      <c r="DD239" s="2445" t="str" cm="1">
        <f t="array" ca="1" aca="1" ref="DD239">IFERROR(IF(AD239*fxVal_normal=PL!AD283,"",IF(OR(AD239="",NOT(ISNUMBER(AD239)),ISERROR(AD239),$B239=""),"",IF($I239=1,IFBLANK(_xldudf_CX_PUSH(AD239*fxVal_normal,CX_ENTITY,$B239,AD$11,AD$14,AD$234,),""),IF($I239=2,IFBLANK(_xldudf_CX_PUSH(AD239,CX_ENTITY,$B239,AD$11,AD$14,AD$234,),""),IF($I239=3,"",IFBLANK(_xldudf_CX_PUSH(AD239,CX_ENTITY,$B239,AD$11,AD$14,AD$234,),"")))))),"")</f>
        <v/>
      </c>
      <c r="DE239" s="2445" t="str" cm="1">
        <f t="array" ca="1" aca="1" ref="DE239">IFERROR(IF(AE239*fxVal_normal=PL!AE283,"",IF(OR(AE239="",NOT(ISNUMBER(AE239)),ISERROR(AE239),$B239=""),"",IF($I239=1,IFBLANK(_xldudf_CX_PUSH(AE239*fxVal_normal,CX_ENTITY,$B239,AE$11,AE$14,AE$234,),""),IF($I239=2,IFBLANK(_xldudf_CX_PUSH(AE239,CX_ENTITY,$B239,AE$11,AE$14,AE$234,),""),IF($I239=3,"",IFBLANK(_xldudf_CX_PUSH(AE239,CX_ENTITY,$B239,AE$11,AE$14,AE$234,),"")))))),"")</f>
        <v/>
      </c>
      <c r="DF239" s="2445" t="str" cm="1">
        <f t="array" ca="1" aca="1" ref="DF239">IFERROR(IF(AF239*fxVal_normal=PL!AF283,"",IF(OR(AF239="",NOT(ISNUMBER(AF239)),ISERROR(AF239),$B239=""),"",IF($I239=1,IFBLANK(_xldudf_CX_PUSH(AF239*fxVal_normal,CX_ENTITY,$B239,AF$11,AF$14,AF$234,),""),IF($I239=2,IFBLANK(_xldudf_CX_PUSH(AF239,CX_ENTITY,$B239,AF$11,AF$14,AF$234,),""),IF($I239=3,"",IFBLANK(_xldudf_CX_PUSH(AF239,CX_ENTITY,$B239,AF$11,AF$14,AF$234,),"")))))),"")</f>
        <v/>
      </c>
      <c r="DG239" s="2445" t="str" cm="1">
        <f t="array" ca="1" aca="1" ref="DG239">IFERROR(IF(AG239*fxVal_normal=PL!AG283,"",IF(OR(AG239="",NOT(ISNUMBER(AG239)),ISERROR(AG239),$B239=""),"",IF($I239=1,IFBLANK(_xldudf_CX_PUSH(AG239*fxVal_normal,CX_ENTITY,$B239,AG$11,AG$14,AG$234,),""),IF($I239=2,IFBLANK(_xldudf_CX_PUSH(AG239,CX_ENTITY,$B239,AG$11,AG$14,AG$234,),""),IF($I239=3,"",IFBLANK(_xldudf_CX_PUSH(AG239,CX_ENTITY,$B239,AG$11,AG$14,AG$234,),"")))))),"")</f>
        <v/>
      </c>
      <c r="DH239" s="2445" t="str" cm="1">
        <f t="array" ca="1" aca="1" ref="DH239">IFERROR(IF(AH239*fxVal_normal=PL!AH283,"",IF(OR(AH239="",NOT(ISNUMBER(AH239)),ISERROR(AH239),$B239=""),"",IF($I239=1,IFBLANK(_xldudf_CX_PUSH(AH239*fxVal_normal,CX_ENTITY,$B239,AH$11,AH$14,AH$234,),""),IF($I239=2,IFBLANK(_xldudf_CX_PUSH(AH239,CX_ENTITY,$B239,AH$11,AH$14,AH$234,),""),IF($I239=3,"",IFBLANK(_xldudf_CX_PUSH(AH239,CX_ENTITY,$B239,AH$11,AH$14,AH$234,),"")))))),"")</f>
        <v/>
      </c>
      <c r="DI239" s="2445" t="str" cm="1">
        <f t="array" ca="1" aca="1" ref="DI239">IFERROR(IF(AI239*fxVal_normal=PL!AI283,"",IF(OR(AI239="",NOT(ISNUMBER(AI239)),ISERROR(AI239),$B239=""),"",IF($I239=1,IFBLANK(_xldudf_CX_PUSH(AI239*fxVal_normal,CX_ENTITY,$B239,AI$11,AI$14,AI$234,),""),IF($I239=2,IFBLANK(_xldudf_CX_PUSH(AI239,CX_ENTITY,$B239,AI$11,AI$14,AI$234,),""),IF($I239=3,"",IFBLANK(_xldudf_CX_PUSH(AI239,CX_ENTITY,$B239,AI$11,AI$14,AI$234,),"")))))),"")</f>
        <v/>
      </c>
      <c r="DJ239" s="2445" t="str" cm="1">
        <f t="array" ca="1" aca="1" ref="DJ239">IFERROR(IF(AJ239*fxVal_normal=PL!AJ283,"",IF(OR(AJ239="",NOT(ISNUMBER(AJ239)),ISERROR(AJ239),$B239=""),"",IF($I239=1,IFBLANK(_xldudf_CX_PUSH(AJ239*fxVal_normal,CX_ENTITY,$B239,AJ$11,AJ$14,AJ$234,),""),IF($I239=2,IFBLANK(_xldudf_CX_PUSH(AJ239,CX_ENTITY,$B239,AJ$11,AJ$14,AJ$234,),""),IF($I239=3,"",IFBLANK(_xldudf_CX_PUSH(AJ239,CX_ENTITY,$B239,AJ$11,AJ$14,AJ$234,),"")))))),"")</f>
        <v/>
      </c>
      <c r="DK239" s="2445" t="str" cm="1">
        <f t="array" ca="1" aca="1" ref="DK239">IFERROR(IF(AK239*fxVal_normal=PL!AK283,"",IF(OR(AK239="",NOT(ISNUMBER(AK239)),ISERROR(AK239),$B239=""),"",IF($I239=1,IFBLANK(_xldudf_CX_PUSH(AK239*fxVal_normal,CX_ENTITY,$B239,AK$11,AK$14,AK$234,),""),IF($I239=2,IFBLANK(_xldudf_CX_PUSH(AK239,CX_ENTITY,$B239,AK$11,AK$14,AK$234,),""),IF($I239=3,"",IFBLANK(_xldudf_CX_PUSH(AK239,CX_ENTITY,$B239,AK$11,AK$14,AK$234,),"")))))),"")</f>
        <v/>
      </c>
      <c r="DL239" s="2445" t="str" cm="1">
        <f t="array" ca="1" aca="1" ref="DL239">IFERROR(IF(AL239*fxVal_normal=PL!AL283,"",IF(OR(AL239="",NOT(ISNUMBER(AL239)),ISERROR(AL239),$B239=""),"",IF($I239=1,IFBLANK(_xldudf_CX_PUSH(AL239*fxVal_normal,CX_ENTITY,$B239,AL$11,AL$14,AL$234,),""),IF($I239=2,IFBLANK(_xldudf_CX_PUSH(AL239,CX_ENTITY,$B239,AL$11,AL$14,AL$234,),""),IF($I239=3,"",IFBLANK(_xldudf_CX_PUSH(AL239,CX_ENTITY,$B239,AL$11,AL$14,AL$234,),"")))))),"")</f>
        <v/>
      </c>
      <c r="DM239" s="2445" t="str" cm="1">
        <f t="array" ca="1" aca="1" ref="DM239">IFERROR(IF(AM239*fxVal_normal=PL!AM283,"",IF(OR(AM239="",NOT(ISNUMBER(AM239)),ISERROR(AM239),$B239=""),"",IF($I239=1,IFBLANK(_xldudf_CX_PUSH(AM239*fxVal_normal,CX_ENTITY,$B239,AM$11,AM$14,AM$234,),""),IF($I239=2,IFBLANK(_xldudf_CX_PUSH(AM239,CX_ENTITY,$B239,AM$11,AM$14,AM$234,),""),IF($I239=3,"",IFBLANK(_xldudf_CX_PUSH(AM239,CX_ENTITY,$B239,AM$11,AM$14,AM$234,),"")))))),"")</f>
        <v/>
      </c>
      <c r="DN239" s="2445" t="str" cm="1">
        <f t="array" ca="1" aca="1" ref="DN239">IFERROR(IF(AN239*fxVal_normal=PL!AN283,"",IF(OR(AN239="",NOT(ISNUMBER(AN239)),ISERROR(AN239),$B239=""),"",IF($I239=1,IFBLANK(_xldudf_CX_PUSH(AN239*fxVal_normal,CX_ENTITY,$B239,AN$11,AN$14,AN$234,),""),IF($I239=2,IFBLANK(_xldudf_CX_PUSH(AN239,CX_ENTITY,$B239,AN$11,AN$14,AN$234,),""),IF($I239=3,"",IFBLANK(_xldudf_CX_PUSH(AN239,CX_ENTITY,$B239,AN$11,AN$14,AN$234,),"")))))),"")</f>
        <v/>
      </c>
      <c r="DO239" s="2445" t="str" cm="1">
        <f t="array" ca="1" aca="1" ref="DO239">IFERROR(IF(AO239*fxVal_normal=PL!AO283,"",IF(OR(AO239="",NOT(ISNUMBER(AO239)),ISERROR(AO239),$B239=""),"",IF($I239=1,IFBLANK(_xldudf_CX_PUSH(AO239*fxVal_normal,CX_ENTITY,$B239,AO$11,AO$14,AO$234,),""),IF($I239=2,IFBLANK(_xldudf_CX_PUSH(AO239,CX_ENTITY,$B239,AO$11,AO$14,AO$234,),""),IF($I239=3,"",IFBLANK(_xldudf_CX_PUSH(AO239,CX_ENTITY,$B239,AO$11,AO$14,AO$234,),"")))))),"")</f>
        <v/>
      </c>
      <c r="DP239" s="2445" t="str" cm="1">
        <f t="array" ca="1" aca="1" ref="DP239">IFERROR(IF(AP239*fxVal_normal=PL!AP283,"",IF(OR(AP239="",NOT(ISNUMBER(AP239)),ISERROR(AP239),$B239=""),"",IF($I239=1,IFBLANK(_xldudf_CX_PUSH(AP239*fxVal_normal,CX_ENTITY,$B239,AP$11,AP$14,AP$234,),""),IF($I239=2,IFBLANK(_xldudf_CX_PUSH(AP239,CX_ENTITY,$B239,AP$11,AP$14,AP$234,),""),IF($I239=3,"",IFBLANK(_xldudf_CX_PUSH(AP239,CX_ENTITY,$B239,AP$11,AP$14,AP$234,),"")))))),"")</f>
        <v/>
      </c>
      <c r="DQ239" s="2445" t="str" cm="1">
        <f t="array" ca="1" aca="1" ref="DQ239">IFERROR(IF(AQ239*fxVal_normal=PL!AQ283,"",IF(OR(AQ239="",NOT(ISNUMBER(AQ239)),ISERROR(AQ239),$B239=""),"",IF($I239=1,IFBLANK(_xldudf_CX_PUSH(AQ239*fxVal_normal,CX_ENTITY,$B239,AQ$11,AQ$14,AQ$234,),""),IF($I239=2,IFBLANK(_xldudf_CX_PUSH(AQ239,CX_ENTITY,$B239,AQ$11,AQ$14,AQ$234,),""),IF($I239=3,"",IFBLANK(_xldudf_CX_PUSH(AQ239,CX_ENTITY,$B239,AQ$11,AQ$14,AQ$234,),"")))))),"")</f>
        <v/>
      </c>
      <c r="DR239" s="2445" t="str" cm="1">
        <f t="array" ca="1" aca="1" ref="DR239">IFERROR(IF(AR239*fxVal_normal=PL!AR283,"",IF(OR(AR239="",NOT(ISNUMBER(AR239)),ISERROR(AR239),$B239=""),"",IF($I239=1,IFBLANK(_xldudf_CX_PUSH(AR239*fxVal_normal,CX_ENTITY,$B239,AR$11,AR$14,AR$234,),""),IF($I239=2,IFBLANK(_xldudf_CX_PUSH(AR239,CX_ENTITY,$B239,AR$11,AR$14,AR$234,),""),IF($I239=3,"",IFBLANK(_xldudf_CX_PUSH(AR239,CX_ENTITY,$B239,AR$11,AR$14,AR$234,),"")))))),"")</f>
        <v/>
      </c>
      <c r="DS239" s="2445" t="str" cm="1">
        <f t="array" ca="1" aca="1" ref="DS239">IFERROR(IF(AS239*fxVal_normal=PL!AS283,"",IF(OR(AS239="",NOT(ISNUMBER(AS239)),ISERROR(AS239),$B239=""),"",IF($I239=1,IFBLANK(_xldudf_CX_PUSH(AS239*fxVal_normal,CX_ENTITY,$B239,AS$11,AS$14,AS$234,),""),IF($I239=2,IFBLANK(_xldudf_CX_PUSH(AS239,CX_ENTITY,$B239,AS$11,AS$14,AS$234,),""),IF($I239=3,"",IFBLANK(_xldudf_CX_PUSH(AS239,CX_ENTITY,$B239,AS$11,AS$14,AS$234,),"")))))),"")</f>
        <v/>
      </c>
      <c r="DT239" s="2445" t="str" cm="1">
        <f t="array" ca="1" aca="1" ref="DT239">IFERROR(IF(AT239*fxVal_normal=PL!AT283,"",IF(OR(AT239="",NOT(ISNUMBER(AT239)),ISERROR(AT239),$B239=""),"",IF($I239=1,IFBLANK(_xldudf_CX_PUSH(AT239*fxVal_normal,CX_ENTITY,$B239,AT$11,AT$14,AT$234,),""),IF($I239=2,IFBLANK(_xldudf_CX_PUSH(AT239,CX_ENTITY,$B239,AT$11,AT$14,AT$234,),""),IF($I239=3,"",IFBLANK(_xldudf_CX_PUSH(AT239,CX_ENTITY,$B239,AT$11,AT$14,AT$234,),"")))))),"")</f>
        <v/>
      </c>
      <c r="DU239" s="2445" t="str" cm="1">
        <f t="array" ca="1" aca="1" ref="DU239">IFERROR(IF(AU239*fxVal_normal=PL!AU283,"",IF(OR(AU239="",NOT(ISNUMBER(AU239)),ISERROR(AU239),$B239=""),"",IF($I239=1,IFBLANK(_xldudf_CX_PUSH(AU239*fxVal_normal,CX_ENTITY,$B239,AU$11,AU$14,AU$234,),""),IF($I239=2,IFBLANK(_xldudf_CX_PUSH(AU239,CX_ENTITY,$B239,AU$11,AU$14,AU$234,),""),IF($I239=3,"",IFBLANK(_xldudf_CX_PUSH(AU239,CX_ENTITY,$B239,AU$11,AU$14,AU$234,),"")))))),"")</f>
        <v/>
      </c>
      <c r="DV239" s="2445" t="str" cm="1">
        <f t="array" ca="1" aca="1" ref="DV239">IFERROR(IF(AV239*fxVal_normal=PL!AV283,"",IF(OR(AV239="",NOT(ISNUMBER(AV239)),ISERROR(AV239),$B239=""),"",IF($I239=1,IFBLANK(_xldudf_CX_PUSH(AV239*fxVal_normal,CX_ENTITY,$B239,AV$11,AV$14,AV$234,),""),IF($I239=2,IFBLANK(_xldudf_CX_PUSH(AV239,CX_ENTITY,$B239,AV$11,AV$14,AV$234,),""),IF($I239=3,"",IFBLANK(_xldudf_CX_PUSH(AV239,CX_ENTITY,$B239,AV$11,AV$14,AV$234,),"")))))),"")</f>
        <v/>
      </c>
      <c r="DW239" s="2445" t="str" cm="1">
        <f t="array" ca="1" aca="1" ref="DW239">IFERROR(IF(AW239*fxVal_normal=PL!AW283,"",IF(OR(AW239="",NOT(ISNUMBER(AW239)),ISERROR(AW239),$B239=""),"",IF($I239=1,IFBLANK(_xldudf_CX_PUSH(AW239*fxVal_normal,CX_ENTITY,$B239,AW$11,AW$14,AW$234,),""),IF($I239=2,IFBLANK(_xldudf_CX_PUSH(AW239,CX_ENTITY,$B239,AW$11,AW$14,AW$234,),""),IF($I239=3,"",IFBLANK(_xldudf_CX_PUSH(AW239,CX_ENTITY,$B239,AW$11,AW$14,AW$234,),"")))))),"")</f>
        <v/>
      </c>
      <c r="DX239" s="2445" t="str" cm="1">
        <f t="array" ca="1" aca="1" ref="DX239">IFERROR(IF(AX239*fxVal_normal=PL!AX283,"",IF(OR(AX239="",NOT(ISNUMBER(AX239)),ISERROR(AX239),$B239=""),"",IF($I239=1,IFBLANK(_xldudf_CX_PUSH(AX239*fxVal_normal,CX_ENTITY,$B239,AX$11,AX$14,AX$234,),""),IF($I239=2,IFBLANK(_xldudf_CX_PUSH(AX239,CX_ENTITY,$B239,AX$11,AX$14,AX$234,),""),IF($I239=3,"",IFBLANK(_xldudf_CX_PUSH(AX239,CX_ENTITY,$B239,AX$11,AX$14,AX$234,),"")))))),"")</f>
        <v/>
      </c>
      <c r="DY239" s="2445" t="str" cm="1">
        <f t="array" ca="1" aca="1" ref="DY239">IFERROR(IF(AY239*fxVal_normal=PL!AY283,"",IF(OR(AY239="",NOT(ISNUMBER(AY239)),ISERROR(AY239),$B239=""),"",IF($I239=1,IFBLANK(_xldudf_CX_PUSH(AY239*fxVal_normal,CX_ENTITY,$B239,AY$11,AY$14,AY$234,),""),IF($I239=2,IFBLANK(_xldudf_CX_PUSH(AY239,CX_ENTITY,$B239,AY$11,AY$14,AY$234,),""),IF($I239=3,"",IFBLANK(_xldudf_CX_PUSH(AY239,CX_ENTITY,$B239,AY$11,AY$14,AY$234,),"")))))),"")</f>
        <v/>
      </c>
      <c r="DZ239" s="2445" t="str" cm="1">
        <f t="array" ca="1" aca="1" ref="DZ239">IFERROR(IF(AZ239*fxVal_normal=PL!AZ283,"",IF(OR(AZ239="",NOT(ISNUMBER(AZ239)),ISERROR(AZ239),$B239=""),"",IF($I239=1,IFBLANK(_xldudf_CX_PUSH(AZ239*fxVal_normal,CX_ENTITY,$B239,AZ$11,AZ$14,AZ$234,),""),IF($I239=2,IFBLANK(_xldudf_CX_PUSH(AZ239,CX_ENTITY,$B239,AZ$11,AZ$14,AZ$234,),""),IF($I239=3,"",IFBLANK(_xldudf_CX_PUSH(AZ239,CX_ENTITY,$B239,AZ$11,AZ$14,AZ$234,),"")))))),"")</f>
        <v/>
      </c>
      <c r="EA239" s="2445" t="str" cm="1">
        <f t="array" ca="1" aca="1" ref="EA239">IFERROR(IF(BA239*fxVal_normal=PL!BA283,"",IF(OR(BA239="",NOT(ISNUMBER(BA239)),ISERROR(BA239),$B239=""),"",IF($I239=1,IFBLANK(_xldudf_CX_PUSH(BA239*fxVal_normal,CX_ENTITY,$B239,BA$11,BA$14,BA$234,),""),IF($I239=2,IFBLANK(_xldudf_CX_PUSH(BA239,CX_ENTITY,$B239,BA$11,BA$14,BA$234,),""),IF($I239=3,"",IFBLANK(_xldudf_CX_PUSH(BA239,CX_ENTITY,$B239,BA$11,BA$14,BA$234,),"")))))),"")</f>
        <v/>
      </c>
      <c r="EB239" s="2445" t="str" cm="1">
        <f t="array" ca="1" aca="1" ref="EB239">IFERROR(IF(BB239*fxVal_normal=PL!BB283,"",IF(OR(BB239="",NOT(ISNUMBER(BB239)),ISERROR(BB239),$B239=""),"",IF($I239=1,IFBLANK(_xldudf_CX_PUSH(BB239*fxVal_normal,CX_ENTITY,$B239,BB$11,BB$14,BB$234,),""),IF($I239=2,IFBLANK(_xldudf_CX_PUSH(BB239,CX_ENTITY,$B239,BB$11,BB$14,BB$234,),""),IF($I239=3,"",IFBLANK(_xldudf_CX_PUSH(BB239,CX_ENTITY,$B239,BB$11,BB$14,BB$234,),"")))))),"")</f>
        <v/>
      </c>
      <c r="EC239" s="2445" t="str" cm="1">
        <f t="array" ca="1" aca="1" ref="EC239">IFERROR(IF(BC239*fxVal_normal=PL!BC283,"",IF(OR(BC239="",NOT(ISNUMBER(BC239)),ISERROR(BC239),$B239=""),"",IF($I239=1,IFBLANK(_xldudf_CX_PUSH(BC239*fxVal_normal,CX_ENTITY,$B239,BC$11,BC$14,BC$234,),""),IF($I239=2,IFBLANK(_xldudf_CX_PUSH(BC239,CX_ENTITY,$B239,BC$11,BC$14,BC$234,),""),IF($I239=3,"",IFBLANK(_xldudf_CX_PUSH(BC239,CX_ENTITY,$B239,BC$11,BC$14,BC$234,),"")))))),"")</f>
        <v/>
      </c>
      <c r="ED239" s="2445" t="str" cm="1">
        <f t="array" ca="1" aca="1" ref="ED239">IFERROR(IF(BD239*fxVal_normal=PL!BD283,"",IF(OR(BD239="",NOT(ISNUMBER(BD239)),ISERROR(BD239),$B239=""),"",IF($I239=1,IFBLANK(_xldudf_CX_PUSH(BD239*fxVal_normal,CX_ENTITY,$B239,BD$11,BD$14,BD$234,),""),IF($I239=2,IFBLANK(_xldudf_CX_PUSH(BD239,CX_ENTITY,$B239,BD$11,BD$14,BD$234,),""),IF($I239=3,"",IFBLANK(_xldudf_CX_PUSH(BD239,CX_ENTITY,$B239,BD$11,BD$14,BD$234,),"")))))),"")</f>
        <v/>
      </c>
      <c r="EE239" s="2445" t="str" cm="1">
        <f t="array" ca="1" aca="1" ref="EE239">IFERROR(IF(BE239*fxVal_normal=PL!BE283,"",IF(OR(BE239="",NOT(ISNUMBER(BE239)),ISERROR(BE239),$B239=""),"",IF($I239=1,IFBLANK(_xldudf_CX_PUSH(BE239*fxVal_normal,CX_ENTITY,$B239,BE$11,BE$14,BE$234,),""),IF($I239=2,IFBLANK(_xldudf_CX_PUSH(BE239,CX_ENTITY,$B239,BE$11,BE$14,BE$234,),""),IF($I239=3,"",IFBLANK(_xldudf_CX_PUSH(BE239,CX_ENTITY,$B239,BE$11,BE$14,BE$234,),"")))))),"")</f>
        <v/>
      </c>
      <c r="EF239" s="2445" t="str" cm="1">
        <f t="array" ca="1" aca="1" ref="EF239">IFERROR(IF(BF239*fxVal_normal=PL!BF283,"",IF(OR(BF239="",NOT(ISNUMBER(BF239)),ISERROR(BF239),$B239=""),"",IF($I239=1,IFBLANK(_xldudf_CX_PUSH(BF239*fxVal_normal,CX_ENTITY,$B239,BF$11,BF$14,BF$234,),""),IF($I239=2,IFBLANK(_xldudf_CX_PUSH(BF239,CX_ENTITY,$B239,BF$11,BF$14,BF$234,),""),IF($I239=3,"",IFBLANK(_xldudf_CX_PUSH(BF239,CX_ENTITY,$B239,BF$11,BF$14,BF$234,),"")))))),"")</f>
        <v/>
      </c>
      <c r="EG239" s="2445" t="str" cm="1">
        <f t="array" ca="1" aca="1" ref="EG239">IFERROR(IF(BG239*fxVal_normal=PL!BG283,"",IF(OR(BG239="",NOT(ISNUMBER(BG239)),ISERROR(BG239),$B239=""),"",IF($I239=1,IFBLANK(_xldudf_CX_PUSH(BG239*fxVal_normal,CX_ENTITY,$B239,BG$11,BG$14,BG$234,),""),IF($I239=2,IFBLANK(_xldudf_CX_PUSH(BG239,CX_ENTITY,$B239,BG$11,BG$14,BG$234,),""),IF($I239=3,"",IFBLANK(_xldudf_CX_PUSH(BG239,CX_ENTITY,$B239,BG$11,BG$14,BG$234,),"")))))),"")</f>
        <v/>
      </c>
      <c r="EH239" s="2445" t="str" cm="1">
        <f t="array" ca="1" aca="1" ref="EH239">IFERROR(IF(BH239*fxVal_normal=PL!BH283,"",IF(OR(BH239="",NOT(ISNUMBER(BH239)),ISERROR(BH239),$B239=""),"",IF($I239=1,IFBLANK(_xldudf_CX_PUSH(BH239*fxVal_normal,CX_ENTITY,$B239,BH$11,BH$14,BH$234,),""),IF($I239=2,IFBLANK(_xldudf_CX_PUSH(BH239,CX_ENTITY,$B239,BH$11,BH$14,BH$234,),""),IF($I239=3,"",IFBLANK(_xldudf_CX_PUSH(BH239,CX_ENTITY,$B239,BH$11,BH$14,BH$234,),"")))))),"")</f>
        <v/>
      </c>
      <c r="EI239" s="2445" t="str" cm="1">
        <f t="array" ca="1" aca="1" ref="EI239">IFERROR(IF(BI239*fxVal_normal=PL!BI283,"",IF(OR(BI239="",NOT(ISNUMBER(BI239)),ISERROR(BI239),$B239=""),"",IF($I239=1,IFBLANK(_xldudf_CX_PUSH(BI239*fxVal_normal,CX_ENTITY,$B239,BI$11,BI$14,BI$234,),""),IF($I239=2,IFBLANK(_xldudf_CX_PUSH(BI239,CX_ENTITY,$B239,BI$11,BI$14,BI$234,),""),IF($I239=3,"",IFBLANK(_xldudf_CX_PUSH(BI239,CX_ENTITY,$B239,BI$11,BI$14,BI$234,),"")))))),"")</f>
        <v/>
      </c>
      <c r="EJ239" s="2445" t="str" cm="1">
        <f t="array" ca="1" aca="1" ref="EJ239">IFERROR(IF(BJ239*fxVal_normal=PL!BJ283,"",IF(OR(BJ239="",NOT(ISNUMBER(BJ239)),ISERROR(BJ239),$B239=""),"",IF($I239=1,IFBLANK(_xldudf_CX_PUSH(BJ239*fxVal_normal,CX_ENTITY,$B239,BJ$11,BJ$14,BJ$234,),""),IF($I239=2,IFBLANK(_xldudf_CX_PUSH(BJ239,CX_ENTITY,$B239,BJ$11,BJ$14,BJ$234,),""),IF($I239=3,"",IFBLANK(_xldudf_CX_PUSH(BJ239,CX_ENTITY,$B239,BJ$11,BJ$14,BJ$234,),"")))))),"")</f>
        <v/>
      </c>
      <c r="EK239" s="2445" t="str" cm="1">
        <f t="array" ca="1" aca="1" ref="EK239">IFERROR(IF(BK239*fxVal_normal=PL!BK283,"",IF(OR(BK239="",NOT(ISNUMBER(BK239)),ISERROR(BK239),$B239=""),"",IF($I239=1,IFBLANK(_xldudf_CX_PUSH(BK239*fxVal_normal,CX_ENTITY,$B239,BK$11,BK$14,BK$234,),""),IF($I239=2,IFBLANK(_xldudf_CX_PUSH(BK239,CX_ENTITY,$B239,BK$11,BK$14,BK$234,),""),IF($I239=3,"",IFBLANK(_xldudf_CX_PUSH(BK239,CX_ENTITY,$B239,BK$11,BK$14,BK$234,),"")))))),"")</f>
        <v/>
      </c>
      <c r="EL239" s="2445" t="str" cm="1">
        <f t="array" ca="1" aca="1" ref="EL239">IFERROR(IF(BL239*fxVal_normal=PL!BL283,"",IF(OR(BL239="",NOT(ISNUMBER(BL239)),ISERROR(BL239),$B239=""),"",IF($I239=1,IFBLANK(_xldudf_CX_PUSH(BL239*fxVal_normal,CX_ENTITY,$B239,BL$11,BL$14,BL$234,),""),IF($I239=2,IFBLANK(_xldudf_CX_PUSH(BL239,CX_ENTITY,$B239,BL$11,BL$14,BL$234,),""),IF($I239=3,"",IFBLANK(_xldudf_CX_PUSH(BL239,CX_ENTITY,$B239,BL$11,BL$14,BL$234,),"")))))),"")</f>
        <v/>
      </c>
      <c r="EM239" s="2445" t="str" cm="1">
        <f t="array" ca="1" aca="1" ref="EM239">IFERROR(IF(BM239*fxVal_normal=PL!BM283,"",IF(OR(BM239="",NOT(ISNUMBER(BM239)),ISERROR(BM239),$B239=""),"",IF($I239=1,IFBLANK(_xldudf_CX_PUSH(BM239*fxVal_normal,CX_ENTITY,$B239,BM$11,BM$14,BM$234,),""),IF($I239=2,IFBLANK(_xldudf_CX_PUSH(BM239,CX_ENTITY,$B239,BM$11,BM$14,BM$234,),""),IF($I239=3,"",IFBLANK(_xldudf_CX_PUSH(BM239,CX_ENTITY,$B239,BM$11,BM$14,BM$234,),"")))))),"")</f>
        <v/>
      </c>
      <c r="EN239" s="2445" t="str" cm="1">
        <f t="array" ca="1" aca="1" ref="EN239">IFERROR(IF(BN239*fxVal_normal=PL!BN283,"",IF(OR(BN239="",NOT(ISNUMBER(BN239)),ISERROR(BN239),$B239=""),"",IF($I239=1,IFBLANK(_xldudf_CX_PUSH(BN239*fxVal_normal,CX_ENTITY,$B239,BN$11,BN$14,BN$234,),""),IF($I239=2,IFBLANK(_xldudf_CX_PUSH(BN239,CX_ENTITY,$B239,BN$11,BN$14,BN$234,),""),IF($I239=3,"",IFBLANK(_xldudf_CX_PUSH(BN239,CX_ENTITY,$B239,BN$11,BN$14,BN$234,),"")))))),"")</f>
        <v/>
      </c>
    </row>
    <row r="240" spans="1:144" ht="21" customHeight="1">
      <c r="A240" s="1627"/>
      <c r="B240" s="2439" t="s">
        <v>191</v>
      </c>
      <c r="C240" s="3459" t="str" cm="1">
        <f t="array" ref="C240">IFBLANK(_PL!C240,"")</f>
        <v>Segment IV Breakdown - Label 5</v>
      </c>
      <c r="D240" s="1548" t="s">
        <v>191</v>
      </c>
      <c r="E240" s="2440" t="e" cm="1">
        <f t="array" ca="1" aca="1" ref="E24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240:$CQ240,Z240)</f>
        <v>#NAME?</v>
      </c>
      <c r="F240" s="578"/>
      <c r="G240" s="578"/>
      <c r="H240" s="510">
        <v>0</v>
      </c>
      <c r="I240" s="3302">
        <v>1</v>
      </c>
      <c r="J240" s="401" cm="1">
        <f t="array" ref="J240">IFBLANK(Z240,"")</f>
        <v>-1</v>
      </c>
      <c r="K240" s="578" t="str">
        <f t="shared" si="60"/>
        <v>No</v>
      </c>
      <c r="L240" s="37"/>
      <c r="N240" s="158"/>
      <c r="O240" s="101"/>
      <c r="P240" s="52"/>
      <c r="Q240" s="101"/>
      <c r="R240" s="101"/>
      <c r="S240" s="101"/>
      <c r="T240" s="101"/>
      <c r="U240" s="39"/>
      <c r="V240" s="37"/>
      <c r="W240" s="91" t="e">
        <f ca="1">W235</f>
        <v>#NAME?</v>
      </c>
      <c r="X240" s="2081" t="str">
        <f>_PL!X240</f>
        <v>a</v>
      </c>
      <c r="Y240" s="3224">
        <v>2</v>
      </c>
      <c r="Z240" s="198">
        <f>_PL!Z240</f>
        <v>-1</v>
      </c>
      <c r="AA240" s="2571"/>
      <c r="AB240" s="2592"/>
      <c r="AC240" s="914" t="str" cm="1">
        <f t="array" ca="1" aca="1" ref="AC240">_xlfn.LET(_xlpm._termname,$AB240,_xlpm._iconname,"find",_xlpm._icon,fx_getIcon(_xlpm._iconname),_xlpm._location,_xlfn.XLOOKUP(LOWER(_xlpm._termname),LOWER(tbl_acctDef[Term]),tbl_acctDef[Term]),_xlpm._hyperlink,HYPERLINK("#"&amp;CELL("address",_xlpm._location),_xlpm._icon),IFERROR(_xlpm._hyperlink,""))</f>
        <v/>
      </c>
      <c r="AD240" s="3185">
        <v>1</v>
      </c>
      <c r="AE240" s="3185">
        <v>1</v>
      </c>
      <c r="AF240" s="3185">
        <v>1</v>
      </c>
      <c r="AG240" s="3185">
        <v>1</v>
      </c>
      <c r="AH240" s="3185">
        <v>1</v>
      </c>
      <c r="AI240" s="3185">
        <v>1</v>
      </c>
      <c r="AJ240" s="3185">
        <v>1</v>
      </c>
      <c r="AK240" s="3185">
        <v>1</v>
      </c>
      <c r="AL240" s="3185">
        <v>1</v>
      </c>
      <c r="AM240" s="3185">
        <v>1</v>
      </c>
      <c r="AN240" s="3185">
        <v>1</v>
      </c>
      <c r="AO240" s="3185">
        <v>1</v>
      </c>
      <c r="AP240" s="3185">
        <v>1</v>
      </c>
      <c r="AQ240" s="3185">
        <v>1</v>
      </c>
      <c r="AR240" s="3185">
        <v>1</v>
      </c>
      <c r="AS240" s="3185">
        <v>1</v>
      </c>
      <c r="AT240" s="3185">
        <v>1</v>
      </c>
      <c r="AU240" s="3185">
        <v>1</v>
      </c>
      <c r="AV240" s="3185">
        <v>1</v>
      </c>
      <c r="AW240" s="3185">
        <v>1</v>
      </c>
      <c r="AX240" s="3185">
        <v>1</v>
      </c>
      <c r="AY240" s="3185">
        <v>1</v>
      </c>
      <c r="AZ240" s="3185">
        <v>1</v>
      </c>
      <c r="BA240" s="3185">
        <v>1</v>
      </c>
      <c r="BB240" s="3185">
        <v>1</v>
      </c>
      <c r="BC240" s="3185">
        <v>1</v>
      </c>
      <c r="BD240" s="3185">
        <v>1</v>
      </c>
      <c r="BE240" s="3185">
        <v>1</v>
      </c>
      <c r="BF240" s="3185">
        <v>1</v>
      </c>
      <c r="BG240" s="3185">
        <v>1</v>
      </c>
      <c r="BH240" s="3185">
        <v>1</v>
      </c>
      <c r="BI240" s="3185">
        <v>1</v>
      </c>
      <c r="BJ240" s="3185">
        <v>1</v>
      </c>
      <c r="BK240" s="3185">
        <v>1</v>
      </c>
      <c r="BL240" s="3185">
        <v>1</v>
      </c>
      <c r="BM240" s="3185">
        <v>1</v>
      </c>
      <c r="BN240" s="3185">
        <v>1</v>
      </c>
      <c r="BO240" s="2442"/>
      <c r="BP240" s="2442"/>
      <c r="BQ240" s="2442"/>
      <c r="BR240" s="2442"/>
      <c r="BS240" s="2442"/>
      <c r="BT240" s="2442"/>
      <c r="BU240" s="2442"/>
      <c r="BV240" s="2442"/>
      <c r="BW240" s="2442"/>
      <c r="BX240" s="2442"/>
      <c r="BY240" s="2442"/>
      <c r="BZ240" s="2442"/>
      <c r="CA240" s="34"/>
      <c r="CC240" s="58"/>
      <c r="CD240" s="1461" t="e" cm="1">
        <f t="array" ca="1" aca="1" ref="CD240">_xlfn.LET(_xlpm.CheckBlank,SUM(PL!$AD240:$BN240)=0,IF(_xlpm.CheckBlank,"",SUM(_xlfn._xlws.FILTER(PL!$AD240:$BN240,(YEAR(PL!$AD$12:$BN$12)=PL!CD$12)*(array_timeline&lt;=PL!CD$11)))))</f>
        <v>#NAME?</v>
      </c>
      <c r="CE240" s="1461" t="e" cm="1">
        <f t="array" ca="1" aca="1" ref="CE240">_xlfn.LET(_xlpm.CheckBlank,SUM(PL!$AD240:$BN240)=0,IF(_xlpm.CheckBlank,"",SUM(_xlfn._xlws.FILTER(PL!$AD240:$BN240,(YEAR(PL!$AD$12:$BN$12)=PL!CE$12)*(array_timeline&lt;=PL!CE$11)))))</f>
        <v>#NAME?</v>
      </c>
      <c r="CF240" s="88"/>
      <c r="CG240" s="1461" t="e" cm="1">
        <f t="array" ca="1" aca="1" ref="CG240">_xlfn.LET(_xlpm.CheckBlank,SUM(PL!$AD240:$BN240)=0,IF(_xlpm.CheckBlank,"",SUM(_xlfn._xlws.FILTER(PL!$AD240:$BN240,(YEAR(PL!$AD$12:$BN$12)=PL!CG$12)*(array_timeline&lt;=PL!CG$11)))))</f>
        <v>#NAME?</v>
      </c>
      <c r="CH240" s="1461" t="e" cm="1">
        <f t="array" ca="1" aca="1" ref="CH240">_xlfn.LET(_xlpm.CheckBlank,SUM(PL!$AD240:$BN240)=0,IF(_xlpm.CheckBlank,"",SUM(_xlfn._xlws.FILTER(PL!$AD240:$BN240,(YEAR(PL!$AD$12:$BN$12)=PL!CH$12)*(array_timeline&lt;=PL!CH$11)))))</f>
        <v>#NAME?</v>
      </c>
      <c r="CI240" s="88"/>
      <c r="CJ240" s="1461" cm="1">
        <f t="array" ref="CJ240">_xlfn.LET(_xlpm.CheckBlank,SUM(PL!$AD240:$BN240)=0,IF(_xlpm.CheckBlank,"",SUM(_xlfn.TAKE(_xlfn.DROP(PL!$AD240:$BN240,,-DATEDIFF(PL!CJ$11,val_asOfDate,"M")),1,-12))))</f>
        <v>12</v>
      </c>
      <c r="CK240" s="1461" cm="1">
        <f t="array" ref="CK240">_xlfn.LET(_xlpm.CheckBlank,SUM(PL!$AD240:$BN240)=0,IF(_xlpm.CheckBlank,"",SUM(_xlfn.TAKE(_xlfn.DROP(PL!$AD240:$BN240,,-DATEDIFF(PL!CK$11,val_asOfDate,"M")),1,-12))))</f>
        <v>12</v>
      </c>
      <c r="CL240" s="88"/>
      <c r="CM240" s="3185">
        <v>1</v>
      </c>
      <c r="CN240" s="3185">
        <v>1</v>
      </c>
      <c r="CO240" s="1169"/>
      <c r="CP240" s="3185">
        <v>1</v>
      </c>
      <c r="CQ240" s="3185">
        <v>1</v>
      </c>
      <c r="CR240" s="34"/>
      <c r="CS240" s="2056"/>
      <c r="CT240" s="2447" t="e" cm="1">
        <f t="array" ca="1" aca="1" ref="CT240">IF(OR($Y240="Segment IV Breakdown - Amount 1",$Y240="Segment IV Breakdown - Amount 2",$Y240="Segment IV Breakdown - Amount 3",$Y240="Segment IV Breakdown - Amount 4",$Y240="Segment IV Breakdown - Amount 5",$Y240="Segment IV Breakdown - Amount 6",$Y240="Please select the metric for segmentation"),"",_xldudf_CX_PUSH($Y240,CX_ENTITY,$C240,val_asOfDate))</f>
        <v>#NAME?</v>
      </c>
      <c r="CU240" s="2447" t="e" cm="1">
        <f t="array" ca="1" aca="1" ref="CU240">IF(OR($Y240="Segment IV Breakdown - Amount 1",$Y240="Segment IV Breakdown - Amount 2",$Y240="Segment IV Breakdown - Amount 3",$Y240="Segment IV Breakdown - Amount 4",$Y240="Segment IV Breakdown - Amount 5",$Y240="Segment IV Breakdown - Amount 6",$Y240="Please select the metric for segmentation"),"",_xldudf_CX_PUSH($Y240,CX_ENTITY,$C240,EOMONTH(val_asOfDate,1)))</f>
        <v>#NAME?</v>
      </c>
      <c r="CV240" s="2447" t="e" cm="1">
        <f t="array" ca="1" aca="1" ref="CV240">IF(OR($Y240="Segment IV Breakdown - Amount 1",$Y240="Segment IV Breakdown - Amount 2",$Y240="Segment IV Breakdown - Amount 3",$Y240="Segment IV Breakdown - Amount 4",$Y240="Segment IV Breakdown - Amount 5",$Y240="Segment IV Breakdown - Amount 6",$Y240="Please select the metric for segmentation"),"",_xldudf_CX_PUSH($Y240,CX_ENTITY,$C240,EOMONTH(val_asOfDate,2)))</f>
        <v>#NAME?</v>
      </c>
      <c r="CW240" s="2447" t="e" cm="1">
        <f t="array" ca="1" aca="1" ref="CW240">IF(OR($Y240="Segment IV Breakdown - Amount 1",$Y240="Segment IV Breakdown - Amount 2",$Y240="Segment IV Breakdown - Amount 3",$Y240="Segment IV Breakdown - Amount 4",$Y240="Segment IV Breakdown - Amount 5",$Y240="Segment IV Breakdown - Amount 6",$Y240="Please select the metric for segmentation"),"",_xldudf_CX_PUSH($Y240,CX_ENTITY,$C240,EOMONTH(val_asOfDate,3)))</f>
        <v>#NAME?</v>
      </c>
      <c r="CX240" s="2443"/>
      <c r="CY240" s="2444" t="str" cm="1">
        <f t="array" ca="1" aca="1" ref="CY240">IFERROR(IF(CM240*fxVal_normal=PL!CM292,"",IF(OR($CM240="",$CM240=0,NOT(ISNUMBER($CM240)),ISERROR($CM240),$B240=""),"",IF($I240=1,IFBLANK(_xldudf_CX_PUSH($CM240*fxVal_normal,CX_ENTITY,$B240,$CM$11,$CM$14,$CM$19,),""),IF($I240=2,IFBLANK(_xldudf_CX_PUSH($CM240,CX_ENTITY,$B240,$CM$11,$CM$14,$CM$19,),""),IF($I240=3,"",IFBLANK(_xldudf_CX_PUSH($CM240,CX_ENTITY,$B240,$CM$11,$CM$14,$CM$19,),"")))))),"")</f>
        <v/>
      </c>
      <c r="CZ240" s="2444" t="str" cm="1">
        <f t="array" ca="1" aca="1" ref="CZ240">IFERROR(IF(CN240*fxVal_normal=PL!CN292,"",IF(OR($CN240="",$CN240=0,NOT(ISNUMBER($CN240)),ISERROR($CN240),$B240=""),"",IF($I240=1,IFBLANK(_xldudf_CX_PUSH($CN240*fxVal_normal,CX_ENTITY,$B240,$CN$11,$CN$14,$CN$19,),""),IF($I240=2,IFBLANK(_xldudf_CX_PUSH($CN240,CX_ENTITY,$B240,$CN$11,$CN$14,$CN$19,),""),IF($I240=3,"",IFBLANK(_xldudf_CX_PUSH($CN240,CX_ENTITY,$B240,$CN$11,$CN$14,$CN$19,),"")))))),"")</f>
        <v/>
      </c>
      <c r="DA240" s="2444" t="str" cm="1">
        <f t="array" ca="1" aca="1" ref="DA240">IFERROR(IF(CP240*fxVal_normal=PL!CP292,"",IF(OR($CP240="",$CP240=0,NOT(ISNUMBER($CP240)),ISERROR($CP240),$B240=""),"",IF($I240=1,IFBLANK(_xldudf_CX_PUSH($CP240*fxVal_normal,CX_ENTITY,$B240,$CP$11,$CP$14,$CP$19,),""),IF($I240=2,IFBLANK(_xldudf_CX_PUSH($CP240,CX_ENTITY,$B240,$CP$11,$CP$14,$CP$19,),""),IF($I240=3,"",IFBLANK(_xldudf_CX_PUSH($CP240,CX_ENTITY,$B240,$CP$11,$CP$14,$CP$19,),"")))))),"")</f>
        <v/>
      </c>
      <c r="DB240" s="2444" t="str" cm="1">
        <f t="array" ca="1" aca="1" ref="DB240">IFERROR(IF(CQ240*fxVal_normal=PL!CQ292,"",IF(OR($CQ240="",$CQ240=0,NOT(ISNUMBER($CQ240)),ISERROR($CQ240),$B240=""),"",IF($I240=1,IFBLANK(_xldudf_CX_PUSH($CQ240*fxVal_normal,CX_ENTITY,$B240,$CQ$11,$CQ$14,$CQ$19,),""),IF($I240=2,IFBLANK(_xldudf_CX_PUSH($CQ240,CX_ENTITY,$B240,$CQ$11,$CQ$14,$CQ$19,),""),IF($I240=3,"",IFBLANK(_xldudf_CX_PUSH($CQ240,CX_ENTITY,$B240,$CQ$11,$CQ$14,$CQ$19,),"")))))),"")</f>
        <v/>
      </c>
      <c r="DC240" s="2443"/>
      <c r="DD240" s="2445" t="str" cm="1">
        <f t="array" ca="1" aca="1" ref="DD240">IFERROR(IF(AD240*fxVal_normal=PL!AD284,"",IF(OR(AD240="",NOT(ISNUMBER(AD240)),ISERROR(AD240),$B240=""),"",IF($I240=1,IFBLANK(_xldudf_CX_PUSH(AD240*fxVal_normal,CX_ENTITY,$B240,AD$11,AD$14,AD$234,),""),IF($I240=2,IFBLANK(_xldudf_CX_PUSH(AD240,CX_ENTITY,$B240,AD$11,AD$14,AD$234,),""),IF($I240=3,"",IFBLANK(_xldudf_CX_PUSH(AD240,CX_ENTITY,$B240,AD$11,AD$14,AD$234,),"")))))),"")</f>
        <v/>
      </c>
      <c r="DE240" s="2445" t="str" cm="1">
        <f t="array" ca="1" aca="1" ref="DE240">IFERROR(IF(AE240*fxVal_normal=PL!AE284,"",IF(OR(AE240="",NOT(ISNUMBER(AE240)),ISERROR(AE240),$B240=""),"",IF($I240=1,IFBLANK(_xldudf_CX_PUSH(AE240*fxVal_normal,CX_ENTITY,$B240,AE$11,AE$14,AE$234,),""),IF($I240=2,IFBLANK(_xldudf_CX_PUSH(AE240,CX_ENTITY,$B240,AE$11,AE$14,AE$234,),""),IF($I240=3,"",IFBLANK(_xldudf_CX_PUSH(AE240,CX_ENTITY,$B240,AE$11,AE$14,AE$234,),"")))))),"")</f>
        <v/>
      </c>
      <c r="DF240" s="2445" t="str" cm="1">
        <f t="array" ca="1" aca="1" ref="DF240">IFERROR(IF(AF240*fxVal_normal=PL!AF284,"",IF(OR(AF240="",NOT(ISNUMBER(AF240)),ISERROR(AF240),$B240=""),"",IF($I240=1,IFBLANK(_xldudf_CX_PUSH(AF240*fxVal_normal,CX_ENTITY,$B240,AF$11,AF$14,AF$234,),""),IF($I240=2,IFBLANK(_xldudf_CX_PUSH(AF240,CX_ENTITY,$B240,AF$11,AF$14,AF$234,),""),IF($I240=3,"",IFBLANK(_xldudf_CX_PUSH(AF240,CX_ENTITY,$B240,AF$11,AF$14,AF$234,),"")))))),"")</f>
        <v/>
      </c>
      <c r="DG240" s="2445" t="str" cm="1">
        <f t="array" ca="1" aca="1" ref="DG240">IFERROR(IF(AG240*fxVal_normal=PL!AG284,"",IF(OR(AG240="",NOT(ISNUMBER(AG240)),ISERROR(AG240),$B240=""),"",IF($I240=1,IFBLANK(_xldudf_CX_PUSH(AG240*fxVal_normal,CX_ENTITY,$B240,AG$11,AG$14,AG$234,),""),IF($I240=2,IFBLANK(_xldudf_CX_PUSH(AG240,CX_ENTITY,$B240,AG$11,AG$14,AG$234,),""),IF($I240=3,"",IFBLANK(_xldudf_CX_PUSH(AG240,CX_ENTITY,$B240,AG$11,AG$14,AG$234,),"")))))),"")</f>
        <v/>
      </c>
      <c r="DH240" s="2445" t="str" cm="1">
        <f t="array" ca="1" aca="1" ref="DH240">IFERROR(IF(AH240*fxVal_normal=PL!AH284,"",IF(OR(AH240="",NOT(ISNUMBER(AH240)),ISERROR(AH240),$B240=""),"",IF($I240=1,IFBLANK(_xldudf_CX_PUSH(AH240*fxVal_normal,CX_ENTITY,$B240,AH$11,AH$14,AH$234,),""),IF($I240=2,IFBLANK(_xldudf_CX_PUSH(AH240,CX_ENTITY,$B240,AH$11,AH$14,AH$234,),""),IF($I240=3,"",IFBLANK(_xldudf_CX_PUSH(AH240,CX_ENTITY,$B240,AH$11,AH$14,AH$234,),"")))))),"")</f>
        <v/>
      </c>
      <c r="DI240" s="2445" t="str" cm="1">
        <f t="array" ca="1" aca="1" ref="DI240">IFERROR(IF(AI240*fxVal_normal=PL!AI284,"",IF(OR(AI240="",NOT(ISNUMBER(AI240)),ISERROR(AI240),$B240=""),"",IF($I240=1,IFBLANK(_xldudf_CX_PUSH(AI240*fxVal_normal,CX_ENTITY,$B240,AI$11,AI$14,AI$234,),""),IF($I240=2,IFBLANK(_xldudf_CX_PUSH(AI240,CX_ENTITY,$B240,AI$11,AI$14,AI$234,),""),IF($I240=3,"",IFBLANK(_xldudf_CX_PUSH(AI240,CX_ENTITY,$B240,AI$11,AI$14,AI$234,),"")))))),"")</f>
        <v/>
      </c>
      <c r="DJ240" s="2445" t="str" cm="1">
        <f t="array" ca="1" aca="1" ref="DJ240">IFERROR(IF(AJ240*fxVal_normal=PL!AJ284,"",IF(OR(AJ240="",NOT(ISNUMBER(AJ240)),ISERROR(AJ240),$B240=""),"",IF($I240=1,IFBLANK(_xldudf_CX_PUSH(AJ240*fxVal_normal,CX_ENTITY,$B240,AJ$11,AJ$14,AJ$234,),""),IF($I240=2,IFBLANK(_xldudf_CX_PUSH(AJ240,CX_ENTITY,$B240,AJ$11,AJ$14,AJ$234,),""),IF($I240=3,"",IFBLANK(_xldudf_CX_PUSH(AJ240,CX_ENTITY,$B240,AJ$11,AJ$14,AJ$234,),"")))))),"")</f>
        <v/>
      </c>
      <c r="DK240" s="2445" t="str" cm="1">
        <f t="array" ca="1" aca="1" ref="DK240">IFERROR(IF(AK240*fxVal_normal=PL!AK284,"",IF(OR(AK240="",NOT(ISNUMBER(AK240)),ISERROR(AK240),$B240=""),"",IF($I240=1,IFBLANK(_xldudf_CX_PUSH(AK240*fxVal_normal,CX_ENTITY,$B240,AK$11,AK$14,AK$234,),""),IF($I240=2,IFBLANK(_xldudf_CX_PUSH(AK240,CX_ENTITY,$B240,AK$11,AK$14,AK$234,),""),IF($I240=3,"",IFBLANK(_xldudf_CX_PUSH(AK240,CX_ENTITY,$B240,AK$11,AK$14,AK$234,),"")))))),"")</f>
        <v/>
      </c>
      <c r="DL240" s="2445" t="str" cm="1">
        <f t="array" ca="1" aca="1" ref="DL240">IFERROR(IF(AL240*fxVal_normal=PL!AL284,"",IF(OR(AL240="",NOT(ISNUMBER(AL240)),ISERROR(AL240),$B240=""),"",IF($I240=1,IFBLANK(_xldudf_CX_PUSH(AL240*fxVal_normal,CX_ENTITY,$B240,AL$11,AL$14,AL$234,),""),IF($I240=2,IFBLANK(_xldudf_CX_PUSH(AL240,CX_ENTITY,$B240,AL$11,AL$14,AL$234,),""),IF($I240=3,"",IFBLANK(_xldudf_CX_PUSH(AL240,CX_ENTITY,$B240,AL$11,AL$14,AL$234,),"")))))),"")</f>
        <v/>
      </c>
      <c r="DM240" s="2445" t="str" cm="1">
        <f t="array" ca="1" aca="1" ref="DM240">IFERROR(IF(AM240*fxVal_normal=PL!AM284,"",IF(OR(AM240="",NOT(ISNUMBER(AM240)),ISERROR(AM240),$B240=""),"",IF($I240=1,IFBLANK(_xldudf_CX_PUSH(AM240*fxVal_normal,CX_ENTITY,$B240,AM$11,AM$14,AM$234,),""),IF($I240=2,IFBLANK(_xldudf_CX_PUSH(AM240,CX_ENTITY,$B240,AM$11,AM$14,AM$234,),""),IF($I240=3,"",IFBLANK(_xldudf_CX_PUSH(AM240,CX_ENTITY,$B240,AM$11,AM$14,AM$234,),"")))))),"")</f>
        <v/>
      </c>
      <c r="DN240" s="2445" t="str" cm="1">
        <f t="array" ca="1" aca="1" ref="DN240">IFERROR(IF(AN240*fxVal_normal=PL!AN284,"",IF(OR(AN240="",NOT(ISNUMBER(AN240)),ISERROR(AN240),$B240=""),"",IF($I240=1,IFBLANK(_xldudf_CX_PUSH(AN240*fxVal_normal,CX_ENTITY,$B240,AN$11,AN$14,AN$234,),""),IF($I240=2,IFBLANK(_xldudf_CX_PUSH(AN240,CX_ENTITY,$B240,AN$11,AN$14,AN$234,),""),IF($I240=3,"",IFBLANK(_xldudf_CX_PUSH(AN240,CX_ENTITY,$B240,AN$11,AN$14,AN$234,),"")))))),"")</f>
        <v/>
      </c>
      <c r="DO240" s="2445" t="str" cm="1">
        <f t="array" ca="1" aca="1" ref="DO240">IFERROR(IF(AO240*fxVal_normal=PL!AO284,"",IF(OR(AO240="",NOT(ISNUMBER(AO240)),ISERROR(AO240),$B240=""),"",IF($I240=1,IFBLANK(_xldudf_CX_PUSH(AO240*fxVal_normal,CX_ENTITY,$B240,AO$11,AO$14,AO$234,),""),IF($I240=2,IFBLANK(_xldudf_CX_PUSH(AO240,CX_ENTITY,$B240,AO$11,AO$14,AO$234,),""),IF($I240=3,"",IFBLANK(_xldudf_CX_PUSH(AO240,CX_ENTITY,$B240,AO$11,AO$14,AO$234,),"")))))),"")</f>
        <v/>
      </c>
      <c r="DP240" s="2445" t="str" cm="1">
        <f t="array" ca="1" aca="1" ref="DP240">IFERROR(IF(AP240*fxVal_normal=PL!AP284,"",IF(OR(AP240="",NOT(ISNUMBER(AP240)),ISERROR(AP240),$B240=""),"",IF($I240=1,IFBLANK(_xldudf_CX_PUSH(AP240*fxVal_normal,CX_ENTITY,$B240,AP$11,AP$14,AP$234,),""),IF($I240=2,IFBLANK(_xldudf_CX_PUSH(AP240,CX_ENTITY,$B240,AP$11,AP$14,AP$234,),""),IF($I240=3,"",IFBLANK(_xldudf_CX_PUSH(AP240,CX_ENTITY,$B240,AP$11,AP$14,AP$234,),"")))))),"")</f>
        <v/>
      </c>
      <c r="DQ240" s="2445" t="str" cm="1">
        <f t="array" ca="1" aca="1" ref="DQ240">IFERROR(IF(AQ240*fxVal_normal=PL!AQ284,"",IF(OR(AQ240="",NOT(ISNUMBER(AQ240)),ISERROR(AQ240),$B240=""),"",IF($I240=1,IFBLANK(_xldudf_CX_PUSH(AQ240*fxVal_normal,CX_ENTITY,$B240,AQ$11,AQ$14,AQ$234,),""),IF($I240=2,IFBLANK(_xldudf_CX_PUSH(AQ240,CX_ENTITY,$B240,AQ$11,AQ$14,AQ$234,),""),IF($I240=3,"",IFBLANK(_xldudf_CX_PUSH(AQ240,CX_ENTITY,$B240,AQ$11,AQ$14,AQ$234,),"")))))),"")</f>
        <v/>
      </c>
      <c r="DR240" s="2445" t="str" cm="1">
        <f t="array" ca="1" aca="1" ref="DR240">IFERROR(IF(AR240*fxVal_normal=PL!AR284,"",IF(OR(AR240="",NOT(ISNUMBER(AR240)),ISERROR(AR240),$B240=""),"",IF($I240=1,IFBLANK(_xldudf_CX_PUSH(AR240*fxVal_normal,CX_ENTITY,$B240,AR$11,AR$14,AR$234,),""),IF($I240=2,IFBLANK(_xldudf_CX_PUSH(AR240,CX_ENTITY,$B240,AR$11,AR$14,AR$234,),""),IF($I240=3,"",IFBLANK(_xldudf_CX_PUSH(AR240,CX_ENTITY,$B240,AR$11,AR$14,AR$234,),"")))))),"")</f>
        <v/>
      </c>
      <c r="DS240" s="2445" t="str" cm="1">
        <f t="array" ca="1" aca="1" ref="DS240">IFERROR(IF(AS240*fxVal_normal=PL!AS284,"",IF(OR(AS240="",NOT(ISNUMBER(AS240)),ISERROR(AS240),$B240=""),"",IF($I240=1,IFBLANK(_xldudf_CX_PUSH(AS240*fxVal_normal,CX_ENTITY,$B240,AS$11,AS$14,AS$234,),""),IF($I240=2,IFBLANK(_xldudf_CX_PUSH(AS240,CX_ENTITY,$B240,AS$11,AS$14,AS$234,),""),IF($I240=3,"",IFBLANK(_xldudf_CX_PUSH(AS240,CX_ENTITY,$B240,AS$11,AS$14,AS$234,),"")))))),"")</f>
        <v/>
      </c>
      <c r="DT240" s="2445" t="str" cm="1">
        <f t="array" ca="1" aca="1" ref="DT240">IFERROR(IF(AT240*fxVal_normal=PL!AT284,"",IF(OR(AT240="",NOT(ISNUMBER(AT240)),ISERROR(AT240),$B240=""),"",IF($I240=1,IFBLANK(_xldudf_CX_PUSH(AT240*fxVal_normal,CX_ENTITY,$B240,AT$11,AT$14,AT$234,),""),IF($I240=2,IFBLANK(_xldudf_CX_PUSH(AT240,CX_ENTITY,$B240,AT$11,AT$14,AT$234,),""),IF($I240=3,"",IFBLANK(_xldudf_CX_PUSH(AT240,CX_ENTITY,$B240,AT$11,AT$14,AT$234,),"")))))),"")</f>
        <v/>
      </c>
      <c r="DU240" s="2445" t="str" cm="1">
        <f t="array" ca="1" aca="1" ref="DU240">IFERROR(IF(AU240*fxVal_normal=PL!AU284,"",IF(OR(AU240="",NOT(ISNUMBER(AU240)),ISERROR(AU240),$B240=""),"",IF($I240=1,IFBLANK(_xldudf_CX_PUSH(AU240*fxVal_normal,CX_ENTITY,$B240,AU$11,AU$14,AU$234,),""),IF($I240=2,IFBLANK(_xldudf_CX_PUSH(AU240,CX_ENTITY,$B240,AU$11,AU$14,AU$234,),""),IF($I240=3,"",IFBLANK(_xldudf_CX_PUSH(AU240,CX_ENTITY,$B240,AU$11,AU$14,AU$234,),"")))))),"")</f>
        <v/>
      </c>
      <c r="DV240" s="2445" t="str" cm="1">
        <f t="array" ca="1" aca="1" ref="DV240">IFERROR(IF(AV240*fxVal_normal=PL!AV284,"",IF(OR(AV240="",NOT(ISNUMBER(AV240)),ISERROR(AV240),$B240=""),"",IF($I240=1,IFBLANK(_xldudf_CX_PUSH(AV240*fxVal_normal,CX_ENTITY,$B240,AV$11,AV$14,AV$234,),""),IF($I240=2,IFBLANK(_xldudf_CX_PUSH(AV240,CX_ENTITY,$B240,AV$11,AV$14,AV$234,),""),IF($I240=3,"",IFBLANK(_xldudf_CX_PUSH(AV240,CX_ENTITY,$B240,AV$11,AV$14,AV$234,),"")))))),"")</f>
        <v/>
      </c>
      <c r="DW240" s="2445" t="str" cm="1">
        <f t="array" ca="1" aca="1" ref="DW240">IFERROR(IF(AW240*fxVal_normal=PL!AW284,"",IF(OR(AW240="",NOT(ISNUMBER(AW240)),ISERROR(AW240),$B240=""),"",IF($I240=1,IFBLANK(_xldudf_CX_PUSH(AW240*fxVal_normal,CX_ENTITY,$B240,AW$11,AW$14,AW$234,),""),IF($I240=2,IFBLANK(_xldudf_CX_PUSH(AW240,CX_ENTITY,$B240,AW$11,AW$14,AW$234,),""),IF($I240=3,"",IFBLANK(_xldudf_CX_PUSH(AW240,CX_ENTITY,$B240,AW$11,AW$14,AW$234,),"")))))),"")</f>
        <v/>
      </c>
      <c r="DX240" s="2445" t="str" cm="1">
        <f t="array" ca="1" aca="1" ref="DX240">IFERROR(IF(AX240*fxVal_normal=PL!AX284,"",IF(OR(AX240="",NOT(ISNUMBER(AX240)),ISERROR(AX240),$B240=""),"",IF($I240=1,IFBLANK(_xldudf_CX_PUSH(AX240*fxVal_normal,CX_ENTITY,$B240,AX$11,AX$14,AX$234,),""),IF($I240=2,IFBLANK(_xldudf_CX_PUSH(AX240,CX_ENTITY,$B240,AX$11,AX$14,AX$234,),""),IF($I240=3,"",IFBLANK(_xldudf_CX_PUSH(AX240,CX_ENTITY,$B240,AX$11,AX$14,AX$234,),"")))))),"")</f>
        <v/>
      </c>
      <c r="DY240" s="2445" t="str" cm="1">
        <f t="array" ca="1" aca="1" ref="DY240">IFERROR(IF(AY240*fxVal_normal=PL!AY284,"",IF(OR(AY240="",NOT(ISNUMBER(AY240)),ISERROR(AY240),$B240=""),"",IF($I240=1,IFBLANK(_xldudf_CX_PUSH(AY240*fxVal_normal,CX_ENTITY,$B240,AY$11,AY$14,AY$234,),""),IF($I240=2,IFBLANK(_xldudf_CX_PUSH(AY240,CX_ENTITY,$B240,AY$11,AY$14,AY$234,),""),IF($I240=3,"",IFBLANK(_xldudf_CX_PUSH(AY240,CX_ENTITY,$B240,AY$11,AY$14,AY$234,),"")))))),"")</f>
        <v/>
      </c>
      <c r="DZ240" s="2445" t="str" cm="1">
        <f t="array" ca="1" aca="1" ref="DZ240">IFERROR(IF(AZ240*fxVal_normal=PL!AZ284,"",IF(OR(AZ240="",NOT(ISNUMBER(AZ240)),ISERROR(AZ240),$B240=""),"",IF($I240=1,IFBLANK(_xldudf_CX_PUSH(AZ240*fxVal_normal,CX_ENTITY,$B240,AZ$11,AZ$14,AZ$234,),""),IF($I240=2,IFBLANK(_xldudf_CX_PUSH(AZ240,CX_ENTITY,$B240,AZ$11,AZ$14,AZ$234,),""),IF($I240=3,"",IFBLANK(_xldudf_CX_PUSH(AZ240,CX_ENTITY,$B240,AZ$11,AZ$14,AZ$234,),"")))))),"")</f>
        <v/>
      </c>
      <c r="EA240" s="2445" t="str" cm="1">
        <f t="array" ca="1" aca="1" ref="EA240">IFERROR(IF(BA240*fxVal_normal=PL!BA284,"",IF(OR(BA240="",NOT(ISNUMBER(BA240)),ISERROR(BA240),$B240=""),"",IF($I240=1,IFBLANK(_xldudf_CX_PUSH(BA240*fxVal_normal,CX_ENTITY,$B240,BA$11,BA$14,BA$234,),""),IF($I240=2,IFBLANK(_xldudf_CX_PUSH(BA240,CX_ENTITY,$B240,BA$11,BA$14,BA$234,),""),IF($I240=3,"",IFBLANK(_xldudf_CX_PUSH(BA240,CX_ENTITY,$B240,BA$11,BA$14,BA$234,),"")))))),"")</f>
        <v/>
      </c>
      <c r="EB240" s="2445" t="str" cm="1">
        <f t="array" ca="1" aca="1" ref="EB240">IFERROR(IF(BB240*fxVal_normal=PL!BB284,"",IF(OR(BB240="",NOT(ISNUMBER(BB240)),ISERROR(BB240),$B240=""),"",IF($I240=1,IFBLANK(_xldudf_CX_PUSH(BB240*fxVal_normal,CX_ENTITY,$B240,BB$11,BB$14,BB$234,),""),IF($I240=2,IFBLANK(_xldudf_CX_PUSH(BB240,CX_ENTITY,$B240,BB$11,BB$14,BB$234,),""),IF($I240=3,"",IFBLANK(_xldudf_CX_PUSH(BB240,CX_ENTITY,$B240,BB$11,BB$14,BB$234,),"")))))),"")</f>
        <v/>
      </c>
      <c r="EC240" s="2445" t="str" cm="1">
        <f t="array" ca="1" aca="1" ref="EC240">IFERROR(IF(BC240*fxVal_normal=PL!BC284,"",IF(OR(BC240="",NOT(ISNUMBER(BC240)),ISERROR(BC240),$B240=""),"",IF($I240=1,IFBLANK(_xldudf_CX_PUSH(BC240*fxVal_normal,CX_ENTITY,$B240,BC$11,BC$14,BC$234,),""),IF($I240=2,IFBLANK(_xldudf_CX_PUSH(BC240,CX_ENTITY,$B240,BC$11,BC$14,BC$234,),""),IF($I240=3,"",IFBLANK(_xldudf_CX_PUSH(BC240,CX_ENTITY,$B240,BC$11,BC$14,BC$234,),"")))))),"")</f>
        <v/>
      </c>
      <c r="ED240" s="2445" t="str" cm="1">
        <f t="array" ca="1" aca="1" ref="ED240">IFERROR(IF(BD240*fxVal_normal=PL!BD284,"",IF(OR(BD240="",NOT(ISNUMBER(BD240)),ISERROR(BD240),$B240=""),"",IF($I240=1,IFBLANK(_xldudf_CX_PUSH(BD240*fxVal_normal,CX_ENTITY,$B240,BD$11,BD$14,BD$234,),""),IF($I240=2,IFBLANK(_xldudf_CX_PUSH(BD240,CX_ENTITY,$B240,BD$11,BD$14,BD$234,),""),IF($I240=3,"",IFBLANK(_xldudf_CX_PUSH(BD240,CX_ENTITY,$B240,BD$11,BD$14,BD$234,),"")))))),"")</f>
        <v/>
      </c>
      <c r="EE240" s="2445" t="str" cm="1">
        <f t="array" ca="1" aca="1" ref="EE240">IFERROR(IF(BE240*fxVal_normal=PL!BE284,"",IF(OR(BE240="",NOT(ISNUMBER(BE240)),ISERROR(BE240),$B240=""),"",IF($I240=1,IFBLANK(_xldudf_CX_PUSH(BE240*fxVal_normal,CX_ENTITY,$B240,BE$11,BE$14,BE$234,),""),IF($I240=2,IFBLANK(_xldudf_CX_PUSH(BE240,CX_ENTITY,$B240,BE$11,BE$14,BE$234,),""),IF($I240=3,"",IFBLANK(_xldudf_CX_PUSH(BE240,CX_ENTITY,$B240,BE$11,BE$14,BE$234,),"")))))),"")</f>
        <v/>
      </c>
      <c r="EF240" s="2445" t="str" cm="1">
        <f t="array" ca="1" aca="1" ref="EF240">IFERROR(IF(BF240*fxVal_normal=PL!BF284,"",IF(OR(BF240="",NOT(ISNUMBER(BF240)),ISERROR(BF240),$B240=""),"",IF($I240=1,IFBLANK(_xldudf_CX_PUSH(BF240*fxVal_normal,CX_ENTITY,$B240,BF$11,BF$14,BF$234,),""),IF($I240=2,IFBLANK(_xldudf_CX_PUSH(BF240,CX_ENTITY,$B240,BF$11,BF$14,BF$234,),""),IF($I240=3,"",IFBLANK(_xldudf_CX_PUSH(BF240,CX_ENTITY,$B240,BF$11,BF$14,BF$234,),"")))))),"")</f>
        <v/>
      </c>
      <c r="EG240" s="2445" t="str" cm="1">
        <f t="array" ca="1" aca="1" ref="EG240">IFERROR(IF(BG240*fxVal_normal=PL!BG284,"",IF(OR(BG240="",NOT(ISNUMBER(BG240)),ISERROR(BG240),$B240=""),"",IF($I240=1,IFBLANK(_xldudf_CX_PUSH(BG240*fxVal_normal,CX_ENTITY,$B240,BG$11,BG$14,BG$234,),""),IF($I240=2,IFBLANK(_xldudf_CX_PUSH(BG240,CX_ENTITY,$B240,BG$11,BG$14,BG$234,),""),IF($I240=3,"",IFBLANK(_xldudf_CX_PUSH(BG240,CX_ENTITY,$B240,BG$11,BG$14,BG$234,),"")))))),"")</f>
        <v/>
      </c>
      <c r="EH240" s="2445" t="str" cm="1">
        <f t="array" ca="1" aca="1" ref="EH240">IFERROR(IF(BH240*fxVal_normal=PL!BH284,"",IF(OR(BH240="",NOT(ISNUMBER(BH240)),ISERROR(BH240),$B240=""),"",IF($I240=1,IFBLANK(_xldudf_CX_PUSH(BH240*fxVal_normal,CX_ENTITY,$B240,BH$11,BH$14,BH$234,),""),IF($I240=2,IFBLANK(_xldudf_CX_PUSH(BH240,CX_ENTITY,$B240,BH$11,BH$14,BH$234,),""),IF($I240=3,"",IFBLANK(_xldudf_CX_PUSH(BH240,CX_ENTITY,$B240,BH$11,BH$14,BH$234,),"")))))),"")</f>
        <v/>
      </c>
      <c r="EI240" s="2445" t="str" cm="1">
        <f t="array" ca="1" aca="1" ref="EI240">IFERROR(IF(BI240*fxVal_normal=PL!BI284,"",IF(OR(BI240="",NOT(ISNUMBER(BI240)),ISERROR(BI240),$B240=""),"",IF($I240=1,IFBLANK(_xldudf_CX_PUSH(BI240*fxVal_normal,CX_ENTITY,$B240,BI$11,BI$14,BI$234,),""),IF($I240=2,IFBLANK(_xldudf_CX_PUSH(BI240,CX_ENTITY,$B240,BI$11,BI$14,BI$234,),""),IF($I240=3,"",IFBLANK(_xldudf_CX_PUSH(BI240,CX_ENTITY,$B240,BI$11,BI$14,BI$234,),"")))))),"")</f>
        <v/>
      </c>
      <c r="EJ240" s="2445" t="str" cm="1">
        <f t="array" ca="1" aca="1" ref="EJ240">IFERROR(IF(BJ240*fxVal_normal=PL!BJ284,"",IF(OR(BJ240="",NOT(ISNUMBER(BJ240)),ISERROR(BJ240),$B240=""),"",IF($I240=1,IFBLANK(_xldudf_CX_PUSH(BJ240*fxVal_normal,CX_ENTITY,$B240,BJ$11,BJ$14,BJ$234,),""),IF($I240=2,IFBLANK(_xldudf_CX_PUSH(BJ240,CX_ENTITY,$B240,BJ$11,BJ$14,BJ$234,),""),IF($I240=3,"",IFBLANK(_xldudf_CX_PUSH(BJ240,CX_ENTITY,$B240,BJ$11,BJ$14,BJ$234,),"")))))),"")</f>
        <v/>
      </c>
      <c r="EK240" s="2445" t="str" cm="1">
        <f t="array" ca="1" aca="1" ref="EK240">IFERROR(IF(BK240*fxVal_normal=PL!BK284,"",IF(OR(BK240="",NOT(ISNUMBER(BK240)),ISERROR(BK240),$B240=""),"",IF($I240=1,IFBLANK(_xldudf_CX_PUSH(BK240*fxVal_normal,CX_ENTITY,$B240,BK$11,BK$14,BK$234,),""),IF($I240=2,IFBLANK(_xldudf_CX_PUSH(BK240,CX_ENTITY,$B240,BK$11,BK$14,BK$234,),""),IF($I240=3,"",IFBLANK(_xldudf_CX_PUSH(BK240,CX_ENTITY,$B240,BK$11,BK$14,BK$234,),"")))))),"")</f>
        <v/>
      </c>
      <c r="EL240" s="2445" t="str" cm="1">
        <f t="array" ca="1" aca="1" ref="EL240">IFERROR(IF(BL240*fxVal_normal=PL!BL284,"",IF(OR(BL240="",NOT(ISNUMBER(BL240)),ISERROR(BL240),$B240=""),"",IF($I240=1,IFBLANK(_xldudf_CX_PUSH(BL240*fxVal_normal,CX_ENTITY,$B240,BL$11,BL$14,BL$234,),""),IF($I240=2,IFBLANK(_xldudf_CX_PUSH(BL240,CX_ENTITY,$B240,BL$11,BL$14,BL$234,),""),IF($I240=3,"",IFBLANK(_xldudf_CX_PUSH(BL240,CX_ENTITY,$B240,BL$11,BL$14,BL$234,),"")))))),"")</f>
        <v/>
      </c>
      <c r="EM240" s="2445" t="str" cm="1">
        <f t="array" ca="1" aca="1" ref="EM240">IFERROR(IF(BM240*fxVal_normal=PL!BM284,"",IF(OR(BM240="",NOT(ISNUMBER(BM240)),ISERROR(BM240),$B240=""),"",IF($I240=1,IFBLANK(_xldudf_CX_PUSH(BM240*fxVal_normal,CX_ENTITY,$B240,BM$11,BM$14,BM$234,),""),IF($I240=2,IFBLANK(_xldudf_CX_PUSH(BM240,CX_ENTITY,$B240,BM$11,BM$14,BM$234,),""),IF($I240=3,"",IFBLANK(_xldudf_CX_PUSH(BM240,CX_ENTITY,$B240,BM$11,BM$14,BM$234,),"")))))),"")</f>
        <v/>
      </c>
      <c r="EN240" s="2445" t="str" cm="1">
        <f t="array" ca="1" aca="1" ref="EN240">IFERROR(IF(BN240*fxVal_normal=PL!BN284,"",IF(OR(BN240="",NOT(ISNUMBER(BN240)),ISERROR(BN240),$B240=""),"",IF($I240=1,IFBLANK(_xldudf_CX_PUSH(BN240*fxVal_normal,CX_ENTITY,$B240,BN$11,BN$14,BN$234,),""),IF($I240=2,IFBLANK(_xldudf_CX_PUSH(BN240,CX_ENTITY,$B240,BN$11,BN$14,BN$234,),""),IF($I240=3,"",IFBLANK(_xldudf_CX_PUSH(BN240,CX_ENTITY,$B240,BN$11,BN$14,BN$234,),"")))))),"")</f>
        <v/>
      </c>
    </row>
    <row r="241" spans="1:144" ht="21" customHeight="1">
      <c r="A241" s="1627"/>
      <c r="B241" s="2439" t="s">
        <v>192</v>
      </c>
      <c r="C241" s="3459" t="str" cm="1">
        <f t="array" ref="C241">IFBLANK(_PL!C241,"")</f>
        <v>Segment IV Breakdown - Label 6</v>
      </c>
      <c r="D241" s="1548" t="s">
        <v>192</v>
      </c>
      <c r="E241" s="2440" t="e" cm="1">
        <f t="array" ca="1" aca="1" ref="E24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241:$CQ241,Z241)</f>
        <v>#NAME?</v>
      </c>
      <c r="F241" s="578"/>
      <c r="G241" s="578"/>
      <c r="H241" s="585">
        <v>0</v>
      </c>
      <c r="I241" s="3309">
        <v>1</v>
      </c>
      <c r="J241" s="401" cm="1">
        <f t="array" ref="J241">IFBLANK(Z241,"")</f>
        <v>-1</v>
      </c>
      <c r="K241" s="578" t="str">
        <f t="shared" si="60"/>
        <v>No</v>
      </c>
      <c r="L241" s="37"/>
      <c r="N241" s="158"/>
      <c r="O241" s="101"/>
      <c r="P241" s="52"/>
      <c r="Q241" s="101"/>
      <c r="R241" s="101"/>
      <c r="S241" s="101"/>
      <c r="T241" s="101"/>
      <c r="U241" s="39"/>
      <c r="V241" s="37"/>
      <c r="W241" s="2593" t="e">
        <f ca="1">W235</f>
        <v>#NAME?</v>
      </c>
      <c r="X241" s="2081" t="str">
        <f>_PL!X241</f>
        <v>a</v>
      </c>
      <c r="Y241" s="3224">
        <v>2</v>
      </c>
      <c r="Z241" s="198">
        <f>_PL!Z241</f>
        <v>-1</v>
      </c>
      <c r="AA241" s="2571"/>
      <c r="AB241" s="2592"/>
      <c r="AC241" s="914" t="str" cm="1">
        <f t="array" ca="1" aca="1" ref="AC241">_xlfn.LET(_xlpm._termname,$AB241,_xlpm._iconname,"find",_xlpm._icon,fx_getIcon(_xlpm._iconname),_xlpm._location,_xlfn.XLOOKUP(LOWER(_xlpm._termname),LOWER(tbl_acctDef[Term]),tbl_acctDef[Term]),_xlpm._hyperlink,HYPERLINK("#"&amp;CELL("address",_xlpm._location),_xlpm._icon),IFERROR(_xlpm._hyperlink,""))</f>
        <v/>
      </c>
      <c r="AD241" s="3185">
        <v>1</v>
      </c>
      <c r="AE241" s="3185">
        <v>1</v>
      </c>
      <c r="AF241" s="3185">
        <v>1</v>
      </c>
      <c r="AG241" s="3185">
        <v>1</v>
      </c>
      <c r="AH241" s="3185">
        <v>1</v>
      </c>
      <c r="AI241" s="3185">
        <v>1</v>
      </c>
      <c r="AJ241" s="3185">
        <v>1</v>
      </c>
      <c r="AK241" s="3185">
        <v>1</v>
      </c>
      <c r="AL241" s="3185">
        <v>1</v>
      </c>
      <c r="AM241" s="3185">
        <v>1</v>
      </c>
      <c r="AN241" s="3185">
        <v>1</v>
      </c>
      <c r="AO241" s="3185">
        <v>1</v>
      </c>
      <c r="AP241" s="3185">
        <v>1</v>
      </c>
      <c r="AQ241" s="3185">
        <v>1</v>
      </c>
      <c r="AR241" s="3185">
        <v>1</v>
      </c>
      <c r="AS241" s="3185">
        <v>1</v>
      </c>
      <c r="AT241" s="3185">
        <v>1</v>
      </c>
      <c r="AU241" s="3185">
        <v>1</v>
      </c>
      <c r="AV241" s="3185">
        <v>1</v>
      </c>
      <c r="AW241" s="3185">
        <v>1</v>
      </c>
      <c r="AX241" s="3185">
        <v>1</v>
      </c>
      <c r="AY241" s="3185">
        <v>1</v>
      </c>
      <c r="AZ241" s="3185">
        <v>1</v>
      </c>
      <c r="BA241" s="3185">
        <v>1</v>
      </c>
      <c r="BB241" s="3185">
        <v>1</v>
      </c>
      <c r="BC241" s="3185">
        <v>1</v>
      </c>
      <c r="BD241" s="3185">
        <v>1</v>
      </c>
      <c r="BE241" s="3185">
        <v>1</v>
      </c>
      <c r="BF241" s="3185">
        <v>1</v>
      </c>
      <c r="BG241" s="3185">
        <v>1</v>
      </c>
      <c r="BH241" s="3185">
        <v>1</v>
      </c>
      <c r="BI241" s="3185">
        <v>1</v>
      </c>
      <c r="BJ241" s="3185">
        <v>1</v>
      </c>
      <c r="BK241" s="3185">
        <v>1</v>
      </c>
      <c r="BL241" s="3185">
        <v>1</v>
      </c>
      <c r="BM241" s="3185">
        <v>1</v>
      </c>
      <c r="BN241" s="3185">
        <v>1</v>
      </c>
      <c r="BO241" s="2442"/>
      <c r="BP241" s="2442"/>
      <c r="BQ241" s="2442"/>
      <c r="BR241" s="2442"/>
      <c r="BS241" s="2442"/>
      <c r="BT241" s="2442"/>
      <c r="BU241" s="2442"/>
      <c r="BV241" s="2442"/>
      <c r="BW241" s="2442"/>
      <c r="BX241" s="2442"/>
      <c r="BY241" s="2442"/>
      <c r="BZ241" s="2442"/>
      <c r="CA241" s="34"/>
      <c r="CC241" s="58"/>
      <c r="CD241" s="1461" t="e" cm="1">
        <f t="array" ca="1" aca="1" ref="CD241">_xlfn.LET(_xlpm.CheckBlank,SUM(PL!$AD241:$BN241)=0,IF(_xlpm.CheckBlank,"",SUM(_xlfn._xlws.FILTER(PL!$AD241:$BN241,(YEAR(PL!$AD$12:$BN$12)=PL!CD$12)*(array_timeline&lt;=PL!CD$11)))))</f>
        <v>#NAME?</v>
      </c>
      <c r="CE241" s="1461" t="e" cm="1">
        <f t="array" ca="1" aca="1" ref="CE241">_xlfn.LET(_xlpm.CheckBlank,SUM(PL!$AD241:$BN241)=0,IF(_xlpm.CheckBlank,"",SUM(_xlfn._xlws.FILTER(PL!$AD241:$BN241,(YEAR(PL!$AD$12:$BN$12)=PL!CE$12)*(array_timeline&lt;=PL!CE$11)))))</f>
        <v>#NAME?</v>
      </c>
      <c r="CF241" s="88"/>
      <c r="CG241" s="1461" t="e" cm="1">
        <f t="array" ca="1" aca="1" ref="CG241">_xlfn.LET(_xlpm.CheckBlank,SUM(PL!$AD241:$BN241)=0,IF(_xlpm.CheckBlank,"",SUM(_xlfn._xlws.FILTER(PL!$AD241:$BN241,(YEAR(PL!$AD$12:$BN$12)=PL!CG$12)*(array_timeline&lt;=PL!CG$11)))))</f>
        <v>#NAME?</v>
      </c>
      <c r="CH241" s="1461" t="e" cm="1">
        <f t="array" ca="1" aca="1" ref="CH241">_xlfn.LET(_xlpm.CheckBlank,SUM(PL!$AD241:$BN241)=0,IF(_xlpm.CheckBlank,"",SUM(_xlfn._xlws.FILTER(PL!$AD241:$BN241,(YEAR(PL!$AD$12:$BN$12)=PL!CH$12)*(array_timeline&lt;=PL!CH$11)))))</f>
        <v>#NAME?</v>
      </c>
      <c r="CI241" s="88"/>
      <c r="CJ241" s="1461" cm="1">
        <f t="array" ref="CJ241">_xlfn.LET(_xlpm.CheckBlank,SUM(PL!$AD241:$BN241)=0,IF(_xlpm.CheckBlank,"",SUM(_xlfn.TAKE(_xlfn.DROP(PL!$AD241:$BN241,,-DATEDIFF(PL!CJ$11,val_asOfDate,"M")),1,-12))))</f>
        <v>12</v>
      </c>
      <c r="CK241" s="1461" cm="1">
        <f t="array" ref="CK241">_xlfn.LET(_xlpm.CheckBlank,SUM(PL!$AD241:$BN241)=0,IF(_xlpm.CheckBlank,"",SUM(_xlfn.TAKE(_xlfn.DROP(PL!$AD241:$BN241,,-DATEDIFF(PL!CK$11,val_asOfDate,"M")),1,-12))))</f>
        <v>12</v>
      </c>
      <c r="CL241" s="88"/>
      <c r="CM241" s="3185">
        <v>1</v>
      </c>
      <c r="CN241" s="3185">
        <v>1</v>
      </c>
      <c r="CO241" s="1169"/>
      <c r="CP241" s="3185">
        <v>1</v>
      </c>
      <c r="CQ241" s="3185">
        <v>1</v>
      </c>
      <c r="CR241" s="34"/>
      <c r="CS241" s="2056"/>
      <c r="CT241" s="2447" t="e" cm="1">
        <f t="array" ca="1" aca="1" ref="CT241">IF(OR($Y241="Segment IV Breakdown - Amount 1",$Y241="Segment IV Breakdown - Amount 2",$Y241="Segment IV Breakdown - Amount 3",$Y241="Segment IV Breakdown - Amount 4",$Y241="Segment IV Breakdown - Amount 5",$Y241="Segment IV Breakdown - Amount 6",$Y241="Please select the metric for segmentation"),"",_xldudf_CX_PUSH($Y241,CX_ENTITY,$C241,val_asOfDate))</f>
        <v>#NAME?</v>
      </c>
      <c r="CU241" s="2447" t="e" cm="1">
        <f t="array" ca="1" aca="1" ref="CU241">IF(OR($Y241="Segment IV Breakdown - Amount 1",$Y241="Segment IV Breakdown - Amount 2",$Y241="Segment IV Breakdown - Amount 3",$Y241="Segment IV Breakdown - Amount 4",$Y241="Segment IV Breakdown - Amount 5",$Y241="Segment IV Breakdown - Amount 6",$Y241="Please select the metric for segmentation"),"",_xldudf_CX_PUSH($Y241,CX_ENTITY,$C241,EOMONTH(val_asOfDate,1)))</f>
        <v>#NAME?</v>
      </c>
      <c r="CV241" s="2447" t="e" cm="1">
        <f t="array" ca="1" aca="1" ref="CV241">IF(OR($Y241="Segment IV Breakdown - Amount 1",$Y241="Segment IV Breakdown - Amount 2",$Y241="Segment IV Breakdown - Amount 3",$Y241="Segment IV Breakdown - Amount 4",$Y241="Segment IV Breakdown - Amount 5",$Y241="Segment IV Breakdown - Amount 6",$Y241="Please select the metric for segmentation"),"",_xldudf_CX_PUSH($Y241,CX_ENTITY,$C241,EOMONTH(val_asOfDate,2)))</f>
        <v>#NAME?</v>
      </c>
      <c r="CW241" s="2447" t="e" cm="1">
        <f t="array" ca="1" aca="1" ref="CW241">IF(OR($Y241="Segment IV Breakdown - Amount 1",$Y241="Segment IV Breakdown - Amount 2",$Y241="Segment IV Breakdown - Amount 3",$Y241="Segment IV Breakdown - Amount 4",$Y241="Segment IV Breakdown - Amount 5",$Y241="Segment IV Breakdown - Amount 6",$Y241="Please select the metric for segmentation"),"",_xldudf_CX_PUSH($Y241,CX_ENTITY,$C241,EOMONTH(val_asOfDate,3)))</f>
        <v>#NAME?</v>
      </c>
      <c r="CX241" s="2443"/>
      <c r="CY241" s="2444" t="str" cm="1">
        <f t="array" ca="1" aca="1" ref="CY241">IFERROR(IF(CM241*fxVal_normal=_PL!CM271,"",IF(OR($CM241="",$CM241=0,NOT(ISNUMBER($CM241)),ISERROR($CM241),$B241=""),"",IF($I241=1,IFBLANK(_xldudf_CX_PUSH($CM241*fxVal_normal,CX_ENTITY,$B241,$CM$11,$CM$14,$CM$19,),""),IF($I241=2,IFBLANK(_xldudf_CX_PUSH($CM241,CX_ENTITY,$B241,$CM$11,$CM$14,$CM$19,),""),IF($I241=3,"",IFBLANK(_xldudf_CX_PUSH($CM241,CX_ENTITY,$B241,$CM$11,$CM$14,$CM$19,),"")))))),"")</f>
        <v/>
      </c>
      <c r="CZ241" s="2444" t="str" cm="1">
        <f t="array" ca="1" aca="1" ref="CZ241">IFERROR(IF(CN241*fxVal_normal=_PL!CN271,"",IF(OR($CN241="",$CN241=0,NOT(ISNUMBER($CN241)),ISERROR($CN241),$B241=""),"",IF($I241=1,IFBLANK(_xldudf_CX_PUSH($CN241*fxVal_normal,CX_ENTITY,$B241,$CN$11,$CN$14,$CN$19,),""),IF($I241=2,IFBLANK(_xldudf_CX_PUSH($CN241,CX_ENTITY,$B241,$CN$11,$CN$14,$CN$19,),""),IF($I241=3,"",IFBLANK(_xldudf_CX_PUSH($CN241,CX_ENTITY,$B241,$CN$11,$CN$14,$CN$19,),"")))))),"")</f>
        <v/>
      </c>
      <c r="DA241" s="2444" t="str" cm="1">
        <f t="array" ca="1" aca="1" ref="DA241">IFERROR(IF(CP241*fxVal_normal=_PL!CP271,"",IF(OR($CP241="",$CP241=0,NOT(ISNUMBER($CP241)),ISERROR($CP241),$B241=""),"",IF($I241=1,IFBLANK(_xldudf_CX_PUSH($CP241*fxVal_normal,CX_ENTITY,$B241,$CP$11,$CP$14,$CP$19,),""),IF($I241=2,IFBLANK(_xldudf_CX_PUSH($CP241,CX_ENTITY,$B241,$CP$11,$CP$14,$CP$19,),""),IF($I241=3,"",IFBLANK(_xldudf_CX_PUSH($CP241,CX_ENTITY,$B241,$CP$11,$CP$14,$CP$19,),"")))))),"")</f>
        <v/>
      </c>
      <c r="DB241" s="2444" t="str" cm="1">
        <f t="array" ca="1" aca="1" ref="DB241">IFERROR(IF(CQ241*fxVal_normal=_PL!CQ271,"",IF(OR($CQ241="",$CQ241=0,NOT(ISNUMBER($CQ241)),ISERROR($CQ241),$B241=""),"",IF($I241=1,IFBLANK(_xldudf_CX_PUSH($CQ241*fxVal_normal,CX_ENTITY,$B241,$CQ$11,$CQ$14,$CQ$19,),""),IF($I241=2,IFBLANK(_xldudf_CX_PUSH($CQ241,CX_ENTITY,$B241,$CQ$11,$CQ$14,$CQ$19,),""),IF($I241=3,"",IFBLANK(_xldudf_CX_PUSH($CQ241,CX_ENTITY,$B241,$CQ$11,$CQ$14,$CQ$19,),"")))))),"")</f>
        <v/>
      </c>
      <c r="DC241" s="2443"/>
      <c r="DD241" s="2445" t="str" cm="1">
        <f t="array" ca="1" aca="1" ref="DD241">IFERROR(IF(AD241*fxVal_normal=PL!AD285,"",IF(OR(AD241="",NOT(ISNUMBER(AD241)),ISERROR(AD241),$B241=""),"",IF($I241=1,IFBLANK(_xldudf_CX_PUSH(AD241*fxVal_normal,CX_ENTITY,$B241,AD$11,AD$14,AD$234,),""),IF($I241=2,IFBLANK(_xldudf_CX_PUSH(AD241,CX_ENTITY,$B241,AD$11,AD$14,AD$234,),""),IF($I241=3,"",IFBLANK(_xldudf_CX_PUSH(AD241,CX_ENTITY,$B241,AD$11,AD$14,AD$234,),"")))))),"")</f>
        <v/>
      </c>
      <c r="DE241" s="2445" t="str" cm="1">
        <f t="array" ca="1" aca="1" ref="DE241">IFERROR(IF(AE241*fxVal_normal=PL!AE285,"",IF(OR(AE241="",NOT(ISNUMBER(AE241)),ISERROR(AE241),$B241=""),"",IF($I241=1,IFBLANK(_xldudf_CX_PUSH(AE241*fxVal_normal,CX_ENTITY,$B241,AE$11,AE$14,AE$234,),""),IF($I241=2,IFBLANK(_xldudf_CX_PUSH(AE241,CX_ENTITY,$B241,AE$11,AE$14,AE$234,),""),IF($I241=3,"",IFBLANK(_xldudf_CX_PUSH(AE241,CX_ENTITY,$B241,AE$11,AE$14,AE$234,),"")))))),"")</f>
        <v/>
      </c>
      <c r="DF241" s="2445" t="str" cm="1">
        <f t="array" ca="1" aca="1" ref="DF241">IFERROR(IF(AF241*fxVal_normal=PL!AF285,"",IF(OR(AF241="",NOT(ISNUMBER(AF241)),ISERROR(AF241),$B241=""),"",IF($I241=1,IFBLANK(_xldudf_CX_PUSH(AF241*fxVal_normal,CX_ENTITY,$B241,AF$11,AF$14,AF$234,),""),IF($I241=2,IFBLANK(_xldudf_CX_PUSH(AF241,CX_ENTITY,$B241,AF$11,AF$14,AF$234,),""),IF($I241=3,"",IFBLANK(_xldudf_CX_PUSH(AF241,CX_ENTITY,$B241,AF$11,AF$14,AF$234,),"")))))),"")</f>
        <v/>
      </c>
      <c r="DG241" s="2445" t="str" cm="1">
        <f t="array" ca="1" aca="1" ref="DG241">IFERROR(IF(AG241*fxVal_normal=PL!AG285,"",IF(OR(AG241="",NOT(ISNUMBER(AG241)),ISERROR(AG241),$B241=""),"",IF($I241=1,IFBLANK(_xldudf_CX_PUSH(AG241*fxVal_normal,CX_ENTITY,$B241,AG$11,AG$14,AG$234,),""),IF($I241=2,IFBLANK(_xldudf_CX_PUSH(AG241,CX_ENTITY,$B241,AG$11,AG$14,AG$234,),""),IF($I241=3,"",IFBLANK(_xldudf_CX_PUSH(AG241,CX_ENTITY,$B241,AG$11,AG$14,AG$234,),"")))))),"")</f>
        <v/>
      </c>
      <c r="DH241" s="2445" t="str" cm="1">
        <f t="array" ca="1" aca="1" ref="DH241">IFERROR(IF(AH241*fxVal_normal=PL!AH285,"",IF(OR(AH241="",NOT(ISNUMBER(AH241)),ISERROR(AH241),$B241=""),"",IF($I241=1,IFBLANK(_xldudf_CX_PUSH(AH241*fxVal_normal,CX_ENTITY,$B241,AH$11,AH$14,AH$234,),""),IF($I241=2,IFBLANK(_xldudf_CX_PUSH(AH241,CX_ENTITY,$B241,AH$11,AH$14,AH$234,),""),IF($I241=3,"",IFBLANK(_xldudf_CX_PUSH(AH241,CX_ENTITY,$B241,AH$11,AH$14,AH$234,),"")))))),"")</f>
        <v/>
      </c>
      <c r="DI241" s="2445" t="str" cm="1">
        <f t="array" ca="1" aca="1" ref="DI241">IFERROR(IF(AI241*fxVal_normal=PL!AI285,"",IF(OR(AI241="",NOT(ISNUMBER(AI241)),ISERROR(AI241),$B241=""),"",IF($I241=1,IFBLANK(_xldudf_CX_PUSH(AI241*fxVal_normal,CX_ENTITY,$B241,AI$11,AI$14,AI$234,),""),IF($I241=2,IFBLANK(_xldudf_CX_PUSH(AI241,CX_ENTITY,$B241,AI$11,AI$14,AI$234,),""),IF($I241=3,"",IFBLANK(_xldudf_CX_PUSH(AI241,CX_ENTITY,$B241,AI$11,AI$14,AI$234,),"")))))),"")</f>
        <v/>
      </c>
      <c r="DJ241" s="2445" t="str" cm="1">
        <f t="array" ca="1" aca="1" ref="DJ241">IFERROR(IF(AJ241*fxVal_normal=PL!AJ285,"",IF(OR(AJ241="",NOT(ISNUMBER(AJ241)),ISERROR(AJ241),$B241=""),"",IF($I241=1,IFBLANK(_xldudf_CX_PUSH(AJ241*fxVal_normal,CX_ENTITY,$B241,AJ$11,AJ$14,AJ$234,),""),IF($I241=2,IFBLANK(_xldudf_CX_PUSH(AJ241,CX_ENTITY,$B241,AJ$11,AJ$14,AJ$234,),""),IF($I241=3,"",IFBLANK(_xldudf_CX_PUSH(AJ241,CX_ENTITY,$B241,AJ$11,AJ$14,AJ$234,),"")))))),"")</f>
        <v/>
      </c>
      <c r="DK241" s="2445" t="str" cm="1">
        <f t="array" ca="1" aca="1" ref="DK241">IFERROR(IF(AK241*fxVal_normal=PL!AK285,"",IF(OR(AK241="",NOT(ISNUMBER(AK241)),ISERROR(AK241),$B241=""),"",IF($I241=1,IFBLANK(_xldudf_CX_PUSH(AK241*fxVal_normal,CX_ENTITY,$B241,AK$11,AK$14,AK$234,),""),IF($I241=2,IFBLANK(_xldudf_CX_PUSH(AK241,CX_ENTITY,$B241,AK$11,AK$14,AK$234,),""),IF($I241=3,"",IFBLANK(_xldudf_CX_PUSH(AK241,CX_ENTITY,$B241,AK$11,AK$14,AK$234,),"")))))),"")</f>
        <v/>
      </c>
      <c r="DL241" s="2445" t="str" cm="1">
        <f t="array" ca="1" aca="1" ref="DL241">IFERROR(IF(AL241*fxVal_normal=PL!AL285,"",IF(OR(AL241="",NOT(ISNUMBER(AL241)),ISERROR(AL241),$B241=""),"",IF($I241=1,IFBLANK(_xldudf_CX_PUSH(AL241*fxVal_normal,CX_ENTITY,$B241,AL$11,AL$14,AL$234,),""),IF($I241=2,IFBLANK(_xldudf_CX_PUSH(AL241,CX_ENTITY,$B241,AL$11,AL$14,AL$234,),""),IF($I241=3,"",IFBLANK(_xldudf_CX_PUSH(AL241,CX_ENTITY,$B241,AL$11,AL$14,AL$234,),"")))))),"")</f>
        <v/>
      </c>
      <c r="DM241" s="2445" t="str" cm="1">
        <f t="array" ca="1" aca="1" ref="DM241">IFERROR(IF(AM241*fxVal_normal=PL!AM285,"",IF(OR(AM241="",NOT(ISNUMBER(AM241)),ISERROR(AM241),$B241=""),"",IF($I241=1,IFBLANK(_xldudf_CX_PUSH(AM241*fxVal_normal,CX_ENTITY,$B241,AM$11,AM$14,AM$234,),""),IF($I241=2,IFBLANK(_xldudf_CX_PUSH(AM241,CX_ENTITY,$B241,AM$11,AM$14,AM$234,),""),IF($I241=3,"",IFBLANK(_xldudf_CX_PUSH(AM241,CX_ENTITY,$B241,AM$11,AM$14,AM$234,),"")))))),"")</f>
        <v/>
      </c>
      <c r="DN241" s="2445" t="str" cm="1">
        <f t="array" ca="1" aca="1" ref="DN241">IFERROR(IF(AN241*fxVal_normal=PL!AN285,"",IF(OR(AN241="",NOT(ISNUMBER(AN241)),ISERROR(AN241),$B241=""),"",IF($I241=1,IFBLANK(_xldudf_CX_PUSH(AN241*fxVal_normal,CX_ENTITY,$B241,AN$11,AN$14,AN$234,),""),IF($I241=2,IFBLANK(_xldudf_CX_PUSH(AN241,CX_ENTITY,$B241,AN$11,AN$14,AN$234,),""),IF($I241=3,"",IFBLANK(_xldudf_CX_PUSH(AN241,CX_ENTITY,$B241,AN$11,AN$14,AN$234,),"")))))),"")</f>
        <v/>
      </c>
      <c r="DO241" s="2445" t="str" cm="1">
        <f t="array" ca="1" aca="1" ref="DO241">IFERROR(IF(AO241*fxVal_normal=PL!AO285,"",IF(OR(AO241="",NOT(ISNUMBER(AO241)),ISERROR(AO241),$B241=""),"",IF($I241=1,IFBLANK(_xldudf_CX_PUSH(AO241*fxVal_normal,CX_ENTITY,$B241,AO$11,AO$14,AO$234,),""),IF($I241=2,IFBLANK(_xldudf_CX_PUSH(AO241,CX_ENTITY,$B241,AO$11,AO$14,AO$234,),""),IF($I241=3,"",IFBLANK(_xldudf_CX_PUSH(AO241,CX_ENTITY,$B241,AO$11,AO$14,AO$234,),"")))))),"")</f>
        <v/>
      </c>
      <c r="DP241" s="2445" t="str" cm="1">
        <f t="array" ca="1" aca="1" ref="DP241">IFERROR(IF(AP241*fxVal_normal=PL!AP285,"",IF(OR(AP241="",NOT(ISNUMBER(AP241)),ISERROR(AP241),$B241=""),"",IF($I241=1,IFBLANK(_xldudf_CX_PUSH(AP241*fxVal_normal,CX_ENTITY,$B241,AP$11,AP$14,AP$234,),""),IF($I241=2,IFBLANK(_xldudf_CX_PUSH(AP241,CX_ENTITY,$B241,AP$11,AP$14,AP$234,),""),IF($I241=3,"",IFBLANK(_xldudf_CX_PUSH(AP241,CX_ENTITY,$B241,AP$11,AP$14,AP$234,),"")))))),"")</f>
        <v/>
      </c>
      <c r="DQ241" s="2445" t="str" cm="1">
        <f t="array" ca="1" aca="1" ref="DQ241">IFERROR(IF(AQ241*fxVal_normal=PL!AQ285,"",IF(OR(AQ241="",NOT(ISNUMBER(AQ241)),ISERROR(AQ241),$B241=""),"",IF($I241=1,IFBLANK(_xldudf_CX_PUSH(AQ241*fxVal_normal,CX_ENTITY,$B241,AQ$11,AQ$14,AQ$234,),""),IF($I241=2,IFBLANK(_xldudf_CX_PUSH(AQ241,CX_ENTITY,$B241,AQ$11,AQ$14,AQ$234,),""),IF($I241=3,"",IFBLANK(_xldudf_CX_PUSH(AQ241,CX_ENTITY,$B241,AQ$11,AQ$14,AQ$234,),"")))))),"")</f>
        <v/>
      </c>
      <c r="DR241" s="2445" t="str" cm="1">
        <f t="array" ca="1" aca="1" ref="DR241">IFERROR(IF(AR241*fxVal_normal=PL!AR285,"",IF(OR(AR241="",NOT(ISNUMBER(AR241)),ISERROR(AR241),$B241=""),"",IF($I241=1,IFBLANK(_xldudf_CX_PUSH(AR241*fxVal_normal,CX_ENTITY,$B241,AR$11,AR$14,AR$234,),""),IF($I241=2,IFBLANK(_xldudf_CX_PUSH(AR241,CX_ENTITY,$B241,AR$11,AR$14,AR$234,),""),IF($I241=3,"",IFBLANK(_xldudf_CX_PUSH(AR241,CX_ENTITY,$B241,AR$11,AR$14,AR$234,),"")))))),"")</f>
        <v/>
      </c>
      <c r="DS241" s="2445" t="str" cm="1">
        <f t="array" ca="1" aca="1" ref="DS241">IFERROR(IF(AS241*fxVal_normal=PL!AS285,"",IF(OR(AS241="",NOT(ISNUMBER(AS241)),ISERROR(AS241),$B241=""),"",IF($I241=1,IFBLANK(_xldudf_CX_PUSH(AS241*fxVal_normal,CX_ENTITY,$B241,AS$11,AS$14,AS$234,),""),IF($I241=2,IFBLANK(_xldudf_CX_PUSH(AS241,CX_ENTITY,$B241,AS$11,AS$14,AS$234,),""),IF($I241=3,"",IFBLANK(_xldudf_CX_PUSH(AS241,CX_ENTITY,$B241,AS$11,AS$14,AS$234,),"")))))),"")</f>
        <v/>
      </c>
      <c r="DT241" s="2445" t="str" cm="1">
        <f t="array" ca="1" aca="1" ref="DT241">IFERROR(IF(AT241*fxVal_normal=PL!AT285,"",IF(OR(AT241="",NOT(ISNUMBER(AT241)),ISERROR(AT241),$B241=""),"",IF($I241=1,IFBLANK(_xldudf_CX_PUSH(AT241*fxVal_normal,CX_ENTITY,$B241,AT$11,AT$14,AT$234,),""),IF($I241=2,IFBLANK(_xldudf_CX_PUSH(AT241,CX_ENTITY,$B241,AT$11,AT$14,AT$234,),""),IF($I241=3,"",IFBLANK(_xldudf_CX_PUSH(AT241,CX_ENTITY,$B241,AT$11,AT$14,AT$234,),"")))))),"")</f>
        <v/>
      </c>
      <c r="DU241" s="2445" t="str" cm="1">
        <f t="array" ca="1" aca="1" ref="DU241">IFERROR(IF(AU241*fxVal_normal=PL!AU285,"",IF(OR(AU241="",NOT(ISNUMBER(AU241)),ISERROR(AU241),$B241=""),"",IF($I241=1,IFBLANK(_xldudf_CX_PUSH(AU241*fxVal_normal,CX_ENTITY,$B241,AU$11,AU$14,AU$234,),""),IF($I241=2,IFBLANK(_xldudf_CX_PUSH(AU241,CX_ENTITY,$B241,AU$11,AU$14,AU$234,),""),IF($I241=3,"",IFBLANK(_xldudf_CX_PUSH(AU241,CX_ENTITY,$B241,AU$11,AU$14,AU$234,),"")))))),"")</f>
        <v/>
      </c>
      <c r="DV241" s="2445" t="str" cm="1">
        <f t="array" ca="1" aca="1" ref="DV241">IFERROR(IF(AV241*fxVal_normal=PL!AV285,"",IF(OR(AV241="",NOT(ISNUMBER(AV241)),ISERROR(AV241),$B241=""),"",IF($I241=1,IFBLANK(_xldudf_CX_PUSH(AV241*fxVal_normal,CX_ENTITY,$B241,AV$11,AV$14,AV$234,),""),IF($I241=2,IFBLANK(_xldudf_CX_PUSH(AV241,CX_ENTITY,$B241,AV$11,AV$14,AV$234,),""),IF($I241=3,"",IFBLANK(_xldudf_CX_PUSH(AV241,CX_ENTITY,$B241,AV$11,AV$14,AV$234,),"")))))),"")</f>
        <v/>
      </c>
      <c r="DW241" s="2445" t="str" cm="1">
        <f t="array" ca="1" aca="1" ref="DW241">IFERROR(IF(AW241*fxVal_normal=PL!AW285,"",IF(OR(AW241="",NOT(ISNUMBER(AW241)),ISERROR(AW241),$B241=""),"",IF($I241=1,IFBLANK(_xldudf_CX_PUSH(AW241*fxVal_normal,CX_ENTITY,$B241,AW$11,AW$14,AW$234,),""),IF($I241=2,IFBLANK(_xldudf_CX_PUSH(AW241,CX_ENTITY,$B241,AW$11,AW$14,AW$234,),""),IF($I241=3,"",IFBLANK(_xldudf_CX_PUSH(AW241,CX_ENTITY,$B241,AW$11,AW$14,AW$234,),"")))))),"")</f>
        <v/>
      </c>
      <c r="DX241" s="2445" t="str" cm="1">
        <f t="array" ca="1" aca="1" ref="DX241">IFERROR(IF(AX241*fxVal_normal=PL!AX285,"",IF(OR(AX241="",NOT(ISNUMBER(AX241)),ISERROR(AX241),$B241=""),"",IF($I241=1,IFBLANK(_xldudf_CX_PUSH(AX241*fxVal_normal,CX_ENTITY,$B241,AX$11,AX$14,AX$234,),""),IF($I241=2,IFBLANK(_xldudf_CX_PUSH(AX241,CX_ENTITY,$B241,AX$11,AX$14,AX$234,),""),IF($I241=3,"",IFBLANK(_xldudf_CX_PUSH(AX241,CX_ENTITY,$B241,AX$11,AX$14,AX$234,),"")))))),"")</f>
        <v/>
      </c>
      <c r="DY241" s="2445" t="str" cm="1">
        <f t="array" ca="1" aca="1" ref="DY241">IFERROR(IF(AY241*fxVal_normal=PL!AY285,"",IF(OR(AY241="",NOT(ISNUMBER(AY241)),ISERROR(AY241),$B241=""),"",IF($I241=1,IFBLANK(_xldudf_CX_PUSH(AY241*fxVal_normal,CX_ENTITY,$B241,AY$11,AY$14,AY$234,),""),IF($I241=2,IFBLANK(_xldudf_CX_PUSH(AY241,CX_ENTITY,$B241,AY$11,AY$14,AY$234,),""),IF($I241=3,"",IFBLANK(_xldudf_CX_PUSH(AY241,CX_ENTITY,$B241,AY$11,AY$14,AY$234,),"")))))),"")</f>
        <v/>
      </c>
      <c r="DZ241" s="2445" t="str" cm="1">
        <f t="array" ca="1" aca="1" ref="DZ241">IFERROR(IF(AZ241*fxVal_normal=PL!AZ285,"",IF(OR(AZ241="",NOT(ISNUMBER(AZ241)),ISERROR(AZ241),$B241=""),"",IF($I241=1,IFBLANK(_xldudf_CX_PUSH(AZ241*fxVal_normal,CX_ENTITY,$B241,AZ$11,AZ$14,AZ$234,),""),IF($I241=2,IFBLANK(_xldudf_CX_PUSH(AZ241,CX_ENTITY,$B241,AZ$11,AZ$14,AZ$234,),""),IF($I241=3,"",IFBLANK(_xldudf_CX_PUSH(AZ241,CX_ENTITY,$B241,AZ$11,AZ$14,AZ$234,),"")))))),"")</f>
        <v/>
      </c>
      <c r="EA241" s="2445" t="str" cm="1">
        <f t="array" ca="1" aca="1" ref="EA241">IFERROR(IF(BA241*fxVal_normal=PL!BA285,"",IF(OR(BA241="",NOT(ISNUMBER(BA241)),ISERROR(BA241),$B241=""),"",IF($I241=1,IFBLANK(_xldudf_CX_PUSH(BA241*fxVal_normal,CX_ENTITY,$B241,BA$11,BA$14,BA$234,),""),IF($I241=2,IFBLANK(_xldudf_CX_PUSH(BA241,CX_ENTITY,$B241,BA$11,BA$14,BA$234,),""),IF($I241=3,"",IFBLANK(_xldudf_CX_PUSH(BA241,CX_ENTITY,$B241,BA$11,BA$14,BA$234,),"")))))),"")</f>
        <v/>
      </c>
      <c r="EB241" s="2445" t="str" cm="1">
        <f t="array" ca="1" aca="1" ref="EB241">IFERROR(IF(BB241*fxVal_normal=PL!BB285,"",IF(OR(BB241="",NOT(ISNUMBER(BB241)),ISERROR(BB241),$B241=""),"",IF($I241=1,IFBLANK(_xldudf_CX_PUSH(BB241*fxVal_normal,CX_ENTITY,$B241,BB$11,BB$14,BB$234,),""),IF($I241=2,IFBLANK(_xldudf_CX_PUSH(BB241,CX_ENTITY,$B241,BB$11,BB$14,BB$234,),""),IF($I241=3,"",IFBLANK(_xldudf_CX_PUSH(BB241,CX_ENTITY,$B241,BB$11,BB$14,BB$234,),"")))))),"")</f>
        <v/>
      </c>
      <c r="EC241" s="2445" t="str" cm="1">
        <f t="array" ca="1" aca="1" ref="EC241">IFERROR(IF(BC241*fxVal_normal=PL!BC285,"",IF(OR(BC241="",NOT(ISNUMBER(BC241)),ISERROR(BC241),$B241=""),"",IF($I241=1,IFBLANK(_xldudf_CX_PUSH(BC241*fxVal_normal,CX_ENTITY,$B241,BC$11,BC$14,BC$234,),""),IF($I241=2,IFBLANK(_xldudf_CX_PUSH(BC241,CX_ENTITY,$B241,BC$11,BC$14,BC$234,),""),IF($I241=3,"",IFBLANK(_xldudf_CX_PUSH(BC241,CX_ENTITY,$B241,BC$11,BC$14,BC$234,),"")))))),"")</f>
        <v/>
      </c>
      <c r="ED241" s="2445" t="str" cm="1">
        <f t="array" ca="1" aca="1" ref="ED241">IFERROR(IF(BD241*fxVal_normal=PL!BD285,"",IF(OR(BD241="",NOT(ISNUMBER(BD241)),ISERROR(BD241),$B241=""),"",IF($I241=1,IFBLANK(_xldudf_CX_PUSH(BD241*fxVal_normal,CX_ENTITY,$B241,BD$11,BD$14,BD$234,),""),IF($I241=2,IFBLANK(_xldudf_CX_PUSH(BD241,CX_ENTITY,$B241,BD$11,BD$14,BD$234,),""),IF($I241=3,"",IFBLANK(_xldudf_CX_PUSH(BD241,CX_ENTITY,$B241,BD$11,BD$14,BD$234,),"")))))),"")</f>
        <v/>
      </c>
      <c r="EE241" s="2445" t="str" cm="1">
        <f t="array" ca="1" aca="1" ref="EE241">IFERROR(IF(BE241*fxVal_normal=PL!BE285,"",IF(OR(BE241="",NOT(ISNUMBER(BE241)),ISERROR(BE241),$B241=""),"",IF($I241=1,IFBLANK(_xldudf_CX_PUSH(BE241*fxVal_normal,CX_ENTITY,$B241,BE$11,BE$14,BE$234,),""),IF($I241=2,IFBLANK(_xldudf_CX_PUSH(BE241,CX_ENTITY,$B241,BE$11,BE$14,BE$234,),""),IF($I241=3,"",IFBLANK(_xldudf_CX_PUSH(BE241,CX_ENTITY,$B241,BE$11,BE$14,BE$234,),"")))))),"")</f>
        <v/>
      </c>
      <c r="EF241" s="2445" t="str" cm="1">
        <f t="array" ca="1" aca="1" ref="EF241">IFERROR(IF(BF241*fxVal_normal=PL!BF285,"",IF(OR(BF241="",NOT(ISNUMBER(BF241)),ISERROR(BF241),$B241=""),"",IF($I241=1,IFBLANK(_xldudf_CX_PUSH(BF241*fxVal_normal,CX_ENTITY,$B241,BF$11,BF$14,BF$234,),""),IF($I241=2,IFBLANK(_xldudf_CX_PUSH(BF241,CX_ENTITY,$B241,BF$11,BF$14,BF$234,),""),IF($I241=3,"",IFBLANK(_xldudf_CX_PUSH(BF241,CX_ENTITY,$B241,BF$11,BF$14,BF$234,),"")))))),"")</f>
        <v/>
      </c>
      <c r="EG241" s="2445" t="str" cm="1">
        <f t="array" ca="1" aca="1" ref="EG241">IFERROR(IF(BG241*fxVal_normal=PL!BG285,"",IF(OR(BG241="",NOT(ISNUMBER(BG241)),ISERROR(BG241),$B241=""),"",IF($I241=1,IFBLANK(_xldudf_CX_PUSH(BG241*fxVal_normal,CX_ENTITY,$B241,BG$11,BG$14,BG$234,),""),IF($I241=2,IFBLANK(_xldudf_CX_PUSH(BG241,CX_ENTITY,$B241,BG$11,BG$14,BG$234,),""),IF($I241=3,"",IFBLANK(_xldudf_CX_PUSH(BG241,CX_ENTITY,$B241,BG$11,BG$14,BG$234,),"")))))),"")</f>
        <v/>
      </c>
      <c r="EH241" s="2445" t="str" cm="1">
        <f t="array" ca="1" aca="1" ref="EH241">IFERROR(IF(BH241*fxVal_normal=PL!BH285,"",IF(OR(BH241="",NOT(ISNUMBER(BH241)),ISERROR(BH241),$B241=""),"",IF($I241=1,IFBLANK(_xldudf_CX_PUSH(BH241*fxVal_normal,CX_ENTITY,$B241,BH$11,BH$14,BH$234,),""),IF($I241=2,IFBLANK(_xldudf_CX_PUSH(BH241,CX_ENTITY,$B241,BH$11,BH$14,BH$234,),""),IF($I241=3,"",IFBLANK(_xldudf_CX_PUSH(BH241,CX_ENTITY,$B241,BH$11,BH$14,BH$234,),"")))))),"")</f>
        <v/>
      </c>
      <c r="EI241" s="2445" t="str" cm="1">
        <f t="array" ca="1" aca="1" ref="EI241">IFERROR(IF(BI241*fxVal_normal=PL!BI285,"",IF(OR(BI241="",NOT(ISNUMBER(BI241)),ISERROR(BI241),$B241=""),"",IF($I241=1,IFBLANK(_xldudf_CX_PUSH(BI241*fxVal_normal,CX_ENTITY,$B241,BI$11,BI$14,BI$234,),""),IF($I241=2,IFBLANK(_xldudf_CX_PUSH(BI241,CX_ENTITY,$B241,BI$11,BI$14,BI$234,),""),IF($I241=3,"",IFBLANK(_xldudf_CX_PUSH(BI241,CX_ENTITY,$B241,BI$11,BI$14,BI$234,),"")))))),"")</f>
        <v/>
      </c>
      <c r="EJ241" s="2445" t="str" cm="1">
        <f t="array" ca="1" aca="1" ref="EJ241">IFERROR(IF(BJ241*fxVal_normal=PL!BJ285,"",IF(OR(BJ241="",NOT(ISNUMBER(BJ241)),ISERROR(BJ241),$B241=""),"",IF($I241=1,IFBLANK(_xldudf_CX_PUSH(BJ241*fxVal_normal,CX_ENTITY,$B241,BJ$11,BJ$14,BJ$234,),""),IF($I241=2,IFBLANK(_xldudf_CX_PUSH(BJ241,CX_ENTITY,$B241,BJ$11,BJ$14,BJ$234,),""),IF($I241=3,"",IFBLANK(_xldudf_CX_PUSH(BJ241,CX_ENTITY,$B241,BJ$11,BJ$14,BJ$234,),"")))))),"")</f>
        <v/>
      </c>
      <c r="EK241" s="2445" t="str" cm="1">
        <f t="array" ca="1" aca="1" ref="EK241">IFERROR(IF(BK241*fxVal_normal=PL!BK285,"",IF(OR(BK241="",NOT(ISNUMBER(BK241)),ISERROR(BK241),$B241=""),"",IF($I241=1,IFBLANK(_xldudf_CX_PUSH(BK241*fxVal_normal,CX_ENTITY,$B241,BK$11,BK$14,BK$234,),""),IF($I241=2,IFBLANK(_xldudf_CX_PUSH(BK241,CX_ENTITY,$B241,BK$11,BK$14,BK$234,),""),IF($I241=3,"",IFBLANK(_xldudf_CX_PUSH(BK241,CX_ENTITY,$B241,BK$11,BK$14,BK$234,),"")))))),"")</f>
        <v/>
      </c>
      <c r="EL241" s="2445" t="str" cm="1">
        <f t="array" ca="1" aca="1" ref="EL241">IFERROR(IF(BL241*fxVal_normal=PL!BL285,"",IF(OR(BL241="",NOT(ISNUMBER(BL241)),ISERROR(BL241),$B241=""),"",IF($I241=1,IFBLANK(_xldudf_CX_PUSH(BL241*fxVal_normal,CX_ENTITY,$B241,BL$11,BL$14,BL$234,),""),IF($I241=2,IFBLANK(_xldudf_CX_PUSH(BL241,CX_ENTITY,$B241,BL$11,BL$14,BL$234,),""),IF($I241=3,"",IFBLANK(_xldudf_CX_PUSH(BL241,CX_ENTITY,$B241,BL$11,BL$14,BL$234,),"")))))),"")</f>
        <v/>
      </c>
      <c r="EM241" s="2445" t="str" cm="1">
        <f t="array" ca="1" aca="1" ref="EM241">IFERROR(IF(BM241*fxVal_normal=PL!BM285,"",IF(OR(BM241="",NOT(ISNUMBER(BM241)),ISERROR(BM241),$B241=""),"",IF($I241=1,IFBLANK(_xldudf_CX_PUSH(BM241*fxVal_normal,CX_ENTITY,$B241,BM$11,BM$14,BM$234,),""),IF($I241=2,IFBLANK(_xldudf_CX_PUSH(BM241,CX_ENTITY,$B241,BM$11,BM$14,BM$234,),""),IF($I241=3,"",IFBLANK(_xldudf_CX_PUSH(BM241,CX_ENTITY,$B241,BM$11,BM$14,BM$234,),"")))))),"")</f>
        <v/>
      </c>
      <c r="EN241" s="2445" t="str" cm="1">
        <f t="array" ca="1" aca="1" ref="EN241">IFERROR(IF(BN241*fxVal_normal=PL!BN285,"",IF(OR(BN241="",NOT(ISNUMBER(BN241)),ISERROR(BN241),$B241=""),"",IF($I241=1,IFBLANK(_xldudf_CX_PUSH(BN241*fxVal_normal,CX_ENTITY,$B241,BN$11,BN$14,BN$234,),""),IF($I241=2,IFBLANK(_xldudf_CX_PUSH(BN241,CX_ENTITY,$B241,BN$11,BN$14,BN$234,),""),IF($I241=3,"",IFBLANK(_xldudf_CX_PUSH(BN241,CX_ENTITY,$B241,BN$11,BN$14,BN$234,),"")))))),"")</f>
        <v/>
      </c>
    </row>
    <row r="242" spans="1:107" ht="21" customHeight="1">
      <c r="A242" s="1627" t="s">
        <v>22</v>
      </c>
      <c r="B242" s="2424"/>
      <c r="C242" s="2424"/>
      <c r="D242" s="1548"/>
      <c r="E242" s="2440" cm="1">
        <f t="array" ca="1" aca="1" ref="E242:G24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242:$CQ242,Z242)</f>
        <v>49</v>
      </c>
      <c r="F242" s="576">
        <f ca="1"/>
        <v>0</v>
      </c>
      <c r="G242" s="576" t="str">
        <f ca="1"/>
        <v>A</v>
      </c>
      <c r="H242" s="3297">
        <v>2</v>
      </c>
      <c r="I242" s="3297">
        <v>1</v>
      </c>
      <c r="J242" s="401" cm="1">
        <f t="array" ref="J242">IFBLANK(Z242,"")</f>
        <v>0</v>
      </c>
      <c r="K242" s="578" t="str">
        <f t="shared" si="60"/>
        <v>No</v>
      </c>
      <c r="L242" s="37"/>
      <c r="N242" s="158"/>
      <c r="O242" s="101"/>
      <c r="P242" s="52"/>
      <c r="Q242" s="101"/>
      <c r="R242" s="101"/>
      <c r="S242" s="101"/>
      <c r="T242" s="101"/>
      <c r="U242" s="39"/>
      <c r="V242" s="37"/>
      <c r="W242" s="2594" t="e">
        <f ca="1">W235</f>
        <v>#NAME?</v>
      </c>
      <c r="X242" s="2452">
        <f>_PL!X272</f>
        <v>0</v>
      </c>
      <c r="Y242" s="270" t="s">
        <v>167</v>
      </c>
      <c r="Z242" s="538">
        <f>_PL!Z242</f>
        <v>0</v>
      </c>
      <c r="AA242" s="906"/>
      <c r="AB242" s="280"/>
      <c r="AC242" s="1165" t="str" cm="1">
        <f t="array" ca="1" aca="1" ref="AC242">_xlfn.LET(_xlpm._termname,$AB242,_xlpm._iconname,"find",_xlpm._icon,fx_getIcon(_xlpm._iconname),_xlpm._location,_xlfn.XLOOKUP(LOWER(_xlpm._termname),LOWER(tbl_acctDef[Term]),tbl_acctDef[Term]),_xlpm._hyperlink,HYPERLINK("#"&amp;CELL("address",_xlpm._location),_xlpm._icon),IFERROR(_xlpm._hyperlink,""))</f>
        <v/>
      </c>
      <c r="AD242" s="2602" t="str">
        <f ca="1">IF(ISNUMBER(AD235),IF(ABS(SUM(AD236:AD241)-AD235)&lt;0.1,0,1),"")</f>
        <v/>
      </c>
      <c r="AE242" s="2602" t="str">
        <f t="shared" si="65" ref="AE242:BN242">IF(ISNUMBER(AE235),IF(ABS(SUM(AE236:AE241)-AE235)&lt;0.1,0,1),"")</f>
        <v/>
      </c>
      <c r="AF242" s="2603" t="str">
        <f t="shared" si="65"/>
        <v/>
      </c>
      <c r="AG242" s="2603" t="str">
        <f t="shared" si="65"/>
        <v/>
      </c>
      <c r="AH242" s="2603" t="str">
        <f t="shared" si="65"/>
        <v/>
      </c>
      <c r="AI242" s="2603" t="str">
        <f t="shared" si="65"/>
        <v/>
      </c>
      <c r="AJ242" s="2603" t="str">
        <f t="shared" si="65"/>
        <v/>
      </c>
      <c r="AK242" s="2603" t="str">
        <f t="shared" si="65"/>
        <v/>
      </c>
      <c r="AL242" s="2603" t="str">
        <f t="shared" si="65"/>
        <v/>
      </c>
      <c r="AM242" s="2603" t="str">
        <f t="shared" si="65"/>
        <v/>
      </c>
      <c r="AN242" s="2603" t="str">
        <f t="shared" si="65"/>
        <v/>
      </c>
      <c r="AO242" s="2603" t="str">
        <f t="shared" si="65"/>
        <v/>
      </c>
      <c r="AP242" s="2603" t="str">
        <f t="shared" si="65"/>
        <v/>
      </c>
      <c r="AQ242" s="2603" t="str">
        <f t="shared" si="65"/>
        <v/>
      </c>
      <c r="AR242" s="2603" t="str">
        <f t="shared" si="65"/>
        <v/>
      </c>
      <c r="AS242" s="2603" t="str">
        <f t="shared" si="65"/>
        <v/>
      </c>
      <c r="AT242" s="2603" t="str">
        <f t="shared" si="65"/>
        <v/>
      </c>
      <c r="AU242" s="2603" t="str">
        <f t="shared" si="65"/>
        <v/>
      </c>
      <c r="AV242" s="2603" t="str">
        <f t="shared" si="65"/>
        <v/>
      </c>
      <c r="AW242" s="2603" t="str">
        <f t="shared" si="65"/>
        <v/>
      </c>
      <c r="AX242" s="2603" t="str">
        <f t="shared" si="65"/>
        <v/>
      </c>
      <c r="AY242" s="2603" t="str">
        <f t="shared" si="65"/>
        <v/>
      </c>
      <c r="AZ242" s="2603" t="str">
        <f t="shared" si="65"/>
        <v/>
      </c>
      <c r="BA242" s="2603" t="str">
        <f t="shared" si="65"/>
        <v/>
      </c>
      <c r="BB242" s="2603" t="str">
        <f t="shared" si="65"/>
        <v/>
      </c>
      <c r="BC242" s="2603" t="str">
        <f t="shared" si="65"/>
        <v/>
      </c>
      <c r="BD242" s="2603" t="str">
        <f t="shared" si="65"/>
        <v/>
      </c>
      <c r="BE242" s="2603" t="str">
        <f t="shared" si="65"/>
        <v/>
      </c>
      <c r="BF242" s="2603" t="str">
        <f t="shared" si="65"/>
        <v/>
      </c>
      <c r="BG242" s="2603" t="str">
        <f t="shared" si="65"/>
        <v/>
      </c>
      <c r="BH242" s="2603" t="str">
        <f t="shared" si="65"/>
        <v/>
      </c>
      <c r="BI242" s="2603" t="str">
        <f t="shared" si="65"/>
        <v/>
      </c>
      <c r="BJ242" s="2603" t="str">
        <f t="shared" si="65"/>
        <v/>
      </c>
      <c r="BK242" s="2603" t="str">
        <f t="shared" si="65"/>
        <v/>
      </c>
      <c r="BL242" s="2603" t="str">
        <f t="shared" si="65"/>
        <v/>
      </c>
      <c r="BM242" s="2603" t="str">
        <f t="shared" si="65"/>
        <v/>
      </c>
      <c r="BN242" s="2603" t="str">
        <f t="shared" si="65"/>
        <v/>
      </c>
      <c r="BO242" s="2604"/>
      <c r="BP242" s="2604"/>
      <c r="BQ242" s="2604"/>
      <c r="BR242" s="2604"/>
      <c r="BS242" s="2604"/>
      <c r="BT242" s="2604"/>
      <c r="BU242" s="2604"/>
      <c r="BV242" s="2604"/>
      <c r="BW242" s="2604"/>
      <c r="BX242" s="2604"/>
      <c r="BY242" s="2604"/>
      <c r="BZ242" s="2604"/>
      <c r="CA242" s="34"/>
      <c r="CC242" s="58"/>
      <c r="CD242" s="1461" t="str" cm="1">
        <f t="array" ca="1" aca="1" ref="CD242">_xlfn.LET(_xlpm.CheckBlank,SUM(PL!$AD242:$BN242)=0,IF(_xlpm.CheckBlank,"",SUM(_xlfn._xlws.FILTER(PL!$AD242:$BN242,(YEAR(PL!$AD$12:$BN$12)=PL!CD$12)*(array_timeline&lt;=PL!CD$11)))))</f>
        <v/>
      </c>
      <c r="CE242" s="1461" t="str" cm="1">
        <f t="array" ca="1" aca="1" ref="CE242">_xlfn.LET(_xlpm.CheckBlank,SUM(PL!$AD242:$BN242)=0,IF(_xlpm.CheckBlank,"",SUM(_xlfn._xlws.FILTER(PL!$AD242:$BN242,(YEAR(PL!$AD$12:$BN$12)=PL!CE$12)*(array_timeline&lt;=PL!CE$11)))))</f>
        <v/>
      </c>
      <c r="CF242" s="88"/>
      <c r="CG242" s="1461" t="str" cm="1">
        <f t="array" ca="1" aca="1" ref="CG242">_xlfn.LET(_xlpm.CheckBlank,SUM(PL!$AD242:$BN242)=0,IF(_xlpm.CheckBlank,"",SUM(_xlfn._xlws.FILTER(PL!$AD242:$BN242,(YEAR(PL!$AD$12:$BN$12)=PL!CG$12)*(array_timeline&lt;=PL!CG$11)))))</f>
        <v/>
      </c>
      <c r="CH242" s="1461" t="str" cm="1">
        <f t="array" ca="1" aca="1" ref="CH242">_xlfn.LET(_xlpm.CheckBlank,SUM(PL!$AD242:$BN242)=0,IF(_xlpm.CheckBlank,"",SUM(_xlfn._xlws.FILTER(PL!$AD242:$BN242,(YEAR(PL!$AD$12:$BN$12)=PL!CH$12)*(array_timeline&lt;=PL!CH$11)))))</f>
        <v/>
      </c>
      <c r="CI242" s="88"/>
      <c r="CJ242" s="1461" t="str" cm="1">
        <f t="array" ca="1" aca="1" ref="CJ242">_xlfn.LET(_xlpm.CheckBlank,SUM(PL!$AD242:$BN242)=0,IF(_xlpm.CheckBlank,"",SUM(_xlfn.TAKE(_xlfn.DROP(PL!$AD242:$BN242,,-DATEDIFF(PL!CJ$11,val_asOfDate,"M")),1,-12))))</f>
        <v/>
      </c>
      <c r="CK242" s="1461" t="str" cm="1">
        <f t="array" ca="1" aca="1" ref="CK242">_xlfn.LET(_xlpm.CheckBlank,SUM(PL!$AD242:$BN242)=0,IF(_xlpm.CheckBlank,"",SUM(_xlfn.TAKE(_xlfn.DROP(PL!$AD242:$BN242,,-DATEDIFF(PL!CK$11,val_asOfDate,"M")),1,-12))))</f>
        <v/>
      </c>
      <c r="CL242" s="88"/>
      <c r="CM242" s="2061" t="str">
        <f ca="1">IF(ISNUMBER(CM235),IF(ABS(SUM(CM236:CM241)-CM235)&lt;0.1,0,1),"")</f>
        <v/>
      </c>
      <c r="CN242" s="2061" t="str">
        <f>IF(ISNUMBER(CN235),IF(ABS(SUM(CN236:CN241)-CN235)&lt;0.1,0,1),"")</f>
        <v/>
      </c>
      <c r="CO242" s="128"/>
      <c r="CP242" s="2061" t="str">
        <f ca="1">IF(ISNUMBER(CP235),IF(ABS(SUM(CP236:CP241)-CP235)&lt;0.1,0,1),"")</f>
        <v/>
      </c>
      <c r="CQ242" s="2061" t="str">
        <f>IF(ISNUMBER(CQ235),IF(ABS(SUM(CQ236:CQ241)-CQ235)&lt;0.1,0,1),"")</f>
        <v/>
      </c>
      <c r="CR242" s="34"/>
      <c r="CY242" s="1880"/>
      <c r="CZ242" s="1880"/>
      <c r="DA242" s="1880"/>
      <c r="DB242" s="1880"/>
      <c r="DC242" s="2121"/>
    </row>
    <row r="243" spans="1:107" ht="21" customHeight="1">
      <c r="A243" s="1627"/>
      <c r="B243" s="2424"/>
      <c r="C243" s="2424"/>
      <c r="D243" s="1548"/>
      <c r="E243" s="2440"/>
      <c r="F243" s="401"/>
      <c r="G243" s="401"/>
      <c r="H243" s="585"/>
      <c r="I243" s="585"/>
      <c r="J243" s="401"/>
      <c r="K243" s="578"/>
      <c r="L243" s="37"/>
      <c r="N243" s="158"/>
      <c r="O243" s="101"/>
      <c r="P243" s="52"/>
      <c r="Q243" s="101"/>
      <c r="R243" s="101"/>
      <c r="S243" s="101"/>
      <c r="T243" s="101"/>
      <c r="U243" s="39"/>
      <c r="V243" s="37"/>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4"/>
      <c r="CC243" s="58"/>
      <c r="CD243" s="3"/>
      <c r="CE243" s="3"/>
      <c r="CF243" s="3"/>
      <c r="CG243" s="3"/>
      <c r="CH243" s="3"/>
      <c r="CI243" s="3"/>
      <c r="CJ243" s="3"/>
      <c r="CK243" s="3"/>
      <c r="CL243" s="3"/>
      <c r="CM243" s="3"/>
      <c r="CN243" s="3"/>
      <c r="CO243" s="3"/>
      <c r="CP243" s="3"/>
      <c r="CQ243" s="3"/>
      <c r="CR243" s="34"/>
      <c r="CY243" s="1880"/>
      <c r="CZ243" s="1880"/>
      <c r="DA243" s="1880"/>
      <c r="DB243" s="1880"/>
      <c r="DC243" s="2121"/>
    </row>
    <row r="244" spans="1:107" ht="21" customHeight="1">
      <c r="A244" s="1627"/>
      <c r="B244" s="2424"/>
      <c r="C244" s="2424"/>
      <c r="D244" s="1548"/>
      <c r="E244" s="2440"/>
      <c r="F244" s="401"/>
      <c r="G244" s="401"/>
      <c r="H244" s="585"/>
      <c r="I244" s="585"/>
      <c r="J244" s="401"/>
      <c r="K244" s="578"/>
      <c r="L244" s="37"/>
      <c r="N244" s="158"/>
      <c r="O244" s="101"/>
      <c r="P244" s="52"/>
      <c r="Q244" s="101"/>
      <c r="R244" s="101"/>
      <c r="S244" s="101"/>
      <c r="T244" s="101"/>
      <c r="U244" s="39"/>
      <c r="V244" s="37"/>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4"/>
      <c r="CC244" s="58"/>
      <c r="CD244" s="3"/>
      <c r="CE244" s="3"/>
      <c r="CF244" s="3"/>
      <c r="CG244" s="3"/>
      <c r="CH244" s="3"/>
      <c r="CI244" s="3"/>
      <c r="CJ244" s="3"/>
      <c r="CK244" s="3"/>
      <c r="CL244" s="3"/>
      <c r="CM244" s="3"/>
      <c r="CN244" s="3"/>
      <c r="CO244" s="3"/>
      <c r="CP244" s="3"/>
      <c r="CQ244" s="3"/>
      <c r="CR244" s="34"/>
      <c r="CY244" s="1880"/>
      <c r="CZ244" s="1880"/>
      <c r="DA244" s="1880"/>
      <c r="DB244" s="1880"/>
      <c r="DC244" s="2121"/>
    </row>
    <row r="245" spans="1:146" ht="25">
      <c r="A245" s="1625"/>
      <c r="B245" s="2439"/>
      <c r="C245" s="2439"/>
      <c r="D245" s="1548"/>
      <c r="E245" s="2453"/>
      <c r="F245" s="578"/>
      <c r="G245" s="578"/>
      <c r="H245" s="510"/>
      <c r="I245" s="510"/>
      <c r="J245" s="401"/>
      <c r="K245" s="578"/>
      <c r="L245" s="37"/>
      <c r="N245" s="158" t="s">
        <v>193</v>
      </c>
      <c r="O245" s="101"/>
      <c r="P245" s="52"/>
      <c r="Q245" s="101"/>
      <c r="R245" s="101"/>
      <c r="S245" s="101"/>
      <c r="T245" s="101"/>
      <c r="U245" s="39"/>
      <c r="V245" s="37"/>
      <c r="W245" s="2133"/>
      <c r="X245" s="887"/>
      <c r="Y245" s="2172" t="s">
        <v>194</v>
      </c>
      <c r="Z245" s="795"/>
      <c r="AA245" s="97"/>
      <c r="AB245" s="97"/>
      <c r="AC245" s="128"/>
      <c r="AD245" s="796"/>
      <c r="AE245" s="796"/>
      <c r="AF245" s="796"/>
      <c r="AG245" s="796"/>
      <c r="AH245" s="796"/>
      <c r="AI245" s="796"/>
      <c r="AJ245" s="796"/>
      <c r="AK245" s="796"/>
      <c r="AL245" s="796"/>
      <c r="AM245" s="796"/>
      <c r="AN245" s="796"/>
      <c r="AO245" s="796"/>
      <c r="AP245" s="796"/>
      <c r="AQ245" s="796"/>
      <c r="AR245" s="796"/>
      <c r="AS245" s="796"/>
      <c r="AT245" s="796"/>
      <c r="AU245" s="796"/>
      <c r="AV245" s="796"/>
      <c r="AW245" s="796"/>
      <c r="AX245" s="796"/>
      <c r="AY245" s="796"/>
      <c r="AZ245" s="796"/>
      <c r="BA245" s="796"/>
      <c r="BB245" s="796"/>
      <c r="BC245" s="796"/>
      <c r="BD245" s="796"/>
      <c r="BE245" s="796"/>
      <c r="BF245" s="796"/>
      <c r="BG245" s="796"/>
      <c r="BH245" s="796"/>
      <c r="BI245" s="796"/>
      <c r="BJ245" s="796"/>
      <c r="BK245" s="796"/>
      <c r="BL245" s="796"/>
      <c r="BM245" s="796"/>
      <c r="BN245" s="796"/>
      <c r="BO245" s="796"/>
      <c r="BP245" s="796"/>
      <c r="BQ245" s="796"/>
      <c r="BR245" s="796"/>
      <c r="BS245" s="796"/>
      <c r="BT245" s="796"/>
      <c r="BU245" s="796"/>
      <c r="BV245" s="796"/>
      <c r="BW245" s="796"/>
      <c r="BX245" s="796"/>
      <c r="BY245" s="796"/>
      <c r="BZ245" s="796"/>
      <c r="CA245" s="34"/>
      <c r="CC245" s="797"/>
      <c r="CD245" s="3052" t="s">
        <v>41</v>
      </c>
      <c r="CE245" s="3053"/>
      <c r="CF245" s="1472"/>
      <c r="CG245" s="3054" t="s">
        <v>109</v>
      </c>
      <c r="CH245" s="3055"/>
      <c r="CI245" s="1473"/>
      <c r="CJ245" s="3059" t="s">
        <v>43</v>
      </c>
      <c r="CK245" s="3060"/>
      <c r="CL245" s="1473"/>
      <c r="CM245" s="3050" t="s">
        <v>44</v>
      </c>
      <c r="CN245" s="3051"/>
      <c r="CO245" s="1470"/>
      <c r="CP245" s="3050" t="s">
        <v>45</v>
      </c>
      <c r="CQ245" s="3051"/>
      <c r="CR245" s="34"/>
      <c r="CS245" s="2056"/>
      <c r="CT245" s="1880"/>
      <c r="CU245" s="1880"/>
      <c r="CV245" s="1880"/>
      <c r="CW245" s="1880"/>
      <c r="CX245" s="2121"/>
      <c r="CY245" s="1880"/>
      <c r="CZ245" s="1880"/>
      <c r="DA245" s="1880"/>
      <c r="DB245" s="1880"/>
      <c r="DC245" s="2121"/>
      <c r="DD245" s="1880"/>
      <c r="DE245" s="1880"/>
      <c r="DF245" s="1880"/>
      <c r="DG245" s="1880"/>
      <c r="DH245" s="1880"/>
      <c r="DI245" s="1880"/>
      <c r="DJ245" s="1880"/>
      <c r="DK245" s="1880"/>
      <c r="DL245" s="1880"/>
      <c r="DM245" s="1880"/>
      <c r="DN245" s="1880"/>
      <c r="DO245" s="1880"/>
      <c r="DP245" s="1880"/>
      <c r="DQ245" s="1880"/>
      <c r="DR245" s="1880"/>
      <c r="DS245" s="1880"/>
      <c r="DT245" s="1880"/>
      <c r="DU245" s="1880"/>
      <c r="DV245" s="1880"/>
      <c r="DW245" s="1880"/>
      <c r="DX245" s="1880"/>
      <c r="DY245" s="1880"/>
      <c r="DZ245" s="1880"/>
      <c r="EA245" s="1880"/>
      <c r="EB245" s="1880"/>
      <c r="EC245" s="1880"/>
      <c r="ED245" s="1880"/>
      <c r="EE245" s="1880"/>
      <c r="EF245" s="1880"/>
      <c r="EG245" s="1880"/>
      <c r="EH245" s="1880"/>
      <c r="EI245" s="1880"/>
      <c r="EJ245" s="1880"/>
      <c r="EK245" s="1880"/>
      <c r="EL245" s="1880"/>
      <c r="EM245" s="1880"/>
      <c r="EN245" s="1880"/>
      <c r="EO245" s="1880"/>
      <c r="EP245" s="1880"/>
    </row>
    <row r="246" spans="1:107" s="108" customFormat="1" ht="18">
      <c r="A246" s="1628"/>
      <c r="B246" s="1331"/>
      <c r="C246" s="1331"/>
      <c r="D246" s="574"/>
      <c r="E246" s="2605"/>
      <c r="F246" s="401"/>
      <c r="G246" s="401"/>
      <c r="H246" s="585"/>
      <c r="I246" s="585"/>
      <c r="J246" s="586"/>
      <c r="K246" s="401"/>
      <c r="L246" s="37"/>
      <c r="M246"/>
      <c r="N246" s="158"/>
      <c r="O246" s="101"/>
      <c r="P246" s="101"/>
      <c r="Q246" s="101"/>
      <c r="R246" s="101"/>
      <c r="S246" s="101"/>
      <c r="T246" s="101"/>
      <c r="U246" s="101"/>
      <c r="W246" s="2070"/>
      <c r="X246" s="887"/>
      <c r="Y246" s="324"/>
      <c r="Z246" s="795"/>
      <c r="AA246" s="97"/>
      <c r="AB246" s="97"/>
      <c r="AC246" s="128"/>
      <c r="AD246" s="796"/>
      <c r="AE246" s="796"/>
      <c r="AF246" s="796"/>
      <c r="AG246" s="796"/>
      <c r="AH246" s="796"/>
      <c r="AI246" s="796"/>
      <c r="AJ246" s="796"/>
      <c r="AK246" s="796"/>
      <c r="AL246" s="796"/>
      <c r="AM246" s="796"/>
      <c r="AN246" s="796"/>
      <c r="AO246" s="796"/>
      <c r="AP246" s="796"/>
      <c r="AQ246" s="796"/>
      <c r="AR246" s="796"/>
      <c r="AS246" s="796"/>
      <c r="AT246" s="796"/>
      <c r="AU246" s="796"/>
      <c r="AV246" s="796"/>
      <c r="AW246" s="796"/>
      <c r="AX246" s="796"/>
      <c r="AY246" s="796"/>
      <c r="AZ246" s="796"/>
      <c r="BA246" s="796"/>
      <c r="BB246" s="796"/>
      <c r="BC246" s="796"/>
      <c r="BD246" s="796"/>
      <c r="BE246" s="796"/>
      <c r="BF246" s="796"/>
      <c r="BG246" s="796"/>
      <c r="BH246" s="796"/>
      <c r="BI246" s="796"/>
      <c r="BJ246" s="796"/>
      <c r="BK246" s="796"/>
      <c r="BL246" s="796"/>
      <c r="BM246" s="796"/>
      <c r="BN246" s="796"/>
      <c r="BO246" s="796"/>
      <c r="BP246" s="796"/>
      <c r="BQ246" s="796"/>
      <c r="BR246" s="796"/>
      <c r="BS246" s="796"/>
      <c r="BT246" s="796"/>
      <c r="BU246" s="796"/>
      <c r="BV246" s="796"/>
      <c r="BW246" s="796"/>
      <c r="BX246" s="796"/>
      <c r="BY246" s="796"/>
      <c r="BZ246" s="796"/>
      <c r="CA246" s="88"/>
      <c r="CC246" s="2071"/>
      <c r="CD246" s="1343" t="e" cm="1">
        <f t="array" ca="1" aca="1" ref="CD246">YEAR(val_currentFYE)-2</f>
        <v>#NAME?</v>
      </c>
      <c r="CE246" s="1344" t="e" cm="1">
        <f t="array" ca="1" aca="1" ref="CE246">YEAR(val_currentFYE)-1</f>
        <v>#NAME?</v>
      </c>
      <c r="CF246" s="128"/>
      <c r="CG246" s="205" t="e" cm="1">
        <f t="array" ca="1" aca="1" ref="CG246">YEAR(val_currentFYE)</f>
        <v>#NAME?</v>
      </c>
      <c r="CH246" s="206" t="e" cm="1">
        <f t="array" ca="1" aca="1" ref="CH246">YEAR(val_currentFYE)</f>
        <v>#NAME?</v>
      </c>
      <c r="CI246" s="207"/>
      <c r="CJ246" s="208" t="s">
        <v>54</v>
      </c>
      <c r="CK246" s="209" t="s">
        <v>54</v>
      </c>
      <c r="CL246" s="88"/>
      <c r="CM246" s="1200" t="e" cm="1">
        <f t="array" ca="1" aca="1" ref="CM246">YEAR(val_currentFYE)</f>
        <v>#NAME?</v>
      </c>
      <c r="CN246" s="1340" t="e" cm="1">
        <f t="array" ca="1" aca="1" ref="CN246">YEAR(val_currentFYE)</f>
        <v>#NAME?</v>
      </c>
      <c r="CO246" s="88"/>
      <c r="CP246" s="1200" t="e" cm="1">
        <f t="array" ca="1" aca="1" ref="CP246">YEAR(val_currentFYE)+1</f>
        <v>#NAME?</v>
      </c>
      <c r="CQ246" s="1340" t="e" cm="1">
        <f t="array" ca="1" aca="1" ref="CQ246">YEAR(val_currentFYE)+1</f>
        <v>#NAME?</v>
      </c>
      <c r="CR246" s="88"/>
      <c r="CX246" s="115"/>
      <c r="DC246" s="115"/>
    </row>
    <row r="247" spans="1:107" s="108" customFormat="1" ht="18">
      <c r="A247" s="1628"/>
      <c r="B247" s="1331"/>
      <c r="C247" s="1331"/>
      <c r="D247" s="574"/>
      <c r="E247" s="2605"/>
      <c r="F247" s="401"/>
      <c r="G247" s="401"/>
      <c r="H247" s="585"/>
      <c r="I247" s="585"/>
      <c r="J247" s="586"/>
      <c r="K247" s="401"/>
      <c r="L247" s="37"/>
      <c r="M247"/>
      <c r="N247" s="158"/>
      <c r="O247" s="101"/>
      <c r="P247" s="101"/>
      <c r="Q247" s="101"/>
      <c r="R247" s="101"/>
      <c r="S247" s="101"/>
      <c r="T247" s="101"/>
      <c r="U247" s="101"/>
      <c r="W247" s="2070"/>
      <c r="X247" s="887"/>
      <c r="Y247" s="324"/>
      <c r="Z247" s="795"/>
      <c r="AA247" s="97"/>
      <c r="AB247" s="97"/>
      <c r="AC247" s="128"/>
      <c r="AD247" s="796"/>
      <c r="AE247" s="796"/>
      <c r="AF247" s="796"/>
      <c r="AG247" s="796"/>
      <c r="AH247" s="796"/>
      <c r="AI247" s="796"/>
      <c r="AJ247" s="796"/>
      <c r="AK247" s="796"/>
      <c r="AL247" s="796"/>
      <c r="AM247" s="796"/>
      <c r="AN247" s="796"/>
      <c r="AO247" s="796"/>
      <c r="AP247" s="796"/>
      <c r="AQ247" s="796"/>
      <c r="AR247" s="796"/>
      <c r="AS247" s="796"/>
      <c r="AT247" s="796"/>
      <c r="AU247" s="796"/>
      <c r="AV247" s="796"/>
      <c r="AW247" s="796"/>
      <c r="AX247" s="796"/>
      <c r="AY247" s="796"/>
      <c r="AZ247" s="796"/>
      <c r="BA247" s="796"/>
      <c r="BB247" s="796"/>
      <c r="BC247" s="796"/>
      <c r="BD247" s="796"/>
      <c r="BE247" s="796"/>
      <c r="BF247" s="796"/>
      <c r="BG247" s="796"/>
      <c r="BH247" s="796"/>
      <c r="BI247" s="796"/>
      <c r="BJ247" s="796"/>
      <c r="BK247" s="796"/>
      <c r="BL247" s="796"/>
      <c r="BM247" s="796"/>
      <c r="BN247" s="796"/>
      <c r="BO247" s="796"/>
      <c r="BP247" s="796"/>
      <c r="BQ247" s="796"/>
      <c r="BR247" s="796"/>
      <c r="BS247" s="796"/>
      <c r="BT247" s="796"/>
      <c r="BU247" s="796"/>
      <c r="BV247" s="796"/>
      <c r="BW247" s="796"/>
      <c r="BX247" s="796"/>
      <c r="BY247" s="796"/>
      <c r="BZ247" s="796"/>
      <c r="CA247" s="88"/>
      <c r="CC247" s="2071"/>
      <c r="CD247" s="1343"/>
      <c r="CE247" s="1344"/>
      <c r="CF247" s="128"/>
      <c r="CG247" s="205"/>
      <c r="CH247" s="206"/>
      <c r="CI247" s="207"/>
      <c r="CJ247" s="208"/>
      <c r="CK247" s="209"/>
      <c r="CL247" s="88"/>
      <c r="CM247" s="1200"/>
      <c r="CN247" s="1340"/>
      <c r="CO247" s="88"/>
      <c r="CP247" s="1200"/>
      <c r="CQ247" s="1340"/>
      <c r="CR247" s="88"/>
      <c r="CX247" s="115"/>
      <c r="DC247" s="115"/>
    </row>
    <row r="248" spans="1:146" s="10" customFormat="1" ht="35.25" customHeight="1">
      <c r="A248" s="1624"/>
      <c r="B248" s="2405"/>
      <c r="C248" s="2406"/>
      <c r="D248" s="2407"/>
      <c r="E248" s="1899"/>
      <c r="F248" s="1898"/>
      <c r="G248" s="1896"/>
      <c r="H248" s="849"/>
      <c r="I248" s="849"/>
      <c r="J248" s="2343"/>
      <c r="K248" s="2343"/>
      <c r="L248" s="37"/>
      <c r="M248"/>
      <c r="N248" s="158"/>
      <c r="O248" s="2345"/>
      <c r="P248" s="2346"/>
      <c r="Q248" s="2346"/>
      <c r="R248" s="2346"/>
      <c r="S248" s="2347" t="s">
        <v>195</v>
      </c>
      <c r="T248" s="2347" t="s">
        <v>196</v>
      </c>
      <c r="U248" s="2348"/>
      <c r="V248" s="2344"/>
      <c r="W248" s="1930"/>
      <c r="X248" s="1931"/>
      <c r="Y248" s="1932"/>
      <c r="Z248" s="1931"/>
      <c r="AA248" s="1932"/>
      <c r="AB248" s="1933"/>
      <c r="AC248" s="976"/>
      <c r="AD248" s="2358" cm="1">
        <f t="array" ref="AD248:BN248">array_timeline</f>
        <v>44926</v>
      </c>
      <c r="AE248" s="2358">
        <v>44957</v>
      </c>
      <c r="AF248" s="2358">
        <v>44985</v>
      </c>
      <c r="AG248" s="2358">
        <v>45016</v>
      </c>
      <c r="AH248" s="2358">
        <v>45046</v>
      </c>
      <c r="AI248" s="2358">
        <v>45077</v>
      </c>
      <c r="AJ248" s="2358">
        <v>45107</v>
      </c>
      <c r="AK248" s="2358">
        <v>45138</v>
      </c>
      <c r="AL248" s="2358">
        <v>45169</v>
      </c>
      <c r="AM248" s="2358">
        <v>45199</v>
      </c>
      <c r="AN248" s="2358">
        <v>45230</v>
      </c>
      <c r="AO248" s="2358">
        <v>45260</v>
      </c>
      <c r="AP248" s="2358">
        <v>45291</v>
      </c>
      <c r="AQ248" s="2358">
        <v>45322</v>
      </c>
      <c r="AR248" s="2358">
        <v>45351</v>
      </c>
      <c r="AS248" s="2358">
        <v>45382</v>
      </c>
      <c r="AT248" s="2358">
        <v>45412</v>
      </c>
      <c r="AU248" s="2358">
        <v>45443</v>
      </c>
      <c r="AV248" s="2358">
        <v>45473</v>
      </c>
      <c r="AW248" s="2358">
        <v>45504</v>
      </c>
      <c r="AX248" s="2358">
        <v>45535</v>
      </c>
      <c r="AY248" s="2358">
        <v>45565</v>
      </c>
      <c r="AZ248" s="2358">
        <v>45596</v>
      </c>
      <c r="BA248" s="2358">
        <v>45626</v>
      </c>
      <c r="BB248" s="2358">
        <v>45657</v>
      </c>
      <c r="BC248" s="2358">
        <v>45688</v>
      </c>
      <c r="BD248" s="2358">
        <v>45716</v>
      </c>
      <c r="BE248" s="2358">
        <v>45747</v>
      </c>
      <c r="BF248" s="2358">
        <v>45777</v>
      </c>
      <c r="BG248" s="2358">
        <v>45808</v>
      </c>
      <c r="BH248" s="2358">
        <v>45838</v>
      </c>
      <c r="BI248" s="2358">
        <v>45869</v>
      </c>
      <c r="BJ248" s="2358">
        <v>45900</v>
      </c>
      <c r="BK248" s="2358">
        <v>45930</v>
      </c>
      <c r="BL248" s="2358">
        <v>45961</v>
      </c>
      <c r="BM248" s="2358">
        <v>45991</v>
      </c>
      <c r="BN248" s="2359">
        <v>46022</v>
      </c>
      <c r="BO248" s="2360"/>
      <c r="BP248" s="2360"/>
      <c r="BQ248" s="2360"/>
      <c r="BR248" s="2360"/>
      <c r="BS248" s="2360"/>
      <c r="BT248" s="2360"/>
      <c r="BU248" s="2360"/>
      <c r="BV248" s="2360"/>
      <c r="BW248" s="2360"/>
      <c r="BX248" s="2360"/>
      <c r="BY248" s="2360"/>
      <c r="BZ248" s="2360"/>
      <c r="CA248" s="1936"/>
      <c r="CB248" s="2344"/>
      <c r="CC248" s="2349"/>
      <c r="CD248" s="1937" t="e" cm="1">
        <f t="array" ca="1" aca="1" ref="CD248">EOMONTH(val_currentFYE,-24)</f>
        <v>#NAME?</v>
      </c>
      <c r="CE248" s="1938" t="e" cm="1">
        <f t="array" ca="1" aca="1" ref="CE248">EOMONTH(val_currentFYE,-12)</f>
        <v>#NAME?</v>
      </c>
      <c r="CF248" s="1939"/>
      <c r="CG248" s="1940">
        <f>EOMONTH(val_asOfDate,0)</f>
        <v>46022</v>
      </c>
      <c r="CH248" s="1941">
        <f>EOMONTH(val_asOfDate,0)</f>
        <v>46022</v>
      </c>
      <c r="CI248" s="2350"/>
      <c r="CJ248" s="1942">
        <f>EOMONTH(val_asOfDate,-1)</f>
        <v>45991</v>
      </c>
      <c r="CK248" s="1943">
        <f>EOMONTH(val_asOfDate,0)</f>
        <v>46022</v>
      </c>
      <c r="CL248" s="2351"/>
      <c r="CM248" s="1944" t="e" cm="1">
        <f t="array" ca="1" aca="1" ref="CM248">val_currentFYE</f>
        <v>#NAME?</v>
      </c>
      <c r="CN248" s="1945" t="e" cm="1">
        <f t="array" ca="1" aca="1" ref="CN248">val_currentFYE</f>
        <v>#NAME?</v>
      </c>
      <c r="CO248" s="1470"/>
      <c r="CP248" s="1944" t="e" cm="1">
        <f t="array" ca="1" aca="1" ref="CP248">EOMONTH(val_currentFYE,12)</f>
        <v>#NAME?</v>
      </c>
      <c r="CQ248" s="1945" t="e" cm="1">
        <f t="array" ca="1" aca="1" ref="CQ248">EOMONTH(val_currentFYE,12)</f>
        <v>#NAME?</v>
      </c>
      <c r="CR248" s="2352"/>
      <c r="CS248" s="2344"/>
      <c r="CT248" s="3473">
        <v>0</v>
      </c>
      <c r="CU248" s="3314">
        <v>1</v>
      </c>
      <c r="CV248" s="3314">
        <v>2</v>
      </c>
      <c r="CW248" s="3473">
        <v>3</v>
      </c>
      <c r="CX248" s="2409"/>
      <c r="CY248" s="108"/>
      <c r="CZ248" s="108"/>
      <c r="DA248" s="108"/>
      <c r="DB248" s="108"/>
      <c r="DC248" s="2409"/>
      <c r="DD248" s="2344"/>
      <c r="DE248" s="2344"/>
      <c r="DF248" s="2344"/>
      <c r="DG248" s="2344"/>
      <c r="DH248" s="2344"/>
      <c r="DI248" s="2344"/>
      <c r="DJ248" s="2344"/>
      <c r="DK248" s="2344"/>
      <c r="DL248" s="2344"/>
      <c r="DM248" s="2344"/>
      <c r="DN248" s="2344"/>
      <c r="DO248" s="2344"/>
      <c r="DP248" s="2344"/>
      <c r="DQ248" s="2344"/>
      <c r="DR248" s="2344"/>
      <c r="DS248" s="2344"/>
      <c r="DT248" s="2344"/>
      <c r="DU248" s="2344"/>
      <c r="DV248" s="2344"/>
      <c r="DW248" s="2344"/>
      <c r="DX248" s="2344"/>
      <c r="DY248" s="2344"/>
      <c r="DZ248" s="2344"/>
      <c r="EA248" s="2344"/>
      <c r="EB248" s="2344"/>
      <c r="EC248" s="2344"/>
      <c r="ED248" s="2344"/>
      <c r="EE248" s="2344"/>
      <c r="EF248" s="2344"/>
      <c r="EG248" s="2344"/>
      <c r="EH248" s="2344"/>
      <c r="EI248" s="2344"/>
      <c r="EJ248" s="2344"/>
      <c r="EK248" s="2344"/>
      <c r="EL248" s="2344"/>
      <c r="EM248" s="2344"/>
      <c r="EN248" s="2344"/>
      <c r="EO248" s="2344"/>
      <c r="EP248" s="2344"/>
    </row>
    <row r="249" spans="1:107" ht="21" customHeight="1">
      <c r="A249" s="1627"/>
      <c r="B249" s="2606"/>
      <c r="C249" s="2406"/>
      <c r="D249" s="1549"/>
      <c r="E249" s="2607"/>
      <c r="F249" s="401"/>
      <c r="G249" s="401"/>
      <c r="H249" s="585"/>
      <c r="I249" s="585"/>
      <c r="J249" s="401"/>
      <c r="K249" s="401"/>
      <c r="L249" s="37"/>
      <c r="N249" s="158"/>
      <c r="O249" s="101"/>
      <c r="P249" s="52"/>
      <c r="Q249" s="101"/>
      <c r="R249" s="101"/>
      <c r="S249" s="18" t="str" cm="1">
        <f t="array" ref="S249">fx_scenarioConverter("Actual")</f>
        <v>Actual</v>
      </c>
      <c r="T249" s="18" t="str" cm="1">
        <f t="array" ref="T249">fx_scenarioConverter("Budget")</f>
        <v>Budget</v>
      </c>
      <c r="U249" s="39"/>
      <c r="V249" s="37"/>
      <c r="W249" s="2660" t="e" cm="1">
        <f t="array" ca="1" aca="1" ref="W249">fx_scenarioConverter(_PL!W249)</f>
        <v>#NAME?</v>
      </c>
      <c r="X249" s="2608"/>
      <c r="Y249" s="2336" t="s">
        <v>198</v>
      </c>
      <c r="Z249" s="2337"/>
      <c r="AA249" s="2609"/>
      <c r="AB249" s="2141" t="s">
        <v>199</v>
      </c>
      <c r="AC249" s="2138" t="str" cm="1">
        <f t="array" ca="1" aca="1" ref="AC249">_xlfn.LET(_xlpm._termname,$AB249,_xlpm._iconname,"find",_xlpm._icon,fx_getIcon(_xlpm._iconname),_xlpm._location,_xlfn.XLOOKUP(LOWER(_xlpm._termname),LOWER(tbl_acctDef[Term]),tbl_acctDef[Term]),_xlpm._hyperlink,HYPERLINK("#"&amp;CELL("address",_xlpm._location),_xlpm._icon),IFERROR(_xlpm._hyperlink,""))</f>
        <v/>
      </c>
      <c r="AD249" s="2138" t="str" cm="1">
        <f t="array" ca="1" aca="1" ref="AD249">_xlfn.LET(_xlpm._termname,$AB249,_xlpm._iconname,"find",_xlpm._icon,fx_getIcon(_xlpm._iconname),_xlpm._location,_xlfn.XLOOKUP(LOWER(_xlpm._termname),LOWER(tbl_acctDef[Statement]),tbl_acctDef[Statement]),_xlpm._hyperlink,HYPERLINK("#"&amp;CELL("address",_xlpm._location),_xlpm._icon),IFERROR(_xlpm._hyperlink,""))</f>
        <v/>
      </c>
      <c r="AE249" s="2138" t="str" cm="1">
        <f t="array" ca="1" aca="1" ref="AE249">_xlfn.LET(_xlpm._termname,$AB249,_xlpm._iconname,"find",_xlpm._icon,fx_getIcon(_xlpm._iconname),_xlpm._location,_xlfn.XLOOKUP(LOWER(_xlpm._termname),LOWER(tbl_acctDef[Definition]),tbl_acctDef[Definition]),_xlpm._hyperlink,HYPERLINK("#"&amp;CELL("address",_xlpm._location),_xlpm._icon),IFERROR(_xlpm._hyperlink,""))</f>
        <v/>
      </c>
      <c r="AF249" s="2138" t="str" cm="1">
        <f t="array" ca="1" aca="1" ref="AF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249" s="2138" t="str" cm="1">
        <f t="array" ca="1" aca="1" ref="AG249">_xlfn.LET(_xlpm._termname,$AB249,_xlpm._iconname,"find",_xlpm._icon,fx_getIcon(_xlpm._iconname),_xlpm._location,_xlfn.XLOOKUP(LOWER(_xlpm._termname),LOWER(tbl_acctDef[Order]),tbl_acctDef[Order]),_xlpm._hyperlink,HYPERLINK("#"&amp;CELL("address",_xlpm._location),_xlpm._icon),IFERROR(_xlpm._hyperlink,""))</f>
        <v/>
      </c>
      <c r="AH249" s="2138" t="str" cm="1">
        <f t="array" ca="1" aca="1" ref="AH249">_xlfn.LET(_xlpm._termname,$AB249,_xlpm._iconname,"find",_xlpm._icon,fx_getIcon(_xlpm._iconname),_xlpm._location,_xlfn.XLOOKUP(LOWER(_xlpm._termname),LOWER(tbl_acctDef[Term]),tbl_acctDef[Term]),_xlpm._hyperlink,HYPERLINK("#"&amp;CELL("address",_xlpm._location),_xlpm._icon),IFERROR(_xlpm._hyperlink,""))</f>
        <v/>
      </c>
      <c r="AI249" s="2138" t="str" cm="1">
        <f t="array" ca="1" aca="1" ref="AI249">_xlfn.LET(_xlpm._termname,$AB249,_xlpm._iconname,"find",_xlpm._icon,fx_getIcon(_xlpm._iconname),_xlpm._location,_xlfn.XLOOKUP(LOWER(_xlpm._termname),LOWER(tbl_acctDef[Statement]),tbl_acctDef[Statement]),_xlpm._hyperlink,HYPERLINK("#"&amp;CELL("address",_xlpm._location),_xlpm._icon),IFERROR(_xlpm._hyperlink,""))</f>
        <v/>
      </c>
      <c r="AJ249" s="2138" t="str" cm="1">
        <f t="array" ca="1" aca="1" ref="AJ249">_xlfn.LET(_xlpm._termname,$AB249,_xlpm._iconname,"find",_xlpm._icon,fx_getIcon(_xlpm._iconname),_xlpm._location,_xlfn.XLOOKUP(LOWER(_xlpm._termname),LOWER(tbl_acctDef[Definition]),tbl_acctDef[Definition]),_xlpm._hyperlink,HYPERLINK("#"&amp;CELL("address",_xlpm._location),_xlpm._icon),IFERROR(_xlpm._hyperlink,""))</f>
        <v/>
      </c>
      <c r="AK249" s="2138" t="str" cm="1">
        <f t="array" ca="1" aca="1" ref="AK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249" s="2138" t="str" cm="1">
        <f t="array" ca="1" aca="1" ref="AL249">_xlfn.LET(_xlpm._termname,$AB249,_xlpm._iconname,"find",_xlpm._icon,fx_getIcon(_xlpm._iconname),_xlpm._location,_xlfn.XLOOKUP(LOWER(_xlpm._termname),LOWER(tbl_acctDef[Order]),tbl_acctDef[Order]),_xlpm._hyperlink,HYPERLINK("#"&amp;CELL("address",_xlpm._location),_xlpm._icon),IFERROR(_xlpm._hyperlink,""))</f>
        <v/>
      </c>
      <c r="AM249" s="2138" t="str" cm="1">
        <f t="array" ca="1" aca="1" ref="AM249">_xlfn.LET(_xlpm._termname,$AB249,_xlpm._iconname,"find",_xlpm._icon,fx_getIcon(_xlpm._iconname),_xlpm._location,_xlfn.XLOOKUP(LOWER(_xlpm._termname),LOWER(tbl_acctDef[Term]),tbl_acctDef[Term]),_xlpm._hyperlink,HYPERLINK("#"&amp;CELL("address",_xlpm._location),_xlpm._icon),IFERROR(_xlpm._hyperlink,""))</f>
        <v/>
      </c>
      <c r="AN249" s="2138" t="str" cm="1">
        <f t="array" ca="1" aca="1" ref="AN249">_xlfn.LET(_xlpm._termname,$AB249,_xlpm._iconname,"find",_xlpm._icon,fx_getIcon(_xlpm._iconname),_xlpm._location,_xlfn.XLOOKUP(LOWER(_xlpm._termname),LOWER(tbl_acctDef[Statement]),tbl_acctDef[Statement]),_xlpm._hyperlink,HYPERLINK("#"&amp;CELL("address",_xlpm._location),_xlpm._icon),IFERROR(_xlpm._hyperlink,""))</f>
        <v/>
      </c>
      <c r="AO249" s="2138" t="str" cm="1">
        <f t="array" ca="1" aca="1" ref="AO249">_xlfn.LET(_xlpm._termname,$AB249,_xlpm._iconname,"find",_xlpm._icon,fx_getIcon(_xlpm._iconname),_xlpm._location,_xlfn.XLOOKUP(LOWER(_xlpm._termname),LOWER(tbl_acctDef[Definition]),tbl_acctDef[Definition]),_xlpm._hyperlink,HYPERLINK("#"&amp;CELL("address",_xlpm._location),_xlpm._icon),IFERROR(_xlpm._hyperlink,""))</f>
        <v/>
      </c>
      <c r="AP249" s="2138" t="str" cm="1">
        <f t="array" ca="1" aca="1" ref="AP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249" s="2138" t="str" cm="1">
        <f t="array" ca="1" aca="1" ref="AQ249">_xlfn.LET(_xlpm._termname,$AB249,_xlpm._iconname,"find",_xlpm._icon,fx_getIcon(_xlpm._iconname),_xlpm._location,_xlfn.XLOOKUP(LOWER(_xlpm._termname),LOWER(tbl_acctDef[Order]),tbl_acctDef[Order]),_xlpm._hyperlink,HYPERLINK("#"&amp;CELL("address",_xlpm._location),_xlpm._icon),IFERROR(_xlpm._hyperlink,""))</f>
        <v/>
      </c>
      <c r="AR249" s="2138" t="str" cm="1">
        <f t="array" ca="1" aca="1" ref="AR249">_xlfn.LET(_xlpm._termname,$AB249,_xlpm._iconname,"find",_xlpm._icon,fx_getIcon(_xlpm._iconname),_xlpm._location,_xlfn.XLOOKUP(LOWER(_xlpm._termname),LOWER(tbl_acctDef[Term]),tbl_acctDef[Term]),_xlpm._hyperlink,HYPERLINK("#"&amp;CELL("address",_xlpm._location),_xlpm._icon),IFERROR(_xlpm._hyperlink,""))</f>
        <v/>
      </c>
      <c r="AS249" s="2138" t="str" cm="1">
        <f t="array" ca="1" aca="1" ref="AS249">_xlfn.LET(_xlpm._termname,$AB249,_xlpm._iconname,"find",_xlpm._icon,fx_getIcon(_xlpm._iconname),_xlpm._location,_xlfn.XLOOKUP(LOWER(_xlpm._termname),LOWER(tbl_acctDef[Statement]),tbl_acctDef[Statement]),_xlpm._hyperlink,HYPERLINK("#"&amp;CELL("address",_xlpm._location),_xlpm._icon),IFERROR(_xlpm._hyperlink,""))</f>
        <v/>
      </c>
      <c r="AT249" s="2138" t="str" cm="1">
        <f t="array" ca="1" aca="1" ref="AT249">_xlfn.LET(_xlpm._termname,$AB249,_xlpm._iconname,"find",_xlpm._icon,fx_getIcon(_xlpm._iconname),_xlpm._location,_xlfn.XLOOKUP(LOWER(_xlpm._termname),LOWER(tbl_acctDef[Definition]),tbl_acctDef[Definition]),_xlpm._hyperlink,HYPERLINK("#"&amp;CELL("address",_xlpm._location),_xlpm._icon),IFERROR(_xlpm._hyperlink,""))</f>
        <v/>
      </c>
      <c r="AU249" s="2138" t="str" cm="1">
        <f t="array" ca="1" aca="1" ref="AU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249" s="2138" t="str" cm="1">
        <f t="array" ca="1" aca="1" ref="AV249">_xlfn.LET(_xlpm._termname,$AB249,_xlpm._iconname,"find",_xlpm._icon,fx_getIcon(_xlpm._iconname),_xlpm._location,_xlfn.XLOOKUP(LOWER(_xlpm._termname),LOWER(tbl_acctDef[Order]),tbl_acctDef[Order]),_xlpm._hyperlink,HYPERLINK("#"&amp;CELL("address",_xlpm._location),_xlpm._icon),IFERROR(_xlpm._hyperlink,""))</f>
        <v/>
      </c>
      <c r="AW249" s="2138" t="str" cm="1">
        <f t="array" ca="1" aca="1" ref="AW249">_xlfn.LET(_xlpm._termname,$AB249,_xlpm._iconname,"find",_xlpm._icon,fx_getIcon(_xlpm._iconname),_xlpm._location,_xlfn.XLOOKUP(LOWER(_xlpm._termname),LOWER(tbl_acctDef[Term]),tbl_acctDef[Term]),_xlpm._hyperlink,HYPERLINK("#"&amp;CELL("address",_xlpm._location),_xlpm._icon),IFERROR(_xlpm._hyperlink,""))</f>
        <v/>
      </c>
      <c r="AX249" s="2138" t="str" cm="1">
        <f t="array" ca="1" aca="1" ref="AX249">_xlfn.LET(_xlpm._termname,$AB249,_xlpm._iconname,"find",_xlpm._icon,fx_getIcon(_xlpm._iconname),_xlpm._location,_xlfn.XLOOKUP(LOWER(_xlpm._termname),LOWER(tbl_acctDef[Statement]),tbl_acctDef[Statement]),_xlpm._hyperlink,HYPERLINK("#"&amp;CELL("address",_xlpm._location),_xlpm._icon),IFERROR(_xlpm._hyperlink,""))</f>
        <v/>
      </c>
      <c r="AY249" s="2138" t="str" cm="1">
        <f t="array" ca="1" aca="1" ref="AY249">_xlfn.LET(_xlpm._termname,$AB249,_xlpm._iconname,"find",_xlpm._icon,fx_getIcon(_xlpm._iconname),_xlpm._location,_xlfn.XLOOKUP(LOWER(_xlpm._termname),LOWER(tbl_acctDef[Definition]),tbl_acctDef[Definition]),_xlpm._hyperlink,HYPERLINK("#"&amp;CELL("address",_xlpm._location),_xlpm._icon),IFERROR(_xlpm._hyperlink,""))</f>
        <v/>
      </c>
      <c r="AZ249" s="2138" t="str" cm="1">
        <f t="array" ca="1" aca="1" ref="AZ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249" s="2138" t="str" cm="1">
        <f t="array" ca="1" aca="1" ref="BA249">_xlfn.LET(_xlpm._termname,$AB249,_xlpm._iconname,"find",_xlpm._icon,fx_getIcon(_xlpm._iconname),_xlpm._location,_xlfn.XLOOKUP(LOWER(_xlpm._termname),LOWER(tbl_acctDef[Order]),tbl_acctDef[Order]),_xlpm._hyperlink,HYPERLINK("#"&amp;CELL("address",_xlpm._location),_xlpm._icon),IFERROR(_xlpm._hyperlink,""))</f>
        <v/>
      </c>
      <c r="BB249" s="2138" t="str" cm="1">
        <f t="array" ca="1" aca="1" ref="BB249">_xlfn.LET(_xlpm._termname,$AB249,_xlpm._iconname,"find",_xlpm._icon,fx_getIcon(_xlpm._iconname),_xlpm._location,_xlfn.XLOOKUP(LOWER(_xlpm._termname),LOWER(tbl_acctDef[Term]),tbl_acctDef[Term]),_xlpm._hyperlink,HYPERLINK("#"&amp;CELL("address",_xlpm._location),_xlpm._icon),IFERROR(_xlpm._hyperlink,""))</f>
        <v/>
      </c>
      <c r="BC249" s="2138" t="str" cm="1">
        <f t="array" ca="1" aca="1" ref="BC249">_xlfn.LET(_xlpm._termname,$AB249,_xlpm._iconname,"find",_xlpm._icon,fx_getIcon(_xlpm._iconname),_xlpm._location,_xlfn.XLOOKUP(LOWER(_xlpm._termname),LOWER(tbl_acctDef[Statement]),tbl_acctDef[Statement]),_xlpm._hyperlink,HYPERLINK("#"&amp;CELL("address",_xlpm._location),_xlpm._icon),IFERROR(_xlpm._hyperlink,""))</f>
        <v/>
      </c>
      <c r="BD249" s="2138" t="str" cm="1">
        <f t="array" ca="1" aca="1" ref="BD249">_xlfn.LET(_xlpm._termname,$AB249,_xlpm._iconname,"find",_xlpm._icon,fx_getIcon(_xlpm._iconname),_xlpm._location,_xlfn.XLOOKUP(LOWER(_xlpm._termname),LOWER(tbl_acctDef[Definition]),tbl_acctDef[Definition]),_xlpm._hyperlink,HYPERLINK("#"&amp;CELL("address",_xlpm._location),_xlpm._icon),IFERROR(_xlpm._hyperlink,""))</f>
        <v/>
      </c>
      <c r="BE249" s="2138" t="str" cm="1">
        <f t="array" ca="1" aca="1" ref="BE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249" s="2138" t="str" cm="1">
        <f t="array" ca="1" aca="1" ref="BF249">_xlfn.LET(_xlpm._termname,$AB249,_xlpm._iconname,"find",_xlpm._icon,fx_getIcon(_xlpm._iconname),_xlpm._location,_xlfn.XLOOKUP(LOWER(_xlpm._termname),LOWER(tbl_acctDef[Order]),tbl_acctDef[Order]),_xlpm._hyperlink,HYPERLINK("#"&amp;CELL("address",_xlpm._location),_xlpm._icon),IFERROR(_xlpm._hyperlink,""))</f>
        <v/>
      </c>
      <c r="BG249" s="2138" t="str" cm="1">
        <f t="array" ca="1" aca="1" ref="BG249">_xlfn.LET(_xlpm._termname,$AB249,_xlpm._iconname,"find",_xlpm._icon,fx_getIcon(_xlpm._iconname),_xlpm._location,_xlfn.XLOOKUP(LOWER(_xlpm._termname),LOWER(tbl_acctDef[Term]),tbl_acctDef[Term]),_xlpm._hyperlink,HYPERLINK("#"&amp;CELL("address",_xlpm._location),_xlpm._icon),IFERROR(_xlpm._hyperlink,""))</f>
        <v/>
      </c>
      <c r="BH249" s="2138" t="str" cm="1">
        <f t="array" ca="1" aca="1" ref="BH249">_xlfn.LET(_xlpm._termname,$AB249,_xlpm._iconname,"find",_xlpm._icon,fx_getIcon(_xlpm._iconname),_xlpm._location,_xlfn.XLOOKUP(LOWER(_xlpm._termname),LOWER(tbl_acctDef[Statement]),tbl_acctDef[Statement]),_xlpm._hyperlink,HYPERLINK("#"&amp;CELL("address",_xlpm._location),_xlpm._icon),IFERROR(_xlpm._hyperlink,""))</f>
        <v/>
      </c>
      <c r="BI249" s="2138" t="str" cm="1">
        <f t="array" ca="1" aca="1" ref="BI249">_xlfn.LET(_xlpm._termname,$AB249,_xlpm._iconname,"find",_xlpm._icon,fx_getIcon(_xlpm._iconname),_xlpm._location,_xlfn.XLOOKUP(LOWER(_xlpm._termname),LOWER(tbl_acctDef[Definition]),tbl_acctDef[Definition]),_xlpm._hyperlink,HYPERLINK("#"&amp;CELL("address",_xlpm._location),_xlpm._icon),IFERROR(_xlpm._hyperlink,""))</f>
        <v/>
      </c>
      <c r="BJ249" s="2138" t="str" cm="1">
        <f t="array" ca="1" aca="1" ref="BJ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249" s="2138" t="str" cm="1">
        <f t="array" ca="1" aca="1" ref="BK249">_xlfn.LET(_xlpm._termname,$AB249,_xlpm._iconname,"find",_xlpm._icon,fx_getIcon(_xlpm._iconname),_xlpm._location,_xlfn.XLOOKUP(LOWER(_xlpm._termname),LOWER(tbl_acctDef[Order]),tbl_acctDef[Order]),_xlpm._hyperlink,HYPERLINK("#"&amp;CELL("address",_xlpm._location),_xlpm._icon),IFERROR(_xlpm._hyperlink,""))</f>
        <v/>
      </c>
      <c r="BL249" s="2138" t="str" cm="1">
        <f t="array" ca="1" aca="1" ref="BL249">_xlfn.LET(_xlpm._termname,$AB249,_xlpm._iconname,"find",_xlpm._icon,fx_getIcon(_xlpm._iconname),_xlpm._location,_xlfn.XLOOKUP(LOWER(_xlpm._termname),LOWER(tbl_acctDef[Term]),tbl_acctDef[Term]),_xlpm._hyperlink,HYPERLINK("#"&amp;CELL("address",_xlpm._location),_xlpm._icon),IFERROR(_xlpm._hyperlink,""))</f>
        <v/>
      </c>
      <c r="BM249" s="2138" t="str" cm="1">
        <f t="array" ca="1" aca="1" ref="BM249">_xlfn.LET(_xlpm._termname,$AB249,_xlpm._iconname,"find",_xlpm._icon,fx_getIcon(_xlpm._iconname),_xlpm._location,_xlfn.XLOOKUP(LOWER(_xlpm._termname),LOWER(tbl_acctDef[Statement]),tbl_acctDef[Statement]),_xlpm._hyperlink,HYPERLINK("#"&amp;CELL("address",_xlpm._location),_xlpm._icon),IFERROR(_xlpm._hyperlink,""))</f>
        <v/>
      </c>
      <c r="BN249" s="2138" t="str" cm="1">
        <f t="array" ca="1" aca="1" ref="BN249">_xlfn.LET(_xlpm._termname,$AB249,_xlpm._iconname,"find",_xlpm._icon,fx_getIcon(_xlpm._iconname),_xlpm._location,_xlfn.XLOOKUP(LOWER(_xlpm._termname),LOWER(tbl_acctDef[Definition]),tbl_acctDef[Definition]),_xlpm._hyperlink,HYPERLINK("#"&amp;CELL("address",_xlpm._location),_xlpm._icon),IFERROR(_xlpm._hyperlink,""))</f>
        <v/>
      </c>
      <c r="BO249" s="2361"/>
      <c r="BP249" s="2361"/>
      <c r="BQ249" s="2361"/>
      <c r="BR249" s="2361"/>
      <c r="BS249" s="2361"/>
      <c r="BT249" s="2361"/>
      <c r="BU249" s="2361"/>
      <c r="BV249" s="2361"/>
      <c r="BW249" s="2361"/>
      <c r="BX249" s="2361"/>
      <c r="BY249" s="2361"/>
      <c r="BZ249" s="2361"/>
      <c r="CA249" s="34"/>
      <c r="CC249" s="58"/>
      <c r="CD249" s="1720" cm="1">
        <f t="array" ref="CD249">fx_scenarioConverter($W246)</f>
        <v>0</v>
      </c>
      <c r="CE249" s="1721" cm="1">
        <f t="array" ref="CE249">fx_scenarioConverter($W246)</f>
        <v>0</v>
      </c>
      <c r="CF249" s="128"/>
      <c r="CG249" s="1734" cm="1">
        <f t="array" ref="CG249">fx_scenarioConverter($W246)</f>
        <v>0</v>
      </c>
      <c r="CH249" s="1735" cm="1">
        <f t="array" ref="CH249">fx_scenarioConverter($W246)</f>
        <v>0</v>
      </c>
      <c r="CI249" s="207"/>
      <c r="CJ249" s="1724" cm="1">
        <f t="array" ref="CJ249">fx_scenarioConverter($W246)</f>
        <v>0</v>
      </c>
      <c r="CK249" s="1725" cm="1">
        <f t="array" ref="CK249">fx_scenarioConverter($W246)</f>
        <v>0</v>
      </c>
      <c r="CL249" s="88"/>
      <c r="CM249" s="1198" t="str">
        <f>CM$19</f>
        <v>Original Budget</v>
      </c>
      <c r="CN249" s="1198" t="str">
        <f>CN$19</f>
        <v>LE</v>
      </c>
      <c r="CO249" s="88"/>
      <c r="CP249" s="1198" t="str">
        <f>CP$19</f>
        <v>Original Budget</v>
      </c>
      <c r="CQ249" s="1198" t="str">
        <f>CQ$19</f>
        <v>LE</v>
      </c>
      <c r="CR249" s="34"/>
      <c r="CS249" s="2056"/>
      <c r="CX249" s="2566"/>
      <c r="DC249"/>
    </row>
    <row r="250" spans="1:107" ht="21" customHeight="1">
      <c r="A250" s="1627"/>
      <c r="B250" s="2606"/>
      <c r="C250" s="2540"/>
      <c r="D250" s="1549"/>
      <c r="E250" s="2440" t="e" cm="1">
        <f t="array" ca="1" aca="1" ref="E25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250:$CQ250,Z250)</f>
        <v>#NAME?</v>
      </c>
      <c r="F250" s="401"/>
      <c r="G250" s="401"/>
      <c r="H250" s="585">
        <v>0</v>
      </c>
      <c r="I250" s="3290">
        <v>1</v>
      </c>
      <c r="J250" s="401"/>
      <c r="K250" s="401" t="str">
        <f t="shared" si="66" ref="K250:K251">IFERROR(IF(LEN(AB250)=0,"No",IF(LEN(J250)&gt;0,"Yes","No")),"")</f>
        <v>No</v>
      </c>
      <c r="L250" s="37"/>
      <c r="N250" s="158"/>
      <c r="O250" s="101"/>
      <c r="P250" s="52"/>
      <c r="Q250" s="101"/>
      <c r="R250" s="101"/>
      <c r="S250" s="3225" cm="1">
        <f t="array" ca="1" aca="1" ref="S250:S251">_xlfn.UNIQUE(_xlfn._xlws.FILTER(Y20:Y54,((B20:B54&lt;&gt;"")+(C20:C54&lt;&gt;""))*NOT(ISNUMBER(SEARCH("please",Y20:Y54)))))</f>
        <v>2</v>
      </c>
      <c r="T250" s="3226" cm="1">
        <f t="array" ca="1" aca="1" ref="T250:T251">_xlfn.UNIQUE(_xlfn._xlws.FILTER(Y76:Y106,((B76:B106&lt;&gt;"")+(C76:C106&lt;&gt;""))*NOT(ISNUMBER(SEARCH("please",Y76:Y106)))))</f>
        <v>2</v>
      </c>
      <c r="U250" s="39"/>
      <c r="V250" s="37"/>
      <c r="W250" s="2364" t="e">
        <f ca="1">W249</f>
        <v>#NAME?</v>
      </c>
      <c r="X250" s="2373">
        <f>_PL!X250</f>
        <v>0</v>
      </c>
      <c r="Y250" s="3227">
        <v>2</v>
      </c>
      <c r="Z250" s="198">
        <f>_PL!Z250</f>
        <v>0</v>
      </c>
      <c r="AA250" s="200" t="str" cm="1">
        <f t="array" ca="1" aca="1" ref="AA250">IF(Y250="","",_xlfn.LET(_xlpm._termname,$W250&amp;$Y250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0" s="1335"/>
      <c r="AC250" s="125" t="str" cm="1">
        <f t="array" ca="1" aca="1" ref="AC250">IF(AB250="","",_xlfn.LET(_xlpm._termname,PL!$W250&amp;$AB250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50" s="2152" t="e" cm="1">
        <f t="array" ca="1" aca="1" ref="AD250">_xlfn.LET(_xlpm.search_key,$W250&amp;$Y250,_xlpm.Scenario,_xlfn.VSTACK($W$20:$W$55&amp;$Y$20:$Y$55,$W$76:$W$110&amp;$Y$76:$Y$110),_xlpm.Data,_xlfn.VSTACK($AD$20:$BN$55,$AD$76:$BN$110),IF(OR($Y250="",ISNUMBER(SEARCH("please",$Y250))),"",_xlfn.XLOOKUP(_xlpm.search_key,_xlpm.Scenario,_xlpm.Data,"▧")))</f>
        <v>#NAME?</v>
      </c>
      <c r="AE250" s="2152"/>
      <c r="AF250" s="2152"/>
      <c r="AG250" s="2152"/>
      <c r="AH250" s="2152"/>
      <c r="AI250" s="2152"/>
      <c r="AJ250" s="2152"/>
      <c r="AK250" s="2152"/>
      <c r="AL250" s="2152"/>
      <c r="AM250" s="2152"/>
      <c r="AN250" s="2152"/>
      <c r="AO250" s="2152"/>
      <c r="AP250" s="2152"/>
      <c r="AQ250" s="2152"/>
      <c r="AR250" s="2152"/>
      <c r="AS250" s="2152"/>
      <c r="AT250" s="2152"/>
      <c r="AU250" s="2152"/>
      <c r="AV250" s="2152"/>
      <c r="AW250" s="2152"/>
      <c r="AX250" s="2152"/>
      <c r="AY250" s="2152"/>
      <c r="AZ250" s="2152"/>
      <c r="BA250" s="2152"/>
      <c r="BB250" s="2152"/>
      <c r="BC250" s="2152"/>
      <c r="BD250" s="2152"/>
      <c r="BE250" s="2152"/>
      <c r="BF250" s="2152"/>
      <c r="BG250" s="2152"/>
      <c r="BH250" s="2152"/>
      <c r="BI250" s="2152"/>
      <c r="BJ250" s="2152"/>
      <c r="BK250" s="2152"/>
      <c r="BL250" s="2152"/>
      <c r="BM250" s="2152"/>
      <c r="BN250" s="2152"/>
      <c r="BO250" s="2362"/>
      <c r="BP250" s="2362"/>
      <c r="BQ250" s="2362"/>
      <c r="BR250" s="2362"/>
      <c r="BS250" s="2362"/>
      <c r="BT250" s="2362"/>
      <c r="BU250" s="2362"/>
      <c r="BV250" s="2362"/>
      <c r="BW250" s="2362"/>
      <c r="BX250" s="2362"/>
      <c r="BY250" s="2362"/>
      <c r="BZ250" s="2362"/>
      <c r="CA250" s="34"/>
      <c r="CC250" s="58"/>
      <c r="CD250" s="2154" t="e" cm="1">
        <f t="array" ca="1" aca="1" ref="CD250">_xlfn.LET(_xlpm.search_key,$W250&amp;$Y250,_xlpm.Scenario,_xlfn.VSTACK($W$20:$W$55&amp;$Y$20:$Y$55,$W$76:$W$110&amp;$Y$76:$Y$110),_xlpm.Data,_xlfn.VSTACK(CD$20:CE$55,CD$76:CE$110),IF(OR($Y250="",ISNUMBER(SEARCH("please",$Y250))),"",_xlfn.XLOOKUP(_xlpm.search_key,_xlpm.Scenario,_xlpm.Data,"▧")))</f>
        <v>#NAME?</v>
      </c>
      <c r="CE250" s="2154"/>
      <c r="CF250" s="88"/>
      <c r="CG250" s="2154" t="e" cm="1">
        <f t="array" ca="1" aca="1" ref="CG250">_xlfn.LET(_xlpm.search_key,$W250&amp;$Y250,_xlpm.Scenario,_xlfn.VSTACK($W$20:$W$55&amp;$Y$20:$Y$55,$W$76:$W$110&amp;$Y$76:$Y$110),_xlpm.Data,_xlfn.VSTACK(CG$20:CH$55,CG$76:CH$110),IF(OR($Y250="",ISNUMBER(SEARCH("please",$Y250))),"",_xlfn.XLOOKUP(_xlpm.search_key,_xlpm.Scenario,_xlpm.Data,"▧")))</f>
        <v>#NAME?</v>
      </c>
      <c r="CH250" s="2154"/>
      <c r="CI250" s="88"/>
      <c r="CJ250" s="2154" t="e" cm="1">
        <f t="array" ca="1" aca="1" ref="CJ250">_xlfn.LET(_xlpm.search_key,$W250&amp;$Y250,_xlpm.Scenario,_xlfn.VSTACK($W$20:$W$55&amp;$Y$20:$Y$55,$W$76:$W$110&amp;$Y$76:$Y$110),_xlpm.Data,_xlfn.VSTACK(CJ$20:CK$55,CJ$76:CK$110),IF(OR($Y250="",ISNUMBER(SEARCH("please",$Y250))),"",_xlfn.XLOOKUP(_xlpm.search_key,_xlpm.Scenario,_xlpm.Data,"▧")))</f>
        <v>#NAME?</v>
      </c>
      <c r="CK250" s="2154"/>
      <c r="CL250" s="88"/>
      <c r="CM250" s="2154" t="e" cm="1">
        <f t="array" ca="1" aca="1" ref="CM250">_xlfn.LET(_xlpm.search_key,$W250&amp;$Y250,_xlpm.Scenario,_xlfn.VSTACK($W$20:$W$55&amp;$Y$20:$Y$55,$W$76:$W$110&amp;$Y$76:$Y$110),_xlpm.Data,_xlfn.VSTACK(CM$20:CN$55,CM$76:CN$110),IF(OR($Y250="",ISNUMBER(SEARCH("please",$Y250))),"",_xlfn.XLOOKUP(_xlpm.search_key,_xlpm.Scenario,_xlpm.Data,"▧")))</f>
        <v>#NAME?</v>
      </c>
      <c r="CN250" s="2154"/>
      <c r="CO250" s="88"/>
      <c r="CP250" s="2154" t="e" cm="1">
        <f t="array" ca="1" aca="1" ref="CP250">_xlfn.LET(_xlpm.search_key,$W250&amp;$Y250,_xlpm.Scenario,_xlfn.VSTACK($W$20:$W$55&amp;$Y$20:$Y$55,$W$76:$W$110&amp;$Y$76:$Y$110),_xlpm.Data,_xlfn.VSTACK(CP$20:CQ$55,CP$76:CQ$110),IF(OR($Y250="",ISNUMBER(SEARCH("please",$Y250))),"",_xlfn.XLOOKUP(_xlpm.search_key,_xlpm.Scenario,_xlpm.Data,"▧")))</f>
        <v>#NAME?</v>
      </c>
      <c r="CQ250" s="2154"/>
      <c r="CR250" s="34"/>
      <c r="CS250" s="2056"/>
      <c r="CX250" s="2566"/>
      <c r="DC250"/>
    </row>
    <row r="251" spans="1:107" ht="21" customHeight="1">
      <c r="A251" s="1627"/>
      <c r="B251" s="2606"/>
      <c r="C251" s="2540"/>
      <c r="D251" s="1549"/>
      <c r="E251" s="2440" t="e" cm="1">
        <f t="array" ca="1" aca="1" ref="E25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251:$CQ251,Z251)</f>
        <v>#NAME?</v>
      </c>
      <c r="F251" s="401"/>
      <c r="G251" s="401"/>
      <c r="H251" s="585">
        <v>0</v>
      </c>
      <c r="I251" s="3290">
        <v>1</v>
      </c>
      <c r="J251" s="401"/>
      <c r="K251" s="401" t="str">
        <f t="shared" si="66"/>
        <v>No</v>
      </c>
      <c r="L251" s="37"/>
      <c r="N251" s="158"/>
      <c r="O251" s="101"/>
      <c r="P251" s="52"/>
      <c r="Q251" s="101"/>
      <c r="R251" s="101"/>
      <c r="S251" s="101" t="e">
        <f ca="1"/>
        <v>#NAME?</v>
      </c>
      <c r="T251" s="101" t="e">
        <f ca="1"/>
        <v>#NAME?</v>
      </c>
      <c r="U251" s="39"/>
      <c r="V251" s="37"/>
      <c r="W251" s="2364" t="e">
        <f ca="1">W249</f>
        <v>#NAME?</v>
      </c>
      <c r="X251" s="2373">
        <f>_PL!X251</f>
        <v>0</v>
      </c>
      <c r="Y251" s="3228">
        <v>2</v>
      </c>
      <c r="Z251" s="198">
        <f>_PL!Z251</f>
        <v>0</v>
      </c>
      <c r="AA251" s="200" t="str" cm="1">
        <f t="array" ca="1" aca="1" ref="AA251">IF(Y251="","",_xlfn.LET(_xlpm._termname,$W251&amp;$Y251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1" s="1335"/>
      <c r="AC251" s="125" t="str" cm="1">
        <f t="array" ca="1" aca="1" ref="AC251">IF(AB251="","",_xlfn.LET(_xlpm._termname,PL!$W252&amp;$AB251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51" s="2152" t="e" cm="1">
        <f t="array" ca="1" aca="1" ref="AD251">_xlfn.LET(_xlpm.search_key,$W251&amp;$Y251,_xlpm.Scenario,_xlfn.VSTACK($W$20:$W$55&amp;$Y$20:$Y$55,$W$76:$W$110&amp;$Y$76:$Y$110),_xlpm.Data,_xlfn.VSTACK($AD$20:$BN$55,$AD$76:$BN$110),IF(OR($Y251="",ISNUMBER(SEARCH("please",$Y251))),"",_xlfn.XLOOKUP(_xlpm.search_key,_xlpm.Scenario,_xlpm.Data,"▧")))</f>
        <v>#NAME?</v>
      </c>
      <c r="AE251" s="2152"/>
      <c r="AF251" s="2152"/>
      <c r="AG251" s="2152"/>
      <c r="AH251" s="2152"/>
      <c r="AI251" s="2152"/>
      <c r="AJ251" s="2152"/>
      <c r="AK251" s="2152"/>
      <c r="AL251" s="2152"/>
      <c r="AM251" s="2152"/>
      <c r="AN251" s="2152"/>
      <c r="AO251" s="2152"/>
      <c r="AP251" s="2152"/>
      <c r="AQ251" s="2152"/>
      <c r="AR251" s="2152"/>
      <c r="AS251" s="2152"/>
      <c r="AT251" s="2152"/>
      <c r="AU251" s="2152"/>
      <c r="AV251" s="2152"/>
      <c r="AW251" s="2152"/>
      <c r="AX251" s="2152"/>
      <c r="AY251" s="2152"/>
      <c r="AZ251" s="2152"/>
      <c r="BA251" s="2152"/>
      <c r="BB251" s="2152"/>
      <c r="BC251" s="2152"/>
      <c r="BD251" s="2152"/>
      <c r="BE251" s="2152"/>
      <c r="BF251" s="2152"/>
      <c r="BG251" s="2152"/>
      <c r="BH251" s="2152"/>
      <c r="BI251" s="2152"/>
      <c r="BJ251" s="2152"/>
      <c r="BK251" s="2152"/>
      <c r="BL251" s="2152"/>
      <c r="BM251" s="2152"/>
      <c r="BN251" s="2152"/>
      <c r="BO251" s="2362"/>
      <c r="BP251" s="2362"/>
      <c r="BQ251" s="2362"/>
      <c r="BR251" s="2362"/>
      <c r="BS251" s="2362"/>
      <c r="BT251" s="2362"/>
      <c r="BU251" s="2362"/>
      <c r="BV251" s="2362"/>
      <c r="BW251" s="2362"/>
      <c r="BX251" s="2362"/>
      <c r="BY251" s="2362"/>
      <c r="BZ251" s="2362"/>
      <c r="CA251" s="34"/>
      <c r="CC251" s="58"/>
      <c r="CD251" s="2154" t="e" cm="1">
        <f t="array" ca="1" aca="1" ref="CD251">_xlfn.LET(_xlpm.search_key,$W251&amp;$Y251,_xlpm.Scenario,_xlfn.VSTACK($W$20:$W$55&amp;$Y$20:$Y$55,$W$76:$W$110&amp;$Y$76:$Y$110),_xlpm.Data,_xlfn.VSTACK(CD$20:CE$55,CD$76:CE$110),IF(OR($Y251="",ISNUMBER(SEARCH("please",$Y251))),"",_xlfn.XLOOKUP(_xlpm.search_key,_xlpm.Scenario,_xlpm.Data,"▧")))</f>
        <v>#NAME?</v>
      </c>
      <c r="CE251" s="2154"/>
      <c r="CF251" s="88"/>
      <c r="CG251" s="2154" t="e" cm="1">
        <f t="array" ca="1" aca="1" ref="CG251">_xlfn.LET(_xlpm.search_key,$W251&amp;$Y251,_xlpm.Scenario,_xlfn.VSTACK($W$20:$W$55&amp;$Y$20:$Y$55,$W$76:$W$110&amp;$Y$76:$Y$110),_xlpm.Data,_xlfn.VSTACK(CG$20:CH$55,CG$76:CH$110),IF(OR($Y251="",ISNUMBER(SEARCH("please",$Y251))),"",_xlfn.XLOOKUP(_xlpm.search_key,_xlpm.Scenario,_xlpm.Data,"▧")))</f>
        <v>#NAME?</v>
      </c>
      <c r="CH251" s="2154"/>
      <c r="CI251" s="88"/>
      <c r="CJ251" s="2154" t="e" cm="1">
        <f t="array" ca="1" aca="1" ref="CJ251">_xlfn.LET(_xlpm.search_key,$W251&amp;$Y251,_xlpm.Scenario,_xlfn.VSTACK($W$20:$W$55&amp;$Y$20:$Y$55,$W$76:$W$110&amp;$Y$76:$Y$110),_xlpm.Data,_xlfn.VSTACK(CJ$20:CK$55,CJ$76:CK$110),IF(OR($Y251="",ISNUMBER(SEARCH("please",$Y251))),"",_xlfn.XLOOKUP(_xlpm.search_key,_xlpm.Scenario,_xlpm.Data,"▧")))</f>
        <v>#NAME?</v>
      </c>
      <c r="CK251" s="2154"/>
      <c r="CL251" s="88"/>
      <c r="CM251" s="2154" t="e" cm="1">
        <f t="array" ca="1" aca="1" ref="CM251">_xlfn.LET(_xlpm.search_key,$W251&amp;$Y251,_xlpm.Scenario,_xlfn.VSTACK($W$20:$W$55&amp;$Y$20:$Y$55,$W$76:$W$110&amp;$Y$76:$Y$110),_xlpm.Data,_xlfn.VSTACK(CM$20:CN$55,CM$76:CN$110),IF(OR($Y251="",ISNUMBER(SEARCH("please",$Y251))),"",_xlfn.XLOOKUP(_xlpm.search_key,_xlpm.Scenario,_xlpm.Data,"▧")))</f>
        <v>#NAME?</v>
      </c>
      <c r="CN251" s="2154"/>
      <c r="CO251" s="88"/>
      <c r="CP251" s="2154" t="e" cm="1">
        <f t="array" ca="1" aca="1" ref="CP251">_xlfn.LET(_xlpm.search_key,$W251&amp;$Y251,_xlpm.Scenario,_xlfn.VSTACK($W$20:$W$55&amp;$Y$20:$Y$55,$W$76:$W$110&amp;$Y$76:$Y$110),_xlpm.Data,_xlfn.VSTACK(CP$20:CQ$55,CP$76:CQ$110),IF(OR($Y251="",ISNUMBER(SEARCH("please",$Y251))),"",_xlfn.XLOOKUP(_xlpm.search_key,_xlpm.Scenario,_xlpm.Data,"▧")))</f>
        <v>#NAME?</v>
      </c>
      <c r="CQ251" s="2154"/>
      <c r="CR251" s="34"/>
      <c r="CS251" s="2056"/>
      <c r="CX251" s="2566"/>
      <c r="DC251"/>
    </row>
    <row r="252" spans="1:107" ht="21" customHeight="1">
      <c r="A252" s="1627"/>
      <c r="B252" s="2606"/>
      <c r="C252" s="2540"/>
      <c r="D252" s="1549"/>
      <c r="E252" s="2440"/>
      <c r="F252" s="401"/>
      <c r="G252" s="401"/>
      <c r="H252" s="585"/>
      <c r="I252" s="585"/>
      <c r="J252" s="401"/>
      <c r="K252" s="401"/>
      <c r="L252" s="37"/>
      <c r="N252" s="158"/>
      <c r="O252" s="101"/>
      <c r="P252" s="52"/>
      <c r="Q252" s="101"/>
      <c r="R252" s="101"/>
      <c r="S252" s="101"/>
      <c r="T252" s="101"/>
      <c r="U252" s="39"/>
      <c r="V252" s="37"/>
      <c r="W252" s="2364" t="e">
        <f ca="1">W249</f>
        <v>#NAME?</v>
      </c>
      <c r="X252" s="2373">
        <f>_PL!X252</f>
        <v>0</v>
      </c>
      <c r="Y252" s="3228">
        <v>2</v>
      </c>
      <c r="Z252" s="198">
        <f>_PL!Z252</f>
        <v>0</v>
      </c>
      <c r="AA252" s="200" t="str" cm="1">
        <f t="array" ca="1" aca="1" ref="AA252">IF(Y252="","",_xlfn.LET(_xlpm._termname,$W252&amp;$Y252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2" s="1335"/>
      <c r="AC252" s="125"/>
      <c r="AD252" s="2152" t="e" cm="1">
        <f t="array" ca="1" aca="1" ref="AD252">_xlfn.LET(_xlpm.search_key,$W252&amp;$Y252,_xlpm.Scenario,_xlfn.VSTACK($W$20:$W$55&amp;$Y$20:$Y$55,$W$76:$W$110&amp;$Y$76:$Y$110),_xlpm.Data,_xlfn.VSTACK($AD$20:$BN$55,$AD$76:$BN$110),IF(OR($Y252="",ISNUMBER(SEARCH("please",$Y252))),"",_xlfn.XLOOKUP(_xlpm.search_key,_xlpm.Scenario,_xlpm.Data,"▧")))</f>
        <v>#NAME?</v>
      </c>
      <c r="AE252" s="2152"/>
      <c r="AF252" s="2152"/>
      <c r="AG252" s="2152"/>
      <c r="AH252" s="2152"/>
      <c r="AI252" s="2152"/>
      <c r="AJ252" s="2152"/>
      <c r="AK252" s="2152"/>
      <c r="AL252" s="2152"/>
      <c r="AM252" s="2152"/>
      <c r="AN252" s="2152"/>
      <c r="AO252" s="2152"/>
      <c r="AP252" s="2152"/>
      <c r="AQ252" s="2152"/>
      <c r="AR252" s="2152"/>
      <c r="AS252" s="2152"/>
      <c r="AT252" s="2152"/>
      <c r="AU252" s="2152"/>
      <c r="AV252" s="2152"/>
      <c r="AW252" s="2152"/>
      <c r="AX252" s="2152"/>
      <c r="AY252" s="2152"/>
      <c r="AZ252" s="2152"/>
      <c r="BA252" s="2152"/>
      <c r="BB252" s="2152"/>
      <c r="BC252" s="2152"/>
      <c r="BD252" s="2152"/>
      <c r="BE252" s="2152"/>
      <c r="BF252" s="2152"/>
      <c r="BG252" s="2152"/>
      <c r="BH252" s="2152"/>
      <c r="BI252" s="2152"/>
      <c r="BJ252" s="2152"/>
      <c r="BK252" s="2152"/>
      <c r="BL252" s="2152"/>
      <c r="BM252" s="2152"/>
      <c r="BN252" s="2152"/>
      <c r="BO252" s="2362"/>
      <c r="BP252" s="2362"/>
      <c r="BQ252" s="2362"/>
      <c r="BR252" s="2362"/>
      <c r="BS252" s="2362"/>
      <c r="BT252" s="2362"/>
      <c r="BU252" s="2362"/>
      <c r="BV252" s="2362"/>
      <c r="BW252" s="2362"/>
      <c r="BX252" s="2362"/>
      <c r="BY252" s="2362"/>
      <c r="BZ252" s="2362"/>
      <c r="CA252" s="34"/>
      <c r="CC252" s="58"/>
      <c r="CD252" s="2154" t="e" cm="1">
        <f t="array" ca="1" aca="1" ref="CD252">_xlfn.LET(_xlpm.search_key,$W252&amp;$Y252,_xlpm.Scenario,_xlfn.VSTACK($W$20:$W$55&amp;$Y$20:$Y$55,$W$76:$W$110&amp;$Y$76:$Y$110),_xlpm.Data,_xlfn.VSTACK(CD$20:CE$55,CD$76:CE$110),IF(OR($Y252="",ISNUMBER(SEARCH("please",$Y252))),"",_xlfn.XLOOKUP(_xlpm.search_key,_xlpm.Scenario,_xlpm.Data,"▧")))</f>
        <v>#NAME?</v>
      </c>
      <c r="CE252" s="2154"/>
      <c r="CF252" s="88"/>
      <c r="CG252" s="2154" t="e" cm="1">
        <f t="array" ca="1" aca="1" ref="CG252">_xlfn.LET(_xlpm.search_key,$W252&amp;$Y252,_xlpm.Scenario,_xlfn.VSTACK($W$20:$W$55&amp;$Y$20:$Y$55,$W$76:$W$110&amp;$Y$76:$Y$110),_xlpm.Data,_xlfn.VSTACK(CG$20:CH$55,CG$76:CH$110),IF(OR($Y252="",ISNUMBER(SEARCH("please",$Y252))),"",_xlfn.XLOOKUP(_xlpm.search_key,_xlpm.Scenario,_xlpm.Data,"▧")))</f>
        <v>#NAME?</v>
      </c>
      <c r="CH252" s="2154"/>
      <c r="CI252" s="88"/>
      <c r="CJ252" s="2154" t="e" cm="1">
        <f t="array" ca="1" aca="1" ref="CJ252">_xlfn.LET(_xlpm.search_key,$W252&amp;$Y252,_xlpm.Scenario,_xlfn.VSTACK($W$20:$W$55&amp;$Y$20:$Y$55,$W$76:$W$110&amp;$Y$76:$Y$110),_xlpm.Data,_xlfn.VSTACK(CJ$20:CK$55,CJ$76:CK$110),IF(OR($Y252="",ISNUMBER(SEARCH("please",$Y252))),"",_xlfn.XLOOKUP(_xlpm.search_key,_xlpm.Scenario,_xlpm.Data,"▧")))</f>
        <v>#NAME?</v>
      </c>
      <c r="CK252" s="2154"/>
      <c r="CL252" s="88"/>
      <c r="CM252" s="2154" t="e" cm="1">
        <f t="array" ca="1" aca="1" ref="CM252">_xlfn.LET(_xlpm.search_key,$W252&amp;$Y252,_xlpm.Scenario,_xlfn.VSTACK($W$20:$W$55&amp;$Y$20:$Y$55,$W$76:$W$110&amp;$Y$76:$Y$110),_xlpm.Data,_xlfn.VSTACK(CM$20:CN$55,CM$76:CN$110),IF(OR($Y252="",ISNUMBER(SEARCH("please",$Y252))),"",_xlfn.XLOOKUP(_xlpm.search_key,_xlpm.Scenario,_xlpm.Data,"▧")))</f>
        <v>#NAME?</v>
      </c>
      <c r="CN252" s="2154"/>
      <c r="CO252" s="88"/>
      <c r="CP252" s="2154" t="e" cm="1">
        <f t="array" ca="1" aca="1" ref="CP252">_xlfn.LET(_xlpm.search_key,$W252&amp;$Y252,_xlpm.Scenario,_xlfn.VSTACK($W$20:$W$55&amp;$Y$20:$Y$55,$W$76:$W$110&amp;$Y$76:$Y$110),_xlpm.Data,_xlfn.VSTACK(CP$20:CQ$55,CP$76:CQ$110),IF(OR($Y252="",ISNUMBER(SEARCH("please",$Y252))),"",_xlfn.XLOOKUP(_xlpm.search_key,_xlpm.Scenario,_xlpm.Data,"▧")))</f>
        <v>#NAME?</v>
      </c>
      <c r="CQ252" s="2154"/>
      <c r="CR252" s="34"/>
      <c r="CS252" s="2056"/>
      <c r="CX252" s="2566"/>
      <c r="DC252"/>
    </row>
    <row r="253" spans="1:107" ht="21" customHeight="1">
      <c r="A253" s="1627"/>
      <c r="B253" s="2606"/>
      <c r="C253" s="2540"/>
      <c r="D253" s="1549"/>
      <c r="E253" s="2440"/>
      <c r="F253" s="401"/>
      <c r="G253" s="401"/>
      <c r="H253" s="585"/>
      <c r="I253" s="585"/>
      <c r="J253" s="401"/>
      <c r="K253" s="401"/>
      <c r="L253" s="37"/>
      <c r="N253" s="158"/>
      <c r="O253" s="101"/>
      <c r="P253" s="52"/>
      <c r="Q253" s="101"/>
      <c r="R253" s="101"/>
      <c r="S253" s="101"/>
      <c r="T253" s="101"/>
      <c r="U253" s="39"/>
      <c r="V253" s="37"/>
      <c r="W253" s="2364" t="e">
        <f ca="1">W249</f>
        <v>#NAME?</v>
      </c>
      <c r="X253" s="2373">
        <f>_PL!X253</f>
        <v>0</v>
      </c>
      <c r="Y253" s="3228">
        <v>2</v>
      </c>
      <c r="Z253" s="198">
        <f>_PL!Z253</f>
        <v>0</v>
      </c>
      <c r="AA253" s="200" t="str" cm="1">
        <f t="array" ca="1" aca="1" ref="AA253">IF(Y253="","",_xlfn.LET(_xlpm._termname,$W253&amp;$Y253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3" s="1335"/>
      <c r="AC253" s="125"/>
      <c r="AD253" s="2152" t="e" cm="1">
        <f t="array" ca="1" aca="1" ref="AD253">_xlfn.LET(_xlpm.search_key,$W253&amp;$Y253,_xlpm.Scenario,_xlfn.VSTACK($W$20:$W$55&amp;$Y$20:$Y$55,$W$76:$W$110&amp;$Y$76:$Y$110),_xlpm.Data,_xlfn.VSTACK($AD$20:$BN$55,$AD$76:$BN$110),IF(OR($Y253="",ISNUMBER(SEARCH("please",$Y253))),"",_xlfn.XLOOKUP(_xlpm.search_key,_xlpm.Scenario,_xlpm.Data,"▧")))</f>
        <v>#NAME?</v>
      </c>
      <c r="AE253" s="2152"/>
      <c r="AF253" s="2152"/>
      <c r="AG253" s="2152"/>
      <c r="AH253" s="2152"/>
      <c r="AI253" s="2152"/>
      <c r="AJ253" s="2152"/>
      <c r="AK253" s="2152"/>
      <c r="AL253" s="2152"/>
      <c r="AM253" s="2152"/>
      <c r="AN253" s="2152"/>
      <c r="AO253" s="2152"/>
      <c r="AP253" s="2152"/>
      <c r="AQ253" s="2152"/>
      <c r="AR253" s="2152"/>
      <c r="AS253" s="2152"/>
      <c r="AT253" s="2152"/>
      <c r="AU253" s="2152"/>
      <c r="AV253" s="2152"/>
      <c r="AW253" s="2152"/>
      <c r="AX253" s="2152"/>
      <c r="AY253" s="2152"/>
      <c r="AZ253" s="2152"/>
      <c r="BA253" s="2152"/>
      <c r="BB253" s="2152"/>
      <c r="BC253" s="2152"/>
      <c r="BD253" s="2152"/>
      <c r="BE253" s="2152"/>
      <c r="BF253" s="2152"/>
      <c r="BG253" s="2152"/>
      <c r="BH253" s="2152"/>
      <c r="BI253" s="2152"/>
      <c r="BJ253" s="2152"/>
      <c r="BK253" s="2152"/>
      <c r="BL253" s="2152"/>
      <c r="BM253" s="2152"/>
      <c r="BN253" s="2152"/>
      <c r="BO253" s="2362"/>
      <c r="BP253" s="2362"/>
      <c r="BQ253" s="2362"/>
      <c r="BR253" s="2362"/>
      <c r="BS253" s="2362"/>
      <c r="BT253" s="2362"/>
      <c r="BU253" s="2362"/>
      <c r="BV253" s="2362"/>
      <c r="BW253" s="2362"/>
      <c r="BX253" s="2362"/>
      <c r="BY253" s="2362"/>
      <c r="BZ253" s="2362"/>
      <c r="CA253" s="34"/>
      <c r="CC253" s="58"/>
      <c r="CD253" s="2154" t="e" cm="1">
        <f t="array" ca="1" aca="1" ref="CD253">_xlfn.LET(_xlpm.search_key,$W253&amp;$Y253,_xlpm.Scenario,_xlfn.VSTACK($W$20:$W$55&amp;$Y$20:$Y$55,$W$76:$W$110&amp;$Y$76:$Y$110),_xlpm.Data,_xlfn.VSTACK(CD$20:CE$55,CD$76:CE$110),IF(OR($Y253="",ISNUMBER(SEARCH("please",$Y253))),"",_xlfn.XLOOKUP(_xlpm.search_key,_xlpm.Scenario,_xlpm.Data,"▧")))</f>
        <v>#NAME?</v>
      </c>
      <c r="CE253" s="2154"/>
      <c r="CF253" s="88"/>
      <c r="CG253" s="2154" t="e" cm="1">
        <f t="array" ca="1" aca="1" ref="CG253">_xlfn.LET(_xlpm.search_key,$W253&amp;$Y253,_xlpm.Scenario,_xlfn.VSTACK($W$20:$W$55&amp;$Y$20:$Y$55,$W$76:$W$110&amp;$Y$76:$Y$110),_xlpm.Data,_xlfn.VSTACK(CG$20:CH$55,CG$76:CH$110),IF(OR($Y253="",ISNUMBER(SEARCH("please",$Y253))),"",_xlfn.XLOOKUP(_xlpm.search_key,_xlpm.Scenario,_xlpm.Data,"▧")))</f>
        <v>#NAME?</v>
      </c>
      <c r="CH253" s="2154"/>
      <c r="CI253" s="88"/>
      <c r="CJ253" s="2154" t="e" cm="1">
        <f t="array" ca="1" aca="1" ref="CJ253">_xlfn.LET(_xlpm.search_key,$W253&amp;$Y253,_xlpm.Scenario,_xlfn.VSTACK($W$20:$W$55&amp;$Y$20:$Y$55,$W$76:$W$110&amp;$Y$76:$Y$110),_xlpm.Data,_xlfn.VSTACK(CJ$20:CK$55,CJ$76:CK$110),IF(OR($Y253="",ISNUMBER(SEARCH("please",$Y253))),"",_xlfn.XLOOKUP(_xlpm.search_key,_xlpm.Scenario,_xlpm.Data,"▧")))</f>
        <v>#NAME?</v>
      </c>
      <c r="CK253" s="2154"/>
      <c r="CL253" s="88"/>
      <c r="CM253" s="2154" t="e" cm="1">
        <f t="array" ca="1" aca="1" ref="CM253">_xlfn.LET(_xlpm.search_key,$W253&amp;$Y253,_xlpm.Scenario,_xlfn.VSTACK($W$20:$W$55&amp;$Y$20:$Y$55,$W$76:$W$110&amp;$Y$76:$Y$110),_xlpm.Data,_xlfn.VSTACK(CM$20:CN$55,CM$76:CN$110),IF(OR($Y253="",ISNUMBER(SEARCH("please",$Y253))),"",_xlfn.XLOOKUP(_xlpm.search_key,_xlpm.Scenario,_xlpm.Data,"▧")))</f>
        <v>#NAME?</v>
      </c>
      <c r="CN253" s="2154"/>
      <c r="CO253" s="88"/>
      <c r="CP253" s="2154" t="e" cm="1">
        <f t="array" ca="1" aca="1" ref="CP253">_xlfn.LET(_xlpm.search_key,$W253&amp;$Y253,_xlpm.Scenario,_xlfn.VSTACK($W$20:$W$55&amp;$Y$20:$Y$55,$W$76:$W$110&amp;$Y$76:$Y$110),_xlpm.Data,_xlfn.VSTACK(CP$20:CQ$55,CP$76:CQ$110),IF(OR($Y253="",ISNUMBER(SEARCH("please",$Y253))),"",_xlfn.XLOOKUP(_xlpm.search_key,_xlpm.Scenario,_xlpm.Data,"▧")))</f>
        <v>#NAME?</v>
      </c>
      <c r="CQ253" s="2154"/>
      <c r="CR253" s="34"/>
      <c r="CS253" s="2056"/>
      <c r="CX253" s="2566"/>
      <c r="DC253"/>
    </row>
    <row r="254" spans="1:107" ht="21" customHeight="1">
      <c r="A254" s="1627"/>
      <c r="B254" s="2606"/>
      <c r="C254" s="2540"/>
      <c r="D254" s="1549"/>
      <c r="E254" s="2440"/>
      <c r="F254" s="401"/>
      <c r="G254" s="401"/>
      <c r="H254" s="585"/>
      <c r="I254" s="585"/>
      <c r="J254" s="401"/>
      <c r="K254" s="401"/>
      <c r="L254" s="37"/>
      <c r="N254" s="158"/>
      <c r="O254" s="101"/>
      <c r="P254" s="52"/>
      <c r="Q254" s="101"/>
      <c r="R254" s="101"/>
      <c r="S254" s="101"/>
      <c r="T254" s="101"/>
      <c r="U254" s="39"/>
      <c r="V254" s="37"/>
      <c r="W254" s="2364" t="e">
        <f ca="1">W249</f>
        <v>#NAME?</v>
      </c>
      <c r="X254" s="2373">
        <f>_PL!X254</f>
        <v>0</v>
      </c>
      <c r="Y254" s="3228">
        <v>2</v>
      </c>
      <c r="Z254" s="198">
        <f>_PL!Z254</f>
        <v>0</v>
      </c>
      <c r="AA254" s="200" t="str" cm="1">
        <f t="array" ca="1" aca="1" ref="AA254">IF(Y254="","",_xlfn.LET(_xlpm._termname,$W254&amp;$Y254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4" s="1335"/>
      <c r="AC254" s="125"/>
      <c r="AD254" s="2152" t="e" cm="1">
        <f t="array" ca="1" aca="1" ref="AD254">_xlfn.LET(_xlpm.search_key,$W254&amp;$Y254,_xlpm.Scenario,_xlfn.VSTACK($W$20:$W$55&amp;$Y$20:$Y$55,$W$76:$W$110&amp;$Y$76:$Y$110),_xlpm.Data,_xlfn.VSTACK($AD$20:$BN$55,$AD$76:$BN$110),IF(OR($Y254="",ISNUMBER(SEARCH("please",$Y254))),"",_xlfn.XLOOKUP(_xlpm.search_key,_xlpm.Scenario,_xlpm.Data,"▧")))</f>
        <v>#NAME?</v>
      </c>
      <c r="AE254" s="2152"/>
      <c r="AF254" s="2152"/>
      <c r="AG254" s="2152"/>
      <c r="AH254" s="2152"/>
      <c r="AI254" s="2152"/>
      <c r="AJ254" s="2152"/>
      <c r="AK254" s="2152"/>
      <c r="AL254" s="2152"/>
      <c r="AM254" s="2152"/>
      <c r="AN254" s="2152"/>
      <c r="AO254" s="2152"/>
      <c r="AP254" s="2152"/>
      <c r="AQ254" s="2152"/>
      <c r="AR254" s="2152"/>
      <c r="AS254" s="2152"/>
      <c r="AT254" s="2152"/>
      <c r="AU254" s="2152"/>
      <c r="AV254" s="2152"/>
      <c r="AW254" s="2152"/>
      <c r="AX254" s="2152"/>
      <c r="AY254" s="2152"/>
      <c r="AZ254" s="2152"/>
      <c r="BA254" s="2152"/>
      <c r="BB254" s="2152"/>
      <c r="BC254" s="2152"/>
      <c r="BD254" s="2152"/>
      <c r="BE254" s="2152"/>
      <c r="BF254" s="2152"/>
      <c r="BG254" s="2152"/>
      <c r="BH254" s="2152"/>
      <c r="BI254" s="2152"/>
      <c r="BJ254" s="2152"/>
      <c r="BK254" s="2152"/>
      <c r="BL254" s="2152"/>
      <c r="BM254" s="2152"/>
      <c r="BN254" s="2152"/>
      <c r="BO254" s="2362"/>
      <c r="BP254" s="2362"/>
      <c r="BQ254" s="2362"/>
      <c r="BR254" s="2362"/>
      <c r="BS254" s="2362"/>
      <c r="BT254" s="2362"/>
      <c r="BU254" s="2362"/>
      <c r="BV254" s="2362"/>
      <c r="BW254" s="2362"/>
      <c r="BX254" s="2362"/>
      <c r="BY254" s="2362"/>
      <c r="BZ254" s="2362"/>
      <c r="CA254" s="34"/>
      <c r="CC254" s="58"/>
      <c r="CD254" s="2154" t="e" cm="1">
        <f t="array" ca="1" aca="1" ref="CD254">_xlfn.LET(_xlpm.search_key,$W254&amp;$Y254,_xlpm.Scenario,_xlfn.VSTACK($W$20:$W$55&amp;$Y$20:$Y$55,$W$76:$W$110&amp;$Y$76:$Y$110),_xlpm.Data,_xlfn.VSTACK(CD$20:CE$55,CD$76:CE$110),IF(OR($Y254="",ISNUMBER(SEARCH("please",$Y254))),"",_xlfn.XLOOKUP(_xlpm.search_key,_xlpm.Scenario,_xlpm.Data,"▧")))</f>
        <v>#NAME?</v>
      </c>
      <c r="CE254" s="2154"/>
      <c r="CF254" s="88"/>
      <c r="CG254" s="2154" t="e" cm="1">
        <f t="array" ca="1" aca="1" ref="CG254">_xlfn.LET(_xlpm.search_key,$W254&amp;$Y254,_xlpm.Scenario,_xlfn.VSTACK($W$20:$W$55&amp;$Y$20:$Y$55,$W$76:$W$110&amp;$Y$76:$Y$110),_xlpm.Data,_xlfn.VSTACK(CG$20:CH$55,CG$76:CH$110),IF(OR($Y254="",ISNUMBER(SEARCH("please",$Y254))),"",_xlfn.XLOOKUP(_xlpm.search_key,_xlpm.Scenario,_xlpm.Data,"▧")))</f>
        <v>#NAME?</v>
      </c>
      <c r="CH254" s="2154"/>
      <c r="CI254" s="88"/>
      <c r="CJ254" s="2154" t="e" cm="1">
        <f t="array" ca="1" aca="1" ref="CJ254">_xlfn.LET(_xlpm.search_key,$W254&amp;$Y254,_xlpm.Scenario,_xlfn.VSTACK($W$20:$W$55&amp;$Y$20:$Y$55,$W$76:$W$110&amp;$Y$76:$Y$110),_xlpm.Data,_xlfn.VSTACK(CJ$20:CK$55,CJ$76:CK$110),IF(OR($Y254="",ISNUMBER(SEARCH("please",$Y254))),"",_xlfn.XLOOKUP(_xlpm.search_key,_xlpm.Scenario,_xlpm.Data,"▧")))</f>
        <v>#NAME?</v>
      </c>
      <c r="CK254" s="2154"/>
      <c r="CL254" s="88"/>
      <c r="CM254" s="2154" t="e" cm="1">
        <f t="array" ca="1" aca="1" ref="CM254">_xlfn.LET(_xlpm.search_key,$W254&amp;$Y254,_xlpm.Scenario,_xlfn.VSTACK($W$20:$W$55&amp;$Y$20:$Y$55,$W$76:$W$110&amp;$Y$76:$Y$110),_xlpm.Data,_xlfn.VSTACK(CM$20:CN$55,CM$76:CN$110),IF(OR($Y254="",ISNUMBER(SEARCH("please",$Y254))),"",_xlfn.XLOOKUP(_xlpm.search_key,_xlpm.Scenario,_xlpm.Data,"▧")))</f>
        <v>#NAME?</v>
      </c>
      <c r="CN254" s="2154"/>
      <c r="CO254" s="88"/>
      <c r="CP254" s="2154" t="e" cm="1">
        <f t="array" ca="1" aca="1" ref="CP254">_xlfn.LET(_xlpm.search_key,$W254&amp;$Y254,_xlpm.Scenario,_xlfn.VSTACK($W$20:$W$55&amp;$Y$20:$Y$55,$W$76:$W$110&amp;$Y$76:$Y$110),_xlpm.Data,_xlfn.VSTACK(CP$20:CQ$55,CP$76:CQ$110),IF(OR($Y254="",ISNUMBER(SEARCH("please",$Y254))),"",_xlfn.XLOOKUP(_xlpm.search_key,_xlpm.Scenario,_xlpm.Data,"▧")))</f>
        <v>#NAME?</v>
      </c>
      <c r="CQ254" s="2154"/>
      <c r="CR254" s="34"/>
      <c r="CS254" s="2056"/>
      <c r="CX254" s="2566"/>
      <c r="DC254"/>
    </row>
    <row r="255" spans="1:107" ht="21" customHeight="1">
      <c r="A255" s="1627"/>
      <c r="B255" s="2606"/>
      <c r="C255" s="2540"/>
      <c r="D255" s="1549"/>
      <c r="E255" s="2440"/>
      <c r="F255" s="401"/>
      <c r="G255" s="401"/>
      <c r="H255" s="585"/>
      <c r="I255" s="585"/>
      <c r="J255" s="401"/>
      <c r="K255" s="401"/>
      <c r="L255" s="37"/>
      <c r="N255" s="158"/>
      <c r="O255" s="101"/>
      <c r="P255" s="52"/>
      <c r="Q255" s="101"/>
      <c r="R255" s="101"/>
      <c r="S255" s="101"/>
      <c r="T255" s="101"/>
      <c r="U255" s="39"/>
      <c r="V255" s="37"/>
      <c r="W255" s="2364" t="e">
        <f ca="1">W249</f>
        <v>#NAME?</v>
      </c>
      <c r="X255" s="2373">
        <f>_PL!X255</f>
        <v>0</v>
      </c>
      <c r="Y255" s="3228">
        <v>2</v>
      </c>
      <c r="Z255" s="538">
        <f>_PL!Z255</f>
        <v>0</v>
      </c>
      <c r="AA255" s="787" t="str" cm="1">
        <f t="array" ca="1" aca="1" ref="AA255">IF(Y255="","",_xlfn.LET(_xlpm._termname,$W255&amp;$Y255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5" s="1335"/>
      <c r="AC255" s="125"/>
      <c r="AD255" s="2152" t="e" cm="1">
        <f t="array" ca="1" aca="1" ref="AD255">_xlfn.LET(_xlpm.search_key,$W255&amp;$Y255,_xlpm.Scenario,_xlfn.VSTACK($W$20:$W$55&amp;$Y$20:$Y$55,$W$76:$W$110&amp;$Y$76:$Y$110),_xlpm.Data,_xlfn.VSTACK($AD$20:$BN$55,$AD$76:$BN$110),IF(OR($Y255="",ISNUMBER(SEARCH("please",$Y255))),"",_xlfn.XLOOKUP(_xlpm.search_key,_xlpm.Scenario,_xlpm.Data,"▧")))</f>
        <v>#NAME?</v>
      </c>
      <c r="AE255" s="2152"/>
      <c r="AF255" s="2152"/>
      <c r="AG255" s="2152"/>
      <c r="AH255" s="2152"/>
      <c r="AI255" s="2152"/>
      <c r="AJ255" s="2152"/>
      <c r="AK255" s="2152"/>
      <c r="AL255" s="2152"/>
      <c r="AM255" s="2152"/>
      <c r="AN255" s="2152"/>
      <c r="AO255" s="2152"/>
      <c r="AP255" s="2152"/>
      <c r="AQ255" s="2152"/>
      <c r="AR255" s="2152"/>
      <c r="AS255" s="2152"/>
      <c r="AT255" s="2152"/>
      <c r="AU255" s="2152"/>
      <c r="AV255" s="2152"/>
      <c r="AW255" s="2152"/>
      <c r="AX255" s="2152"/>
      <c r="AY255" s="2152"/>
      <c r="AZ255" s="2152"/>
      <c r="BA255" s="2152"/>
      <c r="BB255" s="2152"/>
      <c r="BC255" s="2152"/>
      <c r="BD255" s="2152"/>
      <c r="BE255" s="2152"/>
      <c r="BF255" s="2152"/>
      <c r="BG255" s="2152"/>
      <c r="BH255" s="2152"/>
      <c r="BI255" s="2152"/>
      <c r="BJ255" s="2152"/>
      <c r="BK255" s="2152"/>
      <c r="BL255" s="2152"/>
      <c r="BM255" s="2152"/>
      <c r="BN255" s="2152"/>
      <c r="BO255" s="2362"/>
      <c r="BP255" s="2362"/>
      <c r="BQ255" s="2362"/>
      <c r="BR255" s="2362"/>
      <c r="BS255" s="2362"/>
      <c r="BT255" s="2362"/>
      <c r="BU255" s="2362"/>
      <c r="BV255" s="2362"/>
      <c r="BW255" s="2362"/>
      <c r="BX255" s="2362"/>
      <c r="BY255" s="2362"/>
      <c r="BZ255" s="2362"/>
      <c r="CA255" s="34"/>
      <c r="CC255" s="58"/>
      <c r="CD255" s="2154" t="e" cm="1">
        <f t="array" ca="1" aca="1" ref="CD255">_xlfn.LET(_xlpm.search_key,$W255&amp;$Y255,_xlpm.Scenario,_xlfn.VSTACK($W$20:$W$55&amp;$Y$20:$Y$55,$W$76:$W$110&amp;$Y$76:$Y$110),_xlpm.Data,_xlfn.VSTACK(CD$20:CE$55,CD$76:CE$110),IF(OR($Y255="",ISNUMBER(SEARCH("please",$Y255))),"",_xlfn.XLOOKUP(_xlpm.search_key,_xlpm.Scenario,_xlpm.Data,"▧")))</f>
        <v>#NAME?</v>
      </c>
      <c r="CE255" s="2154"/>
      <c r="CF255" s="88"/>
      <c r="CG255" s="2154" t="e" cm="1">
        <f t="array" ca="1" aca="1" ref="CG255">_xlfn.LET(_xlpm.search_key,$W255&amp;$Y255,_xlpm.Scenario,_xlfn.VSTACK($W$20:$W$55&amp;$Y$20:$Y$55,$W$76:$W$110&amp;$Y$76:$Y$110),_xlpm.Data,_xlfn.VSTACK(CG$20:CH$55,CG$76:CH$110),IF(OR($Y255="",ISNUMBER(SEARCH("please",$Y255))),"",_xlfn.XLOOKUP(_xlpm.search_key,_xlpm.Scenario,_xlpm.Data,"▧")))</f>
        <v>#NAME?</v>
      </c>
      <c r="CH255" s="2154"/>
      <c r="CI255" s="88"/>
      <c r="CJ255" s="2154" t="e" cm="1">
        <f t="array" ca="1" aca="1" ref="CJ255">_xlfn.LET(_xlpm.search_key,$W255&amp;$Y255,_xlpm.Scenario,_xlfn.VSTACK($W$20:$W$55&amp;$Y$20:$Y$55,$W$76:$W$110&amp;$Y$76:$Y$110),_xlpm.Data,_xlfn.VSTACK(CJ$20:CK$55,CJ$76:CK$110),IF(OR($Y255="",ISNUMBER(SEARCH("please",$Y255))),"",_xlfn.XLOOKUP(_xlpm.search_key,_xlpm.Scenario,_xlpm.Data,"▧")))</f>
        <v>#NAME?</v>
      </c>
      <c r="CK255" s="2154"/>
      <c r="CL255" s="88"/>
      <c r="CM255" s="2154" t="e" cm="1">
        <f t="array" ca="1" aca="1" ref="CM255">_xlfn.LET(_xlpm.search_key,$W255&amp;$Y255,_xlpm.Scenario,_xlfn.VSTACK($W$20:$W$55&amp;$Y$20:$Y$55,$W$76:$W$110&amp;$Y$76:$Y$110),_xlpm.Data,_xlfn.VSTACK(CM$20:CN$55,CM$76:CN$110),IF(OR($Y255="",ISNUMBER(SEARCH("please",$Y255))),"",_xlfn.XLOOKUP(_xlpm.search_key,_xlpm.Scenario,_xlpm.Data,"▧")))</f>
        <v>#NAME?</v>
      </c>
      <c r="CN255" s="2154"/>
      <c r="CO255" s="88"/>
      <c r="CP255" s="2154" t="e" cm="1">
        <f t="array" ca="1" aca="1" ref="CP255">_xlfn.LET(_xlpm.search_key,$W255&amp;$Y255,_xlpm.Scenario,_xlfn.VSTACK($W$20:$W$55&amp;$Y$20:$Y$55,$W$76:$W$110&amp;$Y$76:$Y$110),_xlpm.Data,_xlfn.VSTACK(CP$20:CQ$55,CP$76:CQ$110),IF(OR($Y255="",ISNUMBER(SEARCH("please",$Y255))),"",_xlfn.XLOOKUP(_xlpm.search_key,_xlpm.Scenario,_xlpm.Data,"▧")))</f>
        <v>#NAME?</v>
      </c>
      <c r="CQ255" s="2154"/>
      <c r="CR255" s="34"/>
      <c r="CS255" s="2056"/>
      <c r="CX255" s="2566"/>
      <c r="DC255"/>
    </row>
    <row r="256" spans="1:107" ht="21" customHeight="1">
      <c r="A256" s="1627"/>
      <c r="B256" s="3474" t="s">
        <v>198</v>
      </c>
      <c r="C256" s="2606" t="e" cm="1">
        <f t="array" ca="1" aca="1" ref="C256">CVC.PACK(W249:Y256)</f>
        <v>#NAME?</v>
      </c>
      <c r="D256" s="1549"/>
      <c r="E256" s="2607"/>
      <c r="F256" s="401"/>
      <c r="G256" s="401"/>
      <c r="H256" s="585"/>
      <c r="I256" s="585"/>
      <c r="J256" s="401"/>
      <c r="K256" s="401"/>
      <c r="L256" s="37"/>
      <c r="N256" s="158"/>
      <c r="O256" s="101"/>
      <c r="P256" s="52"/>
      <c r="Q256" s="101"/>
      <c r="R256" s="101"/>
      <c r="S256" s="101"/>
      <c r="T256" s="101"/>
      <c r="U256" s="39"/>
      <c r="V256" s="37"/>
      <c r="W256" s="2365" t="e">
        <f ca="1">W249</f>
        <v>#NAME?</v>
      </c>
      <c r="X256" s="2374">
        <f>_PL!X256</f>
        <v>0</v>
      </c>
      <c r="Y256" s="2326">
        <f>_PL!Y256</f>
        <v>0</v>
      </c>
      <c r="Z256" s="2610"/>
      <c r="AA256" s="2611"/>
      <c r="AB256" s="1335"/>
      <c r="AC256" s="125" t="str" cm="1">
        <f t="array" ca="1" aca="1" ref="AC256">IF(AB256="","",_xlfn.LET(_xlpm._termname,PL!$W256&amp;$AB256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56" s="2152" t="e">
        <f ca="1">SUMPRODUCT($X250:$X255,AD250:AD255)</f>
        <v>#NAME?</v>
      </c>
      <c r="AE256" s="2152">
        <f t="shared" si="67" ref="AE256:BN256">SUMPRODUCT($X250:$X255,AE250:AE255)</f>
        <v>0</v>
      </c>
      <c r="AF256" s="2152">
        <f t="shared" si="67"/>
        <v>0</v>
      </c>
      <c r="AG256" s="2152">
        <f t="shared" si="67"/>
        <v>0</v>
      </c>
      <c r="AH256" s="2152">
        <f t="shared" si="67"/>
        <v>0</v>
      </c>
      <c r="AI256" s="2152">
        <f t="shared" si="67"/>
        <v>0</v>
      </c>
      <c r="AJ256" s="2152">
        <f t="shared" si="67"/>
        <v>0</v>
      </c>
      <c r="AK256" s="2152">
        <f t="shared" si="67"/>
        <v>0</v>
      </c>
      <c r="AL256" s="2152">
        <f t="shared" si="67"/>
        <v>0</v>
      </c>
      <c r="AM256" s="2152">
        <f t="shared" si="67"/>
        <v>0</v>
      </c>
      <c r="AN256" s="2152">
        <f t="shared" si="67"/>
        <v>0</v>
      </c>
      <c r="AO256" s="2152">
        <f t="shared" si="67"/>
        <v>0</v>
      </c>
      <c r="AP256" s="2152">
        <f t="shared" si="67"/>
        <v>0</v>
      </c>
      <c r="AQ256" s="2152">
        <f t="shared" si="67"/>
        <v>0</v>
      </c>
      <c r="AR256" s="2152">
        <f t="shared" si="67"/>
        <v>0</v>
      </c>
      <c r="AS256" s="2152">
        <f t="shared" si="67"/>
        <v>0</v>
      </c>
      <c r="AT256" s="2152">
        <f t="shared" si="67"/>
        <v>0</v>
      </c>
      <c r="AU256" s="2152">
        <f t="shared" si="67"/>
        <v>0</v>
      </c>
      <c r="AV256" s="2152">
        <f t="shared" si="67"/>
        <v>0</v>
      </c>
      <c r="AW256" s="2152">
        <f t="shared" si="67"/>
        <v>0</v>
      </c>
      <c r="AX256" s="2152">
        <f t="shared" si="67"/>
        <v>0</v>
      </c>
      <c r="AY256" s="2152">
        <f t="shared" si="67"/>
        <v>0</v>
      </c>
      <c r="AZ256" s="2152">
        <f t="shared" si="67"/>
        <v>0</v>
      </c>
      <c r="BA256" s="2152">
        <f t="shared" si="67"/>
        <v>0</v>
      </c>
      <c r="BB256" s="2152">
        <f t="shared" si="67"/>
        <v>0</v>
      </c>
      <c r="BC256" s="2152">
        <f t="shared" si="67"/>
        <v>0</v>
      </c>
      <c r="BD256" s="2152">
        <f t="shared" si="67"/>
        <v>0</v>
      </c>
      <c r="BE256" s="2152">
        <f t="shared" si="67"/>
        <v>0</v>
      </c>
      <c r="BF256" s="2152">
        <f t="shared" si="67"/>
        <v>0</v>
      </c>
      <c r="BG256" s="2152">
        <f t="shared" si="67"/>
        <v>0</v>
      </c>
      <c r="BH256" s="2152">
        <f t="shared" si="67"/>
        <v>0</v>
      </c>
      <c r="BI256" s="2152">
        <f t="shared" si="67"/>
        <v>0</v>
      </c>
      <c r="BJ256" s="2152">
        <f t="shared" si="67"/>
        <v>0</v>
      </c>
      <c r="BK256" s="2152">
        <f t="shared" si="67"/>
        <v>0</v>
      </c>
      <c r="BL256" s="2152">
        <f t="shared" si="67"/>
        <v>0</v>
      </c>
      <c r="BM256" s="2152">
        <f t="shared" si="67"/>
        <v>0</v>
      </c>
      <c r="BN256" s="2152">
        <f t="shared" si="67"/>
        <v>0</v>
      </c>
      <c r="BO256" s="2362"/>
      <c r="BP256" s="2362"/>
      <c r="BQ256" s="2362"/>
      <c r="BR256" s="2362"/>
      <c r="BS256" s="2362"/>
      <c r="BT256" s="2362"/>
      <c r="BU256" s="2362"/>
      <c r="BV256" s="2362"/>
      <c r="BW256" s="2362"/>
      <c r="BX256" s="2362"/>
      <c r="BY256" s="2362"/>
      <c r="BZ256" s="2362"/>
      <c r="CA256" s="34"/>
      <c r="CC256" s="58"/>
      <c r="CD256" s="2152" t="e">
        <f ca="1">SUMPRODUCT($X250:$X255,CD250:CD255)</f>
        <v>#NAME?</v>
      </c>
      <c r="CE256" s="2152">
        <f>SUMPRODUCT($X250:$X253,CE250:CE253)</f>
        <v>0</v>
      </c>
      <c r="CF256" s="88"/>
      <c r="CG256" s="2152" t="e">
        <f ca="1">SUMPRODUCT($X250:$X255,CG250:CG255)</f>
        <v>#NAME?</v>
      </c>
      <c r="CH256" s="2152">
        <f>SUMPRODUCT($X250:$X253,CH250:CH253)</f>
        <v>0</v>
      </c>
      <c r="CI256" s="88"/>
      <c r="CJ256" s="2152" t="e">
        <f ca="1">SUMPRODUCT($X250:$X255,CJ250:CJ255)</f>
        <v>#NAME?</v>
      </c>
      <c r="CK256" s="2152">
        <f>SUMPRODUCT($X250:$X253,CK250:CK253)</f>
        <v>0</v>
      </c>
      <c r="CL256" s="88"/>
      <c r="CM256" s="2152" t="e">
        <f ca="1">SUMPRODUCT($X250:$X255,CM250:CM255)</f>
        <v>#NAME?</v>
      </c>
      <c r="CN256" s="2152">
        <f>SUMPRODUCT($X250:$X253,CN250:CN253)</f>
        <v>0</v>
      </c>
      <c r="CO256" s="88"/>
      <c r="CP256" s="2152" t="e">
        <f ca="1">SUMPRODUCT($X250:$X255,CP250:CP255)</f>
        <v>#NAME?</v>
      </c>
      <c r="CQ256" s="2152">
        <f>SUMPRODUCT($X250:$X253,CQ250:CQ253)</f>
        <v>0</v>
      </c>
      <c r="CR256" s="34"/>
      <c r="CS256" s="2056"/>
      <c r="CT256" s="2447" t="e" cm="1">
        <f t="array" ca="1" aca="1" ref="CT256">IF(PL!$C256="","",_xldudf_CX_PUSH(PL!$C256,CX_ENTITY,PL!$B256,EOMONTH(val_asOfDate,PL!CT$248)))</f>
        <v>#NAME?</v>
      </c>
      <c r="CU256" s="2447" t="e" cm="1">
        <f t="array" ca="1" aca="1" ref="CU256">IF(PL!$C256="","",_xldudf_CX_PUSH(PL!$C256,CX_ENTITY,PL!$B256,EOMONTH(val_asOfDate,PL!CU$248)))</f>
        <v>#NAME?</v>
      </c>
      <c r="CV256" s="2447" t="e" cm="1">
        <f t="array" ca="1" aca="1" ref="CV256">IF(PL!$C256="","",_xldudf_CX_PUSH(PL!$C256,CX_ENTITY,PL!$B256,EOMONTH(val_asOfDate,PL!CV$248)))</f>
        <v>#NAME?</v>
      </c>
      <c r="CW256" s="2447" t="e" cm="1">
        <f t="array" ca="1" aca="1" ref="CW256">IF(PL!$C256="","",_xldudf_CX_PUSH(PL!$C256,CX_ENTITY,PL!$B256,EOMONTH(val_asOfDate,PL!CW$248)))</f>
        <v>#NAME?</v>
      </c>
      <c r="DC256"/>
    </row>
    <row r="257" spans="1:144" s="108" customFormat="1" ht="21" customHeight="1">
      <c r="A257" s="1628"/>
      <c r="B257" s="2606"/>
      <c r="C257" s="2540"/>
      <c r="D257" s="1549"/>
      <c r="E257" s="2607"/>
      <c r="F257" s="401"/>
      <c r="G257" s="401"/>
      <c r="H257" s="585"/>
      <c r="I257" s="585"/>
      <c r="J257" s="401"/>
      <c r="K257" s="401"/>
      <c r="L257" s="37"/>
      <c r="N257" s="2134"/>
      <c r="O257" s="101"/>
      <c r="P257" s="101"/>
      <c r="Q257" s="101"/>
      <c r="R257" s="101"/>
      <c r="S257" s="101"/>
      <c r="T257" s="101"/>
      <c r="U257" s="101"/>
      <c r="V257" s="822"/>
      <c r="W257" s="2332"/>
      <c r="X257" s="2333"/>
      <c r="Y257" s="2334"/>
      <c r="Z257" s="2316"/>
      <c r="AA257" s="2316"/>
      <c r="AB257" s="88"/>
      <c r="AC257" s="128"/>
      <c r="AD257" s="2317"/>
      <c r="AE257" s="2317"/>
      <c r="AF257" s="2317"/>
      <c r="AG257" s="2317"/>
      <c r="AH257" s="2317"/>
      <c r="AI257" s="2317"/>
      <c r="AJ257" s="2317"/>
      <c r="AK257" s="2317"/>
      <c r="AL257" s="2317"/>
      <c r="AM257" s="2317"/>
      <c r="AN257" s="2317"/>
      <c r="AO257" s="2317"/>
      <c r="AP257" s="2317"/>
      <c r="AQ257" s="2317"/>
      <c r="AR257" s="2317"/>
      <c r="AS257" s="2317"/>
      <c r="AT257" s="2317"/>
      <c r="AU257" s="2317"/>
      <c r="AV257" s="2317"/>
      <c r="AW257" s="2317"/>
      <c r="AX257" s="2317"/>
      <c r="AY257" s="2317"/>
      <c r="AZ257" s="2317"/>
      <c r="BA257" s="2317"/>
      <c r="BB257" s="2317"/>
      <c r="BC257" s="2317"/>
      <c r="BD257" s="2317"/>
      <c r="BE257" s="2317"/>
      <c r="BF257" s="2317"/>
      <c r="BG257" s="2317"/>
      <c r="BH257" s="2317"/>
      <c r="BI257" s="2317"/>
      <c r="BJ257" s="2317"/>
      <c r="BK257" s="2317"/>
      <c r="BL257" s="2317"/>
      <c r="BM257" s="2317"/>
      <c r="BN257" s="2317"/>
      <c r="BO257" s="2363"/>
      <c r="BP257" s="2363"/>
      <c r="BQ257" s="2363"/>
      <c r="BR257" s="2363"/>
      <c r="BS257" s="2363"/>
      <c r="BT257" s="2363"/>
      <c r="BU257" s="2363"/>
      <c r="BV257" s="2363"/>
      <c r="BW257" s="2363"/>
      <c r="BX257" s="2363"/>
      <c r="BY257" s="2363"/>
      <c r="BZ257" s="2363"/>
      <c r="CA257" s="88"/>
      <c r="CC257" s="383"/>
      <c r="CD257" s="2319"/>
      <c r="CE257" s="2319"/>
      <c r="CF257" s="88"/>
      <c r="CG257" s="2319"/>
      <c r="CH257" s="2319"/>
      <c r="CI257" s="88"/>
      <c r="CJ257" s="2319"/>
      <c r="CK257" s="2319"/>
      <c r="CL257" s="88"/>
      <c r="CM257" s="2320"/>
      <c r="CN257" s="2320"/>
      <c r="CO257" s="88"/>
      <c r="CP257" s="2320"/>
      <c r="CQ257" s="2320"/>
      <c r="CR257" s="88"/>
      <c r="CS257" s="2321"/>
      <c r="CT257" s="2321"/>
      <c r="CU257" s="2321"/>
      <c r="CV257" s="2321"/>
      <c r="CW257" s="2321"/>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row>
    <row r="258" spans="1:107" ht="21" customHeight="1">
      <c r="A258" s="1627"/>
      <c r="B258" s="2606"/>
      <c r="C258" s="2540"/>
      <c r="D258" s="1549"/>
      <c r="E258" s="2607"/>
      <c r="F258" s="401"/>
      <c r="G258" s="401"/>
      <c r="H258" s="585"/>
      <c r="I258" s="585"/>
      <c r="J258" s="401"/>
      <c r="K258" s="401"/>
      <c r="L258" s="37"/>
      <c r="N258" s="158"/>
      <c r="O258" s="101"/>
      <c r="P258" s="52"/>
      <c r="Q258" s="101"/>
      <c r="R258" s="101"/>
      <c r="S258" s="18"/>
      <c r="T258" s="18"/>
      <c r="U258" s="39"/>
      <c r="V258" s="37"/>
      <c r="W258" s="2660" t="e" cm="1">
        <f t="array" ca="1" aca="1" ref="W258">fx_scenarioConverter(_PL!W258)</f>
        <v>#NAME?</v>
      </c>
      <c r="X258" s="2137"/>
      <c r="Y258" s="2336" t="s">
        <v>203</v>
      </c>
      <c r="Z258" s="2337"/>
      <c r="AA258" s="2609"/>
      <c r="AB258" s="2141" t="s">
        <v>199</v>
      </c>
      <c r="AC258" s="2138" t="str" cm="1">
        <f t="array" ca="1" aca="1" ref="AC258">_xlfn.LET(_xlpm._termname,$AB258,_xlpm._iconname,"find",_xlpm._icon,fx_getIcon(_xlpm._iconname),_xlpm._location,_xlfn.XLOOKUP(LOWER(_xlpm._termname),LOWER(tbl_acctDef[Term]),tbl_acctDef[Term]),_xlpm._hyperlink,HYPERLINK("#"&amp;CELL("address",_xlpm._location),_xlpm._icon),IFERROR(_xlpm._hyperlink,""))</f>
        <v/>
      </c>
      <c r="AD258" s="2138" t="str" cm="1">
        <f t="array" ca="1" aca="1" ref="AD258">_xlfn.LET(_xlpm._termname,$AB258,_xlpm._iconname,"find",_xlpm._icon,fx_getIcon(_xlpm._iconname),_xlpm._location,_xlfn.XLOOKUP(LOWER(_xlpm._termname),LOWER(tbl_acctDef[Statement]),tbl_acctDef[Statement]),_xlpm._hyperlink,HYPERLINK("#"&amp;CELL("address",_xlpm._location),_xlpm._icon),IFERROR(_xlpm._hyperlink,""))</f>
        <v/>
      </c>
      <c r="AE258" s="2138" t="str" cm="1">
        <f t="array" ca="1" aca="1" ref="AE258">_xlfn.LET(_xlpm._termname,$AB258,_xlpm._iconname,"find",_xlpm._icon,fx_getIcon(_xlpm._iconname),_xlpm._location,_xlfn.XLOOKUP(LOWER(_xlpm._termname),LOWER(tbl_acctDef[Definition]),tbl_acctDef[Definition]),_xlpm._hyperlink,HYPERLINK("#"&amp;CELL("address",_xlpm._location),_xlpm._icon),IFERROR(_xlpm._hyperlink,""))</f>
        <v/>
      </c>
      <c r="AF258" s="2138" t="str" cm="1">
        <f t="array" ca="1" aca="1" ref="AF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258" s="2138" t="str" cm="1">
        <f t="array" ca="1" aca="1" ref="AG258">_xlfn.LET(_xlpm._termname,$AB258,_xlpm._iconname,"find",_xlpm._icon,fx_getIcon(_xlpm._iconname),_xlpm._location,_xlfn.XLOOKUP(LOWER(_xlpm._termname),LOWER(tbl_acctDef[Order]),tbl_acctDef[Order]),_xlpm._hyperlink,HYPERLINK("#"&amp;CELL("address",_xlpm._location),_xlpm._icon),IFERROR(_xlpm._hyperlink,""))</f>
        <v/>
      </c>
      <c r="AH258" s="2138" t="str" cm="1">
        <f t="array" ca="1" aca="1" ref="AH258">_xlfn.LET(_xlpm._termname,$AB258,_xlpm._iconname,"find",_xlpm._icon,fx_getIcon(_xlpm._iconname),_xlpm._location,_xlfn.XLOOKUP(LOWER(_xlpm._termname),LOWER(tbl_acctDef[Term]),tbl_acctDef[Term]),_xlpm._hyperlink,HYPERLINK("#"&amp;CELL("address",_xlpm._location),_xlpm._icon),IFERROR(_xlpm._hyperlink,""))</f>
        <v/>
      </c>
      <c r="AI258" s="2138" t="str" cm="1">
        <f t="array" ca="1" aca="1" ref="AI258">_xlfn.LET(_xlpm._termname,$AB258,_xlpm._iconname,"find",_xlpm._icon,fx_getIcon(_xlpm._iconname),_xlpm._location,_xlfn.XLOOKUP(LOWER(_xlpm._termname),LOWER(tbl_acctDef[Statement]),tbl_acctDef[Statement]),_xlpm._hyperlink,HYPERLINK("#"&amp;CELL("address",_xlpm._location),_xlpm._icon),IFERROR(_xlpm._hyperlink,""))</f>
        <v/>
      </c>
      <c r="AJ258" s="2138" t="str" cm="1">
        <f t="array" ca="1" aca="1" ref="AJ258">_xlfn.LET(_xlpm._termname,$AB258,_xlpm._iconname,"find",_xlpm._icon,fx_getIcon(_xlpm._iconname),_xlpm._location,_xlfn.XLOOKUP(LOWER(_xlpm._termname),LOWER(tbl_acctDef[Definition]),tbl_acctDef[Definition]),_xlpm._hyperlink,HYPERLINK("#"&amp;CELL("address",_xlpm._location),_xlpm._icon),IFERROR(_xlpm._hyperlink,""))</f>
        <v/>
      </c>
      <c r="AK258" s="2138" t="str" cm="1">
        <f t="array" ca="1" aca="1" ref="AK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258" s="2138" t="str" cm="1">
        <f t="array" ca="1" aca="1" ref="AL258">_xlfn.LET(_xlpm._termname,$AB258,_xlpm._iconname,"find",_xlpm._icon,fx_getIcon(_xlpm._iconname),_xlpm._location,_xlfn.XLOOKUP(LOWER(_xlpm._termname),LOWER(tbl_acctDef[Order]),tbl_acctDef[Order]),_xlpm._hyperlink,HYPERLINK("#"&amp;CELL("address",_xlpm._location),_xlpm._icon),IFERROR(_xlpm._hyperlink,""))</f>
        <v/>
      </c>
      <c r="AM258" s="2138" t="str" cm="1">
        <f t="array" ca="1" aca="1" ref="AM258">_xlfn.LET(_xlpm._termname,$AB258,_xlpm._iconname,"find",_xlpm._icon,fx_getIcon(_xlpm._iconname),_xlpm._location,_xlfn.XLOOKUP(LOWER(_xlpm._termname),LOWER(tbl_acctDef[Term]),tbl_acctDef[Term]),_xlpm._hyperlink,HYPERLINK("#"&amp;CELL("address",_xlpm._location),_xlpm._icon),IFERROR(_xlpm._hyperlink,""))</f>
        <v/>
      </c>
      <c r="AN258" s="2138" t="str" cm="1">
        <f t="array" ca="1" aca="1" ref="AN258">_xlfn.LET(_xlpm._termname,$AB258,_xlpm._iconname,"find",_xlpm._icon,fx_getIcon(_xlpm._iconname),_xlpm._location,_xlfn.XLOOKUP(LOWER(_xlpm._termname),LOWER(tbl_acctDef[Statement]),tbl_acctDef[Statement]),_xlpm._hyperlink,HYPERLINK("#"&amp;CELL("address",_xlpm._location),_xlpm._icon),IFERROR(_xlpm._hyperlink,""))</f>
        <v/>
      </c>
      <c r="AO258" s="2138" t="str" cm="1">
        <f t="array" ca="1" aca="1" ref="AO258">_xlfn.LET(_xlpm._termname,$AB258,_xlpm._iconname,"find",_xlpm._icon,fx_getIcon(_xlpm._iconname),_xlpm._location,_xlfn.XLOOKUP(LOWER(_xlpm._termname),LOWER(tbl_acctDef[Definition]),tbl_acctDef[Definition]),_xlpm._hyperlink,HYPERLINK("#"&amp;CELL("address",_xlpm._location),_xlpm._icon),IFERROR(_xlpm._hyperlink,""))</f>
        <v/>
      </c>
      <c r="AP258" s="2138" t="str" cm="1">
        <f t="array" ca="1" aca="1" ref="AP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258" s="2138" t="str" cm="1">
        <f t="array" ca="1" aca="1" ref="AQ258">_xlfn.LET(_xlpm._termname,$AB258,_xlpm._iconname,"find",_xlpm._icon,fx_getIcon(_xlpm._iconname),_xlpm._location,_xlfn.XLOOKUP(LOWER(_xlpm._termname),LOWER(tbl_acctDef[Order]),tbl_acctDef[Order]),_xlpm._hyperlink,HYPERLINK("#"&amp;CELL("address",_xlpm._location),_xlpm._icon),IFERROR(_xlpm._hyperlink,""))</f>
        <v/>
      </c>
      <c r="AR258" s="2138" t="str" cm="1">
        <f t="array" ca="1" aca="1" ref="AR258">_xlfn.LET(_xlpm._termname,$AB258,_xlpm._iconname,"find",_xlpm._icon,fx_getIcon(_xlpm._iconname),_xlpm._location,_xlfn.XLOOKUP(LOWER(_xlpm._termname),LOWER(tbl_acctDef[Term]),tbl_acctDef[Term]),_xlpm._hyperlink,HYPERLINK("#"&amp;CELL("address",_xlpm._location),_xlpm._icon),IFERROR(_xlpm._hyperlink,""))</f>
        <v/>
      </c>
      <c r="AS258" s="2138" t="str" cm="1">
        <f t="array" ca="1" aca="1" ref="AS258">_xlfn.LET(_xlpm._termname,$AB258,_xlpm._iconname,"find",_xlpm._icon,fx_getIcon(_xlpm._iconname),_xlpm._location,_xlfn.XLOOKUP(LOWER(_xlpm._termname),LOWER(tbl_acctDef[Statement]),tbl_acctDef[Statement]),_xlpm._hyperlink,HYPERLINK("#"&amp;CELL("address",_xlpm._location),_xlpm._icon),IFERROR(_xlpm._hyperlink,""))</f>
        <v/>
      </c>
      <c r="AT258" s="2138" t="str" cm="1">
        <f t="array" ca="1" aca="1" ref="AT258">_xlfn.LET(_xlpm._termname,$AB258,_xlpm._iconname,"find",_xlpm._icon,fx_getIcon(_xlpm._iconname),_xlpm._location,_xlfn.XLOOKUP(LOWER(_xlpm._termname),LOWER(tbl_acctDef[Definition]),tbl_acctDef[Definition]),_xlpm._hyperlink,HYPERLINK("#"&amp;CELL("address",_xlpm._location),_xlpm._icon),IFERROR(_xlpm._hyperlink,""))</f>
        <v/>
      </c>
      <c r="AU258" s="2138" t="str" cm="1">
        <f t="array" ca="1" aca="1" ref="AU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258" s="2138" t="str" cm="1">
        <f t="array" ca="1" aca="1" ref="AV258">_xlfn.LET(_xlpm._termname,$AB258,_xlpm._iconname,"find",_xlpm._icon,fx_getIcon(_xlpm._iconname),_xlpm._location,_xlfn.XLOOKUP(LOWER(_xlpm._termname),LOWER(tbl_acctDef[Order]),tbl_acctDef[Order]),_xlpm._hyperlink,HYPERLINK("#"&amp;CELL("address",_xlpm._location),_xlpm._icon),IFERROR(_xlpm._hyperlink,""))</f>
        <v/>
      </c>
      <c r="AW258" s="2138" t="str" cm="1">
        <f t="array" ca="1" aca="1" ref="AW258">_xlfn.LET(_xlpm._termname,$AB258,_xlpm._iconname,"find",_xlpm._icon,fx_getIcon(_xlpm._iconname),_xlpm._location,_xlfn.XLOOKUP(LOWER(_xlpm._termname),LOWER(tbl_acctDef[Term]),tbl_acctDef[Term]),_xlpm._hyperlink,HYPERLINK("#"&amp;CELL("address",_xlpm._location),_xlpm._icon),IFERROR(_xlpm._hyperlink,""))</f>
        <v/>
      </c>
      <c r="AX258" s="2138" t="str" cm="1">
        <f t="array" ca="1" aca="1" ref="AX258">_xlfn.LET(_xlpm._termname,$AB258,_xlpm._iconname,"find",_xlpm._icon,fx_getIcon(_xlpm._iconname),_xlpm._location,_xlfn.XLOOKUP(LOWER(_xlpm._termname),LOWER(tbl_acctDef[Statement]),tbl_acctDef[Statement]),_xlpm._hyperlink,HYPERLINK("#"&amp;CELL("address",_xlpm._location),_xlpm._icon),IFERROR(_xlpm._hyperlink,""))</f>
        <v/>
      </c>
      <c r="AY258" s="2138" t="str" cm="1">
        <f t="array" ca="1" aca="1" ref="AY258">_xlfn.LET(_xlpm._termname,$AB258,_xlpm._iconname,"find",_xlpm._icon,fx_getIcon(_xlpm._iconname),_xlpm._location,_xlfn.XLOOKUP(LOWER(_xlpm._termname),LOWER(tbl_acctDef[Definition]),tbl_acctDef[Definition]),_xlpm._hyperlink,HYPERLINK("#"&amp;CELL("address",_xlpm._location),_xlpm._icon),IFERROR(_xlpm._hyperlink,""))</f>
        <v/>
      </c>
      <c r="AZ258" s="2138" t="str" cm="1">
        <f t="array" ca="1" aca="1" ref="AZ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258" s="2138" t="str" cm="1">
        <f t="array" ca="1" aca="1" ref="BA258">_xlfn.LET(_xlpm._termname,$AB258,_xlpm._iconname,"find",_xlpm._icon,fx_getIcon(_xlpm._iconname),_xlpm._location,_xlfn.XLOOKUP(LOWER(_xlpm._termname),LOWER(tbl_acctDef[Order]),tbl_acctDef[Order]),_xlpm._hyperlink,HYPERLINK("#"&amp;CELL("address",_xlpm._location),_xlpm._icon),IFERROR(_xlpm._hyperlink,""))</f>
        <v/>
      </c>
      <c r="BB258" s="2138" t="str" cm="1">
        <f t="array" ca="1" aca="1" ref="BB258">_xlfn.LET(_xlpm._termname,$AB258,_xlpm._iconname,"find",_xlpm._icon,fx_getIcon(_xlpm._iconname),_xlpm._location,_xlfn.XLOOKUP(LOWER(_xlpm._termname),LOWER(tbl_acctDef[Term]),tbl_acctDef[Term]),_xlpm._hyperlink,HYPERLINK("#"&amp;CELL("address",_xlpm._location),_xlpm._icon),IFERROR(_xlpm._hyperlink,""))</f>
        <v/>
      </c>
      <c r="BC258" s="2138" t="str" cm="1">
        <f t="array" ca="1" aca="1" ref="BC258">_xlfn.LET(_xlpm._termname,$AB258,_xlpm._iconname,"find",_xlpm._icon,fx_getIcon(_xlpm._iconname),_xlpm._location,_xlfn.XLOOKUP(LOWER(_xlpm._termname),LOWER(tbl_acctDef[Statement]),tbl_acctDef[Statement]),_xlpm._hyperlink,HYPERLINK("#"&amp;CELL("address",_xlpm._location),_xlpm._icon),IFERROR(_xlpm._hyperlink,""))</f>
        <v/>
      </c>
      <c r="BD258" s="2138" t="str" cm="1">
        <f t="array" ca="1" aca="1" ref="BD258">_xlfn.LET(_xlpm._termname,$AB258,_xlpm._iconname,"find",_xlpm._icon,fx_getIcon(_xlpm._iconname),_xlpm._location,_xlfn.XLOOKUP(LOWER(_xlpm._termname),LOWER(tbl_acctDef[Definition]),tbl_acctDef[Definition]),_xlpm._hyperlink,HYPERLINK("#"&amp;CELL("address",_xlpm._location),_xlpm._icon),IFERROR(_xlpm._hyperlink,""))</f>
        <v/>
      </c>
      <c r="BE258" s="2138" t="str" cm="1">
        <f t="array" ca="1" aca="1" ref="BE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258" s="2138" t="str" cm="1">
        <f t="array" ca="1" aca="1" ref="BF258">_xlfn.LET(_xlpm._termname,$AB258,_xlpm._iconname,"find",_xlpm._icon,fx_getIcon(_xlpm._iconname),_xlpm._location,_xlfn.XLOOKUP(LOWER(_xlpm._termname),LOWER(tbl_acctDef[Order]),tbl_acctDef[Order]),_xlpm._hyperlink,HYPERLINK("#"&amp;CELL("address",_xlpm._location),_xlpm._icon),IFERROR(_xlpm._hyperlink,""))</f>
        <v/>
      </c>
      <c r="BG258" s="2138" t="str" cm="1">
        <f t="array" ca="1" aca="1" ref="BG258">_xlfn.LET(_xlpm._termname,$AB258,_xlpm._iconname,"find",_xlpm._icon,fx_getIcon(_xlpm._iconname),_xlpm._location,_xlfn.XLOOKUP(LOWER(_xlpm._termname),LOWER(tbl_acctDef[Term]),tbl_acctDef[Term]),_xlpm._hyperlink,HYPERLINK("#"&amp;CELL("address",_xlpm._location),_xlpm._icon),IFERROR(_xlpm._hyperlink,""))</f>
        <v/>
      </c>
      <c r="BH258" s="2138" t="str" cm="1">
        <f t="array" ca="1" aca="1" ref="BH258">_xlfn.LET(_xlpm._termname,$AB258,_xlpm._iconname,"find",_xlpm._icon,fx_getIcon(_xlpm._iconname),_xlpm._location,_xlfn.XLOOKUP(LOWER(_xlpm._termname),LOWER(tbl_acctDef[Statement]),tbl_acctDef[Statement]),_xlpm._hyperlink,HYPERLINK("#"&amp;CELL("address",_xlpm._location),_xlpm._icon),IFERROR(_xlpm._hyperlink,""))</f>
        <v/>
      </c>
      <c r="BI258" s="2138" t="str" cm="1">
        <f t="array" ca="1" aca="1" ref="BI258">_xlfn.LET(_xlpm._termname,$AB258,_xlpm._iconname,"find",_xlpm._icon,fx_getIcon(_xlpm._iconname),_xlpm._location,_xlfn.XLOOKUP(LOWER(_xlpm._termname),LOWER(tbl_acctDef[Definition]),tbl_acctDef[Definition]),_xlpm._hyperlink,HYPERLINK("#"&amp;CELL("address",_xlpm._location),_xlpm._icon),IFERROR(_xlpm._hyperlink,""))</f>
        <v/>
      </c>
      <c r="BJ258" s="2138" t="str" cm="1">
        <f t="array" ca="1" aca="1" ref="BJ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258" s="2138" t="str" cm="1">
        <f t="array" ca="1" aca="1" ref="BK258">_xlfn.LET(_xlpm._termname,$AB258,_xlpm._iconname,"find",_xlpm._icon,fx_getIcon(_xlpm._iconname),_xlpm._location,_xlfn.XLOOKUP(LOWER(_xlpm._termname),LOWER(tbl_acctDef[Order]),tbl_acctDef[Order]),_xlpm._hyperlink,HYPERLINK("#"&amp;CELL("address",_xlpm._location),_xlpm._icon),IFERROR(_xlpm._hyperlink,""))</f>
        <v/>
      </c>
      <c r="BL258" s="2138" t="str" cm="1">
        <f t="array" ca="1" aca="1" ref="BL258">_xlfn.LET(_xlpm._termname,$AB258,_xlpm._iconname,"find",_xlpm._icon,fx_getIcon(_xlpm._iconname),_xlpm._location,_xlfn.XLOOKUP(LOWER(_xlpm._termname),LOWER(tbl_acctDef[Term]),tbl_acctDef[Term]),_xlpm._hyperlink,HYPERLINK("#"&amp;CELL("address",_xlpm._location),_xlpm._icon),IFERROR(_xlpm._hyperlink,""))</f>
        <v/>
      </c>
      <c r="BM258" s="2138" t="str" cm="1">
        <f t="array" ca="1" aca="1" ref="BM258">_xlfn.LET(_xlpm._termname,$AB258,_xlpm._iconname,"find",_xlpm._icon,fx_getIcon(_xlpm._iconname),_xlpm._location,_xlfn.XLOOKUP(LOWER(_xlpm._termname),LOWER(tbl_acctDef[Statement]),tbl_acctDef[Statement]),_xlpm._hyperlink,HYPERLINK("#"&amp;CELL("address",_xlpm._location),_xlpm._icon),IFERROR(_xlpm._hyperlink,""))</f>
        <v/>
      </c>
      <c r="BN258" s="2138" t="str" cm="1">
        <f t="array" ca="1" aca="1" ref="BN258">_xlfn.LET(_xlpm._termname,$AB258,_xlpm._iconname,"find",_xlpm._icon,fx_getIcon(_xlpm._iconname),_xlpm._location,_xlfn.XLOOKUP(LOWER(_xlpm._termname),LOWER(tbl_acctDef[Definition]),tbl_acctDef[Definition]),_xlpm._hyperlink,HYPERLINK("#"&amp;CELL("address",_xlpm._location),_xlpm._icon),IFERROR(_xlpm._hyperlink,""))</f>
        <v/>
      </c>
      <c r="BO258" s="2361"/>
      <c r="BP258" s="2361"/>
      <c r="BQ258" s="2361"/>
      <c r="BR258" s="2361"/>
      <c r="BS258" s="2361"/>
      <c r="BT258" s="2361"/>
      <c r="BU258" s="2361"/>
      <c r="BV258" s="2361"/>
      <c r="BW258" s="2361"/>
      <c r="BX258" s="2361"/>
      <c r="BY258" s="2361"/>
      <c r="BZ258" s="2361"/>
      <c r="CA258" s="34"/>
      <c r="CC258" s="58"/>
      <c r="CD258" s="1720" t="e" cm="1">
        <f t="array" ca="1" aca="1" ref="CD258">fx_scenarioConverter($W253)</f>
        <v>#NAME?</v>
      </c>
      <c r="CE258" s="1721" t="e" cm="1">
        <f t="array" ca="1" aca="1" ref="CE258">fx_scenarioConverter($W253)</f>
        <v>#NAME?</v>
      </c>
      <c r="CF258" s="128"/>
      <c r="CG258" s="1734" t="e" cm="1">
        <f t="array" ca="1" aca="1" ref="CG258">fx_scenarioConverter($W253)</f>
        <v>#NAME?</v>
      </c>
      <c r="CH258" s="1735" t="e" cm="1">
        <f t="array" ca="1" aca="1" ref="CH258">fx_scenarioConverter($W253)</f>
        <v>#NAME?</v>
      </c>
      <c r="CI258" s="207"/>
      <c r="CJ258" s="1724" t="e" cm="1">
        <f t="array" ca="1" aca="1" ref="CJ258">fx_scenarioConverter($W253)</f>
        <v>#NAME?</v>
      </c>
      <c r="CK258" s="1725" t="e" cm="1">
        <f t="array" ca="1" aca="1" ref="CK258">fx_scenarioConverter($W253)</f>
        <v>#NAME?</v>
      </c>
      <c r="CL258" s="88"/>
      <c r="CM258" s="1198" t="str">
        <f>CM$19</f>
        <v>Original Budget</v>
      </c>
      <c r="CN258" s="1198" t="str">
        <f>CN$19</f>
        <v>LE</v>
      </c>
      <c r="CO258" s="88"/>
      <c r="CP258" s="1198" t="str">
        <f>CP$19</f>
        <v>Original Budget</v>
      </c>
      <c r="CQ258" s="1198" t="str">
        <f>CQ$19</f>
        <v>LE</v>
      </c>
      <c r="CR258" s="34"/>
      <c r="CS258" s="2056"/>
      <c r="DC258"/>
    </row>
    <row r="259" spans="1:107" ht="21" customHeight="1">
      <c r="A259" s="1627"/>
      <c r="B259" s="2606"/>
      <c r="C259" s="2540"/>
      <c r="D259" s="1549"/>
      <c r="E259" s="2440" t="e" cm="1">
        <f t="array" ca="1" aca="1" ref="E25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259:$CQ259,Z259)</f>
        <v>#NAME?</v>
      </c>
      <c r="F259" s="401"/>
      <c r="G259" s="401"/>
      <c r="H259" s="585">
        <v>0</v>
      </c>
      <c r="I259" s="3290">
        <v>1</v>
      </c>
      <c r="J259" s="401"/>
      <c r="K259" s="401" t="str">
        <f t="shared" si="68" ref="K259:K260">IFERROR(IF(LEN(AB259)=0,"No",IF(LEN(J259)&gt;0,"Yes","No")),"")</f>
        <v>No</v>
      </c>
      <c r="L259" s="37"/>
      <c r="N259" s="158"/>
      <c r="O259" s="101"/>
      <c r="P259" s="52"/>
      <c r="Q259" s="101"/>
      <c r="R259" s="101"/>
      <c r="S259" s="101"/>
      <c r="T259" s="2324"/>
      <c r="U259" s="39"/>
      <c r="V259" s="37"/>
      <c r="W259" s="2364" t="e">
        <f ca="1">W258</f>
        <v>#NAME?</v>
      </c>
      <c r="X259" s="2373">
        <f>_PL!X259</f>
        <v>0</v>
      </c>
      <c r="Y259" s="3227">
        <v>2</v>
      </c>
      <c r="Z259" s="198">
        <f>_PL!Z259</f>
        <v>0</v>
      </c>
      <c r="AA259" s="200" t="str" cm="1">
        <f t="array" ca="1" aca="1" ref="AA259">IF(Y259="","",_xlfn.LET(_xlpm._termname,$W259&amp;$Y259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9" s="1134"/>
      <c r="AC259" s="125" t="str" cm="1">
        <f t="array" ca="1" aca="1" ref="AC259">IF(AB259="","",_xlfn.LET(_xlpm._termname,PL!$W259&amp;$AB259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59" s="2152" t="e" cm="1">
        <f t="array" ca="1" aca="1" ref="AD259">_xlfn.LET(_xlpm.search_key,$W259&amp;$Y259,_xlpm.Scenario,_xlfn.VSTACK($W$20:$W$55&amp;$Y$20:$Y$55,$W$76:$W$110&amp;$Y$76:$Y$110,$W$256&amp;$Y$256),_xlpm.Data,_xlfn.VSTACK($AD$20:$BN$55,$AD$76:$BN$110,$AD$256:$BN$256),IF(OR($Y259="",ISNUMBER(SEARCH("please",$Y259))),"",_xlfn.XLOOKUP(_xlpm.search_key,_xlpm.Scenario,_xlpm.Data,"▧")))</f>
        <v>#NAME?</v>
      </c>
      <c r="AE259" s="2152"/>
      <c r="AF259" s="2152"/>
      <c r="AG259" s="2152"/>
      <c r="AH259" s="2152"/>
      <c r="AI259" s="2152"/>
      <c r="AJ259" s="2152"/>
      <c r="AK259" s="2152"/>
      <c r="AL259" s="2152"/>
      <c r="AM259" s="2152"/>
      <c r="AN259" s="2152"/>
      <c r="AO259" s="2152"/>
      <c r="AP259" s="2152"/>
      <c r="AQ259" s="2152"/>
      <c r="AR259" s="2152"/>
      <c r="AS259" s="2152"/>
      <c r="AT259" s="2152"/>
      <c r="AU259" s="2152"/>
      <c r="AV259" s="2152"/>
      <c r="AW259" s="2152"/>
      <c r="AX259" s="2152"/>
      <c r="AY259" s="2152"/>
      <c r="AZ259" s="2152"/>
      <c r="BA259" s="2152"/>
      <c r="BB259" s="2152"/>
      <c r="BC259" s="2152"/>
      <c r="BD259" s="2152"/>
      <c r="BE259" s="2152"/>
      <c r="BF259" s="2152"/>
      <c r="BG259" s="2152"/>
      <c r="BH259" s="2152"/>
      <c r="BI259" s="2152"/>
      <c r="BJ259" s="2152"/>
      <c r="BK259" s="2152"/>
      <c r="BL259" s="2152"/>
      <c r="BM259" s="2152"/>
      <c r="BN259" s="2152"/>
      <c r="BO259" s="2362"/>
      <c r="BP259" s="2362"/>
      <c r="BQ259" s="2362"/>
      <c r="BR259" s="2362"/>
      <c r="BS259" s="2362"/>
      <c r="BT259" s="2362"/>
      <c r="BU259" s="2362"/>
      <c r="BV259" s="2362"/>
      <c r="BW259" s="2362"/>
      <c r="BX259" s="2362"/>
      <c r="BY259" s="2362"/>
      <c r="BZ259" s="2362"/>
      <c r="CA259" s="34"/>
      <c r="CC259" s="58"/>
      <c r="CD259" s="2154" t="e" cm="1">
        <f t="array" ca="1" aca="1" ref="CD259">_xlfn.LET(_xlpm.search_key,$W259&amp;$Y259,_xlpm.Scenario,_xlfn.VSTACK($W$20:$W$55&amp;$Y$20:$Y$55,$W$76:$W$110&amp;$Y$76:$Y$110),_xlpm.Data,_xlfn.VSTACK(CD$20:CE$55,CD$76:CE$110),IF(OR($Y259="",ISNUMBER(SEARCH("please",$Y259))),"",_xlfn.XLOOKUP(_xlpm.search_key,_xlpm.Scenario,_xlpm.Data,"▧")))</f>
        <v>#NAME?</v>
      </c>
      <c r="CE259" s="2154"/>
      <c r="CF259" s="88"/>
      <c r="CG259" s="2154" t="e" cm="1">
        <f t="array" ca="1" aca="1" ref="CG259">_xlfn.LET(_xlpm.search_key,$W259&amp;$Y259,_xlpm.Scenario,_xlfn.VSTACK($W$20:$W$55&amp;$Y$20:$Y$55,$W$76:$W$110&amp;$Y$76:$Y$110),_xlpm.Data,_xlfn.VSTACK(CG$20:CH$55,CG$76:CH$110),IF(OR($Y259="",ISNUMBER(SEARCH("please",$Y259))),"",_xlfn.XLOOKUP(_xlpm.search_key,_xlpm.Scenario,_xlpm.Data,"▧")))</f>
        <v>#NAME?</v>
      </c>
      <c r="CH259" s="2154"/>
      <c r="CI259" s="88"/>
      <c r="CJ259" s="2154" t="e" cm="1">
        <f t="array" ca="1" aca="1" ref="CJ259">_xlfn.LET(_xlpm.search_key,$W259&amp;$Y259,_xlpm.Scenario,_xlfn.VSTACK($W$20:$W$55&amp;$Y$20:$Y$55,$W$76:$W$110&amp;$Y$76:$Y$110),_xlpm.Data,_xlfn.VSTACK(CJ$20:CK$55,CJ$76:CK$110),IF(OR($Y259="",ISNUMBER(SEARCH("please",$Y259))),"",_xlfn.XLOOKUP(_xlpm.search_key,_xlpm.Scenario,_xlpm.Data,"▧")))</f>
        <v>#NAME?</v>
      </c>
      <c r="CK259" s="2154"/>
      <c r="CL259" s="88"/>
      <c r="CM259" s="2154" t="e" cm="1">
        <f t="array" ca="1" aca="1" ref="CM259">_xlfn.LET(_xlpm.search_key,$W259&amp;$Y259,_xlpm.Scenario,_xlfn.VSTACK($W$20:$W$55&amp;$Y$20:$Y$55,$W$76:$W$110&amp;$Y$76:$Y$110),_xlpm.Data,_xlfn.VSTACK(CM$20:CN$55,CM$76:CN$110),IF(OR($Y259="",ISNUMBER(SEARCH("please",$Y259))),"",_xlfn.XLOOKUP(_xlpm.search_key,_xlpm.Scenario,_xlpm.Data,"▧")))</f>
        <v>#NAME?</v>
      </c>
      <c r="CN259" s="2154"/>
      <c r="CO259" s="88"/>
      <c r="CP259" s="2154" t="e" cm="1">
        <f t="array" ca="1" aca="1" ref="CP259">_xlfn.LET(_xlpm.search_key,$W259&amp;$Y259,_xlpm.Scenario,_xlfn.VSTACK($W$20:$W$55&amp;$Y$20:$Y$55,$W$76:$W$110&amp;$Y$76:$Y$110),_xlpm.Data,_xlfn.VSTACK(CP$20:CQ$55,CP$76:CQ$110),IF(OR($Y259="",ISNUMBER(SEARCH("please",$Y259))),"",_xlfn.XLOOKUP(_xlpm.search_key,_xlpm.Scenario,_xlpm.Data,"▧")))</f>
        <v>#NAME?</v>
      </c>
      <c r="CQ259" s="2154"/>
      <c r="CR259" s="34"/>
      <c r="CS259" s="2056"/>
      <c r="DC259"/>
    </row>
    <row r="260" spans="1:107" ht="21" customHeight="1">
      <c r="A260" s="1627"/>
      <c r="B260" s="2606"/>
      <c r="C260" s="2540"/>
      <c r="D260" s="1549"/>
      <c r="E260" s="2440" t="e" cm="1">
        <f t="array" ca="1" aca="1" ref="E26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260:$CQ260,Z260)</f>
        <v>#NAME?</v>
      </c>
      <c r="F260" s="401"/>
      <c r="G260" s="401"/>
      <c r="H260" s="585">
        <v>0</v>
      </c>
      <c r="I260" s="3290">
        <v>1</v>
      </c>
      <c r="J260" s="401"/>
      <c r="K260" s="401" t="str">
        <f t="shared" si="68"/>
        <v>No</v>
      </c>
      <c r="L260" s="37"/>
      <c r="N260" s="158"/>
      <c r="O260" s="101"/>
      <c r="P260" s="52"/>
      <c r="Q260" s="101"/>
      <c r="R260" s="101"/>
      <c r="S260" s="101"/>
      <c r="T260" s="101"/>
      <c r="U260" s="39"/>
      <c r="V260" s="37"/>
      <c r="W260" s="2364" t="e">
        <f ca="1">W258</f>
        <v>#NAME?</v>
      </c>
      <c r="X260" s="2373">
        <f>_PL!X260</f>
        <v>0</v>
      </c>
      <c r="Y260" s="3228">
        <v>2</v>
      </c>
      <c r="Z260" s="198">
        <f>_PL!Z260</f>
        <v>0</v>
      </c>
      <c r="AA260" s="200" t="str" cm="1">
        <f t="array" ca="1" aca="1" ref="AA260">IF(Y260="","",_xlfn.LET(_xlpm._termname,$W260&amp;$Y260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0" s="1134"/>
      <c r="AC260" s="125" t="str" cm="1">
        <f t="array" ca="1" aca="1" ref="AC260">IF(AB260="","",_xlfn.LET(_xlpm._termname,PL!$W261&amp;$AB260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60" s="2152" t="e" cm="1">
        <f t="array" ca="1" aca="1" ref="AD260">_xlfn.LET(_xlpm.search_key,$W260&amp;$Y260,_xlpm.Scenario,_xlfn.VSTACK($W$20:$W$55&amp;$Y$20:$Y$55,$W$76:$W$110&amp;$Y$76:$Y$110,$W$256&amp;$Y$256),_xlpm.Data,_xlfn.VSTACK($AD$20:$BN$55,$AD$76:$BN$110,$AD$256:$BN$256),IF(OR($Y260="",ISNUMBER(SEARCH("please",$Y260))),"",_xlfn.XLOOKUP(_xlpm.search_key,_xlpm.Scenario,_xlpm.Data,"▧")))</f>
        <v>#NAME?</v>
      </c>
      <c r="AE260" s="2152"/>
      <c r="AF260" s="2152"/>
      <c r="AG260" s="2152"/>
      <c r="AH260" s="2152"/>
      <c r="AI260" s="2152"/>
      <c r="AJ260" s="2152"/>
      <c r="AK260" s="2152"/>
      <c r="AL260" s="2152"/>
      <c r="AM260" s="2152"/>
      <c r="AN260" s="2152"/>
      <c r="AO260" s="2152"/>
      <c r="AP260" s="2152"/>
      <c r="AQ260" s="2152"/>
      <c r="AR260" s="2152"/>
      <c r="AS260" s="2152"/>
      <c r="AT260" s="2152"/>
      <c r="AU260" s="2152"/>
      <c r="AV260" s="2152"/>
      <c r="AW260" s="2152"/>
      <c r="AX260" s="2152"/>
      <c r="AY260" s="2152"/>
      <c r="AZ260" s="2152"/>
      <c r="BA260" s="2152"/>
      <c r="BB260" s="2152"/>
      <c r="BC260" s="2152"/>
      <c r="BD260" s="2152"/>
      <c r="BE260" s="2152"/>
      <c r="BF260" s="2152"/>
      <c r="BG260" s="2152"/>
      <c r="BH260" s="2152"/>
      <c r="BI260" s="2152"/>
      <c r="BJ260" s="2152"/>
      <c r="BK260" s="2152"/>
      <c r="BL260" s="2152"/>
      <c r="BM260" s="2152"/>
      <c r="BN260" s="2152"/>
      <c r="BO260" s="2362"/>
      <c r="BP260" s="2362"/>
      <c r="BQ260" s="2362"/>
      <c r="BR260" s="2362"/>
      <c r="BS260" s="2362"/>
      <c r="BT260" s="2362"/>
      <c r="BU260" s="2362"/>
      <c r="BV260" s="2362"/>
      <c r="BW260" s="2362"/>
      <c r="BX260" s="2362"/>
      <c r="BY260" s="2362"/>
      <c r="BZ260" s="2362"/>
      <c r="CA260" s="34"/>
      <c r="CC260" s="58"/>
      <c r="CD260" s="2154" t="e" cm="1">
        <f t="array" ca="1" aca="1" ref="CD260">_xlfn.LET(_xlpm.search_key,$W260&amp;$Y260,_xlpm.Scenario,_xlfn.VSTACK($W$20:$W$55&amp;$Y$20:$Y$55,$W$76:$W$110&amp;$Y$76:$Y$110),_xlpm.Data,_xlfn.VSTACK(CD$20:CE$55,CD$76:CE$110),IF(OR($Y260="",ISNUMBER(SEARCH("please",$Y260))),"",_xlfn.XLOOKUP(_xlpm.search_key,_xlpm.Scenario,_xlpm.Data,"▧")))</f>
        <v>#NAME?</v>
      </c>
      <c r="CE260" s="2154"/>
      <c r="CF260" s="88"/>
      <c r="CG260" s="2154" t="e" cm="1">
        <f t="array" ca="1" aca="1" ref="CG260">_xlfn.LET(_xlpm.search_key,$W260&amp;$Y260,_xlpm.Scenario,_xlfn.VSTACK($W$20:$W$55&amp;$Y$20:$Y$55,$W$76:$W$110&amp;$Y$76:$Y$110),_xlpm.Data,_xlfn.VSTACK(CG$20:CH$55,CG$76:CH$110),IF(OR($Y260="",ISNUMBER(SEARCH("please",$Y260))),"",_xlfn.XLOOKUP(_xlpm.search_key,_xlpm.Scenario,_xlpm.Data,"▧")))</f>
        <v>#NAME?</v>
      </c>
      <c r="CH260" s="2154"/>
      <c r="CI260" s="88"/>
      <c r="CJ260" s="2154" t="e" cm="1">
        <f t="array" ca="1" aca="1" ref="CJ260">_xlfn.LET(_xlpm.search_key,$W260&amp;$Y260,_xlpm.Scenario,_xlfn.VSTACK($W$20:$W$55&amp;$Y$20:$Y$55,$W$76:$W$110&amp;$Y$76:$Y$110),_xlpm.Data,_xlfn.VSTACK(CJ$20:CK$55,CJ$76:CK$110),IF(OR($Y260="",ISNUMBER(SEARCH("please",$Y260))),"",_xlfn.XLOOKUP(_xlpm.search_key,_xlpm.Scenario,_xlpm.Data,"▧")))</f>
        <v>#NAME?</v>
      </c>
      <c r="CK260" s="2154"/>
      <c r="CL260" s="88"/>
      <c r="CM260" s="2154" t="e" cm="1">
        <f t="array" ca="1" aca="1" ref="CM260">_xlfn.LET(_xlpm.search_key,$W260&amp;$Y260,_xlpm.Scenario,_xlfn.VSTACK($W$20:$W$55&amp;$Y$20:$Y$55,$W$76:$W$110&amp;$Y$76:$Y$110),_xlpm.Data,_xlfn.VSTACK(CM$20:CN$55,CM$76:CN$110),IF(OR($Y260="",ISNUMBER(SEARCH("please",$Y260))),"",_xlfn.XLOOKUP(_xlpm.search_key,_xlpm.Scenario,_xlpm.Data,"▧")))</f>
        <v>#NAME?</v>
      </c>
      <c r="CN260" s="2154"/>
      <c r="CO260" s="88"/>
      <c r="CP260" s="2154" t="e" cm="1">
        <f t="array" ca="1" aca="1" ref="CP260">_xlfn.LET(_xlpm.search_key,$W260&amp;$Y260,_xlpm.Scenario,_xlfn.VSTACK($W$20:$W$55&amp;$Y$20:$Y$55,$W$76:$W$110&amp;$Y$76:$Y$110),_xlpm.Data,_xlfn.VSTACK(CP$20:CQ$55,CP$76:CQ$110),IF(OR($Y260="",ISNUMBER(SEARCH("please",$Y260))),"",_xlfn.XLOOKUP(_xlpm.search_key,_xlpm.Scenario,_xlpm.Data,"▧")))</f>
        <v>#NAME?</v>
      </c>
      <c r="CQ260" s="2154"/>
      <c r="CR260" s="34"/>
      <c r="CS260" s="2056"/>
      <c r="DC260"/>
    </row>
    <row r="261" spans="1:107" ht="21" customHeight="1">
      <c r="A261" s="1627"/>
      <c r="B261" s="2606"/>
      <c r="C261" s="2540"/>
      <c r="D261" s="1549"/>
      <c r="E261" s="2440"/>
      <c r="F261" s="401"/>
      <c r="G261" s="401"/>
      <c r="H261" s="585"/>
      <c r="I261" s="585"/>
      <c r="J261" s="401"/>
      <c r="K261" s="401"/>
      <c r="L261" s="37"/>
      <c r="N261" s="158"/>
      <c r="O261" s="101"/>
      <c r="P261" s="52"/>
      <c r="Q261" s="101"/>
      <c r="R261" s="101"/>
      <c r="S261" s="101"/>
      <c r="T261" s="101"/>
      <c r="U261" s="39"/>
      <c r="V261" s="37"/>
      <c r="W261" s="2364" t="e">
        <f ca="1">W258</f>
        <v>#NAME?</v>
      </c>
      <c r="X261" s="2373">
        <f>_PL!X261</f>
        <v>0</v>
      </c>
      <c r="Y261" s="3228">
        <v>2</v>
      </c>
      <c r="Z261" s="198">
        <f>_PL!Z261</f>
        <v>0</v>
      </c>
      <c r="AA261" s="200" t="str" cm="1">
        <f t="array" ca="1" aca="1" ref="AA261">IF(Y261="","",_xlfn.LET(_xlpm._termname,$W261&amp;$Y261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1" s="1134"/>
      <c r="AC261" s="125"/>
      <c r="AD261" s="2152" t="e" cm="1">
        <f t="array" ca="1" aca="1" ref="AD261">_xlfn.LET(_xlpm.search_key,$W261&amp;$Y261,_xlpm.Scenario,_xlfn.VSTACK($W$20:$W$55&amp;$Y$20:$Y$55,$W$76:$W$110&amp;$Y$76:$Y$110,$W$256&amp;$Y$256),_xlpm.Data,_xlfn.VSTACK($AD$20:$BN$55,$AD$76:$BN$110,$AD$256:$BN$256),IF(OR($Y261="",ISNUMBER(SEARCH("please",$Y261))),"",_xlfn.XLOOKUP(_xlpm.search_key,_xlpm.Scenario,_xlpm.Data,"▧")))</f>
        <v>#NAME?</v>
      </c>
      <c r="AE261" s="2152"/>
      <c r="AF261" s="2152"/>
      <c r="AG261" s="2152"/>
      <c r="AH261" s="2152"/>
      <c r="AI261" s="2152"/>
      <c r="AJ261" s="2152"/>
      <c r="AK261" s="2152"/>
      <c r="AL261" s="2152"/>
      <c r="AM261" s="2152"/>
      <c r="AN261" s="2152"/>
      <c r="AO261" s="2152"/>
      <c r="AP261" s="2152"/>
      <c r="AQ261" s="2152"/>
      <c r="AR261" s="2152"/>
      <c r="AS261" s="2152"/>
      <c r="AT261" s="2152"/>
      <c r="AU261" s="2152"/>
      <c r="AV261" s="2152"/>
      <c r="AW261" s="2152"/>
      <c r="AX261" s="2152"/>
      <c r="AY261" s="2152"/>
      <c r="AZ261" s="2152"/>
      <c r="BA261" s="2152"/>
      <c r="BB261" s="2152"/>
      <c r="BC261" s="2152"/>
      <c r="BD261" s="2152"/>
      <c r="BE261" s="2152"/>
      <c r="BF261" s="2152"/>
      <c r="BG261" s="2152"/>
      <c r="BH261" s="2152"/>
      <c r="BI261" s="2152"/>
      <c r="BJ261" s="2152"/>
      <c r="BK261" s="2152"/>
      <c r="BL261" s="2152"/>
      <c r="BM261" s="2152"/>
      <c r="BN261" s="2152"/>
      <c r="BO261" s="2362"/>
      <c r="BP261" s="2362"/>
      <c r="BQ261" s="2362"/>
      <c r="BR261" s="2362"/>
      <c r="BS261" s="2362"/>
      <c r="BT261" s="2362"/>
      <c r="BU261" s="2362"/>
      <c r="BV261" s="2362"/>
      <c r="BW261" s="2362"/>
      <c r="BX261" s="2362"/>
      <c r="BY261" s="2362"/>
      <c r="BZ261" s="2362"/>
      <c r="CA261" s="34"/>
      <c r="CC261" s="58"/>
      <c r="CD261" s="2154" t="e" cm="1">
        <f t="array" ca="1" aca="1" ref="CD261">_xlfn.LET(_xlpm.search_key,$W261&amp;$Y261,_xlpm.Scenario,_xlfn.VSTACK($W$20:$W$55&amp;$Y$20:$Y$55,$W$76:$W$110&amp;$Y$76:$Y$110),_xlpm.Data,_xlfn.VSTACK(CD$20:CE$55,CD$76:CE$110),IF(OR($Y261="",ISNUMBER(SEARCH("please",$Y261))),"",_xlfn.XLOOKUP(_xlpm.search_key,_xlpm.Scenario,_xlpm.Data,"▧")))</f>
        <v>#NAME?</v>
      </c>
      <c r="CE261" s="2154"/>
      <c r="CF261" s="88"/>
      <c r="CG261" s="2154" t="e" cm="1">
        <f t="array" ca="1" aca="1" ref="CG261">_xlfn.LET(_xlpm.search_key,$W261&amp;$Y261,_xlpm.Scenario,_xlfn.VSTACK($W$20:$W$55&amp;$Y$20:$Y$55,$W$76:$W$110&amp;$Y$76:$Y$110),_xlpm.Data,_xlfn.VSTACK(CG$20:CH$55,CG$76:CH$110),IF(OR($Y261="",ISNUMBER(SEARCH("please",$Y261))),"",_xlfn.XLOOKUP(_xlpm.search_key,_xlpm.Scenario,_xlpm.Data,"▧")))</f>
        <v>#NAME?</v>
      </c>
      <c r="CH261" s="2154"/>
      <c r="CI261" s="88"/>
      <c r="CJ261" s="2154" t="e" cm="1">
        <f t="array" ca="1" aca="1" ref="CJ261">_xlfn.LET(_xlpm.search_key,$W261&amp;$Y261,_xlpm.Scenario,_xlfn.VSTACK($W$20:$W$55&amp;$Y$20:$Y$55,$W$76:$W$110&amp;$Y$76:$Y$110),_xlpm.Data,_xlfn.VSTACK(CJ$20:CK$55,CJ$76:CK$110),IF(OR($Y261="",ISNUMBER(SEARCH("please",$Y261))),"",_xlfn.XLOOKUP(_xlpm.search_key,_xlpm.Scenario,_xlpm.Data,"▧")))</f>
        <v>#NAME?</v>
      </c>
      <c r="CK261" s="2154"/>
      <c r="CL261" s="88"/>
      <c r="CM261" s="2154" t="e" cm="1">
        <f t="array" ca="1" aca="1" ref="CM261">_xlfn.LET(_xlpm.search_key,$W261&amp;$Y261,_xlpm.Scenario,_xlfn.VSTACK($W$20:$W$55&amp;$Y$20:$Y$55,$W$76:$W$110&amp;$Y$76:$Y$110),_xlpm.Data,_xlfn.VSTACK(CM$20:CN$55,CM$76:CN$110),IF(OR($Y261="",ISNUMBER(SEARCH("please",$Y261))),"",_xlfn.XLOOKUP(_xlpm.search_key,_xlpm.Scenario,_xlpm.Data,"▧")))</f>
        <v>#NAME?</v>
      </c>
      <c r="CN261" s="2154"/>
      <c r="CO261" s="88"/>
      <c r="CP261" s="2154" t="e" cm="1">
        <f t="array" ca="1" aca="1" ref="CP261">_xlfn.LET(_xlpm.search_key,$W261&amp;$Y261,_xlpm.Scenario,_xlfn.VSTACK($W$20:$W$55&amp;$Y$20:$Y$55,$W$76:$W$110&amp;$Y$76:$Y$110),_xlpm.Data,_xlfn.VSTACK(CP$20:CQ$55,CP$76:CQ$110),IF(OR($Y261="",ISNUMBER(SEARCH("please",$Y261))),"",_xlfn.XLOOKUP(_xlpm.search_key,_xlpm.Scenario,_xlpm.Data,"▧")))</f>
        <v>#NAME?</v>
      </c>
      <c r="CQ261" s="2154"/>
      <c r="CR261" s="34"/>
      <c r="CS261" s="2056"/>
      <c r="DC261"/>
    </row>
    <row r="262" spans="1:107" ht="21" customHeight="1">
      <c r="A262" s="1627"/>
      <c r="B262" s="2606"/>
      <c r="C262" s="2540"/>
      <c r="D262" s="1549"/>
      <c r="E262" s="2440"/>
      <c r="F262" s="401"/>
      <c r="G262" s="401"/>
      <c r="H262" s="585"/>
      <c r="I262" s="585"/>
      <c r="J262" s="401"/>
      <c r="K262" s="401"/>
      <c r="L262" s="37"/>
      <c r="N262" s="158"/>
      <c r="O262" s="101"/>
      <c r="P262" s="52"/>
      <c r="Q262" s="101"/>
      <c r="R262" s="101"/>
      <c r="S262" s="101"/>
      <c r="T262" s="101"/>
      <c r="U262" s="39"/>
      <c r="V262" s="37"/>
      <c r="W262" s="2364" t="e">
        <f ca="1">W258</f>
        <v>#NAME?</v>
      </c>
      <c r="X262" s="2373">
        <f>_PL!X262</f>
        <v>0</v>
      </c>
      <c r="Y262" s="3228">
        <v>2</v>
      </c>
      <c r="Z262" s="198">
        <f>_PL!Z262</f>
        <v>0</v>
      </c>
      <c r="AA262" s="200" t="str" cm="1">
        <f t="array" ca="1" aca="1" ref="AA262">IF(Y262="","",_xlfn.LET(_xlpm._termname,$W262&amp;$Y262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2" s="1134"/>
      <c r="AC262" s="125"/>
      <c r="AD262" s="2152" t="e" cm="1">
        <f t="array" ca="1" aca="1" ref="AD262">_xlfn.LET(_xlpm.search_key,$W262&amp;$Y262,_xlpm.Scenario,_xlfn.VSTACK($W$20:$W$55&amp;$Y$20:$Y$55,$W$76:$W$110&amp;$Y$76:$Y$110,$W$256&amp;$Y$256),_xlpm.Data,_xlfn.VSTACK($AD$20:$BN$55,$AD$76:$BN$110,$AD$256:$BN$256),IF(OR($Y262="",ISNUMBER(SEARCH("please",$Y262))),"",_xlfn.XLOOKUP(_xlpm.search_key,_xlpm.Scenario,_xlpm.Data,"▧")))</f>
        <v>#NAME?</v>
      </c>
      <c r="AE262" s="2152"/>
      <c r="AF262" s="2152"/>
      <c r="AG262" s="2152"/>
      <c r="AH262" s="2152"/>
      <c r="AI262" s="2152"/>
      <c r="AJ262" s="2152"/>
      <c r="AK262" s="2152"/>
      <c r="AL262" s="2152"/>
      <c r="AM262" s="2152"/>
      <c r="AN262" s="2152"/>
      <c r="AO262" s="2152"/>
      <c r="AP262" s="2152"/>
      <c r="AQ262" s="2152"/>
      <c r="AR262" s="2152"/>
      <c r="AS262" s="2152"/>
      <c r="AT262" s="2152"/>
      <c r="AU262" s="2152"/>
      <c r="AV262" s="2152"/>
      <c r="AW262" s="2152"/>
      <c r="AX262" s="2152"/>
      <c r="AY262" s="2152"/>
      <c r="AZ262" s="2152"/>
      <c r="BA262" s="2152"/>
      <c r="BB262" s="2152"/>
      <c r="BC262" s="2152"/>
      <c r="BD262" s="2152"/>
      <c r="BE262" s="2152"/>
      <c r="BF262" s="2152"/>
      <c r="BG262" s="2152"/>
      <c r="BH262" s="2152"/>
      <c r="BI262" s="2152"/>
      <c r="BJ262" s="2152"/>
      <c r="BK262" s="2152"/>
      <c r="BL262" s="2152"/>
      <c r="BM262" s="2152"/>
      <c r="BN262" s="2152"/>
      <c r="BO262" s="2362"/>
      <c r="BP262" s="2362"/>
      <c r="BQ262" s="2362"/>
      <c r="BR262" s="2362"/>
      <c r="BS262" s="2362"/>
      <c r="BT262" s="2362"/>
      <c r="BU262" s="2362"/>
      <c r="BV262" s="2362"/>
      <c r="BW262" s="2362"/>
      <c r="BX262" s="2362"/>
      <c r="BY262" s="2362"/>
      <c r="BZ262" s="2362"/>
      <c r="CA262" s="34"/>
      <c r="CC262" s="58"/>
      <c r="CD262" s="2154" t="e" cm="1">
        <f t="array" ca="1" aca="1" ref="CD262">_xlfn.LET(_xlpm.search_key,$W262&amp;$Y262,_xlpm.Scenario,_xlfn.VSTACK($W$20:$W$55&amp;$Y$20:$Y$55,$W$76:$W$110&amp;$Y$76:$Y$110),_xlpm.Data,_xlfn.VSTACK(CD$20:CE$55,CD$76:CE$110),IF(OR($Y262="",ISNUMBER(SEARCH("please",$Y262))),"",_xlfn.XLOOKUP(_xlpm.search_key,_xlpm.Scenario,_xlpm.Data,"▧")))</f>
        <v>#NAME?</v>
      </c>
      <c r="CE262" s="2154"/>
      <c r="CF262" s="88"/>
      <c r="CG262" s="2154" t="e" cm="1">
        <f t="array" ca="1" aca="1" ref="CG262">_xlfn.LET(_xlpm.search_key,$W262&amp;$Y262,_xlpm.Scenario,_xlfn.VSTACK($W$20:$W$55&amp;$Y$20:$Y$55,$W$76:$W$110&amp;$Y$76:$Y$110),_xlpm.Data,_xlfn.VSTACK(CG$20:CH$55,CG$76:CH$110),IF(OR($Y262="",ISNUMBER(SEARCH("please",$Y262))),"",_xlfn.XLOOKUP(_xlpm.search_key,_xlpm.Scenario,_xlpm.Data,"▧")))</f>
        <v>#NAME?</v>
      </c>
      <c r="CH262" s="2154"/>
      <c r="CI262" s="88"/>
      <c r="CJ262" s="2154" t="e" cm="1">
        <f t="array" ca="1" aca="1" ref="CJ262">_xlfn.LET(_xlpm.search_key,$W262&amp;$Y262,_xlpm.Scenario,_xlfn.VSTACK($W$20:$W$55&amp;$Y$20:$Y$55,$W$76:$W$110&amp;$Y$76:$Y$110),_xlpm.Data,_xlfn.VSTACK(CJ$20:CK$55,CJ$76:CK$110),IF(OR($Y262="",ISNUMBER(SEARCH("please",$Y262))),"",_xlfn.XLOOKUP(_xlpm.search_key,_xlpm.Scenario,_xlpm.Data,"▧")))</f>
        <v>#NAME?</v>
      </c>
      <c r="CK262" s="2154"/>
      <c r="CL262" s="88"/>
      <c r="CM262" s="2154" t="e" cm="1">
        <f t="array" ca="1" aca="1" ref="CM262">_xlfn.LET(_xlpm.search_key,$W262&amp;$Y262,_xlpm.Scenario,_xlfn.VSTACK($W$20:$W$55&amp;$Y$20:$Y$55,$W$76:$W$110&amp;$Y$76:$Y$110),_xlpm.Data,_xlfn.VSTACK(CM$20:CN$55,CM$76:CN$110),IF(OR($Y262="",ISNUMBER(SEARCH("please",$Y262))),"",_xlfn.XLOOKUP(_xlpm.search_key,_xlpm.Scenario,_xlpm.Data,"▧")))</f>
        <v>#NAME?</v>
      </c>
      <c r="CN262" s="2154"/>
      <c r="CO262" s="88"/>
      <c r="CP262" s="2154" t="e" cm="1">
        <f t="array" ca="1" aca="1" ref="CP262">_xlfn.LET(_xlpm.search_key,$W262&amp;$Y262,_xlpm.Scenario,_xlfn.VSTACK($W$20:$W$55&amp;$Y$20:$Y$55,$W$76:$W$110&amp;$Y$76:$Y$110),_xlpm.Data,_xlfn.VSTACK(CP$20:CQ$55,CP$76:CQ$110),IF(OR($Y262="",ISNUMBER(SEARCH("please",$Y262))),"",_xlfn.XLOOKUP(_xlpm.search_key,_xlpm.Scenario,_xlpm.Data,"▧")))</f>
        <v>#NAME?</v>
      </c>
      <c r="CQ262" s="2154"/>
      <c r="CR262" s="34"/>
      <c r="CS262" s="2056"/>
      <c r="DC262"/>
    </row>
    <row r="263" spans="1:107" ht="21" customHeight="1">
      <c r="A263" s="1627"/>
      <c r="B263" s="2606"/>
      <c r="C263" s="2540"/>
      <c r="D263" s="1549"/>
      <c r="E263" s="2440"/>
      <c r="F263" s="401"/>
      <c r="G263" s="401"/>
      <c r="H263" s="585"/>
      <c r="I263" s="585"/>
      <c r="J263" s="401"/>
      <c r="K263" s="401"/>
      <c r="L263" s="37"/>
      <c r="N263" s="158"/>
      <c r="O263" s="101"/>
      <c r="P263" s="52"/>
      <c r="Q263" s="101"/>
      <c r="R263" s="101"/>
      <c r="S263" s="101"/>
      <c r="T263" s="101"/>
      <c r="U263" s="39"/>
      <c r="V263" s="37"/>
      <c r="W263" s="2364" t="e">
        <f ca="1">W258</f>
        <v>#NAME?</v>
      </c>
      <c r="X263" s="2373">
        <f>_PL!X263</f>
        <v>0</v>
      </c>
      <c r="Y263" s="3228">
        <v>2</v>
      </c>
      <c r="Z263" s="198">
        <f>_PL!Z263</f>
        <v>0</v>
      </c>
      <c r="AA263" s="200" t="str" cm="1">
        <f t="array" ca="1" aca="1" ref="AA263">IF(Y263="","",_xlfn.LET(_xlpm._termname,$W263&amp;$Y263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3" s="1134"/>
      <c r="AC263" s="125"/>
      <c r="AD263" s="2152" t="e" cm="1">
        <f t="array" ca="1" aca="1" ref="AD263">_xlfn.LET(_xlpm.search_key,$W263&amp;$Y263,_xlpm.Scenario,_xlfn.VSTACK($W$20:$W$55&amp;$Y$20:$Y$55,$W$76:$W$110&amp;$Y$76:$Y$110,$W$256&amp;$Y$256),_xlpm.Data,_xlfn.VSTACK($AD$20:$BN$55,$AD$76:$BN$110,$AD$256:$BN$256),IF(OR($Y263="",ISNUMBER(SEARCH("please",$Y263))),"",_xlfn.XLOOKUP(_xlpm.search_key,_xlpm.Scenario,_xlpm.Data,"▧")))</f>
        <v>#NAME?</v>
      </c>
      <c r="AE263" s="2152"/>
      <c r="AF263" s="2152"/>
      <c r="AG263" s="2152"/>
      <c r="AH263" s="2152"/>
      <c r="AI263" s="2152"/>
      <c r="AJ263" s="2152"/>
      <c r="AK263" s="2152"/>
      <c r="AL263" s="2152"/>
      <c r="AM263" s="2152"/>
      <c r="AN263" s="2152"/>
      <c r="AO263" s="2152"/>
      <c r="AP263" s="2152"/>
      <c r="AQ263" s="2152"/>
      <c r="AR263" s="2152"/>
      <c r="AS263" s="2152"/>
      <c r="AT263" s="2152"/>
      <c r="AU263" s="2152"/>
      <c r="AV263" s="2152"/>
      <c r="AW263" s="2152"/>
      <c r="AX263" s="2152"/>
      <c r="AY263" s="2152"/>
      <c r="AZ263" s="2152"/>
      <c r="BA263" s="2152"/>
      <c r="BB263" s="2152"/>
      <c r="BC263" s="2152"/>
      <c r="BD263" s="2152"/>
      <c r="BE263" s="2152"/>
      <c r="BF263" s="2152"/>
      <c r="BG263" s="2152"/>
      <c r="BH263" s="2152"/>
      <c r="BI263" s="2152"/>
      <c r="BJ263" s="2152"/>
      <c r="BK263" s="2152"/>
      <c r="BL263" s="2152"/>
      <c r="BM263" s="2152"/>
      <c r="BN263" s="2152"/>
      <c r="BO263" s="2362"/>
      <c r="BP263" s="2362"/>
      <c r="BQ263" s="2362"/>
      <c r="BR263" s="2362"/>
      <c r="BS263" s="2362"/>
      <c r="BT263" s="2362"/>
      <c r="BU263" s="2362"/>
      <c r="BV263" s="2362"/>
      <c r="BW263" s="2362"/>
      <c r="BX263" s="2362"/>
      <c r="BY263" s="2362"/>
      <c r="BZ263" s="2362"/>
      <c r="CA263" s="34"/>
      <c r="CC263" s="58"/>
      <c r="CD263" s="2154" t="e" cm="1">
        <f t="array" ca="1" aca="1" ref="CD263">_xlfn.LET(_xlpm.search_key,$W263&amp;$Y263,_xlpm.Scenario,_xlfn.VSTACK($W$20:$W$55&amp;$Y$20:$Y$55,$W$76:$W$110&amp;$Y$76:$Y$110),_xlpm.Data,_xlfn.VSTACK(CD$20:CE$55,CD$76:CE$110),IF(OR($Y263="",ISNUMBER(SEARCH("please",$Y263))),"",_xlfn.XLOOKUP(_xlpm.search_key,_xlpm.Scenario,_xlpm.Data,"▧")))</f>
        <v>#NAME?</v>
      </c>
      <c r="CE263" s="2154"/>
      <c r="CF263" s="88"/>
      <c r="CG263" s="2154" t="e" cm="1">
        <f t="array" ca="1" aca="1" ref="CG263">_xlfn.LET(_xlpm.search_key,$W263&amp;$Y263,_xlpm.Scenario,_xlfn.VSTACK($W$20:$W$55&amp;$Y$20:$Y$55,$W$76:$W$110&amp;$Y$76:$Y$110),_xlpm.Data,_xlfn.VSTACK(CG$20:CH$55,CG$76:CH$110),IF(OR($Y263="",ISNUMBER(SEARCH("please",$Y263))),"",_xlfn.XLOOKUP(_xlpm.search_key,_xlpm.Scenario,_xlpm.Data,"▧")))</f>
        <v>#NAME?</v>
      </c>
      <c r="CH263" s="2154"/>
      <c r="CI263" s="88"/>
      <c r="CJ263" s="2154" t="e" cm="1">
        <f t="array" ca="1" aca="1" ref="CJ263">_xlfn.LET(_xlpm.search_key,$W263&amp;$Y263,_xlpm.Scenario,_xlfn.VSTACK($W$20:$W$55&amp;$Y$20:$Y$55,$W$76:$W$110&amp;$Y$76:$Y$110),_xlpm.Data,_xlfn.VSTACK(CJ$20:CK$55,CJ$76:CK$110),IF(OR($Y263="",ISNUMBER(SEARCH("please",$Y263))),"",_xlfn.XLOOKUP(_xlpm.search_key,_xlpm.Scenario,_xlpm.Data,"▧")))</f>
        <v>#NAME?</v>
      </c>
      <c r="CK263" s="2154"/>
      <c r="CL263" s="88"/>
      <c r="CM263" s="2154" t="e" cm="1">
        <f t="array" ca="1" aca="1" ref="CM263">_xlfn.LET(_xlpm.search_key,$W263&amp;$Y263,_xlpm.Scenario,_xlfn.VSTACK($W$20:$W$55&amp;$Y$20:$Y$55,$W$76:$W$110&amp;$Y$76:$Y$110),_xlpm.Data,_xlfn.VSTACK(CM$20:CN$55,CM$76:CN$110),IF(OR($Y263="",ISNUMBER(SEARCH("please",$Y263))),"",_xlfn.XLOOKUP(_xlpm.search_key,_xlpm.Scenario,_xlpm.Data,"▧")))</f>
        <v>#NAME?</v>
      </c>
      <c r="CN263" s="2154"/>
      <c r="CO263" s="88"/>
      <c r="CP263" s="2154" t="e" cm="1">
        <f t="array" ca="1" aca="1" ref="CP263">_xlfn.LET(_xlpm.search_key,$W263&amp;$Y263,_xlpm.Scenario,_xlfn.VSTACK($W$20:$W$55&amp;$Y$20:$Y$55,$W$76:$W$110&amp;$Y$76:$Y$110),_xlpm.Data,_xlfn.VSTACK(CP$20:CQ$55,CP$76:CQ$110),IF(OR($Y263="",ISNUMBER(SEARCH("please",$Y263))),"",_xlfn.XLOOKUP(_xlpm.search_key,_xlpm.Scenario,_xlpm.Data,"▧")))</f>
        <v>#NAME?</v>
      </c>
      <c r="CQ263" s="2154"/>
      <c r="CR263" s="34"/>
      <c r="CS263" s="2056"/>
      <c r="DC263"/>
    </row>
    <row r="264" spans="1:107" ht="21" customHeight="1">
      <c r="A264" s="1627"/>
      <c r="B264" s="2606"/>
      <c r="C264" s="2540"/>
      <c r="D264" s="1549"/>
      <c r="E264" s="2440"/>
      <c r="F264" s="401"/>
      <c r="G264" s="401"/>
      <c r="H264" s="585"/>
      <c r="I264" s="585"/>
      <c r="J264" s="401"/>
      <c r="K264" s="401"/>
      <c r="L264" s="37"/>
      <c r="N264" s="158"/>
      <c r="O264" s="101"/>
      <c r="P264" s="52"/>
      <c r="Q264" s="101"/>
      <c r="R264" s="101"/>
      <c r="S264" s="101"/>
      <c r="T264" s="101"/>
      <c r="U264" s="39"/>
      <c r="V264" s="37"/>
      <c r="W264" s="2364" t="e">
        <f ca="1">W258</f>
        <v>#NAME?</v>
      </c>
      <c r="X264" s="2373">
        <f>_PL!X264</f>
        <v>0</v>
      </c>
      <c r="Y264" s="3228">
        <v>2</v>
      </c>
      <c r="Z264" s="538">
        <f>_PL!Z264</f>
        <v>0</v>
      </c>
      <c r="AA264" s="787" t="str" cm="1">
        <f t="array" ca="1" aca="1" ref="AA264">IF(Y264="","",_xlfn.LET(_xlpm._termname,$W264&amp;$Y264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4" s="1134"/>
      <c r="AC264" s="125"/>
      <c r="AD264" s="2152" t="e" cm="1">
        <f t="array" ca="1" aca="1" ref="AD264">_xlfn.LET(_xlpm.search_key,$W264&amp;$Y264,_xlpm.Scenario,_xlfn.VSTACK($W$20:$W$55&amp;$Y$20:$Y$55,$W$76:$W$110&amp;$Y$76:$Y$110,$W$256&amp;$Y$256),_xlpm.Data,_xlfn.VSTACK($AD$20:$BN$55,$AD$76:$BN$110,$AD$256:$BN$256),IF(OR($Y264="",ISNUMBER(SEARCH("please",$Y264))),"",_xlfn.XLOOKUP(_xlpm.search_key,_xlpm.Scenario,_xlpm.Data,"▧")))</f>
        <v>#NAME?</v>
      </c>
      <c r="AE264" s="2152"/>
      <c r="AF264" s="2152"/>
      <c r="AG264" s="2152"/>
      <c r="AH264" s="2152"/>
      <c r="AI264" s="2152"/>
      <c r="AJ264" s="2152"/>
      <c r="AK264" s="2152"/>
      <c r="AL264" s="2152"/>
      <c r="AM264" s="2152"/>
      <c r="AN264" s="2152"/>
      <c r="AO264" s="2152"/>
      <c r="AP264" s="2152"/>
      <c r="AQ264" s="2152"/>
      <c r="AR264" s="2152"/>
      <c r="AS264" s="2152"/>
      <c r="AT264" s="2152"/>
      <c r="AU264" s="2152"/>
      <c r="AV264" s="2152"/>
      <c r="AW264" s="2152"/>
      <c r="AX264" s="2152"/>
      <c r="AY264" s="2152"/>
      <c r="AZ264" s="2152"/>
      <c r="BA264" s="2152"/>
      <c r="BB264" s="2152"/>
      <c r="BC264" s="2152"/>
      <c r="BD264" s="2152"/>
      <c r="BE264" s="2152"/>
      <c r="BF264" s="2152"/>
      <c r="BG264" s="2152"/>
      <c r="BH264" s="2152"/>
      <c r="BI264" s="2152"/>
      <c r="BJ264" s="2152"/>
      <c r="BK264" s="2152"/>
      <c r="BL264" s="2152"/>
      <c r="BM264" s="2152"/>
      <c r="BN264" s="2152"/>
      <c r="BO264" s="2362"/>
      <c r="BP264" s="2362"/>
      <c r="BQ264" s="2362"/>
      <c r="BR264" s="2362"/>
      <c r="BS264" s="2362"/>
      <c r="BT264" s="2362"/>
      <c r="BU264" s="2362"/>
      <c r="BV264" s="2362"/>
      <c r="BW264" s="2362"/>
      <c r="BX264" s="2362"/>
      <c r="BY264" s="2362"/>
      <c r="BZ264" s="2362"/>
      <c r="CA264" s="34"/>
      <c r="CC264" s="58"/>
      <c r="CD264" s="2154" t="e" cm="1">
        <f t="array" ca="1" aca="1" ref="CD264">_xlfn.LET(_xlpm.search_key,$W264&amp;$Y264,_xlpm.Scenario,_xlfn.VSTACK($W$20:$W$55&amp;$Y$20:$Y$55,$W$76:$W$110&amp;$Y$76:$Y$110),_xlpm.Data,_xlfn.VSTACK(CD$20:CE$55,CD$76:CE$110),IF(OR($Y264="",ISNUMBER(SEARCH("please",$Y264))),"",_xlfn.XLOOKUP(_xlpm.search_key,_xlpm.Scenario,_xlpm.Data,"▧")))</f>
        <v>#NAME?</v>
      </c>
      <c r="CE264" s="2154"/>
      <c r="CF264" s="88"/>
      <c r="CG264" s="2154" t="e" cm="1">
        <f t="array" ca="1" aca="1" ref="CG264">_xlfn.LET(_xlpm.search_key,$W264&amp;$Y264,_xlpm.Scenario,_xlfn.VSTACK($W$20:$W$55&amp;$Y$20:$Y$55,$W$76:$W$110&amp;$Y$76:$Y$110),_xlpm.Data,_xlfn.VSTACK(CG$20:CH$55,CG$76:CH$110),IF(OR($Y264="",ISNUMBER(SEARCH("please",$Y264))),"",_xlfn.XLOOKUP(_xlpm.search_key,_xlpm.Scenario,_xlpm.Data,"▧")))</f>
        <v>#NAME?</v>
      </c>
      <c r="CH264" s="2154"/>
      <c r="CI264" s="88"/>
      <c r="CJ264" s="2154" t="e" cm="1">
        <f t="array" ca="1" aca="1" ref="CJ264">_xlfn.LET(_xlpm.search_key,$W264&amp;$Y264,_xlpm.Scenario,_xlfn.VSTACK($W$20:$W$55&amp;$Y$20:$Y$55,$W$76:$W$110&amp;$Y$76:$Y$110),_xlpm.Data,_xlfn.VSTACK(CJ$20:CK$55,CJ$76:CK$110),IF(OR($Y264="",ISNUMBER(SEARCH("please",$Y264))),"",_xlfn.XLOOKUP(_xlpm.search_key,_xlpm.Scenario,_xlpm.Data,"▧")))</f>
        <v>#NAME?</v>
      </c>
      <c r="CK264" s="2154"/>
      <c r="CL264" s="88"/>
      <c r="CM264" s="2154" t="e" cm="1">
        <f t="array" ca="1" aca="1" ref="CM264">_xlfn.LET(_xlpm.search_key,$W264&amp;$Y264,_xlpm.Scenario,_xlfn.VSTACK($W$20:$W$55&amp;$Y$20:$Y$55,$W$76:$W$110&amp;$Y$76:$Y$110),_xlpm.Data,_xlfn.VSTACK(CM$20:CN$55,CM$76:CN$110),IF(OR($Y264="",ISNUMBER(SEARCH("please",$Y264))),"",_xlfn.XLOOKUP(_xlpm.search_key,_xlpm.Scenario,_xlpm.Data,"▧")))</f>
        <v>#NAME?</v>
      </c>
      <c r="CN264" s="2154"/>
      <c r="CO264" s="88"/>
      <c r="CP264" s="2154" t="e" cm="1">
        <f t="array" ca="1" aca="1" ref="CP264">_xlfn.LET(_xlpm.search_key,$W264&amp;$Y264,_xlpm.Scenario,_xlfn.VSTACK($W$20:$W$55&amp;$Y$20:$Y$55,$W$76:$W$110&amp;$Y$76:$Y$110),_xlpm.Data,_xlfn.VSTACK(CP$20:CQ$55,CP$76:CQ$110),IF(OR($Y264="",ISNUMBER(SEARCH("please",$Y264))),"",_xlfn.XLOOKUP(_xlpm.search_key,_xlpm.Scenario,_xlpm.Data,"▧")))</f>
        <v>#NAME?</v>
      </c>
      <c r="CQ264" s="2154"/>
      <c r="CR264" s="34"/>
      <c r="CS264" s="2056"/>
      <c r="DC264"/>
    </row>
    <row r="265" spans="1:107" ht="21" customHeight="1">
      <c r="A265" s="1627"/>
      <c r="B265" s="3474" t="s">
        <v>203</v>
      </c>
      <c r="C265" s="2606" t="e" cm="1">
        <f t="array" ca="1" aca="1" ref="C265">CVC.PACK(W258:Y265)</f>
        <v>#NAME?</v>
      </c>
      <c r="D265" s="1549"/>
      <c r="E265" s="2607"/>
      <c r="F265" s="401"/>
      <c r="G265" s="401"/>
      <c r="H265" s="585"/>
      <c r="I265" s="585"/>
      <c r="J265" s="401"/>
      <c r="K265" s="401"/>
      <c r="L265" s="37"/>
      <c r="N265" s="158"/>
      <c r="O265" s="101"/>
      <c r="P265" s="52"/>
      <c r="Q265" s="101"/>
      <c r="R265" s="101"/>
      <c r="S265" s="101"/>
      <c r="T265" s="101"/>
      <c r="U265" s="39"/>
      <c r="V265" s="37"/>
      <c r="W265" s="2365" t="e">
        <f ca="1">W258</f>
        <v>#NAME?</v>
      </c>
      <c r="X265" s="2374">
        <f>_PL!X265</f>
        <v>0</v>
      </c>
      <c r="Y265" s="2326">
        <f>_PL!Y265</f>
        <v>0</v>
      </c>
      <c r="Z265" s="2322"/>
      <c r="AA265" s="2323"/>
      <c r="AB265" s="1134"/>
      <c r="AC265" s="125" t="str" cm="1">
        <f t="array" ca="1" aca="1" ref="AC265">IF(AB265="","",_xlfn.LET(_xlpm._termname,PL!$W265&amp;$AB265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65" s="2152" t="e">
        <f ca="1" t="shared" si="69" ref="AD265:BN265">SUMPRODUCT($X259:$X264,AD259:AD264)</f>
        <v>#NAME?</v>
      </c>
      <c r="AE265" s="2152">
        <f t="shared" si="69"/>
        <v>0</v>
      </c>
      <c r="AF265" s="2152">
        <f t="shared" si="69"/>
        <v>0</v>
      </c>
      <c r="AG265" s="2152">
        <f t="shared" si="69"/>
        <v>0</v>
      </c>
      <c r="AH265" s="2152">
        <f t="shared" si="69"/>
        <v>0</v>
      </c>
      <c r="AI265" s="2152">
        <f t="shared" si="69"/>
        <v>0</v>
      </c>
      <c r="AJ265" s="2152">
        <f t="shared" si="69"/>
        <v>0</v>
      </c>
      <c r="AK265" s="2152">
        <f t="shared" si="69"/>
        <v>0</v>
      </c>
      <c r="AL265" s="2152">
        <f t="shared" si="69"/>
        <v>0</v>
      </c>
      <c r="AM265" s="2152">
        <f t="shared" si="69"/>
        <v>0</v>
      </c>
      <c r="AN265" s="2152">
        <f t="shared" si="69"/>
        <v>0</v>
      </c>
      <c r="AO265" s="2152">
        <f t="shared" si="69"/>
        <v>0</v>
      </c>
      <c r="AP265" s="2152">
        <f t="shared" si="69"/>
        <v>0</v>
      </c>
      <c r="AQ265" s="2152">
        <f t="shared" si="69"/>
        <v>0</v>
      </c>
      <c r="AR265" s="2152">
        <f t="shared" si="69"/>
        <v>0</v>
      </c>
      <c r="AS265" s="2152">
        <f t="shared" si="69"/>
        <v>0</v>
      </c>
      <c r="AT265" s="2152">
        <f t="shared" si="69"/>
        <v>0</v>
      </c>
      <c r="AU265" s="2152">
        <f t="shared" si="69"/>
        <v>0</v>
      </c>
      <c r="AV265" s="2152">
        <f t="shared" si="69"/>
        <v>0</v>
      </c>
      <c r="AW265" s="2152">
        <f t="shared" si="69"/>
        <v>0</v>
      </c>
      <c r="AX265" s="2152">
        <f t="shared" si="69"/>
        <v>0</v>
      </c>
      <c r="AY265" s="2152">
        <f t="shared" si="69"/>
        <v>0</v>
      </c>
      <c r="AZ265" s="2152">
        <f t="shared" si="69"/>
        <v>0</v>
      </c>
      <c r="BA265" s="2152">
        <f t="shared" si="69"/>
        <v>0</v>
      </c>
      <c r="BB265" s="2152">
        <f t="shared" si="69"/>
        <v>0</v>
      </c>
      <c r="BC265" s="2152">
        <f t="shared" si="69"/>
        <v>0</v>
      </c>
      <c r="BD265" s="2152">
        <f t="shared" si="69"/>
        <v>0</v>
      </c>
      <c r="BE265" s="2152">
        <f t="shared" si="69"/>
        <v>0</v>
      </c>
      <c r="BF265" s="2152">
        <f t="shared" si="69"/>
        <v>0</v>
      </c>
      <c r="BG265" s="2152">
        <f t="shared" si="69"/>
        <v>0</v>
      </c>
      <c r="BH265" s="2152">
        <f t="shared" si="69"/>
        <v>0</v>
      </c>
      <c r="BI265" s="2152">
        <f t="shared" si="69"/>
        <v>0</v>
      </c>
      <c r="BJ265" s="2152">
        <f t="shared" si="69"/>
        <v>0</v>
      </c>
      <c r="BK265" s="2152">
        <f t="shared" si="69"/>
        <v>0</v>
      </c>
      <c r="BL265" s="2152">
        <f t="shared" si="69"/>
        <v>0</v>
      </c>
      <c r="BM265" s="2152">
        <f t="shared" si="69"/>
        <v>0</v>
      </c>
      <c r="BN265" s="2152">
        <f t="shared" si="69"/>
        <v>0</v>
      </c>
      <c r="BO265" s="2362"/>
      <c r="BP265" s="2362"/>
      <c r="BQ265" s="2362"/>
      <c r="BR265" s="2362"/>
      <c r="BS265" s="2362"/>
      <c r="BT265" s="2362"/>
      <c r="BU265" s="2362"/>
      <c r="BV265" s="2362"/>
      <c r="BW265" s="2362"/>
      <c r="BX265" s="2362"/>
      <c r="BY265" s="2362"/>
      <c r="BZ265" s="2362"/>
      <c r="CA265" s="34"/>
      <c r="CC265" s="58"/>
      <c r="CD265" s="2152" t="e">
        <f ca="1">SUMPRODUCT($X259:$X264,CD259:CD264)</f>
        <v>#NAME?</v>
      </c>
      <c r="CE265" s="2152">
        <f>SUMPRODUCT($X259:$X262,CE259:CE262)</f>
        <v>0</v>
      </c>
      <c r="CF265" s="88"/>
      <c r="CG265" s="2152" t="e">
        <f ca="1">SUMPRODUCT($X259:$X264,CG259:CG264)</f>
        <v>#NAME?</v>
      </c>
      <c r="CH265" s="2152">
        <f>SUMPRODUCT($X259:$X262,CH259:CH262)</f>
        <v>0</v>
      </c>
      <c r="CI265" s="88"/>
      <c r="CJ265" s="2152" t="e">
        <f ca="1">SUMPRODUCT($X259:$X264,CJ259:CJ264)</f>
        <v>#NAME?</v>
      </c>
      <c r="CK265" s="2152">
        <f>SUMPRODUCT($X259:$X262,CK259:CK262)</f>
        <v>0</v>
      </c>
      <c r="CL265" s="88"/>
      <c r="CM265" s="2152" t="e">
        <f ca="1">SUMPRODUCT($X259:$X264,CM259:CM264)</f>
        <v>#NAME?</v>
      </c>
      <c r="CN265" s="2152">
        <f>SUMPRODUCT($X259:$X262,CN259:CN262)</f>
        <v>0</v>
      </c>
      <c r="CO265" s="88"/>
      <c r="CP265" s="2152" t="e">
        <f ca="1">SUMPRODUCT($X259:$X264,CP259:CP264)</f>
        <v>#NAME?</v>
      </c>
      <c r="CQ265" s="2152">
        <f>SUMPRODUCT($X259:$X262,CQ259:CQ262)</f>
        <v>0</v>
      </c>
      <c r="CR265" s="34"/>
      <c r="CS265" s="2056"/>
      <c r="CT265" s="2447" t="e" cm="1">
        <f t="array" ca="1" aca="1" ref="CT265">IF(PL!$C265="","",_xldudf_CX_PUSH(PL!$C265,CX_ENTITY,PL!$B265,EOMONTH(val_asOfDate,PL!CT$248)))</f>
        <v>#NAME?</v>
      </c>
      <c r="CU265" s="2447" t="e" cm="1">
        <f t="array" ca="1" aca="1" ref="CU265">IF(PL!$C265="","",_xldudf_CX_PUSH(PL!$C265,CX_ENTITY,PL!$B265,EOMONTH(val_asOfDate,PL!CU$248)))</f>
        <v>#NAME?</v>
      </c>
      <c r="CV265" s="2447" t="e" cm="1">
        <f t="array" ca="1" aca="1" ref="CV265">IF(PL!$C265="","",_xldudf_CX_PUSH(PL!$C265,CX_ENTITY,PL!$B265,EOMONTH(val_asOfDate,PL!CV$248)))</f>
        <v>#NAME?</v>
      </c>
      <c r="CW265" s="2447" t="e" cm="1">
        <f t="array" ca="1" aca="1" ref="CW265">IF(PL!$C265="","",_xldudf_CX_PUSH(PL!$C265,CX_ENTITY,PL!$B265,EOMONTH(val_asOfDate,PL!CW$248)))</f>
        <v>#NAME?</v>
      </c>
      <c r="DC265"/>
    </row>
    <row r="266" spans="1:144" s="108" customFormat="1" ht="21" customHeight="1">
      <c r="A266" s="1628"/>
      <c r="B266" s="2540"/>
      <c r="C266" s="2540"/>
      <c r="D266" s="1549"/>
      <c r="E266" s="2607"/>
      <c r="F266" s="401"/>
      <c r="G266" s="401"/>
      <c r="H266" s="585"/>
      <c r="I266" s="585"/>
      <c r="J266" s="401"/>
      <c r="K266" s="401"/>
      <c r="L266" s="37"/>
      <c r="N266" s="2134"/>
      <c r="O266" s="101"/>
      <c r="P266" s="101"/>
      <c r="Q266" s="101"/>
      <c r="R266" s="101"/>
      <c r="S266" s="101"/>
      <c r="T266" s="101"/>
      <c r="U266" s="101"/>
      <c r="V266" s="822"/>
      <c r="W266" s="2332"/>
      <c r="X266" s="2333"/>
      <c r="Y266" s="2334"/>
      <c r="Z266" s="2316"/>
      <c r="AA266" s="2316"/>
      <c r="AB266" s="88"/>
      <c r="AC266" s="128"/>
      <c r="AD266" s="2317"/>
      <c r="AE266" s="2317"/>
      <c r="AF266" s="2317"/>
      <c r="AG266" s="2317"/>
      <c r="AH266" s="2317"/>
      <c r="AI266" s="2317"/>
      <c r="AJ266" s="2317"/>
      <c r="AK266" s="2317"/>
      <c r="AL266" s="2317"/>
      <c r="AM266" s="2317"/>
      <c r="AN266" s="2317"/>
      <c r="AO266" s="2317"/>
      <c r="AP266" s="2317"/>
      <c r="AQ266" s="2317"/>
      <c r="AR266" s="2317"/>
      <c r="AS266" s="2317"/>
      <c r="AT266" s="2317"/>
      <c r="AU266" s="2317"/>
      <c r="AV266" s="2317"/>
      <c r="AW266" s="2317"/>
      <c r="AX266" s="2317"/>
      <c r="AY266" s="2317"/>
      <c r="AZ266" s="2317"/>
      <c r="BA266" s="2317"/>
      <c r="BB266" s="2317"/>
      <c r="BC266" s="2317"/>
      <c r="BD266" s="2317"/>
      <c r="BE266" s="2317"/>
      <c r="BF266" s="2317"/>
      <c r="BG266" s="2317"/>
      <c r="BH266" s="2317"/>
      <c r="BI266" s="2317"/>
      <c r="BJ266" s="2317"/>
      <c r="BK266" s="2317"/>
      <c r="BL266" s="2317"/>
      <c r="BM266" s="2317"/>
      <c r="BN266" s="2317"/>
      <c r="BO266" s="2363"/>
      <c r="BP266" s="2363"/>
      <c r="BQ266" s="2363"/>
      <c r="BR266" s="2363"/>
      <c r="BS266" s="2363"/>
      <c r="BT266" s="2363"/>
      <c r="BU266" s="2363"/>
      <c r="BV266" s="2363"/>
      <c r="BW266" s="2363"/>
      <c r="BX266" s="2363"/>
      <c r="BY266" s="2363"/>
      <c r="BZ266" s="2363"/>
      <c r="CA266" s="88"/>
      <c r="CC266" s="383"/>
      <c r="CD266" s="2319"/>
      <c r="CE266" s="2319"/>
      <c r="CF266" s="88"/>
      <c r="CG266" s="2319"/>
      <c r="CH266" s="2319"/>
      <c r="CI266" s="88"/>
      <c r="CJ266" s="2319"/>
      <c r="CK266" s="2319"/>
      <c r="CL266" s="88"/>
      <c r="CM266" s="2320"/>
      <c r="CN266" s="2320"/>
      <c r="CO266" s="88"/>
      <c r="CP266" s="2320"/>
      <c r="CQ266" s="2320"/>
      <c r="CR266" s="88"/>
      <c r="CS266" s="2321"/>
      <c r="CT266"/>
      <c r="CU266"/>
      <c r="CV266"/>
      <c r="CW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row>
    <row r="267" spans="1:107" ht="21" customHeight="1">
      <c r="A267" s="1627"/>
      <c r="B267" s="2540"/>
      <c r="C267" s="2540"/>
      <c r="D267" s="1549"/>
      <c r="E267" s="2607"/>
      <c r="F267" s="401"/>
      <c r="G267" s="401"/>
      <c r="H267" s="585"/>
      <c r="I267" s="585"/>
      <c r="J267" s="401"/>
      <c r="K267" s="401"/>
      <c r="L267" s="37"/>
      <c r="N267" s="158"/>
      <c r="O267" s="101"/>
      <c r="P267" s="52"/>
      <c r="Q267" s="101"/>
      <c r="R267" s="101"/>
      <c r="S267" s="18"/>
      <c r="T267" s="18"/>
      <c r="U267" s="39"/>
      <c r="V267" s="37"/>
      <c r="W267" s="2660" t="e" cm="1">
        <f t="array" ca="1" aca="1" ref="W267">fx_scenarioConverter(_PL!W267)</f>
        <v>#NAME?</v>
      </c>
      <c r="X267" s="2137"/>
      <c r="Y267" s="2336" t="s">
        <v>204</v>
      </c>
      <c r="Z267" s="2337"/>
      <c r="AA267" s="2609"/>
      <c r="AB267" s="2141" t="s">
        <v>199</v>
      </c>
      <c r="AC267" s="2138" t="str" cm="1">
        <f t="array" ca="1" aca="1" ref="AC267">_xlfn.LET(_xlpm._termname,$AB267,_xlpm._iconname,"find",_xlpm._icon,fx_getIcon(_xlpm._iconname),_xlpm._location,_xlfn.XLOOKUP(LOWER(_xlpm._termname),LOWER(tbl_acctDef[Term]),tbl_acctDef[Term]),_xlpm._hyperlink,HYPERLINK("#"&amp;CELL("address",_xlpm._location),_xlpm._icon),IFERROR(_xlpm._hyperlink,""))</f>
        <v/>
      </c>
      <c r="AD267" s="2138" t="str" cm="1">
        <f t="array" ca="1" aca="1" ref="AD267">_xlfn.LET(_xlpm._termname,$AB267,_xlpm._iconname,"find",_xlpm._icon,fx_getIcon(_xlpm._iconname),_xlpm._location,_xlfn.XLOOKUP(LOWER(_xlpm._termname),LOWER(tbl_acctDef[Statement]),tbl_acctDef[Statement]),_xlpm._hyperlink,HYPERLINK("#"&amp;CELL("address",_xlpm._location),_xlpm._icon),IFERROR(_xlpm._hyperlink,""))</f>
        <v/>
      </c>
      <c r="AE267" s="2138" t="str" cm="1">
        <f t="array" ca="1" aca="1" ref="AE267">_xlfn.LET(_xlpm._termname,$AB267,_xlpm._iconname,"find",_xlpm._icon,fx_getIcon(_xlpm._iconname),_xlpm._location,_xlfn.XLOOKUP(LOWER(_xlpm._termname),LOWER(tbl_acctDef[Definition]),tbl_acctDef[Definition]),_xlpm._hyperlink,HYPERLINK("#"&amp;CELL("address",_xlpm._location),_xlpm._icon),IFERROR(_xlpm._hyperlink,""))</f>
        <v/>
      </c>
      <c r="AF267" s="2138" t="str" cm="1">
        <f t="array" ca="1" aca="1" ref="AF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267" s="2138" t="str" cm="1">
        <f t="array" ca="1" aca="1" ref="AG267">_xlfn.LET(_xlpm._termname,$AB267,_xlpm._iconname,"find",_xlpm._icon,fx_getIcon(_xlpm._iconname),_xlpm._location,_xlfn.XLOOKUP(LOWER(_xlpm._termname),LOWER(tbl_acctDef[Order]),tbl_acctDef[Order]),_xlpm._hyperlink,HYPERLINK("#"&amp;CELL("address",_xlpm._location),_xlpm._icon),IFERROR(_xlpm._hyperlink,""))</f>
        <v/>
      </c>
      <c r="AH267" s="2138" t="str" cm="1">
        <f t="array" ca="1" aca="1" ref="AH267">_xlfn.LET(_xlpm._termname,$AB267,_xlpm._iconname,"find",_xlpm._icon,fx_getIcon(_xlpm._iconname),_xlpm._location,_xlfn.XLOOKUP(LOWER(_xlpm._termname),LOWER(tbl_acctDef[Term]),tbl_acctDef[Term]),_xlpm._hyperlink,HYPERLINK("#"&amp;CELL("address",_xlpm._location),_xlpm._icon),IFERROR(_xlpm._hyperlink,""))</f>
        <v/>
      </c>
      <c r="AI267" s="2138" t="str" cm="1">
        <f t="array" ca="1" aca="1" ref="AI267">_xlfn.LET(_xlpm._termname,$AB267,_xlpm._iconname,"find",_xlpm._icon,fx_getIcon(_xlpm._iconname),_xlpm._location,_xlfn.XLOOKUP(LOWER(_xlpm._termname),LOWER(tbl_acctDef[Statement]),tbl_acctDef[Statement]),_xlpm._hyperlink,HYPERLINK("#"&amp;CELL("address",_xlpm._location),_xlpm._icon),IFERROR(_xlpm._hyperlink,""))</f>
        <v/>
      </c>
      <c r="AJ267" s="2138" t="str" cm="1">
        <f t="array" ca="1" aca="1" ref="AJ267">_xlfn.LET(_xlpm._termname,$AB267,_xlpm._iconname,"find",_xlpm._icon,fx_getIcon(_xlpm._iconname),_xlpm._location,_xlfn.XLOOKUP(LOWER(_xlpm._termname),LOWER(tbl_acctDef[Definition]),tbl_acctDef[Definition]),_xlpm._hyperlink,HYPERLINK("#"&amp;CELL("address",_xlpm._location),_xlpm._icon),IFERROR(_xlpm._hyperlink,""))</f>
        <v/>
      </c>
      <c r="AK267" s="2138" t="str" cm="1">
        <f t="array" ca="1" aca="1" ref="AK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267" s="2138" t="str" cm="1">
        <f t="array" ca="1" aca="1" ref="AL267">_xlfn.LET(_xlpm._termname,$AB267,_xlpm._iconname,"find",_xlpm._icon,fx_getIcon(_xlpm._iconname),_xlpm._location,_xlfn.XLOOKUP(LOWER(_xlpm._termname),LOWER(tbl_acctDef[Order]),tbl_acctDef[Order]),_xlpm._hyperlink,HYPERLINK("#"&amp;CELL("address",_xlpm._location),_xlpm._icon),IFERROR(_xlpm._hyperlink,""))</f>
        <v/>
      </c>
      <c r="AM267" s="2138" t="str" cm="1">
        <f t="array" ca="1" aca="1" ref="AM267">_xlfn.LET(_xlpm._termname,$AB267,_xlpm._iconname,"find",_xlpm._icon,fx_getIcon(_xlpm._iconname),_xlpm._location,_xlfn.XLOOKUP(LOWER(_xlpm._termname),LOWER(tbl_acctDef[Term]),tbl_acctDef[Term]),_xlpm._hyperlink,HYPERLINK("#"&amp;CELL("address",_xlpm._location),_xlpm._icon),IFERROR(_xlpm._hyperlink,""))</f>
        <v/>
      </c>
      <c r="AN267" s="2138" t="str" cm="1">
        <f t="array" ca="1" aca="1" ref="AN267">_xlfn.LET(_xlpm._termname,$AB267,_xlpm._iconname,"find",_xlpm._icon,fx_getIcon(_xlpm._iconname),_xlpm._location,_xlfn.XLOOKUP(LOWER(_xlpm._termname),LOWER(tbl_acctDef[Statement]),tbl_acctDef[Statement]),_xlpm._hyperlink,HYPERLINK("#"&amp;CELL("address",_xlpm._location),_xlpm._icon),IFERROR(_xlpm._hyperlink,""))</f>
        <v/>
      </c>
      <c r="AO267" s="2138" t="str" cm="1">
        <f t="array" ca="1" aca="1" ref="AO267">_xlfn.LET(_xlpm._termname,$AB267,_xlpm._iconname,"find",_xlpm._icon,fx_getIcon(_xlpm._iconname),_xlpm._location,_xlfn.XLOOKUP(LOWER(_xlpm._termname),LOWER(tbl_acctDef[Definition]),tbl_acctDef[Definition]),_xlpm._hyperlink,HYPERLINK("#"&amp;CELL("address",_xlpm._location),_xlpm._icon),IFERROR(_xlpm._hyperlink,""))</f>
        <v/>
      </c>
      <c r="AP267" s="2138" t="str" cm="1">
        <f t="array" ca="1" aca="1" ref="AP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267" s="2138" t="str" cm="1">
        <f t="array" ca="1" aca="1" ref="AQ267">_xlfn.LET(_xlpm._termname,$AB267,_xlpm._iconname,"find",_xlpm._icon,fx_getIcon(_xlpm._iconname),_xlpm._location,_xlfn.XLOOKUP(LOWER(_xlpm._termname),LOWER(tbl_acctDef[Order]),tbl_acctDef[Order]),_xlpm._hyperlink,HYPERLINK("#"&amp;CELL("address",_xlpm._location),_xlpm._icon),IFERROR(_xlpm._hyperlink,""))</f>
        <v/>
      </c>
      <c r="AR267" s="2138" t="str" cm="1">
        <f t="array" ca="1" aca="1" ref="AR267">_xlfn.LET(_xlpm._termname,$AB267,_xlpm._iconname,"find",_xlpm._icon,fx_getIcon(_xlpm._iconname),_xlpm._location,_xlfn.XLOOKUP(LOWER(_xlpm._termname),LOWER(tbl_acctDef[Term]),tbl_acctDef[Term]),_xlpm._hyperlink,HYPERLINK("#"&amp;CELL("address",_xlpm._location),_xlpm._icon),IFERROR(_xlpm._hyperlink,""))</f>
        <v/>
      </c>
      <c r="AS267" s="2138" t="str" cm="1">
        <f t="array" ca="1" aca="1" ref="AS267">_xlfn.LET(_xlpm._termname,$AB267,_xlpm._iconname,"find",_xlpm._icon,fx_getIcon(_xlpm._iconname),_xlpm._location,_xlfn.XLOOKUP(LOWER(_xlpm._termname),LOWER(tbl_acctDef[Statement]),tbl_acctDef[Statement]),_xlpm._hyperlink,HYPERLINK("#"&amp;CELL("address",_xlpm._location),_xlpm._icon),IFERROR(_xlpm._hyperlink,""))</f>
        <v/>
      </c>
      <c r="AT267" s="2138" t="str" cm="1">
        <f t="array" ca="1" aca="1" ref="AT267">_xlfn.LET(_xlpm._termname,$AB267,_xlpm._iconname,"find",_xlpm._icon,fx_getIcon(_xlpm._iconname),_xlpm._location,_xlfn.XLOOKUP(LOWER(_xlpm._termname),LOWER(tbl_acctDef[Definition]),tbl_acctDef[Definition]),_xlpm._hyperlink,HYPERLINK("#"&amp;CELL("address",_xlpm._location),_xlpm._icon),IFERROR(_xlpm._hyperlink,""))</f>
        <v/>
      </c>
      <c r="AU267" s="2138" t="str" cm="1">
        <f t="array" ca="1" aca="1" ref="AU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267" s="2138" t="str" cm="1">
        <f t="array" ca="1" aca="1" ref="AV267">_xlfn.LET(_xlpm._termname,$AB267,_xlpm._iconname,"find",_xlpm._icon,fx_getIcon(_xlpm._iconname),_xlpm._location,_xlfn.XLOOKUP(LOWER(_xlpm._termname),LOWER(tbl_acctDef[Order]),tbl_acctDef[Order]),_xlpm._hyperlink,HYPERLINK("#"&amp;CELL("address",_xlpm._location),_xlpm._icon),IFERROR(_xlpm._hyperlink,""))</f>
        <v/>
      </c>
      <c r="AW267" s="2138" t="str" cm="1">
        <f t="array" ca="1" aca="1" ref="AW267">_xlfn.LET(_xlpm._termname,$AB267,_xlpm._iconname,"find",_xlpm._icon,fx_getIcon(_xlpm._iconname),_xlpm._location,_xlfn.XLOOKUP(LOWER(_xlpm._termname),LOWER(tbl_acctDef[Term]),tbl_acctDef[Term]),_xlpm._hyperlink,HYPERLINK("#"&amp;CELL("address",_xlpm._location),_xlpm._icon),IFERROR(_xlpm._hyperlink,""))</f>
        <v/>
      </c>
      <c r="AX267" s="2138" t="str" cm="1">
        <f t="array" ca="1" aca="1" ref="AX267">_xlfn.LET(_xlpm._termname,$AB267,_xlpm._iconname,"find",_xlpm._icon,fx_getIcon(_xlpm._iconname),_xlpm._location,_xlfn.XLOOKUP(LOWER(_xlpm._termname),LOWER(tbl_acctDef[Statement]),tbl_acctDef[Statement]),_xlpm._hyperlink,HYPERLINK("#"&amp;CELL("address",_xlpm._location),_xlpm._icon),IFERROR(_xlpm._hyperlink,""))</f>
        <v/>
      </c>
      <c r="AY267" s="2138" t="str" cm="1">
        <f t="array" ca="1" aca="1" ref="AY267">_xlfn.LET(_xlpm._termname,$AB267,_xlpm._iconname,"find",_xlpm._icon,fx_getIcon(_xlpm._iconname),_xlpm._location,_xlfn.XLOOKUP(LOWER(_xlpm._termname),LOWER(tbl_acctDef[Definition]),tbl_acctDef[Definition]),_xlpm._hyperlink,HYPERLINK("#"&amp;CELL("address",_xlpm._location),_xlpm._icon),IFERROR(_xlpm._hyperlink,""))</f>
        <v/>
      </c>
      <c r="AZ267" s="2138" t="str" cm="1">
        <f t="array" ca="1" aca="1" ref="AZ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267" s="2138" t="str" cm="1">
        <f t="array" ca="1" aca="1" ref="BA267">_xlfn.LET(_xlpm._termname,$AB267,_xlpm._iconname,"find",_xlpm._icon,fx_getIcon(_xlpm._iconname),_xlpm._location,_xlfn.XLOOKUP(LOWER(_xlpm._termname),LOWER(tbl_acctDef[Order]),tbl_acctDef[Order]),_xlpm._hyperlink,HYPERLINK("#"&amp;CELL("address",_xlpm._location),_xlpm._icon),IFERROR(_xlpm._hyperlink,""))</f>
        <v/>
      </c>
      <c r="BB267" s="2138" t="str" cm="1">
        <f t="array" ca="1" aca="1" ref="BB267">_xlfn.LET(_xlpm._termname,$AB267,_xlpm._iconname,"find",_xlpm._icon,fx_getIcon(_xlpm._iconname),_xlpm._location,_xlfn.XLOOKUP(LOWER(_xlpm._termname),LOWER(tbl_acctDef[Term]),tbl_acctDef[Term]),_xlpm._hyperlink,HYPERLINK("#"&amp;CELL("address",_xlpm._location),_xlpm._icon),IFERROR(_xlpm._hyperlink,""))</f>
        <v/>
      </c>
      <c r="BC267" s="2138" t="str" cm="1">
        <f t="array" ca="1" aca="1" ref="BC267">_xlfn.LET(_xlpm._termname,$AB267,_xlpm._iconname,"find",_xlpm._icon,fx_getIcon(_xlpm._iconname),_xlpm._location,_xlfn.XLOOKUP(LOWER(_xlpm._termname),LOWER(tbl_acctDef[Statement]),tbl_acctDef[Statement]),_xlpm._hyperlink,HYPERLINK("#"&amp;CELL("address",_xlpm._location),_xlpm._icon),IFERROR(_xlpm._hyperlink,""))</f>
        <v/>
      </c>
      <c r="BD267" s="2138" t="str" cm="1">
        <f t="array" ca="1" aca="1" ref="BD267">_xlfn.LET(_xlpm._termname,$AB267,_xlpm._iconname,"find",_xlpm._icon,fx_getIcon(_xlpm._iconname),_xlpm._location,_xlfn.XLOOKUP(LOWER(_xlpm._termname),LOWER(tbl_acctDef[Definition]),tbl_acctDef[Definition]),_xlpm._hyperlink,HYPERLINK("#"&amp;CELL("address",_xlpm._location),_xlpm._icon),IFERROR(_xlpm._hyperlink,""))</f>
        <v/>
      </c>
      <c r="BE267" s="2138" t="str" cm="1">
        <f t="array" ca="1" aca="1" ref="BE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267" s="2138" t="str" cm="1">
        <f t="array" ca="1" aca="1" ref="BF267">_xlfn.LET(_xlpm._termname,$AB267,_xlpm._iconname,"find",_xlpm._icon,fx_getIcon(_xlpm._iconname),_xlpm._location,_xlfn.XLOOKUP(LOWER(_xlpm._termname),LOWER(tbl_acctDef[Order]),tbl_acctDef[Order]),_xlpm._hyperlink,HYPERLINK("#"&amp;CELL("address",_xlpm._location),_xlpm._icon),IFERROR(_xlpm._hyperlink,""))</f>
        <v/>
      </c>
      <c r="BG267" s="2138" t="str" cm="1">
        <f t="array" ca="1" aca="1" ref="BG267">_xlfn.LET(_xlpm._termname,$AB267,_xlpm._iconname,"find",_xlpm._icon,fx_getIcon(_xlpm._iconname),_xlpm._location,_xlfn.XLOOKUP(LOWER(_xlpm._termname),LOWER(tbl_acctDef[Term]),tbl_acctDef[Term]),_xlpm._hyperlink,HYPERLINK("#"&amp;CELL("address",_xlpm._location),_xlpm._icon),IFERROR(_xlpm._hyperlink,""))</f>
        <v/>
      </c>
      <c r="BH267" s="2138" t="str" cm="1">
        <f t="array" ca="1" aca="1" ref="BH267">_xlfn.LET(_xlpm._termname,$AB267,_xlpm._iconname,"find",_xlpm._icon,fx_getIcon(_xlpm._iconname),_xlpm._location,_xlfn.XLOOKUP(LOWER(_xlpm._termname),LOWER(tbl_acctDef[Statement]),tbl_acctDef[Statement]),_xlpm._hyperlink,HYPERLINK("#"&amp;CELL("address",_xlpm._location),_xlpm._icon),IFERROR(_xlpm._hyperlink,""))</f>
        <v/>
      </c>
      <c r="BI267" s="2138" t="str" cm="1">
        <f t="array" ca="1" aca="1" ref="BI267">_xlfn.LET(_xlpm._termname,$AB267,_xlpm._iconname,"find",_xlpm._icon,fx_getIcon(_xlpm._iconname),_xlpm._location,_xlfn.XLOOKUP(LOWER(_xlpm._termname),LOWER(tbl_acctDef[Definition]),tbl_acctDef[Definition]),_xlpm._hyperlink,HYPERLINK("#"&amp;CELL("address",_xlpm._location),_xlpm._icon),IFERROR(_xlpm._hyperlink,""))</f>
        <v/>
      </c>
      <c r="BJ267" s="2138" t="str" cm="1">
        <f t="array" ca="1" aca="1" ref="BJ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267" s="2138" t="str" cm="1">
        <f t="array" ca="1" aca="1" ref="BK267">_xlfn.LET(_xlpm._termname,$AB267,_xlpm._iconname,"find",_xlpm._icon,fx_getIcon(_xlpm._iconname),_xlpm._location,_xlfn.XLOOKUP(LOWER(_xlpm._termname),LOWER(tbl_acctDef[Order]),tbl_acctDef[Order]),_xlpm._hyperlink,HYPERLINK("#"&amp;CELL("address",_xlpm._location),_xlpm._icon),IFERROR(_xlpm._hyperlink,""))</f>
        <v/>
      </c>
      <c r="BL267" s="2138" t="str" cm="1">
        <f t="array" ca="1" aca="1" ref="BL267">_xlfn.LET(_xlpm._termname,$AB267,_xlpm._iconname,"find",_xlpm._icon,fx_getIcon(_xlpm._iconname),_xlpm._location,_xlfn.XLOOKUP(LOWER(_xlpm._termname),LOWER(tbl_acctDef[Term]),tbl_acctDef[Term]),_xlpm._hyperlink,HYPERLINK("#"&amp;CELL("address",_xlpm._location),_xlpm._icon),IFERROR(_xlpm._hyperlink,""))</f>
        <v/>
      </c>
      <c r="BM267" s="2138" t="str" cm="1">
        <f t="array" ca="1" aca="1" ref="BM267">_xlfn.LET(_xlpm._termname,$AB267,_xlpm._iconname,"find",_xlpm._icon,fx_getIcon(_xlpm._iconname),_xlpm._location,_xlfn.XLOOKUP(LOWER(_xlpm._termname),LOWER(tbl_acctDef[Statement]),tbl_acctDef[Statement]),_xlpm._hyperlink,HYPERLINK("#"&amp;CELL("address",_xlpm._location),_xlpm._icon),IFERROR(_xlpm._hyperlink,""))</f>
        <v/>
      </c>
      <c r="BN267" s="2138" t="str" cm="1">
        <f t="array" ca="1" aca="1" ref="BN267">_xlfn.LET(_xlpm._termname,$AB267,_xlpm._iconname,"find",_xlpm._icon,fx_getIcon(_xlpm._iconname),_xlpm._location,_xlfn.XLOOKUP(LOWER(_xlpm._termname),LOWER(tbl_acctDef[Definition]),tbl_acctDef[Definition]),_xlpm._hyperlink,HYPERLINK("#"&amp;CELL("address",_xlpm._location),_xlpm._icon),IFERROR(_xlpm._hyperlink,""))</f>
        <v/>
      </c>
      <c r="BO267" s="2361"/>
      <c r="BP267" s="2361"/>
      <c r="BQ267" s="2361"/>
      <c r="BR267" s="2361"/>
      <c r="BS267" s="2361"/>
      <c r="BT267" s="2361"/>
      <c r="BU267" s="2361"/>
      <c r="BV267" s="2361"/>
      <c r="BW267" s="2361"/>
      <c r="BX267" s="2361"/>
      <c r="BY267" s="2361"/>
      <c r="BZ267" s="2361"/>
      <c r="CA267" s="34"/>
      <c r="CC267" s="58"/>
      <c r="CD267" s="1720" t="e" cm="1">
        <f t="array" ca="1" aca="1" ref="CD267">fx_scenarioConverter($W262)</f>
        <v>#NAME?</v>
      </c>
      <c r="CE267" s="1721" t="e" cm="1">
        <f t="array" ca="1" aca="1" ref="CE267">fx_scenarioConverter($W262)</f>
        <v>#NAME?</v>
      </c>
      <c r="CF267" s="128"/>
      <c r="CG267" s="1734" t="e" cm="1">
        <f t="array" ca="1" aca="1" ref="CG267">fx_scenarioConverter($W262)</f>
        <v>#NAME?</v>
      </c>
      <c r="CH267" s="1735" t="e" cm="1">
        <f t="array" ca="1" aca="1" ref="CH267">fx_scenarioConverter($W262)</f>
        <v>#NAME?</v>
      </c>
      <c r="CI267" s="207"/>
      <c r="CJ267" s="1724" t="e" cm="1">
        <f t="array" ca="1" aca="1" ref="CJ267">fx_scenarioConverter($W262)</f>
        <v>#NAME?</v>
      </c>
      <c r="CK267" s="1725" t="e" cm="1">
        <f t="array" ca="1" aca="1" ref="CK267">fx_scenarioConverter($W262)</f>
        <v>#NAME?</v>
      </c>
      <c r="CL267" s="88"/>
      <c r="CM267" s="1198" t="str">
        <f>CM$19</f>
        <v>Original Budget</v>
      </c>
      <c r="CN267" s="1198" t="str">
        <f>CN$19</f>
        <v>LE</v>
      </c>
      <c r="CO267" s="88"/>
      <c r="CP267" s="1198" t="str">
        <f>CP$19</f>
        <v>Original Budget</v>
      </c>
      <c r="CQ267" s="1198" t="str">
        <f>CQ$19</f>
        <v>LE</v>
      </c>
      <c r="CR267" s="34"/>
      <c r="CS267" s="2056"/>
      <c r="DC267"/>
    </row>
    <row r="268" spans="1:107" ht="21" customHeight="1">
      <c r="A268" s="1627"/>
      <c r="B268" s="2606"/>
      <c r="C268" s="2540"/>
      <c r="D268" s="1549"/>
      <c r="E268" s="2440" t="e" cm="1">
        <f t="array" ca="1" aca="1" ref="E26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268:$CQ268,Z268)</f>
        <v>#NAME?</v>
      </c>
      <c r="F268" s="401"/>
      <c r="G268" s="401"/>
      <c r="H268" s="585">
        <v>0</v>
      </c>
      <c r="I268" s="3290">
        <v>1</v>
      </c>
      <c r="J268" s="401"/>
      <c r="K268" s="401" t="str">
        <f t="shared" si="70" ref="K268:K269">IFERROR(IF(LEN(AB268)=0,"No",IF(LEN(J268)&gt;0,"Yes","No")),"")</f>
        <v>No</v>
      </c>
      <c r="L268" s="37"/>
      <c r="N268" s="158"/>
      <c r="O268" s="101"/>
      <c r="P268" s="52"/>
      <c r="Q268" s="101"/>
      <c r="R268" s="101"/>
      <c r="S268" s="101"/>
      <c r="T268" s="2324"/>
      <c r="U268" s="39"/>
      <c r="V268" s="37"/>
      <c r="W268" s="2364" t="e">
        <f ca="1">W267</f>
        <v>#NAME?</v>
      </c>
      <c r="X268" s="2373">
        <f>_PL!X268</f>
        <v>0</v>
      </c>
      <c r="Y268" s="3227">
        <v>2</v>
      </c>
      <c r="Z268" s="198">
        <f>_PL!Z268</f>
        <v>0</v>
      </c>
      <c r="AA268" s="200" t="str" cm="1">
        <f t="array" ca="1" aca="1" ref="AA268">IF(Y268="","",_xlfn.LET(_xlpm._termname,$W268&amp;$Y268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8" s="1134"/>
      <c r="AC268" s="125" t="str" cm="1">
        <f t="array" ca="1" aca="1" ref="AC268">IF(AB268="","",_xlfn.LET(_xlpm._termname,PL!$W268&amp;$AB268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68" s="2152" t="e" cm="1">
        <f t="array" ca="1" aca="1" ref="AD268">_xlfn.LET(_xlpm.search_key,$W268&amp;$Y268,_xlpm.Scenario,_xlfn.VSTACK($W$20:$W$55&amp;$Y$20:$Y$55,$W$76:$W$110&amp;$Y$76:$Y$110),_xlpm.Data,_xlfn.VSTACK($AD$20:$BN$55,$AD$76:$BN$110),IF(OR($Y268="",ISNUMBER(SEARCH("please",$Y268))),"",_xlfn.XLOOKUP(_xlpm.search_key,_xlpm.Scenario,_xlpm.Data,"▧")))</f>
        <v>#NAME?</v>
      </c>
      <c r="AE268" s="2152"/>
      <c r="AF268" s="2152"/>
      <c r="AG268" s="2152"/>
      <c r="AH268" s="2152"/>
      <c r="AI268" s="2152"/>
      <c r="AJ268" s="2152"/>
      <c r="AK268" s="2152"/>
      <c r="AL268" s="2152"/>
      <c r="AM268" s="2152"/>
      <c r="AN268" s="2152"/>
      <c r="AO268" s="2152"/>
      <c r="AP268" s="2152"/>
      <c r="AQ268" s="2152"/>
      <c r="AR268" s="2152"/>
      <c r="AS268" s="2152"/>
      <c r="AT268" s="2152"/>
      <c r="AU268" s="2152"/>
      <c r="AV268" s="2152"/>
      <c r="AW268" s="2152"/>
      <c r="AX268" s="2152"/>
      <c r="AY268" s="2152"/>
      <c r="AZ268" s="2152"/>
      <c r="BA268" s="2152"/>
      <c r="BB268" s="2152"/>
      <c r="BC268" s="2152"/>
      <c r="BD268" s="2152"/>
      <c r="BE268" s="2152"/>
      <c r="BF268" s="2152"/>
      <c r="BG268" s="2152"/>
      <c r="BH268" s="2152"/>
      <c r="BI268" s="2152"/>
      <c r="BJ268" s="2152"/>
      <c r="BK268" s="2152"/>
      <c r="BL268" s="2152"/>
      <c r="BM268" s="2152"/>
      <c r="BN268" s="2152"/>
      <c r="BO268" s="2362"/>
      <c r="BP268" s="2362"/>
      <c r="BQ268" s="2362"/>
      <c r="BR268" s="2362"/>
      <c r="BS268" s="2362"/>
      <c r="BT268" s="2362"/>
      <c r="BU268" s="2362"/>
      <c r="BV268" s="2362"/>
      <c r="BW268" s="2362"/>
      <c r="BX268" s="2362"/>
      <c r="BY268" s="2362"/>
      <c r="BZ268" s="2362"/>
      <c r="CA268" s="34"/>
      <c r="CC268" s="58"/>
      <c r="CD268" s="2154" t="e" cm="1">
        <f t="array" ca="1" aca="1" ref="CD268">_xlfn.LET(_xlpm.search_key,$W268&amp;$Y268,_xlpm.Scenario,_xlfn.VSTACK($W$20:$W$55&amp;$Y$20:$Y$55,$W$76:$W$110&amp;$Y$76:$Y$110),_xlpm.Data,_xlfn.VSTACK(CD$20:CE$55,CD$76:CE$110),IF(OR($Y268="",ISNUMBER(SEARCH("please",$Y268))),"",_xlfn.XLOOKUP(_xlpm.search_key,_xlpm.Scenario,_xlpm.Data,"▧")))</f>
        <v>#NAME?</v>
      </c>
      <c r="CE268" s="2154"/>
      <c r="CF268" s="88"/>
      <c r="CG268" s="2154" t="e" cm="1">
        <f t="array" ca="1" aca="1" ref="CG268">_xlfn.LET(_xlpm.search_key,$W268&amp;$Y268,_xlpm.Scenario,_xlfn.VSTACK($W$20:$W$55&amp;$Y$20:$Y$55,$W$76:$W$110&amp;$Y$76:$Y$110),_xlpm.Data,_xlfn.VSTACK(CG$20:CH$55,CG$76:CH$110),IF(OR($Y268="",ISNUMBER(SEARCH("please",$Y268))),"",_xlfn.XLOOKUP(_xlpm.search_key,_xlpm.Scenario,_xlpm.Data,"▧")))</f>
        <v>#NAME?</v>
      </c>
      <c r="CH268" s="2154"/>
      <c r="CI268" s="88"/>
      <c r="CJ268" s="2154" t="e" cm="1">
        <f t="array" ca="1" aca="1" ref="CJ268">_xlfn.LET(_xlpm.search_key,$W268&amp;$Y268,_xlpm.Scenario,_xlfn.VSTACK($W$20:$W$55&amp;$Y$20:$Y$55,$W$76:$W$110&amp;$Y$76:$Y$110),_xlpm.Data,_xlfn.VSTACK(CJ$20:CK$55,CJ$76:CK$110),IF(OR($Y268="",ISNUMBER(SEARCH("please",$Y268))),"",_xlfn.XLOOKUP(_xlpm.search_key,_xlpm.Scenario,_xlpm.Data,"▧")))</f>
        <v>#NAME?</v>
      </c>
      <c r="CK268" s="2154"/>
      <c r="CL268" s="88"/>
      <c r="CM268" s="2154" t="e" cm="1">
        <f t="array" ca="1" aca="1" ref="CM268">_xlfn.LET(_xlpm.search_key,$W268&amp;$Y268,_xlpm.Scenario,_xlfn.VSTACK($W$20:$W$55&amp;$Y$20:$Y$55,$W$76:$W$110&amp;$Y$76:$Y$110),_xlpm.Data,_xlfn.VSTACK(CM$20:CN$55,CM$76:CN$110),IF(OR($Y268="",ISNUMBER(SEARCH("please",$Y268))),"",_xlfn.XLOOKUP(_xlpm.search_key,_xlpm.Scenario,_xlpm.Data,"▧")))</f>
        <v>#NAME?</v>
      </c>
      <c r="CN268" s="2154"/>
      <c r="CO268" s="88"/>
      <c r="CP268" s="2154" t="e" cm="1">
        <f t="array" ca="1" aca="1" ref="CP268">_xlfn.LET(_xlpm.search_key,$W268&amp;$Y268,_xlpm.Scenario,_xlfn.VSTACK($W$20:$W$55&amp;$Y$20:$Y$55,$W$76:$W$110&amp;$Y$76:$Y$110),_xlpm.Data,_xlfn.VSTACK(CP$20:CQ$55,CP$76:CQ$110),IF(OR($Y268="",ISNUMBER(SEARCH("please",$Y268))),"",_xlfn.XLOOKUP(_xlpm.search_key,_xlpm.Scenario,_xlpm.Data,"▧")))</f>
        <v>#NAME?</v>
      </c>
      <c r="CQ268" s="2154"/>
      <c r="CR268" s="34"/>
      <c r="CS268" s="2056"/>
      <c r="DC268"/>
    </row>
    <row r="269" spans="1:107" ht="21" customHeight="1">
      <c r="A269" s="1627"/>
      <c r="B269" s="2606"/>
      <c r="C269" s="2540"/>
      <c r="D269" s="1549"/>
      <c r="E269" s="2440" t="e" cm="1">
        <f t="array" ca="1" aca="1" ref="E26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269:$CQ269,Z269)</f>
        <v>#NAME?</v>
      </c>
      <c r="F269" s="401"/>
      <c r="G269" s="401"/>
      <c r="H269" s="585">
        <v>0</v>
      </c>
      <c r="I269" s="3290">
        <v>1</v>
      </c>
      <c r="J269" s="401"/>
      <c r="K269" s="401" t="str">
        <f t="shared" si="70"/>
        <v>No</v>
      </c>
      <c r="L269" s="37"/>
      <c r="N269" s="158"/>
      <c r="O269" s="101"/>
      <c r="P269" s="52"/>
      <c r="Q269" s="101"/>
      <c r="R269" s="101"/>
      <c r="S269" s="101"/>
      <c r="T269" s="101"/>
      <c r="U269" s="39"/>
      <c r="V269" s="37"/>
      <c r="W269" s="2364" t="e">
        <f ca="1">W267</f>
        <v>#NAME?</v>
      </c>
      <c r="X269" s="2373">
        <f>_PL!X269</f>
        <v>0</v>
      </c>
      <c r="Y269" s="3228">
        <v>2</v>
      </c>
      <c r="Z269" s="198">
        <f>_PL!Z269</f>
        <v>0</v>
      </c>
      <c r="AA269" s="200" t="str" cm="1">
        <f t="array" ca="1" aca="1" ref="AA269">IF(Y269="","",_xlfn.LET(_xlpm._termname,$W269&amp;$Y269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9" s="1134"/>
      <c r="AC269" s="125" t="str" cm="1">
        <f t="array" ca="1" aca="1" ref="AC269">IF(AB269="","",_xlfn.LET(_xlpm._termname,PL!$W270&amp;$AB269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69" s="2152" t="e" cm="1">
        <f t="array" ca="1" aca="1" ref="AD269">_xlfn.LET(_xlpm.search_key,$W269&amp;$Y269,_xlpm.Scenario,_xlfn.VSTACK($W$20:$W$55&amp;$Y$20:$Y$55,$W$76:$W$110&amp;$Y$76:$Y$110),_xlpm.Data,_xlfn.VSTACK($AD$20:$BN$55,$AD$76:$BN$110),IF(OR($Y269="",ISNUMBER(SEARCH("please",$Y269))),"",_xlfn.XLOOKUP(_xlpm.search_key,_xlpm.Scenario,_xlpm.Data,"▧")))</f>
        <v>#NAME?</v>
      </c>
      <c r="AE269" s="2152"/>
      <c r="AF269" s="2152"/>
      <c r="AG269" s="2152"/>
      <c r="AH269" s="2152"/>
      <c r="AI269" s="2152"/>
      <c r="AJ269" s="2152"/>
      <c r="AK269" s="2152"/>
      <c r="AL269" s="2152"/>
      <c r="AM269" s="2152"/>
      <c r="AN269" s="2152"/>
      <c r="AO269" s="2152"/>
      <c r="AP269" s="2152"/>
      <c r="AQ269" s="2152"/>
      <c r="AR269" s="2152"/>
      <c r="AS269" s="2152"/>
      <c r="AT269" s="2152"/>
      <c r="AU269" s="2152"/>
      <c r="AV269" s="2152"/>
      <c r="AW269" s="2152"/>
      <c r="AX269" s="2152"/>
      <c r="AY269" s="2152"/>
      <c r="AZ269" s="2152"/>
      <c r="BA269" s="2152"/>
      <c r="BB269" s="2152"/>
      <c r="BC269" s="2152"/>
      <c r="BD269" s="2152"/>
      <c r="BE269" s="2152"/>
      <c r="BF269" s="2152"/>
      <c r="BG269" s="2152"/>
      <c r="BH269" s="2152"/>
      <c r="BI269" s="2152"/>
      <c r="BJ269" s="2152"/>
      <c r="BK269" s="2152"/>
      <c r="BL269" s="2152"/>
      <c r="BM269" s="2152"/>
      <c r="BN269" s="2152"/>
      <c r="BO269" s="2362"/>
      <c r="BP269" s="2362"/>
      <c r="BQ269" s="2362"/>
      <c r="BR269" s="2362"/>
      <c r="BS269" s="2362"/>
      <c r="BT269" s="2362"/>
      <c r="BU269" s="2362"/>
      <c r="BV269" s="2362"/>
      <c r="BW269" s="2362"/>
      <c r="BX269" s="2362"/>
      <c r="BY269" s="2362"/>
      <c r="BZ269" s="2362"/>
      <c r="CA269" s="34"/>
      <c r="CC269" s="58"/>
      <c r="CD269" s="2154" t="e" cm="1">
        <f t="array" ca="1" aca="1" ref="CD269">_xlfn.LET(_xlpm.search_key,$W269&amp;$Y269,_xlpm.Scenario,_xlfn.VSTACK($W$20:$W$55&amp;$Y$20:$Y$55,$W$76:$W$110&amp;$Y$76:$Y$110),_xlpm.Data,_xlfn.VSTACK(CD$20:CE$55,CD$76:CE$110),IF(OR($Y269="",ISNUMBER(SEARCH("please",$Y269))),"",_xlfn.XLOOKUP(_xlpm.search_key,_xlpm.Scenario,_xlpm.Data,"▧")))</f>
        <v>#NAME?</v>
      </c>
      <c r="CE269" s="2154"/>
      <c r="CF269" s="88"/>
      <c r="CG269" s="2154" t="e" cm="1">
        <f t="array" ca="1" aca="1" ref="CG269">_xlfn.LET(_xlpm.search_key,$W269&amp;$Y269,_xlpm.Scenario,_xlfn.VSTACK($W$20:$W$55&amp;$Y$20:$Y$55,$W$76:$W$110&amp;$Y$76:$Y$110),_xlpm.Data,_xlfn.VSTACK(CG$20:CH$55,CG$76:CH$110),IF(OR($Y269="",ISNUMBER(SEARCH("please",$Y269))),"",_xlfn.XLOOKUP(_xlpm.search_key,_xlpm.Scenario,_xlpm.Data,"▧")))</f>
        <v>#NAME?</v>
      </c>
      <c r="CH269" s="2154"/>
      <c r="CI269" s="88"/>
      <c r="CJ269" s="2154" t="e" cm="1">
        <f t="array" ca="1" aca="1" ref="CJ269">_xlfn.LET(_xlpm.search_key,$W269&amp;$Y269,_xlpm.Scenario,_xlfn.VSTACK($W$20:$W$55&amp;$Y$20:$Y$55,$W$76:$W$110&amp;$Y$76:$Y$110),_xlpm.Data,_xlfn.VSTACK(CJ$20:CK$55,CJ$76:CK$110),IF(OR($Y269="",ISNUMBER(SEARCH("please",$Y269))),"",_xlfn.XLOOKUP(_xlpm.search_key,_xlpm.Scenario,_xlpm.Data,"▧")))</f>
        <v>#NAME?</v>
      </c>
      <c r="CK269" s="2154"/>
      <c r="CL269" s="88"/>
      <c r="CM269" s="2154" t="e" cm="1">
        <f t="array" ca="1" aca="1" ref="CM269">_xlfn.LET(_xlpm.search_key,$W269&amp;$Y269,_xlpm.Scenario,_xlfn.VSTACK($W$20:$W$55&amp;$Y$20:$Y$55,$W$76:$W$110&amp;$Y$76:$Y$110),_xlpm.Data,_xlfn.VSTACK(CM$20:CN$55,CM$76:CN$110),IF(OR($Y269="",ISNUMBER(SEARCH("please",$Y269))),"",_xlfn.XLOOKUP(_xlpm.search_key,_xlpm.Scenario,_xlpm.Data,"▧")))</f>
        <v>#NAME?</v>
      </c>
      <c r="CN269" s="2154"/>
      <c r="CO269" s="88"/>
      <c r="CP269" s="2154" t="e" cm="1">
        <f t="array" ca="1" aca="1" ref="CP269">_xlfn.LET(_xlpm.search_key,$W269&amp;$Y269,_xlpm.Scenario,_xlfn.VSTACK($W$20:$W$55&amp;$Y$20:$Y$55,$W$76:$W$110&amp;$Y$76:$Y$110),_xlpm.Data,_xlfn.VSTACK(CP$20:CQ$55,CP$76:CQ$110),IF(OR($Y269="",ISNUMBER(SEARCH("please",$Y269))),"",_xlfn.XLOOKUP(_xlpm.search_key,_xlpm.Scenario,_xlpm.Data,"▧")))</f>
        <v>#NAME?</v>
      </c>
      <c r="CQ269" s="2154"/>
      <c r="CR269" s="34"/>
      <c r="CS269" s="2056"/>
      <c r="DC269"/>
    </row>
    <row r="270" spans="1:107" ht="21" customHeight="1">
      <c r="A270" s="1627"/>
      <c r="B270" s="2606"/>
      <c r="C270" s="2540"/>
      <c r="D270" s="1549"/>
      <c r="E270" s="2440"/>
      <c r="F270" s="401"/>
      <c r="G270" s="401"/>
      <c r="H270" s="585"/>
      <c r="I270" s="585"/>
      <c r="J270" s="401"/>
      <c r="K270" s="401"/>
      <c r="L270" s="37"/>
      <c r="N270" s="158"/>
      <c r="O270" s="101"/>
      <c r="P270" s="52"/>
      <c r="Q270" s="101"/>
      <c r="R270" s="101"/>
      <c r="S270" s="101"/>
      <c r="T270" s="101"/>
      <c r="U270" s="39"/>
      <c r="V270" s="37"/>
      <c r="W270" s="2364" t="e">
        <f ca="1">W267</f>
        <v>#NAME?</v>
      </c>
      <c r="X270" s="2373">
        <f>_PL!X270</f>
        <v>0</v>
      </c>
      <c r="Y270" s="3228">
        <v>2</v>
      </c>
      <c r="Z270" s="198">
        <f>_PL!Z270</f>
        <v>0</v>
      </c>
      <c r="AA270" s="200" t="str" cm="1">
        <f t="array" ca="1" aca="1" ref="AA270">IF(Y270="","",_xlfn.LET(_xlpm._termname,$W270&amp;$Y270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0" s="1134"/>
      <c r="AC270" s="125"/>
      <c r="AD270" s="2152" t="e" cm="1">
        <f t="array" ca="1" aca="1" ref="AD270">_xlfn.LET(_xlpm.search_key,$W270&amp;$Y270,_xlpm.Scenario,_xlfn.VSTACK($W$20:$W$55&amp;$Y$20:$Y$55,$W$76:$W$110&amp;$Y$76:$Y$110),_xlpm.Data,_xlfn.VSTACK($AD$20:$BN$55,$AD$76:$BN$110),IF(OR($Y270="",ISNUMBER(SEARCH("please",$Y270))),"",_xlfn.XLOOKUP(_xlpm.search_key,_xlpm.Scenario,_xlpm.Data,"▧")))</f>
        <v>#NAME?</v>
      </c>
      <c r="AE270" s="2152"/>
      <c r="AF270" s="2152"/>
      <c r="AG270" s="2152"/>
      <c r="AH270" s="2152"/>
      <c r="AI270" s="2152"/>
      <c r="AJ270" s="2152"/>
      <c r="AK270" s="2152"/>
      <c r="AL270" s="2152"/>
      <c r="AM270" s="2152"/>
      <c r="AN270" s="2152"/>
      <c r="AO270" s="2152"/>
      <c r="AP270" s="2152"/>
      <c r="AQ270" s="2152"/>
      <c r="AR270" s="2152"/>
      <c r="AS270" s="2152"/>
      <c r="AT270" s="2152"/>
      <c r="AU270" s="2152"/>
      <c r="AV270" s="2152"/>
      <c r="AW270" s="2152"/>
      <c r="AX270" s="2152"/>
      <c r="AY270" s="2152"/>
      <c r="AZ270" s="2152"/>
      <c r="BA270" s="2152"/>
      <c r="BB270" s="2152"/>
      <c r="BC270" s="2152"/>
      <c r="BD270" s="2152"/>
      <c r="BE270" s="2152"/>
      <c r="BF270" s="2152"/>
      <c r="BG270" s="2152"/>
      <c r="BH270" s="2152"/>
      <c r="BI270" s="2152"/>
      <c r="BJ270" s="2152"/>
      <c r="BK270" s="2152"/>
      <c r="BL270" s="2152"/>
      <c r="BM270" s="2152"/>
      <c r="BN270" s="2152"/>
      <c r="BO270" s="2362"/>
      <c r="BP270" s="2362"/>
      <c r="BQ270" s="2362"/>
      <c r="BR270" s="2362"/>
      <c r="BS270" s="2362"/>
      <c r="BT270" s="2362"/>
      <c r="BU270" s="2362"/>
      <c r="BV270" s="2362"/>
      <c r="BW270" s="2362"/>
      <c r="BX270" s="2362"/>
      <c r="BY270" s="2362"/>
      <c r="BZ270" s="2362"/>
      <c r="CA270" s="34"/>
      <c r="CC270" s="58"/>
      <c r="CD270" s="2154" t="e" cm="1">
        <f t="array" ca="1" aca="1" ref="CD270">_xlfn.LET(_xlpm.search_key,$W270&amp;$Y270,_xlpm.Scenario,_xlfn.VSTACK($W$20:$W$55&amp;$Y$20:$Y$55,$W$76:$W$110&amp;$Y$76:$Y$110),_xlpm.Data,_xlfn.VSTACK(CD$20:CE$55,CD$76:CE$110),IF(OR($Y270="",ISNUMBER(SEARCH("please",$Y270))),"",_xlfn.XLOOKUP(_xlpm.search_key,_xlpm.Scenario,_xlpm.Data,"▧")))</f>
        <v>#NAME?</v>
      </c>
      <c r="CE270" s="2154"/>
      <c r="CF270" s="88"/>
      <c r="CG270" s="2154" t="e" cm="1">
        <f t="array" ca="1" aca="1" ref="CG270">_xlfn.LET(_xlpm.search_key,$W270&amp;$Y270,_xlpm.Scenario,_xlfn.VSTACK($W$20:$W$55&amp;$Y$20:$Y$55,$W$76:$W$110&amp;$Y$76:$Y$110),_xlpm.Data,_xlfn.VSTACK(CG$20:CH$55,CG$76:CH$110),IF(OR($Y270="",ISNUMBER(SEARCH("please",$Y270))),"",_xlfn.XLOOKUP(_xlpm.search_key,_xlpm.Scenario,_xlpm.Data,"▧")))</f>
        <v>#NAME?</v>
      </c>
      <c r="CH270" s="2154"/>
      <c r="CI270" s="88"/>
      <c r="CJ270" s="2154" t="e" cm="1">
        <f t="array" ca="1" aca="1" ref="CJ270">_xlfn.LET(_xlpm.search_key,$W270&amp;$Y270,_xlpm.Scenario,_xlfn.VSTACK($W$20:$W$55&amp;$Y$20:$Y$55,$W$76:$W$110&amp;$Y$76:$Y$110),_xlpm.Data,_xlfn.VSTACK(CJ$20:CK$55,CJ$76:CK$110),IF(OR($Y270="",ISNUMBER(SEARCH("please",$Y270))),"",_xlfn.XLOOKUP(_xlpm.search_key,_xlpm.Scenario,_xlpm.Data,"▧")))</f>
        <v>#NAME?</v>
      </c>
      <c r="CK270" s="2154"/>
      <c r="CL270" s="88"/>
      <c r="CM270" s="2154" t="e" cm="1">
        <f t="array" ca="1" aca="1" ref="CM270">_xlfn.LET(_xlpm.search_key,$W270&amp;$Y270,_xlpm.Scenario,_xlfn.VSTACK($W$20:$W$55&amp;$Y$20:$Y$55,$W$76:$W$110&amp;$Y$76:$Y$110),_xlpm.Data,_xlfn.VSTACK(CM$20:CN$55,CM$76:CN$110),IF(OR($Y270="",ISNUMBER(SEARCH("please",$Y270))),"",_xlfn.XLOOKUP(_xlpm.search_key,_xlpm.Scenario,_xlpm.Data,"▧")))</f>
        <v>#NAME?</v>
      </c>
      <c r="CN270" s="2154"/>
      <c r="CO270" s="88"/>
      <c r="CP270" s="2154" t="e" cm="1">
        <f t="array" ca="1" aca="1" ref="CP270">_xlfn.LET(_xlpm.search_key,$W270&amp;$Y270,_xlpm.Scenario,_xlfn.VSTACK($W$20:$W$55&amp;$Y$20:$Y$55,$W$76:$W$110&amp;$Y$76:$Y$110),_xlpm.Data,_xlfn.VSTACK(CP$20:CQ$55,CP$76:CQ$110),IF(OR($Y270="",ISNUMBER(SEARCH("please",$Y270))),"",_xlfn.XLOOKUP(_xlpm.search_key,_xlpm.Scenario,_xlpm.Data,"▧")))</f>
        <v>#NAME?</v>
      </c>
      <c r="CQ270" s="2154"/>
      <c r="CR270" s="34"/>
      <c r="CS270" s="2056"/>
      <c r="DC270"/>
    </row>
    <row r="271" spans="1:107" ht="21" customHeight="1">
      <c r="A271" s="1627"/>
      <c r="B271" s="2606"/>
      <c r="C271" s="2540"/>
      <c r="D271" s="1549"/>
      <c r="E271" s="2440"/>
      <c r="F271" s="401"/>
      <c r="G271" s="401"/>
      <c r="H271" s="585"/>
      <c r="I271" s="585"/>
      <c r="J271" s="401"/>
      <c r="K271" s="401"/>
      <c r="L271" s="37"/>
      <c r="N271" s="158"/>
      <c r="O271" s="101"/>
      <c r="P271" s="52"/>
      <c r="Q271" s="101"/>
      <c r="R271" s="101"/>
      <c r="S271" s="101"/>
      <c r="T271" s="101"/>
      <c r="U271" s="39"/>
      <c r="V271" s="37"/>
      <c r="W271" s="2364" t="e">
        <f ca="1">W267</f>
        <v>#NAME?</v>
      </c>
      <c r="X271" s="2373">
        <f>_PL!X271</f>
        <v>0</v>
      </c>
      <c r="Y271" s="3228">
        <v>2</v>
      </c>
      <c r="Z271" s="198">
        <f>_PL!Z271</f>
        <v>0</v>
      </c>
      <c r="AA271" s="200" t="str" cm="1">
        <f t="array" ca="1" aca="1" ref="AA271">IF(Y271="","",_xlfn.LET(_xlpm._termname,$W271&amp;$Y271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1" s="1134"/>
      <c r="AC271" s="125"/>
      <c r="AD271" s="2152" t="e" cm="1">
        <f t="array" ca="1" aca="1" ref="AD271">_xlfn.LET(_xlpm.search_key,$W271&amp;$Y271,_xlpm.Scenario,_xlfn.VSTACK($W$20:$W$55&amp;$Y$20:$Y$55,$W$76:$W$110&amp;$Y$76:$Y$110),_xlpm.Data,_xlfn.VSTACK($AD$20:$BN$55,$AD$76:$BN$110),IF(OR($Y271="",ISNUMBER(SEARCH("please",$Y271))),"",_xlfn.XLOOKUP(_xlpm.search_key,_xlpm.Scenario,_xlpm.Data,"▧")))</f>
        <v>#NAME?</v>
      </c>
      <c r="AE271" s="2152"/>
      <c r="AF271" s="2152"/>
      <c r="AG271" s="2152"/>
      <c r="AH271" s="2152"/>
      <c r="AI271" s="2152"/>
      <c r="AJ271" s="2152"/>
      <c r="AK271" s="2152"/>
      <c r="AL271" s="2152"/>
      <c r="AM271" s="2152"/>
      <c r="AN271" s="2152"/>
      <c r="AO271" s="2152"/>
      <c r="AP271" s="2152"/>
      <c r="AQ271" s="2152"/>
      <c r="AR271" s="2152"/>
      <c r="AS271" s="2152"/>
      <c r="AT271" s="2152"/>
      <c r="AU271" s="2152"/>
      <c r="AV271" s="2152"/>
      <c r="AW271" s="2152"/>
      <c r="AX271" s="2152"/>
      <c r="AY271" s="2152"/>
      <c r="AZ271" s="2152"/>
      <c r="BA271" s="2152"/>
      <c r="BB271" s="2152"/>
      <c r="BC271" s="2152"/>
      <c r="BD271" s="2152"/>
      <c r="BE271" s="2152"/>
      <c r="BF271" s="2152"/>
      <c r="BG271" s="2152"/>
      <c r="BH271" s="2152"/>
      <c r="BI271" s="2152"/>
      <c r="BJ271" s="2152"/>
      <c r="BK271" s="2152"/>
      <c r="BL271" s="2152"/>
      <c r="BM271" s="2152"/>
      <c r="BN271" s="2152"/>
      <c r="BO271" s="2362"/>
      <c r="BP271" s="2362"/>
      <c r="BQ271" s="2362"/>
      <c r="BR271" s="2362"/>
      <c r="BS271" s="2362"/>
      <c r="BT271" s="2362"/>
      <c r="BU271" s="2362"/>
      <c r="BV271" s="2362"/>
      <c r="BW271" s="2362"/>
      <c r="BX271" s="2362"/>
      <c r="BY271" s="2362"/>
      <c r="BZ271" s="2362"/>
      <c r="CA271" s="34"/>
      <c r="CC271" s="58"/>
      <c r="CD271" s="2154" t="e" cm="1">
        <f t="array" ca="1" aca="1" ref="CD271">_xlfn.LET(_xlpm.search_key,$W271&amp;$Y271,_xlpm.Scenario,_xlfn.VSTACK($W$20:$W$55&amp;$Y$20:$Y$55,$W$76:$W$110&amp;$Y$76:$Y$110),_xlpm.Data,_xlfn.VSTACK(CD$20:CE$55,CD$76:CE$110),IF(OR($Y271="",ISNUMBER(SEARCH("please",$Y271))),"",_xlfn.XLOOKUP(_xlpm.search_key,_xlpm.Scenario,_xlpm.Data,"▧")))</f>
        <v>#NAME?</v>
      </c>
      <c r="CE271" s="2154"/>
      <c r="CF271" s="88"/>
      <c r="CG271" s="2154" t="e" cm="1">
        <f t="array" ca="1" aca="1" ref="CG271">_xlfn.LET(_xlpm.search_key,$W271&amp;$Y271,_xlpm.Scenario,_xlfn.VSTACK($W$20:$W$55&amp;$Y$20:$Y$55,$W$76:$W$110&amp;$Y$76:$Y$110),_xlpm.Data,_xlfn.VSTACK(CG$20:CH$55,CG$76:CH$110),IF(OR($Y271="",ISNUMBER(SEARCH("please",$Y271))),"",_xlfn.XLOOKUP(_xlpm.search_key,_xlpm.Scenario,_xlpm.Data,"▧")))</f>
        <v>#NAME?</v>
      </c>
      <c r="CH271" s="2154"/>
      <c r="CI271" s="88"/>
      <c r="CJ271" s="2154" t="e" cm="1">
        <f t="array" ca="1" aca="1" ref="CJ271">_xlfn.LET(_xlpm.search_key,$W271&amp;$Y271,_xlpm.Scenario,_xlfn.VSTACK($W$20:$W$55&amp;$Y$20:$Y$55,$W$76:$W$110&amp;$Y$76:$Y$110),_xlpm.Data,_xlfn.VSTACK(CJ$20:CK$55,CJ$76:CK$110),IF(OR($Y271="",ISNUMBER(SEARCH("please",$Y271))),"",_xlfn.XLOOKUP(_xlpm.search_key,_xlpm.Scenario,_xlpm.Data,"▧")))</f>
        <v>#NAME?</v>
      </c>
      <c r="CK271" s="2154"/>
      <c r="CL271" s="88"/>
      <c r="CM271" s="2154" t="e" cm="1">
        <f t="array" ca="1" aca="1" ref="CM271">_xlfn.LET(_xlpm.search_key,$W271&amp;$Y271,_xlpm.Scenario,_xlfn.VSTACK($W$20:$W$55&amp;$Y$20:$Y$55,$W$76:$W$110&amp;$Y$76:$Y$110),_xlpm.Data,_xlfn.VSTACK(CM$20:CN$55,CM$76:CN$110),IF(OR($Y271="",ISNUMBER(SEARCH("please",$Y271))),"",_xlfn.XLOOKUP(_xlpm.search_key,_xlpm.Scenario,_xlpm.Data,"▧")))</f>
        <v>#NAME?</v>
      </c>
      <c r="CN271" s="2154"/>
      <c r="CO271" s="88"/>
      <c r="CP271" s="2154" t="e" cm="1">
        <f t="array" ca="1" aca="1" ref="CP271">_xlfn.LET(_xlpm.search_key,$W271&amp;$Y271,_xlpm.Scenario,_xlfn.VSTACK($W$20:$W$55&amp;$Y$20:$Y$55,$W$76:$W$110&amp;$Y$76:$Y$110),_xlpm.Data,_xlfn.VSTACK(CP$20:CQ$55,CP$76:CQ$110),IF(OR($Y271="",ISNUMBER(SEARCH("please",$Y271))),"",_xlfn.XLOOKUP(_xlpm.search_key,_xlpm.Scenario,_xlpm.Data,"▧")))</f>
        <v>#NAME?</v>
      </c>
      <c r="CQ271" s="2154"/>
      <c r="CR271" s="34"/>
      <c r="CS271" s="2056"/>
      <c r="DC271"/>
    </row>
    <row r="272" spans="1:107" ht="21" customHeight="1">
      <c r="A272" s="1627"/>
      <c r="B272" s="2606"/>
      <c r="C272" s="2540"/>
      <c r="D272" s="1549"/>
      <c r="E272" s="2440"/>
      <c r="F272" s="401"/>
      <c r="G272" s="401"/>
      <c r="H272" s="585"/>
      <c r="I272" s="585"/>
      <c r="J272" s="401"/>
      <c r="K272" s="401"/>
      <c r="L272" s="37"/>
      <c r="N272" s="158"/>
      <c r="O272" s="101"/>
      <c r="P272" s="52"/>
      <c r="Q272" s="101"/>
      <c r="R272" s="101"/>
      <c r="S272" s="101"/>
      <c r="T272" s="101"/>
      <c r="U272" s="39"/>
      <c r="V272" s="37"/>
      <c r="W272" s="2364" t="e">
        <f ca="1">W267</f>
        <v>#NAME?</v>
      </c>
      <c r="X272" s="2373">
        <f>_PL!X272</f>
        <v>0</v>
      </c>
      <c r="Y272" s="3228">
        <v>2</v>
      </c>
      <c r="Z272" s="198">
        <f>_PL!Z272</f>
        <v>0</v>
      </c>
      <c r="AA272" s="200" t="str" cm="1">
        <f t="array" ca="1" aca="1" ref="AA272">IF(Y272="","",_xlfn.LET(_xlpm._termname,$W272&amp;$Y272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2" s="1134"/>
      <c r="AC272" s="125"/>
      <c r="AD272" s="2152" t="e" cm="1">
        <f t="array" ca="1" aca="1" ref="AD272">_xlfn.LET(_xlpm.search_key,$W272&amp;$Y272,_xlpm.Scenario,_xlfn.VSTACK($W$20:$W$55&amp;$Y$20:$Y$55,$W$76:$W$110&amp;$Y$76:$Y$110),_xlpm.Data,_xlfn.VSTACK($AD$20:$BN$55,$AD$76:$BN$110),IF(OR($Y272="",ISNUMBER(SEARCH("please",$Y272))),"",_xlfn.XLOOKUP(_xlpm.search_key,_xlpm.Scenario,_xlpm.Data,"▧")))</f>
        <v>#NAME?</v>
      </c>
      <c r="AE272" s="2152"/>
      <c r="AF272" s="2152"/>
      <c r="AG272" s="2152"/>
      <c r="AH272" s="2152"/>
      <c r="AI272" s="2152"/>
      <c r="AJ272" s="2152"/>
      <c r="AK272" s="2152"/>
      <c r="AL272" s="2152"/>
      <c r="AM272" s="2152"/>
      <c r="AN272" s="2152"/>
      <c r="AO272" s="2152"/>
      <c r="AP272" s="2152"/>
      <c r="AQ272" s="2152"/>
      <c r="AR272" s="2152"/>
      <c r="AS272" s="2152"/>
      <c r="AT272" s="2152"/>
      <c r="AU272" s="2152"/>
      <c r="AV272" s="2152"/>
      <c r="AW272" s="2152"/>
      <c r="AX272" s="2152"/>
      <c r="AY272" s="2152"/>
      <c r="AZ272" s="2152"/>
      <c r="BA272" s="2152"/>
      <c r="BB272" s="2152"/>
      <c r="BC272" s="2152"/>
      <c r="BD272" s="2152"/>
      <c r="BE272" s="2152"/>
      <c r="BF272" s="2152"/>
      <c r="BG272" s="2152"/>
      <c r="BH272" s="2152"/>
      <c r="BI272" s="2152"/>
      <c r="BJ272" s="2152"/>
      <c r="BK272" s="2152"/>
      <c r="BL272" s="2152"/>
      <c r="BM272" s="2152"/>
      <c r="BN272" s="2152"/>
      <c r="BO272" s="2362"/>
      <c r="BP272" s="2362"/>
      <c r="BQ272" s="2362"/>
      <c r="BR272" s="2362"/>
      <c r="BS272" s="2362"/>
      <c r="BT272" s="2362"/>
      <c r="BU272" s="2362"/>
      <c r="BV272" s="2362"/>
      <c r="BW272" s="2362"/>
      <c r="BX272" s="2362"/>
      <c r="BY272" s="2362"/>
      <c r="BZ272" s="2362"/>
      <c r="CA272" s="34"/>
      <c r="CC272" s="58"/>
      <c r="CD272" s="2154" t="e" cm="1">
        <f t="array" ca="1" aca="1" ref="CD272">_xlfn.LET(_xlpm.search_key,$W272&amp;$Y272,_xlpm.Scenario,_xlfn.VSTACK($W$20:$W$55&amp;$Y$20:$Y$55,$W$76:$W$110&amp;$Y$76:$Y$110),_xlpm.Data,_xlfn.VSTACK(CD$20:CE$55,CD$76:CE$110),IF(OR($Y272="",ISNUMBER(SEARCH("please",$Y272))),"",_xlfn.XLOOKUP(_xlpm.search_key,_xlpm.Scenario,_xlpm.Data,"▧")))</f>
        <v>#NAME?</v>
      </c>
      <c r="CE272" s="2154"/>
      <c r="CF272" s="88"/>
      <c r="CG272" s="2154" t="e" cm="1">
        <f t="array" ca="1" aca="1" ref="CG272">_xlfn.LET(_xlpm.search_key,$W272&amp;$Y272,_xlpm.Scenario,_xlfn.VSTACK($W$20:$W$55&amp;$Y$20:$Y$55,$W$76:$W$110&amp;$Y$76:$Y$110),_xlpm.Data,_xlfn.VSTACK(CG$20:CH$55,CG$76:CH$110),IF(OR($Y272="",ISNUMBER(SEARCH("please",$Y272))),"",_xlfn.XLOOKUP(_xlpm.search_key,_xlpm.Scenario,_xlpm.Data,"▧")))</f>
        <v>#NAME?</v>
      </c>
      <c r="CH272" s="2154"/>
      <c r="CI272" s="88"/>
      <c r="CJ272" s="2154" t="e" cm="1">
        <f t="array" ca="1" aca="1" ref="CJ272">_xlfn.LET(_xlpm.search_key,$W272&amp;$Y272,_xlpm.Scenario,_xlfn.VSTACK($W$20:$W$55&amp;$Y$20:$Y$55,$W$76:$W$110&amp;$Y$76:$Y$110),_xlpm.Data,_xlfn.VSTACK(CJ$20:CK$55,CJ$76:CK$110),IF(OR($Y272="",ISNUMBER(SEARCH("please",$Y272))),"",_xlfn.XLOOKUP(_xlpm.search_key,_xlpm.Scenario,_xlpm.Data,"▧")))</f>
        <v>#NAME?</v>
      </c>
      <c r="CK272" s="2154"/>
      <c r="CL272" s="88"/>
      <c r="CM272" s="2154" t="e" cm="1">
        <f t="array" ca="1" aca="1" ref="CM272">_xlfn.LET(_xlpm.search_key,$W272&amp;$Y272,_xlpm.Scenario,_xlfn.VSTACK($W$20:$W$55&amp;$Y$20:$Y$55,$W$76:$W$110&amp;$Y$76:$Y$110),_xlpm.Data,_xlfn.VSTACK(CM$20:CN$55,CM$76:CN$110),IF(OR($Y272="",ISNUMBER(SEARCH("please",$Y272))),"",_xlfn.XLOOKUP(_xlpm.search_key,_xlpm.Scenario,_xlpm.Data,"▧")))</f>
        <v>#NAME?</v>
      </c>
      <c r="CN272" s="2154"/>
      <c r="CO272" s="88"/>
      <c r="CP272" s="2154" t="e" cm="1">
        <f t="array" ca="1" aca="1" ref="CP272">_xlfn.LET(_xlpm.search_key,$W272&amp;$Y272,_xlpm.Scenario,_xlfn.VSTACK($W$20:$W$55&amp;$Y$20:$Y$55,$W$76:$W$110&amp;$Y$76:$Y$110),_xlpm.Data,_xlfn.VSTACK(CP$20:CQ$55,CP$76:CQ$110),IF(OR($Y272="",ISNUMBER(SEARCH("please",$Y272))),"",_xlfn.XLOOKUP(_xlpm.search_key,_xlpm.Scenario,_xlpm.Data,"▧")))</f>
        <v>#NAME?</v>
      </c>
      <c r="CQ272" s="2154"/>
      <c r="CR272" s="34"/>
      <c r="CS272" s="2056"/>
      <c r="DC272"/>
    </row>
    <row r="273" spans="1:107" ht="21" customHeight="1">
      <c r="A273" s="1627"/>
      <c r="B273" s="2606"/>
      <c r="C273" s="2540"/>
      <c r="D273" s="1549"/>
      <c r="E273" s="2440"/>
      <c r="F273" s="401"/>
      <c r="G273" s="401"/>
      <c r="H273" s="585"/>
      <c r="I273" s="585"/>
      <c r="J273" s="401"/>
      <c r="K273" s="401"/>
      <c r="L273" s="37"/>
      <c r="N273" s="158"/>
      <c r="O273" s="101"/>
      <c r="P273" s="52"/>
      <c r="Q273" s="101"/>
      <c r="R273" s="101"/>
      <c r="S273" s="101"/>
      <c r="T273" s="101"/>
      <c r="U273" s="39"/>
      <c r="V273" s="37"/>
      <c r="W273" s="2364" t="e">
        <f ca="1">W267</f>
        <v>#NAME?</v>
      </c>
      <c r="X273" s="2373">
        <f>_PL!X273</f>
        <v>0</v>
      </c>
      <c r="Y273" s="3228">
        <v>2</v>
      </c>
      <c r="Z273" s="538">
        <f>_PL!Z273</f>
        <v>0</v>
      </c>
      <c r="AA273" s="787" t="str" cm="1">
        <f t="array" ca="1" aca="1" ref="AA273">IF(Y273="","",_xlfn.LET(_xlpm._termname,$W273&amp;$Y273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3" s="1134"/>
      <c r="AC273" s="125"/>
      <c r="AD273" s="2152" t="e" cm="1">
        <f t="array" ca="1" aca="1" ref="AD273">_xlfn.LET(_xlpm.search_key,$W273&amp;$Y273,_xlpm.Scenario,_xlfn.VSTACK($W$20:$W$55&amp;$Y$20:$Y$55,$W$76:$W$110&amp;$Y$76:$Y$110),_xlpm.Data,_xlfn.VSTACK($AD$20:$BN$55,$AD$76:$BN$110),IF(OR($Y273="",ISNUMBER(SEARCH("please",$Y273))),"",_xlfn.XLOOKUP(_xlpm.search_key,_xlpm.Scenario,_xlpm.Data,"▧")))</f>
        <v>#NAME?</v>
      </c>
      <c r="AE273" s="2152"/>
      <c r="AF273" s="2152"/>
      <c r="AG273" s="2152"/>
      <c r="AH273" s="2152"/>
      <c r="AI273" s="2152"/>
      <c r="AJ273" s="2152"/>
      <c r="AK273" s="2152"/>
      <c r="AL273" s="2152"/>
      <c r="AM273" s="2152"/>
      <c r="AN273" s="2152"/>
      <c r="AO273" s="2152"/>
      <c r="AP273" s="2152"/>
      <c r="AQ273" s="2152"/>
      <c r="AR273" s="2152"/>
      <c r="AS273" s="2152"/>
      <c r="AT273" s="2152"/>
      <c r="AU273" s="2152"/>
      <c r="AV273" s="2152"/>
      <c r="AW273" s="2152"/>
      <c r="AX273" s="2152"/>
      <c r="AY273" s="2152"/>
      <c r="AZ273" s="2152"/>
      <c r="BA273" s="2152"/>
      <c r="BB273" s="2152"/>
      <c r="BC273" s="2152"/>
      <c r="BD273" s="2152"/>
      <c r="BE273" s="2152"/>
      <c r="BF273" s="2152"/>
      <c r="BG273" s="2152"/>
      <c r="BH273" s="2152"/>
      <c r="BI273" s="2152"/>
      <c r="BJ273" s="2152"/>
      <c r="BK273" s="2152"/>
      <c r="BL273" s="2152"/>
      <c r="BM273" s="2152"/>
      <c r="BN273" s="2152"/>
      <c r="BO273" s="2362"/>
      <c r="BP273" s="2362"/>
      <c r="BQ273" s="2362"/>
      <c r="BR273" s="2362"/>
      <c r="BS273" s="2362"/>
      <c r="BT273" s="2362"/>
      <c r="BU273" s="2362"/>
      <c r="BV273" s="2362"/>
      <c r="BW273" s="2362"/>
      <c r="BX273" s="2362"/>
      <c r="BY273" s="2362"/>
      <c r="BZ273" s="2362"/>
      <c r="CA273" s="34"/>
      <c r="CC273" s="58"/>
      <c r="CD273" s="2154" t="e" cm="1">
        <f t="array" ca="1" aca="1" ref="CD273">_xlfn.LET(_xlpm.search_key,$W273&amp;$Y273,_xlpm.Scenario,_xlfn.VSTACK($W$20:$W$55&amp;$Y$20:$Y$55,$W$76:$W$110&amp;$Y$76:$Y$110),_xlpm.Data,_xlfn.VSTACK(CD$20:CE$55,CD$76:CE$110),IF(OR($Y273="",ISNUMBER(SEARCH("please",$Y273))),"",_xlfn.XLOOKUP(_xlpm.search_key,_xlpm.Scenario,_xlpm.Data,"▧")))</f>
        <v>#NAME?</v>
      </c>
      <c r="CE273" s="2154"/>
      <c r="CF273" s="88"/>
      <c r="CG273" s="2154" t="e" cm="1">
        <f t="array" ca="1" aca="1" ref="CG273">_xlfn.LET(_xlpm.search_key,$W273&amp;$Y273,_xlpm.Scenario,_xlfn.VSTACK($W$20:$W$55&amp;$Y$20:$Y$55,$W$76:$W$110&amp;$Y$76:$Y$110),_xlpm.Data,_xlfn.VSTACK(CG$20:CH$55,CG$76:CH$110),IF(OR($Y273="",ISNUMBER(SEARCH("please",$Y273))),"",_xlfn.XLOOKUP(_xlpm.search_key,_xlpm.Scenario,_xlpm.Data,"▧")))</f>
        <v>#NAME?</v>
      </c>
      <c r="CH273" s="2154"/>
      <c r="CI273" s="88"/>
      <c r="CJ273" s="2154" t="e" cm="1">
        <f t="array" ca="1" aca="1" ref="CJ273">_xlfn.LET(_xlpm.search_key,$W273&amp;$Y273,_xlpm.Scenario,_xlfn.VSTACK($W$20:$W$55&amp;$Y$20:$Y$55,$W$76:$W$110&amp;$Y$76:$Y$110),_xlpm.Data,_xlfn.VSTACK(CJ$20:CK$55,CJ$76:CK$110),IF(OR($Y273="",ISNUMBER(SEARCH("please",$Y273))),"",_xlfn.XLOOKUP(_xlpm.search_key,_xlpm.Scenario,_xlpm.Data,"▧")))</f>
        <v>#NAME?</v>
      </c>
      <c r="CK273" s="2154"/>
      <c r="CL273" s="88"/>
      <c r="CM273" s="2154" t="e" cm="1">
        <f t="array" ca="1" aca="1" ref="CM273">_xlfn.LET(_xlpm.search_key,$W273&amp;$Y273,_xlpm.Scenario,_xlfn.VSTACK($W$20:$W$55&amp;$Y$20:$Y$55,$W$76:$W$110&amp;$Y$76:$Y$110),_xlpm.Data,_xlfn.VSTACK(CM$20:CN$55,CM$76:CN$110),IF(OR($Y273="",ISNUMBER(SEARCH("please",$Y273))),"",_xlfn.XLOOKUP(_xlpm.search_key,_xlpm.Scenario,_xlpm.Data,"▧")))</f>
        <v>#NAME?</v>
      </c>
      <c r="CN273" s="2154"/>
      <c r="CO273" s="88"/>
      <c r="CP273" s="2154" t="e" cm="1">
        <f t="array" ca="1" aca="1" ref="CP273">_xlfn.LET(_xlpm.search_key,$W273&amp;$Y273,_xlpm.Scenario,_xlfn.VSTACK($W$20:$W$55&amp;$Y$20:$Y$55,$W$76:$W$110&amp;$Y$76:$Y$110),_xlpm.Data,_xlfn.VSTACK(CP$20:CQ$55,CP$76:CQ$110),IF(OR($Y273="",ISNUMBER(SEARCH("please",$Y273))),"",_xlfn.XLOOKUP(_xlpm.search_key,_xlpm.Scenario,_xlpm.Data,"▧")))</f>
        <v>#NAME?</v>
      </c>
      <c r="CQ273" s="2154"/>
      <c r="CR273" s="34"/>
      <c r="CS273" s="2056"/>
      <c r="DC273"/>
    </row>
    <row r="274" spans="1:107" ht="21" customHeight="1">
      <c r="A274" s="1627"/>
      <c r="B274" s="3474" t="s">
        <v>204</v>
      </c>
      <c r="C274" s="2606" t="e" cm="1">
        <f t="array" ca="1" aca="1" ref="C274">CVC.PACK(W267:Y274)</f>
        <v>#NAME?</v>
      </c>
      <c r="D274" s="1549"/>
      <c r="E274" s="2607"/>
      <c r="F274" s="401"/>
      <c r="G274" s="401"/>
      <c r="H274" s="585"/>
      <c r="I274" s="585"/>
      <c r="J274" s="401"/>
      <c r="K274" s="401"/>
      <c r="L274" s="37"/>
      <c r="N274" s="158"/>
      <c r="O274" s="101"/>
      <c r="P274" s="52"/>
      <c r="Q274" s="101"/>
      <c r="R274" s="101"/>
      <c r="S274" s="101"/>
      <c r="T274" s="101"/>
      <c r="U274" s="39"/>
      <c r="V274" s="37"/>
      <c r="W274" s="2365" t="e">
        <f ca="1">W267</f>
        <v>#NAME?</v>
      </c>
      <c r="X274" s="2374">
        <f>_PL!X274</f>
        <v>0</v>
      </c>
      <c r="Y274" s="2326">
        <f>_PL!Y274</f>
        <v>0</v>
      </c>
      <c r="Z274" s="2322"/>
      <c r="AA274" s="2323"/>
      <c r="AB274" s="1134"/>
      <c r="AC274" s="125" t="str" cm="1">
        <f t="array" ca="1" aca="1" ref="AC274">IF(AB274="","",_xlfn.LET(_xlpm._termname,PL!$W274&amp;$AB274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74" s="2152" t="e">
        <f ca="1">SUMPRODUCT($X268:$X273,AD268:AD273)</f>
        <v>#NAME?</v>
      </c>
      <c r="AE274" s="2152">
        <f t="shared" si="71" ref="AE274:BN274">SUMPRODUCT($X268:$X273,AE268:AE273)</f>
        <v>0</v>
      </c>
      <c r="AF274" s="2152">
        <f t="shared" si="71"/>
        <v>0</v>
      </c>
      <c r="AG274" s="2152">
        <f t="shared" si="71"/>
        <v>0</v>
      </c>
      <c r="AH274" s="2152">
        <f t="shared" si="71"/>
        <v>0</v>
      </c>
      <c r="AI274" s="2152">
        <f t="shared" si="71"/>
        <v>0</v>
      </c>
      <c r="AJ274" s="2152">
        <f t="shared" si="71"/>
        <v>0</v>
      </c>
      <c r="AK274" s="2152">
        <f t="shared" si="71"/>
        <v>0</v>
      </c>
      <c r="AL274" s="2152">
        <f t="shared" si="71"/>
        <v>0</v>
      </c>
      <c r="AM274" s="2152">
        <f t="shared" si="71"/>
        <v>0</v>
      </c>
      <c r="AN274" s="2152">
        <f t="shared" si="71"/>
        <v>0</v>
      </c>
      <c r="AO274" s="2152">
        <f t="shared" si="71"/>
        <v>0</v>
      </c>
      <c r="AP274" s="2152">
        <f t="shared" si="71"/>
        <v>0</v>
      </c>
      <c r="AQ274" s="2152">
        <f t="shared" si="71"/>
        <v>0</v>
      </c>
      <c r="AR274" s="2152">
        <f t="shared" si="71"/>
        <v>0</v>
      </c>
      <c r="AS274" s="2152">
        <f t="shared" si="71"/>
        <v>0</v>
      </c>
      <c r="AT274" s="2152">
        <f t="shared" si="71"/>
        <v>0</v>
      </c>
      <c r="AU274" s="2152">
        <f t="shared" si="71"/>
        <v>0</v>
      </c>
      <c r="AV274" s="2152">
        <f t="shared" si="71"/>
        <v>0</v>
      </c>
      <c r="AW274" s="2152">
        <f t="shared" si="71"/>
        <v>0</v>
      </c>
      <c r="AX274" s="2152">
        <f t="shared" si="71"/>
        <v>0</v>
      </c>
      <c r="AY274" s="2152">
        <f t="shared" si="71"/>
        <v>0</v>
      </c>
      <c r="AZ274" s="2152">
        <f t="shared" si="71"/>
        <v>0</v>
      </c>
      <c r="BA274" s="2152">
        <f t="shared" si="71"/>
        <v>0</v>
      </c>
      <c r="BB274" s="2152">
        <f t="shared" si="71"/>
        <v>0</v>
      </c>
      <c r="BC274" s="2152">
        <f t="shared" si="71"/>
        <v>0</v>
      </c>
      <c r="BD274" s="2152">
        <f t="shared" si="71"/>
        <v>0</v>
      </c>
      <c r="BE274" s="2152">
        <f t="shared" si="71"/>
        <v>0</v>
      </c>
      <c r="BF274" s="2152">
        <f t="shared" si="71"/>
        <v>0</v>
      </c>
      <c r="BG274" s="2152">
        <f t="shared" si="71"/>
        <v>0</v>
      </c>
      <c r="BH274" s="2152">
        <f t="shared" si="71"/>
        <v>0</v>
      </c>
      <c r="BI274" s="2152">
        <f t="shared" si="71"/>
        <v>0</v>
      </c>
      <c r="BJ274" s="2152">
        <f t="shared" si="71"/>
        <v>0</v>
      </c>
      <c r="BK274" s="2152">
        <f t="shared" si="71"/>
        <v>0</v>
      </c>
      <c r="BL274" s="2152">
        <f t="shared" si="71"/>
        <v>0</v>
      </c>
      <c r="BM274" s="2152">
        <f t="shared" si="71"/>
        <v>0</v>
      </c>
      <c r="BN274" s="2152">
        <f t="shared" si="71"/>
        <v>0</v>
      </c>
      <c r="BO274" s="2362"/>
      <c r="BP274" s="2362"/>
      <c r="BQ274" s="2362"/>
      <c r="BR274" s="2362"/>
      <c r="BS274" s="2362"/>
      <c r="BT274" s="2362"/>
      <c r="BU274" s="2362"/>
      <c r="BV274" s="2362"/>
      <c r="BW274" s="2362"/>
      <c r="BX274" s="2362"/>
      <c r="BY274" s="2362"/>
      <c r="BZ274" s="2362"/>
      <c r="CA274" s="34"/>
      <c r="CC274" s="58"/>
      <c r="CD274" s="2152" t="e">
        <f ca="1">SUMPRODUCT($X268:$X273,CD268:CD273)</f>
        <v>#NAME?</v>
      </c>
      <c r="CE274" s="2152">
        <f>SUMPRODUCT($X268:$X271,CE268:CE271)</f>
        <v>0</v>
      </c>
      <c r="CF274" s="88"/>
      <c r="CG274" s="2152" t="e">
        <f ca="1">SUMPRODUCT($X268:$X273,CG268:CG273)</f>
        <v>#NAME?</v>
      </c>
      <c r="CH274" s="2152">
        <f>SUMPRODUCT($X268:$X271,CH268:CH271)</f>
        <v>0</v>
      </c>
      <c r="CI274" s="88"/>
      <c r="CJ274" s="2152" t="e">
        <f ca="1">SUMPRODUCT($X268:$X273,CJ268:CJ273)</f>
        <v>#NAME?</v>
      </c>
      <c r="CK274" s="2152">
        <f>SUMPRODUCT($X268:$X271,CK268:CK271)</f>
        <v>0</v>
      </c>
      <c r="CL274" s="88"/>
      <c r="CM274" s="2152" t="e">
        <f ca="1">SUMPRODUCT($X268:$X273,CM268:CM273)</f>
        <v>#NAME?</v>
      </c>
      <c r="CN274" s="2152">
        <f>SUMPRODUCT($X268:$X271,CN268:CN271)</f>
        <v>0</v>
      </c>
      <c r="CO274" s="88"/>
      <c r="CP274" s="2152" t="e">
        <f ca="1">SUMPRODUCT($X268:$X273,CP268:CP273)</f>
        <v>#NAME?</v>
      </c>
      <c r="CQ274" s="2152">
        <f>SUMPRODUCT($X268:$X271,CQ268:CQ271)</f>
        <v>0</v>
      </c>
      <c r="CR274" s="34"/>
      <c r="CS274" s="2056"/>
      <c r="CT274" s="2447" t="e" cm="1">
        <f t="array" ca="1" aca="1" ref="CT274">IF(PL!$C274="","",_xldudf_CX_PUSH(PL!$C274,CX_ENTITY,PL!$B274,EOMONTH(val_asOfDate,PL!CT$248)))</f>
        <v>#NAME?</v>
      </c>
      <c r="CU274" s="2447" t="e" cm="1">
        <f t="array" ca="1" aca="1" ref="CU274">IF(PL!$C274="","",_xldudf_CX_PUSH(PL!$C274,CX_ENTITY,PL!$B274,EOMONTH(val_asOfDate,PL!CU$248)))</f>
        <v>#NAME?</v>
      </c>
      <c r="CV274" s="2447" t="e" cm="1">
        <f t="array" ca="1" aca="1" ref="CV274">IF(PL!$C274="","",_xldudf_CX_PUSH(PL!$C274,CX_ENTITY,PL!$B274,EOMONTH(val_asOfDate,PL!CV$248)))</f>
        <v>#NAME?</v>
      </c>
      <c r="CW274" s="2447" t="e" cm="1">
        <f t="array" ca="1" aca="1" ref="CW274">IF(PL!$C274="","",_xldudf_CX_PUSH(PL!$C274,CX_ENTITY,PL!$B274,EOMONTH(val_asOfDate,PL!CW$248)))</f>
        <v>#NAME?</v>
      </c>
      <c r="DC274"/>
    </row>
    <row r="275" spans="1:144" s="108" customFormat="1" ht="21" customHeight="1">
      <c r="A275" s="1628"/>
      <c r="B275" s="2540"/>
      <c r="C275" s="2540"/>
      <c r="D275" s="1549"/>
      <c r="E275" s="2607"/>
      <c r="F275" s="401"/>
      <c r="G275" s="401"/>
      <c r="H275" s="585"/>
      <c r="I275" s="585"/>
      <c r="J275" s="401"/>
      <c r="K275" s="401"/>
      <c r="L275" s="37"/>
      <c r="N275" s="2134"/>
      <c r="O275" s="101"/>
      <c r="P275" s="101"/>
      <c r="Q275" s="101"/>
      <c r="R275" s="101"/>
      <c r="S275" s="101"/>
      <c r="T275" s="101"/>
      <c r="U275" s="101"/>
      <c r="V275" s="822"/>
      <c r="W275" s="2332"/>
      <c r="X275" s="2333"/>
      <c r="Y275" s="2334"/>
      <c r="Z275" s="2316"/>
      <c r="AA275" s="2316"/>
      <c r="AB275" s="88"/>
      <c r="AC275" s="128"/>
      <c r="AD275" s="2317"/>
      <c r="AE275" s="2317"/>
      <c r="AF275" s="2317"/>
      <c r="AG275" s="2317"/>
      <c r="AH275" s="2317"/>
      <c r="AI275" s="2317"/>
      <c r="AJ275" s="2317"/>
      <c r="AK275" s="2317"/>
      <c r="AL275" s="2317"/>
      <c r="AM275" s="2317"/>
      <c r="AN275" s="2317"/>
      <c r="AO275" s="2317"/>
      <c r="AP275" s="2317"/>
      <c r="AQ275" s="2317"/>
      <c r="AR275" s="2317"/>
      <c r="AS275" s="2317"/>
      <c r="AT275" s="2317"/>
      <c r="AU275" s="2317"/>
      <c r="AV275" s="2317"/>
      <c r="AW275" s="2317"/>
      <c r="AX275" s="2317"/>
      <c r="AY275" s="2317"/>
      <c r="AZ275" s="2317"/>
      <c r="BA275" s="2317"/>
      <c r="BB275" s="2317"/>
      <c r="BC275" s="2317"/>
      <c r="BD275" s="2317"/>
      <c r="BE275" s="2317"/>
      <c r="BF275" s="2317"/>
      <c r="BG275" s="2317"/>
      <c r="BH275" s="2317"/>
      <c r="BI275" s="2317"/>
      <c r="BJ275" s="2317"/>
      <c r="BK275" s="2317"/>
      <c r="BL275" s="2317"/>
      <c r="BM275" s="2317"/>
      <c r="BN275" s="2317"/>
      <c r="BO275" s="2363"/>
      <c r="BP275" s="2363"/>
      <c r="BQ275" s="2363"/>
      <c r="BR275" s="2363"/>
      <c r="BS275" s="2363"/>
      <c r="BT275" s="2363"/>
      <c r="BU275" s="2363"/>
      <c r="BV275" s="2363"/>
      <c r="BW275" s="2363"/>
      <c r="BX275" s="2363"/>
      <c r="BY275" s="2363"/>
      <c r="BZ275" s="2363"/>
      <c r="CA275" s="88"/>
      <c r="CC275" s="383"/>
      <c r="CD275" s="2319"/>
      <c r="CE275" s="2319"/>
      <c r="CF275" s="88"/>
      <c r="CG275" s="2319"/>
      <c r="CH275" s="2319"/>
      <c r="CI275" s="88"/>
      <c r="CJ275" s="2319"/>
      <c r="CK275" s="2319"/>
      <c r="CL275" s="88"/>
      <c r="CM275" s="2320"/>
      <c r="CN275" s="2320"/>
      <c r="CO275" s="88"/>
      <c r="CP275" s="2320"/>
      <c r="CQ275" s="2320"/>
      <c r="CR275" s="88"/>
      <c r="CS275" s="2321"/>
      <c r="CT275"/>
      <c r="CU275"/>
      <c r="CV275"/>
      <c r="CW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row>
    <row r="276" spans="1:107" ht="21" customHeight="1">
      <c r="A276" s="1627"/>
      <c r="B276" s="2540"/>
      <c r="C276" s="2540"/>
      <c r="D276" s="1549"/>
      <c r="E276" s="2607"/>
      <c r="F276" s="401"/>
      <c r="G276" s="401"/>
      <c r="H276" s="585"/>
      <c r="I276" s="585"/>
      <c r="J276" s="401"/>
      <c r="K276" s="401"/>
      <c r="L276" s="37"/>
      <c r="N276" s="158"/>
      <c r="O276" s="101"/>
      <c r="P276" s="52"/>
      <c r="Q276" s="101"/>
      <c r="R276" s="101"/>
      <c r="S276" s="18"/>
      <c r="T276" s="18"/>
      <c r="U276" s="39"/>
      <c r="V276" s="37"/>
      <c r="W276" s="2660" t="e" cm="1">
        <f t="array" ca="1" aca="1" ref="W276">fx_scenarioConverter(_PL!W276)</f>
        <v>#NAME?</v>
      </c>
      <c r="X276" s="2137"/>
      <c r="Y276" s="2336" t="s">
        <v>206</v>
      </c>
      <c r="Z276" s="2337"/>
      <c r="AA276" s="2609"/>
      <c r="AB276" s="2141" t="s">
        <v>199</v>
      </c>
      <c r="AC276" s="2138" t="str" cm="1">
        <f t="array" ca="1" aca="1" ref="AC276">_xlfn.LET(_xlpm._termname,$AB276,_xlpm._iconname,"find",_xlpm._icon,fx_getIcon(_xlpm._iconname),_xlpm._location,_xlfn.XLOOKUP(LOWER(_xlpm._termname),LOWER(tbl_acctDef[Term]),tbl_acctDef[Term]),_xlpm._hyperlink,HYPERLINK("#"&amp;CELL("address",_xlpm._location),_xlpm._icon),IFERROR(_xlpm._hyperlink,""))</f>
        <v/>
      </c>
      <c r="AD276" s="2138" t="str" cm="1">
        <f t="array" ca="1" aca="1" ref="AD276">_xlfn.LET(_xlpm._termname,$AB276,_xlpm._iconname,"find",_xlpm._icon,fx_getIcon(_xlpm._iconname),_xlpm._location,_xlfn.XLOOKUP(LOWER(_xlpm._termname),LOWER(tbl_acctDef[Statement]),tbl_acctDef[Statement]),_xlpm._hyperlink,HYPERLINK("#"&amp;CELL("address",_xlpm._location),_xlpm._icon),IFERROR(_xlpm._hyperlink,""))</f>
        <v/>
      </c>
      <c r="AE276" s="2138" t="str" cm="1">
        <f t="array" ca="1" aca="1" ref="AE276">_xlfn.LET(_xlpm._termname,$AB276,_xlpm._iconname,"find",_xlpm._icon,fx_getIcon(_xlpm._iconname),_xlpm._location,_xlfn.XLOOKUP(LOWER(_xlpm._termname),LOWER(tbl_acctDef[Definition]),tbl_acctDef[Definition]),_xlpm._hyperlink,HYPERLINK("#"&amp;CELL("address",_xlpm._location),_xlpm._icon),IFERROR(_xlpm._hyperlink,""))</f>
        <v/>
      </c>
      <c r="AF276" s="2138" t="str" cm="1">
        <f t="array" ca="1" aca="1" ref="AF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276" s="2138" t="str" cm="1">
        <f t="array" ca="1" aca="1" ref="AG276">_xlfn.LET(_xlpm._termname,$AB276,_xlpm._iconname,"find",_xlpm._icon,fx_getIcon(_xlpm._iconname),_xlpm._location,_xlfn.XLOOKUP(LOWER(_xlpm._termname),LOWER(tbl_acctDef[Order]),tbl_acctDef[Order]),_xlpm._hyperlink,HYPERLINK("#"&amp;CELL("address",_xlpm._location),_xlpm._icon),IFERROR(_xlpm._hyperlink,""))</f>
        <v/>
      </c>
      <c r="AH276" s="2138" t="str" cm="1">
        <f t="array" ca="1" aca="1" ref="AH276">_xlfn.LET(_xlpm._termname,$AB276,_xlpm._iconname,"find",_xlpm._icon,fx_getIcon(_xlpm._iconname),_xlpm._location,_xlfn.XLOOKUP(LOWER(_xlpm._termname),LOWER(tbl_acctDef[Term]),tbl_acctDef[Term]),_xlpm._hyperlink,HYPERLINK("#"&amp;CELL("address",_xlpm._location),_xlpm._icon),IFERROR(_xlpm._hyperlink,""))</f>
        <v/>
      </c>
      <c r="AI276" s="2138" t="str" cm="1">
        <f t="array" ca="1" aca="1" ref="AI276">_xlfn.LET(_xlpm._termname,$AB276,_xlpm._iconname,"find",_xlpm._icon,fx_getIcon(_xlpm._iconname),_xlpm._location,_xlfn.XLOOKUP(LOWER(_xlpm._termname),LOWER(tbl_acctDef[Statement]),tbl_acctDef[Statement]),_xlpm._hyperlink,HYPERLINK("#"&amp;CELL("address",_xlpm._location),_xlpm._icon),IFERROR(_xlpm._hyperlink,""))</f>
        <v/>
      </c>
      <c r="AJ276" s="2138" t="str" cm="1">
        <f t="array" ca="1" aca="1" ref="AJ276">_xlfn.LET(_xlpm._termname,$AB276,_xlpm._iconname,"find",_xlpm._icon,fx_getIcon(_xlpm._iconname),_xlpm._location,_xlfn.XLOOKUP(LOWER(_xlpm._termname),LOWER(tbl_acctDef[Definition]),tbl_acctDef[Definition]),_xlpm._hyperlink,HYPERLINK("#"&amp;CELL("address",_xlpm._location),_xlpm._icon),IFERROR(_xlpm._hyperlink,""))</f>
        <v/>
      </c>
      <c r="AK276" s="2138" t="str" cm="1">
        <f t="array" ca="1" aca="1" ref="AK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276" s="2138" t="str" cm="1">
        <f t="array" ca="1" aca="1" ref="AL276">_xlfn.LET(_xlpm._termname,$AB276,_xlpm._iconname,"find",_xlpm._icon,fx_getIcon(_xlpm._iconname),_xlpm._location,_xlfn.XLOOKUP(LOWER(_xlpm._termname),LOWER(tbl_acctDef[Order]),tbl_acctDef[Order]),_xlpm._hyperlink,HYPERLINK("#"&amp;CELL("address",_xlpm._location),_xlpm._icon),IFERROR(_xlpm._hyperlink,""))</f>
        <v/>
      </c>
      <c r="AM276" s="2138" t="str" cm="1">
        <f t="array" ca="1" aca="1" ref="AM276">_xlfn.LET(_xlpm._termname,$AB276,_xlpm._iconname,"find",_xlpm._icon,fx_getIcon(_xlpm._iconname),_xlpm._location,_xlfn.XLOOKUP(LOWER(_xlpm._termname),LOWER(tbl_acctDef[Term]),tbl_acctDef[Term]),_xlpm._hyperlink,HYPERLINK("#"&amp;CELL("address",_xlpm._location),_xlpm._icon),IFERROR(_xlpm._hyperlink,""))</f>
        <v/>
      </c>
      <c r="AN276" s="2138" t="str" cm="1">
        <f t="array" ca="1" aca="1" ref="AN276">_xlfn.LET(_xlpm._termname,$AB276,_xlpm._iconname,"find",_xlpm._icon,fx_getIcon(_xlpm._iconname),_xlpm._location,_xlfn.XLOOKUP(LOWER(_xlpm._termname),LOWER(tbl_acctDef[Statement]),tbl_acctDef[Statement]),_xlpm._hyperlink,HYPERLINK("#"&amp;CELL("address",_xlpm._location),_xlpm._icon),IFERROR(_xlpm._hyperlink,""))</f>
        <v/>
      </c>
      <c r="AO276" s="2138" t="str" cm="1">
        <f t="array" ca="1" aca="1" ref="AO276">_xlfn.LET(_xlpm._termname,$AB276,_xlpm._iconname,"find",_xlpm._icon,fx_getIcon(_xlpm._iconname),_xlpm._location,_xlfn.XLOOKUP(LOWER(_xlpm._termname),LOWER(tbl_acctDef[Definition]),tbl_acctDef[Definition]),_xlpm._hyperlink,HYPERLINK("#"&amp;CELL("address",_xlpm._location),_xlpm._icon),IFERROR(_xlpm._hyperlink,""))</f>
        <v/>
      </c>
      <c r="AP276" s="2138" t="str" cm="1">
        <f t="array" ca="1" aca="1" ref="AP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276" s="2138" t="str" cm="1">
        <f t="array" ca="1" aca="1" ref="AQ276">_xlfn.LET(_xlpm._termname,$AB276,_xlpm._iconname,"find",_xlpm._icon,fx_getIcon(_xlpm._iconname),_xlpm._location,_xlfn.XLOOKUP(LOWER(_xlpm._termname),LOWER(tbl_acctDef[Order]),tbl_acctDef[Order]),_xlpm._hyperlink,HYPERLINK("#"&amp;CELL("address",_xlpm._location),_xlpm._icon),IFERROR(_xlpm._hyperlink,""))</f>
        <v/>
      </c>
      <c r="AR276" s="2138" t="str" cm="1">
        <f t="array" ca="1" aca="1" ref="AR276">_xlfn.LET(_xlpm._termname,$AB276,_xlpm._iconname,"find",_xlpm._icon,fx_getIcon(_xlpm._iconname),_xlpm._location,_xlfn.XLOOKUP(LOWER(_xlpm._termname),LOWER(tbl_acctDef[Term]),tbl_acctDef[Term]),_xlpm._hyperlink,HYPERLINK("#"&amp;CELL("address",_xlpm._location),_xlpm._icon),IFERROR(_xlpm._hyperlink,""))</f>
        <v/>
      </c>
      <c r="AS276" s="2138" t="str" cm="1">
        <f t="array" ca="1" aca="1" ref="AS276">_xlfn.LET(_xlpm._termname,$AB276,_xlpm._iconname,"find",_xlpm._icon,fx_getIcon(_xlpm._iconname),_xlpm._location,_xlfn.XLOOKUP(LOWER(_xlpm._termname),LOWER(tbl_acctDef[Statement]),tbl_acctDef[Statement]),_xlpm._hyperlink,HYPERLINK("#"&amp;CELL("address",_xlpm._location),_xlpm._icon),IFERROR(_xlpm._hyperlink,""))</f>
        <v/>
      </c>
      <c r="AT276" s="2138" t="str" cm="1">
        <f t="array" ca="1" aca="1" ref="AT276">_xlfn.LET(_xlpm._termname,$AB276,_xlpm._iconname,"find",_xlpm._icon,fx_getIcon(_xlpm._iconname),_xlpm._location,_xlfn.XLOOKUP(LOWER(_xlpm._termname),LOWER(tbl_acctDef[Definition]),tbl_acctDef[Definition]),_xlpm._hyperlink,HYPERLINK("#"&amp;CELL("address",_xlpm._location),_xlpm._icon),IFERROR(_xlpm._hyperlink,""))</f>
        <v/>
      </c>
      <c r="AU276" s="2138" t="str" cm="1">
        <f t="array" ca="1" aca="1" ref="AU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276" s="2138" t="str" cm="1">
        <f t="array" ca="1" aca="1" ref="AV276">_xlfn.LET(_xlpm._termname,$AB276,_xlpm._iconname,"find",_xlpm._icon,fx_getIcon(_xlpm._iconname),_xlpm._location,_xlfn.XLOOKUP(LOWER(_xlpm._termname),LOWER(tbl_acctDef[Order]),tbl_acctDef[Order]),_xlpm._hyperlink,HYPERLINK("#"&amp;CELL("address",_xlpm._location),_xlpm._icon),IFERROR(_xlpm._hyperlink,""))</f>
        <v/>
      </c>
      <c r="AW276" s="2138" t="str" cm="1">
        <f t="array" ca="1" aca="1" ref="AW276">_xlfn.LET(_xlpm._termname,$AB276,_xlpm._iconname,"find",_xlpm._icon,fx_getIcon(_xlpm._iconname),_xlpm._location,_xlfn.XLOOKUP(LOWER(_xlpm._termname),LOWER(tbl_acctDef[Term]),tbl_acctDef[Term]),_xlpm._hyperlink,HYPERLINK("#"&amp;CELL("address",_xlpm._location),_xlpm._icon),IFERROR(_xlpm._hyperlink,""))</f>
        <v/>
      </c>
      <c r="AX276" s="2138" t="str" cm="1">
        <f t="array" ca="1" aca="1" ref="AX276">_xlfn.LET(_xlpm._termname,$AB276,_xlpm._iconname,"find",_xlpm._icon,fx_getIcon(_xlpm._iconname),_xlpm._location,_xlfn.XLOOKUP(LOWER(_xlpm._termname),LOWER(tbl_acctDef[Statement]),tbl_acctDef[Statement]),_xlpm._hyperlink,HYPERLINK("#"&amp;CELL("address",_xlpm._location),_xlpm._icon),IFERROR(_xlpm._hyperlink,""))</f>
        <v/>
      </c>
      <c r="AY276" s="2138" t="str" cm="1">
        <f t="array" ca="1" aca="1" ref="AY276">_xlfn.LET(_xlpm._termname,$AB276,_xlpm._iconname,"find",_xlpm._icon,fx_getIcon(_xlpm._iconname),_xlpm._location,_xlfn.XLOOKUP(LOWER(_xlpm._termname),LOWER(tbl_acctDef[Definition]),tbl_acctDef[Definition]),_xlpm._hyperlink,HYPERLINK("#"&amp;CELL("address",_xlpm._location),_xlpm._icon),IFERROR(_xlpm._hyperlink,""))</f>
        <v/>
      </c>
      <c r="AZ276" s="2138" t="str" cm="1">
        <f t="array" ca="1" aca="1" ref="AZ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276" s="2138" t="str" cm="1">
        <f t="array" ca="1" aca="1" ref="BA276">_xlfn.LET(_xlpm._termname,$AB276,_xlpm._iconname,"find",_xlpm._icon,fx_getIcon(_xlpm._iconname),_xlpm._location,_xlfn.XLOOKUP(LOWER(_xlpm._termname),LOWER(tbl_acctDef[Order]),tbl_acctDef[Order]),_xlpm._hyperlink,HYPERLINK("#"&amp;CELL("address",_xlpm._location),_xlpm._icon),IFERROR(_xlpm._hyperlink,""))</f>
        <v/>
      </c>
      <c r="BB276" s="2138" t="str" cm="1">
        <f t="array" ca="1" aca="1" ref="BB276">_xlfn.LET(_xlpm._termname,$AB276,_xlpm._iconname,"find",_xlpm._icon,fx_getIcon(_xlpm._iconname),_xlpm._location,_xlfn.XLOOKUP(LOWER(_xlpm._termname),LOWER(tbl_acctDef[Term]),tbl_acctDef[Term]),_xlpm._hyperlink,HYPERLINK("#"&amp;CELL("address",_xlpm._location),_xlpm._icon),IFERROR(_xlpm._hyperlink,""))</f>
        <v/>
      </c>
      <c r="BC276" s="2138" t="str" cm="1">
        <f t="array" ca="1" aca="1" ref="BC276">_xlfn.LET(_xlpm._termname,$AB276,_xlpm._iconname,"find",_xlpm._icon,fx_getIcon(_xlpm._iconname),_xlpm._location,_xlfn.XLOOKUP(LOWER(_xlpm._termname),LOWER(tbl_acctDef[Statement]),tbl_acctDef[Statement]),_xlpm._hyperlink,HYPERLINK("#"&amp;CELL("address",_xlpm._location),_xlpm._icon),IFERROR(_xlpm._hyperlink,""))</f>
        <v/>
      </c>
      <c r="BD276" s="2138" t="str" cm="1">
        <f t="array" ca="1" aca="1" ref="BD276">_xlfn.LET(_xlpm._termname,$AB276,_xlpm._iconname,"find",_xlpm._icon,fx_getIcon(_xlpm._iconname),_xlpm._location,_xlfn.XLOOKUP(LOWER(_xlpm._termname),LOWER(tbl_acctDef[Definition]),tbl_acctDef[Definition]),_xlpm._hyperlink,HYPERLINK("#"&amp;CELL("address",_xlpm._location),_xlpm._icon),IFERROR(_xlpm._hyperlink,""))</f>
        <v/>
      </c>
      <c r="BE276" s="2138" t="str" cm="1">
        <f t="array" ca="1" aca="1" ref="BE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276" s="2138" t="str" cm="1">
        <f t="array" ca="1" aca="1" ref="BF276">_xlfn.LET(_xlpm._termname,$AB276,_xlpm._iconname,"find",_xlpm._icon,fx_getIcon(_xlpm._iconname),_xlpm._location,_xlfn.XLOOKUP(LOWER(_xlpm._termname),LOWER(tbl_acctDef[Order]),tbl_acctDef[Order]),_xlpm._hyperlink,HYPERLINK("#"&amp;CELL("address",_xlpm._location),_xlpm._icon),IFERROR(_xlpm._hyperlink,""))</f>
        <v/>
      </c>
      <c r="BG276" s="2138" t="str" cm="1">
        <f t="array" ca="1" aca="1" ref="BG276">_xlfn.LET(_xlpm._termname,$AB276,_xlpm._iconname,"find",_xlpm._icon,fx_getIcon(_xlpm._iconname),_xlpm._location,_xlfn.XLOOKUP(LOWER(_xlpm._termname),LOWER(tbl_acctDef[Term]),tbl_acctDef[Term]),_xlpm._hyperlink,HYPERLINK("#"&amp;CELL("address",_xlpm._location),_xlpm._icon),IFERROR(_xlpm._hyperlink,""))</f>
        <v/>
      </c>
      <c r="BH276" s="2138" t="str" cm="1">
        <f t="array" ca="1" aca="1" ref="BH276">_xlfn.LET(_xlpm._termname,$AB276,_xlpm._iconname,"find",_xlpm._icon,fx_getIcon(_xlpm._iconname),_xlpm._location,_xlfn.XLOOKUP(LOWER(_xlpm._termname),LOWER(tbl_acctDef[Statement]),tbl_acctDef[Statement]),_xlpm._hyperlink,HYPERLINK("#"&amp;CELL("address",_xlpm._location),_xlpm._icon),IFERROR(_xlpm._hyperlink,""))</f>
        <v/>
      </c>
      <c r="BI276" s="2138" t="str" cm="1">
        <f t="array" ca="1" aca="1" ref="BI276">_xlfn.LET(_xlpm._termname,$AB276,_xlpm._iconname,"find",_xlpm._icon,fx_getIcon(_xlpm._iconname),_xlpm._location,_xlfn.XLOOKUP(LOWER(_xlpm._termname),LOWER(tbl_acctDef[Definition]),tbl_acctDef[Definition]),_xlpm._hyperlink,HYPERLINK("#"&amp;CELL("address",_xlpm._location),_xlpm._icon),IFERROR(_xlpm._hyperlink,""))</f>
        <v/>
      </c>
      <c r="BJ276" s="2138" t="str" cm="1">
        <f t="array" ca="1" aca="1" ref="BJ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276" s="2138" t="str" cm="1">
        <f t="array" ca="1" aca="1" ref="BK276">_xlfn.LET(_xlpm._termname,$AB276,_xlpm._iconname,"find",_xlpm._icon,fx_getIcon(_xlpm._iconname),_xlpm._location,_xlfn.XLOOKUP(LOWER(_xlpm._termname),LOWER(tbl_acctDef[Order]),tbl_acctDef[Order]),_xlpm._hyperlink,HYPERLINK("#"&amp;CELL("address",_xlpm._location),_xlpm._icon),IFERROR(_xlpm._hyperlink,""))</f>
        <v/>
      </c>
      <c r="BL276" s="2138" t="str" cm="1">
        <f t="array" ca="1" aca="1" ref="BL276">_xlfn.LET(_xlpm._termname,$AB276,_xlpm._iconname,"find",_xlpm._icon,fx_getIcon(_xlpm._iconname),_xlpm._location,_xlfn.XLOOKUP(LOWER(_xlpm._termname),LOWER(tbl_acctDef[Term]),tbl_acctDef[Term]),_xlpm._hyperlink,HYPERLINK("#"&amp;CELL("address",_xlpm._location),_xlpm._icon),IFERROR(_xlpm._hyperlink,""))</f>
        <v/>
      </c>
      <c r="BM276" s="2138" t="str" cm="1">
        <f t="array" ca="1" aca="1" ref="BM276">_xlfn.LET(_xlpm._termname,$AB276,_xlpm._iconname,"find",_xlpm._icon,fx_getIcon(_xlpm._iconname),_xlpm._location,_xlfn.XLOOKUP(LOWER(_xlpm._termname),LOWER(tbl_acctDef[Statement]),tbl_acctDef[Statement]),_xlpm._hyperlink,HYPERLINK("#"&amp;CELL("address",_xlpm._location),_xlpm._icon),IFERROR(_xlpm._hyperlink,""))</f>
        <v/>
      </c>
      <c r="BN276" s="2138" t="str" cm="1">
        <f t="array" ca="1" aca="1" ref="BN276">_xlfn.LET(_xlpm._termname,$AB276,_xlpm._iconname,"find",_xlpm._icon,fx_getIcon(_xlpm._iconname),_xlpm._location,_xlfn.XLOOKUP(LOWER(_xlpm._termname),LOWER(tbl_acctDef[Definition]),tbl_acctDef[Definition]),_xlpm._hyperlink,HYPERLINK("#"&amp;CELL("address",_xlpm._location),_xlpm._icon),IFERROR(_xlpm._hyperlink,""))</f>
        <v/>
      </c>
      <c r="BO276" s="2361"/>
      <c r="BP276" s="2361"/>
      <c r="BQ276" s="2361"/>
      <c r="BR276" s="2361"/>
      <c r="BS276" s="2361"/>
      <c r="BT276" s="2361"/>
      <c r="BU276" s="2361"/>
      <c r="BV276" s="2361"/>
      <c r="BW276" s="2361"/>
      <c r="BX276" s="2361"/>
      <c r="BY276" s="2361"/>
      <c r="BZ276" s="2361"/>
      <c r="CA276" s="34"/>
      <c r="CC276" s="58"/>
      <c r="CD276" s="1720" t="e" cm="1">
        <f t="array" ca="1" aca="1" ref="CD276">fx_scenarioConverter($W271)</f>
        <v>#NAME?</v>
      </c>
      <c r="CE276" s="1721" t="e" cm="1">
        <f t="array" ca="1" aca="1" ref="CE276">fx_scenarioConverter($W271)</f>
        <v>#NAME?</v>
      </c>
      <c r="CF276" s="128"/>
      <c r="CG276" s="1734" t="e" cm="1">
        <f t="array" ca="1" aca="1" ref="CG276">fx_scenarioConverter($W271)</f>
        <v>#NAME?</v>
      </c>
      <c r="CH276" s="1735" t="e" cm="1">
        <f t="array" ca="1" aca="1" ref="CH276">fx_scenarioConverter($W271)</f>
        <v>#NAME?</v>
      </c>
      <c r="CI276" s="207"/>
      <c r="CJ276" s="1724" t="e" cm="1">
        <f t="array" ca="1" aca="1" ref="CJ276">fx_scenarioConverter($W271)</f>
        <v>#NAME?</v>
      </c>
      <c r="CK276" s="1725" t="e" cm="1">
        <f t="array" ca="1" aca="1" ref="CK276">fx_scenarioConverter($W271)</f>
        <v>#NAME?</v>
      </c>
      <c r="CL276" s="88"/>
      <c r="CM276" s="1198" t="str">
        <f>CM$19</f>
        <v>Original Budget</v>
      </c>
      <c r="CN276" s="1198" t="str">
        <f>CN$19</f>
        <v>LE</v>
      </c>
      <c r="CO276" s="88"/>
      <c r="CP276" s="1198" t="str">
        <f>CP$19</f>
        <v>Original Budget</v>
      </c>
      <c r="CQ276" s="1198" t="str">
        <f>CQ$19</f>
        <v>LE</v>
      </c>
      <c r="CR276" s="34"/>
      <c r="CS276" s="2056"/>
      <c r="DC276"/>
    </row>
    <row r="277" spans="1:107" ht="21" customHeight="1">
      <c r="A277" s="1627"/>
      <c r="B277" s="2606"/>
      <c r="C277" s="2540"/>
      <c r="D277" s="1549"/>
      <c r="E277" s="2440" t="e" cm="1">
        <f t="array" ca="1" aca="1" ref="E27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277:$CQ277,Z277)</f>
        <v>#NAME?</v>
      </c>
      <c r="F277" s="401"/>
      <c r="G277" s="401"/>
      <c r="H277" s="585">
        <v>0</v>
      </c>
      <c r="I277" s="3290">
        <v>1</v>
      </c>
      <c r="J277" s="401"/>
      <c r="K277" s="401" t="str">
        <f t="shared" si="72" ref="K277:K278">IFERROR(IF(LEN(AB277)=0,"No",IF(LEN(J277)&gt;0,"Yes","No")),"")</f>
        <v>No</v>
      </c>
      <c r="L277" s="37"/>
      <c r="N277" s="158"/>
      <c r="O277" s="101"/>
      <c r="P277" s="52"/>
      <c r="Q277" s="101"/>
      <c r="R277" s="101"/>
      <c r="S277" s="101"/>
      <c r="T277" s="2324"/>
      <c r="U277" s="39"/>
      <c r="V277" s="37"/>
      <c r="W277" s="2364" t="e">
        <f ca="1">W276</f>
        <v>#NAME?</v>
      </c>
      <c r="X277" s="2373">
        <f>_PL!X277</f>
        <v>0</v>
      </c>
      <c r="Y277" s="3227">
        <v>2</v>
      </c>
      <c r="Z277" s="198">
        <f>_PL!Z277</f>
        <v>0</v>
      </c>
      <c r="AA277" s="200" t="str" cm="1">
        <f t="array" ca="1" aca="1" ref="AA277">IF(Y277="","",_xlfn.LET(_xlpm._termname,$W277&amp;$Y277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7" s="1134"/>
      <c r="AC277" s="125" t="str" cm="1">
        <f t="array" ca="1" aca="1" ref="AC277">IF(AB277="","",_xlfn.LET(_xlpm._termname,PL!$W277&amp;$AB277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77" s="2152" t="e" cm="1">
        <f t="array" ca="1" aca="1" ref="AD277">_xlfn.LET(_xlpm.search_key,$W277&amp;$Y277,_xlpm.Scenario,_xlfn.VSTACK($W$20:$W$55&amp;$Y$20:$Y$55,$W$76:$W$110&amp;$Y$76:$Y$110),_xlpm.Data,_xlfn.VSTACK($AD$20:$BN$55,$AD$76:$BN$110),IF(OR($Y277="",ISNUMBER(SEARCH("please",$Y277))),"",_xlfn.XLOOKUP(_xlpm.search_key,_xlpm.Scenario,_xlpm.Data,"▧")))</f>
        <v>#NAME?</v>
      </c>
      <c r="AE277" s="2152"/>
      <c r="AF277" s="2152"/>
      <c r="AG277" s="2152"/>
      <c r="AH277" s="2152"/>
      <c r="AI277" s="2152"/>
      <c r="AJ277" s="2152"/>
      <c r="AK277" s="2152"/>
      <c r="AL277" s="2152"/>
      <c r="AM277" s="2152"/>
      <c r="AN277" s="2152"/>
      <c r="AO277" s="2152"/>
      <c r="AP277" s="2152"/>
      <c r="AQ277" s="2152"/>
      <c r="AR277" s="2152"/>
      <c r="AS277" s="2152"/>
      <c r="AT277" s="2152"/>
      <c r="AU277" s="2152"/>
      <c r="AV277" s="2152"/>
      <c r="AW277" s="2152"/>
      <c r="AX277" s="2152"/>
      <c r="AY277" s="2152"/>
      <c r="AZ277" s="2152"/>
      <c r="BA277" s="2152"/>
      <c r="BB277" s="2152"/>
      <c r="BC277" s="2152"/>
      <c r="BD277" s="2152"/>
      <c r="BE277" s="2152"/>
      <c r="BF277" s="2152"/>
      <c r="BG277" s="2152"/>
      <c r="BH277" s="2152"/>
      <c r="BI277" s="2152"/>
      <c r="BJ277" s="2152"/>
      <c r="BK277" s="2152"/>
      <c r="BL277" s="2152"/>
      <c r="BM277" s="2152"/>
      <c r="BN277" s="2152"/>
      <c r="BO277" s="2362"/>
      <c r="BP277" s="2362"/>
      <c r="BQ277" s="2362"/>
      <c r="BR277" s="2362"/>
      <c r="BS277" s="2362"/>
      <c r="BT277" s="2362"/>
      <c r="BU277" s="2362"/>
      <c r="BV277" s="2362"/>
      <c r="BW277" s="2362"/>
      <c r="BX277" s="2362"/>
      <c r="BY277" s="2362"/>
      <c r="BZ277" s="2362"/>
      <c r="CA277" s="34"/>
      <c r="CC277" s="58"/>
      <c r="CD277" s="2154" t="e" cm="1">
        <f t="array" ca="1" aca="1" ref="CD277">_xlfn.LET(_xlpm.search_key,$W277&amp;$Y277,_xlpm.Scenario,_xlfn.VSTACK($W$20:$W$55&amp;$Y$20:$Y$55,$W$76:$W$110&amp;$Y$76:$Y$110),_xlpm.Data,_xlfn.VSTACK(CD$20:CE$55,CD$76:CE$110),IF(OR($Y277="",ISNUMBER(SEARCH("please",$Y277))),"",_xlfn.XLOOKUP(_xlpm.search_key,_xlpm.Scenario,_xlpm.Data,"▧")))</f>
        <v>#NAME?</v>
      </c>
      <c r="CE277" s="2154"/>
      <c r="CF277" s="88"/>
      <c r="CG277" s="2154" t="e" cm="1">
        <f t="array" ca="1" aca="1" ref="CG277">_xlfn.LET(_xlpm.search_key,$W277&amp;$Y277,_xlpm.Scenario,_xlfn.VSTACK($W$20:$W$55&amp;$Y$20:$Y$55,$W$76:$W$110&amp;$Y$76:$Y$110),_xlpm.Data,_xlfn.VSTACK(CG$20:CH$55,CG$76:CH$110),IF(OR($Y277="",ISNUMBER(SEARCH("please",$Y277))),"",_xlfn.XLOOKUP(_xlpm.search_key,_xlpm.Scenario,_xlpm.Data,"▧")))</f>
        <v>#NAME?</v>
      </c>
      <c r="CH277" s="2154"/>
      <c r="CI277" s="88"/>
      <c r="CJ277" s="2154" t="e" cm="1">
        <f t="array" ca="1" aca="1" ref="CJ277">_xlfn.LET(_xlpm.search_key,$W277&amp;$Y277,_xlpm.Scenario,_xlfn.VSTACK($W$20:$W$55&amp;$Y$20:$Y$55,$W$76:$W$110&amp;$Y$76:$Y$110),_xlpm.Data,_xlfn.VSTACK(CJ$20:CK$55,CJ$76:CK$110),IF(OR($Y277="",ISNUMBER(SEARCH("please",$Y277))),"",_xlfn.XLOOKUP(_xlpm.search_key,_xlpm.Scenario,_xlpm.Data,"▧")))</f>
        <v>#NAME?</v>
      </c>
      <c r="CK277" s="2154"/>
      <c r="CL277" s="88"/>
      <c r="CM277" s="2154" t="e" cm="1">
        <f t="array" ca="1" aca="1" ref="CM277">_xlfn.LET(_xlpm.search_key,$W277&amp;$Y277,_xlpm.Scenario,_xlfn.VSTACK($W$20:$W$55&amp;$Y$20:$Y$55,$W$76:$W$110&amp;$Y$76:$Y$110),_xlpm.Data,_xlfn.VSTACK(CM$20:CN$55,CM$76:CN$110),IF(OR($Y277="",ISNUMBER(SEARCH("please",$Y277))),"",_xlfn.XLOOKUP(_xlpm.search_key,_xlpm.Scenario,_xlpm.Data,"▧")))</f>
        <v>#NAME?</v>
      </c>
      <c r="CN277" s="2154"/>
      <c r="CO277" s="88"/>
      <c r="CP277" s="2154" t="e" cm="1">
        <f t="array" ca="1" aca="1" ref="CP277">_xlfn.LET(_xlpm.search_key,$W277&amp;$Y277,_xlpm.Scenario,_xlfn.VSTACK($W$20:$W$55&amp;$Y$20:$Y$55,$W$76:$W$110&amp;$Y$76:$Y$110),_xlpm.Data,_xlfn.VSTACK(CP$20:CQ$55,CP$76:CQ$110),IF(OR($Y277="",ISNUMBER(SEARCH("please",$Y277))),"",_xlfn.XLOOKUP(_xlpm.search_key,_xlpm.Scenario,_xlpm.Data,"▧")))</f>
        <v>#NAME?</v>
      </c>
      <c r="CQ277" s="2154"/>
      <c r="CR277" s="34"/>
      <c r="CS277" s="2056"/>
      <c r="CT277" t="str" cm="1">
        <f t="array" ref="CT277">IF(PL!K277&lt;&gt;"Yes","",IF(OR(PL!Y277="Select,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III"),"",IF(OR(PL!Y277&lt;&gt;PL!AB277,AND(LEN(PL!B277)=0,NOT(OR(PL!Y277="Select,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III")))),_xldudf_CX_PUSH(PL!Y277,CX_ENTITY,PL!C277,EOMONTH(val_asOfDate,0)),"")))</f>
        <v/>
      </c>
      <c r="CU277" t="str" cm="1">
        <f t="array" ref="CU277">IF(PL!K277&lt;&gt;"Yes","",IF(OR(PL!Y277="Select,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III"),"",IF(OR(PL!Y277&lt;&gt;PL!AB277,AND(LEN(PL!B277)=0,NOT(OR(PL!Y277="Select,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III")))),_xldudf_CX_PUSH(PL!Y277,CX_ENTITY,PL!C277,EOMONTH(val_asOfDate,1)),"")))</f>
        <v/>
      </c>
      <c r="CV277" t="str" cm="1">
        <f t="array" ref="CV277">IF(PL!K277&lt;&gt;"Yes","",IF(OR(PL!Y277="Select,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III"),"",IF(OR(PL!Y277&lt;&gt;PL!AB277,AND(LEN(PL!B277)=0,NOT(OR(PL!Y277="Select,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III")))),_xldudf_CX_PUSH(PL!Y277,CX_ENTITY,PL!C277,EOMONTH(val_asOfDate,2)),"")))</f>
        <v/>
      </c>
      <c r="CW277" t="str" cm="1">
        <f t="array" ref="CW277">IF(PL!K277&lt;&gt;"Yes","",IF(OR(PL!Y277="Select,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III"),"",IF(OR(PL!Y277&lt;&gt;PL!AB277,AND(LEN(PL!B277)=0,NOT(OR(PL!Y277="Select,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III")))),_xldudf_CX_PUSH(PL!Y277,CX_ENTITY,PL!C277,EOMONTH(val_asOfDate,3)),"")))</f>
        <v/>
      </c>
      <c r="DC277"/>
    </row>
    <row r="278" spans="1:107" ht="21" customHeight="1">
      <c r="A278" s="1627"/>
      <c r="B278" s="2606"/>
      <c r="C278" s="2540"/>
      <c r="D278" s="1549"/>
      <c r="E278" s="2440" t="e" cm="1">
        <f t="array" ca="1" aca="1" ref="E27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278:$CQ278,Z278)</f>
        <v>#NAME?</v>
      </c>
      <c r="F278" s="401"/>
      <c r="G278" s="401"/>
      <c r="H278" s="585">
        <v>0</v>
      </c>
      <c r="I278" s="3290">
        <v>1</v>
      </c>
      <c r="J278" s="401"/>
      <c r="K278" s="401" t="str">
        <f t="shared" si="72"/>
        <v>No</v>
      </c>
      <c r="L278" s="37"/>
      <c r="N278" s="158"/>
      <c r="O278" s="101"/>
      <c r="P278" s="52"/>
      <c r="Q278" s="101"/>
      <c r="R278" s="101"/>
      <c r="S278" s="101"/>
      <c r="T278" s="101"/>
      <c r="U278" s="39"/>
      <c r="V278" s="37"/>
      <c r="W278" s="2364" t="e">
        <f ca="1">W276</f>
        <v>#NAME?</v>
      </c>
      <c r="X278" s="2373">
        <f>_PL!X278</f>
        <v>0</v>
      </c>
      <c r="Y278" s="3228">
        <v>2</v>
      </c>
      <c r="Z278" s="198">
        <f>_PL!Z278</f>
        <v>0</v>
      </c>
      <c r="AA278" s="200" t="str" cm="1">
        <f t="array" ca="1" aca="1" ref="AA278">IF(Y278="","",_xlfn.LET(_xlpm._termname,$W278&amp;$Y278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8" s="1134"/>
      <c r="AC278" s="125" t="str" cm="1">
        <f t="array" ca="1" aca="1" ref="AC278">IF(AB278="","",_xlfn.LET(_xlpm._termname,PL!$W279&amp;$AB278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78" s="2152" t="e" cm="1">
        <f t="array" ca="1" aca="1" ref="AD278">_xlfn.LET(_xlpm.search_key,$W278&amp;$Y278,_xlpm.Scenario,_xlfn.VSTACK($W$20:$W$55&amp;$Y$20:$Y$55,$W$76:$W$110&amp;$Y$76:$Y$110),_xlpm.Data,_xlfn.VSTACK($AD$20:$BN$55,$AD$76:$BN$110),IF(OR($Y278="",ISNUMBER(SEARCH("please",$Y278))),"",_xlfn.XLOOKUP(_xlpm.search_key,_xlpm.Scenario,_xlpm.Data,"▧")))</f>
        <v>#NAME?</v>
      </c>
      <c r="AE278" s="2152"/>
      <c r="AF278" s="2152"/>
      <c r="AG278" s="2152"/>
      <c r="AH278" s="2152"/>
      <c r="AI278" s="2152"/>
      <c r="AJ278" s="2152"/>
      <c r="AK278" s="2152"/>
      <c r="AL278" s="2152"/>
      <c r="AM278" s="2152"/>
      <c r="AN278" s="2152"/>
      <c r="AO278" s="2152"/>
      <c r="AP278" s="2152"/>
      <c r="AQ278" s="2152"/>
      <c r="AR278" s="2152"/>
      <c r="AS278" s="2152"/>
      <c r="AT278" s="2152"/>
      <c r="AU278" s="2152"/>
      <c r="AV278" s="2152"/>
      <c r="AW278" s="2152"/>
      <c r="AX278" s="2152"/>
      <c r="AY278" s="2152"/>
      <c r="AZ278" s="2152"/>
      <c r="BA278" s="2152"/>
      <c r="BB278" s="2152"/>
      <c r="BC278" s="2152"/>
      <c r="BD278" s="2152"/>
      <c r="BE278" s="2152"/>
      <c r="BF278" s="2152"/>
      <c r="BG278" s="2152"/>
      <c r="BH278" s="2152"/>
      <c r="BI278" s="2152"/>
      <c r="BJ278" s="2152"/>
      <c r="BK278" s="2152"/>
      <c r="BL278" s="2152"/>
      <c r="BM278" s="2152"/>
      <c r="BN278" s="2152"/>
      <c r="BO278" s="2362"/>
      <c r="BP278" s="2362"/>
      <c r="BQ278" s="2362"/>
      <c r="BR278" s="2362"/>
      <c r="BS278" s="2362"/>
      <c r="BT278" s="2362"/>
      <c r="BU278" s="2362"/>
      <c r="BV278" s="2362"/>
      <c r="BW278" s="2362"/>
      <c r="BX278" s="2362"/>
      <c r="BY278" s="2362"/>
      <c r="BZ278" s="2362"/>
      <c r="CA278" s="34"/>
      <c r="CC278" s="58"/>
      <c r="CD278" s="2154" t="e" cm="1">
        <f t="array" ca="1" aca="1" ref="CD278">_xlfn.LET(_xlpm.search_key,$W278&amp;$Y278,_xlpm.Scenario,_xlfn.VSTACK($W$20:$W$55&amp;$Y$20:$Y$55,$W$76:$W$110&amp;$Y$76:$Y$110),_xlpm.Data,_xlfn.VSTACK(CD$20:CE$55,CD$76:CE$110),IF(OR($Y278="",ISNUMBER(SEARCH("please",$Y278))),"",_xlfn.XLOOKUP(_xlpm.search_key,_xlpm.Scenario,_xlpm.Data,"▧")))</f>
        <v>#NAME?</v>
      </c>
      <c r="CE278" s="2154"/>
      <c r="CF278" s="88"/>
      <c r="CG278" s="2154" t="e" cm="1">
        <f t="array" ca="1" aca="1" ref="CG278">_xlfn.LET(_xlpm.search_key,$W278&amp;$Y278,_xlpm.Scenario,_xlfn.VSTACK($W$20:$W$55&amp;$Y$20:$Y$55,$W$76:$W$110&amp;$Y$76:$Y$110),_xlpm.Data,_xlfn.VSTACK(CG$20:CH$55,CG$76:CH$110),IF(OR($Y278="",ISNUMBER(SEARCH("please",$Y278))),"",_xlfn.XLOOKUP(_xlpm.search_key,_xlpm.Scenario,_xlpm.Data,"▧")))</f>
        <v>#NAME?</v>
      </c>
      <c r="CH278" s="2154"/>
      <c r="CI278" s="88"/>
      <c r="CJ278" s="2154" t="e" cm="1">
        <f t="array" ca="1" aca="1" ref="CJ278">_xlfn.LET(_xlpm.search_key,$W278&amp;$Y278,_xlpm.Scenario,_xlfn.VSTACK($W$20:$W$55&amp;$Y$20:$Y$55,$W$76:$W$110&amp;$Y$76:$Y$110),_xlpm.Data,_xlfn.VSTACK(CJ$20:CK$55,CJ$76:CK$110),IF(OR($Y278="",ISNUMBER(SEARCH("please",$Y278))),"",_xlfn.XLOOKUP(_xlpm.search_key,_xlpm.Scenario,_xlpm.Data,"▧")))</f>
        <v>#NAME?</v>
      </c>
      <c r="CK278" s="2154"/>
      <c r="CL278" s="88"/>
      <c r="CM278" s="2154" t="e" cm="1">
        <f t="array" ca="1" aca="1" ref="CM278">_xlfn.LET(_xlpm.search_key,$W278&amp;$Y278,_xlpm.Scenario,_xlfn.VSTACK($W$20:$W$55&amp;$Y$20:$Y$55,$W$76:$W$110&amp;$Y$76:$Y$110),_xlpm.Data,_xlfn.VSTACK(CM$20:CN$55,CM$76:CN$110),IF(OR($Y278="",ISNUMBER(SEARCH("please",$Y278))),"",_xlfn.XLOOKUP(_xlpm.search_key,_xlpm.Scenario,_xlpm.Data,"▧")))</f>
        <v>#NAME?</v>
      </c>
      <c r="CN278" s="2154"/>
      <c r="CO278" s="88"/>
      <c r="CP278" s="2154" t="e" cm="1">
        <f t="array" ca="1" aca="1" ref="CP278">_xlfn.LET(_xlpm.search_key,$W278&amp;$Y278,_xlpm.Scenario,_xlfn.VSTACK($W$20:$W$55&amp;$Y$20:$Y$55,$W$76:$W$110&amp;$Y$76:$Y$110),_xlpm.Data,_xlfn.VSTACK(CP$20:CQ$55,CP$76:CQ$110),IF(OR($Y278="",ISNUMBER(SEARCH("please",$Y278))),"",_xlfn.XLOOKUP(_xlpm.search_key,_xlpm.Scenario,_xlpm.Data,"▧")))</f>
        <v>#NAME?</v>
      </c>
      <c r="CQ278" s="2154"/>
      <c r="CR278" s="34"/>
      <c r="CS278" s="2056"/>
      <c r="CT278" t="str" cm="1">
        <f t="array" ref="CT278">IF(PL!K278&lt;&gt;"Yes","",IF(OR(PL!Y278="Select,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III"),"",IF(OR(PL!Y278&lt;&gt;PL!AB278,AND(LEN(PL!B278)=0,NOT(OR(PL!Y278="Select,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III")))),_xldudf_CX_PUSH(PL!Y278,CX_ENTITY,PL!C278,EOMONTH(val_asOfDate,0)),"")))</f>
        <v/>
      </c>
      <c r="CU278" t="str" cm="1">
        <f t="array" ref="CU278">IF(PL!K278&lt;&gt;"Yes","",IF(OR(PL!Y278="Select,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III"),"",IF(OR(PL!Y278&lt;&gt;PL!AB278,AND(LEN(PL!B278)=0,NOT(OR(PL!Y278="Select,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III")))),_xldudf_CX_PUSH(PL!Y278,CX_ENTITY,PL!C278,EOMONTH(val_asOfDate,1)),"")))</f>
        <v/>
      </c>
      <c r="CV278" t="str" cm="1">
        <f t="array" ref="CV278">IF(PL!K278&lt;&gt;"Yes","",IF(OR(PL!Y278="Select,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III"),"",IF(OR(PL!Y278&lt;&gt;PL!AB278,AND(LEN(PL!B278)=0,NOT(OR(PL!Y278="Select,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III")))),_xldudf_CX_PUSH(PL!Y278,CX_ENTITY,PL!C278,EOMONTH(val_asOfDate,2)),"")))</f>
        <v/>
      </c>
      <c r="CW278" t="str" cm="1">
        <f t="array" ref="CW278">IF(PL!K278&lt;&gt;"Yes","",IF(OR(PL!Y278="Select,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III"),"",IF(OR(PL!Y278&lt;&gt;PL!AB278,AND(LEN(PL!B278)=0,NOT(OR(PL!Y278="Select,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III")))),_xldudf_CX_PUSH(PL!Y278,CX_ENTITY,PL!C278,EOMONTH(val_asOfDate,3)),"")))</f>
        <v/>
      </c>
      <c r="DC278"/>
    </row>
    <row r="279" spans="1:107" ht="21" customHeight="1">
      <c r="A279" s="1627"/>
      <c r="B279" s="2606"/>
      <c r="C279" s="2540"/>
      <c r="D279" s="1549"/>
      <c r="E279" s="2440"/>
      <c r="F279" s="401"/>
      <c r="G279" s="401"/>
      <c r="H279" s="585"/>
      <c r="I279" s="585"/>
      <c r="J279" s="401"/>
      <c r="K279" s="401"/>
      <c r="L279" s="37"/>
      <c r="N279" s="158"/>
      <c r="O279" s="101"/>
      <c r="P279" s="52"/>
      <c r="Q279" s="101"/>
      <c r="R279" s="101"/>
      <c r="S279" s="101"/>
      <c r="T279" s="101"/>
      <c r="U279" s="39"/>
      <c r="V279" s="37"/>
      <c r="W279" s="2364" t="e">
        <f ca="1">W276</f>
        <v>#NAME?</v>
      </c>
      <c r="X279" s="2373">
        <f>_PL!X279</f>
        <v>0</v>
      </c>
      <c r="Y279" s="3228">
        <v>2</v>
      </c>
      <c r="Z279" s="198">
        <f>_PL!Z279</f>
        <v>0</v>
      </c>
      <c r="AA279" s="200" t="str" cm="1">
        <f t="array" ca="1" aca="1" ref="AA279">IF(Y279="","",_xlfn.LET(_xlpm._termname,$W279&amp;$Y279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9" s="1134"/>
      <c r="AC279" s="125"/>
      <c r="AD279" s="2152" t="e" cm="1">
        <f t="array" ca="1" aca="1" ref="AD279">_xlfn.LET(_xlpm.search_key,$W279&amp;$Y279,_xlpm.Scenario,_xlfn.VSTACK($W$20:$W$55&amp;$Y$20:$Y$55,$W$76:$W$110&amp;$Y$76:$Y$110),_xlpm.Data,_xlfn.VSTACK($AD$20:$BN$55,$AD$76:$BN$110),IF(OR($Y279="",ISNUMBER(SEARCH("please",$Y279))),"",_xlfn.XLOOKUP(_xlpm.search_key,_xlpm.Scenario,_xlpm.Data,"▧")))</f>
        <v>#NAME?</v>
      </c>
      <c r="AE279" s="2152"/>
      <c r="AF279" s="2152"/>
      <c r="AG279" s="2152"/>
      <c r="AH279" s="2152"/>
      <c r="AI279" s="2152"/>
      <c r="AJ279" s="2152"/>
      <c r="AK279" s="2152"/>
      <c r="AL279" s="2152"/>
      <c r="AM279" s="2152"/>
      <c r="AN279" s="2152"/>
      <c r="AO279" s="2152"/>
      <c r="AP279" s="2152"/>
      <c r="AQ279" s="2152"/>
      <c r="AR279" s="2152"/>
      <c r="AS279" s="2152"/>
      <c r="AT279" s="2152"/>
      <c r="AU279" s="2152"/>
      <c r="AV279" s="2152"/>
      <c r="AW279" s="2152"/>
      <c r="AX279" s="2152"/>
      <c r="AY279" s="2152"/>
      <c r="AZ279" s="2152"/>
      <c r="BA279" s="2152"/>
      <c r="BB279" s="2152"/>
      <c r="BC279" s="2152"/>
      <c r="BD279" s="2152"/>
      <c r="BE279" s="2152"/>
      <c r="BF279" s="2152"/>
      <c r="BG279" s="2152"/>
      <c r="BH279" s="2152"/>
      <c r="BI279" s="2152"/>
      <c r="BJ279" s="2152"/>
      <c r="BK279" s="2152"/>
      <c r="BL279" s="2152"/>
      <c r="BM279" s="2152"/>
      <c r="BN279" s="2152"/>
      <c r="BO279" s="2362"/>
      <c r="BP279" s="2362"/>
      <c r="BQ279" s="2362"/>
      <c r="BR279" s="2362"/>
      <c r="BS279" s="2362"/>
      <c r="BT279" s="2362"/>
      <c r="BU279" s="2362"/>
      <c r="BV279" s="2362"/>
      <c r="BW279" s="2362"/>
      <c r="BX279" s="2362"/>
      <c r="BY279" s="2362"/>
      <c r="BZ279" s="2362"/>
      <c r="CA279" s="34"/>
      <c r="CC279" s="58"/>
      <c r="CD279" s="2154" t="e" cm="1">
        <f t="array" ca="1" aca="1" ref="CD279">_xlfn.LET(_xlpm.search_key,$W279&amp;$Y279,_xlpm.Scenario,_xlfn.VSTACK($W$20:$W$55&amp;$Y$20:$Y$55,$W$76:$W$110&amp;$Y$76:$Y$110),_xlpm.Data,_xlfn.VSTACK(CD$20:CE$55,CD$76:CE$110),IF(OR($Y279="",ISNUMBER(SEARCH("please",$Y279))),"",_xlfn.XLOOKUP(_xlpm.search_key,_xlpm.Scenario,_xlpm.Data,"▧")))</f>
        <v>#NAME?</v>
      </c>
      <c r="CE279" s="2154"/>
      <c r="CF279" s="88"/>
      <c r="CG279" s="2154" t="e" cm="1">
        <f t="array" ca="1" aca="1" ref="CG279">_xlfn.LET(_xlpm.search_key,$W279&amp;$Y279,_xlpm.Scenario,_xlfn.VSTACK($W$20:$W$55&amp;$Y$20:$Y$55,$W$76:$W$110&amp;$Y$76:$Y$110),_xlpm.Data,_xlfn.VSTACK(CG$20:CH$55,CG$76:CH$110),IF(OR($Y279="",ISNUMBER(SEARCH("please",$Y279))),"",_xlfn.XLOOKUP(_xlpm.search_key,_xlpm.Scenario,_xlpm.Data,"▧")))</f>
        <v>#NAME?</v>
      </c>
      <c r="CH279" s="2154"/>
      <c r="CI279" s="88"/>
      <c r="CJ279" s="2154" t="e" cm="1">
        <f t="array" ca="1" aca="1" ref="CJ279">_xlfn.LET(_xlpm.search_key,$W279&amp;$Y279,_xlpm.Scenario,_xlfn.VSTACK($W$20:$W$55&amp;$Y$20:$Y$55,$W$76:$W$110&amp;$Y$76:$Y$110),_xlpm.Data,_xlfn.VSTACK(CJ$20:CK$55,CJ$76:CK$110),IF(OR($Y279="",ISNUMBER(SEARCH("please",$Y279))),"",_xlfn.XLOOKUP(_xlpm.search_key,_xlpm.Scenario,_xlpm.Data,"▧")))</f>
        <v>#NAME?</v>
      </c>
      <c r="CK279" s="2154"/>
      <c r="CL279" s="88"/>
      <c r="CM279" s="2154" t="e" cm="1">
        <f t="array" ca="1" aca="1" ref="CM279">_xlfn.LET(_xlpm.search_key,$W279&amp;$Y279,_xlpm.Scenario,_xlfn.VSTACK($W$20:$W$55&amp;$Y$20:$Y$55,$W$76:$W$110&amp;$Y$76:$Y$110),_xlpm.Data,_xlfn.VSTACK(CM$20:CN$55,CM$76:CN$110),IF(OR($Y279="",ISNUMBER(SEARCH("please",$Y279))),"",_xlfn.XLOOKUP(_xlpm.search_key,_xlpm.Scenario,_xlpm.Data,"▧")))</f>
        <v>#NAME?</v>
      </c>
      <c r="CN279" s="2154"/>
      <c r="CO279" s="88"/>
      <c r="CP279" s="2154" t="e" cm="1">
        <f t="array" ca="1" aca="1" ref="CP279">_xlfn.LET(_xlpm.search_key,$W279&amp;$Y279,_xlpm.Scenario,_xlfn.VSTACK($W$20:$W$55&amp;$Y$20:$Y$55,$W$76:$W$110&amp;$Y$76:$Y$110),_xlpm.Data,_xlfn.VSTACK(CP$20:CQ$55,CP$76:CQ$110),IF(OR($Y279="",ISNUMBER(SEARCH("please",$Y279))),"",_xlfn.XLOOKUP(_xlpm.search_key,_xlpm.Scenario,_xlpm.Data,"▧")))</f>
        <v>#NAME?</v>
      </c>
      <c r="CQ279" s="2154"/>
      <c r="CR279" s="34"/>
      <c r="CS279" s="2056"/>
      <c r="DC279"/>
    </row>
    <row r="280" spans="1:107" ht="21" customHeight="1">
      <c r="A280" s="1627"/>
      <c r="B280" s="2606"/>
      <c r="C280" s="2540"/>
      <c r="D280" s="1549"/>
      <c r="E280" s="2440"/>
      <c r="F280" s="401"/>
      <c r="G280" s="401"/>
      <c r="H280" s="585"/>
      <c r="I280" s="585"/>
      <c r="J280" s="401"/>
      <c r="K280" s="401"/>
      <c r="L280" s="37"/>
      <c r="N280" s="158"/>
      <c r="O280" s="101"/>
      <c r="P280" s="52"/>
      <c r="Q280" s="101"/>
      <c r="R280" s="101"/>
      <c r="S280" s="101"/>
      <c r="T280" s="101"/>
      <c r="U280" s="39"/>
      <c r="V280" s="37"/>
      <c r="W280" s="2364" t="e">
        <f ca="1">W276</f>
        <v>#NAME?</v>
      </c>
      <c r="X280" s="2373">
        <f>_PL!X280</f>
        <v>0</v>
      </c>
      <c r="Y280" s="3228">
        <v>2</v>
      </c>
      <c r="Z280" s="198">
        <f>_PL!Z280</f>
        <v>0</v>
      </c>
      <c r="AA280" s="200" t="str" cm="1">
        <f t="array" ca="1" aca="1" ref="AA280">IF(Y280="","",_xlfn.LET(_xlpm._termname,$W280&amp;$Y280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0" s="1134"/>
      <c r="AC280" s="125"/>
      <c r="AD280" s="2152" t="e" cm="1">
        <f t="array" ca="1" aca="1" ref="AD280">_xlfn.LET(_xlpm.search_key,$W280&amp;$Y280,_xlpm.Scenario,_xlfn.VSTACK($W$20:$W$55&amp;$Y$20:$Y$55,$W$76:$W$110&amp;$Y$76:$Y$110),_xlpm.Data,_xlfn.VSTACK($AD$20:$BN$55,$AD$76:$BN$110),IF(OR($Y280="",ISNUMBER(SEARCH("please",$Y280))),"",_xlfn.XLOOKUP(_xlpm.search_key,_xlpm.Scenario,_xlpm.Data,"▧")))</f>
        <v>#NAME?</v>
      </c>
      <c r="AE280" s="2152"/>
      <c r="AF280" s="2152"/>
      <c r="AG280" s="2152"/>
      <c r="AH280" s="2152"/>
      <c r="AI280" s="2152"/>
      <c r="AJ280" s="2152"/>
      <c r="AK280" s="2152"/>
      <c r="AL280" s="2152"/>
      <c r="AM280" s="2152"/>
      <c r="AN280" s="2152"/>
      <c r="AO280" s="2152"/>
      <c r="AP280" s="2152"/>
      <c r="AQ280" s="2152"/>
      <c r="AR280" s="2152"/>
      <c r="AS280" s="2152"/>
      <c r="AT280" s="2152"/>
      <c r="AU280" s="2152"/>
      <c r="AV280" s="2152"/>
      <c r="AW280" s="2152"/>
      <c r="AX280" s="2152"/>
      <c r="AY280" s="2152"/>
      <c r="AZ280" s="2152"/>
      <c r="BA280" s="2152"/>
      <c r="BB280" s="2152"/>
      <c r="BC280" s="2152"/>
      <c r="BD280" s="2152"/>
      <c r="BE280" s="2152"/>
      <c r="BF280" s="2152"/>
      <c r="BG280" s="2152"/>
      <c r="BH280" s="2152"/>
      <c r="BI280" s="2152"/>
      <c r="BJ280" s="2152"/>
      <c r="BK280" s="2152"/>
      <c r="BL280" s="2152"/>
      <c r="BM280" s="2152"/>
      <c r="BN280" s="2152"/>
      <c r="BO280" s="2362"/>
      <c r="BP280" s="2362"/>
      <c r="BQ280" s="2362"/>
      <c r="BR280" s="2362"/>
      <c r="BS280" s="2362"/>
      <c r="BT280" s="2362"/>
      <c r="BU280" s="2362"/>
      <c r="BV280" s="2362"/>
      <c r="BW280" s="2362"/>
      <c r="BX280" s="2362"/>
      <c r="BY280" s="2362"/>
      <c r="BZ280" s="2362"/>
      <c r="CA280" s="34"/>
      <c r="CC280" s="58"/>
      <c r="CD280" s="2154" t="e" cm="1">
        <f t="array" ca="1" aca="1" ref="CD280">_xlfn.LET(_xlpm.search_key,$W280&amp;$Y280,_xlpm.Scenario,_xlfn.VSTACK($W$20:$W$55&amp;$Y$20:$Y$55,$W$76:$W$110&amp;$Y$76:$Y$110),_xlpm.Data,_xlfn.VSTACK(CD$20:CE$55,CD$76:CE$110),IF(OR($Y280="",ISNUMBER(SEARCH("please",$Y280))),"",_xlfn.XLOOKUP(_xlpm.search_key,_xlpm.Scenario,_xlpm.Data,"▧")))</f>
        <v>#NAME?</v>
      </c>
      <c r="CE280" s="2154"/>
      <c r="CF280" s="88"/>
      <c r="CG280" s="2154" t="e" cm="1">
        <f t="array" ca="1" aca="1" ref="CG280">_xlfn.LET(_xlpm.search_key,$W280&amp;$Y280,_xlpm.Scenario,_xlfn.VSTACK($W$20:$W$55&amp;$Y$20:$Y$55,$W$76:$W$110&amp;$Y$76:$Y$110),_xlpm.Data,_xlfn.VSTACK(CG$20:CH$55,CG$76:CH$110),IF(OR($Y280="",ISNUMBER(SEARCH("please",$Y280))),"",_xlfn.XLOOKUP(_xlpm.search_key,_xlpm.Scenario,_xlpm.Data,"▧")))</f>
        <v>#NAME?</v>
      </c>
      <c r="CH280" s="2154"/>
      <c r="CI280" s="88"/>
      <c r="CJ280" s="2154" t="e" cm="1">
        <f t="array" ca="1" aca="1" ref="CJ280">_xlfn.LET(_xlpm.search_key,$W280&amp;$Y280,_xlpm.Scenario,_xlfn.VSTACK($W$20:$W$55&amp;$Y$20:$Y$55,$W$76:$W$110&amp;$Y$76:$Y$110),_xlpm.Data,_xlfn.VSTACK(CJ$20:CK$55,CJ$76:CK$110),IF(OR($Y280="",ISNUMBER(SEARCH("please",$Y280))),"",_xlfn.XLOOKUP(_xlpm.search_key,_xlpm.Scenario,_xlpm.Data,"▧")))</f>
        <v>#NAME?</v>
      </c>
      <c r="CK280" s="2154"/>
      <c r="CL280" s="88"/>
      <c r="CM280" s="2154" t="e" cm="1">
        <f t="array" ca="1" aca="1" ref="CM280">_xlfn.LET(_xlpm.search_key,$W280&amp;$Y280,_xlpm.Scenario,_xlfn.VSTACK($W$20:$W$55&amp;$Y$20:$Y$55,$W$76:$W$110&amp;$Y$76:$Y$110),_xlpm.Data,_xlfn.VSTACK(CM$20:CN$55,CM$76:CN$110),IF(OR($Y280="",ISNUMBER(SEARCH("please",$Y280))),"",_xlfn.XLOOKUP(_xlpm.search_key,_xlpm.Scenario,_xlpm.Data,"▧")))</f>
        <v>#NAME?</v>
      </c>
      <c r="CN280" s="2154"/>
      <c r="CO280" s="88"/>
      <c r="CP280" s="2154" t="e" cm="1">
        <f t="array" ca="1" aca="1" ref="CP280">_xlfn.LET(_xlpm.search_key,$W280&amp;$Y280,_xlpm.Scenario,_xlfn.VSTACK($W$20:$W$55&amp;$Y$20:$Y$55,$W$76:$W$110&amp;$Y$76:$Y$110),_xlpm.Data,_xlfn.VSTACK(CP$20:CQ$55,CP$76:CQ$110),IF(OR($Y280="",ISNUMBER(SEARCH("please",$Y280))),"",_xlfn.XLOOKUP(_xlpm.search_key,_xlpm.Scenario,_xlpm.Data,"▧")))</f>
        <v>#NAME?</v>
      </c>
      <c r="CQ280" s="2154"/>
      <c r="CR280" s="34"/>
      <c r="CS280" s="2056"/>
      <c r="DC280"/>
    </row>
    <row r="281" spans="1:107" ht="21" customHeight="1">
      <c r="A281" s="1627"/>
      <c r="B281" s="2606"/>
      <c r="C281" s="2540"/>
      <c r="D281" s="1549"/>
      <c r="E281" s="2440"/>
      <c r="F281" s="401"/>
      <c r="G281" s="401"/>
      <c r="H281" s="585"/>
      <c r="I281" s="585"/>
      <c r="J281" s="401"/>
      <c r="K281" s="401"/>
      <c r="L281" s="37"/>
      <c r="N281" s="158"/>
      <c r="O281" s="101"/>
      <c r="P281" s="52"/>
      <c r="Q281" s="101"/>
      <c r="R281" s="101"/>
      <c r="S281" s="101"/>
      <c r="T281" s="101"/>
      <c r="U281" s="39"/>
      <c r="V281" s="37"/>
      <c r="W281" s="2364" t="e">
        <f ca="1">W276</f>
        <v>#NAME?</v>
      </c>
      <c r="X281" s="2373">
        <f>_PL!X281</f>
        <v>0</v>
      </c>
      <c r="Y281" s="3228">
        <v>2</v>
      </c>
      <c r="Z281" s="198">
        <f>_PL!Z281</f>
        <v>0</v>
      </c>
      <c r="AA281" s="200" t="str" cm="1">
        <f t="array" ca="1" aca="1" ref="AA281">IF(Y281="","",_xlfn.LET(_xlpm._termname,$W281&amp;$Y281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1" s="1134"/>
      <c r="AC281" s="125"/>
      <c r="AD281" s="2152" t="e" cm="1">
        <f t="array" ca="1" aca="1" ref="AD281">_xlfn.LET(_xlpm.search_key,$W281&amp;$Y281,_xlpm.Scenario,_xlfn.VSTACK($W$20:$W$55&amp;$Y$20:$Y$55,$W$76:$W$110&amp;$Y$76:$Y$110),_xlpm.Data,_xlfn.VSTACK($AD$20:$BN$55,$AD$76:$BN$110),IF(OR($Y281="",ISNUMBER(SEARCH("please",$Y281))),"",_xlfn.XLOOKUP(_xlpm.search_key,_xlpm.Scenario,_xlpm.Data,"▧")))</f>
        <v>#NAME?</v>
      </c>
      <c r="AE281" s="2152"/>
      <c r="AF281" s="2152"/>
      <c r="AG281" s="2152"/>
      <c r="AH281" s="2152"/>
      <c r="AI281" s="2152"/>
      <c r="AJ281" s="2152"/>
      <c r="AK281" s="2152"/>
      <c r="AL281" s="2152"/>
      <c r="AM281" s="2152"/>
      <c r="AN281" s="2152"/>
      <c r="AO281" s="2152"/>
      <c r="AP281" s="2152"/>
      <c r="AQ281" s="2152"/>
      <c r="AR281" s="2152"/>
      <c r="AS281" s="2152"/>
      <c r="AT281" s="2152"/>
      <c r="AU281" s="2152"/>
      <c r="AV281" s="2152"/>
      <c r="AW281" s="2152"/>
      <c r="AX281" s="2152"/>
      <c r="AY281" s="2152"/>
      <c r="AZ281" s="2152"/>
      <c r="BA281" s="2152"/>
      <c r="BB281" s="2152"/>
      <c r="BC281" s="2152"/>
      <c r="BD281" s="2152"/>
      <c r="BE281" s="2152"/>
      <c r="BF281" s="2152"/>
      <c r="BG281" s="2152"/>
      <c r="BH281" s="2152"/>
      <c r="BI281" s="2152"/>
      <c r="BJ281" s="2152"/>
      <c r="BK281" s="2152"/>
      <c r="BL281" s="2152"/>
      <c r="BM281" s="2152"/>
      <c r="BN281" s="2152"/>
      <c r="BO281" s="2362"/>
      <c r="BP281" s="2362"/>
      <c r="BQ281" s="2362"/>
      <c r="BR281" s="2362"/>
      <c r="BS281" s="2362"/>
      <c r="BT281" s="2362"/>
      <c r="BU281" s="2362"/>
      <c r="BV281" s="2362"/>
      <c r="BW281" s="2362"/>
      <c r="BX281" s="2362"/>
      <c r="BY281" s="2362"/>
      <c r="BZ281" s="2362"/>
      <c r="CA281" s="34"/>
      <c r="CC281" s="58"/>
      <c r="CD281" s="2154" t="e" cm="1">
        <f t="array" ca="1" aca="1" ref="CD281">_xlfn.LET(_xlpm.search_key,$W281&amp;$Y281,_xlpm.Scenario,_xlfn.VSTACK($W$20:$W$55&amp;$Y$20:$Y$55,$W$76:$W$110&amp;$Y$76:$Y$110),_xlpm.Data,_xlfn.VSTACK(CD$20:CE$55,CD$76:CE$110),IF(OR($Y281="",ISNUMBER(SEARCH("please",$Y281))),"",_xlfn.XLOOKUP(_xlpm.search_key,_xlpm.Scenario,_xlpm.Data,"▧")))</f>
        <v>#NAME?</v>
      </c>
      <c r="CE281" s="2154"/>
      <c r="CF281" s="88"/>
      <c r="CG281" s="2154" t="e" cm="1">
        <f t="array" ca="1" aca="1" ref="CG281">_xlfn.LET(_xlpm.search_key,$W281&amp;$Y281,_xlpm.Scenario,_xlfn.VSTACK($W$20:$W$55&amp;$Y$20:$Y$55,$W$76:$W$110&amp;$Y$76:$Y$110),_xlpm.Data,_xlfn.VSTACK(CG$20:CH$55,CG$76:CH$110),IF(OR($Y281="",ISNUMBER(SEARCH("please",$Y281))),"",_xlfn.XLOOKUP(_xlpm.search_key,_xlpm.Scenario,_xlpm.Data,"▧")))</f>
        <v>#NAME?</v>
      </c>
      <c r="CH281" s="2154"/>
      <c r="CI281" s="88"/>
      <c r="CJ281" s="2154" t="e" cm="1">
        <f t="array" ca="1" aca="1" ref="CJ281">_xlfn.LET(_xlpm.search_key,$W281&amp;$Y281,_xlpm.Scenario,_xlfn.VSTACK($W$20:$W$55&amp;$Y$20:$Y$55,$W$76:$W$110&amp;$Y$76:$Y$110),_xlpm.Data,_xlfn.VSTACK(CJ$20:CK$55,CJ$76:CK$110),IF(OR($Y281="",ISNUMBER(SEARCH("please",$Y281))),"",_xlfn.XLOOKUP(_xlpm.search_key,_xlpm.Scenario,_xlpm.Data,"▧")))</f>
        <v>#NAME?</v>
      </c>
      <c r="CK281" s="2154"/>
      <c r="CL281" s="88"/>
      <c r="CM281" s="2154" t="e" cm="1">
        <f t="array" ca="1" aca="1" ref="CM281">_xlfn.LET(_xlpm.search_key,$W281&amp;$Y281,_xlpm.Scenario,_xlfn.VSTACK($W$20:$W$55&amp;$Y$20:$Y$55,$W$76:$W$110&amp;$Y$76:$Y$110),_xlpm.Data,_xlfn.VSTACK(CM$20:CN$55,CM$76:CN$110),IF(OR($Y281="",ISNUMBER(SEARCH("please",$Y281))),"",_xlfn.XLOOKUP(_xlpm.search_key,_xlpm.Scenario,_xlpm.Data,"▧")))</f>
        <v>#NAME?</v>
      </c>
      <c r="CN281" s="2154"/>
      <c r="CO281" s="88"/>
      <c r="CP281" s="2154" t="e" cm="1">
        <f t="array" ca="1" aca="1" ref="CP281">_xlfn.LET(_xlpm.search_key,$W281&amp;$Y281,_xlpm.Scenario,_xlfn.VSTACK($W$20:$W$55&amp;$Y$20:$Y$55,$W$76:$W$110&amp;$Y$76:$Y$110),_xlpm.Data,_xlfn.VSTACK(CP$20:CQ$55,CP$76:CQ$110),IF(OR($Y281="",ISNUMBER(SEARCH("please",$Y281))),"",_xlfn.XLOOKUP(_xlpm.search_key,_xlpm.Scenario,_xlpm.Data,"▧")))</f>
        <v>#NAME?</v>
      </c>
      <c r="CQ281" s="2154"/>
      <c r="CR281" s="34"/>
      <c r="CS281" s="2056"/>
      <c r="DC281"/>
    </row>
    <row r="282" spans="1:107" ht="21" customHeight="1">
      <c r="A282" s="1627"/>
      <c r="B282" s="2606"/>
      <c r="C282" s="2540"/>
      <c r="D282" s="1549"/>
      <c r="E282" s="2440"/>
      <c r="F282" s="401"/>
      <c r="G282" s="401"/>
      <c r="H282" s="585"/>
      <c r="I282" s="585"/>
      <c r="J282" s="401"/>
      <c r="K282" s="401"/>
      <c r="L282" s="37"/>
      <c r="N282" s="158"/>
      <c r="O282" s="101"/>
      <c r="P282" s="52"/>
      <c r="Q282" s="101"/>
      <c r="R282" s="101"/>
      <c r="S282" s="101"/>
      <c r="T282" s="101"/>
      <c r="U282" s="39"/>
      <c r="V282" s="37"/>
      <c r="W282" s="2364" t="e">
        <f ca="1">W276</f>
        <v>#NAME?</v>
      </c>
      <c r="X282" s="2373">
        <f>_PL!X282</f>
        <v>0</v>
      </c>
      <c r="Y282" s="3228">
        <v>2</v>
      </c>
      <c r="Z282" s="538">
        <f>_PL!Z282</f>
        <v>0</v>
      </c>
      <c r="AA282" s="787" t="str" cm="1">
        <f t="array" ca="1" aca="1" ref="AA282">IF(Y282="","",_xlfn.LET(_xlpm._termname,$W282&amp;$Y282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2" s="1134"/>
      <c r="AC282" s="125"/>
      <c r="AD282" s="2152" t="e" cm="1">
        <f t="array" ca="1" aca="1" ref="AD282">_xlfn.LET(_xlpm.search_key,$W282&amp;$Y282,_xlpm.Scenario,_xlfn.VSTACK($W$20:$W$55&amp;$Y$20:$Y$55,$W$76:$W$110&amp;$Y$76:$Y$110),_xlpm.Data,_xlfn.VSTACK($AD$20:$BN$55,$AD$76:$BN$110),IF(OR($Y282="",ISNUMBER(SEARCH("please",$Y282))),"",_xlfn.XLOOKUP(_xlpm.search_key,_xlpm.Scenario,_xlpm.Data,"▧")))</f>
        <v>#NAME?</v>
      </c>
      <c r="AE282" s="2152"/>
      <c r="AF282" s="2152"/>
      <c r="AG282" s="2152"/>
      <c r="AH282" s="2152"/>
      <c r="AI282" s="2152"/>
      <c r="AJ282" s="2152"/>
      <c r="AK282" s="2152"/>
      <c r="AL282" s="2152"/>
      <c r="AM282" s="2152"/>
      <c r="AN282" s="2152"/>
      <c r="AO282" s="2152"/>
      <c r="AP282" s="2152"/>
      <c r="AQ282" s="2152"/>
      <c r="AR282" s="2152"/>
      <c r="AS282" s="2152"/>
      <c r="AT282" s="2152"/>
      <c r="AU282" s="2152"/>
      <c r="AV282" s="2152"/>
      <c r="AW282" s="2152"/>
      <c r="AX282" s="2152"/>
      <c r="AY282" s="2152"/>
      <c r="AZ282" s="2152"/>
      <c r="BA282" s="2152"/>
      <c r="BB282" s="2152"/>
      <c r="BC282" s="2152"/>
      <c r="BD282" s="2152"/>
      <c r="BE282" s="2152"/>
      <c r="BF282" s="2152"/>
      <c r="BG282" s="2152"/>
      <c r="BH282" s="2152"/>
      <c r="BI282" s="2152"/>
      <c r="BJ282" s="2152"/>
      <c r="BK282" s="2152"/>
      <c r="BL282" s="2152"/>
      <c r="BM282" s="2152"/>
      <c r="BN282" s="2152"/>
      <c r="BO282" s="2362"/>
      <c r="BP282" s="2362"/>
      <c r="BQ282" s="2362"/>
      <c r="BR282" s="2362"/>
      <c r="BS282" s="2362"/>
      <c r="BT282" s="2362"/>
      <c r="BU282" s="2362"/>
      <c r="BV282" s="2362"/>
      <c r="BW282" s="2362"/>
      <c r="BX282" s="2362"/>
      <c r="BY282" s="2362"/>
      <c r="BZ282" s="2362"/>
      <c r="CA282" s="34"/>
      <c r="CC282" s="58"/>
      <c r="CD282" s="2154" t="e" cm="1">
        <f t="array" ca="1" aca="1" ref="CD282">_xlfn.LET(_xlpm.search_key,$W282&amp;$Y282,_xlpm.Scenario,_xlfn.VSTACK($W$20:$W$55&amp;$Y$20:$Y$55,$W$76:$W$110&amp;$Y$76:$Y$110),_xlpm.Data,_xlfn.VSTACK(CD$20:CE$55,CD$76:CE$110),IF(OR($Y282="",ISNUMBER(SEARCH("please",$Y282))),"",_xlfn.XLOOKUP(_xlpm.search_key,_xlpm.Scenario,_xlpm.Data,"▧")))</f>
        <v>#NAME?</v>
      </c>
      <c r="CE282" s="2154"/>
      <c r="CF282" s="88"/>
      <c r="CG282" s="2154" t="e" cm="1">
        <f t="array" ca="1" aca="1" ref="CG282">_xlfn.LET(_xlpm.search_key,$W282&amp;$Y282,_xlpm.Scenario,_xlfn.VSTACK($W$20:$W$55&amp;$Y$20:$Y$55,$W$76:$W$110&amp;$Y$76:$Y$110),_xlpm.Data,_xlfn.VSTACK(CG$20:CH$55,CG$76:CH$110),IF(OR($Y282="",ISNUMBER(SEARCH("please",$Y282))),"",_xlfn.XLOOKUP(_xlpm.search_key,_xlpm.Scenario,_xlpm.Data,"▧")))</f>
        <v>#NAME?</v>
      </c>
      <c r="CH282" s="2154"/>
      <c r="CI282" s="88"/>
      <c r="CJ282" s="2154" t="e" cm="1">
        <f t="array" ca="1" aca="1" ref="CJ282">_xlfn.LET(_xlpm.search_key,$W282&amp;$Y282,_xlpm.Scenario,_xlfn.VSTACK($W$20:$W$55&amp;$Y$20:$Y$55,$W$76:$W$110&amp;$Y$76:$Y$110),_xlpm.Data,_xlfn.VSTACK(CJ$20:CK$55,CJ$76:CK$110),IF(OR($Y282="",ISNUMBER(SEARCH("please",$Y282))),"",_xlfn.XLOOKUP(_xlpm.search_key,_xlpm.Scenario,_xlpm.Data,"▧")))</f>
        <v>#NAME?</v>
      </c>
      <c r="CK282" s="2154"/>
      <c r="CL282" s="88"/>
      <c r="CM282" s="2154" t="e" cm="1">
        <f t="array" ca="1" aca="1" ref="CM282">_xlfn.LET(_xlpm.search_key,$W282&amp;$Y282,_xlpm.Scenario,_xlfn.VSTACK($W$20:$W$55&amp;$Y$20:$Y$55,$W$76:$W$110&amp;$Y$76:$Y$110),_xlpm.Data,_xlfn.VSTACK(CM$20:CN$55,CM$76:CN$110),IF(OR($Y282="",ISNUMBER(SEARCH("please",$Y282))),"",_xlfn.XLOOKUP(_xlpm.search_key,_xlpm.Scenario,_xlpm.Data,"▧")))</f>
        <v>#NAME?</v>
      </c>
      <c r="CN282" s="2154"/>
      <c r="CO282" s="88"/>
      <c r="CP282" s="2154" t="e" cm="1">
        <f t="array" ca="1" aca="1" ref="CP282">_xlfn.LET(_xlpm.search_key,$W282&amp;$Y282,_xlpm.Scenario,_xlfn.VSTACK($W$20:$W$55&amp;$Y$20:$Y$55,$W$76:$W$110&amp;$Y$76:$Y$110),_xlpm.Data,_xlfn.VSTACK(CP$20:CQ$55,CP$76:CQ$110),IF(OR($Y282="",ISNUMBER(SEARCH("please",$Y282))),"",_xlfn.XLOOKUP(_xlpm.search_key,_xlpm.Scenario,_xlpm.Data,"▧")))</f>
        <v>#NAME?</v>
      </c>
      <c r="CQ282" s="2154"/>
      <c r="CR282" s="34"/>
      <c r="CS282" s="2056"/>
      <c r="DC282"/>
    </row>
    <row r="283" spans="1:107" ht="21" customHeight="1">
      <c r="A283" s="1627"/>
      <c r="B283" s="3474" t="s">
        <v>206</v>
      </c>
      <c r="C283" s="2606" t="e" cm="1">
        <f t="array" ca="1" aca="1" ref="C283">CVC.PACK(W276:Y283)</f>
        <v>#NAME?</v>
      </c>
      <c r="D283" s="1549"/>
      <c r="E283" s="2607"/>
      <c r="F283" s="401"/>
      <c r="G283" s="401"/>
      <c r="H283" s="585"/>
      <c r="I283" s="585"/>
      <c r="J283" s="401"/>
      <c r="K283" s="401"/>
      <c r="L283" s="37"/>
      <c r="N283" s="158"/>
      <c r="O283" s="101"/>
      <c r="P283" s="52"/>
      <c r="Q283" s="101"/>
      <c r="R283" s="101"/>
      <c r="S283" s="101"/>
      <c r="T283" s="101"/>
      <c r="U283" s="39"/>
      <c r="V283" s="37"/>
      <c r="W283" s="2365" t="e">
        <f ca="1">W276</f>
        <v>#NAME?</v>
      </c>
      <c r="X283" s="2374">
        <f>_PL!X283</f>
        <v>0</v>
      </c>
      <c r="Y283" s="2326">
        <f>_PL!Y283</f>
        <v>0</v>
      </c>
      <c r="Z283" s="2322"/>
      <c r="AA283" s="2323"/>
      <c r="AB283" s="1134"/>
      <c r="AC283" s="125" t="str" cm="1">
        <f t="array" ca="1" aca="1" ref="AC283">IF(AB283="","",_xlfn.LET(_xlpm._termname,PL!$W283&amp;$AB283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83" s="2152" t="e">
        <f ca="1">SUMPRODUCT($X277:$X282,AD277:AD282)</f>
        <v>#NAME?</v>
      </c>
      <c r="AE283" s="2152">
        <f t="shared" si="73" ref="AE283:BN283">SUMPRODUCT($X277:$X282,AE277:AE282)</f>
        <v>0</v>
      </c>
      <c r="AF283" s="2152">
        <f t="shared" si="73"/>
        <v>0</v>
      </c>
      <c r="AG283" s="2152">
        <f t="shared" si="73"/>
        <v>0</v>
      </c>
      <c r="AH283" s="2152">
        <f t="shared" si="73"/>
        <v>0</v>
      </c>
      <c r="AI283" s="2152">
        <f t="shared" si="73"/>
        <v>0</v>
      </c>
      <c r="AJ283" s="2152">
        <f t="shared" si="73"/>
        <v>0</v>
      </c>
      <c r="AK283" s="2152">
        <f t="shared" si="73"/>
        <v>0</v>
      </c>
      <c r="AL283" s="2152">
        <f t="shared" si="73"/>
        <v>0</v>
      </c>
      <c r="AM283" s="2152">
        <f t="shared" si="73"/>
        <v>0</v>
      </c>
      <c r="AN283" s="2152">
        <f t="shared" si="73"/>
        <v>0</v>
      </c>
      <c r="AO283" s="2152">
        <f t="shared" si="73"/>
        <v>0</v>
      </c>
      <c r="AP283" s="2152">
        <f t="shared" si="73"/>
        <v>0</v>
      </c>
      <c r="AQ283" s="2152">
        <f t="shared" si="73"/>
        <v>0</v>
      </c>
      <c r="AR283" s="2152">
        <f t="shared" si="73"/>
        <v>0</v>
      </c>
      <c r="AS283" s="2152">
        <f t="shared" si="73"/>
        <v>0</v>
      </c>
      <c r="AT283" s="2152">
        <f t="shared" si="73"/>
        <v>0</v>
      </c>
      <c r="AU283" s="2152">
        <f t="shared" si="73"/>
        <v>0</v>
      </c>
      <c r="AV283" s="2152">
        <f t="shared" si="73"/>
        <v>0</v>
      </c>
      <c r="AW283" s="2152">
        <f t="shared" si="73"/>
        <v>0</v>
      </c>
      <c r="AX283" s="2152">
        <f t="shared" si="73"/>
        <v>0</v>
      </c>
      <c r="AY283" s="2152">
        <f t="shared" si="73"/>
        <v>0</v>
      </c>
      <c r="AZ283" s="2152">
        <f t="shared" si="73"/>
        <v>0</v>
      </c>
      <c r="BA283" s="2152">
        <f t="shared" si="73"/>
        <v>0</v>
      </c>
      <c r="BB283" s="2152">
        <f t="shared" si="73"/>
        <v>0</v>
      </c>
      <c r="BC283" s="2152">
        <f t="shared" si="73"/>
        <v>0</v>
      </c>
      <c r="BD283" s="2152">
        <f t="shared" si="73"/>
        <v>0</v>
      </c>
      <c r="BE283" s="2152">
        <f t="shared" si="73"/>
        <v>0</v>
      </c>
      <c r="BF283" s="2152">
        <f t="shared" si="73"/>
        <v>0</v>
      </c>
      <c r="BG283" s="2152">
        <f t="shared" si="73"/>
        <v>0</v>
      </c>
      <c r="BH283" s="2152">
        <f t="shared" si="73"/>
        <v>0</v>
      </c>
      <c r="BI283" s="2152">
        <f t="shared" si="73"/>
        <v>0</v>
      </c>
      <c r="BJ283" s="2152">
        <f t="shared" si="73"/>
        <v>0</v>
      </c>
      <c r="BK283" s="2152">
        <f t="shared" si="73"/>
        <v>0</v>
      </c>
      <c r="BL283" s="2152">
        <f t="shared" si="73"/>
        <v>0</v>
      </c>
      <c r="BM283" s="2152">
        <f t="shared" si="73"/>
        <v>0</v>
      </c>
      <c r="BN283" s="2152">
        <f t="shared" si="73"/>
        <v>0</v>
      </c>
      <c r="BO283" s="2362"/>
      <c r="BP283" s="2362"/>
      <c r="BQ283" s="2362"/>
      <c r="BR283" s="2362"/>
      <c r="BS283" s="2362"/>
      <c r="BT283" s="2362"/>
      <c r="BU283" s="2362"/>
      <c r="BV283" s="2362"/>
      <c r="BW283" s="2362"/>
      <c r="BX283" s="2362"/>
      <c r="BY283" s="2362"/>
      <c r="BZ283" s="2362"/>
      <c r="CA283" s="34"/>
      <c r="CC283" s="58"/>
      <c r="CD283" s="2152" t="e">
        <f ca="1">SUMPRODUCT($X277:$X282,CD277:CD282)</f>
        <v>#NAME?</v>
      </c>
      <c r="CE283" s="2152">
        <f>SUMPRODUCT($X277:$X280,CE277:CE280)</f>
        <v>0</v>
      </c>
      <c r="CF283" s="88"/>
      <c r="CG283" s="2152" t="e">
        <f ca="1">SUMPRODUCT($X277:$X282,CG277:CG282)</f>
        <v>#NAME?</v>
      </c>
      <c r="CH283" s="2152">
        <f>SUMPRODUCT($X277:$X280,CH277:CH280)</f>
        <v>0</v>
      </c>
      <c r="CI283" s="88"/>
      <c r="CJ283" s="2152" t="e">
        <f ca="1">SUMPRODUCT($X277:$X282,CJ277:CJ282)</f>
        <v>#NAME?</v>
      </c>
      <c r="CK283" s="2152">
        <f>SUMPRODUCT($X277:$X280,CK277:CK280)</f>
        <v>0</v>
      </c>
      <c r="CL283" s="88"/>
      <c r="CM283" s="2152" t="e">
        <f ca="1">SUMPRODUCT($X277:$X282,CM277:CM282)</f>
        <v>#NAME?</v>
      </c>
      <c r="CN283" s="2152">
        <f>SUMPRODUCT($X277:$X280,CN277:CN280)</f>
        <v>0</v>
      </c>
      <c r="CO283" s="88"/>
      <c r="CP283" s="2152" t="e">
        <f ca="1">SUMPRODUCT($X277:$X282,CP277:CP282)</f>
        <v>#NAME?</v>
      </c>
      <c r="CQ283" s="2152">
        <f>SUMPRODUCT($X277:$X280,CQ277:CQ280)</f>
        <v>0</v>
      </c>
      <c r="CR283" s="34"/>
      <c r="CS283" s="2056"/>
      <c r="CT283" s="2447" t="e" cm="1">
        <f t="array" ca="1" aca="1" ref="CT283">IF(PL!$C283="","",_xldudf_CX_PUSH(PL!$C283,CX_ENTITY,PL!$B283,EOMONTH(val_asOfDate,PL!CT$248)))</f>
        <v>#NAME?</v>
      </c>
      <c r="CU283" s="2447" t="e" cm="1">
        <f t="array" ca="1" aca="1" ref="CU283">IF(PL!$C283="","",_xldudf_CX_PUSH(PL!$C283,CX_ENTITY,PL!$B283,EOMONTH(val_asOfDate,PL!CU$248)))</f>
        <v>#NAME?</v>
      </c>
      <c r="CV283" s="2447" t="e" cm="1">
        <f t="array" ca="1" aca="1" ref="CV283">IF(PL!$C283="","",_xldudf_CX_PUSH(PL!$C283,CX_ENTITY,PL!$B283,EOMONTH(val_asOfDate,PL!CV$248)))</f>
        <v>#NAME?</v>
      </c>
      <c r="CW283" s="2447" t="e" cm="1">
        <f t="array" ca="1" aca="1" ref="CW283">IF(PL!$C283="","",_xldudf_CX_PUSH(PL!$C283,CX_ENTITY,PL!$B283,EOMONTH(val_asOfDate,PL!CW$248)))</f>
        <v>#NAME?</v>
      </c>
      <c r="DC283"/>
    </row>
    <row r="284" spans="1:144" s="108" customFormat="1" ht="21" customHeight="1">
      <c r="A284" s="1628"/>
      <c r="B284" s="2540"/>
      <c r="C284" s="2540"/>
      <c r="D284" s="1549"/>
      <c r="E284" s="2607"/>
      <c r="F284" s="401"/>
      <c r="G284" s="401"/>
      <c r="H284" s="585"/>
      <c r="I284" s="585"/>
      <c r="J284" s="401"/>
      <c r="K284" s="401"/>
      <c r="L284" s="37"/>
      <c r="N284" s="2134"/>
      <c r="O284" s="101"/>
      <c r="P284" s="101"/>
      <c r="Q284" s="101"/>
      <c r="R284" s="101"/>
      <c r="S284" s="101"/>
      <c r="T284" s="101"/>
      <c r="U284" s="101"/>
      <c r="V284" s="822"/>
      <c r="W284" s="2332"/>
      <c r="X284" s="2333"/>
      <c r="Y284" s="2334"/>
      <c r="Z284" s="2316"/>
      <c r="AA284" s="2316"/>
      <c r="AB284" s="88"/>
      <c r="AC284" s="128"/>
      <c r="AD284" s="2317"/>
      <c r="AE284" s="2317"/>
      <c r="AF284" s="2317"/>
      <c r="AG284" s="2317"/>
      <c r="AH284" s="2317"/>
      <c r="AI284" s="2317"/>
      <c r="AJ284" s="2317"/>
      <c r="AK284" s="2317"/>
      <c r="AL284" s="2317"/>
      <c r="AM284" s="2317"/>
      <c r="AN284" s="2317"/>
      <c r="AO284" s="2317"/>
      <c r="AP284" s="2317"/>
      <c r="AQ284" s="2317"/>
      <c r="AR284" s="2317"/>
      <c r="AS284" s="2317"/>
      <c r="AT284" s="2317"/>
      <c r="AU284" s="2317"/>
      <c r="AV284" s="2317"/>
      <c r="AW284" s="2317"/>
      <c r="AX284" s="2317"/>
      <c r="AY284" s="2317"/>
      <c r="AZ284" s="2317"/>
      <c r="BA284" s="2317"/>
      <c r="BB284" s="2317"/>
      <c r="BC284" s="2317"/>
      <c r="BD284" s="2317"/>
      <c r="BE284" s="2317"/>
      <c r="BF284" s="2317"/>
      <c r="BG284" s="2317"/>
      <c r="BH284" s="2317"/>
      <c r="BI284" s="2317"/>
      <c r="BJ284" s="2317"/>
      <c r="BK284" s="2317"/>
      <c r="BL284" s="2317"/>
      <c r="BM284" s="2317"/>
      <c r="BN284" s="2317"/>
      <c r="BO284" s="2363"/>
      <c r="BP284" s="2363"/>
      <c r="BQ284" s="2363"/>
      <c r="BR284" s="2363"/>
      <c r="BS284" s="2363"/>
      <c r="BT284" s="2363"/>
      <c r="BU284" s="2363"/>
      <c r="BV284" s="2363"/>
      <c r="BW284" s="2363"/>
      <c r="BX284" s="2363"/>
      <c r="BY284" s="2363"/>
      <c r="BZ284" s="2363"/>
      <c r="CA284" s="88"/>
      <c r="CC284" s="383"/>
      <c r="CD284" s="2319"/>
      <c r="CE284" s="2319"/>
      <c r="CF284" s="88"/>
      <c r="CG284" s="2319"/>
      <c r="CH284" s="2319"/>
      <c r="CI284" s="88"/>
      <c r="CJ284" s="2319"/>
      <c r="CK284" s="2319"/>
      <c r="CL284" s="88"/>
      <c r="CM284" s="2320"/>
      <c r="CN284" s="2320"/>
      <c r="CO284" s="88"/>
      <c r="CP284" s="2320"/>
      <c r="CQ284" s="2320"/>
      <c r="CR284" s="88"/>
      <c r="CS284" s="2321"/>
      <c r="CT284"/>
      <c r="CU284"/>
      <c r="CV284"/>
      <c r="CW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row>
    <row r="285" spans="1:107" ht="21" customHeight="1">
      <c r="A285" s="1627"/>
      <c r="B285" s="2540"/>
      <c r="C285" s="2540"/>
      <c r="D285" s="1549"/>
      <c r="E285" s="2607"/>
      <c r="F285" s="401"/>
      <c r="G285" s="401"/>
      <c r="H285" s="585"/>
      <c r="I285" s="585"/>
      <c r="J285" s="401"/>
      <c r="K285" s="401"/>
      <c r="L285" s="37"/>
      <c r="N285" s="158"/>
      <c r="O285" s="101"/>
      <c r="P285" s="52"/>
      <c r="Q285" s="101"/>
      <c r="R285" s="101"/>
      <c r="S285" s="18"/>
      <c r="T285" s="18"/>
      <c r="U285" s="39"/>
      <c r="V285" s="37"/>
      <c r="W285" s="2660" t="e" cm="1">
        <f t="array" ca="1" aca="1" ref="W285">fx_scenarioConverter(_PL!W285)</f>
        <v>#NAME?</v>
      </c>
      <c r="X285" s="2137"/>
      <c r="Y285" s="2336" t="s">
        <v>207</v>
      </c>
      <c r="Z285" s="2337"/>
      <c r="AA285" s="2609"/>
      <c r="AB285" s="2141" t="s">
        <v>199</v>
      </c>
      <c r="AC285" s="2138" t="str" cm="1">
        <f t="array" ca="1" aca="1" ref="AC285">_xlfn.LET(_xlpm._termname,$AB285,_xlpm._iconname,"find",_xlpm._icon,fx_getIcon(_xlpm._iconname),_xlpm._location,_xlfn.XLOOKUP(LOWER(_xlpm._termname),LOWER(tbl_acctDef[Term]),tbl_acctDef[Term]),_xlpm._hyperlink,HYPERLINK("#"&amp;CELL("address",_xlpm._location),_xlpm._icon),IFERROR(_xlpm._hyperlink,""))</f>
        <v/>
      </c>
      <c r="AD285" s="2138" t="str" cm="1">
        <f t="array" ca="1" aca="1" ref="AD285">_xlfn.LET(_xlpm._termname,$AB285,_xlpm._iconname,"find",_xlpm._icon,fx_getIcon(_xlpm._iconname),_xlpm._location,_xlfn.XLOOKUP(LOWER(_xlpm._termname),LOWER(tbl_acctDef[Statement]),tbl_acctDef[Statement]),_xlpm._hyperlink,HYPERLINK("#"&amp;CELL("address",_xlpm._location),_xlpm._icon),IFERROR(_xlpm._hyperlink,""))</f>
        <v/>
      </c>
      <c r="AE285" s="2138" t="str" cm="1">
        <f t="array" ca="1" aca="1" ref="AE285">_xlfn.LET(_xlpm._termname,$AB285,_xlpm._iconname,"find",_xlpm._icon,fx_getIcon(_xlpm._iconname),_xlpm._location,_xlfn.XLOOKUP(LOWER(_xlpm._termname),LOWER(tbl_acctDef[Definition]),tbl_acctDef[Definition]),_xlpm._hyperlink,HYPERLINK("#"&amp;CELL("address",_xlpm._location),_xlpm._icon),IFERROR(_xlpm._hyperlink,""))</f>
        <v/>
      </c>
      <c r="AF285" s="2138" t="str" cm="1">
        <f t="array" ca="1" aca="1" ref="AF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285" s="2138" t="str" cm="1">
        <f t="array" ca="1" aca="1" ref="AG285">_xlfn.LET(_xlpm._termname,$AB285,_xlpm._iconname,"find",_xlpm._icon,fx_getIcon(_xlpm._iconname),_xlpm._location,_xlfn.XLOOKUP(LOWER(_xlpm._termname),LOWER(tbl_acctDef[Order]),tbl_acctDef[Order]),_xlpm._hyperlink,HYPERLINK("#"&amp;CELL("address",_xlpm._location),_xlpm._icon),IFERROR(_xlpm._hyperlink,""))</f>
        <v/>
      </c>
      <c r="AH285" s="2138" t="str" cm="1">
        <f t="array" ca="1" aca="1" ref="AH285">_xlfn.LET(_xlpm._termname,$AB285,_xlpm._iconname,"find",_xlpm._icon,fx_getIcon(_xlpm._iconname),_xlpm._location,_xlfn.XLOOKUP(LOWER(_xlpm._termname),LOWER(tbl_acctDef[Term]),tbl_acctDef[Term]),_xlpm._hyperlink,HYPERLINK("#"&amp;CELL("address",_xlpm._location),_xlpm._icon),IFERROR(_xlpm._hyperlink,""))</f>
        <v/>
      </c>
      <c r="AI285" s="2138" t="str" cm="1">
        <f t="array" ca="1" aca="1" ref="AI285">_xlfn.LET(_xlpm._termname,$AB285,_xlpm._iconname,"find",_xlpm._icon,fx_getIcon(_xlpm._iconname),_xlpm._location,_xlfn.XLOOKUP(LOWER(_xlpm._termname),LOWER(tbl_acctDef[Statement]),tbl_acctDef[Statement]),_xlpm._hyperlink,HYPERLINK("#"&amp;CELL("address",_xlpm._location),_xlpm._icon),IFERROR(_xlpm._hyperlink,""))</f>
        <v/>
      </c>
      <c r="AJ285" s="2138" t="str" cm="1">
        <f t="array" ca="1" aca="1" ref="AJ285">_xlfn.LET(_xlpm._termname,$AB285,_xlpm._iconname,"find",_xlpm._icon,fx_getIcon(_xlpm._iconname),_xlpm._location,_xlfn.XLOOKUP(LOWER(_xlpm._termname),LOWER(tbl_acctDef[Definition]),tbl_acctDef[Definition]),_xlpm._hyperlink,HYPERLINK("#"&amp;CELL("address",_xlpm._location),_xlpm._icon),IFERROR(_xlpm._hyperlink,""))</f>
        <v/>
      </c>
      <c r="AK285" s="2138" t="str" cm="1">
        <f t="array" ca="1" aca="1" ref="AK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285" s="2138" t="str" cm="1">
        <f t="array" ca="1" aca="1" ref="AL285">_xlfn.LET(_xlpm._termname,$AB285,_xlpm._iconname,"find",_xlpm._icon,fx_getIcon(_xlpm._iconname),_xlpm._location,_xlfn.XLOOKUP(LOWER(_xlpm._termname),LOWER(tbl_acctDef[Order]),tbl_acctDef[Order]),_xlpm._hyperlink,HYPERLINK("#"&amp;CELL("address",_xlpm._location),_xlpm._icon),IFERROR(_xlpm._hyperlink,""))</f>
        <v/>
      </c>
      <c r="AM285" s="2138" t="str" cm="1">
        <f t="array" ca="1" aca="1" ref="AM285">_xlfn.LET(_xlpm._termname,$AB285,_xlpm._iconname,"find",_xlpm._icon,fx_getIcon(_xlpm._iconname),_xlpm._location,_xlfn.XLOOKUP(LOWER(_xlpm._termname),LOWER(tbl_acctDef[Term]),tbl_acctDef[Term]),_xlpm._hyperlink,HYPERLINK("#"&amp;CELL("address",_xlpm._location),_xlpm._icon),IFERROR(_xlpm._hyperlink,""))</f>
        <v/>
      </c>
      <c r="AN285" s="2138" t="str" cm="1">
        <f t="array" ca="1" aca="1" ref="AN285">_xlfn.LET(_xlpm._termname,$AB285,_xlpm._iconname,"find",_xlpm._icon,fx_getIcon(_xlpm._iconname),_xlpm._location,_xlfn.XLOOKUP(LOWER(_xlpm._termname),LOWER(tbl_acctDef[Statement]),tbl_acctDef[Statement]),_xlpm._hyperlink,HYPERLINK("#"&amp;CELL("address",_xlpm._location),_xlpm._icon),IFERROR(_xlpm._hyperlink,""))</f>
        <v/>
      </c>
      <c r="AO285" s="2138" t="str" cm="1">
        <f t="array" ca="1" aca="1" ref="AO285">_xlfn.LET(_xlpm._termname,$AB285,_xlpm._iconname,"find",_xlpm._icon,fx_getIcon(_xlpm._iconname),_xlpm._location,_xlfn.XLOOKUP(LOWER(_xlpm._termname),LOWER(tbl_acctDef[Definition]),tbl_acctDef[Definition]),_xlpm._hyperlink,HYPERLINK("#"&amp;CELL("address",_xlpm._location),_xlpm._icon),IFERROR(_xlpm._hyperlink,""))</f>
        <v/>
      </c>
      <c r="AP285" s="2138" t="str" cm="1">
        <f t="array" ca="1" aca="1" ref="AP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285" s="2138" t="str" cm="1">
        <f t="array" ca="1" aca="1" ref="AQ285">_xlfn.LET(_xlpm._termname,$AB285,_xlpm._iconname,"find",_xlpm._icon,fx_getIcon(_xlpm._iconname),_xlpm._location,_xlfn.XLOOKUP(LOWER(_xlpm._termname),LOWER(tbl_acctDef[Order]),tbl_acctDef[Order]),_xlpm._hyperlink,HYPERLINK("#"&amp;CELL("address",_xlpm._location),_xlpm._icon),IFERROR(_xlpm._hyperlink,""))</f>
        <v/>
      </c>
      <c r="AR285" s="2138" t="str" cm="1">
        <f t="array" ca="1" aca="1" ref="AR285">_xlfn.LET(_xlpm._termname,$AB285,_xlpm._iconname,"find",_xlpm._icon,fx_getIcon(_xlpm._iconname),_xlpm._location,_xlfn.XLOOKUP(LOWER(_xlpm._termname),LOWER(tbl_acctDef[Term]),tbl_acctDef[Term]),_xlpm._hyperlink,HYPERLINK("#"&amp;CELL("address",_xlpm._location),_xlpm._icon),IFERROR(_xlpm._hyperlink,""))</f>
        <v/>
      </c>
      <c r="AS285" s="2138" t="str" cm="1">
        <f t="array" ca="1" aca="1" ref="AS285">_xlfn.LET(_xlpm._termname,$AB285,_xlpm._iconname,"find",_xlpm._icon,fx_getIcon(_xlpm._iconname),_xlpm._location,_xlfn.XLOOKUP(LOWER(_xlpm._termname),LOWER(tbl_acctDef[Statement]),tbl_acctDef[Statement]),_xlpm._hyperlink,HYPERLINK("#"&amp;CELL("address",_xlpm._location),_xlpm._icon),IFERROR(_xlpm._hyperlink,""))</f>
        <v/>
      </c>
      <c r="AT285" s="2138" t="str" cm="1">
        <f t="array" ca="1" aca="1" ref="AT285">_xlfn.LET(_xlpm._termname,$AB285,_xlpm._iconname,"find",_xlpm._icon,fx_getIcon(_xlpm._iconname),_xlpm._location,_xlfn.XLOOKUP(LOWER(_xlpm._termname),LOWER(tbl_acctDef[Definition]),tbl_acctDef[Definition]),_xlpm._hyperlink,HYPERLINK("#"&amp;CELL("address",_xlpm._location),_xlpm._icon),IFERROR(_xlpm._hyperlink,""))</f>
        <v/>
      </c>
      <c r="AU285" s="2138" t="str" cm="1">
        <f t="array" ca="1" aca="1" ref="AU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285" s="2138" t="str" cm="1">
        <f t="array" ca="1" aca="1" ref="AV285">_xlfn.LET(_xlpm._termname,$AB285,_xlpm._iconname,"find",_xlpm._icon,fx_getIcon(_xlpm._iconname),_xlpm._location,_xlfn.XLOOKUP(LOWER(_xlpm._termname),LOWER(tbl_acctDef[Order]),tbl_acctDef[Order]),_xlpm._hyperlink,HYPERLINK("#"&amp;CELL("address",_xlpm._location),_xlpm._icon),IFERROR(_xlpm._hyperlink,""))</f>
        <v/>
      </c>
      <c r="AW285" s="2138" t="str" cm="1">
        <f t="array" ca="1" aca="1" ref="AW285">_xlfn.LET(_xlpm._termname,$AB285,_xlpm._iconname,"find",_xlpm._icon,fx_getIcon(_xlpm._iconname),_xlpm._location,_xlfn.XLOOKUP(LOWER(_xlpm._termname),LOWER(tbl_acctDef[Term]),tbl_acctDef[Term]),_xlpm._hyperlink,HYPERLINK("#"&amp;CELL("address",_xlpm._location),_xlpm._icon),IFERROR(_xlpm._hyperlink,""))</f>
        <v/>
      </c>
      <c r="AX285" s="2138" t="str" cm="1">
        <f t="array" ca="1" aca="1" ref="AX285">_xlfn.LET(_xlpm._termname,$AB285,_xlpm._iconname,"find",_xlpm._icon,fx_getIcon(_xlpm._iconname),_xlpm._location,_xlfn.XLOOKUP(LOWER(_xlpm._termname),LOWER(tbl_acctDef[Statement]),tbl_acctDef[Statement]),_xlpm._hyperlink,HYPERLINK("#"&amp;CELL("address",_xlpm._location),_xlpm._icon),IFERROR(_xlpm._hyperlink,""))</f>
        <v/>
      </c>
      <c r="AY285" s="2138" t="str" cm="1">
        <f t="array" ca="1" aca="1" ref="AY285">_xlfn.LET(_xlpm._termname,$AB285,_xlpm._iconname,"find",_xlpm._icon,fx_getIcon(_xlpm._iconname),_xlpm._location,_xlfn.XLOOKUP(LOWER(_xlpm._termname),LOWER(tbl_acctDef[Definition]),tbl_acctDef[Definition]),_xlpm._hyperlink,HYPERLINK("#"&amp;CELL("address",_xlpm._location),_xlpm._icon),IFERROR(_xlpm._hyperlink,""))</f>
        <v/>
      </c>
      <c r="AZ285" s="2138" t="str" cm="1">
        <f t="array" ca="1" aca="1" ref="AZ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285" s="2138" t="str" cm="1">
        <f t="array" ca="1" aca="1" ref="BA285">_xlfn.LET(_xlpm._termname,$AB285,_xlpm._iconname,"find",_xlpm._icon,fx_getIcon(_xlpm._iconname),_xlpm._location,_xlfn.XLOOKUP(LOWER(_xlpm._termname),LOWER(tbl_acctDef[Order]),tbl_acctDef[Order]),_xlpm._hyperlink,HYPERLINK("#"&amp;CELL("address",_xlpm._location),_xlpm._icon),IFERROR(_xlpm._hyperlink,""))</f>
        <v/>
      </c>
      <c r="BB285" s="2138" t="str" cm="1">
        <f t="array" ca="1" aca="1" ref="BB285">_xlfn.LET(_xlpm._termname,$AB285,_xlpm._iconname,"find",_xlpm._icon,fx_getIcon(_xlpm._iconname),_xlpm._location,_xlfn.XLOOKUP(LOWER(_xlpm._termname),LOWER(tbl_acctDef[Term]),tbl_acctDef[Term]),_xlpm._hyperlink,HYPERLINK("#"&amp;CELL("address",_xlpm._location),_xlpm._icon),IFERROR(_xlpm._hyperlink,""))</f>
        <v/>
      </c>
      <c r="BC285" s="2138" t="str" cm="1">
        <f t="array" ca="1" aca="1" ref="BC285">_xlfn.LET(_xlpm._termname,$AB285,_xlpm._iconname,"find",_xlpm._icon,fx_getIcon(_xlpm._iconname),_xlpm._location,_xlfn.XLOOKUP(LOWER(_xlpm._termname),LOWER(tbl_acctDef[Statement]),tbl_acctDef[Statement]),_xlpm._hyperlink,HYPERLINK("#"&amp;CELL("address",_xlpm._location),_xlpm._icon),IFERROR(_xlpm._hyperlink,""))</f>
        <v/>
      </c>
      <c r="BD285" s="2138" t="str" cm="1">
        <f t="array" ca="1" aca="1" ref="BD285">_xlfn.LET(_xlpm._termname,$AB285,_xlpm._iconname,"find",_xlpm._icon,fx_getIcon(_xlpm._iconname),_xlpm._location,_xlfn.XLOOKUP(LOWER(_xlpm._termname),LOWER(tbl_acctDef[Definition]),tbl_acctDef[Definition]),_xlpm._hyperlink,HYPERLINK("#"&amp;CELL("address",_xlpm._location),_xlpm._icon),IFERROR(_xlpm._hyperlink,""))</f>
        <v/>
      </c>
      <c r="BE285" s="2138" t="str" cm="1">
        <f t="array" ca="1" aca="1" ref="BE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285" s="2138" t="str" cm="1">
        <f t="array" ca="1" aca="1" ref="BF285">_xlfn.LET(_xlpm._termname,$AB285,_xlpm._iconname,"find",_xlpm._icon,fx_getIcon(_xlpm._iconname),_xlpm._location,_xlfn.XLOOKUP(LOWER(_xlpm._termname),LOWER(tbl_acctDef[Order]),tbl_acctDef[Order]),_xlpm._hyperlink,HYPERLINK("#"&amp;CELL("address",_xlpm._location),_xlpm._icon),IFERROR(_xlpm._hyperlink,""))</f>
        <v/>
      </c>
      <c r="BG285" s="2138" t="str" cm="1">
        <f t="array" ca="1" aca="1" ref="BG285">_xlfn.LET(_xlpm._termname,$AB285,_xlpm._iconname,"find",_xlpm._icon,fx_getIcon(_xlpm._iconname),_xlpm._location,_xlfn.XLOOKUP(LOWER(_xlpm._termname),LOWER(tbl_acctDef[Term]),tbl_acctDef[Term]),_xlpm._hyperlink,HYPERLINK("#"&amp;CELL("address",_xlpm._location),_xlpm._icon),IFERROR(_xlpm._hyperlink,""))</f>
        <v/>
      </c>
      <c r="BH285" s="2138" t="str" cm="1">
        <f t="array" ca="1" aca="1" ref="BH285">_xlfn.LET(_xlpm._termname,$AB285,_xlpm._iconname,"find",_xlpm._icon,fx_getIcon(_xlpm._iconname),_xlpm._location,_xlfn.XLOOKUP(LOWER(_xlpm._termname),LOWER(tbl_acctDef[Statement]),tbl_acctDef[Statement]),_xlpm._hyperlink,HYPERLINK("#"&amp;CELL("address",_xlpm._location),_xlpm._icon),IFERROR(_xlpm._hyperlink,""))</f>
        <v/>
      </c>
      <c r="BI285" s="2138" t="str" cm="1">
        <f t="array" ca="1" aca="1" ref="BI285">_xlfn.LET(_xlpm._termname,$AB285,_xlpm._iconname,"find",_xlpm._icon,fx_getIcon(_xlpm._iconname),_xlpm._location,_xlfn.XLOOKUP(LOWER(_xlpm._termname),LOWER(tbl_acctDef[Definition]),tbl_acctDef[Definition]),_xlpm._hyperlink,HYPERLINK("#"&amp;CELL("address",_xlpm._location),_xlpm._icon),IFERROR(_xlpm._hyperlink,""))</f>
        <v/>
      </c>
      <c r="BJ285" s="2138" t="str" cm="1">
        <f t="array" ca="1" aca="1" ref="BJ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285" s="2138" t="str" cm="1">
        <f t="array" ca="1" aca="1" ref="BK285">_xlfn.LET(_xlpm._termname,$AB285,_xlpm._iconname,"find",_xlpm._icon,fx_getIcon(_xlpm._iconname),_xlpm._location,_xlfn.XLOOKUP(LOWER(_xlpm._termname),LOWER(tbl_acctDef[Order]),tbl_acctDef[Order]),_xlpm._hyperlink,HYPERLINK("#"&amp;CELL("address",_xlpm._location),_xlpm._icon),IFERROR(_xlpm._hyperlink,""))</f>
        <v/>
      </c>
      <c r="BL285" s="2138" t="str" cm="1">
        <f t="array" ca="1" aca="1" ref="BL285">_xlfn.LET(_xlpm._termname,$AB285,_xlpm._iconname,"find",_xlpm._icon,fx_getIcon(_xlpm._iconname),_xlpm._location,_xlfn.XLOOKUP(LOWER(_xlpm._termname),LOWER(tbl_acctDef[Term]),tbl_acctDef[Term]),_xlpm._hyperlink,HYPERLINK("#"&amp;CELL("address",_xlpm._location),_xlpm._icon),IFERROR(_xlpm._hyperlink,""))</f>
        <v/>
      </c>
      <c r="BM285" s="2138" t="str" cm="1">
        <f t="array" ca="1" aca="1" ref="BM285">_xlfn.LET(_xlpm._termname,$AB285,_xlpm._iconname,"find",_xlpm._icon,fx_getIcon(_xlpm._iconname),_xlpm._location,_xlfn.XLOOKUP(LOWER(_xlpm._termname),LOWER(tbl_acctDef[Statement]),tbl_acctDef[Statement]),_xlpm._hyperlink,HYPERLINK("#"&amp;CELL("address",_xlpm._location),_xlpm._icon),IFERROR(_xlpm._hyperlink,""))</f>
        <v/>
      </c>
      <c r="BN285" s="2138" t="str" cm="1">
        <f t="array" ca="1" aca="1" ref="BN285">_xlfn.LET(_xlpm._termname,$AB285,_xlpm._iconname,"find",_xlpm._icon,fx_getIcon(_xlpm._iconname),_xlpm._location,_xlfn.XLOOKUP(LOWER(_xlpm._termname),LOWER(tbl_acctDef[Definition]),tbl_acctDef[Definition]),_xlpm._hyperlink,HYPERLINK("#"&amp;CELL("address",_xlpm._location),_xlpm._icon),IFERROR(_xlpm._hyperlink,""))</f>
        <v/>
      </c>
      <c r="BO285" s="2361"/>
      <c r="BP285" s="2361"/>
      <c r="BQ285" s="2361"/>
      <c r="BR285" s="2361"/>
      <c r="BS285" s="2361"/>
      <c r="BT285" s="2361"/>
      <c r="BU285" s="2361"/>
      <c r="BV285" s="2361"/>
      <c r="BW285" s="2361"/>
      <c r="BX285" s="2361"/>
      <c r="BY285" s="2361"/>
      <c r="BZ285" s="2361"/>
      <c r="CA285" s="34"/>
      <c r="CC285" s="58"/>
      <c r="CD285" s="1720" t="e" cm="1">
        <f t="array" ca="1" aca="1" ref="CD285">fx_scenarioConverter($W280)</f>
        <v>#NAME?</v>
      </c>
      <c r="CE285" s="1721" t="e" cm="1">
        <f t="array" ca="1" aca="1" ref="CE285">fx_scenarioConverter($W280)</f>
        <v>#NAME?</v>
      </c>
      <c r="CF285" s="128"/>
      <c r="CG285" s="1734" t="e" cm="1">
        <f t="array" ca="1" aca="1" ref="CG285">fx_scenarioConverter($W280)</f>
        <v>#NAME?</v>
      </c>
      <c r="CH285" s="1735" t="e" cm="1">
        <f t="array" ca="1" aca="1" ref="CH285">fx_scenarioConverter($W280)</f>
        <v>#NAME?</v>
      </c>
      <c r="CI285" s="207"/>
      <c r="CJ285" s="1724" t="e" cm="1">
        <f t="array" ca="1" aca="1" ref="CJ285">fx_scenarioConverter($W280)</f>
        <v>#NAME?</v>
      </c>
      <c r="CK285" s="1725" t="e" cm="1">
        <f t="array" ca="1" aca="1" ref="CK285">fx_scenarioConverter($W280)</f>
        <v>#NAME?</v>
      </c>
      <c r="CL285" s="88"/>
      <c r="CM285" s="1198" t="str">
        <f>CM$19</f>
        <v>Original Budget</v>
      </c>
      <c r="CN285" s="1198" t="str">
        <f>CN$19</f>
        <v>LE</v>
      </c>
      <c r="CO285" s="88"/>
      <c r="CP285" s="1198" t="str">
        <f>CP$19</f>
        <v>Original Budget</v>
      </c>
      <c r="CQ285" s="1198" t="str">
        <f>CQ$19</f>
        <v>LE</v>
      </c>
      <c r="CR285" s="34"/>
      <c r="CS285" s="2056"/>
      <c r="DC285"/>
    </row>
    <row r="286" spans="1:107" ht="21" customHeight="1">
      <c r="A286" s="1627"/>
      <c r="B286" s="2606"/>
      <c r="C286" s="2540"/>
      <c r="D286" s="1549"/>
      <c r="E286" s="2440" t="e" cm="1">
        <f t="array" ca="1" aca="1" ref="E28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286:$CQ286,Z286)</f>
        <v>#NAME?</v>
      </c>
      <c r="F286" s="401"/>
      <c r="G286" s="401"/>
      <c r="H286" s="585">
        <v>0</v>
      </c>
      <c r="I286" s="3290">
        <v>1</v>
      </c>
      <c r="J286" s="401"/>
      <c r="K286" s="401" t="str">
        <f t="shared" si="74" ref="K286:K287">IFERROR(IF(LEN(AB286)=0,"No",IF(LEN(J286)&gt;0,"Yes","No")),"")</f>
        <v>No</v>
      </c>
      <c r="L286" s="37"/>
      <c r="N286" s="158"/>
      <c r="O286" s="101"/>
      <c r="P286" s="52"/>
      <c r="Q286" s="101"/>
      <c r="R286" s="101"/>
      <c r="S286" s="101"/>
      <c r="T286" s="2324"/>
      <c r="U286" s="39"/>
      <c r="V286" s="37"/>
      <c r="W286" s="2364" t="e">
        <f ca="1">W285</f>
        <v>#NAME?</v>
      </c>
      <c r="X286" s="2373">
        <f>_PL!X286</f>
        <v>0</v>
      </c>
      <c r="Y286" s="3227">
        <v>2</v>
      </c>
      <c r="Z286" s="198">
        <f>_PL!Z286</f>
        <v>0</v>
      </c>
      <c r="AA286" s="200" t="str" cm="1">
        <f t="array" ca="1" aca="1" ref="AA286">IF(Y286="","",_xlfn.LET(_xlpm._termname,$W286&amp;$Y286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6" s="1134"/>
      <c r="AC286" s="125" t="str" cm="1">
        <f t="array" ca="1" aca="1" ref="AC286">IF(AB286="","",_xlfn.LET(_xlpm._termname,PL!$W286&amp;$AB286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86" s="2152" t="e" cm="1">
        <f t="array" ca="1" aca="1" ref="AD286">_xlfn.LET(_xlpm.search_key,$W286&amp;$Y286,_xlpm.Scenario,_xlfn.VSTACK($W$20:$W$55&amp;$Y$20:$Y$55,$W$76:$W$110&amp;$Y$76:$Y$110),_xlpm.Data,_xlfn.VSTACK($AD$20:$BN$55,$AD$76:$BN$110),IF(OR($Y286="",ISNUMBER(SEARCH("please",$Y286))),"",_xlfn.XLOOKUP(_xlpm.search_key,_xlpm.Scenario,_xlpm.Data,"▧")))</f>
        <v>#NAME?</v>
      </c>
      <c r="AE286" s="2152"/>
      <c r="AF286" s="2152"/>
      <c r="AG286" s="2152"/>
      <c r="AH286" s="2152"/>
      <c r="AI286" s="2152"/>
      <c r="AJ286" s="2152"/>
      <c r="AK286" s="2152"/>
      <c r="AL286" s="2152"/>
      <c r="AM286" s="2152"/>
      <c r="AN286" s="2152"/>
      <c r="AO286" s="2152"/>
      <c r="AP286" s="2152"/>
      <c r="AQ286" s="2152"/>
      <c r="AR286" s="2152"/>
      <c r="AS286" s="2152"/>
      <c r="AT286" s="2152"/>
      <c r="AU286" s="2152"/>
      <c r="AV286" s="2152"/>
      <c r="AW286" s="2152"/>
      <c r="AX286" s="2152"/>
      <c r="AY286" s="2152"/>
      <c r="AZ286" s="2152"/>
      <c r="BA286" s="2152"/>
      <c r="BB286" s="2152"/>
      <c r="BC286" s="2152"/>
      <c r="BD286" s="2152"/>
      <c r="BE286" s="2152"/>
      <c r="BF286" s="2152"/>
      <c r="BG286" s="2152"/>
      <c r="BH286" s="2152"/>
      <c r="BI286" s="2152"/>
      <c r="BJ286" s="2152"/>
      <c r="BK286" s="2152"/>
      <c r="BL286" s="2152"/>
      <c r="BM286" s="2152"/>
      <c r="BN286" s="2152"/>
      <c r="BO286" s="2362"/>
      <c r="BP286" s="2362"/>
      <c r="BQ286" s="2362"/>
      <c r="BR286" s="2362"/>
      <c r="BS286" s="2362"/>
      <c r="BT286" s="2362"/>
      <c r="BU286" s="2362"/>
      <c r="BV286" s="2362"/>
      <c r="BW286" s="2362"/>
      <c r="BX286" s="2362"/>
      <c r="BY286" s="2362"/>
      <c r="BZ286" s="2362"/>
      <c r="CA286" s="34"/>
      <c r="CC286" s="58"/>
      <c r="CD286" s="2154" t="e" cm="1">
        <f t="array" ca="1" aca="1" ref="CD286">_xlfn.LET(_xlpm.search_key,$W286&amp;$Y286,_xlpm.Scenario,_xlfn.VSTACK($W$20:$W$55&amp;$Y$20:$Y$55,$W$76:$W$110&amp;$Y$76:$Y$110),_xlpm.Data,_xlfn.VSTACK(CD$20:CE$55,CD$76:CE$110),IF(OR($Y286="",ISNUMBER(SEARCH("please",$Y286))),"",_xlfn.XLOOKUP(_xlpm.search_key,_xlpm.Scenario,_xlpm.Data,"▧")))</f>
        <v>#NAME?</v>
      </c>
      <c r="CE286" s="2154"/>
      <c r="CF286" s="88"/>
      <c r="CG286" s="2154" t="e" cm="1">
        <f t="array" ca="1" aca="1" ref="CG286">_xlfn.LET(_xlpm.search_key,$W286&amp;$Y286,_xlpm.Scenario,_xlfn.VSTACK($W$20:$W$55&amp;$Y$20:$Y$55,$W$76:$W$110&amp;$Y$76:$Y$110),_xlpm.Data,_xlfn.VSTACK(CG$20:CH$55,CG$76:CH$110),IF(OR($Y286="",ISNUMBER(SEARCH("please",$Y286))),"",_xlfn.XLOOKUP(_xlpm.search_key,_xlpm.Scenario,_xlpm.Data,"▧")))</f>
        <v>#NAME?</v>
      </c>
      <c r="CH286" s="2154"/>
      <c r="CI286" s="88"/>
      <c r="CJ286" s="2154" t="e" cm="1">
        <f t="array" ca="1" aca="1" ref="CJ286">_xlfn.LET(_xlpm.search_key,$W286&amp;$Y286,_xlpm.Scenario,_xlfn.VSTACK($W$20:$W$55&amp;$Y$20:$Y$55,$W$76:$W$110&amp;$Y$76:$Y$110),_xlpm.Data,_xlfn.VSTACK(CJ$20:CK$55,CJ$76:CK$110),IF(OR($Y286="",ISNUMBER(SEARCH("please",$Y286))),"",_xlfn.XLOOKUP(_xlpm.search_key,_xlpm.Scenario,_xlpm.Data,"▧")))</f>
        <v>#NAME?</v>
      </c>
      <c r="CK286" s="2154"/>
      <c r="CL286" s="88"/>
      <c r="CM286" s="2154" t="e" cm="1">
        <f t="array" ca="1" aca="1" ref="CM286">_xlfn.LET(_xlpm.search_key,$W286&amp;$Y286,_xlpm.Scenario,_xlfn.VSTACK($W$20:$W$55&amp;$Y$20:$Y$55,$W$76:$W$110&amp;$Y$76:$Y$110),_xlpm.Data,_xlfn.VSTACK(CM$20:CN$55,CM$76:CN$110),IF(OR($Y286="",ISNUMBER(SEARCH("please",$Y286))),"",_xlfn.XLOOKUP(_xlpm.search_key,_xlpm.Scenario,_xlpm.Data,"▧")))</f>
        <v>#NAME?</v>
      </c>
      <c r="CN286" s="2154"/>
      <c r="CO286" s="88"/>
      <c r="CP286" s="2154" t="e" cm="1">
        <f t="array" ca="1" aca="1" ref="CP286">_xlfn.LET(_xlpm.search_key,$W286&amp;$Y286,_xlpm.Scenario,_xlfn.VSTACK($W$20:$W$55&amp;$Y$20:$Y$55,$W$76:$W$110&amp;$Y$76:$Y$110),_xlpm.Data,_xlfn.VSTACK(CP$20:CQ$55,CP$76:CQ$110),IF(OR($Y286="",ISNUMBER(SEARCH("please",$Y286))),"",_xlfn.XLOOKUP(_xlpm.search_key,_xlpm.Scenario,_xlpm.Data,"▧")))</f>
        <v>#NAME?</v>
      </c>
      <c r="CQ286" s="2154"/>
      <c r="CR286" s="34"/>
      <c r="CS286" s="2056"/>
      <c r="DC286"/>
    </row>
    <row r="287" spans="1:107" ht="21" customHeight="1">
      <c r="A287" s="1627"/>
      <c r="B287" s="2606"/>
      <c r="C287" s="2540"/>
      <c r="D287" s="1549"/>
      <c r="E287" s="2440" t="e" cm="1">
        <f t="array" ca="1" aca="1" ref="E28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287:$CQ287,Z287)</f>
        <v>#NAME?</v>
      </c>
      <c r="F287" s="401"/>
      <c r="G287" s="401"/>
      <c r="H287" s="585">
        <v>0</v>
      </c>
      <c r="I287" s="3290">
        <v>1</v>
      </c>
      <c r="J287" s="401"/>
      <c r="K287" s="401" t="str">
        <f t="shared" si="74"/>
        <v>No</v>
      </c>
      <c r="L287" s="37"/>
      <c r="N287" s="158"/>
      <c r="O287" s="101"/>
      <c r="P287" s="52"/>
      <c r="Q287" s="101"/>
      <c r="R287" s="101"/>
      <c r="S287" s="101"/>
      <c r="T287" s="101"/>
      <c r="U287" s="39"/>
      <c r="V287" s="37"/>
      <c r="W287" s="2364" t="e">
        <f ca="1">W285</f>
        <v>#NAME?</v>
      </c>
      <c r="X287" s="2373">
        <f>_PL!X287</f>
        <v>0</v>
      </c>
      <c r="Y287" s="3228">
        <v>2</v>
      </c>
      <c r="Z287" s="198">
        <f>_PL!Z287</f>
        <v>0</v>
      </c>
      <c r="AA287" s="200" t="str" cm="1">
        <f t="array" ca="1" aca="1" ref="AA287">IF(Y287="","",_xlfn.LET(_xlpm._termname,$W287&amp;$Y287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7" s="1134"/>
      <c r="AC287" s="125" t="str" cm="1">
        <f t="array" ca="1" aca="1" ref="AC287">IF(AB287="","",_xlfn.LET(_xlpm._termname,PL!$W288&amp;$AB287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87" s="2152" t="e" cm="1">
        <f t="array" ca="1" aca="1" ref="AD287">_xlfn.LET(_xlpm.search_key,$W287&amp;$Y287,_xlpm.Scenario,_xlfn.VSTACK($W$20:$W$55&amp;$Y$20:$Y$55,$W$76:$W$110&amp;$Y$76:$Y$110),_xlpm.Data,_xlfn.VSTACK($AD$20:$BN$55,$AD$76:$BN$110),IF(OR($Y287="",ISNUMBER(SEARCH("please",$Y287))),"",_xlfn.XLOOKUP(_xlpm.search_key,_xlpm.Scenario,_xlpm.Data,"▧")))</f>
        <v>#NAME?</v>
      </c>
      <c r="AE287" s="2152"/>
      <c r="AF287" s="2152"/>
      <c r="AG287" s="2152"/>
      <c r="AH287" s="2152"/>
      <c r="AI287" s="2152"/>
      <c r="AJ287" s="2152"/>
      <c r="AK287" s="2152"/>
      <c r="AL287" s="2152"/>
      <c r="AM287" s="2152"/>
      <c r="AN287" s="2152"/>
      <c r="AO287" s="2152"/>
      <c r="AP287" s="2152"/>
      <c r="AQ287" s="2152"/>
      <c r="AR287" s="2152"/>
      <c r="AS287" s="2152"/>
      <c r="AT287" s="2152"/>
      <c r="AU287" s="2152"/>
      <c r="AV287" s="2152"/>
      <c r="AW287" s="2152"/>
      <c r="AX287" s="2152"/>
      <c r="AY287" s="2152"/>
      <c r="AZ287" s="2152"/>
      <c r="BA287" s="2152"/>
      <c r="BB287" s="2152"/>
      <c r="BC287" s="2152"/>
      <c r="BD287" s="2152"/>
      <c r="BE287" s="2152"/>
      <c r="BF287" s="2152"/>
      <c r="BG287" s="2152"/>
      <c r="BH287" s="2152"/>
      <c r="BI287" s="2152"/>
      <c r="BJ287" s="2152"/>
      <c r="BK287" s="2152"/>
      <c r="BL287" s="2152"/>
      <c r="BM287" s="2152"/>
      <c r="BN287" s="2152"/>
      <c r="BO287" s="2362"/>
      <c r="BP287" s="2362"/>
      <c r="BQ287" s="2362"/>
      <c r="BR287" s="2362"/>
      <c r="BS287" s="2362"/>
      <c r="BT287" s="2362"/>
      <c r="BU287" s="2362"/>
      <c r="BV287" s="2362"/>
      <c r="BW287" s="2362"/>
      <c r="BX287" s="2362"/>
      <c r="BY287" s="2362"/>
      <c r="BZ287" s="2362"/>
      <c r="CA287" s="34"/>
      <c r="CC287" s="58"/>
      <c r="CD287" s="2154" t="e" cm="1">
        <f t="array" ca="1" aca="1" ref="CD287">_xlfn.LET(_xlpm.search_key,$W287&amp;$Y287,_xlpm.Scenario,_xlfn.VSTACK($W$20:$W$55&amp;$Y$20:$Y$55,$W$76:$W$110&amp;$Y$76:$Y$110),_xlpm.Data,_xlfn.VSTACK(CD$20:CE$55,CD$76:CE$110),IF(OR($Y287="",ISNUMBER(SEARCH("please",$Y287))),"",_xlfn.XLOOKUP(_xlpm.search_key,_xlpm.Scenario,_xlpm.Data,"▧")))</f>
        <v>#NAME?</v>
      </c>
      <c r="CE287" s="2154"/>
      <c r="CF287" s="88"/>
      <c r="CG287" s="2154" t="e" cm="1">
        <f t="array" ca="1" aca="1" ref="CG287">_xlfn.LET(_xlpm.search_key,$W287&amp;$Y287,_xlpm.Scenario,_xlfn.VSTACK($W$20:$W$55&amp;$Y$20:$Y$55,$W$76:$W$110&amp;$Y$76:$Y$110),_xlpm.Data,_xlfn.VSTACK(CG$20:CH$55,CG$76:CH$110),IF(OR($Y287="",ISNUMBER(SEARCH("please",$Y287))),"",_xlfn.XLOOKUP(_xlpm.search_key,_xlpm.Scenario,_xlpm.Data,"▧")))</f>
        <v>#NAME?</v>
      </c>
      <c r="CH287" s="2154"/>
      <c r="CI287" s="88"/>
      <c r="CJ287" s="2154" t="e" cm="1">
        <f t="array" ca="1" aca="1" ref="CJ287">_xlfn.LET(_xlpm.search_key,$W287&amp;$Y287,_xlpm.Scenario,_xlfn.VSTACK($W$20:$W$55&amp;$Y$20:$Y$55,$W$76:$W$110&amp;$Y$76:$Y$110),_xlpm.Data,_xlfn.VSTACK(CJ$20:CK$55,CJ$76:CK$110),IF(OR($Y287="",ISNUMBER(SEARCH("please",$Y287))),"",_xlfn.XLOOKUP(_xlpm.search_key,_xlpm.Scenario,_xlpm.Data,"▧")))</f>
        <v>#NAME?</v>
      </c>
      <c r="CK287" s="2154"/>
      <c r="CL287" s="88"/>
      <c r="CM287" s="2154" t="e" cm="1">
        <f t="array" ca="1" aca="1" ref="CM287">_xlfn.LET(_xlpm.search_key,$W287&amp;$Y287,_xlpm.Scenario,_xlfn.VSTACK($W$20:$W$55&amp;$Y$20:$Y$55,$W$76:$W$110&amp;$Y$76:$Y$110),_xlpm.Data,_xlfn.VSTACK(CM$20:CN$55,CM$76:CN$110),IF(OR($Y287="",ISNUMBER(SEARCH("please",$Y287))),"",_xlfn.XLOOKUP(_xlpm.search_key,_xlpm.Scenario,_xlpm.Data,"▧")))</f>
        <v>#NAME?</v>
      </c>
      <c r="CN287" s="2154"/>
      <c r="CO287" s="88"/>
      <c r="CP287" s="2154" t="e" cm="1">
        <f t="array" ca="1" aca="1" ref="CP287">_xlfn.LET(_xlpm.search_key,$W287&amp;$Y287,_xlpm.Scenario,_xlfn.VSTACK($W$20:$W$55&amp;$Y$20:$Y$55,$W$76:$W$110&amp;$Y$76:$Y$110),_xlpm.Data,_xlfn.VSTACK(CP$20:CQ$55,CP$76:CQ$110),IF(OR($Y287="",ISNUMBER(SEARCH("please",$Y287))),"",_xlfn.XLOOKUP(_xlpm.search_key,_xlpm.Scenario,_xlpm.Data,"▧")))</f>
        <v>#NAME?</v>
      </c>
      <c r="CQ287" s="2154"/>
      <c r="CR287" s="34"/>
      <c r="CS287" s="2056"/>
      <c r="DC287"/>
    </row>
    <row r="288" spans="1:107" ht="21" customHeight="1">
      <c r="A288" s="1627"/>
      <c r="B288" s="2606"/>
      <c r="C288" s="2540"/>
      <c r="D288" s="1549"/>
      <c r="E288" s="2440"/>
      <c r="F288" s="401"/>
      <c r="G288" s="401"/>
      <c r="H288" s="585"/>
      <c r="I288" s="585"/>
      <c r="J288" s="401"/>
      <c r="K288" s="401"/>
      <c r="L288" s="37"/>
      <c r="N288" s="158"/>
      <c r="O288" s="101"/>
      <c r="P288" s="52"/>
      <c r="Q288" s="101"/>
      <c r="R288" s="101"/>
      <c r="S288" s="101"/>
      <c r="T288" s="101"/>
      <c r="U288" s="39"/>
      <c r="V288" s="37"/>
      <c r="W288" s="2364" t="e">
        <f ca="1">W285</f>
        <v>#NAME?</v>
      </c>
      <c r="X288" s="2373">
        <f>_PL!X288</f>
        <v>0</v>
      </c>
      <c r="Y288" s="3228">
        <v>2</v>
      </c>
      <c r="Z288" s="198">
        <f>_PL!Z288</f>
        <v>0</v>
      </c>
      <c r="AA288" s="200" t="str" cm="1">
        <f t="array" ca="1" aca="1" ref="AA288">IF(Y288="","",_xlfn.LET(_xlpm._termname,$W288&amp;$Y288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8" s="1134"/>
      <c r="AC288" s="125"/>
      <c r="AD288" s="2152" t="e" cm="1">
        <f t="array" ca="1" aca="1" ref="AD288">_xlfn.LET(_xlpm.search_key,$W288&amp;$Y288,_xlpm.Scenario,_xlfn.VSTACK($W$20:$W$55&amp;$Y$20:$Y$55,$W$76:$W$110&amp;$Y$76:$Y$110),_xlpm.Data,_xlfn.VSTACK($AD$20:$BN$55,$AD$76:$BN$110),IF(OR($Y288="",ISNUMBER(SEARCH("please",$Y288))),"",_xlfn.XLOOKUP(_xlpm.search_key,_xlpm.Scenario,_xlpm.Data,"▧")))</f>
        <v>#NAME?</v>
      </c>
      <c r="AE288" s="2152"/>
      <c r="AF288" s="2152"/>
      <c r="AG288" s="2152"/>
      <c r="AH288" s="2152"/>
      <c r="AI288" s="2152"/>
      <c r="AJ288" s="2152"/>
      <c r="AK288" s="2152"/>
      <c r="AL288" s="2152"/>
      <c r="AM288" s="2152"/>
      <c r="AN288" s="2152"/>
      <c r="AO288" s="2152"/>
      <c r="AP288" s="2152"/>
      <c r="AQ288" s="2152"/>
      <c r="AR288" s="2152"/>
      <c r="AS288" s="2152"/>
      <c r="AT288" s="2152"/>
      <c r="AU288" s="2152"/>
      <c r="AV288" s="2152"/>
      <c r="AW288" s="2152"/>
      <c r="AX288" s="2152"/>
      <c r="AY288" s="2152"/>
      <c r="AZ288" s="2152"/>
      <c r="BA288" s="2152"/>
      <c r="BB288" s="2152"/>
      <c r="BC288" s="2152"/>
      <c r="BD288" s="2152"/>
      <c r="BE288" s="2152"/>
      <c r="BF288" s="2152"/>
      <c r="BG288" s="2152"/>
      <c r="BH288" s="2152"/>
      <c r="BI288" s="2152"/>
      <c r="BJ288" s="2152"/>
      <c r="BK288" s="2152"/>
      <c r="BL288" s="2152"/>
      <c r="BM288" s="2152"/>
      <c r="BN288" s="2152"/>
      <c r="BO288" s="2362"/>
      <c r="BP288" s="2362"/>
      <c r="BQ288" s="2362"/>
      <c r="BR288" s="2362"/>
      <c r="BS288" s="2362"/>
      <c r="BT288" s="2362"/>
      <c r="BU288" s="2362"/>
      <c r="BV288" s="2362"/>
      <c r="BW288" s="2362"/>
      <c r="BX288" s="2362"/>
      <c r="BY288" s="2362"/>
      <c r="BZ288" s="2362"/>
      <c r="CA288" s="34"/>
      <c r="CC288" s="58"/>
      <c r="CD288" s="2154" t="e" cm="1">
        <f t="array" ca="1" aca="1" ref="CD288">_xlfn.LET(_xlpm.search_key,$W288&amp;$Y288,_xlpm.Scenario,_xlfn.VSTACK($W$20:$W$55&amp;$Y$20:$Y$55,$W$76:$W$110&amp;$Y$76:$Y$110),_xlpm.Data,_xlfn.VSTACK(CD$20:CE$55,CD$76:CE$110),IF(OR($Y288="",ISNUMBER(SEARCH("please",$Y288))),"",_xlfn.XLOOKUP(_xlpm.search_key,_xlpm.Scenario,_xlpm.Data,"▧")))</f>
        <v>#NAME?</v>
      </c>
      <c r="CE288" s="2154"/>
      <c r="CF288" s="88"/>
      <c r="CG288" s="2154" t="e" cm="1">
        <f t="array" ca="1" aca="1" ref="CG288">_xlfn.LET(_xlpm.search_key,$W288&amp;$Y288,_xlpm.Scenario,_xlfn.VSTACK($W$20:$W$55&amp;$Y$20:$Y$55,$W$76:$W$110&amp;$Y$76:$Y$110),_xlpm.Data,_xlfn.VSTACK(CG$20:CH$55,CG$76:CH$110),IF(OR($Y288="",ISNUMBER(SEARCH("please",$Y288))),"",_xlfn.XLOOKUP(_xlpm.search_key,_xlpm.Scenario,_xlpm.Data,"▧")))</f>
        <v>#NAME?</v>
      </c>
      <c r="CH288" s="2154"/>
      <c r="CI288" s="88"/>
      <c r="CJ288" s="2154" t="e" cm="1">
        <f t="array" ca="1" aca="1" ref="CJ288">_xlfn.LET(_xlpm.search_key,$W288&amp;$Y288,_xlpm.Scenario,_xlfn.VSTACK($W$20:$W$55&amp;$Y$20:$Y$55,$W$76:$W$110&amp;$Y$76:$Y$110),_xlpm.Data,_xlfn.VSTACK(CJ$20:CK$55,CJ$76:CK$110),IF(OR($Y288="",ISNUMBER(SEARCH("please",$Y288))),"",_xlfn.XLOOKUP(_xlpm.search_key,_xlpm.Scenario,_xlpm.Data,"▧")))</f>
        <v>#NAME?</v>
      </c>
      <c r="CK288" s="2154"/>
      <c r="CL288" s="88"/>
      <c r="CM288" s="2154" t="e" cm="1">
        <f t="array" ca="1" aca="1" ref="CM288">_xlfn.LET(_xlpm.search_key,$W288&amp;$Y288,_xlpm.Scenario,_xlfn.VSTACK($W$20:$W$55&amp;$Y$20:$Y$55,$W$76:$W$110&amp;$Y$76:$Y$110),_xlpm.Data,_xlfn.VSTACK(CM$20:CN$55,CM$76:CN$110),IF(OR($Y288="",ISNUMBER(SEARCH("please",$Y288))),"",_xlfn.XLOOKUP(_xlpm.search_key,_xlpm.Scenario,_xlpm.Data,"▧")))</f>
        <v>#NAME?</v>
      </c>
      <c r="CN288" s="2154"/>
      <c r="CO288" s="88"/>
      <c r="CP288" s="2154" t="e" cm="1">
        <f t="array" ca="1" aca="1" ref="CP288">_xlfn.LET(_xlpm.search_key,$W288&amp;$Y288,_xlpm.Scenario,_xlfn.VSTACK($W$20:$W$55&amp;$Y$20:$Y$55,$W$76:$W$110&amp;$Y$76:$Y$110),_xlpm.Data,_xlfn.VSTACK(CP$20:CQ$55,CP$76:CQ$110),IF(OR($Y288="",ISNUMBER(SEARCH("please",$Y288))),"",_xlfn.XLOOKUP(_xlpm.search_key,_xlpm.Scenario,_xlpm.Data,"▧")))</f>
        <v>#NAME?</v>
      </c>
      <c r="CQ288" s="2154"/>
      <c r="CR288" s="34"/>
      <c r="CS288" s="2056"/>
      <c r="DC288"/>
    </row>
    <row r="289" spans="1:107" ht="21" customHeight="1">
      <c r="A289" s="1627"/>
      <c r="B289" s="2606"/>
      <c r="C289" s="2540"/>
      <c r="D289" s="1549"/>
      <c r="E289" s="2440"/>
      <c r="F289" s="401"/>
      <c r="G289" s="401"/>
      <c r="H289" s="585"/>
      <c r="I289" s="585"/>
      <c r="J289" s="401"/>
      <c r="K289" s="401"/>
      <c r="L289" s="37"/>
      <c r="N289" s="158"/>
      <c r="O289" s="101"/>
      <c r="P289" s="52"/>
      <c r="Q289" s="101"/>
      <c r="R289" s="101"/>
      <c r="S289" s="101"/>
      <c r="T289" s="101"/>
      <c r="U289" s="39"/>
      <c r="V289" s="37"/>
      <c r="W289" s="2364" t="e">
        <f ca="1">W285</f>
        <v>#NAME?</v>
      </c>
      <c r="X289" s="2373">
        <f>_PL!X289</f>
        <v>0</v>
      </c>
      <c r="Y289" s="3228">
        <v>2</v>
      </c>
      <c r="Z289" s="198">
        <f>_PL!Z289</f>
        <v>0</v>
      </c>
      <c r="AA289" s="200" t="str" cm="1">
        <f t="array" ca="1" aca="1" ref="AA289">IF(Y289="","",_xlfn.LET(_xlpm._termname,$W289&amp;$Y289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9" s="1134"/>
      <c r="AC289" s="125"/>
      <c r="AD289" s="2152" t="e" cm="1">
        <f t="array" ca="1" aca="1" ref="AD289">_xlfn.LET(_xlpm.search_key,$W289&amp;$Y289,_xlpm.Scenario,_xlfn.VSTACK($W$20:$W$55&amp;$Y$20:$Y$55,$W$76:$W$110&amp;$Y$76:$Y$110),_xlpm.Data,_xlfn.VSTACK($AD$20:$BN$55,$AD$76:$BN$110),IF(OR($Y289="",ISNUMBER(SEARCH("please",$Y289))),"",_xlfn.XLOOKUP(_xlpm.search_key,_xlpm.Scenario,_xlpm.Data,"▧")))</f>
        <v>#NAME?</v>
      </c>
      <c r="AE289" s="2152"/>
      <c r="AF289" s="2152"/>
      <c r="AG289" s="2152"/>
      <c r="AH289" s="2152"/>
      <c r="AI289" s="2152"/>
      <c r="AJ289" s="2152"/>
      <c r="AK289" s="2152"/>
      <c r="AL289" s="2152"/>
      <c r="AM289" s="2152"/>
      <c r="AN289" s="2152"/>
      <c r="AO289" s="2152"/>
      <c r="AP289" s="2152"/>
      <c r="AQ289" s="2152"/>
      <c r="AR289" s="2152"/>
      <c r="AS289" s="2152"/>
      <c r="AT289" s="2152"/>
      <c r="AU289" s="2152"/>
      <c r="AV289" s="2152"/>
      <c r="AW289" s="2152"/>
      <c r="AX289" s="2152"/>
      <c r="AY289" s="2152"/>
      <c r="AZ289" s="2152"/>
      <c r="BA289" s="2152"/>
      <c r="BB289" s="2152"/>
      <c r="BC289" s="2152"/>
      <c r="BD289" s="2152"/>
      <c r="BE289" s="2152"/>
      <c r="BF289" s="2152"/>
      <c r="BG289" s="2152"/>
      <c r="BH289" s="2152"/>
      <c r="BI289" s="2152"/>
      <c r="BJ289" s="2152"/>
      <c r="BK289" s="2152"/>
      <c r="BL289" s="2152"/>
      <c r="BM289" s="2152"/>
      <c r="BN289" s="2152"/>
      <c r="BO289" s="2362"/>
      <c r="BP289" s="2362"/>
      <c r="BQ289" s="2362"/>
      <c r="BR289" s="2362"/>
      <c r="BS289" s="2362"/>
      <c r="BT289" s="2362"/>
      <c r="BU289" s="2362"/>
      <c r="BV289" s="2362"/>
      <c r="BW289" s="2362"/>
      <c r="BX289" s="2362"/>
      <c r="BY289" s="2362"/>
      <c r="BZ289" s="2362"/>
      <c r="CA289" s="34"/>
      <c r="CC289" s="58"/>
      <c r="CD289" s="2154" t="e" cm="1">
        <f t="array" ca="1" aca="1" ref="CD289">_xlfn.LET(_xlpm.search_key,$W289&amp;$Y289,_xlpm.Scenario,_xlfn.VSTACK($W$20:$W$55&amp;$Y$20:$Y$55,$W$76:$W$110&amp;$Y$76:$Y$110),_xlpm.Data,_xlfn.VSTACK(CD$20:CE$55,CD$76:CE$110),IF(OR($Y289="",ISNUMBER(SEARCH("please",$Y289))),"",_xlfn.XLOOKUP(_xlpm.search_key,_xlpm.Scenario,_xlpm.Data,"▧")))</f>
        <v>#NAME?</v>
      </c>
      <c r="CE289" s="2154"/>
      <c r="CF289" s="88"/>
      <c r="CG289" s="2154" t="e" cm="1">
        <f t="array" ca="1" aca="1" ref="CG289">_xlfn.LET(_xlpm.search_key,$W289&amp;$Y289,_xlpm.Scenario,_xlfn.VSTACK($W$20:$W$55&amp;$Y$20:$Y$55,$W$76:$W$110&amp;$Y$76:$Y$110),_xlpm.Data,_xlfn.VSTACK(CG$20:CH$55,CG$76:CH$110),IF(OR($Y289="",ISNUMBER(SEARCH("please",$Y289))),"",_xlfn.XLOOKUP(_xlpm.search_key,_xlpm.Scenario,_xlpm.Data,"▧")))</f>
        <v>#NAME?</v>
      </c>
      <c r="CH289" s="2154"/>
      <c r="CI289" s="88"/>
      <c r="CJ289" s="2154" t="e" cm="1">
        <f t="array" ca="1" aca="1" ref="CJ289">_xlfn.LET(_xlpm.search_key,$W289&amp;$Y289,_xlpm.Scenario,_xlfn.VSTACK($W$20:$W$55&amp;$Y$20:$Y$55,$W$76:$W$110&amp;$Y$76:$Y$110),_xlpm.Data,_xlfn.VSTACK(CJ$20:CK$55,CJ$76:CK$110),IF(OR($Y289="",ISNUMBER(SEARCH("please",$Y289))),"",_xlfn.XLOOKUP(_xlpm.search_key,_xlpm.Scenario,_xlpm.Data,"▧")))</f>
        <v>#NAME?</v>
      </c>
      <c r="CK289" s="2154"/>
      <c r="CL289" s="88"/>
      <c r="CM289" s="2154" t="e" cm="1">
        <f t="array" ca="1" aca="1" ref="CM289">_xlfn.LET(_xlpm.search_key,$W289&amp;$Y289,_xlpm.Scenario,_xlfn.VSTACK($W$20:$W$55&amp;$Y$20:$Y$55,$W$76:$W$110&amp;$Y$76:$Y$110),_xlpm.Data,_xlfn.VSTACK(CM$20:CN$55,CM$76:CN$110),IF(OR($Y289="",ISNUMBER(SEARCH("please",$Y289))),"",_xlfn.XLOOKUP(_xlpm.search_key,_xlpm.Scenario,_xlpm.Data,"▧")))</f>
        <v>#NAME?</v>
      </c>
      <c r="CN289" s="2154"/>
      <c r="CO289" s="88"/>
      <c r="CP289" s="2154" t="e" cm="1">
        <f t="array" ca="1" aca="1" ref="CP289">_xlfn.LET(_xlpm.search_key,$W289&amp;$Y289,_xlpm.Scenario,_xlfn.VSTACK($W$20:$W$55&amp;$Y$20:$Y$55,$W$76:$W$110&amp;$Y$76:$Y$110),_xlpm.Data,_xlfn.VSTACK(CP$20:CQ$55,CP$76:CQ$110),IF(OR($Y289="",ISNUMBER(SEARCH("please",$Y289))),"",_xlfn.XLOOKUP(_xlpm.search_key,_xlpm.Scenario,_xlpm.Data,"▧")))</f>
        <v>#NAME?</v>
      </c>
      <c r="CQ289" s="2154"/>
      <c r="CR289" s="34"/>
      <c r="CS289" s="2056"/>
      <c r="DC289"/>
    </row>
    <row r="290" spans="1:107" ht="21" customHeight="1">
      <c r="A290" s="1627"/>
      <c r="B290" s="2606"/>
      <c r="C290" s="2540"/>
      <c r="D290" s="1549"/>
      <c r="E290" s="2440"/>
      <c r="F290" s="401"/>
      <c r="G290" s="401"/>
      <c r="H290" s="585"/>
      <c r="I290" s="585"/>
      <c r="J290" s="401"/>
      <c r="K290" s="401"/>
      <c r="L290" s="37"/>
      <c r="N290" s="158"/>
      <c r="O290" s="101"/>
      <c r="P290" s="52"/>
      <c r="Q290" s="101"/>
      <c r="R290" s="101"/>
      <c r="S290" s="101"/>
      <c r="T290" s="101"/>
      <c r="U290" s="39"/>
      <c r="V290" s="37"/>
      <c r="W290" s="2364" t="e">
        <f ca="1">W285</f>
        <v>#NAME?</v>
      </c>
      <c r="X290" s="2373">
        <f>_PL!X290</f>
        <v>0</v>
      </c>
      <c r="Y290" s="3228">
        <v>2</v>
      </c>
      <c r="Z290" s="198">
        <f>_PL!Z290</f>
        <v>0</v>
      </c>
      <c r="AA290" s="200" t="str" cm="1">
        <f t="array" ca="1" aca="1" ref="AA290">IF(Y290="","",_xlfn.LET(_xlpm._termname,$W290&amp;$Y290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0" s="1134"/>
      <c r="AC290" s="125"/>
      <c r="AD290" s="2152" t="e" cm="1">
        <f t="array" ca="1" aca="1" ref="AD290">_xlfn.LET(_xlpm.search_key,$W290&amp;$Y290,_xlpm.Scenario,_xlfn.VSTACK($W$20:$W$55&amp;$Y$20:$Y$55,$W$76:$W$110&amp;$Y$76:$Y$110),_xlpm.Data,_xlfn.VSTACK($AD$20:$BN$55,$AD$76:$BN$110),IF(OR($Y290="",ISNUMBER(SEARCH("please",$Y290))),"",_xlfn.XLOOKUP(_xlpm.search_key,_xlpm.Scenario,_xlpm.Data,"▧")))</f>
        <v>#NAME?</v>
      </c>
      <c r="AE290" s="2152"/>
      <c r="AF290" s="2152"/>
      <c r="AG290" s="2152"/>
      <c r="AH290" s="2152"/>
      <c r="AI290" s="2152"/>
      <c r="AJ290" s="2152"/>
      <c r="AK290" s="2152"/>
      <c r="AL290" s="2152"/>
      <c r="AM290" s="2152"/>
      <c r="AN290" s="2152"/>
      <c r="AO290" s="2152"/>
      <c r="AP290" s="2152"/>
      <c r="AQ290" s="2152"/>
      <c r="AR290" s="2152"/>
      <c r="AS290" s="2152"/>
      <c r="AT290" s="2152"/>
      <c r="AU290" s="2152"/>
      <c r="AV290" s="2152"/>
      <c r="AW290" s="2152"/>
      <c r="AX290" s="2152"/>
      <c r="AY290" s="2152"/>
      <c r="AZ290" s="2152"/>
      <c r="BA290" s="2152"/>
      <c r="BB290" s="2152"/>
      <c r="BC290" s="2152"/>
      <c r="BD290" s="2152"/>
      <c r="BE290" s="2152"/>
      <c r="BF290" s="2152"/>
      <c r="BG290" s="2152"/>
      <c r="BH290" s="2152"/>
      <c r="BI290" s="2152"/>
      <c r="BJ290" s="2152"/>
      <c r="BK290" s="2152"/>
      <c r="BL290" s="2152"/>
      <c r="BM290" s="2152"/>
      <c r="BN290" s="2152"/>
      <c r="BO290" s="2362"/>
      <c r="BP290" s="2362"/>
      <c r="BQ290" s="2362"/>
      <c r="BR290" s="2362"/>
      <c r="BS290" s="2362"/>
      <c r="BT290" s="2362"/>
      <c r="BU290" s="2362"/>
      <c r="BV290" s="2362"/>
      <c r="BW290" s="2362"/>
      <c r="BX290" s="2362"/>
      <c r="BY290" s="2362"/>
      <c r="BZ290" s="2362"/>
      <c r="CA290" s="34"/>
      <c r="CC290" s="58"/>
      <c r="CD290" s="2154" t="e" cm="1">
        <f t="array" ca="1" aca="1" ref="CD290">_xlfn.LET(_xlpm.search_key,$W290&amp;$Y290,_xlpm.Scenario,_xlfn.VSTACK($W$20:$W$55&amp;$Y$20:$Y$55,$W$76:$W$110&amp;$Y$76:$Y$110),_xlpm.Data,_xlfn.VSTACK(CD$20:CE$55,CD$76:CE$110),IF(OR($Y290="",ISNUMBER(SEARCH("please",$Y290))),"",_xlfn.XLOOKUP(_xlpm.search_key,_xlpm.Scenario,_xlpm.Data,"▧")))</f>
        <v>#NAME?</v>
      </c>
      <c r="CE290" s="2154"/>
      <c r="CF290" s="88"/>
      <c r="CG290" s="2154" t="e" cm="1">
        <f t="array" ca="1" aca="1" ref="CG290">_xlfn.LET(_xlpm.search_key,$W290&amp;$Y290,_xlpm.Scenario,_xlfn.VSTACK($W$20:$W$55&amp;$Y$20:$Y$55,$W$76:$W$110&amp;$Y$76:$Y$110),_xlpm.Data,_xlfn.VSTACK(CG$20:CH$55,CG$76:CH$110),IF(OR($Y290="",ISNUMBER(SEARCH("please",$Y290))),"",_xlfn.XLOOKUP(_xlpm.search_key,_xlpm.Scenario,_xlpm.Data,"▧")))</f>
        <v>#NAME?</v>
      </c>
      <c r="CH290" s="2154"/>
      <c r="CI290" s="88"/>
      <c r="CJ290" s="2154" t="e" cm="1">
        <f t="array" ca="1" aca="1" ref="CJ290">_xlfn.LET(_xlpm.search_key,$W290&amp;$Y290,_xlpm.Scenario,_xlfn.VSTACK($W$20:$W$55&amp;$Y$20:$Y$55,$W$76:$W$110&amp;$Y$76:$Y$110),_xlpm.Data,_xlfn.VSTACK(CJ$20:CK$55,CJ$76:CK$110),IF(OR($Y290="",ISNUMBER(SEARCH("please",$Y290))),"",_xlfn.XLOOKUP(_xlpm.search_key,_xlpm.Scenario,_xlpm.Data,"▧")))</f>
        <v>#NAME?</v>
      </c>
      <c r="CK290" s="2154"/>
      <c r="CL290" s="88"/>
      <c r="CM290" s="2154" t="e" cm="1">
        <f t="array" ca="1" aca="1" ref="CM290">_xlfn.LET(_xlpm.search_key,$W290&amp;$Y290,_xlpm.Scenario,_xlfn.VSTACK($W$20:$W$55&amp;$Y$20:$Y$55,$W$76:$W$110&amp;$Y$76:$Y$110),_xlpm.Data,_xlfn.VSTACK(CM$20:CN$55,CM$76:CN$110),IF(OR($Y290="",ISNUMBER(SEARCH("please",$Y290))),"",_xlfn.XLOOKUP(_xlpm.search_key,_xlpm.Scenario,_xlpm.Data,"▧")))</f>
        <v>#NAME?</v>
      </c>
      <c r="CN290" s="2154"/>
      <c r="CO290" s="88"/>
      <c r="CP290" s="2154" t="e" cm="1">
        <f t="array" ca="1" aca="1" ref="CP290">_xlfn.LET(_xlpm.search_key,$W290&amp;$Y290,_xlpm.Scenario,_xlfn.VSTACK($W$20:$W$55&amp;$Y$20:$Y$55,$W$76:$W$110&amp;$Y$76:$Y$110),_xlpm.Data,_xlfn.VSTACK(CP$20:CQ$55,CP$76:CQ$110),IF(OR($Y290="",ISNUMBER(SEARCH("please",$Y290))),"",_xlfn.XLOOKUP(_xlpm.search_key,_xlpm.Scenario,_xlpm.Data,"▧")))</f>
        <v>#NAME?</v>
      </c>
      <c r="CQ290" s="2154"/>
      <c r="CR290" s="34"/>
      <c r="CS290" s="2056"/>
      <c r="DC290"/>
    </row>
    <row r="291" spans="1:107" ht="21" customHeight="1">
      <c r="A291" s="1627"/>
      <c r="B291" s="2606"/>
      <c r="C291" s="2540"/>
      <c r="D291" s="1549"/>
      <c r="E291" s="2440"/>
      <c r="F291" s="401"/>
      <c r="G291" s="401"/>
      <c r="H291" s="585"/>
      <c r="I291" s="585"/>
      <c r="J291" s="401"/>
      <c r="K291" s="401"/>
      <c r="L291" s="37"/>
      <c r="N291" s="158"/>
      <c r="O291" s="101"/>
      <c r="P291" s="52"/>
      <c r="Q291" s="101"/>
      <c r="R291" s="101"/>
      <c r="S291" s="101"/>
      <c r="T291" s="101"/>
      <c r="U291" s="39"/>
      <c r="V291" s="37"/>
      <c r="W291" s="2364" t="e">
        <f ca="1">W285</f>
        <v>#NAME?</v>
      </c>
      <c r="X291" s="2373">
        <f>_PL!X291</f>
        <v>0</v>
      </c>
      <c r="Y291" s="3228">
        <v>2</v>
      </c>
      <c r="Z291" s="538">
        <f>_PL!Z291</f>
        <v>0</v>
      </c>
      <c r="AA291" s="787" t="str" cm="1">
        <f t="array" ca="1" aca="1" ref="AA291">IF(Y291="","",_xlfn.LET(_xlpm._termname,$W291&amp;$Y291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1" s="1134"/>
      <c r="AC291" s="125"/>
      <c r="AD291" s="2152" t="e" cm="1">
        <f t="array" ca="1" aca="1" ref="AD291">_xlfn.LET(_xlpm.search_key,$W291&amp;$Y291,_xlpm.Scenario,_xlfn.VSTACK($W$20:$W$55&amp;$Y$20:$Y$55,$W$76:$W$110&amp;$Y$76:$Y$110),_xlpm.Data,_xlfn.VSTACK($AD$20:$BN$55,$AD$76:$BN$110),IF(OR($Y291="",ISNUMBER(SEARCH("please",$Y291))),"",_xlfn.XLOOKUP(_xlpm.search_key,_xlpm.Scenario,_xlpm.Data,"▧")))</f>
        <v>#NAME?</v>
      </c>
      <c r="AE291" s="2152"/>
      <c r="AF291" s="2152"/>
      <c r="AG291" s="2152"/>
      <c r="AH291" s="2152"/>
      <c r="AI291" s="2152"/>
      <c r="AJ291" s="2152"/>
      <c r="AK291" s="2152"/>
      <c r="AL291" s="2152"/>
      <c r="AM291" s="2152"/>
      <c r="AN291" s="2152"/>
      <c r="AO291" s="2152"/>
      <c r="AP291" s="2152"/>
      <c r="AQ291" s="2152"/>
      <c r="AR291" s="2152"/>
      <c r="AS291" s="2152"/>
      <c r="AT291" s="2152"/>
      <c r="AU291" s="2152"/>
      <c r="AV291" s="2152"/>
      <c r="AW291" s="2152"/>
      <c r="AX291" s="2152"/>
      <c r="AY291" s="2152"/>
      <c r="AZ291" s="2152"/>
      <c r="BA291" s="2152"/>
      <c r="BB291" s="2152"/>
      <c r="BC291" s="2152"/>
      <c r="BD291" s="2152"/>
      <c r="BE291" s="2152"/>
      <c r="BF291" s="2152"/>
      <c r="BG291" s="2152"/>
      <c r="BH291" s="2152"/>
      <c r="BI291" s="2152"/>
      <c r="BJ291" s="2152"/>
      <c r="BK291" s="2152"/>
      <c r="BL291" s="2152"/>
      <c r="BM291" s="2152"/>
      <c r="BN291" s="2152"/>
      <c r="BO291" s="2362"/>
      <c r="BP291" s="2362"/>
      <c r="BQ291" s="2362"/>
      <c r="BR291" s="2362"/>
      <c r="BS291" s="2362"/>
      <c r="BT291" s="2362"/>
      <c r="BU291" s="2362"/>
      <c r="BV291" s="2362"/>
      <c r="BW291" s="2362"/>
      <c r="BX291" s="2362"/>
      <c r="BY291" s="2362"/>
      <c r="BZ291" s="2362"/>
      <c r="CA291" s="34"/>
      <c r="CC291" s="58"/>
      <c r="CD291" s="2154" t="e" cm="1">
        <f t="array" ca="1" aca="1" ref="CD291">_xlfn.LET(_xlpm.search_key,$W291&amp;$Y291,_xlpm.Scenario,_xlfn.VSTACK($W$20:$W$55&amp;$Y$20:$Y$55,$W$76:$W$110&amp;$Y$76:$Y$110),_xlpm.Data,_xlfn.VSTACK(CD$20:CE$55,CD$76:CE$110),IF(OR($Y291="",ISNUMBER(SEARCH("please",$Y291))),"",_xlfn.XLOOKUP(_xlpm.search_key,_xlpm.Scenario,_xlpm.Data,"▧")))</f>
        <v>#NAME?</v>
      </c>
      <c r="CE291" s="2154"/>
      <c r="CF291" s="88"/>
      <c r="CG291" s="2154" t="e" cm="1">
        <f t="array" ca="1" aca="1" ref="CG291">_xlfn.LET(_xlpm.search_key,$W291&amp;$Y291,_xlpm.Scenario,_xlfn.VSTACK($W$20:$W$55&amp;$Y$20:$Y$55,$W$76:$W$110&amp;$Y$76:$Y$110),_xlpm.Data,_xlfn.VSTACK(CG$20:CH$55,CG$76:CH$110),IF(OR($Y291="",ISNUMBER(SEARCH("please",$Y291))),"",_xlfn.XLOOKUP(_xlpm.search_key,_xlpm.Scenario,_xlpm.Data,"▧")))</f>
        <v>#NAME?</v>
      </c>
      <c r="CH291" s="2154"/>
      <c r="CI291" s="88"/>
      <c r="CJ291" s="2154" t="e" cm="1">
        <f t="array" ca="1" aca="1" ref="CJ291">_xlfn.LET(_xlpm.search_key,$W291&amp;$Y291,_xlpm.Scenario,_xlfn.VSTACK($W$20:$W$55&amp;$Y$20:$Y$55,$W$76:$W$110&amp;$Y$76:$Y$110),_xlpm.Data,_xlfn.VSTACK(CJ$20:CK$55,CJ$76:CK$110),IF(OR($Y291="",ISNUMBER(SEARCH("please",$Y291))),"",_xlfn.XLOOKUP(_xlpm.search_key,_xlpm.Scenario,_xlpm.Data,"▧")))</f>
        <v>#NAME?</v>
      </c>
      <c r="CK291" s="2154"/>
      <c r="CL291" s="88"/>
      <c r="CM291" s="2154" t="e" cm="1">
        <f t="array" ca="1" aca="1" ref="CM291">_xlfn.LET(_xlpm.search_key,$W291&amp;$Y291,_xlpm.Scenario,_xlfn.VSTACK($W$20:$W$55&amp;$Y$20:$Y$55,$W$76:$W$110&amp;$Y$76:$Y$110),_xlpm.Data,_xlfn.VSTACK(CM$20:CN$55,CM$76:CN$110),IF(OR($Y291="",ISNUMBER(SEARCH("please",$Y291))),"",_xlfn.XLOOKUP(_xlpm.search_key,_xlpm.Scenario,_xlpm.Data,"▧")))</f>
        <v>#NAME?</v>
      </c>
      <c r="CN291" s="2154"/>
      <c r="CO291" s="88"/>
      <c r="CP291" s="2154" t="e" cm="1">
        <f t="array" ca="1" aca="1" ref="CP291">_xlfn.LET(_xlpm.search_key,$W291&amp;$Y291,_xlpm.Scenario,_xlfn.VSTACK($W$20:$W$55&amp;$Y$20:$Y$55,$W$76:$W$110&amp;$Y$76:$Y$110),_xlpm.Data,_xlfn.VSTACK(CP$20:CQ$55,CP$76:CQ$110),IF(OR($Y291="",ISNUMBER(SEARCH("please",$Y291))),"",_xlfn.XLOOKUP(_xlpm.search_key,_xlpm.Scenario,_xlpm.Data,"▧")))</f>
        <v>#NAME?</v>
      </c>
      <c r="CQ291" s="2154"/>
      <c r="CR291" s="34"/>
      <c r="CS291" s="2056"/>
      <c r="DC291"/>
    </row>
    <row r="292" spans="1:107" ht="21" customHeight="1">
      <c r="A292" s="1627"/>
      <c r="B292" s="3474" t="s">
        <v>207</v>
      </c>
      <c r="C292" s="2606" t="e" cm="1">
        <f t="array" ca="1" aca="1" ref="C292">CVC.PACK(W285:Y292)</f>
        <v>#NAME?</v>
      </c>
      <c r="D292" s="1549"/>
      <c r="E292" s="2607"/>
      <c r="F292" s="401"/>
      <c r="G292" s="401"/>
      <c r="H292" s="585"/>
      <c r="I292" s="585"/>
      <c r="J292" s="401"/>
      <c r="K292" s="401"/>
      <c r="L292" s="37"/>
      <c r="N292" s="158"/>
      <c r="O292" s="101"/>
      <c r="P292" s="52"/>
      <c r="Q292" s="101"/>
      <c r="R292" s="101"/>
      <c r="S292" s="101"/>
      <c r="T292" s="101"/>
      <c r="U292" s="39"/>
      <c r="V292" s="37"/>
      <c r="W292" s="2365" t="e">
        <f ca="1">W285</f>
        <v>#NAME?</v>
      </c>
      <c r="X292" s="2374">
        <f>_PL!X292</f>
        <v>0</v>
      </c>
      <c r="Y292" s="2326">
        <f>_PL!Y292</f>
        <v>0</v>
      </c>
      <c r="Z292" s="2322"/>
      <c r="AA292" s="2323"/>
      <c r="AB292" s="1134"/>
      <c r="AC292" s="125" t="str" cm="1">
        <f t="array" ca="1" aca="1" ref="AC292">IF(AB292="","",_xlfn.LET(_xlpm._termname,PL!$W292&amp;$AB292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92" s="2152" t="e">
        <f ca="1">SUMPRODUCT($X286:$X291,AD286:AD291)</f>
        <v>#NAME?</v>
      </c>
      <c r="AE292" s="2152">
        <f t="shared" si="75" ref="AE292:BN292">SUMPRODUCT($X286:$X291,AE286:AE291)</f>
        <v>0</v>
      </c>
      <c r="AF292" s="2152">
        <f t="shared" si="75"/>
        <v>0</v>
      </c>
      <c r="AG292" s="2152">
        <f t="shared" si="75"/>
        <v>0</v>
      </c>
      <c r="AH292" s="2152">
        <f t="shared" si="75"/>
        <v>0</v>
      </c>
      <c r="AI292" s="2152">
        <f t="shared" si="75"/>
        <v>0</v>
      </c>
      <c r="AJ292" s="2152">
        <f t="shared" si="75"/>
        <v>0</v>
      </c>
      <c r="AK292" s="2152">
        <f t="shared" si="75"/>
        <v>0</v>
      </c>
      <c r="AL292" s="2152">
        <f t="shared" si="75"/>
        <v>0</v>
      </c>
      <c r="AM292" s="2152">
        <f t="shared" si="75"/>
        <v>0</v>
      </c>
      <c r="AN292" s="2152">
        <f t="shared" si="75"/>
        <v>0</v>
      </c>
      <c r="AO292" s="2152">
        <f t="shared" si="75"/>
        <v>0</v>
      </c>
      <c r="AP292" s="2152">
        <f t="shared" si="75"/>
        <v>0</v>
      </c>
      <c r="AQ292" s="2152">
        <f t="shared" si="75"/>
        <v>0</v>
      </c>
      <c r="AR292" s="2152">
        <f t="shared" si="75"/>
        <v>0</v>
      </c>
      <c r="AS292" s="2152">
        <f t="shared" si="75"/>
        <v>0</v>
      </c>
      <c r="AT292" s="2152">
        <f t="shared" si="75"/>
        <v>0</v>
      </c>
      <c r="AU292" s="2152">
        <f t="shared" si="75"/>
        <v>0</v>
      </c>
      <c r="AV292" s="2152">
        <f t="shared" si="75"/>
        <v>0</v>
      </c>
      <c r="AW292" s="2152">
        <f t="shared" si="75"/>
        <v>0</v>
      </c>
      <c r="AX292" s="2152">
        <f t="shared" si="75"/>
        <v>0</v>
      </c>
      <c r="AY292" s="2152">
        <f t="shared" si="75"/>
        <v>0</v>
      </c>
      <c r="AZ292" s="2152">
        <f t="shared" si="75"/>
        <v>0</v>
      </c>
      <c r="BA292" s="2152">
        <f t="shared" si="75"/>
        <v>0</v>
      </c>
      <c r="BB292" s="2152">
        <f t="shared" si="75"/>
        <v>0</v>
      </c>
      <c r="BC292" s="2152">
        <f t="shared" si="75"/>
        <v>0</v>
      </c>
      <c r="BD292" s="2152">
        <f t="shared" si="75"/>
        <v>0</v>
      </c>
      <c r="BE292" s="2152">
        <f t="shared" si="75"/>
        <v>0</v>
      </c>
      <c r="BF292" s="2152">
        <f t="shared" si="75"/>
        <v>0</v>
      </c>
      <c r="BG292" s="2152">
        <f t="shared" si="75"/>
        <v>0</v>
      </c>
      <c r="BH292" s="2152">
        <f t="shared" si="75"/>
        <v>0</v>
      </c>
      <c r="BI292" s="2152">
        <f t="shared" si="75"/>
        <v>0</v>
      </c>
      <c r="BJ292" s="2152">
        <f t="shared" si="75"/>
        <v>0</v>
      </c>
      <c r="BK292" s="2152">
        <f t="shared" si="75"/>
        <v>0</v>
      </c>
      <c r="BL292" s="2152">
        <f t="shared" si="75"/>
        <v>0</v>
      </c>
      <c r="BM292" s="2152">
        <f t="shared" si="75"/>
        <v>0</v>
      </c>
      <c r="BN292" s="2152">
        <f t="shared" si="75"/>
        <v>0</v>
      </c>
      <c r="BO292" s="2362"/>
      <c r="BP292" s="2362"/>
      <c r="BQ292" s="2362"/>
      <c r="BR292" s="2362"/>
      <c r="BS292" s="2362"/>
      <c r="BT292" s="2362"/>
      <c r="BU292" s="2362"/>
      <c r="BV292" s="2362"/>
      <c r="BW292" s="2362"/>
      <c r="BX292" s="2362"/>
      <c r="BY292" s="2362"/>
      <c r="BZ292" s="2362"/>
      <c r="CA292" s="34"/>
      <c r="CC292" s="58"/>
      <c r="CD292" s="2152" t="e">
        <f ca="1">SUMPRODUCT($X286:$X291,CD286:CD291)</f>
        <v>#NAME?</v>
      </c>
      <c r="CE292" s="2152">
        <f>SUMPRODUCT($X286:$X289,CE286:CE289)</f>
        <v>0</v>
      </c>
      <c r="CF292" s="88"/>
      <c r="CG292" s="2152" t="e">
        <f ca="1">SUMPRODUCT($X286:$X291,CG286:CG291)</f>
        <v>#NAME?</v>
      </c>
      <c r="CH292" s="2152">
        <f>SUMPRODUCT($X286:$X289,CH286:CH289)</f>
        <v>0</v>
      </c>
      <c r="CI292" s="88"/>
      <c r="CJ292" s="2152" t="e">
        <f ca="1">SUMPRODUCT($X286:$X291,CJ286:CJ291)</f>
        <v>#NAME?</v>
      </c>
      <c r="CK292" s="2152">
        <f>SUMPRODUCT($X286:$X289,CK286:CK289)</f>
        <v>0</v>
      </c>
      <c r="CL292" s="88"/>
      <c r="CM292" s="2152" t="e">
        <f ca="1">SUMPRODUCT($X286:$X291,CM286:CM291)</f>
        <v>#NAME?</v>
      </c>
      <c r="CN292" s="2152">
        <f>SUMPRODUCT($X286:$X289,CN286:CN289)</f>
        <v>0</v>
      </c>
      <c r="CO292" s="88"/>
      <c r="CP292" s="2152" t="e">
        <f ca="1">SUMPRODUCT($X286:$X291,CP286:CP291)</f>
        <v>#NAME?</v>
      </c>
      <c r="CQ292" s="2152">
        <f>SUMPRODUCT($X286:$X289,CQ286:CQ289)</f>
        <v>0</v>
      </c>
      <c r="CR292" s="34"/>
      <c r="CS292" s="2056"/>
      <c r="CT292" s="2447" t="e" cm="1">
        <f t="array" ca="1" aca="1" ref="CT292">IF(PL!$C292="","",_xldudf_CX_PUSH(PL!$C292,CX_ENTITY,PL!$B292,EOMONTH(val_asOfDate,PL!CT$248)))</f>
        <v>#NAME?</v>
      </c>
      <c r="CU292" s="2447" t="e" cm="1">
        <f t="array" ca="1" aca="1" ref="CU292">IF(PL!$C292="","",_xldudf_CX_PUSH(PL!$C292,CX_ENTITY,PL!$B292,EOMONTH(val_asOfDate,PL!CU$248)))</f>
        <v>#NAME?</v>
      </c>
      <c r="CV292" s="2447" t="e" cm="1">
        <f t="array" ca="1" aca="1" ref="CV292">IF(PL!$C292="","",_xldudf_CX_PUSH(PL!$C292,CX_ENTITY,PL!$B292,EOMONTH(val_asOfDate,PL!CV$248)))</f>
        <v>#NAME?</v>
      </c>
      <c r="CW292" s="2447" t="e" cm="1">
        <f t="array" ca="1" aca="1" ref="CW292">IF(PL!$C292="","",_xldudf_CX_PUSH(PL!$C292,CX_ENTITY,PL!$B292,EOMONTH(val_asOfDate,PL!CW$248)))</f>
        <v>#NAME?</v>
      </c>
      <c r="DC292"/>
    </row>
    <row r="293" spans="1:144" s="108" customFormat="1" ht="21" customHeight="1">
      <c r="A293" s="1628"/>
      <c r="B293" s="2540"/>
      <c r="C293" s="2540"/>
      <c r="D293" s="1549"/>
      <c r="E293" s="2607"/>
      <c r="F293" s="401"/>
      <c r="G293" s="401"/>
      <c r="H293" s="585"/>
      <c r="I293" s="585"/>
      <c r="J293" s="401"/>
      <c r="K293" s="401"/>
      <c r="L293" s="37"/>
      <c r="N293" s="2134"/>
      <c r="O293" s="101"/>
      <c r="P293" s="101"/>
      <c r="Q293" s="101"/>
      <c r="R293" s="101"/>
      <c r="S293" s="101"/>
      <c r="T293" s="101"/>
      <c r="U293" s="101"/>
      <c r="V293" s="822"/>
      <c r="W293" s="2332"/>
      <c r="X293" s="2333"/>
      <c r="Y293" s="2334"/>
      <c r="Z293" s="2316"/>
      <c r="AA293" s="2316"/>
      <c r="AB293" s="88"/>
      <c r="AC293" s="128"/>
      <c r="AD293" s="2317"/>
      <c r="AE293" s="2317"/>
      <c r="AF293" s="2317"/>
      <c r="AG293" s="2317"/>
      <c r="AH293" s="2317"/>
      <c r="AI293" s="2317"/>
      <c r="AJ293" s="2317"/>
      <c r="AK293" s="2317"/>
      <c r="AL293" s="2317"/>
      <c r="AM293" s="2317"/>
      <c r="AN293" s="2317"/>
      <c r="AO293" s="2317"/>
      <c r="AP293" s="2317"/>
      <c r="AQ293" s="2317"/>
      <c r="AR293" s="2317"/>
      <c r="AS293" s="2317"/>
      <c r="AT293" s="2317"/>
      <c r="AU293" s="2317"/>
      <c r="AV293" s="2317"/>
      <c r="AW293" s="2317"/>
      <c r="AX293" s="2317"/>
      <c r="AY293" s="2317"/>
      <c r="AZ293" s="2317"/>
      <c r="BA293" s="2317"/>
      <c r="BB293" s="2317"/>
      <c r="BC293" s="2317"/>
      <c r="BD293" s="2317"/>
      <c r="BE293" s="2317"/>
      <c r="BF293" s="2317"/>
      <c r="BG293" s="2317"/>
      <c r="BH293" s="2317"/>
      <c r="BI293" s="2317"/>
      <c r="BJ293" s="2317"/>
      <c r="BK293" s="2317"/>
      <c r="BL293" s="2317"/>
      <c r="BM293" s="2317"/>
      <c r="BN293" s="2317"/>
      <c r="BO293" s="2363"/>
      <c r="BP293" s="2363"/>
      <c r="BQ293" s="2363"/>
      <c r="BR293" s="2363"/>
      <c r="BS293" s="2363"/>
      <c r="BT293" s="2363"/>
      <c r="BU293" s="2363"/>
      <c r="BV293" s="2363"/>
      <c r="BW293" s="2363"/>
      <c r="BX293" s="2363"/>
      <c r="BY293" s="2363"/>
      <c r="BZ293" s="2363"/>
      <c r="CA293" s="88"/>
      <c r="CC293" s="383"/>
      <c r="CD293" s="2319"/>
      <c r="CE293" s="2319"/>
      <c r="CF293" s="88"/>
      <c r="CG293" s="2319"/>
      <c r="CH293" s="2319"/>
      <c r="CI293" s="88"/>
      <c r="CJ293" s="2319"/>
      <c r="CK293" s="2319"/>
      <c r="CL293" s="88"/>
      <c r="CM293" s="2320"/>
      <c r="CN293" s="2320"/>
      <c r="CO293" s="88"/>
      <c r="CP293" s="2320"/>
      <c r="CQ293" s="2320"/>
      <c r="CR293" s="88"/>
      <c r="CS293" s="2321"/>
      <c r="CT293"/>
      <c r="CU293"/>
      <c r="CV293"/>
      <c r="CW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row>
    <row r="294" spans="1:107" ht="21" customHeight="1">
      <c r="A294" s="1627"/>
      <c r="B294" s="2540"/>
      <c r="C294" s="2540"/>
      <c r="D294" s="1549"/>
      <c r="E294" s="2607"/>
      <c r="F294" s="401"/>
      <c r="G294" s="401"/>
      <c r="H294" s="585"/>
      <c r="I294" s="585"/>
      <c r="J294" s="401"/>
      <c r="K294" s="401"/>
      <c r="L294" s="37"/>
      <c r="N294" s="158"/>
      <c r="O294" s="101"/>
      <c r="P294" s="52"/>
      <c r="Q294" s="101"/>
      <c r="R294" s="101"/>
      <c r="S294" s="18"/>
      <c r="T294" s="18"/>
      <c r="U294" s="39"/>
      <c r="V294" s="37"/>
      <c r="W294" s="2660" t="e" cm="1">
        <f t="array" ca="1" aca="1" ref="W294">fx_scenarioConverter(_PL!W294)</f>
        <v>#NAME?</v>
      </c>
      <c r="X294" s="2137"/>
      <c r="Y294" s="2336" t="s">
        <v>211</v>
      </c>
      <c r="Z294" s="2337"/>
      <c r="AA294" s="2609"/>
      <c r="AB294" s="2141" t="s">
        <v>199</v>
      </c>
      <c r="AC294" s="2138" t="str" cm="1">
        <f t="array" ca="1" aca="1" ref="AC294">_xlfn.LET(_xlpm._termname,$AB294,_xlpm._iconname,"find",_xlpm._icon,fx_getIcon(_xlpm._iconname),_xlpm._location,_xlfn.XLOOKUP(LOWER(_xlpm._termname),LOWER(tbl_acctDef[Term]),tbl_acctDef[Term]),_xlpm._hyperlink,HYPERLINK("#"&amp;CELL("address",_xlpm._location),_xlpm._icon),IFERROR(_xlpm._hyperlink,""))</f>
        <v/>
      </c>
      <c r="AD294" s="2138" t="str" cm="1">
        <f t="array" ca="1" aca="1" ref="AD294">_xlfn.LET(_xlpm._termname,$AB294,_xlpm._iconname,"find",_xlpm._icon,fx_getIcon(_xlpm._iconname),_xlpm._location,_xlfn.XLOOKUP(LOWER(_xlpm._termname),LOWER(tbl_acctDef[Statement]),tbl_acctDef[Statement]),_xlpm._hyperlink,HYPERLINK("#"&amp;CELL("address",_xlpm._location),_xlpm._icon),IFERROR(_xlpm._hyperlink,""))</f>
        <v/>
      </c>
      <c r="AE294" s="2138" t="str" cm="1">
        <f t="array" ca="1" aca="1" ref="AE294">_xlfn.LET(_xlpm._termname,$AB294,_xlpm._iconname,"find",_xlpm._icon,fx_getIcon(_xlpm._iconname),_xlpm._location,_xlfn.XLOOKUP(LOWER(_xlpm._termname),LOWER(tbl_acctDef[Definition]),tbl_acctDef[Definition]),_xlpm._hyperlink,HYPERLINK("#"&amp;CELL("address",_xlpm._location),_xlpm._icon),IFERROR(_xlpm._hyperlink,""))</f>
        <v/>
      </c>
      <c r="AF294" s="2138" t="str" cm="1">
        <f t="array" ca="1" aca="1" ref="AF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294" s="2138" t="str" cm="1">
        <f t="array" ca="1" aca="1" ref="AG294">_xlfn.LET(_xlpm._termname,$AB294,_xlpm._iconname,"find",_xlpm._icon,fx_getIcon(_xlpm._iconname),_xlpm._location,_xlfn.XLOOKUP(LOWER(_xlpm._termname),LOWER(tbl_acctDef[Order]),tbl_acctDef[Order]),_xlpm._hyperlink,HYPERLINK("#"&amp;CELL("address",_xlpm._location),_xlpm._icon),IFERROR(_xlpm._hyperlink,""))</f>
        <v/>
      </c>
      <c r="AH294" s="2138" t="str" cm="1">
        <f t="array" ca="1" aca="1" ref="AH294">_xlfn.LET(_xlpm._termname,$AB294,_xlpm._iconname,"find",_xlpm._icon,fx_getIcon(_xlpm._iconname),_xlpm._location,_xlfn.XLOOKUP(LOWER(_xlpm._termname),LOWER(tbl_acctDef[Term]),tbl_acctDef[Term]),_xlpm._hyperlink,HYPERLINK("#"&amp;CELL("address",_xlpm._location),_xlpm._icon),IFERROR(_xlpm._hyperlink,""))</f>
        <v/>
      </c>
      <c r="AI294" s="2138" t="str" cm="1">
        <f t="array" ca="1" aca="1" ref="AI294">_xlfn.LET(_xlpm._termname,$AB294,_xlpm._iconname,"find",_xlpm._icon,fx_getIcon(_xlpm._iconname),_xlpm._location,_xlfn.XLOOKUP(LOWER(_xlpm._termname),LOWER(tbl_acctDef[Statement]),tbl_acctDef[Statement]),_xlpm._hyperlink,HYPERLINK("#"&amp;CELL("address",_xlpm._location),_xlpm._icon),IFERROR(_xlpm._hyperlink,""))</f>
        <v/>
      </c>
      <c r="AJ294" s="2138" t="str" cm="1">
        <f t="array" ca="1" aca="1" ref="AJ294">_xlfn.LET(_xlpm._termname,$AB294,_xlpm._iconname,"find",_xlpm._icon,fx_getIcon(_xlpm._iconname),_xlpm._location,_xlfn.XLOOKUP(LOWER(_xlpm._termname),LOWER(tbl_acctDef[Definition]),tbl_acctDef[Definition]),_xlpm._hyperlink,HYPERLINK("#"&amp;CELL("address",_xlpm._location),_xlpm._icon),IFERROR(_xlpm._hyperlink,""))</f>
        <v/>
      </c>
      <c r="AK294" s="2138" t="str" cm="1">
        <f t="array" ca="1" aca="1" ref="AK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294" s="2138" t="str" cm="1">
        <f t="array" ca="1" aca="1" ref="AL294">_xlfn.LET(_xlpm._termname,$AB294,_xlpm._iconname,"find",_xlpm._icon,fx_getIcon(_xlpm._iconname),_xlpm._location,_xlfn.XLOOKUP(LOWER(_xlpm._termname),LOWER(tbl_acctDef[Order]),tbl_acctDef[Order]),_xlpm._hyperlink,HYPERLINK("#"&amp;CELL("address",_xlpm._location),_xlpm._icon),IFERROR(_xlpm._hyperlink,""))</f>
        <v/>
      </c>
      <c r="AM294" s="2138" t="str" cm="1">
        <f t="array" ca="1" aca="1" ref="AM294">_xlfn.LET(_xlpm._termname,$AB294,_xlpm._iconname,"find",_xlpm._icon,fx_getIcon(_xlpm._iconname),_xlpm._location,_xlfn.XLOOKUP(LOWER(_xlpm._termname),LOWER(tbl_acctDef[Term]),tbl_acctDef[Term]),_xlpm._hyperlink,HYPERLINK("#"&amp;CELL("address",_xlpm._location),_xlpm._icon),IFERROR(_xlpm._hyperlink,""))</f>
        <v/>
      </c>
      <c r="AN294" s="2138" t="str" cm="1">
        <f t="array" ca="1" aca="1" ref="AN294">_xlfn.LET(_xlpm._termname,$AB294,_xlpm._iconname,"find",_xlpm._icon,fx_getIcon(_xlpm._iconname),_xlpm._location,_xlfn.XLOOKUP(LOWER(_xlpm._termname),LOWER(tbl_acctDef[Statement]),tbl_acctDef[Statement]),_xlpm._hyperlink,HYPERLINK("#"&amp;CELL("address",_xlpm._location),_xlpm._icon),IFERROR(_xlpm._hyperlink,""))</f>
        <v/>
      </c>
      <c r="AO294" s="2138" t="str" cm="1">
        <f t="array" ca="1" aca="1" ref="AO294">_xlfn.LET(_xlpm._termname,$AB294,_xlpm._iconname,"find",_xlpm._icon,fx_getIcon(_xlpm._iconname),_xlpm._location,_xlfn.XLOOKUP(LOWER(_xlpm._termname),LOWER(tbl_acctDef[Definition]),tbl_acctDef[Definition]),_xlpm._hyperlink,HYPERLINK("#"&amp;CELL("address",_xlpm._location),_xlpm._icon),IFERROR(_xlpm._hyperlink,""))</f>
        <v/>
      </c>
      <c r="AP294" s="2138" t="str" cm="1">
        <f t="array" ca="1" aca="1" ref="AP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294" s="2138" t="str" cm="1">
        <f t="array" ca="1" aca="1" ref="AQ294">_xlfn.LET(_xlpm._termname,$AB294,_xlpm._iconname,"find",_xlpm._icon,fx_getIcon(_xlpm._iconname),_xlpm._location,_xlfn.XLOOKUP(LOWER(_xlpm._termname),LOWER(tbl_acctDef[Order]),tbl_acctDef[Order]),_xlpm._hyperlink,HYPERLINK("#"&amp;CELL("address",_xlpm._location),_xlpm._icon),IFERROR(_xlpm._hyperlink,""))</f>
        <v/>
      </c>
      <c r="AR294" s="2138" t="str" cm="1">
        <f t="array" ca="1" aca="1" ref="AR294">_xlfn.LET(_xlpm._termname,$AB294,_xlpm._iconname,"find",_xlpm._icon,fx_getIcon(_xlpm._iconname),_xlpm._location,_xlfn.XLOOKUP(LOWER(_xlpm._termname),LOWER(tbl_acctDef[Term]),tbl_acctDef[Term]),_xlpm._hyperlink,HYPERLINK("#"&amp;CELL("address",_xlpm._location),_xlpm._icon),IFERROR(_xlpm._hyperlink,""))</f>
        <v/>
      </c>
      <c r="AS294" s="2138" t="str" cm="1">
        <f t="array" ca="1" aca="1" ref="AS294">_xlfn.LET(_xlpm._termname,$AB294,_xlpm._iconname,"find",_xlpm._icon,fx_getIcon(_xlpm._iconname),_xlpm._location,_xlfn.XLOOKUP(LOWER(_xlpm._termname),LOWER(tbl_acctDef[Statement]),tbl_acctDef[Statement]),_xlpm._hyperlink,HYPERLINK("#"&amp;CELL("address",_xlpm._location),_xlpm._icon),IFERROR(_xlpm._hyperlink,""))</f>
        <v/>
      </c>
      <c r="AT294" s="2138" t="str" cm="1">
        <f t="array" ca="1" aca="1" ref="AT294">_xlfn.LET(_xlpm._termname,$AB294,_xlpm._iconname,"find",_xlpm._icon,fx_getIcon(_xlpm._iconname),_xlpm._location,_xlfn.XLOOKUP(LOWER(_xlpm._termname),LOWER(tbl_acctDef[Definition]),tbl_acctDef[Definition]),_xlpm._hyperlink,HYPERLINK("#"&amp;CELL("address",_xlpm._location),_xlpm._icon),IFERROR(_xlpm._hyperlink,""))</f>
        <v/>
      </c>
      <c r="AU294" s="2138" t="str" cm="1">
        <f t="array" ca="1" aca="1" ref="AU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294" s="2138" t="str" cm="1">
        <f t="array" ca="1" aca="1" ref="AV294">_xlfn.LET(_xlpm._termname,$AB294,_xlpm._iconname,"find",_xlpm._icon,fx_getIcon(_xlpm._iconname),_xlpm._location,_xlfn.XLOOKUP(LOWER(_xlpm._termname),LOWER(tbl_acctDef[Order]),tbl_acctDef[Order]),_xlpm._hyperlink,HYPERLINK("#"&amp;CELL("address",_xlpm._location),_xlpm._icon),IFERROR(_xlpm._hyperlink,""))</f>
        <v/>
      </c>
      <c r="AW294" s="2138" t="str" cm="1">
        <f t="array" ca="1" aca="1" ref="AW294">_xlfn.LET(_xlpm._termname,$AB294,_xlpm._iconname,"find",_xlpm._icon,fx_getIcon(_xlpm._iconname),_xlpm._location,_xlfn.XLOOKUP(LOWER(_xlpm._termname),LOWER(tbl_acctDef[Term]),tbl_acctDef[Term]),_xlpm._hyperlink,HYPERLINK("#"&amp;CELL("address",_xlpm._location),_xlpm._icon),IFERROR(_xlpm._hyperlink,""))</f>
        <v/>
      </c>
      <c r="AX294" s="2138" t="str" cm="1">
        <f t="array" ca="1" aca="1" ref="AX294">_xlfn.LET(_xlpm._termname,$AB294,_xlpm._iconname,"find",_xlpm._icon,fx_getIcon(_xlpm._iconname),_xlpm._location,_xlfn.XLOOKUP(LOWER(_xlpm._termname),LOWER(tbl_acctDef[Statement]),tbl_acctDef[Statement]),_xlpm._hyperlink,HYPERLINK("#"&amp;CELL("address",_xlpm._location),_xlpm._icon),IFERROR(_xlpm._hyperlink,""))</f>
        <v/>
      </c>
      <c r="AY294" s="2138" t="str" cm="1">
        <f t="array" ca="1" aca="1" ref="AY294">_xlfn.LET(_xlpm._termname,$AB294,_xlpm._iconname,"find",_xlpm._icon,fx_getIcon(_xlpm._iconname),_xlpm._location,_xlfn.XLOOKUP(LOWER(_xlpm._termname),LOWER(tbl_acctDef[Definition]),tbl_acctDef[Definition]),_xlpm._hyperlink,HYPERLINK("#"&amp;CELL("address",_xlpm._location),_xlpm._icon),IFERROR(_xlpm._hyperlink,""))</f>
        <v/>
      </c>
      <c r="AZ294" s="2138" t="str" cm="1">
        <f t="array" ca="1" aca="1" ref="AZ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294" s="2138" t="str" cm="1">
        <f t="array" ca="1" aca="1" ref="BA294">_xlfn.LET(_xlpm._termname,$AB294,_xlpm._iconname,"find",_xlpm._icon,fx_getIcon(_xlpm._iconname),_xlpm._location,_xlfn.XLOOKUP(LOWER(_xlpm._termname),LOWER(tbl_acctDef[Order]),tbl_acctDef[Order]),_xlpm._hyperlink,HYPERLINK("#"&amp;CELL("address",_xlpm._location),_xlpm._icon),IFERROR(_xlpm._hyperlink,""))</f>
        <v/>
      </c>
      <c r="BB294" s="2138" t="str" cm="1">
        <f t="array" ca="1" aca="1" ref="BB294">_xlfn.LET(_xlpm._termname,$AB294,_xlpm._iconname,"find",_xlpm._icon,fx_getIcon(_xlpm._iconname),_xlpm._location,_xlfn.XLOOKUP(LOWER(_xlpm._termname),LOWER(tbl_acctDef[Term]),tbl_acctDef[Term]),_xlpm._hyperlink,HYPERLINK("#"&amp;CELL("address",_xlpm._location),_xlpm._icon),IFERROR(_xlpm._hyperlink,""))</f>
        <v/>
      </c>
      <c r="BC294" s="2138" t="str" cm="1">
        <f t="array" ca="1" aca="1" ref="BC294">_xlfn.LET(_xlpm._termname,$AB294,_xlpm._iconname,"find",_xlpm._icon,fx_getIcon(_xlpm._iconname),_xlpm._location,_xlfn.XLOOKUP(LOWER(_xlpm._termname),LOWER(tbl_acctDef[Statement]),tbl_acctDef[Statement]),_xlpm._hyperlink,HYPERLINK("#"&amp;CELL("address",_xlpm._location),_xlpm._icon),IFERROR(_xlpm._hyperlink,""))</f>
        <v/>
      </c>
      <c r="BD294" s="2138" t="str" cm="1">
        <f t="array" ca="1" aca="1" ref="BD294">_xlfn.LET(_xlpm._termname,$AB294,_xlpm._iconname,"find",_xlpm._icon,fx_getIcon(_xlpm._iconname),_xlpm._location,_xlfn.XLOOKUP(LOWER(_xlpm._termname),LOWER(tbl_acctDef[Definition]),tbl_acctDef[Definition]),_xlpm._hyperlink,HYPERLINK("#"&amp;CELL("address",_xlpm._location),_xlpm._icon),IFERROR(_xlpm._hyperlink,""))</f>
        <v/>
      </c>
      <c r="BE294" s="2138" t="str" cm="1">
        <f t="array" ca="1" aca="1" ref="BE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294" s="2138" t="str" cm="1">
        <f t="array" ca="1" aca="1" ref="BF294">_xlfn.LET(_xlpm._termname,$AB294,_xlpm._iconname,"find",_xlpm._icon,fx_getIcon(_xlpm._iconname),_xlpm._location,_xlfn.XLOOKUP(LOWER(_xlpm._termname),LOWER(tbl_acctDef[Order]),tbl_acctDef[Order]),_xlpm._hyperlink,HYPERLINK("#"&amp;CELL("address",_xlpm._location),_xlpm._icon),IFERROR(_xlpm._hyperlink,""))</f>
        <v/>
      </c>
      <c r="BG294" s="2138" t="str" cm="1">
        <f t="array" ca="1" aca="1" ref="BG294">_xlfn.LET(_xlpm._termname,$AB294,_xlpm._iconname,"find",_xlpm._icon,fx_getIcon(_xlpm._iconname),_xlpm._location,_xlfn.XLOOKUP(LOWER(_xlpm._termname),LOWER(tbl_acctDef[Term]),tbl_acctDef[Term]),_xlpm._hyperlink,HYPERLINK("#"&amp;CELL("address",_xlpm._location),_xlpm._icon),IFERROR(_xlpm._hyperlink,""))</f>
        <v/>
      </c>
      <c r="BH294" s="2138" t="str" cm="1">
        <f t="array" ca="1" aca="1" ref="BH294">_xlfn.LET(_xlpm._termname,$AB294,_xlpm._iconname,"find",_xlpm._icon,fx_getIcon(_xlpm._iconname),_xlpm._location,_xlfn.XLOOKUP(LOWER(_xlpm._termname),LOWER(tbl_acctDef[Statement]),tbl_acctDef[Statement]),_xlpm._hyperlink,HYPERLINK("#"&amp;CELL("address",_xlpm._location),_xlpm._icon),IFERROR(_xlpm._hyperlink,""))</f>
        <v/>
      </c>
      <c r="BI294" s="2138" t="str" cm="1">
        <f t="array" ca="1" aca="1" ref="BI294">_xlfn.LET(_xlpm._termname,$AB294,_xlpm._iconname,"find",_xlpm._icon,fx_getIcon(_xlpm._iconname),_xlpm._location,_xlfn.XLOOKUP(LOWER(_xlpm._termname),LOWER(tbl_acctDef[Definition]),tbl_acctDef[Definition]),_xlpm._hyperlink,HYPERLINK("#"&amp;CELL("address",_xlpm._location),_xlpm._icon),IFERROR(_xlpm._hyperlink,""))</f>
        <v/>
      </c>
      <c r="BJ294" s="2138" t="str" cm="1">
        <f t="array" ca="1" aca="1" ref="BJ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294" s="2138" t="str" cm="1">
        <f t="array" ca="1" aca="1" ref="BK294">_xlfn.LET(_xlpm._termname,$AB294,_xlpm._iconname,"find",_xlpm._icon,fx_getIcon(_xlpm._iconname),_xlpm._location,_xlfn.XLOOKUP(LOWER(_xlpm._termname),LOWER(tbl_acctDef[Order]),tbl_acctDef[Order]),_xlpm._hyperlink,HYPERLINK("#"&amp;CELL("address",_xlpm._location),_xlpm._icon),IFERROR(_xlpm._hyperlink,""))</f>
        <v/>
      </c>
      <c r="BL294" s="2138" t="str" cm="1">
        <f t="array" ca="1" aca="1" ref="BL294">_xlfn.LET(_xlpm._termname,$AB294,_xlpm._iconname,"find",_xlpm._icon,fx_getIcon(_xlpm._iconname),_xlpm._location,_xlfn.XLOOKUP(LOWER(_xlpm._termname),LOWER(tbl_acctDef[Term]),tbl_acctDef[Term]),_xlpm._hyperlink,HYPERLINK("#"&amp;CELL("address",_xlpm._location),_xlpm._icon),IFERROR(_xlpm._hyperlink,""))</f>
        <v/>
      </c>
      <c r="BM294" s="2138" t="str" cm="1">
        <f t="array" ca="1" aca="1" ref="BM294">_xlfn.LET(_xlpm._termname,$AB294,_xlpm._iconname,"find",_xlpm._icon,fx_getIcon(_xlpm._iconname),_xlpm._location,_xlfn.XLOOKUP(LOWER(_xlpm._termname),LOWER(tbl_acctDef[Statement]),tbl_acctDef[Statement]),_xlpm._hyperlink,HYPERLINK("#"&amp;CELL("address",_xlpm._location),_xlpm._icon),IFERROR(_xlpm._hyperlink,""))</f>
        <v/>
      </c>
      <c r="BN294" s="2138" t="str" cm="1">
        <f t="array" ca="1" aca="1" ref="BN294">_xlfn.LET(_xlpm._termname,$AB294,_xlpm._iconname,"find",_xlpm._icon,fx_getIcon(_xlpm._iconname),_xlpm._location,_xlfn.XLOOKUP(LOWER(_xlpm._termname),LOWER(tbl_acctDef[Definition]),tbl_acctDef[Definition]),_xlpm._hyperlink,HYPERLINK("#"&amp;CELL("address",_xlpm._location),_xlpm._icon),IFERROR(_xlpm._hyperlink,""))</f>
        <v/>
      </c>
      <c r="BO294" s="2361"/>
      <c r="BP294" s="2361"/>
      <c r="BQ294" s="2361"/>
      <c r="BR294" s="2361"/>
      <c r="BS294" s="2361"/>
      <c r="BT294" s="2361"/>
      <c r="BU294" s="2361"/>
      <c r="BV294" s="2361"/>
      <c r="BW294" s="2361"/>
      <c r="BX294" s="2361"/>
      <c r="BY294" s="2361"/>
      <c r="BZ294" s="2361"/>
      <c r="CA294" s="34"/>
      <c r="CC294" s="58"/>
      <c r="CD294" s="1720" t="e" cm="1">
        <f t="array" ca="1" aca="1" ref="CD294">fx_scenarioConverter($W289)</f>
        <v>#NAME?</v>
      </c>
      <c r="CE294" s="1721" t="e" cm="1">
        <f t="array" ca="1" aca="1" ref="CE294">fx_scenarioConverter($W289)</f>
        <v>#NAME?</v>
      </c>
      <c r="CF294" s="128"/>
      <c r="CG294" s="1734" t="e" cm="1">
        <f t="array" ca="1" aca="1" ref="CG294">fx_scenarioConverter($W289)</f>
        <v>#NAME?</v>
      </c>
      <c r="CH294" s="1735" t="e" cm="1">
        <f t="array" ca="1" aca="1" ref="CH294">fx_scenarioConverter($W289)</f>
        <v>#NAME?</v>
      </c>
      <c r="CI294" s="207"/>
      <c r="CJ294" s="1724" t="e" cm="1">
        <f t="array" ca="1" aca="1" ref="CJ294">fx_scenarioConverter($W289)</f>
        <v>#NAME?</v>
      </c>
      <c r="CK294" s="1725" t="e" cm="1">
        <f t="array" ca="1" aca="1" ref="CK294">fx_scenarioConverter($W289)</f>
        <v>#NAME?</v>
      </c>
      <c r="CL294" s="88"/>
      <c r="CM294" s="1198" t="str">
        <f>CM$19</f>
        <v>Original Budget</v>
      </c>
      <c r="CN294" s="1198" t="str">
        <f>CN$19</f>
        <v>LE</v>
      </c>
      <c r="CO294" s="88"/>
      <c r="CP294" s="1198" t="str">
        <f>CP$19</f>
        <v>Original Budget</v>
      </c>
      <c r="CQ294" s="1198" t="str">
        <f>CQ$19</f>
        <v>LE</v>
      </c>
      <c r="CR294" s="34"/>
      <c r="CS294" s="2056"/>
      <c r="DC294"/>
    </row>
    <row r="295" spans="1:107" ht="21" customHeight="1">
      <c r="A295" s="1627"/>
      <c r="B295" s="2606"/>
      <c r="C295" s="2540"/>
      <c r="D295" s="1549"/>
      <c r="E295" s="2440" t="e" cm="1">
        <f t="array" ca="1" aca="1" ref="E29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295:$CQ295,Z295)</f>
        <v>#NAME?</v>
      </c>
      <c r="F295" s="401"/>
      <c r="G295" s="401"/>
      <c r="H295" s="585">
        <v>0</v>
      </c>
      <c r="I295" s="3290">
        <v>1</v>
      </c>
      <c r="J295" s="401"/>
      <c r="K295" s="401" t="str">
        <f t="shared" si="76" ref="K295:K296">IFERROR(IF(LEN(AB295)=0,"No",IF(LEN(J295)&gt;0,"Yes","No")),"")</f>
        <v>No</v>
      </c>
      <c r="L295" s="37"/>
      <c r="N295" s="158"/>
      <c r="O295" s="101"/>
      <c r="P295" s="52"/>
      <c r="Q295" s="101"/>
      <c r="R295" s="101"/>
      <c r="S295" s="101"/>
      <c r="T295" s="2324"/>
      <c r="U295" s="39"/>
      <c r="V295" s="37"/>
      <c r="W295" s="2364" t="e">
        <f ca="1">W294</f>
        <v>#NAME?</v>
      </c>
      <c r="X295" s="2373">
        <f>_PL!X295</f>
        <v>0</v>
      </c>
      <c r="Y295" s="3227">
        <v>2</v>
      </c>
      <c r="Z295" s="198">
        <f>_PL!Z295</f>
        <v>0</v>
      </c>
      <c r="AA295" s="200" t="str" cm="1">
        <f t="array" ca="1" aca="1" ref="AA295">IF(Y295="","",_xlfn.LET(_xlpm._termname,$W295&amp;$Y295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5" s="1134"/>
      <c r="AC295" s="125" t="str" cm="1">
        <f t="array" ca="1" aca="1" ref="AC295">IF(AB295="","",_xlfn.LET(_xlpm._termname,PL!$W295&amp;$AB295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95" s="2152" t="e" cm="1">
        <f t="array" ca="1" aca="1" ref="AD295">_xlfn.LET(_xlpm.search_key,$W295&amp;$Y295,_xlpm.Scenario,_xlfn.VSTACK($W$20:$W$55&amp;$Y$20:$Y$55,$W$76:$W$110&amp;$Y$76:$Y$110),_xlpm.Data,_xlfn.VSTACK($AD$20:$BN$55,$AD$76:$BN$110),IF(OR($Y295="",ISNUMBER(SEARCH("please",$Y295))),"",_xlfn.XLOOKUP(_xlpm.search_key,_xlpm.Scenario,_xlpm.Data,"▧")))</f>
        <v>#NAME?</v>
      </c>
      <c r="AE295" s="2152"/>
      <c r="AF295" s="2152"/>
      <c r="AG295" s="2152"/>
      <c r="AH295" s="2152"/>
      <c r="AI295" s="2152"/>
      <c r="AJ295" s="2152"/>
      <c r="AK295" s="2152"/>
      <c r="AL295" s="2152"/>
      <c r="AM295" s="2152"/>
      <c r="AN295" s="2152"/>
      <c r="AO295" s="2152"/>
      <c r="AP295" s="2152"/>
      <c r="AQ295" s="2152"/>
      <c r="AR295" s="2152"/>
      <c r="AS295" s="2152"/>
      <c r="AT295" s="2152"/>
      <c r="AU295" s="2152"/>
      <c r="AV295" s="2152"/>
      <c r="AW295" s="2152"/>
      <c r="AX295" s="2152"/>
      <c r="AY295" s="2152"/>
      <c r="AZ295" s="2152"/>
      <c r="BA295" s="2152"/>
      <c r="BB295" s="2152"/>
      <c r="BC295" s="2152"/>
      <c r="BD295" s="2152"/>
      <c r="BE295" s="2152"/>
      <c r="BF295" s="2152"/>
      <c r="BG295" s="2152"/>
      <c r="BH295" s="2152"/>
      <c r="BI295" s="2152"/>
      <c r="BJ295" s="2152"/>
      <c r="BK295" s="2152"/>
      <c r="BL295" s="2152"/>
      <c r="BM295" s="2152"/>
      <c r="BN295" s="2152"/>
      <c r="BO295" s="2362"/>
      <c r="BP295" s="2362"/>
      <c r="BQ295" s="2362"/>
      <c r="BR295" s="2362"/>
      <c r="BS295" s="2362"/>
      <c r="BT295" s="2362"/>
      <c r="BU295" s="2362"/>
      <c r="BV295" s="2362"/>
      <c r="BW295" s="2362"/>
      <c r="BX295" s="2362"/>
      <c r="BY295" s="2362"/>
      <c r="BZ295" s="2362"/>
      <c r="CA295" s="34"/>
      <c r="CC295" s="58"/>
      <c r="CD295" s="2154" t="e" cm="1">
        <f t="array" ca="1" aca="1" ref="CD295">_xlfn.LET(_xlpm.search_key,$W295&amp;$Y295,_xlpm.Scenario,_xlfn.VSTACK($W$20:$W$55&amp;$Y$20:$Y$55,$W$76:$W$110&amp;$Y$76:$Y$110),_xlpm.Data,_xlfn.VSTACK(CD$20:CE$55,CD$76:CE$110),IF(OR($Y295="",ISNUMBER(SEARCH("please",$Y295))),"",_xlfn.XLOOKUP(_xlpm.search_key,_xlpm.Scenario,_xlpm.Data,"▧")))</f>
        <v>#NAME?</v>
      </c>
      <c r="CE295" s="2154"/>
      <c r="CF295" s="88"/>
      <c r="CG295" s="2154" t="e" cm="1">
        <f t="array" ca="1" aca="1" ref="CG295">_xlfn.LET(_xlpm.search_key,$W295&amp;$Y295,_xlpm.Scenario,_xlfn.VSTACK($W$20:$W$55&amp;$Y$20:$Y$55,$W$76:$W$110&amp;$Y$76:$Y$110),_xlpm.Data,_xlfn.VSTACK(CG$20:CH$55,CG$76:CH$110),IF(OR($Y295="",ISNUMBER(SEARCH("please",$Y295))),"",_xlfn.XLOOKUP(_xlpm.search_key,_xlpm.Scenario,_xlpm.Data,"▧")))</f>
        <v>#NAME?</v>
      </c>
      <c r="CH295" s="2154"/>
      <c r="CI295" s="88"/>
      <c r="CJ295" s="2154" t="e" cm="1">
        <f t="array" ca="1" aca="1" ref="CJ295">_xlfn.LET(_xlpm.search_key,$W295&amp;$Y295,_xlpm.Scenario,_xlfn.VSTACK($W$20:$W$55&amp;$Y$20:$Y$55,$W$76:$W$110&amp;$Y$76:$Y$110),_xlpm.Data,_xlfn.VSTACK(CJ$20:CK$55,CJ$76:CK$110),IF(OR($Y295="",ISNUMBER(SEARCH("please",$Y295))),"",_xlfn.XLOOKUP(_xlpm.search_key,_xlpm.Scenario,_xlpm.Data,"▧")))</f>
        <v>#NAME?</v>
      </c>
      <c r="CK295" s="2154"/>
      <c r="CL295" s="88"/>
      <c r="CM295" s="2154" t="e" cm="1">
        <f t="array" ca="1" aca="1" ref="CM295">_xlfn.LET(_xlpm.search_key,$W295&amp;$Y295,_xlpm.Scenario,_xlfn.VSTACK($W$20:$W$55&amp;$Y$20:$Y$55,$W$76:$W$110&amp;$Y$76:$Y$110),_xlpm.Data,_xlfn.VSTACK(CM$20:CN$55,CM$76:CN$110),IF(OR($Y295="",ISNUMBER(SEARCH("please",$Y295))),"",_xlfn.XLOOKUP(_xlpm.search_key,_xlpm.Scenario,_xlpm.Data,"▧")))</f>
        <v>#NAME?</v>
      </c>
      <c r="CN295" s="2154"/>
      <c r="CO295" s="88"/>
      <c r="CP295" s="2154" t="e" cm="1">
        <f t="array" ca="1" aca="1" ref="CP295">_xlfn.LET(_xlpm.search_key,$W295&amp;$Y295,_xlpm.Scenario,_xlfn.VSTACK($W$20:$W$55&amp;$Y$20:$Y$55,$W$76:$W$110&amp;$Y$76:$Y$110),_xlpm.Data,_xlfn.VSTACK(CP$20:CQ$55,CP$76:CQ$110),IF(OR($Y295="",ISNUMBER(SEARCH("please",$Y295))),"",_xlfn.XLOOKUP(_xlpm.search_key,_xlpm.Scenario,_xlpm.Data,"▧")))</f>
        <v>#NAME?</v>
      </c>
      <c r="CQ295" s="2154"/>
      <c r="CR295" s="34"/>
      <c r="CS295" s="2056"/>
      <c r="DC295"/>
    </row>
    <row r="296" spans="1:107" ht="21" customHeight="1">
      <c r="A296" s="1627"/>
      <c r="B296" s="2606"/>
      <c r="C296" s="2540"/>
      <c r="D296" s="1549"/>
      <c r="E296" s="2440" t="e" cm="1">
        <f t="array" ca="1" aca="1" ref="E29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296:$CQ296,Z296)</f>
        <v>#NAME?</v>
      </c>
      <c r="F296" s="401"/>
      <c r="G296" s="401"/>
      <c r="H296" s="585">
        <v>0</v>
      </c>
      <c r="I296" s="3290">
        <v>1</v>
      </c>
      <c r="J296" s="401"/>
      <c r="K296" s="401" t="str">
        <f t="shared" si="76"/>
        <v>No</v>
      </c>
      <c r="L296" s="37"/>
      <c r="N296" s="158"/>
      <c r="O296" s="101"/>
      <c r="P296" s="52"/>
      <c r="Q296" s="101"/>
      <c r="R296" s="101"/>
      <c r="S296" s="101"/>
      <c r="T296" s="101"/>
      <c r="U296" s="39"/>
      <c r="V296" s="37"/>
      <c r="W296" s="2364" t="e">
        <f ca="1">W294</f>
        <v>#NAME?</v>
      </c>
      <c r="X296" s="2373">
        <f>_PL!X296</f>
        <v>0</v>
      </c>
      <c r="Y296" s="3228">
        <v>2</v>
      </c>
      <c r="Z296" s="198">
        <f>_PL!Z296</f>
        <v>0</v>
      </c>
      <c r="AA296" s="200" t="str" cm="1">
        <f t="array" ca="1" aca="1" ref="AA296">IF(Y296="","",_xlfn.LET(_xlpm._termname,$W296&amp;$Y296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6" s="1134"/>
      <c r="AC296" s="125" t="str" cm="1">
        <f t="array" ca="1" aca="1" ref="AC296">IF(AB296="","",_xlfn.LET(_xlpm._termname,PL!$W297&amp;$AB296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96" s="2152" t="e" cm="1">
        <f t="array" ca="1" aca="1" ref="AD296">_xlfn.LET(_xlpm.search_key,$W296&amp;$Y296,_xlpm.Scenario,_xlfn.VSTACK($W$20:$W$55&amp;$Y$20:$Y$55,$W$76:$W$110&amp;$Y$76:$Y$110),_xlpm.Data,_xlfn.VSTACK($AD$20:$BN$55,$AD$76:$BN$110),IF(OR($Y296="",ISNUMBER(SEARCH("please",$Y296))),"",_xlfn.XLOOKUP(_xlpm.search_key,_xlpm.Scenario,_xlpm.Data,"▧")))</f>
        <v>#NAME?</v>
      </c>
      <c r="AE296" s="2152"/>
      <c r="AF296" s="2152"/>
      <c r="AG296" s="2152"/>
      <c r="AH296" s="2152"/>
      <c r="AI296" s="2152"/>
      <c r="AJ296" s="2152"/>
      <c r="AK296" s="2152"/>
      <c r="AL296" s="2152"/>
      <c r="AM296" s="2152"/>
      <c r="AN296" s="2152"/>
      <c r="AO296" s="2152"/>
      <c r="AP296" s="2152"/>
      <c r="AQ296" s="2152"/>
      <c r="AR296" s="2152"/>
      <c r="AS296" s="2152"/>
      <c r="AT296" s="2152"/>
      <c r="AU296" s="2152"/>
      <c r="AV296" s="2152"/>
      <c r="AW296" s="2152"/>
      <c r="AX296" s="2152"/>
      <c r="AY296" s="2152"/>
      <c r="AZ296" s="2152"/>
      <c r="BA296" s="2152"/>
      <c r="BB296" s="2152"/>
      <c r="BC296" s="2152"/>
      <c r="BD296" s="2152"/>
      <c r="BE296" s="2152"/>
      <c r="BF296" s="2152"/>
      <c r="BG296" s="2152"/>
      <c r="BH296" s="2152"/>
      <c r="BI296" s="2152"/>
      <c r="BJ296" s="2152"/>
      <c r="BK296" s="2152"/>
      <c r="BL296" s="2152"/>
      <c r="BM296" s="2152"/>
      <c r="BN296" s="2152"/>
      <c r="BO296" s="2362"/>
      <c r="BP296" s="2362"/>
      <c r="BQ296" s="2362"/>
      <c r="BR296" s="2362"/>
      <c r="BS296" s="2362"/>
      <c r="BT296" s="2362"/>
      <c r="BU296" s="2362"/>
      <c r="BV296" s="2362"/>
      <c r="BW296" s="2362"/>
      <c r="BX296" s="2362"/>
      <c r="BY296" s="2362"/>
      <c r="BZ296" s="2362"/>
      <c r="CA296" s="34"/>
      <c r="CC296" s="58"/>
      <c r="CD296" s="2154" t="e" cm="1">
        <f t="array" ca="1" aca="1" ref="CD296">_xlfn.LET(_xlpm.search_key,$W296&amp;$Y296,_xlpm.Scenario,_xlfn.VSTACK($W$20:$W$55&amp;$Y$20:$Y$55,$W$76:$W$110&amp;$Y$76:$Y$110),_xlpm.Data,_xlfn.VSTACK(CD$20:CE$55,CD$76:CE$110),IF(OR($Y296="",ISNUMBER(SEARCH("please",$Y296))),"",_xlfn.XLOOKUP(_xlpm.search_key,_xlpm.Scenario,_xlpm.Data,"▧")))</f>
        <v>#NAME?</v>
      </c>
      <c r="CE296" s="2154"/>
      <c r="CF296" s="88"/>
      <c r="CG296" s="2154" t="e" cm="1">
        <f t="array" ca="1" aca="1" ref="CG296">_xlfn.LET(_xlpm.search_key,$W296&amp;$Y296,_xlpm.Scenario,_xlfn.VSTACK($W$20:$W$55&amp;$Y$20:$Y$55,$W$76:$W$110&amp;$Y$76:$Y$110),_xlpm.Data,_xlfn.VSTACK(CG$20:CH$55,CG$76:CH$110),IF(OR($Y296="",ISNUMBER(SEARCH("please",$Y296))),"",_xlfn.XLOOKUP(_xlpm.search_key,_xlpm.Scenario,_xlpm.Data,"▧")))</f>
        <v>#NAME?</v>
      </c>
      <c r="CH296" s="2154"/>
      <c r="CI296" s="88"/>
      <c r="CJ296" s="2154" t="e" cm="1">
        <f t="array" ca="1" aca="1" ref="CJ296">_xlfn.LET(_xlpm.search_key,$W296&amp;$Y296,_xlpm.Scenario,_xlfn.VSTACK($W$20:$W$55&amp;$Y$20:$Y$55,$W$76:$W$110&amp;$Y$76:$Y$110),_xlpm.Data,_xlfn.VSTACK(CJ$20:CK$55,CJ$76:CK$110),IF(OR($Y296="",ISNUMBER(SEARCH("please",$Y296))),"",_xlfn.XLOOKUP(_xlpm.search_key,_xlpm.Scenario,_xlpm.Data,"▧")))</f>
        <v>#NAME?</v>
      </c>
      <c r="CK296" s="2154"/>
      <c r="CL296" s="88"/>
      <c r="CM296" s="2154" t="e" cm="1">
        <f t="array" ca="1" aca="1" ref="CM296">_xlfn.LET(_xlpm.search_key,$W296&amp;$Y296,_xlpm.Scenario,_xlfn.VSTACK($W$20:$W$55&amp;$Y$20:$Y$55,$W$76:$W$110&amp;$Y$76:$Y$110),_xlpm.Data,_xlfn.VSTACK(CM$20:CN$55,CM$76:CN$110),IF(OR($Y296="",ISNUMBER(SEARCH("please",$Y296))),"",_xlfn.XLOOKUP(_xlpm.search_key,_xlpm.Scenario,_xlpm.Data,"▧")))</f>
        <v>#NAME?</v>
      </c>
      <c r="CN296" s="2154"/>
      <c r="CO296" s="88"/>
      <c r="CP296" s="2154" t="e" cm="1">
        <f t="array" ca="1" aca="1" ref="CP296">_xlfn.LET(_xlpm.search_key,$W296&amp;$Y296,_xlpm.Scenario,_xlfn.VSTACK($W$20:$W$55&amp;$Y$20:$Y$55,$W$76:$W$110&amp;$Y$76:$Y$110),_xlpm.Data,_xlfn.VSTACK(CP$20:CQ$55,CP$76:CQ$110),IF(OR($Y296="",ISNUMBER(SEARCH("please",$Y296))),"",_xlfn.XLOOKUP(_xlpm.search_key,_xlpm.Scenario,_xlpm.Data,"▧")))</f>
        <v>#NAME?</v>
      </c>
      <c r="CQ296" s="2154"/>
      <c r="CR296" s="34"/>
      <c r="CS296" s="2056"/>
      <c r="DC296"/>
    </row>
    <row r="297" spans="1:107" ht="21" customHeight="1">
      <c r="A297" s="1627"/>
      <c r="B297" s="2606"/>
      <c r="C297" s="2540"/>
      <c r="D297" s="1549"/>
      <c r="E297" s="2440"/>
      <c r="F297" s="401"/>
      <c r="G297" s="401"/>
      <c r="H297" s="585"/>
      <c r="I297" s="585"/>
      <c r="J297" s="401"/>
      <c r="K297" s="401"/>
      <c r="L297" s="37"/>
      <c r="N297" s="158"/>
      <c r="O297" s="101"/>
      <c r="P297" s="52"/>
      <c r="Q297" s="101"/>
      <c r="R297" s="101"/>
      <c r="S297" s="101"/>
      <c r="T297" s="101"/>
      <c r="U297" s="39"/>
      <c r="V297" s="37"/>
      <c r="W297" s="2364" t="e">
        <f ca="1">W294</f>
        <v>#NAME?</v>
      </c>
      <c r="X297" s="2373">
        <f>_PL!X297</f>
        <v>0</v>
      </c>
      <c r="Y297" s="3228">
        <v>2</v>
      </c>
      <c r="Z297" s="198">
        <f>_PL!Z297</f>
        <v>0</v>
      </c>
      <c r="AA297" s="200" t="str" cm="1">
        <f t="array" ca="1" aca="1" ref="AA297">IF(Y297="","",_xlfn.LET(_xlpm._termname,$W297&amp;$Y297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7" s="1134"/>
      <c r="AC297" s="125"/>
      <c r="AD297" s="2152" t="e" cm="1">
        <f t="array" ca="1" aca="1" ref="AD297">_xlfn.LET(_xlpm.search_key,$W297&amp;$Y297,_xlpm.Scenario,_xlfn.VSTACK($W$20:$W$55&amp;$Y$20:$Y$55,$W$76:$W$110&amp;$Y$76:$Y$110),_xlpm.Data,_xlfn.VSTACK($AD$20:$BN$55,$AD$76:$BN$110),IF(OR($Y297="",ISNUMBER(SEARCH("please",$Y297))),"",_xlfn.XLOOKUP(_xlpm.search_key,_xlpm.Scenario,_xlpm.Data,"▧")))</f>
        <v>#NAME?</v>
      </c>
      <c r="AE297" s="2152"/>
      <c r="AF297" s="2152"/>
      <c r="AG297" s="2152"/>
      <c r="AH297" s="2152"/>
      <c r="AI297" s="2152"/>
      <c r="AJ297" s="2152"/>
      <c r="AK297" s="2152"/>
      <c r="AL297" s="2152"/>
      <c r="AM297" s="2152"/>
      <c r="AN297" s="2152"/>
      <c r="AO297" s="2152"/>
      <c r="AP297" s="2152"/>
      <c r="AQ297" s="2152"/>
      <c r="AR297" s="2152"/>
      <c r="AS297" s="2152"/>
      <c r="AT297" s="2152"/>
      <c r="AU297" s="2152"/>
      <c r="AV297" s="2152"/>
      <c r="AW297" s="2152"/>
      <c r="AX297" s="2152"/>
      <c r="AY297" s="2152"/>
      <c r="AZ297" s="2152"/>
      <c r="BA297" s="2152"/>
      <c r="BB297" s="2152"/>
      <c r="BC297" s="2152"/>
      <c r="BD297" s="2152"/>
      <c r="BE297" s="2152"/>
      <c r="BF297" s="2152"/>
      <c r="BG297" s="2152"/>
      <c r="BH297" s="2152"/>
      <c r="BI297" s="2152"/>
      <c r="BJ297" s="2152"/>
      <c r="BK297" s="2152"/>
      <c r="BL297" s="2152"/>
      <c r="BM297" s="2152"/>
      <c r="BN297" s="2152"/>
      <c r="BO297" s="2362"/>
      <c r="BP297" s="2362"/>
      <c r="BQ297" s="2362"/>
      <c r="BR297" s="2362"/>
      <c r="BS297" s="2362"/>
      <c r="BT297" s="2362"/>
      <c r="BU297" s="2362"/>
      <c r="BV297" s="2362"/>
      <c r="BW297" s="2362"/>
      <c r="BX297" s="2362"/>
      <c r="BY297" s="2362"/>
      <c r="BZ297" s="2362"/>
      <c r="CA297" s="34"/>
      <c r="CC297" s="58"/>
      <c r="CD297" s="2154" t="e" cm="1">
        <f t="array" ca="1" aca="1" ref="CD297">_xlfn.LET(_xlpm.search_key,$W297&amp;$Y297,_xlpm.Scenario,_xlfn.VSTACK($W$20:$W$55&amp;$Y$20:$Y$55,$W$76:$W$110&amp;$Y$76:$Y$110),_xlpm.Data,_xlfn.VSTACK(CD$20:CE$55,CD$76:CE$110),IF(OR($Y297="",ISNUMBER(SEARCH("please",$Y297))),"",_xlfn.XLOOKUP(_xlpm.search_key,_xlpm.Scenario,_xlpm.Data,"▧")))</f>
        <v>#NAME?</v>
      </c>
      <c r="CE297" s="2154"/>
      <c r="CF297" s="88"/>
      <c r="CG297" s="2154" t="e" cm="1">
        <f t="array" ca="1" aca="1" ref="CG297">_xlfn.LET(_xlpm.search_key,$W297&amp;$Y297,_xlpm.Scenario,_xlfn.VSTACK($W$20:$W$55&amp;$Y$20:$Y$55,$W$76:$W$110&amp;$Y$76:$Y$110),_xlpm.Data,_xlfn.VSTACK(CG$20:CH$55,CG$76:CH$110),IF(OR($Y297="",ISNUMBER(SEARCH("please",$Y297))),"",_xlfn.XLOOKUP(_xlpm.search_key,_xlpm.Scenario,_xlpm.Data,"▧")))</f>
        <v>#NAME?</v>
      </c>
      <c r="CH297" s="2154"/>
      <c r="CI297" s="88"/>
      <c r="CJ297" s="2154" t="e" cm="1">
        <f t="array" ca="1" aca="1" ref="CJ297">_xlfn.LET(_xlpm.search_key,$W297&amp;$Y297,_xlpm.Scenario,_xlfn.VSTACK($W$20:$W$55&amp;$Y$20:$Y$55,$W$76:$W$110&amp;$Y$76:$Y$110),_xlpm.Data,_xlfn.VSTACK(CJ$20:CK$55,CJ$76:CK$110),IF(OR($Y297="",ISNUMBER(SEARCH("please",$Y297))),"",_xlfn.XLOOKUP(_xlpm.search_key,_xlpm.Scenario,_xlpm.Data,"▧")))</f>
        <v>#NAME?</v>
      </c>
      <c r="CK297" s="2154"/>
      <c r="CL297" s="88"/>
      <c r="CM297" s="2154" t="e" cm="1">
        <f t="array" ca="1" aca="1" ref="CM297">_xlfn.LET(_xlpm.search_key,$W297&amp;$Y297,_xlpm.Scenario,_xlfn.VSTACK($W$20:$W$55&amp;$Y$20:$Y$55,$W$76:$W$110&amp;$Y$76:$Y$110),_xlpm.Data,_xlfn.VSTACK(CM$20:CN$55,CM$76:CN$110),IF(OR($Y297="",ISNUMBER(SEARCH("please",$Y297))),"",_xlfn.XLOOKUP(_xlpm.search_key,_xlpm.Scenario,_xlpm.Data,"▧")))</f>
        <v>#NAME?</v>
      </c>
      <c r="CN297" s="2154"/>
      <c r="CO297" s="88"/>
      <c r="CP297" s="2154" t="e" cm="1">
        <f t="array" ca="1" aca="1" ref="CP297">_xlfn.LET(_xlpm.search_key,$W297&amp;$Y297,_xlpm.Scenario,_xlfn.VSTACK($W$20:$W$55&amp;$Y$20:$Y$55,$W$76:$W$110&amp;$Y$76:$Y$110),_xlpm.Data,_xlfn.VSTACK(CP$20:CQ$55,CP$76:CQ$110),IF(OR($Y297="",ISNUMBER(SEARCH("please",$Y297))),"",_xlfn.XLOOKUP(_xlpm.search_key,_xlpm.Scenario,_xlpm.Data,"▧")))</f>
        <v>#NAME?</v>
      </c>
      <c r="CQ297" s="2154"/>
      <c r="CR297" s="34"/>
      <c r="CS297" s="2056"/>
      <c r="DC297"/>
    </row>
    <row r="298" spans="1:107" ht="21" customHeight="1">
      <c r="A298" s="1627"/>
      <c r="B298" s="2606"/>
      <c r="C298" s="2540"/>
      <c r="D298" s="1549"/>
      <c r="E298" s="2440"/>
      <c r="F298" s="401"/>
      <c r="G298" s="401"/>
      <c r="H298" s="585"/>
      <c r="I298" s="585"/>
      <c r="J298" s="401"/>
      <c r="K298" s="401"/>
      <c r="L298" s="37"/>
      <c r="N298" s="158"/>
      <c r="O298" s="101"/>
      <c r="P298" s="52"/>
      <c r="Q298" s="101"/>
      <c r="R298" s="101"/>
      <c r="S298" s="101"/>
      <c r="T298" s="101"/>
      <c r="U298" s="39"/>
      <c r="V298" s="37"/>
      <c r="W298" s="2364" t="e">
        <f ca="1">W294</f>
        <v>#NAME?</v>
      </c>
      <c r="X298" s="2373">
        <f>_PL!X298</f>
        <v>0</v>
      </c>
      <c r="Y298" s="3228">
        <v>2</v>
      </c>
      <c r="Z298" s="198">
        <f>_PL!Z298</f>
        <v>0</v>
      </c>
      <c r="AA298" s="200" t="str" cm="1">
        <f t="array" ca="1" aca="1" ref="AA298">IF(Y298="","",_xlfn.LET(_xlpm._termname,$W298&amp;$Y298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8" s="1134"/>
      <c r="AC298" s="125"/>
      <c r="AD298" s="2152" t="e" cm="1">
        <f t="array" ca="1" aca="1" ref="AD298">_xlfn.LET(_xlpm.search_key,$W298&amp;$Y298,_xlpm.Scenario,_xlfn.VSTACK($W$20:$W$55&amp;$Y$20:$Y$55,$W$76:$W$110&amp;$Y$76:$Y$110),_xlpm.Data,_xlfn.VSTACK($AD$20:$BN$55,$AD$76:$BN$110),IF(OR($Y298="",ISNUMBER(SEARCH("please",$Y298))),"",_xlfn.XLOOKUP(_xlpm.search_key,_xlpm.Scenario,_xlpm.Data,"▧")))</f>
        <v>#NAME?</v>
      </c>
      <c r="AE298" s="2152"/>
      <c r="AF298" s="2152"/>
      <c r="AG298" s="2152"/>
      <c r="AH298" s="2152"/>
      <c r="AI298" s="2152"/>
      <c r="AJ298" s="2152"/>
      <c r="AK298" s="2152"/>
      <c r="AL298" s="2152"/>
      <c r="AM298" s="2152"/>
      <c r="AN298" s="2152"/>
      <c r="AO298" s="2152"/>
      <c r="AP298" s="2152"/>
      <c r="AQ298" s="2152"/>
      <c r="AR298" s="2152"/>
      <c r="AS298" s="2152"/>
      <c r="AT298" s="2152"/>
      <c r="AU298" s="2152"/>
      <c r="AV298" s="2152"/>
      <c r="AW298" s="2152"/>
      <c r="AX298" s="2152"/>
      <c r="AY298" s="2152"/>
      <c r="AZ298" s="2152"/>
      <c r="BA298" s="2152"/>
      <c r="BB298" s="2152"/>
      <c r="BC298" s="2152"/>
      <c r="BD298" s="2152"/>
      <c r="BE298" s="2152"/>
      <c r="BF298" s="2152"/>
      <c r="BG298" s="2152"/>
      <c r="BH298" s="2152"/>
      <c r="BI298" s="2152"/>
      <c r="BJ298" s="2152"/>
      <c r="BK298" s="2152"/>
      <c r="BL298" s="2152"/>
      <c r="BM298" s="2152"/>
      <c r="BN298" s="2152"/>
      <c r="BO298" s="2362"/>
      <c r="BP298" s="2362"/>
      <c r="BQ298" s="2362"/>
      <c r="BR298" s="2362"/>
      <c r="BS298" s="2362"/>
      <c r="BT298" s="2362"/>
      <c r="BU298" s="2362"/>
      <c r="BV298" s="2362"/>
      <c r="BW298" s="2362"/>
      <c r="BX298" s="2362"/>
      <c r="BY298" s="2362"/>
      <c r="BZ298" s="2362"/>
      <c r="CA298" s="34"/>
      <c r="CC298" s="58"/>
      <c r="CD298" s="2154" t="e" cm="1">
        <f t="array" ca="1" aca="1" ref="CD298">_xlfn.LET(_xlpm.search_key,$W298&amp;$Y298,_xlpm.Scenario,_xlfn.VSTACK($W$20:$W$55&amp;$Y$20:$Y$55,$W$76:$W$110&amp;$Y$76:$Y$110),_xlpm.Data,_xlfn.VSTACK(CD$20:CE$55,CD$76:CE$110),IF(OR($Y298="",ISNUMBER(SEARCH("please",$Y298))),"",_xlfn.XLOOKUP(_xlpm.search_key,_xlpm.Scenario,_xlpm.Data,"▧")))</f>
        <v>#NAME?</v>
      </c>
      <c r="CE298" s="2154"/>
      <c r="CF298" s="88"/>
      <c r="CG298" s="2154" t="e" cm="1">
        <f t="array" ca="1" aca="1" ref="CG298">_xlfn.LET(_xlpm.search_key,$W298&amp;$Y298,_xlpm.Scenario,_xlfn.VSTACK($W$20:$W$55&amp;$Y$20:$Y$55,$W$76:$W$110&amp;$Y$76:$Y$110),_xlpm.Data,_xlfn.VSTACK(CG$20:CH$55,CG$76:CH$110),IF(OR($Y298="",ISNUMBER(SEARCH("please",$Y298))),"",_xlfn.XLOOKUP(_xlpm.search_key,_xlpm.Scenario,_xlpm.Data,"▧")))</f>
        <v>#NAME?</v>
      </c>
      <c r="CH298" s="2154"/>
      <c r="CI298" s="88"/>
      <c r="CJ298" s="2154" t="e" cm="1">
        <f t="array" ca="1" aca="1" ref="CJ298">_xlfn.LET(_xlpm.search_key,$W298&amp;$Y298,_xlpm.Scenario,_xlfn.VSTACK($W$20:$W$55&amp;$Y$20:$Y$55,$W$76:$W$110&amp;$Y$76:$Y$110),_xlpm.Data,_xlfn.VSTACK(CJ$20:CK$55,CJ$76:CK$110),IF(OR($Y298="",ISNUMBER(SEARCH("please",$Y298))),"",_xlfn.XLOOKUP(_xlpm.search_key,_xlpm.Scenario,_xlpm.Data,"▧")))</f>
        <v>#NAME?</v>
      </c>
      <c r="CK298" s="2154"/>
      <c r="CL298" s="88"/>
      <c r="CM298" s="2154" t="e" cm="1">
        <f t="array" ca="1" aca="1" ref="CM298">_xlfn.LET(_xlpm.search_key,$W298&amp;$Y298,_xlpm.Scenario,_xlfn.VSTACK($W$20:$W$55&amp;$Y$20:$Y$55,$W$76:$W$110&amp;$Y$76:$Y$110),_xlpm.Data,_xlfn.VSTACK(CM$20:CN$55,CM$76:CN$110),IF(OR($Y298="",ISNUMBER(SEARCH("please",$Y298))),"",_xlfn.XLOOKUP(_xlpm.search_key,_xlpm.Scenario,_xlpm.Data,"▧")))</f>
        <v>#NAME?</v>
      </c>
      <c r="CN298" s="2154"/>
      <c r="CO298" s="88"/>
      <c r="CP298" s="2154" t="e" cm="1">
        <f t="array" ca="1" aca="1" ref="CP298">_xlfn.LET(_xlpm.search_key,$W298&amp;$Y298,_xlpm.Scenario,_xlfn.VSTACK($W$20:$W$55&amp;$Y$20:$Y$55,$W$76:$W$110&amp;$Y$76:$Y$110),_xlpm.Data,_xlfn.VSTACK(CP$20:CQ$55,CP$76:CQ$110),IF(OR($Y298="",ISNUMBER(SEARCH("please",$Y298))),"",_xlfn.XLOOKUP(_xlpm.search_key,_xlpm.Scenario,_xlpm.Data,"▧")))</f>
        <v>#NAME?</v>
      </c>
      <c r="CQ298" s="2154"/>
      <c r="CR298" s="34"/>
      <c r="CS298" s="2056"/>
      <c r="DC298"/>
    </row>
    <row r="299" spans="1:107" ht="21" customHeight="1">
      <c r="A299" s="1627"/>
      <c r="B299" s="2606"/>
      <c r="C299" s="2540"/>
      <c r="D299" s="1549"/>
      <c r="E299" s="2440"/>
      <c r="F299" s="401"/>
      <c r="G299" s="401"/>
      <c r="H299" s="585"/>
      <c r="I299" s="585"/>
      <c r="J299" s="401"/>
      <c r="K299" s="401"/>
      <c r="L299" s="37"/>
      <c r="N299" s="158"/>
      <c r="O299" s="101"/>
      <c r="P299" s="52"/>
      <c r="Q299" s="101"/>
      <c r="R299" s="101"/>
      <c r="S299" s="101"/>
      <c r="T299" s="101"/>
      <c r="U299" s="39"/>
      <c r="V299" s="37"/>
      <c r="W299" s="2364" t="e">
        <f ca="1">W294</f>
        <v>#NAME?</v>
      </c>
      <c r="X299" s="2373">
        <f>_PL!X299</f>
        <v>0</v>
      </c>
      <c r="Y299" s="3228">
        <v>2</v>
      </c>
      <c r="Z299" s="198">
        <f>_PL!Z299</f>
        <v>0</v>
      </c>
      <c r="AA299" s="200" t="str" cm="1">
        <f t="array" ca="1" aca="1" ref="AA299">IF(Y299="","",_xlfn.LET(_xlpm._termname,$W299&amp;$Y299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9" s="1134"/>
      <c r="AC299" s="125"/>
      <c r="AD299" s="2152" t="e" cm="1">
        <f t="array" ca="1" aca="1" ref="AD299">_xlfn.LET(_xlpm.search_key,$W299&amp;$Y299,_xlpm.Scenario,_xlfn.VSTACK($W$20:$W$55&amp;$Y$20:$Y$55,$W$76:$W$110&amp;$Y$76:$Y$110),_xlpm.Data,_xlfn.VSTACK($AD$20:$BN$55,$AD$76:$BN$110),IF(OR($Y299="",ISNUMBER(SEARCH("please",$Y299))),"",_xlfn.XLOOKUP(_xlpm.search_key,_xlpm.Scenario,_xlpm.Data,"▧")))</f>
        <v>#NAME?</v>
      </c>
      <c r="AE299" s="2152"/>
      <c r="AF299" s="2152"/>
      <c r="AG299" s="2152"/>
      <c r="AH299" s="2152"/>
      <c r="AI299" s="2152"/>
      <c r="AJ299" s="2152"/>
      <c r="AK299" s="2152"/>
      <c r="AL299" s="2152"/>
      <c r="AM299" s="2152"/>
      <c r="AN299" s="2152"/>
      <c r="AO299" s="2152"/>
      <c r="AP299" s="2152"/>
      <c r="AQ299" s="2152"/>
      <c r="AR299" s="2152"/>
      <c r="AS299" s="2152"/>
      <c r="AT299" s="2152"/>
      <c r="AU299" s="2152"/>
      <c r="AV299" s="2152"/>
      <c r="AW299" s="2152"/>
      <c r="AX299" s="2152"/>
      <c r="AY299" s="2152"/>
      <c r="AZ299" s="2152"/>
      <c r="BA299" s="2152"/>
      <c r="BB299" s="2152"/>
      <c r="BC299" s="2152"/>
      <c r="BD299" s="2152"/>
      <c r="BE299" s="2152"/>
      <c r="BF299" s="2152"/>
      <c r="BG299" s="2152"/>
      <c r="BH299" s="2152"/>
      <c r="BI299" s="2152"/>
      <c r="BJ299" s="2152"/>
      <c r="BK299" s="2152"/>
      <c r="BL299" s="2152"/>
      <c r="BM299" s="2152"/>
      <c r="BN299" s="2152"/>
      <c r="BO299" s="2362"/>
      <c r="BP299" s="2362"/>
      <c r="BQ299" s="2362"/>
      <c r="BR299" s="2362"/>
      <c r="BS299" s="2362"/>
      <c r="BT299" s="2362"/>
      <c r="BU299" s="2362"/>
      <c r="BV299" s="2362"/>
      <c r="BW299" s="2362"/>
      <c r="BX299" s="2362"/>
      <c r="BY299" s="2362"/>
      <c r="BZ299" s="2362"/>
      <c r="CA299" s="34"/>
      <c r="CC299" s="58"/>
      <c r="CD299" s="2154" t="e" cm="1">
        <f t="array" ca="1" aca="1" ref="CD299">_xlfn.LET(_xlpm.search_key,$W299&amp;$Y299,_xlpm.Scenario,_xlfn.VSTACK($W$20:$W$55&amp;$Y$20:$Y$55,$W$76:$W$110&amp;$Y$76:$Y$110),_xlpm.Data,_xlfn.VSTACK(CD$20:CE$55,CD$76:CE$110),IF(OR($Y299="",ISNUMBER(SEARCH("please",$Y299))),"",_xlfn.XLOOKUP(_xlpm.search_key,_xlpm.Scenario,_xlpm.Data,"▧")))</f>
        <v>#NAME?</v>
      </c>
      <c r="CE299" s="2154"/>
      <c r="CF299" s="88"/>
      <c r="CG299" s="2154" t="e" cm="1">
        <f t="array" ca="1" aca="1" ref="CG299">_xlfn.LET(_xlpm.search_key,$W299&amp;$Y299,_xlpm.Scenario,_xlfn.VSTACK($W$20:$W$55&amp;$Y$20:$Y$55,$W$76:$W$110&amp;$Y$76:$Y$110),_xlpm.Data,_xlfn.VSTACK(CG$20:CH$55,CG$76:CH$110),IF(OR($Y299="",ISNUMBER(SEARCH("please",$Y299))),"",_xlfn.XLOOKUP(_xlpm.search_key,_xlpm.Scenario,_xlpm.Data,"▧")))</f>
        <v>#NAME?</v>
      </c>
      <c r="CH299" s="2154"/>
      <c r="CI299" s="88"/>
      <c r="CJ299" s="2154" t="e" cm="1">
        <f t="array" ca="1" aca="1" ref="CJ299">_xlfn.LET(_xlpm.search_key,$W299&amp;$Y299,_xlpm.Scenario,_xlfn.VSTACK($W$20:$W$55&amp;$Y$20:$Y$55,$W$76:$W$110&amp;$Y$76:$Y$110),_xlpm.Data,_xlfn.VSTACK(CJ$20:CK$55,CJ$76:CK$110),IF(OR($Y299="",ISNUMBER(SEARCH("please",$Y299))),"",_xlfn.XLOOKUP(_xlpm.search_key,_xlpm.Scenario,_xlpm.Data,"▧")))</f>
        <v>#NAME?</v>
      </c>
      <c r="CK299" s="2154"/>
      <c r="CL299" s="88"/>
      <c r="CM299" s="2154" t="e" cm="1">
        <f t="array" ca="1" aca="1" ref="CM299">_xlfn.LET(_xlpm.search_key,$W299&amp;$Y299,_xlpm.Scenario,_xlfn.VSTACK($W$20:$W$55&amp;$Y$20:$Y$55,$W$76:$W$110&amp;$Y$76:$Y$110),_xlpm.Data,_xlfn.VSTACK(CM$20:CN$55,CM$76:CN$110),IF(OR($Y299="",ISNUMBER(SEARCH("please",$Y299))),"",_xlfn.XLOOKUP(_xlpm.search_key,_xlpm.Scenario,_xlpm.Data,"▧")))</f>
        <v>#NAME?</v>
      </c>
      <c r="CN299" s="2154"/>
      <c r="CO299" s="88"/>
      <c r="CP299" s="2154" t="e" cm="1">
        <f t="array" ca="1" aca="1" ref="CP299">_xlfn.LET(_xlpm.search_key,$W299&amp;$Y299,_xlpm.Scenario,_xlfn.VSTACK($W$20:$W$55&amp;$Y$20:$Y$55,$W$76:$W$110&amp;$Y$76:$Y$110),_xlpm.Data,_xlfn.VSTACK(CP$20:CQ$55,CP$76:CQ$110),IF(OR($Y299="",ISNUMBER(SEARCH("please",$Y299))),"",_xlfn.XLOOKUP(_xlpm.search_key,_xlpm.Scenario,_xlpm.Data,"▧")))</f>
        <v>#NAME?</v>
      </c>
      <c r="CQ299" s="2154"/>
      <c r="CR299" s="34"/>
      <c r="CS299" s="2056"/>
      <c r="DC299"/>
    </row>
    <row r="300" spans="1:107" ht="21" customHeight="1">
      <c r="A300" s="1627"/>
      <c r="B300" s="2606"/>
      <c r="C300" s="2540"/>
      <c r="D300" s="1549"/>
      <c r="E300" s="2440"/>
      <c r="F300" s="401"/>
      <c r="G300" s="401"/>
      <c r="H300" s="585"/>
      <c r="I300" s="585"/>
      <c r="J300" s="401"/>
      <c r="K300" s="401"/>
      <c r="L300" s="37"/>
      <c r="N300" s="158"/>
      <c r="O300" s="101"/>
      <c r="P300" s="52"/>
      <c r="Q300" s="101"/>
      <c r="R300" s="101"/>
      <c r="S300" s="101"/>
      <c r="T300" s="101"/>
      <c r="U300" s="39"/>
      <c r="V300" s="37"/>
      <c r="W300" s="2364" t="e">
        <f ca="1">W294</f>
        <v>#NAME?</v>
      </c>
      <c r="X300" s="2373">
        <f>_PL!X300</f>
        <v>0</v>
      </c>
      <c r="Y300" s="3228">
        <v>2</v>
      </c>
      <c r="Z300" s="538">
        <f>_PL!Z300</f>
        <v>0</v>
      </c>
      <c r="AA300" s="787" t="str" cm="1">
        <f t="array" ca="1" aca="1" ref="AA300">IF(Y300="","",_xlfn.LET(_xlpm._termname,$W300&amp;$Y300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0" s="1134"/>
      <c r="AC300" s="125"/>
      <c r="AD300" s="2152" t="e" cm="1">
        <f t="array" ca="1" aca="1" ref="AD300">_xlfn.LET(_xlpm.search_key,$W300&amp;$Y300,_xlpm.Scenario,_xlfn.VSTACK($W$20:$W$55&amp;$Y$20:$Y$55,$W$76:$W$110&amp;$Y$76:$Y$110),_xlpm.Data,_xlfn.VSTACK($AD$20:$BN$55,$AD$76:$BN$110),IF(OR($Y300="",ISNUMBER(SEARCH("please",$Y300))),"",_xlfn.XLOOKUP(_xlpm.search_key,_xlpm.Scenario,_xlpm.Data,"▧")))</f>
        <v>#NAME?</v>
      </c>
      <c r="AE300" s="2152"/>
      <c r="AF300" s="2152"/>
      <c r="AG300" s="2152"/>
      <c r="AH300" s="2152"/>
      <c r="AI300" s="2152"/>
      <c r="AJ300" s="2152"/>
      <c r="AK300" s="2152"/>
      <c r="AL300" s="2152"/>
      <c r="AM300" s="2152"/>
      <c r="AN300" s="2152"/>
      <c r="AO300" s="2152"/>
      <c r="AP300" s="2152"/>
      <c r="AQ300" s="2152"/>
      <c r="AR300" s="2152"/>
      <c r="AS300" s="2152"/>
      <c r="AT300" s="2152"/>
      <c r="AU300" s="2152"/>
      <c r="AV300" s="2152"/>
      <c r="AW300" s="2152"/>
      <c r="AX300" s="2152"/>
      <c r="AY300" s="2152"/>
      <c r="AZ300" s="2152"/>
      <c r="BA300" s="2152"/>
      <c r="BB300" s="2152"/>
      <c r="BC300" s="2152"/>
      <c r="BD300" s="2152"/>
      <c r="BE300" s="2152"/>
      <c r="BF300" s="2152"/>
      <c r="BG300" s="2152"/>
      <c r="BH300" s="2152"/>
      <c r="BI300" s="2152"/>
      <c r="BJ300" s="2152"/>
      <c r="BK300" s="2152"/>
      <c r="BL300" s="2152"/>
      <c r="BM300" s="2152"/>
      <c r="BN300" s="2152"/>
      <c r="BO300" s="2362"/>
      <c r="BP300" s="2362"/>
      <c r="BQ300" s="2362"/>
      <c r="BR300" s="2362"/>
      <c r="BS300" s="2362"/>
      <c r="BT300" s="2362"/>
      <c r="BU300" s="2362"/>
      <c r="BV300" s="2362"/>
      <c r="BW300" s="2362"/>
      <c r="BX300" s="2362"/>
      <c r="BY300" s="2362"/>
      <c r="BZ300" s="2362"/>
      <c r="CA300" s="34"/>
      <c r="CC300" s="58"/>
      <c r="CD300" s="2154" t="e" cm="1">
        <f t="array" ca="1" aca="1" ref="CD300">_xlfn.LET(_xlpm.search_key,$W300&amp;$Y300,_xlpm.Scenario,_xlfn.VSTACK($W$20:$W$55&amp;$Y$20:$Y$55,$W$76:$W$110&amp;$Y$76:$Y$110),_xlpm.Data,_xlfn.VSTACK(CD$20:CE$55,CD$76:CE$110),IF(OR($Y300="",ISNUMBER(SEARCH("please",$Y300))),"",_xlfn.XLOOKUP(_xlpm.search_key,_xlpm.Scenario,_xlpm.Data,"▧")))</f>
        <v>#NAME?</v>
      </c>
      <c r="CE300" s="2154"/>
      <c r="CF300" s="88"/>
      <c r="CG300" s="2154" t="e" cm="1">
        <f t="array" ca="1" aca="1" ref="CG300">_xlfn.LET(_xlpm.search_key,$W300&amp;$Y300,_xlpm.Scenario,_xlfn.VSTACK($W$20:$W$55&amp;$Y$20:$Y$55,$W$76:$W$110&amp;$Y$76:$Y$110),_xlpm.Data,_xlfn.VSTACK(CG$20:CH$55,CG$76:CH$110),IF(OR($Y300="",ISNUMBER(SEARCH("please",$Y300))),"",_xlfn.XLOOKUP(_xlpm.search_key,_xlpm.Scenario,_xlpm.Data,"▧")))</f>
        <v>#NAME?</v>
      </c>
      <c r="CH300" s="2154"/>
      <c r="CI300" s="88"/>
      <c r="CJ300" s="2154" t="e" cm="1">
        <f t="array" ca="1" aca="1" ref="CJ300">_xlfn.LET(_xlpm.search_key,$W300&amp;$Y300,_xlpm.Scenario,_xlfn.VSTACK($W$20:$W$55&amp;$Y$20:$Y$55,$W$76:$W$110&amp;$Y$76:$Y$110),_xlpm.Data,_xlfn.VSTACK(CJ$20:CK$55,CJ$76:CK$110),IF(OR($Y300="",ISNUMBER(SEARCH("please",$Y300))),"",_xlfn.XLOOKUP(_xlpm.search_key,_xlpm.Scenario,_xlpm.Data,"▧")))</f>
        <v>#NAME?</v>
      </c>
      <c r="CK300" s="2154"/>
      <c r="CL300" s="88"/>
      <c r="CM300" s="2154" t="e" cm="1">
        <f t="array" ca="1" aca="1" ref="CM300">_xlfn.LET(_xlpm.search_key,$W300&amp;$Y300,_xlpm.Scenario,_xlfn.VSTACK($W$20:$W$55&amp;$Y$20:$Y$55,$W$76:$W$110&amp;$Y$76:$Y$110),_xlpm.Data,_xlfn.VSTACK(CM$20:CN$55,CM$76:CN$110),IF(OR($Y300="",ISNUMBER(SEARCH("please",$Y300))),"",_xlfn.XLOOKUP(_xlpm.search_key,_xlpm.Scenario,_xlpm.Data,"▧")))</f>
        <v>#NAME?</v>
      </c>
      <c r="CN300" s="2154"/>
      <c r="CO300" s="88"/>
      <c r="CP300" s="2154" t="e" cm="1">
        <f t="array" ca="1" aca="1" ref="CP300">_xlfn.LET(_xlpm.search_key,$W300&amp;$Y300,_xlpm.Scenario,_xlfn.VSTACK($W$20:$W$55&amp;$Y$20:$Y$55,$W$76:$W$110&amp;$Y$76:$Y$110),_xlpm.Data,_xlfn.VSTACK(CP$20:CQ$55,CP$76:CQ$110),IF(OR($Y300="",ISNUMBER(SEARCH("please",$Y300))),"",_xlfn.XLOOKUP(_xlpm.search_key,_xlpm.Scenario,_xlpm.Data,"▧")))</f>
        <v>#NAME?</v>
      </c>
      <c r="CQ300" s="2154"/>
      <c r="CR300" s="34"/>
      <c r="CS300" s="2056"/>
      <c r="DC300"/>
    </row>
    <row r="301" spans="1:107" ht="21" customHeight="1">
      <c r="A301" s="1627"/>
      <c r="B301" s="3474" t="s">
        <v>211</v>
      </c>
      <c r="C301" s="2606" t="e" cm="1">
        <f t="array" ca="1" aca="1" ref="C301">CVC.PACK(W294:Y301)</f>
        <v>#NAME?</v>
      </c>
      <c r="D301" s="1549"/>
      <c r="E301" s="2607"/>
      <c r="F301" s="401"/>
      <c r="G301" s="401"/>
      <c r="H301" s="585"/>
      <c r="I301" s="585"/>
      <c r="J301" s="401"/>
      <c r="K301" s="401"/>
      <c r="L301" s="37"/>
      <c r="N301" s="158"/>
      <c r="O301" s="101"/>
      <c r="P301" s="52"/>
      <c r="Q301" s="101"/>
      <c r="R301" s="101"/>
      <c r="S301" s="101"/>
      <c r="T301" s="101"/>
      <c r="U301" s="39"/>
      <c r="V301" s="37"/>
      <c r="W301" s="2365" t="e">
        <f ca="1">W294</f>
        <v>#NAME?</v>
      </c>
      <c r="X301" s="2374">
        <f>_PL!X301</f>
        <v>0</v>
      </c>
      <c r="Y301" s="2326">
        <f>_PL!Y301</f>
        <v>0</v>
      </c>
      <c r="Z301" s="2322"/>
      <c r="AA301" s="2323"/>
      <c r="AB301" s="1134"/>
      <c r="AC301" s="125" t="str" cm="1">
        <f t="array" ca="1" aca="1" ref="AC301">IF(AB301="","",_xlfn.LET(_xlpm._termname,PL!$W301&amp;$AB301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01" s="2152" t="e">
        <f ca="1">SUMPRODUCT($X295:$X300,AD295:AD300)</f>
        <v>#NAME?</v>
      </c>
      <c r="AE301" s="2152">
        <f t="shared" si="77" ref="AE301:BN301">SUMPRODUCT($X295:$X300,AE295:AE300)</f>
        <v>0</v>
      </c>
      <c r="AF301" s="2152">
        <f t="shared" si="77"/>
        <v>0</v>
      </c>
      <c r="AG301" s="2152">
        <f t="shared" si="77"/>
        <v>0</v>
      </c>
      <c r="AH301" s="2152">
        <f t="shared" si="77"/>
        <v>0</v>
      </c>
      <c r="AI301" s="2152">
        <f t="shared" si="77"/>
        <v>0</v>
      </c>
      <c r="AJ301" s="2152">
        <f t="shared" si="77"/>
        <v>0</v>
      </c>
      <c r="AK301" s="2152">
        <f t="shared" si="77"/>
        <v>0</v>
      </c>
      <c r="AL301" s="2152">
        <f t="shared" si="77"/>
        <v>0</v>
      </c>
      <c r="AM301" s="2152">
        <f t="shared" si="77"/>
        <v>0</v>
      </c>
      <c r="AN301" s="2152">
        <f t="shared" si="77"/>
        <v>0</v>
      </c>
      <c r="AO301" s="2152">
        <f t="shared" si="77"/>
        <v>0</v>
      </c>
      <c r="AP301" s="2152">
        <f t="shared" si="77"/>
        <v>0</v>
      </c>
      <c r="AQ301" s="2152">
        <f t="shared" si="77"/>
        <v>0</v>
      </c>
      <c r="AR301" s="2152">
        <f t="shared" si="77"/>
        <v>0</v>
      </c>
      <c r="AS301" s="2152">
        <f t="shared" si="77"/>
        <v>0</v>
      </c>
      <c r="AT301" s="2152">
        <f t="shared" si="77"/>
        <v>0</v>
      </c>
      <c r="AU301" s="2152">
        <f t="shared" si="77"/>
        <v>0</v>
      </c>
      <c r="AV301" s="2152">
        <f t="shared" si="77"/>
        <v>0</v>
      </c>
      <c r="AW301" s="2152">
        <f t="shared" si="77"/>
        <v>0</v>
      </c>
      <c r="AX301" s="2152">
        <f t="shared" si="77"/>
        <v>0</v>
      </c>
      <c r="AY301" s="2152">
        <f t="shared" si="77"/>
        <v>0</v>
      </c>
      <c r="AZ301" s="2152">
        <f t="shared" si="77"/>
        <v>0</v>
      </c>
      <c r="BA301" s="2152">
        <f t="shared" si="77"/>
        <v>0</v>
      </c>
      <c r="BB301" s="2152">
        <f t="shared" si="77"/>
        <v>0</v>
      </c>
      <c r="BC301" s="2152">
        <f t="shared" si="77"/>
        <v>0</v>
      </c>
      <c r="BD301" s="2152">
        <f t="shared" si="77"/>
        <v>0</v>
      </c>
      <c r="BE301" s="2152">
        <f t="shared" si="77"/>
        <v>0</v>
      </c>
      <c r="BF301" s="2152">
        <f t="shared" si="77"/>
        <v>0</v>
      </c>
      <c r="BG301" s="2152">
        <f t="shared" si="77"/>
        <v>0</v>
      </c>
      <c r="BH301" s="2152">
        <f t="shared" si="77"/>
        <v>0</v>
      </c>
      <c r="BI301" s="2152">
        <f t="shared" si="77"/>
        <v>0</v>
      </c>
      <c r="BJ301" s="2152">
        <f t="shared" si="77"/>
        <v>0</v>
      </c>
      <c r="BK301" s="2152">
        <f t="shared" si="77"/>
        <v>0</v>
      </c>
      <c r="BL301" s="2152">
        <f t="shared" si="77"/>
        <v>0</v>
      </c>
      <c r="BM301" s="2152">
        <f t="shared" si="77"/>
        <v>0</v>
      </c>
      <c r="BN301" s="2152">
        <f t="shared" si="77"/>
        <v>0</v>
      </c>
      <c r="BO301" s="2362"/>
      <c r="BP301" s="2362"/>
      <c r="BQ301" s="2362"/>
      <c r="BR301" s="2362"/>
      <c r="BS301" s="2362"/>
      <c r="BT301" s="2362"/>
      <c r="BU301" s="2362"/>
      <c r="BV301" s="2362"/>
      <c r="BW301" s="2362"/>
      <c r="BX301" s="2362"/>
      <c r="BY301" s="2362"/>
      <c r="BZ301" s="2362"/>
      <c r="CA301" s="34"/>
      <c r="CC301" s="58"/>
      <c r="CD301" s="2152" t="e">
        <f ca="1">SUMPRODUCT($X295:$X300,CD295:CD300)</f>
        <v>#NAME?</v>
      </c>
      <c r="CE301" s="2152">
        <f>SUMPRODUCT($X295:$X298,CE295:CE298)</f>
        <v>0</v>
      </c>
      <c r="CF301" s="88"/>
      <c r="CG301" s="2152" t="e">
        <f ca="1">SUMPRODUCT($X295:$X300,CG295:CG300)</f>
        <v>#NAME?</v>
      </c>
      <c r="CH301" s="2152">
        <f>SUMPRODUCT($X295:$X298,CH295:CH298)</f>
        <v>0</v>
      </c>
      <c r="CI301" s="88"/>
      <c r="CJ301" s="2152" t="e">
        <f ca="1">SUMPRODUCT($X295:$X300,CJ295:CJ300)</f>
        <v>#NAME?</v>
      </c>
      <c r="CK301" s="2152">
        <f>SUMPRODUCT($X295:$X298,CK295:CK298)</f>
        <v>0</v>
      </c>
      <c r="CL301" s="88"/>
      <c r="CM301" s="2152" t="e">
        <f ca="1">SUMPRODUCT($X295:$X300,CM295:CM300)</f>
        <v>#NAME?</v>
      </c>
      <c r="CN301" s="2152">
        <f>SUMPRODUCT($X295:$X298,CN295:CN298)</f>
        <v>0</v>
      </c>
      <c r="CO301" s="88"/>
      <c r="CP301" s="2152" t="e">
        <f ca="1">SUMPRODUCT($X295:$X300,CP295:CP300)</f>
        <v>#NAME?</v>
      </c>
      <c r="CQ301" s="2152">
        <f>SUMPRODUCT($X295:$X298,CQ295:CQ298)</f>
        <v>0</v>
      </c>
      <c r="CR301" s="34"/>
      <c r="CS301" s="2056"/>
      <c r="CT301" s="2447" t="e" cm="1">
        <f t="array" ca="1" aca="1" ref="CT301">IF(PL!$C301="","",_xldudf_CX_PUSH(PL!$C301,CX_ENTITY,PL!$B301,EOMONTH(val_asOfDate,PL!CT$248)))</f>
        <v>#NAME?</v>
      </c>
      <c r="CU301" s="2447" t="e" cm="1">
        <f t="array" ca="1" aca="1" ref="CU301">IF(PL!$C301="","",_xldudf_CX_PUSH(PL!$C301,CX_ENTITY,PL!$B301,EOMONTH(val_asOfDate,PL!CU$248)))</f>
        <v>#NAME?</v>
      </c>
      <c r="CV301" s="2447" t="e" cm="1">
        <f t="array" ca="1" aca="1" ref="CV301">IF(PL!$C301="","",_xldudf_CX_PUSH(PL!$C301,CX_ENTITY,PL!$B301,EOMONTH(val_asOfDate,PL!CV$248)))</f>
        <v>#NAME?</v>
      </c>
      <c r="CW301" s="2447" t="e" cm="1">
        <f t="array" ca="1" aca="1" ref="CW301">IF(PL!$C301="","",_xldudf_CX_PUSH(PL!$C301,CX_ENTITY,PL!$B301,EOMONTH(val_asOfDate,PL!CW$248)))</f>
        <v>#NAME?</v>
      </c>
      <c r="DC301"/>
    </row>
    <row r="302" spans="1:144" s="108" customFormat="1" ht="21" customHeight="1">
      <c r="A302" s="1628"/>
      <c r="B302" s="2540"/>
      <c r="C302" s="2540"/>
      <c r="D302" s="1549"/>
      <c r="E302" s="2607"/>
      <c r="F302" s="401"/>
      <c r="G302" s="401"/>
      <c r="H302" s="585"/>
      <c r="I302" s="585"/>
      <c r="J302" s="401"/>
      <c r="K302" s="401"/>
      <c r="L302" s="37"/>
      <c r="N302" s="2134"/>
      <c r="O302" s="101"/>
      <c r="P302" s="101"/>
      <c r="Q302" s="101"/>
      <c r="R302" s="101"/>
      <c r="S302" s="101"/>
      <c r="T302" s="101"/>
      <c r="U302" s="101"/>
      <c r="V302" s="822"/>
      <c r="W302" s="2332"/>
      <c r="X302" s="2333"/>
      <c r="Y302" s="2334"/>
      <c r="Z302" s="2316"/>
      <c r="AA302" s="2316"/>
      <c r="AB302" s="88"/>
      <c r="AC302" s="128"/>
      <c r="AD302" s="2317"/>
      <c r="AE302" s="2317"/>
      <c r="AF302" s="2317"/>
      <c r="AG302" s="2317"/>
      <c r="AH302" s="2317"/>
      <c r="AI302" s="2317"/>
      <c r="AJ302" s="2317"/>
      <c r="AK302" s="2317"/>
      <c r="AL302" s="2317"/>
      <c r="AM302" s="2317"/>
      <c r="AN302" s="2317"/>
      <c r="AO302" s="2317"/>
      <c r="AP302" s="2317"/>
      <c r="AQ302" s="2317"/>
      <c r="AR302" s="2317"/>
      <c r="AS302" s="2317"/>
      <c r="AT302" s="2317"/>
      <c r="AU302" s="2317"/>
      <c r="AV302" s="2317"/>
      <c r="AW302" s="2317"/>
      <c r="AX302" s="2317"/>
      <c r="AY302" s="2317"/>
      <c r="AZ302" s="2317"/>
      <c r="BA302" s="2317"/>
      <c r="BB302" s="2317"/>
      <c r="BC302" s="2317"/>
      <c r="BD302" s="2317"/>
      <c r="BE302" s="2317"/>
      <c r="BF302" s="2317"/>
      <c r="BG302" s="2317"/>
      <c r="BH302" s="2317"/>
      <c r="BI302" s="2317"/>
      <c r="BJ302" s="2317"/>
      <c r="BK302" s="2317"/>
      <c r="BL302" s="2317"/>
      <c r="BM302" s="2317"/>
      <c r="BN302" s="2317"/>
      <c r="BO302" s="2363"/>
      <c r="BP302" s="2363"/>
      <c r="BQ302" s="2363"/>
      <c r="BR302" s="2363"/>
      <c r="BS302" s="2363"/>
      <c r="BT302" s="2363"/>
      <c r="BU302" s="2363"/>
      <c r="BV302" s="2363"/>
      <c r="BW302" s="2363"/>
      <c r="BX302" s="2363"/>
      <c r="BY302" s="2363"/>
      <c r="BZ302" s="2363"/>
      <c r="CA302" s="88"/>
      <c r="CC302" s="383"/>
      <c r="CD302" s="2319"/>
      <c r="CE302" s="2319"/>
      <c r="CF302" s="88"/>
      <c r="CG302" s="2319"/>
      <c r="CH302" s="2319"/>
      <c r="CI302" s="88"/>
      <c r="CJ302" s="2319"/>
      <c r="CK302" s="2319"/>
      <c r="CL302" s="88"/>
      <c r="CM302" s="2320"/>
      <c r="CN302" s="2320"/>
      <c r="CO302" s="88"/>
      <c r="CP302" s="2320"/>
      <c r="CQ302" s="2320"/>
      <c r="CR302" s="88"/>
      <c r="CS302" s="2321"/>
      <c r="CT302"/>
      <c r="CU302"/>
      <c r="CV302"/>
      <c r="CW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row>
    <row r="303" spans="1:107" ht="21" customHeight="1">
      <c r="A303" s="1627"/>
      <c r="B303" s="2540"/>
      <c r="C303" s="2540"/>
      <c r="D303" s="1549"/>
      <c r="E303" s="2607"/>
      <c r="F303" s="401"/>
      <c r="G303" s="401"/>
      <c r="H303" s="585"/>
      <c r="I303" s="585"/>
      <c r="J303" s="401"/>
      <c r="K303" s="401"/>
      <c r="L303" s="37"/>
      <c r="N303" s="158"/>
      <c r="O303" s="101"/>
      <c r="P303" s="52"/>
      <c r="Q303" s="101"/>
      <c r="R303" s="101"/>
      <c r="S303" s="18"/>
      <c r="T303" s="18"/>
      <c r="U303" s="39"/>
      <c r="V303" s="37"/>
      <c r="W303" s="2660" t="e" cm="1">
        <f t="array" ca="1" aca="1" ref="W303">fx_scenarioConverter(_PL!W303)</f>
        <v>#NAME?</v>
      </c>
      <c r="X303" s="2137"/>
      <c r="Y303" s="2336" t="s">
        <v>212</v>
      </c>
      <c r="Z303" s="2337"/>
      <c r="AA303" s="2609"/>
      <c r="AB303" s="2141" t="s">
        <v>199</v>
      </c>
      <c r="AC303" s="2138" t="str" cm="1">
        <f t="array" ca="1" aca="1" ref="AC303">_xlfn.LET(_xlpm._termname,$AB303,_xlpm._iconname,"find",_xlpm._icon,fx_getIcon(_xlpm._iconname),_xlpm._location,_xlfn.XLOOKUP(LOWER(_xlpm._termname),LOWER(tbl_acctDef[Term]),tbl_acctDef[Term]),_xlpm._hyperlink,HYPERLINK("#"&amp;CELL("address",_xlpm._location),_xlpm._icon),IFERROR(_xlpm._hyperlink,""))</f>
        <v/>
      </c>
      <c r="AD303" s="2138" t="str" cm="1">
        <f t="array" ca="1" aca="1" ref="AD303">_xlfn.LET(_xlpm._termname,$AB303,_xlpm._iconname,"find",_xlpm._icon,fx_getIcon(_xlpm._iconname),_xlpm._location,_xlfn.XLOOKUP(LOWER(_xlpm._termname),LOWER(tbl_acctDef[Statement]),tbl_acctDef[Statement]),_xlpm._hyperlink,HYPERLINK("#"&amp;CELL("address",_xlpm._location),_xlpm._icon),IFERROR(_xlpm._hyperlink,""))</f>
        <v/>
      </c>
      <c r="AE303" s="2138" t="str" cm="1">
        <f t="array" ca="1" aca="1" ref="AE303">_xlfn.LET(_xlpm._termname,$AB303,_xlpm._iconname,"find",_xlpm._icon,fx_getIcon(_xlpm._iconname),_xlpm._location,_xlfn.XLOOKUP(LOWER(_xlpm._termname),LOWER(tbl_acctDef[Definition]),tbl_acctDef[Definition]),_xlpm._hyperlink,HYPERLINK("#"&amp;CELL("address",_xlpm._location),_xlpm._icon),IFERROR(_xlpm._hyperlink,""))</f>
        <v/>
      </c>
      <c r="AF303" s="2138" t="str" cm="1">
        <f t="array" ca="1" aca="1" ref="AF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303" s="2138" t="str" cm="1">
        <f t="array" ca="1" aca="1" ref="AG303">_xlfn.LET(_xlpm._termname,$AB303,_xlpm._iconname,"find",_xlpm._icon,fx_getIcon(_xlpm._iconname),_xlpm._location,_xlfn.XLOOKUP(LOWER(_xlpm._termname),LOWER(tbl_acctDef[Order]),tbl_acctDef[Order]),_xlpm._hyperlink,HYPERLINK("#"&amp;CELL("address",_xlpm._location),_xlpm._icon),IFERROR(_xlpm._hyperlink,""))</f>
        <v/>
      </c>
      <c r="AH303" s="2138" t="str" cm="1">
        <f t="array" ca="1" aca="1" ref="AH303">_xlfn.LET(_xlpm._termname,$AB303,_xlpm._iconname,"find",_xlpm._icon,fx_getIcon(_xlpm._iconname),_xlpm._location,_xlfn.XLOOKUP(LOWER(_xlpm._termname),LOWER(tbl_acctDef[Term]),tbl_acctDef[Term]),_xlpm._hyperlink,HYPERLINK("#"&amp;CELL("address",_xlpm._location),_xlpm._icon),IFERROR(_xlpm._hyperlink,""))</f>
        <v/>
      </c>
      <c r="AI303" s="2138" t="str" cm="1">
        <f t="array" ca="1" aca="1" ref="AI303">_xlfn.LET(_xlpm._termname,$AB303,_xlpm._iconname,"find",_xlpm._icon,fx_getIcon(_xlpm._iconname),_xlpm._location,_xlfn.XLOOKUP(LOWER(_xlpm._termname),LOWER(tbl_acctDef[Statement]),tbl_acctDef[Statement]),_xlpm._hyperlink,HYPERLINK("#"&amp;CELL("address",_xlpm._location),_xlpm._icon),IFERROR(_xlpm._hyperlink,""))</f>
        <v/>
      </c>
      <c r="AJ303" s="2138" t="str" cm="1">
        <f t="array" ca="1" aca="1" ref="AJ303">_xlfn.LET(_xlpm._termname,$AB303,_xlpm._iconname,"find",_xlpm._icon,fx_getIcon(_xlpm._iconname),_xlpm._location,_xlfn.XLOOKUP(LOWER(_xlpm._termname),LOWER(tbl_acctDef[Definition]),tbl_acctDef[Definition]),_xlpm._hyperlink,HYPERLINK("#"&amp;CELL("address",_xlpm._location),_xlpm._icon),IFERROR(_xlpm._hyperlink,""))</f>
        <v/>
      </c>
      <c r="AK303" s="2138" t="str" cm="1">
        <f t="array" ca="1" aca="1" ref="AK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303" s="2138" t="str" cm="1">
        <f t="array" ca="1" aca="1" ref="AL303">_xlfn.LET(_xlpm._termname,$AB303,_xlpm._iconname,"find",_xlpm._icon,fx_getIcon(_xlpm._iconname),_xlpm._location,_xlfn.XLOOKUP(LOWER(_xlpm._termname),LOWER(tbl_acctDef[Order]),tbl_acctDef[Order]),_xlpm._hyperlink,HYPERLINK("#"&amp;CELL("address",_xlpm._location),_xlpm._icon),IFERROR(_xlpm._hyperlink,""))</f>
        <v/>
      </c>
      <c r="AM303" s="2138" t="str" cm="1">
        <f t="array" ca="1" aca="1" ref="AM303">_xlfn.LET(_xlpm._termname,$AB303,_xlpm._iconname,"find",_xlpm._icon,fx_getIcon(_xlpm._iconname),_xlpm._location,_xlfn.XLOOKUP(LOWER(_xlpm._termname),LOWER(tbl_acctDef[Term]),tbl_acctDef[Term]),_xlpm._hyperlink,HYPERLINK("#"&amp;CELL("address",_xlpm._location),_xlpm._icon),IFERROR(_xlpm._hyperlink,""))</f>
        <v/>
      </c>
      <c r="AN303" s="2138" t="str" cm="1">
        <f t="array" ca="1" aca="1" ref="AN303">_xlfn.LET(_xlpm._termname,$AB303,_xlpm._iconname,"find",_xlpm._icon,fx_getIcon(_xlpm._iconname),_xlpm._location,_xlfn.XLOOKUP(LOWER(_xlpm._termname),LOWER(tbl_acctDef[Statement]),tbl_acctDef[Statement]),_xlpm._hyperlink,HYPERLINK("#"&amp;CELL("address",_xlpm._location),_xlpm._icon),IFERROR(_xlpm._hyperlink,""))</f>
        <v/>
      </c>
      <c r="AO303" s="2138" t="str" cm="1">
        <f t="array" ca="1" aca="1" ref="AO303">_xlfn.LET(_xlpm._termname,$AB303,_xlpm._iconname,"find",_xlpm._icon,fx_getIcon(_xlpm._iconname),_xlpm._location,_xlfn.XLOOKUP(LOWER(_xlpm._termname),LOWER(tbl_acctDef[Definition]),tbl_acctDef[Definition]),_xlpm._hyperlink,HYPERLINK("#"&amp;CELL("address",_xlpm._location),_xlpm._icon),IFERROR(_xlpm._hyperlink,""))</f>
        <v/>
      </c>
      <c r="AP303" s="2138" t="str" cm="1">
        <f t="array" ca="1" aca="1" ref="AP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303" s="2138" t="str" cm="1">
        <f t="array" ca="1" aca="1" ref="AQ303">_xlfn.LET(_xlpm._termname,$AB303,_xlpm._iconname,"find",_xlpm._icon,fx_getIcon(_xlpm._iconname),_xlpm._location,_xlfn.XLOOKUP(LOWER(_xlpm._termname),LOWER(tbl_acctDef[Order]),tbl_acctDef[Order]),_xlpm._hyperlink,HYPERLINK("#"&amp;CELL("address",_xlpm._location),_xlpm._icon),IFERROR(_xlpm._hyperlink,""))</f>
        <v/>
      </c>
      <c r="AR303" s="2138" t="str" cm="1">
        <f t="array" ca="1" aca="1" ref="AR303">_xlfn.LET(_xlpm._termname,$AB303,_xlpm._iconname,"find",_xlpm._icon,fx_getIcon(_xlpm._iconname),_xlpm._location,_xlfn.XLOOKUP(LOWER(_xlpm._termname),LOWER(tbl_acctDef[Term]),tbl_acctDef[Term]),_xlpm._hyperlink,HYPERLINK("#"&amp;CELL("address",_xlpm._location),_xlpm._icon),IFERROR(_xlpm._hyperlink,""))</f>
        <v/>
      </c>
      <c r="AS303" s="2138" t="str" cm="1">
        <f t="array" ca="1" aca="1" ref="AS303">_xlfn.LET(_xlpm._termname,$AB303,_xlpm._iconname,"find",_xlpm._icon,fx_getIcon(_xlpm._iconname),_xlpm._location,_xlfn.XLOOKUP(LOWER(_xlpm._termname),LOWER(tbl_acctDef[Statement]),tbl_acctDef[Statement]),_xlpm._hyperlink,HYPERLINK("#"&amp;CELL("address",_xlpm._location),_xlpm._icon),IFERROR(_xlpm._hyperlink,""))</f>
        <v/>
      </c>
      <c r="AT303" s="2138" t="str" cm="1">
        <f t="array" ca="1" aca="1" ref="AT303">_xlfn.LET(_xlpm._termname,$AB303,_xlpm._iconname,"find",_xlpm._icon,fx_getIcon(_xlpm._iconname),_xlpm._location,_xlfn.XLOOKUP(LOWER(_xlpm._termname),LOWER(tbl_acctDef[Definition]),tbl_acctDef[Definition]),_xlpm._hyperlink,HYPERLINK("#"&amp;CELL("address",_xlpm._location),_xlpm._icon),IFERROR(_xlpm._hyperlink,""))</f>
        <v/>
      </c>
      <c r="AU303" s="2138" t="str" cm="1">
        <f t="array" ca="1" aca="1" ref="AU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303" s="2138" t="str" cm="1">
        <f t="array" ca="1" aca="1" ref="AV303">_xlfn.LET(_xlpm._termname,$AB303,_xlpm._iconname,"find",_xlpm._icon,fx_getIcon(_xlpm._iconname),_xlpm._location,_xlfn.XLOOKUP(LOWER(_xlpm._termname),LOWER(tbl_acctDef[Order]),tbl_acctDef[Order]),_xlpm._hyperlink,HYPERLINK("#"&amp;CELL("address",_xlpm._location),_xlpm._icon),IFERROR(_xlpm._hyperlink,""))</f>
        <v/>
      </c>
      <c r="AW303" s="2138" t="str" cm="1">
        <f t="array" ca="1" aca="1" ref="AW303">_xlfn.LET(_xlpm._termname,$AB303,_xlpm._iconname,"find",_xlpm._icon,fx_getIcon(_xlpm._iconname),_xlpm._location,_xlfn.XLOOKUP(LOWER(_xlpm._termname),LOWER(tbl_acctDef[Term]),tbl_acctDef[Term]),_xlpm._hyperlink,HYPERLINK("#"&amp;CELL("address",_xlpm._location),_xlpm._icon),IFERROR(_xlpm._hyperlink,""))</f>
        <v/>
      </c>
      <c r="AX303" s="2138" t="str" cm="1">
        <f t="array" ca="1" aca="1" ref="AX303">_xlfn.LET(_xlpm._termname,$AB303,_xlpm._iconname,"find",_xlpm._icon,fx_getIcon(_xlpm._iconname),_xlpm._location,_xlfn.XLOOKUP(LOWER(_xlpm._termname),LOWER(tbl_acctDef[Statement]),tbl_acctDef[Statement]),_xlpm._hyperlink,HYPERLINK("#"&amp;CELL("address",_xlpm._location),_xlpm._icon),IFERROR(_xlpm._hyperlink,""))</f>
        <v/>
      </c>
      <c r="AY303" s="2138" t="str" cm="1">
        <f t="array" ca="1" aca="1" ref="AY303">_xlfn.LET(_xlpm._termname,$AB303,_xlpm._iconname,"find",_xlpm._icon,fx_getIcon(_xlpm._iconname),_xlpm._location,_xlfn.XLOOKUP(LOWER(_xlpm._termname),LOWER(tbl_acctDef[Definition]),tbl_acctDef[Definition]),_xlpm._hyperlink,HYPERLINK("#"&amp;CELL("address",_xlpm._location),_xlpm._icon),IFERROR(_xlpm._hyperlink,""))</f>
        <v/>
      </c>
      <c r="AZ303" s="2138" t="str" cm="1">
        <f t="array" ca="1" aca="1" ref="AZ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303" s="2138" t="str" cm="1">
        <f t="array" ca="1" aca="1" ref="BA303">_xlfn.LET(_xlpm._termname,$AB303,_xlpm._iconname,"find",_xlpm._icon,fx_getIcon(_xlpm._iconname),_xlpm._location,_xlfn.XLOOKUP(LOWER(_xlpm._termname),LOWER(tbl_acctDef[Order]),tbl_acctDef[Order]),_xlpm._hyperlink,HYPERLINK("#"&amp;CELL("address",_xlpm._location),_xlpm._icon),IFERROR(_xlpm._hyperlink,""))</f>
        <v/>
      </c>
      <c r="BB303" s="2138" t="str" cm="1">
        <f t="array" ca="1" aca="1" ref="BB303">_xlfn.LET(_xlpm._termname,$AB303,_xlpm._iconname,"find",_xlpm._icon,fx_getIcon(_xlpm._iconname),_xlpm._location,_xlfn.XLOOKUP(LOWER(_xlpm._termname),LOWER(tbl_acctDef[Term]),tbl_acctDef[Term]),_xlpm._hyperlink,HYPERLINK("#"&amp;CELL("address",_xlpm._location),_xlpm._icon),IFERROR(_xlpm._hyperlink,""))</f>
        <v/>
      </c>
      <c r="BC303" s="2138" t="str" cm="1">
        <f t="array" ca="1" aca="1" ref="BC303">_xlfn.LET(_xlpm._termname,$AB303,_xlpm._iconname,"find",_xlpm._icon,fx_getIcon(_xlpm._iconname),_xlpm._location,_xlfn.XLOOKUP(LOWER(_xlpm._termname),LOWER(tbl_acctDef[Statement]),tbl_acctDef[Statement]),_xlpm._hyperlink,HYPERLINK("#"&amp;CELL("address",_xlpm._location),_xlpm._icon),IFERROR(_xlpm._hyperlink,""))</f>
        <v/>
      </c>
      <c r="BD303" s="2138" t="str" cm="1">
        <f t="array" ca="1" aca="1" ref="BD303">_xlfn.LET(_xlpm._termname,$AB303,_xlpm._iconname,"find",_xlpm._icon,fx_getIcon(_xlpm._iconname),_xlpm._location,_xlfn.XLOOKUP(LOWER(_xlpm._termname),LOWER(tbl_acctDef[Definition]),tbl_acctDef[Definition]),_xlpm._hyperlink,HYPERLINK("#"&amp;CELL("address",_xlpm._location),_xlpm._icon),IFERROR(_xlpm._hyperlink,""))</f>
        <v/>
      </c>
      <c r="BE303" s="2138" t="str" cm="1">
        <f t="array" ca="1" aca="1" ref="BE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303" s="2138" t="str" cm="1">
        <f t="array" ca="1" aca="1" ref="BF303">_xlfn.LET(_xlpm._termname,$AB303,_xlpm._iconname,"find",_xlpm._icon,fx_getIcon(_xlpm._iconname),_xlpm._location,_xlfn.XLOOKUP(LOWER(_xlpm._termname),LOWER(tbl_acctDef[Order]),tbl_acctDef[Order]),_xlpm._hyperlink,HYPERLINK("#"&amp;CELL("address",_xlpm._location),_xlpm._icon),IFERROR(_xlpm._hyperlink,""))</f>
        <v/>
      </c>
      <c r="BG303" s="2138" t="str" cm="1">
        <f t="array" ca="1" aca="1" ref="BG303">_xlfn.LET(_xlpm._termname,$AB303,_xlpm._iconname,"find",_xlpm._icon,fx_getIcon(_xlpm._iconname),_xlpm._location,_xlfn.XLOOKUP(LOWER(_xlpm._termname),LOWER(tbl_acctDef[Term]),tbl_acctDef[Term]),_xlpm._hyperlink,HYPERLINK("#"&amp;CELL("address",_xlpm._location),_xlpm._icon),IFERROR(_xlpm._hyperlink,""))</f>
        <v/>
      </c>
      <c r="BH303" s="2138" t="str" cm="1">
        <f t="array" ca="1" aca="1" ref="BH303">_xlfn.LET(_xlpm._termname,$AB303,_xlpm._iconname,"find",_xlpm._icon,fx_getIcon(_xlpm._iconname),_xlpm._location,_xlfn.XLOOKUP(LOWER(_xlpm._termname),LOWER(tbl_acctDef[Statement]),tbl_acctDef[Statement]),_xlpm._hyperlink,HYPERLINK("#"&amp;CELL("address",_xlpm._location),_xlpm._icon),IFERROR(_xlpm._hyperlink,""))</f>
        <v/>
      </c>
      <c r="BI303" s="2138" t="str" cm="1">
        <f t="array" ca="1" aca="1" ref="BI303">_xlfn.LET(_xlpm._termname,$AB303,_xlpm._iconname,"find",_xlpm._icon,fx_getIcon(_xlpm._iconname),_xlpm._location,_xlfn.XLOOKUP(LOWER(_xlpm._termname),LOWER(tbl_acctDef[Definition]),tbl_acctDef[Definition]),_xlpm._hyperlink,HYPERLINK("#"&amp;CELL("address",_xlpm._location),_xlpm._icon),IFERROR(_xlpm._hyperlink,""))</f>
        <v/>
      </c>
      <c r="BJ303" s="2138" t="str" cm="1">
        <f t="array" ca="1" aca="1" ref="BJ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303" s="2138" t="str" cm="1">
        <f t="array" ca="1" aca="1" ref="BK303">_xlfn.LET(_xlpm._termname,$AB303,_xlpm._iconname,"find",_xlpm._icon,fx_getIcon(_xlpm._iconname),_xlpm._location,_xlfn.XLOOKUP(LOWER(_xlpm._termname),LOWER(tbl_acctDef[Order]),tbl_acctDef[Order]),_xlpm._hyperlink,HYPERLINK("#"&amp;CELL("address",_xlpm._location),_xlpm._icon),IFERROR(_xlpm._hyperlink,""))</f>
        <v/>
      </c>
      <c r="BL303" s="2138" t="str" cm="1">
        <f t="array" ca="1" aca="1" ref="BL303">_xlfn.LET(_xlpm._termname,$AB303,_xlpm._iconname,"find",_xlpm._icon,fx_getIcon(_xlpm._iconname),_xlpm._location,_xlfn.XLOOKUP(LOWER(_xlpm._termname),LOWER(tbl_acctDef[Term]),tbl_acctDef[Term]),_xlpm._hyperlink,HYPERLINK("#"&amp;CELL("address",_xlpm._location),_xlpm._icon),IFERROR(_xlpm._hyperlink,""))</f>
        <v/>
      </c>
      <c r="BM303" s="2138" t="str" cm="1">
        <f t="array" ca="1" aca="1" ref="BM303">_xlfn.LET(_xlpm._termname,$AB303,_xlpm._iconname,"find",_xlpm._icon,fx_getIcon(_xlpm._iconname),_xlpm._location,_xlfn.XLOOKUP(LOWER(_xlpm._termname),LOWER(tbl_acctDef[Statement]),tbl_acctDef[Statement]),_xlpm._hyperlink,HYPERLINK("#"&amp;CELL("address",_xlpm._location),_xlpm._icon),IFERROR(_xlpm._hyperlink,""))</f>
        <v/>
      </c>
      <c r="BN303" s="2138" t="str" cm="1">
        <f t="array" ca="1" aca="1" ref="BN303">_xlfn.LET(_xlpm._termname,$AB303,_xlpm._iconname,"find",_xlpm._icon,fx_getIcon(_xlpm._iconname),_xlpm._location,_xlfn.XLOOKUP(LOWER(_xlpm._termname),LOWER(tbl_acctDef[Definition]),tbl_acctDef[Definition]),_xlpm._hyperlink,HYPERLINK("#"&amp;CELL("address",_xlpm._location),_xlpm._icon),IFERROR(_xlpm._hyperlink,""))</f>
        <v/>
      </c>
      <c r="BO303" s="2361"/>
      <c r="BP303" s="2361"/>
      <c r="BQ303" s="2361"/>
      <c r="BR303" s="2361"/>
      <c r="BS303" s="2361"/>
      <c r="BT303" s="2361"/>
      <c r="BU303" s="2361"/>
      <c r="BV303" s="2361"/>
      <c r="BW303" s="2361"/>
      <c r="BX303" s="2361"/>
      <c r="BY303" s="2361"/>
      <c r="BZ303" s="2361"/>
      <c r="CA303" s="34"/>
      <c r="CC303" s="58"/>
      <c r="CD303" s="1720" t="e" cm="1">
        <f t="array" ca="1" aca="1" ref="CD303">fx_scenarioConverter($W298)</f>
        <v>#NAME?</v>
      </c>
      <c r="CE303" s="1721" t="e" cm="1">
        <f t="array" ca="1" aca="1" ref="CE303">fx_scenarioConverter($W298)</f>
        <v>#NAME?</v>
      </c>
      <c r="CF303" s="128"/>
      <c r="CG303" s="1734" t="e" cm="1">
        <f t="array" ca="1" aca="1" ref="CG303">fx_scenarioConverter($W298)</f>
        <v>#NAME?</v>
      </c>
      <c r="CH303" s="1735" t="e" cm="1">
        <f t="array" ca="1" aca="1" ref="CH303">fx_scenarioConverter($W298)</f>
        <v>#NAME?</v>
      </c>
      <c r="CI303" s="207"/>
      <c r="CJ303" s="1724" t="e" cm="1">
        <f t="array" ca="1" aca="1" ref="CJ303">fx_scenarioConverter($W298)</f>
        <v>#NAME?</v>
      </c>
      <c r="CK303" s="1725" t="e" cm="1">
        <f t="array" ca="1" aca="1" ref="CK303">fx_scenarioConverter($W298)</f>
        <v>#NAME?</v>
      </c>
      <c r="CL303" s="88"/>
      <c r="CM303" s="1198" t="str">
        <f>CM$19</f>
        <v>Original Budget</v>
      </c>
      <c r="CN303" s="1198" t="str">
        <f>CN$19</f>
        <v>LE</v>
      </c>
      <c r="CO303" s="88"/>
      <c r="CP303" s="1198" t="str">
        <f>CP$19</f>
        <v>Original Budget</v>
      </c>
      <c r="CQ303" s="1198" t="str">
        <f>CQ$19</f>
        <v>LE</v>
      </c>
      <c r="CR303" s="34"/>
      <c r="CS303" s="2056"/>
      <c r="DC303"/>
    </row>
    <row r="304" spans="1:107" ht="21" customHeight="1">
      <c r="A304" s="1627"/>
      <c r="B304" s="2606"/>
      <c r="C304" s="2540"/>
      <c r="D304" s="1549"/>
      <c r="E304" s="2440" t="e" cm="1">
        <f t="array" ca="1" aca="1" ref="E30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304:$CQ304,Z304)</f>
        <v>#NAME?</v>
      </c>
      <c r="F304" s="401"/>
      <c r="G304" s="401"/>
      <c r="H304" s="585">
        <v>0</v>
      </c>
      <c r="I304" s="3290">
        <v>1</v>
      </c>
      <c r="J304" s="401"/>
      <c r="K304" s="401" t="str">
        <f t="shared" si="78" ref="K304:K305">IFERROR(IF(LEN(AB304)=0,"No",IF(LEN(J304)&gt;0,"Yes","No")),"")</f>
        <v>No</v>
      </c>
      <c r="L304" s="37"/>
      <c r="N304" s="158"/>
      <c r="O304" s="101"/>
      <c r="P304" s="52"/>
      <c r="Q304" s="101"/>
      <c r="R304" s="101"/>
      <c r="S304" s="101"/>
      <c r="T304" s="2324"/>
      <c r="U304" s="39"/>
      <c r="V304" s="37"/>
      <c r="W304" s="2364" t="e">
        <f ca="1">W303</f>
        <v>#NAME?</v>
      </c>
      <c r="X304" s="2373">
        <f>_PL!X304</f>
        <v>0</v>
      </c>
      <c r="Y304" s="3227">
        <v>2</v>
      </c>
      <c r="Z304" s="198">
        <f>_PL!Z304</f>
        <v>0</v>
      </c>
      <c r="AA304" s="200" t="str" cm="1">
        <f t="array" ca="1" aca="1" ref="AA304">IF(Y304="","",_xlfn.LET(_xlpm._termname,$W304&amp;$Y304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4" s="1134"/>
      <c r="AC304" s="125" t="str" cm="1">
        <f t="array" ca="1" aca="1" ref="AC304">IF(AB304="","",_xlfn.LET(_xlpm._termname,PL!$W304&amp;$AB304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04" s="2152" t="e" cm="1">
        <f t="array" ca="1" aca="1" ref="AD304">_xlfn.LET(_xlpm.search_key,$W304&amp;$Y304,_xlpm.Scenario,_xlfn.VSTACK($W$20:$W$55&amp;$Y$20:$Y$55,$W$76:$W$110&amp;$Y$76:$Y$110),_xlpm.Data,_xlfn.VSTACK($AD$20:$BN$55,$AD$76:$BN$110),IF(OR($Y304="",ISNUMBER(SEARCH("please",$Y304))),"",_xlfn.XLOOKUP(_xlpm.search_key,_xlpm.Scenario,_xlpm.Data,"▧")))</f>
        <v>#NAME?</v>
      </c>
      <c r="AE304" s="2152"/>
      <c r="AF304" s="2152"/>
      <c r="AG304" s="2152"/>
      <c r="AH304" s="2152"/>
      <c r="AI304" s="2152"/>
      <c r="AJ304" s="2152"/>
      <c r="AK304" s="2152"/>
      <c r="AL304" s="2152"/>
      <c r="AM304" s="2152"/>
      <c r="AN304" s="2152"/>
      <c r="AO304" s="2152"/>
      <c r="AP304" s="2152"/>
      <c r="AQ304" s="2152"/>
      <c r="AR304" s="2152"/>
      <c r="AS304" s="2152"/>
      <c r="AT304" s="2152"/>
      <c r="AU304" s="2152"/>
      <c r="AV304" s="2152"/>
      <c r="AW304" s="2152"/>
      <c r="AX304" s="2152"/>
      <c r="AY304" s="2152"/>
      <c r="AZ304" s="2152"/>
      <c r="BA304" s="2152"/>
      <c r="BB304" s="2152"/>
      <c r="BC304" s="2152"/>
      <c r="BD304" s="2152"/>
      <c r="BE304" s="2152"/>
      <c r="BF304" s="2152"/>
      <c r="BG304" s="2152"/>
      <c r="BH304" s="2152"/>
      <c r="BI304" s="2152"/>
      <c r="BJ304" s="2152"/>
      <c r="BK304" s="2152"/>
      <c r="BL304" s="2152"/>
      <c r="BM304" s="2152"/>
      <c r="BN304" s="2152"/>
      <c r="BO304" s="2362"/>
      <c r="BP304" s="2362"/>
      <c r="BQ304" s="2362"/>
      <c r="BR304" s="2362"/>
      <c r="BS304" s="2362"/>
      <c r="BT304" s="2362"/>
      <c r="BU304" s="2362"/>
      <c r="BV304" s="2362"/>
      <c r="BW304" s="2362"/>
      <c r="BX304" s="2362"/>
      <c r="BY304" s="2362"/>
      <c r="BZ304" s="2362"/>
      <c r="CA304" s="34"/>
      <c r="CC304" s="58"/>
      <c r="CD304" s="2154" t="e" cm="1">
        <f t="array" ca="1" aca="1" ref="CD304">_xlfn.LET(_xlpm.search_key,$W304&amp;$Y304,_xlpm.Scenario,_xlfn.VSTACK($W$20:$W$55&amp;$Y$20:$Y$55,$W$76:$W$110&amp;$Y$76:$Y$110),_xlpm.Data,_xlfn.VSTACK(CD$20:CE$55,CD$76:CE$110),IF(OR($Y304="",ISNUMBER(SEARCH("please",$Y304))),"",_xlfn.XLOOKUP(_xlpm.search_key,_xlpm.Scenario,_xlpm.Data,"▧")))</f>
        <v>#NAME?</v>
      </c>
      <c r="CE304" s="2154"/>
      <c r="CF304" s="88"/>
      <c r="CG304" s="2154" t="e" cm="1">
        <f t="array" ca="1" aca="1" ref="CG304">_xlfn.LET(_xlpm.search_key,$W304&amp;$Y304,_xlpm.Scenario,_xlfn.VSTACK($W$20:$W$55&amp;$Y$20:$Y$55,$W$76:$W$110&amp;$Y$76:$Y$110),_xlpm.Data,_xlfn.VSTACK(CG$20:CH$55,CG$76:CH$110),IF(OR($Y304="",ISNUMBER(SEARCH("please",$Y304))),"",_xlfn.XLOOKUP(_xlpm.search_key,_xlpm.Scenario,_xlpm.Data,"▧")))</f>
        <v>#NAME?</v>
      </c>
      <c r="CH304" s="2154"/>
      <c r="CI304" s="88"/>
      <c r="CJ304" s="2154" t="e" cm="1">
        <f t="array" ca="1" aca="1" ref="CJ304">_xlfn.LET(_xlpm.search_key,$W304&amp;$Y304,_xlpm.Scenario,_xlfn.VSTACK($W$20:$W$55&amp;$Y$20:$Y$55,$W$76:$W$110&amp;$Y$76:$Y$110),_xlpm.Data,_xlfn.VSTACK(CJ$20:CK$55,CJ$76:CK$110),IF(OR($Y304="",ISNUMBER(SEARCH("please",$Y304))),"",_xlfn.XLOOKUP(_xlpm.search_key,_xlpm.Scenario,_xlpm.Data,"▧")))</f>
        <v>#NAME?</v>
      </c>
      <c r="CK304" s="2154"/>
      <c r="CL304" s="88"/>
      <c r="CM304" s="2154" t="e" cm="1">
        <f t="array" ca="1" aca="1" ref="CM304">_xlfn.LET(_xlpm.search_key,$W304&amp;$Y304,_xlpm.Scenario,_xlfn.VSTACK($W$20:$W$55&amp;$Y$20:$Y$55,$W$76:$W$110&amp;$Y$76:$Y$110),_xlpm.Data,_xlfn.VSTACK(CM$20:CN$55,CM$76:CN$110),IF(OR($Y304="",ISNUMBER(SEARCH("please",$Y304))),"",_xlfn.XLOOKUP(_xlpm.search_key,_xlpm.Scenario,_xlpm.Data,"▧")))</f>
        <v>#NAME?</v>
      </c>
      <c r="CN304" s="2154"/>
      <c r="CO304" s="88"/>
      <c r="CP304" s="2154" t="e" cm="1">
        <f t="array" ca="1" aca="1" ref="CP304">_xlfn.LET(_xlpm.search_key,$W304&amp;$Y304,_xlpm.Scenario,_xlfn.VSTACK($W$20:$W$55&amp;$Y$20:$Y$55,$W$76:$W$110&amp;$Y$76:$Y$110),_xlpm.Data,_xlfn.VSTACK(CP$20:CQ$55,CP$76:CQ$110),IF(OR($Y304="",ISNUMBER(SEARCH("please",$Y304))),"",_xlfn.XLOOKUP(_xlpm.search_key,_xlpm.Scenario,_xlpm.Data,"▧")))</f>
        <v>#NAME?</v>
      </c>
      <c r="CQ304" s="2154"/>
      <c r="CR304" s="34"/>
      <c r="CS304" s="2056"/>
      <c r="CT304" t="str" cm="1">
        <f t="array" ref="CT304">IF(PL!K304&lt;&gt;"Yes","",IF(OR(PL!Y304="Select,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III"),"",IF(OR(PL!Y304&lt;&gt;PL!AB304,AND(LEN(PL!B304)=0,NOT(OR(PL!Y304="Select,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III")))),_xldudf_CX_PUSH(PL!Y304,CX_ENTITY,PL!C304,EOMONTH(val_asOfDate,0)),"")))</f>
        <v/>
      </c>
      <c r="CU304" t="str" cm="1">
        <f t="array" ref="CU304">IF(PL!K304&lt;&gt;"Yes","",IF(OR(PL!Y304="Select,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III"),"",IF(OR(PL!Y304&lt;&gt;PL!AB304,AND(LEN(PL!B304)=0,NOT(OR(PL!Y304="Select,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III")))),_xldudf_CX_PUSH(PL!Y304,CX_ENTITY,PL!C304,EOMONTH(val_asOfDate,1)),"")))</f>
        <v/>
      </c>
      <c r="CV304" t="str" cm="1">
        <f t="array" ref="CV304">IF(PL!K304&lt;&gt;"Yes","",IF(OR(PL!Y304="Select,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III"),"",IF(OR(PL!Y304&lt;&gt;PL!AB304,AND(LEN(PL!B304)=0,NOT(OR(PL!Y304="Select,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III")))),_xldudf_CX_PUSH(PL!Y304,CX_ENTITY,PL!C304,EOMONTH(val_asOfDate,2)),"")))</f>
        <v/>
      </c>
      <c r="CW304" t="str" cm="1">
        <f t="array" ref="CW304">IF(PL!K304&lt;&gt;"Yes","",IF(OR(PL!Y304="Select,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III"),"",IF(OR(PL!Y304&lt;&gt;PL!AB304,AND(LEN(PL!B304)=0,NOT(OR(PL!Y304="Select,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III")))),_xldudf_CX_PUSH(PL!Y304,CX_ENTITY,PL!C304,EOMONTH(val_asOfDate,3)),"")))</f>
        <v/>
      </c>
      <c r="DC304"/>
    </row>
    <row r="305" spans="1:107" ht="21" customHeight="1">
      <c r="A305" s="1627"/>
      <c r="B305" s="2606"/>
      <c r="C305" s="2540"/>
      <c r="D305" s="1549"/>
      <c r="E305" s="2440" t="e" cm="1">
        <f t="array" ca="1" aca="1" ref="E30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305:$CQ305,Z305)</f>
        <v>#NAME?</v>
      </c>
      <c r="F305" s="401"/>
      <c r="G305" s="401"/>
      <c r="H305" s="585">
        <v>0</v>
      </c>
      <c r="I305" s="3290">
        <v>1</v>
      </c>
      <c r="J305" s="401"/>
      <c r="K305" s="401" t="str">
        <f t="shared" si="78"/>
        <v>No</v>
      </c>
      <c r="L305" s="37"/>
      <c r="N305" s="158"/>
      <c r="O305" s="101"/>
      <c r="P305" s="52"/>
      <c r="Q305" s="101"/>
      <c r="R305" s="101"/>
      <c r="S305" s="101"/>
      <c r="T305" s="101"/>
      <c r="U305" s="39"/>
      <c r="V305" s="37"/>
      <c r="W305" s="2364" t="e">
        <f ca="1">W303</f>
        <v>#NAME?</v>
      </c>
      <c r="X305" s="2373">
        <f>_PL!X305</f>
        <v>0</v>
      </c>
      <c r="Y305" s="3228">
        <v>2</v>
      </c>
      <c r="Z305" s="198">
        <f>_PL!Z305</f>
        <v>0</v>
      </c>
      <c r="AA305" s="200" t="str" cm="1">
        <f t="array" ca="1" aca="1" ref="AA305">IF(Y305="","",_xlfn.LET(_xlpm._termname,$W305&amp;$Y305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5" s="1134"/>
      <c r="AC305" s="125" t="str" cm="1">
        <f t="array" ca="1" aca="1" ref="AC305">IF(AB305="","",_xlfn.LET(_xlpm._termname,PL!$W306&amp;$AB305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05" s="2152" t="e" cm="1">
        <f t="array" ca="1" aca="1" ref="AD305">_xlfn.LET(_xlpm.search_key,$W305&amp;$Y305,_xlpm.Scenario,_xlfn.VSTACK($W$20:$W$55&amp;$Y$20:$Y$55,$W$76:$W$110&amp;$Y$76:$Y$110),_xlpm.Data,_xlfn.VSTACK($AD$20:$BN$55,$AD$76:$BN$110),IF(OR($Y305="",ISNUMBER(SEARCH("please",$Y305))),"",_xlfn.XLOOKUP(_xlpm.search_key,_xlpm.Scenario,_xlpm.Data,"▧")))</f>
        <v>#NAME?</v>
      </c>
      <c r="AE305" s="2152"/>
      <c r="AF305" s="2152"/>
      <c r="AG305" s="2152"/>
      <c r="AH305" s="2152"/>
      <c r="AI305" s="2152"/>
      <c r="AJ305" s="2152"/>
      <c r="AK305" s="2152"/>
      <c r="AL305" s="2152"/>
      <c r="AM305" s="2152"/>
      <c r="AN305" s="2152"/>
      <c r="AO305" s="2152"/>
      <c r="AP305" s="2152"/>
      <c r="AQ305" s="2152"/>
      <c r="AR305" s="2152"/>
      <c r="AS305" s="2152"/>
      <c r="AT305" s="2152"/>
      <c r="AU305" s="2152"/>
      <c r="AV305" s="2152"/>
      <c r="AW305" s="2152"/>
      <c r="AX305" s="2152"/>
      <c r="AY305" s="2152"/>
      <c r="AZ305" s="2152"/>
      <c r="BA305" s="2152"/>
      <c r="BB305" s="2152"/>
      <c r="BC305" s="2152"/>
      <c r="BD305" s="2152"/>
      <c r="BE305" s="2152"/>
      <c r="BF305" s="2152"/>
      <c r="BG305" s="2152"/>
      <c r="BH305" s="2152"/>
      <c r="BI305" s="2152"/>
      <c r="BJ305" s="2152"/>
      <c r="BK305" s="2152"/>
      <c r="BL305" s="2152"/>
      <c r="BM305" s="2152"/>
      <c r="BN305" s="2152"/>
      <c r="BO305" s="2362"/>
      <c r="BP305" s="2362"/>
      <c r="BQ305" s="2362"/>
      <c r="BR305" s="2362"/>
      <c r="BS305" s="2362"/>
      <c r="BT305" s="2362"/>
      <c r="BU305" s="2362"/>
      <c r="BV305" s="2362"/>
      <c r="BW305" s="2362"/>
      <c r="BX305" s="2362"/>
      <c r="BY305" s="2362"/>
      <c r="BZ305" s="2362"/>
      <c r="CA305" s="34"/>
      <c r="CC305" s="58"/>
      <c r="CD305" s="2154" t="e" cm="1">
        <f t="array" ca="1" aca="1" ref="CD305">_xlfn.LET(_xlpm.search_key,$W305&amp;$Y305,_xlpm.Scenario,_xlfn.VSTACK($W$20:$W$55&amp;$Y$20:$Y$55,$W$76:$W$110&amp;$Y$76:$Y$110),_xlpm.Data,_xlfn.VSTACK(CD$20:CE$55,CD$76:CE$110),IF(OR($Y305="",ISNUMBER(SEARCH("please",$Y305))),"",_xlfn.XLOOKUP(_xlpm.search_key,_xlpm.Scenario,_xlpm.Data,"▧")))</f>
        <v>#NAME?</v>
      </c>
      <c r="CE305" s="2154"/>
      <c r="CF305" s="88"/>
      <c r="CG305" s="2154" t="e" cm="1">
        <f t="array" ca="1" aca="1" ref="CG305">_xlfn.LET(_xlpm.search_key,$W305&amp;$Y305,_xlpm.Scenario,_xlfn.VSTACK($W$20:$W$55&amp;$Y$20:$Y$55,$W$76:$W$110&amp;$Y$76:$Y$110),_xlpm.Data,_xlfn.VSTACK(CG$20:CH$55,CG$76:CH$110),IF(OR($Y305="",ISNUMBER(SEARCH("please",$Y305))),"",_xlfn.XLOOKUP(_xlpm.search_key,_xlpm.Scenario,_xlpm.Data,"▧")))</f>
        <v>#NAME?</v>
      </c>
      <c r="CH305" s="2154"/>
      <c r="CI305" s="88"/>
      <c r="CJ305" s="2154" t="e" cm="1">
        <f t="array" ca="1" aca="1" ref="CJ305">_xlfn.LET(_xlpm.search_key,$W305&amp;$Y305,_xlpm.Scenario,_xlfn.VSTACK($W$20:$W$55&amp;$Y$20:$Y$55,$W$76:$W$110&amp;$Y$76:$Y$110),_xlpm.Data,_xlfn.VSTACK(CJ$20:CK$55,CJ$76:CK$110),IF(OR($Y305="",ISNUMBER(SEARCH("please",$Y305))),"",_xlfn.XLOOKUP(_xlpm.search_key,_xlpm.Scenario,_xlpm.Data,"▧")))</f>
        <v>#NAME?</v>
      </c>
      <c r="CK305" s="2154"/>
      <c r="CL305" s="88"/>
      <c r="CM305" s="2154" t="e" cm="1">
        <f t="array" ca="1" aca="1" ref="CM305">_xlfn.LET(_xlpm.search_key,$W305&amp;$Y305,_xlpm.Scenario,_xlfn.VSTACK($W$20:$W$55&amp;$Y$20:$Y$55,$W$76:$W$110&amp;$Y$76:$Y$110),_xlpm.Data,_xlfn.VSTACK(CM$20:CN$55,CM$76:CN$110),IF(OR($Y305="",ISNUMBER(SEARCH("please",$Y305))),"",_xlfn.XLOOKUP(_xlpm.search_key,_xlpm.Scenario,_xlpm.Data,"▧")))</f>
        <v>#NAME?</v>
      </c>
      <c r="CN305" s="2154"/>
      <c r="CO305" s="88"/>
      <c r="CP305" s="2154" t="e" cm="1">
        <f t="array" ca="1" aca="1" ref="CP305">_xlfn.LET(_xlpm.search_key,$W305&amp;$Y305,_xlpm.Scenario,_xlfn.VSTACK($W$20:$W$55&amp;$Y$20:$Y$55,$W$76:$W$110&amp;$Y$76:$Y$110),_xlpm.Data,_xlfn.VSTACK(CP$20:CQ$55,CP$76:CQ$110),IF(OR($Y305="",ISNUMBER(SEARCH("please",$Y305))),"",_xlfn.XLOOKUP(_xlpm.search_key,_xlpm.Scenario,_xlpm.Data,"▧")))</f>
        <v>#NAME?</v>
      </c>
      <c r="CQ305" s="2154"/>
      <c r="CR305" s="34"/>
      <c r="CS305" s="2056"/>
      <c r="CT305" t="str" cm="1">
        <f t="array" ref="CT305">IF(PL!K305&lt;&gt;"Yes","",IF(OR(PL!Y305="Select,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III"),"",IF(OR(PL!Y305&lt;&gt;PL!AB305,AND(LEN(PL!B305)=0,NOT(OR(PL!Y305="Select,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III")))),_xldudf_CX_PUSH(PL!Y305,CX_ENTITY,PL!C305,EOMONTH(val_asOfDate,0)),"")))</f>
        <v/>
      </c>
      <c r="CU305" t="str" cm="1">
        <f t="array" ref="CU305">IF(PL!K305&lt;&gt;"Yes","",IF(OR(PL!Y305="Select,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III"),"",IF(OR(PL!Y305&lt;&gt;PL!AB305,AND(LEN(PL!B305)=0,NOT(OR(PL!Y305="Select,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III")))),_xldudf_CX_PUSH(PL!Y305,CX_ENTITY,PL!C305,EOMONTH(val_asOfDate,1)),"")))</f>
        <v/>
      </c>
      <c r="CV305" t="str" cm="1">
        <f t="array" ref="CV305">IF(PL!K305&lt;&gt;"Yes","",IF(OR(PL!Y305="Select,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III"),"",IF(OR(PL!Y305&lt;&gt;PL!AB305,AND(LEN(PL!B305)=0,NOT(OR(PL!Y305="Select,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III")))),_xldudf_CX_PUSH(PL!Y305,CX_ENTITY,PL!C305,EOMONTH(val_asOfDate,2)),"")))</f>
        <v/>
      </c>
      <c r="CW305" t="str" cm="1">
        <f t="array" ref="CW305">IF(PL!K305&lt;&gt;"Yes","",IF(OR(PL!Y305="Select,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III"),"",IF(OR(PL!Y305&lt;&gt;PL!AB305,AND(LEN(PL!B305)=0,NOT(OR(PL!Y305="Select,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III")))),_xldudf_CX_PUSH(PL!Y305,CX_ENTITY,PL!C305,EOMONTH(val_asOfDate,3)),"")))</f>
        <v/>
      </c>
      <c r="DC305"/>
    </row>
    <row r="306" spans="1:107" ht="21" customHeight="1">
      <c r="A306" s="1627"/>
      <c r="B306" s="2606"/>
      <c r="C306" s="2540"/>
      <c r="D306" s="1549"/>
      <c r="E306" s="2440"/>
      <c r="F306" s="401"/>
      <c r="G306" s="401"/>
      <c r="H306" s="585"/>
      <c r="I306" s="585"/>
      <c r="J306" s="401"/>
      <c r="K306" s="401"/>
      <c r="L306" s="37"/>
      <c r="N306" s="158"/>
      <c r="O306" s="101"/>
      <c r="P306" s="52"/>
      <c r="Q306" s="101"/>
      <c r="R306" s="101"/>
      <c r="S306" s="101"/>
      <c r="T306" s="101"/>
      <c r="U306" s="39"/>
      <c r="V306" s="37"/>
      <c r="W306" s="2364" t="e">
        <f ca="1">W303</f>
        <v>#NAME?</v>
      </c>
      <c r="X306" s="2373">
        <f>_PL!X306</f>
        <v>0</v>
      </c>
      <c r="Y306" s="3228">
        <v>2</v>
      </c>
      <c r="Z306" s="198">
        <f>_PL!Z306</f>
        <v>0</v>
      </c>
      <c r="AA306" s="200" t="str" cm="1">
        <f t="array" ca="1" aca="1" ref="AA306">IF(Y306="","",_xlfn.LET(_xlpm._termname,$W306&amp;$Y306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6" s="1134"/>
      <c r="AC306" s="125"/>
      <c r="AD306" s="2152" t="e" cm="1">
        <f t="array" ca="1" aca="1" ref="AD306">_xlfn.LET(_xlpm.search_key,$W306&amp;$Y306,_xlpm.Scenario,_xlfn.VSTACK($W$20:$W$55&amp;$Y$20:$Y$55,$W$76:$W$110&amp;$Y$76:$Y$110),_xlpm.Data,_xlfn.VSTACK($AD$20:$BN$55,$AD$76:$BN$110),IF(OR($Y306="",ISNUMBER(SEARCH("please",$Y306))),"",_xlfn.XLOOKUP(_xlpm.search_key,_xlpm.Scenario,_xlpm.Data,"▧")))</f>
        <v>#NAME?</v>
      </c>
      <c r="AE306" s="2152"/>
      <c r="AF306" s="2152"/>
      <c r="AG306" s="2152"/>
      <c r="AH306" s="2152"/>
      <c r="AI306" s="2152"/>
      <c r="AJ306" s="2152"/>
      <c r="AK306" s="2152"/>
      <c r="AL306" s="2152"/>
      <c r="AM306" s="2152"/>
      <c r="AN306" s="2152"/>
      <c r="AO306" s="2152"/>
      <c r="AP306" s="2152"/>
      <c r="AQ306" s="2152"/>
      <c r="AR306" s="2152"/>
      <c r="AS306" s="2152"/>
      <c r="AT306" s="2152"/>
      <c r="AU306" s="2152"/>
      <c r="AV306" s="2152"/>
      <c r="AW306" s="2152"/>
      <c r="AX306" s="2152"/>
      <c r="AY306" s="2152"/>
      <c r="AZ306" s="2152"/>
      <c r="BA306" s="2152"/>
      <c r="BB306" s="2152"/>
      <c r="BC306" s="2152"/>
      <c r="BD306" s="2152"/>
      <c r="BE306" s="2152"/>
      <c r="BF306" s="2152"/>
      <c r="BG306" s="2152"/>
      <c r="BH306" s="2152"/>
      <c r="BI306" s="2152"/>
      <c r="BJ306" s="2152"/>
      <c r="BK306" s="2152"/>
      <c r="BL306" s="2152"/>
      <c r="BM306" s="2152"/>
      <c r="BN306" s="2152"/>
      <c r="BO306" s="2362"/>
      <c r="BP306" s="2362"/>
      <c r="BQ306" s="2362"/>
      <c r="BR306" s="2362"/>
      <c r="BS306" s="2362"/>
      <c r="BT306" s="2362"/>
      <c r="BU306" s="2362"/>
      <c r="BV306" s="2362"/>
      <c r="BW306" s="2362"/>
      <c r="BX306" s="2362"/>
      <c r="BY306" s="2362"/>
      <c r="BZ306" s="2362"/>
      <c r="CA306" s="34"/>
      <c r="CC306" s="58"/>
      <c r="CD306" s="2154" t="e" cm="1">
        <f t="array" ca="1" aca="1" ref="CD306">_xlfn.LET(_xlpm.search_key,$W306&amp;$Y306,_xlpm.Scenario,_xlfn.VSTACK($W$20:$W$55&amp;$Y$20:$Y$55,$W$76:$W$110&amp;$Y$76:$Y$110),_xlpm.Data,_xlfn.VSTACK(CD$20:CE$55,CD$76:CE$110),IF(OR($Y306="",ISNUMBER(SEARCH("please",$Y306))),"",_xlfn.XLOOKUP(_xlpm.search_key,_xlpm.Scenario,_xlpm.Data,"▧")))</f>
        <v>#NAME?</v>
      </c>
      <c r="CE306" s="2154"/>
      <c r="CF306" s="88"/>
      <c r="CG306" s="2154" t="e" cm="1">
        <f t="array" ca="1" aca="1" ref="CG306">_xlfn.LET(_xlpm.search_key,$W306&amp;$Y306,_xlpm.Scenario,_xlfn.VSTACK($W$20:$W$55&amp;$Y$20:$Y$55,$W$76:$W$110&amp;$Y$76:$Y$110),_xlpm.Data,_xlfn.VSTACK(CG$20:CH$55,CG$76:CH$110),IF(OR($Y306="",ISNUMBER(SEARCH("please",$Y306))),"",_xlfn.XLOOKUP(_xlpm.search_key,_xlpm.Scenario,_xlpm.Data,"▧")))</f>
        <v>#NAME?</v>
      </c>
      <c r="CH306" s="2154"/>
      <c r="CI306" s="88"/>
      <c r="CJ306" s="2154" t="e" cm="1">
        <f t="array" ca="1" aca="1" ref="CJ306">_xlfn.LET(_xlpm.search_key,$W306&amp;$Y306,_xlpm.Scenario,_xlfn.VSTACK($W$20:$W$55&amp;$Y$20:$Y$55,$W$76:$W$110&amp;$Y$76:$Y$110),_xlpm.Data,_xlfn.VSTACK(CJ$20:CK$55,CJ$76:CK$110),IF(OR($Y306="",ISNUMBER(SEARCH("please",$Y306))),"",_xlfn.XLOOKUP(_xlpm.search_key,_xlpm.Scenario,_xlpm.Data,"▧")))</f>
        <v>#NAME?</v>
      </c>
      <c r="CK306" s="2154"/>
      <c r="CL306" s="88"/>
      <c r="CM306" s="2154" t="e" cm="1">
        <f t="array" ca="1" aca="1" ref="CM306">_xlfn.LET(_xlpm.search_key,$W306&amp;$Y306,_xlpm.Scenario,_xlfn.VSTACK($W$20:$W$55&amp;$Y$20:$Y$55,$W$76:$W$110&amp;$Y$76:$Y$110),_xlpm.Data,_xlfn.VSTACK(CM$20:CN$55,CM$76:CN$110),IF(OR($Y306="",ISNUMBER(SEARCH("please",$Y306))),"",_xlfn.XLOOKUP(_xlpm.search_key,_xlpm.Scenario,_xlpm.Data,"▧")))</f>
        <v>#NAME?</v>
      </c>
      <c r="CN306" s="2154"/>
      <c r="CO306" s="88"/>
      <c r="CP306" s="2154" t="e" cm="1">
        <f t="array" ca="1" aca="1" ref="CP306">_xlfn.LET(_xlpm.search_key,$W306&amp;$Y306,_xlpm.Scenario,_xlfn.VSTACK($W$20:$W$55&amp;$Y$20:$Y$55,$W$76:$W$110&amp;$Y$76:$Y$110),_xlpm.Data,_xlfn.VSTACK(CP$20:CQ$55,CP$76:CQ$110),IF(OR($Y306="",ISNUMBER(SEARCH("please",$Y306))),"",_xlfn.XLOOKUP(_xlpm.search_key,_xlpm.Scenario,_xlpm.Data,"▧")))</f>
        <v>#NAME?</v>
      </c>
      <c r="CQ306" s="2154"/>
      <c r="CR306" s="34"/>
      <c r="CS306" s="2056"/>
      <c r="DC306"/>
    </row>
    <row r="307" spans="1:107" ht="21" customHeight="1">
      <c r="A307" s="1627"/>
      <c r="B307" s="2606"/>
      <c r="C307" s="2540"/>
      <c r="D307" s="1549"/>
      <c r="E307" s="2440"/>
      <c r="F307" s="401"/>
      <c r="G307" s="401"/>
      <c r="H307" s="585"/>
      <c r="I307" s="585"/>
      <c r="J307" s="401"/>
      <c r="K307" s="401"/>
      <c r="L307" s="37"/>
      <c r="N307" s="158"/>
      <c r="O307" s="101"/>
      <c r="P307" s="52"/>
      <c r="Q307" s="101"/>
      <c r="R307" s="101"/>
      <c r="S307" s="101"/>
      <c r="T307" s="101"/>
      <c r="U307" s="39"/>
      <c r="V307" s="37"/>
      <c r="W307" s="2364" t="e">
        <f ca="1">W303</f>
        <v>#NAME?</v>
      </c>
      <c r="X307" s="2373">
        <f>_PL!X307</f>
        <v>0</v>
      </c>
      <c r="Y307" s="3228">
        <v>2</v>
      </c>
      <c r="Z307" s="198">
        <f>_PL!Z307</f>
        <v>0</v>
      </c>
      <c r="AA307" s="200" t="str" cm="1">
        <f t="array" ca="1" aca="1" ref="AA307">IF(Y307="","",_xlfn.LET(_xlpm._termname,$W307&amp;$Y307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7" s="1134"/>
      <c r="AC307" s="125"/>
      <c r="AD307" s="2152" t="e" cm="1">
        <f t="array" ca="1" aca="1" ref="AD307">_xlfn.LET(_xlpm.search_key,$W307&amp;$Y307,_xlpm.Scenario,_xlfn.VSTACK($W$20:$W$55&amp;$Y$20:$Y$55,$W$76:$W$110&amp;$Y$76:$Y$110),_xlpm.Data,_xlfn.VSTACK($AD$20:$BN$55,$AD$76:$BN$110),IF(OR($Y307="",ISNUMBER(SEARCH("please",$Y307))),"",_xlfn.XLOOKUP(_xlpm.search_key,_xlpm.Scenario,_xlpm.Data,"▧")))</f>
        <v>#NAME?</v>
      </c>
      <c r="AE307" s="2152"/>
      <c r="AF307" s="2152"/>
      <c r="AG307" s="2152"/>
      <c r="AH307" s="2152"/>
      <c r="AI307" s="2152"/>
      <c r="AJ307" s="2152"/>
      <c r="AK307" s="2152"/>
      <c r="AL307" s="2152"/>
      <c r="AM307" s="2152"/>
      <c r="AN307" s="2152"/>
      <c r="AO307" s="2152"/>
      <c r="AP307" s="2152"/>
      <c r="AQ307" s="2152"/>
      <c r="AR307" s="2152"/>
      <c r="AS307" s="2152"/>
      <c r="AT307" s="2152"/>
      <c r="AU307" s="2152"/>
      <c r="AV307" s="2152"/>
      <c r="AW307" s="2152"/>
      <c r="AX307" s="2152"/>
      <c r="AY307" s="2152"/>
      <c r="AZ307" s="2152"/>
      <c r="BA307" s="2152"/>
      <c r="BB307" s="2152"/>
      <c r="BC307" s="2152"/>
      <c r="BD307" s="2152"/>
      <c r="BE307" s="2152"/>
      <c r="BF307" s="2152"/>
      <c r="BG307" s="2152"/>
      <c r="BH307" s="2152"/>
      <c r="BI307" s="2152"/>
      <c r="BJ307" s="2152"/>
      <c r="BK307" s="2152"/>
      <c r="BL307" s="2152"/>
      <c r="BM307" s="2152"/>
      <c r="BN307" s="2152"/>
      <c r="BO307" s="2362"/>
      <c r="BP307" s="2362"/>
      <c r="BQ307" s="2362"/>
      <c r="BR307" s="2362"/>
      <c r="BS307" s="2362"/>
      <c r="BT307" s="2362"/>
      <c r="BU307" s="2362"/>
      <c r="BV307" s="2362"/>
      <c r="BW307" s="2362"/>
      <c r="BX307" s="2362"/>
      <c r="BY307" s="2362"/>
      <c r="BZ307" s="2362"/>
      <c r="CA307" s="34"/>
      <c r="CC307" s="58"/>
      <c r="CD307" s="2154" t="e" cm="1">
        <f t="array" ca="1" aca="1" ref="CD307">_xlfn.LET(_xlpm.search_key,$W307&amp;$Y307,_xlpm.Scenario,_xlfn.VSTACK($W$20:$W$55&amp;$Y$20:$Y$55,$W$76:$W$110&amp;$Y$76:$Y$110),_xlpm.Data,_xlfn.VSTACK(CD$20:CE$55,CD$76:CE$110),IF(OR($Y307="",ISNUMBER(SEARCH("please",$Y307))),"",_xlfn.XLOOKUP(_xlpm.search_key,_xlpm.Scenario,_xlpm.Data,"▧")))</f>
        <v>#NAME?</v>
      </c>
      <c r="CE307" s="2154"/>
      <c r="CF307" s="88"/>
      <c r="CG307" s="2154" t="e" cm="1">
        <f t="array" ca="1" aca="1" ref="CG307">_xlfn.LET(_xlpm.search_key,$W307&amp;$Y307,_xlpm.Scenario,_xlfn.VSTACK($W$20:$W$55&amp;$Y$20:$Y$55,$W$76:$W$110&amp;$Y$76:$Y$110),_xlpm.Data,_xlfn.VSTACK(CG$20:CH$55,CG$76:CH$110),IF(OR($Y307="",ISNUMBER(SEARCH("please",$Y307))),"",_xlfn.XLOOKUP(_xlpm.search_key,_xlpm.Scenario,_xlpm.Data,"▧")))</f>
        <v>#NAME?</v>
      </c>
      <c r="CH307" s="2154"/>
      <c r="CI307" s="88"/>
      <c r="CJ307" s="2154" t="e" cm="1">
        <f t="array" ca="1" aca="1" ref="CJ307">_xlfn.LET(_xlpm.search_key,$W307&amp;$Y307,_xlpm.Scenario,_xlfn.VSTACK($W$20:$W$55&amp;$Y$20:$Y$55,$W$76:$W$110&amp;$Y$76:$Y$110),_xlpm.Data,_xlfn.VSTACK(CJ$20:CK$55,CJ$76:CK$110),IF(OR($Y307="",ISNUMBER(SEARCH("please",$Y307))),"",_xlfn.XLOOKUP(_xlpm.search_key,_xlpm.Scenario,_xlpm.Data,"▧")))</f>
        <v>#NAME?</v>
      </c>
      <c r="CK307" s="2154"/>
      <c r="CL307" s="88"/>
      <c r="CM307" s="2154" t="e" cm="1">
        <f t="array" ca="1" aca="1" ref="CM307">_xlfn.LET(_xlpm.search_key,$W307&amp;$Y307,_xlpm.Scenario,_xlfn.VSTACK($W$20:$W$55&amp;$Y$20:$Y$55,$W$76:$W$110&amp;$Y$76:$Y$110),_xlpm.Data,_xlfn.VSTACK(CM$20:CN$55,CM$76:CN$110),IF(OR($Y307="",ISNUMBER(SEARCH("please",$Y307))),"",_xlfn.XLOOKUP(_xlpm.search_key,_xlpm.Scenario,_xlpm.Data,"▧")))</f>
        <v>#NAME?</v>
      </c>
      <c r="CN307" s="2154"/>
      <c r="CO307" s="88"/>
      <c r="CP307" s="2154" t="e" cm="1">
        <f t="array" ca="1" aca="1" ref="CP307">_xlfn.LET(_xlpm.search_key,$W307&amp;$Y307,_xlpm.Scenario,_xlfn.VSTACK($W$20:$W$55&amp;$Y$20:$Y$55,$W$76:$W$110&amp;$Y$76:$Y$110),_xlpm.Data,_xlfn.VSTACK(CP$20:CQ$55,CP$76:CQ$110),IF(OR($Y307="",ISNUMBER(SEARCH("please",$Y307))),"",_xlfn.XLOOKUP(_xlpm.search_key,_xlpm.Scenario,_xlpm.Data,"▧")))</f>
        <v>#NAME?</v>
      </c>
      <c r="CQ307" s="2154"/>
      <c r="CR307" s="34"/>
      <c r="CS307" s="2056"/>
      <c r="DC307"/>
    </row>
    <row r="308" spans="1:107" ht="21" customHeight="1">
      <c r="A308" s="1627"/>
      <c r="B308" s="2606"/>
      <c r="C308" s="2540"/>
      <c r="D308" s="1549"/>
      <c r="E308" s="2440"/>
      <c r="F308" s="401"/>
      <c r="G308" s="401"/>
      <c r="H308" s="585"/>
      <c r="I308" s="585"/>
      <c r="J308" s="401"/>
      <c r="K308" s="401"/>
      <c r="L308" s="37"/>
      <c r="N308" s="158"/>
      <c r="O308" s="101"/>
      <c r="P308" s="52"/>
      <c r="Q308" s="101"/>
      <c r="R308" s="101"/>
      <c r="S308" s="101"/>
      <c r="T308" s="101"/>
      <c r="U308" s="39"/>
      <c r="V308" s="37"/>
      <c r="W308" s="2364" t="e">
        <f ca="1">W303</f>
        <v>#NAME?</v>
      </c>
      <c r="X308" s="2373">
        <f>_PL!X308</f>
        <v>0</v>
      </c>
      <c r="Y308" s="3228">
        <v>2</v>
      </c>
      <c r="Z308" s="198">
        <f>_PL!Z308</f>
        <v>0</v>
      </c>
      <c r="AA308" s="200" t="str" cm="1">
        <f t="array" ca="1" aca="1" ref="AA308">IF(Y308="","",_xlfn.LET(_xlpm._termname,$W308&amp;$Y308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8" s="1134"/>
      <c r="AC308" s="125"/>
      <c r="AD308" s="2152" t="e" cm="1">
        <f t="array" ca="1" aca="1" ref="AD308">_xlfn.LET(_xlpm.search_key,$W308&amp;$Y308,_xlpm.Scenario,_xlfn.VSTACK($W$20:$W$55&amp;$Y$20:$Y$55,$W$76:$W$110&amp;$Y$76:$Y$110),_xlpm.Data,_xlfn.VSTACK($AD$20:$BN$55,$AD$76:$BN$110),IF(OR($Y308="",ISNUMBER(SEARCH("please",$Y308))),"",_xlfn.XLOOKUP(_xlpm.search_key,_xlpm.Scenario,_xlpm.Data,"▧")))</f>
        <v>#NAME?</v>
      </c>
      <c r="AE308" s="2152"/>
      <c r="AF308" s="2152"/>
      <c r="AG308" s="2152"/>
      <c r="AH308" s="2152"/>
      <c r="AI308" s="2152"/>
      <c r="AJ308" s="2152"/>
      <c r="AK308" s="2152"/>
      <c r="AL308" s="2152"/>
      <c r="AM308" s="2152"/>
      <c r="AN308" s="2152"/>
      <c r="AO308" s="2152"/>
      <c r="AP308" s="2152"/>
      <c r="AQ308" s="2152"/>
      <c r="AR308" s="2152"/>
      <c r="AS308" s="2152"/>
      <c r="AT308" s="2152"/>
      <c r="AU308" s="2152"/>
      <c r="AV308" s="2152"/>
      <c r="AW308" s="2152"/>
      <c r="AX308" s="2152"/>
      <c r="AY308" s="2152"/>
      <c r="AZ308" s="2152"/>
      <c r="BA308" s="2152"/>
      <c r="BB308" s="2152"/>
      <c r="BC308" s="2152"/>
      <c r="BD308" s="2152"/>
      <c r="BE308" s="2152"/>
      <c r="BF308" s="2152"/>
      <c r="BG308" s="2152"/>
      <c r="BH308" s="2152"/>
      <c r="BI308" s="2152"/>
      <c r="BJ308" s="2152"/>
      <c r="BK308" s="2152"/>
      <c r="BL308" s="2152"/>
      <c r="BM308" s="2152"/>
      <c r="BN308" s="2152"/>
      <c r="BO308" s="2362"/>
      <c r="BP308" s="2362"/>
      <c r="BQ308" s="2362"/>
      <c r="BR308" s="2362"/>
      <c r="BS308" s="2362"/>
      <c r="BT308" s="2362"/>
      <c r="BU308" s="2362"/>
      <c r="BV308" s="2362"/>
      <c r="BW308" s="2362"/>
      <c r="BX308" s="2362"/>
      <c r="BY308" s="2362"/>
      <c r="BZ308" s="2362"/>
      <c r="CA308" s="34"/>
      <c r="CC308" s="58"/>
      <c r="CD308" s="2154" t="e" cm="1">
        <f t="array" ca="1" aca="1" ref="CD308">_xlfn.LET(_xlpm.search_key,$W308&amp;$Y308,_xlpm.Scenario,_xlfn.VSTACK($W$20:$W$55&amp;$Y$20:$Y$55,$W$76:$W$110&amp;$Y$76:$Y$110),_xlpm.Data,_xlfn.VSTACK(CD$20:CE$55,CD$76:CE$110),IF(OR($Y308="",ISNUMBER(SEARCH("please",$Y308))),"",_xlfn.XLOOKUP(_xlpm.search_key,_xlpm.Scenario,_xlpm.Data,"▧")))</f>
        <v>#NAME?</v>
      </c>
      <c r="CE308" s="2154"/>
      <c r="CF308" s="88"/>
      <c r="CG308" s="2154" t="e" cm="1">
        <f t="array" ca="1" aca="1" ref="CG308">_xlfn.LET(_xlpm.search_key,$W308&amp;$Y308,_xlpm.Scenario,_xlfn.VSTACK($W$20:$W$55&amp;$Y$20:$Y$55,$W$76:$W$110&amp;$Y$76:$Y$110),_xlpm.Data,_xlfn.VSTACK(CG$20:CH$55,CG$76:CH$110),IF(OR($Y308="",ISNUMBER(SEARCH("please",$Y308))),"",_xlfn.XLOOKUP(_xlpm.search_key,_xlpm.Scenario,_xlpm.Data,"▧")))</f>
        <v>#NAME?</v>
      </c>
      <c r="CH308" s="2154"/>
      <c r="CI308" s="88"/>
      <c r="CJ308" s="2154" t="e" cm="1">
        <f t="array" ca="1" aca="1" ref="CJ308">_xlfn.LET(_xlpm.search_key,$W308&amp;$Y308,_xlpm.Scenario,_xlfn.VSTACK($W$20:$W$55&amp;$Y$20:$Y$55,$W$76:$W$110&amp;$Y$76:$Y$110),_xlpm.Data,_xlfn.VSTACK(CJ$20:CK$55,CJ$76:CK$110),IF(OR($Y308="",ISNUMBER(SEARCH("please",$Y308))),"",_xlfn.XLOOKUP(_xlpm.search_key,_xlpm.Scenario,_xlpm.Data,"▧")))</f>
        <v>#NAME?</v>
      </c>
      <c r="CK308" s="2154"/>
      <c r="CL308" s="88"/>
      <c r="CM308" s="2154" t="e" cm="1">
        <f t="array" ca="1" aca="1" ref="CM308">_xlfn.LET(_xlpm.search_key,$W308&amp;$Y308,_xlpm.Scenario,_xlfn.VSTACK($W$20:$W$55&amp;$Y$20:$Y$55,$W$76:$W$110&amp;$Y$76:$Y$110),_xlpm.Data,_xlfn.VSTACK(CM$20:CN$55,CM$76:CN$110),IF(OR($Y308="",ISNUMBER(SEARCH("please",$Y308))),"",_xlfn.XLOOKUP(_xlpm.search_key,_xlpm.Scenario,_xlpm.Data,"▧")))</f>
        <v>#NAME?</v>
      </c>
      <c r="CN308" s="2154"/>
      <c r="CO308" s="88"/>
      <c r="CP308" s="2154" t="e" cm="1">
        <f t="array" ca="1" aca="1" ref="CP308">_xlfn.LET(_xlpm.search_key,$W308&amp;$Y308,_xlpm.Scenario,_xlfn.VSTACK($W$20:$W$55&amp;$Y$20:$Y$55,$W$76:$W$110&amp;$Y$76:$Y$110),_xlpm.Data,_xlfn.VSTACK(CP$20:CQ$55,CP$76:CQ$110),IF(OR($Y308="",ISNUMBER(SEARCH("please",$Y308))),"",_xlfn.XLOOKUP(_xlpm.search_key,_xlpm.Scenario,_xlpm.Data,"▧")))</f>
        <v>#NAME?</v>
      </c>
      <c r="CQ308" s="2154"/>
      <c r="CR308" s="34"/>
      <c r="CS308" s="2056"/>
      <c r="DC308"/>
    </row>
    <row r="309" spans="1:107" ht="21" customHeight="1">
      <c r="A309" s="1627"/>
      <c r="B309" s="2606"/>
      <c r="C309" s="2540"/>
      <c r="D309" s="1549"/>
      <c r="E309" s="2440"/>
      <c r="F309" s="401"/>
      <c r="G309" s="401"/>
      <c r="H309" s="585"/>
      <c r="I309" s="585"/>
      <c r="J309" s="401"/>
      <c r="K309" s="401"/>
      <c r="L309" s="37"/>
      <c r="N309" s="158"/>
      <c r="O309" s="101"/>
      <c r="P309" s="52"/>
      <c r="Q309" s="101"/>
      <c r="R309" s="101"/>
      <c r="S309" s="101"/>
      <c r="T309" s="101"/>
      <c r="U309" s="39"/>
      <c r="V309" s="37"/>
      <c r="W309" s="2364" t="e">
        <f ca="1">W303</f>
        <v>#NAME?</v>
      </c>
      <c r="X309" s="2373">
        <f>_PL!X309</f>
        <v>0</v>
      </c>
      <c r="Y309" s="3228">
        <v>2</v>
      </c>
      <c r="Z309" s="538">
        <f>_PL!Z309</f>
        <v>0</v>
      </c>
      <c r="AA309" s="787" t="str" cm="1">
        <f t="array" ca="1" aca="1" ref="AA309">IF(Y309="","",_xlfn.LET(_xlpm._termname,$W309&amp;$Y309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9" s="1134"/>
      <c r="AC309" s="125"/>
      <c r="AD309" s="2152" t="e" cm="1">
        <f t="array" ca="1" aca="1" ref="AD309">_xlfn.LET(_xlpm.search_key,$W309&amp;$Y309,_xlpm.Scenario,_xlfn.VSTACK($W$20:$W$55&amp;$Y$20:$Y$55,$W$76:$W$110&amp;$Y$76:$Y$110),_xlpm.Data,_xlfn.VSTACK($AD$20:$BN$55,$AD$76:$BN$110),IF(OR($Y309="",ISNUMBER(SEARCH("please",$Y309))),"",_xlfn.XLOOKUP(_xlpm.search_key,_xlpm.Scenario,_xlpm.Data,"▧")))</f>
        <v>#NAME?</v>
      </c>
      <c r="AE309" s="2152"/>
      <c r="AF309" s="2152"/>
      <c r="AG309" s="2152"/>
      <c r="AH309" s="2152"/>
      <c r="AI309" s="2152"/>
      <c r="AJ309" s="2152"/>
      <c r="AK309" s="2152"/>
      <c r="AL309" s="2152"/>
      <c r="AM309" s="2152"/>
      <c r="AN309" s="2152"/>
      <c r="AO309" s="2152"/>
      <c r="AP309" s="2152"/>
      <c r="AQ309" s="2152"/>
      <c r="AR309" s="2152"/>
      <c r="AS309" s="2152"/>
      <c r="AT309" s="2152"/>
      <c r="AU309" s="2152"/>
      <c r="AV309" s="2152"/>
      <c r="AW309" s="2152"/>
      <c r="AX309" s="2152"/>
      <c r="AY309" s="2152"/>
      <c r="AZ309" s="2152"/>
      <c r="BA309" s="2152"/>
      <c r="BB309" s="2152"/>
      <c r="BC309" s="2152"/>
      <c r="BD309" s="2152"/>
      <c r="BE309" s="2152"/>
      <c r="BF309" s="2152"/>
      <c r="BG309" s="2152"/>
      <c r="BH309" s="2152"/>
      <c r="BI309" s="2152"/>
      <c r="BJ309" s="2152"/>
      <c r="BK309" s="2152"/>
      <c r="BL309" s="2152"/>
      <c r="BM309" s="2152"/>
      <c r="BN309" s="2152"/>
      <c r="BO309" s="2362"/>
      <c r="BP309" s="2362"/>
      <c r="BQ309" s="2362"/>
      <c r="BR309" s="2362"/>
      <c r="BS309" s="2362"/>
      <c r="BT309" s="2362"/>
      <c r="BU309" s="2362"/>
      <c r="BV309" s="2362"/>
      <c r="BW309" s="2362"/>
      <c r="BX309" s="2362"/>
      <c r="BY309" s="2362"/>
      <c r="BZ309" s="2362"/>
      <c r="CA309" s="34"/>
      <c r="CC309" s="58"/>
      <c r="CD309" s="2154" t="e" cm="1">
        <f t="array" ca="1" aca="1" ref="CD309">_xlfn.LET(_xlpm.search_key,$W309&amp;$Y309,_xlpm.Scenario,_xlfn.VSTACK($W$20:$W$55&amp;$Y$20:$Y$55,$W$76:$W$110&amp;$Y$76:$Y$110),_xlpm.Data,_xlfn.VSTACK(CD$20:CE$55,CD$76:CE$110),IF(OR($Y309="",ISNUMBER(SEARCH("please",$Y309))),"",_xlfn.XLOOKUP(_xlpm.search_key,_xlpm.Scenario,_xlpm.Data,"▧")))</f>
        <v>#NAME?</v>
      </c>
      <c r="CE309" s="2154"/>
      <c r="CF309" s="88"/>
      <c r="CG309" s="2154" t="e" cm="1">
        <f t="array" ca="1" aca="1" ref="CG309">_xlfn.LET(_xlpm.search_key,$W309&amp;$Y309,_xlpm.Scenario,_xlfn.VSTACK($W$20:$W$55&amp;$Y$20:$Y$55,$W$76:$W$110&amp;$Y$76:$Y$110),_xlpm.Data,_xlfn.VSTACK(CG$20:CH$55,CG$76:CH$110),IF(OR($Y309="",ISNUMBER(SEARCH("please",$Y309))),"",_xlfn.XLOOKUP(_xlpm.search_key,_xlpm.Scenario,_xlpm.Data,"▧")))</f>
        <v>#NAME?</v>
      </c>
      <c r="CH309" s="2154"/>
      <c r="CI309" s="88"/>
      <c r="CJ309" s="2154" t="e" cm="1">
        <f t="array" ca="1" aca="1" ref="CJ309">_xlfn.LET(_xlpm.search_key,$W309&amp;$Y309,_xlpm.Scenario,_xlfn.VSTACK($W$20:$W$55&amp;$Y$20:$Y$55,$W$76:$W$110&amp;$Y$76:$Y$110),_xlpm.Data,_xlfn.VSTACK(CJ$20:CK$55,CJ$76:CK$110),IF(OR($Y309="",ISNUMBER(SEARCH("please",$Y309))),"",_xlfn.XLOOKUP(_xlpm.search_key,_xlpm.Scenario,_xlpm.Data,"▧")))</f>
        <v>#NAME?</v>
      </c>
      <c r="CK309" s="2154"/>
      <c r="CL309" s="88"/>
      <c r="CM309" s="2154" t="e" cm="1">
        <f t="array" ca="1" aca="1" ref="CM309">_xlfn.LET(_xlpm.search_key,$W309&amp;$Y309,_xlpm.Scenario,_xlfn.VSTACK($W$20:$W$55&amp;$Y$20:$Y$55,$W$76:$W$110&amp;$Y$76:$Y$110),_xlpm.Data,_xlfn.VSTACK(CM$20:CN$55,CM$76:CN$110),IF(OR($Y309="",ISNUMBER(SEARCH("please",$Y309))),"",_xlfn.XLOOKUP(_xlpm.search_key,_xlpm.Scenario,_xlpm.Data,"▧")))</f>
        <v>#NAME?</v>
      </c>
      <c r="CN309" s="2154"/>
      <c r="CO309" s="88"/>
      <c r="CP309" s="2154" t="e" cm="1">
        <f t="array" ca="1" aca="1" ref="CP309">_xlfn.LET(_xlpm.search_key,$W309&amp;$Y309,_xlpm.Scenario,_xlfn.VSTACK($W$20:$W$55&amp;$Y$20:$Y$55,$W$76:$W$110&amp;$Y$76:$Y$110),_xlpm.Data,_xlfn.VSTACK(CP$20:CQ$55,CP$76:CQ$110),IF(OR($Y309="",ISNUMBER(SEARCH("please",$Y309))),"",_xlfn.XLOOKUP(_xlpm.search_key,_xlpm.Scenario,_xlpm.Data,"▧")))</f>
        <v>#NAME?</v>
      </c>
      <c r="CQ309" s="2154"/>
      <c r="CR309" s="34"/>
      <c r="CS309" s="2056"/>
      <c r="DC309"/>
    </row>
    <row r="310" spans="1:107" ht="21" customHeight="1">
      <c r="A310" s="1627"/>
      <c r="B310" s="3474" t="s">
        <v>212</v>
      </c>
      <c r="C310" s="2606" t="e" cm="1">
        <f t="array" ca="1" aca="1" ref="C310">CVC.PACK(W303:Y310)</f>
        <v>#NAME?</v>
      </c>
      <c r="D310" s="1549"/>
      <c r="E310" s="2607"/>
      <c r="F310" s="401"/>
      <c r="G310" s="401"/>
      <c r="H310" s="585"/>
      <c r="I310" s="585"/>
      <c r="J310" s="401"/>
      <c r="K310" s="401"/>
      <c r="L310" s="37"/>
      <c r="N310" s="158"/>
      <c r="O310" s="101"/>
      <c r="P310" s="52"/>
      <c r="Q310" s="101"/>
      <c r="R310" s="101"/>
      <c r="S310" s="101"/>
      <c r="T310" s="101"/>
      <c r="U310" s="39"/>
      <c r="V310" s="37"/>
      <c r="W310" s="2365" t="e">
        <f ca="1">W303</f>
        <v>#NAME?</v>
      </c>
      <c r="X310" s="2374">
        <f>_PL!X310</f>
        <v>0</v>
      </c>
      <c r="Y310" s="2326">
        <f>_PL!Y310</f>
        <v>0</v>
      </c>
      <c r="Z310" s="2322"/>
      <c r="AA310" s="2323"/>
      <c r="AB310" s="1134"/>
      <c r="AC310" s="125" t="str" cm="1">
        <f t="array" ca="1" aca="1" ref="AC310">IF(AB310="","",_xlfn.LET(_xlpm._termname,PL!$W310&amp;$AB310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10" s="2152" t="e">
        <f ca="1">SUMPRODUCT($X304:$X309,AD304:AD309)</f>
        <v>#NAME?</v>
      </c>
      <c r="AE310" s="2152">
        <f t="shared" si="79" ref="AE310">SUMPRODUCT($X304:$X309,AE304:AE309)</f>
        <v>0</v>
      </c>
      <c r="AF310" s="2152">
        <f t="shared" si="80" ref="AF310">SUMPRODUCT($X304:$X309,AF304:AF309)</f>
        <v>0</v>
      </c>
      <c r="AG310" s="2152">
        <f t="shared" si="81" ref="AG310">SUMPRODUCT($X304:$X309,AG304:AG309)</f>
        <v>0</v>
      </c>
      <c r="AH310" s="2152">
        <f t="shared" si="82" ref="AH310">SUMPRODUCT($X304:$X309,AH304:AH309)</f>
        <v>0</v>
      </c>
      <c r="AI310" s="2152">
        <f t="shared" si="83" ref="AI310">SUMPRODUCT($X304:$X309,AI304:AI309)</f>
        <v>0</v>
      </c>
      <c r="AJ310" s="2152">
        <f t="shared" si="84" ref="AJ310">SUMPRODUCT($X304:$X309,AJ304:AJ309)</f>
        <v>0</v>
      </c>
      <c r="AK310" s="2152">
        <f t="shared" si="85" ref="AK310">SUMPRODUCT($X304:$X309,AK304:AK309)</f>
        <v>0</v>
      </c>
      <c r="AL310" s="2152">
        <f t="shared" si="86" ref="AL310">SUMPRODUCT($X304:$X309,AL304:AL309)</f>
        <v>0</v>
      </c>
      <c r="AM310" s="2152">
        <f t="shared" si="87" ref="AM310">SUMPRODUCT($X304:$X309,AM304:AM309)</f>
        <v>0</v>
      </c>
      <c r="AN310" s="2152">
        <f t="shared" si="88" ref="AN310">SUMPRODUCT($X304:$X309,AN304:AN309)</f>
        <v>0</v>
      </c>
      <c r="AO310" s="2152">
        <f t="shared" si="89" ref="AO310">SUMPRODUCT($X304:$X309,AO304:AO309)</f>
        <v>0</v>
      </c>
      <c r="AP310" s="2152">
        <f t="shared" si="90" ref="AP310">SUMPRODUCT($X304:$X309,AP304:AP309)</f>
        <v>0</v>
      </c>
      <c r="AQ310" s="2152">
        <f t="shared" si="91" ref="AQ310">SUMPRODUCT($X304:$X309,AQ304:AQ309)</f>
        <v>0</v>
      </c>
      <c r="AR310" s="2152">
        <f t="shared" si="92" ref="AR310">SUMPRODUCT($X304:$X309,AR304:AR309)</f>
        <v>0</v>
      </c>
      <c r="AS310" s="2152">
        <f t="shared" si="93" ref="AS310">SUMPRODUCT($X304:$X309,AS304:AS309)</f>
        <v>0</v>
      </c>
      <c r="AT310" s="2152">
        <f t="shared" si="94" ref="AT310">SUMPRODUCT($X304:$X309,AT304:AT309)</f>
        <v>0</v>
      </c>
      <c r="AU310" s="2152">
        <f t="shared" si="95" ref="AU310">SUMPRODUCT($X304:$X309,AU304:AU309)</f>
        <v>0</v>
      </c>
      <c r="AV310" s="2152">
        <f t="shared" si="96" ref="AV310">SUMPRODUCT($X304:$X309,AV304:AV309)</f>
        <v>0</v>
      </c>
      <c r="AW310" s="2152">
        <f t="shared" si="97" ref="AW310">SUMPRODUCT($X304:$X309,AW304:AW309)</f>
        <v>0</v>
      </c>
      <c r="AX310" s="2152">
        <f t="shared" si="98" ref="AX310">SUMPRODUCT($X304:$X309,AX304:AX309)</f>
        <v>0</v>
      </c>
      <c r="AY310" s="2152">
        <f t="shared" si="99" ref="AY310">SUMPRODUCT($X304:$X309,AY304:AY309)</f>
        <v>0</v>
      </c>
      <c r="AZ310" s="2152">
        <f t="shared" si="100" ref="AZ310">SUMPRODUCT($X304:$X309,AZ304:AZ309)</f>
        <v>0</v>
      </c>
      <c r="BA310" s="2152">
        <f t="shared" si="101" ref="BA310">SUMPRODUCT($X304:$X309,BA304:BA309)</f>
        <v>0</v>
      </c>
      <c r="BB310" s="2152">
        <f t="shared" si="102" ref="BB310">SUMPRODUCT($X304:$X309,BB304:BB309)</f>
        <v>0</v>
      </c>
      <c r="BC310" s="2152">
        <f t="shared" si="103" ref="BC310">SUMPRODUCT($X304:$X309,BC304:BC309)</f>
        <v>0</v>
      </c>
      <c r="BD310" s="2152">
        <f t="shared" si="104" ref="BD310">SUMPRODUCT($X304:$X309,BD304:BD309)</f>
        <v>0</v>
      </c>
      <c r="BE310" s="2152">
        <f t="shared" si="105" ref="BE310">SUMPRODUCT($X304:$X309,BE304:BE309)</f>
        <v>0</v>
      </c>
      <c r="BF310" s="2152">
        <f t="shared" si="106" ref="BF310">SUMPRODUCT($X304:$X309,BF304:BF309)</f>
        <v>0</v>
      </c>
      <c r="BG310" s="2152">
        <f t="shared" si="107" ref="BG310">SUMPRODUCT($X304:$X309,BG304:BG309)</f>
        <v>0</v>
      </c>
      <c r="BH310" s="2152">
        <f t="shared" si="108" ref="BH310">SUMPRODUCT($X304:$X309,BH304:BH309)</f>
        <v>0</v>
      </c>
      <c r="BI310" s="2152">
        <f t="shared" si="109" ref="BI310">SUMPRODUCT($X304:$X309,BI304:BI309)</f>
        <v>0</v>
      </c>
      <c r="BJ310" s="2152">
        <f t="shared" si="110" ref="BJ310">SUMPRODUCT($X304:$X309,BJ304:BJ309)</f>
        <v>0</v>
      </c>
      <c r="BK310" s="2152">
        <f t="shared" si="111" ref="BK310">SUMPRODUCT($X304:$X309,BK304:BK309)</f>
        <v>0</v>
      </c>
      <c r="BL310" s="2152">
        <f t="shared" si="112" ref="BL310">SUMPRODUCT($X304:$X309,BL304:BL309)</f>
        <v>0</v>
      </c>
      <c r="BM310" s="2152">
        <f t="shared" si="113" ref="BM310">SUMPRODUCT($X304:$X309,BM304:BM309)</f>
        <v>0</v>
      </c>
      <c r="BN310" s="2152">
        <f t="shared" si="114" ref="BN310">SUMPRODUCT($X304:$X309,BN304:BN309)</f>
        <v>0</v>
      </c>
      <c r="BO310" s="2362"/>
      <c r="BP310" s="2362"/>
      <c r="BQ310" s="2362"/>
      <c r="BR310" s="2362"/>
      <c r="BS310" s="2362"/>
      <c r="BT310" s="2362"/>
      <c r="BU310" s="2362"/>
      <c r="BV310" s="2362"/>
      <c r="BW310" s="2362"/>
      <c r="BX310" s="2362"/>
      <c r="BY310" s="2362"/>
      <c r="BZ310" s="2362"/>
      <c r="CA310" s="34"/>
      <c r="CC310" s="58"/>
      <c r="CD310" s="2152" t="e">
        <f ca="1">SUMPRODUCT($X304:$X309,CD304:CD309)</f>
        <v>#NAME?</v>
      </c>
      <c r="CE310" s="2152">
        <f t="shared" si="115" ref="CE310">SUMPRODUCT($X304:$X307,CE304:CE307)</f>
        <v>0</v>
      </c>
      <c r="CF310" s="88"/>
      <c r="CG310" s="2152" t="e">
        <f ca="1">SUMPRODUCT($X304:$X309,CG304:CG309)</f>
        <v>#NAME?</v>
      </c>
      <c r="CH310" s="2152">
        <f t="shared" si="116" ref="CH310">SUMPRODUCT($X304:$X307,CH304:CH307)</f>
        <v>0</v>
      </c>
      <c r="CI310" s="88"/>
      <c r="CJ310" s="2152" t="e">
        <f ca="1">SUMPRODUCT($X304:$X309,CJ304:CJ309)</f>
        <v>#NAME?</v>
      </c>
      <c r="CK310" s="2152">
        <f t="shared" si="117" ref="CK310">SUMPRODUCT($X304:$X307,CK304:CK307)</f>
        <v>0</v>
      </c>
      <c r="CL310" s="88"/>
      <c r="CM310" s="2152" t="e">
        <f ca="1">SUMPRODUCT($X304:$X309,CM304:CM309)</f>
        <v>#NAME?</v>
      </c>
      <c r="CN310" s="2152">
        <f t="shared" si="118" ref="CN310">SUMPRODUCT($X304:$X307,CN304:CN307)</f>
        <v>0</v>
      </c>
      <c r="CO310" s="88"/>
      <c r="CP310" s="2152" t="e">
        <f ca="1">SUMPRODUCT($X304:$X309,CP304:CP309)</f>
        <v>#NAME?</v>
      </c>
      <c r="CQ310" s="2152">
        <f t="shared" si="119" ref="CQ310">SUMPRODUCT($X304:$X307,CQ304:CQ307)</f>
        <v>0</v>
      </c>
      <c r="CR310" s="34"/>
      <c r="CS310" s="2056"/>
      <c r="CT310" s="2447" t="e" cm="1">
        <f t="array" ca="1" aca="1" ref="CT310">IF(PL!$C310="","",_xldudf_CX_PUSH(PL!$C310,CX_ENTITY,PL!$B310,EOMONTH(val_asOfDate,PL!CT$248)))</f>
        <v>#NAME?</v>
      </c>
      <c r="CU310" s="2447" t="e" cm="1">
        <f t="array" ca="1" aca="1" ref="CU310">IF(PL!$C310="","",_xldudf_CX_PUSH(PL!$C310,CX_ENTITY,PL!$B310,EOMONTH(val_asOfDate,PL!CU$248)))</f>
        <v>#NAME?</v>
      </c>
      <c r="CV310" s="2447" t="e" cm="1">
        <f t="array" ca="1" aca="1" ref="CV310">IF(PL!$C310="","",_xldudf_CX_PUSH(PL!$C310,CX_ENTITY,PL!$B310,EOMONTH(val_asOfDate,PL!CV$248)))</f>
        <v>#NAME?</v>
      </c>
      <c r="CW310" s="2447" t="e" cm="1">
        <f t="array" ca="1" aca="1" ref="CW310">IF(PL!$C310="","",_xldudf_CX_PUSH(PL!$C310,CX_ENTITY,PL!$B310,EOMONTH(val_asOfDate,PL!CW$248)))</f>
        <v>#NAME?</v>
      </c>
      <c r="DC310"/>
    </row>
    <row r="311" spans="1:144" s="108" customFormat="1" ht="21" customHeight="1">
      <c r="A311" s="1628"/>
      <c r="B311" s="2540"/>
      <c r="C311" s="2540"/>
      <c r="D311" s="1549"/>
      <c r="E311" s="2607"/>
      <c r="F311" s="401"/>
      <c r="G311" s="401"/>
      <c r="H311" s="585"/>
      <c r="I311" s="585"/>
      <c r="J311" s="401"/>
      <c r="K311" s="401"/>
      <c r="L311" s="37"/>
      <c r="N311" s="2134"/>
      <c r="O311" s="101"/>
      <c r="P311" s="101"/>
      <c r="Q311" s="101"/>
      <c r="R311" s="101"/>
      <c r="S311" s="101"/>
      <c r="T311" s="101"/>
      <c r="U311" s="101"/>
      <c r="V311" s="822"/>
      <c r="W311" s="2332"/>
      <c r="X311" s="2080"/>
      <c r="Y311" s="2315"/>
      <c r="Z311" s="2316"/>
      <c r="AA311" s="2316"/>
      <c r="AB311" s="88"/>
      <c r="AC311" s="128"/>
      <c r="AD311" s="2317"/>
      <c r="AE311" s="2317"/>
      <c r="AF311" s="2317"/>
      <c r="AG311" s="2317"/>
      <c r="AH311" s="2317"/>
      <c r="AI311" s="2317"/>
      <c r="AJ311" s="2317"/>
      <c r="AK311" s="2317"/>
      <c r="AL311" s="2317"/>
      <c r="AM311" s="2317"/>
      <c r="AN311" s="2317"/>
      <c r="AO311" s="2317"/>
      <c r="AP311" s="2317"/>
      <c r="AQ311" s="2317"/>
      <c r="AR311" s="2317"/>
      <c r="AS311" s="2317"/>
      <c r="AT311" s="2317"/>
      <c r="AU311" s="2317"/>
      <c r="AV311" s="2317"/>
      <c r="AW311" s="2317"/>
      <c r="AX311" s="2317"/>
      <c r="AY311" s="2317"/>
      <c r="AZ311" s="2317"/>
      <c r="BA311" s="2317"/>
      <c r="BB311" s="2317"/>
      <c r="BC311" s="2317"/>
      <c r="BD311" s="2317"/>
      <c r="BE311" s="2317"/>
      <c r="BF311" s="2317"/>
      <c r="BG311" s="2317"/>
      <c r="BH311" s="2317"/>
      <c r="BI311" s="2317"/>
      <c r="BJ311" s="2317"/>
      <c r="BK311" s="2317"/>
      <c r="BL311" s="2317"/>
      <c r="BM311" s="2317"/>
      <c r="BN311" s="2317"/>
      <c r="BO311" s="2363"/>
      <c r="BP311" s="2363"/>
      <c r="BQ311" s="2363"/>
      <c r="BR311" s="2363"/>
      <c r="BS311" s="2363"/>
      <c r="BT311" s="2363"/>
      <c r="BU311" s="2363"/>
      <c r="BV311" s="2363"/>
      <c r="BW311" s="2363"/>
      <c r="BX311" s="2363"/>
      <c r="BY311" s="2363"/>
      <c r="BZ311" s="2363"/>
      <c r="CA311" s="88"/>
      <c r="CC311" s="383"/>
      <c r="CD311" s="2319"/>
      <c r="CE311" s="2319"/>
      <c r="CF311" s="88"/>
      <c r="CG311" s="2319"/>
      <c r="CH311" s="2319"/>
      <c r="CI311" s="88"/>
      <c r="CJ311" s="2319"/>
      <c r="CK311" s="2319"/>
      <c r="CL311" s="88"/>
      <c r="CM311" s="2320"/>
      <c r="CN311" s="2320"/>
      <c r="CO311" s="88"/>
      <c r="CP311" s="2320"/>
      <c r="CQ311" s="2320"/>
      <c r="CR311" s="88"/>
      <c r="CS311"/>
      <c r="CT311"/>
      <c r="CU311"/>
      <c r="CV311"/>
      <c r="CW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row>
    <row r="312" spans="1:107" ht="21" customHeight="1">
      <c r="A312" s="1627"/>
      <c r="B312" s="2540"/>
      <c r="C312" s="2540"/>
      <c r="D312" s="1549"/>
      <c r="E312" s="2607"/>
      <c r="F312" s="401"/>
      <c r="G312" s="401"/>
      <c r="H312" s="585"/>
      <c r="I312" s="585"/>
      <c r="J312" s="401"/>
      <c r="K312" s="401"/>
      <c r="L312" s="37"/>
      <c r="N312" s="158"/>
      <c r="O312" s="101"/>
      <c r="P312" s="52"/>
      <c r="Q312" s="101"/>
      <c r="R312" s="101"/>
      <c r="S312" s="18"/>
      <c r="T312" s="18"/>
      <c r="U312" s="39"/>
      <c r="V312" s="37"/>
      <c r="W312" s="2660" t="e" cm="1">
        <f t="array" ca="1" aca="1" ref="W312">fx_scenarioConverter(_PL!W312)</f>
        <v>#NAME?</v>
      </c>
      <c r="X312" s="2137"/>
      <c r="Y312" s="2336" t="s">
        <v>216</v>
      </c>
      <c r="Z312" s="2337"/>
      <c r="AA312" s="2609"/>
      <c r="AB312" s="2141" t="s">
        <v>199</v>
      </c>
      <c r="AC312" s="2138" t="str" cm="1">
        <f t="array" ca="1" aca="1" ref="AC312">_xlfn.LET(_xlpm._termname,$AB312,_xlpm._iconname,"find",_xlpm._icon,fx_getIcon(_xlpm._iconname),_xlpm._location,_xlfn.XLOOKUP(LOWER(_xlpm._termname),LOWER(tbl_acctDef[Term]),tbl_acctDef[Term]),_xlpm._hyperlink,HYPERLINK("#"&amp;CELL("address",_xlpm._location),_xlpm._icon),IFERROR(_xlpm._hyperlink,""))</f>
        <v/>
      </c>
      <c r="AD312" s="2138" t="str" cm="1">
        <f t="array" ca="1" aca="1" ref="AD312">_xlfn.LET(_xlpm._termname,$AB312,_xlpm._iconname,"find",_xlpm._icon,fx_getIcon(_xlpm._iconname),_xlpm._location,_xlfn.XLOOKUP(LOWER(_xlpm._termname),LOWER(tbl_acctDef[Statement]),tbl_acctDef[Statement]),_xlpm._hyperlink,HYPERLINK("#"&amp;CELL("address",_xlpm._location),_xlpm._icon),IFERROR(_xlpm._hyperlink,""))</f>
        <v/>
      </c>
      <c r="AE312" s="2138" t="str" cm="1">
        <f t="array" ca="1" aca="1" ref="AE312">_xlfn.LET(_xlpm._termname,$AB312,_xlpm._iconname,"find",_xlpm._icon,fx_getIcon(_xlpm._iconname),_xlpm._location,_xlfn.XLOOKUP(LOWER(_xlpm._termname),LOWER(tbl_acctDef[Definition]),tbl_acctDef[Definition]),_xlpm._hyperlink,HYPERLINK("#"&amp;CELL("address",_xlpm._location),_xlpm._icon),IFERROR(_xlpm._hyperlink,""))</f>
        <v/>
      </c>
      <c r="AF312" s="2138" t="str" cm="1">
        <f t="array" ca="1" aca="1" ref="AF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312" s="2138" t="str" cm="1">
        <f t="array" ca="1" aca="1" ref="AG312">_xlfn.LET(_xlpm._termname,$AB312,_xlpm._iconname,"find",_xlpm._icon,fx_getIcon(_xlpm._iconname),_xlpm._location,_xlfn.XLOOKUP(LOWER(_xlpm._termname),LOWER(tbl_acctDef[Order]),tbl_acctDef[Order]),_xlpm._hyperlink,HYPERLINK("#"&amp;CELL("address",_xlpm._location),_xlpm._icon),IFERROR(_xlpm._hyperlink,""))</f>
        <v/>
      </c>
      <c r="AH312" s="2138" t="str" cm="1">
        <f t="array" ca="1" aca="1" ref="AH312">_xlfn.LET(_xlpm._termname,$AB312,_xlpm._iconname,"find",_xlpm._icon,fx_getIcon(_xlpm._iconname),_xlpm._location,_xlfn.XLOOKUP(LOWER(_xlpm._termname),LOWER(tbl_acctDef[Term]),tbl_acctDef[Term]),_xlpm._hyperlink,HYPERLINK("#"&amp;CELL("address",_xlpm._location),_xlpm._icon),IFERROR(_xlpm._hyperlink,""))</f>
        <v/>
      </c>
      <c r="AI312" s="2138" t="str" cm="1">
        <f t="array" ca="1" aca="1" ref="AI312">_xlfn.LET(_xlpm._termname,$AB312,_xlpm._iconname,"find",_xlpm._icon,fx_getIcon(_xlpm._iconname),_xlpm._location,_xlfn.XLOOKUP(LOWER(_xlpm._termname),LOWER(tbl_acctDef[Statement]),tbl_acctDef[Statement]),_xlpm._hyperlink,HYPERLINK("#"&amp;CELL("address",_xlpm._location),_xlpm._icon),IFERROR(_xlpm._hyperlink,""))</f>
        <v/>
      </c>
      <c r="AJ312" s="2138" t="str" cm="1">
        <f t="array" ca="1" aca="1" ref="AJ312">_xlfn.LET(_xlpm._termname,$AB312,_xlpm._iconname,"find",_xlpm._icon,fx_getIcon(_xlpm._iconname),_xlpm._location,_xlfn.XLOOKUP(LOWER(_xlpm._termname),LOWER(tbl_acctDef[Definition]),tbl_acctDef[Definition]),_xlpm._hyperlink,HYPERLINK("#"&amp;CELL("address",_xlpm._location),_xlpm._icon),IFERROR(_xlpm._hyperlink,""))</f>
        <v/>
      </c>
      <c r="AK312" s="2138" t="str" cm="1">
        <f t="array" ca="1" aca="1" ref="AK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312" s="2138" t="str" cm="1">
        <f t="array" ca="1" aca="1" ref="AL312">_xlfn.LET(_xlpm._termname,$AB312,_xlpm._iconname,"find",_xlpm._icon,fx_getIcon(_xlpm._iconname),_xlpm._location,_xlfn.XLOOKUP(LOWER(_xlpm._termname),LOWER(tbl_acctDef[Order]),tbl_acctDef[Order]),_xlpm._hyperlink,HYPERLINK("#"&amp;CELL("address",_xlpm._location),_xlpm._icon),IFERROR(_xlpm._hyperlink,""))</f>
        <v/>
      </c>
      <c r="AM312" s="2138" t="str" cm="1">
        <f t="array" ca="1" aca="1" ref="AM312">_xlfn.LET(_xlpm._termname,$AB312,_xlpm._iconname,"find",_xlpm._icon,fx_getIcon(_xlpm._iconname),_xlpm._location,_xlfn.XLOOKUP(LOWER(_xlpm._termname),LOWER(tbl_acctDef[Term]),tbl_acctDef[Term]),_xlpm._hyperlink,HYPERLINK("#"&amp;CELL("address",_xlpm._location),_xlpm._icon),IFERROR(_xlpm._hyperlink,""))</f>
        <v/>
      </c>
      <c r="AN312" s="2138" t="str" cm="1">
        <f t="array" ca="1" aca="1" ref="AN312">_xlfn.LET(_xlpm._termname,$AB312,_xlpm._iconname,"find",_xlpm._icon,fx_getIcon(_xlpm._iconname),_xlpm._location,_xlfn.XLOOKUP(LOWER(_xlpm._termname),LOWER(tbl_acctDef[Statement]),tbl_acctDef[Statement]),_xlpm._hyperlink,HYPERLINK("#"&amp;CELL("address",_xlpm._location),_xlpm._icon),IFERROR(_xlpm._hyperlink,""))</f>
        <v/>
      </c>
      <c r="AO312" s="2138" t="str" cm="1">
        <f t="array" ca="1" aca="1" ref="AO312">_xlfn.LET(_xlpm._termname,$AB312,_xlpm._iconname,"find",_xlpm._icon,fx_getIcon(_xlpm._iconname),_xlpm._location,_xlfn.XLOOKUP(LOWER(_xlpm._termname),LOWER(tbl_acctDef[Definition]),tbl_acctDef[Definition]),_xlpm._hyperlink,HYPERLINK("#"&amp;CELL("address",_xlpm._location),_xlpm._icon),IFERROR(_xlpm._hyperlink,""))</f>
        <v/>
      </c>
      <c r="AP312" s="2138" t="str" cm="1">
        <f t="array" ca="1" aca="1" ref="AP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312" s="2138" t="str" cm="1">
        <f t="array" ca="1" aca="1" ref="AQ312">_xlfn.LET(_xlpm._termname,$AB312,_xlpm._iconname,"find",_xlpm._icon,fx_getIcon(_xlpm._iconname),_xlpm._location,_xlfn.XLOOKUP(LOWER(_xlpm._termname),LOWER(tbl_acctDef[Order]),tbl_acctDef[Order]),_xlpm._hyperlink,HYPERLINK("#"&amp;CELL("address",_xlpm._location),_xlpm._icon),IFERROR(_xlpm._hyperlink,""))</f>
        <v/>
      </c>
      <c r="AR312" s="2138" t="str" cm="1">
        <f t="array" ca="1" aca="1" ref="AR312">_xlfn.LET(_xlpm._termname,$AB312,_xlpm._iconname,"find",_xlpm._icon,fx_getIcon(_xlpm._iconname),_xlpm._location,_xlfn.XLOOKUP(LOWER(_xlpm._termname),LOWER(tbl_acctDef[Term]),tbl_acctDef[Term]),_xlpm._hyperlink,HYPERLINK("#"&amp;CELL("address",_xlpm._location),_xlpm._icon),IFERROR(_xlpm._hyperlink,""))</f>
        <v/>
      </c>
      <c r="AS312" s="2138" t="str" cm="1">
        <f t="array" ca="1" aca="1" ref="AS312">_xlfn.LET(_xlpm._termname,$AB312,_xlpm._iconname,"find",_xlpm._icon,fx_getIcon(_xlpm._iconname),_xlpm._location,_xlfn.XLOOKUP(LOWER(_xlpm._termname),LOWER(tbl_acctDef[Statement]),tbl_acctDef[Statement]),_xlpm._hyperlink,HYPERLINK("#"&amp;CELL("address",_xlpm._location),_xlpm._icon),IFERROR(_xlpm._hyperlink,""))</f>
        <v/>
      </c>
      <c r="AT312" s="2138" t="str" cm="1">
        <f t="array" ca="1" aca="1" ref="AT312">_xlfn.LET(_xlpm._termname,$AB312,_xlpm._iconname,"find",_xlpm._icon,fx_getIcon(_xlpm._iconname),_xlpm._location,_xlfn.XLOOKUP(LOWER(_xlpm._termname),LOWER(tbl_acctDef[Definition]),tbl_acctDef[Definition]),_xlpm._hyperlink,HYPERLINK("#"&amp;CELL("address",_xlpm._location),_xlpm._icon),IFERROR(_xlpm._hyperlink,""))</f>
        <v/>
      </c>
      <c r="AU312" s="2138" t="str" cm="1">
        <f t="array" ca="1" aca="1" ref="AU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312" s="2138" t="str" cm="1">
        <f t="array" ca="1" aca="1" ref="AV312">_xlfn.LET(_xlpm._termname,$AB312,_xlpm._iconname,"find",_xlpm._icon,fx_getIcon(_xlpm._iconname),_xlpm._location,_xlfn.XLOOKUP(LOWER(_xlpm._termname),LOWER(tbl_acctDef[Order]),tbl_acctDef[Order]),_xlpm._hyperlink,HYPERLINK("#"&amp;CELL("address",_xlpm._location),_xlpm._icon),IFERROR(_xlpm._hyperlink,""))</f>
        <v/>
      </c>
      <c r="AW312" s="2138" t="str" cm="1">
        <f t="array" ca="1" aca="1" ref="AW312">_xlfn.LET(_xlpm._termname,$AB312,_xlpm._iconname,"find",_xlpm._icon,fx_getIcon(_xlpm._iconname),_xlpm._location,_xlfn.XLOOKUP(LOWER(_xlpm._termname),LOWER(tbl_acctDef[Term]),tbl_acctDef[Term]),_xlpm._hyperlink,HYPERLINK("#"&amp;CELL("address",_xlpm._location),_xlpm._icon),IFERROR(_xlpm._hyperlink,""))</f>
        <v/>
      </c>
      <c r="AX312" s="2138" t="str" cm="1">
        <f t="array" ca="1" aca="1" ref="AX312">_xlfn.LET(_xlpm._termname,$AB312,_xlpm._iconname,"find",_xlpm._icon,fx_getIcon(_xlpm._iconname),_xlpm._location,_xlfn.XLOOKUP(LOWER(_xlpm._termname),LOWER(tbl_acctDef[Statement]),tbl_acctDef[Statement]),_xlpm._hyperlink,HYPERLINK("#"&amp;CELL("address",_xlpm._location),_xlpm._icon),IFERROR(_xlpm._hyperlink,""))</f>
        <v/>
      </c>
      <c r="AY312" s="2138" t="str" cm="1">
        <f t="array" ca="1" aca="1" ref="AY312">_xlfn.LET(_xlpm._termname,$AB312,_xlpm._iconname,"find",_xlpm._icon,fx_getIcon(_xlpm._iconname),_xlpm._location,_xlfn.XLOOKUP(LOWER(_xlpm._termname),LOWER(tbl_acctDef[Definition]),tbl_acctDef[Definition]),_xlpm._hyperlink,HYPERLINK("#"&amp;CELL("address",_xlpm._location),_xlpm._icon),IFERROR(_xlpm._hyperlink,""))</f>
        <v/>
      </c>
      <c r="AZ312" s="2138" t="str" cm="1">
        <f t="array" ca="1" aca="1" ref="AZ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312" s="2138" t="str" cm="1">
        <f t="array" ca="1" aca="1" ref="BA312">_xlfn.LET(_xlpm._termname,$AB312,_xlpm._iconname,"find",_xlpm._icon,fx_getIcon(_xlpm._iconname),_xlpm._location,_xlfn.XLOOKUP(LOWER(_xlpm._termname),LOWER(tbl_acctDef[Order]),tbl_acctDef[Order]),_xlpm._hyperlink,HYPERLINK("#"&amp;CELL("address",_xlpm._location),_xlpm._icon),IFERROR(_xlpm._hyperlink,""))</f>
        <v/>
      </c>
      <c r="BB312" s="2138" t="str" cm="1">
        <f t="array" ca="1" aca="1" ref="BB312">_xlfn.LET(_xlpm._termname,$AB312,_xlpm._iconname,"find",_xlpm._icon,fx_getIcon(_xlpm._iconname),_xlpm._location,_xlfn.XLOOKUP(LOWER(_xlpm._termname),LOWER(tbl_acctDef[Term]),tbl_acctDef[Term]),_xlpm._hyperlink,HYPERLINK("#"&amp;CELL("address",_xlpm._location),_xlpm._icon),IFERROR(_xlpm._hyperlink,""))</f>
        <v/>
      </c>
      <c r="BC312" s="2138" t="str" cm="1">
        <f t="array" ca="1" aca="1" ref="BC312">_xlfn.LET(_xlpm._termname,$AB312,_xlpm._iconname,"find",_xlpm._icon,fx_getIcon(_xlpm._iconname),_xlpm._location,_xlfn.XLOOKUP(LOWER(_xlpm._termname),LOWER(tbl_acctDef[Statement]),tbl_acctDef[Statement]),_xlpm._hyperlink,HYPERLINK("#"&amp;CELL("address",_xlpm._location),_xlpm._icon),IFERROR(_xlpm._hyperlink,""))</f>
        <v/>
      </c>
      <c r="BD312" s="2138" t="str" cm="1">
        <f t="array" ca="1" aca="1" ref="BD312">_xlfn.LET(_xlpm._termname,$AB312,_xlpm._iconname,"find",_xlpm._icon,fx_getIcon(_xlpm._iconname),_xlpm._location,_xlfn.XLOOKUP(LOWER(_xlpm._termname),LOWER(tbl_acctDef[Definition]),tbl_acctDef[Definition]),_xlpm._hyperlink,HYPERLINK("#"&amp;CELL("address",_xlpm._location),_xlpm._icon),IFERROR(_xlpm._hyperlink,""))</f>
        <v/>
      </c>
      <c r="BE312" s="2138" t="str" cm="1">
        <f t="array" ca="1" aca="1" ref="BE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312" s="2138" t="str" cm="1">
        <f t="array" ca="1" aca="1" ref="BF312">_xlfn.LET(_xlpm._termname,$AB312,_xlpm._iconname,"find",_xlpm._icon,fx_getIcon(_xlpm._iconname),_xlpm._location,_xlfn.XLOOKUP(LOWER(_xlpm._termname),LOWER(tbl_acctDef[Order]),tbl_acctDef[Order]),_xlpm._hyperlink,HYPERLINK("#"&amp;CELL("address",_xlpm._location),_xlpm._icon),IFERROR(_xlpm._hyperlink,""))</f>
        <v/>
      </c>
      <c r="BG312" s="2138" t="str" cm="1">
        <f t="array" ca="1" aca="1" ref="BG312">_xlfn.LET(_xlpm._termname,$AB312,_xlpm._iconname,"find",_xlpm._icon,fx_getIcon(_xlpm._iconname),_xlpm._location,_xlfn.XLOOKUP(LOWER(_xlpm._termname),LOWER(tbl_acctDef[Term]),tbl_acctDef[Term]),_xlpm._hyperlink,HYPERLINK("#"&amp;CELL("address",_xlpm._location),_xlpm._icon),IFERROR(_xlpm._hyperlink,""))</f>
        <v/>
      </c>
      <c r="BH312" s="2138" t="str" cm="1">
        <f t="array" ca="1" aca="1" ref="BH312">_xlfn.LET(_xlpm._termname,$AB312,_xlpm._iconname,"find",_xlpm._icon,fx_getIcon(_xlpm._iconname),_xlpm._location,_xlfn.XLOOKUP(LOWER(_xlpm._termname),LOWER(tbl_acctDef[Statement]),tbl_acctDef[Statement]),_xlpm._hyperlink,HYPERLINK("#"&amp;CELL("address",_xlpm._location),_xlpm._icon),IFERROR(_xlpm._hyperlink,""))</f>
        <v/>
      </c>
      <c r="BI312" s="2138" t="str" cm="1">
        <f t="array" ca="1" aca="1" ref="BI312">_xlfn.LET(_xlpm._termname,$AB312,_xlpm._iconname,"find",_xlpm._icon,fx_getIcon(_xlpm._iconname),_xlpm._location,_xlfn.XLOOKUP(LOWER(_xlpm._termname),LOWER(tbl_acctDef[Definition]),tbl_acctDef[Definition]),_xlpm._hyperlink,HYPERLINK("#"&amp;CELL("address",_xlpm._location),_xlpm._icon),IFERROR(_xlpm._hyperlink,""))</f>
        <v/>
      </c>
      <c r="BJ312" s="2138" t="str" cm="1">
        <f t="array" ca="1" aca="1" ref="BJ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312" s="2138" t="str" cm="1">
        <f t="array" ca="1" aca="1" ref="BK312">_xlfn.LET(_xlpm._termname,$AB312,_xlpm._iconname,"find",_xlpm._icon,fx_getIcon(_xlpm._iconname),_xlpm._location,_xlfn.XLOOKUP(LOWER(_xlpm._termname),LOWER(tbl_acctDef[Order]),tbl_acctDef[Order]),_xlpm._hyperlink,HYPERLINK("#"&amp;CELL("address",_xlpm._location),_xlpm._icon),IFERROR(_xlpm._hyperlink,""))</f>
        <v/>
      </c>
      <c r="BL312" s="2138" t="str" cm="1">
        <f t="array" ca="1" aca="1" ref="BL312">_xlfn.LET(_xlpm._termname,$AB312,_xlpm._iconname,"find",_xlpm._icon,fx_getIcon(_xlpm._iconname),_xlpm._location,_xlfn.XLOOKUP(LOWER(_xlpm._termname),LOWER(tbl_acctDef[Term]),tbl_acctDef[Term]),_xlpm._hyperlink,HYPERLINK("#"&amp;CELL("address",_xlpm._location),_xlpm._icon),IFERROR(_xlpm._hyperlink,""))</f>
        <v/>
      </c>
      <c r="BM312" s="2138" t="str" cm="1">
        <f t="array" ca="1" aca="1" ref="BM312">_xlfn.LET(_xlpm._termname,$AB312,_xlpm._iconname,"find",_xlpm._icon,fx_getIcon(_xlpm._iconname),_xlpm._location,_xlfn.XLOOKUP(LOWER(_xlpm._termname),LOWER(tbl_acctDef[Statement]),tbl_acctDef[Statement]),_xlpm._hyperlink,HYPERLINK("#"&amp;CELL("address",_xlpm._location),_xlpm._icon),IFERROR(_xlpm._hyperlink,""))</f>
        <v/>
      </c>
      <c r="BN312" s="2138" t="str" cm="1">
        <f t="array" ca="1" aca="1" ref="BN312">_xlfn.LET(_xlpm._termname,$AB312,_xlpm._iconname,"find",_xlpm._icon,fx_getIcon(_xlpm._iconname),_xlpm._location,_xlfn.XLOOKUP(LOWER(_xlpm._termname),LOWER(tbl_acctDef[Definition]),tbl_acctDef[Definition]),_xlpm._hyperlink,HYPERLINK("#"&amp;CELL("address",_xlpm._location),_xlpm._icon),IFERROR(_xlpm._hyperlink,""))</f>
        <v/>
      </c>
      <c r="BO312" s="2361"/>
      <c r="BP312" s="2361"/>
      <c r="BQ312" s="2361"/>
      <c r="BR312" s="2361"/>
      <c r="BS312" s="2361"/>
      <c r="BT312" s="2361"/>
      <c r="BU312" s="2361"/>
      <c r="BV312" s="2361"/>
      <c r="BW312" s="2361"/>
      <c r="BX312" s="2361"/>
      <c r="BY312" s="2361"/>
      <c r="BZ312" s="2361"/>
      <c r="CA312" s="34"/>
      <c r="CC312" s="58"/>
      <c r="CD312" s="1720" t="e" cm="1">
        <f t="array" ca="1" aca="1" ref="CD312">fx_scenarioConverter($W307)</f>
        <v>#NAME?</v>
      </c>
      <c r="CE312" s="1721" t="e" cm="1">
        <f t="array" ca="1" aca="1" ref="CE312">fx_scenarioConverter($W307)</f>
        <v>#NAME?</v>
      </c>
      <c r="CF312" s="128"/>
      <c r="CG312" s="1734" t="e" cm="1">
        <f t="array" ca="1" aca="1" ref="CG312">fx_scenarioConverter($W307)</f>
        <v>#NAME?</v>
      </c>
      <c r="CH312" s="1735" t="e" cm="1">
        <f t="array" ca="1" aca="1" ref="CH312">fx_scenarioConverter($W307)</f>
        <v>#NAME?</v>
      </c>
      <c r="CI312" s="207"/>
      <c r="CJ312" s="1724" t="e" cm="1">
        <f t="array" ca="1" aca="1" ref="CJ312">fx_scenarioConverter($W307)</f>
        <v>#NAME?</v>
      </c>
      <c r="CK312" s="1725" t="e" cm="1">
        <f t="array" ca="1" aca="1" ref="CK312">fx_scenarioConverter($W307)</f>
        <v>#NAME?</v>
      </c>
      <c r="CL312" s="88"/>
      <c r="CM312" s="1198" t="str">
        <f>CM$19</f>
        <v>Original Budget</v>
      </c>
      <c r="CN312" s="1198" t="str">
        <f>CN$19</f>
        <v>LE</v>
      </c>
      <c r="CO312" s="88"/>
      <c r="CP312" s="1198" t="str">
        <f>CP$19</f>
        <v>Original Budget</v>
      </c>
      <c r="CQ312" s="1198" t="str">
        <f>CQ$19</f>
        <v>LE</v>
      </c>
      <c r="CR312" s="34"/>
      <c r="DC312"/>
    </row>
    <row r="313" spans="1:107" ht="21" customHeight="1">
      <c r="A313" s="1627"/>
      <c r="B313" s="2606"/>
      <c r="C313" s="2540"/>
      <c r="D313" s="1549"/>
      <c r="E313" s="2440" t="e" cm="1">
        <f t="array" ca="1" aca="1" ref="E31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313:$CQ313,Z313)</f>
        <v>#NAME?</v>
      </c>
      <c r="F313" s="401"/>
      <c r="G313" s="401"/>
      <c r="H313" s="585">
        <v>0</v>
      </c>
      <c r="I313" s="3290">
        <v>1</v>
      </c>
      <c r="J313" s="401"/>
      <c r="K313" s="401" t="str">
        <f t="shared" si="120" ref="K313:K314">IFERROR(IF(LEN(AB313)=0,"No",IF(LEN(J313)&gt;0,"Yes","No")),"")</f>
        <v>No</v>
      </c>
      <c r="L313" s="37"/>
      <c r="N313" s="158"/>
      <c r="O313" s="101"/>
      <c r="P313" s="52"/>
      <c r="Q313" s="101"/>
      <c r="R313" s="101"/>
      <c r="S313" s="101"/>
      <c r="T313" s="2324"/>
      <c r="U313" s="39"/>
      <c r="V313" s="37"/>
      <c r="W313" s="2364" t="e">
        <f ca="1">W312</f>
        <v>#NAME?</v>
      </c>
      <c r="X313" s="2373">
        <f>_PL!X313</f>
        <v>0</v>
      </c>
      <c r="Y313" s="3227">
        <v>2</v>
      </c>
      <c r="Z313" s="198">
        <f>_PL!Z313</f>
        <v>0</v>
      </c>
      <c r="AA313" s="200" t="str" cm="1">
        <f t="array" ca="1" aca="1" ref="AA313">IF(Y313="","",_xlfn.LET(_xlpm._termname,$W313&amp;$Y313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13" s="1134"/>
      <c r="AC313" s="125" t="str" cm="1">
        <f t="array" ca="1" aca="1" ref="AC313">IF(AB313="","",_xlfn.LET(_xlpm._termname,PL!$W313&amp;$AB313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13" s="2152" t="e" cm="1">
        <f t="array" ca="1" aca="1" ref="AD313">_xlfn.LET(_xlpm.search_key,$W313&amp;$Y313,_xlpm.Scenario,_xlfn.VSTACK($W$20:$W$55&amp;$Y$20:$Y$55,$W$76:$W$110&amp;$Y$76:$Y$110),_xlpm.Data,_xlfn.VSTACK($AD$20:$BN$55,$AD$76:$BN$110),IF(OR($Y313="",ISNUMBER(SEARCH("please",$Y313))),"",_xlfn.XLOOKUP(_xlpm.search_key,_xlpm.Scenario,_xlpm.Data,"▧")))</f>
        <v>#NAME?</v>
      </c>
      <c r="AE313" s="2152"/>
      <c r="AF313" s="2152"/>
      <c r="AG313" s="2152"/>
      <c r="AH313" s="2152"/>
      <c r="AI313" s="2152"/>
      <c r="AJ313" s="2152"/>
      <c r="AK313" s="2152"/>
      <c r="AL313" s="2152"/>
      <c r="AM313" s="2152"/>
      <c r="AN313" s="2152"/>
      <c r="AO313" s="2152"/>
      <c r="AP313" s="2152"/>
      <c r="AQ313" s="2152"/>
      <c r="AR313" s="2152"/>
      <c r="AS313" s="2152"/>
      <c r="AT313" s="2152"/>
      <c r="AU313" s="2152"/>
      <c r="AV313" s="2152"/>
      <c r="AW313" s="2152"/>
      <c r="AX313" s="2152"/>
      <c r="AY313" s="2152"/>
      <c r="AZ313" s="2152"/>
      <c r="BA313" s="2152"/>
      <c r="BB313" s="2152"/>
      <c r="BC313" s="2152"/>
      <c r="BD313" s="2152"/>
      <c r="BE313" s="2152"/>
      <c r="BF313" s="2152"/>
      <c r="BG313" s="2152"/>
      <c r="BH313" s="2152"/>
      <c r="BI313" s="2152"/>
      <c r="BJ313" s="2152"/>
      <c r="BK313" s="2152"/>
      <c r="BL313" s="2152"/>
      <c r="BM313" s="2152"/>
      <c r="BN313" s="2152"/>
      <c r="BO313" s="2362"/>
      <c r="BP313" s="2362"/>
      <c r="BQ313" s="2362"/>
      <c r="BR313" s="2362"/>
      <c r="BS313" s="2362"/>
      <c r="BT313" s="2362"/>
      <c r="BU313" s="2362"/>
      <c r="BV313" s="2362"/>
      <c r="BW313" s="2362"/>
      <c r="BX313" s="2362"/>
      <c r="BY313" s="2362"/>
      <c r="BZ313" s="2362"/>
      <c r="CA313" s="34"/>
      <c r="CC313" s="58"/>
      <c r="CD313" s="2154" t="e" cm="1">
        <f t="array" ca="1" aca="1" ref="CD313">_xlfn.LET(_xlpm.search_key,$W313&amp;$Y313,_xlpm.Scenario,_xlfn.VSTACK($W$20:$W$55&amp;$Y$20:$Y$55,$W$76:$W$110&amp;$Y$76:$Y$110),_xlpm.Data,_xlfn.VSTACK(CD$20:CE$55,CD$76:CE$110),IF(OR($Y313="",ISNUMBER(SEARCH("please",$Y313))),"",_xlfn.XLOOKUP(_xlpm.search_key,_xlpm.Scenario,_xlpm.Data,"▧")))</f>
        <v>#NAME?</v>
      </c>
      <c r="CE313" s="2154"/>
      <c r="CF313" s="88"/>
      <c r="CG313" s="2154" t="e" cm="1">
        <f t="array" ca="1" aca="1" ref="CG313">_xlfn.LET(_xlpm.search_key,$W313&amp;$Y313,_xlpm.Scenario,_xlfn.VSTACK($W$20:$W$55&amp;$Y$20:$Y$55,$W$76:$W$110&amp;$Y$76:$Y$110),_xlpm.Data,_xlfn.VSTACK(CG$20:CH$55,CG$76:CH$110),IF(OR($Y313="",ISNUMBER(SEARCH("please",$Y313))),"",_xlfn.XLOOKUP(_xlpm.search_key,_xlpm.Scenario,_xlpm.Data,"▧")))</f>
        <v>#NAME?</v>
      </c>
      <c r="CH313" s="2154"/>
      <c r="CI313" s="88"/>
      <c r="CJ313" s="2154" t="e" cm="1">
        <f t="array" ca="1" aca="1" ref="CJ313">_xlfn.LET(_xlpm.search_key,$W313&amp;$Y313,_xlpm.Scenario,_xlfn.VSTACK($W$20:$W$55&amp;$Y$20:$Y$55,$W$76:$W$110&amp;$Y$76:$Y$110),_xlpm.Data,_xlfn.VSTACK(CJ$20:CK$55,CJ$76:CK$110),IF(OR($Y313="",ISNUMBER(SEARCH("please",$Y313))),"",_xlfn.XLOOKUP(_xlpm.search_key,_xlpm.Scenario,_xlpm.Data,"▧")))</f>
        <v>#NAME?</v>
      </c>
      <c r="CK313" s="2154"/>
      <c r="CL313" s="88"/>
      <c r="CM313" s="2154" t="e" cm="1">
        <f t="array" ca="1" aca="1" ref="CM313">_xlfn.LET(_xlpm.search_key,$W313&amp;$Y313,_xlpm.Scenario,_xlfn.VSTACK($W$20:$W$55&amp;$Y$20:$Y$55,$W$76:$W$110&amp;$Y$76:$Y$110),_xlpm.Data,_xlfn.VSTACK(CM$20:CN$55,CM$76:CN$110),IF(OR($Y313="",ISNUMBER(SEARCH("please",$Y313))),"",_xlfn.XLOOKUP(_xlpm.search_key,_xlpm.Scenario,_xlpm.Data,"▧")))</f>
        <v>#NAME?</v>
      </c>
      <c r="CN313" s="2154"/>
      <c r="CO313" s="88"/>
      <c r="CP313" s="2154" t="e" cm="1">
        <f t="array" ca="1" aca="1" ref="CP313">_xlfn.LET(_xlpm.search_key,$W313&amp;$Y313,_xlpm.Scenario,_xlfn.VSTACK($W$20:$W$55&amp;$Y$20:$Y$55,$W$76:$W$110&amp;$Y$76:$Y$110),_xlpm.Data,_xlfn.VSTACK(CP$20:CQ$55,CP$76:CQ$110),IF(OR($Y313="",ISNUMBER(SEARCH("please",$Y313))),"",_xlfn.XLOOKUP(_xlpm.search_key,_xlpm.Scenario,_xlpm.Data,"▧")))</f>
        <v>#NAME?</v>
      </c>
      <c r="CQ313" s="2154"/>
      <c r="CR313" s="34"/>
      <c r="DC313"/>
    </row>
    <row r="314" spans="1:107" ht="21" customHeight="1">
      <c r="A314" s="1627"/>
      <c r="B314" s="2606"/>
      <c r="C314" s="2540"/>
      <c r="D314" s="1549"/>
      <c r="E314" s="2440" t="e" cm="1">
        <f t="array" ca="1" aca="1" ref="E31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314:$CQ314,Z314)</f>
        <v>#NAME?</v>
      </c>
      <c r="F314" s="401"/>
      <c r="G314" s="401"/>
      <c r="H314" s="585">
        <v>0</v>
      </c>
      <c r="I314" s="3290">
        <v>1</v>
      </c>
      <c r="J314" s="401"/>
      <c r="K314" s="401" t="str">
        <f t="shared" si="120"/>
        <v>No</v>
      </c>
      <c r="L314" s="37"/>
      <c r="N314" s="158"/>
      <c r="O314" s="101"/>
      <c r="P314" s="52"/>
      <c r="Q314" s="101"/>
      <c r="R314" s="101"/>
      <c r="S314" s="101"/>
      <c r="T314" s="101"/>
      <c r="U314" s="39"/>
      <c r="V314" s="37"/>
      <c r="W314" s="2364" t="e">
        <f ca="1">W312</f>
        <v>#NAME?</v>
      </c>
      <c r="X314" s="2373">
        <f>_PL!X314</f>
        <v>0</v>
      </c>
      <c r="Y314" s="3228">
        <v>2</v>
      </c>
      <c r="Z314" s="198">
        <f>_PL!Z314</f>
        <v>0</v>
      </c>
      <c r="AA314" s="200" t="str" cm="1">
        <f t="array" ca="1" aca="1" ref="AA314">IF(Y314="","",_xlfn.LET(_xlpm._termname,$W314&amp;$Y314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14" s="1134"/>
      <c r="AC314" s="125" t="str" cm="1">
        <f t="array" ca="1" aca="1" ref="AC314">IF(AB314="","",_xlfn.LET(_xlpm._termname,PL!$W315&amp;$AB314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14" s="2152" t="e" cm="1">
        <f t="array" ca="1" aca="1" ref="AD314">_xlfn.LET(_xlpm.search_key,$W314&amp;$Y314,_xlpm.Scenario,_xlfn.VSTACK($W$20:$W$55&amp;$Y$20:$Y$55,$W$76:$W$110&amp;$Y$76:$Y$110),_xlpm.Data,_xlfn.VSTACK($AD$20:$BN$55,$AD$76:$BN$110),IF(OR($Y314="",ISNUMBER(SEARCH("please",$Y314))),"",_xlfn.XLOOKUP(_xlpm.search_key,_xlpm.Scenario,_xlpm.Data,"▧")))</f>
        <v>#NAME?</v>
      </c>
      <c r="AE314" s="2152"/>
      <c r="AF314" s="2152"/>
      <c r="AG314" s="2152"/>
      <c r="AH314" s="2152"/>
      <c r="AI314" s="2152"/>
      <c r="AJ314" s="2152"/>
      <c r="AK314" s="2152"/>
      <c r="AL314" s="2152"/>
      <c r="AM314" s="2152"/>
      <c r="AN314" s="2152"/>
      <c r="AO314" s="2152"/>
      <c r="AP314" s="2152"/>
      <c r="AQ314" s="2152"/>
      <c r="AR314" s="2152"/>
      <c r="AS314" s="2152"/>
      <c r="AT314" s="2152"/>
      <c r="AU314" s="2152"/>
      <c r="AV314" s="2152"/>
      <c r="AW314" s="2152"/>
      <c r="AX314" s="2152"/>
      <c r="AY314" s="2152"/>
      <c r="AZ314" s="2152"/>
      <c r="BA314" s="2152"/>
      <c r="BB314" s="2152"/>
      <c r="BC314" s="2152"/>
      <c r="BD314" s="2152"/>
      <c r="BE314" s="2152"/>
      <c r="BF314" s="2152"/>
      <c r="BG314" s="2152"/>
      <c r="BH314" s="2152"/>
      <c r="BI314" s="2152"/>
      <c r="BJ314" s="2152"/>
      <c r="BK314" s="2152"/>
      <c r="BL314" s="2152"/>
      <c r="BM314" s="2152"/>
      <c r="BN314" s="2152"/>
      <c r="BO314" s="2362"/>
      <c r="BP314" s="2362"/>
      <c r="BQ314" s="2362"/>
      <c r="BR314" s="2362"/>
      <c r="BS314" s="2362"/>
      <c r="BT314" s="2362"/>
      <c r="BU314" s="2362"/>
      <c r="BV314" s="2362"/>
      <c r="BW314" s="2362"/>
      <c r="BX314" s="2362"/>
      <c r="BY314" s="2362"/>
      <c r="BZ314" s="2362"/>
      <c r="CA314" s="34"/>
      <c r="CC314" s="58"/>
      <c r="CD314" s="2154" t="e" cm="1">
        <f t="array" ca="1" aca="1" ref="CD314">_xlfn.LET(_xlpm.search_key,$W314&amp;$Y314,_xlpm.Scenario,_xlfn.VSTACK($W$20:$W$55&amp;$Y$20:$Y$55,$W$76:$W$110&amp;$Y$76:$Y$110),_xlpm.Data,_xlfn.VSTACK(CD$20:CE$55,CD$76:CE$110),IF(OR($Y314="",ISNUMBER(SEARCH("please",$Y314))),"",_xlfn.XLOOKUP(_xlpm.search_key,_xlpm.Scenario,_xlpm.Data,"▧")))</f>
        <v>#NAME?</v>
      </c>
      <c r="CE314" s="2154"/>
      <c r="CF314" s="88"/>
      <c r="CG314" s="2154" t="e" cm="1">
        <f t="array" ca="1" aca="1" ref="CG314">_xlfn.LET(_xlpm.search_key,$W314&amp;$Y314,_xlpm.Scenario,_xlfn.VSTACK($W$20:$W$55&amp;$Y$20:$Y$55,$W$76:$W$110&amp;$Y$76:$Y$110),_xlpm.Data,_xlfn.VSTACK(CG$20:CH$55,CG$76:CH$110),IF(OR($Y314="",ISNUMBER(SEARCH("please",$Y314))),"",_xlfn.XLOOKUP(_xlpm.search_key,_xlpm.Scenario,_xlpm.Data,"▧")))</f>
        <v>#NAME?</v>
      </c>
      <c r="CH314" s="2154"/>
      <c r="CI314" s="88"/>
      <c r="CJ314" s="2154" t="e" cm="1">
        <f t="array" ca="1" aca="1" ref="CJ314">_xlfn.LET(_xlpm.search_key,$W314&amp;$Y314,_xlpm.Scenario,_xlfn.VSTACK($W$20:$W$55&amp;$Y$20:$Y$55,$W$76:$W$110&amp;$Y$76:$Y$110),_xlpm.Data,_xlfn.VSTACK(CJ$20:CK$55,CJ$76:CK$110),IF(OR($Y314="",ISNUMBER(SEARCH("please",$Y314))),"",_xlfn.XLOOKUP(_xlpm.search_key,_xlpm.Scenario,_xlpm.Data,"▧")))</f>
        <v>#NAME?</v>
      </c>
      <c r="CK314" s="2154"/>
      <c r="CL314" s="88"/>
      <c r="CM314" s="2154" t="e" cm="1">
        <f t="array" ca="1" aca="1" ref="CM314">_xlfn.LET(_xlpm.search_key,$W314&amp;$Y314,_xlpm.Scenario,_xlfn.VSTACK($W$20:$W$55&amp;$Y$20:$Y$55,$W$76:$W$110&amp;$Y$76:$Y$110),_xlpm.Data,_xlfn.VSTACK(CM$20:CN$55,CM$76:CN$110),IF(OR($Y314="",ISNUMBER(SEARCH("please",$Y314))),"",_xlfn.XLOOKUP(_xlpm.search_key,_xlpm.Scenario,_xlpm.Data,"▧")))</f>
        <v>#NAME?</v>
      </c>
      <c r="CN314" s="2154"/>
      <c r="CO314" s="88"/>
      <c r="CP314" s="2154" t="e" cm="1">
        <f t="array" ca="1" aca="1" ref="CP314">_xlfn.LET(_xlpm.search_key,$W314&amp;$Y314,_xlpm.Scenario,_xlfn.VSTACK($W$20:$W$55&amp;$Y$20:$Y$55,$W$76:$W$110&amp;$Y$76:$Y$110),_xlpm.Data,_xlfn.VSTACK(CP$20:CQ$55,CP$76:CQ$110),IF(OR($Y314="",ISNUMBER(SEARCH("please",$Y314))),"",_xlfn.XLOOKUP(_xlpm.search_key,_xlpm.Scenario,_xlpm.Data,"▧")))</f>
        <v>#NAME?</v>
      </c>
      <c r="CQ314" s="2154"/>
      <c r="CR314" s="34"/>
      <c r="DC314"/>
    </row>
    <row r="315" spans="1:107" ht="21" customHeight="1">
      <c r="A315" s="1627"/>
      <c r="B315" s="2606"/>
      <c r="C315" s="2540"/>
      <c r="D315" s="1549"/>
      <c r="E315" s="2440"/>
      <c r="F315" s="401"/>
      <c r="G315" s="401"/>
      <c r="H315" s="585"/>
      <c r="I315" s="585"/>
      <c r="J315" s="401"/>
      <c r="K315" s="401"/>
      <c r="L315" s="37"/>
      <c r="N315" s="158"/>
      <c r="O315" s="101"/>
      <c r="P315" s="52"/>
      <c r="Q315" s="101"/>
      <c r="R315" s="101"/>
      <c r="S315" s="101"/>
      <c r="T315" s="101"/>
      <c r="U315" s="39"/>
      <c r="V315" s="37"/>
      <c r="W315" s="2364" t="e">
        <f ca="1">W312</f>
        <v>#NAME?</v>
      </c>
      <c r="X315" s="2373">
        <f>_PL!X315</f>
        <v>0</v>
      </c>
      <c r="Y315" s="3228">
        <v>2</v>
      </c>
      <c r="Z315" s="198">
        <f>_PL!Z315</f>
        <v>0</v>
      </c>
      <c r="AA315" s="200" t="str" cm="1">
        <f t="array" ca="1" aca="1" ref="AA315">IF(Y315="","",_xlfn.LET(_xlpm._termname,$W315&amp;$Y315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15" s="1134"/>
      <c r="AC315" s="125"/>
      <c r="AD315" s="2152" t="e" cm="1">
        <f t="array" ca="1" aca="1" ref="AD315">_xlfn.LET(_xlpm.search_key,$W315&amp;$Y315,_xlpm.Scenario,_xlfn.VSTACK($W$20:$W$55&amp;$Y$20:$Y$55,$W$76:$W$110&amp;$Y$76:$Y$110),_xlpm.Data,_xlfn.VSTACK($AD$20:$BN$55,$AD$76:$BN$110),IF(OR($Y315="",ISNUMBER(SEARCH("please",$Y315))),"",_xlfn.XLOOKUP(_xlpm.search_key,_xlpm.Scenario,_xlpm.Data,"▧")))</f>
        <v>#NAME?</v>
      </c>
      <c r="AE315" s="2152"/>
      <c r="AF315" s="2152"/>
      <c r="AG315" s="2152"/>
      <c r="AH315" s="2152"/>
      <c r="AI315" s="2152"/>
      <c r="AJ315" s="2152"/>
      <c r="AK315" s="2152"/>
      <c r="AL315" s="2152"/>
      <c r="AM315" s="2152"/>
      <c r="AN315" s="2152"/>
      <c r="AO315" s="2152"/>
      <c r="AP315" s="2152"/>
      <c r="AQ315" s="2152"/>
      <c r="AR315" s="2152"/>
      <c r="AS315" s="2152"/>
      <c r="AT315" s="2152"/>
      <c r="AU315" s="2152"/>
      <c r="AV315" s="2152"/>
      <c r="AW315" s="2152"/>
      <c r="AX315" s="2152"/>
      <c r="AY315" s="2152"/>
      <c r="AZ315" s="2152"/>
      <c r="BA315" s="2152"/>
      <c r="BB315" s="2152"/>
      <c r="BC315" s="2152"/>
      <c r="BD315" s="2152"/>
      <c r="BE315" s="2152"/>
      <c r="BF315" s="2152"/>
      <c r="BG315" s="2152"/>
      <c r="BH315" s="2152"/>
      <c r="BI315" s="2152"/>
      <c r="BJ315" s="2152"/>
      <c r="BK315" s="2152"/>
      <c r="BL315" s="2152"/>
      <c r="BM315" s="2152"/>
      <c r="BN315" s="2152"/>
      <c r="BO315" s="2362"/>
      <c r="BP315" s="2362"/>
      <c r="BQ315" s="2362"/>
      <c r="BR315" s="2362"/>
      <c r="BS315" s="2362"/>
      <c r="BT315" s="2362"/>
      <c r="BU315" s="2362"/>
      <c r="BV315" s="2362"/>
      <c r="BW315" s="2362"/>
      <c r="BX315" s="2362"/>
      <c r="BY315" s="2362"/>
      <c r="BZ315" s="2362"/>
      <c r="CA315" s="34"/>
      <c r="CC315" s="58"/>
      <c r="CD315" s="2154" t="e" cm="1">
        <f t="array" ca="1" aca="1" ref="CD315">_xlfn.LET(_xlpm.search_key,$W315&amp;$Y315,_xlpm.Scenario,_xlfn.VSTACK($W$20:$W$55&amp;$Y$20:$Y$55,$W$76:$W$110&amp;$Y$76:$Y$110),_xlpm.Data,_xlfn.VSTACK(CD$20:CE$55,CD$76:CE$110),IF(OR($Y315="",ISNUMBER(SEARCH("please",$Y315))),"",_xlfn.XLOOKUP(_xlpm.search_key,_xlpm.Scenario,_xlpm.Data,"▧")))</f>
        <v>#NAME?</v>
      </c>
      <c r="CE315" s="2154"/>
      <c r="CF315" s="88"/>
      <c r="CG315" s="2154" t="e" cm="1">
        <f t="array" ca="1" aca="1" ref="CG315">_xlfn.LET(_xlpm.search_key,$W315&amp;$Y315,_xlpm.Scenario,_xlfn.VSTACK($W$20:$W$55&amp;$Y$20:$Y$55,$W$76:$W$110&amp;$Y$76:$Y$110),_xlpm.Data,_xlfn.VSTACK(CG$20:CH$55,CG$76:CH$110),IF(OR($Y315="",ISNUMBER(SEARCH("please",$Y315))),"",_xlfn.XLOOKUP(_xlpm.search_key,_xlpm.Scenario,_xlpm.Data,"▧")))</f>
        <v>#NAME?</v>
      </c>
      <c r="CH315" s="2154"/>
      <c r="CI315" s="88"/>
      <c r="CJ315" s="2154" t="e" cm="1">
        <f t="array" ca="1" aca="1" ref="CJ315">_xlfn.LET(_xlpm.search_key,$W315&amp;$Y315,_xlpm.Scenario,_xlfn.VSTACK($W$20:$W$55&amp;$Y$20:$Y$55,$W$76:$W$110&amp;$Y$76:$Y$110),_xlpm.Data,_xlfn.VSTACK(CJ$20:CK$55,CJ$76:CK$110),IF(OR($Y315="",ISNUMBER(SEARCH("please",$Y315))),"",_xlfn.XLOOKUP(_xlpm.search_key,_xlpm.Scenario,_xlpm.Data,"▧")))</f>
        <v>#NAME?</v>
      </c>
      <c r="CK315" s="2154"/>
      <c r="CL315" s="88"/>
      <c r="CM315" s="2154" t="e" cm="1">
        <f t="array" ca="1" aca="1" ref="CM315">_xlfn.LET(_xlpm.search_key,$W315&amp;$Y315,_xlpm.Scenario,_xlfn.VSTACK($W$20:$W$55&amp;$Y$20:$Y$55,$W$76:$W$110&amp;$Y$76:$Y$110),_xlpm.Data,_xlfn.VSTACK(CM$20:CN$55,CM$76:CN$110),IF(OR($Y315="",ISNUMBER(SEARCH("please",$Y315))),"",_xlfn.XLOOKUP(_xlpm.search_key,_xlpm.Scenario,_xlpm.Data,"▧")))</f>
        <v>#NAME?</v>
      </c>
      <c r="CN315" s="2154"/>
      <c r="CO315" s="88"/>
      <c r="CP315" s="2154" t="e" cm="1">
        <f t="array" ca="1" aca="1" ref="CP315">_xlfn.LET(_xlpm.search_key,$W315&amp;$Y315,_xlpm.Scenario,_xlfn.VSTACK($W$20:$W$55&amp;$Y$20:$Y$55,$W$76:$W$110&amp;$Y$76:$Y$110),_xlpm.Data,_xlfn.VSTACK(CP$20:CQ$55,CP$76:CQ$110),IF(OR($Y315="",ISNUMBER(SEARCH("please",$Y315))),"",_xlfn.XLOOKUP(_xlpm.search_key,_xlpm.Scenario,_xlpm.Data,"▧")))</f>
        <v>#NAME?</v>
      </c>
      <c r="CQ315" s="2154"/>
      <c r="CR315" s="34"/>
      <c r="DC315"/>
    </row>
    <row r="316" spans="1:107" ht="21" customHeight="1">
      <c r="A316" s="1627"/>
      <c r="B316" s="2606"/>
      <c r="C316" s="2540"/>
      <c r="D316" s="1549"/>
      <c r="E316" s="2440"/>
      <c r="F316" s="401"/>
      <c r="G316" s="401"/>
      <c r="H316" s="585"/>
      <c r="I316" s="585"/>
      <c r="J316" s="401"/>
      <c r="K316" s="401"/>
      <c r="L316" s="37"/>
      <c r="N316" s="158"/>
      <c r="O316" s="101"/>
      <c r="P316" s="52"/>
      <c r="Q316" s="101"/>
      <c r="R316" s="101"/>
      <c r="S316" s="101"/>
      <c r="T316" s="101"/>
      <c r="U316" s="39"/>
      <c r="V316" s="37"/>
      <c r="W316" s="2364" t="e">
        <f ca="1">W312</f>
        <v>#NAME?</v>
      </c>
      <c r="X316" s="2373">
        <f>_PL!X316</f>
        <v>0</v>
      </c>
      <c r="Y316" s="3228">
        <v>2</v>
      </c>
      <c r="Z316" s="198">
        <f>_PL!Z316</f>
        <v>0</v>
      </c>
      <c r="AA316" s="200" t="str" cm="1">
        <f t="array" ca="1" aca="1" ref="AA316">IF(Y316="","",_xlfn.LET(_xlpm._termname,$W316&amp;$Y316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16" s="1134"/>
      <c r="AC316" s="125"/>
      <c r="AD316" s="2152" t="e" cm="1">
        <f t="array" ca="1" aca="1" ref="AD316">_xlfn.LET(_xlpm.search_key,$W316&amp;$Y316,_xlpm.Scenario,_xlfn.VSTACK($W$20:$W$55&amp;$Y$20:$Y$55,$W$76:$W$110&amp;$Y$76:$Y$110),_xlpm.Data,_xlfn.VSTACK($AD$20:$BN$55,$AD$76:$BN$110),IF(OR($Y316="",ISNUMBER(SEARCH("please",$Y316))),"",_xlfn.XLOOKUP(_xlpm.search_key,_xlpm.Scenario,_xlpm.Data,"▧")))</f>
        <v>#NAME?</v>
      </c>
      <c r="AE316" s="2152"/>
      <c r="AF316" s="2152"/>
      <c r="AG316" s="2152"/>
      <c r="AH316" s="2152"/>
      <c r="AI316" s="2152"/>
      <c r="AJ316" s="2152"/>
      <c r="AK316" s="2152"/>
      <c r="AL316" s="2152"/>
      <c r="AM316" s="2152"/>
      <c r="AN316" s="2152"/>
      <c r="AO316" s="2152"/>
      <c r="AP316" s="2152"/>
      <c r="AQ316" s="2152"/>
      <c r="AR316" s="2152"/>
      <c r="AS316" s="2152"/>
      <c r="AT316" s="2152"/>
      <c r="AU316" s="2152"/>
      <c r="AV316" s="2152"/>
      <c r="AW316" s="2152"/>
      <c r="AX316" s="2152"/>
      <c r="AY316" s="2152"/>
      <c r="AZ316" s="2152"/>
      <c r="BA316" s="2152"/>
      <c r="BB316" s="2152"/>
      <c r="BC316" s="2152"/>
      <c r="BD316" s="2152"/>
      <c r="BE316" s="2152"/>
      <c r="BF316" s="2152"/>
      <c r="BG316" s="2152"/>
      <c r="BH316" s="2152"/>
      <c r="BI316" s="2152"/>
      <c r="BJ316" s="2152"/>
      <c r="BK316" s="2152"/>
      <c r="BL316" s="2152"/>
      <c r="BM316" s="2152"/>
      <c r="BN316" s="2152"/>
      <c r="BO316" s="2362"/>
      <c r="BP316" s="2362"/>
      <c r="BQ316" s="2362"/>
      <c r="BR316" s="2362"/>
      <c r="BS316" s="2362"/>
      <c r="BT316" s="2362"/>
      <c r="BU316" s="2362"/>
      <c r="BV316" s="2362"/>
      <c r="BW316" s="2362"/>
      <c r="BX316" s="2362"/>
      <c r="BY316" s="2362"/>
      <c r="BZ316" s="2362"/>
      <c r="CA316" s="34"/>
      <c r="CC316" s="58"/>
      <c r="CD316" s="2154" t="e" cm="1">
        <f t="array" ca="1" aca="1" ref="CD316">_xlfn.LET(_xlpm.search_key,$W316&amp;$Y316,_xlpm.Scenario,_xlfn.VSTACK($W$20:$W$55&amp;$Y$20:$Y$55,$W$76:$W$110&amp;$Y$76:$Y$110),_xlpm.Data,_xlfn.VSTACK(CD$20:CE$55,CD$76:CE$110),IF(OR($Y316="",ISNUMBER(SEARCH("please",$Y316))),"",_xlfn.XLOOKUP(_xlpm.search_key,_xlpm.Scenario,_xlpm.Data,"▧")))</f>
        <v>#NAME?</v>
      </c>
      <c r="CE316" s="2154"/>
      <c r="CF316" s="88"/>
      <c r="CG316" s="2154" t="e" cm="1">
        <f t="array" ca="1" aca="1" ref="CG316">_xlfn.LET(_xlpm.search_key,$W316&amp;$Y316,_xlpm.Scenario,_xlfn.VSTACK($W$20:$W$55&amp;$Y$20:$Y$55,$W$76:$W$110&amp;$Y$76:$Y$110),_xlpm.Data,_xlfn.VSTACK(CG$20:CH$55,CG$76:CH$110),IF(OR($Y316="",ISNUMBER(SEARCH("please",$Y316))),"",_xlfn.XLOOKUP(_xlpm.search_key,_xlpm.Scenario,_xlpm.Data,"▧")))</f>
        <v>#NAME?</v>
      </c>
      <c r="CH316" s="2154"/>
      <c r="CI316" s="88"/>
      <c r="CJ316" s="2154" t="e" cm="1">
        <f t="array" ca="1" aca="1" ref="CJ316">_xlfn.LET(_xlpm.search_key,$W316&amp;$Y316,_xlpm.Scenario,_xlfn.VSTACK($W$20:$W$55&amp;$Y$20:$Y$55,$W$76:$W$110&amp;$Y$76:$Y$110),_xlpm.Data,_xlfn.VSTACK(CJ$20:CK$55,CJ$76:CK$110),IF(OR($Y316="",ISNUMBER(SEARCH("please",$Y316))),"",_xlfn.XLOOKUP(_xlpm.search_key,_xlpm.Scenario,_xlpm.Data,"▧")))</f>
        <v>#NAME?</v>
      </c>
      <c r="CK316" s="2154"/>
      <c r="CL316" s="88"/>
      <c r="CM316" s="2154" t="e" cm="1">
        <f t="array" ca="1" aca="1" ref="CM316">_xlfn.LET(_xlpm.search_key,$W316&amp;$Y316,_xlpm.Scenario,_xlfn.VSTACK($W$20:$W$55&amp;$Y$20:$Y$55,$W$76:$W$110&amp;$Y$76:$Y$110),_xlpm.Data,_xlfn.VSTACK(CM$20:CN$55,CM$76:CN$110),IF(OR($Y316="",ISNUMBER(SEARCH("please",$Y316))),"",_xlfn.XLOOKUP(_xlpm.search_key,_xlpm.Scenario,_xlpm.Data,"▧")))</f>
        <v>#NAME?</v>
      </c>
      <c r="CN316" s="2154"/>
      <c r="CO316" s="88"/>
      <c r="CP316" s="2154" t="e" cm="1">
        <f t="array" ca="1" aca="1" ref="CP316">_xlfn.LET(_xlpm.search_key,$W316&amp;$Y316,_xlpm.Scenario,_xlfn.VSTACK($W$20:$W$55&amp;$Y$20:$Y$55,$W$76:$W$110&amp;$Y$76:$Y$110),_xlpm.Data,_xlfn.VSTACK(CP$20:CQ$55,CP$76:CQ$110),IF(OR($Y316="",ISNUMBER(SEARCH("please",$Y316))),"",_xlfn.XLOOKUP(_xlpm.search_key,_xlpm.Scenario,_xlpm.Data,"▧")))</f>
        <v>#NAME?</v>
      </c>
      <c r="CQ316" s="2154"/>
      <c r="CR316" s="34"/>
      <c r="DC316"/>
    </row>
    <row r="317" spans="1:107" ht="21" customHeight="1">
      <c r="A317" s="1627"/>
      <c r="B317" s="2606"/>
      <c r="C317" s="2540"/>
      <c r="D317" s="1549"/>
      <c r="E317" s="2440"/>
      <c r="F317" s="401"/>
      <c r="G317" s="401"/>
      <c r="H317" s="585"/>
      <c r="I317" s="585"/>
      <c r="J317" s="401"/>
      <c r="K317" s="401"/>
      <c r="L317" s="37"/>
      <c r="N317" s="158"/>
      <c r="O317" s="101"/>
      <c r="P317" s="52"/>
      <c r="Q317" s="101"/>
      <c r="R317" s="101"/>
      <c r="S317" s="101"/>
      <c r="T317" s="101"/>
      <c r="U317" s="39"/>
      <c r="V317" s="37"/>
      <c r="W317" s="2364" t="e">
        <f ca="1">W312</f>
        <v>#NAME?</v>
      </c>
      <c r="X317" s="2373">
        <f>_PL!X317</f>
        <v>0</v>
      </c>
      <c r="Y317" s="3228">
        <v>2</v>
      </c>
      <c r="Z317" s="198">
        <f>_PL!Z317</f>
        <v>0</v>
      </c>
      <c r="AA317" s="200" t="str" cm="1">
        <f t="array" ca="1" aca="1" ref="AA317">IF(Y317="","",_xlfn.LET(_xlpm._termname,$W317&amp;$Y317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17" s="1134"/>
      <c r="AC317" s="125"/>
      <c r="AD317" s="2152" t="e" cm="1">
        <f t="array" ca="1" aca="1" ref="AD317">_xlfn.LET(_xlpm.search_key,$W317&amp;$Y317,_xlpm.Scenario,_xlfn.VSTACK($W$20:$W$55&amp;$Y$20:$Y$55,$W$76:$W$110&amp;$Y$76:$Y$110),_xlpm.Data,_xlfn.VSTACK($AD$20:$BN$55,$AD$76:$BN$110),IF(OR($Y317="",ISNUMBER(SEARCH("please",$Y317))),"",_xlfn.XLOOKUP(_xlpm.search_key,_xlpm.Scenario,_xlpm.Data,"▧")))</f>
        <v>#NAME?</v>
      </c>
      <c r="AE317" s="2152"/>
      <c r="AF317" s="2152"/>
      <c r="AG317" s="2152"/>
      <c r="AH317" s="2152"/>
      <c r="AI317" s="2152"/>
      <c r="AJ317" s="2152"/>
      <c r="AK317" s="2152"/>
      <c r="AL317" s="2152"/>
      <c r="AM317" s="2152"/>
      <c r="AN317" s="2152"/>
      <c r="AO317" s="2152"/>
      <c r="AP317" s="2152"/>
      <c r="AQ317" s="2152"/>
      <c r="AR317" s="2152"/>
      <c r="AS317" s="2152"/>
      <c r="AT317" s="2152"/>
      <c r="AU317" s="2152"/>
      <c r="AV317" s="2152"/>
      <c r="AW317" s="2152"/>
      <c r="AX317" s="2152"/>
      <c r="AY317" s="2152"/>
      <c r="AZ317" s="2152"/>
      <c r="BA317" s="2152"/>
      <c r="BB317" s="2152"/>
      <c r="BC317" s="2152"/>
      <c r="BD317" s="2152"/>
      <c r="BE317" s="2152"/>
      <c r="BF317" s="2152"/>
      <c r="BG317" s="2152"/>
      <c r="BH317" s="2152"/>
      <c r="BI317" s="2152"/>
      <c r="BJ317" s="2152"/>
      <c r="BK317" s="2152"/>
      <c r="BL317" s="2152"/>
      <c r="BM317" s="2152"/>
      <c r="BN317" s="2152"/>
      <c r="BO317" s="2362"/>
      <c r="BP317" s="2362"/>
      <c r="BQ317" s="2362"/>
      <c r="BR317" s="2362"/>
      <c r="BS317" s="2362"/>
      <c r="BT317" s="2362"/>
      <c r="BU317" s="2362"/>
      <c r="BV317" s="2362"/>
      <c r="BW317" s="2362"/>
      <c r="BX317" s="2362"/>
      <c r="BY317" s="2362"/>
      <c r="BZ317" s="2362"/>
      <c r="CA317" s="34"/>
      <c r="CC317" s="58"/>
      <c r="CD317" s="2154" t="e" cm="1">
        <f t="array" ca="1" aca="1" ref="CD317">_xlfn.LET(_xlpm.search_key,$W317&amp;$Y317,_xlpm.Scenario,_xlfn.VSTACK($W$20:$W$55&amp;$Y$20:$Y$55,$W$76:$W$110&amp;$Y$76:$Y$110),_xlpm.Data,_xlfn.VSTACK(CD$20:CE$55,CD$76:CE$110),IF(OR($Y317="",ISNUMBER(SEARCH("please",$Y317))),"",_xlfn.XLOOKUP(_xlpm.search_key,_xlpm.Scenario,_xlpm.Data,"▧")))</f>
        <v>#NAME?</v>
      </c>
      <c r="CE317" s="2154"/>
      <c r="CF317" s="88"/>
      <c r="CG317" s="2154" t="e" cm="1">
        <f t="array" ca="1" aca="1" ref="CG317">_xlfn.LET(_xlpm.search_key,$W317&amp;$Y317,_xlpm.Scenario,_xlfn.VSTACK($W$20:$W$55&amp;$Y$20:$Y$55,$W$76:$W$110&amp;$Y$76:$Y$110),_xlpm.Data,_xlfn.VSTACK(CG$20:CH$55,CG$76:CH$110),IF(OR($Y317="",ISNUMBER(SEARCH("please",$Y317))),"",_xlfn.XLOOKUP(_xlpm.search_key,_xlpm.Scenario,_xlpm.Data,"▧")))</f>
        <v>#NAME?</v>
      </c>
      <c r="CH317" s="2154"/>
      <c r="CI317" s="88"/>
      <c r="CJ317" s="2154" t="e" cm="1">
        <f t="array" ca="1" aca="1" ref="CJ317">_xlfn.LET(_xlpm.search_key,$W317&amp;$Y317,_xlpm.Scenario,_xlfn.VSTACK($W$20:$W$55&amp;$Y$20:$Y$55,$W$76:$W$110&amp;$Y$76:$Y$110),_xlpm.Data,_xlfn.VSTACK(CJ$20:CK$55,CJ$76:CK$110),IF(OR($Y317="",ISNUMBER(SEARCH("please",$Y317))),"",_xlfn.XLOOKUP(_xlpm.search_key,_xlpm.Scenario,_xlpm.Data,"▧")))</f>
        <v>#NAME?</v>
      </c>
      <c r="CK317" s="2154"/>
      <c r="CL317" s="88"/>
      <c r="CM317" s="2154" t="e" cm="1">
        <f t="array" ca="1" aca="1" ref="CM317">_xlfn.LET(_xlpm.search_key,$W317&amp;$Y317,_xlpm.Scenario,_xlfn.VSTACK($W$20:$W$55&amp;$Y$20:$Y$55,$W$76:$W$110&amp;$Y$76:$Y$110),_xlpm.Data,_xlfn.VSTACK(CM$20:CN$55,CM$76:CN$110),IF(OR($Y317="",ISNUMBER(SEARCH("please",$Y317))),"",_xlfn.XLOOKUP(_xlpm.search_key,_xlpm.Scenario,_xlpm.Data,"▧")))</f>
        <v>#NAME?</v>
      </c>
      <c r="CN317" s="2154"/>
      <c r="CO317" s="88"/>
      <c r="CP317" s="2154" t="e" cm="1">
        <f t="array" ca="1" aca="1" ref="CP317">_xlfn.LET(_xlpm.search_key,$W317&amp;$Y317,_xlpm.Scenario,_xlfn.VSTACK($W$20:$W$55&amp;$Y$20:$Y$55,$W$76:$W$110&amp;$Y$76:$Y$110),_xlpm.Data,_xlfn.VSTACK(CP$20:CQ$55,CP$76:CQ$110),IF(OR($Y317="",ISNUMBER(SEARCH("please",$Y317))),"",_xlfn.XLOOKUP(_xlpm.search_key,_xlpm.Scenario,_xlpm.Data,"▧")))</f>
        <v>#NAME?</v>
      </c>
      <c r="CQ317" s="2154"/>
      <c r="CR317" s="34"/>
      <c r="DC317"/>
    </row>
    <row r="318" spans="1:107" ht="21" customHeight="1">
      <c r="A318" s="1627"/>
      <c r="B318" s="2606"/>
      <c r="C318" s="2540"/>
      <c r="D318" s="1549"/>
      <c r="E318" s="2440"/>
      <c r="F318" s="401"/>
      <c r="G318" s="401"/>
      <c r="H318" s="585"/>
      <c r="I318" s="585"/>
      <c r="J318" s="401"/>
      <c r="K318" s="401"/>
      <c r="L318" s="37"/>
      <c r="N318" s="158"/>
      <c r="O318" s="101"/>
      <c r="P318" s="52"/>
      <c r="Q318" s="101"/>
      <c r="R318" s="101"/>
      <c r="S318" s="101"/>
      <c r="T318" s="101"/>
      <c r="U318" s="39"/>
      <c r="V318" s="37"/>
      <c r="W318" s="2364" t="e">
        <f ca="1">W312</f>
        <v>#NAME?</v>
      </c>
      <c r="X318" s="2373">
        <f>_PL!X318</f>
        <v>0</v>
      </c>
      <c r="Y318" s="3228">
        <v>2</v>
      </c>
      <c r="Z318" s="538">
        <f>_PL!Z318</f>
        <v>0</v>
      </c>
      <c r="AA318" s="787" t="str" cm="1">
        <f t="array" ca="1" aca="1" ref="AA318">IF(Y318="","",_xlfn.LET(_xlpm._termname,$W318&amp;$Y318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18" s="1134"/>
      <c r="AC318" s="125"/>
      <c r="AD318" s="2152" t="e" cm="1">
        <f t="array" ca="1" aca="1" ref="AD318">_xlfn.LET(_xlpm.search_key,$W318&amp;$Y318,_xlpm.Scenario,_xlfn.VSTACK($W$20:$W$55&amp;$Y$20:$Y$55,$W$76:$W$110&amp;$Y$76:$Y$110),_xlpm.Data,_xlfn.VSTACK($AD$20:$BN$55,$AD$76:$BN$110),IF(OR($Y318="",ISNUMBER(SEARCH("please",$Y318))),"",_xlfn.XLOOKUP(_xlpm.search_key,_xlpm.Scenario,_xlpm.Data,"▧")))</f>
        <v>#NAME?</v>
      </c>
      <c r="AE318" s="2152"/>
      <c r="AF318" s="2152"/>
      <c r="AG318" s="2152"/>
      <c r="AH318" s="2152"/>
      <c r="AI318" s="2152"/>
      <c r="AJ318" s="2152"/>
      <c r="AK318" s="2152"/>
      <c r="AL318" s="2152"/>
      <c r="AM318" s="2152"/>
      <c r="AN318" s="2152"/>
      <c r="AO318" s="2152"/>
      <c r="AP318" s="2152"/>
      <c r="AQ318" s="2152"/>
      <c r="AR318" s="2152"/>
      <c r="AS318" s="2152"/>
      <c r="AT318" s="2152"/>
      <c r="AU318" s="2152"/>
      <c r="AV318" s="2152"/>
      <c r="AW318" s="2152"/>
      <c r="AX318" s="2152"/>
      <c r="AY318" s="2152"/>
      <c r="AZ318" s="2152"/>
      <c r="BA318" s="2152"/>
      <c r="BB318" s="2152"/>
      <c r="BC318" s="2152"/>
      <c r="BD318" s="2152"/>
      <c r="BE318" s="2152"/>
      <c r="BF318" s="2152"/>
      <c r="BG318" s="2152"/>
      <c r="BH318" s="2152"/>
      <c r="BI318" s="2152"/>
      <c r="BJ318" s="2152"/>
      <c r="BK318" s="2152"/>
      <c r="BL318" s="2152"/>
      <c r="BM318" s="2152"/>
      <c r="BN318" s="2152"/>
      <c r="BO318" s="2362"/>
      <c r="BP318" s="2362"/>
      <c r="BQ318" s="2362"/>
      <c r="BR318" s="2362"/>
      <c r="BS318" s="2362"/>
      <c r="BT318" s="2362"/>
      <c r="BU318" s="2362"/>
      <c r="BV318" s="2362"/>
      <c r="BW318" s="2362"/>
      <c r="BX318" s="2362"/>
      <c r="BY318" s="2362"/>
      <c r="BZ318" s="2362"/>
      <c r="CA318" s="34"/>
      <c r="CC318" s="58"/>
      <c r="CD318" s="2154" t="e" cm="1">
        <f t="array" ca="1" aca="1" ref="CD318">_xlfn.LET(_xlpm.search_key,$W318&amp;$Y318,_xlpm.Scenario,_xlfn.VSTACK($W$20:$W$55&amp;$Y$20:$Y$55,$W$76:$W$110&amp;$Y$76:$Y$110),_xlpm.Data,_xlfn.VSTACK(CD$20:CE$55,CD$76:CE$110),IF(OR($Y318="",ISNUMBER(SEARCH("please",$Y318))),"",_xlfn.XLOOKUP(_xlpm.search_key,_xlpm.Scenario,_xlpm.Data,"▧")))</f>
        <v>#NAME?</v>
      </c>
      <c r="CE318" s="2154"/>
      <c r="CF318" s="88"/>
      <c r="CG318" s="2154" t="e" cm="1">
        <f t="array" ca="1" aca="1" ref="CG318">_xlfn.LET(_xlpm.search_key,$W318&amp;$Y318,_xlpm.Scenario,_xlfn.VSTACK($W$20:$W$55&amp;$Y$20:$Y$55,$W$76:$W$110&amp;$Y$76:$Y$110),_xlpm.Data,_xlfn.VSTACK(CG$20:CH$55,CG$76:CH$110),IF(OR($Y318="",ISNUMBER(SEARCH("please",$Y318))),"",_xlfn.XLOOKUP(_xlpm.search_key,_xlpm.Scenario,_xlpm.Data,"▧")))</f>
        <v>#NAME?</v>
      </c>
      <c r="CH318" s="2154"/>
      <c r="CI318" s="88"/>
      <c r="CJ318" s="2154" t="e" cm="1">
        <f t="array" ca="1" aca="1" ref="CJ318">_xlfn.LET(_xlpm.search_key,$W318&amp;$Y318,_xlpm.Scenario,_xlfn.VSTACK($W$20:$W$55&amp;$Y$20:$Y$55,$W$76:$W$110&amp;$Y$76:$Y$110),_xlpm.Data,_xlfn.VSTACK(CJ$20:CK$55,CJ$76:CK$110),IF(OR($Y318="",ISNUMBER(SEARCH("please",$Y318))),"",_xlfn.XLOOKUP(_xlpm.search_key,_xlpm.Scenario,_xlpm.Data,"▧")))</f>
        <v>#NAME?</v>
      </c>
      <c r="CK318" s="2154"/>
      <c r="CL318" s="88"/>
      <c r="CM318" s="2154" t="e" cm="1">
        <f t="array" ca="1" aca="1" ref="CM318">_xlfn.LET(_xlpm.search_key,$W318&amp;$Y318,_xlpm.Scenario,_xlfn.VSTACK($W$20:$W$55&amp;$Y$20:$Y$55,$W$76:$W$110&amp;$Y$76:$Y$110),_xlpm.Data,_xlfn.VSTACK(CM$20:CN$55,CM$76:CN$110),IF(OR($Y318="",ISNUMBER(SEARCH("please",$Y318))),"",_xlfn.XLOOKUP(_xlpm.search_key,_xlpm.Scenario,_xlpm.Data,"▧")))</f>
        <v>#NAME?</v>
      </c>
      <c r="CN318" s="2154"/>
      <c r="CO318" s="88"/>
      <c r="CP318" s="2154" t="e" cm="1">
        <f t="array" ca="1" aca="1" ref="CP318">_xlfn.LET(_xlpm.search_key,$W318&amp;$Y318,_xlpm.Scenario,_xlfn.VSTACK($W$20:$W$55&amp;$Y$20:$Y$55,$W$76:$W$110&amp;$Y$76:$Y$110),_xlpm.Data,_xlfn.VSTACK(CP$20:CQ$55,CP$76:CQ$110),IF(OR($Y318="",ISNUMBER(SEARCH("please",$Y318))),"",_xlfn.XLOOKUP(_xlpm.search_key,_xlpm.Scenario,_xlpm.Data,"▧")))</f>
        <v>#NAME?</v>
      </c>
      <c r="CQ318" s="2154"/>
      <c r="CR318" s="34"/>
      <c r="DC318"/>
    </row>
    <row r="319" spans="1:107" ht="21" customHeight="1">
      <c r="A319" s="1627"/>
      <c r="B319" s="3474" t="s">
        <v>216</v>
      </c>
      <c r="C319" s="2606" t="e" cm="1">
        <f t="array" ca="1" aca="1" ref="C319">CVC.PACK(W312:Y319)</f>
        <v>#NAME?</v>
      </c>
      <c r="D319" s="1549"/>
      <c r="E319" s="2607"/>
      <c r="F319" s="401"/>
      <c r="G319" s="401"/>
      <c r="H319" s="585"/>
      <c r="I319" s="585"/>
      <c r="J319" s="401"/>
      <c r="K319" s="401"/>
      <c r="L319" s="37"/>
      <c r="N319" s="158"/>
      <c r="O319" s="101"/>
      <c r="P319" s="52"/>
      <c r="Q319" s="101"/>
      <c r="R319" s="101"/>
      <c r="S319" s="101"/>
      <c r="T319" s="101"/>
      <c r="U319" s="39"/>
      <c r="V319" s="37"/>
      <c r="W319" s="2365" t="e">
        <f ca="1">W312</f>
        <v>#NAME?</v>
      </c>
      <c r="X319" s="2374">
        <f>_PL!X319</f>
        <v>0</v>
      </c>
      <c r="Y319" s="2326">
        <f>_PL!Y319</f>
        <v>0</v>
      </c>
      <c r="Z319" s="2322"/>
      <c r="AA319" s="2323"/>
      <c r="AB319" s="1134"/>
      <c r="AC319" s="125" t="str" cm="1">
        <f t="array" ca="1" aca="1" ref="AC319">IF(AB319="","",_xlfn.LET(_xlpm._termname,PL!$W319&amp;$AB319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19" s="2152" t="e">
        <f ca="1">SUMPRODUCT($X313:$X318,AD313:AD318)</f>
        <v>#NAME?</v>
      </c>
      <c r="AE319" s="2152">
        <f t="shared" si="121" ref="AE319">SUMPRODUCT($X313:$X318,AE313:AE318)</f>
        <v>0</v>
      </c>
      <c r="AF319" s="2152">
        <f t="shared" si="122" ref="AF319">SUMPRODUCT($X313:$X318,AF313:AF318)</f>
        <v>0</v>
      </c>
      <c r="AG319" s="2152">
        <f t="shared" si="123" ref="AG319">SUMPRODUCT($X313:$X318,AG313:AG318)</f>
        <v>0</v>
      </c>
      <c r="AH319" s="2152">
        <f t="shared" si="124" ref="AH319">SUMPRODUCT($X313:$X318,AH313:AH318)</f>
        <v>0</v>
      </c>
      <c r="AI319" s="2152">
        <f t="shared" si="125" ref="AI319">SUMPRODUCT($X313:$X318,AI313:AI318)</f>
        <v>0</v>
      </c>
      <c r="AJ319" s="2152">
        <f t="shared" si="126" ref="AJ319">SUMPRODUCT($X313:$X318,AJ313:AJ318)</f>
        <v>0</v>
      </c>
      <c r="AK319" s="2152">
        <f t="shared" si="127" ref="AK319">SUMPRODUCT($X313:$X318,AK313:AK318)</f>
        <v>0</v>
      </c>
      <c r="AL319" s="2152">
        <f t="shared" si="128" ref="AL319">SUMPRODUCT($X313:$X318,AL313:AL318)</f>
        <v>0</v>
      </c>
      <c r="AM319" s="2152">
        <f t="shared" si="129" ref="AM319">SUMPRODUCT($X313:$X318,AM313:AM318)</f>
        <v>0</v>
      </c>
      <c r="AN319" s="2152">
        <f t="shared" si="130" ref="AN319">SUMPRODUCT($X313:$X318,AN313:AN318)</f>
        <v>0</v>
      </c>
      <c r="AO319" s="2152">
        <f t="shared" si="131" ref="AO319">SUMPRODUCT($X313:$X318,AO313:AO318)</f>
        <v>0</v>
      </c>
      <c r="AP319" s="2152">
        <f t="shared" si="132" ref="AP319">SUMPRODUCT($X313:$X318,AP313:AP318)</f>
        <v>0</v>
      </c>
      <c r="AQ319" s="2152">
        <f t="shared" si="133" ref="AQ319">SUMPRODUCT($X313:$X318,AQ313:AQ318)</f>
        <v>0</v>
      </c>
      <c r="AR319" s="2152">
        <f t="shared" si="134" ref="AR319">SUMPRODUCT($X313:$X318,AR313:AR318)</f>
        <v>0</v>
      </c>
      <c r="AS319" s="2152">
        <f t="shared" si="135" ref="AS319">SUMPRODUCT($X313:$X318,AS313:AS318)</f>
        <v>0</v>
      </c>
      <c r="AT319" s="2152">
        <f t="shared" si="136" ref="AT319">SUMPRODUCT($X313:$X318,AT313:AT318)</f>
        <v>0</v>
      </c>
      <c r="AU319" s="2152">
        <f t="shared" si="137" ref="AU319">SUMPRODUCT($X313:$X318,AU313:AU318)</f>
        <v>0</v>
      </c>
      <c r="AV319" s="2152">
        <f t="shared" si="138" ref="AV319">SUMPRODUCT($X313:$X318,AV313:AV318)</f>
        <v>0</v>
      </c>
      <c r="AW319" s="2152">
        <f t="shared" si="139" ref="AW319">SUMPRODUCT($X313:$X318,AW313:AW318)</f>
        <v>0</v>
      </c>
      <c r="AX319" s="2152">
        <f t="shared" si="140" ref="AX319">SUMPRODUCT($X313:$X318,AX313:AX318)</f>
        <v>0</v>
      </c>
      <c r="AY319" s="2152">
        <f t="shared" si="141" ref="AY319">SUMPRODUCT($X313:$X318,AY313:AY318)</f>
        <v>0</v>
      </c>
      <c r="AZ319" s="2152">
        <f t="shared" si="142" ref="AZ319">SUMPRODUCT($X313:$X318,AZ313:AZ318)</f>
        <v>0</v>
      </c>
      <c r="BA319" s="2152">
        <f t="shared" si="143" ref="BA319">SUMPRODUCT($X313:$X318,BA313:BA318)</f>
        <v>0</v>
      </c>
      <c r="BB319" s="2152">
        <f t="shared" si="144" ref="BB319">SUMPRODUCT($X313:$X318,BB313:BB318)</f>
        <v>0</v>
      </c>
      <c r="BC319" s="2152">
        <f t="shared" si="145" ref="BC319">SUMPRODUCT($X313:$X318,BC313:BC318)</f>
        <v>0</v>
      </c>
      <c r="BD319" s="2152">
        <f t="shared" si="146" ref="BD319">SUMPRODUCT($X313:$X318,BD313:BD318)</f>
        <v>0</v>
      </c>
      <c r="BE319" s="2152">
        <f t="shared" si="147" ref="BE319">SUMPRODUCT($X313:$X318,BE313:BE318)</f>
        <v>0</v>
      </c>
      <c r="BF319" s="2152">
        <f t="shared" si="148" ref="BF319">SUMPRODUCT($X313:$X318,BF313:BF318)</f>
        <v>0</v>
      </c>
      <c r="BG319" s="2152">
        <f t="shared" si="149" ref="BG319">SUMPRODUCT($X313:$X318,BG313:BG318)</f>
        <v>0</v>
      </c>
      <c r="BH319" s="2152">
        <f t="shared" si="150" ref="BH319">SUMPRODUCT($X313:$X318,BH313:BH318)</f>
        <v>0</v>
      </c>
      <c r="BI319" s="2152">
        <f t="shared" si="151" ref="BI319">SUMPRODUCT($X313:$X318,BI313:BI318)</f>
        <v>0</v>
      </c>
      <c r="BJ319" s="2152">
        <f t="shared" si="152" ref="BJ319">SUMPRODUCT($X313:$X318,BJ313:BJ318)</f>
        <v>0</v>
      </c>
      <c r="BK319" s="2152">
        <f t="shared" si="153" ref="BK319">SUMPRODUCT($X313:$X318,BK313:BK318)</f>
        <v>0</v>
      </c>
      <c r="BL319" s="2152">
        <f t="shared" si="154" ref="BL319">SUMPRODUCT($X313:$X318,BL313:BL318)</f>
        <v>0</v>
      </c>
      <c r="BM319" s="2152">
        <f t="shared" si="155" ref="BM319">SUMPRODUCT($X313:$X318,BM313:BM318)</f>
        <v>0</v>
      </c>
      <c r="BN319" s="2152">
        <f t="shared" si="156" ref="BN319">SUMPRODUCT($X313:$X318,BN313:BN318)</f>
        <v>0</v>
      </c>
      <c r="BO319" s="2362"/>
      <c r="BP319" s="2362"/>
      <c r="BQ319" s="2362"/>
      <c r="BR319" s="2362"/>
      <c r="BS319" s="2362"/>
      <c r="BT319" s="2362"/>
      <c r="BU319" s="2362"/>
      <c r="BV319" s="2362"/>
      <c r="BW319" s="2362"/>
      <c r="BX319" s="2362"/>
      <c r="BY319" s="2362"/>
      <c r="BZ319" s="2362"/>
      <c r="CA319" s="34"/>
      <c r="CC319" s="58"/>
      <c r="CD319" s="2152" t="e">
        <f ca="1">SUMPRODUCT($X313:$X318,CD313:CD318)</f>
        <v>#NAME?</v>
      </c>
      <c r="CE319" s="2152">
        <f t="shared" si="157" ref="CE319">SUMPRODUCT($X313:$X316,CE313:CE316)</f>
        <v>0</v>
      </c>
      <c r="CF319" s="88"/>
      <c r="CG319" s="2152" t="e">
        <f ca="1">SUMPRODUCT($X313:$X318,CG313:CG318)</f>
        <v>#NAME?</v>
      </c>
      <c r="CH319" s="2152">
        <f t="shared" si="158" ref="CH319">SUMPRODUCT($X313:$X316,CH313:CH316)</f>
        <v>0</v>
      </c>
      <c r="CI319" s="88"/>
      <c r="CJ319" s="2152" t="e">
        <f ca="1">SUMPRODUCT($X313:$X318,CJ313:CJ318)</f>
        <v>#NAME?</v>
      </c>
      <c r="CK319" s="2152">
        <f t="shared" si="159" ref="CK319">SUMPRODUCT($X313:$X316,CK313:CK316)</f>
        <v>0</v>
      </c>
      <c r="CL319" s="88"/>
      <c r="CM319" s="2152" t="e">
        <f ca="1">SUMPRODUCT($X313:$X318,CM313:CM318)</f>
        <v>#NAME?</v>
      </c>
      <c r="CN319" s="2152">
        <f t="shared" si="160" ref="CN319">SUMPRODUCT($X313:$X316,CN313:CN316)</f>
        <v>0</v>
      </c>
      <c r="CO319" s="88"/>
      <c r="CP319" s="2152" t="e">
        <f ca="1">SUMPRODUCT($X313:$X318,CP313:CP318)</f>
        <v>#NAME?</v>
      </c>
      <c r="CQ319" s="2152">
        <f t="shared" si="161" ref="CQ319">SUMPRODUCT($X313:$X316,CQ313:CQ316)</f>
        <v>0</v>
      </c>
      <c r="CR319" s="34"/>
      <c r="CS319" s="2056"/>
      <c r="CT319" s="2447" t="e" cm="1">
        <f t="array" ca="1" aca="1" ref="CT319">IF(PL!$C319="","",_xldudf_CX_PUSH(PL!$C319,CX_ENTITY,PL!$B319,EOMONTH(val_asOfDate,PL!CT$248)))</f>
        <v>#NAME?</v>
      </c>
      <c r="CU319" s="2447" t="e" cm="1">
        <f t="array" ca="1" aca="1" ref="CU319">IF(PL!$C319="","",_xldudf_CX_PUSH(PL!$C319,CX_ENTITY,PL!$B319,EOMONTH(val_asOfDate,PL!CU$248)))</f>
        <v>#NAME?</v>
      </c>
      <c r="CV319" s="2447" t="e" cm="1">
        <f t="array" ca="1" aca="1" ref="CV319">IF(PL!$C319="","",_xldudf_CX_PUSH(PL!$C319,CX_ENTITY,PL!$B319,EOMONTH(val_asOfDate,PL!CV$248)))</f>
        <v>#NAME?</v>
      </c>
      <c r="CW319" s="2447" t="e" cm="1">
        <f t="array" ca="1" aca="1" ref="CW319">IF(PL!$C319="","",_xldudf_CX_PUSH(PL!$C319,CX_ENTITY,PL!$B319,EOMONTH(val_asOfDate,PL!CW$248)))</f>
        <v>#NAME?</v>
      </c>
      <c r="DC319"/>
    </row>
    <row r="320" spans="1:144" s="108" customFormat="1" ht="21" customHeight="1">
      <c r="A320" s="1628"/>
      <c r="B320" s="2540"/>
      <c r="C320" s="2540"/>
      <c r="D320" s="1549"/>
      <c r="E320" s="2607"/>
      <c r="F320" s="401"/>
      <c r="G320" s="401"/>
      <c r="H320" s="585"/>
      <c r="I320" s="585"/>
      <c r="J320" s="401"/>
      <c r="K320" s="401"/>
      <c r="L320" s="37"/>
      <c r="N320" s="2134"/>
      <c r="O320" s="101"/>
      <c r="P320" s="101"/>
      <c r="Q320" s="101"/>
      <c r="R320" s="101"/>
      <c r="S320" s="101"/>
      <c r="T320" s="101"/>
      <c r="U320" s="101"/>
      <c r="V320" s="822"/>
      <c r="W320" s="2332"/>
      <c r="X320" s="2080"/>
      <c r="Y320" s="2315"/>
      <c r="Z320" s="2316"/>
      <c r="AA320" s="2316"/>
      <c r="AB320" s="88"/>
      <c r="AC320" s="128"/>
      <c r="AD320" s="2317"/>
      <c r="AE320" s="2317"/>
      <c r="AF320" s="2317"/>
      <c r="AG320" s="2317"/>
      <c r="AH320" s="2317"/>
      <c r="AI320" s="2317"/>
      <c r="AJ320" s="2317"/>
      <c r="AK320" s="2317"/>
      <c r="AL320" s="2317"/>
      <c r="AM320" s="2317"/>
      <c r="AN320" s="2317"/>
      <c r="AO320" s="2317"/>
      <c r="AP320" s="2317"/>
      <c r="AQ320" s="2317"/>
      <c r="AR320" s="2317"/>
      <c r="AS320" s="2317"/>
      <c r="AT320" s="2317"/>
      <c r="AU320" s="2317"/>
      <c r="AV320" s="2317"/>
      <c r="AW320" s="2317"/>
      <c r="AX320" s="2317"/>
      <c r="AY320" s="2317"/>
      <c r="AZ320" s="2317"/>
      <c r="BA320" s="2317"/>
      <c r="BB320" s="2317"/>
      <c r="BC320" s="2317"/>
      <c r="BD320" s="2317"/>
      <c r="BE320" s="2317"/>
      <c r="BF320" s="2317"/>
      <c r="BG320" s="2317"/>
      <c r="BH320" s="2317"/>
      <c r="BI320" s="2317"/>
      <c r="BJ320" s="2317"/>
      <c r="BK320" s="2317"/>
      <c r="BL320" s="2317"/>
      <c r="BM320" s="2317"/>
      <c r="BN320" s="2317"/>
      <c r="BO320" s="2363"/>
      <c r="BP320" s="2363"/>
      <c r="BQ320" s="2363"/>
      <c r="BR320" s="2363"/>
      <c r="BS320" s="2363"/>
      <c r="BT320" s="2363"/>
      <c r="BU320" s="2363"/>
      <c r="BV320" s="2363"/>
      <c r="BW320" s="2363"/>
      <c r="BX320" s="2363"/>
      <c r="BY320" s="2363"/>
      <c r="BZ320" s="2363"/>
      <c r="CA320" s="88"/>
      <c r="CC320" s="383"/>
      <c r="CD320" s="2319"/>
      <c r="CE320" s="2319"/>
      <c r="CF320" s="88"/>
      <c r="CG320" s="2319"/>
      <c r="CH320" s="2319"/>
      <c r="CI320" s="88"/>
      <c r="CJ320" s="2319"/>
      <c r="CK320" s="2319"/>
      <c r="CL320" s="88"/>
      <c r="CM320" s="2320"/>
      <c r="CN320" s="2320"/>
      <c r="CO320" s="88"/>
      <c r="CP320" s="2320"/>
      <c r="CQ320" s="2320"/>
      <c r="CR320" s="88"/>
      <c r="CS320" s="2321"/>
      <c r="CT320"/>
      <c r="CU320"/>
      <c r="CV320"/>
      <c r="CW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row>
    <row r="321" spans="1:107" ht="21" customHeight="1">
      <c r="A321" s="1627"/>
      <c r="B321" s="2540"/>
      <c r="C321" s="2540"/>
      <c r="D321" s="1549"/>
      <c r="E321" s="2607"/>
      <c r="F321" s="401"/>
      <c r="G321" s="401"/>
      <c r="H321" s="585"/>
      <c r="I321" s="585"/>
      <c r="J321" s="401"/>
      <c r="K321" s="401"/>
      <c r="L321" s="37"/>
      <c r="N321" s="158"/>
      <c r="O321" s="101"/>
      <c r="P321" s="52"/>
      <c r="Q321" s="101"/>
      <c r="R321" s="101"/>
      <c r="S321" s="18"/>
      <c r="T321" s="18"/>
      <c r="U321" s="39"/>
      <c r="V321" s="37"/>
      <c r="W321" s="2660" t="e" cm="1">
        <f t="array" ca="1" aca="1" ref="W321">fx_scenarioConverter(_PL!W321)</f>
        <v>#NAME?</v>
      </c>
      <c r="X321" s="2137"/>
      <c r="Y321" s="2336" t="s">
        <v>217</v>
      </c>
      <c r="Z321" s="2337"/>
      <c r="AA321" s="2609"/>
      <c r="AB321" s="2141" t="s">
        <v>199</v>
      </c>
      <c r="AC321" s="2138" t="str" cm="1">
        <f t="array" ca="1" aca="1" ref="AC321">_xlfn.LET(_xlpm._termname,$AB321,_xlpm._iconname,"find",_xlpm._icon,fx_getIcon(_xlpm._iconname),_xlpm._location,_xlfn.XLOOKUP(LOWER(_xlpm._termname),LOWER(tbl_acctDef[Term]),tbl_acctDef[Term]),_xlpm._hyperlink,HYPERLINK("#"&amp;CELL("address",_xlpm._location),_xlpm._icon),IFERROR(_xlpm._hyperlink,""))</f>
        <v/>
      </c>
      <c r="AD321" s="2138" t="str" cm="1">
        <f t="array" ca="1" aca="1" ref="AD321">_xlfn.LET(_xlpm._termname,$AB321,_xlpm._iconname,"find",_xlpm._icon,fx_getIcon(_xlpm._iconname),_xlpm._location,_xlfn.XLOOKUP(LOWER(_xlpm._termname),LOWER(tbl_acctDef[Statement]),tbl_acctDef[Statement]),_xlpm._hyperlink,HYPERLINK("#"&amp;CELL("address",_xlpm._location),_xlpm._icon),IFERROR(_xlpm._hyperlink,""))</f>
        <v/>
      </c>
      <c r="AE321" s="2138" t="str" cm="1">
        <f t="array" ca="1" aca="1" ref="AE321">_xlfn.LET(_xlpm._termname,$AB321,_xlpm._iconname,"find",_xlpm._icon,fx_getIcon(_xlpm._iconname),_xlpm._location,_xlfn.XLOOKUP(LOWER(_xlpm._termname),LOWER(tbl_acctDef[Definition]),tbl_acctDef[Definition]),_xlpm._hyperlink,HYPERLINK("#"&amp;CELL("address",_xlpm._location),_xlpm._icon),IFERROR(_xlpm._hyperlink,""))</f>
        <v/>
      </c>
      <c r="AF321" s="2138" t="str" cm="1">
        <f t="array" ca="1" aca="1" ref="AF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321" s="2138" t="str" cm="1">
        <f t="array" ca="1" aca="1" ref="AG321">_xlfn.LET(_xlpm._termname,$AB321,_xlpm._iconname,"find",_xlpm._icon,fx_getIcon(_xlpm._iconname),_xlpm._location,_xlfn.XLOOKUP(LOWER(_xlpm._termname),LOWER(tbl_acctDef[Order]),tbl_acctDef[Order]),_xlpm._hyperlink,HYPERLINK("#"&amp;CELL("address",_xlpm._location),_xlpm._icon),IFERROR(_xlpm._hyperlink,""))</f>
        <v/>
      </c>
      <c r="AH321" s="2138" t="str" cm="1">
        <f t="array" ca="1" aca="1" ref="AH321">_xlfn.LET(_xlpm._termname,$AB321,_xlpm._iconname,"find",_xlpm._icon,fx_getIcon(_xlpm._iconname),_xlpm._location,_xlfn.XLOOKUP(LOWER(_xlpm._termname),LOWER(tbl_acctDef[Term]),tbl_acctDef[Term]),_xlpm._hyperlink,HYPERLINK("#"&amp;CELL("address",_xlpm._location),_xlpm._icon),IFERROR(_xlpm._hyperlink,""))</f>
        <v/>
      </c>
      <c r="AI321" s="2138" t="str" cm="1">
        <f t="array" ca="1" aca="1" ref="AI321">_xlfn.LET(_xlpm._termname,$AB321,_xlpm._iconname,"find",_xlpm._icon,fx_getIcon(_xlpm._iconname),_xlpm._location,_xlfn.XLOOKUP(LOWER(_xlpm._termname),LOWER(tbl_acctDef[Statement]),tbl_acctDef[Statement]),_xlpm._hyperlink,HYPERLINK("#"&amp;CELL("address",_xlpm._location),_xlpm._icon),IFERROR(_xlpm._hyperlink,""))</f>
        <v/>
      </c>
      <c r="AJ321" s="2138" t="str" cm="1">
        <f t="array" ca="1" aca="1" ref="AJ321">_xlfn.LET(_xlpm._termname,$AB321,_xlpm._iconname,"find",_xlpm._icon,fx_getIcon(_xlpm._iconname),_xlpm._location,_xlfn.XLOOKUP(LOWER(_xlpm._termname),LOWER(tbl_acctDef[Definition]),tbl_acctDef[Definition]),_xlpm._hyperlink,HYPERLINK("#"&amp;CELL("address",_xlpm._location),_xlpm._icon),IFERROR(_xlpm._hyperlink,""))</f>
        <v/>
      </c>
      <c r="AK321" s="2138" t="str" cm="1">
        <f t="array" ca="1" aca="1" ref="AK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321" s="2138" t="str" cm="1">
        <f t="array" ca="1" aca="1" ref="AL321">_xlfn.LET(_xlpm._termname,$AB321,_xlpm._iconname,"find",_xlpm._icon,fx_getIcon(_xlpm._iconname),_xlpm._location,_xlfn.XLOOKUP(LOWER(_xlpm._termname),LOWER(tbl_acctDef[Order]),tbl_acctDef[Order]),_xlpm._hyperlink,HYPERLINK("#"&amp;CELL("address",_xlpm._location),_xlpm._icon),IFERROR(_xlpm._hyperlink,""))</f>
        <v/>
      </c>
      <c r="AM321" s="2138" t="str" cm="1">
        <f t="array" ca="1" aca="1" ref="AM321">_xlfn.LET(_xlpm._termname,$AB321,_xlpm._iconname,"find",_xlpm._icon,fx_getIcon(_xlpm._iconname),_xlpm._location,_xlfn.XLOOKUP(LOWER(_xlpm._termname),LOWER(tbl_acctDef[Term]),tbl_acctDef[Term]),_xlpm._hyperlink,HYPERLINK("#"&amp;CELL("address",_xlpm._location),_xlpm._icon),IFERROR(_xlpm._hyperlink,""))</f>
        <v/>
      </c>
      <c r="AN321" s="2138" t="str" cm="1">
        <f t="array" ca="1" aca="1" ref="AN321">_xlfn.LET(_xlpm._termname,$AB321,_xlpm._iconname,"find",_xlpm._icon,fx_getIcon(_xlpm._iconname),_xlpm._location,_xlfn.XLOOKUP(LOWER(_xlpm._termname),LOWER(tbl_acctDef[Statement]),tbl_acctDef[Statement]),_xlpm._hyperlink,HYPERLINK("#"&amp;CELL("address",_xlpm._location),_xlpm._icon),IFERROR(_xlpm._hyperlink,""))</f>
        <v/>
      </c>
      <c r="AO321" s="2138" t="str" cm="1">
        <f t="array" ca="1" aca="1" ref="AO321">_xlfn.LET(_xlpm._termname,$AB321,_xlpm._iconname,"find",_xlpm._icon,fx_getIcon(_xlpm._iconname),_xlpm._location,_xlfn.XLOOKUP(LOWER(_xlpm._termname),LOWER(tbl_acctDef[Definition]),tbl_acctDef[Definition]),_xlpm._hyperlink,HYPERLINK("#"&amp;CELL("address",_xlpm._location),_xlpm._icon),IFERROR(_xlpm._hyperlink,""))</f>
        <v/>
      </c>
      <c r="AP321" s="2138" t="str" cm="1">
        <f t="array" ca="1" aca="1" ref="AP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321" s="2138" t="str" cm="1">
        <f t="array" ca="1" aca="1" ref="AQ321">_xlfn.LET(_xlpm._termname,$AB321,_xlpm._iconname,"find",_xlpm._icon,fx_getIcon(_xlpm._iconname),_xlpm._location,_xlfn.XLOOKUP(LOWER(_xlpm._termname),LOWER(tbl_acctDef[Order]),tbl_acctDef[Order]),_xlpm._hyperlink,HYPERLINK("#"&amp;CELL("address",_xlpm._location),_xlpm._icon),IFERROR(_xlpm._hyperlink,""))</f>
        <v/>
      </c>
      <c r="AR321" s="2138" t="str" cm="1">
        <f t="array" ca="1" aca="1" ref="AR321">_xlfn.LET(_xlpm._termname,$AB321,_xlpm._iconname,"find",_xlpm._icon,fx_getIcon(_xlpm._iconname),_xlpm._location,_xlfn.XLOOKUP(LOWER(_xlpm._termname),LOWER(tbl_acctDef[Term]),tbl_acctDef[Term]),_xlpm._hyperlink,HYPERLINK("#"&amp;CELL("address",_xlpm._location),_xlpm._icon),IFERROR(_xlpm._hyperlink,""))</f>
        <v/>
      </c>
      <c r="AS321" s="2138" t="str" cm="1">
        <f t="array" ca="1" aca="1" ref="AS321">_xlfn.LET(_xlpm._termname,$AB321,_xlpm._iconname,"find",_xlpm._icon,fx_getIcon(_xlpm._iconname),_xlpm._location,_xlfn.XLOOKUP(LOWER(_xlpm._termname),LOWER(tbl_acctDef[Statement]),tbl_acctDef[Statement]),_xlpm._hyperlink,HYPERLINK("#"&amp;CELL("address",_xlpm._location),_xlpm._icon),IFERROR(_xlpm._hyperlink,""))</f>
        <v/>
      </c>
      <c r="AT321" s="2138" t="str" cm="1">
        <f t="array" ca="1" aca="1" ref="AT321">_xlfn.LET(_xlpm._termname,$AB321,_xlpm._iconname,"find",_xlpm._icon,fx_getIcon(_xlpm._iconname),_xlpm._location,_xlfn.XLOOKUP(LOWER(_xlpm._termname),LOWER(tbl_acctDef[Definition]),tbl_acctDef[Definition]),_xlpm._hyperlink,HYPERLINK("#"&amp;CELL("address",_xlpm._location),_xlpm._icon),IFERROR(_xlpm._hyperlink,""))</f>
        <v/>
      </c>
      <c r="AU321" s="2138" t="str" cm="1">
        <f t="array" ca="1" aca="1" ref="AU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321" s="2138" t="str" cm="1">
        <f t="array" ca="1" aca="1" ref="AV321">_xlfn.LET(_xlpm._termname,$AB321,_xlpm._iconname,"find",_xlpm._icon,fx_getIcon(_xlpm._iconname),_xlpm._location,_xlfn.XLOOKUP(LOWER(_xlpm._termname),LOWER(tbl_acctDef[Order]),tbl_acctDef[Order]),_xlpm._hyperlink,HYPERLINK("#"&amp;CELL("address",_xlpm._location),_xlpm._icon),IFERROR(_xlpm._hyperlink,""))</f>
        <v/>
      </c>
      <c r="AW321" s="2138" t="str" cm="1">
        <f t="array" ca="1" aca="1" ref="AW321">_xlfn.LET(_xlpm._termname,$AB321,_xlpm._iconname,"find",_xlpm._icon,fx_getIcon(_xlpm._iconname),_xlpm._location,_xlfn.XLOOKUP(LOWER(_xlpm._termname),LOWER(tbl_acctDef[Term]),tbl_acctDef[Term]),_xlpm._hyperlink,HYPERLINK("#"&amp;CELL("address",_xlpm._location),_xlpm._icon),IFERROR(_xlpm._hyperlink,""))</f>
        <v/>
      </c>
      <c r="AX321" s="2138" t="str" cm="1">
        <f t="array" ca="1" aca="1" ref="AX321">_xlfn.LET(_xlpm._termname,$AB321,_xlpm._iconname,"find",_xlpm._icon,fx_getIcon(_xlpm._iconname),_xlpm._location,_xlfn.XLOOKUP(LOWER(_xlpm._termname),LOWER(tbl_acctDef[Statement]),tbl_acctDef[Statement]),_xlpm._hyperlink,HYPERLINK("#"&amp;CELL("address",_xlpm._location),_xlpm._icon),IFERROR(_xlpm._hyperlink,""))</f>
        <v/>
      </c>
      <c r="AY321" s="2138" t="str" cm="1">
        <f t="array" ca="1" aca="1" ref="AY321">_xlfn.LET(_xlpm._termname,$AB321,_xlpm._iconname,"find",_xlpm._icon,fx_getIcon(_xlpm._iconname),_xlpm._location,_xlfn.XLOOKUP(LOWER(_xlpm._termname),LOWER(tbl_acctDef[Definition]),tbl_acctDef[Definition]),_xlpm._hyperlink,HYPERLINK("#"&amp;CELL("address",_xlpm._location),_xlpm._icon),IFERROR(_xlpm._hyperlink,""))</f>
        <v/>
      </c>
      <c r="AZ321" s="2138" t="str" cm="1">
        <f t="array" ca="1" aca="1" ref="AZ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321" s="2138" t="str" cm="1">
        <f t="array" ca="1" aca="1" ref="BA321">_xlfn.LET(_xlpm._termname,$AB321,_xlpm._iconname,"find",_xlpm._icon,fx_getIcon(_xlpm._iconname),_xlpm._location,_xlfn.XLOOKUP(LOWER(_xlpm._termname),LOWER(tbl_acctDef[Order]),tbl_acctDef[Order]),_xlpm._hyperlink,HYPERLINK("#"&amp;CELL("address",_xlpm._location),_xlpm._icon),IFERROR(_xlpm._hyperlink,""))</f>
        <v/>
      </c>
      <c r="BB321" s="2138" t="str" cm="1">
        <f t="array" ca="1" aca="1" ref="BB321">_xlfn.LET(_xlpm._termname,$AB321,_xlpm._iconname,"find",_xlpm._icon,fx_getIcon(_xlpm._iconname),_xlpm._location,_xlfn.XLOOKUP(LOWER(_xlpm._termname),LOWER(tbl_acctDef[Term]),tbl_acctDef[Term]),_xlpm._hyperlink,HYPERLINK("#"&amp;CELL("address",_xlpm._location),_xlpm._icon),IFERROR(_xlpm._hyperlink,""))</f>
        <v/>
      </c>
      <c r="BC321" s="2138" t="str" cm="1">
        <f t="array" ca="1" aca="1" ref="BC321">_xlfn.LET(_xlpm._termname,$AB321,_xlpm._iconname,"find",_xlpm._icon,fx_getIcon(_xlpm._iconname),_xlpm._location,_xlfn.XLOOKUP(LOWER(_xlpm._termname),LOWER(tbl_acctDef[Statement]),tbl_acctDef[Statement]),_xlpm._hyperlink,HYPERLINK("#"&amp;CELL("address",_xlpm._location),_xlpm._icon),IFERROR(_xlpm._hyperlink,""))</f>
        <v/>
      </c>
      <c r="BD321" s="2138" t="str" cm="1">
        <f t="array" ca="1" aca="1" ref="BD321">_xlfn.LET(_xlpm._termname,$AB321,_xlpm._iconname,"find",_xlpm._icon,fx_getIcon(_xlpm._iconname),_xlpm._location,_xlfn.XLOOKUP(LOWER(_xlpm._termname),LOWER(tbl_acctDef[Definition]),tbl_acctDef[Definition]),_xlpm._hyperlink,HYPERLINK("#"&amp;CELL("address",_xlpm._location),_xlpm._icon),IFERROR(_xlpm._hyperlink,""))</f>
        <v/>
      </c>
      <c r="BE321" s="2138" t="str" cm="1">
        <f t="array" ca="1" aca="1" ref="BE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321" s="2138" t="str" cm="1">
        <f t="array" ca="1" aca="1" ref="BF321">_xlfn.LET(_xlpm._termname,$AB321,_xlpm._iconname,"find",_xlpm._icon,fx_getIcon(_xlpm._iconname),_xlpm._location,_xlfn.XLOOKUP(LOWER(_xlpm._termname),LOWER(tbl_acctDef[Order]),tbl_acctDef[Order]),_xlpm._hyperlink,HYPERLINK("#"&amp;CELL("address",_xlpm._location),_xlpm._icon),IFERROR(_xlpm._hyperlink,""))</f>
        <v/>
      </c>
      <c r="BG321" s="2138" t="str" cm="1">
        <f t="array" ca="1" aca="1" ref="BG321">_xlfn.LET(_xlpm._termname,$AB321,_xlpm._iconname,"find",_xlpm._icon,fx_getIcon(_xlpm._iconname),_xlpm._location,_xlfn.XLOOKUP(LOWER(_xlpm._termname),LOWER(tbl_acctDef[Term]),tbl_acctDef[Term]),_xlpm._hyperlink,HYPERLINK("#"&amp;CELL("address",_xlpm._location),_xlpm._icon),IFERROR(_xlpm._hyperlink,""))</f>
        <v/>
      </c>
      <c r="BH321" s="2138" t="str" cm="1">
        <f t="array" ca="1" aca="1" ref="BH321">_xlfn.LET(_xlpm._termname,$AB321,_xlpm._iconname,"find",_xlpm._icon,fx_getIcon(_xlpm._iconname),_xlpm._location,_xlfn.XLOOKUP(LOWER(_xlpm._termname),LOWER(tbl_acctDef[Statement]),tbl_acctDef[Statement]),_xlpm._hyperlink,HYPERLINK("#"&amp;CELL("address",_xlpm._location),_xlpm._icon),IFERROR(_xlpm._hyperlink,""))</f>
        <v/>
      </c>
      <c r="BI321" s="2138" t="str" cm="1">
        <f t="array" ca="1" aca="1" ref="BI321">_xlfn.LET(_xlpm._termname,$AB321,_xlpm._iconname,"find",_xlpm._icon,fx_getIcon(_xlpm._iconname),_xlpm._location,_xlfn.XLOOKUP(LOWER(_xlpm._termname),LOWER(tbl_acctDef[Definition]),tbl_acctDef[Definition]),_xlpm._hyperlink,HYPERLINK("#"&amp;CELL("address",_xlpm._location),_xlpm._icon),IFERROR(_xlpm._hyperlink,""))</f>
        <v/>
      </c>
      <c r="BJ321" s="2138" t="str" cm="1">
        <f t="array" ca="1" aca="1" ref="BJ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321" s="2138" t="str" cm="1">
        <f t="array" ca="1" aca="1" ref="BK321">_xlfn.LET(_xlpm._termname,$AB321,_xlpm._iconname,"find",_xlpm._icon,fx_getIcon(_xlpm._iconname),_xlpm._location,_xlfn.XLOOKUP(LOWER(_xlpm._termname),LOWER(tbl_acctDef[Order]),tbl_acctDef[Order]),_xlpm._hyperlink,HYPERLINK("#"&amp;CELL("address",_xlpm._location),_xlpm._icon),IFERROR(_xlpm._hyperlink,""))</f>
        <v/>
      </c>
      <c r="BL321" s="2138" t="str" cm="1">
        <f t="array" ca="1" aca="1" ref="BL321">_xlfn.LET(_xlpm._termname,$AB321,_xlpm._iconname,"find",_xlpm._icon,fx_getIcon(_xlpm._iconname),_xlpm._location,_xlfn.XLOOKUP(LOWER(_xlpm._termname),LOWER(tbl_acctDef[Term]),tbl_acctDef[Term]),_xlpm._hyperlink,HYPERLINK("#"&amp;CELL("address",_xlpm._location),_xlpm._icon),IFERROR(_xlpm._hyperlink,""))</f>
        <v/>
      </c>
      <c r="BM321" s="2138" t="str" cm="1">
        <f t="array" ca="1" aca="1" ref="BM321">_xlfn.LET(_xlpm._termname,$AB321,_xlpm._iconname,"find",_xlpm._icon,fx_getIcon(_xlpm._iconname),_xlpm._location,_xlfn.XLOOKUP(LOWER(_xlpm._termname),LOWER(tbl_acctDef[Statement]),tbl_acctDef[Statement]),_xlpm._hyperlink,HYPERLINK("#"&amp;CELL("address",_xlpm._location),_xlpm._icon),IFERROR(_xlpm._hyperlink,""))</f>
        <v/>
      </c>
      <c r="BN321" s="2138" t="str" cm="1">
        <f t="array" ca="1" aca="1" ref="BN321">_xlfn.LET(_xlpm._termname,$AB321,_xlpm._iconname,"find",_xlpm._icon,fx_getIcon(_xlpm._iconname),_xlpm._location,_xlfn.XLOOKUP(LOWER(_xlpm._termname),LOWER(tbl_acctDef[Definition]),tbl_acctDef[Definition]),_xlpm._hyperlink,HYPERLINK("#"&amp;CELL("address",_xlpm._location),_xlpm._icon),IFERROR(_xlpm._hyperlink,""))</f>
        <v/>
      </c>
      <c r="BO321" s="2361"/>
      <c r="BP321" s="2361"/>
      <c r="BQ321" s="2361"/>
      <c r="BR321" s="2361"/>
      <c r="BS321" s="2361"/>
      <c r="BT321" s="2361"/>
      <c r="BU321" s="2361"/>
      <c r="BV321" s="2361"/>
      <c r="BW321" s="2361"/>
      <c r="BX321" s="2361"/>
      <c r="BY321" s="2361"/>
      <c r="BZ321" s="2361"/>
      <c r="CA321" s="34"/>
      <c r="CC321" s="58"/>
      <c r="CD321" s="1720" t="e" cm="1">
        <f t="array" ca="1" aca="1" ref="CD321">fx_scenarioConverter($W316)</f>
        <v>#NAME?</v>
      </c>
      <c r="CE321" s="1721" t="e" cm="1">
        <f t="array" ca="1" aca="1" ref="CE321">fx_scenarioConverter($W316)</f>
        <v>#NAME?</v>
      </c>
      <c r="CF321" s="128"/>
      <c r="CG321" s="1734" t="e" cm="1">
        <f t="array" ca="1" aca="1" ref="CG321">fx_scenarioConverter($W316)</f>
        <v>#NAME?</v>
      </c>
      <c r="CH321" s="1735" t="e" cm="1">
        <f t="array" ca="1" aca="1" ref="CH321">fx_scenarioConverter($W316)</f>
        <v>#NAME?</v>
      </c>
      <c r="CI321" s="207"/>
      <c r="CJ321" s="1724" t="e" cm="1">
        <f t="array" ca="1" aca="1" ref="CJ321">fx_scenarioConverter($W316)</f>
        <v>#NAME?</v>
      </c>
      <c r="CK321" s="1725" t="e" cm="1">
        <f t="array" ca="1" aca="1" ref="CK321">fx_scenarioConverter($W316)</f>
        <v>#NAME?</v>
      </c>
      <c r="CL321" s="88"/>
      <c r="CM321" s="1198" t="str">
        <f>CM$19</f>
        <v>Original Budget</v>
      </c>
      <c r="CN321" s="1198" t="str">
        <f>CN$19</f>
        <v>LE</v>
      </c>
      <c r="CO321" s="88"/>
      <c r="CP321" s="1198" t="str">
        <f>CP$19</f>
        <v>Original Budget</v>
      </c>
      <c r="CQ321" s="1198" t="str">
        <f>CQ$19</f>
        <v>LE</v>
      </c>
      <c r="CR321" s="34"/>
      <c r="CS321" s="2056"/>
      <c r="DC321"/>
    </row>
    <row r="322" spans="1:107" ht="21" customHeight="1">
      <c r="A322" s="1627"/>
      <c r="B322" s="2606"/>
      <c r="C322" s="2540"/>
      <c r="D322" s="1549"/>
      <c r="E322" s="2440" t="e" cm="1">
        <f t="array" ca="1" aca="1" ref="E32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322:$CQ322,Z322)</f>
        <v>#NAME?</v>
      </c>
      <c r="F322" s="401"/>
      <c r="G322" s="401"/>
      <c r="H322" s="585">
        <v>0</v>
      </c>
      <c r="I322" s="3290">
        <v>1</v>
      </c>
      <c r="J322" s="401"/>
      <c r="K322" s="401" t="str">
        <f t="shared" si="162" ref="K322:K323">IFERROR(IF(LEN(AB322)=0,"No",IF(LEN(J322)&gt;0,"Yes","No")),"")</f>
        <v>No</v>
      </c>
      <c r="L322" s="37"/>
      <c r="N322" s="158"/>
      <c r="O322" s="101"/>
      <c r="P322" s="52"/>
      <c r="Q322" s="101"/>
      <c r="R322" s="101"/>
      <c r="S322" s="101"/>
      <c r="T322" s="2324"/>
      <c r="U322" s="39"/>
      <c r="V322" s="37"/>
      <c r="W322" s="2364" t="e">
        <f ca="1">W321</f>
        <v>#NAME?</v>
      </c>
      <c r="X322" s="2373">
        <f>_PL!X322</f>
        <v>0</v>
      </c>
      <c r="Y322" s="3227">
        <v>2</v>
      </c>
      <c r="Z322" s="198">
        <f>_PL!Z322</f>
        <v>0</v>
      </c>
      <c r="AA322" s="200" t="str" cm="1">
        <f t="array" ca="1" aca="1" ref="AA322">IF(Y322="","",_xlfn.LET(_xlpm._termname,$W322&amp;$Y322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22" s="1134"/>
      <c r="AC322" s="125" t="str" cm="1">
        <f t="array" ca="1" aca="1" ref="AC322">IF(AB322="","",_xlfn.LET(_xlpm._termname,PL!$W322&amp;$AB322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22" s="2152" t="e" cm="1">
        <f t="array" ca="1" aca="1" ref="AD322">_xlfn.LET(_xlpm.search_key,$W322&amp;$Y322,_xlpm.Scenario,_xlfn.VSTACK($W$20:$W$55&amp;$Y$20:$Y$55,$W$76:$W$110&amp;$Y$76:$Y$110),_xlpm.Data,_xlfn.VSTACK($AD$20:$BN$55,$AD$76:$BN$110),IF(OR($Y322="",ISNUMBER(SEARCH("please",$Y322))),"",_xlfn.XLOOKUP(_xlpm.search_key,_xlpm.Scenario,_xlpm.Data,"▧")))</f>
        <v>#NAME?</v>
      </c>
      <c r="AE322" s="2152"/>
      <c r="AF322" s="2152"/>
      <c r="AG322" s="2152"/>
      <c r="AH322" s="2152"/>
      <c r="AI322" s="2152"/>
      <c r="AJ322" s="2152"/>
      <c r="AK322" s="2152"/>
      <c r="AL322" s="2152"/>
      <c r="AM322" s="2152"/>
      <c r="AN322" s="2152"/>
      <c r="AO322" s="2152"/>
      <c r="AP322" s="2152"/>
      <c r="AQ322" s="2152"/>
      <c r="AR322" s="2152"/>
      <c r="AS322" s="2152"/>
      <c r="AT322" s="2152"/>
      <c r="AU322" s="2152"/>
      <c r="AV322" s="2152"/>
      <c r="AW322" s="2152"/>
      <c r="AX322" s="2152"/>
      <c r="AY322" s="2152"/>
      <c r="AZ322" s="2152"/>
      <c r="BA322" s="2152"/>
      <c r="BB322" s="2152"/>
      <c r="BC322" s="2152"/>
      <c r="BD322" s="2152"/>
      <c r="BE322" s="2152"/>
      <c r="BF322" s="2152"/>
      <c r="BG322" s="2152"/>
      <c r="BH322" s="2152"/>
      <c r="BI322" s="2152"/>
      <c r="BJ322" s="2152"/>
      <c r="BK322" s="2152"/>
      <c r="BL322" s="2152"/>
      <c r="BM322" s="2152"/>
      <c r="BN322" s="2152"/>
      <c r="BO322" s="2362"/>
      <c r="BP322" s="2362"/>
      <c r="BQ322" s="2362"/>
      <c r="BR322" s="2362"/>
      <c r="BS322" s="2362"/>
      <c r="BT322" s="2362"/>
      <c r="BU322" s="2362"/>
      <c r="BV322" s="2362"/>
      <c r="BW322" s="2362"/>
      <c r="BX322" s="2362"/>
      <c r="BY322" s="2362"/>
      <c r="BZ322" s="2362"/>
      <c r="CA322" s="34"/>
      <c r="CC322" s="58"/>
      <c r="CD322" s="2154" t="e" cm="1">
        <f t="array" ca="1" aca="1" ref="CD322">_xlfn.LET(_xlpm.search_key,$W322&amp;$Y322,_xlpm.Scenario,_xlfn.VSTACK($W$20:$W$55&amp;$Y$20:$Y$55,$W$76:$W$110&amp;$Y$76:$Y$110),_xlpm.Data,_xlfn.VSTACK(CD$20:CE$55,CD$76:CE$110),IF(OR($Y322="",ISNUMBER(SEARCH("please",$Y322))),"",_xlfn.XLOOKUP(_xlpm.search_key,_xlpm.Scenario,_xlpm.Data,"▧")))</f>
        <v>#NAME?</v>
      </c>
      <c r="CE322" s="2154"/>
      <c r="CF322" s="88"/>
      <c r="CG322" s="2154" t="e" cm="1">
        <f t="array" ca="1" aca="1" ref="CG322">_xlfn.LET(_xlpm.search_key,$W322&amp;$Y322,_xlpm.Scenario,_xlfn.VSTACK($W$20:$W$55&amp;$Y$20:$Y$55,$W$76:$W$110&amp;$Y$76:$Y$110),_xlpm.Data,_xlfn.VSTACK(CG$20:CH$55,CG$76:CH$110),IF(OR($Y322="",ISNUMBER(SEARCH("please",$Y322))),"",_xlfn.XLOOKUP(_xlpm.search_key,_xlpm.Scenario,_xlpm.Data,"▧")))</f>
        <v>#NAME?</v>
      </c>
      <c r="CH322" s="2154"/>
      <c r="CI322" s="88"/>
      <c r="CJ322" s="2154" t="e" cm="1">
        <f t="array" ca="1" aca="1" ref="CJ322">_xlfn.LET(_xlpm.search_key,$W322&amp;$Y322,_xlpm.Scenario,_xlfn.VSTACK($W$20:$W$55&amp;$Y$20:$Y$55,$W$76:$W$110&amp;$Y$76:$Y$110),_xlpm.Data,_xlfn.VSTACK(CJ$20:CK$55,CJ$76:CK$110),IF(OR($Y322="",ISNUMBER(SEARCH("please",$Y322))),"",_xlfn.XLOOKUP(_xlpm.search_key,_xlpm.Scenario,_xlpm.Data,"▧")))</f>
        <v>#NAME?</v>
      </c>
      <c r="CK322" s="2154"/>
      <c r="CL322" s="88"/>
      <c r="CM322" s="2154" t="e" cm="1">
        <f t="array" ca="1" aca="1" ref="CM322">_xlfn.LET(_xlpm.search_key,$W322&amp;$Y322,_xlpm.Scenario,_xlfn.VSTACK($W$20:$W$55&amp;$Y$20:$Y$55,$W$76:$W$110&amp;$Y$76:$Y$110),_xlpm.Data,_xlfn.VSTACK(CM$20:CN$55,CM$76:CN$110),IF(OR($Y322="",ISNUMBER(SEARCH("please",$Y322))),"",_xlfn.XLOOKUP(_xlpm.search_key,_xlpm.Scenario,_xlpm.Data,"▧")))</f>
        <v>#NAME?</v>
      </c>
      <c r="CN322" s="2154"/>
      <c r="CO322" s="88"/>
      <c r="CP322" s="2154" t="e" cm="1">
        <f t="array" ca="1" aca="1" ref="CP322">_xlfn.LET(_xlpm.search_key,$W322&amp;$Y322,_xlpm.Scenario,_xlfn.VSTACK($W$20:$W$55&amp;$Y$20:$Y$55,$W$76:$W$110&amp;$Y$76:$Y$110),_xlpm.Data,_xlfn.VSTACK(CP$20:CQ$55,CP$76:CQ$110),IF(OR($Y322="",ISNUMBER(SEARCH("please",$Y322))),"",_xlfn.XLOOKUP(_xlpm.search_key,_xlpm.Scenario,_xlpm.Data,"▧")))</f>
        <v>#NAME?</v>
      </c>
      <c r="CQ322" s="2154"/>
      <c r="CR322" s="34"/>
      <c r="CS322" s="2056"/>
      <c r="CT322" t="str" cm="1">
        <f t="array" ref="CT322">IF(PL!K322&lt;&gt;"Yes","",IF(OR(PL!Y322="Select,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III"),"",IF(OR(PL!Y322&lt;&gt;PL!AB322,AND(LEN(PL!B322)=0,NOT(OR(PL!Y322="Select,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III")))),_xldudf_CX_PUSH(PL!Y322,CX_ENTITY,PL!C322,EOMONTH(val_asOfDate,0)),"")))</f>
        <v/>
      </c>
      <c r="CU322" t="str" cm="1">
        <f t="array" ref="CU322">IF(PL!K322&lt;&gt;"Yes","",IF(OR(PL!Y322="Select,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III"),"",IF(OR(PL!Y322&lt;&gt;PL!AB322,AND(LEN(PL!B322)=0,NOT(OR(PL!Y322="Select,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III")))),_xldudf_CX_PUSH(PL!Y322,CX_ENTITY,PL!C322,EOMONTH(val_asOfDate,1)),"")))</f>
        <v/>
      </c>
      <c r="CV322" t="str" cm="1">
        <f t="array" ref="CV322">IF(PL!K322&lt;&gt;"Yes","",IF(OR(PL!Y322="Select,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III"),"",IF(OR(PL!Y322&lt;&gt;PL!AB322,AND(LEN(PL!B322)=0,NOT(OR(PL!Y322="Select,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III")))),_xldudf_CX_PUSH(PL!Y322,CX_ENTITY,PL!C322,EOMONTH(val_asOfDate,2)),"")))</f>
        <v/>
      </c>
      <c r="CW322" t="str" cm="1">
        <f t="array" ref="CW322">IF(PL!K322&lt;&gt;"Yes","",IF(OR(PL!Y322="Select,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III"),"",IF(OR(PL!Y322&lt;&gt;PL!AB322,AND(LEN(PL!B322)=0,NOT(OR(PL!Y322="Select,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III")))),_xldudf_CX_PUSH(PL!Y322,CX_ENTITY,PL!C322,EOMONTH(val_asOfDate,3)),"")))</f>
        <v/>
      </c>
      <c r="DC322"/>
    </row>
    <row r="323" spans="1:107" ht="21" customHeight="1">
      <c r="A323" s="1627"/>
      <c r="B323" s="2606"/>
      <c r="C323" s="2540"/>
      <c r="D323" s="1549"/>
      <c r="E323" s="2440" t="e" cm="1">
        <f t="array" ca="1" aca="1" ref="E32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323:$CQ323,Z323)</f>
        <v>#NAME?</v>
      </c>
      <c r="F323" s="401"/>
      <c r="G323" s="401"/>
      <c r="H323" s="585">
        <v>0</v>
      </c>
      <c r="I323" s="3290">
        <v>1</v>
      </c>
      <c r="J323" s="401"/>
      <c r="K323" s="401" t="str">
        <f t="shared" si="162"/>
        <v>No</v>
      </c>
      <c r="L323" s="37"/>
      <c r="N323" s="158"/>
      <c r="O323" s="101"/>
      <c r="P323" s="52"/>
      <c r="Q323" s="101"/>
      <c r="R323" s="101"/>
      <c r="S323" s="101"/>
      <c r="T323" s="101"/>
      <c r="U323" s="39"/>
      <c r="V323" s="37"/>
      <c r="W323" s="2364" t="e">
        <f ca="1">W321</f>
        <v>#NAME?</v>
      </c>
      <c r="X323" s="2373">
        <f>_PL!X323</f>
        <v>0</v>
      </c>
      <c r="Y323" s="3228">
        <v>2</v>
      </c>
      <c r="Z323" s="198">
        <f>_PL!Z323</f>
        <v>0</v>
      </c>
      <c r="AA323" s="200" t="str" cm="1">
        <f t="array" ca="1" aca="1" ref="AA323">IF(Y323="","",_xlfn.LET(_xlpm._termname,$W323&amp;$Y323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23" s="1134"/>
      <c r="AC323" s="125" t="str" cm="1">
        <f t="array" ca="1" aca="1" ref="AC323">IF(AB323="","",_xlfn.LET(_xlpm._termname,PL!$W324&amp;$AB323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23" s="2152" t="e" cm="1">
        <f t="array" ca="1" aca="1" ref="AD323">_xlfn.LET(_xlpm.search_key,$W323&amp;$Y323,_xlpm.Scenario,_xlfn.VSTACK($W$20:$W$55&amp;$Y$20:$Y$55,$W$76:$W$110&amp;$Y$76:$Y$110),_xlpm.Data,_xlfn.VSTACK($AD$20:$BN$55,$AD$76:$BN$110),IF(OR($Y323="",ISNUMBER(SEARCH("please",$Y323))),"",_xlfn.XLOOKUP(_xlpm.search_key,_xlpm.Scenario,_xlpm.Data,"▧")))</f>
        <v>#NAME?</v>
      </c>
      <c r="AE323" s="2152"/>
      <c r="AF323" s="2152"/>
      <c r="AG323" s="2152"/>
      <c r="AH323" s="2152"/>
      <c r="AI323" s="2152"/>
      <c r="AJ323" s="2152"/>
      <c r="AK323" s="2152"/>
      <c r="AL323" s="2152"/>
      <c r="AM323" s="2152"/>
      <c r="AN323" s="2152"/>
      <c r="AO323" s="2152"/>
      <c r="AP323" s="2152"/>
      <c r="AQ323" s="2152"/>
      <c r="AR323" s="2152"/>
      <c r="AS323" s="2152"/>
      <c r="AT323" s="2152"/>
      <c r="AU323" s="2152"/>
      <c r="AV323" s="2152"/>
      <c r="AW323" s="2152"/>
      <c r="AX323" s="2152"/>
      <c r="AY323" s="2152"/>
      <c r="AZ323" s="2152"/>
      <c r="BA323" s="2152"/>
      <c r="BB323" s="2152"/>
      <c r="BC323" s="2152"/>
      <c r="BD323" s="2152"/>
      <c r="BE323" s="2152"/>
      <c r="BF323" s="2152"/>
      <c r="BG323" s="2152"/>
      <c r="BH323" s="2152"/>
      <c r="BI323" s="2152"/>
      <c r="BJ323" s="2152"/>
      <c r="BK323" s="2152"/>
      <c r="BL323" s="2152"/>
      <c r="BM323" s="2152"/>
      <c r="BN323" s="2152"/>
      <c r="BO323" s="2362"/>
      <c r="BP323" s="2362"/>
      <c r="BQ323" s="2362"/>
      <c r="BR323" s="2362"/>
      <c r="BS323" s="2362"/>
      <c r="BT323" s="2362"/>
      <c r="BU323" s="2362"/>
      <c r="BV323" s="2362"/>
      <c r="BW323" s="2362"/>
      <c r="BX323" s="2362"/>
      <c r="BY323" s="2362"/>
      <c r="BZ323" s="2362"/>
      <c r="CA323" s="34"/>
      <c r="CC323" s="58"/>
      <c r="CD323" s="2154" t="e" cm="1">
        <f t="array" ca="1" aca="1" ref="CD323">_xlfn.LET(_xlpm.search_key,$W323&amp;$Y323,_xlpm.Scenario,_xlfn.VSTACK($W$20:$W$55&amp;$Y$20:$Y$55,$W$76:$W$110&amp;$Y$76:$Y$110),_xlpm.Data,_xlfn.VSTACK(CD$20:CE$55,CD$76:CE$110),IF(OR($Y323="",ISNUMBER(SEARCH("please",$Y323))),"",_xlfn.XLOOKUP(_xlpm.search_key,_xlpm.Scenario,_xlpm.Data,"▧")))</f>
        <v>#NAME?</v>
      </c>
      <c r="CE323" s="2154"/>
      <c r="CF323" s="88"/>
      <c r="CG323" s="2154" t="e" cm="1">
        <f t="array" ca="1" aca="1" ref="CG323">_xlfn.LET(_xlpm.search_key,$W323&amp;$Y323,_xlpm.Scenario,_xlfn.VSTACK($W$20:$W$55&amp;$Y$20:$Y$55,$W$76:$W$110&amp;$Y$76:$Y$110),_xlpm.Data,_xlfn.VSTACK(CG$20:CH$55,CG$76:CH$110),IF(OR($Y323="",ISNUMBER(SEARCH("please",$Y323))),"",_xlfn.XLOOKUP(_xlpm.search_key,_xlpm.Scenario,_xlpm.Data,"▧")))</f>
        <v>#NAME?</v>
      </c>
      <c r="CH323" s="2154"/>
      <c r="CI323" s="88"/>
      <c r="CJ323" s="2154" t="e" cm="1">
        <f t="array" ca="1" aca="1" ref="CJ323">_xlfn.LET(_xlpm.search_key,$W323&amp;$Y323,_xlpm.Scenario,_xlfn.VSTACK($W$20:$W$55&amp;$Y$20:$Y$55,$W$76:$W$110&amp;$Y$76:$Y$110),_xlpm.Data,_xlfn.VSTACK(CJ$20:CK$55,CJ$76:CK$110),IF(OR($Y323="",ISNUMBER(SEARCH("please",$Y323))),"",_xlfn.XLOOKUP(_xlpm.search_key,_xlpm.Scenario,_xlpm.Data,"▧")))</f>
        <v>#NAME?</v>
      </c>
      <c r="CK323" s="2154"/>
      <c r="CL323" s="88"/>
      <c r="CM323" s="2154" t="e" cm="1">
        <f t="array" ca="1" aca="1" ref="CM323">_xlfn.LET(_xlpm.search_key,$W323&amp;$Y323,_xlpm.Scenario,_xlfn.VSTACK($W$20:$W$55&amp;$Y$20:$Y$55,$W$76:$W$110&amp;$Y$76:$Y$110),_xlpm.Data,_xlfn.VSTACK(CM$20:CN$55,CM$76:CN$110),IF(OR($Y323="",ISNUMBER(SEARCH("please",$Y323))),"",_xlfn.XLOOKUP(_xlpm.search_key,_xlpm.Scenario,_xlpm.Data,"▧")))</f>
        <v>#NAME?</v>
      </c>
      <c r="CN323" s="2154"/>
      <c r="CO323" s="88"/>
      <c r="CP323" s="2154" t="e" cm="1">
        <f t="array" ca="1" aca="1" ref="CP323">_xlfn.LET(_xlpm.search_key,$W323&amp;$Y323,_xlpm.Scenario,_xlfn.VSTACK($W$20:$W$55&amp;$Y$20:$Y$55,$W$76:$W$110&amp;$Y$76:$Y$110),_xlpm.Data,_xlfn.VSTACK(CP$20:CQ$55,CP$76:CQ$110),IF(OR($Y323="",ISNUMBER(SEARCH("please",$Y323))),"",_xlfn.XLOOKUP(_xlpm.search_key,_xlpm.Scenario,_xlpm.Data,"▧")))</f>
        <v>#NAME?</v>
      </c>
      <c r="CQ323" s="2154"/>
      <c r="CR323" s="34"/>
      <c r="CS323" s="2056"/>
      <c r="CT323" t="str" cm="1">
        <f t="array" ref="CT323">IF(PL!K323&lt;&gt;"Yes","",IF(OR(PL!Y323="Select,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III"),"",IF(OR(PL!Y323&lt;&gt;PL!AB323,AND(LEN(PL!B323)=0,NOT(OR(PL!Y323="Select,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III")))),_xldudf_CX_PUSH(PL!Y323,CX_ENTITY,PL!C323,EOMONTH(val_asOfDate,0)),"")))</f>
        <v/>
      </c>
      <c r="CU323" t="str" cm="1">
        <f t="array" ref="CU323">IF(PL!K323&lt;&gt;"Yes","",IF(OR(PL!Y323="Select,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III"),"",IF(OR(PL!Y323&lt;&gt;PL!AB323,AND(LEN(PL!B323)=0,NOT(OR(PL!Y323="Select,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III")))),_xldudf_CX_PUSH(PL!Y323,CX_ENTITY,PL!C323,EOMONTH(val_asOfDate,1)),"")))</f>
        <v/>
      </c>
      <c r="CV323" t="str" cm="1">
        <f t="array" ref="CV323">IF(PL!K323&lt;&gt;"Yes","",IF(OR(PL!Y323="Select,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III"),"",IF(OR(PL!Y323&lt;&gt;PL!AB323,AND(LEN(PL!B323)=0,NOT(OR(PL!Y323="Select,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III")))),_xldudf_CX_PUSH(PL!Y323,CX_ENTITY,PL!C323,EOMONTH(val_asOfDate,2)),"")))</f>
        <v/>
      </c>
      <c r="CW323" t="str" cm="1">
        <f t="array" ref="CW323">IF(PL!K323&lt;&gt;"Yes","",IF(OR(PL!Y323="Select,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III"),"",IF(OR(PL!Y323&lt;&gt;PL!AB323,AND(LEN(PL!B323)=0,NOT(OR(PL!Y323="Select,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III")))),_xldudf_CX_PUSH(PL!Y323,CX_ENTITY,PL!C323,EOMONTH(val_asOfDate,3)),"")))</f>
        <v/>
      </c>
      <c r="DC323"/>
    </row>
    <row r="324" spans="1:107" ht="21" customHeight="1">
      <c r="A324" s="1627"/>
      <c r="B324" s="2606"/>
      <c r="C324" s="2540"/>
      <c r="D324" s="1549"/>
      <c r="E324" s="2440"/>
      <c r="F324" s="401"/>
      <c r="G324" s="401"/>
      <c r="H324" s="585"/>
      <c r="I324" s="585"/>
      <c r="J324" s="401"/>
      <c r="K324" s="401"/>
      <c r="L324" s="37"/>
      <c r="N324" s="158"/>
      <c r="O324" s="101"/>
      <c r="P324" s="52"/>
      <c r="Q324" s="101"/>
      <c r="R324" s="101"/>
      <c r="S324" s="101"/>
      <c r="T324" s="101"/>
      <c r="U324" s="39"/>
      <c r="V324" s="37"/>
      <c r="W324" s="2364" t="e">
        <f ca="1">W321</f>
        <v>#NAME?</v>
      </c>
      <c r="X324" s="2373">
        <f>_PL!X324</f>
        <v>0</v>
      </c>
      <c r="Y324" s="3228">
        <v>2</v>
      </c>
      <c r="Z324" s="198">
        <f>_PL!Z324</f>
        <v>0</v>
      </c>
      <c r="AA324" s="200" t="str" cm="1">
        <f t="array" ca="1" aca="1" ref="AA324">IF(Y324="","",_xlfn.LET(_xlpm._termname,$W324&amp;$Y324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24" s="1134"/>
      <c r="AC324" s="125"/>
      <c r="AD324" s="2152" t="e" cm="1">
        <f t="array" ca="1" aca="1" ref="AD324">_xlfn.LET(_xlpm.search_key,$W324&amp;$Y324,_xlpm.Scenario,_xlfn.VSTACK($W$20:$W$55&amp;$Y$20:$Y$55,$W$76:$W$110&amp;$Y$76:$Y$110),_xlpm.Data,_xlfn.VSTACK($AD$20:$BN$55,$AD$76:$BN$110),IF(OR($Y324="",ISNUMBER(SEARCH("please",$Y324))),"",_xlfn.XLOOKUP(_xlpm.search_key,_xlpm.Scenario,_xlpm.Data,"▧")))</f>
        <v>#NAME?</v>
      </c>
      <c r="AE324" s="2152"/>
      <c r="AF324" s="2152"/>
      <c r="AG324" s="2152"/>
      <c r="AH324" s="2152"/>
      <c r="AI324" s="2152"/>
      <c r="AJ324" s="2152"/>
      <c r="AK324" s="2152"/>
      <c r="AL324" s="2152"/>
      <c r="AM324" s="2152"/>
      <c r="AN324" s="2152"/>
      <c r="AO324" s="2152"/>
      <c r="AP324" s="2152"/>
      <c r="AQ324" s="2152"/>
      <c r="AR324" s="2152"/>
      <c r="AS324" s="2152"/>
      <c r="AT324" s="2152"/>
      <c r="AU324" s="2152"/>
      <c r="AV324" s="2152"/>
      <c r="AW324" s="2152"/>
      <c r="AX324" s="2152"/>
      <c r="AY324" s="2152"/>
      <c r="AZ324" s="2152"/>
      <c r="BA324" s="2152"/>
      <c r="BB324" s="2152"/>
      <c r="BC324" s="2152"/>
      <c r="BD324" s="2152"/>
      <c r="BE324" s="2152"/>
      <c r="BF324" s="2152"/>
      <c r="BG324" s="2152"/>
      <c r="BH324" s="2152"/>
      <c r="BI324" s="2152"/>
      <c r="BJ324" s="2152"/>
      <c r="BK324" s="2152"/>
      <c r="BL324" s="2152"/>
      <c r="BM324" s="2152"/>
      <c r="BN324" s="2152"/>
      <c r="BO324" s="2362"/>
      <c r="BP324" s="2362"/>
      <c r="BQ324" s="2362"/>
      <c r="BR324" s="2362"/>
      <c r="BS324" s="2362"/>
      <c r="BT324" s="2362"/>
      <c r="BU324" s="2362"/>
      <c r="BV324" s="2362"/>
      <c r="BW324" s="2362"/>
      <c r="BX324" s="2362"/>
      <c r="BY324" s="2362"/>
      <c r="BZ324" s="2362"/>
      <c r="CA324" s="34"/>
      <c r="CC324" s="58"/>
      <c r="CD324" s="2154" t="e" cm="1">
        <f t="array" ca="1" aca="1" ref="CD324">_xlfn.LET(_xlpm.search_key,$W324&amp;$Y324,_xlpm.Scenario,_xlfn.VSTACK($W$20:$W$55&amp;$Y$20:$Y$55,$W$76:$W$110&amp;$Y$76:$Y$110),_xlpm.Data,_xlfn.VSTACK(CD$20:CE$55,CD$76:CE$110),IF(OR($Y324="",ISNUMBER(SEARCH("please",$Y324))),"",_xlfn.XLOOKUP(_xlpm.search_key,_xlpm.Scenario,_xlpm.Data,"▧")))</f>
        <v>#NAME?</v>
      </c>
      <c r="CE324" s="2154"/>
      <c r="CF324" s="88"/>
      <c r="CG324" s="2154" t="e" cm="1">
        <f t="array" ca="1" aca="1" ref="CG324">_xlfn.LET(_xlpm.search_key,$W324&amp;$Y324,_xlpm.Scenario,_xlfn.VSTACK($W$20:$W$55&amp;$Y$20:$Y$55,$W$76:$W$110&amp;$Y$76:$Y$110),_xlpm.Data,_xlfn.VSTACK(CG$20:CH$55,CG$76:CH$110),IF(OR($Y324="",ISNUMBER(SEARCH("please",$Y324))),"",_xlfn.XLOOKUP(_xlpm.search_key,_xlpm.Scenario,_xlpm.Data,"▧")))</f>
        <v>#NAME?</v>
      </c>
      <c r="CH324" s="2154"/>
      <c r="CI324" s="88"/>
      <c r="CJ324" s="2154" t="e" cm="1">
        <f t="array" ca="1" aca="1" ref="CJ324">_xlfn.LET(_xlpm.search_key,$W324&amp;$Y324,_xlpm.Scenario,_xlfn.VSTACK($W$20:$W$55&amp;$Y$20:$Y$55,$W$76:$W$110&amp;$Y$76:$Y$110),_xlpm.Data,_xlfn.VSTACK(CJ$20:CK$55,CJ$76:CK$110),IF(OR($Y324="",ISNUMBER(SEARCH("please",$Y324))),"",_xlfn.XLOOKUP(_xlpm.search_key,_xlpm.Scenario,_xlpm.Data,"▧")))</f>
        <v>#NAME?</v>
      </c>
      <c r="CK324" s="2154"/>
      <c r="CL324" s="88"/>
      <c r="CM324" s="2154" t="e" cm="1">
        <f t="array" ca="1" aca="1" ref="CM324">_xlfn.LET(_xlpm.search_key,$W324&amp;$Y324,_xlpm.Scenario,_xlfn.VSTACK($W$20:$W$55&amp;$Y$20:$Y$55,$W$76:$W$110&amp;$Y$76:$Y$110),_xlpm.Data,_xlfn.VSTACK(CM$20:CN$55,CM$76:CN$110),IF(OR($Y324="",ISNUMBER(SEARCH("please",$Y324))),"",_xlfn.XLOOKUP(_xlpm.search_key,_xlpm.Scenario,_xlpm.Data,"▧")))</f>
        <v>#NAME?</v>
      </c>
      <c r="CN324" s="2154"/>
      <c r="CO324" s="88"/>
      <c r="CP324" s="2154" t="e" cm="1">
        <f t="array" ca="1" aca="1" ref="CP324">_xlfn.LET(_xlpm.search_key,$W324&amp;$Y324,_xlpm.Scenario,_xlfn.VSTACK($W$20:$W$55&amp;$Y$20:$Y$55,$W$76:$W$110&amp;$Y$76:$Y$110),_xlpm.Data,_xlfn.VSTACK(CP$20:CQ$55,CP$76:CQ$110),IF(OR($Y324="",ISNUMBER(SEARCH("please",$Y324))),"",_xlfn.XLOOKUP(_xlpm.search_key,_xlpm.Scenario,_xlpm.Data,"▧")))</f>
        <v>#NAME?</v>
      </c>
      <c r="CQ324" s="2154"/>
      <c r="CR324" s="34"/>
      <c r="CS324" s="2056"/>
      <c r="DC324"/>
    </row>
    <row r="325" spans="1:107" ht="21" customHeight="1">
      <c r="A325" s="1627"/>
      <c r="B325" s="2606"/>
      <c r="C325" s="2540"/>
      <c r="D325" s="1549"/>
      <c r="E325" s="2440"/>
      <c r="F325" s="401"/>
      <c r="G325" s="401"/>
      <c r="H325" s="585"/>
      <c r="I325" s="585"/>
      <c r="J325" s="401"/>
      <c r="K325" s="401"/>
      <c r="L325" s="37"/>
      <c r="N325" s="158"/>
      <c r="O325" s="101"/>
      <c r="P325" s="52"/>
      <c r="Q325" s="101"/>
      <c r="R325" s="101"/>
      <c r="S325" s="101"/>
      <c r="T325" s="101"/>
      <c r="U325" s="39"/>
      <c r="V325" s="37"/>
      <c r="W325" s="2364" t="e">
        <f ca="1">W321</f>
        <v>#NAME?</v>
      </c>
      <c r="X325" s="2373">
        <f>_PL!X325</f>
        <v>0</v>
      </c>
      <c r="Y325" s="3228">
        <v>2</v>
      </c>
      <c r="Z325" s="198">
        <f>_PL!Z325</f>
        <v>0</v>
      </c>
      <c r="AA325" s="200" t="str" cm="1">
        <f t="array" ca="1" aca="1" ref="AA325">IF(Y325="","",_xlfn.LET(_xlpm._termname,$W325&amp;$Y325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25" s="1134"/>
      <c r="AC325" s="125"/>
      <c r="AD325" s="2152" t="e" cm="1">
        <f t="array" ca="1" aca="1" ref="AD325">_xlfn.LET(_xlpm.search_key,$W325&amp;$Y325,_xlpm.Scenario,_xlfn.VSTACK($W$20:$W$55&amp;$Y$20:$Y$55,$W$76:$W$110&amp;$Y$76:$Y$110),_xlpm.Data,_xlfn.VSTACK($AD$20:$BN$55,$AD$76:$BN$110),IF(OR($Y325="",ISNUMBER(SEARCH("please",$Y325))),"",_xlfn.XLOOKUP(_xlpm.search_key,_xlpm.Scenario,_xlpm.Data,"▧")))</f>
        <v>#NAME?</v>
      </c>
      <c r="AE325" s="2152"/>
      <c r="AF325" s="2152"/>
      <c r="AG325" s="2152"/>
      <c r="AH325" s="2152"/>
      <c r="AI325" s="2152"/>
      <c r="AJ325" s="2152"/>
      <c r="AK325" s="2152"/>
      <c r="AL325" s="2152"/>
      <c r="AM325" s="2152"/>
      <c r="AN325" s="2152"/>
      <c r="AO325" s="2152"/>
      <c r="AP325" s="2152"/>
      <c r="AQ325" s="2152"/>
      <c r="AR325" s="2152"/>
      <c r="AS325" s="2152"/>
      <c r="AT325" s="2152"/>
      <c r="AU325" s="2152"/>
      <c r="AV325" s="2152"/>
      <c r="AW325" s="2152"/>
      <c r="AX325" s="2152"/>
      <c r="AY325" s="2152"/>
      <c r="AZ325" s="2152"/>
      <c r="BA325" s="2152"/>
      <c r="BB325" s="2152"/>
      <c r="BC325" s="2152"/>
      <c r="BD325" s="2152"/>
      <c r="BE325" s="2152"/>
      <c r="BF325" s="2152"/>
      <c r="BG325" s="2152"/>
      <c r="BH325" s="2152"/>
      <c r="BI325" s="2152"/>
      <c r="BJ325" s="2152"/>
      <c r="BK325" s="2152"/>
      <c r="BL325" s="2152"/>
      <c r="BM325" s="2152"/>
      <c r="BN325" s="2152"/>
      <c r="BO325" s="2362"/>
      <c r="BP325" s="2362"/>
      <c r="BQ325" s="2362"/>
      <c r="BR325" s="2362"/>
      <c r="BS325" s="2362"/>
      <c r="BT325" s="2362"/>
      <c r="BU325" s="2362"/>
      <c r="BV325" s="2362"/>
      <c r="BW325" s="2362"/>
      <c r="BX325" s="2362"/>
      <c r="BY325" s="2362"/>
      <c r="BZ325" s="2362"/>
      <c r="CA325" s="34"/>
      <c r="CC325" s="58"/>
      <c r="CD325" s="2154" t="e" cm="1">
        <f t="array" ca="1" aca="1" ref="CD325">_xlfn.LET(_xlpm.search_key,$W325&amp;$Y325,_xlpm.Scenario,_xlfn.VSTACK($W$20:$W$55&amp;$Y$20:$Y$55,$W$76:$W$110&amp;$Y$76:$Y$110),_xlpm.Data,_xlfn.VSTACK(CD$20:CE$55,CD$76:CE$110),IF(OR($Y325="",ISNUMBER(SEARCH("please",$Y325))),"",_xlfn.XLOOKUP(_xlpm.search_key,_xlpm.Scenario,_xlpm.Data,"▧")))</f>
        <v>#NAME?</v>
      </c>
      <c r="CE325" s="2154"/>
      <c r="CF325" s="88"/>
      <c r="CG325" s="2154" t="e" cm="1">
        <f t="array" ca="1" aca="1" ref="CG325">_xlfn.LET(_xlpm.search_key,$W325&amp;$Y325,_xlpm.Scenario,_xlfn.VSTACK($W$20:$W$55&amp;$Y$20:$Y$55,$W$76:$W$110&amp;$Y$76:$Y$110),_xlpm.Data,_xlfn.VSTACK(CG$20:CH$55,CG$76:CH$110),IF(OR($Y325="",ISNUMBER(SEARCH("please",$Y325))),"",_xlfn.XLOOKUP(_xlpm.search_key,_xlpm.Scenario,_xlpm.Data,"▧")))</f>
        <v>#NAME?</v>
      </c>
      <c r="CH325" s="2154"/>
      <c r="CI325" s="88"/>
      <c r="CJ325" s="2154" t="e" cm="1">
        <f t="array" ca="1" aca="1" ref="CJ325">_xlfn.LET(_xlpm.search_key,$W325&amp;$Y325,_xlpm.Scenario,_xlfn.VSTACK($W$20:$W$55&amp;$Y$20:$Y$55,$W$76:$W$110&amp;$Y$76:$Y$110),_xlpm.Data,_xlfn.VSTACK(CJ$20:CK$55,CJ$76:CK$110),IF(OR($Y325="",ISNUMBER(SEARCH("please",$Y325))),"",_xlfn.XLOOKUP(_xlpm.search_key,_xlpm.Scenario,_xlpm.Data,"▧")))</f>
        <v>#NAME?</v>
      </c>
      <c r="CK325" s="2154"/>
      <c r="CL325" s="88"/>
      <c r="CM325" s="2154" t="e" cm="1">
        <f t="array" ca="1" aca="1" ref="CM325">_xlfn.LET(_xlpm.search_key,$W325&amp;$Y325,_xlpm.Scenario,_xlfn.VSTACK($W$20:$W$55&amp;$Y$20:$Y$55,$W$76:$W$110&amp;$Y$76:$Y$110),_xlpm.Data,_xlfn.VSTACK(CM$20:CN$55,CM$76:CN$110),IF(OR($Y325="",ISNUMBER(SEARCH("please",$Y325))),"",_xlfn.XLOOKUP(_xlpm.search_key,_xlpm.Scenario,_xlpm.Data,"▧")))</f>
        <v>#NAME?</v>
      </c>
      <c r="CN325" s="2154"/>
      <c r="CO325" s="88"/>
      <c r="CP325" s="2154" t="e" cm="1">
        <f t="array" ca="1" aca="1" ref="CP325">_xlfn.LET(_xlpm.search_key,$W325&amp;$Y325,_xlpm.Scenario,_xlfn.VSTACK($W$20:$W$55&amp;$Y$20:$Y$55,$W$76:$W$110&amp;$Y$76:$Y$110),_xlpm.Data,_xlfn.VSTACK(CP$20:CQ$55,CP$76:CQ$110),IF(OR($Y325="",ISNUMBER(SEARCH("please",$Y325))),"",_xlfn.XLOOKUP(_xlpm.search_key,_xlpm.Scenario,_xlpm.Data,"▧")))</f>
        <v>#NAME?</v>
      </c>
      <c r="CQ325" s="2154"/>
      <c r="CR325" s="34"/>
      <c r="CS325" s="2056"/>
      <c r="DC325"/>
    </row>
    <row r="326" spans="1:107" ht="21" customHeight="1">
      <c r="A326" s="1627"/>
      <c r="B326" s="2606"/>
      <c r="C326" s="2540"/>
      <c r="D326" s="1549"/>
      <c r="E326" s="2440"/>
      <c r="F326" s="401"/>
      <c r="G326" s="401"/>
      <c r="H326" s="585"/>
      <c r="I326" s="585"/>
      <c r="J326" s="401"/>
      <c r="K326" s="401"/>
      <c r="L326" s="37"/>
      <c r="N326" s="158"/>
      <c r="O326" s="101"/>
      <c r="P326" s="52"/>
      <c r="Q326" s="101"/>
      <c r="R326" s="101"/>
      <c r="S326" s="101"/>
      <c r="T326" s="101"/>
      <c r="U326" s="39"/>
      <c r="V326" s="37"/>
      <c r="W326" s="2364" t="e">
        <f ca="1">W321</f>
        <v>#NAME?</v>
      </c>
      <c r="X326" s="2373">
        <f>_PL!X326</f>
        <v>0</v>
      </c>
      <c r="Y326" s="3228">
        <v>2</v>
      </c>
      <c r="Z326" s="198">
        <f>_PL!Z326</f>
        <v>0</v>
      </c>
      <c r="AA326" s="200" t="str" cm="1">
        <f t="array" ca="1" aca="1" ref="AA326">IF(Y326="","",_xlfn.LET(_xlpm._termname,$W326&amp;$Y326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26" s="1134"/>
      <c r="AC326" s="125"/>
      <c r="AD326" s="2152" t="e" cm="1">
        <f t="array" ca="1" aca="1" ref="AD326">_xlfn.LET(_xlpm.search_key,$W326&amp;$Y326,_xlpm.Scenario,_xlfn.VSTACK($W$20:$W$55&amp;$Y$20:$Y$55,$W$76:$W$110&amp;$Y$76:$Y$110),_xlpm.Data,_xlfn.VSTACK($AD$20:$BN$55,$AD$76:$BN$110),IF(OR($Y326="",ISNUMBER(SEARCH("please",$Y326))),"",_xlfn.XLOOKUP(_xlpm.search_key,_xlpm.Scenario,_xlpm.Data,"▧")))</f>
        <v>#NAME?</v>
      </c>
      <c r="AE326" s="2152"/>
      <c r="AF326" s="2152"/>
      <c r="AG326" s="2152"/>
      <c r="AH326" s="2152"/>
      <c r="AI326" s="2152"/>
      <c r="AJ326" s="2152"/>
      <c r="AK326" s="2152"/>
      <c r="AL326" s="2152"/>
      <c r="AM326" s="2152"/>
      <c r="AN326" s="2152"/>
      <c r="AO326" s="2152"/>
      <c r="AP326" s="2152"/>
      <c r="AQ326" s="2152"/>
      <c r="AR326" s="2152"/>
      <c r="AS326" s="2152"/>
      <c r="AT326" s="2152"/>
      <c r="AU326" s="2152"/>
      <c r="AV326" s="2152"/>
      <c r="AW326" s="2152"/>
      <c r="AX326" s="2152"/>
      <c r="AY326" s="2152"/>
      <c r="AZ326" s="2152"/>
      <c r="BA326" s="2152"/>
      <c r="BB326" s="2152"/>
      <c r="BC326" s="2152"/>
      <c r="BD326" s="2152"/>
      <c r="BE326" s="2152"/>
      <c r="BF326" s="2152"/>
      <c r="BG326" s="2152"/>
      <c r="BH326" s="2152"/>
      <c r="BI326" s="2152"/>
      <c r="BJ326" s="2152"/>
      <c r="BK326" s="2152"/>
      <c r="BL326" s="2152"/>
      <c r="BM326" s="2152"/>
      <c r="BN326" s="2152"/>
      <c r="BO326" s="2362"/>
      <c r="BP326" s="2362"/>
      <c r="BQ326" s="2362"/>
      <c r="BR326" s="2362"/>
      <c r="BS326" s="2362"/>
      <c r="BT326" s="2362"/>
      <c r="BU326" s="2362"/>
      <c r="BV326" s="2362"/>
      <c r="BW326" s="2362"/>
      <c r="BX326" s="2362"/>
      <c r="BY326" s="2362"/>
      <c r="BZ326" s="2362"/>
      <c r="CA326" s="34"/>
      <c r="CC326" s="58"/>
      <c r="CD326" s="2154" t="e" cm="1">
        <f t="array" ca="1" aca="1" ref="CD326">_xlfn.LET(_xlpm.search_key,$W326&amp;$Y326,_xlpm.Scenario,_xlfn.VSTACK($W$20:$W$55&amp;$Y$20:$Y$55,$W$76:$W$110&amp;$Y$76:$Y$110),_xlpm.Data,_xlfn.VSTACK(CD$20:CE$55,CD$76:CE$110),IF(OR($Y326="",ISNUMBER(SEARCH("please",$Y326))),"",_xlfn.XLOOKUP(_xlpm.search_key,_xlpm.Scenario,_xlpm.Data,"▧")))</f>
        <v>#NAME?</v>
      </c>
      <c r="CE326" s="2154"/>
      <c r="CF326" s="88"/>
      <c r="CG326" s="2154" t="e" cm="1">
        <f t="array" ca="1" aca="1" ref="CG326">_xlfn.LET(_xlpm.search_key,$W326&amp;$Y326,_xlpm.Scenario,_xlfn.VSTACK($W$20:$W$55&amp;$Y$20:$Y$55,$W$76:$W$110&amp;$Y$76:$Y$110),_xlpm.Data,_xlfn.VSTACK(CG$20:CH$55,CG$76:CH$110),IF(OR($Y326="",ISNUMBER(SEARCH("please",$Y326))),"",_xlfn.XLOOKUP(_xlpm.search_key,_xlpm.Scenario,_xlpm.Data,"▧")))</f>
        <v>#NAME?</v>
      </c>
      <c r="CH326" s="2154"/>
      <c r="CI326" s="88"/>
      <c r="CJ326" s="2154" t="e" cm="1">
        <f t="array" ca="1" aca="1" ref="CJ326">_xlfn.LET(_xlpm.search_key,$W326&amp;$Y326,_xlpm.Scenario,_xlfn.VSTACK($W$20:$W$55&amp;$Y$20:$Y$55,$W$76:$W$110&amp;$Y$76:$Y$110),_xlpm.Data,_xlfn.VSTACK(CJ$20:CK$55,CJ$76:CK$110),IF(OR($Y326="",ISNUMBER(SEARCH("please",$Y326))),"",_xlfn.XLOOKUP(_xlpm.search_key,_xlpm.Scenario,_xlpm.Data,"▧")))</f>
        <v>#NAME?</v>
      </c>
      <c r="CK326" s="2154"/>
      <c r="CL326" s="88"/>
      <c r="CM326" s="2154" t="e" cm="1">
        <f t="array" ca="1" aca="1" ref="CM326">_xlfn.LET(_xlpm.search_key,$W326&amp;$Y326,_xlpm.Scenario,_xlfn.VSTACK($W$20:$W$55&amp;$Y$20:$Y$55,$W$76:$W$110&amp;$Y$76:$Y$110),_xlpm.Data,_xlfn.VSTACK(CM$20:CN$55,CM$76:CN$110),IF(OR($Y326="",ISNUMBER(SEARCH("please",$Y326))),"",_xlfn.XLOOKUP(_xlpm.search_key,_xlpm.Scenario,_xlpm.Data,"▧")))</f>
        <v>#NAME?</v>
      </c>
      <c r="CN326" s="2154"/>
      <c r="CO326" s="88"/>
      <c r="CP326" s="2154" t="e" cm="1">
        <f t="array" ca="1" aca="1" ref="CP326">_xlfn.LET(_xlpm.search_key,$W326&amp;$Y326,_xlpm.Scenario,_xlfn.VSTACK($W$20:$W$55&amp;$Y$20:$Y$55,$W$76:$W$110&amp;$Y$76:$Y$110),_xlpm.Data,_xlfn.VSTACK(CP$20:CQ$55,CP$76:CQ$110),IF(OR($Y326="",ISNUMBER(SEARCH("please",$Y326))),"",_xlfn.XLOOKUP(_xlpm.search_key,_xlpm.Scenario,_xlpm.Data,"▧")))</f>
        <v>#NAME?</v>
      </c>
      <c r="CQ326" s="2154"/>
      <c r="CR326" s="34"/>
      <c r="CS326" s="2056"/>
      <c r="DC326"/>
    </row>
    <row r="327" spans="1:107" ht="21" customHeight="1">
      <c r="A327" s="1627"/>
      <c r="B327" s="2606"/>
      <c r="C327" s="2540"/>
      <c r="D327" s="1549"/>
      <c r="E327" s="2440"/>
      <c r="F327" s="401"/>
      <c r="G327" s="401"/>
      <c r="H327" s="585"/>
      <c r="I327" s="585"/>
      <c r="J327" s="401"/>
      <c r="K327" s="401"/>
      <c r="L327" s="37"/>
      <c r="N327" s="158"/>
      <c r="O327" s="101"/>
      <c r="P327" s="52"/>
      <c r="Q327" s="101"/>
      <c r="R327" s="101"/>
      <c r="S327" s="101"/>
      <c r="T327" s="101"/>
      <c r="U327" s="39"/>
      <c r="V327" s="37"/>
      <c r="W327" s="2364" t="e">
        <f ca="1">W321</f>
        <v>#NAME?</v>
      </c>
      <c r="X327" s="2373">
        <f>_PL!X327</f>
        <v>0</v>
      </c>
      <c r="Y327" s="3228">
        <v>2</v>
      </c>
      <c r="Z327" s="538">
        <f>_PL!Z327</f>
        <v>0</v>
      </c>
      <c r="AA327" s="787" t="str" cm="1">
        <f t="array" ca="1" aca="1" ref="AA327">IF(Y327="","",_xlfn.LET(_xlpm._termname,$W327&amp;$Y327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27" s="1134"/>
      <c r="AC327" s="125"/>
      <c r="AD327" s="2152" t="e" cm="1">
        <f t="array" ca="1" aca="1" ref="AD327">_xlfn.LET(_xlpm.search_key,$W327&amp;$Y327,_xlpm.Scenario,_xlfn.VSTACK($W$20:$W$55&amp;$Y$20:$Y$55,$W$76:$W$110&amp;$Y$76:$Y$110),_xlpm.Data,_xlfn.VSTACK($AD$20:$BN$55,$AD$76:$BN$110),IF(OR($Y327="",ISNUMBER(SEARCH("please",$Y327))),"",_xlfn.XLOOKUP(_xlpm.search_key,_xlpm.Scenario,_xlpm.Data,"▧")))</f>
        <v>#NAME?</v>
      </c>
      <c r="AE327" s="2152"/>
      <c r="AF327" s="2152"/>
      <c r="AG327" s="2152"/>
      <c r="AH327" s="2152"/>
      <c r="AI327" s="2152"/>
      <c r="AJ327" s="2152"/>
      <c r="AK327" s="2152"/>
      <c r="AL327" s="2152"/>
      <c r="AM327" s="2152"/>
      <c r="AN327" s="2152"/>
      <c r="AO327" s="2152"/>
      <c r="AP327" s="2152"/>
      <c r="AQ327" s="2152"/>
      <c r="AR327" s="2152"/>
      <c r="AS327" s="2152"/>
      <c r="AT327" s="2152"/>
      <c r="AU327" s="2152"/>
      <c r="AV327" s="2152"/>
      <c r="AW327" s="2152"/>
      <c r="AX327" s="2152"/>
      <c r="AY327" s="2152"/>
      <c r="AZ327" s="2152"/>
      <c r="BA327" s="2152"/>
      <c r="BB327" s="2152"/>
      <c r="BC327" s="2152"/>
      <c r="BD327" s="2152"/>
      <c r="BE327" s="2152"/>
      <c r="BF327" s="2152"/>
      <c r="BG327" s="2152"/>
      <c r="BH327" s="2152"/>
      <c r="BI327" s="2152"/>
      <c r="BJ327" s="2152"/>
      <c r="BK327" s="2152"/>
      <c r="BL327" s="2152"/>
      <c r="BM327" s="2152"/>
      <c r="BN327" s="2152"/>
      <c r="BO327" s="2362"/>
      <c r="BP327" s="2362"/>
      <c r="BQ327" s="2362"/>
      <c r="BR327" s="2362"/>
      <c r="BS327" s="2362"/>
      <c r="BT327" s="2362"/>
      <c r="BU327" s="2362"/>
      <c r="BV327" s="2362"/>
      <c r="BW327" s="2362"/>
      <c r="BX327" s="2362"/>
      <c r="BY327" s="2362"/>
      <c r="BZ327" s="2362"/>
      <c r="CA327" s="34"/>
      <c r="CC327" s="58"/>
      <c r="CD327" s="2154" t="e" cm="1">
        <f t="array" ca="1" aca="1" ref="CD327">_xlfn.LET(_xlpm.search_key,$W327&amp;$Y327,_xlpm.Scenario,_xlfn.VSTACK($W$20:$W$55&amp;$Y$20:$Y$55,$W$76:$W$110&amp;$Y$76:$Y$110),_xlpm.Data,_xlfn.VSTACK(CD$20:CE$55,CD$76:CE$110),IF(OR($Y327="",ISNUMBER(SEARCH("please",$Y327))),"",_xlfn.XLOOKUP(_xlpm.search_key,_xlpm.Scenario,_xlpm.Data,"▧")))</f>
        <v>#NAME?</v>
      </c>
      <c r="CE327" s="2154"/>
      <c r="CF327" s="88"/>
      <c r="CG327" s="2154" t="e" cm="1">
        <f t="array" ca="1" aca="1" ref="CG327">_xlfn.LET(_xlpm.search_key,$W327&amp;$Y327,_xlpm.Scenario,_xlfn.VSTACK($W$20:$W$55&amp;$Y$20:$Y$55,$W$76:$W$110&amp;$Y$76:$Y$110),_xlpm.Data,_xlfn.VSTACK(CG$20:CH$55,CG$76:CH$110),IF(OR($Y327="",ISNUMBER(SEARCH("please",$Y327))),"",_xlfn.XLOOKUP(_xlpm.search_key,_xlpm.Scenario,_xlpm.Data,"▧")))</f>
        <v>#NAME?</v>
      </c>
      <c r="CH327" s="2154"/>
      <c r="CI327" s="88"/>
      <c r="CJ327" s="2154" t="e" cm="1">
        <f t="array" ca="1" aca="1" ref="CJ327">_xlfn.LET(_xlpm.search_key,$W327&amp;$Y327,_xlpm.Scenario,_xlfn.VSTACK($W$20:$W$55&amp;$Y$20:$Y$55,$W$76:$W$110&amp;$Y$76:$Y$110),_xlpm.Data,_xlfn.VSTACK(CJ$20:CK$55,CJ$76:CK$110),IF(OR($Y327="",ISNUMBER(SEARCH("please",$Y327))),"",_xlfn.XLOOKUP(_xlpm.search_key,_xlpm.Scenario,_xlpm.Data,"▧")))</f>
        <v>#NAME?</v>
      </c>
      <c r="CK327" s="2154"/>
      <c r="CL327" s="88"/>
      <c r="CM327" s="2154" t="e" cm="1">
        <f t="array" ca="1" aca="1" ref="CM327">_xlfn.LET(_xlpm.search_key,$W327&amp;$Y327,_xlpm.Scenario,_xlfn.VSTACK($W$20:$W$55&amp;$Y$20:$Y$55,$W$76:$W$110&amp;$Y$76:$Y$110),_xlpm.Data,_xlfn.VSTACK(CM$20:CN$55,CM$76:CN$110),IF(OR($Y327="",ISNUMBER(SEARCH("please",$Y327))),"",_xlfn.XLOOKUP(_xlpm.search_key,_xlpm.Scenario,_xlpm.Data,"▧")))</f>
        <v>#NAME?</v>
      </c>
      <c r="CN327" s="2154"/>
      <c r="CO327" s="88"/>
      <c r="CP327" s="2154" t="e" cm="1">
        <f t="array" ca="1" aca="1" ref="CP327">_xlfn.LET(_xlpm.search_key,$W327&amp;$Y327,_xlpm.Scenario,_xlfn.VSTACK($W$20:$W$55&amp;$Y$20:$Y$55,$W$76:$W$110&amp;$Y$76:$Y$110),_xlpm.Data,_xlfn.VSTACK(CP$20:CQ$55,CP$76:CQ$110),IF(OR($Y327="",ISNUMBER(SEARCH("please",$Y327))),"",_xlfn.XLOOKUP(_xlpm.search_key,_xlpm.Scenario,_xlpm.Data,"▧")))</f>
        <v>#NAME?</v>
      </c>
      <c r="CQ327" s="2154"/>
      <c r="CR327" s="34"/>
      <c r="CS327" s="2056"/>
      <c r="DC327"/>
    </row>
    <row r="328" spans="1:107" ht="21" customHeight="1">
      <c r="A328" s="1627"/>
      <c r="B328" s="3474" t="s">
        <v>217</v>
      </c>
      <c r="C328" s="2606" t="e" cm="1">
        <f t="array" ca="1" aca="1" ref="C328">CVC.PACK(W321:Y328)</f>
        <v>#NAME?</v>
      </c>
      <c r="D328" s="1549"/>
      <c r="E328" s="2607"/>
      <c r="F328" s="401"/>
      <c r="G328" s="401"/>
      <c r="H328" s="585"/>
      <c r="I328" s="585"/>
      <c r="J328" s="401"/>
      <c r="K328" s="401"/>
      <c r="L328" s="37"/>
      <c r="N328" s="158"/>
      <c r="O328" s="101"/>
      <c r="P328" s="52"/>
      <c r="Q328" s="101"/>
      <c r="R328" s="101"/>
      <c r="S328" s="101"/>
      <c r="T328" s="101"/>
      <c r="U328" s="39"/>
      <c r="V328" s="37"/>
      <c r="W328" s="2365" t="e">
        <f ca="1">W321</f>
        <v>#NAME?</v>
      </c>
      <c r="X328" s="2374">
        <f>_PL!X328</f>
        <v>0</v>
      </c>
      <c r="Y328" s="2326">
        <f>_PL!Y328</f>
        <v>0</v>
      </c>
      <c r="Z328" s="2322"/>
      <c r="AA328" s="2323"/>
      <c r="AB328" s="1134"/>
      <c r="AC328" s="125" t="str" cm="1">
        <f t="array" ca="1" aca="1" ref="AC328">IF(AB328="","",_xlfn.LET(_xlpm._termname,PL!$W328&amp;$AB328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28" s="2152" t="e">
        <f ca="1">SUMPRODUCT($X322:$X327,AD322:AD327)</f>
        <v>#NAME?</v>
      </c>
      <c r="AE328" s="2152">
        <f t="shared" si="163" ref="AE328">SUMPRODUCT($X322:$X327,AE322:AE327)</f>
        <v>0</v>
      </c>
      <c r="AF328" s="2152">
        <f t="shared" si="164" ref="AF328">SUMPRODUCT($X322:$X327,AF322:AF327)</f>
        <v>0</v>
      </c>
      <c r="AG328" s="2152">
        <f t="shared" si="165" ref="AG328">SUMPRODUCT($X322:$X327,AG322:AG327)</f>
        <v>0</v>
      </c>
      <c r="AH328" s="2152">
        <f t="shared" si="166" ref="AH328">SUMPRODUCT($X322:$X327,AH322:AH327)</f>
        <v>0</v>
      </c>
      <c r="AI328" s="2152">
        <f t="shared" si="167" ref="AI328">SUMPRODUCT($X322:$X327,AI322:AI327)</f>
        <v>0</v>
      </c>
      <c r="AJ328" s="2152">
        <f t="shared" si="168" ref="AJ328">SUMPRODUCT($X322:$X327,AJ322:AJ327)</f>
        <v>0</v>
      </c>
      <c r="AK328" s="2152">
        <f t="shared" si="169" ref="AK328">SUMPRODUCT($X322:$X327,AK322:AK327)</f>
        <v>0</v>
      </c>
      <c r="AL328" s="2152">
        <f t="shared" si="170" ref="AL328">SUMPRODUCT($X322:$X327,AL322:AL327)</f>
        <v>0</v>
      </c>
      <c r="AM328" s="2152">
        <f t="shared" si="171" ref="AM328">SUMPRODUCT($X322:$X327,AM322:AM327)</f>
        <v>0</v>
      </c>
      <c r="AN328" s="2152">
        <f t="shared" si="172" ref="AN328">SUMPRODUCT($X322:$X327,AN322:AN327)</f>
        <v>0</v>
      </c>
      <c r="AO328" s="2152">
        <f t="shared" si="173" ref="AO328">SUMPRODUCT($X322:$X327,AO322:AO327)</f>
        <v>0</v>
      </c>
      <c r="AP328" s="2152">
        <f t="shared" si="174" ref="AP328">SUMPRODUCT($X322:$X327,AP322:AP327)</f>
        <v>0</v>
      </c>
      <c r="AQ328" s="2152">
        <f t="shared" si="175" ref="AQ328">SUMPRODUCT($X322:$X327,AQ322:AQ327)</f>
        <v>0</v>
      </c>
      <c r="AR328" s="2152">
        <f t="shared" si="176" ref="AR328">SUMPRODUCT($X322:$X327,AR322:AR327)</f>
        <v>0</v>
      </c>
      <c r="AS328" s="2152">
        <f t="shared" si="177" ref="AS328">SUMPRODUCT($X322:$X327,AS322:AS327)</f>
        <v>0</v>
      </c>
      <c r="AT328" s="2152">
        <f t="shared" si="178" ref="AT328">SUMPRODUCT($X322:$X327,AT322:AT327)</f>
        <v>0</v>
      </c>
      <c r="AU328" s="2152">
        <f t="shared" si="179" ref="AU328">SUMPRODUCT($X322:$X327,AU322:AU327)</f>
        <v>0</v>
      </c>
      <c r="AV328" s="2152">
        <f t="shared" si="180" ref="AV328">SUMPRODUCT($X322:$X327,AV322:AV327)</f>
        <v>0</v>
      </c>
      <c r="AW328" s="2152">
        <f t="shared" si="181" ref="AW328">SUMPRODUCT($X322:$X327,AW322:AW327)</f>
        <v>0</v>
      </c>
      <c r="AX328" s="2152">
        <f t="shared" si="182" ref="AX328">SUMPRODUCT($X322:$X327,AX322:AX327)</f>
        <v>0</v>
      </c>
      <c r="AY328" s="2152">
        <f t="shared" si="183" ref="AY328">SUMPRODUCT($X322:$X327,AY322:AY327)</f>
        <v>0</v>
      </c>
      <c r="AZ328" s="2152">
        <f t="shared" si="184" ref="AZ328">SUMPRODUCT($X322:$X327,AZ322:AZ327)</f>
        <v>0</v>
      </c>
      <c r="BA328" s="2152">
        <f t="shared" si="185" ref="BA328">SUMPRODUCT($X322:$X327,BA322:BA327)</f>
        <v>0</v>
      </c>
      <c r="BB328" s="2152">
        <f t="shared" si="186" ref="BB328">SUMPRODUCT($X322:$X327,BB322:BB327)</f>
        <v>0</v>
      </c>
      <c r="BC328" s="2152">
        <f t="shared" si="187" ref="BC328">SUMPRODUCT($X322:$X327,BC322:BC327)</f>
        <v>0</v>
      </c>
      <c r="BD328" s="2152">
        <f t="shared" si="188" ref="BD328">SUMPRODUCT($X322:$X327,BD322:BD327)</f>
        <v>0</v>
      </c>
      <c r="BE328" s="2152">
        <f t="shared" si="189" ref="BE328">SUMPRODUCT($X322:$X327,BE322:BE327)</f>
        <v>0</v>
      </c>
      <c r="BF328" s="2152">
        <f t="shared" si="190" ref="BF328">SUMPRODUCT($X322:$X327,BF322:BF327)</f>
        <v>0</v>
      </c>
      <c r="BG328" s="2152">
        <f t="shared" si="191" ref="BG328">SUMPRODUCT($X322:$X327,BG322:BG327)</f>
        <v>0</v>
      </c>
      <c r="BH328" s="2152">
        <f t="shared" si="192" ref="BH328">SUMPRODUCT($X322:$X327,BH322:BH327)</f>
        <v>0</v>
      </c>
      <c r="BI328" s="2152">
        <f t="shared" si="193" ref="BI328">SUMPRODUCT($X322:$X327,BI322:BI327)</f>
        <v>0</v>
      </c>
      <c r="BJ328" s="2152">
        <f t="shared" si="194" ref="BJ328">SUMPRODUCT($X322:$X327,BJ322:BJ327)</f>
        <v>0</v>
      </c>
      <c r="BK328" s="2152">
        <f t="shared" si="195" ref="BK328">SUMPRODUCT($X322:$X327,BK322:BK327)</f>
        <v>0</v>
      </c>
      <c r="BL328" s="2152">
        <f t="shared" si="196" ref="BL328">SUMPRODUCT($X322:$X327,BL322:BL327)</f>
        <v>0</v>
      </c>
      <c r="BM328" s="2152">
        <f t="shared" si="197" ref="BM328">SUMPRODUCT($X322:$X327,BM322:BM327)</f>
        <v>0</v>
      </c>
      <c r="BN328" s="2152">
        <f t="shared" si="198" ref="BN328">SUMPRODUCT($X322:$X327,BN322:BN327)</f>
        <v>0</v>
      </c>
      <c r="BO328" s="2362"/>
      <c r="BP328" s="2362"/>
      <c r="BQ328" s="2362"/>
      <c r="BR328" s="2362"/>
      <c r="BS328" s="2362"/>
      <c r="BT328" s="2362"/>
      <c r="BU328" s="2362"/>
      <c r="BV328" s="2362"/>
      <c r="BW328" s="2362"/>
      <c r="BX328" s="2362"/>
      <c r="BY328" s="2362"/>
      <c r="BZ328" s="2362"/>
      <c r="CA328" s="34"/>
      <c r="CC328" s="58"/>
      <c r="CD328" s="2152" t="e">
        <f ca="1">SUMPRODUCT($X322:$X327,CD322:CD327)</f>
        <v>#NAME?</v>
      </c>
      <c r="CE328" s="2152">
        <f t="shared" si="199" ref="CE328">SUMPRODUCT($X322:$X325,CE322:CE325)</f>
        <v>0</v>
      </c>
      <c r="CF328" s="88"/>
      <c r="CG328" s="2152" t="e">
        <f ca="1">SUMPRODUCT($X322:$X327,CG322:CG327)</f>
        <v>#NAME?</v>
      </c>
      <c r="CH328" s="2152">
        <f t="shared" si="200" ref="CH328">SUMPRODUCT($X322:$X325,CH322:CH325)</f>
        <v>0</v>
      </c>
      <c r="CI328" s="88"/>
      <c r="CJ328" s="2152" t="e">
        <f ca="1">SUMPRODUCT($X322:$X327,CJ322:CJ327)</f>
        <v>#NAME?</v>
      </c>
      <c r="CK328" s="2152">
        <f t="shared" si="201" ref="CK328">SUMPRODUCT($X322:$X325,CK322:CK325)</f>
        <v>0</v>
      </c>
      <c r="CL328" s="88"/>
      <c r="CM328" s="2152" t="e">
        <f ca="1">SUMPRODUCT($X322:$X327,CM322:CM327)</f>
        <v>#NAME?</v>
      </c>
      <c r="CN328" s="2152">
        <f t="shared" si="202" ref="CN328">SUMPRODUCT($X322:$X325,CN322:CN325)</f>
        <v>0</v>
      </c>
      <c r="CO328" s="88"/>
      <c r="CP328" s="2152" t="e">
        <f ca="1">SUMPRODUCT($X322:$X327,CP322:CP327)</f>
        <v>#NAME?</v>
      </c>
      <c r="CQ328" s="2152">
        <f t="shared" si="203" ref="CQ328">SUMPRODUCT($X322:$X325,CQ322:CQ325)</f>
        <v>0</v>
      </c>
      <c r="CR328" s="34"/>
      <c r="CS328" s="2056"/>
      <c r="CT328" s="2447" t="e" cm="1">
        <f t="array" ca="1" aca="1" ref="CT328">IF(PL!$C328="","",_xldudf_CX_PUSH(PL!$C328,CX_ENTITY,PL!$B328,EOMONTH(val_asOfDate,PL!CT$248)))</f>
        <v>#NAME?</v>
      </c>
      <c r="CU328" s="2447" t="e" cm="1">
        <f t="array" ca="1" aca="1" ref="CU328">IF(PL!$C328="","",_xldudf_CX_PUSH(PL!$C328,CX_ENTITY,PL!$B328,EOMONTH(val_asOfDate,PL!CU$248)))</f>
        <v>#NAME?</v>
      </c>
      <c r="CV328" s="2447" t="e" cm="1">
        <f t="array" ca="1" aca="1" ref="CV328">IF(PL!$C328="","",_xldudf_CX_PUSH(PL!$C328,CX_ENTITY,PL!$B328,EOMONTH(val_asOfDate,PL!CV$248)))</f>
        <v>#NAME?</v>
      </c>
      <c r="CW328" s="2447" t="e" cm="1">
        <f t="array" ca="1" aca="1" ref="CW328">IF(PL!$C328="","",_xldudf_CX_PUSH(PL!$C328,CX_ENTITY,PL!$B328,EOMONTH(val_asOfDate,PL!CW$248)))</f>
        <v>#NAME?</v>
      </c>
      <c r="DC328"/>
    </row>
    <row r="329" spans="1:144" s="108" customFormat="1" ht="21" customHeight="1">
      <c r="A329" s="1628"/>
      <c r="B329" s="2540"/>
      <c r="C329" s="2540"/>
      <c r="D329" s="1549"/>
      <c r="E329" s="2607"/>
      <c r="F329" s="401"/>
      <c r="G329" s="401"/>
      <c r="H329" s="585"/>
      <c r="I329" s="585"/>
      <c r="J329" s="401"/>
      <c r="K329" s="401"/>
      <c r="L329" s="37"/>
      <c r="N329" s="2134"/>
      <c r="O329" s="101"/>
      <c r="P329" s="101"/>
      <c r="Q329" s="101"/>
      <c r="R329" s="101"/>
      <c r="S329" s="101"/>
      <c r="T329" s="101"/>
      <c r="U329" s="101"/>
      <c r="V329" s="822"/>
      <c r="W329" s="2332"/>
      <c r="X329" s="2080"/>
      <c r="Y329" s="2315"/>
      <c r="Z329" s="2316"/>
      <c r="AA329" s="2316"/>
      <c r="AB329" s="88"/>
      <c r="AC329" s="128"/>
      <c r="AD329" s="2317"/>
      <c r="AE329" s="2317"/>
      <c r="AF329" s="2317"/>
      <c r="AG329" s="2317"/>
      <c r="AH329" s="2317"/>
      <c r="AI329" s="2317"/>
      <c r="AJ329" s="2317"/>
      <c r="AK329" s="2317"/>
      <c r="AL329" s="2317"/>
      <c r="AM329" s="2317"/>
      <c r="AN329" s="2317"/>
      <c r="AO329" s="2317"/>
      <c r="AP329" s="2317"/>
      <c r="AQ329" s="2317"/>
      <c r="AR329" s="2317"/>
      <c r="AS329" s="2317"/>
      <c r="AT329" s="2317"/>
      <c r="AU329" s="2317"/>
      <c r="AV329" s="2317"/>
      <c r="AW329" s="2317"/>
      <c r="AX329" s="2317"/>
      <c r="AY329" s="2317"/>
      <c r="AZ329" s="2317"/>
      <c r="BA329" s="2317"/>
      <c r="BB329" s="2317"/>
      <c r="BC329" s="2317"/>
      <c r="BD329" s="2317"/>
      <c r="BE329" s="2317"/>
      <c r="BF329" s="2317"/>
      <c r="BG329" s="2317"/>
      <c r="BH329" s="2317"/>
      <c r="BI329" s="2317"/>
      <c r="BJ329" s="2317"/>
      <c r="BK329" s="2317"/>
      <c r="BL329" s="2317"/>
      <c r="BM329" s="2317"/>
      <c r="BN329" s="2317"/>
      <c r="BO329" s="2363"/>
      <c r="BP329" s="2363"/>
      <c r="BQ329" s="2363"/>
      <c r="BR329" s="2363"/>
      <c r="BS329" s="2363"/>
      <c r="BT329" s="2363"/>
      <c r="BU329" s="2363"/>
      <c r="BV329" s="2363"/>
      <c r="BW329" s="2363"/>
      <c r="BX329" s="2363"/>
      <c r="BY329" s="2363"/>
      <c r="BZ329" s="2363"/>
      <c r="CA329" s="88"/>
      <c r="CC329" s="383"/>
      <c r="CD329" s="2319"/>
      <c r="CE329" s="2319"/>
      <c r="CF329" s="88"/>
      <c r="CG329" s="2319"/>
      <c r="CH329" s="2319"/>
      <c r="CI329" s="88"/>
      <c r="CJ329" s="2319"/>
      <c r="CK329" s="2319"/>
      <c r="CL329" s="88"/>
      <c r="CM329" s="2320"/>
      <c r="CN329" s="2320"/>
      <c r="CO329" s="88"/>
      <c r="CP329" s="2320"/>
      <c r="CQ329" s="2320"/>
      <c r="CR329" s="88"/>
      <c r="CS329" s="2321"/>
      <c r="CT329"/>
      <c r="CU329"/>
      <c r="CV329"/>
      <c r="CW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row>
    <row r="330" spans="1:107" ht="21" customHeight="1">
      <c r="A330" s="1627"/>
      <c r="B330" s="2540"/>
      <c r="C330" s="2540"/>
      <c r="D330" s="1549"/>
      <c r="E330" s="2607"/>
      <c r="F330" s="401"/>
      <c r="G330" s="401"/>
      <c r="H330" s="585"/>
      <c r="I330" s="585"/>
      <c r="J330" s="401"/>
      <c r="K330" s="401"/>
      <c r="L330" s="37"/>
      <c r="N330" s="158"/>
      <c r="O330" s="101"/>
      <c r="P330" s="52"/>
      <c r="Q330" s="101"/>
      <c r="R330" s="101"/>
      <c r="S330" s="18"/>
      <c r="T330" s="18"/>
      <c r="U330" s="39"/>
      <c r="V330" s="37"/>
      <c r="W330" s="2660" t="e" cm="1">
        <f t="array" ca="1" aca="1" ref="W330">fx_scenarioConverter(_PL!W330)</f>
        <v>#NAME?</v>
      </c>
      <c r="X330" s="2137"/>
      <c r="Y330" s="2336" t="str" cm="1">
        <f t="array" ref="Y330">IFBLANK(_PL!Y330,"")</f>
        <v/>
      </c>
      <c r="Z330" s="2139"/>
      <c r="AA330" s="2140"/>
      <c r="AB330" s="2141" t="s">
        <v>199</v>
      </c>
      <c r="AC330" s="2138" t="str" cm="1">
        <f t="array" ca="1" aca="1" ref="AC330">_xlfn.LET(_xlpm._termname,$AB330,_xlpm._iconname,"find",_xlpm._icon,fx_getIcon(_xlpm._iconname),_xlpm._location,_xlfn.XLOOKUP(LOWER(_xlpm._termname),LOWER(tbl_acctDef[Term]),tbl_acctDef[Term]),_xlpm._hyperlink,HYPERLINK("#"&amp;CELL("address",_xlpm._location),_xlpm._icon),IFERROR(_xlpm._hyperlink,""))</f>
        <v/>
      </c>
      <c r="AD330" s="2138" t="str" cm="1">
        <f t="array" ca="1" aca="1" ref="AD330">_xlfn.LET(_xlpm._termname,$AB330,_xlpm._iconname,"find",_xlpm._icon,fx_getIcon(_xlpm._iconname),_xlpm._location,_xlfn.XLOOKUP(LOWER(_xlpm._termname),LOWER(tbl_acctDef[Statement]),tbl_acctDef[Statement]),_xlpm._hyperlink,HYPERLINK("#"&amp;CELL("address",_xlpm._location),_xlpm._icon),IFERROR(_xlpm._hyperlink,""))</f>
        <v/>
      </c>
      <c r="AE330" s="2138" t="str" cm="1">
        <f t="array" ca="1" aca="1" ref="AE330">_xlfn.LET(_xlpm._termname,$AB330,_xlpm._iconname,"find",_xlpm._icon,fx_getIcon(_xlpm._iconname),_xlpm._location,_xlfn.XLOOKUP(LOWER(_xlpm._termname),LOWER(tbl_acctDef[Definition]),tbl_acctDef[Definition]),_xlpm._hyperlink,HYPERLINK("#"&amp;CELL("address",_xlpm._location),_xlpm._icon),IFERROR(_xlpm._hyperlink,""))</f>
        <v/>
      </c>
      <c r="AF330" s="2138" t="str" cm="1">
        <f t="array" ca="1" aca="1" ref="AF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330" s="2138" t="str" cm="1">
        <f t="array" ca="1" aca="1" ref="AG330">_xlfn.LET(_xlpm._termname,$AB330,_xlpm._iconname,"find",_xlpm._icon,fx_getIcon(_xlpm._iconname),_xlpm._location,_xlfn.XLOOKUP(LOWER(_xlpm._termname),LOWER(tbl_acctDef[Order]),tbl_acctDef[Order]),_xlpm._hyperlink,HYPERLINK("#"&amp;CELL("address",_xlpm._location),_xlpm._icon),IFERROR(_xlpm._hyperlink,""))</f>
        <v/>
      </c>
      <c r="AH330" s="2138" t="str" cm="1">
        <f t="array" ca="1" aca="1" ref="AH330">_xlfn.LET(_xlpm._termname,$AB330,_xlpm._iconname,"find",_xlpm._icon,fx_getIcon(_xlpm._iconname),_xlpm._location,_xlfn.XLOOKUP(LOWER(_xlpm._termname),LOWER(tbl_acctDef[Term]),tbl_acctDef[Term]),_xlpm._hyperlink,HYPERLINK("#"&amp;CELL("address",_xlpm._location),_xlpm._icon),IFERROR(_xlpm._hyperlink,""))</f>
        <v/>
      </c>
      <c r="AI330" s="2138" t="str" cm="1">
        <f t="array" ca="1" aca="1" ref="AI330">_xlfn.LET(_xlpm._termname,$AB330,_xlpm._iconname,"find",_xlpm._icon,fx_getIcon(_xlpm._iconname),_xlpm._location,_xlfn.XLOOKUP(LOWER(_xlpm._termname),LOWER(tbl_acctDef[Statement]),tbl_acctDef[Statement]),_xlpm._hyperlink,HYPERLINK("#"&amp;CELL("address",_xlpm._location),_xlpm._icon),IFERROR(_xlpm._hyperlink,""))</f>
        <v/>
      </c>
      <c r="AJ330" s="2138" t="str" cm="1">
        <f t="array" ca="1" aca="1" ref="AJ330">_xlfn.LET(_xlpm._termname,$AB330,_xlpm._iconname,"find",_xlpm._icon,fx_getIcon(_xlpm._iconname),_xlpm._location,_xlfn.XLOOKUP(LOWER(_xlpm._termname),LOWER(tbl_acctDef[Definition]),tbl_acctDef[Definition]),_xlpm._hyperlink,HYPERLINK("#"&amp;CELL("address",_xlpm._location),_xlpm._icon),IFERROR(_xlpm._hyperlink,""))</f>
        <v/>
      </c>
      <c r="AK330" s="2138" t="str" cm="1">
        <f t="array" ca="1" aca="1" ref="AK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330" s="2138" t="str" cm="1">
        <f t="array" ca="1" aca="1" ref="AL330">_xlfn.LET(_xlpm._termname,$AB330,_xlpm._iconname,"find",_xlpm._icon,fx_getIcon(_xlpm._iconname),_xlpm._location,_xlfn.XLOOKUP(LOWER(_xlpm._termname),LOWER(tbl_acctDef[Order]),tbl_acctDef[Order]),_xlpm._hyperlink,HYPERLINK("#"&amp;CELL("address",_xlpm._location),_xlpm._icon),IFERROR(_xlpm._hyperlink,""))</f>
        <v/>
      </c>
      <c r="AM330" s="2138" t="str" cm="1">
        <f t="array" ca="1" aca="1" ref="AM330">_xlfn.LET(_xlpm._termname,$AB330,_xlpm._iconname,"find",_xlpm._icon,fx_getIcon(_xlpm._iconname),_xlpm._location,_xlfn.XLOOKUP(LOWER(_xlpm._termname),LOWER(tbl_acctDef[Term]),tbl_acctDef[Term]),_xlpm._hyperlink,HYPERLINK("#"&amp;CELL("address",_xlpm._location),_xlpm._icon),IFERROR(_xlpm._hyperlink,""))</f>
        <v/>
      </c>
      <c r="AN330" s="2138" t="str" cm="1">
        <f t="array" ca="1" aca="1" ref="AN330">_xlfn.LET(_xlpm._termname,$AB330,_xlpm._iconname,"find",_xlpm._icon,fx_getIcon(_xlpm._iconname),_xlpm._location,_xlfn.XLOOKUP(LOWER(_xlpm._termname),LOWER(tbl_acctDef[Statement]),tbl_acctDef[Statement]),_xlpm._hyperlink,HYPERLINK("#"&amp;CELL("address",_xlpm._location),_xlpm._icon),IFERROR(_xlpm._hyperlink,""))</f>
        <v/>
      </c>
      <c r="AO330" s="2138" t="str" cm="1">
        <f t="array" ca="1" aca="1" ref="AO330">_xlfn.LET(_xlpm._termname,$AB330,_xlpm._iconname,"find",_xlpm._icon,fx_getIcon(_xlpm._iconname),_xlpm._location,_xlfn.XLOOKUP(LOWER(_xlpm._termname),LOWER(tbl_acctDef[Definition]),tbl_acctDef[Definition]),_xlpm._hyperlink,HYPERLINK("#"&amp;CELL("address",_xlpm._location),_xlpm._icon),IFERROR(_xlpm._hyperlink,""))</f>
        <v/>
      </c>
      <c r="AP330" s="2138" t="str" cm="1">
        <f t="array" ca="1" aca="1" ref="AP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330" s="2138" t="str" cm="1">
        <f t="array" ca="1" aca="1" ref="AQ330">_xlfn.LET(_xlpm._termname,$AB330,_xlpm._iconname,"find",_xlpm._icon,fx_getIcon(_xlpm._iconname),_xlpm._location,_xlfn.XLOOKUP(LOWER(_xlpm._termname),LOWER(tbl_acctDef[Order]),tbl_acctDef[Order]),_xlpm._hyperlink,HYPERLINK("#"&amp;CELL("address",_xlpm._location),_xlpm._icon),IFERROR(_xlpm._hyperlink,""))</f>
        <v/>
      </c>
      <c r="AR330" s="2138" t="str" cm="1">
        <f t="array" ca="1" aca="1" ref="AR330">_xlfn.LET(_xlpm._termname,$AB330,_xlpm._iconname,"find",_xlpm._icon,fx_getIcon(_xlpm._iconname),_xlpm._location,_xlfn.XLOOKUP(LOWER(_xlpm._termname),LOWER(tbl_acctDef[Term]),tbl_acctDef[Term]),_xlpm._hyperlink,HYPERLINK("#"&amp;CELL("address",_xlpm._location),_xlpm._icon),IFERROR(_xlpm._hyperlink,""))</f>
        <v/>
      </c>
      <c r="AS330" s="2138" t="str" cm="1">
        <f t="array" ca="1" aca="1" ref="AS330">_xlfn.LET(_xlpm._termname,$AB330,_xlpm._iconname,"find",_xlpm._icon,fx_getIcon(_xlpm._iconname),_xlpm._location,_xlfn.XLOOKUP(LOWER(_xlpm._termname),LOWER(tbl_acctDef[Statement]),tbl_acctDef[Statement]),_xlpm._hyperlink,HYPERLINK("#"&amp;CELL("address",_xlpm._location),_xlpm._icon),IFERROR(_xlpm._hyperlink,""))</f>
        <v/>
      </c>
      <c r="AT330" s="2138" t="str" cm="1">
        <f t="array" ca="1" aca="1" ref="AT330">_xlfn.LET(_xlpm._termname,$AB330,_xlpm._iconname,"find",_xlpm._icon,fx_getIcon(_xlpm._iconname),_xlpm._location,_xlfn.XLOOKUP(LOWER(_xlpm._termname),LOWER(tbl_acctDef[Definition]),tbl_acctDef[Definition]),_xlpm._hyperlink,HYPERLINK("#"&amp;CELL("address",_xlpm._location),_xlpm._icon),IFERROR(_xlpm._hyperlink,""))</f>
        <v/>
      </c>
      <c r="AU330" s="2138" t="str" cm="1">
        <f t="array" ca="1" aca="1" ref="AU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330" s="2138" t="str" cm="1">
        <f t="array" ca="1" aca="1" ref="AV330">_xlfn.LET(_xlpm._termname,$AB330,_xlpm._iconname,"find",_xlpm._icon,fx_getIcon(_xlpm._iconname),_xlpm._location,_xlfn.XLOOKUP(LOWER(_xlpm._termname),LOWER(tbl_acctDef[Order]),tbl_acctDef[Order]),_xlpm._hyperlink,HYPERLINK("#"&amp;CELL("address",_xlpm._location),_xlpm._icon),IFERROR(_xlpm._hyperlink,""))</f>
        <v/>
      </c>
      <c r="AW330" s="2138" t="str" cm="1">
        <f t="array" ca="1" aca="1" ref="AW330">_xlfn.LET(_xlpm._termname,$AB330,_xlpm._iconname,"find",_xlpm._icon,fx_getIcon(_xlpm._iconname),_xlpm._location,_xlfn.XLOOKUP(LOWER(_xlpm._termname),LOWER(tbl_acctDef[Term]),tbl_acctDef[Term]),_xlpm._hyperlink,HYPERLINK("#"&amp;CELL("address",_xlpm._location),_xlpm._icon),IFERROR(_xlpm._hyperlink,""))</f>
        <v/>
      </c>
      <c r="AX330" s="2138" t="str" cm="1">
        <f t="array" ca="1" aca="1" ref="AX330">_xlfn.LET(_xlpm._termname,$AB330,_xlpm._iconname,"find",_xlpm._icon,fx_getIcon(_xlpm._iconname),_xlpm._location,_xlfn.XLOOKUP(LOWER(_xlpm._termname),LOWER(tbl_acctDef[Statement]),tbl_acctDef[Statement]),_xlpm._hyperlink,HYPERLINK("#"&amp;CELL("address",_xlpm._location),_xlpm._icon),IFERROR(_xlpm._hyperlink,""))</f>
        <v/>
      </c>
      <c r="AY330" s="2138" t="str" cm="1">
        <f t="array" ca="1" aca="1" ref="AY330">_xlfn.LET(_xlpm._termname,$AB330,_xlpm._iconname,"find",_xlpm._icon,fx_getIcon(_xlpm._iconname),_xlpm._location,_xlfn.XLOOKUP(LOWER(_xlpm._termname),LOWER(tbl_acctDef[Definition]),tbl_acctDef[Definition]),_xlpm._hyperlink,HYPERLINK("#"&amp;CELL("address",_xlpm._location),_xlpm._icon),IFERROR(_xlpm._hyperlink,""))</f>
        <v/>
      </c>
      <c r="AZ330" s="2138" t="str" cm="1">
        <f t="array" ca="1" aca="1" ref="AZ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330" s="2138" t="str" cm="1">
        <f t="array" ca="1" aca="1" ref="BA330">_xlfn.LET(_xlpm._termname,$AB330,_xlpm._iconname,"find",_xlpm._icon,fx_getIcon(_xlpm._iconname),_xlpm._location,_xlfn.XLOOKUP(LOWER(_xlpm._termname),LOWER(tbl_acctDef[Order]),tbl_acctDef[Order]),_xlpm._hyperlink,HYPERLINK("#"&amp;CELL("address",_xlpm._location),_xlpm._icon),IFERROR(_xlpm._hyperlink,""))</f>
        <v/>
      </c>
      <c r="BB330" s="2138" t="str" cm="1">
        <f t="array" ca="1" aca="1" ref="BB330">_xlfn.LET(_xlpm._termname,$AB330,_xlpm._iconname,"find",_xlpm._icon,fx_getIcon(_xlpm._iconname),_xlpm._location,_xlfn.XLOOKUP(LOWER(_xlpm._termname),LOWER(tbl_acctDef[Term]),tbl_acctDef[Term]),_xlpm._hyperlink,HYPERLINK("#"&amp;CELL("address",_xlpm._location),_xlpm._icon),IFERROR(_xlpm._hyperlink,""))</f>
        <v/>
      </c>
      <c r="BC330" s="2138" t="str" cm="1">
        <f t="array" ca="1" aca="1" ref="BC330">_xlfn.LET(_xlpm._termname,$AB330,_xlpm._iconname,"find",_xlpm._icon,fx_getIcon(_xlpm._iconname),_xlpm._location,_xlfn.XLOOKUP(LOWER(_xlpm._termname),LOWER(tbl_acctDef[Statement]),tbl_acctDef[Statement]),_xlpm._hyperlink,HYPERLINK("#"&amp;CELL("address",_xlpm._location),_xlpm._icon),IFERROR(_xlpm._hyperlink,""))</f>
        <v/>
      </c>
      <c r="BD330" s="2138" t="str" cm="1">
        <f t="array" ca="1" aca="1" ref="BD330">_xlfn.LET(_xlpm._termname,$AB330,_xlpm._iconname,"find",_xlpm._icon,fx_getIcon(_xlpm._iconname),_xlpm._location,_xlfn.XLOOKUP(LOWER(_xlpm._termname),LOWER(tbl_acctDef[Definition]),tbl_acctDef[Definition]),_xlpm._hyperlink,HYPERLINK("#"&amp;CELL("address",_xlpm._location),_xlpm._icon),IFERROR(_xlpm._hyperlink,""))</f>
        <v/>
      </c>
      <c r="BE330" s="2138" t="str" cm="1">
        <f t="array" ca="1" aca="1" ref="BE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330" s="2138" t="str" cm="1">
        <f t="array" ca="1" aca="1" ref="BF330">_xlfn.LET(_xlpm._termname,$AB330,_xlpm._iconname,"find",_xlpm._icon,fx_getIcon(_xlpm._iconname),_xlpm._location,_xlfn.XLOOKUP(LOWER(_xlpm._termname),LOWER(tbl_acctDef[Order]),tbl_acctDef[Order]),_xlpm._hyperlink,HYPERLINK("#"&amp;CELL("address",_xlpm._location),_xlpm._icon),IFERROR(_xlpm._hyperlink,""))</f>
        <v/>
      </c>
      <c r="BG330" s="2138" t="str" cm="1">
        <f t="array" ca="1" aca="1" ref="BG330">_xlfn.LET(_xlpm._termname,$AB330,_xlpm._iconname,"find",_xlpm._icon,fx_getIcon(_xlpm._iconname),_xlpm._location,_xlfn.XLOOKUP(LOWER(_xlpm._termname),LOWER(tbl_acctDef[Term]),tbl_acctDef[Term]),_xlpm._hyperlink,HYPERLINK("#"&amp;CELL("address",_xlpm._location),_xlpm._icon),IFERROR(_xlpm._hyperlink,""))</f>
        <v/>
      </c>
      <c r="BH330" s="2138" t="str" cm="1">
        <f t="array" ca="1" aca="1" ref="BH330">_xlfn.LET(_xlpm._termname,$AB330,_xlpm._iconname,"find",_xlpm._icon,fx_getIcon(_xlpm._iconname),_xlpm._location,_xlfn.XLOOKUP(LOWER(_xlpm._termname),LOWER(tbl_acctDef[Statement]),tbl_acctDef[Statement]),_xlpm._hyperlink,HYPERLINK("#"&amp;CELL("address",_xlpm._location),_xlpm._icon),IFERROR(_xlpm._hyperlink,""))</f>
        <v/>
      </c>
      <c r="BI330" s="2138" t="str" cm="1">
        <f t="array" ca="1" aca="1" ref="BI330">_xlfn.LET(_xlpm._termname,$AB330,_xlpm._iconname,"find",_xlpm._icon,fx_getIcon(_xlpm._iconname),_xlpm._location,_xlfn.XLOOKUP(LOWER(_xlpm._termname),LOWER(tbl_acctDef[Definition]),tbl_acctDef[Definition]),_xlpm._hyperlink,HYPERLINK("#"&amp;CELL("address",_xlpm._location),_xlpm._icon),IFERROR(_xlpm._hyperlink,""))</f>
        <v/>
      </c>
      <c r="BJ330" s="2138" t="str" cm="1">
        <f t="array" ca="1" aca="1" ref="BJ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330" s="2138" t="str" cm="1">
        <f t="array" ca="1" aca="1" ref="BK330">_xlfn.LET(_xlpm._termname,$AB330,_xlpm._iconname,"find",_xlpm._icon,fx_getIcon(_xlpm._iconname),_xlpm._location,_xlfn.XLOOKUP(LOWER(_xlpm._termname),LOWER(tbl_acctDef[Order]),tbl_acctDef[Order]),_xlpm._hyperlink,HYPERLINK("#"&amp;CELL("address",_xlpm._location),_xlpm._icon),IFERROR(_xlpm._hyperlink,""))</f>
        <v/>
      </c>
      <c r="BL330" s="2138" t="str" cm="1">
        <f t="array" ca="1" aca="1" ref="BL330">_xlfn.LET(_xlpm._termname,$AB330,_xlpm._iconname,"find",_xlpm._icon,fx_getIcon(_xlpm._iconname),_xlpm._location,_xlfn.XLOOKUP(LOWER(_xlpm._termname),LOWER(tbl_acctDef[Term]),tbl_acctDef[Term]),_xlpm._hyperlink,HYPERLINK("#"&amp;CELL("address",_xlpm._location),_xlpm._icon),IFERROR(_xlpm._hyperlink,""))</f>
        <v/>
      </c>
      <c r="BM330" s="2138" t="str" cm="1">
        <f t="array" ca="1" aca="1" ref="BM330">_xlfn.LET(_xlpm._termname,$AB330,_xlpm._iconname,"find",_xlpm._icon,fx_getIcon(_xlpm._iconname),_xlpm._location,_xlfn.XLOOKUP(LOWER(_xlpm._termname),LOWER(tbl_acctDef[Statement]),tbl_acctDef[Statement]),_xlpm._hyperlink,HYPERLINK("#"&amp;CELL("address",_xlpm._location),_xlpm._icon),IFERROR(_xlpm._hyperlink,""))</f>
        <v/>
      </c>
      <c r="BN330" s="2138" t="str" cm="1">
        <f t="array" ca="1" aca="1" ref="BN330">_xlfn.LET(_xlpm._termname,$AB330,_xlpm._iconname,"find",_xlpm._icon,fx_getIcon(_xlpm._iconname),_xlpm._location,_xlfn.XLOOKUP(LOWER(_xlpm._termname),LOWER(tbl_acctDef[Definition]),tbl_acctDef[Definition]),_xlpm._hyperlink,HYPERLINK("#"&amp;CELL("address",_xlpm._location),_xlpm._icon),IFERROR(_xlpm._hyperlink,""))</f>
        <v/>
      </c>
      <c r="BO330" s="2361"/>
      <c r="BP330" s="2361"/>
      <c r="BQ330" s="2361"/>
      <c r="BR330" s="2361"/>
      <c r="BS330" s="2361"/>
      <c r="BT330" s="2361"/>
      <c r="BU330" s="2361"/>
      <c r="BV330" s="2361"/>
      <c r="BW330" s="2361"/>
      <c r="BX330" s="2361"/>
      <c r="BY330" s="2361"/>
      <c r="BZ330" s="2361"/>
      <c r="CA330" s="34"/>
      <c r="CC330" s="58"/>
      <c r="CD330" s="1720" t="e" cm="1">
        <f t="array" ca="1" aca="1" ref="CD330">fx_scenarioConverter($W325)</f>
        <v>#NAME?</v>
      </c>
      <c r="CE330" s="1721" t="e" cm="1">
        <f t="array" ca="1" aca="1" ref="CE330">fx_scenarioConverter($W325)</f>
        <v>#NAME?</v>
      </c>
      <c r="CF330" s="128"/>
      <c r="CG330" s="1734" t="e" cm="1">
        <f t="array" ca="1" aca="1" ref="CG330">fx_scenarioConverter($W325)</f>
        <v>#NAME?</v>
      </c>
      <c r="CH330" s="1735" t="e" cm="1">
        <f t="array" ca="1" aca="1" ref="CH330">fx_scenarioConverter($W325)</f>
        <v>#NAME?</v>
      </c>
      <c r="CI330" s="207"/>
      <c r="CJ330" s="1724" t="e" cm="1">
        <f t="array" ca="1" aca="1" ref="CJ330">fx_scenarioConverter($W325)</f>
        <v>#NAME?</v>
      </c>
      <c r="CK330" s="1725" t="e" cm="1">
        <f t="array" ca="1" aca="1" ref="CK330">fx_scenarioConverter($W325)</f>
        <v>#NAME?</v>
      </c>
      <c r="CL330" s="88"/>
      <c r="CM330" s="1198" t="str">
        <f>CM$19</f>
        <v>Original Budget</v>
      </c>
      <c r="CN330" s="1198" t="str">
        <f>CN$19</f>
        <v>LE</v>
      </c>
      <c r="CO330" s="88"/>
      <c r="CP330" s="1198" t="str">
        <f>CP$19</f>
        <v>Original Budget</v>
      </c>
      <c r="CQ330" s="1198" t="str">
        <f>CQ$19</f>
        <v>LE</v>
      </c>
      <c r="CR330" s="34"/>
      <c r="CS330" s="2056"/>
      <c r="DC330"/>
    </row>
    <row r="331" spans="1:107" ht="21" customHeight="1">
      <c r="A331" s="1627"/>
      <c r="B331" s="2606"/>
      <c r="C331" s="2540"/>
      <c r="D331" s="1549"/>
      <c r="E331" s="2440" t="e" cm="1">
        <f t="array" ca="1" aca="1" ref="E33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331:$CQ331,Z331)</f>
        <v>#NAME?</v>
      </c>
      <c r="F331" s="401"/>
      <c r="G331" s="401"/>
      <c r="H331" s="585">
        <v>0</v>
      </c>
      <c r="I331" s="3290">
        <v>1</v>
      </c>
      <c r="J331" s="401"/>
      <c r="K331" s="401" t="str">
        <f t="shared" si="204" ref="K331:K332">IFERROR(IF(LEN(AB331)=0,"No",IF(LEN(J331)&gt;0,"Yes","No")),"")</f>
        <v>No</v>
      </c>
      <c r="L331" s="37"/>
      <c r="N331" s="158"/>
      <c r="O331" s="101"/>
      <c r="P331" s="52"/>
      <c r="Q331" s="101"/>
      <c r="R331" s="101"/>
      <c r="S331" s="101"/>
      <c r="T331" s="2324"/>
      <c r="U331" s="39"/>
      <c r="V331" s="37"/>
      <c r="W331" s="2364" t="e">
        <f ca="1">W330</f>
        <v>#NAME?</v>
      </c>
      <c r="X331" s="2373">
        <f>_PL!X331</f>
        <v>0</v>
      </c>
      <c r="Y331" s="3227">
        <v>2</v>
      </c>
      <c r="Z331" s="198">
        <f>_PL!Z331</f>
        <v>0</v>
      </c>
      <c r="AA331" s="200" t="str" cm="1">
        <f t="array" ca="1" aca="1" ref="AA331">IF(Y331="","",_xlfn.LET(_xlpm._termname,$W331&amp;$Y331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31" s="1134"/>
      <c r="AC331" s="125" t="str" cm="1">
        <f t="array" ca="1" aca="1" ref="AC331">IF(AB331="","",_xlfn.LET(_xlpm._termname,PL!$W331&amp;$AB331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31" s="2152" t="e" cm="1">
        <f t="array" ca="1" aca="1" ref="AD331">_xlfn.LET(_xlpm.search_key,$W331&amp;$Y331,_xlpm.Scenario,_xlfn.VSTACK($W$20:$W$55&amp;$Y$20:$Y$55,$W$76:$W$110&amp;$Y$76:$Y$110),_xlpm.Data,_xlfn.VSTACK($AD$20:$BN$55,$AD$76:$BN$110),IF(OR($Y331="",ISNUMBER(SEARCH("please",$Y331))),"",_xlfn.XLOOKUP(_xlpm.search_key,_xlpm.Scenario,_xlpm.Data,"▧")))</f>
        <v>#NAME?</v>
      </c>
      <c r="AE331" s="2152"/>
      <c r="AF331" s="2152"/>
      <c r="AG331" s="2152"/>
      <c r="AH331" s="2152"/>
      <c r="AI331" s="2152"/>
      <c r="AJ331" s="2152"/>
      <c r="AK331" s="2152"/>
      <c r="AL331" s="2152"/>
      <c r="AM331" s="2152"/>
      <c r="AN331" s="2152"/>
      <c r="AO331" s="2152"/>
      <c r="AP331" s="2152"/>
      <c r="AQ331" s="2152"/>
      <c r="AR331" s="2152"/>
      <c r="AS331" s="2152"/>
      <c r="AT331" s="2152"/>
      <c r="AU331" s="2152"/>
      <c r="AV331" s="2152"/>
      <c r="AW331" s="2152"/>
      <c r="AX331" s="2152"/>
      <c r="AY331" s="2152"/>
      <c r="AZ331" s="2152"/>
      <c r="BA331" s="2152"/>
      <c r="BB331" s="2152"/>
      <c r="BC331" s="2152"/>
      <c r="BD331" s="2152"/>
      <c r="BE331" s="2152"/>
      <c r="BF331" s="2152"/>
      <c r="BG331" s="2152"/>
      <c r="BH331" s="2152"/>
      <c r="BI331" s="2152"/>
      <c r="BJ331" s="2152"/>
      <c r="BK331" s="2152"/>
      <c r="BL331" s="2152"/>
      <c r="BM331" s="2152"/>
      <c r="BN331" s="2152"/>
      <c r="BO331" s="2362"/>
      <c r="BP331" s="2362"/>
      <c r="BQ331" s="2362"/>
      <c r="BR331" s="2362"/>
      <c r="BS331" s="2362"/>
      <c r="BT331" s="2362"/>
      <c r="BU331" s="2362"/>
      <c r="BV331" s="2362"/>
      <c r="BW331" s="2362"/>
      <c r="BX331" s="2362"/>
      <c r="BY331" s="2362"/>
      <c r="BZ331" s="2362"/>
      <c r="CA331" s="34"/>
      <c r="CC331" s="58"/>
      <c r="CD331" s="2154" t="e" cm="1">
        <f t="array" ca="1" aca="1" ref="CD331">_xlfn.LET(_xlpm.search_key,$W331&amp;$Y331,_xlpm.Scenario,_xlfn.VSTACK($W$20:$W$55&amp;$Y$20:$Y$55,$W$76:$W$110&amp;$Y$76:$Y$110),_xlpm.Data,_xlfn.VSTACK(CD$20:CE$55,CD$76:CE$110),IF(OR($Y331="",ISNUMBER(SEARCH("please",$Y331))),"",_xlfn.XLOOKUP(_xlpm.search_key,_xlpm.Scenario,_xlpm.Data,"▧")))</f>
        <v>#NAME?</v>
      </c>
      <c r="CE331" s="2154"/>
      <c r="CF331" s="88"/>
      <c r="CG331" s="2154" t="e" cm="1">
        <f t="array" ca="1" aca="1" ref="CG331">_xlfn.LET(_xlpm.search_key,$W331&amp;$Y331,_xlpm.Scenario,_xlfn.VSTACK($W$20:$W$55&amp;$Y$20:$Y$55,$W$76:$W$110&amp;$Y$76:$Y$110),_xlpm.Data,_xlfn.VSTACK(CG$20:CH$55,CG$76:CH$110),IF(OR($Y331="",ISNUMBER(SEARCH("please",$Y331))),"",_xlfn.XLOOKUP(_xlpm.search_key,_xlpm.Scenario,_xlpm.Data,"▧")))</f>
        <v>#NAME?</v>
      </c>
      <c r="CH331" s="2154"/>
      <c r="CI331" s="88"/>
      <c r="CJ331" s="2154" t="e" cm="1">
        <f t="array" ca="1" aca="1" ref="CJ331">_xlfn.LET(_xlpm.search_key,$W331&amp;$Y331,_xlpm.Scenario,_xlfn.VSTACK($W$20:$W$55&amp;$Y$20:$Y$55,$W$76:$W$110&amp;$Y$76:$Y$110),_xlpm.Data,_xlfn.VSTACK(CJ$20:CK$55,CJ$76:CK$110),IF(OR($Y331="",ISNUMBER(SEARCH("please",$Y331))),"",_xlfn.XLOOKUP(_xlpm.search_key,_xlpm.Scenario,_xlpm.Data,"▧")))</f>
        <v>#NAME?</v>
      </c>
      <c r="CK331" s="2154"/>
      <c r="CL331" s="88"/>
      <c r="CM331" s="2154" t="e" cm="1">
        <f t="array" ca="1" aca="1" ref="CM331">_xlfn.LET(_xlpm.search_key,$W331&amp;$Y331,_xlpm.Scenario,_xlfn.VSTACK($W$20:$W$55&amp;$Y$20:$Y$55,$W$76:$W$110&amp;$Y$76:$Y$110),_xlpm.Data,_xlfn.VSTACK(CM$20:CN$55,CM$76:CN$110),IF(OR($Y331="",ISNUMBER(SEARCH("please",$Y331))),"",_xlfn.XLOOKUP(_xlpm.search_key,_xlpm.Scenario,_xlpm.Data,"▧")))</f>
        <v>#NAME?</v>
      </c>
      <c r="CN331" s="2154"/>
      <c r="CO331" s="88"/>
      <c r="CP331" s="2154" t="e" cm="1">
        <f t="array" ca="1" aca="1" ref="CP331">_xlfn.LET(_xlpm.search_key,$W331&amp;$Y331,_xlpm.Scenario,_xlfn.VSTACK($W$20:$W$55&amp;$Y$20:$Y$55,$W$76:$W$110&amp;$Y$76:$Y$110),_xlpm.Data,_xlfn.VSTACK(CP$20:CQ$55,CP$76:CQ$110),IF(OR($Y331="",ISNUMBER(SEARCH("please",$Y331))),"",_xlfn.XLOOKUP(_xlpm.search_key,_xlpm.Scenario,_xlpm.Data,"▧")))</f>
        <v>#NAME?</v>
      </c>
      <c r="CQ331" s="2154"/>
      <c r="CR331" s="34"/>
      <c r="CS331" s="2056"/>
      <c r="DC331"/>
    </row>
    <row r="332" spans="1:107" ht="21" customHeight="1">
      <c r="A332" s="1627"/>
      <c r="B332" s="2606"/>
      <c r="C332" s="2540"/>
      <c r="D332" s="1549"/>
      <c r="E332" s="2440" t="e" cm="1">
        <f t="array" ca="1" aca="1" ref="E33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332:$CQ332,Z332)</f>
        <v>#NAME?</v>
      </c>
      <c r="F332" s="401"/>
      <c r="G332" s="401"/>
      <c r="H332" s="585">
        <v>0</v>
      </c>
      <c r="I332" s="3290">
        <v>1</v>
      </c>
      <c r="J332" s="401"/>
      <c r="K332" s="401" t="str">
        <f t="shared" si="204"/>
        <v>No</v>
      </c>
      <c r="L332" s="37"/>
      <c r="N332" s="158"/>
      <c r="O332" s="101"/>
      <c r="P332" s="52"/>
      <c r="Q332" s="101"/>
      <c r="R332" s="101"/>
      <c r="S332" s="101"/>
      <c r="T332" s="101"/>
      <c r="U332" s="39"/>
      <c r="V332" s="37"/>
      <c r="W332" s="2364" t="e">
        <f ca="1">W330</f>
        <v>#NAME?</v>
      </c>
      <c r="X332" s="2373">
        <f>_PL!X332</f>
        <v>0</v>
      </c>
      <c r="Y332" s="3228">
        <v>2</v>
      </c>
      <c r="Z332" s="198">
        <f>_PL!Z332</f>
        <v>0</v>
      </c>
      <c r="AA332" s="200" t="str" cm="1">
        <f t="array" ca="1" aca="1" ref="AA332">IF(Y332="","",_xlfn.LET(_xlpm._termname,$W332&amp;$Y332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32" s="1134"/>
      <c r="AC332" s="125" t="str" cm="1">
        <f t="array" ca="1" aca="1" ref="AC332">IF(AB332="","",_xlfn.LET(_xlpm._termname,PL!$W333&amp;$AB332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32" s="2152" t="e" cm="1">
        <f t="array" ca="1" aca="1" ref="AD332">_xlfn.LET(_xlpm.search_key,$W332&amp;$Y332,_xlpm.Scenario,_xlfn.VSTACK($W$20:$W$55&amp;$Y$20:$Y$55,$W$76:$W$110&amp;$Y$76:$Y$110),_xlpm.Data,_xlfn.VSTACK($AD$20:$BN$55,$AD$76:$BN$110),IF(OR($Y332="",ISNUMBER(SEARCH("please",$Y332))),"",_xlfn.XLOOKUP(_xlpm.search_key,_xlpm.Scenario,_xlpm.Data,"▧")))</f>
        <v>#NAME?</v>
      </c>
      <c r="AE332" s="2152"/>
      <c r="AF332" s="2152"/>
      <c r="AG332" s="2152"/>
      <c r="AH332" s="2152"/>
      <c r="AI332" s="2152"/>
      <c r="AJ332" s="2152"/>
      <c r="AK332" s="2152"/>
      <c r="AL332" s="2152"/>
      <c r="AM332" s="2152"/>
      <c r="AN332" s="2152"/>
      <c r="AO332" s="2152"/>
      <c r="AP332" s="2152"/>
      <c r="AQ332" s="2152"/>
      <c r="AR332" s="2152"/>
      <c r="AS332" s="2152"/>
      <c r="AT332" s="2152"/>
      <c r="AU332" s="2152"/>
      <c r="AV332" s="2152"/>
      <c r="AW332" s="2152"/>
      <c r="AX332" s="2152"/>
      <c r="AY332" s="2152"/>
      <c r="AZ332" s="2152"/>
      <c r="BA332" s="2152"/>
      <c r="BB332" s="2152"/>
      <c r="BC332" s="2152"/>
      <c r="BD332" s="2152"/>
      <c r="BE332" s="2152"/>
      <c r="BF332" s="2152"/>
      <c r="BG332" s="2152"/>
      <c r="BH332" s="2152"/>
      <c r="BI332" s="2152"/>
      <c r="BJ332" s="2152"/>
      <c r="BK332" s="2152"/>
      <c r="BL332" s="2152"/>
      <c r="BM332" s="2152"/>
      <c r="BN332" s="2152"/>
      <c r="BO332" s="2362"/>
      <c r="BP332" s="2362"/>
      <c r="BQ332" s="2362"/>
      <c r="BR332" s="2362"/>
      <c r="BS332" s="2362"/>
      <c r="BT332" s="2362"/>
      <c r="BU332" s="2362"/>
      <c r="BV332" s="2362"/>
      <c r="BW332" s="2362"/>
      <c r="BX332" s="2362"/>
      <c r="BY332" s="2362"/>
      <c r="BZ332" s="2362"/>
      <c r="CA332" s="34"/>
      <c r="CC332" s="58"/>
      <c r="CD332" s="2154" t="e" cm="1">
        <f t="array" ca="1" aca="1" ref="CD332">_xlfn.LET(_xlpm.search_key,$W332&amp;$Y332,_xlpm.Scenario,_xlfn.VSTACK($W$20:$W$55&amp;$Y$20:$Y$55,$W$76:$W$110&amp;$Y$76:$Y$110),_xlpm.Data,_xlfn.VSTACK(CD$20:CE$55,CD$76:CE$110),IF(OR($Y332="",ISNUMBER(SEARCH("please",$Y332))),"",_xlfn.XLOOKUP(_xlpm.search_key,_xlpm.Scenario,_xlpm.Data,"▧")))</f>
        <v>#NAME?</v>
      </c>
      <c r="CE332" s="2154"/>
      <c r="CF332" s="88"/>
      <c r="CG332" s="2154" t="e" cm="1">
        <f t="array" ca="1" aca="1" ref="CG332">_xlfn.LET(_xlpm.search_key,$W332&amp;$Y332,_xlpm.Scenario,_xlfn.VSTACK($W$20:$W$55&amp;$Y$20:$Y$55,$W$76:$W$110&amp;$Y$76:$Y$110),_xlpm.Data,_xlfn.VSTACK(CG$20:CH$55,CG$76:CH$110),IF(OR($Y332="",ISNUMBER(SEARCH("please",$Y332))),"",_xlfn.XLOOKUP(_xlpm.search_key,_xlpm.Scenario,_xlpm.Data,"▧")))</f>
        <v>#NAME?</v>
      </c>
      <c r="CH332" s="2154"/>
      <c r="CI332" s="88"/>
      <c r="CJ332" s="2154" t="e" cm="1">
        <f t="array" ca="1" aca="1" ref="CJ332">_xlfn.LET(_xlpm.search_key,$W332&amp;$Y332,_xlpm.Scenario,_xlfn.VSTACK($W$20:$W$55&amp;$Y$20:$Y$55,$W$76:$W$110&amp;$Y$76:$Y$110),_xlpm.Data,_xlfn.VSTACK(CJ$20:CK$55,CJ$76:CK$110),IF(OR($Y332="",ISNUMBER(SEARCH("please",$Y332))),"",_xlfn.XLOOKUP(_xlpm.search_key,_xlpm.Scenario,_xlpm.Data,"▧")))</f>
        <v>#NAME?</v>
      </c>
      <c r="CK332" s="2154"/>
      <c r="CL332" s="88"/>
      <c r="CM332" s="2154" t="e" cm="1">
        <f t="array" ca="1" aca="1" ref="CM332">_xlfn.LET(_xlpm.search_key,$W332&amp;$Y332,_xlpm.Scenario,_xlfn.VSTACK($W$20:$W$55&amp;$Y$20:$Y$55,$W$76:$W$110&amp;$Y$76:$Y$110),_xlpm.Data,_xlfn.VSTACK(CM$20:CN$55,CM$76:CN$110),IF(OR($Y332="",ISNUMBER(SEARCH("please",$Y332))),"",_xlfn.XLOOKUP(_xlpm.search_key,_xlpm.Scenario,_xlpm.Data,"▧")))</f>
        <v>#NAME?</v>
      </c>
      <c r="CN332" s="2154"/>
      <c r="CO332" s="88"/>
      <c r="CP332" s="2154" t="e" cm="1">
        <f t="array" ca="1" aca="1" ref="CP332">_xlfn.LET(_xlpm.search_key,$W332&amp;$Y332,_xlpm.Scenario,_xlfn.VSTACK($W$20:$W$55&amp;$Y$20:$Y$55,$W$76:$W$110&amp;$Y$76:$Y$110),_xlpm.Data,_xlfn.VSTACK(CP$20:CQ$55,CP$76:CQ$110),IF(OR($Y332="",ISNUMBER(SEARCH("please",$Y332))),"",_xlfn.XLOOKUP(_xlpm.search_key,_xlpm.Scenario,_xlpm.Data,"▧")))</f>
        <v>#NAME?</v>
      </c>
      <c r="CQ332" s="2154"/>
      <c r="CR332" s="34"/>
      <c r="CS332" s="2056"/>
      <c r="DC332"/>
    </row>
    <row r="333" spans="1:107" ht="21" customHeight="1">
      <c r="A333" s="1627"/>
      <c r="B333" s="2606"/>
      <c r="C333" s="2540"/>
      <c r="D333" s="1549"/>
      <c r="E333" s="2440"/>
      <c r="F333" s="401"/>
      <c r="G333" s="401"/>
      <c r="H333" s="585"/>
      <c r="I333" s="585"/>
      <c r="J333" s="401"/>
      <c r="K333" s="401"/>
      <c r="L333" s="37"/>
      <c r="N333" s="158"/>
      <c r="O333" s="101"/>
      <c r="P333" s="52"/>
      <c r="Q333" s="101"/>
      <c r="R333" s="101"/>
      <c r="S333" s="101"/>
      <c r="T333" s="101"/>
      <c r="U333" s="39"/>
      <c r="V333" s="37"/>
      <c r="W333" s="2364" t="e">
        <f ca="1">W330</f>
        <v>#NAME?</v>
      </c>
      <c r="X333" s="2373">
        <f>_PL!X333</f>
        <v>0</v>
      </c>
      <c r="Y333" s="3228">
        <v>2</v>
      </c>
      <c r="Z333" s="198">
        <f>_PL!Z333</f>
        <v>0</v>
      </c>
      <c r="AA333" s="200" t="str" cm="1">
        <f t="array" ca="1" aca="1" ref="AA333">IF(Y333="","",_xlfn.LET(_xlpm._termname,$W333&amp;$Y333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33" s="1134"/>
      <c r="AC333" s="125"/>
      <c r="AD333" s="2152" t="e" cm="1">
        <f t="array" ca="1" aca="1" ref="AD333">_xlfn.LET(_xlpm.search_key,$W333&amp;$Y333,_xlpm.Scenario,_xlfn.VSTACK($W$20:$W$55&amp;$Y$20:$Y$55,$W$76:$W$110&amp;$Y$76:$Y$110),_xlpm.Data,_xlfn.VSTACK($AD$20:$BN$55,$AD$76:$BN$110),IF(OR($Y333="",ISNUMBER(SEARCH("please",$Y333))),"",_xlfn.XLOOKUP(_xlpm.search_key,_xlpm.Scenario,_xlpm.Data,"▧")))</f>
        <v>#NAME?</v>
      </c>
      <c r="AE333" s="2152"/>
      <c r="AF333" s="2152"/>
      <c r="AG333" s="2152"/>
      <c r="AH333" s="2152"/>
      <c r="AI333" s="2152"/>
      <c r="AJ333" s="2152"/>
      <c r="AK333" s="2152"/>
      <c r="AL333" s="2152"/>
      <c r="AM333" s="2152"/>
      <c r="AN333" s="2152"/>
      <c r="AO333" s="2152"/>
      <c r="AP333" s="2152"/>
      <c r="AQ333" s="2152"/>
      <c r="AR333" s="2152"/>
      <c r="AS333" s="2152"/>
      <c r="AT333" s="2152"/>
      <c r="AU333" s="2152"/>
      <c r="AV333" s="2152"/>
      <c r="AW333" s="2152"/>
      <c r="AX333" s="2152"/>
      <c r="AY333" s="2152"/>
      <c r="AZ333" s="2152"/>
      <c r="BA333" s="2152"/>
      <c r="BB333" s="2152"/>
      <c r="BC333" s="2152"/>
      <c r="BD333" s="2152"/>
      <c r="BE333" s="2152"/>
      <c r="BF333" s="2152"/>
      <c r="BG333" s="2152"/>
      <c r="BH333" s="2152"/>
      <c r="BI333" s="2152"/>
      <c r="BJ333" s="2152"/>
      <c r="BK333" s="2152"/>
      <c r="BL333" s="2152"/>
      <c r="BM333" s="2152"/>
      <c r="BN333" s="2152"/>
      <c r="BO333" s="2362"/>
      <c r="BP333" s="2362"/>
      <c r="BQ333" s="2362"/>
      <c r="BR333" s="2362"/>
      <c r="BS333" s="2362"/>
      <c r="BT333" s="2362"/>
      <c r="BU333" s="2362"/>
      <c r="BV333" s="2362"/>
      <c r="BW333" s="2362"/>
      <c r="BX333" s="2362"/>
      <c r="BY333" s="2362"/>
      <c r="BZ333" s="2362"/>
      <c r="CA333" s="34"/>
      <c r="CC333" s="58"/>
      <c r="CD333" s="2154" t="e" cm="1">
        <f t="array" ca="1" aca="1" ref="CD333">_xlfn.LET(_xlpm.search_key,$W333&amp;$Y333,_xlpm.Scenario,_xlfn.VSTACK($W$20:$W$55&amp;$Y$20:$Y$55,$W$76:$W$110&amp;$Y$76:$Y$110),_xlpm.Data,_xlfn.VSTACK(CD$20:CE$55,CD$76:CE$110),IF(OR($Y333="",ISNUMBER(SEARCH("please",$Y333))),"",_xlfn.XLOOKUP(_xlpm.search_key,_xlpm.Scenario,_xlpm.Data,"▧")))</f>
        <v>#NAME?</v>
      </c>
      <c r="CE333" s="2154"/>
      <c r="CF333" s="88"/>
      <c r="CG333" s="2154" t="e" cm="1">
        <f t="array" ca="1" aca="1" ref="CG333">_xlfn.LET(_xlpm.search_key,$W333&amp;$Y333,_xlpm.Scenario,_xlfn.VSTACK($W$20:$W$55&amp;$Y$20:$Y$55,$W$76:$W$110&amp;$Y$76:$Y$110),_xlpm.Data,_xlfn.VSTACK(CG$20:CH$55,CG$76:CH$110),IF(OR($Y333="",ISNUMBER(SEARCH("please",$Y333))),"",_xlfn.XLOOKUP(_xlpm.search_key,_xlpm.Scenario,_xlpm.Data,"▧")))</f>
        <v>#NAME?</v>
      </c>
      <c r="CH333" s="2154"/>
      <c r="CI333" s="88"/>
      <c r="CJ333" s="2154" t="e" cm="1">
        <f t="array" ca="1" aca="1" ref="CJ333">_xlfn.LET(_xlpm.search_key,$W333&amp;$Y333,_xlpm.Scenario,_xlfn.VSTACK($W$20:$W$55&amp;$Y$20:$Y$55,$W$76:$W$110&amp;$Y$76:$Y$110),_xlpm.Data,_xlfn.VSTACK(CJ$20:CK$55,CJ$76:CK$110),IF(OR($Y333="",ISNUMBER(SEARCH("please",$Y333))),"",_xlfn.XLOOKUP(_xlpm.search_key,_xlpm.Scenario,_xlpm.Data,"▧")))</f>
        <v>#NAME?</v>
      </c>
      <c r="CK333" s="2154"/>
      <c r="CL333" s="88"/>
      <c r="CM333" s="2154" t="e" cm="1">
        <f t="array" ca="1" aca="1" ref="CM333">_xlfn.LET(_xlpm.search_key,$W333&amp;$Y333,_xlpm.Scenario,_xlfn.VSTACK($W$20:$W$55&amp;$Y$20:$Y$55,$W$76:$W$110&amp;$Y$76:$Y$110),_xlpm.Data,_xlfn.VSTACK(CM$20:CN$55,CM$76:CN$110),IF(OR($Y333="",ISNUMBER(SEARCH("please",$Y333))),"",_xlfn.XLOOKUP(_xlpm.search_key,_xlpm.Scenario,_xlpm.Data,"▧")))</f>
        <v>#NAME?</v>
      </c>
      <c r="CN333" s="2154"/>
      <c r="CO333" s="88"/>
      <c r="CP333" s="2154" t="e" cm="1">
        <f t="array" ca="1" aca="1" ref="CP333">_xlfn.LET(_xlpm.search_key,$W333&amp;$Y333,_xlpm.Scenario,_xlfn.VSTACK($W$20:$W$55&amp;$Y$20:$Y$55,$W$76:$W$110&amp;$Y$76:$Y$110),_xlpm.Data,_xlfn.VSTACK(CP$20:CQ$55,CP$76:CQ$110),IF(OR($Y333="",ISNUMBER(SEARCH("please",$Y333))),"",_xlfn.XLOOKUP(_xlpm.search_key,_xlpm.Scenario,_xlpm.Data,"▧")))</f>
        <v>#NAME?</v>
      </c>
      <c r="CQ333" s="2154"/>
      <c r="CR333" s="34"/>
      <c r="CS333" s="2056"/>
      <c r="DC333"/>
    </row>
    <row r="334" spans="1:107" ht="21" customHeight="1">
      <c r="A334" s="1627"/>
      <c r="B334" s="2606"/>
      <c r="C334" s="2540"/>
      <c r="D334" s="1549"/>
      <c r="E334" s="2440"/>
      <c r="F334" s="401"/>
      <c r="G334" s="401"/>
      <c r="H334" s="585"/>
      <c r="I334" s="585"/>
      <c r="J334" s="401"/>
      <c r="K334" s="401"/>
      <c r="L334" s="37"/>
      <c r="N334" s="158"/>
      <c r="O334" s="101"/>
      <c r="P334" s="52"/>
      <c r="Q334" s="101"/>
      <c r="R334" s="101"/>
      <c r="S334" s="101"/>
      <c r="T334" s="101"/>
      <c r="U334" s="39"/>
      <c r="V334" s="37"/>
      <c r="W334" s="2364" t="e">
        <f ca="1">W330</f>
        <v>#NAME?</v>
      </c>
      <c r="X334" s="2373">
        <f>_PL!X334</f>
        <v>0</v>
      </c>
      <c r="Y334" s="3228">
        <v>2</v>
      </c>
      <c r="Z334" s="198">
        <f>_PL!Z334</f>
        <v>0</v>
      </c>
      <c r="AA334" s="200" t="str" cm="1">
        <f t="array" ca="1" aca="1" ref="AA334">IF(Y334="","",_xlfn.LET(_xlpm._termname,$W334&amp;$Y334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34" s="1134"/>
      <c r="AC334" s="125"/>
      <c r="AD334" s="2152" t="e" cm="1">
        <f t="array" ca="1" aca="1" ref="AD334">_xlfn.LET(_xlpm.search_key,$W334&amp;$Y334,_xlpm.Scenario,_xlfn.VSTACK($W$20:$W$55&amp;$Y$20:$Y$55,$W$76:$W$110&amp;$Y$76:$Y$110),_xlpm.Data,_xlfn.VSTACK($AD$20:$BN$55,$AD$76:$BN$110),IF(OR($Y334="",ISNUMBER(SEARCH("please",$Y334))),"",_xlfn.XLOOKUP(_xlpm.search_key,_xlpm.Scenario,_xlpm.Data,"▧")))</f>
        <v>#NAME?</v>
      </c>
      <c r="AE334" s="2152"/>
      <c r="AF334" s="2152"/>
      <c r="AG334" s="2152"/>
      <c r="AH334" s="2152"/>
      <c r="AI334" s="2152"/>
      <c r="AJ334" s="2152"/>
      <c r="AK334" s="2152"/>
      <c r="AL334" s="2152"/>
      <c r="AM334" s="2152"/>
      <c r="AN334" s="2152"/>
      <c r="AO334" s="2152"/>
      <c r="AP334" s="2152"/>
      <c r="AQ334" s="2152"/>
      <c r="AR334" s="2152"/>
      <c r="AS334" s="2152"/>
      <c r="AT334" s="2152"/>
      <c r="AU334" s="2152"/>
      <c r="AV334" s="2152"/>
      <c r="AW334" s="2152"/>
      <c r="AX334" s="2152"/>
      <c r="AY334" s="2152"/>
      <c r="AZ334" s="2152"/>
      <c r="BA334" s="2152"/>
      <c r="BB334" s="2152"/>
      <c r="BC334" s="2152"/>
      <c r="BD334" s="2152"/>
      <c r="BE334" s="2152"/>
      <c r="BF334" s="2152"/>
      <c r="BG334" s="2152"/>
      <c r="BH334" s="2152"/>
      <c r="BI334" s="2152"/>
      <c r="BJ334" s="2152"/>
      <c r="BK334" s="2152"/>
      <c r="BL334" s="2152"/>
      <c r="BM334" s="2152"/>
      <c r="BN334" s="2152"/>
      <c r="BO334" s="2362"/>
      <c r="BP334" s="2362"/>
      <c r="BQ334" s="2362"/>
      <c r="BR334" s="2362"/>
      <c r="BS334" s="2362"/>
      <c r="BT334" s="2362"/>
      <c r="BU334" s="2362"/>
      <c r="BV334" s="2362"/>
      <c r="BW334" s="2362"/>
      <c r="BX334" s="2362"/>
      <c r="BY334" s="2362"/>
      <c r="BZ334" s="2362"/>
      <c r="CA334" s="34"/>
      <c r="CC334" s="58"/>
      <c r="CD334" s="2154" t="e" cm="1">
        <f t="array" ca="1" aca="1" ref="CD334">_xlfn.LET(_xlpm.search_key,$W334&amp;$Y334,_xlpm.Scenario,_xlfn.VSTACK($W$20:$W$55&amp;$Y$20:$Y$55,$W$76:$W$110&amp;$Y$76:$Y$110),_xlpm.Data,_xlfn.VSTACK(CD$20:CE$55,CD$76:CE$110),IF(OR($Y334="",ISNUMBER(SEARCH("please",$Y334))),"",_xlfn.XLOOKUP(_xlpm.search_key,_xlpm.Scenario,_xlpm.Data,"▧")))</f>
        <v>#NAME?</v>
      </c>
      <c r="CE334" s="2154"/>
      <c r="CF334" s="88"/>
      <c r="CG334" s="2154" t="e" cm="1">
        <f t="array" ca="1" aca="1" ref="CG334">_xlfn.LET(_xlpm.search_key,$W334&amp;$Y334,_xlpm.Scenario,_xlfn.VSTACK($W$20:$W$55&amp;$Y$20:$Y$55,$W$76:$W$110&amp;$Y$76:$Y$110),_xlpm.Data,_xlfn.VSTACK(CG$20:CH$55,CG$76:CH$110),IF(OR($Y334="",ISNUMBER(SEARCH("please",$Y334))),"",_xlfn.XLOOKUP(_xlpm.search_key,_xlpm.Scenario,_xlpm.Data,"▧")))</f>
        <v>#NAME?</v>
      </c>
      <c r="CH334" s="2154"/>
      <c r="CI334" s="88"/>
      <c r="CJ334" s="2154" t="e" cm="1">
        <f t="array" ca="1" aca="1" ref="CJ334">_xlfn.LET(_xlpm.search_key,$W334&amp;$Y334,_xlpm.Scenario,_xlfn.VSTACK($W$20:$W$55&amp;$Y$20:$Y$55,$W$76:$W$110&amp;$Y$76:$Y$110),_xlpm.Data,_xlfn.VSTACK(CJ$20:CK$55,CJ$76:CK$110),IF(OR($Y334="",ISNUMBER(SEARCH("please",$Y334))),"",_xlfn.XLOOKUP(_xlpm.search_key,_xlpm.Scenario,_xlpm.Data,"▧")))</f>
        <v>#NAME?</v>
      </c>
      <c r="CK334" s="2154"/>
      <c r="CL334" s="88"/>
      <c r="CM334" s="2154" t="e" cm="1">
        <f t="array" ca="1" aca="1" ref="CM334">_xlfn.LET(_xlpm.search_key,$W334&amp;$Y334,_xlpm.Scenario,_xlfn.VSTACK($W$20:$W$55&amp;$Y$20:$Y$55,$W$76:$W$110&amp;$Y$76:$Y$110),_xlpm.Data,_xlfn.VSTACK(CM$20:CN$55,CM$76:CN$110),IF(OR($Y334="",ISNUMBER(SEARCH("please",$Y334))),"",_xlfn.XLOOKUP(_xlpm.search_key,_xlpm.Scenario,_xlpm.Data,"▧")))</f>
        <v>#NAME?</v>
      </c>
      <c r="CN334" s="2154"/>
      <c r="CO334" s="88"/>
      <c r="CP334" s="2154" t="e" cm="1">
        <f t="array" ca="1" aca="1" ref="CP334">_xlfn.LET(_xlpm.search_key,$W334&amp;$Y334,_xlpm.Scenario,_xlfn.VSTACK($W$20:$W$55&amp;$Y$20:$Y$55,$W$76:$W$110&amp;$Y$76:$Y$110),_xlpm.Data,_xlfn.VSTACK(CP$20:CQ$55,CP$76:CQ$110),IF(OR($Y334="",ISNUMBER(SEARCH("please",$Y334))),"",_xlfn.XLOOKUP(_xlpm.search_key,_xlpm.Scenario,_xlpm.Data,"▧")))</f>
        <v>#NAME?</v>
      </c>
      <c r="CQ334" s="2154"/>
      <c r="CR334" s="34"/>
      <c r="CS334" s="2056"/>
      <c r="DC334"/>
    </row>
    <row r="335" spans="1:107" ht="21" customHeight="1">
      <c r="A335" s="1627"/>
      <c r="B335" s="2606"/>
      <c r="C335" s="2540"/>
      <c r="D335" s="1549"/>
      <c r="E335" s="2440"/>
      <c r="F335" s="401"/>
      <c r="G335" s="401"/>
      <c r="H335" s="585"/>
      <c r="I335" s="585"/>
      <c r="J335" s="401"/>
      <c r="K335" s="401"/>
      <c r="L335" s="37"/>
      <c r="N335" s="158"/>
      <c r="O335" s="101"/>
      <c r="P335" s="52"/>
      <c r="Q335" s="101"/>
      <c r="R335" s="101"/>
      <c r="S335" s="101"/>
      <c r="T335" s="101"/>
      <c r="U335" s="39"/>
      <c r="V335" s="37"/>
      <c r="W335" s="2364" t="e">
        <f ca="1">W330</f>
        <v>#NAME?</v>
      </c>
      <c r="X335" s="2373">
        <f>_PL!X335</f>
        <v>0</v>
      </c>
      <c r="Y335" s="3228">
        <v>2</v>
      </c>
      <c r="Z335" s="198">
        <f>_PL!Z335</f>
        <v>0</v>
      </c>
      <c r="AA335" s="200" t="str" cm="1">
        <f t="array" ca="1" aca="1" ref="AA335">IF(Y335="","",_xlfn.LET(_xlpm._termname,$W335&amp;$Y335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35" s="1134"/>
      <c r="AC335" s="125"/>
      <c r="AD335" s="2152" t="e" cm="1">
        <f t="array" ca="1" aca="1" ref="AD335">_xlfn.LET(_xlpm.search_key,$W335&amp;$Y335,_xlpm.Scenario,_xlfn.VSTACK($W$20:$W$55&amp;$Y$20:$Y$55,$W$76:$W$110&amp;$Y$76:$Y$110),_xlpm.Data,_xlfn.VSTACK($AD$20:$BN$55,$AD$76:$BN$110),IF(OR($Y335="",ISNUMBER(SEARCH("please",$Y335))),"",_xlfn.XLOOKUP(_xlpm.search_key,_xlpm.Scenario,_xlpm.Data,"▧")))</f>
        <v>#NAME?</v>
      </c>
      <c r="AE335" s="2152"/>
      <c r="AF335" s="2152"/>
      <c r="AG335" s="2152"/>
      <c r="AH335" s="2152"/>
      <c r="AI335" s="2152"/>
      <c r="AJ335" s="2152"/>
      <c r="AK335" s="2152"/>
      <c r="AL335" s="2152"/>
      <c r="AM335" s="2152"/>
      <c r="AN335" s="2152"/>
      <c r="AO335" s="2152"/>
      <c r="AP335" s="2152"/>
      <c r="AQ335" s="2152"/>
      <c r="AR335" s="2152"/>
      <c r="AS335" s="2152"/>
      <c r="AT335" s="2152"/>
      <c r="AU335" s="2152"/>
      <c r="AV335" s="2152"/>
      <c r="AW335" s="2152"/>
      <c r="AX335" s="2152"/>
      <c r="AY335" s="2152"/>
      <c r="AZ335" s="2152"/>
      <c r="BA335" s="2152"/>
      <c r="BB335" s="2152"/>
      <c r="BC335" s="2152"/>
      <c r="BD335" s="2152"/>
      <c r="BE335" s="2152"/>
      <c r="BF335" s="2152"/>
      <c r="BG335" s="2152"/>
      <c r="BH335" s="2152"/>
      <c r="BI335" s="2152"/>
      <c r="BJ335" s="2152"/>
      <c r="BK335" s="2152"/>
      <c r="BL335" s="2152"/>
      <c r="BM335" s="2152"/>
      <c r="BN335" s="2152"/>
      <c r="BO335" s="2362"/>
      <c r="BP335" s="2362"/>
      <c r="BQ335" s="2362"/>
      <c r="BR335" s="2362"/>
      <c r="BS335" s="2362"/>
      <c r="BT335" s="2362"/>
      <c r="BU335" s="2362"/>
      <c r="BV335" s="2362"/>
      <c r="BW335" s="2362"/>
      <c r="BX335" s="2362"/>
      <c r="BY335" s="2362"/>
      <c r="BZ335" s="2362"/>
      <c r="CA335" s="34"/>
      <c r="CC335" s="58"/>
      <c r="CD335" s="2154" t="e" cm="1">
        <f t="array" ca="1" aca="1" ref="CD335">_xlfn.LET(_xlpm.search_key,$W335&amp;$Y335,_xlpm.Scenario,_xlfn.VSTACK($W$20:$W$55&amp;$Y$20:$Y$55,$W$76:$W$110&amp;$Y$76:$Y$110),_xlpm.Data,_xlfn.VSTACK(CD$20:CE$55,CD$76:CE$110),IF(OR($Y335="",ISNUMBER(SEARCH("please",$Y335))),"",_xlfn.XLOOKUP(_xlpm.search_key,_xlpm.Scenario,_xlpm.Data,"▧")))</f>
        <v>#NAME?</v>
      </c>
      <c r="CE335" s="2154"/>
      <c r="CF335" s="88"/>
      <c r="CG335" s="2154" t="e" cm="1">
        <f t="array" ca="1" aca="1" ref="CG335">_xlfn.LET(_xlpm.search_key,$W335&amp;$Y335,_xlpm.Scenario,_xlfn.VSTACK($W$20:$W$55&amp;$Y$20:$Y$55,$W$76:$W$110&amp;$Y$76:$Y$110),_xlpm.Data,_xlfn.VSTACK(CG$20:CH$55,CG$76:CH$110),IF(OR($Y335="",ISNUMBER(SEARCH("please",$Y335))),"",_xlfn.XLOOKUP(_xlpm.search_key,_xlpm.Scenario,_xlpm.Data,"▧")))</f>
        <v>#NAME?</v>
      </c>
      <c r="CH335" s="2154"/>
      <c r="CI335" s="88"/>
      <c r="CJ335" s="2154" t="e" cm="1">
        <f t="array" ca="1" aca="1" ref="CJ335">_xlfn.LET(_xlpm.search_key,$W335&amp;$Y335,_xlpm.Scenario,_xlfn.VSTACK($W$20:$W$55&amp;$Y$20:$Y$55,$W$76:$W$110&amp;$Y$76:$Y$110),_xlpm.Data,_xlfn.VSTACK(CJ$20:CK$55,CJ$76:CK$110),IF(OR($Y335="",ISNUMBER(SEARCH("please",$Y335))),"",_xlfn.XLOOKUP(_xlpm.search_key,_xlpm.Scenario,_xlpm.Data,"▧")))</f>
        <v>#NAME?</v>
      </c>
      <c r="CK335" s="2154"/>
      <c r="CL335" s="88"/>
      <c r="CM335" s="2154" t="e" cm="1">
        <f t="array" ca="1" aca="1" ref="CM335">_xlfn.LET(_xlpm.search_key,$W335&amp;$Y335,_xlpm.Scenario,_xlfn.VSTACK($W$20:$W$55&amp;$Y$20:$Y$55,$W$76:$W$110&amp;$Y$76:$Y$110),_xlpm.Data,_xlfn.VSTACK(CM$20:CN$55,CM$76:CN$110),IF(OR($Y335="",ISNUMBER(SEARCH("please",$Y335))),"",_xlfn.XLOOKUP(_xlpm.search_key,_xlpm.Scenario,_xlpm.Data,"▧")))</f>
        <v>#NAME?</v>
      </c>
      <c r="CN335" s="2154"/>
      <c r="CO335" s="88"/>
      <c r="CP335" s="2154" t="e" cm="1">
        <f t="array" ca="1" aca="1" ref="CP335">_xlfn.LET(_xlpm.search_key,$W335&amp;$Y335,_xlpm.Scenario,_xlfn.VSTACK($W$20:$W$55&amp;$Y$20:$Y$55,$W$76:$W$110&amp;$Y$76:$Y$110),_xlpm.Data,_xlfn.VSTACK(CP$20:CQ$55,CP$76:CQ$110),IF(OR($Y335="",ISNUMBER(SEARCH("please",$Y335))),"",_xlfn.XLOOKUP(_xlpm.search_key,_xlpm.Scenario,_xlpm.Data,"▧")))</f>
        <v>#NAME?</v>
      </c>
      <c r="CQ335" s="2154"/>
      <c r="CR335" s="34"/>
      <c r="CS335" s="2056"/>
      <c r="DC335"/>
    </row>
    <row r="336" spans="1:107" ht="21" customHeight="1">
      <c r="A336" s="1627"/>
      <c r="B336" s="2606"/>
      <c r="C336" s="2540"/>
      <c r="D336" s="1549"/>
      <c r="E336" s="2440"/>
      <c r="F336" s="401"/>
      <c r="G336" s="401"/>
      <c r="H336" s="585"/>
      <c r="I336" s="585"/>
      <c r="J336" s="401"/>
      <c r="K336" s="401"/>
      <c r="L336" s="37"/>
      <c r="N336" s="158"/>
      <c r="O336" s="101"/>
      <c r="P336" s="52"/>
      <c r="Q336" s="101"/>
      <c r="R336" s="101"/>
      <c r="S336" s="101"/>
      <c r="T336" s="101"/>
      <c r="U336" s="39"/>
      <c r="V336" s="37"/>
      <c r="W336" s="2364" t="e">
        <f ca="1">W330</f>
        <v>#NAME?</v>
      </c>
      <c r="X336" s="2373">
        <f>_PL!X336</f>
        <v>0</v>
      </c>
      <c r="Y336" s="3228">
        <v>2</v>
      </c>
      <c r="Z336" s="538">
        <f>_PL!Z336</f>
        <v>0</v>
      </c>
      <c r="AA336" s="787" t="str" cm="1">
        <f t="array" ca="1" aca="1" ref="AA336">IF(Y336="","",_xlfn.LET(_xlpm._termname,$W336&amp;$Y336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36" s="1134"/>
      <c r="AC336" s="125"/>
      <c r="AD336" s="2152" t="e" cm="1">
        <f t="array" ca="1" aca="1" ref="AD336">_xlfn.LET(_xlpm.search_key,$W336&amp;$Y336,_xlpm.Scenario,_xlfn.VSTACK($W$20:$W$55&amp;$Y$20:$Y$55,$W$76:$W$110&amp;$Y$76:$Y$110),_xlpm.Data,_xlfn.VSTACK($AD$20:$BN$55,$AD$76:$BN$110),IF(OR($Y336="",ISNUMBER(SEARCH("please",$Y336))),"",_xlfn.XLOOKUP(_xlpm.search_key,_xlpm.Scenario,_xlpm.Data,"▧")))</f>
        <v>#NAME?</v>
      </c>
      <c r="AE336" s="2152"/>
      <c r="AF336" s="2152"/>
      <c r="AG336" s="2152"/>
      <c r="AH336" s="2152"/>
      <c r="AI336" s="2152"/>
      <c r="AJ336" s="2152"/>
      <c r="AK336" s="2152"/>
      <c r="AL336" s="2152"/>
      <c r="AM336" s="2152"/>
      <c r="AN336" s="2152"/>
      <c r="AO336" s="2152"/>
      <c r="AP336" s="2152"/>
      <c r="AQ336" s="2152"/>
      <c r="AR336" s="2152"/>
      <c r="AS336" s="2152"/>
      <c r="AT336" s="2152"/>
      <c r="AU336" s="2152"/>
      <c r="AV336" s="2152"/>
      <c r="AW336" s="2152"/>
      <c r="AX336" s="2152"/>
      <c r="AY336" s="2152"/>
      <c r="AZ336" s="2152"/>
      <c r="BA336" s="2152"/>
      <c r="BB336" s="2152"/>
      <c r="BC336" s="2152"/>
      <c r="BD336" s="2152"/>
      <c r="BE336" s="2152"/>
      <c r="BF336" s="2152"/>
      <c r="BG336" s="2152"/>
      <c r="BH336" s="2152"/>
      <c r="BI336" s="2152"/>
      <c r="BJ336" s="2152"/>
      <c r="BK336" s="2152"/>
      <c r="BL336" s="2152"/>
      <c r="BM336" s="2152"/>
      <c r="BN336" s="2152"/>
      <c r="BO336" s="2362"/>
      <c r="BP336" s="2362"/>
      <c r="BQ336" s="2362"/>
      <c r="BR336" s="2362"/>
      <c r="BS336" s="2362"/>
      <c r="BT336" s="2362"/>
      <c r="BU336" s="2362"/>
      <c r="BV336" s="2362"/>
      <c r="BW336" s="2362"/>
      <c r="BX336" s="2362"/>
      <c r="BY336" s="2362"/>
      <c r="BZ336" s="2362"/>
      <c r="CA336" s="34"/>
      <c r="CC336" s="58"/>
      <c r="CD336" s="2154" t="e" cm="1">
        <f t="array" ca="1" aca="1" ref="CD336">_xlfn.LET(_xlpm.search_key,$W336&amp;$Y336,_xlpm.Scenario,_xlfn.VSTACK($W$20:$W$55&amp;$Y$20:$Y$55,$W$76:$W$110&amp;$Y$76:$Y$110),_xlpm.Data,_xlfn.VSTACK(CD$20:CE$55,CD$76:CE$110),IF(OR($Y336="",ISNUMBER(SEARCH("please",$Y336))),"",_xlfn.XLOOKUP(_xlpm.search_key,_xlpm.Scenario,_xlpm.Data,"▧")))</f>
        <v>#NAME?</v>
      </c>
      <c r="CE336" s="2154"/>
      <c r="CF336" s="88"/>
      <c r="CG336" s="2154" t="e" cm="1">
        <f t="array" ca="1" aca="1" ref="CG336">_xlfn.LET(_xlpm.search_key,$W336&amp;$Y336,_xlpm.Scenario,_xlfn.VSTACK($W$20:$W$55&amp;$Y$20:$Y$55,$W$76:$W$110&amp;$Y$76:$Y$110),_xlpm.Data,_xlfn.VSTACK(CG$20:CH$55,CG$76:CH$110),IF(OR($Y336="",ISNUMBER(SEARCH("please",$Y336))),"",_xlfn.XLOOKUP(_xlpm.search_key,_xlpm.Scenario,_xlpm.Data,"▧")))</f>
        <v>#NAME?</v>
      </c>
      <c r="CH336" s="2154"/>
      <c r="CI336" s="88"/>
      <c r="CJ336" s="2154" t="e" cm="1">
        <f t="array" ca="1" aca="1" ref="CJ336">_xlfn.LET(_xlpm.search_key,$W336&amp;$Y336,_xlpm.Scenario,_xlfn.VSTACK($W$20:$W$55&amp;$Y$20:$Y$55,$W$76:$W$110&amp;$Y$76:$Y$110),_xlpm.Data,_xlfn.VSTACK(CJ$20:CK$55,CJ$76:CK$110),IF(OR($Y336="",ISNUMBER(SEARCH("please",$Y336))),"",_xlfn.XLOOKUP(_xlpm.search_key,_xlpm.Scenario,_xlpm.Data,"▧")))</f>
        <v>#NAME?</v>
      </c>
      <c r="CK336" s="2154"/>
      <c r="CL336" s="88"/>
      <c r="CM336" s="2154" t="e" cm="1">
        <f t="array" ca="1" aca="1" ref="CM336">_xlfn.LET(_xlpm.search_key,$W336&amp;$Y336,_xlpm.Scenario,_xlfn.VSTACK($W$20:$W$55&amp;$Y$20:$Y$55,$W$76:$W$110&amp;$Y$76:$Y$110),_xlpm.Data,_xlfn.VSTACK(CM$20:CN$55,CM$76:CN$110),IF(OR($Y336="",ISNUMBER(SEARCH("please",$Y336))),"",_xlfn.XLOOKUP(_xlpm.search_key,_xlpm.Scenario,_xlpm.Data,"▧")))</f>
        <v>#NAME?</v>
      </c>
      <c r="CN336" s="2154"/>
      <c r="CO336" s="88"/>
      <c r="CP336" s="2154" t="e" cm="1">
        <f t="array" ca="1" aca="1" ref="CP336">_xlfn.LET(_xlpm.search_key,$W336&amp;$Y336,_xlpm.Scenario,_xlfn.VSTACK($W$20:$W$55&amp;$Y$20:$Y$55,$W$76:$W$110&amp;$Y$76:$Y$110),_xlpm.Data,_xlfn.VSTACK(CP$20:CQ$55,CP$76:CQ$110),IF(OR($Y336="",ISNUMBER(SEARCH("please",$Y336))),"",_xlfn.XLOOKUP(_xlpm.search_key,_xlpm.Scenario,_xlpm.Data,"▧")))</f>
        <v>#NAME?</v>
      </c>
      <c r="CQ336" s="2154"/>
      <c r="CR336" s="34"/>
      <c r="CS336" s="2056"/>
      <c r="DC336"/>
    </row>
    <row r="337" spans="1:107" ht="21" customHeight="1">
      <c r="A337" s="1627"/>
      <c r="B337" s="3474" t="s">
        <v>218</v>
      </c>
      <c r="C337" s="2606" t="e" cm="1">
        <f t="array" ca="1" aca="1" ref="C337">CVC.PACK(W330:Y337)</f>
        <v>#NAME?</v>
      </c>
      <c r="D337" s="1549"/>
      <c r="E337" s="2607"/>
      <c r="F337" s="401"/>
      <c r="G337" s="401"/>
      <c r="H337" s="585"/>
      <c r="I337" s="585"/>
      <c r="J337" s="401"/>
      <c r="K337" s="401"/>
      <c r="L337" s="37"/>
      <c r="N337" s="158"/>
      <c r="O337" s="101"/>
      <c r="P337" s="52"/>
      <c r="Q337" s="101"/>
      <c r="R337" s="101"/>
      <c r="S337" s="101"/>
      <c r="T337" s="101"/>
      <c r="U337" s="39"/>
      <c r="V337" s="37"/>
      <c r="W337" s="2365" t="e">
        <f ca="1">W330</f>
        <v>#NAME?</v>
      </c>
      <c r="X337" s="2374">
        <f>_PL!X337</f>
        <v>0</v>
      </c>
      <c r="Y337" s="2326">
        <f>_PL!Y337</f>
        <v>0</v>
      </c>
      <c r="Z337" s="2322"/>
      <c r="AA337" s="2323"/>
      <c r="AB337" s="1134"/>
      <c r="AC337" s="125" t="str" cm="1">
        <f t="array" ca="1" aca="1" ref="AC337">IF(AB337="","",_xlfn.LET(_xlpm._termname,PL!$W337&amp;$AB337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37" s="2152" t="e">
        <f ca="1">SUMPRODUCT($X331:$X336,AD331:AD336)</f>
        <v>#NAME?</v>
      </c>
      <c r="AE337" s="2152">
        <f t="shared" si="205" ref="AE337">SUMPRODUCT($X331:$X336,AE331:AE336)</f>
        <v>0</v>
      </c>
      <c r="AF337" s="2152">
        <f t="shared" si="206" ref="AF337">SUMPRODUCT($X331:$X336,AF331:AF336)</f>
        <v>0</v>
      </c>
      <c r="AG337" s="2152">
        <f t="shared" si="207" ref="AG337">SUMPRODUCT($X331:$X336,AG331:AG336)</f>
        <v>0</v>
      </c>
      <c r="AH337" s="2152">
        <f t="shared" si="208" ref="AH337">SUMPRODUCT($X331:$X336,AH331:AH336)</f>
        <v>0</v>
      </c>
      <c r="AI337" s="2152">
        <f t="shared" si="209" ref="AI337">SUMPRODUCT($X331:$X336,AI331:AI336)</f>
        <v>0</v>
      </c>
      <c r="AJ337" s="2152">
        <f t="shared" si="210" ref="AJ337">SUMPRODUCT($X331:$X336,AJ331:AJ336)</f>
        <v>0</v>
      </c>
      <c r="AK337" s="2152">
        <f t="shared" si="211" ref="AK337">SUMPRODUCT($X331:$X336,AK331:AK336)</f>
        <v>0</v>
      </c>
      <c r="AL337" s="2152">
        <f t="shared" si="212" ref="AL337">SUMPRODUCT($X331:$X336,AL331:AL336)</f>
        <v>0</v>
      </c>
      <c r="AM337" s="2152">
        <f t="shared" si="213" ref="AM337">SUMPRODUCT($X331:$X336,AM331:AM336)</f>
        <v>0</v>
      </c>
      <c r="AN337" s="2152">
        <f t="shared" si="214" ref="AN337">SUMPRODUCT($X331:$X336,AN331:AN336)</f>
        <v>0</v>
      </c>
      <c r="AO337" s="2152">
        <f t="shared" si="215" ref="AO337">SUMPRODUCT($X331:$X336,AO331:AO336)</f>
        <v>0</v>
      </c>
      <c r="AP337" s="2152">
        <f t="shared" si="216" ref="AP337">SUMPRODUCT($X331:$X336,AP331:AP336)</f>
        <v>0</v>
      </c>
      <c r="AQ337" s="2152">
        <f t="shared" si="217" ref="AQ337">SUMPRODUCT($X331:$X336,AQ331:AQ336)</f>
        <v>0</v>
      </c>
      <c r="AR337" s="2152">
        <f t="shared" si="218" ref="AR337">SUMPRODUCT($X331:$X336,AR331:AR336)</f>
        <v>0</v>
      </c>
      <c r="AS337" s="2152">
        <f t="shared" si="219" ref="AS337">SUMPRODUCT($X331:$X336,AS331:AS336)</f>
        <v>0</v>
      </c>
      <c r="AT337" s="2152">
        <f t="shared" si="220" ref="AT337">SUMPRODUCT($X331:$X336,AT331:AT336)</f>
        <v>0</v>
      </c>
      <c r="AU337" s="2152">
        <f t="shared" si="221" ref="AU337">SUMPRODUCT($X331:$X336,AU331:AU336)</f>
        <v>0</v>
      </c>
      <c r="AV337" s="2152">
        <f t="shared" si="222" ref="AV337">SUMPRODUCT($X331:$X336,AV331:AV336)</f>
        <v>0</v>
      </c>
      <c r="AW337" s="2152">
        <f t="shared" si="223" ref="AW337">SUMPRODUCT($X331:$X336,AW331:AW336)</f>
        <v>0</v>
      </c>
      <c r="AX337" s="2152">
        <f t="shared" si="224" ref="AX337">SUMPRODUCT($X331:$X336,AX331:AX336)</f>
        <v>0</v>
      </c>
      <c r="AY337" s="2152">
        <f t="shared" si="225" ref="AY337">SUMPRODUCT($X331:$X336,AY331:AY336)</f>
        <v>0</v>
      </c>
      <c r="AZ337" s="2152">
        <f t="shared" si="226" ref="AZ337">SUMPRODUCT($X331:$X336,AZ331:AZ336)</f>
        <v>0</v>
      </c>
      <c r="BA337" s="2152">
        <f t="shared" si="227" ref="BA337">SUMPRODUCT($X331:$X336,BA331:BA336)</f>
        <v>0</v>
      </c>
      <c r="BB337" s="2152">
        <f t="shared" si="228" ref="BB337">SUMPRODUCT($X331:$X336,BB331:BB336)</f>
        <v>0</v>
      </c>
      <c r="BC337" s="2152">
        <f t="shared" si="229" ref="BC337">SUMPRODUCT($X331:$X336,BC331:BC336)</f>
        <v>0</v>
      </c>
      <c r="BD337" s="2152">
        <f t="shared" si="230" ref="BD337">SUMPRODUCT($X331:$X336,BD331:BD336)</f>
        <v>0</v>
      </c>
      <c r="BE337" s="2152">
        <f t="shared" si="231" ref="BE337">SUMPRODUCT($X331:$X336,BE331:BE336)</f>
        <v>0</v>
      </c>
      <c r="BF337" s="2152">
        <f t="shared" si="232" ref="BF337">SUMPRODUCT($X331:$X336,BF331:BF336)</f>
        <v>0</v>
      </c>
      <c r="BG337" s="2152">
        <f t="shared" si="233" ref="BG337">SUMPRODUCT($X331:$X336,BG331:BG336)</f>
        <v>0</v>
      </c>
      <c r="BH337" s="2152">
        <f t="shared" si="234" ref="BH337">SUMPRODUCT($X331:$X336,BH331:BH336)</f>
        <v>0</v>
      </c>
      <c r="BI337" s="2152">
        <f t="shared" si="235" ref="BI337">SUMPRODUCT($X331:$X336,BI331:BI336)</f>
        <v>0</v>
      </c>
      <c r="BJ337" s="2152">
        <f t="shared" si="236" ref="BJ337">SUMPRODUCT($X331:$X336,BJ331:BJ336)</f>
        <v>0</v>
      </c>
      <c r="BK337" s="2152">
        <f t="shared" si="237" ref="BK337">SUMPRODUCT($X331:$X336,BK331:BK336)</f>
        <v>0</v>
      </c>
      <c r="BL337" s="2152">
        <f t="shared" si="238" ref="BL337">SUMPRODUCT($X331:$X336,BL331:BL336)</f>
        <v>0</v>
      </c>
      <c r="BM337" s="2152">
        <f t="shared" si="239" ref="BM337">SUMPRODUCT($X331:$X336,BM331:BM336)</f>
        <v>0</v>
      </c>
      <c r="BN337" s="2152">
        <f t="shared" si="240" ref="BN337">SUMPRODUCT($X331:$X336,BN331:BN336)</f>
        <v>0</v>
      </c>
      <c r="BO337" s="2362"/>
      <c r="BP337" s="2362"/>
      <c r="BQ337" s="2362"/>
      <c r="BR337" s="2362"/>
      <c r="BS337" s="2362"/>
      <c r="BT337" s="2362"/>
      <c r="BU337" s="2362"/>
      <c r="BV337" s="2362"/>
      <c r="BW337" s="2362"/>
      <c r="BX337" s="2362"/>
      <c r="BY337" s="2362"/>
      <c r="BZ337" s="2362"/>
      <c r="CA337" s="34"/>
      <c r="CC337" s="58"/>
      <c r="CD337" s="2152" t="e">
        <f ca="1">SUMPRODUCT($X331:$X336,CD331:CD336)</f>
        <v>#NAME?</v>
      </c>
      <c r="CE337" s="2152">
        <f t="shared" si="241" ref="CE337">SUMPRODUCT($X331:$X334,CE331:CE334)</f>
        <v>0</v>
      </c>
      <c r="CF337" s="88"/>
      <c r="CG337" s="2152" t="e">
        <f ca="1">SUMPRODUCT($X331:$X336,CG331:CG336)</f>
        <v>#NAME?</v>
      </c>
      <c r="CH337" s="2152">
        <f t="shared" si="242" ref="CH337">SUMPRODUCT($X331:$X334,CH331:CH334)</f>
        <v>0</v>
      </c>
      <c r="CI337" s="88"/>
      <c r="CJ337" s="2152" t="e">
        <f ca="1">SUMPRODUCT($X331:$X336,CJ331:CJ336)</f>
        <v>#NAME?</v>
      </c>
      <c r="CK337" s="2152">
        <f t="shared" si="243" ref="CK337">SUMPRODUCT($X331:$X334,CK331:CK334)</f>
        <v>0</v>
      </c>
      <c r="CL337" s="88"/>
      <c r="CM337" s="2152" t="e">
        <f ca="1">SUMPRODUCT($X331:$X336,CM331:CM336)</f>
        <v>#NAME?</v>
      </c>
      <c r="CN337" s="2152">
        <f t="shared" si="244" ref="CN337">SUMPRODUCT($X331:$X334,CN331:CN334)</f>
        <v>0</v>
      </c>
      <c r="CO337" s="88"/>
      <c r="CP337" s="2152" t="e">
        <f ca="1">SUMPRODUCT($X331:$X336,CP331:CP336)</f>
        <v>#NAME?</v>
      </c>
      <c r="CQ337" s="2152">
        <f t="shared" si="245" ref="CQ337">SUMPRODUCT($X331:$X334,CQ331:CQ334)</f>
        <v>0</v>
      </c>
      <c r="CR337" s="34"/>
      <c r="CS337" s="2056"/>
      <c r="CT337" s="2447" t="e" cm="1">
        <f t="array" ca="1" aca="1" ref="CT337">IF(PL!$C337="","",_xldudf_CX_PUSH(PL!$C337,CX_ENTITY,PL!$B337,EOMONTH(val_asOfDate,PL!CT$248)))</f>
        <v>#NAME?</v>
      </c>
      <c r="CU337" s="2447" t="e" cm="1">
        <f t="array" ca="1" aca="1" ref="CU337">IF(PL!$C337="","",_xldudf_CX_PUSH(PL!$C337,CX_ENTITY,PL!$B337,EOMONTH(val_asOfDate,PL!CU$248)))</f>
        <v>#NAME?</v>
      </c>
      <c r="CV337" s="2447" t="e" cm="1">
        <f t="array" ca="1" aca="1" ref="CV337">IF(PL!$C337="","",_xldudf_CX_PUSH(PL!$C337,CX_ENTITY,PL!$B337,EOMONTH(val_asOfDate,PL!CV$248)))</f>
        <v>#NAME?</v>
      </c>
      <c r="CW337" s="2447" t="e" cm="1">
        <f t="array" ca="1" aca="1" ref="CW337">IF(PL!$C337="","",_xldudf_CX_PUSH(PL!$C337,CX_ENTITY,PL!$B337,EOMONTH(val_asOfDate,PL!CW$248)))</f>
        <v>#NAME?</v>
      </c>
      <c r="DC337"/>
    </row>
    <row r="338" spans="1:144" s="108" customFormat="1" ht="21" customHeight="1">
      <c r="A338" s="1628"/>
      <c r="B338" s="2540"/>
      <c r="C338" s="2540"/>
      <c r="D338" s="1549"/>
      <c r="E338" s="2607"/>
      <c r="F338" s="401"/>
      <c r="G338" s="401"/>
      <c r="H338" s="585"/>
      <c r="I338" s="585"/>
      <c r="J338" s="401"/>
      <c r="K338" s="401"/>
      <c r="L338" s="37"/>
      <c r="N338" s="2134"/>
      <c r="O338" s="101"/>
      <c r="P338" s="101"/>
      <c r="Q338" s="101"/>
      <c r="R338" s="101"/>
      <c r="S338" s="101"/>
      <c r="T338" s="101"/>
      <c r="U338" s="101"/>
      <c r="V338" s="822"/>
      <c r="W338" s="127"/>
      <c r="X338" s="2080"/>
      <c r="Y338" s="2315"/>
      <c r="Z338" s="2316"/>
      <c r="AA338" s="2316"/>
      <c r="AB338" s="88"/>
      <c r="AC338" s="128"/>
      <c r="AD338" s="2317"/>
      <c r="AE338" s="2317"/>
      <c r="AF338" s="2317"/>
      <c r="AG338" s="2317"/>
      <c r="AH338" s="2317"/>
      <c r="AI338" s="2317"/>
      <c r="AJ338" s="2317"/>
      <c r="AK338" s="2317"/>
      <c r="AL338" s="2317"/>
      <c r="AM338" s="2317"/>
      <c r="AN338" s="2317"/>
      <c r="AO338" s="2317"/>
      <c r="AP338" s="2317"/>
      <c r="AQ338" s="2317"/>
      <c r="AR338" s="2317"/>
      <c r="AS338" s="2317"/>
      <c r="AT338" s="2317"/>
      <c r="AU338" s="2317"/>
      <c r="AV338" s="2317"/>
      <c r="AW338" s="2317"/>
      <c r="AX338" s="2317"/>
      <c r="AY338" s="2317"/>
      <c r="AZ338" s="2317"/>
      <c r="BA338" s="2317"/>
      <c r="BB338" s="2317"/>
      <c r="BC338" s="2317"/>
      <c r="BD338" s="2317"/>
      <c r="BE338" s="2317"/>
      <c r="BF338" s="2317"/>
      <c r="BG338" s="2317"/>
      <c r="BH338" s="2317"/>
      <c r="BI338" s="2317"/>
      <c r="BJ338" s="2317"/>
      <c r="BK338" s="2317"/>
      <c r="BL338" s="2317"/>
      <c r="BM338" s="2317"/>
      <c r="BN338" s="2317"/>
      <c r="BO338" s="2363"/>
      <c r="BP338" s="2363"/>
      <c r="BQ338" s="2363"/>
      <c r="BR338" s="2363"/>
      <c r="BS338" s="2363"/>
      <c r="BT338" s="2363"/>
      <c r="BU338" s="2363"/>
      <c r="BV338" s="2363"/>
      <c r="BW338" s="2363"/>
      <c r="BX338" s="2363"/>
      <c r="BY338" s="2363"/>
      <c r="BZ338" s="2363"/>
      <c r="CA338" s="88"/>
      <c r="CC338" s="383"/>
      <c r="CD338" s="2319"/>
      <c r="CE338" s="2319"/>
      <c r="CF338" s="88"/>
      <c r="CG338" s="2319"/>
      <c r="CH338" s="2319"/>
      <c r="CI338" s="88"/>
      <c r="CJ338" s="2319"/>
      <c r="CK338" s="2319"/>
      <c r="CL338" s="88"/>
      <c r="CM338" s="2320"/>
      <c r="CN338" s="2320"/>
      <c r="CO338" s="88"/>
      <c r="CP338" s="2320"/>
      <c r="CQ338" s="2320"/>
      <c r="CR338" s="88"/>
      <c r="CS338" s="2321"/>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row>
    <row r="339" spans="107:107" ht="15.5">
      <c r="DC339"/>
    </row>
  </sheetData>
  <sheetProtection formatColumns="0" formatRows="0" autoFilter="0" pivotTables="0"/>
  <sortState ref="A147:Y154">
    <sortCondition descending="1" sortBy="value" ref="Y147:Y154"/>
  </sortState>
  <mergeCells count="97">
    <mergeCell ref="C10:D10"/>
    <mergeCell ref="C11:D11"/>
    <mergeCell ref="C9:D9"/>
    <mergeCell ref="CJ245:CK245"/>
    <mergeCell ref="CM245:CN245"/>
    <mergeCell ref="CD230:CE230"/>
    <mergeCell ref="CG230:CH230"/>
    <mergeCell ref="CJ230:CK230"/>
    <mergeCell ref="CM230:CN230"/>
    <mergeCell ref="W43:W44"/>
    <mergeCell ref="X43:X44"/>
    <mergeCell ref="X99:X100"/>
    <mergeCell ref="Y171:Y172"/>
    <mergeCell ref="Y43:Y44"/>
    <mergeCell ref="W72:W73"/>
    <mergeCell ref="Y72:Y73"/>
    <mergeCell ref="CP245:CQ245"/>
    <mergeCell ref="W231:W232"/>
    <mergeCell ref="Y231:Y232"/>
    <mergeCell ref="AB237:AB238"/>
    <mergeCell ref="CD245:CE245"/>
    <mergeCell ref="CG245:CH245"/>
    <mergeCell ref="CP230:CQ230"/>
    <mergeCell ref="S72:T73"/>
    <mergeCell ref="N3:N9"/>
    <mergeCell ref="S204:T227"/>
    <mergeCell ref="W128:W129"/>
    <mergeCell ref="W216:W217"/>
    <mergeCell ref="O4:Q4"/>
    <mergeCell ref="W17:W18"/>
    <mergeCell ref="S9:T10"/>
    <mergeCell ref="W171:W172"/>
    <mergeCell ref="Y216:Y217"/>
    <mergeCell ref="W201:W202"/>
    <mergeCell ref="Y201:Y202"/>
    <mergeCell ref="W187:W188"/>
    <mergeCell ref="Y187:Y188"/>
    <mergeCell ref="Y17:Y18"/>
    <mergeCell ref="W99:W100"/>
    <mergeCell ref="Y99:Y100"/>
    <mergeCell ref="W157:W158"/>
    <mergeCell ref="Y157:Y158"/>
    <mergeCell ref="Y128:Y129"/>
    <mergeCell ref="W143:W144"/>
    <mergeCell ref="Y143:Y144"/>
    <mergeCell ref="W56:W57"/>
    <mergeCell ref="CD10:CE10"/>
    <mergeCell ref="CG10:CH10"/>
    <mergeCell ref="CJ10:CK10"/>
    <mergeCell ref="CP10:CQ10"/>
    <mergeCell ref="CM10:CN10"/>
    <mergeCell ref="CP127:CQ127"/>
    <mergeCell ref="CD71:CE71"/>
    <mergeCell ref="CG71:CH71"/>
    <mergeCell ref="CJ71:CK71"/>
    <mergeCell ref="CM127:CN127"/>
    <mergeCell ref="CD127:CE127"/>
    <mergeCell ref="CG127:CH127"/>
    <mergeCell ref="CP71:CQ71"/>
    <mergeCell ref="CM71:CN71"/>
    <mergeCell ref="CJ127:CK127"/>
    <mergeCell ref="CP200:CQ200"/>
    <mergeCell ref="CD200:CE200"/>
    <mergeCell ref="CG200:CH200"/>
    <mergeCell ref="CJ200:CK200"/>
    <mergeCell ref="CM142:CN142"/>
    <mergeCell ref="CM156:CN156"/>
    <mergeCell ref="CM186:CN186"/>
    <mergeCell ref="CJ142:CK142"/>
    <mergeCell ref="CJ156:CK156"/>
    <mergeCell ref="CG142:CH142"/>
    <mergeCell ref="CD142:CE142"/>
    <mergeCell ref="CG156:CH156"/>
    <mergeCell ref="CD156:CE156"/>
    <mergeCell ref="CD170:CE170"/>
    <mergeCell ref="AB177:AB178"/>
    <mergeCell ref="CP142:CQ142"/>
    <mergeCell ref="CP156:CQ156"/>
    <mergeCell ref="CP186:CQ186"/>
    <mergeCell ref="AB163:AB164"/>
    <mergeCell ref="AB149:AB150"/>
    <mergeCell ref="CP215:CQ215"/>
    <mergeCell ref="CP170:CQ170"/>
    <mergeCell ref="CM200:CN200"/>
    <mergeCell ref="CM215:CN215"/>
    <mergeCell ref="AB222:AB223"/>
    <mergeCell ref="AB207:AB208"/>
    <mergeCell ref="AB193:AB194"/>
    <mergeCell ref="CD215:CE215"/>
    <mergeCell ref="CG215:CH215"/>
    <mergeCell ref="CJ215:CK215"/>
    <mergeCell ref="CJ170:CK170"/>
    <mergeCell ref="CM170:CN170"/>
    <mergeCell ref="CD186:CE186"/>
    <mergeCell ref="CG186:CH186"/>
    <mergeCell ref="CJ186:CK186"/>
    <mergeCell ref="CG170:CH170"/>
  </mergeCells>
  <conditionalFormatting sqref="A47:B54 C52:K54 A55:K66">
    <cfRule type="expression" priority="1691" dxfId="4110">
      <formula>$A47="F"</formula>
    </cfRule>
    <cfRule type="expression" priority="1692" dxfId="4220">
      <formula>$A47="L"</formula>
    </cfRule>
  </conditionalFormatting>
  <conditionalFormatting sqref="A249:B249 D249">
    <cfRule type="expression" priority="2632" dxfId="4110">
      <formula>$A249="F"</formula>
    </cfRule>
  </conditionalFormatting>
  <conditionalFormatting sqref="A249:B249 D249:K249 B250:B265 A258 C258:K258 B268:B274 B277:B283 B286:B292 B295:B301">
    <cfRule type="expression" priority="2633" dxfId="4220">
      <formula>$A249="L"</formula>
    </cfRule>
  </conditionalFormatting>
  <conditionalFormatting sqref="A310:C310">
    <cfRule type="expression" priority="222" dxfId="4220">
      <formula>$A310="L"</formula>
    </cfRule>
  </conditionalFormatting>
  <conditionalFormatting sqref="A319:C319">
    <cfRule type="expression" priority="220" dxfId="4220">
      <formula>$A319="L"</formula>
    </cfRule>
  </conditionalFormatting>
  <conditionalFormatting sqref="A328:C328">
    <cfRule type="expression" priority="218" dxfId="4220">
      <formula>$A328="L"</formula>
    </cfRule>
  </conditionalFormatting>
  <conditionalFormatting sqref="A337:C337">
    <cfRule type="expression" priority="216" dxfId="4220">
      <formula>$A337="L"</formula>
    </cfRule>
  </conditionalFormatting>
  <conditionalFormatting sqref="A250:D338">
    <cfRule type="expression" priority="215" dxfId="4110">
      <formula>$A250="F"</formula>
    </cfRule>
  </conditionalFormatting>
  <conditionalFormatting sqref="A331:E336">
    <cfRule type="expression" priority="383" dxfId="4220">
      <formula>$A331="L"</formula>
    </cfRule>
  </conditionalFormatting>
  <conditionalFormatting sqref="A250:K257">
    <cfRule type="expression" priority="2415" dxfId="4220">
      <formula>$A250="L"</formula>
    </cfRule>
  </conditionalFormatting>
  <conditionalFormatting sqref="A259:K309">
    <cfRule type="expression" priority="830" dxfId="4220">
      <formula>$A259="L"</formula>
    </cfRule>
  </conditionalFormatting>
  <conditionalFormatting sqref="A311:K318">
    <cfRule type="expression" priority="681" dxfId="4220">
      <formula>$A311="L"</formula>
    </cfRule>
  </conditionalFormatting>
  <conditionalFormatting sqref="A320:K327">
    <cfRule type="expression" priority="532" dxfId="4220">
      <formula>$A320="L"</formula>
    </cfRule>
  </conditionalFormatting>
  <conditionalFormatting sqref="A329:K330">
    <cfRule type="expression" priority="1968" dxfId="4220">
      <formula>$A329="L"</formula>
    </cfRule>
  </conditionalFormatting>
  <conditionalFormatting sqref="A338:K338">
    <cfRule type="expression" priority="1995" dxfId="4220">
      <formula>$A338="L"</formula>
    </cfRule>
  </conditionalFormatting>
  <conditionalFormatting sqref="D45 G45:G55 G57:G66">
    <cfRule type="expression" priority="5779" dxfId="4199">
      <formula>fx_hasCX(D45)</formula>
    </cfRule>
  </conditionalFormatting>
  <conditionalFormatting sqref="E57:E66 D67:G71">
    <cfRule type="expression" priority="5789" dxfId="4199">
      <formula>fx_hasCX(D57)</formula>
    </cfRule>
  </conditionalFormatting>
  <conditionalFormatting sqref="D310:K310">
    <cfRule type="expression" priority="834" dxfId="4220">
      <formula>$A310="L"</formula>
    </cfRule>
  </conditionalFormatting>
  <conditionalFormatting sqref="D319:K319">
    <cfRule type="expression" priority="685" dxfId="4220">
      <formula>$A319="L"</formula>
    </cfRule>
  </conditionalFormatting>
  <conditionalFormatting sqref="D328:K328">
    <cfRule type="expression" priority="536" dxfId="4220">
      <formula>$A328="L"</formula>
    </cfRule>
  </conditionalFormatting>
  <conditionalFormatting sqref="E45">
    <cfRule type="expression" priority="3512" dxfId="4220">
      <formula>$A45="L"</formula>
    </cfRule>
    <cfRule type="expression" priority="3513" dxfId="4217">
      <formula>$A45="F"</formula>
    </cfRule>
  </conditionalFormatting>
  <conditionalFormatting sqref="E76:E97">
    <cfRule type="expression" priority="3511" dxfId="4217">
      <formula>$A76="F"</formula>
    </cfRule>
    <cfRule type="expression" priority="3510" dxfId="4220">
      <formula>$A76="L"</formula>
    </cfRule>
  </conditionalFormatting>
  <conditionalFormatting sqref="E101:E110">
    <cfRule type="expression" priority="3508" dxfId="4220">
      <formula>$A101="L"</formula>
    </cfRule>
    <cfRule type="expression" priority="3509" dxfId="4217">
      <formula>$A101="F"</formula>
    </cfRule>
  </conditionalFormatting>
  <conditionalFormatting sqref="E113:E122">
    <cfRule type="expression" priority="3110" dxfId="4217">
      <formula>$A113="F"</formula>
    </cfRule>
    <cfRule type="expression" priority="3109" dxfId="4220">
      <formula>$A113="L"</formula>
    </cfRule>
  </conditionalFormatting>
  <conditionalFormatting sqref="E132:E138">
    <cfRule type="expression" priority="3507" dxfId="4217">
      <formula>$A132="F"</formula>
    </cfRule>
    <cfRule type="expression" priority="3506" dxfId="4220">
      <formula>$A132="L"</formula>
    </cfRule>
  </conditionalFormatting>
  <conditionalFormatting sqref="E147:E154">
    <cfRule type="expression" priority="3505" dxfId="4217">
      <formula>$A147="F"</formula>
    </cfRule>
    <cfRule type="expression" priority="3504" dxfId="4220">
      <formula>$A147="L"</formula>
    </cfRule>
  </conditionalFormatting>
  <conditionalFormatting sqref="E161:E168">
    <cfRule type="expression" priority="3503" dxfId="4217">
      <formula>$A161="F"</formula>
    </cfRule>
    <cfRule type="expression" priority="3502" dxfId="4220">
      <formula>$A161="L"</formula>
    </cfRule>
  </conditionalFormatting>
  <conditionalFormatting sqref="E175:E182">
    <cfRule type="expression" priority="3501" dxfId="4217">
      <formula>$A175="F"</formula>
    </cfRule>
    <cfRule type="expression" priority="3500" dxfId="4220">
      <formula>$A175="L"</formula>
    </cfRule>
  </conditionalFormatting>
  <conditionalFormatting sqref="E191:E198">
    <cfRule type="expression" priority="3498" dxfId="4220">
      <formula>$A191="L"</formula>
    </cfRule>
    <cfRule type="expression" priority="3499" dxfId="4217">
      <formula>$A191="F"</formula>
    </cfRule>
  </conditionalFormatting>
  <conditionalFormatting sqref="E205:E212">
    <cfRule type="expression" priority="3497" dxfId="4217">
      <formula>$A205="F"</formula>
    </cfRule>
    <cfRule type="expression" priority="3496" dxfId="4220">
      <formula>$A205="L"</formula>
    </cfRule>
  </conditionalFormatting>
  <conditionalFormatting sqref="E220:E227">
    <cfRule type="expression" priority="3495" dxfId="4217">
      <formula>$A220="F"</formula>
    </cfRule>
    <cfRule type="expression" priority="3494" dxfId="4220">
      <formula>$A220="L"</formula>
    </cfRule>
  </conditionalFormatting>
  <conditionalFormatting sqref="E235:E244">
    <cfRule type="expression" priority="2434" dxfId="4217">
      <formula>$A235="F"</formula>
    </cfRule>
    <cfRule type="expression" priority="2433" dxfId="4220">
      <formula>$A235="L"</formula>
    </cfRule>
  </conditionalFormatting>
  <conditionalFormatting sqref="E249:E338">
    <cfRule type="expression" priority="2414" dxfId="4217">
      <formula>$A249="F"</formula>
    </cfRule>
  </conditionalFormatting>
  <conditionalFormatting sqref="E19:G41">
    <cfRule type="expression" priority="3551" dxfId="4220">
      <formula>$A19="L"</formula>
    </cfRule>
    <cfRule type="expression" priority="3552" dxfId="4217">
      <formula>$A19="F"</formula>
    </cfRule>
  </conditionalFormatting>
  <conditionalFormatting sqref="F10:F11">
    <cfRule type="cellIs" priority="56" dxfId="4201" operator="equal">
      <formula>"Ready to push"</formula>
    </cfRule>
  </conditionalFormatting>
  <conditionalFormatting sqref="F249:K338">
    <cfRule type="expression" priority="386" dxfId="4110">
      <formula>$A249="F"</formula>
    </cfRule>
  </conditionalFormatting>
  <conditionalFormatting sqref="F331:K336 D337:K337">
    <cfRule type="expression" priority="387" dxfId="4220">
      <formula>$A331="L"</formula>
    </cfRule>
  </conditionalFormatting>
  <conditionalFormatting sqref="A20:D41 H20:K20 H21:J41 A42:J44 A45:D45 F45:J45 A67:I75 J67:K104 A76:D97 F76:I97 A98:I100 A101:D110 F101:I104 F105:K110 A111:I112 J111:K118 A113:D122 F113:I118 F119:K122 A123:J131 K123:K244 A132:D138 F132:J138 A139:J146 A147:D154 F147:J154 A155:J160 A161:D168 F161:J168 A169:J174 A175:D182 F175:J182 A183:J190 A191:D198 F191:J198 A199:J204 A205:D212 F205:J212 A213:J217 A218:A244 B218:J219 B220:D227 F220:J227 B228:C234 D230:J234 B235:D244 F235:J244 A245:K245 A246:A247 K246:K247">
    <cfRule type="expression" priority="4483" dxfId="4220">
      <formula>$A20="L"</formula>
    </cfRule>
  </conditionalFormatting>
  <conditionalFormatting sqref="A20:D41 H20:K20 H21:J41 A42:J44 A45:D45 F45:J45 A67:I75 J67:K104 A76:D97 F76:I97 A98:I100 A101:D110 F101:I104 F105:K110 A111:I112 J111:K118 A113:D122 F113:I118 F119:K122 A123:J131 K123:K244 A132:D138 F132:J138 A139:J146 A147:D154 F147:J154 A155:J160 A161:D168 F161:J168 A169:J174 A175:D182 F175:J182 A183:J190 A191:D198 F191:J198 A199:J204 A205:D212 F205:J212 A213:J217 A218:A244 B218:J219 B220:D227 F220:J227 B228:C234 D230:J234 B235:D244 F235:J244 A245:K245 A246:A247 K246:K247">
    <cfRule type="expression" priority="3880" dxfId="4110">
      <formula>$A20="F"</formula>
    </cfRule>
  </conditionalFormatting>
  <conditionalFormatting sqref="J20:K51 A46:I46 C47:I51">
    <cfRule type="expression" priority="2391" dxfId="4220">
      <formula>$A20="L"</formula>
    </cfRule>
    <cfRule type="expression" priority="2389" dxfId="4110">
      <formula>$A20="F"</formula>
    </cfRule>
  </conditionalFormatting>
  <conditionalFormatting sqref="W17:W18">
    <cfRule type="cellIs" priority="2904" dxfId="4055" operator="equal">
      <formula>"Scenario"</formula>
    </cfRule>
  </conditionalFormatting>
  <conditionalFormatting sqref="W128:W129">
    <cfRule type="cellIs" priority="2859" dxfId="4054" operator="equal">
      <formula>"Scenario"</formula>
    </cfRule>
  </conditionalFormatting>
  <conditionalFormatting sqref="W143:W144">
    <cfRule type="cellIs" priority="2619" dxfId="4054" operator="equal">
      <formula>"Scenario"</formula>
    </cfRule>
  </conditionalFormatting>
  <conditionalFormatting sqref="W157:W158">
    <cfRule type="cellIs" priority="2604" dxfId="4054" operator="equal">
      <formula>"Scenario"</formula>
    </cfRule>
  </conditionalFormatting>
  <conditionalFormatting sqref="W171:W172">
    <cfRule type="cellIs" priority="2585" dxfId="4054" operator="equal">
      <formula>"Scenario"</formula>
    </cfRule>
  </conditionalFormatting>
  <conditionalFormatting sqref="W187:W188">
    <cfRule type="cellIs" priority="2566" dxfId="4054" operator="equal">
      <formula>"Scenario"</formula>
    </cfRule>
  </conditionalFormatting>
  <conditionalFormatting sqref="W201:W202">
    <cfRule type="cellIs" priority="62" dxfId="4054" operator="equal">
      <formula>"Scenario"</formula>
    </cfRule>
  </conditionalFormatting>
  <conditionalFormatting sqref="W216:W217">
    <cfRule type="cellIs" priority="61" dxfId="4054" operator="equal">
      <formula>"Scenario"</formula>
    </cfRule>
  </conditionalFormatting>
  <conditionalFormatting sqref="W231:W232">
    <cfRule type="expression" priority="60" dxfId="4194">
      <formula>IF($A$14,IF(CELL("protect",W231)=0,TRUE,FALSE))</formula>
    </cfRule>
    <cfRule type="cellIs" priority="59" dxfId="4054" operator="equal">
      <formula>"Scenario"</formula>
    </cfRule>
  </conditionalFormatting>
  <conditionalFormatting sqref="W245:CD245 CF245:CG245 CI245:CJ245 CL245:CM245 CO245:CP245">
    <cfRule type="expression" priority="2420" dxfId="4194">
      <formula>IF($A$14,IF(CELL("protect",W245)=0,TRUE,FALSE))</formula>
    </cfRule>
  </conditionalFormatting>
  <conditionalFormatting sqref="W17:CQ18 W19:AC19 CA19:CQ19 W20:CQ74 W75:AC75 CA75:CQ75 W76:CQ129 X130:CQ130 W249:W338">
    <cfRule type="expression" priority="3004" dxfId="4194">
      <formula>IF($A$14,IF(CELL("protect",W17)=0,TRUE,FALSE))</formula>
    </cfRule>
  </conditionalFormatting>
  <conditionalFormatting sqref="W131:CQ227">
    <cfRule type="expression" priority="2833" dxfId="4194">
      <formula>IF($A$14,IF(CELL("protect",W131)=0,TRUE,FALSE))</formula>
    </cfRule>
  </conditionalFormatting>
  <conditionalFormatting sqref="W233:CQ242">
    <cfRule type="expression" priority="2428" dxfId="4194">
      <formula>IF($A$14,IF(CELL("protect",W233)=0,TRUE,FALSE))</formula>
    </cfRule>
  </conditionalFormatting>
  <conditionalFormatting sqref="X250:X257 X259:X266 X268:X275 X277:X284 X286:X293 X295:X302 X304:X311 X313:X320 X322:X329 X331:X338">
    <cfRule type="expression" priority="32204" dxfId="4191">
      <formula>INDEX($H$1:$H$399,ROW($X250))=2</formula>
    </cfRule>
    <cfRule type="expression" priority="32203" dxfId="4194">
      <formula>IF($A$14,IF(CELL("protect",X250)=0,TRUE,FALSE))</formula>
    </cfRule>
  </conditionalFormatting>
  <conditionalFormatting sqref="X330:Y330">
    <cfRule type="expression" priority="223" dxfId="4039">
      <formula>AND($X330=0,ISNUMBER($X330))</formula>
    </cfRule>
  </conditionalFormatting>
  <conditionalFormatting sqref="W230:CQ230 X231:CQ232">
    <cfRule type="expression" priority="2703" dxfId="4194">
      <formula>IF($A$14,IF(CELL("protect",W230)=0,TRUE,FALSE))</formula>
    </cfRule>
  </conditionalFormatting>
  <conditionalFormatting sqref="Y47:Y54">
    <cfRule type="expression" priority="-30575" dxfId="4191">
      <formula>INDEX($H$1:$H$399,ROW($X50))=2</formula>
    </cfRule>
  </conditionalFormatting>
  <conditionalFormatting sqref="Y201:Y202">
    <cfRule type="expression" priority="65" dxfId="4194">
      <formula>IF($A$14,IF(CELL("protect",Y201)=0,TRUE,FALSE))</formula>
    </cfRule>
  </conditionalFormatting>
  <conditionalFormatting sqref="Y205">
    <cfRule type="expression" priority="69" dxfId="4194">
      <formula>IF($A$14,IF(CELL("protect",Y205)=0,TRUE,FALSE))</formula>
    </cfRule>
  </conditionalFormatting>
  <conditionalFormatting sqref="Y216:Y217">
    <cfRule type="expression" priority="73" dxfId="4194">
      <formula>IF($A$14,IF(CELL("protect",Y216)=0,TRUE,FALSE))</formula>
    </cfRule>
  </conditionalFormatting>
  <conditionalFormatting sqref="Y220">
    <cfRule type="expression" priority="71" dxfId="4194">
      <formula>IF($A$14,IF(CELL("protect",Y220)=0,TRUE,FALSE))</formula>
    </cfRule>
  </conditionalFormatting>
  <conditionalFormatting sqref="Y26:Y31 Y132 Y147 Y154 Y161 Y168 Y175 Y182 Y187:Y188 Y191 Y201:Y202 Y205 Y216:Y217 Y220 Y231:Y232 Y235">
    <cfRule type="expression" priority="2631" dxfId="4032">
      <formula>OR(ISNUMBER(SEARCH("Please",$Y26)),ISNUMBER(SEARCH("Untitled",$Y26)))</formula>
    </cfRule>
  </conditionalFormatting>
  <conditionalFormatting sqref="Y231:Y232">
    <cfRule type="expression" priority="2507" dxfId="4194">
      <formula>IF($A$14,IF(CELL("protect",Y231)=0,TRUE,FALSE))</formula>
    </cfRule>
  </conditionalFormatting>
  <conditionalFormatting sqref="Y235">
    <cfRule type="expression" priority="2498" dxfId="4194">
      <formula>IF($A$14,IF(CELL("protect",Y235)=0,TRUE,FALSE))</formula>
    </cfRule>
  </conditionalFormatting>
  <conditionalFormatting sqref="Y304:Y310">
    <cfRule type="expression" priority="154" dxfId="4039">
      <formula>AND($X304=0,ISNUMBER($X304))</formula>
    </cfRule>
  </conditionalFormatting>
  <conditionalFormatting sqref="Y313:Y319">
    <cfRule type="expression" priority="153" dxfId="4039">
      <formula>AND($X313=0,ISNUMBER($X313))</formula>
    </cfRule>
  </conditionalFormatting>
  <conditionalFormatting sqref="Y322:Y328">
    <cfRule type="expression" priority="152" dxfId="4039">
      <formula>AND($X322=0,ISNUMBER($X322))</formula>
    </cfRule>
  </conditionalFormatting>
  <conditionalFormatting sqref="Y331:Y337">
    <cfRule type="expression" priority="151" dxfId="4039">
      <formula>AND($X331=0,ISNUMBER($X331))</formula>
    </cfRule>
  </conditionalFormatting>
  <conditionalFormatting sqref="Y311:BZ311">
    <cfRule type="expression" priority="829" dxfId="4039">
      <formula>AND($X311=0,ISNUMBER($X311))</formula>
    </cfRule>
  </conditionalFormatting>
  <conditionalFormatting sqref="Y320:BZ320">
    <cfRule type="expression" priority="680" dxfId="4039">
      <formula>AND($X320=0,ISNUMBER($X320))</formula>
    </cfRule>
  </conditionalFormatting>
  <conditionalFormatting sqref="Y329:BZ329">
    <cfRule type="expression" priority="531" dxfId="4039">
      <formula>AND($X329=0,ISNUMBER($X329))</formula>
    </cfRule>
  </conditionalFormatting>
  <conditionalFormatting sqref="Z250:AA255">
    <cfRule type="expression" priority="214" dxfId="4194">
      <formula>IF($A$14,IF(CELL("protect",Z250)=0,TRUE,FALSE))</formula>
    </cfRule>
  </conditionalFormatting>
  <conditionalFormatting sqref="Z250:AA257 Z259:AA266 Z268:AA275 Z277:AA284 Z286:AA293 Z295:AA301">
    <cfRule type="expression" priority="2500" dxfId="4194">
      <formula>IF($A$14,IF(CELL("protect",Z250)=0,TRUE,FALSE))</formula>
    </cfRule>
  </conditionalFormatting>
  <conditionalFormatting sqref="Z259:AA264">
    <cfRule type="expression" priority="210" dxfId="4194">
      <formula>IF($A$14,IF(CELL("protect",Z259)=0,TRUE,FALSE))</formula>
    </cfRule>
  </conditionalFormatting>
  <conditionalFormatting sqref="Z268:AA273">
    <cfRule type="expression" priority="206" dxfId="4194">
      <formula>IF($A$14,IF(CELL("protect",Z268)=0,TRUE,FALSE))</formula>
    </cfRule>
  </conditionalFormatting>
  <conditionalFormatting sqref="Z277:AA282">
    <cfRule type="expression" priority="202" dxfId="4194">
      <formula>IF($A$14,IF(CELL("protect",Z277)=0,TRUE,FALSE))</formula>
    </cfRule>
  </conditionalFormatting>
  <conditionalFormatting sqref="Z286:AA291">
    <cfRule type="expression" priority="198" dxfId="4194">
      <formula>IF($A$14,IF(CELL("protect",Z286)=0,TRUE,FALSE))</formula>
    </cfRule>
  </conditionalFormatting>
  <conditionalFormatting sqref="Z295:AA300">
    <cfRule type="expression" priority="194" dxfId="4194">
      <formula>IF($A$14,IF(CELL("protect",Z295)=0,TRUE,FALSE))</formula>
    </cfRule>
  </conditionalFormatting>
  <conditionalFormatting sqref="Z302:AA302">
    <cfRule type="expression" priority="1993" dxfId="4194">
      <formula>IF($A$14,IF(CELL("protect",Z302)=0,TRUE,FALSE))</formula>
    </cfRule>
  </conditionalFormatting>
  <conditionalFormatting sqref="Z303:AA309">
    <cfRule type="expression" priority="192" dxfId="4194">
      <formula>IF($A$14,IF(CELL("protect",Z303)=0,TRUE,FALSE))</formula>
    </cfRule>
  </conditionalFormatting>
  <conditionalFormatting sqref="Z304:AA309">
    <cfRule type="expression" priority="188" dxfId="4194">
      <formula>IF($A$14,IF(CELL("protect",Z304)=0,TRUE,FALSE))</formula>
    </cfRule>
  </conditionalFormatting>
  <conditionalFormatting sqref="Z310:AA311">
    <cfRule type="expression" priority="832" dxfId="4194">
      <formula>IF($A$14,IF(CELL("protect",Z310)=0,TRUE,FALSE))</formula>
    </cfRule>
  </conditionalFormatting>
  <conditionalFormatting sqref="Z312:AA318">
    <cfRule type="expression" priority="186" dxfId="4194">
      <formula>IF($A$14,IF(CELL("protect",Z312)=0,TRUE,FALSE))</formula>
    </cfRule>
  </conditionalFormatting>
  <conditionalFormatting sqref="Z313:AA318">
    <cfRule type="expression" priority="182" dxfId="4194">
      <formula>IF($A$14,IF(CELL("protect",Z313)=0,TRUE,FALSE))</formula>
    </cfRule>
  </conditionalFormatting>
  <conditionalFormatting sqref="Z319:AA320">
    <cfRule type="expression" priority="683" dxfId="4194">
      <formula>IF($A$14,IF(CELL("protect",Z319)=0,TRUE,FALSE))</formula>
    </cfRule>
  </conditionalFormatting>
  <conditionalFormatting sqref="Z321:AA327">
    <cfRule type="expression" priority="180" dxfId="4194">
      <formula>IF($A$14,IF(CELL("protect",Z321)=0,TRUE,FALSE))</formula>
    </cfRule>
  </conditionalFormatting>
  <conditionalFormatting sqref="Z322:AA327">
    <cfRule type="expression" priority="176" dxfId="4194">
      <formula>IF($A$14,IF(CELL("protect",Z322)=0,TRUE,FALSE))</formula>
    </cfRule>
  </conditionalFormatting>
  <conditionalFormatting sqref="Z328:AA329">
    <cfRule type="expression" priority="534" dxfId="4194">
      <formula>IF($A$14,IF(CELL("protect",Z328)=0,TRUE,FALSE))</formula>
    </cfRule>
  </conditionalFormatting>
  <conditionalFormatting sqref="Z331:AA336">
    <cfRule type="expression" priority="171" dxfId="4194">
      <formula>IF($A$14,IF(CELL("protect",Z331)=0,TRUE,FALSE))</formula>
    </cfRule>
    <cfRule type="expression" priority="175" dxfId="4194">
      <formula>IF($A$14,IF(CELL("protect",Z331)=0,TRUE,FALSE))</formula>
    </cfRule>
    <cfRule type="expression" priority="174" dxfId="4039">
      <formula>AND($X331=0,ISNUMBER($X331))</formula>
    </cfRule>
  </conditionalFormatting>
  <conditionalFormatting sqref="Z331:AA338">
    <cfRule type="expression" priority="385" dxfId="4194">
      <formula>IF($A$14,IF(CELL("protect",Z331)=0,TRUE,FALSE))</formula>
    </cfRule>
  </conditionalFormatting>
  <conditionalFormatting sqref="Z301:BZ301 Y302:BZ302">
    <cfRule type="expression" priority="1992" dxfId="4039">
      <formula>AND($X301=0,ISNUMBER($X301))</formula>
    </cfRule>
  </conditionalFormatting>
  <conditionalFormatting sqref="X303:AA303 Z304:BZ310">
    <cfRule type="expression" priority="191" dxfId="4039">
      <formula>AND($X303=0,ISNUMBER($X303))</formula>
    </cfRule>
  </conditionalFormatting>
  <conditionalFormatting sqref="X312:AA312 Z313:BZ319">
    <cfRule type="expression" priority="185" dxfId="4039">
      <formula>AND($X312=0,ISNUMBER($X312))</formula>
    </cfRule>
  </conditionalFormatting>
  <conditionalFormatting sqref="X321:AA321 Z322:BZ328">
    <cfRule type="expression" priority="179" dxfId="4039">
      <formula>AND($X321=0,ISNUMBER($X321))</formula>
    </cfRule>
  </conditionalFormatting>
  <conditionalFormatting sqref="Z331:BZ337 Y338:BZ338">
    <cfRule type="expression" priority="382" dxfId="4039">
      <formula>AND($X331=0,ISNUMBER($X331))</formula>
    </cfRule>
  </conditionalFormatting>
  <conditionalFormatting sqref="CD246:CQ247 Z249:CQ249">
    <cfRule type="expression" priority="2663" dxfId="4194">
      <formula>IF($A$14,IF(CELL("protect",Z246)=0,TRUE,FALSE))</formula>
    </cfRule>
  </conditionalFormatting>
  <conditionalFormatting sqref="Z258:CQ258">
    <cfRule type="expression" priority="213" dxfId="4194">
      <formula>IF($A$14,IF(CELL("protect",Z258)=0,TRUE,FALSE))</formula>
    </cfRule>
  </conditionalFormatting>
  <conditionalFormatting sqref="Z267:CQ267">
    <cfRule type="expression" priority="209" dxfId="4194">
      <formula>IF($A$14,IF(CELL("protect",Z267)=0,TRUE,FALSE))</formula>
    </cfRule>
  </conditionalFormatting>
  <conditionalFormatting sqref="Z276:CQ276">
    <cfRule type="expression" priority="205" dxfId="4194">
      <formula>IF($A$14,IF(CELL("protect",Z276)=0,TRUE,FALSE))</formula>
    </cfRule>
  </conditionalFormatting>
  <conditionalFormatting sqref="Z285:CQ285">
    <cfRule type="expression" priority="201" dxfId="4194">
      <formula>IF($A$14,IF(CELL("protect",Z285)=0,TRUE,FALSE))</formula>
    </cfRule>
  </conditionalFormatting>
  <conditionalFormatting sqref="Z294:CQ294">
    <cfRule type="expression" priority="197" dxfId="4194">
      <formula>IF($A$14,IF(CELL("protect",Z294)=0,TRUE,FALSE))</formula>
    </cfRule>
  </conditionalFormatting>
  <conditionalFormatting sqref="Z330:CQ330">
    <cfRule type="expression" priority="1756" dxfId="4194">
      <formula>IF($A$14,IF(CELL("protect",Z330)=0,TRUE,FALSE))</formula>
    </cfRule>
  </conditionalFormatting>
  <conditionalFormatting sqref="AB235">
    <cfRule type="expression" priority="2499" dxfId="4194">
      <formula>IF($A$14,IF(CELL("protect",AB235)=0,TRUE,FALSE))</formula>
    </cfRule>
  </conditionalFormatting>
  <conditionalFormatting sqref="AB303:BZ303 AB312:BZ312 AB321:BZ321 Z330:BZ330">
    <cfRule type="expression" priority="1964" dxfId="4039">
      <formula>AND($X303=0,ISNUMBER($X303))</formula>
    </cfRule>
  </conditionalFormatting>
  <conditionalFormatting sqref="AB303:CQ303">
    <cfRule type="expression" priority="1950" dxfId="4194">
      <formula>IF($A$14,IF(CELL("protect",AB303)=0,TRUE,FALSE))</formula>
    </cfRule>
  </conditionalFormatting>
  <conditionalFormatting sqref="AB312:CQ312">
    <cfRule type="expression" priority="1887" dxfId="4194">
      <formula>IF($A$14,IF(CELL("protect",AB312)=0,TRUE,FALSE))</formula>
    </cfRule>
  </conditionalFormatting>
  <conditionalFormatting sqref="AB321:CQ321">
    <cfRule type="expression" priority="1822" dxfId="4194">
      <formula>IF($A$14,IF(CELL("protect",AB321)=0,TRUE,FALSE))</formula>
    </cfRule>
  </conditionalFormatting>
  <conditionalFormatting sqref="AC57:AC59 AB60:AD62 AC63 AB64:AD66">
    <cfRule type="expression" priority="2419" dxfId="4194">
      <formula>IF($A$14,IF(CELL("protect",AB57)=0,TRUE,FALSE))</formula>
    </cfRule>
  </conditionalFormatting>
  <conditionalFormatting sqref="AC132:AC138">
    <cfRule type="expression" priority="2417" dxfId="4194">
      <formula>IF($A$14,IF(CELL("protect",AC132)=0,TRUE,FALSE))</formula>
    </cfRule>
  </conditionalFormatting>
  <conditionalFormatting sqref="AD11:BZ11 AD74:BZ74 AD130:BZ130 AD145:BZ145 AD159:BZ159 AD173:BZ173 AD189:BZ189 AD203:BZ203 AD218:BZ218 AD248:BZ248 BO249:BZ249">
    <cfRule type="expression" priority="4671" dxfId="4189">
      <formula>AD$15=1</formula>
    </cfRule>
  </conditionalFormatting>
  <conditionalFormatting sqref="AD19:BZ19 AD75:BZ75">
    <cfRule type="expression" priority="3106" dxfId="4192">
      <formula>IF($A$14,IF(CELL("protect",AD19)=0,TRUE,FALSE))</formula>
    </cfRule>
  </conditionalFormatting>
  <conditionalFormatting sqref="AD45:BZ46 AD47:BN51 BO49:BZ49 AD52:BZ54 CD52:CE54">
    <cfRule type="expression" priority="3098" dxfId="3980">
      <formula>$Y45&lt;&gt;""</formula>
    </cfRule>
  </conditionalFormatting>
  <conditionalFormatting sqref="AD47:BZ48">
    <cfRule type="expression" priority="-30584" dxfId="3980">
      <formula>#REF!&lt;&gt;""</formula>
    </cfRule>
  </conditionalFormatting>
  <conditionalFormatting sqref="AD50:BZ51 CD50:CE51">
    <cfRule type="expression" priority="-30585" dxfId="3980">
      <formula>$Y47&lt;&gt;""</formula>
    </cfRule>
  </conditionalFormatting>
  <conditionalFormatting sqref="AD11:BZ11 AD74:BZ74 AD130:BZ130 AD145:BZ145 AD159:BZ159 AD173:BZ173 AD189:BZ189 AD203:BZ203 AD218:BZ218 AD248:BZ248 BO249:BZ249">
    <cfRule type="expression" priority="3991" dxfId="4188">
      <formula>AD$15=2</formula>
    </cfRule>
  </conditionalFormatting>
  <conditionalFormatting sqref="AD233:BZ233">
    <cfRule type="expression" priority="2743" dxfId="4188">
      <formula>AD$15=2</formula>
    </cfRule>
    <cfRule type="expression" priority="2746" dxfId="4189">
      <formula>AD$15=1</formula>
    </cfRule>
  </conditionalFormatting>
  <conditionalFormatting sqref="X249:AC249 AD249:BZ258 Z250:AC255 Y256:AC257 X258:Y258 Z258:AA264 AB258:AC258 Y259:Y265 AB259:BZ264 Z265:BZ265 Y266:BZ266 X267:Y267 Z267:BZ274 Y268:Y274 Y275:BZ275 X276:Y276 Z276:BZ283 Y277:Y283 Y284:BZ284 X285:Y285 Z285:BZ292 Y286:Y292 Y293:BZ293 X294:Y294 Z294:BZ300 Y295:Y301">
    <cfRule type="expression" priority="2368" dxfId="4039">
      <formula>AND($X249=0,ISNUMBER($X249))</formula>
    </cfRule>
  </conditionalFormatting>
  <conditionalFormatting sqref="BO258:BZ258">
    <cfRule type="expression" priority="2291" dxfId="4188">
      <formula>BO$15=2</formula>
    </cfRule>
    <cfRule type="expression" priority="2292" dxfId="4189">
      <formula>BO$15=1</formula>
    </cfRule>
  </conditionalFormatting>
  <conditionalFormatting sqref="BO267:BZ267">
    <cfRule type="expression" priority="2244" dxfId="4188">
      <formula>BO$15=2</formula>
    </cfRule>
    <cfRule type="expression" priority="2245" dxfId="4189">
      <formula>BO$15=1</formula>
    </cfRule>
  </conditionalFormatting>
  <conditionalFormatting sqref="BO276:BZ276">
    <cfRule type="expression" priority="2182" dxfId="4189">
      <formula>BO$15=1</formula>
    </cfRule>
    <cfRule type="expression" priority="2181" dxfId="4188">
      <formula>BO$15=2</formula>
    </cfRule>
  </conditionalFormatting>
  <conditionalFormatting sqref="BO285:BZ285">
    <cfRule type="expression" priority="2101" dxfId="4189">
      <formula>BO$15=1</formula>
    </cfRule>
    <cfRule type="expression" priority="2100" dxfId="4188">
      <formula>BO$15=2</formula>
    </cfRule>
  </conditionalFormatting>
  <conditionalFormatting sqref="BO294:BZ294">
    <cfRule type="expression" priority="2034" dxfId="4188">
      <formula>BO$15=2</formula>
    </cfRule>
    <cfRule type="expression" priority="2035" dxfId="4189">
      <formula>BO$15=1</formula>
    </cfRule>
  </conditionalFormatting>
  <conditionalFormatting sqref="BO303:BZ303">
    <cfRule type="expression" priority="1969" dxfId="4186">
      <formula>INDEX($I$1:$I$399,ROW(BO303))=3</formula>
    </cfRule>
    <cfRule type="expression" priority="1953" dxfId="4189">
      <formula>BO$15=1</formula>
    </cfRule>
    <cfRule type="expression" priority="1952" dxfId="4188">
      <formula>BO$15=2</formula>
    </cfRule>
    <cfRule type="expression" priority="1970" dxfId="4166">
      <formula>INDEX($I$1:$I$399,ROW(BO303))=1</formula>
    </cfRule>
    <cfRule type="expression" priority="1971" dxfId="4185">
      <formula>INDEX($I$1:$I$399,ROW(BO303))=2</formula>
    </cfRule>
  </conditionalFormatting>
  <conditionalFormatting sqref="BO312:BZ312">
    <cfRule type="expression" priority="1890" dxfId="4189">
      <formula>BO$15=1</formula>
    </cfRule>
    <cfRule type="expression" priority="1889" dxfId="4188">
      <formula>BO$15=2</formula>
    </cfRule>
  </conditionalFormatting>
  <conditionalFormatting sqref="BO321:BZ321">
    <cfRule type="expression" priority="1824" dxfId="4188">
      <formula>BO$15=2</formula>
    </cfRule>
    <cfRule type="expression" priority="1825" dxfId="4189">
      <formula>BO$15=1</formula>
    </cfRule>
  </conditionalFormatting>
  <conditionalFormatting sqref="BO330:BZ330">
    <cfRule type="expression" priority="1759" dxfId="4189">
      <formula>BO$15=1</formula>
    </cfRule>
    <cfRule type="expression" priority="1758" dxfId="4188">
      <formula>BO$15=2</formula>
    </cfRule>
  </conditionalFormatting>
  <conditionalFormatting sqref="CA243:CC244">
    <cfRule type="expression" priority="2696" dxfId="4194">
      <formula>IF($A$14,IF(CELL("protect",CA243)=0,TRUE,FALSE))</formula>
    </cfRule>
  </conditionalFormatting>
  <conditionalFormatting sqref="CA295:CC301 CO295:CO301 CF301 CI301 CL301">
    <cfRule type="expression" priority="979" dxfId="4194">
      <formula>IF($A$14,IF(CELL("protect",CA295)=0,TRUE,FALSE))</formula>
    </cfRule>
  </conditionalFormatting>
  <conditionalFormatting sqref="CA304:CC310 CO304:CO310 CF310 CI310 CL310">
    <cfRule type="expression" priority="831" dxfId="4194">
      <formula>IF($A$14,IF(CELL("protect",CA304)=0,TRUE,FALSE))</formula>
    </cfRule>
  </conditionalFormatting>
  <conditionalFormatting sqref="CA313:CC319 CO313:CO319 CF319 CI319 CL319">
    <cfRule type="expression" priority="682" dxfId="4194">
      <formula>IF($A$14,IF(CELL("protect",CA313)=0,TRUE,FALSE))</formula>
    </cfRule>
  </conditionalFormatting>
  <conditionalFormatting sqref="CA322:CC328 CO322:CO328 CF328 CI328 CL328">
    <cfRule type="expression" priority="533" dxfId="4194">
      <formula>IF($A$14,IF(CELL("protect",CA322)=0,TRUE,FALSE))</formula>
    </cfRule>
  </conditionalFormatting>
  <conditionalFormatting sqref="CA331:CC337 CO331:CO337 CF337 CI337 CL337">
    <cfRule type="expression" priority="384" dxfId="4194">
      <formula>IF($A$14,IF(CELL("protect",CA331)=0,TRUE,FALSE))</formula>
    </cfRule>
  </conditionalFormatting>
  <conditionalFormatting sqref="CA250:CC256 CO250:CO256 CF256 CI256 CL256 CA257:CQ257 CA259:CC265 CO259:CO265 CF265 CI265 CL265 CA266:CQ266 CA268:CC274 CO268:CO274 CF274 CI274 CL274 CA275:CQ275 CA277:CC283 CO277:CO283 CF283 CI283 CL283 CA284:CQ284 CA286:CC292 CO286:CO292 CF292 CI292 CL292">
    <cfRule type="expression" priority="2444" dxfId="4194">
      <formula>IF($A$14,IF(CELL("protect",CA250)=0,TRUE,FALSE))</formula>
    </cfRule>
  </conditionalFormatting>
  <conditionalFormatting sqref="CA293:CQ293">
    <cfRule type="expression" priority="2064" dxfId="4194">
      <formula>IF($A$14,IF(CELL("protect",CA293)=0,TRUE,FALSE))</formula>
    </cfRule>
  </conditionalFormatting>
  <conditionalFormatting sqref="CA302:CQ302 CA338:CQ338">
    <cfRule type="expression" priority="1991" dxfId="4194">
      <formula>IF($A$14,IF(CELL("protect",CA302)=0,TRUE,FALSE))</formula>
    </cfRule>
  </conditionalFormatting>
  <conditionalFormatting sqref="CA311:CQ311 CA320:CQ320">
    <cfRule type="expression" priority="1965" dxfId="4194">
      <formula>IF($A$14,IF(CELL("protect",CA311)=0,TRUE,FALSE))</formula>
    </cfRule>
  </conditionalFormatting>
  <conditionalFormatting sqref="CA329:CQ329">
    <cfRule type="expression" priority="1788" dxfId="4194">
      <formula>IF($A$14,IF(CELL("protect",CA329)=0,TRUE,FALSE))</formula>
    </cfRule>
  </conditionalFormatting>
  <conditionalFormatting sqref="CD250:CD255">
    <cfRule type="expression" priority="1617" dxfId="4186">
      <formula>INDEX($I$1:$I$399,ROW(CD250))=3</formula>
    </cfRule>
    <cfRule type="expression" priority="1618" dxfId="4166">
      <formula>INDEX($I$1:$I$399,ROW(CD250))=1</formula>
    </cfRule>
    <cfRule type="expression" priority="2308" dxfId="4186">
      <formula>INDEX($I$1:$I$399,ROW(CD250))=3</formula>
    </cfRule>
    <cfRule type="expression" priority="1619" dxfId="4185">
      <formula>INDEX($I$1:$I$399,ROW(CD250))=2</formula>
    </cfRule>
    <cfRule type="expression" priority="1606" dxfId="4166">
      <formula>INDEX($I$1:$I$399,ROW(CD250))=1</formula>
    </cfRule>
    <cfRule type="expression" priority="1605" dxfId="4186">
      <formula>INDEX($I$1:$I$399,ROW(CD250))=3</formula>
    </cfRule>
    <cfRule type="expression" priority="1607" dxfId="4185">
      <formula>INDEX($I$1:$I$399,ROW(CD250))=2</formula>
    </cfRule>
    <cfRule type="expression" priority="1609" dxfId="4186">
      <formula>INDEX($I$1:$I$399,ROW(CD250))=3</formula>
    </cfRule>
    <cfRule type="expression" priority="1610" dxfId="4166">
      <formula>INDEX($I$1:$I$399,ROW(CD250))=1</formula>
    </cfRule>
    <cfRule type="expression" priority="1611" dxfId="4185">
      <formula>INDEX($I$1:$I$399,ROW(CD250))=2</formula>
    </cfRule>
    <cfRule type="expression" priority="1613" dxfId="4186">
      <formula>INDEX($I$1:$I$399,ROW(CD250))=3</formula>
    </cfRule>
    <cfRule type="expression" priority="1614" dxfId="4166">
      <formula>INDEX($I$1:$I$399,ROW(CD250))=1</formula>
    </cfRule>
    <cfRule type="expression" priority="1615" dxfId="4185">
      <formula>INDEX($I$1:$I$399,ROW(CD250))=2</formula>
    </cfRule>
  </conditionalFormatting>
  <conditionalFormatting sqref="CD259:CD264">
    <cfRule type="expression" priority="1468" dxfId="4166">
      <formula>INDEX($I$1:$I$399,ROW(CD259))=1</formula>
    </cfRule>
    <cfRule type="expression" priority="1469" dxfId="4185">
      <formula>INDEX($I$1:$I$399,ROW(CD259))=2</formula>
    </cfRule>
    <cfRule type="expression" priority="1471" dxfId="4186">
      <formula>INDEX($I$1:$I$399,ROW(CD259))=3</formula>
    </cfRule>
    <cfRule type="expression" priority="1476" dxfId="4166">
      <formula>INDEX($I$1:$I$399,ROW(CD259))=1</formula>
    </cfRule>
    <cfRule type="expression" priority="1475" dxfId="4186">
      <formula>INDEX($I$1:$I$399,ROW(CD259))=3</formula>
    </cfRule>
    <cfRule type="expression" priority="1477" dxfId="4185">
      <formula>INDEX($I$1:$I$399,ROW(CD259))=2</formula>
    </cfRule>
    <cfRule type="expression" priority="1540" dxfId="4186">
      <formula>INDEX($I$1:$I$399,ROW(CD259))=3</formula>
    </cfRule>
    <cfRule type="expression" priority="1467" dxfId="4186">
      <formula>INDEX($I$1:$I$399,ROW(CD259))=3</formula>
    </cfRule>
    <cfRule type="expression" priority="1465" dxfId="4185">
      <formula>INDEX($I$1:$I$399,ROW(CD259))=2</formula>
    </cfRule>
    <cfRule type="expression" priority="1464" dxfId="4166">
      <formula>INDEX($I$1:$I$399,ROW(CD259))=1</formula>
    </cfRule>
    <cfRule type="expression" priority="1472" dxfId="4166">
      <formula>INDEX($I$1:$I$399,ROW(CD259))=1</formula>
    </cfRule>
    <cfRule type="expression" priority="1463" dxfId="4186">
      <formula>INDEX($I$1:$I$399,ROW(CD259))=3</formula>
    </cfRule>
    <cfRule type="expression" priority="1473" dxfId="4185">
      <formula>INDEX($I$1:$I$399,ROW(CD259))=2</formula>
    </cfRule>
  </conditionalFormatting>
  <conditionalFormatting sqref="CD268:CD273">
    <cfRule type="expression" priority="1328" dxfId="4166">
      <formula>INDEX($I$1:$I$399,ROW(CD268))=1</formula>
    </cfRule>
    <cfRule type="expression" priority="1327" dxfId="4186">
      <formula>INDEX($I$1:$I$399,ROW(CD268))=3</formula>
    </cfRule>
    <cfRule type="expression" priority="1325" dxfId="4185">
      <formula>INDEX($I$1:$I$399,ROW(CD268))=2</formula>
    </cfRule>
    <cfRule type="expression" priority="1324" dxfId="4166">
      <formula>INDEX($I$1:$I$399,ROW(CD268))=1</formula>
    </cfRule>
    <cfRule type="expression" priority="1323" dxfId="4186">
      <formula>INDEX($I$1:$I$399,ROW(CD268))=3</formula>
    </cfRule>
    <cfRule type="expression" priority="1320" dxfId="4166">
      <formula>INDEX($I$1:$I$399,ROW(CD268))=1</formula>
    </cfRule>
    <cfRule type="expression" priority="1319" dxfId="4186">
      <formula>INDEX($I$1:$I$399,ROW(CD268))=3</formula>
    </cfRule>
    <cfRule type="expression" priority="1321" dxfId="4185">
      <formula>INDEX($I$1:$I$399,ROW(CD268))=2</formula>
    </cfRule>
    <cfRule type="expression" priority="1396" dxfId="4186">
      <formula>INDEX($I$1:$I$399,ROW(CD268))=3</formula>
    </cfRule>
    <cfRule type="expression" priority="1333" dxfId="4185">
      <formula>INDEX($I$1:$I$399,ROW(CD268))=2</formula>
    </cfRule>
    <cfRule type="expression" priority="1332" dxfId="4166">
      <formula>INDEX($I$1:$I$399,ROW(CD268))=1</formula>
    </cfRule>
    <cfRule type="expression" priority="1331" dxfId="4186">
      <formula>INDEX($I$1:$I$399,ROW(CD268))=3</formula>
    </cfRule>
    <cfRule type="expression" priority="1329" dxfId="4185">
      <formula>INDEX($I$1:$I$399,ROW(CD268))=2</formula>
    </cfRule>
  </conditionalFormatting>
  <conditionalFormatting sqref="CD277:CD282">
    <cfRule type="expression" priority="1189" dxfId="4185">
      <formula>INDEX($I$1:$I$399,ROW(CD277))=2</formula>
    </cfRule>
    <cfRule type="expression" priority="1176" dxfId="4166">
      <formula>INDEX($I$1:$I$399,ROW(CD277))=1</formula>
    </cfRule>
    <cfRule type="expression" priority="1175" dxfId="4186">
      <formula>INDEX($I$1:$I$399,ROW(CD277))=3</formula>
    </cfRule>
    <cfRule type="expression" priority="1185" dxfId="4185">
      <formula>INDEX($I$1:$I$399,ROW(CD277))=2</formula>
    </cfRule>
    <cfRule type="expression" priority="1184" dxfId="4166">
      <formula>INDEX($I$1:$I$399,ROW(CD277))=1</formula>
    </cfRule>
    <cfRule type="expression" priority="1183" dxfId="4186">
      <formula>INDEX($I$1:$I$399,ROW(CD277))=3</formula>
    </cfRule>
    <cfRule type="expression" priority="1187" dxfId="4186">
      <formula>INDEX($I$1:$I$399,ROW(CD277))=3</formula>
    </cfRule>
    <cfRule type="expression" priority="1181" dxfId="4185">
      <formula>INDEX($I$1:$I$399,ROW(CD277))=2</formula>
    </cfRule>
    <cfRule type="expression" priority="1180" dxfId="4166">
      <formula>INDEX($I$1:$I$399,ROW(CD277))=1</formula>
    </cfRule>
    <cfRule type="expression" priority="1188" dxfId="4166">
      <formula>INDEX($I$1:$I$399,ROW(CD277))=1</formula>
    </cfRule>
    <cfRule type="expression" priority="1252" dxfId="4186">
      <formula>INDEX($I$1:$I$399,ROW(CD277))=3</formula>
    </cfRule>
    <cfRule type="expression" priority="1179" dxfId="4186">
      <formula>INDEX($I$1:$I$399,ROW(CD277))=3</formula>
    </cfRule>
    <cfRule type="expression" priority="1177" dxfId="4185">
      <formula>INDEX($I$1:$I$399,ROW(CD277))=2</formula>
    </cfRule>
  </conditionalFormatting>
  <conditionalFormatting sqref="CD286:CD291">
    <cfRule type="expression" priority="1044" dxfId="4166">
      <formula>INDEX($I$1:$I$399,ROW(CD286))=1</formula>
    </cfRule>
    <cfRule type="expression" priority="1045" dxfId="4185">
      <formula>INDEX($I$1:$I$399,ROW(CD286))=2</formula>
    </cfRule>
    <cfRule type="expression" priority="1040" dxfId="4166">
      <formula>INDEX($I$1:$I$399,ROW(CD286))=1</formula>
    </cfRule>
    <cfRule type="expression" priority="1037" dxfId="4185">
      <formula>INDEX($I$1:$I$399,ROW(CD286))=2</formula>
    </cfRule>
    <cfRule type="expression" priority="1108" dxfId="4186">
      <formula>INDEX($I$1:$I$399,ROW(CD286))=3</formula>
    </cfRule>
    <cfRule type="expression" priority="1031" dxfId="4186">
      <formula>INDEX($I$1:$I$399,ROW(CD286))=3</formula>
    </cfRule>
    <cfRule type="expression" priority="1032" dxfId="4166">
      <formula>INDEX($I$1:$I$399,ROW(CD286))=1</formula>
    </cfRule>
    <cfRule type="expression" priority="1033" dxfId="4185">
      <formula>INDEX($I$1:$I$399,ROW(CD286))=2</formula>
    </cfRule>
    <cfRule type="expression" priority="1035" dxfId="4186">
      <formula>INDEX($I$1:$I$399,ROW(CD286))=3</formula>
    </cfRule>
    <cfRule type="expression" priority="1036" dxfId="4166">
      <formula>INDEX($I$1:$I$399,ROW(CD286))=1</formula>
    </cfRule>
    <cfRule type="expression" priority="1039" dxfId="4186">
      <formula>INDEX($I$1:$I$399,ROW(CD286))=3</formula>
    </cfRule>
    <cfRule type="expression" priority="1041" dxfId="4185">
      <formula>INDEX($I$1:$I$399,ROW(CD286))=2</formula>
    </cfRule>
    <cfRule type="expression" priority="1043" dxfId="4186">
      <formula>INDEX($I$1:$I$399,ROW(CD286))=3</formula>
    </cfRule>
  </conditionalFormatting>
  <conditionalFormatting sqref="CD295:CD300">
    <cfRule type="expression" priority="888" dxfId="4185">
      <formula>INDEX($I$1:$I$399,ROW(CD295))=2</formula>
    </cfRule>
    <cfRule type="expression" priority="890" dxfId="4186">
      <formula>INDEX($I$1:$I$399,ROW(CD295))=3</formula>
    </cfRule>
    <cfRule type="expression" priority="891" dxfId="4166">
      <formula>INDEX($I$1:$I$399,ROW(CD295))=1</formula>
    </cfRule>
    <cfRule type="expression" priority="892" dxfId="4185">
      <formula>INDEX($I$1:$I$399,ROW(CD295))=2</formula>
    </cfRule>
    <cfRule type="expression" priority="894" dxfId="4186">
      <formula>INDEX($I$1:$I$399,ROW(CD295))=3</formula>
    </cfRule>
    <cfRule type="expression" priority="895" dxfId="4166">
      <formula>INDEX($I$1:$I$399,ROW(CD295))=1</formula>
    </cfRule>
    <cfRule type="expression" priority="896" dxfId="4185">
      <formula>INDEX($I$1:$I$399,ROW(CD295))=2</formula>
    </cfRule>
    <cfRule type="expression" priority="898" dxfId="4186">
      <formula>INDEX($I$1:$I$399,ROW(CD295))=3</formula>
    </cfRule>
    <cfRule type="expression" priority="899" dxfId="4166">
      <formula>INDEX($I$1:$I$399,ROW(CD295))=1</formula>
    </cfRule>
    <cfRule type="expression" priority="900" dxfId="4185">
      <formula>INDEX($I$1:$I$399,ROW(CD295))=2</formula>
    </cfRule>
    <cfRule type="expression" priority="963" dxfId="4186">
      <formula>INDEX($I$1:$I$399,ROW(CD295))=3</formula>
    </cfRule>
    <cfRule type="expression" priority="886" dxfId="4186">
      <formula>INDEX($I$1:$I$399,ROW(CD295))=3</formula>
    </cfRule>
    <cfRule type="expression" priority="887" dxfId="4166">
      <formula>INDEX($I$1:$I$399,ROW(CD295))=1</formula>
    </cfRule>
  </conditionalFormatting>
  <conditionalFormatting sqref="CD304:CD309">
    <cfRule type="expression" priority="749" dxfId="4186">
      <formula>INDEX($I$1:$I$399,ROW(CD304))=3</formula>
    </cfRule>
    <cfRule type="expression" priority="737" dxfId="4186">
      <formula>INDEX($I$1:$I$399,ROW(CD304))=3</formula>
    </cfRule>
    <cfRule type="expression" priority="750" dxfId="4166">
      <formula>INDEX($I$1:$I$399,ROW(CD304))=1</formula>
    </cfRule>
    <cfRule type="expression" priority="745" dxfId="4186">
      <formula>INDEX($I$1:$I$399,ROW(CD304))=3</formula>
    </cfRule>
    <cfRule type="expression" priority="742" dxfId="4166">
      <formula>INDEX($I$1:$I$399,ROW(CD304))=1</formula>
    </cfRule>
    <cfRule type="expression" priority="746" dxfId="4166">
      <formula>INDEX($I$1:$I$399,ROW(CD304))=1</formula>
    </cfRule>
    <cfRule type="expression" priority="743" dxfId="4185">
      <formula>INDEX($I$1:$I$399,ROW(CD304))=2</formula>
    </cfRule>
    <cfRule type="expression" priority="747" dxfId="4185">
      <formula>INDEX($I$1:$I$399,ROW(CD304))=2</formula>
    </cfRule>
    <cfRule type="expression" priority="814" dxfId="4186">
      <formula>INDEX($I$1:$I$399,ROW(CD304))=3</formula>
    </cfRule>
    <cfRule type="expression" priority="751" dxfId="4185">
      <formula>INDEX($I$1:$I$399,ROW(CD304))=2</formula>
    </cfRule>
    <cfRule type="expression" priority="738" dxfId="4166">
      <formula>INDEX($I$1:$I$399,ROW(CD304))=1</formula>
    </cfRule>
    <cfRule type="expression" priority="739" dxfId="4185">
      <formula>INDEX($I$1:$I$399,ROW(CD304))=2</formula>
    </cfRule>
    <cfRule type="expression" priority="741" dxfId="4186">
      <formula>INDEX($I$1:$I$399,ROW(CD304))=3</formula>
    </cfRule>
  </conditionalFormatting>
  <conditionalFormatting sqref="CD313:CD318">
    <cfRule type="expression" priority="601" dxfId="4166">
      <formula>INDEX($I$1:$I$399,ROW(CD313))=1</formula>
    </cfRule>
    <cfRule type="expression" priority="598" dxfId="4185">
      <formula>INDEX($I$1:$I$399,ROW(CD313))=2</formula>
    </cfRule>
    <cfRule type="expression" priority="597" dxfId="4166">
      <formula>INDEX($I$1:$I$399,ROW(CD313))=1</formula>
    </cfRule>
    <cfRule type="expression" priority="596" dxfId="4186">
      <formula>INDEX($I$1:$I$399,ROW(CD313))=3</formula>
    </cfRule>
    <cfRule type="expression" priority="594" dxfId="4185">
      <formula>INDEX($I$1:$I$399,ROW(CD313))=2</formula>
    </cfRule>
    <cfRule type="expression" priority="590" dxfId="4185">
      <formula>INDEX($I$1:$I$399,ROW(CD313))=2</formula>
    </cfRule>
    <cfRule type="expression" priority="600" dxfId="4186">
      <formula>INDEX($I$1:$I$399,ROW(CD313))=3</formula>
    </cfRule>
    <cfRule type="expression" priority="588" dxfId="4186">
      <formula>INDEX($I$1:$I$399,ROW(CD313))=3</formula>
    </cfRule>
    <cfRule type="expression" priority="665" dxfId="4186">
      <formula>INDEX($I$1:$I$399,ROW(CD313))=3</formula>
    </cfRule>
    <cfRule type="expression" priority="602" dxfId="4185">
      <formula>INDEX($I$1:$I$399,ROW(CD313))=2</formula>
    </cfRule>
    <cfRule type="expression" priority="589" dxfId="4166">
      <formula>INDEX($I$1:$I$399,ROW(CD313))=1</formula>
    </cfRule>
    <cfRule type="expression" priority="592" dxfId="4186">
      <formula>INDEX($I$1:$I$399,ROW(CD313))=3</formula>
    </cfRule>
    <cfRule type="expression" priority="593" dxfId="4166">
      <formula>INDEX($I$1:$I$399,ROW(CD313))=1</formula>
    </cfRule>
  </conditionalFormatting>
  <conditionalFormatting sqref="CD322:CD327">
    <cfRule type="expression" priority="439" dxfId="4186">
      <formula>INDEX($I$1:$I$399,ROW(CD322))=3</formula>
    </cfRule>
    <cfRule type="expression" priority="441" dxfId="4185">
      <formula>INDEX($I$1:$I$399,ROW(CD322))=2</formula>
    </cfRule>
    <cfRule type="expression" priority="516" dxfId="4186">
      <formula>INDEX($I$1:$I$399,ROW(CD322))=3</formula>
    </cfRule>
    <cfRule type="expression" priority="445" dxfId="4185">
      <formula>INDEX($I$1:$I$399,ROW(CD322))=2</formula>
    </cfRule>
    <cfRule type="expression" priority="447" dxfId="4186">
      <formula>INDEX($I$1:$I$399,ROW(CD322))=3</formula>
    </cfRule>
    <cfRule type="expression" priority="448" dxfId="4166">
      <formula>INDEX($I$1:$I$399,ROW(CD322))=1</formula>
    </cfRule>
    <cfRule type="expression" priority="449" dxfId="4185">
      <formula>INDEX($I$1:$I$399,ROW(CD322))=2</formula>
    </cfRule>
    <cfRule type="expression" priority="451" dxfId="4186">
      <formula>INDEX($I$1:$I$399,ROW(CD322))=3</formula>
    </cfRule>
    <cfRule type="expression" priority="452" dxfId="4166">
      <formula>INDEX($I$1:$I$399,ROW(CD322))=1</formula>
    </cfRule>
    <cfRule type="expression" priority="453" dxfId="4185">
      <formula>INDEX($I$1:$I$399,ROW(CD322))=2</formula>
    </cfRule>
    <cfRule type="expression" priority="443" dxfId="4186">
      <formula>INDEX($I$1:$I$399,ROW(CD322))=3</formula>
    </cfRule>
    <cfRule type="expression" priority="440" dxfId="4166">
      <formula>INDEX($I$1:$I$399,ROW(CD322))=1</formula>
    </cfRule>
    <cfRule type="expression" priority="444" dxfId="4166">
      <formula>INDEX($I$1:$I$399,ROW(CD322))=1</formula>
    </cfRule>
  </conditionalFormatting>
  <conditionalFormatting sqref="CD331:CD336">
    <cfRule type="expression" priority="367" dxfId="4186">
      <formula>INDEX($I$1:$I$399,ROW(CD331))=3</formula>
    </cfRule>
    <cfRule type="expression" priority="304" dxfId="4185">
      <formula>INDEX($I$1:$I$399,ROW(CD331))=2</formula>
    </cfRule>
    <cfRule type="expression" priority="302" dxfId="4186">
      <formula>INDEX($I$1:$I$399,ROW(CD331))=3</formula>
    </cfRule>
    <cfRule type="expression" priority="300" dxfId="4185">
      <formula>INDEX($I$1:$I$399,ROW(CD331))=2</formula>
    </cfRule>
    <cfRule type="expression" priority="299" dxfId="4166">
      <formula>INDEX($I$1:$I$399,ROW(CD331))=1</formula>
    </cfRule>
    <cfRule type="expression" priority="298" dxfId="4186">
      <formula>INDEX($I$1:$I$399,ROW(CD331))=3</formula>
    </cfRule>
    <cfRule type="expression" priority="295" dxfId="4166">
      <formula>INDEX($I$1:$I$399,ROW(CD331))=1</formula>
    </cfRule>
    <cfRule type="expression" priority="294" dxfId="4186">
      <formula>INDEX($I$1:$I$399,ROW(CD331))=3</formula>
    </cfRule>
    <cfRule type="expression" priority="292" dxfId="4185">
      <formula>INDEX($I$1:$I$399,ROW(CD331))=2</formula>
    </cfRule>
    <cfRule type="expression" priority="296" dxfId="4185">
      <formula>INDEX($I$1:$I$399,ROW(CD331))=2</formula>
    </cfRule>
    <cfRule type="expression" priority="290" dxfId="4186">
      <formula>INDEX($I$1:$I$399,ROW(CD331))=3</formula>
    </cfRule>
    <cfRule type="expression" priority="291" dxfId="4166">
      <formula>INDEX($I$1:$I$399,ROW(CD331))=1</formula>
    </cfRule>
    <cfRule type="expression" priority="303" dxfId="4166">
      <formula>INDEX($I$1:$I$399,ROW(CD331))=1</formula>
    </cfRule>
  </conditionalFormatting>
  <conditionalFormatting sqref="CD57:CE66">
    <cfRule type="expression" priority="31246" dxfId="4191">
      <formula>INDEX($H$1:$H$399,ROW($X46))=2</formula>
    </cfRule>
  </conditionalFormatting>
  <conditionalFormatting sqref="CD250:CE255">
    <cfRule type="expression" priority="2309" dxfId="4166">
      <formula>INDEX($I$1:$I$399,ROW(CD250))=1</formula>
    </cfRule>
    <cfRule type="expression" priority="2310" dxfId="4185">
      <formula>INDEX($I$1:$I$399,ROW(CD250))=2</formula>
    </cfRule>
  </conditionalFormatting>
  <conditionalFormatting sqref="CD256:CE256">
    <cfRule type="expression" priority="2326" dxfId="4039">
      <formula>AND($X256=0,ISNUMBER($X256))</formula>
    </cfRule>
  </conditionalFormatting>
  <conditionalFormatting sqref="CE250:CE255 CD257:CE257 CE259:CE264 CD266:CE266 CE268:CE273 CD275:CE275 CE277:CE282 CD284:CE284 CE286:CE291 CD293:CE293 CE295:CE300 CD302:CE302 CE304:CE309 CD311:CE311 CE313:CE318 CD320:CE320 CE322:CE327 CD329:CE329 CE331:CE336 CD338:CE338">
    <cfRule type="expression" priority="32225" dxfId="4186">
      <formula>INDEX($I$1:$I$399,ROW(CD250))=3</formula>
    </cfRule>
  </conditionalFormatting>
  <conditionalFormatting sqref="CD257:CE257 CD266:CE266 CD275:CE275 CD284:CE284 CD293:CE293 CD302:CE302 CD311:CE311 CD320:CE320 CD329:CE329 CD338:CE338">
    <cfRule type="expression" priority="32223" dxfId="4166">
      <formula>INDEX($I$1:$I$399,ROW(CD257))=1</formula>
    </cfRule>
    <cfRule type="expression" priority="32224" dxfId="4185">
      <formula>INDEX($I$1:$I$399,ROW(CD257))=2</formula>
    </cfRule>
  </conditionalFormatting>
  <conditionalFormatting sqref="CD250:CE255 CD257:CE257 CD259:CE264 CD266:CE266 CD268:CE273 CD275:CE275 CD277:CE282 CD284:CE284 CD286:CE291 CD293:CE293 CD295:CE300 CD302:CE302 CD304:CE309 CD311:CE311 CD313:CE318 CD320:CE320 CD322:CE327 CD329:CE329 CD331:CE336 CD338:CE338">
    <cfRule type="expression" priority="32226" dxfId="4191">
      <formula>INDEX($H$1:$H$399,ROW($X250))=2</formula>
    </cfRule>
  </conditionalFormatting>
  <conditionalFormatting sqref="CD259:CE264">
    <cfRule type="expression" priority="1542" dxfId="4185">
      <formula>INDEX($I$1:$I$399,ROW(CD259))=2</formula>
    </cfRule>
    <cfRule type="expression" priority="1541" dxfId="4166">
      <formula>INDEX($I$1:$I$399,ROW(CD259))=1</formula>
    </cfRule>
  </conditionalFormatting>
  <conditionalFormatting sqref="CD265:CE265">
    <cfRule type="expression" priority="1552" dxfId="4039">
      <formula>AND($X265=0,ISNUMBER($X265))</formula>
    </cfRule>
  </conditionalFormatting>
  <conditionalFormatting sqref="CD268:CE273">
    <cfRule type="expression" priority="1398" dxfId="4185">
      <formula>INDEX($I$1:$I$399,ROW(CD268))=2</formula>
    </cfRule>
    <cfRule type="expression" priority="1397" dxfId="4166">
      <formula>INDEX($I$1:$I$399,ROW(CD268))=1</formula>
    </cfRule>
  </conditionalFormatting>
  <conditionalFormatting sqref="CD274:CE274">
    <cfRule type="expression" priority="1408" dxfId="4039">
      <formula>AND($X274=0,ISNUMBER($X274))</formula>
    </cfRule>
  </conditionalFormatting>
  <conditionalFormatting sqref="CD277:CE282">
    <cfRule type="expression" priority="1253" dxfId="4166">
      <formula>INDEX($I$1:$I$399,ROW(CD277))=1</formula>
    </cfRule>
    <cfRule type="expression" priority="1254" dxfId="4185">
      <formula>INDEX($I$1:$I$399,ROW(CD277))=2</formula>
    </cfRule>
  </conditionalFormatting>
  <conditionalFormatting sqref="CD283:CE283">
    <cfRule type="expression" priority="1264" dxfId="4039">
      <formula>AND($X283=0,ISNUMBER($X283))</formula>
    </cfRule>
  </conditionalFormatting>
  <conditionalFormatting sqref="CD286:CE291">
    <cfRule type="expression" priority="1109" dxfId="4166">
      <formula>INDEX($I$1:$I$399,ROW(CD286))=1</formula>
    </cfRule>
    <cfRule type="expression" priority="1110" dxfId="4185">
      <formula>INDEX($I$1:$I$399,ROW(CD286))=2</formula>
    </cfRule>
  </conditionalFormatting>
  <conditionalFormatting sqref="CD292:CE292">
    <cfRule type="expression" priority="1120" dxfId="4039">
      <formula>AND($X292=0,ISNUMBER($X292))</formula>
    </cfRule>
  </conditionalFormatting>
  <conditionalFormatting sqref="CD295:CE300">
    <cfRule type="expression" priority="965" dxfId="4185">
      <formula>INDEX($I$1:$I$399,ROW(CD295))=2</formula>
    </cfRule>
    <cfRule type="expression" priority="964" dxfId="4166">
      <formula>INDEX($I$1:$I$399,ROW(CD295))=1</formula>
    </cfRule>
  </conditionalFormatting>
  <conditionalFormatting sqref="CD301:CE301">
    <cfRule type="expression" priority="975" dxfId="4039">
      <formula>AND($X301=0,ISNUMBER($X301))</formula>
    </cfRule>
  </conditionalFormatting>
  <conditionalFormatting sqref="CD304:CE309">
    <cfRule type="expression" priority="816" dxfId="4185">
      <formula>INDEX($I$1:$I$399,ROW(CD304))=2</formula>
    </cfRule>
    <cfRule type="expression" priority="815" dxfId="4166">
      <formula>INDEX($I$1:$I$399,ROW(CD304))=1</formula>
    </cfRule>
  </conditionalFormatting>
  <conditionalFormatting sqref="CD310:CE310">
    <cfRule type="expression" priority="826" dxfId="4039">
      <formula>AND($X310=0,ISNUMBER($X310))</formula>
    </cfRule>
  </conditionalFormatting>
  <conditionalFormatting sqref="CD313:CE318">
    <cfRule type="expression" priority="666" dxfId="4166">
      <formula>INDEX($I$1:$I$399,ROW(CD313))=1</formula>
    </cfRule>
    <cfRule type="expression" priority="667" dxfId="4185">
      <formula>INDEX($I$1:$I$399,ROW(CD313))=2</formula>
    </cfRule>
  </conditionalFormatting>
  <conditionalFormatting sqref="CD319:CE319">
    <cfRule type="expression" priority="677" dxfId="4039">
      <formula>AND($X319=0,ISNUMBER($X319))</formula>
    </cfRule>
  </conditionalFormatting>
  <conditionalFormatting sqref="CD322:CE327">
    <cfRule type="expression" priority="517" dxfId="4166">
      <formula>INDEX($I$1:$I$399,ROW(CD322))=1</formula>
    </cfRule>
    <cfRule type="expression" priority="518" dxfId="4185">
      <formula>INDEX($I$1:$I$399,ROW(CD322))=2</formula>
    </cfRule>
  </conditionalFormatting>
  <conditionalFormatting sqref="CD328:CE328">
    <cfRule type="expression" priority="528" dxfId="4039">
      <formula>AND($X328=0,ISNUMBER($X328))</formula>
    </cfRule>
  </conditionalFormatting>
  <conditionalFormatting sqref="CD331:CE336">
    <cfRule type="expression" priority="368" dxfId="4166">
      <formula>INDEX($I$1:$I$399,ROW(CD331))=1</formula>
    </cfRule>
    <cfRule type="expression" priority="369" dxfId="4185">
      <formula>INDEX($I$1:$I$399,ROW(CD331))=2</formula>
    </cfRule>
  </conditionalFormatting>
  <conditionalFormatting sqref="CD337:CE337">
    <cfRule type="expression" priority="379" dxfId="4039">
      <formula>AND($X337=0,ISNUMBER($X337))</formula>
    </cfRule>
  </conditionalFormatting>
  <conditionalFormatting sqref="CD250:CN255">
    <cfRule type="expression" priority="1572" dxfId="4194">
      <formula>IF($A$14,IF(CELL("protect",CD250)=0,TRUE,FALSE))</formula>
    </cfRule>
  </conditionalFormatting>
  <conditionalFormatting sqref="CD259:CN264">
    <cfRule type="expression" priority="1430" dxfId="4194">
      <formula>IF($A$14,IF(CELL("protect",CD259)=0,TRUE,FALSE))</formula>
    </cfRule>
  </conditionalFormatting>
  <conditionalFormatting sqref="CD268:CN273">
    <cfRule type="expression" priority="1286" dxfId="4194">
      <formula>IF($A$14,IF(CELL("protect",CD268)=0,TRUE,FALSE))</formula>
    </cfRule>
  </conditionalFormatting>
  <conditionalFormatting sqref="CD277:CN282">
    <cfRule type="expression" priority="1142" dxfId="4194">
      <formula>IF($A$14,IF(CELL("protect",CD277)=0,TRUE,FALSE))</formula>
    </cfRule>
  </conditionalFormatting>
  <conditionalFormatting sqref="CD286:CN291">
    <cfRule type="expression" priority="998" dxfId="4194">
      <formula>IF($A$14,IF(CELL("protect",CD286)=0,TRUE,FALSE))</formula>
    </cfRule>
  </conditionalFormatting>
  <conditionalFormatting sqref="CD295:CN300">
    <cfRule type="expression" priority="853" dxfId="4194">
      <formula>IF($A$14,IF(CELL("protect",CD295)=0,TRUE,FALSE))</formula>
    </cfRule>
  </conditionalFormatting>
  <conditionalFormatting sqref="CD304:CN309">
    <cfRule type="expression" priority="704" dxfId="4194">
      <formula>IF($A$14,IF(CELL("protect",CD304)=0,TRUE,FALSE))</formula>
    </cfRule>
  </conditionalFormatting>
  <conditionalFormatting sqref="CD313:CN318">
    <cfRule type="expression" priority="555" dxfId="4194">
      <formula>IF($A$14,IF(CELL("protect",CD313)=0,TRUE,FALSE))</formula>
    </cfRule>
  </conditionalFormatting>
  <conditionalFormatting sqref="CD322:CN327">
    <cfRule type="expression" priority="406" dxfId="4194">
      <formula>IF($A$14,IF(CELL("protect",CD322)=0,TRUE,FALSE))</formula>
    </cfRule>
  </conditionalFormatting>
  <conditionalFormatting sqref="CD331:CN336">
    <cfRule type="expression" priority="257" dxfId="4194">
      <formula>IF($A$14,IF(CELL("protect",CD331)=0,TRUE,FALSE))</formula>
    </cfRule>
  </conditionalFormatting>
  <conditionalFormatting sqref="CG250:CG255">
    <cfRule type="expression" priority="1649" dxfId="4186">
      <formula>INDEX($I$1:$I$399,ROW(CG250))=3</formula>
    </cfRule>
    <cfRule type="expression" priority="1633" dxfId="4186">
      <formula>INDEX($I$1:$I$399,ROW(CG250))=3</formula>
    </cfRule>
    <cfRule type="expression" priority="1634" dxfId="4166">
      <formula>INDEX($I$1:$I$399,ROW(CG250))=1</formula>
    </cfRule>
    <cfRule type="expression" priority="1650" dxfId="4166">
      <formula>INDEX($I$1:$I$399,ROW(CG250))=1</formula>
    </cfRule>
    <cfRule type="expression" priority="1635" dxfId="4185">
      <formula>INDEX($I$1:$I$399,ROW(CG250))=2</formula>
    </cfRule>
    <cfRule type="expression" priority="1651" dxfId="4185">
      <formula>INDEX($I$1:$I$399,ROW(CG250))=2</formula>
    </cfRule>
    <cfRule type="expression" priority="1667" dxfId="4185">
      <formula>INDEX($I$1:$I$399,ROW(CG250))=2</formula>
    </cfRule>
    <cfRule type="expression" priority="1666" dxfId="4166">
      <formula>INDEX($I$1:$I$399,ROW(CG250))=1</formula>
    </cfRule>
    <cfRule type="expression" priority="1665" dxfId="4186">
      <formula>INDEX($I$1:$I$399,ROW(CG250))=3</formula>
    </cfRule>
  </conditionalFormatting>
  <conditionalFormatting sqref="CG259:CG264">
    <cfRule type="expression" priority="1524" dxfId="4166">
      <formula>INDEX($I$1:$I$399,ROW(CG259))=1</formula>
    </cfRule>
    <cfRule type="expression" priority="1491" dxfId="4186">
      <formula>INDEX($I$1:$I$399,ROW(CG259))=3</formula>
    </cfRule>
    <cfRule type="expression" priority="1492" dxfId="4166">
      <formula>INDEX($I$1:$I$399,ROW(CG259))=1</formula>
    </cfRule>
    <cfRule type="expression" priority="1493" dxfId="4185">
      <formula>INDEX($I$1:$I$399,ROW(CG259))=2</formula>
    </cfRule>
    <cfRule type="expression" priority="1507" dxfId="4186">
      <formula>INDEX($I$1:$I$399,ROW(CG259))=3</formula>
    </cfRule>
    <cfRule type="expression" priority="1525" dxfId="4185">
      <formula>INDEX($I$1:$I$399,ROW(CG259))=2</formula>
    </cfRule>
    <cfRule type="expression" priority="1508" dxfId="4166">
      <formula>INDEX($I$1:$I$399,ROW(CG259))=1</formula>
    </cfRule>
    <cfRule type="expression" priority="1509" dxfId="4185">
      <formula>INDEX($I$1:$I$399,ROW(CG259))=2</formula>
    </cfRule>
    <cfRule type="expression" priority="1523" dxfId="4186">
      <formula>INDEX($I$1:$I$399,ROW(CG259))=3</formula>
    </cfRule>
  </conditionalFormatting>
  <conditionalFormatting sqref="CG268:CG273">
    <cfRule type="expression" priority="1365" dxfId="4185">
      <formula>INDEX($I$1:$I$399,ROW(CG268))=2</formula>
    </cfRule>
    <cfRule type="expression" priority="1380" dxfId="4166">
      <formula>INDEX($I$1:$I$399,ROW(CG268))=1</formula>
    </cfRule>
    <cfRule type="expression" priority="1363" dxfId="4186">
      <formula>INDEX($I$1:$I$399,ROW(CG268))=3</formula>
    </cfRule>
    <cfRule type="expression" priority="1349" dxfId="4185">
      <formula>INDEX($I$1:$I$399,ROW(CG268))=2</formula>
    </cfRule>
    <cfRule type="expression" priority="1348" dxfId="4166">
      <formula>INDEX($I$1:$I$399,ROW(CG268))=1</formula>
    </cfRule>
    <cfRule type="expression" priority="1347" dxfId="4186">
      <formula>INDEX($I$1:$I$399,ROW(CG268))=3</formula>
    </cfRule>
    <cfRule type="expression" priority="1364" dxfId="4166">
      <formula>INDEX($I$1:$I$399,ROW(CG268))=1</formula>
    </cfRule>
    <cfRule type="expression" priority="1379" dxfId="4186">
      <formula>INDEX($I$1:$I$399,ROW(CG268))=3</formula>
    </cfRule>
    <cfRule type="expression" priority="1381" dxfId="4185">
      <formula>INDEX($I$1:$I$399,ROW(CG268))=2</formula>
    </cfRule>
    <cfRule type="expression" priority="1400" dxfId="4186">
      <formula>INDEX($I$1:$I$399,ROW(CG268))=3</formula>
    </cfRule>
  </conditionalFormatting>
  <conditionalFormatting sqref="CG277:CG282">
    <cfRule type="expression" priority="1256" dxfId="4186">
      <formula>INDEX($I$1:$I$399,ROW(CG277))=3</formula>
    </cfRule>
    <cfRule type="expression" priority="1205" dxfId="4185">
      <formula>INDEX($I$1:$I$399,ROW(CG277))=2</formula>
    </cfRule>
    <cfRule type="expression" priority="1203" dxfId="4186">
      <formula>INDEX($I$1:$I$399,ROW(CG277))=3</formula>
    </cfRule>
    <cfRule type="expression" priority="1204" dxfId="4166">
      <formula>INDEX($I$1:$I$399,ROW(CG277))=1</formula>
    </cfRule>
    <cfRule type="expression" priority="1219" dxfId="4186">
      <formula>INDEX($I$1:$I$399,ROW(CG277))=3</formula>
    </cfRule>
    <cfRule type="expression" priority="1220" dxfId="4166">
      <formula>INDEX($I$1:$I$399,ROW(CG277))=1</formula>
    </cfRule>
    <cfRule type="expression" priority="1221" dxfId="4185">
      <formula>INDEX($I$1:$I$399,ROW(CG277))=2</formula>
    </cfRule>
    <cfRule type="expression" priority="1235" dxfId="4186">
      <formula>INDEX($I$1:$I$399,ROW(CG277))=3</formula>
    </cfRule>
    <cfRule type="expression" priority="1237" dxfId="4185">
      <formula>INDEX($I$1:$I$399,ROW(CG277))=2</formula>
    </cfRule>
    <cfRule type="expression" priority="1236" dxfId="4166">
      <formula>INDEX($I$1:$I$399,ROW(CG277))=1</formula>
    </cfRule>
  </conditionalFormatting>
  <conditionalFormatting sqref="CG286:CG291">
    <cfRule type="expression" priority="1112" dxfId="4186">
      <formula>INDEX($I$1:$I$399,ROW(CG286))=3</formula>
    </cfRule>
    <cfRule type="expression" priority="1059" dxfId="4186">
      <formula>INDEX($I$1:$I$399,ROW(CG286))=3</formula>
    </cfRule>
    <cfRule type="expression" priority="1060" dxfId="4166">
      <formula>INDEX($I$1:$I$399,ROW(CG286))=1</formula>
    </cfRule>
    <cfRule type="expression" priority="1061" dxfId="4185">
      <formula>INDEX($I$1:$I$399,ROW(CG286))=2</formula>
    </cfRule>
    <cfRule type="expression" priority="1093" dxfId="4185">
      <formula>INDEX($I$1:$I$399,ROW(CG286))=2</formula>
    </cfRule>
    <cfRule type="expression" priority="1077" dxfId="4185">
      <formula>INDEX($I$1:$I$399,ROW(CG286))=2</formula>
    </cfRule>
    <cfRule type="expression" priority="1091" dxfId="4186">
      <formula>INDEX($I$1:$I$399,ROW(CG286))=3</formula>
    </cfRule>
    <cfRule type="expression" priority="1076" dxfId="4166">
      <formula>INDEX($I$1:$I$399,ROW(CG286))=1</formula>
    </cfRule>
    <cfRule type="expression" priority="1075" dxfId="4186">
      <formula>INDEX($I$1:$I$399,ROW(CG286))=3</formula>
    </cfRule>
    <cfRule type="expression" priority="1092" dxfId="4166">
      <formula>INDEX($I$1:$I$399,ROW(CG286))=1</formula>
    </cfRule>
  </conditionalFormatting>
  <conditionalFormatting sqref="CG295:CG300">
    <cfRule type="expression" priority="932" dxfId="4185">
      <formula>INDEX($I$1:$I$399,ROW(CG295))=2</formula>
    </cfRule>
    <cfRule type="expression" priority="931" dxfId="4166">
      <formula>INDEX($I$1:$I$399,ROW(CG295))=1</formula>
    </cfRule>
    <cfRule type="expression" priority="930" dxfId="4186">
      <formula>INDEX($I$1:$I$399,ROW(CG295))=3</formula>
    </cfRule>
    <cfRule type="expression" priority="947" dxfId="4166">
      <formula>INDEX($I$1:$I$399,ROW(CG295))=1</formula>
    </cfRule>
    <cfRule type="expression" priority="948" dxfId="4185">
      <formula>INDEX($I$1:$I$399,ROW(CG295))=2</formula>
    </cfRule>
    <cfRule type="expression" priority="916" dxfId="4185">
      <formula>INDEX($I$1:$I$399,ROW(CG295))=2</formula>
    </cfRule>
    <cfRule type="expression" priority="915" dxfId="4166">
      <formula>INDEX($I$1:$I$399,ROW(CG295))=1</formula>
    </cfRule>
    <cfRule type="expression" priority="914" dxfId="4186">
      <formula>INDEX($I$1:$I$399,ROW(CG295))=3</formula>
    </cfRule>
    <cfRule type="expression" priority="946" dxfId="4186">
      <formula>INDEX($I$1:$I$399,ROW(CG295))=3</formula>
    </cfRule>
    <cfRule type="expression" priority="967" dxfId="4186">
      <formula>INDEX($I$1:$I$399,ROW(CG295))=3</formula>
    </cfRule>
  </conditionalFormatting>
  <conditionalFormatting sqref="CG304:CG309">
    <cfRule type="expression" priority="783" dxfId="4185">
      <formula>INDEX($I$1:$I$399,ROW(CG304))=2</formula>
    </cfRule>
    <cfRule type="expression" priority="797" dxfId="4186">
      <formula>INDEX($I$1:$I$399,ROW(CG304))=3</formula>
    </cfRule>
    <cfRule type="expression" priority="798" dxfId="4166">
      <formula>INDEX($I$1:$I$399,ROW(CG304))=1</formula>
    </cfRule>
    <cfRule type="expression" priority="799" dxfId="4185">
      <formula>INDEX($I$1:$I$399,ROW(CG304))=2</formula>
    </cfRule>
    <cfRule type="expression" priority="767" dxfId="4185">
      <formula>INDEX($I$1:$I$399,ROW(CG304))=2</formula>
    </cfRule>
    <cfRule type="expression" priority="818" dxfId="4186">
      <formula>INDEX($I$1:$I$399,ROW(CG304))=3</formula>
    </cfRule>
    <cfRule type="expression" priority="766" dxfId="4166">
      <formula>INDEX($I$1:$I$399,ROW(CG304))=1</formula>
    </cfRule>
    <cfRule type="expression" priority="765" dxfId="4186">
      <formula>INDEX($I$1:$I$399,ROW(CG304))=3</formula>
    </cfRule>
    <cfRule type="expression" priority="781" dxfId="4186">
      <formula>INDEX($I$1:$I$399,ROW(CG304))=3</formula>
    </cfRule>
    <cfRule type="expression" priority="782" dxfId="4166">
      <formula>INDEX($I$1:$I$399,ROW(CG304))=1</formula>
    </cfRule>
  </conditionalFormatting>
  <conditionalFormatting sqref="CG313:CG318">
    <cfRule type="expression" priority="650" dxfId="4185">
      <formula>INDEX($I$1:$I$399,ROW(CG313))=2</formula>
    </cfRule>
    <cfRule type="expression" priority="649" dxfId="4166">
      <formula>INDEX($I$1:$I$399,ROW(CG313))=1</formula>
    </cfRule>
    <cfRule type="expression" priority="634" dxfId="4185">
      <formula>INDEX($I$1:$I$399,ROW(CG313))=2</formula>
    </cfRule>
    <cfRule type="expression" priority="633" dxfId="4166">
      <formula>INDEX($I$1:$I$399,ROW(CG313))=1</formula>
    </cfRule>
    <cfRule type="expression" priority="632" dxfId="4186">
      <formula>INDEX($I$1:$I$399,ROW(CG313))=3</formula>
    </cfRule>
    <cfRule type="expression" priority="616" dxfId="4186">
      <formula>INDEX($I$1:$I$399,ROW(CG313))=3</formula>
    </cfRule>
    <cfRule type="expression" priority="617" dxfId="4166">
      <formula>INDEX($I$1:$I$399,ROW(CG313))=1</formula>
    </cfRule>
    <cfRule type="expression" priority="618" dxfId="4185">
      <formula>INDEX($I$1:$I$399,ROW(CG313))=2</formula>
    </cfRule>
    <cfRule type="expression" priority="669" dxfId="4186">
      <formula>INDEX($I$1:$I$399,ROW(CG313))=3</formula>
    </cfRule>
    <cfRule type="expression" priority="648" dxfId="4186">
      <formula>INDEX($I$1:$I$399,ROW(CG313))=3</formula>
    </cfRule>
  </conditionalFormatting>
  <conditionalFormatting sqref="CG322:CG327">
    <cfRule type="expression" priority="499" dxfId="4186">
      <formula>INDEX($I$1:$I$399,ROW(CG322))=3</formula>
    </cfRule>
    <cfRule type="expression" priority="467" dxfId="4186">
      <formula>INDEX($I$1:$I$399,ROW(CG322))=3</formula>
    </cfRule>
    <cfRule type="expression" priority="468" dxfId="4166">
      <formula>INDEX($I$1:$I$399,ROW(CG322))=1</formula>
    </cfRule>
    <cfRule type="expression" priority="469" dxfId="4185">
      <formula>INDEX($I$1:$I$399,ROW(CG322))=2</formula>
    </cfRule>
    <cfRule type="expression" priority="500" dxfId="4166">
      <formula>INDEX($I$1:$I$399,ROW(CG322))=1</formula>
    </cfRule>
    <cfRule type="expression" priority="501" dxfId="4185">
      <formula>INDEX($I$1:$I$399,ROW(CG322))=2</formula>
    </cfRule>
    <cfRule type="expression" priority="483" dxfId="4186">
      <formula>INDEX($I$1:$I$399,ROW(CG322))=3</formula>
    </cfRule>
    <cfRule type="expression" priority="484" dxfId="4166">
      <formula>INDEX($I$1:$I$399,ROW(CG322))=1</formula>
    </cfRule>
    <cfRule type="expression" priority="485" dxfId="4185">
      <formula>INDEX($I$1:$I$399,ROW(CG322))=2</formula>
    </cfRule>
    <cfRule type="expression" priority="520" dxfId="4186">
      <formula>INDEX($I$1:$I$399,ROW(CG322))=3</formula>
    </cfRule>
  </conditionalFormatting>
  <conditionalFormatting sqref="CG331:CG336">
    <cfRule type="expression" priority="318" dxfId="4186">
      <formula>INDEX($I$1:$I$399,ROW(CG331))=3</formula>
    </cfRule>
    <cfRule type="expression" priority="334" dxfId="4186">
      <formula>INDEX($I$1:$I$399,ROW(CG331))=3</formula>
    </cfRule>
    <cfRule type="expression" priority="319" dxfId="4166">
      <formula>INDEX($I$1:$I$399,ROW(CG331))=1</formula>
    </cfRule>
    <cfRule type="expression" priority="350" dxfId="4186">
      <formula>INDEX($I$1:$I$399,ROW(CG331))=3</formula>
    </cfRule>
    <cfRule type="expression" priority="335" dxfId="4166">
      <formula>INDEX($I$1:$I$399,ROW(CG331))=1</formula>
    </cfRule>
    <cfRule type="expression" priority="336" dxfId="4185">
      <formula>INDEX($I$1:$I$399,ROW(CG331))=2</formula>
    </cfRule>
    <cfRule type="expression" priority="320" dxfId="4185">
      <formula>INDEX($I$1:$I$399,ROW(CG331))=2</formula>
    </cfRule>
    <cfRule type="expression" priority="352" dxfId="4185">
      <formula>INDEX($I$1:$I$399,ROW(CG331))=2</formula>
    </cfRule>
    <cfRule type="expression" priority="371" dxfId="4186">
      <formula>INDEX($I$1:$I$399,ROW(CG331))=3</formula>
    </cfRule>
    <cfRule type="expression" priority="351" dxfId="4166">
      <formula>INDEX($I$1:$I$399,ROW(CG331))=1</formula>
    </cfRule>
  </conditionalFormatting>
  <conditionalFormatting sqref="CG250:CH255">
    <cfRule type="expression" priority="2316" dxfId="4185">
      <formula>INDEX($I$1:$I$399,ROW(CG250))=2</formula>
    </cfRule>
    <cfRule type="expression" priority="2314" dxfId="4186">
      <formula>INDEX($I$1:$I$399,ROW(CG250))=3</formula>
    </cfRule>
    <cfRule type="expression" priority="2315" dxfId="4166">
      <formula>INDEX($I$1:$I$399,ROW(CG250))=1</formula>
    </cfRule>
  </conditionalFormatting>
  <conditionalFormatting sqref="CG256:CH256">
    <cfRule type="expression" priority="1671" dxfId="4039">
      <formula>AND($X256=0,ISNUMBER($X256))</formula>
    </cfRule>
  </conditionalFormatting>
  <conditionalFormatting sqref="CG257:CH257">
    <cfRule type="expression" priority="29445" dxfId="4185">
      <formula>INDEX($I$1:$I$399,ROW(CG257))=2</formula>
    </cfRule>
    <cfRule type="expression" priority="29444" dxfId="4166">
      <formula>INDEX($I$1:$I$399,ROW(CG257))=1</formula>
    </cfRule>
  </conditionalFormatting>
  <conditionalFormatting sqref="CG259:CH264">
    <cfRule type="expression" priority="1544" dxfId="4186">
      <formula>INDEX($I$1:$I$399,ROW(CG259))=3</formula>
    </cfRule>
    <cfRule type="expression" priority="1545" dxfId="4166">
      <formula>INDEX($I$1:$I$399,ROW(CG259))=1</formula>
    </cfRule>
    <cfRule type="expression" priority="1546" dxfId="4185">
      <formula>INDEX($I$1:$I$399,ROW(CG259))=2</formula>
    </cfRule>
  </conditionalFormatting>
  <conditionalFormatting sqref="CG265:CH265">
    <cfRule type="expression" priority="1529" dxfId="4039">
      <formula>AND($X265=0,ISNUMBER($X265))</formula>
    </cfRule>
  </conditionalFormatting>
  <conditionalFormatting sqref="CG266:CH266">
    <cfRule type="expression" priority="2335" dxfId="4186">
      <formula>INDEX($I$1:$I$399,ROW(CG266))=3</formula>
    </cfRule>
  </conditionalFormatting>
  <conditionalFormatting sqref="CG268:CH273">
    <cfRule type="expression" priority="1401" dxfId="4166">
      <formula>INDEX($I$1:$I$399,ROW(CG268))=1</formula>
    </cfRule>
    <cfRule type="expression" priority="1402" dxfId="4185">
      <formula>INDEX($I$1:$I$399,ROW(CG268))=2</formula>
    </cfRule>
  </conditionalFormatting>
  <conditionalFormatting sqref="CG274:CH274">
    <cfRule type="expression" priority="1385" dxfId="4039">
      <formula>AND($X274=0,ISNUMBER($X274))</formula>
    </cfRule>
  </conditionalFormatting>
  <conditionalFormatting sqref="CG275:CH275">
    <cfRule type="expression" priority="2200" dxfId="4166">
      <formula>INDEX($I$1:$I$399,ROW(CG275))=1</formula>
    </cfRule>
    <cfRule type="expression" priority="2201" dxfId="4185">
      <formula>INDEX($I$1:$I$399,ROW(CG275))=2</formula>
    </cfRule>
    <cfRule type="expression" priority="2196" dxfId="4186">
      <formula>INDEX($I$1:$I$399,ROW(CG275))=3</formula>
    </cfRule>
  </conditionalFormatting>
  <conditionalFormatting sqref="CG277:CH282">
    <cfRule type="expression" priority="1257" dxfId="4166">
      <formula>INDEX($I$1:$I$399,ROW(CG277))=1</formula>
    </cfRule>
    <cfRule type="expression" priority="1258" dxfId="4185">
      <formula>INDEX($I$1:$I$399,ROW(CG277))=2</formula>
    </cfRule>
  </conditionalFormatting>
  <conditionalFormatting sqref="CG283:CH283">
    <cfRule type="expression" priority="1241" dxfId="4039">
      <formula>AND($X283=0,ISNUMBER($X283))</formula>
    </cfRule>
  </conditionalFormatting>
  <conditionalFormatting sqref="CG284:CH284">
    <cfRule type="expression" priority="2120" dxfId="4185">
      <formula>INDEX($I$1:$I$399,ROW(CG284))=2</formula>
    </cfRule>
    <cfRule type="expression" priority="2115" dxfId="4186">
      <formula>INDEX($I$1:$I$399,ROW(CG284))=3</formula>
    </cfRule>
    <cfRule type="expression" priority="2119" dxfId="4166">
      <formula>INDEX($I$1:$I$399,ROW(CG284))=1</formula>
    </cfRule>
  </conditionalFormatting>
  <conditionalFormatting sqref="CG286:CH291">
    <cfRule type="expression" priority="1113" dxfId="4166">
      <formula>INDEX($I$1:$I$399,ROW(CG286))=1</formula>
    </cfRule>
    <cfRule type="expression" priority="1114" dxfId="4185">
      <formula>INDEX($I$1:$I$399,ROW(CG286))=2</formula>
    </cfRule>
  </conditionalFormatting>
  <conditionalFormatting sqref="CG292:CH292">
    <cfRule type="expression" priority="1097" dxfId="4039">
      <formula>AND($X292=0,ISNUMBER($X292))</formula>
    </cfRule>
  </conditionalFormatting>
  <conditionalFormatting sqref="CG293:CH293">
    <cfRule type="expression" priority="2053" dxfId="4166">
      <formula>INDEX($I$1:$I$399,ROW(CG293))=1</formula>
    </cfRule>
    <cfRule type="expression" priority="2054" dxfId="4185">
      <formula>INDEX($I$1:$I$399,ROW(CG293))=2</formula>
    </cfRule>
    <cfRule type="expression" priority="2049" dxfId="4186">
      <formula>INDEX($I$1:$I$399,ROW(CG293))=3</formula>
    </cfRule>
  </conditionalFormatting>
  <conditionalFormatting sqref="CG295:CH300">
    <cfRule type="expression" priority="969" dxfId="4185">
      <formula>INDEX($I$1:$I$399,ROW(CG295))=2</formula>
    </cfRule>
    <cfRule type="expression" priority="968" dxfId="4166">
      <formula>INDEX($I$1:$I$399,ROW(CG295))=1</formula>
    </cfRule>
  </conditionalFormatting>
  <conditionalFormatting sqref="CG301:CH301">
    <cfRule type="expression" priority="952" dxfId="4039">
      <formula>AND($X301=0,ISNUMBER($X301))</formula>
    </cfRule>
  </conditionalFormatting>
  <conditionalFormatting sqref="CG302:CH302">
    <cfRule type="expression" priority="1981" dxfId="4185">
      <formula>INDEX($I$1:$I$399,ROW(CG302))=2</formula>
    </cfRule>
    <cfRule type="expression" priority="1976" dxfId="4186">
      <formula>INDEX($I$1:$I$399,ROW(CG302))=3</formula>
    </cfRule>
    <cfRule type="expression" priority="1980" dxfId="4166">
      <formula>INDEX($I$1:$I$399,ROW(CG302))=1</formula>
    </cfRule>
  </conditionalFormatting>
  <conditionalFormatting sqref="CG304:CH309">
    <cfRule type="expression" priority="820" dxfId="4185">
      <formula>INDEX($I$1:$I$399,ROW(CG304))=2</formula>
    </cfRule>
    <cfRule type="expression" priority="819" dxfId="4166">
      <formula>INDEX($I$1:$I$399,ROW(CG304))=1</formula>
    </cfRule>
  </conditionalFormatting>
  <conditionalFormatting sqref="CG310:CH310">
    <cfRule type="expression" priority="803" dxfId="4039">
      <formula>AND($X310=0,ISNUMBER($X310))</formula>
    </cfRule>
  </conditionalFormatting>
  <conditionalFormatting sqref="CG311:CH311">
    <cfRule type="expression" priority="1909" dxfId="4185">
      <formula>INDEX($I$1:$I$399,ROW(CG311))=2</formula>
    </cfRule>
    <cfRule type="expression" priority="1904" dxfId="4186">
      <formula>INDEX($I$1:$I$399,ROW(CG311))=3</formula>
    </cfRule>
    <cfRule type="expression" priority="1908" dxfId="4166">
      <formula>INDEX($I$1:$I$399,ROW(CG311))=1</formula>
    </cfRule>
  </conditionalFormatting>
  <conditionalFormatting sqref="CG313:CH318">
    <cfRule type="expression" priority="670" dxfId="4166">
      <formula>INDEX($I$1:$I$399,ROW(CG313))=1</formula>
    </cfRule>
    <cfRule type="expression" priority="671" dxfId="4185">
      <formula>INDEX($I$1:$I$399,ROW(CG313))=2</formula>
    </cfRule>
  </conditionalFormatting>
  <conditionalFormatting sqref="CG319:CH319">
    <cfRule type="expression" priority="654" dxfId="4039">
      <formula>AND($X319=0,ISNUMBER($X319))</formula>
    </cfRule>
  </conditionalFormatting>
  <conditionalFormatting sqref="CG320:CH320">
    <cfRule type="expression" priority="1844" dxfId="4185">
      <formula>INDEX($I$1:$I$399,ROW(CG320))=2</formula>
    </cfRule>
    <cfRule type="expression" priority="1843" dxfId="4166">
      <formula>INDEX($I$1:$I$399,ROW(CG320))=1</formula>
    </cfRule>
    <cfRule type="expression" priority="1839" dxfId="4186">
      <formula>INDEX($I$1:$I$399,ROW(CG320))=3</formula>
    </cfRule>
  </conditionalFormatting>
  <conditionalFormatting sqref="CG322:CH327">
    <cfRule type="expression" priority="521" dxfId="4166">
      <formula>INDEX($I$1:$I$399,ROW(CG322))=1</formula>
    </cfRule>
    <cfRule type="expression" priority="522" dxfId="4185">
      <formula>INDEX($I$1:$I$399,ROW(CG322))=2</formula>
    </cfRule>
  </conditionalFormatting>
  <conditionalFormatting sqref="CG328:CH328">
    <cfRule type="expression" priority="505" dxfId="4039">
      <formula>AND($X328=0,ISNUMBER($X328))</formula>
    </cfRule>
  </conditionalFormatting>
  <conditionalFormatting sqref="CG329:CH329">
    <cfRule type="expression" priority="1773" dxfId="4186">
      <formula>INDEX($I$1:$I$399,ROW(CG329))=3</formula>
    </cfRule>
    <cfRule type="expression" priority="1778" dxfId="4185">
      <formula>INDEX($I$1:$I$399,ROW(CG329))=2</formula>
    </cfRule>
    <cfRule type="expression" priority="1777" dxfId="4166">
      <formula>INDEX($I$1:$I$399,ROW(CG329))=1</formula>
    </cfRule>
  </conditionalFormatting>
  <conditionalFormatting sqref="CG331:CH336">
    <cfRule type="expression" priority="372" dxfId="4166">
      <formula>INDEX($I$1:$I$399,ROW(CG331))=1</formula>
    </cfRule>
    <cfRule type="expression" priority="373" dxfId="4185">
      <formula>INDEX($I$1:$I$399,ROW(CG331))=2</formula>
    </cfRule>
  </conditionalFormatting>
  <conditionalFormatting sqref="CG337:CH337">
    <cfRule type="expression" priority="356" dxfId="4039">
      <formula>AND($X337=0,ISNUMBER($X337))</formula>
    </cfRule>
  </conditionalFormatting>
  <conditionalFormatting sqref="CJ250:CJ255">
    <cfRule type="expression" priority="1599" dxfId="4185">
      <formula>INDEX($I$1:$I$399,ROW(CJ250))=2</formula>
    </cfRule>
    <cfRule type="expression" priority="1598" dxfId="4166">
      <formula>INDEX($I$1:$I$399,ROW(CJ250))=1</formula>
    </cfRule>
    <cfRule type="expression" priority="1645" dxfId="4186">
      <formula>INDEX($I$1:$I$399,ROW(CJ250))=3</formula>
    </cfRule>
    <cfRule type="expression" priority="1647" dxfId="4185">
      <formula>INDEX($I$1:$I$399,ROW(CJ250))=2</formula>
    </cfRule>
    <cfRule type="expression" priority="1594" dxfId="4166">
      <formula>INDEX($I$1:$I$399,ROW(CJ250))=1</formula>
    </cfRule>
    <cfRule type="expression" priority="1631" dxfId="4185">
      <formula>INDEX($I$1:$I$399,ROW(CJ250))=2</formula>
    </cfRule>
    <cfRule type="expression" priority="1630" dxfId="4166">
      <formula>INDEX($I$1:$I$399,ROW(CJ250))=1</formula>
    </cfRule>
    <cfRule type="expression" priority="1629" dxfId="4186">
      <formula>INDEX($I$1:$I$399,ROW(CJ250))=3</formula>
    </cfRule>
    <cfRule type="expression" priority="1646" dxfId="4166">
      <formula>INDEX($I$1:$I$399,ROW(CJ250))=1</formula>
    </cfRule>
    <cfRule type="expression" priority="1590" dxfId="4166">
      <formula>INDEX($I$1:$I$399,ROW(CJ250))=1</formula>
    </cfRule>
    <cfRule type="expression" priority="1661" dxfId="4186">
      <formula>INDEX($I$1:$I$399,ROW(CJ250))=3</formula>
    </cfRule>
    <cfRule type="expression" priority="1593" dxfId="4186">
      <formula>INDEX($I$1:$I$399,ROW(CJ250))=3</formula>
    </cfRule>
    <cfRule type="expression" priority="1662" dxfId="4166">
      <formula>INDEX($I$1:$I$399,ROW(CJ250))=1</formula>
    </cfRule>
    <cfRule type="expression" priority="1597" dxfId="4186">
      <formula>INDEX($I$1:$I$399,ROW(CJ250))=3</formula>
    </cfRule>
    <cfRule type="expression" priority="1595" dxfId="4185">
      <formula>INDEX($I$1:$I$399,ROW(CJ250))=2</formula>
    </cfRule>
    <cfRule type="expression" priority="1601" dxfId="4186">
      <formula>INDEX($I$1:$I$399,ROW(CJ250))=3</formula>
    </cfRule>
    <cfRule type="expression" priority="1602" dxfId="4166">
      <formula>INDEX($I$1:$I$399,ROW(CJ250))=1</formula>
    </cfRule>
    <cfRule type="expression" priority="1589" dxfId="4186">
      <formula>INDEX($I$1:$I$399,ROW(CJ250))=3</formula>
    </cfRule>
    <cfRule type="expression" priority="1603" dxfId="4185">
      <formula>INDEX($I$1:$I$399,ROW(CJ250))=2</formula>
    </cfRule>
    <cfRule type="expression" priority="1663" dxfId="4185">
      <formula>INDEX($I$1:$I$399,ROW(CJ250))=2</formula>
    </cfRule>
    <cfRule type="expression" priority="1591" dxfId="4185">
      <formula>INDEX($I$1:$I$399,ROW(CJ250))=2</formula>
    </cfRule>
  </conditionalFormatting>
  <conditionalFormatting sqref="CJ259:CJ264">
    <cfRule type="expression" priority="1504" dxfId="4166">
      <formula>INDEX($I$1:$I$399,ROW(CJ259))=1</formula>
    </cfRule>
    <cfRule type="expression" priority="1505" dxfId="4185">
      <formula>INDEX($I$1:$I$399,ROW(CJ259))=2</formula>
    </cfRule>
    <cfRule type="expression" priority="1488" dxfId="4166">
      <formula>INDEX($I$1:$I$399,ROW(CJ259))=1</formula>
    </cfRule>
    <cfRule type="expression" priority="1489" dxfId="4185">
      <formula>INDEX($I$1:$I$399,ROW(CJ259))=2</formula>
    </cfRule>
    <cfRule type="expression" priority="1487" dxfId="4186">
      <formula>INDEX($I$1:$I$399,ROW(CJ259))=3</formula>
    </cfRule>
    <cfRule type="expression" priority="1519" dxfId="4186">
      <formula>INDEX($I$1:$I$399,ROW(CJ259))=3</formula>
    </cfRule>
    <cfRule type="expression" priority="1520" dxfId="4166">
      <formula>INDEX($I$1:$I$399,ROW(CJ259))=1</formula>
    </cfRule>
    <cfRule type="expression" priority="1521" dxfId="4185">
      <formula>INDEX($I$1:$I$399,ROW(CJ259))=2</formula>
    </cfRule>
    <cfRule type="expression" priority="1460" dxfId="4166">
      <formula>INDEX($I$1:$I$399,ROW(CJ259))=1</formula>
    </cfRule>
    <cfRule type="expression" priority="1459" dxfId="4186">
      <formula>INDEX($I$1:$I$399,ROW(CJ259))=3</formula>
    </cfRule>
    <cfRule type="expression" priority="1457" dxfId="4185">
      <formula>INDEX($I$1:$I$399,ROW(CJ259))=2</formula>
    </cfRule>
    <cfRule type="expression" priority="1456" dxfId="4166">
      <formula>INDEX($I$1:$I$399,ROW(CJ259))=1</formula>
    </cfRule>
    <cfRule type="expression" priority="1455" dxfId="4186">
      <formula>INDEX($I$1:$I$399,ROW(CJ259))=3</formula>
    </cfRule>
    <cfRule type="expression" priority="1453" dxfId="4185">
      <formula>INDEX($I$1:$I$399,ROW(CJ259))=2</formula>
    </cfRule>
    <cfRule type="expression" priority="1452" dxfId="4166">
      <formula>INDEX($I$1:$I$399,ROW(CJ259))=1</formula>
    </cfRule>
    <cfRule type="expression" priority="1461" dxfId="4185">
      <formula>INDEX($I$1:$I$399,ROW(CJ259))=2</formula>
    </cfRule>
    <cfRule type="expression" priority="1451" dxfId="4186">
      <formula>INDEX($I$1:$I$399,ROW(CJ259))=3</formula>
    </cfRule>
    <cfRule type="expression" priority="1449" dxfId="4185">
      <formula>INDEX($I$1:$I$399,ROW(CJ259))=2</formula>
    </cfRule>
    <cfRule type="expression" priority="1448" dxfId="4166">
      <formula>INDEX($I$1:$I$399,ROW(CJ259))=1</formula>
    </cfRule>
    <cfRule type="expression" priority="1503" dxfId="4186">
      <formula>INDEX($I$1:$I$399,ROW(CJ259))=3</formula>
    </cfRule>
    <cfRule type="expression" priority="1447" dxfId="4186">
      <formula>INDEX($I$1:$I$399,ROW(CJ259))=3</formula>
    </cfRule>
  </conditionalFormatting>
  <conditionalFormatting sqref="CJ268:CJ273">
    <cfRule type="expression" priority="1312" dxfId="4166">
      <formula>INDEX($I$1:$I$399,ROW(CJ268))=1</formula>
    </cfRule>
    <cfRule type="expression" priority="1317" dxfId="4185">
      <formula>INDEX($I$1:$I$399,ROW(CJ268))=2</formula>
    </cfRule>
    <cfRule type="expression" priority="1345" dxfId="4185">
      <formula>INDEX($I$1:$I$399,ROW(CJ268))=2</formula>
    </cfRule>
    <cfRule type="expression" priority="1303" dxfId="4186">
      <formula>INDEX($I$1:$I$399,ROW(CJ268))=3</formula>
    </cfRule>
    <cfRule type="expression" priority="1361" dxfId="4185">
      <formula>INDEX($I$1:$I$399,ROW(CJ268))=2</formula>
    </cfRule>
    <cfRule type="expression" priority="1377" dxfId="4185">
      <formula>INDEX($I$1:$I$399,ROW(CJ268))=2</formula>
    </cfRule>
    <cfRule type="expression" priority="1360" dxfId="4166">
      <formula>INDEX($I$1:$I$399,ROW(CJ268))=1</formula>
    </cfRule>
    <cfRule type="expression" priority="1359" dxfId="4186">
      <formula>INDEX($I$1:$I$399,ROW(CJ268))=3</formula>
    </cfRule>
    <cfRule type="expression" priority="1304" dxfId="4166">
      <formula>INDEX($I$1:$I$399,ROW(CJ268))=1</formula>
    </cfRule>
    <cfRule type="expression" priority="1305" dxfId="4185">
      <formula>INDEX($I$1:$I$399,ROW(CJ268))=2</formula>
    </cfRule>
    <cfRule type="expression" priority="1307" dxfId="4186">
      <formula>INDEX($I$1:$I$399,ROW(CJ268))=3</formula>
    </cfRule>
    <cfRule type="expression" priority="1308" dxfId="4166">
      <formula>INDEX($I$1:$I$399,ROW(CJ268))=1</formula>
    </cfRule>
    <cfRule type="expression" priority="1309" dxfId="4185">
      <formula>INDEX($I$1:$I$399,ROW(CJ268))=2</formula>
    </cfRule>
    <cfRule type="expression" priority="1311" dxfId="4186">
      <formula>INDEX($I$1:$I$399,ROW(CJ268))=3</formula>
    </cfRule>
    <cfRule type="expression" priority="1376" dxfId="4166">
      <formula>INDEX($I$1:$I$399,ROW(CJ268))=1</formula>
    </cfRule>
    <cfRule type="expression" priority="1313" dxfId="4185">
      <formula>INDEX($I$1:$I$399,ROW(CJ268))=2</formula>
    </cfRule>
    <cfRule type="expression" priority="1375" dxfId="4186">
      <formula>INDEX($I$1:$I$399,ROW(CJ268))=3</formula>
    </cfRule>
    <cfRule type="expression" priority="1344" dxfId="4166">
      <formula>INDEX($I$1:$I$399,ROW(CJ268))=1</formula>
    </cfRule>
    <cfRule type="expression" priority="1343" dxfId="4186">
      <formula>INDEX($I$1:$I$399,ROW(CJ268))=3</formula>
    </cfRule>
    <cfRule type="expression" priority="1315" dxfId="4186">
      <formula>INDEX($I$1:$I$399,ROW(CJ268))=3</formula>
    </cfRule>
    <cfRule type="expression" priority="1316" dxfId="4166">
      <formula>INDEX($I$1:$I$399,ROW(CJ268))=1</formula>
    </cfRule>
  </conditionalFormatting>
  <conditionalFormatting sqref="CJ277:CJ282">
    <cfRule type="expression" priority="1215" dxfId="4186">
      <formula>INDEX($I$1:$I$399,ROW(CJ277))=3</formula>
    </cfRule>
    <cfRule type="expression" priority="1216" dxfId="4166">
      <formula>INDEX($I$1:$I$399,ROW(CJ277))=1</formula>
    </cfRule>
    <cfRule type="expression" priority="1161" dxfId="4185">
      <formula>INDEX($I$1:$I$399,ROW(CJ277))=2</formula>
    </cfRule>
    <cfRule type="expression" priority="1160" dxfId="4166">
      <formula>INDEX($I$1:$I$399,ROW(CJ277))=1</formula>
    </cfRule>
    <cfRule type="expression" priority="1159" dxfId="4186">
      <formula>INDEX($I$1:$I$399,ROW(CJ277))=3</formula>
    </cfRule>
    <cfRule type="expression" priority="1217" dxfId="4185">
      <formula>INDEX($I$1:$I$399,ROW(CJ277))=2</formula>
    </cfRule>
    <cfRule type="expression" priority="1231" dxfId="4186">
      <formula>INDEX($I$1:$I$399,ROW(CJ277))=3</formula>
    </cfRule>
    <cfRule type="expression" priority="1232" dxfId="4166">
      <formula>INDEX($I$1:$I$399,ROW(CJ277))=1</formula>
    </cfRule>
    <cfRule type="expression" priority="1233" dxfId="4185">
      <formula>INDEX($I$1:$I$399,ROW(CJ277))=2</formula>
    </cfRule>
    <cfRule type="expression" priority="1173" dxfId="4185">
      <formula>INDEX($I$1:$I$399,ROW(CJ277))=2</formula>
    </cfRule>
    <cfRule type="expression" priority="1169" dxfId="4185">
      <formula>INDEX($I$1:$I$399,ROW(CJ277))=2</formula>
    </cfRule>
    <cfRule type="expression" priority="1199" dxfId="4186">
      <formula>INDEX($I$1:$I$399,ROW(CJ277))=3</formula>
    </cfRule>
    <cfRule type="expression" priority="1172" dxfId="4166">
      <formula>INDEX($I$1:$I$399,ROW(CJ277))=1</formula>
    </cfRule>
    <cfRule type="expression" priority="1171" dxfId="4186">
      <formula>INDEX($I$1:$I$399,ROW(CJ277))=3</formula>
    </cfRule>
    <cfRule type="expression" priority="1200" dxfId="4166">
      <formula>INDEX($I$1:$I$399,ROW(CJ277))=1</formula>
    </cfRule>
    <cfRule type="expression" priority="1201" dxfId="4185">
      <formula>INDEX($I$1:$I$399,ROW(CJ277))=2</formula>
    </cfRule>
    <cfRule type="expression" priority="1168" dxfId="4166">
      <formula>INDEX($I$1:$I$399,ROW(CJ277))=1</formula>
    </cfRule>
    <cfRule type="expression" priority="1167" dxfId="4186">
      <formula>INDEX($I$1:$I$399,ROW(CJ277))=3</formula>
    </cfRule>
    <cfRule type="expression" priority="1165" dxfId="4185">
      <formula>INDEX($I$1:$I$399,ROW(CJ277))=2</formula>
    </cfRule>
    <cfRule type="expression" priority="1164" dxfId="4166">
      <formula>INDEX($I$1:$I$399,ROW(CJ277))=1</formula>
    </cfRule>
    <cfRule type="expression" priority="1163" dxfId="4186">
      <formula>INDEX($I$1:$I$399,ROW(CJ277))=3</formula>
    </cfRule>
  </conditionalFormatting>
  <conditionalFormatting sqref="CJ286:CJ291">
    <cfRule type="expression" priority="1089" dxfId="4185">
      <formula>INDEX($I$1:$I$399,ROW(CJ286))=2</formula>
    </cfRule>
    <cfRule type="expression" priority="1019" dxfId="4186">
      <formula>INDEX($I$1:$I$399,ROW(CJ286))=3</formula>
    </cfRule>
    <cfRule type="expression" priority="1088" dxfId="4166">
      <formula>INDEX($I$1:$I$399,ROW(CJ286))=1</formula>
    </cfRule>
    <cfRule type="expression" priority="1017" dxfId="4185">
      <formula>INDEX($I$1:$I$399,ROW(CJ286))=2</formula>
    </cfRule>
    <cfRule type="expression" priority="1087" dxfId="4186">
      <formula>INDEX($I$1:$I$399,ROW(CJ286))=3</formula>
    </cfRule>
    <cfRule type="expression" priority="1021" dxfId="4185">
      <formula>INDEX($I$1:$I$399,ROW(CJ286))=2</formula>
    </cfRule>
    <cfRule type="expression" priority="1057" dxfId="4185">
      <formula>INDEX($I$1:$I$399,ROW(CJ286))=2</formula>
    </cfRule>
    <cfRule type="expression" priority="1020" dxfId="4166">
      <formula>INDEX($I$1:$I$399,ROW(CJ286))=1</formula>
    </cfRule>
    <cfRule type="expression" priority="1029" dxfId="4185">
      <formula>INDEX($I$1:$I$399,ROW(CJ286))=2</formula>
    </cfRule>
    <cfRule type="expression" priority="1073" dxfId="4185">
      <formula>INDEX($I$1:$I$399,ROW(CJ286))=2</formula>
    </cfRule>
    <cfRule type="expression" priority="1072" dxfId="4166">
      <formula>INDEX($I$1:$I$399,ROW(CJ286))=1</formula>
    </cfRule>
    <cfRule type="expression" priority="1028" dxfId="4166">
      <formula>INDEX($I$1:$I$399,ROW(CJ286))=1</formula>
    </cfRule>
    <cfRule type="expression" priority="1027" dxfId="4186">
      <formula>INDEX($I$1:$I$399,ROW(CJ286))=3</formula>
    </cfRule>
    <cfRule type="expression" priority="1056" dxfId="4166">
      <formula>INDEX($I$1:$I$399,ROW(CJ286))=1</formula>
    </cfRule>
    <cfRule type="expression" priority="1016" dxfId="4166">
      <formula>INDEX($I$1:$I$399,ROW(CJ286))=1</formula>
    </cfRule>
    <cfRule type="expression" priority="1024" dxfId="4166">
      <formula>INDEX($I$1:$I$399,ROW(CJ286))=1</formula>
    </cfRule>
    <cfRule type="expression" priority="1025" dxfId="4185">
      <formula>INDEX($I$1:$I$399,ROW(CJ286))=2</formula>
    </cfRule>
    <cfRule type="expression" priority="1055" dxfId="4186">
      <formula>INDEX($I$1:$I$399,ROW(CJ286))=3</formula>
    </cfRule>
    <cfRule type="expression" priority="1071" dxfId="4186">
      <formula>INDEX($I$1:$I$399,ROW(CJ286))=3</formula>
    </cfRule>
    <cfRule type="expression" priority="1015" dxfId="4186">
      <formula>INDEX($I$1:$I$399,ROW(CJ286))=3</formula>
    </cfRule>
    <cfRule type="expression" priority="1023" dxfId="4186">
      <formula>INDEX($I$1:$I$399,ROW(CJ286))=3</formula>
    </cfRule>
  </conditionalFormatting>
  <conditionalFormatting sqref="CJ295:CJ300">
    <cfRule type="expression" priority="884" dxfId="4185">
      <formula>INDEX($I$1:$I$399,ROW(CJ295))=2</formula>
    </cfRule>
    <cfRule type="expression" priority="883" dxfId="4166">
      <formula>INDEX($I$1:$I$399,ROW(CJ295))=1</formula>
    </cfRule>
    <cfRule type="expression" priority="882" dxfId="4186">
      <formula>INDEX($I$1:$I$399,ROW(CJ295))=3</formula>
    </cfRule>
    <cfRule type="expression" priority="943" dxfId="4166">
      <formula>INDEX($I$1:$I$399,ROW(CJ295))=1</formula>
    </cfRule>
    <cfRule type="expression" priority="944" dxfId="4185">
      <formula>INDEX($I$1:$I$399,ROW(CJ295))=2</formula>
    </cfRule>
    <cfRule type="expression" priority="942" dxfId="4186">
      <formula>INDEX($I$1:$I$399,ROW(CJ295))=3</formula>
    </cfRule>
    <cfRule type="expression" priority="880" dxfId="4185">
      <formula>INDEX($I$1:$I$399,ROW(CJ295))=2</formula>
    </cfRule>
    <cfRule type="expression" priority="879" dxfId="4166">
      <formula>INDEX($I$1:$I$399,ROW(CJ295))=1</formula>
    </cfRule>
    <cfRule type="expression" priority="878" dxfId="4186">
      <formula>INDEX($I$1:$I$399,ROW(CJ295))=3</formula>
    </cfRule>
    <cfRule type="expression" priority="875" dxfId="4166">
      <formula>INDEX($I$1:$I$399,ROW(CJ295))=1</formula>
    </cfRule>
    <cfRule type="expression" priority="874" dxfId="4186">
      <formula>INDEX($I$1:$I$399,ROW(CJ295))=3</formula>
    </cfRule>
    <cfRule type="expression" priority="872" dxfId="4185">
      <formula>INDEX($I$1:$I$399,ROW(CJ295))=2</formula>
    </cfRule>
    <cfRule type="expression" priority="871" dxfId="4166">
      <formula>INDEX($I$1:$I$399,ROW(CJ295))=1</formula>
    </cfRule>
    <cfRule type="expression" priority="870" dxfId="4186">
      <formula>INDEX($I$1:$I$399,ROW(CJ295))=3</formula>
    </cfRule>
    <cfRule type="expression" priority="912" dxfId="4185">
      <formula>INDEX($I$1:$I$399,ROW(CJ295))=2</formula>
    </cfRule>
    <cfRule type="expression" priority="926" dxfId="4186">
      <formula>INDEX($I$1:$I$399,ROW(CJ295))=3</formula>
    </cfRule>
    <cfRule type="expression" priority="927" dxfId="4166">
      <formula>INDEX($I$1:$I$399,ROW(CJ295))=1</formula>
    </cfRule>
    <cfRule type="expression" priority="928" dxfId="4185">
      <formula>INDEX($I$1:$I$399,ROW(CJ295))=2</formula>
    </cfRule>
    <cfRule type="expression" priority="911" dxfId="4166">
      <formula>INDEX($I$1:$I$399,ROW(CJ295))=1</formula>
    </cfRule>
    <cfRule type="expression" priority="910" dxfId="4186">
      <formula>INDEX($I$1:$I$399,ROW(CJ295))=3</formula>
    </cfRule>
    <cfRule type="expression" priority="876" dxfId="4185">
      <formula>INDEX($I$1:$I$399,ROW(CJ295))=2</formula>
    </cfRule>
  </conditionalFormatting>
  <conditionalFormatting sqref="CJ304:CJ309">
    <cfRule type="expression" priority="725" dxfId="4186">
      <formula>INDEX($I$1:$I$399,ROW(CJ304))=3</formula>
    </cfRule>
    <cfRule type="expression" priority="723" dxfId="4185">
      <formula>INDEX($I$1:$I$399,ROW(CJ304))=2</formula>
    </cfRule>
    <cfRule type="expression" priority="722" dxfId="4166">
      <formula>INDEX($I$1:$I$399,ROW(CJ304))=1</formula>
    </cfRule>
    <cfRule type="expression" priority="734" dxfId="4166">
      <formula>INDEX($I$1:$I$399,ROW(CJ304))=1</formula>
    </cfRule>
    <cfRule type="expression" priority="795" dxfId="4185">
      <formula>INDEX($I$1:$I$399,ROW(CJ304))=2</formula>
    </cfRule>
    <cfRule type="expression" priority="730" dxfId="4166">
      <formula>INDEX($I$1:$I$399,ROW(CJ304))=1</formula>
    </cfRule>
    <cfRule type="expression" priority="731" dxfId="4185">
      <formula>INDEX($I$1:$I$399,ROW(CJ304))=2</formula>
    </cfRule>
    <cfRule type="expression" priority="726" dxfId="4166">
      <formula>INDEX($I$1:$I$399,ROW(CJ304))=1</formula>
    </cfRule>
    <cfRule type="expression" priority="777" dxfId="4186">
      <formula>INDEX($I$1:$I$399,ROW(CJ304))=3</formula>
    </cfRule>
    <cfRule type="expression" priority="778" dxfId="4166">
      <formula>INDEX($I$1:$I$399,ROW(CJ304))=1</formula>
    </cfRule>
    <cfRule type="expression" priority="779" dxfId="4185">
      <formula>INDEX($I$1:$I$399,ROW(CJ304))=2</formula>
    </cfRule>
    <cfRule type="expression" priority="793" dxfId="4186">
      <formula>INDEX($I$1:$I$399,ROW(CJ304))=3</formula>
    </cfRule>
    <cfRule type="expression" priority="794" dxfId="4166">
      <formula>INDEX($I$1:$I$399,ROW(CJ304))=1</formula>
    </cfRule>
    <cfRule type="expression" priority="735" dxfId="4185">
      <formula>INDEX($I$1:$I$399,ROW(CJ304))=2</formula>
    </cfRule>
    <cfRule type="expression" priority="733" dxfId="4186">
      <formula>INDEX($I$1:$I$399,ROW(CJ304))=3</formula>
    </cfRule>
    <cfRule type="expression" priority="721" dxfId="4186">
      <formula>INDEX($I$1:$I$399,ROW(CJ304))=3</formula>
    </cfRule>
    <cfRule type="expression" priority="761" dxfId="4186">
      <formula>INDEX($I$1:$I$399,ROW(CJ304))=3</formula>
    </cfRule>
    <cfRule type="expression" priority="763" dxfId="4185">
      <formula>INDEX($I$1:$I$399,ROW(CJ304))=2</formula>
    </cfRule>
    <cfRule type="expression" priority="762" dxfId="4166">
      <formula>INDEX($I$1:$I$399,ROW(CJ304))=1</formula>
    </cfRule>
    <cfRule type="expression" priority="729" dxfId="4186">
      <formula>INDEX($I$1:$I$399,ROW(CJ304))=3</formula>
    </cfRule>
    <cfRule type="expression" priority="727" dxfId="4185">
      <formula>INDEX($I$1:$I$399,ROW(CJ304))=2</formula>
    </cfRule>
  </conditionalFormatting>
  <conditionalFormatting sqref="CJ313:CJ318">
    <cfRule type="expression" priority="645" dxfId="4166">
      <formula>INDEX($I$1:$I$399,ROW(CJ313))=1</formula>
    </cfRule>
    <cfRule type="expression" priority="644" dxfId="4186">
      <formula>INDEX($I$1:$I$399,ROW(CJ313))=3</formula>
    </cfRule>
    <cfRule type="expression" priority="630" dxfId="4185">
      <formula>INDEX($I$1:$I$399,ROW(CJ313))=2</formula>
    </cfRule>
    <cfRule type="expression" priority="572" dxfId="4186">
      <formula>INDEX($I$1:$I$399,ROW(CJ313))=3</formula>
    </cfRule>
    <cfRule type="expression" priority="573" dxfId="4166">
      <formula>INDEX($I$1:$I$399,ROW(CJ313))=1</formula>
    </cfRule>
    <cfRule type="expression" priority="628" dxfId="4186">
      <formula>INDEX($I$1:$I$399,ROW(CJ313))=3</formula>
    </cfRule>
    <cfRule type="expression" priority="614" dxfId="4185">
      <formula>INDEX($I$1:$I$399,ROW(CJ313))=2</formula>
    </cfRule>
    <cfRule type="expression" priority="613" dxfId="4166">
      <formula>INDEX($I$1:$I$399,ROW(CJ313))=1</formula>
    </cfRule>
    <cfRule type="expression" priority="612" dxfId="4186">
      <formula>INDEX($I$1:$I$399,ROW(CJ313))=3</formula>
    </cfRule>
    <cfRule type="expression" priority="586" dxfId="4185">
      <formula>INDEX($I$1:$I$399,ROW(CJ313))=2</formula>
    </cfRule>
    <cfRule type="expression" priority="629" dxfId="4166">
      <formula>INDEX($I$1:$I$399,ROW(CJ313))=1</formula>
    </cfRule>
    <cfRule type="expression" priority="585" dxfId="4166">
      <formula>INDEX($I$1:$I$399,ROW(CJ313))=1</formula>
    </cfRule>
    <cfRule type="expression" priority="584" dxfId="4186">
      <formula>INDEX($I$1:$I$399,ROW(CJ313))=3</formula>
    </cfRule>
    <cfRule type="expression" priority="582" dxfId="4185">
      <formula>INDEX($I$1:$I$399,ROW(CJ313))=2</formula>
    </cfRule>
    <cfRule type="expression" priority="578" dxfId="4185">
      <formula>INDEX($I$1:$I$399,ROW(CJ313))=2</formula>
    </cfRule>
    <cfRule type="expression" priority="577" dxfId="4166">
      <formula>INDEX($I$1:$I$399,ROW(CJ313))=1</formula>
    </cfRule>
    <cfRule type="expression" priority="576" dxfId="4186">
      <formula>INDEX($I$1:$I$399,ROW(CJ313))=3</formula>
    </cfRule>
    <cfRule type="expression" priority="574" dxfId="4185">
      <formula>INDEX($I$1:$I$399,ROW(CJ313))=2</formula>
    </cfRule>
    <cfRule type="expression" priority="581" dxfId="4166">
      <formula>INDEX($I$1:$I$399,ROW(CJ313))=1</formula>
    </cfRule>
    <cfRule type="expression" priority="580" dxfId="4186">
      <formula>INDEX($I$1:$I$399,ROW(CJ313))=3</formula>
    </cfRule>
    <cfRule type="expression" priority="646" dxfId="4185">
      <formula>INDEX($I$1:$I$399,ROW(CJ313))=2</formula>
    </cfRule>
  </conditionalFormatting>
  <conditionalFormatting sqref="CJ322:CJ327">
    <cfRule type="expression" priority="496" dxfId="4166">
      <formula>INDEX($I$1:$I$399,ROW(CJ322))=1</formula>
    </cfRule>
    <cfRule type="expression" priority="435" dxfId="4186">
      <formula>INDEX($I$1:$I$399,ROW(CJ322))=3</formula>
    </cfRule>
    <cfRule type="expression" priority="436" dxfId="4166">
      <formula>INDEX($I$1:$I$399,ROW(CJ322))=1</formula>
    </cfRule>
    <cfRule type="expression" priority="497" dxfId="4185">
      <formula>INDEX($I$1:$I$399,ROW(CJ322))=2</formula>
    </cfRule>
    <cfRule type="expression" priority="495" dxfId="4186">
      <formula>INDEX($I$1:$I$399,ROW(CJ322))=3</formula>
    </cfRule>
    <cfRule type="expression" priority="437" dxfId="4185">
      <formula>INDEX($I$1:$I$399,ROW(CJ322))=2</formula>
    </cfRule>
    <cfRule type="expression" priority="481" dxfId="4185">
      <formula>INDEX($I$1:$I$399,ROW(CJ322))=2</formula>
    </cfRule>
    <cfRule type="expression" priority="424" dxfId="4166">
      <formula>INDEX($I$1:$I$399,ROW(CJ322))=1</formula>
    </cfRule>
    <cfRule type="expression" priority="463" dxfId="4186">
      <formula>INDEX($I$1:$I$399,ROW(CJ322))=3</formula>
    </cfRule>
    <cfRule type="expression" priority="464" dxfId="4166">
      <formula>INDEX($I$1:$I$399,ROW(CJ322))=1</formula>
    </cfRule>
    <cfRule type="expression" priority="465" dxfId="4185">
      <formula>INDEX($I$1:$I$399,ROW(CJ322))=2</formula>
    </cfRule>
    <cfRule type="expression" priority="480" dxfId="4166">
      <formula>INDEX($I$1:$I$399,ROW(CJ322))=1</formula>
    </cfRule>
    <cfRule type="expression" priority="479" dxfId="4186">
      <formula>INDEX($I$1:$I$399,ROW(CJ322))=3</formula>
    </cfRule>
    <cfRule type="expression" priority="431" dxfId="4186">
      <formula>INDEX($I$1:$I$399,ROW(CJ322))=3</formula>
    </cfRule>
    <cfRule type="expression" priority="429" dxfId="4185">
      <formula>INDEX($I$1:$I$399,ROW(CJ322))=2</formula>
    </cfRule>
    <cfRule type="expression" priority="428" dxfId="4166">
      <formula>INDEX($I$1:$I$399,ROW(CJ322))=1</formula>
    </cfRule>
    <cfRule type="expression" priority="427" dxfId="4186">
      <formula>INDEX($I$1:$I$399,ROW(CJ322))=3</formula>
    </cfRule>
    <cfRule type="expression" priority="425" dxfId="4185">
      <formula>INDEX($I$1:$I$399,ROW(CJ322))=2</formula>
    </cfRule>
    <cfRule type="expression" priority="432" dxfId="4166">
      <formula>INDEX($I$1:$I$399,ROW(CJ322))=1</formula>
    </cfRule>
    <cfRule type="expression" priority="433" dxfId="4185">
      <formula>INDEX($I$1:$I$399,ROW(CJ322))=2</formula>
    </cfRule>
    <cfRule type="expression" priority="423" dxfId="4186">
      <formula>INDEX($I$1:$I$399,ROW(CJ322))=3</formula>
    </cfRule>
  </conditionalFormatting>
  <conditionalFormatting sqref="CJ331:CJ336">
    <cfRule type="expression" priority="274" dxfId="4186">
      <formula>INDEX($I$1:$I$399,ROW(CJ331))=3</formula>
    </cfRule>
    <cfRule type="expression" priority="275" dxfId="4166">
      <formula>INDEX($I$1:$I$399,ROW(CJ331))=1</formula>
    </cfRule>
    <cfRule type="expression" priority="346" dxfId="4186">
      <formula>INDEX($I$1:$I$399,ROW(CJ331))=3</formula>
    </cfRule>
    <cfRule type="expression" priority="347" dxfId="4166">
      <formula>INDEX($I$1:$I$399,ROW(CJ331))=1</formula>
    </cfRule>
    <cfRule type="expression" priority="314" dxfId="4186">
      <formula>INDEX($I$1:$I$399,ROW(CJ331))=3</formula>
    </cfRule>
    <cfRule type="expression" priority="315" dxfId="4166">
      <formula>INDEX($I$1:$I$399,ROW(CJ331))=1</formula>
    </cfRule>
    <cfRule type="expression" priority="316" dxfId="4185">
      <formula>INDEX($I$1:$I$399,ROW(CJ331))=2</formula>
    </cfRule>
    <cfRule type="expression" priority="348" dxfId="4185">
      <formula>INDEX($I$1:$I$399,ROW(CJ331))=2</formula>
    </cfRule>
    <cfRule type="expression" priority="276" dxfId="4185">
      <formula>INDEX($I$1:$I$399,ROW(CJ331))=2</formula>
    </cfRule>
    <cfRule type="expression" priority="278" dxfId="4186">
      <formula>INDEX($I$1:$I$399,ROW(CJ331))=3</formula>
    </cfRule>
    <cfRule type="expression" priority="279" dxfId="4166">
      <formula>INDEX($I$1:$I$399,ROW(CJ331))=1</formula>
    </cfRule>
    <cfRule type="expression" priority="280" dxfId="4185">
      <formula>INDEX($I$1:$I$399,ROW(CJ331))=2</formula>
    </cfRule>
    <cfRule type="expression" priority="282" dxfId="4186">
      <formula>INDEX($I$1:$I$399,ROW(CJ331))=3</formula>
    </cfRule>
    <cfRule type="expression" priority="283" dxfId="4166">
      <formula>INDEX($I$1:$I$399,ROW(CJ331))=1</formula>
    </cfRule>
    <cfRule type="expression" priority="284" dxfId="4185">
      <formula>INDEX($I$1:$I$399,ROW(CJ331))=2</formula>
    </cfRule>
    <cfRule type="expression" priority="330" dxfId="4186">
      <formula>INDEX($I$1:$I$399,ROW(CJ331))=3</formula>
    </cfRule>
    <cfRule type="expression" priority="331" dxfId="4166">
      <formula>INDEX($I$1:$I$399,ROW(CJ331))=1</formula>
    </cfRule>
    <cfRule type="expression" priority="332" dxfId="4185">
      <formula>INDEX($I$1:$I$399,ROW(CJ331))=2</formula>
    </cfRule>
    <cfRule type="expression" priority="286" dxfId="4186">
      <formula>INDEX($I$1:$I$399,ROW(CJ331))=3</formula>
    </cfRule>
    <cfRule type="expression" priority="287" dxfId="4166">
      <formula>INDEX($I$1:$I$399,ROW(CJ331))=1</formula>
    </cfRule>
    <cfRule type="expression" priority="288" dxfId="4185">
      <formula>INDEX($I$1:$I$399,ROW(CJ331))=2</formula>
    </cfRule>
  </conditionalFormatting>
  <conditionalFormatting sqref="CJ99:CK99">
    <cfRule type="expression" priority="29458" dxfId="4185">
      <formula>INDEX($I$1:$I$399,ROW(CJ99))=2</formula>
    </cfRule>
    <cfRule type="expression" priority="29457" dxfId="4166">
      <formula>INDEX($I$1:$I$399,ROW(CJ99))=1</formula>
    </cfRule>
    <cfRule type="expression" priority="29456" dxfId="4186">
      <formula>INDEX($I$1:$I$399,ROW(CJ99))=3</formula>
    </cfRule>
    <cfRule type="expression" priority="29459" dxfId="4165">
      <formula>_xlfn.SWITCH(INDEX($X$1:$X$399,ROW(CJ99)),-1,SIGN(CJ99)&gt;0,1,SIGN(CJ99)&lt;0)</formula>
    </cfRule>
  </conditionalFormatting>
  <conditionalFormatting sqref="CJ102:CK110 CJ113:CK122">
    <cfRule type="expression" priority="29468" dxfId="4186">
      <formula>INDEX($I$1:$I$399,ROW(CJ102))=3</formula>
    </cfRule>
    <cfRule type="expression" priority="29469" dxfId="4166">
      <formula>INDEX($I$1:$I$399,ROW(CJ102))=1</formula>
    </cfRule>
    <cfRule type="expression" priority="29470" dxfId="4185">
      <formula>INDEX($I$1:$I$399,ROW(CJ102))=2</formula>
    </cfRule>
    <cfRule type="expression" priority="29471" dxfId="4186">
      <formula>INDEX($I$1:$I$399,ROW(CJ102))=3</formula>
    </cfRule>
    <cfRule type="expression" priority="29461" dxfId="4186">
      <formula>INDEX($I$1:$I$399,ROW(CJ102))=3</formula>
    </cfRule>
    <cfRule type="expression" priority="29473" dxfId="4185">
      <formula>INDEX($I$1:$I$399,ROW(CJ102))=2</formula>
    </cfRule>
    <cfRule type="expression" priority="29462" dxfId="4166">
      <formula>INDEX($I$1:$I$399,ROW(CJ102))=1</formula>
    </cfRule>
    <cfRule type="expression" priority="29463" dxfId="4185">
      <formula>INDEX($I$1:$I$399,ROW(CJ102))=2</formula>
    </cfRule>
    <cfRule type="expression" priority="29465" dxfId="4186">
      <formula>INDEX($I$1:$I$399,ROW(CJ102))=3</formula>
    </cfRule>
    <cfRule type="expression" priority="29466" dxfId="4166">
      <formula>INDEX($I$1:$I$399,ROW(CJ102))=1</formula>
    </cfRule>
    <cfRule type="expression" priority="29467" dxfId="4185">
      <formula>INDEX($I$1:$I$399,ROW(CJ102))=2</formula>
    </cfRule>
    <cfRule type="expression" priority="29472" dxfId="4166">
      <formula>INDEX($I$1:$I$399,ROW(CJ102))=1</formula>
    </cfRule>
  </conditionalFormatting>
  <conditionalFormatting sqref="CJ119:CK119">
    <cfRule type="expression" priority="1684" dxfId="4166">
      <formula>INDEX($I$1:$I$399,ROW(CJ119))=1</formula>
    </cfRule>
    <cfRule type="expression" priority="1685" dxfId="4185">
      <formula>INDEX($I$1:$I$399,ROW(CJ119))=2</formula>
    </cfRule>
    <cfRule type="expression" priority="1686" dxfId="4186">
      <formula>INDEX($I$1:$I$399,ROW(CJ119))=3</formula>
    </cfRule>
    <cfRule type="expression" priority="1687" dxfId="4166">
      <formula>INDEX($I$1:$I$399,ROW(CJ119))=1</formula>
    </cfRule>
    <cfRule type="expression" priority="1688" dxfId="4185">
      <formula>INDEX($I$1:$I$399,ROW(CJ119))=2</formula>
    </cfRule>
    <cfRule type="expression" priority="1679" dxfId="4165">
      <formula>_xlfn.SWITCH(INDEX($X$1:$X$399,ROW(CJ119)),-1,SIGN(CJ119)&gt;0,1,SIGN(CJ119)&lt;0)</formula>
    </cfRule>
    <cfRule type="expression" priority="1683" dxfId="4186">
      <formula>INDEX($I$1:$I$399,ROW(CJ119))=3</formula>
    </cfRule>
    <cfRule type="expression" priority="1676" dxfId="4186">
      <formula>INDEX($I$1:$I$399,ROW(CJ119))=3</formula>
    </cfRule>
    <cfRule type="expression" priority="1677" dxfId="4166">
      <formula>INDEX($I$1:$I$399,ROW(CJ119))=1</formula>
    </cfRule>
    <cfRule type="expression" priority="1678" dxfId="4185">
      <formula>INDEX($I$1:$I$399,ROW(CJ119))=2</formula>
    </cfRule>
    <cfRule type="expression" priority="1682" dxfId="4185">
      <formula>INDEX($I$1:$I$399,ROW(CJ119))=2</formula>
    </cfRule>
    <cfRule type="expression" priority="1680" dxfId="4186">
      <formula>INDEX($I$1:$I$399,ROW(CJ119))=3</formula>
    </cfRule>
    <cfRule type="expression" priority="1681" dxfId="4166">
      <formula>INDEX($I$1:$I$399,ROW(CJ119))=1</formula>
    </cfRule>
  </conditionalFormatting>
  <conditionalFormatting sqref="Y10 CD10:CE11 CG10:CH11 CJ10:CK11 X19:BZ54 CD20:CE74 CG20:CH74 CJ20:CK74 CM20:CN21 CM24:CN24 CM26:CN31 CM33:CN33 CM35:CN35 CM37:CN38 CM40:CN40 CM45:CN54 W55:BZ55 X56:BZ187 CM56:CN66 CD76:CE130 CG76:CH130 CJ76:CK130 CM76:CN77 CP76:CQ77 CM80:CN80 CM82:CN87 CM89:CN89 CM91:CN91 CM93:CN94 CP113:CQ122 W128 CD132:CE145 CG132:CH145 CJ132:CK145 W143 CD147:CE159 CG147:CH159 CJ147:CK159 CM148:CN153 W157 CD161:CE173 CG161:CH173 CJ161:CK173 W171 CD175:CE189 CG175:CH189 CJ175:CK189 W187 X188 Z188:BZ188 X189:BZ200 CD191:CE203 CG191:CH203 CJ191:CK203 W201 X201:X202 Y201 Z201:BZ202 X203:BZ215 CD205:CE218 CG205:CH218 CJ205:CK218 W216 X216:X217 Y216 Z216:BZ217 X218:BZ227 CD220:CE227 CG220:CH227 CJ220:CK227 CP221:CQ226 X230:BZ230 CD230:CE233 CG230:CH233 CJ230:CK233 W231 X231:X232 Y231 Z231:BZ232 X233:BZ242 CD235:CE242 CG235:CH242 CJ235:CK242 CP236:CQ241 X245:BZ245 CD245 CG245 CJ245 CD246:CE248 CG246:CH248 CJ246:CK248 Z249:BZ249 Z250:AA329 CG250:CH255 CJ250:CK255 CM250:CN255 CP250:CQ255 CG257:CH257 CJ257:CK257 AB258:BZ258 CG259:CH264 CJ259:CK264 CM259:CN264 CP259:CQ264 CG266:CH266 CJ266:CK266 AB267:BZ267 CG268:CH273 CJ268:CK273 CM268:CN273 CP268:CQ273 CG275:CH275 CJ275:CK275 AB276:BZ276 CG277:CH282 CJ277:CK282 CM277:CN282 CP277:CQ282 CG284:CH284 CJ284:CK284 AB285:BZ285 CG286:CH291 CJ286:CK291 CM286:CN291 CP286:CQ291 CG293:CH293 CJ293:CK293 AB294:BZ294 CG295:CH300 CJ295:CK300 CM295:CN300 CP295:CQ300 CG302:CH302 CJ302:CK302 AB303:BZ303 CG304:CH309 CJ304:CK309 CM304:CN309 CP304:CQ309 CG311:CH311 CJ311:CK311 AB312:BZ312 CG313:CH318 CJ313:CK318 CM313:CN318 CP313:CQ318 CG320:CH320 CJ320:CK320 AB321:BZ321 CG322:CH327 CJ322:CK327 CM322:CN327 CP322:CQ327 CG329:CH329 CJ329:CK329 Z330:BZ330 Z331:AA338 CG331:CH336 CJ331:CK336 CM331:CN336 CP331:CQ336 CG338:CH338 CJ338:CK338">
    <cfRule type="expression" priority="32243" dxfId="4191">
      <formula>INDEX($H$1:$H$399,ROW($X10))=2</formula>
    </cfRule>
  </conditionalFormatting>
  <conditionalFormatting sqref="CJ256:CK256">
    <cfRule type="expression" priority="1670" dxfId="4039">
      <formula>AND($X256=0,ISNUMBER($X256))</formula>
    </cfRule>
  </conditionalFormatting>
  <conditionalFormatting sqref="CJ265:CK265">
    <cfRule type="expression" priority="1528" dxfId="4039">
      <formula>AND($X265=0,ISNUMBER($X265))</formula>
    </cfRule>
  </conditionalFormatting>
  <conditionalFormatting sqref="CJ274:CK274">
    <cfRule type="expression" priority="1384" dxfId="4039">
      <formula>AND($X274=0,ISNUMBER($X274))</formula>
    </cfRule>
  </conditionalFormatting>
  <conditionalFormatting sqref="CJ283:CK283">
    <cfRule type="expression" priority="1240" dxfId="4039">
      <formula>AND($X283=0,ISNUMBER($X283))</formula>
    </cfRule>
  </conditionalFormatting>
  <conditionalFormatting sqref="CJ292:CK292">
    <cfRule type="expression" priority="1096" dxfId="4039">
      <formula>AND($X292=0,ISNUMBER($X292))</formula>
    </cfRule>
  </conditionalFormatting>
  <conditionalFormatting sqref="CJ301:CK301">
    <cfRule type="expression" priority="951" dxfId="4039">
      <formula>AND($X301=0,ISNUMBER($X301))</formula>
    </cfRule>
  </conditionalFormatting>
  <conditionalFormatting sqref="CJ310:CK310">
    <cfRule type="expression" priority="802" dxfId="4039">
      <formula>AND($X310=0,ISNUMBER($X310))</formula>
    </cfRule>
  </conditionalFormatting>
  <conditionalFormatting sqref="CJ319:CK319">
    <cfRule type="expression" priority="653" dxfId="4039">
      <formula>AND($X319=0,ISNUMBER($X319))</formula>
    </cfRule>
  </conditionalFormatting>
  <conditionalFormatting sqref="CJ328:CK328">
    <cfRule type="expression" priority="504" dxfId="4039">
      <formula>AND($X328=0,ISNUMBER($X328))</formula>
    </cfRule>
  </conditionalFormatting>
  <conditionalFormatting sqref="CJ337:CK337">
    <cfRule type="expression" priority="355" dxfId="4039">
      <formula>AND($X337=0,ISNUMBER($X337))</formula>
    </cfRule>
  </conditionalFormatting>
  <conditionalFormatting sqref="CD10:CE11 CG10:CH11 CJ10:CN11 CP10:CQ11 AD19:BZ227 CL19:CN19 CD20:CE74 CG20:CH74 CJ20:CN73 CJ74:CK74 CL74:CN75 CD76:CE130 CG76:CH130 CJ76:CN129 CJ130:CK130 CL130:CN131 CD132:CE145 CG132:CH145 CJ132:CN144 CJ145:CK145 CL145:CN146 CD147:CE159 CG147:CH159 CJ147:CN158 CJ159:CK159 CL159:CN160 CD161:CE173 CG161:CH173 CJ161:CN172 CJ173:CK173 CL173:CN174 CD175:CE189 CG175:CH189 CJ175:CN188 CJ189:CK189 CL189:CN190 CD191:CE203 CG191:CH203 CJ191:CN202 CJ203:CK203 CL203:CN204 CD205:CE218 CG205:CH218 CJ205:CN217 CJ218:CK218 CL218:CN219 CD220:CE227 CG220:CH227 CJ220:CN227 AD230:BZ242 CD230:CE233 CG230:CH233 CP230:CQ242 CJ233:CK233 CL233:CN234 CD235:CE242 CG235:CH242 CJ235:CN242 CG245 CJ245 CL245:CM245 CP245 CG246:CH248 CJ246:CN248 BO249:BZ249 CL249:CN249 CL256 CJ257:CN257 BO258:BZ258 CL258:CN258 CL265 BO267:BZ267 CL267:CN267 CL274 BO276:BZ276 CL276:CN276 CL283 BO285:BZ285 CL285:CN285 CL292 BO294:BZ294 CL294:CN294 CL301 CL303:CN303 CL310 BO312:BZ312 CL312:CN312 CL319 BO321:BZ321 CL321:CN321 CL328 BO330:BZ330 CL330:CN330 CL337 CJ338:CN338 CP338:CQ338">
    <cfRule type="expression" priority="29607" dxfId="4185">
      <formula>INDEX($I$1:$I$399,ROW(AD10))=2</formula>
    </cfRule>
  </conditionalFormatting>
  <conditionalFormatting sqref="CD10:CE11 CG10:CH11 CJ10:CN11 CP10:CQ11 AD19:BZ227 CL19:CN19 CD20:CE74 CG20:CH74 CJ20:CN73 CJ74:CK74 CL74:CN75 CD76:CE130 CG76:CH130 CJ76:CN129 CJ130:CK130 CL130:CN131 CD132:CE145 CG132:CH145 CJ132:CN144 CJ145:CK145 CL145:CN146 CD147:CE159 CG147:CH159 CJ147:CN158 CJ159:CK159 CL159:CN160 CD161:CE173 CG161:CH173 CJ161:CN172 CJ173:CK173 CL173:CN174 CD175:CE189 CG175:CH189 CJ175:CN188 CJ189:CK189 CL189:CN190 CD191:CE203 CG191:CH203 CJ191:CN202 CJ203:CK203 CL203:CN204 CD205:CE218 CG205:CH218 CJ205:CN217 CJ218:CK218 CL218:CN219 CD220:CE227 CG220:CH227 CJ220:CN227 AD230:BZ242 CD230:CE233 CG230:CH233 CJ230:CN232 CP230:CQ242 CJ233:CK233 CL233:CN234 CD235:CE242 CG235:CH242 CJ235:CN242 CG245 CJ245 CL245:CM245 CP245 CG246:CH248 CJ246:CN248 BO249:BZ249 CL249:CN249 CL256 CJ257:CN257 BO258:BZ258 CL258:CN258 CL265 BO267:BZ267 CL267:CN267 CL274 BO276:BZ276 CL276:CN276 CL283 BO285:BZ285 CL285:CN285 CL292 BO294:BZ294 CL294:CN294 CL301 CL303:CN303 CL310 BO312:BZ312 CL312:CN312 CL319 BO321:BZ321 CL321:CN321 CL328 BO330:BZ330 CL330:CN330 CL337 CJ338:CN338 CP338:CQ338">
    <cfRule type="expression" priority="29453" dxfId="4166">
      <formula>INDEX($I$1:$I$399,ROW(AD10))=1</formula>
    </cfRule>
  </conditionalFormatting>
  <conditionalFormatting sqref="CJ230:CN232">
    <cfRule type="expression" priority="29775" dxfId="4185">
      <formula>INDEX($I$1:$I$399,ROW(CJ230))=2</formula>
    </cfRule>
    <cfRule type="expression" priority="29774" dxfId="4165">
      <formula>_xlfn.SWITCH(INDEX($X$1:$X$399,ROW(CJ230)),-1,SIGN(CJ230)&gt;0,1,SIGN(CJ230)&lt;0)</formula>
    </cfRule>
  </conditionalFormatting>
  <conditionalFormatting sqref="CJ250:CN255">
    <cfRule type="expression" priority="2303" dxfId="4166">
      <formula>INDEX($I$1:$I$399,ROW(CJ250))=1</formula>
    </cfRule>
    <cfRule type="expression" priority="2302" dxfId="4186">
      <formula>INDEX($I$1:$I$399,ROW(CJ250))=3</formula>
    </cfRule>
    <cfRule type="expression" priority="2304" dxfId="4185">
      <formula>INDEX($I$1:$I$399,ROW(CJ250))=2</formula>
    </cfRule>
  </conditionalFormatting>
  <conditionalFormatting sqref="CJ259:CN264">
    <cfRule type="expression" priority="1536" dxfId="4186">
      <formula>INDEX($I$1:$I$399,ROW(CJ259))=3</formula>
    </cfRule>
    <cfRule type="expression" priority="1537" dxfId="4166">
      <formula>INDEX($I$1:$I$399,ROW(CJ259))=1</formula>
    </cfRule>
    <cfRule type="expression" priority="1538" dxfId="4185">
      <formula>INDEX($I$1:$I$399,ROW(CJ259))=2</formula>
    </cfRule>
  </conditionalFormatting>
  <conditionalFormatting sqref="CD10:CE11 CG10:CH11 CJ10:CN11 CP10:CQ11 AD19:BZ227 CL19:CN19 CD20:CE74 CG20:CH74 CJ20:CN73 CP20:CQ21 CP24:CQ24 CP33:CQ33 CP35:CQ35 CP37:CQ38 CP40:CQ40 CJ74:CK74 CL74:CN75 CP75:CQ77 CD76:CE130 CG76:CH130 CJ76:CN129 CP80:CQ80 CP82:CQ87 CP89:CQ89 CP93:CQ94 CJ130:CK130 CL130:CN131 CD132:CE145 CG132:CH145 CJ132:CN144 CP133:CQ138 CJ145:CK145 CL145:CN146 CD147:CE159 CG147:CH159 CJ147:CN158 CJ159:CK159 CL159:CN160 CD161:CE173 CG161:CH173 CJ161:CN172 CJ173:CK173 CL173:CN174 CD175:CE189 CG175:CH189 CJ175:CN188 CJ189:CK189 CL189:CN190 CD191:CE203 CG191:CH203 CJ191:CN202 CJ203:CK203 CL203:CN204 CD205:CE218 CG205:CH218 CJ205:CN217 CJ218:CK218 CL218:CN219 CD220:CE227 CG220:CH227 CJ220:CN227 AD230:BZ242 CD230:CE233 CG230:CH233 CJ230:CN232 CP230:CQ242 CJ233:CK233 CL233:CN234 CD235:CE242 CG235:CH242 CJ235:CN242 AD245:BZ245 CD245 CG245 CJ245 CL245:CM245 CP245 CD246:CE248 CG246:CH248 CJ246:CN248 BO249:BZ249 CL249:CN249 CL256 CG257:CH257 CJ257:CN257 BO258:BZ258 CL258:CN258 CL265 CJ266:CN266 BO267:BZ267 CL267:CN267 CH268:CH273 CL274 CP275:CQ275 BO276:BZ276 CL276:CN276 CH277:CH282 CL283 CP284:CQ284 BO285:BZ285 CL285:CN285 CH286:CH291 CL292 CP293:CQ293 BO294:BZ294 CL294:CN294 CH295:CH300 CL301 CL303:CN303 CH304:CH309 CL310 CP311:CQ311 BO312:BZ312 CL312:CN312 CH313:CH318 CL319 CP320:CQ320 BO321:BZ321 CL321:CN321 CH322:CH327 CL328 CP329:CQ329 BO330:BZ330 CL330:CN330 CH331:CH336 CL337 CG338:CH338 CJ338:CN338 CP338:CQ338">
    <cfRule type="expression" priority="29301" dxfId="4186">
      <formula>INDEX($I$1:$I$399,ROW(AD10))=3</formula>
    </cfRule>
  </conditionalFormatting>
  <conditionalFormatting sqref="CJ266:CN266">
    <cfRule type="expression" priority="2344" dxfId="4166">
      <formula>INDEX($I$1:$I$399,ROW(CJ266))=1</formula>
    </cfRule>
    <cfRule type="expression" priority="2345" dxfId="4185">
      <formula>INDEX($I$1:$I$399,ROW(CJ266))=2</formula>
    </cfRule>
  </conditionalFormatting>
  <conditionalFormatting sqref="CJ268:CN273">
    <cfRule type="expression" priority="1394" dxfId="4185">
      <formula>INDEX($I$1:$I$399,ROW(CJ268))=2</formula>
    </cfRule>
    <cfRule type="expression" priority="1393" dxfId="4166">
      <formula>INDEX($I$1:$I$399,ROW(CJ268))=1</formula>
    </cfRule>
    <cfRule type="expression" priority="1392" dxfId="4186">
      <formula>INDEX($I$1:$I$399,ROW(CJ268))=3</formula>
    </cfRule>
  </conditionalFormatting>
  <conditionalFormatting sqref="CJ275:CN275">
    <cfRule type="expression" priority="2198" dxfId="4185">
      <formula>INDEX($I$1:$I$399,ROW(CJ275))=2</formula>
    </cfRule>
    <cfRule type="expression" priority="2197" dxfId="4166">
      <formula>INDEX($I$1:$I$399,ROW(CJ275))=1</formula>
    </cfRule>
    <cfRule type="expression" priority="2195" dxfId="4165">
      <formula>_xlfn.SWITCH(INDEX($X$1:$X$399,ROW(CJ275)),-1,SIGN(CJ275)&gt;0,1,SIGN(CJ275)&lt;0)</formula>
    </cfRule>
    <cfRule type="expression" priority="2199" dxfId="4186">
      <formula>INDEX($I$1:$I$399,ROW(CJ275))=3</formula>
    </cfRule>
  </conditionalFormatting>
  <conditionalFormatting sqref="CJ277:CN282">
    <cfRule type="expression" priority="1249" dxfId="4166">
      <formula>INDEX($I$1:$I$399,ROW(CJ277))=1</formula>
    </cfRule>
    <cfRule type="expression" priority="1248" dxfId="4186">
      <formula>INDEX($I$1:$I$399,ROW(CJ277))=3</formula>
    </cfRule>
    <cfRule type="expression" priority="1250" dxfId="4185">
      <formula>INDEX($I$1:$I$399,ROW(CJ277))=2</formula>
    </cfRule>
  </conditionalFormatting>
  <conditionalFormatting sqref="CJ284:CN284">
    <cfRule type="expression" priority="2117" dxfId="4185">
      <formula>INDEX($I$1:$I$399,ROW(CJ284))=2</formula>
    </cfRule>
    <cfRule type="expression" priority="2118" dxfId="4186">
      <formula>INDEX($I$1:$I$399,ROW(CJ284))=3</formula>
    </cfRule>
    <cfRule type="expression" priority="2116" dxfId="4166">
      <formula>INDEX($I$1:$I$399,ROW(CJ284))=1</formula>
    </cfRule>
    <cfRule type="expression" priority="2114" dxfId="4165">
      <formula>_xlfn.SWITCH(INDEX($X$1:$X$399,ROW(CJ284)),-1,SIGN(CJ284)&gt;0,1,SIGN(CJ284)&lt;0)</formula>
    </cfRule>
  </conditionalFormatting>
  <conditionalFormatting sqref="CJ286:CN291">
    <cfRule type="expression" priority="1104" dxfId="4186">
      <formula>INDEX($I$1:$I$399,ROW(CJ286))=3</formula>
    </cfRule>
    <cfRule type="expression" priority="1105" dxfId="4166">
      <formula>INDEX($I$1:$I$399,ROW(CJ286))=1</formula>
    </cfRule>
    <cfRule type="expression" priority="1106" dxfId="4185">
      <formula>INDEX($I$1:$I$399,ROW(CJ286))=2</formula>
    </cfRule>
  </conditionalFormatting>
  <conditionalFormatting sqref="CJ293:CN293">
    <cfRule type="expression" priority="2051" dxfId="4185">
      <formula>INDEX($I$1:$I$399,ROW(CJ293))=2</formula>
    </cfRule>
    <cfRule type="expression" priority="2052" dxfId="4186">
      <formula>INDEX($I$1:$I$399,ROW(CJ293))=3</formula>
    </cfRule>
    <cfRule type="expression" priority="2048" dxfId="4165">
      <formula>_xlfn.SWITCH(INDEX($X$1:$X$399,ROW(CJ293)),-1,SIGN(CJ293)&gt;0,1,SIGN(CJ293)&lt;0)</formula>
    </cfRule>
    <cfRule type="expression" priority="2050" dxfId="4166">
      <formula>INDEX($I$1:$I$399,ROW(CJ293))=1</formula>
    </cfRule>
  </conditionalFormatting>
  <conditionalFormatting sqref="CJ295:CN300">
    <cfRule type="expression" priority="960" dxfId="4166">
      <formula>INDEX($I$1:$I$399,ROW(CJ295))=1</formula>
    </cfRule>
    <cfRule type="expression" priority="961" dxfId="4185">
      <formula>INDEX($I$1:$I$399,ROW(CJ295))=2</formula>
    </cfRule>
    <cfRule type="expression" priority="959" dxfId="4186">
      <formula>INDEX($I$1:$I$399,ROW(CJ295))=3</formula>
    </cfRule>
  </conditionalFormatting>
  <conditionalFormatting sqref="CJ302:CN302">
    <cfRule type="expression" priority="1979" dxfId="4186">
      <formula>INDEX($I$1:$I$399,ROW(CJ302))=3</formula>
    </cfRule>
    <cfRule type="expression" priority="1978" dxfId="4185">
      <formula>INDEX($I$1:$I$399,ROW(CJ302))=2</formula>
    </cfRule>
    <cfRule type="expression" priority="1977" dxfId="4166">
      <formula>INDEX($I$1:$I$399,ROW(CJ302))=1</formula>
    </cfRule>
    <cfRule type="expression" priority="1975" dxfId="4165">
      <formula>_xlfn.SWITCH(INDEX($X$1:$X$399,ROW(CJ302)),-1,SIGN(CJ302)&gt;0,1,SIGN(CJ302)&lt;0)</formula>
    </cfRule>
  </conditionalFormatting>
  <conditionalFormatting sqref="CJ304:CN309">
    <cfRule type="expression" priority="810" dxfId="4186">
      <formula>INDEX($I$1:$I$399,ROW(CJ304))=3</formula>
    </cfRule>
    <cfRule type="expression" priority="811" dxfId="4166">
      <formula>INDEX($I$1:$I$399,ROW(CJ304))=1</formula>
    </cfRule>
    <cfRule type="expression" priority="812" dxfId="4185">
      <formula>INDEX($I$1:$I$399,ROW(CJ304))=2</formula>
    </cfRule>
  </conditionalFormatting>
  <conditionalFormatting sqref="CJ311:CN311">
    <cfRule type="expression" priority="1907" dxfId="4186">
      <formula>INDEX($I$1:$I$399,ROW(CJ311))=3</formula>
    </cfRule>
    <cfRule type="expression" priority="1905" dxfId="4166">
      <formula>INDEX($I$1:$I$399,ROW(CJ311))=1</formula>
    </cfRule>
    <cfRule type="expression" priority="1903" dxfId="4165">
      <formula>_xlfn.SWITCH(INDEX($X$1:$X$399,ROW(CJ311)),-1,SIGN(CJ311)&gt;0,1,SIGN(CJ311)&lt;0)</formula>
    </cfRule>
    <cfRule type="expression" priority="1906" dxfId="4185">
      <formula>INDEX($I$1:$I$399,ROW(CJ311))=2</formula>
    </cfRule>
  </conditionalFormatting>
  <conditionalFormatting sqref="CJ313:CN318">
    <cfRule type="expression" priority="661" dxfId="4186">
      <formula>INDEX($I$1:$I$399,ROW(CJ313))=3</formula>
    </cfRule>
    <cfRule type="expression" priority="662" dxfId="4166">
      <formula>INDEX($I$1:$I$399,ROW(CJ313))=1</formula>
    </cfRule>
    <cfRule type="expression" priority="663" dxfId="4185">
      <formula>INDEX($I$1:$I$399,ROW(CJ313))=2</formula>
    </cfRule>
  </conditionalFormatting>
  <conditionalFormatting sqref="CJ320:CN320">
    <cfRule type="expression" priority="1838" dxfId="4165">
      <formula>_xlfn.SWITCH(INDEX($X$1:$X$399,ROW(CJ320)),-1,SIGN(CJ320)&gt;0,1,SIGN(CJ320)&lt;0)</formula>
    </cfRule>
    <cfRule type="expression" priority="1840" dxfId="4166">
      <formula>INDEX($I$1:$I$399,ROW(CJ320))=1</formula>
    </cfRule>
    <cfRule type="expression" priority="1842" dxfId="4186">
      <formula>INDEX($I$1:$I$399,ROW(CJ320))=3</formula>
    </cfRule>
    <cfRule type="expression" priority="1841" dxfId="4185">
      <formula>INDEX($I$1:$I$399,ROW(CJ320))=2</formula>
    </cfRule>
  </conditionalFormatting>
  <conditionalFormatting sqref="CJ322:CN327">
    <cfRule type="expression" priority="513" dxfId="4166">
      <formula>INDEX($I$1:$I$399,ROW(CJ322))=1</formula>
    </cfRule>
    <cfRule type="expression" priority="514" dxfId="4185">
      <formula>INDEX($I$1:$I$399,ROW(CJ322))=2</formula>
    </cfRule>
    <cfRule type="expression" priority="512" dxfId="4186">
      <formula>INDEX($I$1:$I$399,ROW(CJ322))=3</formula>
    </cfRule>
  </conditionalFormatting>
  <conditionalFormatting sqref="CJ329:CN329">
    <cfRule type="expression" priority="1774" dxfId="4166">
      <formula>INDEX($I$1:$I$399,ROW(CJ329))=1</formula>
    </cfRule>
    <cfRule type="expression" priority="1775" dxfId="4185">
      <formula>INDEX($I$1:$I$399,ROW(CJ329))=2</formula>
    </cfRule>
    <cfRule type="expression" priority="1776" dxfId="4186">
      <formula>INDEX($I$1:$I$399,ROW(CJ329))=3</formula>
    </cfRule>
    <cfRule type="expression" priority="1772" dxfId="4165">
      <formula>_xlfn.SWITCH(INDEX($X$1:$X$399,ROW(CJ329)),-1,SIGN(CJ329)&gt;0,1,SIGN(CJ329)&lt;0)</formula>
    </cfRule>
  </conditionalFormatting>
  <conditionalFormatting sqref="CJ331:CN336">
    <cfRule type="expression" priority="363" dxfId="4186">
      <formula>INDEX($I$1:$I$399,ROW(CJ331))=3</formula>
    </cfRule>
    <cfRule type="expression" priority="365" dxfId="4185">
      <formula>INDEX($I$1:$I$399,ROW(CJ331))=2</formula>
    </cfRule>
    <cfRule type="expression" priority="364" dxfId="4166">
      <formula>INDEX($I$1:$I$399,ROW(CJ331))=1</formula>
    </cfRule>
  </conditionalFormatting>
  <conditionalFormatting sqref="CJ266:CN266 CJ338:CN338">
    <cfRule type="expression" priority="2334" dxfId="4165">
      <formula>_xlfn.SWITCH(INDEX($X$1:$X$399,ROW(CJ266)),-1,SIGN(CJ266)&gt;0,1,SIGN(CJ266)&lt;0)</formula>
    </cfRule>
  </conditionalFormatting>
  <conditionalFormatting sqref="CM250:CM255">
    <cfRule type="expression" priority="1642" dxfId="4166">
      <formula>INDEX($I$1:$I$399,ROW(CM250))=1</formula>
    </cfRule>
    <cfRule type="expression" priority="1643" dxfId="4185">
      <formula>INDEX($I$1:$I$399,ROW(CM250))=2</formula>
    </cfRule>
    <cfRule type="expression" priority="1587" dxfId="4185">
      <formula>INDEX($I$1:$I$399,ROW(CM250))=2</formula>
    </cfRule>
    <cfRule type="expression" priority="1586" dxfId="4166">
      <formula>INDEX($I$1:$I$399,ROW(CM250))=1</formula>
    </cfRule>
    <cfRule type="expression" priority="1585" dxfId="4186">
      <formula>INDEX($I$1:$I$399,ROW(CM250))=3</formula>
    </cfRule>
    <cfRule type="expression" priority="1658" dxfId="4166">
      <formula>INDEX($I$1:$I$399,ROW(CM250))=1</formula>
    </cfRule>
    <cfRule type="expression" priority="1659" dxfId="4185">
      <formula>INDEX($I$1:$I$399,ROW(CM250))=2</formula>
    </cfRule>
    <cfRule type="expression" priority="1625" dxfId="4186">
      <formula>INDEX($I$1:$I$399,ROW(CM250))=3</formula>
    </cfRule>
    <cfRule type="expression" priority="1583" dxfId="4185">
      <formula>INDEX($I$1:$I$399,ROW(CM250))=2</formula>
    </cfRule>
    <cfRule type="expression" priority="1582" dxfId="4166">
      <formula>INDEX($I$1:$I$399,ROW(CM250))=1</formula>
    </cfRule>
    <cfRule type="expression" priority="1581" dxfId="4186">
      <formula>INDEX($I$1:$I$399,ROW(CM250))=3</formula>
    </cfRule>
    <cfRule type="expression" priority="1579" dxfId="4185">
      <formula>INDEX($I$1:$I$399,ROW(CM250))=2</formula>
    </cfRule>
    <cfRule type="expression" priority="1578" dxfId="4166">
      <formula>INDEX($I$1:$I$399,ROW(CM250))=1</formula>
    </cfRule>
    <cfRule type="expression" priority="1577" dxfId="4186">
      <formula>INDEX($I$1:$I$399,ROW(CM250))=3</formula>
    </cfRule>
    <cfRule type="expression" priority="1575" dxfId="4185">
      <formula>INDEX($I$1:$I$399,ROW(CM250))=2</formula>
    </cfRule>
    <cfRule type="expression" priority="1657" dxfId="4186">
      <formula>INDEX($I$1:$I$399,ROW(CM250))=3</formula>
    </cfRule>
    <cfRule type="expression" priority="1627" dxfId="4185">
      <formula>INDEX($I$1:$I$399,ROW(CM250))=2</formula>
    </cfRule>
    <cfRule type="expression" priority="1626" dxfId="4166">
      <formula>INDEX($I$1:$I$399,ROW(CM250))=1</formula>
    </cfRule>
    <cfRule type="expression" priority="1641" dxfId="4186">
      <formula>INDEX($I$1:$I$399,ROW(CM250))=3</formula>
    </cfRule>
    <cfRule type="expression" priority="1574" dxfId="4166">
      <formula>INDEX($I$1:$I$399,ROW(CM250))=1</formula>
    </cfRule>
    <cfRule type="expression" priority="1573" dxfId="4186">
      <formula>INDEX($I$1:$I$399,ROW(CM250))=3</formula>
    </cfRule>
  </conditionalFormatting>
  <conditionalFormatting sqref="CM259:CM264">
    <cfRule type="expression" priority="1515" dxfId="4186">
      <formula>INDEX($I$1:$I$399,ROW(CM259))=3</formula>
    </cfRule>
    <cfRule type="expression" priority="1441" dxfId="4185">
      <formula>INDEX($I$1:$I$399,ROW(CM259))=2</formula>
    </cfRule>
    <cfRule type="expression" priority="1485" dxfId="4185">
      <formula>INDEX($I$1:$I$399,ROW(CM259))=2</formula>
    </cfRule>
    <cfRule type="expression" priority="1484" dxfId="4166">
      <formula>INDEX($I$1:$I$399,ROW(CM259))=1</formula>
    </cfRule>
    <cfRule type="expression" priority="1483" dxfId="4186">
      <formula>INDEX($I$1:$I$399,ROW(CM259))=3</formula>
    </cfRule>
    <cfRule type="expression" priority="1435" dxfId="4186">
      <formula>INDEX($I$1:$I$399,ROW(CM259))=3</formula>
    </cfRule>
    <cfRule type="expression" priority="1445" dxfId="4185">
      <formula>INDEX($I$1:$I$399,ROW(CM259))=2</formula>
    </cfRule>
    <cfRule type="expression" priority="1431" dxfId="4186">
      <formula>INDEX($I$1:$I$399,ROW(CM259))=3</formula>
    </cfRule>
    <cfRule type="expression" priority="1517" dxfId="4185">
      <formula>INDEX($I$1:$I$399,ROW(CM259))=2</formula>
    </cfRule>
    <cfRule type="expression" priority="1433" dxfId="4185">
      <formula>INDEX($I$1:$I$399,ROW(CM259))=2</formula>
    </cfRule>
    <cfRule type="expression" priority="1500" dxfId="4166">
      <formula>INDEX($I$1:$I$399,ROW(CM259))=1</formula>
    </cfRule>
    <cfRule type="expression" priority="1436" dxfId="4166">
      <formula>INDEX($I$1:$I$399,ROW(CM259))=1</formula>
    </cfRule>
    <cfRule type="expression" priority="1516" dxfId="4166">
      <formula>INDEX($I$1:$I$399,ROW(CM259))=1</formula>
    </cfRule>
    <cfRule type="expression" priority="1437" dxfId="4185">
      <formula>INDEX($I$1:$I$399,ROW(CM259))=2</formula>
    </cfRule>
    <cfRule type="expression" priority="1439" dxfId="4186">
      <formula>INDEX($I$1:$I$399,ROW(CM259))=3</formula>
    </cfRule>
    <cfRule type="expression" priority="1440" dxfId="4166">
      <formula>INDEX($I$1:$I$399,ROW(CM259))=1</formula>
    </cfRule>
    <cfRule type="expression" priority="1501" dxfId="4185">
      <formula>INDEX($I$1:$I$399,ROW(CM259))=2</formula>
    </cfRule>
    <cfRule type="expression" priority="1443" dxfId="4186">
      <formula>INDEX($I$1:$I$399,ROW(CM259))=3</formula>
    </cfRule>
    <cfRule type="expression" priority="1432" dxfId="4166">
      <formula>INDEX($I$1:$I$399,ROW(CM259))=1</formula>
    </cfRule>
    <cfRule type="expression" priority="1499" dxfId="4186">
      <formula>INDEX($I$1:$I$399,ROW(CM259))=3</formula>
    </cfRule>
    <cfRule type="expression" priority="1444" dxfId="4166">
      <formula>INDEX($I$1:$I$399,ROW(CM259))=1</formula>
    </cfRule>
  </conditionalFormatting>
  <conditionalFormatting sqref="CM268:CM273">
    <cfRule type="expression" priority="1340" dxfId="4166">
      <formula>INDEX($I$1:$I$399,ROW(CM268))=1</formula>
    </cfRule>
    <cfRule type="expression" priority="1339" dxfId="4186">
      <formula>INDEX($I$1:$I$399,ROW(CM268))=3</formula>
    </cfRule>
    <cfRule type="expression" priority="1341" dxfId="4185">
      <formula>INDEX($I$1:$I$399,ROW(CM268))=2</formula>
    </cfRule>
    <cfRule type="expression" priority="1287" dxfId="4186">
      <formula>INDEX($I$1:$I$399,ROW(CM268))=3</formula>
    </cfRule>
    <cfRule type="expression" priority="1288" dxfId="4166">
      <formula>INDEX($I$1:$I$399,ROW(CM268))=1</formula>
    </cfRule>
    <cfRule type="expression" priority="1297" dxfId="4185">
      <formula>INDEX($I$1:$I$399,ROW(CM268))=2</formula>
    </cfRule>
    <cfRule type="expression" priority="1291" dxfId="4186">
      <formula>INDEX($I$1:$I$399,ROW(CM268))=3</formula>
    </cfRule>
    <cfRule type="expression" priority="1292" dxfId="4166">
      <formula>INDEX($I$1:$I$399,ROW(CM268))=1</formula>
    </cfRule>
    <cfRule type="expression" priority="1293" dxfId="4185">
      <formula>INDEX($I$1:$I$399,ROW(CM268))=2</formula>
    </cfRule>
    <cfRule type="expression" priority="1295" dxfId="4186">
      <formula>INDEX($I$1:$I$399,ROW(CM268))=3</formula>
    </cfRule>
    <cfRule type="expression" priority="1373" dxfId="4185">
      <formula>INDEX($I$1:$I$399,ROW(CM268))=2</formula>
    </cfRule>
    <cfRule type="expression" priority="1296" dxfId="4166">
      <formula>INDEX($I$1:$I$399,ROW(CM268))=1</formula>
    </cfRule>
    <cfRule type="expression" priority="1372" dxfId="4166">
      <formula>INDEX($I$1:$I$399,ROW(CM268))=1</formula>
    </cfRule>
    <cfRule type="expression" priority="1357" dxfId="4185">
      <formula>INDEX($I$1:$I$399,ROW(CM268))=2</formula>
    </cfRule>
    <cfRule type="expression" priority="1301" dxfId="4185">
      <formula>INDEX($I$1:$I$399,ROW(CM268))=2</formula>
    </cfRule>
    <cfRule type="expression" priority="1289" dxfId="4185">
      <formula>INDEX($I$1:$I$399,ROW(CM268))=2</formula>
    </cfRule>
    <cfRule type="expression" priority="1356" dxfId="4166">
      <formula>INDEX($I$1:$I$399,ROW(CM268))=1</formula>
    </cfRule>
    <cfRule type="expression" priority="1299" dxfId="4186">
      <formula>INDEX($I$1:$I$399,ROW(CM268))=3</formula>
    </cfRule>
    <cfRule type="expression" priority="1355" dxfId="4186">
      <formula>INDEX($I$1:$I$399,ROW(CM268))=3</formula>
    </cfRule>
    <cfRule type="expression" priority="1371" dxfId="4186">
      <formula>INDEX($I$1:$I$399,ROW(CM268))=3</formula>
    </cfRule>
    <cfRule type="expression" priority="1300" dxfId="4166">
      <formula>INDEX($I$1:$I$399,ROW(CM268))=1</formula>
    </cfRule>
  </conditionalFormatting>
  <conditionalFormatting sqref="CM277:CM282">
    <cfRule type="expression" priority="1147" dxfId="4186">
      <formula>INDEX($I$1:$I$399,ROW(CM277))=3</formula>
    </cfRule>
    <cfRule type="expression" priority="1197" dxfId="4185">
      <formula>INDEX($I$1:$I$399,ROW(CM277))=2</formula>
    </cfRule>
    <cfRule type="expression" priority="1196" dxfId="4166">
      <formula>INDEX($I$1:$I$399,ROW(CM277))=1</formula>
    </cfRule>
    <cfRule type="expression" priority="1195" dxfId="4186">
      <formula>INDEX($I$1:$I$399,ROW(CM277))=3</formula>
    </cfRule>
    <cfRule type="expression" priority="1212" dxfId="4166">
      <formula>INDEX($I$1:$I$399,ROW(CM277))=1</formula>
    </cfRule>
    <cfRule type="expression" priority="1229" dxfId="4185">
      <formula>INDEX($I$1:$I$399,ROW(CM277))=2</formula>
    </cfRule>
    <cfRule type="expression" priority="1157" dxfId="4185">
      <formula>INDEX($I$1:$I$399,ROW(CM277))=2</formula>
    </cfRule>
    <cfRule type="expression" priority="1156" dxfId="4166">
      <formula>INDEX($I$1:$I$399,ROW(CM277))=1</formula>
    </cfRule>
    <cfRule type="expression" priority="1143" dxfId="4186">
      <formula>INDEX($I$1:$I$399,ROW(CM277))=3</formula>
    </cfRule>
    <cfRule type="expression" priority="1144" dxfId="4166">
      <formula>INDEX($I$1:$I$399,ROW(CM277))=1</formula>
    </cfRule>
    <cfRule type="expression" priority="1145" dxfId="4185">
      <formula>INDEX($I$1:$I$399,ROW(CM277))=2</formula>
    </cfRule>
    <cfRule type="expression" priority="1148" dxfId="4166">
      <formula>INDEX($I$1:$I$399,ROW(CM277))=1</formula>
    </cfRule>
    <cfRule type="expression" priority="1149" dxfId="4185">
      <formula>INDEX($I$1:$I$399,ROW(CM277))=2</formula>
    </cfRule>
    <cfRule type="expression" priority="1151" dxfId="4186">
      <formula>INDEX($I$1:$I$399,ROW(CM277))=3</formula>
    </cfRule>
    <cfRule type="expression" priority="1152" dxfId="4166">
      <formula>INDEX($I$1:$I$399,ROW(CM277))=1</formula>
    </cfRule>
    <cfRule type="expression" priority="1153" dxfId="4185">
      <formula>INDEX($I$1:$I$399,ROW(CM277))=2</formula>
    </cfRule>
    <cfRule type="expression" priority="1155" dxfId="4186">
      <formula>INDEX($I$1:$I$399,ROW(CM277))=3</formula>
    </cfRule>
    <cfRule type="expression" priority="1213" dxfId="4185">
      <formula>INDEX($I$1:$I$399,ROW(CM277))=2</formula>
    </cfRule>
    <cfRule type="expression" priority="1211" dxfId="4186">
      <formula>INDEX($I$1:$I$399,ROW(CM277))=3</formula>
    </cfRule>
    <cfRule type="expression" priority="1228" dxfId="4166">
      <formula>INDEX($I$1:$I$399,ROW(CM277))=1</formula>
    </cfRule>
    <cfRule type="expression" priority="1227" dxfId="4186">
      <formula>INDEX($I$1:$I$399,ROW(CM277))=3</formula>
    </cfRule>
  </conditionalFormatting>
  <conditionalFormatting sqref="CM286:CM291">
    <cfRule type="expression" priority="1067" dxfId="4186">
      <formula>INDEX($I$1:$I$399,ROW(CM286))=3</formula>
    </cfRule>
    <cfRule type="expression" priority="1083" dxfId="4186">
      <formula>INDEX($I$1:$I$399,ROW(CM286))=3</formula>
    </cfRule>
    <cfRule type="expression" priority="1084" dxfId="4166">
      <formula>INDEX($I$1:$I$399,ROW(CM286))=1</formula>
    </cfRule>
    <cfRule type="expression" priority="1085" dxfId="4185">
      <formula>INDEX($I$1:$I$399,ROW(CM286))=2</formula>
    </cfRule>
    <cfRule type="expression" priority="1011" dxfId="4186">
      <formula>INDEX($I$1:$I$399,ROW(CM286))=3</formula>
    </cfRule>
    <cfRule type="expression" priority="1053" dxfId="4185">
      <formula>INDEX($I$1:$I$399,ROW(CM286))=2</formula>
    </cfRule>
    <cfRule type="expression" priority="1052" dxfId="4166">
      <formula>INDEX($I$1:$I$399,ROW(CM286))=1</formula>
    </cfRule>
    <cfRule type="expression" priority="1051" dxfId="4186">
      <formula>INDEX($I$1:$I$399,ROW(CM286))=3</formula>
    </cfRule>
    <cfRule type="expression" priority="1069" dxfId="4185">
      <formula>INDEX($I$1:$I$399,ROW(CM286))=2</formula>
    </cfRule>
    <cfRule type="expression" priority="1005" dxfId="4185">
      <formula>INDEX($I$1:$I$399,ROW(CM286))=2</formula>
    </cfRule>
    <cfRule type="expression" priority="1009" dxfId="4185">
      <formula>INDEX($I$1:$I$399,ROW(CM286))=2</formula>
    </cfRule>
    <cfRule type="expression" priority="999" dxfId="4186">
      <formula>INDEX($I$1:$I$399,ROW(CM286))=3</formula>
    </cfRule>
    <cfRule type="expression" priority="1013" dxfId="4185">
      <formula>INDEX($I$1:$I$399,ROW(CM286))=2</formula>
    </cfRule>
    <cfRule type="expression" priority="1000" dxfId="4166">
      <formula>INDEX($I$1:$I$399,ROW(CM286))=1</formula>
    </cfRule>
    <cfRule type="expression" priority="1001" dxfId="4185">
      <formula>INDEX($I$1:$I$399,ROW(CM286))=2</formula>
    </cfRule>
    <cfRule type="expression" priority="1003" dxfId="4186">
      <formula>INDEX($I$1:$I$399,ROW(CM286))=3</formula>
    </cfRule>
    <cfRule type="expression" priority="1004" dxfId="4166">
      <formula>INDEX($I$1:$I$399,ROW(CM286))=1</formula>
    </cfRule>
    <cfRule type="expression" priority="1068" dxfId="4166">
      <formula>INDEX($I$1:$I$399,ROW(CM286))=1</formula>
    </cfRule>
    <cfRule type="expression" priority="1012" dxfId="4166">
      <formula>INDEX($I$1:$I$399,ROW(CM286))=1</formula>
    </cfRule>
    <cfRule type="expression" priority="1008" dxfId="4166">
      <formula>INDEX($I$1:$I$399,ROW(CM286))=1</formula>
    </cfRule>
    <cfRule type="expression" priority="1007" dxfId="4186">
      <formula>INDEX($I$1:$I$399,ROW(CM286))=3</formula>
    </cfRule>
  </conditionalFormatting>
  <conditionalFormatting sqref="CM295:CM300">
    <cfRule type="expression" priority="866" dxfId="4186">
      <formula>INDEX($I$1:$I$399,ROW(CM295))=3</formula>
    </cfRule>
    <cfRule type="expression" priority="867" dxfId="4166">
      <formula>INDEX($I$1:$I$399,ROW(CM295))=1</formula>
    </cfRule>
    <cfRule type="expression" priority="856" dxfId="4185">
      <formula>INDEX($I$1:$I$399,ROW(CM295))=2</formula>
    </cfRule>
    <cfRule type="expression" priority="938" dxfId="4186">
      <formula>INDEX($I$1:$I$399,ROW(CM295))=3</formula>
    </cfRule>
    <cfRule type="expression" priority="939" dxfId="4166">
      <formula>INDEX($I$1:$I$399,ROW(CM295))=1</formula>
    </cfRule>
    <cfRule type="expression" priority="862" dxfId="4186">
      <formula>INDEX($I$1:$I$399,ROW(CM295))=3</formula>
    </cfRule>
    <cfRule type="expression" priority="908" dxfId="4185">
      <formula>INDEX($I$1:$I$399,ROW(CM295))=2</formula>
    </cfRule>
    <cfRule type="expression" priority="855" dxfId="4166">
      <formula>INDEX($I$1:$I$399,ROW(CM295))=1</formula>
    </cfRule>
    <cfRule type="expression" priority="854" dxfId="4186">
      <formula>INDEX($I$1:$I$399,ROW(CM295))=3</formula>
    </cfRule>
    <cfRule type="expression" priority="924" dxfId="4185">
      <formula>INDEX($I$1:$I$399,ROW(CM295))=2</formula>
    </cfRule>
    <cfRule type="expression" priority="923" dxfId="4166">
      <formula>INDEX($I$1:$I$399,ROW(CM295))=1</formula>
    </cfRule>
    <cfRule type="expression" priority="922" dxfId="4186">
      <formula>INDEX($I$1:$I$399,ROW(CM295))=3</formula>
    </cfRule>
    <cfRule type="expression" priority="863" dxfId="4166">
      <formula>INDEX($I$1:$I$399,ROW(CM295))=1</formula>
    </cfRule>
    <cfRule type="expression" priority="860" dxfId="4185">
      <formula>INDEX($I$1:$I$399,ROW(CM295))=2</formula>
    </cfRule>
    <cfRule type="expression" priority="907" dxfId="4166">
      <formula>INDEX($I$1:$I$399,ROW(CM295))=1</formula>
    </cfRule>
    <cfRule type="expression" priority="906" dxfId="4186">
      <formula>INDEX($I$1:$I$399,ROW(CM295))=3</formula>
    </cfRule>
    <cfRule type="expression" priority="859" dxfId="4166">
      <formula>INDEX($I$1:$I$399,ROW(CM295))=1</formula>
    </cfRule>
    <cfRule type="expression" priority="940" dxfId="4185">
      <formula>INDEX($I$1:$I$399,ROW(CM295))=2</formula>
    </cfRule>
    <cfRule type="expression" priority="864" dxfId="4185">
      <formula>INDEX($I$1:$I$399,ROW(CM295))=2</formula>
    </cfRule>
    <cfRule type="expression" priority="858" dxfId="4186">
      <formula>INDEX($I$1:$I$399,ROW(CM295))=3</formula>
    </cfRule>
    <cfRule type="expression" priority="868" dxfId="4185">
      <formula>INDEX($I$1:$I$399,ROW(CM295))=2</formula>
    </cfRule>
  </conditionalFormatting>
  <conditionalFormatting sqref="CM304:CM309">
    <cfRule type="expression" priority="705" dxfId="4186">
      <formula>INDEX($I$1:$I$399,ROW(CM304))=3</formula>
    </cfRule>
    <cfRule type="expression" priority="759" dxfId="4185">
      <formula>INDEX($I$1:$I$399,ROW(CM304))=2</formula>
    </cfRule>
    <cfRule type="expression" priority="707" dxfId="4185">
      <formula>INDEX($I$1:$I$399,ROW(CM304))=2</formula>
    </cfRule>
    <cfRule type="expression" priority="709" dxfId="4186">
      <formula>INDEX($I$1:$I$399,ROW(CM304))=3</formula>
    </cfRule>
    <cfRule type="expression" priority="719" dxfId="4185">
      <formula>INDEX($I$1:$I$399,ROW(CM304))=2</formula>
    </cfRule>
    <cfRule type="expression" priority="758" dxfId="4166">
      <formula>INDEX($I$1:$I$399,ROW(CM304))=1</formula>
    </cfRule>
    <cfRule type="expression" priority="710" dxfId="4166">
      <formula>INDEX($I$1:$I$399,ROW(CM304))=1</formula>
    </cfRule>
    <cfRule type="expression" priority="757" dxfId="4186">
      <formula>INDEX($I$1:$I$399,ROW(CM304))=3</formula>
    </cfRule>
    <cfRule type="expression" priority="706" dxfId="4166">
      <formula>INDEX($I$1:$I$399,ROW(CM304))=1</formula>
    </cfRule>
    <cfRule type="expression" priority="711" dxfId="4185">
      <formula>INDEX($I$1:$I$399,ROW(CM304))=2</formula>
    </cfRule>
    <cfRule type="expression" priority="717" dxfId="4186">
      <formula>INDEX($I$1:$I$399,ROW(CM304))=3</formula>
    </cfRule>
    <cfRule type="expression" priority="714" dxfId="4166">
      <formula>INDEX($I$1:$I$399,ROW(CM304))=1</formula>
    </cfRule>
    <cfRule type="expression" priority="773" dxfId="4186">
      <formula>INDEX($I$1:$I$399,ROW(CM304))=3</formula>
    </cfRule>
    <cfRule type="expression" priority="713" dxfId="4186">
      <formula>INDEX($I$1:$I$399,ROW(CM304))=3</formula>
    </cfRule>
    <cfRule type="expression" priority="775" dxfId="4185">
      <formula>INDEX($I$1:$I$399,ROW(CM304))=2</formula>
    </cfRule>
    <cfRule type="expression" priority="789" dxfId="4186">
      <formula>INDEX($I$1:$I$399,ROW(CM304))=3</formula>
    </cfRule>
    <cfRule type="expression" priority="715" dxfId="4185">
      <formula>INDEX($I$1:$I$399,ROW(CM304))=2</formula>
    </cfRule>
    <cfRule type="expression" priority="718" dxfId="4166">
      <formula>INDEX($I$1:$I$399,ROW(CM304))=1</formula>
    </cfRule>
    <cfRule type="expression" priority="790" dxfId="4166">
      <formula>INDEX($I$1:$I$399,ROW(CM304))=1</formula>
    </cfRule>
    <cfRule type="expression" priority="791" dxfId="4185">
      <formula>INDEX($I$1:$I$399,ROW(CM304))=2</formula>
    </cfRule>
    <cfRule type="expression" priority="774" dxfId="4166">
      <formula>INDEX($I$1:$I$399,ROW(CM304))=1</formula>
    </cfRule>
  </conditionalFormatting>
  <conditionalFormatting sqref="CM313:CM318">
    <cfRule type="expression" priority="570" dxfId="4185">
      <formula>INDEX($I$1:$I$399,ROW(CM313))=2</formula>
    </cfRule>
    <cfRule type="expression" priority="569" dxfId="4166">
      <formula>INDEX($I$1:$I$399,ROW(CM313))=1</formula>
    </cfRule>
    <cfRule type="expression" priority="568" dxfId="4186">
      <formula>INDEX($I$1:$I$399,ROW(CM313))=3</formula>
    </cfRule>
    <cfRule type="expression" priority="566" dxfId="4185">
      <formula>INDEX($I$1:$I$399,ROW(CM313))=2</formula>
    </cfRule>
    <cfRule type="expression" priority="565" dxfId="4166">
      <formula>INDEX($I$1:$I$399,ROW(CM313))=1</formula>
    </cfRule>
    <cfRule type="expression" priority="564" dxfId="4186">
      <formula>INDEX($I$1:$I$399,ROW(CM313))=3</formula>
    </cfRule>
    <cfRule type="expression" priority="562" dxfId="4185">
      <formula>INDEX($I$1:$I$399,ROW(CM313))=2</formula>
    </cfRule>
    <cfRule type="expression" priority="556" dxfId="4186">
      <formula>INDEX($I$1:$I$399,ROW(CM313))=3</formula>
    </cfRule>
    <cfRule type="expression" priority="557" dxfId="4166">
      <formula>INDEX($I$1:$I$399,ROW(CM313))=1</formula>
    </cfRule>
    <cfRule type="expression" priority="558" dxfId="4185">
      <formula>INDEX($I$1:$I$399,ROW(CM313))=2</formula>
    </cfRule>
    <cfRule type="expression" priority="560" dxfId="4186">
      <formula>INDEX($I$1:$I$399,ROW(CM313))=3</formula>
    </cfRule>
    <cfRule type="expression" priority="561" dxfId="4166">
      <formula>INDEX($I$1:$I$399,ROW(CM313))=1</formula>
    </cfRule>
    <cfRule type="expression" priority="642" dxfId="4185">
      <formula>INDEX($I$1:$I$399,ROW(CM313))=2</formula>
    </cfRule>
    <cfRule type="expression" priority="641" dxfId="4166">
      <formula>INDEX($I$1:$I$399,ROW(CM313))=1</formula>
    </cfRule>
    <cfRule type="expression" priority="640" dxfId="4186">
      <formula>INDEX($I$1:$I$399,ROW(CM313))=3</formula>
    </cfRule>
    <cfRule type="expression" priority="626" dxfId="4185">
      <formula>INDEX($I$1:$I$399,ROW(CM313))=2</formula>
    </cfRule>
    <cfRule type="expression" priority="625" dxfId="4166">
      <formula>INDEX($I$1:$I$399,ROW(CM313))=1</formula>
    </cfRule>
    <cfRule type="expression" priority="624" dxfId="4186">
      <formula>INDEX($I$1:$I$399,ROW(CM313))=3</formula>
    </cfRule>
    <cfRule type="expression" priority="610" dxfId="4185">
      <formula>INDEX($I$1:$I$399,ROW(CM313))=2</formula>
    </cfRule>
    <cfRule type="expression" priority="609" dxfId="4166">
      <formula>INDEX($I$1:$I$399,ROW(CM313))=1</formula>
    </cfRule>
    <cfRule type="expression" priority="608" dxfId="4186">
      <formula>INDEX($I$1:$I$399,ROW(CM313))=3</formula>
    </cfRule>
  </conditionalFormatting>
  <conditionalFormatting sqref="CM322:CM327">
    <cfRule type="expression" priority="416" dxfId="4166">
      <formula>INDEX($I$1:$I$399,ROW(CM322))=1</formula>
    </cfRule>
    <cfRule type="expression" priority="413" dxfId="4185">
      <formula>INDEX($I$1:$I$399,ROW(CM322))=2</formula>
    </cfRule>
    <cfRule type="expression" priority="475" dxfId="4186">
      <formula>INDEX($I$1:$I$399,ROW(CM322))=3</formula>
    </cfRule>
    <cfRule type="expression" priority="417" dxfId="4185">
      <formula>INDEX($I$1:$I$399,ROW(CM322))=2</formula>
    </cfRule>
    <cfRule type="expression" priority="419" dxfId="4186">
      <formula>INDEX($I$1:$I$399,ROW(CM322))=3</formula>
    </cfRule>
    <cfRule type="expression" priority="420" dxfId="4166">
      <formula>INDEX($I$1:$I$399,ROW(CM322))=1</formula>
    </cfRule>
    <cfRule type="expression" priority="421" dxfId="4185">
      <formula>INDEX($I$1:$I$399,ROW(CM322))=2</formula>
    </cfRule>
    <cfRule type="expression" priority="476" dxfId="4166">
      <formula>INDEX($I$1:$I$399,ROW(CM322))=1</formula>
    </cfRule>
    <cfRule type="expression" priority="459" dxfId="4186">
      <formula>INDEX($I$1:$I$399,ROW(CM322))=3</formula>
    </cfRule>
    <cfRule type="expression" priority="460" dxfId="4166">
      <formula>INDEX($I$1:$I$399,ROW(CM322))=1</formula>
    </cfRule>
    <cfRule type="expression" priority="477" dxfId="4185">
      <formula>INDEX($I$1:$I$399,ROW(CM322))=2</formula>
    </cfRule>
    <cfRule type="expression" priority="461" dxfId="4185">
      <formula>INDEX($I$1:$I$399,ROW(CM322))=2</formula>
    </cfRule>
    <cfRule type="expression" priority="491" dxfId="4186">
      <formula>INDEX($I$1:$I$399,ROW(CM322))=3</formula>
    </cfRule>
    <cfRule type="expression" priority="492" dxfId="4166">
      <formula>INDEX($I$1:$I$399,ROW(CM322))=1</formula>
    </cfRule>
    <cfRule type="expression" priority="493" dxfId="4185">
      <formula>INDEX($I$1:$I$399,ROW(CM322))=2</formula>
    </cfRule>
    <cfRule type="expression" priority="407" dxfId="4186">
      <formula>INDEX($I$1:$I$399,ROW(CM322))=3</formula>
    </cfRule>
    <cfRule type="expression" priority="408" dxfId="4166">
      <formula>INDEX($I$1:$I$399,ROW(CM322))=1</formula>
    </cfRule>
    <cfRule type="expression" priority="409" dxfId="4185">
      <formula>INDEX($I$1:$I$399,ROW(CM322))=2</formula>
    </cfRule>
    <cfRule type="expression" priority="411" dxfId="4186">
      <formula>INDEX($I$1:$I$399,ROW(CM322))=3</formula>
    </cfRule>
    <cfRule type="expression" priority="412" dxfId="4166">
      <formula>INDEX($I$1:$I$399,ROW(CM322))=1</formula>
    </cfRule>
    <cfRule type="expression" priority="415" dxfId="4186">
      <formula>INDEX($I$1:$I$399,ROW(CM322))=3</formula>
    </cfRule>
  </conditionalFormatting>
  <conditionalFormatting sqref="CM331:CM336">
    <cfRule type="expression" priority="311" dxfId="4166">
      <formula>INDEX($I$1:$I$399,ROW(CM331))=1</formula>
    </cfRule>
    <cfRule type="expression" priority="326" dxfId="4186">
      <formula>INDEX($I$1:$I$399,ROW(CM331))=3</formula>
    </cfRule>
    <cfRule type="expression" priority="327" dxfId="4166">
      <formula>INDEX($I$1:$I$399,ROW(CM331))=1</formula>
    </cfRule>
    <cfRule type="expression" priority="328" dxfId="4185">
      <formula>INDEX($I$1:$I$399,ROW(CM331))=2</formula>
    </cfRule>
    <cfRule type="expression" priority="258" dxfId="4186">
      <formula>INDEX($I$1:$I$399,ROW(CM331))=3</formula>
    </cfRule>
    <cfRule type="expression" priority="342" dxfId="4186">
      <formula>INDEX($I$1:$I$399,ROW(CM331))=3</formula>
    </cfRule>
    <cfRule type="expression" priority="312" dxfId="4185">
      <formula>INDEX($I$1:$I$399,ROW(CM331))=2</formula>
    </cfRule>
    <cfRule type="expression" priority="272" dxfId="4185">
      <formula>INDEX($I$1:$I$399,ROW(CM331))=2</formula>
    </cfRule>
    <cfRule type="expression" priority="343" dxfId="4166">
      <formula>INDEX($I$1:$I$399,ROW(CM331))=1</formula>
    </cfRule>
    <cfRule type="expression" priority="259" dxfId="4166">
      <formula>INDEX($I$1:$I$399,ROW(CM331))=1</formula>
    </cfRule>
    <cfRule type="expression" priority="344" dxfId="4185">
      <formula>INDEX($I$1:$I$399,ROW(CM331))=2</formula>
    </cfRule>
    <cfRule type="expression" priority="260" dxfId="4185">
      <formula>INDEX($I$1:$I$399,ROW(CM331))=2</formula>
    </cfRule>
    <cfRule type="expression" priority="262" dxfId="4186">
      <formula>INDEX($I$1:$I$399,ROW(CM331))=3</formula>
    </cfRule>
    <cfRule type="expression" priority="263" dxfId="4166">
      <formula>INDEX($I$1:$I$399,ROW(CM331))=1</formula>
    </cfRule>
    <cfRule type="expression" priority="264" dxfId="4185">
      <formula>INDEX($I$1:$I$399,ROW(CM331))=2</formula>
    </cfRule>
    <cfRule type="expression" priority="266" dxfId="4186">
      <formula>INDEX($I$1:$I$399,ROW(CM331))=3</formula>
    </cfRule>
    <cfRule type="expression" priority="267" dxfId="4166">
      <formula>INDEX($I$1:$I$399,ROW(CM331))=1</formula>
    </cfRule>
    <cfRule type="expression" priority="268" dxfId="4185">
      <formula>INDEX($I$1:$I$399,ROW(CM331))=2</formula>
    </cfRule>
    <cfRule type="expression" priority="270" dxfId="4186">
      <formula>INDEX($I$1:$I$399,ROW(CM331))=3</formula>
    </cfRule>
    <cfRule type="expression" priority="271" dxfId="4166">
      <formula>INDEX($I$1:$I$399,ROW(CM331))=1</formula>
    </cfRule>
    <cfRule type="expression" priority="310" dxfId="4186">
      <formula>INDEX($I$1:$I$399,ROW(CM331))=3</formula>
    </cfRule>
  </conditionalFormatting>
  <conditionalFormatting sqref="CM10:CN11 CP10:CQ11 CM19:CN227 CP19:CQ227 CM230:CN242 CP230:CQ242 CM245 CP245 CM246:CN249 CP246:CQ249 CM257:CN258 CP257:CQ258 CM266:CN267 CP266:CQ267 CM275:CN276 CP275:CQ276 CM284:CN285 CP284:CQ285 CM293:CN294 CP293:CQ294 CM302:CN303 CP302:CQ303 CM311:CN312 CP311:CQ312 CM320:CN321 CP320:CQ321 CM329:CN330 CP329:CQ330 CM338:CN338 CP338:CQ338">
    <cfRule type="expression" priority="32405" dxfId="4167">
      <formula>INDEX($H$1:$H$399,ROW($CM10))=2</formula>
    </cfRule>
  </conditionalFormatting>
  <conditionalFormatting sqref="CM57:CN66">
    <cfRule type="expression" priority="93" dxfId="4191">
      <formula>INDEX($H$1:$H$399,ROW($X57))=2</formula>
    </cfRule>
    <cfRule type="expression" priority="94" dxfId="4166">
      <formula>INDEX($I$1:$I$399,ROW(CM57))=1</formula>
    </cfRule>
    <cfRule type="expression" priority="104" dxfId="4166">
      <formula>INDEX($I$1:$I$399,ROW(CM57))=1</formula>
    </cfRule>
    <cfRule type="expression" priority="105" dxfId="4185">
      <formula>INDEX($I$1:$I$399,ROW(CM57))=2</formula>
    </cfRule>
    <cfRule type="expression" priority="106" dxfId="4166">
      <formula>INDEX($I$1:$I$399,ROW(CM57))=1</formula>
    </cfRule>
    <cfRule type="expression" priority="107" dxfId="4185">
      <formula>INDEX($I$1:$I$399,ROW(CM57))=2</formula>
    </cfRule>
    <cfRule type="expression" priority="95" dxfId="4185">
      <formula>INDEX($I$1:$I$399,ROW(CM57))=2</formula>
    </cfRule>
  </conditionalFormatting>
  <conditionalFormatting sqref="CM72:CN72">
    <cfRule type="expression" priority="32397" dxfId="4191">
      <formula>INDEX($H$1:$H$399,ROW($X72))=2</formula>
    </cfRule>
  </conditionalFormatting>
  <conditionalFormatting sqref="CM101:CN110">
    <cfRule type="expression" priority="32403" dxfId="4185">
      <formula>INDEX($I$1:$I$399,ROW(CM101))=2</formula>
    </cfRule>
    <cfRule type="expression" priority="32401" dxfId="4191">
      <formula>INDEX($H$1:$H$399,ROW($X101))=2</formula>
    </cfRule>
    <cfRule type="expression" priority="32402" dxfId="4166">
      <formula>INDEX($I$1:$I$399,ROW(CM101))=1</formula>
    </cfRule>
  </conditionalFormatting>
  <conditionalFormatting sqref="CM113:CN122">
    <cfRule type="expression" priority="162" dxfId="4185">
      <formula>INDEX($I$1:$I$399,ROW(CM113))=2</formula>
    </cfRule>
    <cfRule type="expression" priority="158" dxfId="4185">
      <formula>INDEX($I$1:$I$399,ROW(CM113))=2</formula>
    </cfRule>
    <cfRule type="expression" priority="135" dxfId="4191">
      <formula>INDEX($H$1:$H$399,ROW($X113))=2</formula>
    </cfRule>
    <cfRule type="expression" priority="136" dxfId="4166">
      <formula>INDEX($I$1:$I$399,ROW(CM113))=1</formula>
    </cfRule>
    <cfRule type="expression" priority="157" dxfId="4166">
      <formula>INDEX($I$1:$I$399,ROW(CM113))=1</formula>
    </cfRule>
    <cfRule type="expression" priority="161" dxfId="4166">
      <formula>INDEX($I$1:$I$399,ROW(CM113))=1</formula>
    </cfRule>
    <cfRule type="expression" priority="137" dxfId="4185">
      <formula>INDEX($I$1:$I$399,ROW(CM113))=2</formula>
    </cfRule>
  </conditionalFormatting>
  <conditionalFormatting sqref="CM148:CN153">
    <cfRule type="expression" priority="27" dxfId="4191">
      <formula>INDEX($H$1:$H$399,ROW($X148))=2</formula>
    </cfRule>
  </conditionalFormatting>
  <conditionalFormatting sqref="CM256:CN256">
    <cfRule type="expression" priority="1669" dxfId="4039">
      <formula>AND($X256=0,ISNUMBER($X256))</formula>
    </cfRule>
  </conditionalFormatting>
  <conditionalFormatting sqref="CM265:CN265">
    <cfRule type="expression" priority="1527" dxfId="4039">
      <formula>AND($X265=0,ISNUMBER($X265))</formula>
    </cfRule>
  </conditionalFormatting>
  <conditionalFormatting sqref="CM274:CN274">
    <cfRule type="expression" priority="1383" dxfId="4039">
      <formula>AND($X274=0,ISNUMBER($X274))</formula>
    </cfRule>
  </conditionalFormatting>
  <conditionalFormatting sqref="CM283:CN283">
    <cfRule type="expression" priority="1239" dxfId="4039">
      <formula>AND($X283=0,ISNUMBER($X283))</formula>
    </cfRule>
  </conditionalFormatting>
  <conditionalFormatting sqref="CM292:CN292">
    <cfRule type="expression" priority="1095" dxfId="4039">
      <formula>AND($X292=0,ISNUMBER($X292))</formula>
    </cfRule>
  </conditionalFormatting>
  <conditionalFormatting sqref="CM301:CN301">
    <cfRule type="expression" priority="950" dxfId="4039">
      <formula>AND($X301=0,ISNUMBER($X301))</formula>
    </cfRule>
  </conditionalFormatting>
  <conditionalFormatting sqref="CM310:CN310">
    <cfRule type="expression" priority="801" dxfId="4039">
      <formula>AND($X310=0,ISNUMBER($X310))</formula>
    </cfRule>
  </conditionalFormatting>
  <conditionalFormatting sqref="CM319:CN319">
    <cfRule type="expression" priority="652" dxfId="4039">
      <formula>AND($X319=0,ISNUMBER($X319))</formula>
    </cfRule>
  </conditionalFormatting>
  <conditionalFormatting sqref="CM328:CN328">
    <cfRule type="expression" priority="503" dxfId="4039">
      <formula>AND($X328=0,ISNUMBER($X328))</formula>
    </cfRule>
  </conditionalFormatting>
  <conditionalFormatting sqref="CM337:CN337">
    <cfRule type="expression" priority="354" dxfId="4039">
      <formula>AND($X337=0,ISNUMBER($X337))</formula>
    </cfRule>
  </conditionalFormatting>
  <conditionalFormatting sqref="CN26:CN28">
    <cfRule type="expression" priority="32441" dxfId="4185">
      <formula>INDEX($I$1:$I$399,ROW(CN26))=2</formula>
    </cfRule>
    <cfRule type="expression" priority="32428" dxfId="4186">
      <formula>INDEX($I$1:$I$399,ROW(CN26))=3</formula>
    </cfRule>
    <cfRule type="expression" priority="32429" dxfId="4166">
      <formula>INDEX($I$1:$I$399,ROW(CN26))=1</formula>
    </cfRule>
    <cfRule type="expression" priority="32430" dxfId="4185">
      <formula>INDEX($I$1:$I$399,ROW(CN26))=2</formula>
    </cfRule>
    <cfRule type="expression" priority="32431" dxfId="4165">
      <formula>_xlfn.SWITCH(INDEX($X$1:$X$399,ROW(CN26)),-1,SIGN(CN26)&gt;0,1,SIGN(CN26)&lt;0)</formula>
    </cfRule>
    <cfRule type="expression" priority="32432" dxfId="4191">
      <formula>INDEX($H$1:$H$399,ROW($X26))=2</formula>
    </cfRule>
    <cfRule type="expression" priority="32433" dxfId="4186">
      <formula>INDEX($I$1:$I$399,ROW(CN26))=3</formula>
    </cfRule>
    <cfRule type="expression" priority="32437" dxfId="4191">
      <formula>INDEX($H$1:$H$399,ROW($X26))=2</formula>
    </cfRule>
    <cfRule type="expression" priority="32436" dxfId="4165">
      <formula>_xlfn.SWITCH(INDEX($X$1:$X$399,ROW(CN26)),-1,SIGN(CN26)&gt;0,1,SIGN(CN26)&lt;0)</formula>
    </cfRule>
    <cfRule type="expression" priority="32434" dxfId="4166">
      <formula>INDEX($I$1:$I$399,ROW(CN26))=1</formula>
    </cfRule>
    <cfRule type="expression" priority="32435" dxfId="4185">
      <formula>INDEX($I$1:$I$399,ROW(CN26))=2</formula>
    </cfRule>
    <cfRule type="expression" priority="32440" dxfId="4166">
      <formula>INDEX($I$1:$I$399,ROW(CN26))=1</formula>
    </cfRule>
    <cfRule type="expression" priority="32439" dxfId="4186">
      <formula>INDEX($I$1:$I$399,ROW(CN26))=3</formula>
    </cfRule>
    <cfRule type="expression" priority="32438" dxfId="4165">
      <formula>_xlfn.SWITCH(INDEX($X$1:$X$399,ROW(CN26)),-1,SIGN(CN26)&gt;0,1,SIGN(CN26)&lt;0)</formula>
    </cfRule>
  </conditionalFormatting>
  <conditionalFormatting sqref="CP57:CP66">
    <cfRule type="expression" priority="81" dxfId="4166">
      <formula>INDEX($I$1:$I$399,ROW(CP57))=1</formula>
    </cfRule>
    <cfRule type="expression" priority="76" dxfId="4166">
      <formula>INDEX($I$1:$I$399,ROW(CP57))=1</formula>
    </cfRule>
    <cfRule type="expression" priority="83" dxfId="4186">
      <formula>INDEX($I$1:$I$399,ROW(CP57))=3</formula>
    </cfRule>
    <cfRule type="expression" priority="85" dxfId="4185">
      <formula>INDEX($I$1:$I$399,ROW(CP57))=2</formula>
    </cfRule>
    <cfRule type="expression" priority="77" dxfId="4185">
      <formula>INDEX($I$1:$I$399,ROW(CP57))=2</formula>
    </cfRule>
    <cfRule type="expression" priority="79" dxfId="4166">
      <formula>INDEX($I$1:$I$399,ROW(CP57))=1</formula>
    </cfRule>
    <cfRule type="expression" priority="80" dxfId="4185">
      <formula>INDEX($I$1:$I$399,ROW(CP57))=2</formula>
    </cfRule>
    <cfRule type="expression" priority="84" dxfId="4166">
      <formula>INDEX($I$1:$I$399,ROW(CP57))=1</formula>
    </cfRule>
    <cfRule type="expression" priority="82" dxfId="4185">
      <formula>INDEX($I$1:$I$399,ROW(CP57))=2</formula>
    </cfRule>
  </conditionalFormatting>
  <conditionalFormatting sqref="CP113:CP121">
    <cfRule type="expression" priority="127" dxfId="4185">
      <formula>INDEX($I$1:$I$399,ROW(CP113))=2</formula>
    </cfRule>
    <cfRule type="expression" priority="126" dxfId="4166">
      <formula>INDEX($I$1:$I$399,ROW(CP113))=1</formula>
    </cfRule>
    <cfRule type="expression" priority="124" dxfId="4185">
      <formula>INDEX($I$1:$I$399,ROW(CP113))=2</formula>
    </cfRule>
    <cfRule type="expression" priority="123" dxfId="4166">
      <formula>INDEX($I$1:$I$399,ROW(CP113))=1</formula>
    </cfRule>
    <cfRule type="expression" priority="122" dxfId="4185">
      <formula>INDEX($I$1:$I$399,ROW(CP113))=2</formula>
    </cfRule>
    <cfRule type="expression" priority="121" dxfId="4166">
      <formula>INDEX($I$1:$I$399,ROW(CP113))=1</formula>
    </cfRule>
    <cfRule type="expression" priority="118" dxfId="4166">
      <formula>INDEX($I$1:$I$399,ROW(CP113))=1</formula>
    </cfRule>
    <cfRule type="expression" priority="125" dxfId="4186">
      <formula>INDEX($I$1:$I$399,ROW(CP113))=3</formula>
    </cfRule>
    <cfRule type="expression" priority="117" dxfId="4191">
      <formula>INDEX($H$1:$H$399,ROW($X113))=2</formula>
    </cfRule>
    <cfRule type="expression" priority="119" dxfId="4185">
      <formula>INDEX($I$1:$I$399,ROW(CP113))=2</formula>
    </cfRule>
  </conditionalFormatting>
  <conditionalFormatting sqref="CP250:CP255">
    <cfRule type="expression" priority="1570" dxfId="4166">
      <formula>INDEX($I$1:$I$399,ROW(CP250))=1</formula>
    </cfRule>
    <cfRule type="expression" priority="1571" dxfId="4185">
      <formula>INDEX($I$1:$I$399,ROW(CP250))=2</formula>
    </cfRule>
    <cfRule type="expression" priority="1638" dxfId="4166">
      <formula>INDEX($I$1:$I$399,ROW(CP250))=1</formula>
    </cfRule>
    <cfRule type="expression" priority="1639" dxfId="4185">
      <formula>INDEX($I$1:$I$399,ROW(CP250))=2</formula>
    </cfRule>
    <cfRule type="expression" priority="1637" dxfId="4186">
      <formula>INDEX($I$1:$I$399,ROW(CP250))=3</formula>
    </cfRule>
    <cfRule type="expression" priority="1559" dxfId="4185">
      <formula>INDEX($I$1:$I$399,ROW(CP250))=2</formula>
    </cfRule>
    <cfRule type="expression" priority="1558" dxfId="4166">
      <formula>INDEX($I$1:$I$399,ROW(CP250))=1</formula>
    </cfRule>
    <cfRule type="expression" priority="1565" dxfId="4186">
      <formula>INDEX($I$1:$I$399,ROW(CP250))=3</formula>
    </cfRule>
    <cfRule type="expression" priority="1557" dxfId="4186">
      <formula>INDEX($I$1:$I$399,ROW(CP250))=3</formula>
    </cfRule>
    <cfRule type="expression" priority="1566" dxfId="4166">
      <formula>INDEX($I$1:$I$399,ROW(CP250))=1</formula>
    </cfRule>
    <cfRule type="expression" priority="1567" dxfId="4185">
      <formula>INDEX($I$1:$I$399,ROW(CP250))=2</formula>
    </cfRule>
    <cfRule type="expression" priority="1655" dxfId="4185">
      <formula>INDEX($I$1:$I$399,ROW(CP250))=2</formula>
    </cfRule>
    <cfRule type="expression" priority="1654" dxfId="4166">
      <formula>INDEX($I$1:$I$399,ROW(CP250))=1</formula>
    </cfRule>
    <cfRule type="expression" priority="1569" dxfId="4186">
      <formula>INDEX($I$1:$I$399,ROW(CP250))=3</formula>
    </cfRule>
    <cfRule type="expression" priority="1563" dxfId="4185">
      <formula>INDEX($I$1:$I$399,ROW(CP250))=2</formula>
    </cfRule>
    <cfRule type="expression" priority="1621" dxfId="4186">
      <formula>INDEX($I$1:$I$399,ROW(CP250))=3</formula>
    </cfRule>
    <cfRule type="expression" priority="1622" dxfId="4166">
      <formula>INDEX($I$1:$I$399,ROW(CP250))=1</formula>
    </cfRule>
    <cfRule type="expression" priority="1623" dxfId="4185">
      <formula>INDEX($I$1:$I$399,ROW(CP250))=2</formula>
    </cfRule>
    <cfRule type="expression" priority="1562" dxfId="4166">
      <formula>INDEX($I$1:$I$399,ROW(CP250))=1</formula>
    </cfRule>
    <cfRule type="expression" priority="1561" dxfId="4186">
      <formula>INDEX($I$1:$I$399,ROW(CP250))=3</formula>
    </cfRule>
    <cfRule type="expression" priority="1653" dxfId="4186">
      <formula>INDEX($I$1:$I$399,ROW(CP250))=3</formula>
    </cfRule>
  </conditionalFormatting>
  <conditionalFormatting sqref="CP259:CP264">
    <cfRule type="expression" priority="1511" dxfId="4186">
      <formula>INDEX($I$1:$I$399,ROW(CP259))=3</formula>
    </cfRule>
    <cfRule type="expression" priority="1429" dxfId="4185">
      <formula>INDEX($I$1:$I$399,ROW(CP259))=2</formula>
    </cfRule>
    <cfRule type="expression" priority="1428" dxfId="4166">
      <formula>INDEX($I$1:$I$399,ROW(CP259))=1</formula>
    </cfRule>
    <cfRule type="expression" priority="1427" dxfId="4186">
      <formula>INDEX($I$1:$I$399,ROW(CP259))=3</formula>
    </cfRule>
    <cfRule type="expression" priority="1425" dxfId="4185">
      <formula>INDEX($I$1:$I$399,ROW(CP259))=2</formula>
    </cfRule>
    <cfRule type="expression" priority="1424" dxfId="4166">
      <formula>INDEX($I$1:$I$399,ROW(CP259))=1</formula>
    </cfRule>
    <cfRule type="expression" priority="1423" dxfId="4186">
      <formula>INDEX($I$1:$I$399,ROW(CP259))=3</formula>
    </cfRule>
    <cfRule type="expression" priority="1421" dxfId="4185">
      <formula>INDEX($I$1:$I$399,ROW(CP259))=2</formula>
    </cfRule>
    <cfRule type="expression" priority="1512" dxfId="4166">
      <formula>INDEX($I$1:$I$399,ROW(CP259))=1</formula>
    </cfRule>
    <cfRule type="expression" priority="1513" dxfId="4185">
      <formula>INDEX($I$1:$I$399,ROW(CP259))=2</formula>
    </cfRule>
    <cfRule type="expression" priority="1497" dxfId="4185">
      <formula>INDEX($I$1:$I$399,ROW(CP259))=2</formula>
    </cfRule>
    <cfRule type="expression" priority="1496" dxfId="4166">
      <formula>INDEX($I$1:$I$399,ROW(CP259))=1</formula>
    </cfRule>
    <cfRule type="expression" priority="1479" dxfId="4186">
      <formula>INDEX($I$1:$I$399,ROW(CP259))=3</formula>
    </cfRule>
    <cfRule type="expression" priority="1480" dxfId="4166">
      <formula>INDEX($I$1:$I$399,ROW(CP259))=1</formula>
    </cfRule>
    <cfRule type="expression" priority="1481" dxfId="4185">
      <formula>INDEX($I$1:$I$399,ROW(CP259))=2</formula>
    </cfRule>
    <cfRule type="expression" priority="1495" dxfId="4186">
      <formula>INDEX($I$1:$I$399,ROW(CP259))=3</formula>
    </cfRule>
    <cfRule type="expression" priority="1415" dxfId="4186">
      <formula>INDEX($I$1:$I$399,ROW(CP259))=3</formula>
    </cfRule>
    <cfRule type="expression" priority="1416" dxfId="4166">
      <formula>INDEX($I$1:$I$399,ROW(CP259))=1</formula>
    </cfRule>
    <cfRule type="expression" priority="1417" dxfId="4185">
      <formula>INDEX($I$1:$I$399,ROW(CP259))=2</formula>
    </cfRule>
    <cfRule type="expression" priority="1419" dxfId="4186">
      <formula>INDEX($I$1:$I$399,ROW(CP259))=3</formula>
    </cfRule>
    <cfRule type="expression" priority="1420" dxfId="4166">
      <formula>INDEX($I$1:$I$399,ROW(CP259))=1</formula>
    </cfRule>
  </conditionalFormatting>
  <conditionalFormatting sqref="CP268:CP273">
    <cfRule type="expression" priority="1369" dxfId="4185">
      <formula>INDEX($I$1:$I$399,ROW(CP268))=2</formula>
    </cfRule>
    <cfRule type="expression" priority="1368" dxfId="4166">
      <formula>INDEX($I$1:$I$399,ROW(CP268))=1</formula>
    </cfRule>
    <cfRule type="expression" priority="1367" dxfId="4186">
      <formula>INDEX($I$1:$I$399,ROW(CP268))=3</formula>
    </cfRule>
    <cfRule type="expression" priority="1353" dxfId="4185">
      <formula>INDEX($I$1:$I$399,ROW(CP268))=2</formula>
    </cfRule>
    <cfRule type="expression" priority="1352" dxfId="4166">
      <formula>INDEX($I$1:$I$399,ROW(CP268))=1</formula>
    </cfRule>
    <cfRule type="expression" priority="1351" dxfId="4186">
      <formula>INDEX($I$1:$I$399,ROW(CP268))=3</formula>
    </cfRule>
    <cfRule type="expression" priority="1337" dxfId="4185">
      <formula>INDEX($I$1:$I$399,ROW(CP268))=2</formula>
    </cfRule>
    <cfRule type="expression" priority="1336" dxfId="4166">
      <formula>INDEX($I$1:$I$399,ROW(CP268))=1</formula>
    </cfRule>
    <cfRule type="expression" priority="1335" dxfId="4186">
      <formula>INDEX($I$1:$I$399,ROW(CP268))=3</formula>
    </cfRule>
    <cfRule type="expression" priority="1276" dxfId="4166">
      <formula>INDEX($I$1:$I$399,ROW(CP268))=1</formula>
    </cfRule>
    <cfRule type="expression" priority="1280" dxfId="4166">
      <formula>INDEX($I$1:$I$399,ROW(CP268))=1</formula>
    </cfRule>
    <cfRule type="expression" priority="1279" dxfId="4186">
      <formula>INDEX($I$1:$I$399,ROW(CP268))=3</formula>
    </cfRule>
    <cfRule type="expression" priority="1271" dxfId="4186">
      <formula>INDEX($I$1:$I$399,ROW(CP268))=3</formula>
    </cfRule>
    <cfRule type="expression" priority="1275" dxfId="4186">
      <formula>INDEX($I$1:$I$399,ROW(CP268))=3</formula>
    </cfRule>
    <cfRule type="expression" priority="1273" dxfId="4185">
      <formula>INDEX($I$1:$I$399,ROW(CP268))=2</formula>
    </cfRule>
    <cfRule type="expression" priority="1272" dxfId="4166">
      <formula>INDEX($I$1:$I$399,ROW(CP268))=1</formula>
    </cfRule>
    <cfRule type="expression" priority="1281" dxfId="4185">
      <formula>INDEX($I$1:$I$399,ROW(CP268))=2</formula>
    </cfRule>
    <cfRule type="expression" priority="1277" dxfId="4185">
      <formula>INDEX($I$1:$I$399,ROW(CP268))=2</formula>
    </cfRule>
    <cfRule type="expression" priority="1285" dxfId="4185">
      <formula>INDEX($I$1:$I$399,ROW(CP268))=2</formula>
    </cfRule>
    <cfRule type="expression" priority="1284" dxfId="4166">
      <formula>INDEX($I$1:$I$399,ROW(CP268))=1</formula>
    </cfRule>
    <cfRule type="expression" priority="1283" dxfId="4186">
      <formula>INDEX($I$1:$I$399,ROW(CP268))=3</formula>
    </cfRule>
  </conditionalFormatting>
  <conditionalFormatting sqref="CP277:CP282">
    <cfRule type="expression" priority="1136" dxfId="4166">
      <formula>INDEX($I$1:$I$399,ROW(CP277))=1</formula>
    </cfRule>
    <cfRule type="expression" priority="1129" dxfId="4185">
      <formula>INDEX($I$1:$I$399,ROW(CP277))=2</formula>
    </cfRule>
    <cfRule type="expression" priority="1209" dxfId="4185">
      <formula>INDEX($I$1:$I$399,ROW(CP277))=2</formula>
    </cfRule>
    <cfRule type="expression" priority="1137" dxfId="4185">
      <formula>INDEX($I$1:$I$399,ROW(CP277))=2</formula>
    </cfRule>
    <cfRule type="expression" priority="1191" dxfId="4186">
      <formula>INDEX($I$1:$I$399,ROW(CP277))=3</formula>
    </cfRule>
    <cfRule type="expression" priority="1139" dxfId="4186">
      <formula>INDEX($I$1:$I$399,ROW(CP277))=3</formula>
    </cfRule>
    <cfRule type="expression" priority="1140" dxfId="4166">
      <formula>INDEX($I$1:$I$399,ROW(CP277))=1</formula>
    </cfRule>
    <cfRule type="expression" priority="1207" dxfId="4186">
      <formula>INDEX($I$1:$I$399,ROW(CP277))=3</formula>
    </cfRule>
    <cfRule type="expression" priority="1193" dxfId="4185">
      <formula>INDEX($I$1:$I$399,ROW(CP277))=2</formula>
    </cfRule>
    <cfRule type="expression" priority="1127" dxfId="4186">
      <formula>INDEX($I$1:$I$399,ROW(CP277))=3</formula>
    </cfRule>
    <cfRule type="expression" priority="1192" dxfId="4166">
      <formula>INDEX($I$1:$I$399,ROW(CP277))=1</formula>
    </cfRule>
    <cfRule type="expression" priority="1131" dxfId="4186">
      <formula>INDEX($I$1:$I$399,ROW(CP277))=3</formula>
    </cfRule>
    <cfRule type="expression" priority="1132" dxfId="4166">
      <formula>INDEX($I$1:$I$399,ROW(CP277))=1</formula>
    </cfRule>
    <cfRule type="expression" priority="1208" dxfId="4166">
      <formula>INDEX($I$1:$I$399,ROW(CP277))=1</formula>
    </cfRule>
    <cfRule type="expression" priority="1225" dxfId="4185">
      <formula>INDEX($I$1:$I$399,ROW(CP277))=2</formula>
    </cfRule>
    <cfRule type="expression" priority="1133" dxfId="4185">
      <formula>INDEX($I$1:$I$399,ROW(CP277))=2</formula>
    </cfRule>
    <cfRule type="expression" priority="1135" dxfId="4186">
      <formula>INDEX($I$1:$I$399,ROW(CP277))=3</formula>
    </cfRule>
    <cfRule type="expression" priority="1128" dxfId="4166">
      <formula>INDEX($I$1:$I$399,ROW(CP277))=1</formula>
    </cfRule>
    <cfRule type="expression" priority="1141" dxfId="4185">
      <formula>INDEX($I$1:$I$399,ROW(CP277))=2</formula>
    </cfRule>
    <cfRule type="expression" priority="1224" dxfId="4166">
      <formula>INDEX($I$1:$I$399,ROW(CP277))=1</formula>
    </cfRule>
    <cfRule type="expression" priority="1223" dxfId="4186">
      <formula>INDEX($I$1:$I$399,ROW(CP277))=3</formula>
    </cfRule>
  </conditionalFormatting>
  <conditionalFormatting sqref="CP286:CP291">
    <cfRule type="expression" priority="983" dxfId="4186">
      <formula>INDEX($I$1:$I$399,ROW(CP286))=3</formula>
    </cfRule>
    <cfRule type="expression" priority="984" dxfId="4166">
      <formula>INDEX($I$1:$I$399,ROW(CP286))=1</formula>
    </cfRule>
    <cfRule type="expression" priority="985" dxfId="4185">
      <formula>INDEX($I$1:$I$399,ROW(CP286))=2</formula>
    </cfRule>
    <cfRule type="expression" priority="987" dxfId="4186">
      <formula>INDEX($I$1:$I$399,ROW(CP286))=3</formula>
    </cfRule>
    <cfRule type="expression" priority="991" dxfId="4186">
      <formula>INDEX($I$1:$I$399,ROW(CP286))=3</formula>
    </cfRule>
    <cfRule type="expression" priority="992" dxfId="4166">
      <formula>INDEX($I$1:$I$399,ROW(CP286))=1</formula>
    </cfRule>
    <cfRule type="expression" priority="993" dxfId="4185">
      <formula>INDEX($I$1:$I$399,ROW(CP286))=2</formula>
    </cfRule>
    <cfRule type="expression" priority="995" dxfId="4186">
      <formula>INDEX($I$1:$I$399,ROW(CP286))=3</formula>
    </cfRule>
    <cfRule type="expression" priority="1063" dxfId="4186">
      <formula>INDEX($I$1:$I$399,ROW(CP286))=3</formula>
    </cfRule>
    <cfRule type="expression" priority="1064" dxfId="4166">
      <formula>INDEX($I$1:$I$399,ROW(CP286))=1</formula>
    </cfRule>
    <cfRule type="expression" priority="988" dxfId="4166">
      <formula>INDEX($I$1:$I$399,ROW(CP286))=1</formula>
    </cfRule>
    <cfRule type="expression" priority="1049" dxfId="4185">
      <formula>INDEX($I$1:$I$399,ROW(CP286))=2</formula>
    </cfRule>
    <cfRule type="expression" priority="1081" dxfId="4185">
      <formula>INDEX($I$1:$I$399,ROW(CP286))=2</formula>
    </cfRule>
    <cfRule type="expression" priority="1048" dxfId="4166">
      <formula>INDEX($I$1:$I$399,ROW(CP286))=1</formula>
    </cfRule>
    <cfRule type="expression" priority="1047" dxfId="4186">
      <formula>INDEX($I$1:$I$399,ROW(CP286))=3</formula>
    </cfRule>
    <cfRule type="expression" priority="1080" dxfId="4166">
      <formula>INDEX($I$1:$I$399,ROW(CP286))=1</formula>
    </cfRule>
    <cfRule type="expression" priority="1065" dxfId="4185">
      <formula>INDEX($I$1:$I$399,ROW(CP286))=2</formula>
    </cfRule>
    <cfRule type="expression" priority="989" dxfId="4185">
      <formula>INDEX($I$1:$I$399,ROW(CP286))=2</formula>
    </cfRule>
    <cfRule type="expression" priority="1079" dxfId="4186">
      <formula>INDEX($I$1:$I$399,ROW(CP286))=3</formula>
    </cfRule>
    <cfRule type="expression" priority="997" dxfId="4185">
      <formula>INDEX($I$1:$I$399,ROW(CP286))=2</formula>
    </cfRule>
    <cfRule type="expression" priority="996" dxfId="4166">
      <formula>INDEX($I$1:$I$399,ROW(CP286))=1</formula>
    </cfRule>
  </conditionalFormatting>
  <conditionalFormatting sqref="CP295:CP300">
    <cfRule type="expression" priority="842" dxfId="4186">
      <formula>INDEX($I$1:$I$399,ROW(CP295))=3</formula>
    </cfRule>
    <cfRule type="expression" priority="934" dxfId="4186">
      <formula>INDEX($I$1:$I$399,ROW(CP295))=3</formula>
    </cfRule>
    <cfRule type="expression" priority="844" dxfId="4185">
      <formula>INDEX($I$1:$I$399,ROW(CP295))=2</formula>
    </cfRule>
    <cfRule type="expression" priority="840" dxfId="4185">
      <formula>INDEX($I$1:$I$399,ROW(CP295))=2</formula>
    </cfRule>
    <cfRule type="expression" priority="902" dxfId="4186">
      <formula>INDEX($I$1:$I$399,ROW(CP295))=3</formula>
    </cfRule>
    <cfRule type="expression" priority="904" dxfId="4185">
      <formula>INDEX($I$1:$I$399,ROW(CP295))=2</formula>
    </cfRule>
    <cfRule type="expression" priority="843" dxfId="4166">
      <formula>INDEX($I$1:$I$399,ROW(CP295))=1</formula>
    </cfRule>
    <cfRule type="expression" priority="846" dxfId="4186">
      <formula>INDEX($I$1:$I$399,ROW(CP295))=3</formula>
    </cfRule>
    <cfRule type="expression" priority="850" dxfId="4186">
      <formula>INDEX($I$1:$I$399,ROW(CP295))=3</formula>
    </cfRule>
    <cfRule type="expression" priority="851" dxfId="4166">
      <formula>INDEX($I$1:$I$399,ROW(CP295))=1</formula>
    </cfRule>
    <cfRule type="expression" priority="852" dxfId="4185">
      <formula>INDEX($I$1:$I$399,ROW(CP295))=2</formula>
    </cfRule>
    <cfRule type="expression" priority="839" dxfId="4166">
      <formula>INDEX($I$1:$I$399,ROW(CP295))=1</formula>
    </cfRule>
    <cfRule type="expression" priority="920" dxfId="4185">
      <formula>INDEX($I$1:$I$399,ROW(CP295))=2</formula>
    </cfRule>
    <cfRule type="expression" priority="848" dxfId="4185">
      <formula>INDEX($I$1:$I$399,ROW(CP295))=2</formula>
    </cfRule>
    <cfRule type="expression" priority="935" dxfId="4166">
      <formula>INDEX($I$1:$I$399,ROW(CP295))=1</formula>
    </cfRule>
    <cfRule type="expression" priority="936" dxfId="4185">
      <formula>INDEX($I$1:$I$399,ROW(CP295))=2</formula>
    </cfRule>
    <cfRule type="expression" priority="919" dxfId="4166">
      <formula>INDEX($I$1:$I$399,ROW(CP295))=1</formula>
    </cfRule>
    <cfRule type="expression" priority="903" dxfId="4166">
      <formula>INDEX($I$1:$I$399,ROW(CP295))=1</formula>
    </cfRule>
    <cfRule type="expression" priority="838" dxfId="4186">
      <formula>INDEX($I$1:$I$399,ROW(CP295))=3</formula>
    </cfRule>
    <cfRule type="expression" priority="847" dxfId="4166">
      <formula>INDEX($I$1:$I$399,ROW(CP295))=1</formula>
    </cfRule>
    <cfRule type="expression" priority="918" dxfId="4186">
      <formula>INDEX($I$1:$I$399,ROW(CP295))=3</formula>
    </cfRule>
  </conditionalFormatting>
  <conditionalFormatting sqref="CP304:CP309">
    <cfRule type="expression" priority="753" dxfId="4186">
      <formula>INDEX($I$1:$I$399,ROW(CP304))=3</formula>
    </cfRule>
    <cfRule type="expression" priority="754" dxfId="4166">
      <formula>INDEX($I$1:$I$399,ROW(CP304))=1</formula>
    </cfRule>
    <cfRule type="expression" priority="755" dxfId="4185">
      <formula>INDEX($I$1:$I$399,ROW(CP304))=2</formula>
    </cfRule>
    <cfRule type="expression" priority="694" dxfId="4166">
      <formula>INDEX($I$1:$I$399,ROW(CP304))=1</formula>
    </cfRule>
    <cfRule type="expression" priority="770" dxfId="4166">
      <formula>INDEX($I$1:$I$399,ROW(CP304))=1</formula>
    </cfRule>
    <cfRule type="expression" priority="771" dxfId="4185">
      <formula>INDEX($I$1:$I$399,ROW(CP304))=2</formula>
    </cfRule>
    <cfRule type="expression" priority="785" dxfId="4186">
      <formula>INDEX($I$1:$I$399,ROW(CP304))=3</formula>
    </cfRule>
    <cfRule type="expression" priority="689" dxfId="4186">
      <formula>INDEX($I$1:$I$399,ROW(CP304))=3</formula>
    </cfRule>
    <cfRule type="expression" priority="769" dxfId="4186">
      <formula>INDEX($I$1:$I$399,ROW(CP304))=3</formula>
    </cfRule>
    <cfRule type="expression" priority="701" dxfId="4186">
      <formula>INDEX($I$1:$I$399,ROW(CP304))=3</formula>
    </cfRule>
    <cfRule type="expression" priority="691" dxfId="4185">
      <formula>INDEX($I$1:$I$399,ROW(CP304))=2</formula>
    </cfRule>
    <cfRule type="expression" priority="699" dxfId="4185">
      <formula>INDEX($I$1:$I$399,ROW(CP304))=2</formula>
    </cfRule>
    <cfRule type="expression" priority="698" dxfId="4166">
      <formula>INDEX($I$1:$I$399,ROW(CP304))=1</formula>
    </cfRule>
    <cfRule type="expression" priority="697" dxfId="4186">
      <formula>INDEX($I$1:$I$399,ROW(CP304))=3</formula>
    </cfRule>
    <cfRule type="expression" priority="695" dxfId="4185">
      <formula>INDEX($I$1:$I$399,ROW(CP304))=2</formula>
    </cfRule>
    <cfRule type="expression" priority="787" dxfId="4185">
      <formula>INDEX($I$1:$I$399,ROW(CP304))=2</formula>
    </cfRule>
    <cfRule type="expression" priority="690" dxfId="4166">
      <formula>INDEX($I$1:$I$399,ROW(CP304))=1</formula>
    </cfRule>
    <cfRule type="expression" priority="693" dxfId="4186">
      <formula>INDEX($I$1:$I$399,ROW(CP304))=3</formula>
    </cfRule>
    <cfRule type="expression" priority="703" dxfId="4185">
      <formula>INDEX($I$1:$I$399,ROW(CP304))=2</formula>
    </cfRule>
    <cfRule type="expression" priority="702" dxfId="4166">
      <formula>INDEX($I$1:$I$399,ROW(CP304))=1</formula>
    </cfRule>
    <cfRule type="expression" priority="786" dxfId="4166">
      <formula>INDEX($I$1:$I$399,ROW(CP304))=1</formula>
    </cfRule>
  </conditionalFormatting>
  <conditionalFormatting sqref="CP313:CP318">
    <cfRule type="expression" priority="554" dxfId="4185">
      <formula>INDEX($I$1:$I$399,ROW(CP313))=2</formula>
    </cfRule>
    <cfRule type="expression" priority="553" dxfId="4166">
      <formula>INDEX($I$1:$I$399,ROW(CP313))=1</formula>
    </cfRule>
    <cfRule type="expression" priority="552" dxfId="4186">
      <formula>INDEX($I$1:$I$399,ROW(CP313))=3</formula>
    </cfRule>
    <cfRule type="expression" priority="550" dxfId="4185">
      <formula>INDEX($I$1:$I$399,ROW(CP313))=2</formula>
    </cfRule>
    <cfRule type="expression" priority="549" dxfId="4166">
      <formula>INDEX($I$1:$I$399,ROW(CP313))=1</formula>
    </cfRule>
    <cfRule type="expression" priority="548" dxfId="4186">
      <formula>INDEX($I$1:$I$399,ROW(CP313))=3</formula>
    </cfRule>
    <cfRule type="expression" priority="546" dxfId="4185">
      <formula>INDEX($I$1:$I$399,ROW(CP313))=2</formula>
    </cfRule>
    <cfRule type="expression" priority="545" dxfId="4166">
      <formula>INDEX($I$1:$I$399,ROW(CP313))=1</formula>
    </cfRule>
    <cfRule type="expression" priority="544" dxfId="4186">
      <formula>INDEX($I$1:$I$399,ROW(CP313))=3</formula>
    </cfRule>
    <cfRule type="expression" priority="542" dxfId="4185">
      <formula>INDEX($I$1:$I$399,ROW(CP313))=2</formula>
    </cfRule>
    <cfRule type="expression" priority="540" dxfId="4186">
      <formula>INDEX($I$1:$I$399,ROW(CP313))=3</formula>
    </cfRule>
    <cfRule type="expression" priority="541" dxfId="4166">
      <formula>INDEX($I$1:$I$399,ROW(CP313))=1</formula>
    </cfRule>
    <cfRule type="expression" priority="638" dxfId="4185">
      <formula>INDEX($I$1:$I$399,ROW(CP313))=2</formula>
    </cfRule>
    <cfRule type="expression" priority="637" dxfId="4166">
      <formula>INDEX($I$1:$I$399,ROW(CP313))=1</formula>
    </cfRule>
    <cfRule type="expression" priority="636" dxfId="4186">
      <formula>INDEX($I$1:$I$399,ROW(CP313))=3</formula>
    </cfRule>
    <cfRule type="expression" priority="622" dxfId="4185">
      <formula>INDEX($I$1:$I$399,ROW(CP313))=2</formula>
    </cfRule>
    <cfRule type="expression" priority="621" dxfId="4166">
      <formula>INDEX($I$1:$I$399,ROW(CP313))=1</formula>
    </cfRule>
    <cfRule type="expression" priority="620" dxfId="4186">
      <formula>INDEX($I$1:$I$399,ROW(CP313))=3</formula>
    </cfRule>
    <cfRule type="expression" priority="606" dxfId="4185">
      <formula>INDEX($I$1:$I$399,ROW(CP313))=2</formula>
    </cfRule>
    <cfRule type="expression" priority="605" dxfId="4166">
      <formula>INDEX($I$1:$I$399,ROW(CP313))=1</formula>
    </cfRule>
    <cfRule type="expression" priority="604" dxfId="4186">
      <formula>INDEX($I$1:$I$399,ROW(CP313))=3</formula>
    </cfRule>
  </conditionalFormatting>
  <conditionalFormatting sqref="CP322:CP327">
    <cfRule type="expression" priority="405" dxfId="4185">
      <formula>INDEX($I$1:$I$399,ROW(CP322))=2</formula>
    </cfRule>
    <cfRule type="expression" priority="473" dxfId="4185">
      <formula>INDEX($I$1:$I$399,ROW(CP322))=2</formula>
    </cfRule>
    <cfRule type="expression" priority="396" dxfId="4166">
      <formula>INDEX($I$1:$I$399,ROW(CP322))=1</formula>
    </cfRule>
    <cfRule type="expression" priority="395" dxfId="4186">
      <formula>INDEX($I$1:$I$399,ROW(CP322))=3</formula>
    </cfRule>
    <cfRule type="expression" priority="391" dxfId="4186">
      <formula>INDEX($I$1:$I$399,ROW(CP322))=3</formula>
    </cfRule>
    <cfRule type="expression" priority="456" dxfId="4166">
      <formula>INDEX($I$1:$I$399,ROW(CP322))=1</formula>
    </cfRule>
    <cfRule type="expression" priority="397" dxfId="4185">
      <formula>INDEX($I$1:$I$399,ROW(CP322))=2</formula>
    </cfRule>
    <cfRule type="expression" priority="393" dxfId="4185">
      <formula>INDEX($I$1:$I$399,ROW(CP322))=2</formula>
    </cfRule>
    <cfRule type="expression" priority="455" dxfId="4186">
      <formula>INDEX($I$1:$I$399,ROW(CP322))=3</formula>
    </cfRule>
    <cfRule type="expression" priority="392" dxfId="4166">
      <formula>INDEX($I$1:$I$399,ROW(CP322))=1</formula>
    </cfRule>
    <cfRule type="expression" priority="399" dxfId="4186">
      <formula>INDEX($I$1:$I$399,ROW(CP322))=3</formula>
    </cfRule>
    <cfRule type="expression" priority="400" dxfId="4166">
      <formula>INDEX($I$1:$I$399,ROW(CP322))=1</formula>
    </cfRule>
    <cfRule type="expression" priority="401" dxfId="4185">
      <formula>INDEX($I$1:$I$399,ROW(CP322))=2</formula>
    </cfRule>
    <cfRule type="expression" priority="403" dxfId="4186">
      <formula>INDEX($I$1:$I$399,ROW(CP322))=3</formula>
    </cfRule>
    <cfRule type="expression" priority="489" dxfId="4185">
      <formula>INDEX($I$1:$I$399,ROW(CP322))=2</formula>
    </cfRule>
    <cfRule type="expression" priority="404" dxfId="4166">
      <formula>INDEX($I$1:$I$399,ROW(CP322))=1</formula>
    </cfRule>
    <cfRule type="expression" priority="488" dxfId="4166">
      <formula>INDEX($I$1:$I$399,ROW(CP322))=1</formula>
    </cfRule>
    <cfRule type="expression" priority="457" dxfId="4185">
      <formula>INDEX($I$1:$I$399,ROW(CP322))=2</formula>
    </cfRule>
    <cfRule type="expression" priority="471" dxfId="4186">
      <formula>INDEX($I$1:$I$399,ROW(CP322))=3</formula>
    </cfRule>
    <cfRule type="expression" priority="472" dxfId="4166">
      <formula>INDEX($I$1:$I$399,ROW(CP322))=1</formula>
    </cfRule>
    <cfRule type="expression" priority="487" dxfId="4186">
      <formula>INDEX($I$1:$I$399,ROW(CP322))=3</formula>
    </cfRule>
  </conditionalFormatting>
  <conditionalFormatting sqref="CP331:CP336">
    <cfRule type="expression" priority="248" dxfId="4185">
      <formula>INDEX($I$1:$I$399,ROW(CP331))=2</formula>
    </cfRule>
    <cfRule type="expression" priority="306" dxfId="4186">
      <formula>INDEX($I$1:$I$399,ROW(CP331))=3</formula>
    </cfRule>
    <cfRule type="expression" priority="247" dxfId="4166">
      <formula>INDEX($I$1:$I$399,ROW(CP331))=1</formula>
    </cfRule>
    <cfRule type="expression" priority="308" dxfId="4185">
      <formula>INDEX($I$1:$I$399,ROW(CP331))=2</formula>
    </cfRule>
    <cfRule type="expression" priority="340" dxfId="4185">
      <formula>INDEX($I$1:$I$399,ROW(CP331))=2</formula>
    </cfRule>
    <cfRule type="expression" priority="242" dxfId="4186">
      <formula>INDEX($I$1:$I$399,ROW(CP331))=3</formula>
    </cfRule>
    <cfRule type="expression" priority="339" dxfId="4166">
      <formula>INDEX($I$1:$I$399,ROW(CP331))=1</formula>
    </cfRule>
    <cfRule type="expression" priority="322" dxfId="4186">
      <formula>INDEX($I$1:$I$399,ROW(CP331))=3</formula>
    </cfRule>
    <cfRule type="expression" priority="323" dxfId="4166">
      <formula>INDEX($I$1:$I$399,ROW(CP331))=1</formula>
    </cfRule>
    <cfRule type="expression" priority="243" dxfId="4166">
      <formula>INDEX($I$1:$I$399,ROW(CP331))=1</formula>
    </cfRule>
    <cfRule type="expression" priority="244" dxfId="4185">
      <formula>INDEX($I$1:$I$399,ROW(CP331))=2</formula>
    </cfRule>
    <cfRule type="expression" priority="246" dxfId="4186">
      <formula>INDEX($I$1:$I$399,ROW(CP331))=3</formula>
    </cfRule>
    <cfRule type="expression" priority="250" dxfId="4186">
      <formula>INDEX($I$1:$I$399,ROW(CP331))=3</formula>
    </cfRule>
    <cfRule type="expression" priority="251" dxfId="4166">
      <formula>INDEX($I$1:$I$399,ROW(CP331))=1</formula>
    </cfRule>
    <cfRule type="expression" priority="252" dxfId="4185">
      <formula>INDEX($I$1:$I$399,ROW(CP331))=2</formula>
    </cfRule>
    <cfRule type="expression" priority="307" dxfId="4166">
      <formula>INDEX($I$1:$I$399,ROW(CP331))=1</formula>
    </cfRule>
    <cfRule type="expression" priority="254" dxfId="4186">
      <formula>INDEX($I$1:$I$399,ROW(CP331))=3</formula>
    </cfRule>
    <cfRule type="expression" priority="255" dxfId="4166">
      <formula>INDEX($I$1:$I$399,ROW(CP331))=1</formula>
    </cfRule>
    <cfRule type="expression" priority="256" dxfId="4185">
      <formula>INDEX($I$1:$I$399,ROW(CP331))=2</formula>
    </cfRule>
    <cfRule type="expression" priority="324" dxfId="4185">
      <formula>INDEX($I$1:$I$399,ROW(CP331))=2</formula>
    </cfRule>
    <cfRule type="expression" priority="338" dxfId="4186">
      <formula>INDEX($I$1:$I$399,ROW(CP331))=3</formula>
    </cfRule>
  </conditionalFormatting>
  <conditionalFormatting sqref="CP19:CQ227">
    <cfRule type="expression" priority="32444" dxfId="4185">
      <formula>INDEX($I$1:$I$399,ROW(CP19))=2</formula>
    </cfRule>
    <cfRule type="expression" priority="32443" dxfId="4166">
      <formula>INDEX($I$1:$I$399,ROW(CP19))=1</formula>
    </cfRule>
    <cfRule type="expression" priority="32442" dxfId="4186">
      <formula>INDEX($I$1:$I$399,ROW(CP19))=3</formula>
    </cfRule>
  </conditionalFormatting>
  <conditionalFormatting sqref="CP20:CQ21 CP24:CQ24 CP33:CQ33 CP35:CQ35 CP37:CQ38 CP40:CQ40 CP80:CQ80 CP82:CQ87 CP89:CQ89 CP93:CQ94 CM113:CN122 CM133:CN137 CP133:CQ137 CM162:CN167 CM176:CN181 CM192:CN197 CM206:CN211 CM221:CN226 CM236:CN241">
    <cfRule type="expression" priority="32449" dxfId="4191">
      <formula>INDEX($H$1:$H$399,ROW($X20))=2</formula>
    </cfRule>
  </conditionalFormatting>
  <conditionalFormatting sqref="CP20:CQ21">
    <cfRule type="expression" priority="53" dxfId="4166">
      <formula>INDEX($I$1:$I$399,ROW(CP20))=1</formula>
    </cfRule>
    <cfRule type="expression" priority="54" dxfId="4185">
      <formula>INDEX($I$1:$I$399,ROW(CP20))=2</formula>
    </cfRule>
    <cfRule type="expression" priority="55" dxfId="4191">
      <formula>INDEX($H$1:$H$399,ROW($X20))=2</formula>
    </cfRule>
  </conditionalFormatting>
  <conditionalFormatting sqref="CP24:CQ24">
    <cfRule type="expression" priority="50" dxfId="4166">
      <formula>INDEX($I$1:$I$399,ROW(CP24))=1</formula>
    </cfRule>
    <cfRule type="expression" priority="51" dxfId="4185">
      <formula>INDEX($I$1:$I$399,ROW(CP24))=2</formula>
    </cfRule>
    <cfRule type="expression" priority="52" dxfId="4191">
      <formula>INDEX($H$1:$H$399,ROW($X24))=2</formula>
    </cfRule>
  </conditionalFormatting>
  <conditionalFormatting sqref="CP26:CQ31">
    <cfRule type="expression" priority="32493" dxfId="4165">
      <formula>_xlfn.SWITCH(INDEX($X$1:$X$399,ROW(CP26)),-1,SIGN(CP26)&gt;0,1,SIGN(CP26)&lt;0)</formula>
    </cfRule>
    <cfRule type="expression" priority="32494" dxfId="4191">
      <formula>INDEX($H$1:$H$399,ROW($X26))=2</formula>
    </cfRule>
    <cfRule type="expression" priority="46" dxfId="4186">
      <formula>INDEX($I$1:$I$399,ROW(CP26))=3</formula>
    </cfRule>
    <cfRule type="expression" priority="32490" dxfId="4186">
      <formula>INDEX($I$1:$I$399,ROW(CP26))=3</formula>
    </cfRule>
    <cfRule type="expression" priority="49" dxfId="4191">
      <formula>INDEX($H$1:$H$399,ROW($X26))=2</formula>
    </cfRule>
    <cfRule type="expression" priority="32486" dxfId="4186">
      <formula>INDEX($I$1:$I$399,ROW(CP26))=3</formula>
    </cfRule>
    <cfRule type="expression" priority="48" dxfId="4185">
      <formula>INDEX($I$1:$I$399,ROW(CP26))=2</formula>
    </cfRule>
    <cfRule type="expression" priority="47" dxfId="4166">
      <formula>INDEX($I$1:$I$399,ROW(CP26))=1</formula>
    </cfRule>
    <cfRule type="expression" priority="32487" dxfId="4166">
      <formula>INDEX($I$1:$I$399,ROW(CP26))=1</formula>
    </cfRule>
    <cfRule type="expression" priority="32489" dxfId="4191">
      <formula>INDEX($H$1:$H$399,ROW($X26))=2</formula>
    </cfRule>
    <cfRule type="expression" priority="32488" dxfId="4185">
      <formula>INDEX($I$1:$I$399,ROW(CP26))=2</formula>
    </cfRule>
    <cfRule type="expression" priority="32491" dxfId="4166">
      <formula>INDEX($I$1:$I$399,ROW(CP26))=1</formula>
    </cfRule>
    <cfRule type="expression" priority="32492" dxfId="4185">
      <formula>INDEX($I$1:$I$399,ROW(CP26))=2</formula>
    </cfRule>
  </conditionalFormatting>
  <conditionalFormatting sqref="CP33:CQ33">
    <cfRule type="expression" priority="45" dxfId="4191">
      <formula>INDEX($H$1:$H$399,ROW($X33))=2</formula>
    </cfRule>
    <cfRule type="expression" priority="44" dxfId="4185">
      <formula>INDEX($I$1:$I$399,ROW(CP33))=2</formula>
    </cfRule>
    <cfRule type="expression" priority="43" dxfId="4166">
      <formula>INDEX($I$1:$I$399,ROW(CP33))=1</formula>
    </cfRule>
  </conditionalFormatting>
  <conditionalFormatting sqref="CP35:CQ35">
    <cfRule type="expression" priority="42" dxfId="4191">
      <formula>INDEX($H$1:$H$399,ROW($X35))=2</formula>
    </cfRule>
    <cfRule type="expression" priority="40" dxfId="4166">
      <formula>INDEX($I$1:$I$399,ROW(CP35))=1</formula>
    </cfRule>
    <cfRule type="expression" priority="41" dxfId="4185">
      <formula>INDEX($I$1:$I$399,ROW(CP35))=2</formula>
    </cfRule>
  </conditionalFormatting>
  <conditionalFormatting sqref="CP37:CQ38">
    <cfRule type="expression" priority="39" dxfId="4191">
      <formula>INDEX($H$1:$H$399,ROW($X37))=2</formula>
    </cfRule>
    <cfRule type="expression" priority="38" dxfId="4185">
      <formula>INDEX($I$1:$I$399,ROW(CP37))=2</formula>
    </cfRule>
    <cfRule type="expression" priority="37" dxfId="4166">
      <formula>INDEX($I$1:$I$399,ROW(CP37))=1</formula>
    </cfRule>
  </conditionalFormatting>
  <conditionalFormatting sqref="CP40:CQ40">
    <cfRule type="expression" priority="34" dxfId="4166">
      <formula>INDEX($I$1:$I$399,ROW(CP40))=1</formula>
    </cfRule>
    <cfRule type="expression" priority="36" dxfId="4191">
      <formula>INDEX($H$1:$H$399,ROW($X40))=2</formula>
    </cfRule>
    <cfRule type="expression" priority="35" dxfId="4185">
      <formula>INDEX($I$1:$I$399,ROW(CP40))=2</formula>
    </cfRule>
  </conditionalFormatting>
  <conditionalFormatting sqref="CP45:CQ54">
    <cfRule type="expression" priority="30" dxfId="4186">
      <formula>INDEX($I$1:$I$399,ROW(CP45))=3</formula>
    </cfRule>
    <cfRule type="expression" priority="31" dxfId="4166">
      <formula>INDEX($I$1:$I$399,ROW(CP45))=1</formula>
    </cfRule>
    <cfRule type="expression" priority="32" dxfId="4185">
      <formula>INDEX($I$1:$I$399,ROW(CP45))=2</formula>
    </cfRule>
    <cfRule type="expression" priority="33" dxfId="4191">
      <formula>INDEX($H$1:$H$399,ROW($X45))=2</formula>
    </cfRule>
    <cfRule type="expression" priority="227" dxfId="4186">
      <formula>INDEX($I$1:$I$399,ROW(CP45))=3</formula>
    </cfRule>
    <cfRule type="expression" priority="228" dxfId="4166">
      <formula>INDEX($I$1:$I$399,ROW(CP45))=1</formula>
    </cfRule>
    <cfRule type="expression" priority="229" dxfId="4185">
      <formula>INDEX($I$1:$I$399,ROW(CP45))=2</formula>
    </cfRule>
    <cfRule type="expression" priority="32495" dxfId="4166">
      <formula>INDEX($I$1:$I$399,ROW(CP45))=1</formula>
    </cfRule>
    <cfRule type="expression" priority="32496" dxfId="4191">
      <formula>INDEX($H$1:$H$399,ROW($X45))=2</formula>
    </cfRule>
    <cfRule type="expression" priority="32497" dxfId="4186">
      <formula>INDEX($I$1:$I$399,ROW(CP45))=3</formula>
    </cfRule>
  </conditionalFormatting>
  <conditionalFormatting sqref="CP57:CQ66">
    <cfRule type="expression" priority="109" dxfId="4165">
      <formula>_xlfn.SWITCH(INDEX($X$1:$X$399,ROW(CP57)),-1,SIGN(CP57)&gt;0,1,SIGN(CP57)&lt;0)</formula>
    </cfRule>
    <cfRule type="expression" priority="102" dxfId="4186">
      <formula>INDEX($I$1:$I$399,ROW(CP57))=3</formula>
    </cfRule>
    <cfRule type="expression" priority="101" dxfId="4191">
      <formula>INDEX($H$1:$H$399,ROW($X57))=2</formula>
    </cfRule>
    <cfRule type="expression" priority="100" dxfId="4185">
      <formula>INDEX($I$1:$I$399,ROW(CP57))=2</formula>
    </cfRule>
    <cfRule type="expression" priority="99" dxfId="4166">
      <formula>INDEX($I$1:$I$399,ROW(CP57))=1</formula>
    </cfRule>
    <cfRule type="expression" priority="87" dxfId="4186">
      <formula>INDEX($I$1:$I$399,ROW(CP57))=3</formula>
    </cfRule>
    <cfRule type="expression" priority="97" dxfId="4165">
      <formula>_xlfn.SWITCH(INDEX($X$1:$X$399,ROW(CP57)),-1,SIGN(CP57)&gt;0,1,SIGN(CP57)&lt;0)</formula>
    </cfRule>
    <cfRule type="expression" priority="32499" dxfId="4165">
      <formula>_xlfn.SWITCH(INDEX($X$1:$X$399,ROW(CP57)),-1,SIGN(CP57)&gt;0,1,SIGN(CP57)&lt;0)</formula>
    </cfRule>
    <cfRule type="expression" priority="88" dxfId="4166">
      <formula>INDEX($I$1:$I$399,ROW(CP57))=1</formula>
    </cfRule>
    <cfRule type="expression" priority="98" dxfId="4186">
      <formula>INDEX($I$1:$I$399,ROW(CP57))=3</formula>
    </cfRule>
    <cfRule type="expression" priority="75" dxfId="4191">
      <formula>INDEX($H$1:$H$399,ROW($X57))=2</formula>
    </cfRule>
    <cfRule type="expression" priority="89" dxfId="4185">
      <formula>INDEX($I$1:$I$399,ROW(CP57))=2</formula>
    </cfRule>
    <cfRule type="expression" priority="111" dxfId="4166">
      <formula>INDEX($I$1:$I$399,ROW(CP57))=1</formula>
    </cfRule>
    <cfRule type="expression" priority="112" dxfId="4185">
      <formula>INDEX($I$1:$I$399,ROW(CP57))=2</formula>
    </cfRule>
    <cfRule type="expression" priority="114" dxfId="4186">
      <formula>INDEX($I$1:$I$399,ROW(CP57))=3</formula>
    </cfRule>
    <cfRule type="expression" priority="92" dxfId="4185">
      <formula>INDEX($I$1:$I$399,ROW(CP57))=2</formula>
    </cfRule>
    <cfRule type="expression" priority="113" dxfId="4191">
      <formula>INDEX($H$1:$H$399,ROW($X57))=2</formula>
    </cfRule>
    <cfRule type="expression" priority="91" dxfId="4166">
      <formula>INDEX($I$1:$I$399,ROW(CP57))=1</formula>
    </cfRule>
    <cfRule type="expression" priority="32498" dxfId="4191">
      <formula>INDEX($H$1:$H$399,ROW($X57))=2</formula>
    </cfRule>
    <cfRule type="expression" priority="32500" dxfId="4167">
      <formula>INDEX($H$1:$H$399,ROW($CM57))=2</formula>
    </cfRule>
  </conditionalFormatting>
  <conditionalFormatting sqref="CP75:CQ77 CJ76:CK97 CM76:CN78 CM80:CN95 CM97:CN97 CJ132:CK137 CP133:CQ138 CJ147:CK147 CJ150:CK154 CJ161:CK161 CJ164:CK168 CJ175:CK175 CJ178:CK182 CJ191:CK198 CJ205:CK212 AD245:BZ245 CD245 CD246:CE248 CG266:CH266 CG338:CH338">
    <cfRule type="expression" priority="29443" dxfId="4185">
      <formula>INDEX($I$1:$I$399,ROW(AD75))=2</formula>
    </cfRule>
  </conditionalFormatting>
  <conditionalFormatting sqref="CP75:CQ77 CJ76:CK97 CM76:CN78 CM80:CN95 CM97:CN97 CJ132:CK137 CP133:CQ138 CJ147:CK147 CJ150:CK154 CJ161:CK161 CJ164:CK168 CJ175:CK175 CJ178:CK182 CJ191:CK198 CJ205:CK212 AD245:BZ245 CD245 CD246:CE248 CG266:CH266 CG338:CH338">
    <cfRule type="expression" priority="29442" dxfId="4166">
      <formula>INDEX($I$1:$I$399,ROW(AD75))=1</formula>
    </cfRule>
  </conditionalFormatting>
  <conditionalFormatting sqref="CP101:CQ110">
    <cfRule type="expression" priority="147" dxfId="4185">
      <formula>INDEX($I$1:$I$399,ROW(CP101))=2</formula>
    </cfRule>
    <cfRule type="expression" priority="146" dxfId="4166">
      <formula>INDEX($I$1:$I$399,ROW(CP101))=1</formula>
    </cfRule>
    <cfRule type="expression" priority="148" dxfId="4191">
      <formula>INDEX($H$1:$H$399,ROW($X101))=2</formula>
    </cfRule>
    <cfRule type="expression" priority="145" dxfId="4186">
      <formula>INDEX($I$1:$I$399,ROW(CP101))=3</formula>
    </cfRule>
    <cfRule type="expression" priority="150" dxfId="4185">
      <formula>INDEX($I$1:$I$399,ROW(CP101))=2</formula>
    </cfRule>
    <cfRule type="expression" priority="149" dxfId="4166">
      <formula>INDEX($I$1:$I$399,ROW(CP101))=1</formula>
    </cfRule>
    <cfRule type="expression" priority="32501" dxfId="4191">
      <formula>INDEX($H$1:$H$399,ROW($X101))=2</formula>
    </cfRule>
    <cfRule type="expression" priority="32502" dxfId="4165">
      <formula>_xlfn.SWITCH(INDEX($X$1:$X$399,ROW(CP101)),-1,SIGN(CP101)&gt;0,1,SIGN(CP101)&lt;0)</formula>
    </cfRule>
    <cfRule type="expression" priority="32503" dxfId="4186">
      <formula>INDEX($I$1:$I$399,ROW(CP101))=3</formula>
    </cfRule>
    <cfRule type="expression" priority="32504" dxfId="4166">
      <formula>INDEX($I$1:$I$399,ROW(CP101))=1</formula>
    </cfRule>
    <cfRule type="expression" priority="32505" dxfId="4185">
      <formula>INDEX($I$1:$I$399,ROW(CP101))=2</formula>
    </cfRule>
    <cfRule type="expression" priority="32506" dxfId="4191">
      <formula>INDEX($H$1:$H$399,ROW($X101))=2</formula>
    </cfRule>
    <cfRule type="expression" priority="32507" dxfId="4186">
      <formula>INDEX($I$1:$I$399,ROW(CP101))=3</formula>
    </cfRule>
  </conditionalFormatting>
  <conditionalFormatting sqref="CP113:CQ122">
    <cfRule type="expression" priority="139" dxfId="4165">
      <formula>_xlfn.SWITCH(INDEX($X$1:$X$399,ROW(CP113)),-1,SIGN(CP113)&gt;0,1,SIGN(CP113)&lt;0)</formula>
    </cfRule>
    <cfRule type="expression" priority="143" dxfId="4191">
      <formula>INDEX($H$1:$H$399,ROW($X113))=2</formula>
    </cfRule>
    <cfRule type="expression" priority="170" dxfId="4186">
      <formula>INDEX($I$1:$I$399,ROW(CP113))=3</formula>
    </cfRule>
    <cfRule type="expression" priority="132" dxfId="4191">
      <formula>INDEX($H$1:$H$399,ROW($X113))=2</formula>
    </cfRule>
    <cfRule type="expression" priority="167" dxfId="4166">
      <formula>INDEX($I$1:$I$399,ROW(CP113))=1</formula>
    </cfRule>
    <cfRule type="expression" priority="169" dxfId="4191">
      <formula>INDEX($H$1:$H$399,ROW($X113))=2</formula>
    </cfRule>
    <cfRule type="expression" priority="140" dxfId="4186">
      <formula>INDEX($I$1:$I$399,ROW(CP113))=3</formula>
    </cfRule>
    <cfRule type="expression" priority="134" dxfId="4185">
      <formula>INDEX($I$1:$I$399,ROW(CP113))=2</formula>
    </cfRule>
    <cfRule type="expression" priority="129" dxfId="4186">
      <formula>INDEX($I$1:$I$399,ROW(CP113))=3</formula>
    </cfRule>
    <cfRule type="expression" priority="141" dxfId="4166">
      <formula>INDEX($I$1:$I$399,ROW(CP113))=1</formula>
    </cfRule>
    <cfRule type="expression" priority="144" dxfId="4186">
      <formula>INDEX($I$1:$I$399,ROW(CP113))=3</formula>
    </cfRule>
    <cfRule type="expression" priority="142" dxfId="4185">
      <formula>INDEX($I$1:$I$399,ROW(CP113))=2</formula>
    </cfRule>
    <cfRule type="expression" priority="165" dxfId="4165">
      <formula>_xlfn.SWITCH(INDEX($X$1:$X$399,ROW(CP113)),-1,SIGN(CP113)&gt;0,1,SIGN(CP113)&lt;0)</formula>
    </cfRule>
    <cfRule type="expression" priority="131" dxfId="4185">
      <formula>INDEX($I$1:$I$399,ROW(CP113))=2</formula>
    </cfRule>
    <cfRule type="expression" priority="133" dxfId="4166">
      <formula>INDEX($I$1:$I$399,ROW(CP113))=1</formula>
    </cfRule>
    <cfRule type="expression" priority="130" dxfId="4166">
      <formula>INDEX($I$1:$I$399,ROW(CP113))=1</formula>
    </cfRule>
    <cfRule type="expression" priority="168" dxfId="4185">
      <formula>INDEX($I$1:$I$399,ROW(CP113))=2</formula>
    </cfRule>
  </conditionalFormatting>
  <conditionalFormatting sqref="CP133:CQ137">
    <cfRule type="expression" priority="28" dxfId="4166">
      <formula>INDEX($I$1:$I$399,ROW(CP133))=1</formula>
    </cfRule>
    <cfRule type="expression" priority="29" dxfId="4185">
      <formula>INDEX($I$1:$I$399,ROW(CP133))=2</formula>
    </cfRule>
  </conditionalFormatting>
  <conditionalFormatting sqref="CP148:CQ153 CP162:CQ167 CP176:CQ181 CP192:CQ197 CP206:CQ211">
    <cfRule type="expression" priority="32514" dxfId="4185">
      <formula>INDEX($I$1:$I$399,ROW(CP148))=2</formula>
    </cfRule>
    <cfRule type="expression" priority="32513" dxfId="4166">
      <formula>INDEX($I$1:$I$399,ROW(CP148))=1</formula>
    </cfRule>
    <cfRule type="expression" priority="32512" dxfId="4186">
      <formula>INDEX($I$1:$I$399,ROW(CP148))=3</formula>
    </cfRule>
    <cfRule type="expression" priority="32511" dxfId="4191">
      <formula>INDEX($H$1:$H$399,ROW($X148))=2</formula>
    </cfRule>
    <cfRule type="expression" priority="32508" dxfId="4186">
      <formula>INDEX($I$1:$I$399,ROW(CP148))=3</formula>
    </cfRule>
    <cfRule type="expression" priority="32515" dxfId="4165">
      <formula>_xlfn.SWITCH(INDEX($X$1:$X$399,ROW(CP148)),-1,SIGN(CP148)&gt;0,1,SIGN(CP148)&lt;0)</formula>
    </cfRule>
    <cfRule type="expression" priority="32509" dxfId="4166">
      <formula>INDEX($I$1:$I$399,ROW(CP148))=1</formula>
    </cfRule>
    <cfRule type="expression" priority="32510" dxfId="4185">
      <formula>INDEX($I$1:$I$399,ROW(CP148))=2</formula>
    </cfRule>
  </conditionalFormatting>
  <conditionalFormatting sqref="CP148:CQ153">
    <cfRule type="expression" priority="24" dxfId="4166">
      <formula>INDEX($I$1:$I$399,ROW(CP148))=1</formula>
    </cfRule>
    <cfRule type="expression" priority="23" dxfId="4186">
      <formula>INDEX($I$1:$I$399,ROW(CP148))=3</formula>
    </cfRule>
    <cfRule type="expression" priority="25" dxfId="4185">
      <formula>INDEX($I$1:$I$399,ROW(CP148))=2</formula>
    </cfRule>
    <cfRule type="expression" priority="26" dxfId="4191">
      <formula>INDEX($H$1:$H$399,ROW($X148))=2</formula>
    </cfRule>
  </conditionalFormatting>
  <conditionalFormatting sqref="CP162:CQ167">
    <cfRule type="expression" priority="20" dxfId="4166">
      <formula>INDEX($I$1:$I$399,ROW(CP162))=1</formula>
    </cfRule>
    <cfRule type="expression" priority="22" dxfId="4191">
      <formula>INDEX($H$1:$H$399,ROW($X162))=2</formula>
    </cfRule>
    <cfRule type="expression" priority="21" dxfId="4185">
      <formula>INDEX($I$1:$I$399,ROW(CP162))=2</formula>
    </cfRule>
    <cfRule type="expression" priority="19" dxfId="4186">
      <formula>INDEX($I$1:$I$399,ROW(CP162))=3</formula>
    </cfRule>
  </conditionalFormatting>
  <conditionalFormatting sqref="CP176:CQ181">
    <cfRule type="expression" priority="16" dxfId="4166">
      <formula>INDEX($I$1:$I$399,ROW(CP176))=1</formula>
    </cfRule>
    <cfRule type="expression" priority="15" dxfId="4186">
      <formula>INDEX($I$1:$I$399,ROW(CP176))=3</formula>
    </cfRule>
    <cfRule type="expression" priority="18" dxfId="4191">
      <formula>INDEX($H$1:$H$399,ROW($X176))=2</formula>
    </cfRule>
    <cfRule type="expression" priority="17" dxfId="4185">
      <formula>INDEX($I$1:$I$399,ROW(CP176))=2</formula>
    </cfRule>
  </conditionalFormatting>
  <conditionalFormatting sqref="CP192:CQ197">
    <cfRule type="expression" priority="12" dxfId="4166">
      <formula>INDEX($I$1:$I$399,ROW(CP192))=1</formula>
    </cfRule>
    <cfRule type="expression" priority="13" dxfId="4185">
      <formula>INDEX($I$1:$I$399,ROW(CP192))=2</formula>
    </cfRule>
    <cfRule type="expression" priority="14" dxfId="4191">
      <formula>INDEX($H$1:$H$399,ROW($X192))=2</formula>
    </cfRule>
    <cfRule type="expression" priority="11" dxfId="4186">
      <formula>INDEX($I$1:$I$399,ROW(CP192))=3</formula>
    </cfRule>
  </conditionalFormatting>
  <conditionalFormatting sqref="CP206:CQ211">
    <cfRule type="expression" priority="9" dxfId="4185">
      <formula>INDEX($I$1:$I$399,ROW(CP206))=2</formula>
    </cfRule>
    <cfRule type="expression" priority="8" dxfId="4166">
      <formula>INDEX($I$1:$I$399,ROW(CP206))=1</formula>
    </cfRule>
    <cfRule type="expression" priority="7" dxfId="4186">
      <formula>INDEX($I$1:$I$399,ROW(CP206))=3</formula>
    </cfRule>
    <cfRule type="expression" priority="10" dxfId="4191">
      <formula>INDEX($H$1:$H$399,ROW($X206))=2</formula>
    </cfRule>
  </conditionalFormatting>
  <conditionalFormatting sqref="CP221:CQ226">
    <cfRule type="expression" priority="5" dxfId="4185">
      <formula>INDEX($I$1:$I$399,ROW(CP221))=2</formula>
    </cfRule>
    <cfRule type="expression" priority="4" dxfId="4166">
      <formula>INDEX($I$1:$I$399,ROW(CP221))=1</formula>
    </cfRule>
    <cfRule type="expression" priority="3" dxfId="4186">
      <formula>INDEX($I$1:$I$399,ROW(CP221))=3</formula>
    </cfRule>
    <cfRule type="expression" priority="6" dxfId="4191">
      <formula>INDEX($H$1:$H$399,ROW($X221))=2</formula>
    </cfRule>
  </conditionalFormatting>
  <conditionalFormatting sqref="CM236:CN241 CP236:CQ241">
    <cfRule type="expression" priority="2" dxfId="4194">
      <formula>IF($A$14,IF(CELL("protect",CM236)=0,TRUE,FALSE))</formula>
    </cfRule>
  </conditionalFormatting>
  <conditionalFormatting sqref="CP236:CQ241">
    <cfRule type="expression" priority="1" dxfId="4191">
      <formula>INDEX($H$1:$H$399,ROW($X236))=2</formula>
    </cfRule>
  </conditionalFormatting>
  <conditionalFormatting sqref="CP246:CQ255">
    <cfRule type="expression" priority="2296" dxfId="4186">
      <formula>INDEX($I$1:$I$399,ROW(CP246))=3</formula>
    </cfRule>
    <cfRule type="expression" priority="2297" dxfId="4166">
      <formula>INDEX($I$1:$I$399,ROW(CP246))=1</formula>
    </cfRule>
    <cfRule type="expression" priority="2298" dxfId="4185">
      <formula>INDEX($I$1:$I$399,ROW(CP246))=2</formula>
    </cfRule>
  </conditionalFormatting>
  <conditionalFormatting sqref="CP250:CQ255 CP259:CQ264 CP268:CQ273 CP277:CQ282 CP286:CQ291 CP295:CQ300 CP304:CQ309 CP313:CQ318 CP322:CQ327 CP331:CQ336">
    <cfRule type="expression" priority="2295" dxfId="4165">
      <formula>_xlfn.SWITCH(INDEX($X$1:$X$399,ROW(CP250)),-1,SIGN(CP250)&gt;0,1,SIGN(CP250)&lt;0)</formula>
    </cfRule>
    <cfRule type="expression" priority="1556" dxfId="4194">
      <formula>IF($A$14,IF(CELL("protect",CP250)=0,TRUE,FALSE))</formula>
    </cfRule>
  </conditionalFormatting>
  <conditionalFormatting sqref="CP256:CQ256">
    <cfRule type="expression" priority="1668" dxfId="4039">
      <formula>AND($X256=0,ISNUMBER($X256))</formula>
    </cfRule>
  </conditionalFormatting>
  <conditionalFormatting sqref="CP257:CQ264">
    <cfRule type="expression" priority="1534" dxfId="4185">
      <formula>INDEX($I$1:$I$399,ROW(CP257))=2</formula>
    </cfRule>
    <cfRule type="expression" priority="1533" dxfId="4166">
      <formula>INDEX($I$1:$I$399,ROW(CP257))=1</formula>
    </cfRule>
    <cfRule type="expression" priority="1532" dxfId="4186">
      <formula>INDEX($I$1:$I$399,ROW(CP257))=3</formula>
    </cfRule>
  </conditionalFormatting>
  <conditionalFormatting sqref="CP265:CQ265">
    <cfRule type="expression" priority="1526" dxfId="4039">
      <formula>AND($X265=0,ISNUMBER($X265))</formula>
    </cfRule>
  </conditionalFormatting>
  <conditionalFormatting sqref="CP266:CQ273">
    <cfRule type="expression" priority="1389" dxfId="4166">
      <formula>INDEX($I$1:$I$399,ROW(CP266))=1</formula>
    </cfRule>
    <cfRule type="expression" priority="1388" dxfId="4186">
      <formula>INDEX($I$1:$I$399,ROW(CP266))=3</formula>
    </cfRule>
    <cfRule type="expression" priority="1390" dxfId="4185">
      <formula>INDEX($I$1:$I$399,ROW(CP266))=2</formula>
    </cfRule>
  </conditionalFormatting>
  <conditionalFormatting sqref="CP274:CQ274">
    <cfRule type="expression" priority="1382" dxfId="4039">
      <formula>AND($X274=0,ISNUMBER($X274))</formula>
    </cfRule>
  </conditionalFormatting>
  <conditionalFormatting sqref="CP275:CQ282">
    <cfRule type="expression" priority="1245" dxfId="4166">
      <formula>INDEX($I$1:$I$399,ROW(CP275))=1</formula>
    </cfRule>
    <cfRule type="expression" priority="1246" dxfId="4185">
      <formula>INDEX($I$1:$I$399,ROW(CP275))=2</formula>
    </cfRule>
  </conditionalFormatting>
  <conditionalFormatting sqref="CP276:CQ282">
    <cfRule type="expression" priority="1244" dxfId="4186">
      <formula>INDEX($I$1:$I$399,ROW(CP276))=3</formula>
    </cfRule>
  </conditionalFormatting>
  <conditionalFormatting sqref="CP283:CQ283">
    <cfRule type="expression" priority="1238" dxfId="4039">
      <formula>AND($X283=0,ISNUMBER($X283))</formula>
    </cfRule>
  </conditionalFormatting>
  <conditionalFormatting sqref="CP284:CQ291">
    <cfRule type="expression" priority="1102" dxfId="4185">
      <formula>INDEX($I$1:$I$399,ROW(CP284))=2</formula>
    </cfRule>
    <cfRule type="expression" priority="1101" dxfId="4166">
      <formula>INDEX($I$1:$I$399,ROW(CP284))=1</formula>
    </cfRule>
  </conditionalFormatting>
  <conditionalFormatting sqref="CP285:CQ291">
    <cfRule type="expression" priority="1100" dxfId="4186">
      <formula>INDEX($I$1:$I$399,ROW(CP285))=3</formula>
    </cfRule>
  </conditionalFormatting>
  <conditionalFormatting sqref="CP292:CQ292">
    <cfRule type="expression" priority="1094" dxfId="4039">
      <formula>AND($X292=0,ISNUMBER($X292))</formula>
    </cfRule>
  </conditionalFormatting>
  <conditionalFormatting sqref="CP293:CQ300">
    <cfRule type="expression" priority="956" dxfId="4166">
      <formula>INDEX($I$1:$I$399,ROW(CP293))=1</formula>
    </cfRule>
    <cfRule type="expression" priority="957" dxfId="4185">
      <formula>INDEX($I$1:$I$399,ROW(CP293))=2</formula>
    </cfRule>
  </conditionalFormatting>
  <conditionalFormatting sqref="CP294:CQ300">
    <cfRule type="expression" priority="955" dxfId="4186">
      <formula>INDEX($I$1:$I$399,ROW(CP294))=3</formula>
    </cfRule>
  </conditionalFormatting>
  <conditionalFormatting sqref="CP301:CQ301">
    <cfRule type="expression" priority="949" dxfId="4039">
      <formula>AND($X301=0,ISNUMBER($X301))</formula>
    </cfRule>
  </conditionalFormatting>
  <conditionalFormatting sqref="CP302:CQ302">
    <cfRule type="expression" priority="1996" dxfId="4186">
      <formula>INDEX($I$1:$I$399,ROW(CP302))=3</formula>
    </cfRule>
  </conditionalFormatting>
  <conditionalFormatting sqref="CP302:CQ309">
    <cfRule type="expression" priority="808" dxfId="4185">
      <formula>INDEX($I$1:$I$399,ROW(CP302))=2</formula>
    </cfRule>
    <cfRule type="expression" priority="807" dxfId="4166">
      <formula>INDEX($I$1:$I$399,ROW(CP302))=1</formula>
    </cfRule>
  </conditionalFormatting>
  <conditionalFormatting sqref="CP303:CQ309">
    <cfRule type="expression" priority="806" dxfId="4186">
      <formula>INDEX($I$1:$I$399,ROW(CP303))=3</formula>
    </cfRule>
  </conditionalFormatting>
  <conditionalFormatting sqref="CP310:CQ310">
    <cfRule type="expression" priority="800" dxfId="4039">
      <formula>AND($X310=0,ISNUMBER($X310))</formula>
    </cfRule>
  </conditionalFormatting>
  <conditionalFormatting sqref="CP311:CQ318">
    <cfRule type="expression" priority="659" dxfId="4185">
      <formula>INDEX($I$1:$I$399,ROW(CP311))=2</formula>
    </cfRule>
    <cfRule type="expression" priority="658" dxfId="4166">
      <formula>INDEX($I$1:$I$399,ROW(CP311))=1</formula>
    </cfRule>
  </conditionalFormatting>
  <conditionalFormatting sqref="CP312:CQ318">
    <cfRule type="expression" priority="657" dxfId="4186">
      <formula>INDEX($I$1:$I$399,ROW(CP312))=3</formula>
    </cfRule>
  </conditionalFormatting>
  <conditionalFormatting sqref="CP319:CQ319">
    <cfRule type="expression" priority="651" dxfId="4039">
      <formula>AND($X319=0,ISNUMBER($X319))</formula>
    </cfRule>
  </conditionalFormatting>
  <conditionalFormatting sqref="CP320:CQ327">
    <cfRule type="expression" priority="509" dxfId="4166">
      <formula>INDEX($I$1:$I$399,ROW(CP320))=1</formula>
    </cfRule>
    <cfRule type="expression" priority="510" dxfId="4185">
      <formula>INDEX($I$1:$I$399,ROW(CP320))=2</formula>
    </cfRule>
  </conditionalFormatting>
  <conditionalFormatting sqref="CP321:CQ327">
    <cfRule type="expression" priority="508" dxfId="4186">
      <formula>INDEX($I$1:$I$399,ROW(CP321))=3</formula>
    </cfRule>
  </conditionalFormatting>
  <conditionalFormatting sqref="CP328:CQ328">
    <cfRule type="expression" priority="502" dxfId="4039">
      <formula>AND($X328=0,ISNUMBER($X328))</formula>
    </cfRule>
  </conditionalFormatting>
  <conditionalFormatting sqref="CP329:CQ336">
    <cfRule type="expression" priority="360" dxfId="4166">
      <formula>INDEX($I$1:$I$399,ROW(CP329))=1</formula>
    </cfRule>
    <cfRule type="expression" priority="361" dxfId="4185">
      <formula>INDEX($I$1:$I$399,ROW(CP329))=2</formula>
    </cfRule>
  </conditionalFormatting>
  <conditionalFormatting sqref="CP330:CQ336">
    <cfRule type="expression" priority="359" dxfId="4186">
      <formula>INDEX($I$1:$I$399,ROW(CP330))=3</formula>
    </cfRule>
  </conditionalFormatting>
  <conditionalFormatting sqref="CP337:CQ337">
    <cfRule type="expression" priority="353" dxfId="4039">
      <formula>AND($X337=0,ISNUMBER($X337))</formula>
    </cfRule>
  </conditionalFormatting>
  <conditionalFormatting sqref="CQ146">
    <cfRule type="expression" priority="29959" dxfId="4185">
      <formula>INDEX($I$1:$I$399,ROW(CQ146))=2</formula>
    </cfRule>
    <cfRule type="expression" priority="29958" dxfId="4166">
      <formula>INDEX($I$1:$I$399,ROW(CQ146))=1</formula>
    </cfRule>
    <cfRule type="expression" priority="29957" dxfId="4186">
      <formula>INDEX($I$1:$I$399,ROW(CQ146))=3</formula>
    </cfRule>
    <cfRule type="expression" priority="29956" dxfId="4185">
      <formula>INDEX($I$1:$I$399,ROW(CQ146))=2</formula>
    </cfRule>
    <cfRule type="expression" priority="29955" dxfId="4166">
      <formula>INDEX($I$1:$I$399,ROW(CQ146))=1</formula>
    </cfRule>
    <cfRule type="expression" priority="29954" dxfId="4186">
      <formula>INDEX($I$1:$I$399,ROW(CQ146))=3</formula>
    </cfRule>
  </conditionalFormatting>
  <dataValidations count="27">
    <dataValidation allowBlank="1" showInputMessage="1" sqref="E4 AD4 AF4:BZ4 CM4:CN4 CP4:CP5 CQ4 AF5:AF6 AH5:AH6 AJ5:BZ5 CM5 AM6:BZ6 AJ7:BZ7 AD8:AD15 AF8:BZ8 AE9:BZ15 CM11:CN19 CP11:CQ19 CD12:CE73 CG12:CK19 AD16:BZ16 CC16 CF16 AD19:BZ19 CG20:CH70 CJ20:CK41 AD22:BZ23 CM22:CN23 CP22:CQ23 AD25:BZ25 CM25:CN25 CP25:CQ25 AD32:BZ32 CM32:CN32 CP32:CQ32 AD34:BZ34 CM34:CN34 CP34:CQ34 AD36:BZ36 CM36:CN36 CP36:CQ36 AD39:BZ39 CM39:CN39 CP39:CQ39 AD41:BZ41 CM41:CN44 CP41:CQ44 CF42:CF66 CI42:CK42 AD43:BZ43 CJ43:CK44 CJ46:CK73 CM55:CN56 CP55:CQ56 AE56:BZ75 Y57:Y66 AD57:AD75 W67:W71 Y67:AC71 CM67:CN70 CP67:CQ70 CL71 CF72:CH73 CM72:CN75 CP72:CQ75 CC74:CC83 CD75:CE100 CF75:CK75 CG76:CH97 CJ76:CK100 AD78:BZ79 CM78:CN79 CP78:CQ79 AD81:BZ81 CM81:CN81 CP81:CQ81 AD88:BZ88 CM88:CN88 CP88:CQ88 AD90:BZ90 CM90:CN90 CP90:CQ90 AD92:BZ92 CM92:CN92 CP92:CQ92 AD95:BZ95 CM95:CN95 CP95:CQ95 CM97:CN100 CP97:CQ100 CF98:CH112 AD99:BZ100 BO101:BZ110 CD102:CE123 CJ102:CK123 AC103:AC110 CM111:CN112 CP111:CQ112 AD112:AD122 AE112:BZ114 Y113 CG113:CH123 CF115:CF123 CM123:CN126 CP123:CQ126 AD124:BZ132 CC124:CC130 CD124:CK126 CD128:CE129 CG128:CK129 CM128:CN132 CP128:CQ132 CD131:CE138 CF131:CK131 CC132:CC145 CG132:CH138 CJ132:CK141 AD138:AE139 AF138:BZ145 CM138:CN141 CP138:CQ141 CD139:CH141 AD141:AE145 CD143:CE144 CG143:CK144 CM143:CN147 CP143:CQ147 AD146:BZ149 CD146:CE155 CF146:CK146 CB147 CG147:CH154 CJ147:CK155 CC148:CC149 CB150:CB156 AD154:BZ163 CM154:CN155 CP154:CQ155 CF155:CH155 CC157:CC159 CD157:CE158 CG157:CK158 CM157:CN161 CP157:CQ161 CD160:CK160 CC161:CE169 CG161:CH168 CJ161:CK169 AD168:BZ177 CM168:CN169 CP168:CQ169 CF169:CH169 CB170 CC171:CC173 CD171:CE172 CG171:CK172 CM171:CN175 CP171:CQ175 CD174:CE185 CF174:CK174 CC175:CC247 CG175:CH182 CJ175:CK185 AD182:BZ187 CM182:CN185 CP182:CQ185 CF183:CH185 CD187:CE188 CG187:CK188 CM187:CN191 CP187:CQ191 AD189:BZ191 CD190:CE198 CF190:CK190 CG191:CH198 CJ191:CK199 AD198:AF199 AG198:BZ198 CM198:CN199 CP198:CQ199 AG199:AL199 AM199:BZ200 CD199:CH199 AD201:BZ201 CD201:CE202 CG201:CK202 CM201:CN205 CP201:CQ205 AD203:BZ205 CD204:CE212 CF204:CK204 CG205:CH212 CJ205:CK214 AD212:BZ216 CM212:CN214 CP212:CQ214 CD213:CH214 CD216:CE217 CG216:CK217 CM216:CN220 CP216:CQ220 AD218:BZ220 CD219:CE229 CF219:CK219 CG220:CH227 CJ220:CK227 AD227:BZ231 CM227:CN229 CP227:CQ229 CF228:CL229 CO228:CO229 CD231:CE232 CG231:CK232 CM231:CN235 CP231:CQ235 AD233:BZ235 CD234:CE244 CF234:CK234 CG235:CH244 CJ235:CK244 AD242:BZ242 CM242:CN244 CP242:CQ244 AD245:BZ247 CD246:CE247 CG246:CK247 CM246:CM249 CN246:CN255 CP246:CP249 CQ246:CQ255 AD248:BN248 BO249:BZ338 CC249:CC338 CD249 CE249:CE255 CF249:CF338 CG249 CH249:CH255 CI249:CI338 CJ249 CK249:CK255 CD257:CE257 CG257:CH257 CJ257:CK257 CM257:CN257 CP257:CQ257 CD258 CE258:CE264 CG258 CH258:CH264 CJ258 CK258:CK264 CM258 CN258:CN264 CP258 CQ258:CQ264 CD266:CE266 CG266:CH266 CJ266:CK266 CM266:CN266 CP266:CQ266 CD267 CE267:CE273 CG267 CH267:CH273 CJ267 CK267:CK273 CM267 CN267:CN273 CP267 CQ267:CQ273 CD275:CE275 CG275:CH275 CJ275:CK275 CM275:CN275 CP275:CQ275 CD276 CE276:CE282 CG276 CH276:CH282 CJ276 CK276:CK282 CM276 CN276:CN282 CP276 CQ276:CQ282 CD284:CE284 CG284:CH284 CJ284:CK284 CM284:CN284 CP284:CQ284 CD285 CE285:CE291 CG285 CH285:CH291 CJ285 CK285:CK291 CM285 CN285:CN291 CP285 CQ285:CQ291 CD293:CE293 CG293:CH293 CJ293:CK293 CM293:CN293 CP293:CQ293 CD294 CE294:CE300 CG294 CH294:CH300 CJ294 CK294:CK300 CM294 CN294:CN300 CP294 CQ294:CQ300 CD302:CE302 CG302:CH302 CJ302:CK302 CM302:CN302 CP302:CQ302 CD303 CE303:CE309 CG303 CH303:CH309 CJ303 CK303:CK309 CM303 CN303:CN309 CP303 CQ303:CQ309 CD311:CE311 CG311:CH311 CJ311:CK311 CM311:CN311 CP311:CQ311 CD312 CE312:CE318 CG312 CH312:CH318 CJ312 CK312:CK318 CM312 CN312:CN318 CP312 CQ312:CQ318 CD320:CE320 CG320:CH320 CJ320:CK320 CM320:CN320 CP320:CQ320 CD321 CE321:CE327 CG321 CH321:CH327 CJ321 CK321:CK327 CM321 CN321:CN327 CP321 CQ321:CQ327 CD329:CE329 CG329:CH329 CJ329:CK329 CM329:CN329 CP329:CQ329 CD330 CE330:CE336 CG330 CH330:CH336 CJ330 CK330:CK336 CM330 CN330:CN336 CP330 CQ330:CQ336 CD338:CE338 CG338:CH338 CJ338:CK338 CM338:CN338 CP338:CQ338"/>
    <dataValidation type="list" allowBlank="1" showInputMessage="1" showErrorMessage="1" sqref="W128:W129 W143:W144 W157:W158 W171:W172 W187:W188 W201:W202 W216:W217 W231:W232">
      <formula1>"Actual, Budget, Scenario"</formula1>
    </dataValidation>
    <dataValidation allowBlank="1" showInputMessage="1" showErrorMessage="1" prompt="To change the scenario, please edit the top left cell of the block." sqref="W146 W160 W174"/>
    <dataValidation errorStyle="warning" type="whole" operator="equal" allowBlank="1" showInputMessage="1" showErrorMessage="1" errorTitle="Need more rows?" error="Please use the hidden rows below for additional single line P&amp;L metrics" sqref="W46:W54 W58 W102:W110 W114:W122">
      <formula1>0</formula1>
    </dataValidation>
    <dataValidation errorStyle="warning" type="decimal" operator="notEqual" allowBlank="1" showInputMessage="1" showErrorMessage="1" errorTitle="Type Error" sqref="AD20:BZ21 CM20:CN21 CP20:CQ21 AD24:BZ24 CM24:CN24 CP24:CQ24 AD26:BZ31 CM26:CN31 CP26:CQ31 AD33:BZ33 CM33:CN33 CP33:CQ33 AD35:BZ35 CM35:CN35 CP35:CQ35 AD37:BZ38 CM37:CN38 CP37:CQ38 AD40:BZ40 CM40:CN40 CP40:CQ40 AD45:BZ54 CM45:CN54 CP45:CQ54 AD76:BZ77 CM76:CN77 CP76:CQ77 AD80:BZ80 CM80:CN80 CP80:CQ80 AD82:BZ87 CM82:CN87 CP82:CQ87 AD89:BZ89 CM89:CN89 CP89:CQ89 AD91:BZ91 CM91:CN91 CP91:CQ91 AD93:BZ94 CM93:CN94 CP93:CQ94 AD96:BZ96 CM96:CN96 CP96:CQ96 AD101:BN110 CM101:CN110 CP101:CQ110 CM113:CN122 CP113:CQ122 AE115:BZ122 AD133:BZ137 CM133:CN137 CP133:CQ137 CM148:CN153 CP148:CQ153 AD150:BZ153 CM162:CN167 CP162:CQ167 AD164:BZ167 CM176:CN181 CP176:CQ181 AD178:BZ181 AD192:BZ197 CM192:CN197 CP192:CQ197 AD206:BZ211 CM206:CN211 CP206:CQ211 AD221:BZ226 CM221:CN226 CP221:CQ226 AD236:BZ241 CM236:CN241 CP236:CQ241">
      <formula1>999999999999999000</formula1>
    </dataValidation>
    <dataValidation allowBlank="1" showInputMessage="1" promptTitle="Company Reporting Currency" prompt="You are not supposed to change the currency display here. " sqref="AM6"/>
    <dataValidation errorStyle="warning" type="decimal" operator="notEqual" allowBlank="1" showInputMessage="1" showErrorMessage="1" sqref="AD97:BZ97">
      <formula1>9.99999999999999E+21</formula1>
    </dataValidation>
    <dataValidation allowBlank="1" showInputMessage="1" promptTitle="Last value during the period" sqref="CJ45:CK45 CD101:CE101 CJ101:CK101"/>
    <dataValidation allowBlank="1" showInputMessage="1" promptTitle="R - Required; O - Optional" prompt="The counting first process Required, upon completion, it switcfh to optional data points" sqref="AD44:BZ44"/>
    <dataValidation allowBlank="1" showInputMessage="1" showErrorMessage="1" prompt="Potential Scenarios here are _x000a_- Latest Estimate or _x000a_- Original Budget, _x000a_As reflected in Annual Summary section on the right." sqref="W148:W149 W162:W163 W176:W177"/>
    <dataValidation allowBlank="1" showInputMessage="1" showErrorMessage="1" prompt="The completion check first counts the required cells, upon completion, it will start to count the optional.  " sqref="AD17:BZ18"/>
    <dataValidation allowBlank="1" showInputMessage="1" prompt="Current Financial Year End_x000a__x000a_" sqref="AK6"/>
    <dataValidation type="list" allowBlank="1" showInputMessage="1" sqref="AL6">
      <formula1>array_displayUnit</formula1>
    </dataValidation>
    <dataValidation allowBlank="1" showInputMessage="1" promptTitle="What is this for?" prompt="You can overwrite the system year end to test the model. Please remove them or switch it to the factual (provided below) to avoid confusion. " sqref="AJ6"/>
    <dataValidation type="list" allowBlank="1" showInputMessage="1" showErrorMessage="1" prompt=" 1 ▸ (+)_x000a_-1 ▸ (-)_x000a_.   ▸ (±)_x000a_0  ▸ (=)" sqref="X45:X54 X57:X66 X250:X257 X259:X266 X268:X275 X277:X284 X286:X293 X295:X302 X304:X311 X313:X320 X322:X329 X331:X338">
      <formula1>"1,-1,.0"</formula1>
    </dataValidation>
    <dataValidation type="list" allowBlank="1" showInputMessage="1" showErrorMessage="1" sqref="W249:W256 W258:W265 W267:W274 W276:W283 W285:W292 W294:W301 W303:W310 W312:W319 W321:W328 W330:W337">
      <formula1>$S$249:$T$249</formula1>
    </dataValidation>
    <dataValidation errorStyle="warning" type="decimal" operator="notEqual" allowBlank="1" showInputMessage="1" errorTitle="Type Error" sqref="CM57:CR66">
      <formula1>999999999999999000</formula1>
    </dataValidation>
    <dataValidation errorStyle="information" type="list" allowBlank="1" showInputMessage="1" showErrorMessage="1" errorTitle="Custom Headings" error="Ensure you provide the amount and reconciliation from one of Reported Proxies." sqref="Y132">
      <formula1>Developer!$B$126:$B$131</formula1>
    </dataValidation>
    <dataValidation type="list" allowBlank="1" showInputMessage="1" sqref="AA147 AA161 AA175 AA191 AA205">
      <formula1>_xlfn.ANCHORARRAY(_xlfn.XLOOKUP(Z147,_xlfn.TOROW(array_scnCascading),Developer!#REF!,""))</formula1>
    </dataValidation>
    <dataValidation type="list" allowBlank="1" showInputMessage="1" showErrorMessage="1" sqref="H5:I5">
      <formula1>_xlfn.ANCHORARRAY(Developer!#REF!)</formula1>
    </dataValidation>
    <dataValidation errorStyle="information" type="list" allowBlank="1" showInputMessage="1" showErrorMessage="1" errorTitle="Custom Headings" error="Ensure you provide the amount and reconciliation from one of Reported Proxies." sqref="Y147">
      <formula1>Developer!$B$126:$B$132</formula1>
    </dataValidation>
    <dataValidation type="list" allowBlank="1" showInputMessage="1" sqref="Y178:Y181">
      <formula1>Developer!$D$210:$D$217</formula1>
    </dataValidation>
    <dataValidation type="list" allowBlank="1" showInputMessage="1" showErrorMessage="1" sqref="AG6">
      <formula1>_xlfn.ANCHORARRAY(Developer!$B$96)</formula1>
    </dataValidation>
    <dataValidation type="list" allowBlank="1" showInputMessage="1" sqref="AL6">
      <formula1>Developer!$B$52:$B$55</formula1>
    </dataValidation>
    <dataValidation errorStyle="information" type="list" allowBlank="1" showInputMessage="1" showErrorMessage="1" errorTitle="Custom Headings" error="Ensure you provide the amount and reconciliation from one of Reported Proxies." sqref="Y161">
      <formula1>Developer!$D$126:$D$132</formula1>
    </dataValidation>
    <dataValidation errorStyle="information" type="list" allowBlank="1" showInputMessage="1" showErrorMessage="1" errorTitle="Custom Headings" error="Ensure you provide the amount and reconciliation from one of Reported Proxies." sqref="Y175">
      <formula1>Developer!$F$126:$F$131</formula1>
    </dataValidation>
    <dataValidation errorStyle="warning" type="list" allowBlank="1" showInputMessage="1" showErrorMessage="1" sqref="Y338">
      <formula1>'data-consol'!$C$11:$C$284</formula1>
    </dataValidation>
  </dataValidations>
  <hyperlinks>
    <hyperlink ref="AC91" location="Definition!D64" tooltip="Go to Definition!D64" display="Definition!D64"/>
    <hyperlink ref="AC89" location="Definition!D62" tooltip="Go to Definition!D62" display="Definition!D62"/>
    <hyperlink ref="AC88" location="Definition!D67" tooltip="Go to Definition!D67" display="Definition!D67"/>
    <hyperlink ref="AC81" location="Definition!D61" tooltip="Go to Definition!D61" display="Definition!D61"/>
    <hyperlink ref="AC80" location="Definition!D60" tooltip="Go to Definition!D60" display="Definition!D60"/>
    <hyperlink ref="AC78" location="Definition!D59" tooltip="Go to Definition!D59" display="Definition!D59"/>
    <hyperlink ref="AC77" location="Definition!D58" tooltip="Go to Definition!D58" display="Definition!D58"/>
    <hyperlink ref="AB82" location="PL!A1" display="PL!A1"/>
    <hyperlink ref="AC35" location="Definition!D64" tooltip="Go to Definition!D64" display="Definition!D64"/>
    <hyperlink ref="AC33" location="Definition!D62" tooltip="Go to Definition!D62" display="Definition!D62"/>
    <hyperlink ref="AC32" location="Definition!D67" tooltip="Go to Definition!D67" display="Definition!D67"/>
    <hyperlink ref="AC25" location="Definition!D61" tooltip="Go to Definition!D61" display="Definition!D61"/>
    <hyperlink ref="AC24" location="Definition!D60" tooltip="Go to Definition!D60" display="Definition!D60"/>
    <hyperlink ref="AC22" location="Definition!D59" tooltip="Go to Definition!D59" display="Definition!D59"/>
    <hyperlink ref="X175" location="Developer!D196" display="Developer!D196"/>
    <hyperlink ref="AC26:AC31" location="loc_adjExample" display="loc_adjExample"/>
    <hyperlink ref="X191" location="Developer!B360" display="Developer!B360"/>
    <hyperlink ref="AC21" location="Definition!D58" tooltip="Go to Definition!D58" display="Definition!D58"/>
    <hyperlink ref="Y87" location="PL!Y31" display="PL!Y31"/>
    <hyperlink ref="Y86" location="PL!Y30" display="PL!Y30"/>
    <hyperlink ref="Y85" location="PL!Y29" display="PL!Y29"/>
    <hyperlink ref="Y84" location="PL!Y28" display="PL!Y28"/>
    <hyperlink ref="Y83" location="PL!Y27" display="PL!Y27"/>
    <hyperlink ref="Y82" location="PL!Y26" display="PL!Y26"/>
    <hyperlink ref="Y91" location="Definitions!C55" tooltip="Go to Definitions!C55" display="Definitions!C55"/>
  </hyperlinks>
  <printOptions horizontalCentered="1" verticalCentered="1"/>
  <pageMargins left="0.25" right="0.25" top="0.75" bottom="0.75" header="0.3" footer="0.3"/>
  <pageSetup horizontalDpi="1200" verticalDpi="1200" orientation="portrait" paperSize="8" r:id="rId3"/>
  <headerFooter scaleWithDoc="0" alignWithMargins="0"/>
  <rowBreaks count="1" manualBreakCount="1">
    <brk id="140" min="13" max="79" man="1"/>
  </rowBreaks>
  <ignoredErrors>
    <ignoredError sqref="AM98:BN98" unlockedFormula="1"/>
  </ignoredErrors>
  <drawing r:id="rId1"/>
  <picture r:id="rId2"/>
  <extLst>
    <ext xmlns:x14="http://schemas.microsoft.com/office/spreadsheetml/2009/9/main" uri="{78C0D931-6437-407d-A8EE-F0AAD7539E65}">
      <x14:conditionalFormattings>
        <x14:conditionalFormatting xmlns:xm="http://schemas.microsoft.com/office/excel/2006/main">
          <x14:cfRule type="iconSet" priority="4512" id="{E0A779AF-2D92-43D1-B096-E6E90A37EAA4}">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Z12:Z14</xm:sqref>
        </x14:conditionalFormatting>
        <x14:conditionalFormatting xmlns:xm="http://schemas.microsoft.com/office/excel/2006/main">
          <x14:cfRule type="iconSet" priority="13782" id="{D32BCA61-74F8-4BA2-B299-B4F0035450B0}">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Z20:Z42 Z45:Z55 Z57:Z71 Z74:Z127 Z130:Z142 Z145:Z156 Z159:Z170 Z173:Z186 Z189:Z227</xm:sqref>
        </x14:conditionalFormatting>
        <x14:conditionalFormatting xmlns:xm="http://schemas.microsoft.com/office/excel/2006/main">
          <x14:cfRule type="iconSet" priority="2752" id="{16BF676C-FCD3-4BBA-A589-D5ABE2C49578}">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Z230:Z234</xm:sqref>
        </x14:conditionalFormatting>
        <x14:conditionalFormatting xmlns:xm="http://schemas.microsoft.com/office/excel/2006/main">
          <x14:cfRule type="iconSet" priority="2503" id="{5A18DA17-B110-400D-A902-778260F64B1B}">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Z235:Z242</xm:sqref>
        </x14:conditionalFormatting>
        <x14:conditionalFormatting xmlns:xm="http://schemas.microsoft.com/office/excel/2006/main">
          <x14:cfRule type="iconSet" priority="2421" id="{97E1FC85-B7E5-48C5-A604-9645CD721553}">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Z245</xm:sqref>
        </x14:conditionalFormatting>
        <x14:conditionalFormatting xmlns:xm="http://schemas.microsoft.com/office/excel/2006/main">
          <x14:cfRule type="iconSet" priority="29225" id="{7353E01A-2AA9-4C7F-A695-DBC2CDE013D0}">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Z249:Z338</xm:sqref>
        </x14:conditionalFormatting>
        <x14:conditionalFormatting xmlns:xm="http://schemas.microsoft.com/office/excel/2006/main">
          <x14:cfRule type="iconSet" priority="2333" id="{FF3BF5E2-0A73-4836-800E-E42CE3D331DB}">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Z250:Z255</xm:sqref>
        </x14:conditionalFormatting>
        <x14:conditionalFormatting xmlns:xm="http://schemas.microsoft.com/office/excel/2006/main">
          <x14:cfRule type="iconSet" priority="212" id="{7A4FBC3C-052C-4D76-9ED8-606DA5426C61}">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Z259:Z264</xm:sqref>
        </x14:conditionalFormatting>
        <x14:conditionalFormatting xmlns:xm="http://schemas.microsoft.com/office/excel/2006/main">
          <x14:cfRule type="iconSet" priority="208" id="{8AD0FE84-2225-4865-9141-198D6EDCAE9B}">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Z268:Z273</xm:sqref>
        </x14:conditionalFormatting>
        <x14:conditionalFormatting xmlns:xm="http://schemas.microsoft.com/office/excel/2006/main">
          <x14:cfRule type="iconSet" priority="204" id="{000184E1-D06B-4223-817D-E913CA5E0BBC}">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Z277:Z282</xm:sqref>
        </x14:conditionalFormatting>
        <x14:conditionalFormatting xmlns:xm="http://schemas.microsoft.com/office/excel/2006/main">
          <x14:cfRule type="iconSet" priority="200" id="{CBD4BBD1-7FEC-40AE-8098-53B35892FD21}">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Z286:Z291</xm:sqref>
        </x14:conditionalFormatting>
        <x14:conditionalFormatting xmlns:xm="http://schemas.microsoft.com/office/excel/2006/main">
          <x14:cfRule type="iconSet" priority="196" id="{5DE24AE5-8210-4CDE-A41F-08E6C78ADE42}">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Z295:Z300</xm:sqref>
        </x14:conditionalFormatting>
        <x14:conditionalFormatting xmlns:xm="http://schemas.microsoft.com/office/excel/2006/main">
          <x14:cfRule type="iconSet" priority="190" id="{A752C2CF-C775-4874-91F3-A278C54BA2DB}">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Z304:Z309</xm:sqref>
        </x14:conditionalFormatting>
        <x14:conditionalFormatting xmlns:xm="http://schemas.microsoft.com/office/excel/2006/main">
          <x14:cfRule type="iconSet" priority="184" id="{AD65376A-BF15-48DA-9C07-283B27EE4468}">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Z313:Z318</xm:sqref>
        </x14:conditionalFormatting>
        <x14:conditionalFormatting xmlns:xm="http://schemas.microsoft.com/office/excel/2006/main">
          <x14:cfRule type="iconSet" priority="178" id="{1CCF2036-8FE1-4764-978A-443BF8E097BB}">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Z322:Z327</xm:sqref>
        </x14:conditionalFormatting>
        <x14:conditionalFormatting xmlns:xm="http://schemas.microsoft.com/office/excel/2006/main">
          <x14:cfRule type="iconSet" priority="381" id="{2EB743CC-A2B1-4B59-B944-245E6D5E093A}">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14:cfRule type="iconSet" priority="173" id="{55A85C9E-E71C-436E-9742-0F9BD4409B4C}">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Z331:Z336</xm:sqref>
        </x14:conditionalFormatting>
        <x14:conditionalFormatting xmlns:xm="http://schemas.microsoft.com/office/excel/2006/main">
          <x14:cfRule type="iconSet" priority="4504" id="{E67C8364-B666-412F-B1AE-1F04F154C14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xm:sqref>
        </x14:conditionalFormatting>
        <x14:conditionalFormatting xmlns:xm="http://schemas.microsoft.com/office/excel/2006/main">
          <x14:cfRule type="iconSet" priority="13614" id="{777B4F34-4527-4A30-9CCA-A93EEBA7155E}">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AD198:AF198</xm:sqref>
        </x14:conditionalFormatting>
        <x14:conditionalFormatting xmlns:xm="http://schemas.microsoft.com/office/excel/2006/main">
          <x14:cfRule type="iconSet" priority="13632" id="{F29B5355-7847-4DC7-904A-D29CC0D45D61}">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AD212:AF212</xm:sqref>
        </x14:conditionalFormatting>
        <x14:conditionalFormatting xmlns:xm="http://schemas.microsoft.com/office/excel/2006/main">
          <x14:cfRule type="iconSet" priority="13691" id="{345F94EF-C134-49C2-85D8-6535A3C9ACB1}">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AD227:AF227</xm:sqref>
        </x14:conditionalFormatting>
        <x14:conditionalFormatting xmlns:xm="http://schemas.microsoft.com/office/excel/2006/main">
          <x14:cfRule type="iconSet" priority="2751" id="{64AF4A76-524D-45BB-B5C8-BE67D60B4656}">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AD242:AF242</xm:sqref>
        </x14:conditionalFormatting>
        <x14:conditionalFormatting xmlns:xm="http://schemas.microsoft.com/office/excel/2006/main">
          <x14:cfRule type="iconSet" priority="11262" id="{DFDC98DB-FEFC-48ED-90AA-BC90DCD95B43}">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AD15:BZ15</xm:sqref>
        </x14:conditionalFormatting>
        <x14:conditionalFormatting xmlns:xm="http://schemas.microsoft.com/office/excel/2006/main">
          <x14:cfRule type="iconSet" priority="3522" id="{3E47C741-29C0-4342-A9C7-9A074FF65973}">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AD138:BZ138 CM138:CN138 CP138:CQ138</xm:sqref>
        </x14:conditionalFormatting>
        <x14:conditionalFormatting xmlns:xm="http://schemas.microsoft.com/office/excel/2006/main">
          <x14:cfRule type="iconSet" priority="12676" id="{A093FE58-4B7B-45D4-ACF0-57B9C7476F45}">
            <x14:iconSet iconSet="3Symbols" custom="1" showValue="0">
              <x14:cfvo type="percent">
                <xm:f>0</xm:f>
              </x14:cfvo>
              <x14:cfvo type="num">
                <xm:f>0</xm:f>
              </x14:cfvo>
              <x14:cfvo type="num">
                <xm:f>1</xm:f>
              </x14:cfvo>
              <x14:cfIcon iconSet="NoIcons" iconId="0"/>
              <x14:cfIcon iconSet="3Symbols" iconId="0"/>
              <x14:cfIcon iconSet="3Symbols" iconId="2"/>
            </x14:iconSet>
            <x14:dxf/>
          </x14:cfRule>
          <xm:sqref>AD139:BZ139</xm:sqref>
        </x14:conditionalFormatting>
        <x14:conditionalFormatting xmlns:xm="http://schemas.microsoft.com/office/excel/2006/main">
          <x14:cfRule type="iconSet" priority="4479" id="{0E693468-ADCB-422F-BF65-BC99EA53AFC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AD157:BZ157</xm:sqref>
        </x14:conditionalFormatting>
        <x14:conditionalFormatting xmlns:xm="http://schemas.microsoft.com/office/excel/2006/main">
          <x14:cfRule type="iconSet" priority="4477" id="{6657498D-157D-4A99-AA48-70A2D304E5D2}">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AD171:BZ171</xm:sqref>
        </x14:conditionalFormatting>
        <x14:conditionalFormatting xmlns:xm="http://schemas.microsoft.com/office/excel/2006/main">
          <x14:cfRule type="iconSet" priority="4466" id="{2BE0ACFB-7206-4A57-A430-E216635BA6D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4473" id="{F2B56946-B4F1-4FE5-8AA0-ACFA824C23FE}">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AD187:BZ187</xm:sqref>
        </x14:conditionalFormatting>
        <x14:conditionalFormatting xmlns:xm="http://schemas.microsoft.com/office/excel/2006/main">
          <x14:cfRule type="iconSet" priority="3984" id="{26524B6B-0384-4843-930D-67E0C5970E20}">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985" id="{785968FF-1B26-4371-B976-A01B0A5318E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AD201:BZ201</xm:sqref>
        </x14:conditionalFormatting>
        <x14:conditionalFormatting xmlns:xm="http://schemas.microsoft.com/office/excel/2006/main">
          <x14:cfRule type="iconSet" priority="4675" id="{10DA46B3-C995-43E4-B30A-D79D580AB9AE}">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AE17:BZ17 AD43:BZ43 AD72:BZ72 AD99:BZ99 AD128:BZ128 AD143:BZ143 AD201:BZ202 AD216:BZ217</xm:sqref>
        </x14:conditionalFormatting>
        <x14:conditionalFormatting xmlns:xm="http://schemas.microsoft.com/office/excel/2006/main">
          <x14:cfRule type="iconSet" priority="3983" id="{3D8932E0-A7E3-4F93-B4CA-40B76E9B1AE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982" id="{A75A72FB-1890-40FC-96B7-462A52281A6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AD216:BZ216</xm:sqref>
        </x14:conditionalFormatting>
        <x14:conditionalFormatting xmlns:xm="http://schemas.microsoft.com/office/excel/2006/main">
          <x14:cfRule type="iconSet" priority="2739" id="{1730E9EB-7E71-485B-91D8-E8CDE4F9369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2740" id="{BCA57974-AE8F-4F76-99E1-E758137CA8E0}">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AD231:BZ231</xm:sqref>
        </x14:conditionalFormatting>
        <x14:conditionalFormatting xmlns:xm="http://schemas.microsoft.com/office/excel/2006/main">
          <x14:cfRule type="iconSet" priority="2747" id="{D22C8631-9960-469B-BA2A-65E506FC149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AD231:BZ232</xm:sqref>
        </x14:conditionalFormatting>
        <x14:conditionalFormatting xmlns:xm="http://schemas.microsoft.com/office/excel/2006/main">
          <x14:cfRule type="iconSet" priority="5288" id="{9365A8A6-8874-490C-B1C6-15E2760CBD3B}">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AG198:BZ198 CD198:CE198 CG198:CH198 CM198:CN198 CP198:CQ198</xm:sqref>
        </x14:conditionalFormatting>
        <x14:conditionalFormatting xmlns:xm="http://schemas.microsoft.com/office/excel/2006/main">
          <x14:cfRule type="iconSet" priority="4925" id="{1D58EFC1-F000-4F09-A1B1-64FEBA1034A8}">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AG212:BZ212</xm:sqref>
        </x14:conditionalFormatting>
        <x14:conditionalFormatting xmlns:xm="http://schemas.microsoft.com/office/excel/2006/main">
          <x14:cfRule type="iconSet" priority="5289" id="{58725A13-5355-4D04-844D-AAA9DB57936E}">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4921" id="{AB37E113-0D96-4E1A-AED0-350561D49F32}">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AG227:BZ227</xm:sqref>
        </x14:conditionalFormatting>
        <x14:conditionalFormatting xmlns:xm="http://schemas.microsoft.com/office/excel/2006/main">
          <x14:cfRule type="iconSet" priority="2749" id="{E5234935-1186-481A-910C-9037EB7293BD}">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2750" id="{3350A971-E290-4705-85EA-18620118E415}">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AG242:BZ242</xm:sqref>
        </x14:conditionalFormatting>
        <x14:conditionalFormatting xmlns:xm="http://schemas.microsoft.com/office/excel/2006/main">
          <x14:cfRule type="iconSet" priority="29460" id="{11AE6D33-F54A-43FC-8998-DA37D8B85A7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CJ99:CK99</xm:sqref>
        </x14:conditionalFormatting>
        <x14:conditionalFormatting xmlns:xm="http://schemas.microsoft.com/office/excel/2006/main">
          <x14:cfRule type="iconSet" priority="4619" id="{AE1063A2-AE7E-41AD-A5FD-217FFE3F66D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CM43</xm:sqref>
        </x14:conditionalFormatting>
        <x14:conditionalFormatting xmlns:xm="http://schemas.microsoft.com/office/excel/2006/main">
          <x14:cfRule type="iconSet" priority="3414" id="{E1150304-DCAF-4961-9D4B-6DE389F5280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CM72</xm:sqref>
        </x14:conditionalFormatting>
        <x14:conditionalFormatting xmlns:xm="http://schemas.microsoft.com/office/excel/2006/main">
          <x14:cfRule type="iconSet" priority="4595" id="{A0072C1F-9A2D-4E50-8083-7E85CF5069B2}">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CM99</xm:sqref>
        </x14:conditionalFormatting>
        <x14:conditionalFormatting xmlns:xm="http://schemas.microsoft.com/office/excel/2006/main">
          <x14:cfRule type="iconSet" priority="32400" id="{7FF8C882-7873-4962-B09E-D64FA00F145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2399" id="{B3FE2635-2CA7-4C4F-9D6B-056BD57C0C9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2398" id="{3B783332-CF7C-4BBF-8B86-B59DDA80776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CM72:CN72</xm:sqref>
        </x14:conditionalFormatting>
        <x14:conditionalFormatting xmlns:xm="http://schemas.microsoft.com/office/excel/2006/main">
          <x14:cfRule type="iconSet" priority="4624" id="{97A6B747-11CC-4F7F-99C4-A0AD6EF9215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CM17:CN17 CP17:CQ17 CM43:CN43 CP43:CQ43 CM72:CN72 CP72:CQ72 CM99:CN99 CP99:CQ99 CM128:CN128 CP128:CQ128 CM143:CN143 CP143:CQ143</xm:sqref>
        </x14:conditionalFormatting>
        <x14:conditionalFormatting xmlns:xm="http://schemas.microsoft.com/office/excel/2006/main">
          <x14:cfRule type="iconSet" priority="4516" id="{EC490EDF-F4E6-4EE6-8FFB-3C1FA536DF7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CM99:CN99</xm:sqref>
        </x14:conditionalFormatting>
        <x14:conditionalFormatting xmlns:xm="http://schemas.microsoft.com/office/excel/2006/main">
          <x14:cfRule type="iconSet" priority="4478" id="{2FA56993-8515-44D0-9714-5F89E031B610}">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CM157:CN157 CP157:CQ157</xm:sqref>
        </x14:conditionalFormatting>
        <x14:conditionalFormatting xmlns:xm="http://schemas.microsoft.com/office/excel/2006/main">
          <x14:cfRule type="iconSet" priority="4476" id="{68218D41-CB67-4B8D-9EC6-696F41414F2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CM171:CN171 CP171:CQ171</xm:sqref>
        </x14:conditionalFormatting>
        <x14:conditionalFormatting xmlns:xm="http://schemas.microsoft.com/office/excel/2006/main">
          <x14:cfRule type="iconSet" priority="3888" id="{DB99FCAA-A2F2-439B-8FE6-F08916DD1882}">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887" id="{FC6D6603-010A-42FE-A566-6A376E4760C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CM171:CN171</xm:sqref>
        </x14:conditionalFormatting>
        <x14:conditionalFormatting xmlns:xm="http://schemas.microsoft.com/office/excel/2006/main">
          <x14:cfRule type="iconSet" priority="4472" id="{A5EA8EA2-5A48-4130-89C8-9A786ECFA224}">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CM187:CN187 CP187:CQ187</xm:sqref>
        </x14:conditionalFormatting>
        <x14:conditionalFormatting xmlns:xm="http://schemas.microsoft.com/office/excel/2006/main">
          <x14:cfRule type="iconSet" priority="3884" id="{30A260D6-B8EE-4D1B-A340-C02CB3D8C1E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883" id="{4C44EAD7-8538-44CC-811D-C6B13DCE4B76}">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CM187:CN187</xm:sqref>
        </x14:conditionalFormatting>
        <x14:conditionalFormatting xmlns:xm="http://schemas.microsoft.com/office/excel/2006/main">
          <x14:cfRule type="iconSet" priority="3550" id="{BF927ECF-DD19-4CD5-A160-44F134B85DB9}">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3549" id="{A34687D4-04D5-4DAB-9189-990EACD6F164}">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CM212:CN212 CP212:CQ212</xm:sqref>
        </x14:conditionalFormatting>
        <x14:conditionalFormatting xmlns:xm="http://schemas.microsoft.com/office/excel/2006/main">
          <x14:cfRule type="iconSet" priority="3548" id="{9F74538E-17DE-42A5-B72C-E374D57E7FB4}">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3547" id="{BD317C0C-AB61-4BA0-B69D-619820E10F48}">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CM227:CN227 CP227:CQ227</xm:sqref>
        </x14:conditionalFormatting>
        <x14:conditionalFormatting xmlns:xm="http://schemas.microsoft.com/office/excel/2006/main">
          <x14:cfRule type="iconSet" priority="2731" id="{3A2B863F-14DF-46CB-8ED2-BF5EE456AB3F}">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2730" id="{1E38B8C6-8898-41BD-A64A-F2347AFB8C7C}">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CM242:CN242 CP242:CQ242</xm:sqref>
        </x14:conditionalFormatting>
        <x14:conditionalFormatting xmlns:xm="http://schemas.microsoft.com/office/excel/2006/main">
          <x14:cfRule type="iconSet" priority="4613" id="{FACE57E4-9C91-4AFF-AD21-CC339C67BD24}">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CN43</xm:sqref>
        </x14:conditionalFormatting>
        <x14:conditionalFormatting xmlns:xm="http://schemas.microsoft.com/office/excel/2006/main">
          <x14:cfRule type="iconSet" priority="4605" id="{A29A996F-5A37-4825-9F2E-0056F530A07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4609" id="{172BFC16-5FBA-4541-B702-6B8E20D2EEA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12" id="{EC360493-A02F-46FA-AA98-3C49FB6C202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CN72</xm:sqref>
        </x14:conditionalFormatting>
        <x14:conditionalFormatting xmlns:xm="http://schemas.microsoft.com/office/excel/2006/main">
          <x14:cfRule type="iconSet" priority="4593" id="{F4FFD150-9650-4C61-83D5-D62A1B0E1BA7}">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CN99</xm:sqref>
        </x14:conditionalFormatting>
        <x14:conditionalFormatting xmlns:xm="http://schemas.microsoft.com/office/excel/2006/main">
          <x14:cfRule type="iconSet" priority="4617" id="{0E511F34-5743-44C9-9ABA-5941ECB29FF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CP43</xm:sqref>
        </x14:conditionalFormatting>
        <x14:conditionalFormatting xmlns:xm="http://schemas.microsoft.com/office/excel/2006/main">
          <x14:cfRule type="iconSet" priority="4591" id="{26CFF639-06F4-4B75-A13B-9C32A12A329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CP99</xm:sqref>
        </x14:conditionalFormatting>
        <x14:conditionalFormatting xmlns:xm="http://schemas.microsoft.com/office/excel/2006/main">
          <x14:cfRule type="iconSet" priority="4603" id="{49E057A1-5533-4F53-BB4B-B70C26727F02}">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4599" id="{2F4D5A38-A2C9-43B8-A58C-592B43E0C982}">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CP72:CQ72</xm:sqref>
        </x14:conditionalFormatting>
        <x14:conditionalFormatting xmlns:xm="http://schemas.microsoft.com/office/excel/2006/main">
          <x14:cfRule type="iconSet" priority="4514" id="{0F4225C5-4C9C-405A-A83C-175EBE5CB37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CP99:CQ99</xm:sqref>
        </x14:conditionalFormatting>
        <x14:conditionalFormatting xmlns:xm="http://schemas.microsoft.com/office/excel/2006/main">
          <x14:cfRule type="iconSet" priority="3889" id="{CAF39907-7E18-4CB6-AA46-59CC3F83D1E2}">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CP157:CQ157</xm:sqref>
        </x14:conditionalFormatting>
        <x14:conditionalFormatting xmlns:xm="http://schemas.microsoft.com/office/excel/2006/main">
          <x14:cfRule type="iconSet" priority="3885" id="{E71139BB-DA75-4AE8-838E-6FE9B55BC53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886" id="{46EED25B-EFBC-4404-ADFB-FF8776809B1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CP171:CQ171</xm:sqref>
        </x14:conditionalFormatting>
        <x14:conditionalFormatting xmlns:xm="http://schemas.microsoft.com/office/excel/2006/main">
          <x14:cfRule type="iconSet" priority="3881" id="{E509DAAB-58E4-4191-8D9F-B25FF6B4FFA2}">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882" id="{E1477422-2A60-4723-85A7-EB4F06FD4C4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CP187:CQ187</xm:sqref>
        </x14:conditionalFormatting>
        <x14:conditionalFormatting xmlns:xm="http://schemas.microsoft.com/office/excel/2006/main">
          <x14:cfRule type="iconSet" priority="4615" id="{95B8D697-9CDD-40F6-8B04-A37D9C78DA46}">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CQ43</xm:sqref>
        </x14:conditionalFormatting>
        <x14:conditionalFormatting xmlns:xm="http://schemas.microsoft.com/office/excel/2006/main">
          <x14:cfRule type="iconSet" priority="4601" id="{FAAFDE6D-ABE1-4137-A97F-946CD1B4AD2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4597" id="{BDF3EB3F-D452-4064-BFC2-7CC314A2F7B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CQ72</xm:sqref>
        </x14:conditionalFormatting>
        <x14:conditionalFormatting xmlns:xm="http://schemas.microsoft.com/office/excel/2006/main">
          <x14:cfRule type="iconSet" priority="4589" id="{5981881C-5A25-4FE6-8C4B-0A07B46CFF5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CQ99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BB7ADB-7732-461F-A4D6-2799EB37E6F5}">
  <sheetPr codeName="Sheet6">
    <tabColor rgb="FF92D050"/>
  </sheetPr>
  <dimension ref="A1:EA95"/>
  <sheetViews>
    <sheetView zoomScale="55" zoomScaleNormal="55" workbookViewId="0" topLeftCell="N5">
      <pane xSplit="11" ySplit="44" topLeftCell="AW82" activePane="bottomRight" state="frozen"/>
      <selection pane="topLeft" activeCell="N5" sqref="N5"/>
      <selection pane="bottomLeft" activeCell="N49" sqref="N49"/>
      <selection pane="topRight" activeCell="Y5" sqref="Y5"/>
      <selection pane="bottomRight" activeCell="AD88" sqref="AD88:BN90"/>
    </sheetView>
  </sheetViews>
  <sheetFormatPr defaultColWidth="0" defaultRowHeight="15.5" outlineLevelCol="1"/>
  <cols>
    <col min="1" max="1" width="12.8888888888889" hidden="1" customWidth="1" outlineLevel="1"/>
    <col min="2" max="2" width="38.3333333333333" hidden="1" customWidth="1" outlineLevel="1"/>
    <col min="3" max="3" width="51.2222222222222" hidden="1" customWidth="1" outlineLevel="1"/>
    <col min="4" max="4" width="39.6666666666667" hidden="1" customWidth="1" outlineLevel="1"/>
    <col min="5" max="5" width="10.6666666666667" style="37" hidden="1" customWidth="1" outlineLevel="1"/>
    <col min="6" max="6" width="14.6666666666667" style="37" hidden="1" customWidth="1" outlineLevel="1"/>
    <col min="7" max="7" width="7.55555555555556" style="37" hidden="1" customWidth="1" outlineLevel="1"/>
    <col min="8" max="8" width="8.77777777777778" hidden="1" customWidth="1" outlineLevel="1"/>
    <col min="9" max="9" width="9.22222222222222" hidden="1" customWidth="1" outlineLevel="1"/>
    <col min="10" max="10" width="9.55555555555556" hidden="1" customWidth="1" outlineLevel="1"/>
    <col min="11" max="11" width="10.3333333333333" hidden="1" customWidth="1" outlineLevel="1"/>
    <col min="12" max="12" width="7.44444444444444" hidden="1" customWidth="1" outlineLevel="1"/>
    <col min="13" max="13" width="4.11111111111111" hidden="1" customWidth="1" outlineLevel="1" collapsed="1"/>
    <col min="14" max="14" width="6.44444444444444" customWidth="1" collapsed="1"/>
    <col min="15" max="15" width="2.11111111111111" customWidth="1" outlineLevel="1"/>
    <col min="16" max="17" width="2.66666666666667" customWidth="1" outlineLevel="1"/>
    <col min="18" max="18" width="1.44444444444444" customWidth="1" outlineLevel="1"/>
    <col min="19" max="19" width="34.2222222222222" customWidth="1" outlineLevel="1"/>
    <col min="20" max="20" width="66" customWidth="1" outlineLevel="1"/>
    <col min="21" max="21" width="1.44444444444444" customWidth="1" outlineLevel="1"/>
    <col min="22" max="22" width="1.44444444444444" customWidth="1"/>
    <col min="23" max="23" width="11.3333333333333" customWidth="1"/>
    <col min="24" max="24" width="4.22222222222222" customWidth="1"/>
    <col min="25" max="25" width="44.6666666666667" customWidth="1"/>
    <col min="26" max="26" width="4.22222222222222" customWidth="1"/>
    <col min="27" max="27" width="4.55555555555556" customWidth="1"/>
    <col min="28" max="28" width="44.6666666666667" customWidth="1"/>
    <col min="29" max="29" width="4.55555555555556" style="37" customWidth="1"/>
    <col min="30" max="66" width="17.8888888888889" customWidth="1"/>
    <col min="67" max="77" width="4.44444444444444" customWidth="1" outlineLevel="1"/>
    <col min="78" max="78" width="4.44444444444444" customWidth="1" outlineLevel="1" collapsed="1"/>
    <col min="79" max="79" width="2.22222222222222" customWidth="1"/>
    <col min="80" max="81" width="1.44444444444444" customWidth="1"/>
    <col min="82" max="83" width="17.8888888888889" customWidth="1"/>
    <col min="84" max="84" width="1.44444444444444" customWidth="1"/>
    <col min="85" max="86" width="17.8888888888889" customWidth="1"/>
    <col min="87" max="87" width="1.44444444444444" customWidth="1"/>
    <col min="88" max="88" width="4.33333333333333" customWidth="1"/>
    <col min="89" max="89" width="25.7777777777778" customWidth="1"/>
    <col min="90" max="90" width="32.6666666666667" customWidth="1"/>
    <col min="91" max="91" width="32.3333333333333" customWidth="1"/>
    <col min="92" max="92" width="30.3333333333333" customWidth="1"/>
    <col min="93" max="94" width="24.4444444444444" customWidth="1"/>
    <col min="95" max="97" width="13.2222222222222" customWidth="1"/>
    <col min="98" max="131" width="13.2222222222222" customWidth="1" outlineLevel="1"/>
    <col min="132" max="146" width="8.11111111111111" customWidth="1" outlineLevel="1"/>
    <col min="147" max="16384" width="8.11111111111111" hidden="1"/>
  </cols>
  <sheetData>
    <row r="1" spans="1:30" ht="5.5" customHeight="1">
      <c r="A1" s="2048" t="s">
        <v>1857</v>
      </c>
      <c r="B1" s="2046" t="s">
        <v>1856</v>
      </c>
      <c r="C1" s="108"/>
      <c r="D1" s="108"/>
      <c r="E1" s="822"/>
      <c r="F1" s="822"/>
      <c r="G1" s="822"/>
      <c r="H1" s="822"/>
      <c r="I1" s="821"/>
      <c r="J1" s="822"/>
      <c r="N1" s="115"/>
      <c r="W1" s="37"/>
      <c r="X1" s="1590"/>
      <c r="Z1" s="1006"/>
      <c r="AA1" s="765"/>
      <c r="AD1" s="37"/>
    </row>
    <row r="2" spans="1:30" ht="9" customHeight="1" hidden="1">
      <c r="A2" s="2048" t="s">
        <v>22</v>
      </c>
      <c r="B2" s="2049"/>
      <c r="C2" s="108"/>
      <c r="D2" s="108"/>
      <c r="E2" s="822"/>
      <c r="F2" s="822"/>
      <c r="G2" s="822"/>
      <c r="H2" s="822"/>
      <c r="I2" s="821"/>
      <c r="J2" s="822"/>
      <c r="N2" s="115"/>
      <c r="W2" s="37"/>
      <c r="X2" s="37"/>
      <c r="Z2" s="1006"/>
      <c r="AA2" s="765"/>
      <c r="AD2" s="37"/>
    </row>
    <row r="3" spans="1:87" ht="4.15" customHeight="1" collapsed="1">
      <c r="A3" s="2048" t="s">
        <v>219</v>
      </c>
      <c r="B3" s="2049"/>
      <c r="C3" s="108"/>
      <c r="D3" s="108"/>
      <c r="E3" s="822"/>
      <c r="F3" s="822"/>
      <c r="G3" s="822"/>
      <c r="H3" s="822"/>
      <c r="I3" s="821"/>
      <c r="J3" s="822"/>
      <c r="N3" s="3003" t="s">
        <v>23</v>
      </c>
      <c r="O3" s="15"/>
      <c r="P3" s="15"/>
      <c r="Q3" s="15"/>
      <c r="R3" s="15"/>
      <c r="S3" s="15"/>
      <c r="T3" s="152"/>
      <c r="U3" s="38"/>
      <c r="W3" s="142"/>
      <c r="X3" s="144"/>
      <c r="Y3" s="143"/>
      <c r="Z3" s="1504"/>
      <c r="AA3" s="766"/>
      <c r="AB3" s="15"/>
      <c r="AC3" s="1987"/>
      <c r="AD3" s="144"/>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38"/>
    </row>
    <row r="4" spans="1:87" ht="72" customHeight="1">
      <c r="A4" s="2048"/>
      <c r="B4" s="2049"/>
      <c r="C4" s="108"/>
      <c r="D4" s="108"/>
      <c r="E4" s="108"/>
      <c r="F4" s="108"/>
      <c r="G4" s="108"/>
      <c r="H4" s="108"/>
      <c r="I4" s="108"/>
      <c r="J4" s="108"/>
      <c r="K4" s="108"/>
      <c r="L4" s="108"/>
      <c r="M4" s="108"/>
      <c r="N4" s="3004"/>
      <c r="O4" s="3008" t="e" vm="2" cm="1">
        <f t="array" ref="O4">IF(LEFT($A$1,3)="unp",icon_unlock,icon_lock)</f>
        <v>#VALUE!</v>
      </c>
      <c r="P4" s="3008"/>
      <c r="Q4" s="3008"/>
      <c r="R4" s="153"/>
      <c r="S4" s="153" t="e" vm="3">
        <v>#VALUE!</v>
      </c>
      <c r="T4" s="153"/>
      <c r="U4" s="39"/>
      <c r="W4" s="767"/>
      <c r="X4" s="126"/>
      <c r="Y4" s="1358" t="e" vm="1">
        <f ca="1">_xlfn.IMAGE(INDEX(PM_Support[COMPANY_LOGO_URL],MATCH(val_company,PM_Support[COMPANY_NAME],0)))</f>
        <v>#VALUE!</v>
      </c>
      <c r="Z4" s="1505"/>
      <c r="AA4" s="768"/>
      <c r="AB4" s="101"/>
      <c r="AC4" s="126"/>
      <c r="AD4" s="126"/>
      <c r="AE4" s="101"/>
      <c r="AF4" s="101"/>
      <c r="AG4" s="101"/>
      <c r="AH4" s="145"/>
      <c r="AI4" s="101"/>
      <c r="AJ4" s="101"/>
      <c r="AK4" s="101"/>
      <c r="AL4" s="101"/>
      <c r="AM4" s="101"/>
      <c r="AN4" s="101"/>
      <c r="AO4" s="101"/>
      <c r="AP4" s="101"/>
      <c r="AQ4" s="101"/>
      <c r="AR4" s="101"/>
      <c r="AS4" s="101"/>
      <c r="AT4" s="769"/>
      <c r="AU4" s="769"/>
      <c r="AV4" s="769"/>
      <c r="AW4" s="769"/>
      <c r="AX4" s="769"/>
      <c r="AY4" s="769"/>
      <c r="AZ4" s="769"/>
      <c r="BA4" s="769"/>
      <c r="BB4" s="769"/>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39"/>
    </row>
    <row r="5" spans="1:87" ht="45.65" customHeight="1">
      <c r="A5" s="1641"/>
      <c r="B5" s="108"/>
      <c r="C5" s="108"/>
      <c r="D5" s="108"/>
      <c r="E5" s="108"/>
      <c r="F5" s="108"/>
      <c r="G5" s="108"/>
      <c r="H5" s="108"/>
      <c r="I5" s="108"/>
      <c r="J5" s="108"/>
      <c r="K5" s="108"/>
      <c r="L5" s="108"/>
      <c r="M5" s="108"/>
      <c r="N5" s="3004"/>
      <c r="O5" s="101"/>
      <c r="P5" s="153"/>
      <c r="Q5" s="101"/>
      <c r="R5" s="153"/>
      <c r="S5" s="3005" t="s">
        <v>25</v>
      </c>
      <c r="T5" s="3005"/>
      <c r="U5" s="39"/>
      <c r="W5" s="767"/>
      <c r="X5" s="264"/>
      <c r="Y5" s="264" t="s">
        <v>220</v>
      </c>
      <c r="Z5" s="1506"/>
      <c r="AA5" s="989"/>
      <c r="AB5" s="551"/>
      <c r="AC5" s="551"/>
      <c r="AD5" s="126"/>
      <c r="AE5" s="1125" t="str">
        <f>CX_ENTITY</f>
        <v>W06f9Irq7</v>
      </c>
      <c r="AF5" s="101"/>
      <c r="AG5" s="101"/>
      <c r="AH5" s="101"/>
      <c r="AI5" s="101"/>
      <c r="AJ5" s="101"/>
      <c r="AK5" s="35" t="s">
        <v>29</v>
      </c>
      <c r="AL5" s="35" t="s">
        <v>30</v>
      </c>
      <c r="AM5" s="35" t="s">
        <v>31</v>
      </c>
      <c r="AN5" s="101"/>
      <c r="AO5" s="101"/>
      <c r="AP5" s="770"/>
      <c r="AQ5" s="770"/>
      <c r="AR5" s="770"/>
      <c r="AS5" s="770"/>
      <c r="AT5" s="770"/>
      <c r="AU5" s="770"/>
      <c r="AV5" s="770"/>
      <c r="AW5" s="770"/>
      <c r="AX5" s="770"/>
      <c r="AY5" s="770"/>
      <c r="AZ5" s="770"/>
      <c r="BA5" s="770"/>
      <c r="BB5" s="770"/>
      <c r="BC5" s="101"/>
      <c r="BD5" s="101"/>
      <c r="BE5" s="101"/>
      <c r="BF5" s="101"/>
      <c r="BG5" s="101"/>
      <c r="BH5" s="101"/>
      <c r="BI5" s="101"/>
      <c r="BJ5" s="101"/>
      <c r="BK5" s="101"/>
      <c r="BL5" s="101"/>
      <c r="BM5" s="148"/>
      <c r="BN5" s="101"/>
      <c r="BO5" s="101"/>
      <c r="BP5" s="101"/>
      <c r="BQ5" s="101"/>
      <c r="BR5" s="101"/>
      <c r="BS5" s="101"/>
      <c r="BT5" s="101"/>
      <c r="BU5" s="101"/>
      <c r="BV5" s="101"/>
      <c r="BW5" s="101"/>
      <c r="BX5" s="101"/>
      <c r="BY5" s="101"/>
      <c r="BZ5" s="101"/>
      <c r="CA5" s="39"/>
      <c r="CC5" s="16"/>
      <c r="CD5" s="986"/>
      <c r="CE5" s="986"/>
      <c r="CF5" s="169"/>
      <c r="CG5" s="210"/>
      <c r="CH5" s="210"/>
      <c r="CI5" s="39"/>
    </row>
    <row r="6" spans="1:87" ht="39" customHeight="1">
      <c r="A6" s="1642"/>
      <c r="B6" s="1075"/>
      <c r="C6" s="1075"/>
      <c r="D6" s="1075"/>
      <c r="E6" s="586"/>
      <c r="F6" s="586"/>
      <c r="G6" s="586"/>
      <c r="H6" s="585"/>
      <c r="I6" s="585"/>
      <c r="J6" s="586"/>
      <c r="N6" s="3004"/>
      <c r="O6" s="101"/>
      <c r="P6" s="153"/>
      <c r="Q6" s="153"/>
      <c r="R6" s="153"/>
      <c r="S6" s="3005"/>
      <c r="T6" s="3005"/>
      <c r="U6" s="39"/>
      <c r="W6" s="767"/>
      <c r="X6" s="264"/>
      <c r="Y6" s="264"/>
      <c r="Z6" s="1506"/>
      <c r="AA6" s="989"/>
      <c r="AB6" s="551"/>
      <c r="AC6" s="551"/>
      <c r="AD6" s="126"/>
      <c r="AE6" s="709" t="str">
        <f>val_company</f>
        <v>Therme Horizon</v>
      </c>
      <c r="AF6" s="101"/>
      <c r="AG6" s="101"/>
      <c r="AH6" s="101"/>
      <c r="AI6" s="101"/>
      <c r="AJ6" s="101"/>
      <c r="AK6" s="3339" t="e">
        <f ca="1">AK7</f>
        <v>#NAME?</v>
      </c>
      <c r="AL6" s="1827" t="str">
        <f>val_displayUnit</f>
        <v>Millions</v>
      </c>
      <c r="AM6" s="1125" t="e">
        <f ca="1">Developer!D251</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39"/>
    </row>
    <row r="7" spans="1:87" ht="35.5" customHeight="1">
      <c r="A7" s="1643"/>
      <c r="B7" s="585"/>
      <c r="C7" s="585"/>
      <c r="D7" s="585"/>
      <c r="E7" s="585"/>
      <c r="F7" s="731"/>
      <c r="G7" s="731"/>
      <c r="H7" s="1360"/>
      <c r="I7" s="823"/>
      <c r="J7" s="731"/>
      <c r="N7" s="3004"/>
      <c r="O7" s="101"/>
      <c r="P7" s="126"/>
      <c r="Q7" s="126"/>
      <c r="R7" s="126"/>
      <c r="S7" s="2283" t="s">
        <v>32</v>
      </c>
      <c r="T7" s="154"/>
      <c r="U7" s="39"/>
      <c r="W7" s="94"/>
      <c r="X7" s="123"/>
      <c r="Y7" s="264"/>
      <c r="Z7" s="1506"/>
      <c r="AA7" s="989"/>
      <c r="AB7" s="264"/>
      <c r="AC7" s="123"/>
      <c r="AD7" s="123"/>
      <c r="AE7" s="264"/>
      <c r="AF7" s="264"/>
      <c r="AG7" s="101"/>
      <c r="AH7" s="101"/>
      <c r="AI7" s="101"/>
      <c r="AJ7" s="101"/>
      <c r="AK7" s="1157" t="e" cm="1">
        <f t="array" ca="1" aca="1" ref="AK7">val_currentFYE</f>
        <v>#NAME?</v>
      </c>
      <c r="AL7" s="264"/>
      <c r="AM7" s="93"/>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771" t="s">
        <v>34</v>
      </c>
      <c r="CE7" s="776"/>
      <c r="CF7" s="169"/>
      <c r="CG7" s="1206" t="s">
        <v>35</v>
      </c>
      <c r="CH7" s="1208"/>
      <c r="CI7" s="39"/>
    </row>
    <row r="8" spans="1:87" ht="12.75" customHeight="1">
      <c r="A8" s="1644"/>
      <c r="B8" s="1674"/>
      <c r="C8" s="1543"/>
      <c r="D8" s="1072"/>
      <c r="E8" s="1898"/>
      <c r="F8" s="1073"/>
      <c r="G8" s="1073"/>
      <c r="H8" s="1551"/>
      <c r="I8" s="1551"/>
      <c r="J8" s="1551" t="s">
        <v>39</v>
      </c>
      <c r="N8" s="3004"/>
      <c r="O8" s="101"/>
      <c r="P8" s="18"/>
      <c r="Q8" s="18"/>
      <c r="R8" s="101"/>
      <c r="S8" s="101"/>
      <c r="T8" s="101"/>
      <c r="U8" s="39"/>
      <c r="W8" s="149"/>
      <c r="X8" s="150"/>
      <c r="Y8" s="18"/>
      <c r="Z8" s="1505"/>
      <c r="AA8" s="777"/>
      <c r="AB8" s="18"/>
      <c r="AC8" s="150"/>
      <c r="AD8" s="150"/>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36"/>
    </row>
    <row r="9" spans="1:87" ht="8.25" customHeight="1">
      <c r="A9" s="1645"/>
      <c r="B9" s="1544"/>
      <c r="C9" s="1544"/>
      <c r="D9" s="1073"/>
      <c r="E9" s="1899"/>
      <c r="F9" s="1896"/>
      <c r="G9" s="1896"/>
      <c r="H9" s="849"/>
      <c r="I9" s="849"/>
      <c r="J9" s="1072"/>
      <c r="N9" s="3004"/>
      <c r="O9" s="101"/>
      <c r="P9" s="373"/>
      <c r="Q9" s="373"/>
      <c r="R9" s="101"/>
      <c r="S9" s="3047" t="s">
        <v>221</v>
      </c>
      <c r="T9" s="3047"/>
      <c r="U9" s="39"/>
      <c r="W9" s="376"/>
      <c r="X9" s="378"/>
      <c r="Y9" s="377"/>
      <c r="Z9" s="1507"/>
      <c r="AA9" s="778"/>
      <c r="AB9" s="281"/>
      <c r="AC9" s="281"/>
      <c r="AD9" s="378"/>
      <c r="AE9" s="379"/>
      <c r="AF9" s="379"/>
      <c r="AG9" s="379"/>
      <c r="AH9" s="379"/>
      <c r="AI9" s="377"/>
      <c r="AJ9" s="377"/>
      <c r="AK9" s="377"/>
      <c r="AL9" s="377"/>
      <c r="AM9" s="377"/>
      <c r="AN9" s="377"/>
      <c r="AO9" s="377"/>
      <c r="AP9" s="377"/>
      <c r="AQ9" s="377"/>
      <c r="AR9" s="377"/>
      <c r="AS9" s="377"/>
      <c r="AT9" s="377"/>
      <c r="AU9" s="377"/>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227"/>
    </row>
    <row r="10" spans="1:87" ht="29.25" customHeight="1">
      <c r="A10" s="1645"/>
      <c r="B10" s="1678" t="s">
        <v>36</v>
      </c>
      <c r="C10" s="1543"/>
      <c r="D10" s="1072"/>
      <c r="E10" s="1899"/>
      <c r="F10" s="1896"/>
      <c r="G10" s="1896"/>
      <c r="H10" s="849"/>
      <c r="I10" s="849"/>
      <c r="J10" s="1072"/>
      <c r="N10" s="372"/>
      <c r="O10" s="101"/>
      <c r="P10" s="373"/>
      <c r="Q10" s="373"/>
      <c r="R10" s="101"/>
      <c r="S10" s="3047"/>
      <c r="T10" s="3047"/>
      <c r="U10" s="39"/>
      <c r="W10" s="808"/>
      <c r="X10" s="382"/>
      <c r="Y10" s="382"/>
      <c r="Z10" s="1508"/>
      <c r="AA10" s="990"/>
      <c r="AB10" s="95"/>
      <c r="AC10" s="95"/>
      <c r="AD10" s="382"/>
      <c r="AE10" s="97"/>
      <c r="AF10" s="564"/>
      <c r="AG10" s="564"/>
      <c r="AH10" s="97"/>
      <c r="AI10" s="97"/>
      <c r="AJ10" s="97"/>
      <c r="AK10" s="97"/>
      <c r="AL10" s="97"/>
      <c r="AM10" s="97"/>
      <c r="AN10" s="97"/>
      <c r="AO10" s="97"/>
      <c r="AP10" s="97"/>
      <c r="AQ10" s="97"/>
      <c r="AR10" s="97"/>
      <c r="AS10" s="97"/>
      <c r="AT10" s="97"/>
      <c r="AU10" s="97"/>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8" t="s">
        <v>41</v>
      </c>
      <c r="CE10" s="3029"/>
      <c r="CF10" s="1471"/>
      <c r="CG10" s="3015" t="s">
        <v>222</v>
      </c>
      <c r="CH10" s="3016"/>
      <c r="CI10" s="34"/>
    </row>
    <row r="11" spans="1:87" ht="27.75" customHeight="1">
      <c r="A11" s="1645"/>
      <c r="B11" s="1543"/>
      <c r="C11" s="1543"/>
      <c r="D11" s="1072"/>
      <c r="E11" s="1899"/>
      <c r="F11" s="1896"/>
      <c r="G11" s="1896"/>
      <c r="H11" s="849"/>
      <c r="I11" s="849"/>
      <c r="J11" s="1072"/>
      <c r="N11" s="372"/>
      <c r="O11" s="101"/>
      <c r="P11" s="126"/>
      <c r="Q11" s="126"/>
      <c r="R11" s="126"/>
      <c r="S11" s="2"/>
      <c r="T11" s="2"/>
      <c r="U11" s="197"/>
      <c r="W11" s="972"/>
      <c r="X11" s="973" t="s">
        <v>223</v>
      </c>
      <c r="Y11" s="974"/>
      <c r="Z11" s="973" t="s">
        <v>224</v>
      </c>
      <c r="AA11" s="974"/>
      <c r="AB11" s="985" t="s">
        <v>47</v>
      </c>
      <c r="AC11" s="1988"/>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1722" t="e" cm="1">
        <f t="array" ca="1" aca="1" ref="CD11">EOMONTH(val_currentFYE,-24)</f>
        <v>#NAME?</v>
      </c>
      <c r="CE11" s="1723" t="e" cm="1">
        <f t="array" ca="1" aca="1" ref="CE11">EOMONTH(val_currentFYE,-12)</f>
        <v>#NAME?</v>
      </c>
      <c r="CF11" s="128"/>
      <c r="CG11" s="1728" t="e">
        <f ca="1">val_currentFYE</f>
        <v>#NAME?</v>
      </c>
      <c r="CH11" s="1729" t="e" cm="1">
        <f t="array" ca="1" aca="1" ref="CH11">val_currentFYE</f>
        <v>#NAME?</v>
      </c>
      <c r="CI11" s="200"/>
    </row>
    <row r="12" spans="1:87" ht="20.25" customHeight="1">
      <c r="A12" s="1645"/>
      <c r="B12" s="1545"/>
      <c r="C12" s="1545"/>
      <c r="D12" s="1024"/>
      <c r="E12" s="1899"/>
      <c r="F12" s="1896"/>
      <c r="G12" s="1896"/>
      <c r="H12" s="849"/>
      <c r="I12" s="849"/>
      <c r="J12" s="1072"/>
      <c r="N12" s="372"/>
      <c r="O12" s="101"/>
      <c r="P12" s="52"/>
      <c r="Q12" s="101"/>
      <c r="R12" s="126"/>
      <c r="S12" s="818" t="s">
        <v>49</v>
      </c>
      <c r="T12" s="818" t="s">
        <v>50</v>
      </c>
      <c r="U12" s="39"/>
      <c r="W12" s="1195" t="s">
        <v>51</v>
      </c>
      <c r="X12" s="907" t="e" vm="4" cm="1">
        <f t="array" ref="X12">fx_getIcon("select")</f>
        <v>#VALUE!</v>
      </c>
      <c r="Y12" s="860" t="s">
        <v>52</v>
      </c>
      <c r="Z12" s="3301" cm="1">
        <f t="array" ref="Z12">_xlfn.SWITCH(TRUE,_BS!$L31=TRUE,1,_BS!$L31=FALSE,-1,_BS!$L31=-1,0,"n/a")</f>
        <v>1</v>
      </c>
      <c r="AA12" s="95"/>
      <c r="AB12" s="97" t="s">
        <v>53</v>
      </c>
      <c r="AC12" s="382"/>
      <c r="AD12" s="1601" t="e" cm="1">
        <f t="array" ca="1" aca="1" ref="AD12">EOMONTH(AD11,12-MONTH(val_currentFYE))</f>
        <v>#NAME?</v>
      </c>
      <c r="AE12" s="1601" t="e" cm="1">
        <f t="array" ca="1" aca="1" ref="AE12">EOMONTH(AE11,12-MONTH(val_currentFYE))</f>
        <v>#NAME?</v>
      </c>
      <c r="AF12" s="1601" t="e" cm="1">
        <f t="array" ca="1" aca="1" ref="AF12">EOMONTH(AF11,12-MONTH(val_currentFYE))</f>
        <v>#NAME?</v>
      </c>
      <c r="AG12" s="1601" t="e" cm="1">
        <f t="array" ca="1" aca="1" ref="AG12">EOMONTH(AG11,12-MONTH(val_currentFYE))</f>
        <v>#NAME?</v>
      </c>
      <c r="AH12" s="1601" t="e" cm="1">
        <f t="array" ca="1" aca="1" ref="AH12">EOMONTH(AH11,12-MONTH(val_currentFYE))</f>
        <v>#NAME?</v>
      </c>
      <c r="AI12" s="1601" t="e" cm="1">
        <f t="array" ca="1" aca="1" ref="AI12">EOMONTH(AI11,12-MONTH(val_currentFYE))</f>
        <v>#NAME?</v>
      </c>
      <c r="AJ12" s="1601" t="e" cm="1">
        <f t="array" ca="1" aca="1" ref="AJ12">EOMONTH(AJ11,12-MONTH(val_currentFYE))</f>
        <v>#NAME?</v>
      </c>
      <c r="AK12" s="1601" t="e" cm="1">
        <f t="array" ca="1" aca="1" ref="AK12">EOMONTH(AK11,12-MONTH(val_currentFYE))</f>
        <v>#NAME?</v>
      </c>
      <c r="AL12" s="1601" t="e" cm="1">
        <f t="array" ca="1" aca="1" ref="AL12">EOMONTH(AL11,12-MONTH(val_currentFYE))</f>
        <v>#NAME?</v>
      </c>
      <c r="AM12" s="1601" t="e" cm="1">
        <f t="array" ca="1" aca="1" ref="AM12">EOMONTH(AM11,12-MONTH(val_currentFYE))</f>
        <v>#NAME?</v>
      </c>
      <c r="AN12" s="1601" t="e" cm="1">
        <f t="array" ca="1" aca="1" ref="AN12">EOMONTH(AN11,12-MONTH(val_currentFYE))</f>
        <v>#NAME?</v>
      </c>
      <c r="AO12" s="1601" t="e" cm="1">
        <f t="array" ca="1" aca="1" ref="AO12">EOMONTH(AO11,12-MONTH(val_currentFYE))</f>
        <v>#NAME?</v>
      </c>
      <c r="AP12" s="1601" t="e" cm="1">
        <f t="array" ca="1" aca="1" ref="AP12">EOMONTH(AP11,12-MONTH(val_currentFYE))</f>
        <v>#NAME?</v>
      </c>
      <c r="AQ12" s="1601" t="e" cm="1">
        <f t="array" ca="1" aca="1" ref="AQ12">EOMONTH(AQ11,12-MONTH(val_currentFYE))</f>
        <v>#NAME?</v>
      </c>
      <c r="AR12" s="1601" t="e" cm="1">
        <f t="array" ca="1" aca="1" ref="AR12">EOMONTH(AR11,12-MONTH(val_currentFYE))</f>
        <v>#NAME?</v>
      </c>
      <c r="AS12" s="1601" t="e" cm="1">
        <f t="array" ca="1" aca="1" ref="AS12">EOMONTH(AS11,12-MONTH(val_currentFYE))</f>
        <v>#NAME?</v>
      </c>
      <c r="AT12" s="1601" t="e" cm="1">
        <f t="array" ca="1" aca="1" ref="AT12">EOMONTH(AT11,12-MONTH(val_currentFYE))</f>
        <v>#NAME?</v>
      </c>
      <c r="AU12" s="1601" t="e" cm="1">
        <f t="array" ca="1" aca="1" ref="AU12">EOMONTH(AU11,12-MONTH(val_currentFYE))</f>
        <v>#NAME?</v>
      </c>
      <c r="AV12" s="1601" t="e" cm="1">
        <f t="array" ca="1" aca="1" ref="AV12">EOMONTH(AV11,12-MONTH(val_currentFYE))</f>
        <v>#NAME?</v>
      </c>
      <c r="AW12" s="1601" t="e" cm="1">
        <f t="array" ca="1" aca="1" ref="AW12">EOMONTH(AW11,12-MONTH(val_currentFYE))</f>
        <v>#NAME?</v>
      </c>
      <c r="AX12" s="1601" t="e" cm="1">
        <f t="array" ca="1" aca="1" ref="AX12">EOMONTH(AX11,12-MONTH(val_currentFYE))</f>
        <v>#NAME?</v>
      </c>
      <c r="AY12" s="1601" t="e" cm="1">
        <f t="array" ca="1" aca="1" ref="AY12">EOMONTH(AY11,12-MONTH(val_currentFYE))</f>
        <v>#NAME?</v>
      </c>
      <c r="AZ12" s="1601" t="e" cm="1">
        <f t="array" ca="1" aca="1" ref="AZ12">EOMONTH(AZ11,12-MONTH(val_currentFYE))</f>
        <v>#NAME?</v>
      </c>
      <c r="BA12" s="1601" t="e" cm="1">
        <f t="array" ca="1" aca="1" ref="BA12">EOMONTH(BA11,12-MONTH(val_currentFYE))</f>
        <v>#NAME?</v>
      </c>
      <c r="BB12" s="1601" t="e" cm="1">
        <f t="array" ca="1" aca="1" ref="BB12">EOMONTH(BB11,12-MONTH(val_currentFYE))</f>
        <v>#NAME?</v>
      </c>
      <c r="BC12" s="1601" t="e" cm="1">
        <f t="array" ca="1" aca="1" ref="BC12">EOMONTH(BC11,12-MONTH(val_currentFYE))</f>
        <v>#NAME?</v>
      </c>
      <c r="BD12" s="1601" t="e" cm="1">
        <f t="array" ca="1" aca="1" ref="BD12">EOMONTH(BD11,12-MONTH(val_currentFYE))</f>
        <v>#NAME?</v>
      </c>
      <c r="BE12" s="1601" t="e" cm="1">
        <f t="array" ca="1" aca="1" ref="BE12">EOMONTH(BE11,12-MONTH(val_currentFYE))</f>
        <v>#NAME?</v>
      </c>
      <c r="BF12" s="1601" t="e" cm="1">
        <f t="array" ca="1" aca="1" ref="BF12">EOMONTH(BF11,12-MONTH(val_currentFYE))</f>
        <v>#NAME?</v>
      </c>
      <c r="BG12" s="1601" t="e" cm="1">
        <f t="array" ca="1" aca="1" ref="BG12">EOMONTH(BG11,12-MONTH(val_currentFYE))</f>
        <v>#NAME?</v>
      </c>
      <c r="BH12" s="1601" t="e" cm="1">
        <f t="array" ca="1" aca="1" ref="BH12">EOMONTH(BH11,12-MONTH(val_currentFYE))</f>
        <v>#NAME?</v>
      </c>
      <c r="BI12" s="1601" t="e" cm="1">
        <f t="array" ca="1" aca="1" ref="BI12">EOMONTH(BI11,12-MONTH(val_currentFYE))</f>
        <v>#NAME?</v>
      </c>
      <c r="BJ12" s="1601" t="e" cm="1">
        <f t="array" ca="1" aca="1" ref="BJ12">EOMONTH(BJ11,12-MONTH(val_currentFYE))</f>
        <v>#NAME?</v>
      </c>
      <c r="BK12" s="1601" t="e" cm="1">
        <f t="array" ca="1" aca="1" ref="BK12">EOMONTH(BK11,12-MONTH(val_currentFYE))</f>
        <v>#NAME?</v>
      </c>
      <c r="BL12" s="1601" t="e" cm="1">
        <f t="array" ca="1" aca="1" ref="BL12">EOMONTH(BL11,12-MONTH(val_currentFYE))</f>
        <v>#NAME?</v>
      </c>
      <c r="BM12" s="1601" t="e" cm="1">
        <f t="array" ca="1" aca="1" ref="BM12">EOMONTH(BM11,12-MONTH(val_currentFYE))</f>
        <v>#NAME?</v>
      </c>
      <c r="BN12" s="1602" t="e" cm="1">
        <f t="array" ca="1" aca="1" ref="BN12">EOMONTH(BN11,12-MONTH(val_currentFYE))</f>
        <v>#NAME?</v>
      </c>
      <c r="BO12" s="1602"/>
      <c r="BP12" s="1602"/>
      <c r="BQ12" s="1602"/>
      <c r="BR12" s="1602"/>
      <c r="BS12" s="1602"/>
      <c r="BT12" s="1602"/>
      <c r="BU12" s="1602"/>
      <c r="BV12" s="1602"/>
      <c r="BW12" s="1602"/>
      <c r="BX12" s="1602"/>
      <c r="BY12" s="1602"/>
      <c r="BZ12" s="1602"/>
      <c r="CA12" s="384"/>
      <c r="CC12" s="33"/>
      <c r="CD12" s="1753" t="e" cm="1">
        <f t="array" ca="1" aca="1" ref="CD12">YEAR(val_currentFYE)-2</f>
        <v>#NAME?</v>
      </c>
      <c r="CE12" s="1754" t="e" cm="1">
        <f t="array" ca="1" aca="1" ref="CE12">YEAR(val_currentFYE)-1</f>
        <v>#NAME?</v>
      </c>
      <c r="CF12" s="128"/>
      <c r="CG12" s="1761" t="e" cm="1">
        <f t="array" ca="1" aca="1" ref="CG12">YEAR(val_currentFYE)</f>
        <v>#NAME?</v>
      </c>
      <c r="CH12" s="1762" t="e" cm="1">
        <f t="array" ca="1" aca="1" ref="CH12">YEAR(val_currentFYE)</f>
        <v>#NAME?</v>
      </c>
      <c r="CI12" s="200"/>
    </row>
    <row r="13" spans="1:87" ht="20.25" customHeight="1">
      <c r="A13" s="1645"/>
      <c r="B13" s="1543"/>
      <c r="C13" s="1543"/>
      <c r="D13" s="1072"/>
      <c r="E13" s="1899"/>
      <c r="F13" s="1896"/>
      <c r="G13" s="1896"/>
      <c r="H13" s="849"/>
      <c r="I13" s="849"/>
      <c r="J13" s="1072"/>
      <c r="N13" s="372"/>
      <c r="O13" s="101"/>
      <c r="P13" s="52"/>
      <c r="Q13" s="101"/>
      <c r="R13" s="139"/>
      <c r="S13" s="819" t="s">
        <v>59</v>
      </c>
      <c r="T13" s="819" t="s">
        <v>60</v>
      </c>
      <c r="U13" s="39"/>
      <c r="W13" s="909" t="s">
        <v>61</v>
      </c>
      <c r="X13" s="908" t="s">
        <v>62</v>
      </c>
      <c r="Y13" s="861" t="s">
        <v>63</v>
      </c>
      <c r="Z13" s="128">
        <v>-1</v>
      </c>
      <c r="AA13" s="95"/>
      <c r="AB13" s="97" t="s">
        <v>64</v>
      </c>
      <c r="AC13" s="382"/>
      <c r="AD13" s="1960" cm="1">
        <f t="array" ref="AD13:BN13">_xlfn.SEQUENCE(1,37,-36,1)</f>
        <v>-36</v>
      </c>
      <c r="AE13" s="1960">
        <v>-35</v>
      </c>
      <c r="AF13" s="1960">
        <v>-34</v>
      </c>
      <c r="AG13" s="1960">
        <v>-33</v>
      </c>
      <c r="AH13" s="1960">
        <v>-32</v>
      </c>
      <c r="AI13" s="1960">
        <v>-31</v>
      </c>
      <c r="AJ13" s="1960">
        <v>-30</v>
      </c>
      <c r="AK13" s="1960">
        <v>-29</v>
      </c>
      <c r="AL13" s="1960">
        <v>-28</v>
      </c>
      <c r="AM13" s="1960">
        <v>-27</v>
      </c>
      <c r="AN13" s="1960">
        <v>-26</v>
      </c>
      <c r="AO13" s="1960">
        <v>-25</v>
      </c>
      <c r="AP13" s="1960">
        <v>-24</v>
      </c>
      <c r="AQ13" s="1960">
        <v>-23</v>
      </c>
      <c r="AR13" s="1960">
        <v>-22</v>
      </c>
      <c r="AS13" s="1960">
        <v>-21</v>
      </c>
      <c r="AT13" s="1960">
        <v>-20</v>
      </c>
      <c r="AU13" s="1960">
        <v>-19</v>
      </c>
      <c r="AV13" s="1960">
        <v>-18</v>
      </c>
      <c r="AW13" s="1960">
        <v>-17</v>
      </c>
      <c r="AX13" s="1960">
        <v>-16</v>
      </c>
      <c r="AY13" s="1960">
        <v>-15</v>
      </c>
      <c r="AZ13" s="1960">
        <v>-14</v>
      </c>
      <c r="BA13" s="1960">
        <v>-13</v>
      </c>
      <c r="BB13" s="1960">
        <v>-12</v>
      </c>
      <c r="BC13" s="1960">
        <v>-11</v>
      </c>
      <c r="BD13" s="1960">
        <v>-10</v>
      </c>
      <c r="BE13" s="1960">
        <v>-9</v>
      </c>
      <c r="BF13" s="1960">
        <v>-8</v>
      </c>
      <c r="BG13" s="1960">
        <v>-7</v>
      </c>
      <c r="BH13" s="1960">
        <v>-6</v>
      </c>
      <c r="BI13" s="1960">
        <v>-5</v>
      </c>
      <c r="BJ13" s="1960">
        <v>-4</v>
      </c>
      <c r="BK13" s="1960">
        <v>-3</v>
      </c>
      <c r="BL13" s="1960">
        <v>-2</v>
      </c>
      <c r="BM13" s="1960">
        <v>-1</v>
      </c>
      <c r="BN13" s="1961">
        <v>0</v>
      </c>
      <c r="BO13" s="1961"/>
      <c r="BP13" s="1961"/>
      <c r="BQ13" s="1961"/>
      <c r="BR13" s="1961"/>
      <c r="BS13" s="1961"/>
      <c r="BT13" s="1961"/>
      <c r="BU13" s="1961"/>
      <c r="BV13" s="1961"/>
      <c r="BW13" s="1961"/>
      <c r="BX13" s="1961"/>
      <c r="BY13" s="1961"/>
      <c r="BZ13" s="1961"/>
      <c r="CA13" s="384"/>
      <c r="CC13" s="33"/>
      <c r="CD13" s="1341"/>
      <c r="CE13" s="1342"/>
      <c r="CF13" s="88"/>
      <c r="CG13" s="1763"/>
      <c r="CH13" s="1764"/>
      <c r="CI13" s="200"/>
    </row>
    <row r="14" spans="1:87" ht="20.25" customHeight="1">
      <c r="A14" s="1860" t="b">
        <v>0</v>
      </c>
      <c r="B14" s="811" t="s">
        <v>66</v>
      </c>
      <c r="C14" s="811"/>
      <c r="D14" s="574"/>
      <c r="E14" s="401"/>
      <c r="F14" s="401"/>
      <c r="G14" s="401"/>
      <c r="H14" s="401"/>
      <c r="I14" s="401"/>
      <c r="J14" s="1072"/>
      <c r="N14" s="372"/>
      <c r="O14" s="101"/>
      <c r="P14" s="52"/>
      <c r="Q14" s="101"/>
      <c r="R14" s="140"/>
      <c r="S14" s="590" t="s">
        <v>70</v>
      </c>
      <c r="T14" s="590" t="s">
        <v>71</v>
      </c>
      <c r="U14" s="39"/>
      <c r="W14" s="909" t="s">
        <v>72</v>
      </c>
      <c r="X14" s="908">
        <v>0</v>
      </c>
      <c r="Y14" s="863" t="s">
        <v>73</v>
      </c>
      <c r="Z14" s="128">
        <v>0</v>
      </c>
      <c r="AA14" s="95"/>
      <c r="AB14" s="97" t="s">
        <v>74</v>
      </c>
      <c r="AC14" s="382"/>
      <c r="AD14" s="943" t="s">
        <v>225</v>
      </c>
      <c r="AE14" s="943" t="str">
        <f t="shared" si="0" ref="AE14:BN14">$AD$14</f>
        <v>As of</v>
      </c>
      <c r="AF14" s="943" t="str">
        <f t="shared" si="0"/>
        <v>As of</v>
      </c>
      <c r="AG14" s="943" t="str">
        <f t="shared" si="0"/>
        <v>As of</v>
      </c>
      <c r="AH14" s="943" t="str">
        <f t="shared" si="0"/>
        <v>As of</v>
      </c>
      <c r="AI14" s="943" t="str">
        <f t="shared" si="0"/>
        <v>As of</v>
      </c>
      <c r="AJ14" s="943" t="str">
        <f t="shared" si="0"/>
        <v>As of</v>
      </c>
      <c r="AK14" s="943" t="str">
        <f t="shared" si="0"/>
        <v>As of</v>
      </c>
      <c r="AL14" s="943" t="str">
        <f t="shared" si="0"/>
        <v>As of</v>
      </c>
      <c r="AM14" s="943" t="str">
        <f t="shared" si="0"/>
        <v>As of</v>
      </c>
      <c r="AN14" s="943" t="str">
        <f t="shared" si="0"/>
        <v>As of</v>
      </c>
      <c r="AO14" s="943" t="str">
        <f t="shared" si="0"/>
        <v>As of</v>
      </c>
      <c r="AP14" s="943" t="str">
        <f t="shared" si="0"/>
        <v>As of</v>
      </c>
      <c r="AQ14" s="943" t="str">
        <f t="shared" si="0"/>
        <v>As of</v>
      </c>
      <c r="AR14" s="943" t="str">
        <f t="shared" si="0"/>
        <v>As of</v>
      </c>
      <c r="AS14" s="943" t="str">
        <f t="shared" si="0"/>
        <v>As of</v>
      </c>
      <c r="AT14" s="943" t="str">
        <f t="shared" si="0"/>
        <v>As of</v>
      </c>
      <c r="AU14" s="943" t="str">
        <f t="shared" si="0"/>
        <v>As of</v>
      </c>
      <c r="AV14" s="943" t="str">
        <f t="shared" si="0"/>
        <v>As of</v>
      </c>
      <c r="AW14" s="943" t="str">
        <f t="shared" si="0"/>
        <v>As of</v>
      </c>
      <c r="AX14" s="943" t="str">
        <f t="shared" si="0"/>
        <v>As of</v>
      </c>
      <c r="AY14" s="943" t="str">
        <f t="shared" si="0"/>
        <v>As of</v>
      </c>
      <c r="AZ14" s="943" t="str">
        <f t="shared" si="0"/>
        <v>As of</v>
      </c>
      <c r="BA14" s="943" t="str">
        <f t="shared" si="0"/>
        <v>As of</v>
      </c>
      <c r="BB14" s="943" t="str">
        <f t="shared" si="0"/>
        <v>As of</v>
      </c>
      <c r="BC14" s="943" t="str">
        <f t="shared" si="0"/>
        <v>As of</v>
      </c>
      <c r="BD14" s="943" t="str">
        <f t="shared" si="0"/>
        <v>As of</v>
      </c>
      <c r="BE14" s="943" t="str">
        <f t="shared" si="0"/>
        <v>As of</v>
      </c>
      <c r="BF14" s="943" t="str">
        <f t="shared" si="0"/>
        <v>As of</v>
      </c>
      <c r="BG14" s="943" t="str">
        <f t="shared" si="0"/>
        <v>As of</v>
      </c>
      <c r="BH14" s="943" t="str">
        <f t="shared" si="0"/>
        <v>As of</v>
      </c>
      <c r="BI14" s="943" t="str">
        <f t="shared" si="0"/>
        <v>As of</v>
      </c>
      <c r="BJ14" s="943" t="str">
        <f t="shared" si="0"/>
        <v>As of</v>
      </c>
      <c r="BK14" s="943" t="str">
        <f t="shared" si="0"/>
        <v>As of</v>
      </c>
      <c r="BL14" s="943" t="str">
        <f t="shared" si="0"/>
        <v>As of</v>
      </c>
      <c r="BM14" s="943" t="str">
        <f t="shared" si="0"/>
        <v>As of</v>
      </c>
      <c r="BN14" s="46" t="str">
        <f t="shared" si="0"/>
        <v>As of</v>
      </c>
      <c r="BO14" s="46"/>
      <c r="BP14" s="46"/>
      <c r="BQ14" s="46"/>
      <c r="BR14" s="46"/>
      <c r="BS14" s="46"/>
      <c r="BT14" s="46"/>
      <c r="BU14" s="46"/>
      <c r="BV14" s="46"/>
      <c r="BW14" s="46"/>
      <c r="BX14" s="46"/>
      <c r="BY14" s="46"/>
      <c r="BZ14" s="46"/>
      <c r="CA14" s="384"/>
      <c r="CC14" s="33"/>
      <c r="CD14" s="1755" t="s">
        <v>65</v>
      </c>
      <c r="CE14" s="1756" t="s">
        <v>65</v>
      </c>
      <c r="CF14" s="88"/>
      <c r="CG14" s="1765" t="s">
        <v>225</v>
      </c>
      <c r="CH14" s="1765" t="s">
        <v>225</v>
      </c>
      <c r="CI14" s="200"/>
    </row>
    <row r="15" spans="1:87" ht="18" customHeight="1">
      <c r="A15" s="1645"/>
      <c r="B15" s="574"/>
      <c r="C15" s="574"/>
      <c r="D15" s="574"/>
      <c r="E15" s="1899"/>
      <c r="F15" s="1896"/>
      <c r="G15" s="1896"/>
      <c r="H15" s="846" t="s">
        <v>56</v>
      </c>
      <c r="I15" s="846" t="s">
        <v>57</v>
      </c>
      <c r="J15" s="1311"/>
      <c r="N15" s="372"/>
      <c r="O15" s="101"/>
      <c r="P15" s="52"/>
      <c r="Q15" s="101"/>
      <c r="R15" s="126"/>
      <c r="S15" s="820" t="e" vm="5" cm="1">
        <f t="array" ref="S15">fx_getIcon("find")</f>
        <v>#VALUE!</v>
      </c>
      <c r="T15" s="818" t="s">
        <v>79</v>
      </c>
      <c r="U15" s="39"/>
      <c r="W15" s="999"/>
      <c r="X15" s="1001"/>
      <c r="Y15" s="1001"/>
      <c r="Z15" s="1002"/>
      <c r="AA15" s="185"/>
      <c r="AB15" s="545" t="s">
        <v>80</v>
      </c>
      <c r="AC15" s="1000"/>
      <c r="AD15" s="1003" t="e" cm="1">
        <f t="array" ca="1" aca="1" ref="AD15">IF(MONTH(AD11)=MONTH(val_currentFYE),1,IF(MOD(MONTH(AD$11)-MONTH(val_currentFYE),3)=0,2,0))</f>
        <v>#NAME?</v>
      </c>
      <c r="AE15" s="1003" t="e" cm="1">
        <f t="array" ca="1" aca="1" ref="AE15">IF(MONTH(AE11)=MONTH(val_currentFYE),1,IF(MOD(MONTH(AE$11)-MONTH(val_currentFYE),3)=0,2,0))</f>
        <v>#NAME?</v>
      </c>
      <c r="AF15" s="1003" t="e" cm="1">
        <f t="array" ca="1" aca="1" ref="AF15">IF(MONTH(AF11)=MONTH(val_currentFYE),1,IF(MOD(MONTH(AF$11)-MONTH(val_currentFYE),3)=0,2,0))</f>
        <v>#NAME?</v>
      </c>
      <c r="AG15" s="1003" t="e" cm="1">
        <f t="array" ca="1" aca="1" ref="AG15">IF(MONTH(AG11)=MONTH(val_currentFYE),1,IF(MOD(MONTH(AG$11)-MONTH(val_currentFYE),3)=0,2,0))</f>
        <v>#NAME?</v>
      </c>
      <c r="AH15" s="1003" t="e" cm="1">
        <f t="array" ca="1" aca="1" ref="AH15">IF(MONTH(AH11)=MONTH(val_currentFYE),1,IF(MOD(MONTH(AH$11)-MONTH(val_currentFYE),3)=0,2,0))</f>
        <v>#NAME?</v>
      </c>
      <c r="AI15" s="1003" t="e" cm="1">
        <f t="array" ca="1" aca="1" ref="AI15">IF(MONTH(AI11)=MONTH(val_currentFYE),1,IF(MOD(MONTH(AI$11)-MONTH(val_currentFYE),3)=0,2,0))</f>
        <v>#NAME?</v>
      </c>
      <c r="AJ15" s="1003" t="e" cm="1">
        <f t="array" ca="1" aca="1" ref="AJ15">IF(MONTH(AJ11)=MONTH(val_currentFYE),1,IF(MOD(MONTH(AJ$11)-MONTH(val_currentFYE),3)=0,2,0))</f>
        <v>#NAME?</v>
      </c>
      <c r="AK15" s="1003" t="e" cm="1">
        <f t="array" ca="1" aca="1" ref="AK15">IF(MONTH(AK11)=MONTH(val_currentFYE),1,IF(MOD(MONTH(AK$11)-MONTH(val_currentFYE),3)=0,2,0))</f>
        <v>#NAME?</v>
      </c>
      <c r="AL15" s="1003" t="e" cm="1">
        <f t="array" ca="1" aca="1" ref="AL15">IF(MONTH(AL11)=MONTH(val_currentFYE),1,IF(MOD(MONTH(AL$11)-MONTH(val_currentFYE),3)=0,2,0))</f>
        <v>#NAME?</v>
      </c>
      <c r="AM15" s="1003" t="e" cm="1">
        <f t="array" ca="1" aca="1" ref="AM15">IF(MONTH(AM11)=MONTH(val_currentFYE),1,IF(MOD(MONTH(AM$11)-MONTH(val_currentFYE),3)=0,2,0))</f>
        <v>#NAME?</v>
      </c>
      <c r="AN15" s="1003" t="e" cm="1">
        <f t="array" ca="1" aca="1" ref="AN15">IF(MONTH(AN11)=MONTH(val_currentFYE),1,IF(MOD(MONTH(AN$11)-MONTH(val_currentFYE),3)=0,2,0))</f>
        <v>#NAME?</v>
      </c>
      <c r="AO15" s="1003" t="e" cm="1">
        <f t="array" ca="1" aca="1" ref="AO15">IF(MONTH(AO11)=MONTH(val_currentFYE),1,IF(MOD(MONTH(AO$11)-MONTH(val_currentFYE),3)=0,2,0))</f>
        <v>#NAME?</v>
      </c>
      <c r="AP15" s="1003" t="e" cm="1">
        <f t="array" ca="1" aca="1" ref="AP15">IF(MONTH(AP11)=MONTH(val_currentFYE),1,IF(MOD(MONTH(AP$11)-MONTH(val_currentFYE),3)=0,2,0))</f>
        <v>#NAME?</v>
      </c>
      <c r="AQ15" s="1003" t="e" cm="1">
        <f t="array" ca="1" aca="1" ref="AQ15">IF(MONTH(AQ11)=MONTH(val_currentFYE),1,IF(MOD(MONTH(AQ$11)-MONTH(val_currentFYE),3)=0,2,0))</f>
        <v>#NAME?</v>
      </c>
      <c r="AR15" s="1003" t="e" cm="1">
        <f t="array" ca="1" aca="1" ref="AR15">IF(MONTH(AR11)=MONTH(val_currentFYE),1,IF(MOD(MONTH(AR$11)-MONTH(val_currentFYE),3)=0,2,0))</f>
        <v>#NAME?</v>
      </c>
      <c r="AS15" s="1003" t="e" cm="1">
        <f t="array" ca="1" aca="1" ref="AS15">IF(MONTH(AS11)=MONTH(val_currentFYE),1,IF(MOD(MONTH(AS$11)-MONTH(val_currentFYE),3)=0,2,0))</f>
        <v>#NAME?</v>
      </c>
      <c r="AT15" s="1003" t="e" cm="1">
        <f t="array" ca="1" aca="1" ref="AT15">IF(MONTH(AT11)=MONTH(val_currentFYE),1,IF(MOD(MONTH(AT$11)-MONTH(val_currentFYE),3)=0,2,0))</f>
        <v>#NAME?</v>
      </c>
      <c r="AU15" s="1003" t="e" cm="1">
        <f t="array" ca="1" aca="1" ref="AU15">IF(MONTH(AU11)=MONTH(val_currentFYE),1,IF(MOD(MONTH(AU$11)-MONTH(val_currentFYE),3)=0,2,0))</f>
        <v>#NAME?</v>
      </c>
      <c r="AV15" s="1003" t="e" cm="1">
        <f t="array" ca="1" aca="1" ref="AV15">IF(MONTH(AV11)=MONTH(val_currentFYE),1,IF(MOD(MONTH(AV$11)-MONTH(val_currentFYE),3)=0,2,0))</f>
        <v>#NAME?</v>
      </c>
      <c r="AW15" s="1003" t="e" cm="1">
        <f t="array" ca="1" aca="1" ref="AW15">IF(MONTH(AW11)=MONTH(val_currentFYE),1,IF(MOD(MONTH(AW$11)-MONTH(val_currentFYE),3)=0,2,0))</f>
        <v>#NAME?</v>
      </c>
      <c r="AX15" s="1003" t="e" cm="1">
        <f t="array" ca="1" aca="1" ref="AX15">IF(MONTH(AX11)=MONTH(val_currentFYE),1,IF(MOD(MONTH(AX$11)-MONTH(val_currentFYE),3)=0,2,0))</f>
        <v>#NAME?</v>
      </c>
      <c r="AY15" s="1003" t="e" cm="1">
        <f t="array" ca="1" aca="1" ref="AY15">IF(MONTH(AY11)=MONTH(val_currentFYE),1,IF(MOD(MONTH(AY$11)-MONTH(val_currentFYE),3)=0,2,0))</f>
        <v>#NAME?</v>
      </c>
      <c r="AZ15" s="1003" t="e" cm="1">
        <f t="array" ca="1" aca="1" ref="AZ15">IF(MONTH(AZ11)=MONTH(val_currentFYE),1,IF(MOD(MONTH(AZ$11)-MONTH(val_currentFYE),3)=0,2,0))</f>
        <v>#NAME?</v>
      </c>
      <c r="BA15" s="1003" t="e" cm="1">
        <f t="array" ca="1" aca="1" ref="BA15">IF(MONTH(BA11)=MONTH(val_currentFYE),1,IF(MOD(MONTH(BA$11)-MONTH(val_currentFYE),3)=0,2,0))</f>
        <v>#NAME?</v>
      </c>
      <c r="BB15" s="1003" t="e" cm="1">
        <f t="array" ca="1" aca="1" ref="BB15">IF(MONTH(BB11)=MONTH(val_currentFYE),1,IF(MOD(MONTH(BB$11)-MONTH(val_currentFYE),3)=0,2,0))</f>
        <v>#NAME?</v>
      </c>
      <c r="BC15" s="1003" t="e" cm="1">
        <f t="array" ca="1" aca="1" ref="BC15">IF(MONTH(BC11)=MONTH(val_currentFYE),1,IF(MOD(MONTH(BC$11)-MONTH(val_currentFYE),3)=0,2,0))</f>
        <v>#NAME?</v>
      </c>
      <c r="BD15" s="1003" t="e" cm="1">
        <f t="array" ca="1" aca="1" ref="BD15">IF(MONTH(BD11)=MONTH(val_currentFYE),1,IF(MOD(MONTH(BD$11)-MONTH(val_currentFYE),3)=0,2,0))</f>
        <v>#NAME?</v>
      </c>
      <c r="BE15" s="1003" t="e" cm="1">
        <f t="array" ca="1" aca="1" ref="BE15">IF(MONTH(BE11)=MONTH(val_currentFYE),1,IF(MOD(MONTH(BE$11)-MONTH(val_currentFYE),3)=0,2,0))</f>
        <v>#NAME?</v>
      </c>
      <c r="BF15" s="1003" t="e" cm="1">
        <f t="array" ca="1" aca="1" ref="BF15">IF(MONTH(BF11)=MONTH(val_currentFYE),1,IF(MOD(MONTH(BF$11)-MONTH(val_currentFYE),3)=0,2,0))</f>
        <v>#NAME?</v>
      </c>
      <c r="BG15" s="1003" t="e" cm="1">
        <f t="array" ca="1" aca="1" ref="BG15">IF(MONTH(BG11)=MONTH(val_currentFYE),1,IF(MOD(MONTH(BG$11)-MONTH(val_currentFYE),3)=0,2,0))</f>
        <v>#NAME?</v>
      </c>
      <c r="BH15" s="1003" t="e" cm="1">
        <f t="array" ca="1" aca="1" ref="BH15">IF(MONTH(BH11)=MONTH(val_currentFYE),1,IF(MOD(MONTH(BH$11)-MONTH(val_currentFYE),3)=0,2,0))</f>
        <v>#NAME?</v>
      </c>
      <c r="BI15" s="1003" t="e" cm="1">
        <f t="array" ca="1" aca="1" ref="BI15">IF(MONTH(BI11)=MONTH(val_currentFYE),1,IF(MOD(MONTH(BI$11)-MONTH(val_currentFYE),3)=0,2,0))</f>
        <v>#NAME?</v>
      </c>
      <c r="BJ15" s="1003" t="e" cm="1">
        <f t="array" ca="1" aca="1" ref="BJ15">IF(MONTH(BJ11)=MONTH(val_currentFYE),1,IF(MOD(MONTH(BJ$11)-MONTH(val_currentFYE),3)=0,2,0))</f>
        <v>#NAME?</v>
      </c>
      <c r="BK15" s="1003" t="e" cm="1">
        <f t="array" ca="1" aca="1" ref="BK15">IF(MONTH(BK11)=MONTH(val_currentFYE),1,IF(MOD(MONTH(BK$11)-MONTH(val_currentFYE),3)=0,2,0))</f>
        <v>#NAME?</v>
      </c>
      <c r="BL15" s="1003" t="e" cm="1">
        <f t="array" ca="1" aca="1" ref="BL15">IF(MONTH(BL11)=MONTH(val_currentFYE),1,IF(MOD(MONTH(BL$11)-MONTH(val_currentFYE),3)=0,2,0))</f>
        <v>#NAME?</v>
      </c>
      <c r="BM15" s="1003" t="e" cm="1">
        <f t="array" ca="1" aca="1" ref="BM15">IF(MONTH(BM11)=MONTH(val_currentFYE),1,IF(MOD(MONTH(BM$11)-MONTH(val_currentFYE),3)=0,2,0))</f>
        <v>#NAME?</v>
      </c>
      <c r="BN15" s="1004" t="e" cm="1">
        <f t="array" ca="1" aca="1" ref="BN15">IF(MONTH(BN11)=MONTH(val_currentFYE),1,IF(MOD(MONTH(BN$11)-MONTH(val_currentFYE),3)=0,2,0))</f>
        <v>#NAME?</v>
      </c>
      <c r="BO15" s="388"/>
      <c r="BP15" s="388"/>
      <c r="BQ15" s="388"/>
      <c r="BR15" s="388"/>
      <c r="BS15" s="388"/>
      <c r="BT15" s="388"/>
      <c r="BU15" s="388"/>
      <c r="BV15" s="388"/>
      <c r="BW15" s="388"/>
      <c r="BX15" s="388"/>
      <c r="BY15" s="388"/>
      <c r="BZ15" s="388"/>
      <c r="CA15" s="384"/>
      <c r="CC15" s="33"/>
      <c r="CD15" s="1341"/>
      <c r="CE15" s="1342"/>
      <c r="CF15" s="88"/>
      <c r="CG15" s="1763"/>
      <c r="CH15" s="1767"/>
      <c r="CI15" s="200"/>
    </row>
    <row r="16" spans="1:94" ht="29.5">
      <c r="A16" s="1646"/>
      <c r="B16" s="574"/>
      <c r="C16" s="574"/>
      <c r="D16" s="574"/>
      <c r="E16" s="401"/>
      <c r="F16" s="401"/>
      <c r="G16" s="401"/>
      <c r="H16" s="846"/>
      <c r="I16" s="846" t="s">
        <v>68</v>
      </c>
      <c r="J16" s="401"/>
      <c r="N16" s="158"/>
      <c r="O16" s="101"/>
      <c r="P16" s="101"/>
      <c r="Q16" s="101"/>
      <c r="R16" s="101"/>
      <c r="S16" s="101"/>
      <c r="T16" s="101"/>
      <c r="U16" s="39"/>
      <c r="W16" s="198"/>
      <c r="X16" s="128"/>
      <c r="Y16" s="88"/>
      <c r="Z16" s="1144"/>
      <c r="AA16" s="543"/>
      <c r="AB16" s="97"/>
      <c r="AC16" s="382"/>
      <c r="AD16" s="128"/>
      <c r="AE16" s="88"/>
      <c r="AF16" s="88"/>
      <c r="AG16" s="88"/>
      <c r="AH16" s="88"/>
      <c r="AI16" s="88"/>
      <c r="AJ16" s="88"/>
      <c r="AK16" s="88"/>
      <c r="AL16" s="88"/>
      <c r="AM16" s="88"/>
      <c r="AN16" s="88"/>
      <c r="AO16" s="88"/>
      <c r="AP16" s="88"/>
      <c r="AQ16" s="88"/>
      <c r="AR16" s="88"/>
      <c r="AS16" s="88"/>
      <c r="AT16" s="88"/>
      <c r="AU16" s="781"/>
      <c r="AV16" s="782"/>
      <c r="AW16" s="782"/>
      <c r="AX16" s="782"/>
      <c r="AY16" s="782"/>
      <c r="AZ16" s="782"/>
      <c r="BA16" s="782"/>
      <c r="BB16" s="782"/>
      <c r="BC16" s="782"/>
      <c r="BD16" s="782"/>
      <c r="BE16" s="782"/>
      <c r="BF16" s="782"/>
      <c r="BG16" s="782"/>
      <c r="BH16" s="782"/>
      <c r="BI16" s="782"/>
      <c r="BJ16" s="782"/>
      <c r="BK16" s="783"/>
      <c r="BL16" s="783"/>
      <c r="BM16" s="783"/>
      <c r="BN16" s="1801"/>
      <c r="BO16" s="1213"/>
      <c r="BP16" s="1213"/>
      <c r="BQ16" s="1213"/>
      <c r="BR16" s="1213"/>
      <c r="BS16" s="1213"/>
      <c r="BT16" s="1213"/>
      <c r="BU16" s="1213"/>
      <c r="BV16" s="1213"/>
      <c r="BW16" s="1213"/>
      <c r="BX16" s="1213"/>
      <c r="BY16" s="1213"/>
      <c r="BZ16" s="1213"/>
      <c r="CA16" s="34"/>
      <c r="CC16" s="181"/>
      <c r="CD16" s="1742"/>
      <c r="CE16" s="1743"/>
      <c r="CF16" s="296"/>
      <c r="CG16" s="1770"/>
      <c r="CH16" s="1771"/>
      <c r="CI16" s="200"/>
      <c r="CO16" s="1895"/>
      <c r="CP16" s="1894"/>
    </row>
    <row r="17" spans="1:87" ht="20.25" customHeight="1">
      <c r="A17" s="1645"/>
      <c r="B17" s="1074"/>
      <c r="C17" s="1074"/>
      <c r="D17" s="1074"/>
      <c r="E17" s="697"/>
      <c r="F17" s="1900"/>
      <c r="G17" s="401"/>
      <c r="H17" s="846"/>
      <c r="I17" s="846" t="s">
        <v>78</v>
      </c>
      <c r="J17" s="401"/>
      <c r="N17" s="158"/>
      <c r="O17" s="101"/>
      <c r="P17" s="288"/>
      <c r="Q17" s="288"/>
      <c r="R17" s="101"/>
      <c r="S17" s="101"/>
      <c r="T17" s="101"/>
      <c r="U17" s="39"/>
      <c r="W17" s="3045" t="str">
        <f>_BS!W17</f>
        <v>Actual</v>
      </c>
      <c r="X17" s="1234"/>
      <c r="Y17" s="3067" t="s">
        <v>226</v>
      </c>
      <c r="Z17" s="1248" t="s">
        <v>82</v>
      </c>
      <c r="AA17" s="784"/>
      <c r="AB17" s="281"/>
      <c r="AC17" s="1989"/>
      <c r="AD17" s="859" cm="1">
        <f t="array" ca="1" aca="1" ref="AD17:AD18">fx_checkComp(AD20:AD50)</f>
        <v>100</v>
      </c>
      <c r="AE17" s="859" cm="1">
        <f t="array" ca="1" aca="1" ref="AE17:AE18">fx_checkComp(AE20:AE50)</f>
        <v>100</v>
      </c>
      <c r="AF17" s="859" cm="1">
        <f t="array" ca="1" aca="1" ref="AF17:AF18">fx_checkComp(AF20:AF50)</f>
        <v>100</v>
      </c>
      <c r="AG17" s="859" cm="1">
        <f t="array" ca="1" aca="1" ref="AG17:AG18">fx_checkComp(AG20:AG50)</f>
        <v>100</v>
      </c>
      <c r="AH17" s="859" cm="1">
        <f t="array" ca="1" aca="1" ref="AH17:AH18">fx_checkComp(AH20:AH50)</f>
        <v>100</v>
      </c>
      <c r="AI17" s="859" cm="1">
        <f t="array" ca="1" aca="1" ref="AI17:AI18">fx_checkComp(AI20:AI50)</f>
        <v>100</v>
      </c>
      <c r="AJ17" s="859" cm="1">
        <f t="array" ca="1" aca="1" ref="AJ17:AJ18">fx_checkComp(AJ20:AJ50)</f>
        <v>100</v>
      </c>
      <c r="AK17" s="859" cm="1">
        <f t="array" ca="1" aca="1" ref="AK17:AK18">fx_checkComp(AK20:AK50)</f>
        <v>100</v>
      </c>
      <c r="AL17" s="859" cm="1">
        <f t="array" ca="1" aca="1" ref="AL17:AL18">fx_checkComp(AL20:AL50)</f>
        <v>100</v>
      </c>
      <c r="AM17" s="859" cm="1">
        <f t="array" ca="1" aca="1" ref="AM17:AM18">fx_checkComp(AM20:AM50)</f>
        <v>100</v>
      </c>
      <c r="AN17" s="859" cm="1">
        <f t="array" ca="1" aca="1" ref="AN17:AN18">fx_checkComp(AN20:AN50)</f>
        <v>100</v>
      </c>
      <c r="AO17" s="859" cm="1">
        <f t="array" ca="1" aca="1" ref="AO17:AO18">fx_checkComp(AO20:AO50)</f>
        <v>100</v>
      </c>
      <c r="AP17" s="859" cm="1">
        <f t="array" ca="1" aca="1" ref="AP17:AP18">fx_checkComp(AP20:AP50)</f>
        <v>100</v>
      </c>
      <c r="AQ17" s="859" cm="1">
        <f t="array" ca="1" aca="1" ref="AQ17:AQ18">fx_checkComp(AQ20:AQ50)</f>
        <v>100</v>
      </c>
      <c r="AR17" s="859" cm="1">
        <f t="array" ca="1" aca="1" ref="AR17:AR18">fx_checkComp(AR20:AR50)</f>
        <v>100</v>
      </c>
      <c r="AS17" s="859" cm="1">
        <f t="array" ca="1" aca="1" ref="AS17:AS18">fx_checkComp(AS20:AS50)</f>
        <v>100</v>
      </c>
      <c r="AT17" s="859" cm="1">
        <f t="array" ca="1" aca="1" ref="AT17:AT18">fx_checkComp(AT20:AT50)</f>
        <v>100</v>
      </c>
      <c r="AU17" s="859" cm="1">
        <f t="array" ca="1" aca="1" ref="AU17:AU18">fx_checkComp(AU20:AU50)</f>
        <v>100</v>
      </c>
      <c r="AV17" s="859" cm="1">
        <f t="array" ca="1" aca="1" ref="AV17:AV18">fx_checkComp(AV20:AV50)</f>
        <v>100</v>
      </c>
      <c r="AW17" s="859" cm="1">
        <f t="array" ca="1" aca="1" ref="AW17:AW18">fx_checkComp(AW20:AW50)</f>
        <v>100</v>
      </c>
      <c r="AX17" s="859" cm="1">
        <f t="array" ca="1" aca="1" ref="AX17:AX18">fx_checkComp(AX20:AX50)</f>
        <v>100</v>
      </c>
      <c r="AY17" s="859" cm="1">
        <f t="array" ca="1" aca="1" ref="AY17:AY18">fx_checkComp(AY20:AY50)</f>
        <v>100</v>
      </c>
      <c r="AZ17" s="859" cm="1">
        <f t="array" ca="1" aca="1" ref="AZ17:AZ18">fx_checkComp(AZ20:AZ50)</f>
        <v>100</v>
      </c>
      <c r="BA17" s="859" cm="1">
        <f t="array" ca="1" aca="1" ref="BA17:BA18">fx_checkComp(BA20:BA50)</f>
        <v>100</v>
      </c>
      <c r="BB17" s="859" cm="1">
        <f t="array" ca="1" aca="1" ref="BB17:BB18">fx_checkComp(BB20:BB50)</f>
        <v>100</v>
      </c>
      <c r="BC17" s="859" cm="1">
        <f t="array" ca="1" aca="1" ref="BC17:BC18">fx_checkComp(BC20:BC50)</f>
        <v>100</v>
      </c>
      <c r="BD17" s="859" cm="1">
        <f t="array" ca="1" aca="1" ref="BD17:BD18">fx_checkComp(BD20:BD50)</f>
        <v>100</v>
      </c>
      <c r="BE17" s="859" cm="1">
        <f t="array" ca="1" aca="1" ref="BE17:BE18">fx_checkComp(BE20:BE50)</f>
        <v>100</v>
      </c>
      <c r="BF17" s="859" cm="1">
        <f t="array" ca="1" aca="1" ref="BF17:BF18">fx_checkComp(BF20:BF50)</f>
        <v>100</v>
      </c>
      <c r="BG17" s="859" cm="1">
        <f t="array" ca="1" aca="1" ref="BG17:BG18">fx_checkComp(BG20:BG50)</f>
        <v>100</v>
      </c>
      <c r="BH17" s="859" cm="1">
        <f t="array" ca="1" aca="1" ref="BH17:BH18">fx_checkComp(BH20:BH50)</f>
        <v>100</v>
      </c>
      <c r="BI17" s="859" cm="1">
        <f t="array" ca="1" aca="1" ref="BI17:BI18">fx_checkComp(BI20:BI50)</f>
        <v>100</v>
      </c>
      <c r="BJ17" s="859" cm="1">
        <f t="array" ca="1" aca="1" ref="BJ17:BJ18">fx_checkComp(BJ20:BJ50)</f>
        <v>100</v>
      </c>
      <c r="BK17" s="859" cm="1">
        <f t="array" ca="1" aca="1" ref="BK17:BK18">fx_checkComp(BK20:BK50)</f>
        <v>100</v>
      </c>
      <c r="BL17" s="859" cm="1">
        <f t="array" ca="1" aca="1" ref="BL17:BL18">fx_checkComp(BL20:BL50)</f>
        <v>100</v>
      </c>
      <c r="BM17" s="859" cm="1">
        <f t="array" ca="1" aca="1" ref="BM17:BM18">fx_checkComp(BM20:BM50)</f>
        <v>100</v>
      </c>
      <c r="BN17" s="1215" cm="1">
        <f t="array" ca="1" aca="1" ref="BN17:BN18">fx_checkComp(BN20:BN50)</f>
        <v>100</v>
      </c>
      <c r="BO17" s="1804"/>
      <c r="BP17" s="1804"/>
      <c r="BQ17" s="1804"/>
      <c r="BR17" s="1804"/>
      <c r="BS17" s="1804"/>
      <c r="BT17" s="1804"/>
      <c r="BU17" s="1804"/>
      <c r="BV17" s="1804"/>
      <c r="BW17" s="1804"/>
      <c r="BX17" s="1804"/>
      <c r="BY17" s="1804"/>
      <c r="BZ17" s="1804"/>
      <c r="CA17" s="964"/>
      <c r="CB17" s="965"/>
      <c r="CC17" s="966"/>
      <c r="CD17" s="1341"/>
      <c r="CE17" s="1342"/>
      <c r="CF17" s="967"/>
      <c r="CG17" s="1664" t="e" cm="1">
        <f t="array" ca="1" aca="1" ref="CG17">fx_checkComp(CG20:CG50)</f>
        <v>#NAME?</v>
      </c>
      <c r="CH17" s="1665" t="e" cm="1">
        <f t="array" ca="1" aca="1" ref="CH17">fx_checkComp(CH20:CH50)</f>
        <v>#NAME?</v>
      </c>
      <c r="CI17" s="200"/>
    </row>
    <row r="18" spans="1:87" ht="20.25" customHeight="1">
      <c r="A18" s="1645"/>
      <c r="B18" s="1074"/>
      <c r="C18" s="1074"/>
      <c r="D18" s="1074"/>
      <c r="E18" s="697"/>
      <c r="F18" s="1900"/>
      <c r="G18" s="401"/>
      <c r="H18" s="401"/>
      <c r="I18" s="401"/>
      <c r="J18" s="401"/>
      <c r="N18" s="158"/>
      <c r="O18" s="101"/>
      <c r="P18" s="101"/>
      <c r="Q18" s="101"/>
      <c r="R18" s="101"/>
      <c r="S18" s="101"/>
      <c r="T18" s="101"/>
      <c r="U18" s="39"/>
      <c r="W18" s="3046"/>
      <c r="X18" s="1218"/>
      <c r="Y18" s="3068"/>
      <c r="Z18" s="1502"/>
      <c r="AA18" s="1214"/>
      <c r="AB18" s="95"/>
      <c r="AC18" s="1990"/>
      <c r="AD18" s="1648" t="str">
        <f ca="1"/>
        <v>O: 1 / 1</v>
      </c>
      <c r="AE18" s="1648" t="str">
        <f ca="1"/>
        <v>O: 1 / 1</v>
      </c>
      <c r="AF18" s="1648" t="str">
        <f ca="1"/>
        <v>O: 1 / 1</v>
      </c>
      <c r="AG18" s="1648" t="str">
        <f ca="1"/>
        <v>O: 1 / 1</v>
      </c>
      <c r="AH18" s="1648" t="str">
        <f ca="1"/>
        <v>O: 1 / 1</v>
      </c>
      <c r="AI18" s="1648" t="str">
        <f ca="1"/>
        <v>O: 1 / 1</v>
      </c>
      <c r="AJ18" s="1648" t="str">
        <f ca="1"/>
        <v>O: 1 / 1</v>
      </c>
      <c r="AK18" s="1648" t="str">
        <f ca="1"/>
        <v>O: 1 / 1</v>
      </c>
      <c r="AL18" s="1648" t="str">
        <f ca="1"/>
        <v>O: 1 / 1</v>
      </c>
      <c r="AM18" s="1648" t="str">
        <f ca="1"/>
        <v>O: 1 / 1</v>
      </c>
      <c r="AN18" s="1648" t="str">
        <f ca="1"/>
        <v>O: 1 / 1</v>
      </c>
      <c r="AO18" s="1648" t="str">
        <f ca="1"/>
        <v>O: 1 / 1</v>
      </c>
      <c r="AP18" s="1648" t="str">
        <f ca="1"/>
        <v>O: 1 / 1</v>
      </c>
      <c r="AQ18" s="1648" t="str">
        <f ca="1"/>
        <v>O: 1 / 1</v>
      </c>
      <c r="AR18" s="1648" t="str">
        <f ca="1"/>
        <v>O: 1 / 1</v>
      </c>
      <c r="AS18" s="1648" t="str">
        <f ca="1"/>
        <v>O: 1 / 1</v>
      </c>
      <c r="AT18" s="1648" t="str">
        <f ca="1"/>
        <v>O: 1 / 1</v>
      </c>
      <c r="AU18" s="1648" t="str">
        <f ca="1"/>
        <v>O: 1 / 1</v>
      </c>
      <c r="AV18" s="1648" t="str">
        <f ca="1"/>
        <v>O: 1 / 1</v>
      </c>
      <c r="AW18" s="1648" t="str">
        <f ca="1"/>
        <v>O: 1 / 1</v>
      </c>
      <c r="AX18" s="1648" t="str">
        <f ca="1"/>
        <v>O: 1 / 1</v>
      </c>
      <c r="AY18" s="1648" t="str">
        <f ca="1"/>
        <v>O: 1 / 1</v>
      </c>
      <c r="AZ18" s="1648" t="str">
        <f ca="1"/>
        <v>O: 1 / 1</v>
      </c>
      <c r="BA18" s="1648" t="str">
        <f ca="1"/>
        <v>O: 1 / 1</v>
      </c>
      <c r="BB18" s="1648" t="str">
        <f ca="1"/>
        <v>O: 1 / 1</v>
      </c>
      <c r="BC18" s="1648" t="str">
        <f ca="1"/>
        <v>O: 1 / 1</v>
      </c>
      <c r="BD18" s="1648" t="str">
        <f ca="1"/>
        <v>O: 1 / 1</v>
      </c>
      <c r="BE18" s="1648" t="str">
        <f ca="1"/>
        <v>O: 1 / 1</v>
      </c>
      <c r="BF18" s="1648" t="str">
        <f ca="1"/>
        <v>O: 1 / 1</v>
      </c>
      <c r="BG18" s="1648" t="str">
        <f ca="1"/>
        <v>O: 1 / 1</v>
      </c>
      <c r="BH18" s="1648" t="str">
        <f ca="1"/>
        <v>O: 1 / 1</v>
      </c>
      <c r="BI18" s="1648" t="str">
        <f ca="1"/>
        <v>O: 1 / 1</v>
      </c>
      <c r="BJ18" s="1648" t="str">
        <f ca="1"/>
        <v>O: 1 / 1</v>
      </c>
      <c r="BK18" s="1648" t="str">
        <f ca="1"/>
        <v>O: 1 / 1</v>
      </c>
      <c r="BL18" s="1648" t="str">
        <f ca="1"/>
        <v>O: 1 / 1</v>
      </c>
      <c r="BM18" s="1648" t="str">
        <f ca="1"/>
        <v>O: 1 / 1</v>
      </c>
      <c r="BN18" s="1649" t="str">
        <f ca="1"/>
        <v>O: 1 / 1</v>
      </c>
      <c r="BO18" s="1649"/>
      <c r="BP18" s="1649"/>
      <c r="BQ18" s="1649"/>
      <c r="BR18" s="1649"/>
      <c r="BS18" s="1649"/>
      <c r="BT18" s="1649"/>
      <c r="BU18" s="1649"/>
      <c r="BV18" s="1649"/>
      <c r="BW18" s="1649"/>
      <c r="BX18" s="1649"/>
      <c r="BY18" s="1649"/>
      <c r="BZ18" s="1649"/>
      <c r="CA18" s="964"/>
      <c r="CB18" s="965"/>
      <c r="CC18" s="966"/>
      <c r="CD18" s="1341"/>
      <c r="CE18" s="1342"/>
      <c r="CF18" s="967"/>
      <c r="CG18" s="1768"/>
      <c r="CH18" s="1769"/>
      <c r="CI18" s="200"/>
    </row>
    <row r="19" spans="1:131" ht="30" customHeight="1">
      <c r="A19" s="1625"/>
      <c r="B19" s="695" t="s">
        <v>85</v>
      </c>
      <c r="C19" s="695" t="s">
        <v>86</v>
      </c>
      <c r="D19" s="1548" t="s">
        <v>87</v>
      </c>
      <c r="E19" s="1901" t="s">
        <v>88</v>
      </c>
      <c r="F19" s="1875" t="s">
        <v>89</v>
      </c>
      <c r="G19" s="1875" t="s">
        <v>90</v>
      </c>
      <c r="H19" s="1904" t="s">
        <v>37</v>
      </c>
      <c r="I19" s="1904" t="s">
        <v>38</v>
      </c>
      <c r="J19" s="578"/>
      <c r="N19" s="158"/>
      <c r="O19" s="101"/>
      <c r="P19" s="52"/>
      <c r="Q19" s="101"/>
      <c r="R19" s="101"/>
      <c r="S19" s="101"/>
      <c r="T19" s="101"/>
      <c r="U19" s="39"/>
      <c r="W19" s="1225" t="s">
        <v>94</v>
      </c>
      <c r="X19" s="3318">
        <f>_BS!X19</f>
        <v>1</v>
      </c>
      <c r="Y19" s="1233" t="str">
        <f>val_company&amp;" Internal Accounts"</f>
        <v>Therme Horizon Internal Accounts</v>
      </c>
      <c r="Z19" s="1227"/>
      <c r="AA19" s="1227"/>
      <c r="AB19" s="1226" t="s">
        <v>227</v>
      </c>
      <c r="AC19" s="1227"/>
      <c r="AD19" s="1670" t="str">
        <f>_BS!AD19</f>
        <v>Actual</v>
      </c>
      <c r="AE19" s="1230" t="str">
        <f>_BS!AE19</f>
        <v>Actual</v>
      </c>
      <c r="AF19" s="1230" t="str">
        <f>_BS!AF19</f>
        <v>Actual</v>
      </c>
      <c r="AG19" s="1230" t="str">
        <f>_BS!AG19</f>
        <v>Actual</v>
      </c>
      <c r="AH19" s="1230" t="str">
        <f>_BS!AH19</f>
        <v>Actual</v>
      </c>
      <c r="AI19" s="1230" t="str">
        <f>_BS!AI19</f>
        <v>Actual</v>
      </c>
      <c r="AJ19" s="1230" t="str">
        <f>_BS!AJ19</f>
        <v>Actual</v>
      </c>
      <c r="AK19" s="1230" t="str">
        <f>_BS!AK19</f>
        <v>Actual</v>
      </c>
      <c r="AL19" s="1230" t="str">
        <f>_BS!AL19</f>
        <v>Actual</v>
      </c>
      <c r="AM19" s="1230" t="str">
        <f>_BS!AM19</f>
        <v>Actual</v>
      </c>
      <c r="AN19" s="1230" t="str">
        <f>_BS!AN19</f>
        <v>Actual</v>
      </c>
      <c r="AO19" s="1230" t="str">
        <f>_BS!AO19</f>
        <v>Actual</v>
      </c>
      <c r="AP19" s="1230" t="str">
        <f>_BS!AP19</f>
        <v>Actual</v>
      </c>
      <c r="AQ19" s="1230" t="str">
        <f>_BS!AQ19</f>
        <v>Actual</v>
      </c>
      <c r="AR19" s="1230" t="str">
        <f>_BS!AR19</f>
        <v>Actual</v>
      </c>
      <c r="AS19" s="1230" t="str">
        <f>_BS!AS19</f>
        <v>Actual</v>
      </c>
      <c r="AT19" s="1230" t="str">
        <f>_BS!AT19</f>
        <v>Actual</v>
      </c>
      <c r="AU19" s="1230" t="str">
        <f>_BS!AU19</f>
        <v>Actual</v>
      </c>
      <c r="AV19" s="1230" t="str">
        <f>_BS!AV19</f>
        <v>Actual</v>
      </c>
      <c r="AW19" s="1230" t="str">
        <f>_BS!AW19</f>
        <v>Actual</v>
      </c>
      <c r="AX19" s="1230" t="str">
        <f>_BS!AX19</f>
        <v>Actual</v>
      </c>
      <c r="AY19" s="1230" t="str">
        <f>_BS!AY19</f>
        <v>Actual</v>
      </c>
      <c r="AZ19" s="1230" t="str">
        <f>_BS!AZ19</f>
        <v>Actual</v>
      </c>
      <c r="BA19" s="1230" t="str">
        <f>_BS!BA19</f>
        <v>Actual</v>
      </c>
      <c r="BB19" s="1230" t="str">
        <f>_BS!BB19</f>
        <v>Actual</v>
      </c>
      <c r="BC19" s="1230" t="str">
        <f>_BS!BC19</f>
        <v>Actual</v>
      </c>
      <c r="BD19" s="1230" t="str">
        <f>_BS!BD19</f>
        <v>Actual</v>
      </c>
      <c r="BE19" s="1230" t="str">
        <f>_BS!BE19</f>
        <v>Actual</v>
      </c>
      <c r="BF19" s="1230" t="str">
        <f>_BS!BF19</f>
        <v>Actual</v>
      </c>
      <c r="BG19" s="1230" t="str">
        <f>_BS!BG19</f>
        <v>Actual</v>
      </c>
      <c r="BH19" s="1230" t="str">
        <f>_BS!BH19</f>
        <v>Actual</v>
      </c>
      <c r="BI19" s="1230" t="str">
        <f>_BS!BI19</f>
        <v>Actual</v>
      </c>
      <c r="BJ19" s="1230" t="str">
        <f>_BS!BJ19</f>
        <v>Actual</v>
      </c>
      <c r="BK19" s="1230" t="str">
        <f>_BS!BK19</f>
        <v>Actual</v>
      </c>
      <c r="BL19" s="1230" t="str">
        <f>_BS!BL19</f>
        <v>Actual</v>
      </c>
      <c r="BM19" s="1230" t="str">
        <f>_BS!BM19</f>
        <v>Actual</v>
      </c>
      <c r="BN19" s="1231" t="str">
        <f>_BS!BN19</f>
        <v>Actual</v>
      </c>
      <c r="BO19" s="2112"/>
      <c r="BP19" s="2112"/>
      <c r="BQ19" s="2112"/>
      <c r="BR19" s="2112"/>
      <c r="BS19" s="2112"/>
      <c r="BT19" s="2112"/>
      <c r="BU19" s="2112"/>
      <c r="BV19" s="2112"/>
      <c r="BW19" s="2112"/>
      <c r="BX19" s="2112"/>
      <c r="BY19" s="2112"/>
      <c r="BZ19" s="2112"/>
      <c r="CA19" s="34"/>
      <c r="CC19" s="33"/>
      <c r="CD19" s="1720" t="str">
        <f>_BS!CD19</f>
        <v>Actual</v>
      </c>
      <c r="CE19" s="1720" t="str">
        <f>_BS!CE19</f>
        <v>Actual</v>
      </c>
      <c r="CF19" s="88"/>
      <c r="CG19" s="1198" t="str">
        <f>_BS!CG19</f>
        <v>Original Budget</v>
      </c>
      <c r="CH19" s="1198" t="str">
        <f>_BS!CH19</f>
        <v>LE</v>
      </c>
      <c r="CI19" s="200"/>
      <c r="CK19" s="2089" t="str" cm="1">
        <f t="array" ca="1" aca="1" ref="CK19">RIGHT(CELL("filename",A1),LEN(CELL("filename",A1))-FIND("]",CELL("filename",A1)))&amp;" "&amp;"Label PUSH"&amp;TEXT(val_asOfDate," MMm-YY")</f>
        <v>BS Label PUSH Dec-25</v>
      </c>
      <c r="CL19" s="2089" t="str" cm="1">
        <f t="array" ca="1" aca="1" ref="CL19">RIGHT(CELL("filename",A1),LEN(CELL("filename",A1))-FIND("]",CELL("filename",A1)))&amp;" "&amp;"Label PUSH"&amp;TEXT(EOMONTH(val_asOfDate,1)," MMMM-YY")</f>
        <v>BS Label PUSH January-26</v>
      </c>
      <c r="CM19" s="2089" t="str" cm="1">
        <f t="array" ca="1" aca="1" ref="CM19">RIGHT(CELL("filename",B1),LEN(CELL("filename",B1))-FIND("]",CELL("filename",B1)))&amp;" "&amp;"Label PUSH"&amp;TEXT(EOMONTH(val_asOfDate,2)," MMMM-YY")</f>
        <v>BS Label PUSH February-26</v>
      </c>
      <c r="CN19" s="2089" t="str" cm="1">
        <f t="array" ca="1" aca="1" ref="CN19">RIGHT(CELL("filename",B1),LEN(CELL("filename",B1))-FIND("]",CELL("filename",B1)))&amp;" "&amp;"Label PUSH"&amp;TEXT(EOMONTH(val_asOfDate,3)," MMMM-YY")</f>
        <v>BS Label PUSH March-26</v>
      </c>
      <c r="CO19" s="1881" t="str" cm="1">
        <f t="array" ca="1" aca="1" ref="CO19">RIGHT(CELL("filename",A1),LEN(CELL("filename",A1))-FIND("]",CELL("filename",A1)))&amp;" "&amp;$CG$10&amp;" PUSH"</f>
        <v>BS  Current FY PUSH</v>
      </c>
      <c r="CP19" s="1881" t="str" cm="1">
        <f t="array" ca="1" aca="1" ref="CP19">RIGHT(CELL("filename",A1),LEN(CELL("filename",A1))-FIND("]",CELL("filename",A1)))&amp;" "&amp;$CG$10&amp;" PUSH"</f>
        <v>BS  Current FY PUSH</v>
      </c>
      <c r="CQ19" s="1878" t="str" cm="1">
        <f t="array" ca="1" aca="1" ref="CQ19">RIGHT(CELL("filename",$A$1),LEN(CELL("filename",$A$1))-FIND("]",CELL("filename",$A$1)))&amp;" PUSH"</f>
        <v>BS PUSH</v>
      </c>
      <c r="CR19" s="1878" t="str" cm="1">
        <f t="array" ca="1" aca="1" ref="CR19">RIGHT(CELL("filename",$A$1),LEN(CELL("filename",$A$1))-FIND("]",CELL("filename",$A$1)))&amp;" PUSH"</f>
        <v>BS PUSH</v>
      </c>
      <c r="CS19" s="1878" t="str" cm="1">
        <f t="array" ca="1" aca="1" ref="CS19">RIGHT(CELL("filename",$A$1),LEN(CELL("filename",$A$1))-FIND("]",CELL("filename",$A$1)))&amp;" PUSH"</f>
        <v>BS PUSH</v>
      </c>
      <c r="CT19" s="1878" t="str" cm="1">
        <f t="array" ca="1" aca="1" ref="CT19">RIGHT(CELL("filename",$A$1),LEN(CELL("filename",$A$1))-FIND("]",CELL("filename",$A$1)))&amp;" PUSH"</f>
        <v>BS PUSH</v>
      </c>
      <c r="CU19" s="1878" t="str" cm="1">
        <f t="array" ca="1" aca="1" ref="CU19">RIGHT(CELL("filename",$A$1),LEN(CELL("filename",$A$1))-FIND("]",CELL("filename",$A$1)))&amp;" PUSH"</f>
        <v>BS PUSH</v>
      </c>
      <c r="CV19" s="1878" t="str" cm="1">
        <f t="array" ca="1" aca="1" ref="CV19">RIGHT(CELL("filename",$A$1),LEN(CELL("filename",$A$1))-FIND("]",CELL("filename",$A$1)))&amp;" PUSH"</f>
        <v>BS PUSH</v>
      </c>
      <c r="CW19" s="1878" t="str" cm="1">
        <f t="array" ca="1" aca="1" ref="CW19">RIGHT(CELL("filename",$A$1),LEN(CELL("filename",$A$1))-FIND("]",CELL("filename",$A$1)))&amp;" PUSH"</f>
        <v>BS PUSH</v>
      </c>
      <c r="CX19" s="1878" t="str" cm="1">
        <f t="array" ca="1" aca="1" ref="CX19">RIGHT(CELL("filename",$A$1),LEN(CELL("filename",$A$1))-FIND("]",CELL("filename",$A$1)))&amp;" PUSH"</f>
        <v>BS PUSH</v>
      </c>
      <c r="CY19" s="1878" t="str" cm="1">
        <f t="array" ca="1" aca="1" ref="CY19">RIGHT(CELL("filename",$A$1),LEN(CELL("filename",$A$1))-FIND("]",CELL("filename",$A$1)))&amp;" PUSH"</f>
        <v>BS PUSH</v>
      </c>
      <c r="CZ19" s="1878" t="str" cm="1">
        <f t="array" ca="1" aca="1" ref="CZ19">RIGHT(CELL("filename",$A$1),LEN(CELL("filename",$A$1))-FIND("]",CELL("filename",$A$1)))&amp;" PUSH"</f>
        <v>BS PUSH</v>
      </c>
      <c r="DA19" s="1878" t="str" cm="1">
        <f t="array" ca="1" aca="1" ref="DA19">RIGHT(CELL("filename",$A$1),LEN(CELL("filename",$A$1))-FIND("]",CELL("filename",$A$1)))&amp;" PUSH"</f>
        <v>BS PUSH</v>
      </c>
      <c r="DB19" s="1878" t="str" cm="1">
        <f t="array" ca="1" aca="1" ref="DB19">RIGHT(CELL("filename",$A$1),LEN(CELL("filename",$A$1))-FIND("]",CELL("filename",$A$1)))&amp;" PUSH"</f>
        <v>BS PUSH</v>
      </c>
      <c r="DC19" s="1878" t="str" cm="1">
        <f t="array" ca="1" aca="1" ref="DC19">RIGHT(CELL("filename",$A$1),LEN(CELL("filename",$A$1))-FIND("]",CELL("filename",$A$1)))&amp;" PUSH"</f>
        <v>BS PUSH</v>
      </c>
      <c r="DD19" s="1878" t="str" cm="1">
        <f t="array" ca="1" aca="1" ref="DD19">RIGHT(CELL("filename",$A$1),LEN(CELL("filename",$A$1))-FIND("]",CELL("filename",$A$1)))&amp;" PUSH"</f>
        <v>BS PUSH</v>
      </c>
      <c r="DE19" s="1878" t="str" cm="1">
        <f t="array" ca="1" aca="1" ref="DE19">RIGHT(CELL("filename",$A$1),LEN(CELL("filename",$A$1))-FIND("]",CELL("filename",$A$1)))&amp;" PUSH"</f>
        <v>BS PUSH</v>
      </c>
      <c r="DF19" s="1878" t="str" cm="1">
        <f t="array" ca="1" aca="1" ref="DF19">RIGHT(CELL("filename",$A$1),LEN(CELL("filename",$A$1))-FIND("]",CELL("filename",$A$1)))&amp;" PUSH"</f>
        <v>BS PUSH</v>
      </c>
      <c r="DG19" s="1878" t="str" cm="1">
        <f t="array" ca="1" aca="1" ref="DG19">RIGHT(CELL("filename",$A$1),LEN(CELL("filename",$A$1))-FIND("]",CELL("filename",$A$1)))&amp;" PUSH"</f>
        <v>BS PUSH</v>
      </c>
      <c r="DH19" s="1878" t="str" cm="1">
        <f t="array" ca="1" aca="1" ref="DH19">RIGHT(CELL("filename",$A$1),LEN(CELL("filename",$A$1))-FIND("]",CELL("filename",$A$1)))&amp;" PUSH"</f>
        <v>BS PUSH</v>
      </c>
      <c r="DI19" s="1878" t="str" cm="1">
        <f t="array" ca="1" aca="1" ref="DI19">RIGHT(CELL("filename",$A$1),LEN(CELL("filename",$A$1))-FIND("]",CELL("filename",$A$1)))&amp;" PUSH"</f>
        <v>BS PUSH</v>
      </c>
      <c r="DJ19" s="1878" t="str" cm="1">
        <f t="array" ca="1" aca="1" ref="DJ19">RIGHT(CELL("filename",$A$1),LEN(CELL("filename",$A$1))-FIND("]",CELL("filename",$A$1)))&amp;" PUSH"</f>
        <v>BS PUSH</v>
      </c>
      <c r="DK19" s="1878" t="str" cm="1">
        <f t="array" ca="1" aca="1" ref="DK19">RIGHT(CELL("filename",$A$1),LEN(CELL("filename",$A$1))-FIND("]",CELL("filename",$A$1)))&amp;" PUSH"</f>
        <v>BS PUSH</v>
      </c>
      <c r="DL19" s="1878" t="str" cm="1">
        <f t="array" ca="1" aca="1" ref="DL19">RIGHT(CELL("filename",$A$1),LEN(CELL("filename",$A$1))-FIND("]",CELL("filename",$A$1)))&amp;" PUSH"</f>
        <v>BS PUSH</v>
      </c>
      <c r="DM19" s="1878" t="str" cm="1">
        <f t="array" ca="1" aca="1" ref="DM19">RIGHT(CELL("filename",$A$1),LEN(CELL("filename",$A$1))-FIND("]",CELL("filename",$A$1)))&amp;" PUSH"</f>
        <v>BS PUSH</v>
      </c>
      <c r="DN19" s="1878" t="str" cm="1">
        <f t="array" ca="1" aca="1" ref="DN19">RIGHT(CELL("filename",$A$1),LEN(CELL("filename",$A$1))-FIND("]",CELL("filename",$A$1)))&amp;" PUSH"</f>
        <v>BS PUSH</v>
      </c>
      <c r="DO19" s="1878" t="str" cm="1">
        <f t="array" ca="1" aca="1" ref="DO19">RIGHT(CELL("filename",$A$1),LEN(CELL("filename",$A$1))-FIND("]",CELL("filename",$A$1)))&amp;" PUSH"</f>
        <v>BS PUSH</v>
      </c>
      <c r="DP19" s="1878" t="str" cm="1">
        <f t="array" ca="1" aca="1" ref="DP19">RIGHT(CELL("filename",$A$1),LEN(CELL("filename",$A$1))-FIND("]",CELL("filename",$A$1)))&amp;" PUSH"</f>
        <v>BS PUSH</v>
      </c>
      <c r="DQ19" s="1878" t="str" cm="1">
        <f t="array" ca="1" aca="1" ref="DQ19">RIGHT(CELL("filename",$A$1),LEN(CELL("filename",$A$1))-FIND("]",CELL("filename",$A$1)))&amp;" PUSH"</f>
        <v>BS PUSH</v>
      </c>
      <c r="DR19" s="1878" t="str" cm="1">
        <f t="array" ca="1" aca="1" ref="DR19">RIGHT(CELL("filename",$A$1),LEN(CELL("filename",$A$1))-FIND("]",CELL("filename",$A$1)))&amp;" PUSH"</f>
        <v>BS PUSH</v>
      </c>
      <c r="DS19" s="1878" t="str" cm="1">
        <f t="array" ca="1" aca="1" ref="DS19">RIGHT(CELL("filename",$A$1),LEN(CELL("filename",$A$1))-FIND("]",CELL("filename",$A$1)))&amp;" PUSH"</f>
        <v>BS PUSH</v>
      </c>
      <c r="DT19" s="1878" t="str" cm="1">
        <f t="array" ca="1" aca="1" ref="DT19">RIGHT(CELL("filename",$A$1),LEN(CELL("filename",$A$1))-FIND("]",CELL("filename",$A$1)))&amp;" PUSH"</f>
        <v>BS PUSH</v>
      </c>
      <c r="DU19" s="1878" t="str" cm="1">
        <f t="array" ca="1" aca="1" ref="DU19">RIGHT(CELL("filename",$A$1),LEN(CELL("filename",$A$1))-FIND("]",CELL("filename",$A$1)))&amp;" PUSH"</f>
        <v>BS PUSH</v>
      </c>
      <c r="DV19" s="1878" t="str" cm="1">
        <f t="array" ca="1" aca="1" ref="DV19">RIGHT(CELL("filename",$A$1),LEN(CELL("filename",$A$1))-FIND("]",CELL("filename",$A$1)))&amp;" PUSH"</f>
        <v>BS PUSH</v>
      </c>
      <c r="DW19" s="1878" t="str" cm="1">
        <f t="array" ca="1" aca="1" ref="DW19">RIGHT(CELL("filename",$A$1),LEN(CELL("filename",$A$1))-FIND("]",CELL("filename",$A$1)))&amp;" PUSH"</f>
        <v>BS PUSH</v>
      </c>
      <c r="DX19" s="1878" t="str" cm="1">
        <f t="array" ca="1" aca="1" ref="DX19">RIGHT(CELL("filename",$A$1),LEN(CELL("filename",$A$1))-FIND("]",CELL("filename",$A$1)))&amp;" PUSH"</f>
        <v>BS PUSH</v>
      </c>
      <c r="DY19" s="1878" t="str" cm="1">
        <f t="array" ca="1" aca="1" ref="DY19">RIGHT(CELL("filename",$A$1),LEN(CELL("filename",$A$1))-FIND("]",CELL("filename",$A$1)))&amp;" PUSH"</f>
        <v>BS PUSH</v>
      </c>
      <c r="DZ19" s="1878" t="str" cm="1">
        <f t="array" ca="1" aca="1" ref="DZ19">RIGHT(CELL("filename",$A$1),LEN(CELL("filename",$A$1))-FIND("]",CELL("filename",$A$1)))&amp;" PUSH"</f>
        <v>BS PUSH</v>
      </c>
      <c r="EA19" s="1878" t="str" cm="1">
        <f t="array" ca="1" aca="1" ref="EA19">RIGHT(CELL("filename",$A$1),LEN(CELL("filename",$A$1))-FIND("]",CELL("filename",$A$1)))&amp;" PUSH"</f>
        <v>BS PUSH</v>
      </c>
    </row>
    <row r="20" spans="1:131" ht="15.5">
      <c r="A20" s="1625" t="s">
        <v>228</v>
      </c>
      <c r="B20" s="695" t="str" cm="1">
        <f t="array" ref="B20">IFBLANK(_BS!F20,"")</f>
        <v>Fixed Assets</v>
      </c>
      <c r="C20" s="3340" t="str" cm="1">
        <f t="array" ref="C20">IFBLANK(_BS!C20,"")</f>
        <v>Fixed Asset (Company View)</v>
      </c>
      <c r="D20" s="1548"/>
      <c r="E20" s="1902" t="e" cm="1">
        <f t="array" ca="1" aca="1" ref="E2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CH20,Z20)</f>
        <v>#NAME?</v>
      </c>
      <c r="F20" s="1897"/>
      <c r="G20" s="1897"/>
      <c r="H20" s="3279">
        <v>1</v>
      </c>
      <c r="I20" s="3279">
        <v>1</v>
      </c>
      <c r="J20" s="578"/>
      <c r="N20" s="158"/>
      <c r="O20" s="101"/>
      <c r="P20" s="52"/>
      <c r="Q20" s="101"/>
      <c r="R20" s="126"/>
      <c r="S20" s="101"/>
      <c r="T20" s="101"/>
      <c r="U20" s="39"/>
      <c r="W20" s="91" t="str" cm="1">
        <f t="array" ref="W20">fx_scenarioConverter($W$17)</f>
        <v>Actual</v>
      </c>
      <c r="X20" s="3303">
        <f>_BS!X20</f>
        <v>1</v>
      </c>
      <c r="Y20" s="3183">
        <v>2</v>
      </c>
      <c r="Z20" s="3286" cm="1">
        <f t="array" ref="Z20">_xlfn.SWITCH(TRUE,_BS!$L20=TRUE,1,_BS!$L20=FALSE,-1,_BS!$L20=-1,0,"n/a")</f>
        <v>1</v>
      </c>
      <c r="AA20" s="200"/>
      <c r="AB20" s="3341" t="str">
        <f>_BS!AB20</f>
        <v>Fixed Assets</v>
      </c>
      <c r="AC20" s="88" t="e" vm="5" cm="1">
        <f t="array" ca="1" aca="1" ref="AC20">_xlfn.LET(_xlpm._termname,$AB20,_xlpm._iconname,"find",_xlpm._icon,fx_getIcon(_xlpm._iconname),_xlpm._location,_xlfn.XLOOKUP(LOWER(_xlpm._termname),LOWER(tbl_acctDef[Term]),tbl_acctDef[Term]),_xlpm._hyperlink,HYPERLINK("#"&amp;CELL("address",_xlpm._location),_xlpm._icon),IFERROR(_xlpm._hyperlink,""))</f>
        <v>#VALUE!</v>
      </c>
      <c r="AD20" s="3229">
        <v>1</v>
      </c>
      <c r="AE20" s="3229">
        <v>1</v>
      </c>
      <c r="AF20" s="3229">
        <v>1</v>
      </c>
      <c r="AG20" s="3229">
        <v>1</v>
      </c>
      <c r="AH20" s="3229">
        <v>1</v>
      </c>
      <c r="AI20" s="3229">
        <v>1</v>
      </c>
      <c r="AJ20" s="3229">
        <v>1</v>
      </c>
      <c r="AK20" s="3229">
        <v>1</v>
      </c>
      <c r="AL20" s="3229">
        <v>1</v>
      </c>
      <c r="AM20" s="3229">
        <v>1</v>
      </c>
      <c r="AN20" s="3229">
        <v>1</v>
      </c>
      <c r="AO20" s="3229">
        <v>1</v>
      </c>
      <c r="AP20" s="3229">
        <v>1</v>
      </c>
      <c r="AQ20" s="3229">
        <v>1</v>
      </c>
      <c r="AR20" s="3229">
        <v>1</v>
      </c>
      <c r="AS20" s="3229">
        <v>1</v>
      </c>
      <c r="AT20" s="3229">
        <v>1</v>
      </c>
      <c r="AU20" s="3229">
        <v>1</v>
      </c>
      <c r="AV20" s="3229">
        <v>1</v>
      </c>
      <c r="AW20" s="3229">
        <v>1</v>
      </c>
      <c r="AX20" s="3229">
        <v>1</v>
      </c>
      <c r="AY20" s="3229">
        <v>1</v>
      </c>
      <c r="AZ20" s="3229">
        <v>1</v>
      </c>
      <c r="BA20" s="3229">
        <v>1</v>
      </c>
      <c r="BB20" s="3229">
        <v>1</v>
      </c>
      <c r="BC20" s="3229">
        <v>1</v>
      </c>
      <c r="BD20" s="3229">
        <v>1</v>
      </c>
      <c r="BE20" s="3229">
        <v>1</v>
      </c>
      <c r="BF20" s="3229">
        <v>1</v>
      </c>
      <c r="BG20" s="3229">
        <v>1</v>
      </c>
      <c r="BH20" s="3229">
        <v>1</v>
      </c>
      <c r="BI20" s="3229">
        <v>1</v>
      </c>
      <c r="BJ20" s="3229">
        <v>1</v>
      </c>
      <c r="BK20" s="3229">
        <v>1</v>
      </c>
      <c r="BL20" s="3229">
        <v>1</v>
      </c>
      <c r="BM20" s="3229">
        <v>1</v>
      </c>
      <c r="BN20" s="3229">
        <v>1</v>
      </c>
      <c r="BO20" s="2095"/>
      <c r="BP20" s="2095"/>
      <c r="BQ20" s="2095"/>
      <c r="BR20" s="2095"/>
      <c r="BS20" s="2095"/>
      <c r="BT20" s="2095"/>
      <c r="BU20" s="2095"/>
      <c r="BV20" s="2095"/>
      <c r="BW20" s="2095"/>
      <c r="BX20" s="2095"/>
      <c r="BY20" s="2095"/>
      <c r="BZ20" s="2095"/>
      <c r="CA20" s="926"/>
      <c r="CB20" s="921"/>
      <c r="CC20" s="927"/>
      <c r="CD20" s="2068" t="e" cm="1">
        <f t="array" ca="1" aca="1" ref="CD20">_xlfn.XLOOKUP(BS!CD$11,array_timeline,BS!$AD20:$BN20)</f>
        <v>#NAME?</v>
      </c>
      <c r="CE20" s="2068" t="e" cm="1">
        <f t="array" ca="1" aca="1" ref="CE20">_xlfn.XLOOKUP(BS!CE$11,array_timeline,BS!$AD20:$BN20)</f>
        <v>#NAME?</v>
      </c>
      <c r="CF20" s="925"/>
      <c r="CG20" s="3342" t="e" cm="1">
        <f t="array" ca="1" aca="1" ref="CG20">TODECIMAL(IFBLANK(_BS!CG20,""),fxVal_normal)</f>
        <v>#NAME?</v>
      </c>
      <c r="CH20" s="3342" t="e" cm="1">
        <f t="array" ca="1" aca="1" ref="CH20">TODECIMAL(IFBLANK(_BS!CH20,""),fxVal_normal)</f>
        <v>#NAME?</v>
      </c>
      <c r="CI20" s="200"/>
      <c r="CK20" s="2085" t="str" cm="1">
        <f t="array" ca="1" aca="1" ref="CK20">IFERROR(IF(Y20&lt;&gt;AB20,_xldudf_CX_PUSH(Y20,CX_ENTITY,C20,EOMONTH(val_asOfDate,0)),""),"")</f>
        <v/>
      </c>
      <c r="CL20" s="2085" t="str" cm="1">
        <f t="array" ca="1" aca="1" ref="CL20">IFERROR(IF(Y20&lt;&gt;AB20,_xldudf_CX_PUSH(Y20,CX_ENTITY,C20,EOMONTH(val_asOfDate,1)),""),"")</f>
        <v/>
      </c>
      <c r="CM20" s="2085" t="str" cm="1">
        <f t="array" ca="1" aca="1" ref="CM20">IFERROR(IF(Y20&lt;&gt;AB20,_xldudf_CX_PUSH(Y20,CX_ENTITY,C20,EOMONTH(val_asOfDate,2)),""),"")</f>
        <v/>
      </c>
      <c r="CN20" s="2085" t="str" cm="1">
        <f t="array" ca="1" aca="1" ref="CN20">IFERROR(IF(Y20&lt;&gt;AB20,_xldudf_CX_PUSH(Y20,CX_ENTITY,C20,EOMONTH(val_asOfDate,3)),""),"")</f>
        <v/>
      </c>
      <c r="CO20" s="2086" t="str" cm="1">
        <f t="array" ca="1" aca="1" ref="CO20">IFERROR(IF(CG20*fxVal_normal=_BS!CG20,"",IF(OR($CG20="",$CG20=0,NOT(ISNUMBER($CG20)),ISERROR($CG20),$B20=""),"",IF($I20=1,IFBLANK(_xldudf_CX_PUSH($CG20*10^6,CX_ENTITY,$B20,$CG$11,$CG$14,$CG$19,),""),IF($I20=2,IFBLANK(_xldudf_CX_PUSH($CG20,CX_ENTITY,$B20,$CG$11,$CG$14,$CG$19,),""),IF($I20=3,"",IFBLANK(_xldudf_CX_PUSH($CG20,CX_ENTITY,$B20,$CG$11,$CG$14,$CG$19,),"")))))),"")</f>
        <v/>
      </c>
      <c r="CP20" s="2086" t="str" cm="1">
        <f t="array" ca="1" aca="1" ref="CP20">IFERROR(IF(CH20*fxVal_normal=_BS!CH20,"",IF(OR($CH20="",$CH20=0,NOT(ISNUMBER($CH20)),ISERROR($CH20),$B20=""),"",IF($I20=1,IFBLANK(_xldudf_CX_PUSH($CH20*10^6,CX_ENTITY,$B20,$CH$11,$CH$14,$CH$19,),""),IF($I20=2,IFBLANK(_xldudf_CX_PUSH($CH20,CX_ENTITY,$B20,$CH$11,$CH$14,$CH$19,),""),IF($I20=3,"",IFBLANK(_xldudf_CX_PUSH($CH20,CX_ENTITY,$B20,$CH$11,$CH$14,$CH$19,),"")))))),"")</f>
        <v/>
      </c>
      <c r="CQ20" s="1883" t="str" cm="1">
        <f t="array" ca="1" aca="1" ref="CQ20">IFERROR(IF(AD20*fxVal_normal=_BS!AD20,"",IF(OR(AD20="",NOT(ISNUMBER(AD20)),ISERROR(AD20),$B20=""),"",IF($I20=1,IFBLANK(_xldudf_CX_PUSH(AD20*fxVal_normal,CX_ENTITY,$B20,AD$11,AD$14,AD$19,),""),IF($I20=2,IFBLANK(_xldudf_CX_PUSH(AD20,CX_ENTITY,$B20,AD$11,AD$14,AD$19,),""),IF($I20=3,"",IFBLANK(_xldudf_CX_PUSH(AD20,CX_ENTITY,$B20,AD$11,AD$14,AD$19,),"")))))),"")</f>
        <v/>
      </c>
      <c r="CR20" s="1883" t="str" cm="1">
        <f t="array" ca="1" aca="1" ref="CR20">IFERROR(IF(AE20*fxVal_normal=_BS!AE20,"",IF(OR(AE20="",NOT(ISNUMBER(AE20)),ISERROR(AE20),$B20=""),"",IF($I20=1,IFBLANK(_xldudf_CX_PUSH(AE20*fxVal_normal,CX_ENTITY,$B20,AE$11,AE$14,AE$19,),""),IF($I20=2,IFBLANK(_xldudf_CX_PUSH(AE20,CX_ENTITY,$B20,AE$11,AE$14,AE$19,),""),IF($I20=3,"",IFBLANK(_xldudf_CX_PUSH(AE20,CX_ENTITY,$B20,AE$11,AE$14,AE$19,),"")))))),"")</f>
        <v/>
      </c>
      <c r="CS20" s="1883" t="str" cm="1">
        <f t="array" ca="1" aca="1" ref="CS20">IFERROR(IF(AF20*fxVal_normal=_BS!AF20,"",IF(OR(AF20="",NOT(ISNUMBER(AF20)),ISERROR(AF20),$B20=""),"",IF($I20=1,IFBLANK(_xldudf_CX_PUSH(AF20*fxVal_normal,CX_ENTITY,$B20,AF$11,AF$14,AF$19,),""),IF($I20=2,IFBLANK(_xldudf_CX_PUSH(AF20,CX_ENTITY,$B20,AF$11,AF$14,AF$19,),""),IF($I20=3,"",IFBLANK(_xldudf_CX_PUSH(AF20,CX_ENTITY,$B20,AF$11,AF$14,AF$19,),"")))))),"")</f>
        <v/>
      </c>
      <c r="CT20" s="1883" t="str" cm="1">
        <f t="array" ca="1" aca="1" ref="CT20">IFERROR(IF(AG20*fxVal_normal=_BS!AG20,"",IF(OR(AG20="",NOT(ISNUMBER(AG20)),ISERROR(AG20),$B20=""),"",IF($I20=1,IFBLANK(_xldudf_CX_PUSH(AG20*fxVal_normal,CX_ENTITY,$B20,AG$11,AG$14,AG$19,),""),IF($I20=2,IFBLANK(_xldudf_CX_PUSH(AG20,CX_ENTITY,$B20,AG$11,AG$14,AG$19,),""),IF($I20=3,"",IFBLANK(_xldudf_CX_PUSH(AG20,CX_ENTITY,$B20,AG$11,AG$14,AG$19,),"")))))),"")</f>
        <v/>
      </c>
      <c r="CU20" s="1883" t="str" cm="1">
        <f t="array" ca="1" aca="1" ref="CU20">IFERROR(IF(AH20*fxVal_normal=_BS!AH20,"",IF(OR(AH20="",NOT(ISNUMBER(AH20)),ISERROR(AH20),$B20=""),"",IF($I20=1,IFBLANK(_xldudf_CX_PUSH(AH20*fxVal_normal,CX_ENTITY,$B20,AH$11,AH$14,AH$19,),""),IF($I20=2,IFBLANK(_xldudf_CX_PUSH(AH20,CX_ENTITY,$B20,AH$11,AH$14,AH$19,),""),IF($I20=3,"",IFBLANK(_xldudf_CX_PUSH(AH20,CX_ENTITY,$B20,AH$11,AH$14,AH$19,),"")))))),"")</f>
        <v/>
      </c>
      <c r="CV20" s="1883" t="str" cm="1">
        <f t="array" ca="1" aca="1" ref="CV20">IFERROR(IF(AI20*fxVal_normal=_BS!AI20,"",IF(OR(AI20="",NOT(ISNUMBER(AI20)),ISERROR(AI20),$B20=""),"",IF($I20=1,IFBLANK(_xldudf_CX_PUSH(AI20*fxVal_normal,CX_ENTITY,$B20,AI$11,AI$14,AI$19,),""),IF($I20=2,IFBLANK(_xldudf_CX_PUSH(AI20,CX_ENTITY,$B20,AI$11,AI$14,AI$19,),""),IF($I20=3,"",IFBLANK(_xldudf_CX_PUSH(AI20,CX_ENTITY,$B20,AI$11,AI$14,AI$19,),"")))))),"")</f>
        <v/>
      </c>
      <c r="CW20" s="1883" t="str" cm="1">
        <f t="array" ca="1" aca="1" ref="CW20">IFERROR(IF(AJ20*fxVal_normal=_BS!AJ20,"",IF(OR(AJ20="",NOT(ISNUMBER(AJ20)),ISERROR(AJ20),$B20=""),"",IF($I20=1,IFBLANK(_xldudf_CX_PUSH(AJ20*fxVal_normal,CX_ENTITY,$B20,AJ$11,AJ$14,AJ$19,),""),IF($I20=2,IFBLANK(_xldudf_CX_PUSH(AJ20,CX_ENTITY,$B20,AJ$11,AJ$14,AJ$19,),""),IF($I20=3,"",IFBLANK(_xldudf_CX_PUSH(AJ20,CX_ENTITY,$B20,AJ$11,AJ$14,AJ$19,),"")))))),"")</f>
        <v/>
      </c>
      <c r="CX20" s="1883" t="str" cm="1">
        <f t="array" ca="1" aca="1" ref="CX20">IFERROR(IF(AK20*fxVal_normal=_BS!AK20,"",IF(OR(AK20="",NOT(ISNUMBER(AK20)),ISERROR(AK20),$B20=""),"",IF($I20=1,IFBLANK(_xldudf_CX_PUSH(AK20*fxVal_normal,CX_ENTITY,$B20,AK$11,AK$14,AK$19,),""),IF($I20=2,IFBLANK(_xldudf_CX_PUSH(AK20,CX_ENTITY,$B20,AK$11,AK$14,AK$19,),""),IF($I20=3,"",IFBLANK(_xldudf_CX_PUSH(AK20,CX_ENTITY,$B20,AK$11,AK$14,AK$19,),"")))))),"")</f>
        <v/>
      </c>
      <c r="CY20" s="1883" t="str" cm="1">
        <f t="array" ca="1" aca="1" ref="CY20">IFERROR(IF(AL20*fxVal_normal=_BS!AL20,"",IF(OR(AL20="",NOT(ISNUMBER(AL20)),ISERROR(AL20),$B20=""),"",IF($I20=1,IFBLANK(_xldudf_CX_PUSH(AL20*fxVal_normal,CX_ENTITY,$B20,AL$11,AL$14,AL$19,),""),IF($I20=2,IFBLANK(_xldudf_CX_PUSH(AL20,CX_ENTITY,$B20,AL$11,AL$14,AL$19,),""),IF($I20=3,"",IFBLANK(_xldudf_CX_PUSH(AL20,CX_ENTITY,$B20,AL$11,AL$14,AL$19,),"")))))),"")</f>
        <v/>
      </c>
      <c r="CZ20" s="1883" t="str" cm="1">
        <f t="array" ca="1" aca="1" ref="CZ20">IFERROR(IF(AM20*fxVal_normal=_BS!AM20,"",IF(OR(AM20="",NOT(ISNUMBER(AM20)),ISERROR(AM20),$B20=""),"",IF($I20=1,IFBLANK(_xldudf_CX_PUSH(AM20*fxVal_normal,CX_ENTITY,$B20,AM$11,AM$14,AM$19,),""),IF($I20=2,IFBLANK(_xldudf_CX_PUSH(AM20,CX_ENTITY,$B20,AM$11,AM$14,AM$19,),""),IF($I20=3,"",IFBLANK(_xldudf_CX_PUSH(AM20,CX_ENTITY,$B20,AM$11,AM$14,AM$19,),"")))))),"")</f>
        <v/>
      </c>
      <c r="DA20" s="1883" t="str" cm="1">
        <f t="array" ca="1" aca="1" ref="DA20">IFERROR(IF(AN20*fxVal_normal=_BS!AN20,"",IF(OR(AN20="",NOT(ISNUMBER(AN20)),ISERROR(AN20),$B20=""),"",IF($I20=1,IFBLANK(_xldudf_CX_PUSH(AN20*fxVal_normal,CX_ENTITY,$B20,AN$11,AN$14,AN$19,),""),IF($I20=2,IFBLANK(_xldudf_CX_PUSH(AN20,CX_ENTITY,$B20,AN$11,AN$14,AN$19,),""),IF($I20=3,"",IFBLANK(_xldudf_CX_PUSH(AN20,CX_ENTITY,$B20,AN$11,AN$14,AN$19,),"")))))),"")</f>
        <v/>
      </c>
      <c r="DB20" s="1883" t="str" cm="1">
        <f t="array" ca="1" aca="1" ref="DB20">IFERROR(IF(AO20*fxVal_normal=_BS!AO20,"",IF(OR(AO20="",NOT(ISNUMBER(AO20)),ISERROR(AO20),$B20=""),"",IF($I20=1,IFBLANK(_xldudf_CX_PUSH(AO20*fxVal_normal,CX_ENTITY,$B20,AO$11,AO$14,AO$19,),""),IF($I20=2,IFBLANK(_xldudf_CX_PUSH(AO20,CX_ENTITY,$B20,AO$11,AO$14,AO$19,),""),IF($I20=3,"",IFBLANK(_xldudf_CX_PUSH(AO20,CX_ENTITY,$B20,AO$11,AO$14,AO$19,),"")))))),"")</f>
        <v/>
      </c>
      <c r="DC20" s="1883" t="str" cm="1">
        <f t="array" ca="1" aca="1" ref="DC20">IFERROR(IF(AP20*fxVal_normal=_BS!AP20,"",IF(OR(AP20="",NOT(ISNUMBER(AP20)),ISERROR(AP20),$B20=""),"",IF($I20=1,IFBLANK(_xldudf_CX_PUSH(AP20*fxVal_normal,CX_ENTITY,$B20,AP$11,AP$14,AP$19,),""),IF($I20=2,IFBLANK(_xldudf_CX_PUSH(AP20,CX_ENTITY,$B20,AP$11,AP$14,AP$19,),""),IF($I20=3,"",IFBLANK(_xldudf_CX_PUSH(AP20,CX_ENTITY,$B20,AP$11,AP$14,AP$19,),"")))))),"")</f>
        <v/>
      </c>
      <c r="DD20" s="1883" t="str" cm="1">
        <f t="array" ca="1" aca="1" ref="DD20">IFERROR(IF(AQ20*fxVal_normal=_BS!AQ20,"",IF(OR(AQ20="",NOT(ISNUMBER(AQ20)),ISERROR(AQ20),$B20=""),"",IF($I20=1,IFBLANK(_xldudf_CX_PUSH(AQ20*fxVal_normal,CX_ENTITY,$B20,AQ$11,AQ$14,AQ$19,),""),IF($I20=2,IFBLANK(_xldudf_CX_PUSH(AQ20,CX_ENTITY,$B20,AQ$11,AQ$14,AQ$19,),""),IF($I20=3,"",IFBLANK(_xldudf_CX_PUSH(AQ20,CX_ENTITY,$B20,AQ$11,AQ$14,AQ$19,),"")))))),"")</f>
        <v/>
      </c>
      <c r="DE20" s="1883" t="str" cm="1">
        <f t="array" ca="1" aca="1" ref="DE20">IFERROR(IF(AR20*fxVal_normal=_BS!AR20,"",IF(OR(AR20="",NOT(ISNUMBER(AR20)),ISERROR(AR20),$B20=""),"",IF($I20=1,IFBLANK(_xldudf_CX_PUSH(AR20*fxVal_normal,CX_ENTITY,$B20,AR$11,AR$14,AR$19,),""),IF($I20=2,IFBLANK(_xldudf_CX_PUSH(AR20,CX_ENTITY,$B20,AR$11,AR$14,AR$19,),""),IF($I20=3,"",IFBLANK(_xldudf_CX_PUSH(AR20,CX_ENTITY,$B20,AR$11,AR$14,AR$19,),"")))))),"")</f>
        <v/>
      </c>
      <c r="DF20" s="1883" t="str" cm="1">
        <f t="array" ca="1" aca="1" ref="DF20">IFERROR(IF(AS20*fxVal_normal=_BS!AS20,"",IF(OR(AS20="",NOT(ISNUMBER(AS20)),ISERROR(AS20),$B20=""),"",IF($I20=1,IFBLANK(_xldudf_CX_PUSH(AS20*fxVal_normal,CX_ENTITY,$B20,AS$11,AS$14,AS$19,),""),IF($I20=2,IFBLANK(_xldudf_CX_PUSH(AS20,CX_ENTITY,$B20,AS$11,AS$14,AS$19,),""),IF($I20=3,"",IFBLANK(_xldudf_CX_PUSH(AS20,CX_ENTITY,$B20,AS$11,AS$14,AS$19,),"")))))),"")</f>
        <v/>
      </c>
      <c r="DG20" s="1883" t="str" cm="1">
        <f t="array" ca="1" aca="1" ref="DG20">IFERROR(IF(AT20*fxVal_normal=_BS!AT20,"",IF(OR(AT20="",NOT(ISNUMBER(AT20)),ISERROR(AT20),$B20=""),"",IF($I20=1,IFBLANK(_xldudf_CX_PUSH(AT20*fxVal_normal,CX_ENTITY,$B20,AT$11,AT$14,AT$19,),""),IF($I20=2,IFBLANK(_xldudf_CX_PUSH(AT20,CX_ENTITY,$B20,AT$11,AT$14,AT$19,),""),IF($I20=3,"",IFBLANK(_xldudf_CX_PUSH(AT20,CX_ENTITY,$B20,AT$11,AT$14,AT$19,),"")))))),"")</f>
        <v/>
      </c>
      <c r="DH20" s="1883" t="str" cm="1">
        <f t="array" ca="1" aca="1" ref="DH20">IFERROR(IF(AU20*fxVal_normal=_BS!AU20,"",IF(OR(AU20="",NOT(ISNUMBER(AU20)),ISERROR(AU20),$B20=""),"",IF($I20=1,IFBLANK(_xldudf_CX_PUSH(AU20*fxVal_normal,CX_ENTITY,$B20,AU$11,AU$14,AU$19,),""),IF($I20=2,IFBLANK(_xldudf_CX_PUSH(AU20,CX_ENTITY,$B20,AU$11,AU$14,AU$19,),""),IF($I20=3,"",IFBLANK(_xldudf_CX_PUSH(AU20,CX_ENTITY,$B20,AU$11,AU$14,AU$19,),"")))))),"")</f>
        <v/>
      </c>
      <c r="DI20" s="1883" t="str" cm="1">
        <f t="array" ca="1" aca="1" ref="DI20">IFERROR(IF(AV20*fxVal_normal=_BS!AV20,"",IF(OR(AV20="",NOT(ISNUMBER(AV20)),ISERROR(AV20),$B20=""),"",IF($I20=1,IFBLANK(_xldudf_CX_PUSH(AV20*fxVal_normal,CX_ENTITY,$B20,AV$11,AV$14,AV$19,),""),IF($I20=2,IFBLANK(_xldudf_CX_PUSH(AV20,CX_ENTITY,$B20,AV$11,AV$14,AV$19,),""),IF($I20=3,"",IFBLANK(_xldudf_CX_PUSH(AV20,CX_ENTITY,$B20,AV$11,AV$14,AV$19,),"")))))),"")</f>
        <v/>
      </c>
      <c r="DJ20" s="1883" t="str" cm="1">
        <f t="array" ca="1" aca="1" ref="DJ20">IFERROR(IF(AW20*fxVal_normal=_BS!AW20,"",IF(OR(AW20="",NOT(ISNUMBER(AW20)),ISERROR(AW20),$B20=""),"",IF($I20=1,IFBLANK(_xldudf_CX_PUSH(AW20*fxVal_normal,CX_ENTITY,$B20,AW$11,AW$14,AW$19,),""),IF($I20=2,IFBLANK(_xldudf_CX_PUSH(AW20,CX_ENTITY,$B20,AW$11,AW$14,AW$19,),""),IF($I20=3,"",IFBLANK(_xldudf_CX_PUSH(AW20,CX_ENTITY,$B20,AW$11,AW$14,AW$19,),"")))))),"")</f>
        <v/>
      </c>
      <c r="DK20" s="1883" t="str" cm="1">
        <f t="array" ca="1" aca="1" ref="DK20">IFERROR(IF(AX20*fxVal_normal=_BS!AX20,"",IF(OR(AX20="",NOT(ISNUMBER(AX20)),ISERROR(AX20),$B20=""),"",IF($I20=1,IFBLANK(_xldudf_CX_PUSH(AX20*fxVal_normal,CX_ENTITY,$B20,AX$11,AX$14,AX$19,),""),IF($I20=2,IFBLANK(_xldudf_CX_PUSH(AX20,CX_ENTITY,$B20,AX$11,AX$14,AX$19,),""),IF($I20=3,"",IFBLANK(_xldudf_CX_PUSH(AX20,CX_ENTITY,$B20,AX$11,AX$14,AX$19,),"")))))),"")</f>
        <v/>
      </c>
      <c r="DL20" s="1883" t="str" cm="1">
        <f t="array" ca="1" aca="1" ref="DL20">IFERROR(IF(AY20*fxVal_normal=_BS!AY20,"",IF(OR(AY20="",NOT(ISNUMBER(AY20)),ISERROR(AY20),$B20=""),"",IF($I20=1,IFBLANK(_xldudf_CX_PUSH(AY20*fxVal_normal,CX_ENTITY,$B20,AY$11,AY$14,AY$19,),""),IF($I20=2,IFBLANK(_xldudf_CX_PUSH(AY20,CX_ENTITY,$B20,AY$11,AY$14,AY$19,),""),IF($I20=3,"",IFBLANK(_xldudf_CX_PUSH(AY20,CX_ENTITY,$B20,AY$11,AY$14,AY$19,),"")))))),"")</f>
        <v/>
      </c>
      <c r="DM20" s="1883" t="str" cm="1">
        <f t="array" ca="1" aca="1" ref="DM20">IFERROR(IF(AZ20*fxVal_normal=_BS!AZ20,"",IF(OR(AZ20="",NOT(ISNUMBER(AZ20)),ISERROR(AZ20),$B20=""),"",IF($I20=1,IFBLANK(_xldudf_CX_PUSH(AZ20*fxVal_normal,CX_ENTITY,$B20,AZ$11,AZ$14,AZ$19,),""),IF($I20=2,IFBLANK(_xldudf_CX_PUSH(AZ20,CX_ENTITY,$B20,AZ$11,AZ$14,AZ$19,),""),IF($I20=3,"",IFBLANK(_xldudf_CX_PUSH(AZ20,CX_ENTITY,$B20,AZ$11,AZ$14,AZ$19,),"")))))),"")</f>
        <v/>
      </c>
      <c r="DN20" s="1883" t="str" cm="1">
        <f t="array" ca="1" aca="1" ref="DN20">IFERROR(IF(BA20*fxVal_normal=_BS!BA20,"",IF(OR(BA20="",NOT(ISNUMBER(BA20)),ISERROR(BA20),$B20=""),"",IF($I20=1,IFBLANK(_xldudf_CX_PUSH(BA20*fxVal_normal,CX_ENTITY,$B20,BA$11,BA$14,BA$19,),""),IF($I20=2,IFBLANK(_xldudf_CX_PUSH(BA20,CX_ENTITY,$B20,BA$11,BA$14,BA$19,),""),IF($I20=3,"",IFBLANK(_xldudf_CX_PUSH(BA20,CX_ENTITY,$B20,BA$11,BA$14,BA$19,),"")))))),"")</f>
        <v/>
      </c>
      <c r="DO20" s="1883" t="str" cm="1">
        <f t="array" ca="1" aca="1" ref="DO20">IFERROR(IF(BB20*fxVal_normal=_BS!BB20,"",IF(OR(BB20="",NOT(ISNUMBER(BB20)),ISERROR(BB20),$B20=""),"",IF($I20=1,IFBLANK(_xldudf_CX_PUSH(BB20*fxVal_normal,CX_ENTITY,$B20,BB$11,BB$14,BB$19,),""),IF($I20=2,IFBLANK(_xldudf_CX_PUSH(BB20,CX_ENTITY,$B20,BB$11,BB$14,BB$19,),""),IF($I20=3,"",IFBLANK(_xldudf_CX_PUSH(BB20,CX_ENTITY,$B20,BB$11,BB$14,BB$19,),"")))))),"")</f>
        <v/>
      </c>
      <c r="DP20" s="1883" t="str" cm="1">
        <f t="array" ca="1" aca="1" ref="DP20">IFERROR(IF(BC20*fxVal_normal=_BS!BC20,"",IF(OR(BC20="",NOT(ISNUMBER(BC20)),ISERROR(BC20),$B20=""),"",IF($I20=1,IFBLANK(_xldudf_CX_PUSH(BC20*fxVal_normal,CX_ENTITY,$B20,BC$11,BC$14,BC$19,),""),IF($I20=2,IFBLANK(_xldudf_CX_PUSH(BC20,CX_ENTITY,$B20,BC$11,BC$14,BC$19,),""),IF($I20=3,"",IFBLANK(_xldudf_CX_PUSH(BC20,CX_ENTITY,$B20,BC$11,BC$14,BC$19,),"")))))),"")</f>
        <v/>
      </c>
      <c r="DQ20" s="1883" t="str" cm="1">
        <f t="array" ca="1" aca="1" ref="DQ20">IFERROR(IF(BD20*fxVal_normal=_BS!BD20,"",IF(OR(BD20="",NOT(ISNUMBER(BD20)),ISERROR(BD20),$B20=""),"",IF($I20=1,IFBLANK(_xldudf_CX_PUSH(BD20*fxVal_normal,CX_ENTITY,$B20,BD$11,BD$14,BD$19,),""),IF($I20=2,IFBLANK(_xldudf_CX_PUSH(BD20,CX_ENTITY,$B20,BD$11,BD$14,BD$19,),""),IF($I20=3,"",IFBLANK(_xldudf_CX_PUSH(BD20,CX_ENTITY,$B20,BD$11,BD$14,BD$19,),"")))))),"")</f>
        <v/>
      </c>
      <c r="DR20" s="1883" t="str" cm="1">
        <f t="array" ca="1" aca="1" ref="DR20">IFERROR(IF(BE20*fxVal_normal=_BS!BE20,"",IF(OR(BE20="",NOT(ISNUMBER(BE20)),ISERROR(BE20),$B20=""),"",IF($I20=1,IFBLANK(_xldudf_CX_PUSH(BE20*fxVal_normal,CX_ENTITY,$B20,BE$11,BE$14,BE$19,),""),IF($I20=2,IFBLANK(_xldudf_CX_PUSH(BE20,CX_ENTITY,$B20,BE$11,BE$14,BE$19,),""),IF($I20=3,"",IFBLANK(_xldudf_CX_PUSH(BE20,CX_ENTITY,$B20,BE$11,BE$14,BE$19,),"")))))),"")</f>
        <v/>
      </c>
      <c r="DS20" s="1883" t="str" cm="1">
        <f t="array" ca="1" aca="1" ref="DS20">IFERROR(IF(BF20*fxVal_normal=_BS!BF20,"",IF(OR(BF20="",NOT(ISNUMBER(BF20)),ISERROR(BF20),$B20=""),"",IF($I20=1,IFBLANK(_xldudf_CX_PUSH(BF20*fxVal_normal,CX_ENTITY,$B20,BF$11,BF$14,BF$19,),""),IF($I20=2,IFBLANK(_xldudf_CX_PUSH(BF20,CX_ENTITY,$B20,BF$11,BF$14,BF$19,),""),IF($I20=3,"",IFBLANK(_xldudf_CX_PUSH(BF20,CX_ENTITY,$B20,BF$11,BF$14,BF$19,),"")))))),"")</f>
        <v/>
      </c>
      <c r="DT20" s="1883" t="str" cm="1">
        <f t="array" ca="1" aca="1" ref="DT20">IFERROR(IF(BG20*fxVal_normal=_BS!BG20,"",IF(OR(BG20="",NOT(ISNUMBER(BG20)),ISERROR(BG20),$B20=""),"",IF($I20=1,IFBLANK(_xldudf_CX_PUSH(BG20*fxVal_normal,CX_ENTITY,$B20,BG$11,BG$14,BG$19,),""),IF($I20=2,IFBLANK(_xldudf_CX_PUSH(BG20,CX_ENTITY,$B20,BG$11,BG$14,BG$19,),""),IF($I20=3,"",IFBLANK(_xldudf_CX_PUSH(BG20,CX_ENTITY,$B20,BG$11,BG$14,BG$19,),"")))))),"")</f>
        <v/>
      </c>
      <c r="DU20" s="1883" t="str" cm="1">
        <f t="array" ca="1" aca="1" ref="DU20">IFERROR(IF(BH20*fxVal_normal=_BS!BH20,"",IF(OR(BH20="",NOT(ISNUMBER(BH20)),ISERROR(BH20),$B20=""),"",IF($I20=1,IFBLANK(_xldudf_CX_PUSH(BH20*fxVal_normal,CX_ENTITY,$B20,BH$11,BH$14,BH$19,),""),IF($I20=2,IFBLANK(_xldudf_CX_PUSH(BH20,CX_ENTITY,$B20,BH$11,BH$14,BH$19,),""),IF($I20=3,"",IFBLANK(_xldudf_CX_PUSH(BH20,CX_ENTITY,$B20,BH$11,BH$14,BH$19,),"")))))),"")</f>
        <v/>
      </c>
      <c r="DV20" s="1883" t="str" cm="1">
        <f t="array" ca="1" aca="1" ref="DV20">IFERROR(IF(BI20*fxVal_normal=_BS!BI20,"",IF(OR(BI20="",NOT(ISNUMBER(BI20)),ISERROR(BI20),$B20=""),"",IF($I20=1,IFBLANK(_xldudf_CX_PUSH(BI20*fxVal_normal,CX_ENTITY,$B20,BI$11,BI$14,BI$19,),""),IF($I20=2,IFBLANK(_xldudf_CX_PUSH(BI20,CX_ENTITY,$B20,BI$11,BI$14,BI$19,),""),IF($I20=3,"",IFBLANK(_xldudf_CX_PUSH(BI20,CX_ENTITY,$B20,BI$11,BI$14,BI$19,),"")))))),"")</f>
        <v/>
      </c>
      <c r="DW20" s="1883" t="str" cm="1">
        <f t="array" ca="1" aca="1" ref="DW20">IFERROR(IF(BJ20*fxVal_normal=_BS!BJ20,"",IF(OR(BJ20="",NOT(ISNUMBER(BJ20)),ISERROR(BJ20),$B20=""),"",IF($I20=1,IFBLANK(_xldudf_CX_PUSH(BJ20*fxVal_normal,CX_ENTITY,$B20,BJ$11,BJ$14,BJ$19,),""),IF($I20=2,IFBLANK(_xldudf_CX_PUSH(BJ20,CX_ENTITY,$B20,BJ$11,BJ$14,BJ$19,),""),IF($I20=3,"",IFBLANK(_xldudf_CX_PUSH(BJ20,CX_ENTITY,$B20,BJ$11,BJ$14,BJ$19,),"")))))),"")</f>
        <v/>
      </c>
      <c r="DX20" s="1883" t="str" cm="1">
        <f t="array" ca="1" aca="1" ref="DX20">IFERROR(IF(BK20*fxVal_normal=_BS!BK20,"",IF(OR(BK20="",NOT(ISNUMBER(BK20)),ISERROR(BK20),$B20=""),"",IF($I20=1,IFBLANK(_xldudf_CX_PUSH(BK20*fxVal_normal,CX_ENTITY,$B20,BK$11,BK$14,BK$19,),""),IF($I20=2,IFBLANK(_xldudf_CX_PUSH(BK20,CX_ENTITY,$B20,BK$11,BK$14,BK$19,),""),IF($I20=3,"",IFBLANK(_xldudf_CX_PUSH(BK20,CX_ENTITY,$B20,BK$11,BK$14,BK$19,),"")))))),"")</f>
        <v/>
      </c>
      <c r="DY20" s="1883" t="str" cm="1">
        <f t="array" ca="1" aca="1" ref="DY20">IFERROR(IF(BL20*fxVal_normal=_BS!BL20,"",IF(OR(BL20="",NOT(ISNUMBER(BL20)),ISERROR(BL20),$B20=""),"",IF($I20=1,IFBLANK(_xldudf_CX_PUSH(BL20*fxVal_normal,CX_ENTITY,$B20,BL$11,BL$14,BL$19,),""),IF($I20=2,IFBLANK(_xldudf_CX_PUSH(BL20,CX_ENTITY,$B20,BL$11,BL$14,BL$19,),""),IF($I20=3,"",IFBLANK(_xldudf_CX_PUSH(BL20,CX_ENTITY,$B20,BL$11,BL$14,BL$19,),"")))))),"")</f>
        <v/>
      </c>
      <c r="DZ20" s="1883" t="str" cm="1">
        <f t="array" ca="1" aca="1" ref="DZ20">IFERROR(IF(BM20*fxVal_normal=_BS!BM20,"",IF(OR(BM20="",NOT(ISNUMBER(BM20)),ISERROR(BM20),$B20=""),"",IF($I20=1,IFBLANK(_xldudf_CX_PUSH(BM20*fxVal_normal,CX_ENTITY,$B20,BM$11,BM$14,BM$19,),""),IF($I20=2,IFBLANK(_xldudf_CX_PUSH(BM20,CX_ENTITY,$B20,BM$11,BM$14,BM$19,),""),IF($I20=3,"",IFBLANK(_xldudf_CX_PUSH(BM20,CX_ENTITY,$B20,BM$11,BM$14,BM$19,),"")))))),"")</f>
        <v/>
      </c>
      <c r="EA20" s="1883" t="str" cm="1">
        <f t="array" ca="1" aca="1" ref="EA20">IFERROR(IF(BN20*fxVal_normal=_BS!BN20,"",IF(OR(BN20="",NOT(ISNUMBER(BN20)),ISERROR(BN20),$B20=""),"",IF($I20=1,IFBLANK(_xldudf_CX_PUSH(BN20*fxVal_normal,CX_ENTITY,$B20,BN$11,BN$14,BN$19,),""),IF($I20=2,IFBLANK(_xldudf_CX_PUSH(BN20,CX_ENTITY,$B20,BN$11,BN$14,BN$19,),""),IF($I20=3,"",IFBLANK(_xldudf_CX_PUSH(BN20,CX_ENTITY,$B20,BN$11,BN$14,BN$19,),"")))))),"")</f>
        <v/>
      </c>
    </row>
    <row r="21" spans="1:131" ht="21" customHeight="1">
      <c r="A21" s="1625"/>
      <c r="B21" s="695" t="str" cm="1">
        <f t="array" ref="B21">IFBLANK(_BS!F21,"")</f>
        <v>Intangible Assets</v>
      </c>
      <c r="C21" s="3340" t="str" cm="1">
        <f t="array" ref="C21">IFBLANK(_BS!C21,"")</f>
        <v>Intangible Asset (Company View)</v>
      </c>
      <c r="D21" s="1548"/>
      <c r="E21" s="1902" t="e" cm="1">
        <f t="array" ca="1" aca="1" ref="E2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21:$CH21,Z21)</f>
        <v>#NAME?</v>
      </c>
      <c r="F21" s="1897"/>
      <c r="G21" s="1897"/>
      <c r="H21" s="3279">
        <v>1</v>
      </c>
      <c r="I21" s="3279">
        <v>1</v>
      </c>
      <c r="J21" s="578"/>
      <c r="N21" s="158"/>
      <c r="O21" s="101"/>
      <c r="P21" s="52"/>
      <c r="Q21" s="101"/>
      <c r="R21" s="101"/>
      <c r="S21" s="101"/>
      <c r="T21" s="101"/>
      <c r="U21" s="39"/>
      <c r="W21" s="91" t="str">
        <f>$W$20</f>
        <v>Actual</v>
      </c>
      <c r="X21" s="3292">
        <f>_BS!X21</f>
        <v>1</v>
      </c>
      <c r="Y21" s="3183">
        <v>2</v>
      </c>
      <c r="Z21" s="3291" cm="1">
        <f t="array" ref="Z21">_xlfn.SWITCH(TRUE,_BS!$L21=TRUE,1,_BS!$L21=FALSE,-1,_BS!$L21=-1,0,"n/a")</f>
        <v>1</v>
      </c>
      <c r="AA21" s="200"/>
      <c r="AB21" s="3343" t="str">
        <f>_BS!AB21</f>
        <v>Intangible Assets</v>
      </c>
      <c r="AC21" s="88" t="e" vm="5" cm="1">
        <f t="array" ca="1" aca="1" ref="AC21">_xlfn.LET(_xlpm._termname,$AB21,_xlpm._iconname,"find",_xlpm._icon,fx_getIcon(_xlpm._iconname),_xlpm._location,_xlfn.XLOOKUP(LOWER(_xlpm._termname),LOWER(tbl_acctDef[Term]),tbl_acctDef[Term]),_xlpm._hyperlink,HYPERLINK("#"&amp;CELL("address",_xlpm._location),_xlpm._icon),IFERROR(_xlpm._hyperlink,""))</f>
        <v>#VALUE!</v>
      </c>
      <c r="AD21" s="3229">
        <v>1</v>
      </c>
      <c r="AE21" s="3229">
        <v>1</v>
      </c>
      <c r="AF21" s="3229">
        <v>1</v>
      </c>
      <c r="AG21" s="3229">
        <v>1</v>
      </c>
      <c r="AH21" s="3229">
        <v>1</v>
      </c>
      <c r="AI21" s="3229">
        <v>1</v>
      </c>
      <c r="AJ21" s="3229">
        <v>1</v>
      </c>
      <c r="AK21" s="3229">
        <v>1</v>
      </c>
      <c r="AL21" s="3229">
        <v>1</v>
      </c>
      <c r="AM21" s="3229">
        <v>1</v>
      </c>
      <c r="AN21" s="3229">
        <v>1</v>
      </c>
      <c r="AO21" s="3229">
        <v>1</v>
      </c>
      <c r="AP21" s="3229">
        <v>1</v>
      </c>
      <c r="AQ21" s="3229">
        <v>1</v>
      </c>
      <c r="AR21" s="3229">
        <v>1</v>
      </c>
      <c r="AS21" s="3229">
        <v>1</v>
      </c>
      <c r="AT21" s="3229">
        <v>1</v>
      </c>
      <c r="AU21" s="3229">
        <v>1</v>
      </c>
      <c r="AV21" s="3229">
        <v>1</v>
      </c>
      <c r="AW21" s="3229">
        <v>1</v>
      </c>
      <c r="AX21" s="3229">
        <v>1</v>
      </c>
      <c r="AY21" s="3229">
        <v>1</v>
      </c>
      <c r="AZ21" s="3229">
        <v>1</v>
      </c>
      <c r="BA21" s="3229">
        <v>1</v>
      </c>
      <c r="BB21" s="3229">
        <v>1</v>
      </c>
      <c r="BC21" s="3229">
        <v>1</v>
      </c>
      <c r="BD21" s="3229">
        <v>1</v>
      </c>
      <c r="BE21" s="3229">
        <v>1</v>
      </c>
      <c r="BF21" s="3229">
        <v>1</v>
      </c>
      <c r="BG21" s="3229">
        <v>1</v>
      </c>
      <c r="BH21" s="3229">
        <v>1</v>
      </c>
      <c r="BI21" s="3229">
        <v>1</v>
      </c>
      <c r="BJ21" s="3229">
        <v>1</v>
      </c>
      <c r="BK21" s="3229">
        <v>1</v>
      </c>
      <c r="BL21" s="3229">
        <v>1</v>
      </c>
      <c r="BM21" s="3229">
        <v>1</v>
      </c>
      <c r="BN21" s="3229">
        <v>1</v>
      </c>
      <c r="BO21" s="2095"/>
      <c r="BP21" s="2095"/>
      <c r="BQ21" s="2095"/>
      <c r="BR21" s="2095"/>
      <c r="BS21" s="2095"/>
      <c r="BT21" s="2095"/>
      <c r="BU21" s="2095"/>
      <c r="BV21" s="2095"/>
      <c r="BW21" s="2095"/>
      <c r="BX21" s="2095"/>
      <c r="BY21" s="2095"/>
      <c r="BZ21" s="2095"/>
      <c r="CA21" s="926"/>
      <c r="CB21" s="921"/>
      <c r="CC21" s="927"/>
      <c r="CD21" s="2069" t="e" cm="1">
        <f t="array" ca="1" aca="1" ref="CD21">_xlfn.XLOOKUP(BS!CD$11,array_timeline,BS!$AD21:$BN21)</f>
        <v>#NAME?</v>
      </c>
      <c r="CE21" s="2069" t="e" cm="1">
        <f t="array" ca="1" aca="1" ref="CE21">_xlfn.XLOOKUP(BS!CE$11,array_timeline,BS!$AD21:$BN21)</f>
        <v>#NAME?</v>
      </c>
      <c r="CF21" s="925"/>
      <c r="CG21" s="3342" t="e" cm="1">
        <f t="array" ca="1" aca="1" ref="CG21">TODECIMAL(IFBLANK(_BS!CG21,""),fxVal_normal)</f>
        <v>#NAME?</v>
      </c>
      <c r="CH21" s="3342" t="e" cm="1">
        <f t="array" ca="1" aca="1" ref="CH21">TODECIMAL(IFBLANK(_BS!CH21,""),fxVal_normal)</f>
        <v>#NAME?</v>
      </c>
      <c r="CI21" s="200"/>
      <c r="CK21" s="2085" t="str" cm="1">
        <f t="array" ca="1" aca="1" ref="CK21">IFERROR(IF(Y21&lt;&gt;AB21,_xldudf_CX_PUSH(Y21,CX_ENTITY,C21,EOMONTH(val_asOfDate,0)),""),"")</f>
        <v/>
      </c>
      <c r="CL21" s="2085" t="str" cm="1">
        <f t="array" ca="1" aca="1" ref="CL21">IFERROR(IF(Y21&lt;&gt;AB21,_xldudf_CX_PUSH(Y21,CX_ENTITY,C21,EOMONTH(val_asOfDate,1)),""),"")</f>
        <v/>
      </c>
      <c r="CM21" s="2085" t="str" cm="1">
        <f t="array" ca="1" aca="1" ref="CM21">IFERROR(IF(Y21&lt;&gt;AB21,_xldudf_CX_PUSH(Y21,CX_ENTITY,C21,EOMONTH(val_asOfDate,2)),""),"")</f>
        <v/>
      </c>
      <c r="CN21" s="2085" t="str" cm="1">
        <f t="array" ca="1" aca="1" ref="CN21">IFERROR(IF(Y21&lt;&gt;AB21,_xldudf_CX_PUSH(Y21,CX_ENTITY,C21,EOMONTH(val_asOfDate,3)),""),"")</f>
        <v/>
      </c>
      <c r="CO21" s="2086" t="str" cm="1">
        <f t="array" ca="1" aca="1" ref="CO21">IFERROR(IF(CG21*fxVal_normal=_BS!CG21,"",IF(OR($CG21="",$CG21=0,NOT(ISNUMBER($CG21)),ISERROR($CG21),$B21=""),"",IF($I21=1,IFBLANK(_xldudf_CX_PUSH($CG21*10^6,CX_ENTITY,$B21,$CG$11,$CG$14,$CG$19,),""),IF($I21=2,IFBLANK(_xldudf_CX_PUSH($CG21,CX_ENTITY,$B21,$CG$11,$CG$14,$CG$19,),""),IF($I21=3,"",IFBLANK(_xldudf_CX_PUSH($CG21,CX_ENTITY,$B21,$CG$11,$CG$14,$CG$19,),"")))))),"")</f>
        <v/>
      </c>
      <c r="CP21" s="2086" t="str" cm="1">
        <f t="array" ca="1" aca="1" ref="CP21">IFERROR(IF(CH21*fxVal_normal=_BS!CH21,"",IF(OR($CH21="",$CH21=0,NOT(ISNUMBER($CH21)),ISERROR($CH21),$B21=""),"",IF($I21=1,IFBLANK(_xldudf_CX_PUSH($CH21*10^6,CX_ENTITY,$B21,$CH$11,$CH$14,$CH$19,),""),IF($I21=2,IFBLANK(_xldudf_CX_PUSH($CH21,CX_ENTITY,$B21,$CH$11,$CH$14,$CH$19,),""),IF($I21=3,"",IFBLANK(_xldudf_CX_PUSH($CH21,CX_ENTITY,$B21,$CH$11,$CH$14,$CH$19,),"")))))),"")</f>
        <v/>
      </c>
      <c r="CQ21" s="1883" t="str" cm="1">
        <f t="array" ca="1" aca="1" ref="CQ21">IFERROR(IF(AD21*fxVal_normal=_BS!AD21,"",IF(OR(AD21="",NOT(ISNUMBER(AD21)),ISERROR(AD21),$B21=""),"",IF($I21=1,IFBLANK(_xldudf_CX_PUSH(AD21*fxVal_normal,CX_ENTITY,$B21,AD$11,AD$14,AD$19,),""),IF($I21=2,IFBLANK(_xldudf_CX_PUSH(AD21,CX_ENTITY,$B21,AD$11,AD$14,AD$19,),""),IF($I21=3,"",IFBLANK(_xldudf_CX_PUSH(AD21,CX_ENTITY,$B21,AD$11,AD$14,AD$19,),"")))))),"")</f>
        <v/>
      </c>
      <c r="CR21" s="1883" t="str" cm="1">
        <f t="array" ca="1" aca="1" ref="CR21">IFERROR(IF(AE21*fxVal_normal=_BS!AE21,"",IF(OR(AE21="",NOT(ISNUMBER(AE21)),ISERROR(AE21),$B21=""),"",IF($I21=1,IFBLANK(_xldudf_CX_PUSH(AE21*fxVal_normal,CX_ENTITY,$B21,AE$11,AE$14,AE$19,),""),IF($I21=2,IFBLANK(_xldudf_CX_PUSH(AE21,CX_ENTITY,$B21,AE$11,AE$14,AE$19,),""),IF($I21=3,"",IFBLANK(_xldudf_CX_PUSH(AE21,CX_ENTITY,$B21,AE$11,AE$14,AE$19,),"")))))),"")</f>
        <v/>
      </c>
      <c r="CS21" s="1883" t="str" cm="1">
        <f t="array" ca="1" aca="1" ref="CS21">IFERROR(IF(AF21*fxVal_normal=_BS!AF21,"",IF(OR(AF21="",NOT(ISNUMBER(AF21)),ISERROR(AF21),$B21=""),"",IF($I21=1,IFBLANK(_xldudf_CX_PUSH(AF21*fxVal_normal,CX_ENTITY,$B21,AF$11,AF$14,AF$19,),""),IF($I21=2,IFBLANK(_xldudf_CX_PUSH(AF21,CX_ENTITY,$B21,AF$11,AF$14,AF$19,),""),IF($I21=3,"",IFBLANK(_xldudf_CX_PUSH(AF21,CX_ENTITY,$B21,AF$11,AF$14,AF$19,),"")))))),"")</f>
        <v/>
      </c>
      <c r="CT21" s="1883" t="str" cm="1">
        <f t="array" ca="1" aca="1" ref="CT21">IFERROR(IF(AG21*fxVal_normal=_BS!AG21,"",IF(OR(AG21="",NOT(ISNUMBER(AG21)),ISERROR(AG21),$B21=""),"",IF($I21=1,IFBLANK(_xldudf_CX_PUSH(AG21*fxVal_normal,CX_ENTITY,$B21,AG$11,AG$14,AG$19,),""),IF($I21=2,IFBLANK(_xldudf_CX_PUSH(AG21,CX_ENTITY,$B21,AG$11,AG$14,AG$19,),""),IF($I21=3,"",IFBLANK(_xldudf_CX_PUSH(AG21,CX_ENTITY,$B21,AG$11,AG$14,AG$19,),"")))))),"")</f>
        <v/>
      </c>
      <c r="CU21" s="1883" t="str" cm="1">
        <f t="array" ca="1" aca="1" ref="CU21">IFERROR(IF(AH21*fxVal_normal=_BS!AH21,"",IF(OR(AH21="",NOT(ISNUMBER(AH21)),ISERROR(AH21),$B21=""),"",IF($I21=1,IFBLANK(_xldudf_CX_PUSH(AH21*fxVal_normal,CX_ENTITY,$B21,AH$11,AH$14,AH$19,),""),IF($I21=2,IFBLANK(_xldudf_CX_PUSH(AH21,CX_ENTITY,$B21,AH$11,AH$14,AH$19,),""),IF($I21=3,"",IFBLANK(_xldudf_CX_PUSH(AH21,CX_ENTITY,$B21,AH$11,AH$14,AH$19,),"")))))),"")</f>
        <v/>
      </c>
      <c r="CV21" s="1883" t="str" cm="1">
        <f t="array" ca="1" aca="1" ref="CV21">IFERROR(IF(AI21*fxVal_normal=_BS!AI21,"",IF(OR(AI21="",NOT(ISNUMBER(AI21)),ISERROR(AI21),$B21=""),"",IF($I21=1,IFBLANK(_xldudf_CX_PUSH(AI21*fxVal_normal,CX_ENTITY,$B21,AI$11,AI$14,AI$19,),""),IF($I21=2,IFBLANK(_xldudf_CX_PUSH(AI21,CX_ENTITY,$B21,AI$11,AI$14,AI$19,),""),IF($I21=3,"",IFBLANK(_xldudf_CX_PUSH(AI21,CX_ENTITY,$B21,AI$11,AI$14,AI$19,),"")))))),"")</f>
        <v/>
      </c>
      <c r="CW21" s="1883" t="str" cm="1">
        <f t="array" ca="1" aca="1" ref="CW21">IFERROR(IF(AJ21*fxVal_normal=_BS!AJ21,"",IF(OR(AJ21="",NOT(ISNUMBER(AJ21)),ISERROR(AJ21),$B21=""),"",IF($I21=1,IFBLANK(_xldudf_CX_PUSH(AJ21*fxVal_normal,CX_ENTITY,$B21,AJ$11,AJ$14,AJ$19,),""),IF($I21=2,IFBLANK(_xldudf_CX_PUSH(AJ21,CX_ENTITY,$B21,AJ$11,AJ$14,AJ$19,),""),IF($I21=3,"",IFBLANK(_xldudf_CX_PUSH(AJ21,CX_ENTITY,$B21,AJ$11,AJ$14,AJ$19,),"")))))),"")</f>
        <v/>
      </c>
      <c r="CX21" s="1883" t="str" cm="1">
        <f t="array" ca="1" aca="1" ref="CX21">IFERROR(IF(AK21*fxVal_normal=_BS!AK21,"",IF(OR(AK21="",NOT(ISNUMBER(AK21)),ISERROR(AK21),$B21=""),"",IF($I21=1,IFBLANK(_xldudf_CX_PUSH(AK21*fxVal_normal,CX_ENTITY,$B21,AK$11,AK$14,AK$19,),""),IF($I21=2,IFBLANK(_xldudf_CX_PUSH(AK21,CX_ENTITY,$B21,AK$11,AK$14,AK$19,),""),IF($I21=3,"",IFBLANK(_xldudf_CX_PUSH(AK21,CX_ENTITY,$B21,AK$11,AK$14,AK$19,),"")))))),"")</f>
        <v/>
      </c>
      <c r="CY21" s="1883" t="str" cm="1">
        <f t="array" ca="1" aca="1" ref="CY21">IFERROR(IF(AL21*fxVal_normal=_BS!AL21,"",IF(OR(AL21="",NOT(ISNUMBER(AL21)),ISERROR(AL21),$B21=""),"",IF($I21=1,IFBLANK(_xldudf_CX_PUSH(AL21*fxVal_normal,CX_ENTITY,$B21,AL$11,AL$14,AL$19,),""),IF($I21=2,IFBLANK(_xldudf_CX_PUSH(AL21,CX_ENTITY,$B21,AL$11,AL$14,AL$19,),""),IF($I21=3,"",IFBLANK(_xldudf_CX_PUSH(AL21,CX_ENTITY,$B21,AL$11,AL$14,AL$19,),"")))))),"")</f>
        <v/>
      </c>
      <c r="CZ21" s="1883" t="str" cm="1">
        <f t="array" ca="1" aca="1" ref="CZ21">IFERROR(IF(AM21*fxVal_normal=_BS!AM21,"",IF(OR(AM21="",NOT(ISNUMBER(AM21)),ISERROR(AM21),$B21=""),"",IF($I21=1,IFBLANK(_xldudf_CX_PUSH(AM21*fxVal_normal,CX_ENTITY,$B21,AM$11,AM$14,AM$19,),""),IF($I21=2,IFBLANK(_xldudf_CX_PUSH(AM21,CX_ENTITY,$B21,AM$11,AM$14,AM$19,),""),IF($I21=3,"",IFBLANK(_xldudf_CX_PUSH(AM21,CX_ENTITY,$B21,AM$11,AM$14,AM$19,),"")))))),"")</f>
        <v/>
      </c>
      <c r="DA21" s="1883" t="str" cm="1">
        <f t="array" ca="1" aca="1" ref="DA21">IFERROR(IF(AN21*fxVal_normal=_BS!AN21,"",IF(OR(AN21="",NOT(ISNUMBER(AN21)),ISERROR(AN21),$B21=""),"",IF($I21=1,IFBLANK(_xldudf_CX_PUSH(AN21*fxVal_normal,CX_ENTITY,$B21,AN$11,AN$14,AN$19,),""),IF($I21=2,IFBLANK(_xldudf_CX_PUSH(AN21,CX_ENTITY,$B21,AN$11,AN$14,AN$19,),""),IF($I21=3,"",IFBLANK(_xldudf_CX_PUSH(AN21,CX_ENTITY,$B21,AN$11,AN$14,AN$19,),"")))))),"")</f>
        <v/>
      </c>
      <c r="DB21" s="1883" t="str" cm="1">
        <f t="array" ca="1" aca="1" ref="DB21">IFERROR(IF(AO21*fxVal_normal=_BS!AO21,"",IF(OR(AO21="",NOT(ISNUMBER(AO21)),ISERROR(AO21),$B21=""),"",IF($I21=1,IFBLANK(_xldudf_CX_PUSH(AO21*fxVal_normal,CX_ENTITY,$B21,AO$11,AO$14,AO$19,),""),IF($I21=2,IFBLANK(_xldudf_CX_PUSH(AO21,CX_ENTITY,$B21,AO$11,AO$14,AO$19,),""),IF($I21=3,"",IFBLANK(_xldudf_CX_PUSH(AO21,CX_ENTITY,$B21,AO$11,AO$14,AO$19,),"")))))),"")</f>
        <v/>
      </c>
      <c r="DC21" s="1883" t="str" cm="1">
        <f t="array" ca="1" aca="1" ref="DC21">IFERROR(IF(AP21*fxVal_normal=_BS!AP21,"",IF(OR(AP21="",NOT(ISNUMBER(AP21)),ISERROR(AP21),$B21=""),"",IF($I21=1,IFBLANK(_xldudf_CX_PUSH(AP21*fxVal_normal,CX_ENTITY,$B21,AP$11,AP$14,AP$19,),""),IF($I21=2,IFBLANK(_xldudf_CX_PUSH(AP21,CX_ENTITY,$B21,AP$11,AP$14,AP$19,),""),IF($I21=3,"",IFBLANK(_xldudf_CX_PUSH(AP21,CX_ENTITY,$B21,AP$11,AP$14,AP$19,),"")))))),"")</f>
        <v/>
      </c>
      <c r="DD21" s="1883" t="str" cm="1">
        <f t="array" ca="1" aca="1" ref="DD21">IFERROR(IF(AQ21*fxVal_normal=_BS!AQ21,"",IF(OR(AQ21="",NOT(ISNUMBER(AQ21)),ISERROR(AQ21),$B21=""),"",IF($I21=1,IFBLANK(_xldudf_CX_PUSH(AQ21*fxVal_normal,CX_ENTITY,$B21,AQ$11,AQ$14,AQ$19,),""),IF($I21=2,IFBLANK(_xldudf_CX_PUSH(AQ21,CX_ENTITY,$B21,AQ$11,AQ$14,AQ$19,),""),IF($I21=3,"",IFBLANK(_xldudf_CX_PUSH(AQ21,CX_ENTITY,$B21,AQ$11,AQ$14,AQ$19,),"")))))),"")</f>
        <v/>
      </c>
      <c r="DE21" s="1883" t="str" cm="1">
        <f t="array" ca="1" aca="1" ref="DE21">IFERROR(IF(AR21*fxVal_normal=_BS!AR21,"",IF(OR(AR21="",NOT(ISNUMBER(AR21)),ISERROR(AR21),$B21=""),"",IF($I21=1,IFBLANK(_xldudf_CX_PUSH(AR21*fxVal_normal,CX_ENTITY,$B21,AR$11,AR$14,AR$19,),""),IF($I21=2,IFBLANK(_xldudf_CX_PUSH(AR21,CX_ENTITY,$B21,AR$11,AR$14,AR$19,),""),IF($I21=3,"",IFBLANK(_xldudf_CX_PUSH(AR21,CX_ENTITY,$B21,AR$11,AR$14,AR$19,),"")))))),"")</f>
        <v/>
      </c>
      <c r="DF21" s="1883" t="str" cm="1">
        <f t="array" ca="1" aca="1" ref="DF21">IFERROR(IF(AS21*fxVal_normal=_BS!AS21,"",IF(OR(AS21="",NOT(ISNUMBER(AS21)),ISERROR(AS21),$B21=""),"",IF($I21=1,IFBLANK(_xldudf_CX_PUSH(AS21*fxVal_normal,CX_ENTITY,$B21,AS$11,AS$14,AS$19,),""),IF($I21=2,IFBLANK(_xldudf_CX_PUSH(AS21,CX_ENTITY,$B21,AS$11,AS$14,AS$19,),""),IF($I21=3,"",IFBLANK(_xldudf_CX_PUSH(AS21,CX_ENTITY,$B21,AS$11,AS$14,AS$19,),"")))))),"")</f>
        <v/>
      </c>
      <c r="DG21" s="1883" t="str" cm="1">
        <f t="array" ca="1" aca="1" ref="DG21">IFERROR(IF(AT21*fxVal_normal=_BS!AT21,"",IF(OR(AT21="",NOT(ISNUMBER(AT21)),ISERROR(AT21),$B21=""),"",IF($I21=1,IFBLANK(_xldudf_CX_PUSH(AT21*fxVal_normal,CX_ENTITY,$B21,AT$11,AT$14,AT$19,),""),IF($I21=2,IFBLANK(_xldudf_CX_PUSH(AT21,CX_ENTITY,$B21,AT$11,AT$14,AT$19,),""),IF($I21=3,"",IFBLANK(_xldudf_CX_PUSH(AT21,CX_ENTITY,$B21,AT$11,AT$14,AT$19,),"")))))),"")</f>
        <v/>
      </c>
      <c r="DH21" s="1883" t="str" cm="1">
        <f t="array" ca="1" aca="1" ref="DH21">IFERROR(IF(AU21*fxVal_normal=_BS!AU21,"",IF(OR(AU21="",NOT(ISNUMBER(AU21)),ISERROR(AU21),$B21=""),"",IF($I21=1,IFBLANK(_xldudf_CX_PUSH(AU21*fxVal_normal,CX_ENTITY,$B21,AU$11,AU$14,AU$19,),""),IF($I21=2,IFBLANK(_xldudf_CX_PUSH(AU21,CX_ENTITY,$B21,AU$11,AU$14,AU$19,),""),IF($I21=3,"",IFBLANK(_xldudf_CX_PUSH(AU21,CX_ENTITY,$B21,AU$11,AU$14,AU$19,),"")))))),"")</f>
        <v/>
      </c>
      <c r="DI21" s="1883" t="str" cm="1">
        <f t="array" ca="1" aca="1" ref="DI21">IFERROR(IF(AV21*fxVal_normal=_BS!AV21,"",IF(OR(AV21="",NOT(ISNUMBER(AV21)),ISERROR(AV21),$B21=""),"",IF($I21=1,IFBLANK(_xldudf_CX_PUSH(AV21*fxVal_normal,CX_ENTITY,$B21,AV$11,AV$14,AV$19,),""),IF($I21=2,IFBLANK(_xldudf_CX_PUSH(AV21,CX_ENTITY,$B21,AV$11,AV$14,AV$19,),""),IF($I21=3,"",IFBLANK(_xldudf_CX_PUSH(AV21,CX_ENTITY,$B21,AV$11,AV$14,AV$19,),"")))))),"")</f>
        <v/>
      </c>
      <c r="DJ21" s="1883" t="str" cm="1">
        <f t="array" ca="1" aca="1" ref="DJ21">IFERROR(IF(AW21*fxVal_normal=_BS!AW21,"",IF(OR(AW21="",NOT(ISNUMBER(AW21)),ISERROR(AW21),$B21=""),"",IF($I21=1,IFBLANK(_xldudf_CX_PUSH(AW21*fxVal_normal,CX_ENTITY,$B21,AW$11,AW$14,AW$19,),""),IF($I21=2,IFBLANK(_xldudf_CX_PUSH(AW21,CX_ENTITY,$B21,AW$11,AW$14,AW$19,),""),IF($I21=3,"",IFBLANK(_xldudf_CX_PUSH(AW21,CX_ENTITY,$B21,AW$11,AW$14,AW$19,),"")))))),"")</f>
        <v/>
      </c>
      <c r="DK21" s="1883" t="str" cm="1">
        <f t="array" ca="1" aca="1" ref="DK21">IFERROR(IF(AX21*fxVal_normal=_BS!AX21,"",IF(OR(AX21="",NOT(ISNUMBER(AX21)),ISERROR(AX21),$B21=""),"",IF($I21=1,IFBLANK(_xldudf_CX_PUSH(AX21*fxVal_normal,CX_ENTITY,$B21,AX$11,AX$14,AX$19,),""),IF($I21=2,IFBLANK(_xldudf_CX_PUSH(AX21,CX_ENTITY,$B21,AX$11,AX$14,AX$19,),""),IF($I21=3,"",IFBLANK(_xldudf_CX_PUSH(AX21,CX_ENTITY,$B21,AX$11,AX$14,AX$19,),"")))))),"")</f>
        <v/>
      </c>
      <c r="DL21" s="1883" t="str" cm="1">
        <f t="array" ca="1" aca="1" ref="DL21">IFERROR(IF(AY21*fxVal_normal=_BS!AY21,"",IF(OR(AY21="",NOT(ISNUMBER(AY21)),ISERROR(AY21),$B21=""),"",IF($I21=1,IFBLANK(_xldudf_CX_PUSH(AY21*fxVal_normal,CX_ENTITY,$B21,AY$11,AY$14,AY$19,),""),IF($I21=2,IFBLANK(_xldudf_CX_PUSH(AY21,CX_ENTITY,$B21,AY$11,AY$14,AY$19,),""),IF($I21=3,"",IFBLANK(_xldudf_CX_PUSH(AY21,CX_ENTITY,$B21,AY$11,AY$14,AY$19,),"")))))),"")</f>
        <v/>
      </c>
      <c r="DM21" s="1883" t="str" cm="1">
        <f t="array" ca="1" aca="1" ref="DM21">IFERROR(IF(AZ21*fxVal_normal=_BS!AZ21,"",IF(OR(AZ21="",NOT(ISNUMBER(AZ21)),ISERROR(AZ21),$B21=""),"",IF($I21=1,IFBLANK(_xldudf_CX_PUSH(AZ21*fxVal_normal,CX_ENTITY,$B21,AZ$11,AZ$14,AZ$19,),""),IF($I21=2,IFBLANK(_xldudf_CX_PUSH(AZ21,CX_ENTITY,$B21,AZ$11,AZ$14,AZ$19,),""),IF($I21=3,"",IFBLANK(_xldudf_CX_PUSH(AZ21,CX_ENTITY,$B21,AZ$11,AZ$14,AZ$19,),"")))))),"")</f>
        <v/>
      </c>
      <c r="DN21" s="1883" t="str" cm="1">
        <f t="array" ca="1" aca="1" ref="DN21">IFERROR(IF(BA21*fxVal_normal=_BS!BA21,"",IF(OR(BA21="",NOT(ISNUMBER(BA21)),ISERROR(BA21),$B21=""),"",IF($I21=1,IFBLANK(_xldudf_CX_PUSH(BA21*fxVal_normal,CX_ENTITY,$B21,BA$11,BA$14,BA$19,),""),IF($I21=2,IFBLANK(_xldudf_CX_PUSH(BA21,CX_ENTITY,$B21,BA$11,BA$14,BA$19,),""),IF($I21=3,"",IFBLANK(_xldudf_CX_PUSH(BA21,CX_ENTITY,$B21,BA$11,BA$14,BA$19,),"")))))),"")</f>
        <v/>
      </c>
      <c r="DO21" s="1883" t="str" cm="1">
        <f t="array" ca="1" aca="1" ref="DO21">IFERROR(IF(BB21*fxVal_normal=_BS!BB21,"",IF(OR(BB21="",NOT(ISNUMBER(BB21)),ISERROR(BB21),$B21=""),"",IF($I21=1,IFBLANK(_xldudf_CX_PUSH(BB21*fxVal_normal,CX_ENTITY,$B21,BB$11,BB$14,BB$19,),""),IF($I21=2,IFBLANK(_xldudf_CX_PUSH(BB21,CX_ENTITY,$B21,BB$11,BB$14,BB$19,),""),IF($I21=3,"",IFBLANK(_xldudf_CX_PUSH(BB21,CX_ENTITY,$B21,BB$11,BB$14,BB$19,),"")))))),"")</f>
        <v/>
      </c>
      <c r="DP21" s="1883" t="str" cm="1">
        <f t="array" ca="1" aca="1" ref="DP21">IFERROR(IF(BC21*fxVal_normal=_BS!BC21,"",IF(OR(BC21="",NOT(ISNUMBER(BC21)),ISERROR(BC21),$B21=""),"",IF($I21=1,IFBLANK(_xldudf_CX_PUSH(BC21*fxVal_normal,CX_ENTITY,$B21,BC$11,BC$14,BC$19,),""),IF($I21=2,IFBLANK(_xldudf_CX_PUSH(BC21,CX_ENTITY,$B21,BC$11,BC$14,BC$19,),""),IF($I21=3,"",IFBLANK(_xldudf_CX_PUSH(BC21,CX_ENTITY,$B21,BC$11,BC$14,BC$19,),"")))))),"")</f>
        <v/>
      </c>
      <c r="DQ21" s="1883" t="str" cm="1">
        <f t="array" ca="1" aca="1" ref="DQ21">IFERROR(IF(BD21*fxVal_normal=_BS!BD21,"",IF(OR(BD21="",NOT(ISNUMBER(BD21)),ISERROR(BD21),$B21=""),"",IF($I21=1,IFBLANK(_xldudf_CX_PUSH(BD21*fxVal_normal,CX_ENTITY,$B21,BD$11,BD$14,BD$19,),""),IF($I21=2,IFBLANK(_xldudf_CX_PUSH(BD21,CX_ENTITY,$B21,BD$11,BD$14,BD$19,),""),IF($I21=3,"",IFBLANK(_xldudf_CX_PUSH(BD21,CX_ENTITY,$B21,BD$11,BD$14,BD$19,),"")))))),"")</f>
        <v/>
      </c>
      <c r="DR21" s="1883" t="str" cm="1">
        <f t="array" ca="1" aca="1" ref="DR21">IFERROR(IF(BE21*fxVal_normal=_BS!BE21,"",IF(OR(BE21="",NOT(ISNUMBER(BE21)),ISERROR(BE21),$B21=""),"",IF($I21=1,IFBLANK(_xldudf_CX_PUSH(BE21*fxVal_normal,CX_ENTITY,$B21,BE$11,BE$14,BE$19,),""),IF($I21=2,IFBLANK(_xldudf_CX_PUSH(BE21,CX_ENTITY,$B21,BE$11,BE$14,BE$19,),""),IF($I21=3,"",IFBLANK(_xldudf_CX_PUSH(BE21,CX_ENTITY,$B21,BE$11,BE$14,BE$19,),"")))))),"")</f>
        <v/>
      </c>
      <c r="DS21" s="1883" t="str" cm="1">
        <f t="array" ca="1" aca="1" ref="DS21">IFERROR(IF(BF21*fxVal_normal=_BS!BF21,"",IF(OR(BF21="",NOT(ISNUMBER(BF21)),ISERROR(BF21),$B21=""),"",IF($I21=1,IFBLANK(_xldudf_CX_PUSH(BF21*fxVal_normal,CX_ENTITY,$B21,BF$11,BF$14,BF$19,),""),IF($I21=2,IFBLANK(_xldudf_CX_PUSH(BF21,CX_ENTITY,$B21,BF$11,BF$14,BF$19,),""),IF($I21=3,"",IFBLANK(_xldudf_CX_PUSH(BF21,CX_ENTITY,$B21,BF$11,BF$14,BF$19,),"")))))),"")</f>
        <v/>
      </c>
      <c r="DT21" s="1883" t="str" cm="1">
        <f t="array" ca="1" aca="1" ref="DT21">IFERROR(IF(BG21*fxVal_normal=_BS!BG21,"",IF(OR(BG21="",NOT(ISNUMBER(BG21)),ISERROR(BG21),$B21=""),"",IF($I21=1,IFBLANK(_xldudf_CX_PUSH(BG21*fxVal_normal,CX_ENTITY,$B21,BG$11,BG$14,BG$19,),""),IF($I21=2,IFBLANK(_xldudf_CX_PUSH(BG21,CX_ENTITY,$B21,BG$11,BG$14,BG$19,),""),IF($I21=3,"",IFBLANK(_xldudf_CX_PUSH(BG21,CX_ENTITY,$B21,BG$11,BG$14,BG$19,),"")))))),"")</f>
        <v/>
      </c>
      <c r="DU21" s="1883" t="str" cm="1">
        <f t="array" ca="1" aca="1" ref="DU21">IFERROR(IF(BH21*fxVal_normal=_BS!BH21,"",IF(OR(BH21="",NOT(ISNUMBER(BH21)),ISERROR(BH21),$B21=""),"",IF($I21=1,IFBLANK(_xldudf_CX_PUSH(BH21*fxVal_normal,CX_ENTITY,$B21,BH$11,BH$14,BH$19,),""),IF($I21=2,IFBLANK(_xldudf_CX_PUSH(BH21,CX_ENTITY,$B21,BH$11,BH$14,BH$19,),""),IF($I21=3,"",IFBLANK(_xldudf_CX_PUSH(BH21,CX_ENTITY,$B21,BH$11,BH$14,BH$19,),"")))))),"")</f>
        <v/>
      </c>
      <c r="DV21" s="1883" t="str" cm="1">
        <f t="array" ca="1" aca="1" ref="DV21">IFERROR(IF(BI21*fxVal_normal=_BS!BI21,"",IF(OR(BI21="",NOT(ISNUMBER(BI21)),ISERROR(BI21),$B21=""),"",IF($I21=1,IFBLANK(_xldudf_CX_PUSH(BI21*fxVal_normal,CX_ENTITY,$B21,BI$11,BI$14,BI$19,),""),IF($I21=2,IFBLANK(_xldudf_CX_PUSH(BI21,CX_ENTITY,$B21,BI$11,BI$14,BI$19,),""),IF($I21=3,"",IFBLANK(_xldudf_CX_PUSH(BI21,CX_ENTITY,$B21,BI$11,BI$14,BI$19,),"")))))),"")</f>
        <v/>
      </c>
      <c r="DW21" s="1883" t="str" cm="1">
        <f t="array" ca="1" aca="1" ref="DW21">IFERROR(IF(BJ21*fxVal_normal=_BS!BJ21,"",IF(OR(BJ21="",NOT(ISNUMBER(BJ21)),ISERROR(BJ21),$B21=""),"",IF($I21=1,IFBLANK(_xldudf_CX_PUSH(BJ21*fxVal_normal,CX_ENTITY,$B21,BJ$11,BJ$14,BJ$19,),""),IF($I21=2,IFBLANK(_xldudf_CX_PUSH(BJ21,CX_ENTITY,$B21,BJ$11,BJ$14,BJ$19,),""),IF($I21=3,"",IFBLANK(_xldudf_CX_PUSH(BJ21,CX_ENTITY,$B21,BJ$11,BJ$14,BJ$19,),"")))))),"")</f>
        <v/>
      </c>
      <c r="DX21" s="1883" t="str" cm="1">
        <f t="array" ca="1" aca="1" ref="DX21">IFERROR(IF(BK21*fxVal_normal=_BS!BK21,"",IF(OR(BK21="",NOT(ISNUMBER(BK21)),ISERROR(BK21),$B21=""),"",IF($I21=1,IFBLANK(_xldudf_CX_PUSH(BK21*fxVal_normal,CX_ENTITY,$B21,BK$11,BK$14,BK$19,),""),IF($I21=2,IFBLANK(_xldudf_CX_PUSH(BK21,CX_ENTITY,$B21,BK$11,BK$14,BK$19,),""),IF($I21=3,"",IFBLANK(_xldudf_CX_PUSH(BK21,CX_ENTITY,$B21,BK$11,BK$14,BK$19,),"")))))),"")</f>
        <v/>
      </c>
      <c r="DY21" s="1883" t="str" cm="1">
        <f t="array" ca="1" aca="1" ref="DY21">IFERROR(IF(BL21*fxVal_normal=_BS!BL21,"",IF(OR(BL21="",NOT(ISNUMBER(BL21)),ISERROR(BL21),$B21=""),"",IF($I21=1,IFBLANK(_xldudf_CX_PUSH(BL21*fxVal_normal,CX_ENTITY,$B21,BL$11,BL$14,BL$19,),""),IF($I21=2,IFBLANK(_xldudf_CX_PUSH(BL21,CX_ENTITY,$B21,BL$11,BL$14,BL$19,),""),IF($I21=3,"",IFBLANK(_xldudf_CX_PUSH(BL21,CX_ENTITY,$B21,BL$11,BL$14,BL$19,),"")))))),"")</f>
        <v/>
      </c>
      <c r="DZ21" s="1883" t="str" cm="1">
        <f t="array" ca="1" aca="1" ref="DZ21">IFERROR(IF(BM21*fxVal_normal=_BS!BM21,"",IF(OR(BM21="",NOT(ISNUMBER(BM21)),ISERROR(BM21),$B21=""),"",IF($I21=1,IFBLANK(_xldudf_CX_PUSH(BM21*fxVal_normal,CX_ENTITY,$B21,BM$11,BM$14,BM$19,),""),IF($I21=2,IFBLANK(_xldudf_CX_PUSH(BM21,CX_ENTITY,$B21,BM$11,BM$14,BM$19,),""),IF($I21=3,"",IFBLANK(_xldudf_CX_PUSH(BM21,CX_ENTITY,$B21,BM$11,BM$14,BM$19,),"")))))),"")</f>
        <v/>
      </c>
      <c r="EA21" s="1883" t="str" cm="1">
        <f t="array" ca="1" aca="1" ref="EA21">IFERROR(IF(BN21*fxVal_normal=_BS!BN21,"",IF(OR(BN21="",NOT(ISNUMBER(BN21)),ISERROR(BN21),$B21=""),"",IF($I21=1,IFBLANK(_xldudf_CX_PUSH(BN21*fxVal_normal,CX_ENTITY,$B21,BN$11,BN$14,BN$19,),""),IF($I21=2,IFBLANK(_xldudf_CX_PUSH(BN21,CX_ENTITY,$B21,BN$11,BN$14,BN$19,),""),IF($I21=3,"",IFBLANK(_xldudf_CX_PUSH(BN21,CX_ENTITY,$B21,BN$11,BN$14,BN$19,),"")))))),"")</f>
        <v/>
      </c>
    </row>
    <row r="22" spans="1:131" ht="21" customHeight="1">
      <c r="A22" s="1625"/>
      <c r="B22" s="695" t="str" cm="1">
        <f t="array" ref="B22">IFBLANK(_BS!F22,"")</f>
        <v>Other Non-current Assets</v>
      </c>
      <c r="C22" s="3340" t="str" cm="1">
        <f t="array" ref="C22">IFBLANK(_BS!C22,"")</f>
        <v>Other Non-current Asset (Company View)</v>
      </c>
      <c r="D22" s="1548"/>
      <c r="E22" s="1902" t="e" cm="1">
        <f t="array" ca="1" aca="1" ref="E2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CH22,Z22)</f>
        <v>#NAME?</v>
      </c>
      <c r="F22" s="1897"/>
      <c r="G22" s="1897"/>
      <c r="H22" s="3279">
        <v>1</v>
      </c>
      <c r="I22" s="3279">
        <v>1</v>
      </c>
      <c r="J22" s="578"/>
      <c r="N22" s="158"/>
      <c r="O22" s="101"/>
      <c r="P22" s="52"/>
      <c r="Q22" s="101"/>
      <c r="R22" s="126"/>
      <c r="S22" s="101"/>
      <c r="T22" s="101"/>
      <c r="U22" s="39"/>
      <c r="W22" s="91" t="str">
        <f t="shared" si="1" ref="W22:W50">$W$20</f>
        <v>Actual</v>
      </c>
      <c r="X22" s="3292">
        <f>_BS!X22</f>
        <v>1</v>
      </c>
      <c r="Y22" s="3183">
        <v>2</v>
      </c>
      <c r="Z22" s="3291" cm="1">
        <f t="array" ref="Z22">_xlfn.SWITCH(TRUE,_BS!$L22=TRUE,1,_BS!$L22=FALSE,-1,_BS!$L22=-1,0,"n/a")</f>
        <v>1</v>
      </c>
      <c r="AA22" s="200"/>
      <c r="AB22" s="3343" t="str">
        <f>_BS!AB22</f>
        <v>Other Non-current Assets</v>
      </c>
      <c r="AC22" s="88" t="e" vm="5" cm="1">
        <f t="array" ca="1" aca="1" ref="AC22">_xlfn.LET(_xlpm._termname,$AB22,_xlpm._iconname,"find",_xlpm._icon,fx_getIcon(_xlpm._iconname),_xlpm._location,_xlfn.XLOOKUP(LOWER(_xlpm._termname),LOWER(tbl_acctDef[Term]),tbl_acctDef[Term]),_xlpm._hyperlink,HYPERLINK("#"&amp;CELL("address",_xlpm._location),_xlpm._icon),IFERROR(_xlpm._hyperlink,""))</f>
        <v>#VALUE!</v>
      </c>
      <c r="AD22" s="3229">
        <v>1</v>
      </c>
      <c r="AE22" s="3229">
        <v>1</v>
      </c>
      <c r="AF22" s="3229">
        <v>1</v>
      </c>
      <c r="AG22" s="3229">
        <v>1</v>
      </c>
      <c r="AH22" s="3229">
        <v>1</v>
      </c>
      <c r="AI22" s="3229">
        <v>1</v>
      </c>
      <c r="AJ22" s="3229">
        <v>1</v>
      </c>
      <c r="AK22" s="3229">
        <v>1</v>
      </c>
      <c r="AL22" s="3229">
        <v>1</v>
      </c>
      <c r="AM22" s="3229">
        <v>1</v>
      </c>
      <c r="AN22" s="3229">
        <v>1</v>
      </c>
      <c r="AO22" s="3229">
        <v>1</v>
      </c>
      <c r="AP22" s="3229">
        <v>1</v>
      </c>
      <c r="AQ22" s="3229">
        <v>1</v>
      </c>
      <c r="AR22" s="3229">
        <v>1</v>
      </c>
      <c r="AS22" s="3229">
        <v>1</v>
      </c>
      <c r="AT22" s="3229">
        <v>1</v>
      </c>
      <c r="AU22" s="3229">
        <v>1</v>
      </c>
      <c r="AV22" s="3229">
        <v>1</v>
      </c>
      <c r="AW22" s="3229">
        <v>1</v>
      </c>
      <c r="AX22" s="3229">
        <v>1</v>
      </c>
      <c r="AY22" s="3229">
        <v>1</v>
      </c>
      <c r="AZ22" s="3229">
        <v>1</v>
      </c>
      <c r="BA22" s="3229">
        <v>1</v>
      </c>
      <c r="BB22" s="3229">
        <v>1</v>
      </c>
      <c r="BC22" s="3229">
        <v>1</v>
      </c>
      <c r="BD22" s="3229">
        <v>1</v>
      </c>
      <c r="BE22" s="3229">
        <v>1</v>
      </c>
      <c r="BF22" s="3229">
        <v>1</v>
      </c>
      <c r="BG22" s="3229">
        <v>1</v>
      </c>
      <c r="BH22" s="3229">
        <v>1</v>
      </c>
      <c r="BI22" s="3229">
        <v>1</v>
      </c>
      <c r="BJ22" s="3229">
        <v>1</v>
      </c>
      <c r="BK22" s="3229">
        <v>1</v>
      </c>
      <c r="BL22" s="3229">
        <v>1</v>
      </c>
      <c r="BM22" s="3229">
        <v>1</v>
      </c>
      <c r="BN22" s="3229">
        <v>1</v>
      </c>
      <c r="BO22" s="2095"/>
      <c r="BP22" s="2095"/>
      <c r="BQ22" s="2095"/>
      <c r="BR22" s="2095"/>
      <c r="BS22" s="2095"/>
      <c r="BT22" s="2095"/>
      <c r="BU22" s="2095"/>
      <c r="BV22" s="2095"/>
      <c r="BW22" s="2095"/>
      <c r="BX22" s="2095"/>
      <c r="BY22" s="2095"/>
      <c r="BZ22" s="2095"/>
      <c r="CA22" s="926"/>
      <c r="CB22" s="921"/>
      <c r="CC22" s="927"/>
      <c r="CD22" s="2069" t="e" cm="1">
        <f t="array" ca="1" aca="1" ref="CD22">_xlfn.XLOOKUP(BS!CD$11,array_timeline,BS!$AD22:$BN22)</f>
        <v>#NAME?</v>
      </c>
      <c r="CE22" s="2069" t="e" cm="1">
        <f t="array" ca="1" aca="1" ref="CE22">_xlfn.XLOOKUP(BS!CE$11,array_timeline,BS!$AD22:$BN22)</f>
        <v>#NAME?</v>
      </c>
      <c r="CF22" s="925"/>
      <c r="CG22" s="3342" t="e" cm="1">
        <f t="array" ca="1" aca="1" ref="CG22">TODECIMAL(IFBLANK(_BS!CG22,""),fxVal_normal)</f>
        <v>#NAME?</v>
      </c>
      <c r="CH22" s="3342" t="e" cm="1">
        <f t="array" ca="1" aca="1" ref="CH22">TODECIMAL(IFBLANK(_BS!CH22,""),fxVal_normal)</f>
        <v>#NAME?</v>
      </c>
      <c r="CI22" s="200"/>
      <c r="CK22" s="2085" t="str" cm="1">
        <f t="array" ca="1" aca="1" ref="CK22">IFERROR(IF(Y22&lt;&gt;AB22,_xldudf_CX_PUSH(Y22,CX_ENTITY,C22,EOMONTH(val_asOfDate,0)),""),"")</f>
        <v/>
      </c>
      <c r="CL22" s="2085" t="str" cm="1">
        <f t="array" ca="1" aca="1" ref="CL22">IFERROR(IF(Y22&lt;&gt;AB22,_xldudf_CX_PUSH(Y22,CX_ENTITY,C22,EOMONTH(val_asOfDate,1)),""),"")</f>
        <v/>
      </c>
      <c r="CM22" s="2085" t="str" cm="1">
        <f t="array" ca="1" aca="1" ref="CM22">IFERROR(IF(Y22&lt;&gt;AB22,_xldudf_CX_PUSH(Y22,CX_ENTITY,C22,EOMONTH(val_asOfDate,2)),""),"")</f>
        <v/>
      </c>
      <c r="CN22" s="2085" t="str" cm="1">
        <f t="array" ca="1" aca="1" ref="CN22">IFERROR(IF(Y22&lt;&gt;AB22,_xldudf_CX_PUSH(Y22,CX_ENTITY,C22,EOMONTH(val_asOfDate,3)),""),"")</f>
        <v/>
      </c>
      <c r="CO22" s="2086" t="str" cm="1">
        <f t="array" ca="1" aca="1" ref="CO22">IFERROR(IF(CG22*fxVal_normal=_BS!CG22,"",IF(OR($CG22="",$CG22=0,NOT(ISNUMBER($CG22)),ISERROR($CG22),$B22=""),"",IF($I22=1,IFBLANK(_xldudf_CX_PUSH($CG22*10^6,CX_ENTITY,$B22,$CG$11,$CG$14,$CG$19,),""),IF($I22=2,IFBLANK(_xldudf_CX_PUSH($CG22,CX_ENTITY,$B22,$CG$11,$CG$14,$CG$19,),""),IF($I22=3,"",IFBLANK(_xldudf_CX_PUSH($CG22,CX_ENTITY,$B22,$CG$11,$CG$14,$CG$19,),"")))))),"")</f>
        <v/>
      </c>
      <c r="CP22" s="2086" t="str" cm="1">
        <f t="array" ca="1" aca="1" ref="CP22">IFERROR(IF(CH22*fxVal_normal=_BS!CH22,"",IF(OR($CH22="",$CH22=0,NOT(ISNUMBER($CH22)),ISERROR($CH22),$B22=""),"",IF($I22=1,IFBLANK(_xldudf_CX_PUSH($CH22*10^6,CX_ENTITY,$B22,$CH$11,$CH$14,$CH$19,),""),IF($I22=2,IFBLANK(_xldudf_CX_PUSH($CH22,CX_ENTITY,$B22,$CH$11,$CH$14,$CH$19,),""),IF($I22=3,"",IFBLANK(_xldudf_CX_PUSH($CH22,CX_ENTITY,$B22,$CH$11,$CH$14,$CH$19,),"")))))),"")</f>
        <v/>
      </c>
      <c r="CQ22" s="1883" t="str" cm="1">
        <f t="array" ca="1" aca="1" ref="CQ22">IFERROR(IF(AD22*fxVal_normal=_BS!AD22,"",IF(OR(AD22="",NOT(ISNUMBER(AD22)),ISERROR(AD22),$B22=""),"",IF($I22=1,IFBLANK(_xldudf_CX_PUSH(AD22*fxVal_normal,CX_ENTITY,$B22,AD$11,AD$14,AD$19,),""),IF($I22=2,IFBLANK(_xldudf_CX_PUSH(AD22,CX_ENTITY,$B22,AD$11,AD$14,AD$19,),""),IF($I22=3,"",IFBLANK(_xldudf_CX_PUSH(AD22,CX_ENTITY,$B22,AD$11,AD$14,AD$19,),"")))))),"")</f>
        <v/>
      </c>
      <c r="CR22" s="1883" t="str" cm="1">
        <f t="array" ca="1" aca="1" ref="CR22">IFERROR(IF(AE22*fxVal_normal=_BS!AE22,"",IF(OR(AE22="",NOT(ISNUMBER(AE22)),ISERROR(AE22),$B22=""),"",IF($I22=1,IFBLANK(_xldudf_CX_PUSH(AE22*fxVal_normal,CX_ENTITY,$B22,AE$11,AE$14,AE$19,),""),IF($I22=2,IFBLANK(_xldudf_CX_PUSH(AE22,CX_ENTITY,$B22,AE$11,AE$14,AE$19,),""),IF($I22=3,"",IFBLANK(_xldudf_CX_PUSH(AE22,CX_ENTITY,$B22,AE$11,AE$14,AE$19,),"")))))),"")</f>
        <v/>
      </c>
      <c r="CS22" s="1883" t="str" cm="1">
        <f t="array" ca="1" aca="1" ref="CS22">IFERROR(IF(AF22*fxVal_normal=_BS!AF22,"",IF(OR(AF22="",NOT(ISNUMBER(AF22)),ISERROR(AF22),$B22=""),"",IF($I22=1,IFBLANK(_xldudf_CX_PUSH(AF22*fxVal_normal,CX_ENTITY,$B22,AF$11,AF$14,AF$19,),""),IF($I22=2,IFBLANK(_xldudf_CX_PUSH(AF22,CX_ENTITY,$B22,AF$11,AF$14,AF$19,),""),IF($I22=3,"",IFBLANK(_xldudf_CX_PUSH(AF22,CX_ENTITY,$B22,AF$11,AF$14,AF$19,),"")))))),"")</f>
        <v/>
      </c>
      <c r="CT22" s="1883" t="str" cm="1">
        <f t="array" ca="1" aca="1" ref="CT22">IFERROR(IF(AG22*fxVal_normal=_BS!AG22,"",IF(OR(AG22="",NOT(ISNUMBER(AG22)),ISERROR(AG22),$B22=""),"",IF($I22=1,IFBLANK(_xldudf_CX_PUSH(AG22*fxVal_normal,CX_ENTITY,$B22,AG$11,AG$14,AG$19,),""),IF($I22=2,IFBLANK(_xldudf_CX_PUSH(AG22,CX_ENTITY,$B22,AG$11,AG$14,AG$19,),""),IF($I22=3,"",IFBLANK(_xldudf_CX_PUSH(AG22,CX_ENTITY,$B22,AG$11,AG$14,AG$19,),"")))))),"")</f>
        <v/>
      </c>
      <c r="CU22" s="1883" t="str" cm="1">
        <f t="array" ca="1" aca="1" ref="CU22">IFERROR(IF(AH22*fxVal_normal=_BS!AH22,"",IF(OR(AH22="",NOT(ISNUMBER(AH22)),ISERROR(AH22),$B22=""),"",IF($I22=1,IFBLANK(_xldudf_CX_PUSH(AH22*fxVal_normal,CX_ENTITY,$B22,AH$11,AH$14,AH$19,),""),IF($I22=2,IFBLANK(_xldudf_CX_PUSH(AH22,CX_ENTITY,$B22,AH$11,AH$14,AH$19,),""),IF($I22=3,"",IFBLANK(_xldudf_CX_PUSH(AH22,CX_ENTITY,$B22,AH$11,AH$14,AH$19,),"")))))),"")</f>
        <v/>
      </c>
      <c r="CV22" s="1883" t="str" cm="1">
        <f t="array" ca="1" aca="1" ref="CV22">IFERROR(IF(AI22*fxVal_normal=_BS!AI22,"",IF(OR(AI22="",NOT(ISNUMBER(AI22)),ISERROR(AI22),$B22=""),"",IF($I22=1,IFBLANK(_xldudf_CX_PUSH(AI22*fxVal_normal,CX_ENTITY,$B22,AI$11,AI$14,AI$19,),""),IF($I22=2,IFBLANK(_xldudf_CX_PUSH(AI22,CX_ENTITY,$B22,AI$11,AI$14,AI$19,),""),IF($I22=3,"",IFBLANK(_xldudf_CX_PUSH(AI22,CX_ENTITY,$B22,AI$11,AI$14,AI$19,),"")))))),"")</f>
        <v/>
      </c>
      <c r="CW22" s="1883" t="str" cm="1">
        <f t="array" ca="1" aca="1" ref="CW22">IFERROR(IF(AJ22*fxVal_normal=_BS!AJ22,"",IF(OR(AJ22="",NOT(ISNUMBER(AJ22)),ISERROR(AJ22),$B22=""),"",IF($I22=1,IFBLANK(_xldudf_CX_PUSH(AJ22*fxVal_normal,CX_ENTITY,$B22,AJ$11,AJ$14,AJ$19,),""),IF($I22=2,IFBLANK(_xldudf_CX_PUSH(AJ22,CX_ENTITY,$B22,AJ$11,AJ$14,AJ$19,),""),IF($I22=3,"",IFBLANK(_xldudf_CX_PUSH(AJ22,CX_ENTITY,$B22,AJ$11,AJ$14,AJ$19,),"")))))),"")</f>
        <v/>
      </c>
      <c r="CX22" s="1883" t="str" cm="1">
        <f t="array" ca="1" aca="1" ref="CX22">IFERROR(IF(AK22*fxVal_normal=_BS!AK22,"",IF(OR(AK22="",NOT(ISNUMBER(AK22)),ISERROR(AK22),$B22=""),"",IF($I22=1,IFBLANK(_xldudf_CX_PUSH(AK22*fxVal_normal,CX_ENTITY,$B22,AK$11,AK$14,AK$19,),""),IF($I22=2,IFBLANK(_xldudf_CX_PUSH(AK22,CX_ENTITY,$B22,AK$11,AK$14,AK$19,),""),IF($I22=3,"",IFBLANK(_xldudf_CX_PUSH(AK22,CX_ENTITY,$B22,AK$11,AK$14,AK$19,),"")))))),"")</f>
        <v/>
      </c>
      <c r="CY22" s="1883" t="str" cm="1">
        <f t="array" ca="1" aca="1" ref="CY22">IFERROR(IF(AL22*fxVal_normal=_BS!AL22,"",IF(OR(AL22="",NOT(ISNUMBER(AL22)),ISERROR(AL22),$B22=""),"",IF($I22=1,IFBLANK(_xldudf_CX_PUSH(AL22*fxVal_normal,CX_ENTITY,$B22,AL$11,AL$14,AL$19,),""),IF($I22=2,IFBLANK(_xldudf_CX_PUSH(AL22,CX_ENTITY,$B22,AL$11,AL$14,AL$19,),""),IF($I22=3,"",IFBLANK(_xldudf_CX_PUSH(AL22,CX_ENTITY,$B22,AL$11,AL$14,AL$19,),"")))))),"")</f>
        <v/>
      </c>
      <c r="CZ22" s="1883" t="str" cm="1">
        <f t="array" ca="1" aca="1" ref="CZ22">IFERROR(IF(AM22*fxVal_normal=_BS!AM22,"",IF(OR(AM22="",NOT(ISNUMBER(AM22)),ISERROR(AM22),$B22=""),"",IF($I22=1,IFBLANK(_xldudf_CX_PUSH(AM22*fxVal_normal,CX_ENTITY,$B22,AM$11,AM$14,AM$19,),""),IF($I22=2,IFBLANK(_xldudf_CX_PUSH(AM22,CX_ENTITY,$B22,AM$11,AM$14,AM$19,),""),IF($I22=3,"",IFBLANK(_xldudf_CX_PUSH(AM22,CX_ENTITY,$B22,AM$11,AM$14,AM$19,),"")))))),"")</f>
        <v/>
      </c>
      <c r="DA22" s="1883" t="str" cm="1">
        <f t="array" ca="1" aca="1" ref="DA22">IFERROR(IF(AN22*fxVal_normal=_BS!AN22,"",IF(OR(AN22="",NOT(ISNUMBER(AN22)),ISERROR(AN22),$B22=""),"",IF($I22=1,IFBLANK(_xldudf_CX_PUSH(AN22*fxVal_normal,CX_ENTITY,$B22,AN$11,AN$14,AN$19,),""),IF($I22=2,IFBLANK(_xldudf_CX_PUSH(AN22,CX_ENTITY,$B22,AN$11,AN$14,AN$19,),""),IF($I22=3,"",IFBLANK(_xldudf_CX_PUSH(AN22,CX_ENTITY,$B22,AN$11,AN$14,AN$19,),"")))))),"")</f>
        <v/>
      </c>
      <c r="DB22" s="1883" t="str" cm="1">
        <f t="array" ca="1" aca="1" ref="DB22">IFERROR(IF(AO22*fxVal_normal=_BS!AO22,"",IF(OR(AO22="",NOT(ISNUMBER(AO22)),ISERROR(AO22),$B22=""),"",IF($I22=1,IFBLANK(_xldudf_CX_PUSH(AO22*fxVal_normal,CX_ENTITY,$B22,AO$11,AO$14,AO$19,),""),IF($I22=2,IFBLANK(_xldudf_CX_PUSH(AO22,CX_ENTITY,$B22,AO$11,AO$14,AO$19,),""),IF($I22=3,"",IFBLANK(_xldudf_CX_PUSH(AO22,CX_ENTITY,$B22,AO$11,AO$14,AO$19,),"")))))),"")</f>
        <v/>
      </c>
      <c r="DC22" s="1883" t="str" cm="1">
        <f t="array" ca="1" aca="1" ref="DC22">IFERROR(IF(AP22*fxVal_normal=_BS!AP22,"",IF(OR(AP22="",NOT(ISNUMBER(AP22)),ISERROR(AP22),$B22=""),"",IF($I22=1,IFBLANK(_xldudf_CX_PUSH(AP22*fxVal_normal,CX_ENTITY,$B22,AP$11,AP$14,AP$19,),""),IF($I22=2,IFBLANK(_xldudf_CX_PUSH(AP22,CX_ENTITY,$B22,AP$11,AP$14,AP$19,),""),IF($I22=3,"",IFBLANK(_xldudf_CX_PUSH(AP22,CX_ENTITY,$B22,AP$11,AP$14,AP$19,),"")))))),"")</f>
        <v/>
      </c>
      <c r="DD22" s="1883" t="str" cm="1">
        <f t="array" ca="1" aca="1" ref="DD22">IFERROR(IF(AQ22*fxVal_normal=_BS!AQ22,"",IF(OR(AQ22="",NOT(ISNUMBER(AQ22)),ISERROR(AQ22),$B22=""),"",IF($I22=1,IFBLANK(_xldudf_CX_PUSH(AQ22*fxVal_normal,CX_ENTITY,$B22,AQ$11,AQ$14,AQ$19,),""),IF($I22=2,IFBLANK(_xldudf_CX_PUSH(AQ22,CX_ENTITY,$B22,AQ$11,AQ$14,AQ$19,),""),IF($I22=3,"",IFBLANK(_xldudf_CX_PUSH(AQ22,CX_ENTITY,$B22,AQ$11,AQ$14,AQ$19,),"")))))),"")</f>
        <v/>
      </c>
      <c r="DE22" s="1883" t="str" cm="1">
        <f t="array" ca="1" aca="1" ref="DE22">IFERROR(IF(AR22*fxVal_normal=_BS!AR22,"",IF(OR(AR22="",NOT(ISNUMBER(AR22)),ISERROR(AR22),$B22=""),"",IF($I22=1,IFBLANK(_xldudf_CX_PUSH(AR22*fxVal_normal,CX_ENTITY,$B22,AR$11,AR$14,AR$19,),""),IF($I22=2,IFBLANK(_xldudf_CX_PUSH(AR22,CX_ENTITY,$B22,AR$11,AR$14,AR$19,),""),IF($I22=3,"",IFBLANK(_xldudf_CX_PUSH(AR22,CX_ENTITY,$B22,AR$11,AR$14,AR$19,),"")))))),"")</f>
        <v/>
      </c>
      <c r="DF22" s="1883" t="str" cm="1">
        <f t="array" ca="1" aca="1" ref="DF22">IFERROR(IF(AS22*fxVal_normal=_BS!AS22,"",IF(OR(AS22="",NOT(ISNUMBER(AS22)),ISERROR(AS22),$B22=""),"",IF($I22=1,IFBLANK(_xldudf_CX_PUSH(AS22*fxVal_normal,CX_ENTITY,$B22,AS$11,AS$14,AS$19,),""),IF($I22=2,IFBLANK(_xldudf_CX_PUSH(AS22,CX_ENTITY,$B22,AS$11,AS$14,AS$19,),""),IF($I22=3,"",IFBLANK(_xldudf_CX_PUSH(AS22,CX_ENTITY,$B22,AS$11,AS$14,AS$19,),"")))))),"")</f>
        <v/>
      </c>
      <c r="DG22" s="1883" t="str" cm="1">
        <f t="array" ca="1" aca="1" ref="DG22">IFERROR(IF(AT22*fxVal_normal=_BS!AT22,"",IF(OR(AT22="",NOT(ISNUMBER(AT22)),ISERROR(AT22),$B22=""),"",IF($I22=1,IFBLANK(_xldudf_CX_PUSH(AT22*fxVal_normal,CX_ENTITY,$B22,AT$11,AT$14,AT$19,),""),IF($I22=2,IFBLANK(_xldudf_CX_PUSH(AT22,CX_ENTITY,$B22,AT$11,AT$14,AT$19,),""),IF($I22=3,"",IFBLANK(_xldudf_CX_PUSH(AT22,CX_ENTITY,$B22,AT$11,AT$14,AT$19,),"")))))),"")</f>
        <v/>
      </c>
      <c r="DH22" s="1883" t="str" cm="1">
        <f t="array" ca="1" aca="1" ref="DH22">IFERROR(IF(AU22*fxVal_normal=_BS!AU22,"",IF(OR(AU22="",NOT(ISNUMBER(AU22)),ISERROR(AU22),$B22=""),"",IF($I22=1,IFBLANK(_xldudf_CX_PUSH(AU22*fxVal_normal,CX_ENTITY,$B22,AU$11,AU$14,AU$19,),""),IF($I22=2,IFBLANK(_xldudf_CX_PUSH(AU22,CX_ENTITY,$B22,AU$11,AU$14,AU$19,),""),IF($I22=3,"",IFBLANK(_xldudf_CX_PUSH(AU22,CX_ENTITY,$B22,AU$11,AU$14,AU$19,),"")))))),"")</f>
        <v/>
      </c>
      <c r="DI22" s="1883" t="str" cm="1">
        <f t="array" ca="1" aca="1" ref="DI22">IFERROR(IF(AV22*fxVal_normal=_BS!AV22,"",IF(OR(AV22="",NOT(ISNUMBER(AV22)),ISERROR(AV22),$B22=""),"",IF($I22=1,IFBLANK(_xldudf_CX_PUSH(AV22*fxVal_normal,CX_ENTITY,$B22,AV$11,AV$14,AV$19,),""),IF($I22=2,IFBLANK(_xldudf_CX_PUSH(AV22,CX_ENTITY,$B22,AV$11,AV$14,AV$19,),""),IF($I22=3,"",IFBLANK(_xldudf_CX_PUSH(AV22,CX_ENTITY,$B22,AV$11,AV$14,AV$19,),"")))))),"")</f>
        <v/>
      </c>
      <c r="DJ22" s="1883" t="str" cm="1">
        <f t="array" ca="1" aca="1" ref="DJ22">IFERROR(IF(AW22*fxVal_normal=_BS!AW22,"",IF(OR(AW22="",NOT(ISNUMBER(AW22)),ISERROR(AW22),$B22=""),"",IF($I22=1,IFBLANK(_xldudf_CX_PUSH(AW22*fxVal_normal,CX_ENTITY,$B22,AW$11,AW$14,AW$19,),""),IF($I22=2,IFBLANK(_xldudf_CX_PUSH(AW22,CX_ENTITY,$B22,AW$11,AW$14,AW$19,),""),IF($I22=3,"",IFBLANK(_xldudf_CX_PUSH(AW22,CX_ENTITY,$B22,AW$11,AW$14,AW$19,),"")))))),"")</f>
        <v/>
      </c>
      <c r="DK22" s="1883" t="str" cm="1">
        <f t="array" ca="1" aca="1" ref="DK22">IFERROR(IF(AX22*fxVal_normal=_BS!AX22,"",IF(OR(AX22="",NOT(ISNUMBER(AX22)),ISERROR(AX22),$B22=""),"",IF($I22=1,IFBLANK(_xldudf_CX_PUSH(AX22*fxVal_normal,CX_ENTITY,$B22,AX$11,AX$14,AX$19,),""),IF($I22=2,IFBLANK(_xldudf_CX_PUSH(AX22,CX_ENTITY,$B22,AX$11,AX$14,AX$19,),""),IF($I22=3,"",IFBLANK(_xldudf_CX_PUSH(AX22,CX_ENTITY,$B22,AX$11,AX$14,AX$19,),"")))))),"")</f>
        <v/>
      </c>
      <c r="DL22" s="1883" t="str" cm="1">
        <f t="array" ca="1" aca="1" ref="DL22">IFERROR(IF(AY22*fxVal_normal=_BS!AY22,"",IF(OR(AY22="",NOT(ISNUMBER(AY22)),ISERROR(AY22),$B22=""),"",IF($I22=1,IFBLANK(_xldudf_CX_PUSH(AY22*fxVal_normal,CX_ENTITY,$B22,AY$11,AY$14,AY$19,),""),IF($I22=2,IFBLANK(_xldudf_CX_PUSH(AY22,CX_ENTITY,$B22,AY$11,AY$14,AY$19,),""),IF($I22=3,"",IFBLANK(_xldudf_CX_PUSH(AY22,CX_ENTITY,$B22,AY$11,AY$14,AY$19,),"")))))),"")</f>
        <v/>
      </c>
      <c r="DM22" s="1883" t="str" cm="1">
        <f t="array" ca="1" aca="1" ref="DM22">IFERROR(IF(AZ22*fxVal_normal=_BS!AZ22,"",IF(OR(AZ22="",NOT(ISNUMBER(AZ22)),ISERROR(AZ22),$B22=""),"",IF($I22=1,IFBLANK(_xldudf_CX_PUSH(AZ22*fxVal_normal,CX_ENTITY,$B22,AZ$11,AZ$14,AZ$19,),""),IF($I22=2,IFBLANK(_xldudf_CX_PUSH(AZ22,CX_ENTITY,$B22,AZ$11,AZ$14,AZ$19,),""),IF($I22=3,"",IFBLANK(_xldudf_CX_PUSH(AZ22,CX_ENTITY,$B22,AZ$11,AZ$14,AZ$19,),"")))))),"")</f>
        <v/>
      </c>
      <c r="DN22" s="1883" t="str" cm="1">
        <f t="array" ca="1" aca="1" ref="DN22">IFERROR(IF(BA22*fxVal_normal=_BS!BA22,"",IF(OR(BA22="",NOT(ISNUMBER(BA22)),ISERROR(BA22),$B22=""),"",IF($I22=1,IFBLANK(_xldudf_CX_PUSH(BA22*fxVal_normal,CX_ENTITY,$B22,BA$11,BA$14,BA$19,),""),IF($I22=2,IFBLANK(_xldudf_CX_PUSH(BA22,CX_ENTITY,$B22,BA$11,BA$14,BA$19,),""),IF($I22=3,"",IFBLANK(_xldudf_CX_PUSH(BA22,CX_ENTITY,$B22,BA$11,BA$14,BA$19,),"")))))),"")</f>
        <v/>
      </c>
      <c r="DO22" s="1883" t="str" cm="1">
        <f t="array" ca="1" aca="1" ref="DO22">IFERROR(IF(BB22*fxVal_normal=_BS!BB22,"",IF(OR(BB22="",NOT(ISNUMBER(BB22)),ISERROR(BB22),$B22=""),"",IF($I22=1,IFBLANK(_xldudf_CX_PUSH(BB22*fxVal_normal,CX_ENTITY,$B22,BB$11,BB$14,BB$19,),""),IF($I22=2,IFBLANK(_xldudf_CX_PUSH(BB22,CX_ENTITY,$B22,BB$11,BB$14,BB$19,),""),IF($I22=3,"",IFBLANK(_xldudf_CX_PUSH(BB22,CX_ENTITY,$B22,BB$11,BB$14,BB$19,),"")))))),"")</f>
        <v/>
      </c>
      <c r="DP22" s="1883" t="str" cm="1">
        <f t="array" ca="1" aca="1" ref="DP22">IFERROR(IF(BC22*fxVal_normal=_BS!BC22,"",IF(OR(BC22="",NOT(ISNUMBER(BC22)),ISERROR(BC22),$B22=""),"",IF($I22=1,IFBLANK(_xldudf_CX_PUSH(BC22*fxVal_normal,CX_ENTITY,$B22,BC$11,BC$14,BC$19,),""),IF($I22=2,IFBLANK(_xldudf_CX_PUSH(BC22,CX_ENTITY,$B22,BC$11,BC$14,BC$19,),""),IF($I22=3,"",IFBLANK(_xldudf_CX_PUSH(BC22,CX_ENTITY,$B22,BC$11,BC$14,BC$19,),"")))))),"")</f>
        <v/>
      </c>
      <c r="DQ22" s="1883" t="str" cm="1">
        <f t="array" ca="1" aca="1" ref="DQ22">IFERROR(IF(BD22*fxVal_normal=_BS!BD22,"",IF(OR(BD22="",NOT(ISNUMBER(BD22)),ISERROR(BD22),$B22=""),"",IF($I22=1,IFBLANK(_xldudf_CX_PUSH(BD22*fxVal_normal,CX_ENTITY,$B22,BD$11,BD$14,BD$19,),""),IF($I22=2,IFBLANK(_xldudf_CX_PUSH(BD22,CX_ENTITY,$B22,BD$11,BD$14,BD$19,),""),IF($I22=3,"",IFBLANK(_xldudf_CX_PUSH(BD22,CX_ENTITY,$B22,BD$11,BD$14,BD$19,),"")))))),"")</f>
        <v/>
      </c>
      <c r="DR22" s="1883" t="str" cm="1">
        <f t="array" ca="1" aca="1" ref="DR22">IFERROR(IF(BE22*fxVal_normal=_BS!BE22,"",IF(OR(BE22="",NOT(ISNUMBER(BE22)),ISERROR(BE22),$B22=""),"",IF($I22=1,IFBLANK(_xldudf_CX_PUSH(BE22*fxVal_normal,CX_ENTITY,$B22,BE$11,BE$14,BE$19,),""),IF($I22=2,IFBLANK(_xldudf_CX_PUSH(BE22,CX_ENTITY,$B22,BE$11,BE$14,BE$19,),""),IF($I22=3,"",IFBLANK(_xldudf_CX_PUSH(BE22,CX_ENTITY,$B22,BE$11,BE$14,BE$19,),"")))))),"")</f>
        <v/>
      </c>
      <c r="DS22" s="1883" t="str" cm="1">
        <f t="array" ca="1" aca="1" ref="DS22">IFERROR(IF(BF22*fxVal_normal=_BS!BF22,"",IF(OR(BF22="",NOT(ISNUMBER(BF22)),ISERROR(BF22),$B22=""),"",IF($I22=1,IFBLANK(_xldudf_CX_PUSH(BF22*fxVal_normal,CX_ENTITY,$B22,BF$11,BF$14,BF$19,),""),IF($I22=2,IFBLANK(_xldudf_CX_PUSH(BF22,CX_ENTITY,$B22,BF$11,BF$14,BF$19,),""),IF($I22=3,"",IFBLANK(_xldudf_CX_PUSH(BF22,CX_ENTITY,$B22,BF$11,BF$14,BF$19,),"")))))),"")</f>
        <v/>
      </c>
      <c r="DT22" s="1883" t="str" cm="1">
        <f t="array" ca="1" aca="1" ref="DT22">IFERROR(IF(BG22*fxVal_normal=_BS!BG22,"",IF(OR(BG22="",NOT(ISNUMBER(BG22)),ISERROR(BG22),$B22=""),"",IF($I22=1,IFBLANK(_xldudf_CX_PUSH(BG22*fxVal_normal,CX_ENTITY,$B22,BG$11,BG$14,BG$19,),""),IF($I22=2,IFBLANK(_xldudf_CX_PUSH(BG22,CX_ENTITY,$B22,BG$11,BG$14,BG$19,),""),IF($I22=3,"",IFBLANK(_xldudf_CX_PUSH(BG22,CX_ENTITY,$B22,BG$11,BG$14,BG$19,),"")))))),"")</f>
        <v/>
      </c>
      <c r="DU22" s="1883" t="str" cm="1">
        <f t="array" ca="1" aca="1" ref="DU22">IFERROR(IF(BH22*fxVal_normal=_BS!BH22,"",IF(OR(BH22="",NOT(ISNUMBER(BH22)),ISERROR(BH22),$B22=""),"",IF($I22=1,IFBLANK(_xldudf_CX_PUSH(BH22*fxVal_normal,CX_ENTITY,$B22,BH$11,BH$14,BH$19,),""),IF($I22=2,IFBLANK(_xldudf_CX_PUSH(BH22,CX_ENTITY,$B22,BH$11,BH$14,BH$19,),""),IF($I22=3,"",IFBLANK(_xldudf_CX_PUSH(BH22,CX_ENTITY,$B22,BH$11,BH$14,BH$19,),"")))))),"")</f>
        <v/>
      </c>
      <c r="DV22" s="1883" t="str" cm="1">
        <f t="array" ca="1" aca="1" ref="DV22">IFERROR(IF(BI22*fxVal_normal=_BS!BI22,"",IF(OR(BI22="",NOT(ISNUMBER(BI22)),ISERROR(BI22),$B22=""),"",IF($I22=1,IFBLANK(_xldudf_CX_PUSH(BI22*fxVal_normal,CX_ENTITY,$B22,BI$11,BI$14,BI$19,),""),IF($I22=2,IFBLANK(_xldudf_CX_PUSH(BI22,CX_ENTITY,$B22,BI$11,BI$14,BI$19,),""),IF($I22=3,"",IFBLANK(_xldudf_CX_PUSH(BI22,CX_ENTITY,$B22,BI$11,BI$14,BI$19,),"")))))),"")</f>
        <v/>
      </c>
      <c r="DW22" s="1883" t="str" cm="1">
        <f t="array" ca="1" aca="1" ref="DW22">IFERROR(IF(BJ22*fxVal_normal=_BS!BJ22,"",IF(OR(BJ22="",NOT(ISNUMBER(BJ22)),ISERROR(BJ22),$B22=""),"",IF($I22=1,IFBLANK(_xldudf_CX_PUSH(BJ22*fxVal_normal,CX_ENTITY,$B22,BJ$11,BJ$14,BJ$19,),""),IF($I22=2,IFBLANK(_xldudf_CX_PUSH(BJ22,CX_ENTITY,$B22,BJ$11,BJ$14,BJ$19,),""),IF($I22=3,"",IFBLANK(_xldudf_CX_PUSH(BJ22,CX_ENTITY,$B22,BJ$11,BJ$14,BJ$19,),"")))))),"")</f>
        <v/>
      </c>
      <c r="DX22" s="1883" t="str" cm="1">
        <f t="array" ca="1" aca="1" ref="DX22">IFERROR(IF(BK22*fxVal_normal=_BS!BK22,"",IF(OR(BK22="",NOT(ISNUMBER(BK22)),ISERROR(BK22),$B22=""),"",IF($I22=1,IFBLANK(_xldudf_CX_PUSH(BK22*fxVal_normal,CX_ENTITY,$B22,BK$11,BK$14,BK$19,),""),IF($I22=2,IFBLANK(_xldudf_CX_PUSH(BK22,CX_ENTITY,$B22,BK$11,BK$14,BK$19,),""),IF($I22=3,"",IFBLANK(_xldudf_CX_PUSH(BK22,CX_ENTITY,$B22,BK$11,BK$14,BK$19,),"")))))),"")</f>
        <v/>
      </c>
      <c r="DY22" s="1883" t="str" cm="1">
        <f t="array" ca="1" aca="1" ref="DY22">IFERROR(IF(BL22*fxVal_normal=_BS!BL22,"",IF(OR(BL22="",NOT(ISNUMBER(BL22)),ISERROR(BL22),$B22=""),"",IF($I22=1,IFBLANK(_xldudf_CX_PUSH(BL22*fxVal_normal,CX_ENTITY,$B22,BL$11,BL$14,BL$19,),""),IF($I22=2,IFBLANK(_xldudf_CX_PUSH(BL22,CX_ENTITY,$B22,BL$11,BL$14,BL$19,),""),IF($I22=3,"",IFBLANK(_xldudf_CX_PUSH(BL22,CX_ENTITY,$B22,BL$11,BL$14,BL$19,),"")))))),"")</f>
        <v/>
      </c>
      <c r="DZ22" s="1883" t="str" cm="1">
        <f t="array" ca="1" aca="1" ref="DZ22">IFERROR(IF(BM22*fxVal_normal=_BS!BM22,"",IF(OR(BM22="",NOT(ISNUMBER(BM22)),ISERROR(BM22),$B22=""),"",IF($I22=1,IFBLANK(_xldudf_CX_PUSH(BM22*fxVal_normal,CX_ENTITY,$B22,BM$11,BM$14,BM$19,),""),IF($I22=2,IFBLANK(_xldudf_CX_PUSH(BM22,CX_ENTITY,$B22,BM$11,BM$14,BM$19,),""),IF($I22=3,"",IFBLANK(_xldudf_CX_PUSH(BM22,CX_ENTITY,$B22,BM$11,BM$14,BM$19,),"")))))),"")</f>
        <v/>
      </c>
      <c r="EA22" s="1883" t="str" cm="1">
        <f t="array" ca="1" aca="1" ref="EA22">IFERROR(IF(BN22*fxVal_normal=_BS!BN22,"",IF(OR(BN22="",NOT(ISNUMBER(BN22)),ISERROR(BN22),$B22=""),"",IF($I22=1,IFBLANK(_xldudf_CX_PUSH(BN22*fxVal_normal,CX_ENTITY,$B22,BN$11,BN$14,BN$19,),""),IF($I22=2,IFBLANK(_xldudf_CX_PUSH(BN22,CX_ENTITY,$B22,BN$11,BN$14,BN$19,),""),IF($I22=3,"",IFBLANK(_xldudf_CX_PUSH(BN22,CX_ENTITY,$B22,BN$11,BN$14,BN$19,),"")))))),"")</f>
        <v/>
      </c>
    </row>
    <row r="23" spans="1:131" ht="21" customHeight="1">
      <c r="A23" s="1625"/>
      <c r="B23" s="695" t="str" cm="1">
        <f t="array" ref="B23">IFBLANK(_BS!F23,"")</f>
        <v>Non-Current Assets</v>
      </c>
      <c r="C23" s="3340" t="str" cm="1">
        <f t="array" ref="C23">IFBLANK(_BS!C23,"")</f>
        <v>Non-Current Asset (Company View)</v>
      </c>
      <c r="D23" s="1548"/>
      <c r="E23" s="1902" t="e" cm="1">
        <f t="array" ca="1" aca="1" ref="E2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CH23,Z23)</f>
        <v>#NAME?</v>
      </c>
      <c r="F23" s="1897"/>
      <c r="G23" s="1897"/>
      <c r="H23" s="3279">
        <v>2</v>
      </c>
      <c r="I23" s="3279">
        <v>1</v>
      </c>
      <c r="J23" s="578"/>
      <c r="L23" s="921"/>
      <c r="M23" s="921"/>
      <c r="N23" s="158"/>
      <c r="O23" s="101"/>
      <c r="P23" s="52"/>
      <c r="Q23" s="101"/>
      <c r="R23" s="101"/>
      <c r="S23" s="101"/>
      <c r="T23" s="101"/>
      <c r="U23" s="39"/>
      <c r="V23" s="921"/>
      <c r="W23" s="961" t="str">
        <f t="shared" si="1"/>
        <v>Actual</v>
      </c>
      <c r="X23" s="1294">
        <f>_BS!X23</f>
        <v>0</v>
      </c>
      <c r="Y23" s="3344" t="str">
        <f>_BS!Y23</f>
        <v>Non-Current Assets</v>
      </c>
      <c r="Z23" s="198" cm="1">
        <f t="array" ref="Z23">_xlfn.SWITCH(TRUE,_BS!$L23=TRUE,1,_BS!$L23=FALSE,-1,_BS!$L23=-1,0,"n/a")</f>
        <v>0</v>
      </c>
      <c r="AA23" s="924"/>
      <c r="AB23" s="3345" t="str">
        <f>_BS!AB23</f>
        <v>Non-Current Assets</v>
      </c>
      <c r="AC23" s="88" t="str" cm="1">
        <f t="array" ca="1" aca="1" ref="AC23">_xlfn.LET(_xlpm._termname,$AB23,_xlpm._iconname,"find",_xlpm._icon,fx_getIcon(_xlpm._iconname),_xlpm._location,_xlfn.XLOOKUP(LOWER(_xlpm._termname),LOWER(tbl_acctDef[Term]),tbl_acctDef[Term]),_xlpm._hyperlink,HYPERLINK("#"&amp;CELL("address",_xlpm._location),_xlpm._icon),IFERROR(_xlpm._hyperlink,""))</f>
        <v/>
      </c>
      <c r="AD23" s="1668">
        <f>SUBTOTAL(9,AD20:AD22)</f>
        <v>3</v>
      </c>
      <c r="AE23" s="919">
        <f t="shared" si="2" ref="AE23:BN23">SUBTOTAL(9,AE20:AE22)</f>
        <v>3</v>
      </c>
      <c r="AF23" s="919">
        <f t="shared" si="2"/>
        <v>3</v>
      </c>
      <c r="AG23" s="919">
        <f t="shared" si="2"/>
        <v>3</v>
      </c>
      <c r="AH23" s="919">
        <f t="shared" si="2"/>
        <v>3</v>
      </c>
      <c r="AI23" s="919">
        <f t="shared" si="2"/>
        <v>3</v>
      </c>
      <c r="AJ23" s="919">
        <f t="shared" si="2"/>
        <v>3</v>
      </c>
      <c r="AK23" s="919">
        <f t="shared" si="2"/>
        <v>3</v>
      </c>
      <c r="AL23" s="919">
        <f t="shared" si="2"/>
        <v>3</v>
      </c>
      <c r="AM23" s="919">
        <f t="shared" si="2"/>
        <v>3</v>
      </c>
      <c r="AN23" s="919">
        <f t="shared" si="2"/>
        <v>3</v>
      </c>
      <c r="AO23" s="919">
        <f t="shared" si="2"/>
        <v>3</v>
      </c>
      <c r="AP23" s="919">
        <f t="shared" si="2"/>
        <v>3</v>
      </c>
      <c r="AQ23" s="919">
        <f t="shared" si="2"/>
        <v>3</v>
      </c>
      <c r="AR23" s="919">
        <f t="shared" si="2"/>
        <v>3</v>
      </c>
      <c r="AS23" s="919">
        <f t="shared" si="2"/>
        <v>3</v>
      </c>
      <c r="AT23" s="919">
        <f t="shared" si="2"/>
        <v>3</v>
      </c>
      <c r="AU23" s="919">
        <f t="shared" si="2"/>
        <v>3</v>
      </c>
      <c r="AV23" s="919">
        <f t="shared" si="2"/>
        <v>3</v>
      </c>
      <c r="AW23" s="919">
        <f t="shared" si="2"/>
        <v>3</v>
      </c>
      <c r="AX23" s="919">
        <f t="shared" si="2"/>
        <v>3</v>
      </c>
      <c r="AY23" s="919">
        <f t="shared" si="2"/>
        <v>3</v>
      </c>
      <c r="AZ23" s="919">
        <f t="shared" si="2"/>
        <v>3</v>
      </c>
      <c r="BA23" s="919">
        <f t="shared" si="2"/>
        <v>3</v>
      </c>
      <c r="BB23" s="919">
        <f t="shared" si="2"/>
        <v>3</v>
      </c>
      <c r="BC23" s="919">
        <f t="shared" si="2"/>
        <v>3</v>
      </c>
      <c r="BD23" s="919">
        <f t="shared" si="2"/>
        <v>3</v>
      </c>
      <c r="BE23" s="919">
        <f t="shared" si="2"/>
        <v>3</v>
      </c>
      <c r="BF23" s="919">
        <f t="shared" si="2"/>
        <v>3</v>
      </c>
      <c r="BG23" s="919">
        <f t="shared" si="2"/>
        <v>3</v>
      </c>
      <c r="BH23" s="919">
        <f t="shared" si="2"/>
        <v>3</v>
      </c>
      <c r="BI23" s="919">
        <f t="shared" si="2"/>
        <v>3</v>
      </c>
      <c r="BJ23" s="919">
        <f t="shared" si="2"/>
        <v>3</v>
      </c>
      <c r="BK23" s="919">
        <f t="shared" si="2"/>
        <v>3</v>
      </c>
      <c r="BL23" s="919">
        <f t="shared" si="2"/>
        <v>3</v>
      </c>
      <c r="BM23" s="919">
        <f t="shared" si="2"/>
        <v>3</v>
      </c>
      <c r="BN23" s="919">
        <f t="shared" si="2"/>
        <v>3</v>
      </c>
      <c r="BO23" s="2117"/>
      <c r="BP23" s="2117"/>
      <c r="BQ23" s="2117"/>
      <c r="BR23" s="2117"/>
      <c r="BS23" s="2117"/>
      <c r="BT23" s="2117"/>
      <c r="BU23" s="2117"/>
      <c r="BV23" s="2117"/>
      <c r="BW23" s="2117"/>
      <c r="BX23" s="2117"/>
      <c r="BY23" s="2117"/>
      <c r="BZ23" s="2117"/>
      <c r="CA23" s="926"/>
      <c r="CB23" s="921"/>
      <c r="CC23" s="927"/>
      <c r="CD23" s="919" t="e" cm="1">
        <f t="array" ca="1" aca="1" ref="CD23">_xlfn.XLOOKUP(BS!CD$11,array_timeline,BS!$AD23:$BN23)</f>
        <v>#NAME?</v>
      </c>
      <c r="CE23" s="919" t="e" cm="1">
        <f t="array" ca="1" aca="1" ref="CE23">_xlfn.XLOOKUP(BS!CE$11,array_timeline,BS!$AD23:$BN23)</f>
        <v>#NAME?</v>
      </c>
      <c r="CF23" s="925"/>
      <c r="CG23" s="919" t="e">
        <f ca="1">SUBTOTAL(9,CG20:CG22)</f>
        <v>#NAME?</v>
      </c>
      <c r="CH23" s="919" t="e">
        <f ca="1">SUBTOTAL(9,CH20:CH22)</f>
        <v>#NAME?</v>
      </c>
      <c r="CI23" s="924"/>
      <c r="CK23" s="2085" t="str" cm="1">
        <f t="array" ref="CK23">IFERROR(IF(Y23&lt;&gt;AB23,_xldudf_CX_PUSH(Y23,CX_ENTITY,C23,EOMONTH(val_asOfDate,0)),""),"")</f>
        <v/>
      </c>
      <c r="CL23" s="2085" t="str" cm="1">
        <f t="array" ref="CL23">IFERROR(IF(Y23&lt;&gt;AB23,_xldudf_CX_PUSH(Y23,CX_ENTITY,C23,EOMONTH(val_asOfDate,1)),""),"")</f>
        <v/>
      </c>
      <c r="CM23" s="2085" t="str" cm="1">
        <f t="array" ref="CM23">IFERROR(IF(Y23&lt;&gt;AB23,_xldudf_CX_PUSH(Y23,CX_ENTITY,C23,EOMONTH(val_asOfDate,2)),""),"")</f>
        <v/>
      </c>
      <c r="CN23" s="2085" t="str" cm="1">
        <f t="array" ref="CN23">IFERROR(IF(Y23&lt;&gt;AB23,_xldudf_CX_PUSH(Y23,CX_ENTITY,C23,EOMONTH(val_asOfDate,3)),""),"")</f>
        <v/>
      </c>
      <c r="CO23" s="2086" t="str" cm="1">
        <f t="array" ca="1" aca="1" ref="CO23">IFERROR(IF(CG23*fxVal_normal=_BS!CG23,"",IF(OR($CG23="",$CG23=0,NOT(ISNUMBER($CG23)),ISERROR($CG23),$B23=""),"",IF($I23=1,IFBLANK(_xldudf_CX_PUSH($CG23*10^6,CX_ENTITY,$B23,$CG$11,$CG$14,$CG$19,),""),IF($I23=2,IFBLANK(_xldudf_CX_PUSH($CG23,CX_ENTITY,$B23,$CG$11,$CG$14,$CG$19,),""),IF($I23=3,"",IFBLANK(_xldudf_CX_PUSH($CG23,CX_ENTITY,$B23,$CG$11,$CG$14,$CG$19,),"")))))),"")</f>
        <v/>
      </c>
      <c r="CP23" s="2086" t="str" cm="1">
        <f t="array" ca="1" aca="1" ref="CP23">IFERROR(IF(CH23*fxVal_normal=_BS!CH23,"",IF(OR($CH23="",$CH23=0,NOT(ISNUMBER($CH23)),ISERROR($CH23),$B23=""),"",IF($I23=1,IFBLANK(_xldudf_CX_PUSH($CH23*10^6,CX_ENTITY,$B23,$CH$11,$CH$14,$CH$19,),""),IF($I23=2,IFBLANK(_xldudf_CX_PUSH($CH23,CX_ENTITY,$B23,$CH$11,$CH$14,$CH$19,),""),IF($I23=3,"",IFBLANK(_xldudf_CX_PUSH($CH23,CX_ENTITY,$B23,$CH$11,$CH$14,$CH$19,),"")))))),"")</f>
        <v/>
      </c>
      <c r="CQ23" s="1883" t="str" cm="1">
        <f t="array" ca="1" aca="1" ref="CQ23">IFERROR(IF(AD23*fxVal_normal=_BS!AD23,"",IF(OR(AD23="",NOT(ISNUMBER(AD23)),ISERROR(AD23),$B23=""),"",IF($I23=1,IFBLANK(_xldudf_CX_PUSH(AD23*fxVal_normal,CX_ENTITY,$B23,AD$11,AD$14,AD$19,),""),IF($I23=2,IFBLANK(_xldudf_CX_PUSH(AD23,CX_ENTITY,$B23,AD$11,AD$14,AD$19,),""),IF($I23=3,"",IFBLANK(_xldudf_CX_PUSH(AD23,CX_ENTITY,$B23,AD$11,AD$14,AD$19,),"")))))),"")</f>
        <v/>
      </c>
      <c r="CR23" s="1883" t="str" cm="1">
        <f t="array" ca="1" aca="1" ref="CR23">IFERROR(IF(AE23*fxVal_normal=_BS!AE23,"",IF(OR(AE23="",NOT(ISNUMBER(AE23)),ISERROR(AE23),$B23=""),"",IF($I23=1,IFBLANK(_xldudf_CX_PUSH(AE23*fxVal_normal,CX_ENTITY,$B23,AE$11,AE$14,AE$19,),""),IF($I23=2,IFBLANK(_xldudf_CX_PUSH(AE23,CX_ENTITY,$B23,AE$11,AE$14,AE$19,),""),IF($I23=3,"",IFBLANK(_xldudf_CX_PUSH(AE23,CX_ENTITY,$B23,AE$11,AE$14,AE$19,),"")))))),"")</f>
        <v/>
      </c>
      <c r="CS23" s="1883" t="str" cm="1">
        <f t="array" ca="1" aca="1" ref="CS23">IFERROR(IF(AF23*fxVal_normal=_BS!AF23,"",IF(OR(AF23="",NOT(ISNUMBER(AF23)),ISERROR(AF23),$B23=""),"",IF($I23=1,IFBLANK(_xldudf_CX_PUSH(AF23*fxVal_normal,CX_ENTITY,$B23,AF$11,AF$14,AF$19,),""),IF($I23=2,IFBLANK(_xldudf_CX_PUSH(AF23,CX_ENTITY,$B23,AF$11,AF$14,AF$19,),""),IF($I23=3,"",IFBLANK(_xldudf_CX_PUSH(AF23,CX_ENTITY,$B23,AF$11,AF$14,AF$19,),"")))))),"")</f>
        <v/>
      </c>
      <c r="CT23" s="1883" t="str" cm="1">
        <f t="array" ca="1" aca="1" ref="CT23">IFERROR(IF(AG23*fxVal_normal=_BS!AG23,"",IF(OR(AG23="",NOT(ISNUMBER(AG23)),ISERROR(AG23),$B23=""),"",IF($I23=1,IFBLANK(_xldudf_CX_PUSH(AG23*fxVal_normal,CX_ENTITY,$B23,AG$11,AG$14,AG$19,),""),IF($I23=2,IFBLANK(_xldudf_CX_PUSH(AG23,CX_ENTITY,$B23,AG$11,AG$14,AG$19,),""),IF($I23=3,"",IFBLANK(_xldudf_CX_PUSH(AG23,CX_ENTITY,$B23,AG$11,AG$14,AG$19,),"")))))),"")</f>
        <v/>
      </c>
      <c r="CU23" s="1883" t="str" cm="1">
        <f t="array" ca="1" aca="1" ref="CU23">IFERROR(IF(AH23*fxVal_normal=_BS!AH23,"",IF(OR(AH23="",NOT(ISNUMBER(AH23)),ISERROR(AH23),$B23=""),"",IF($I23=1,IFBLANK(_xldudf_CX_PUSH(AH23*fxVal_normal,CX_ENTITY,$B23,AH$11,AH$14,AH$19,),""),IF($I23=2,IFBLANK(_xldudf_CX_PUSH(AH23,CX_ENTITY,$B23,AH$11,AH$14,AH$19,),""),IF($I23=3,"",IFBLANK(_xldudf_CX_PUSH(AH23,CX_ENTITY,$B23,AH$11,AH$14,AH$19,),"")))))),"")</f>
        <v/>
      </c>
      <c r="CV23" s="1883" t="str" cm="1">
        <f t="array" ca="1" aca="1" ref="CV23">IFERROR(IF(AI23*fxVal_normal=_BS!AI23,"",IF(OR(AI23="",NOT(ISNUMBER(AI23)),ISERROR(AI23),$B23=""),"",IF($I23=1,IFBLANK(_xldudf_CX_PUSH(AI23*fxVal_normal,CX_ENTITY,$B23,AI$11,AI$14,AI$19,),""),IF($I23=2,IFBLANK(_xldudf_CX_PUSH(AI23,CX_ENTITY,$B23,AI$11,AI$14,AI$19,),""),IF($I23=3,"",IFBLANK(_xldudf_CX_PUSH(AI23,CX_ENTITY,$B23,AI$11,AI$14,AI$19,),"")))))),"")</f>
        <v/>
      </c>
      <c r="CW23" s="1883" t="str" cm="1">
        <f t="array" ca="1" aca="1" ref="CW23">IFERROR(IF(AJ23*fxVal_normal=_BS!AJ23,"",IF(OR(AJ23="",NOT(ISNUMBER(AJ23)),ISERROR(AJ23),$B23=""),"",IF($I23=1,IFBLANK(_xldudf_CX_PUSH(AJ23*fxVal_normal,CX_ENTITY,$B23,AJ$11,AJ$14,AJ$19,),""),IF($I23=2,IFBLANK(_xldudf_CX_PUSH(AJ23,CX_ENTITY,$B23,AJ$11,AJ$14,AJ$19,),""),IF($I23=3,"",IFBLANK(_xldudf_CX_PUSH(AJ23,CX_ENTITY,$B23,AJ$11,AJ$14,AJ$19,),"")))))),"")</f>
        <v/>
      </c>
      <c r="CX23" s="1883" t="str" cm="1">
        <f t="array" ca="1" aca="1" ref="CX23">IFERROR(IF(AK23*fxVal_normal=_BS!AK23,"",IF(OR(AK23="",NOT(ISNUMBER(AK23)),ISERROR(AK23),$B23=""),"",IF($I23=1,IFBLANK(_xldudf_CX_PUSH(AK23*fxVal_normal,CX_ENTITY,$B23,AK$11,AK$14,AK$19,),""),IF($I23=2,IFBLANK(_xldudf_CX_PUSH(AK23,CX_ENTITY,$B23,AK$11,AK$14,AK$19,),""),IF($I23=3,"",IFBLANK(_xldudf_CX_PUSH(AK23,CX_ENTITY,$B23,AK$11,AK$14,AK$19,),"")))))),"")</f>
        <v/>
      </c>
      <c r="CY23" s="1883" t="str" cm="1">
        <f t="array" ca="1" aca="1" ref="CY23">IFERROR(IF(AL23*fxVal_normal=_BS!AL23,"",IF(OR(AL23="",NOT(ISNUMBER(AL23)),ISERROR(AL23),$B23=""),"",IF($I23=1,IFBLANK(_xldudf_CX_PUSH(AL23*fxVal_normal,CX_ENTITY,$B23,AL$11,AL$14,AL$19,),""),IF($I23=2,IFBLANK(_xldudf_CX_PUSH(AL23,CX_ENTITY,$B23,AL$11,AL$14,AL$19,),""),IF($I23=3,"",IFBLANK(_xldudf_CX_PUSH(AL23,CX_ENTITY,$B23,AL$11,AL$14,AL$19,),"")))))),"")</f>
        <v/>
      </c>
      <c r="CZ23" s="1883" t="str" cm="1">
        <f t="array" ca="1" aca="1" ref="CZ23">IFERROR(IF(AM23*fxVal_normal=_BS!AM23,"",IF(OR(AM23="",NOT(ISNUMBER(AM23)),ISERROR(AM23),$B23=""),"",IF($I23=1,IFBLANK(_xldudf_CX_PUSH(AM23*fxVal_normal,CX_ENTITY,$B23,AM$11,AM$14,AM$19,),""),IF($I23=2,IFBLANK(_xldudf_CX_PUSH(AM23,CX_ENTITY,$B23,AM$11,AM$14,AM$19,),""),IF($I23=3,"",IFBLANK(_xldudf_CX_PUSH(AM23,CX_ENTITY,$B23,AM$11,AM$14,AM$19,),"")))))),"")</f>
        <v/>
      </c>
      <c r="DA23" s="1883" t="str" cm="1">
        <f t="array" ca="1" aca="1" ref="DA23">IFERROR(IF(AN23*fxVal_normal=_BS!AN23,"",IF(OR(AN23="",NOT(ISNUMBER(AN23)),ISERROR(AN23),$B23=""),"",IF($I23=1,IFBLANK(_xldudf_CX_PUSH(AN23*fxVal_normal,CX_ENTITY,$B23,AN$11,AN$14,AN$19,),""),IF($I23=2,IFBLANK(_xldudf_CX_PUSH(AN23,CX_ENTITY,$B23,AN$11,AN$14,AN$19,),""),IF($I23=3,"",IFBLANK(_xldudf_CX_PUSH(AN23,CX_ENTITY,$B23,AN$11,AN$14,AN$19,),"")))))),"")</f>
        <v/>
      </c>
      <c r="DB23" s="1883" t="str" cm="1">
        <f t="array" ca="1" aca="1" ref="DB23">IFERROR(IF(AO23*fxVal_normal=_BS!AO23,"",IF(OR(AO23="",NOT(ISNUMBER(AO23)),ISERROR(AO23),$B23=""),"",IF($I23=1,IFBLANK(_xldudf_CX_PUSH(AO23*fxVal_normal,CX_ENTITY,$B23,AO$11,AO$14,AO$19,),""),IF($I23=2,IFBLANK(_xldudf_CX_PUSH(AO23,CX_ENTITY,$B23,AO$11,AO$14,AO$19,),""),IF($I23=3,"",IFBLANK(_xldudf_CX_PUSH(AO23,CX_ENTITY,$B23,AO$11,AO$14,AO$19,),"")))))),"")</f>
        <v/>
      </c>
      <c r="DC23" s="1883" t="str" cm="1">
        <f t="array" ca="1" aca="1" ref="DC23">IFERROR(IF(AP23*fxVal_normal=_BS!AP23,"",IF(OR(AP23="",NOT(ISNUMBER(AP23)),ISERROR(AP23),$B23=""),"",IF($I23=1,IFBLANK(_xldudf_CX_PUSH(AP23*fxVal_normal,CX_ENTITY,$B23,AP$11,AP$14,AP$19,),""),IF($I23=2,IFBLANK(_xldudf_CX_PUSH(AP23,CX_ENTITY,$B23,AP$11,AP$14,AP$19,),""),IF($I23=3,"",IFBLANK(_xldudf_CX_PUSH(AP23,CX_ENTITY,$B23,AP$11,AP$14,AP$19,),"")))))),"")</f>
        <v/>
      </c>
      <c r="DD23" s="1883" t="str" cm="1">
        <f t="array" ca="1" aca="1" ref="DD23">IFERROR(IF(AQ23*fxVal_normal=_BS!AQ23,"",IF(OR(AQ23="",NOT(ISNUMBER(AQ23)),ISERROR(AQ23),$B23=""),"",IF($I23=1,IFBLANK(_xldudf_CX_PUSH(AQ23*fxVal_normal,CX_ENTITY,$B23,AQ$11,AQ$14,AQ$19,),""),IF($I23=2,IFBLANK(_xldudf_CX_PUSH(AQ23,CX_ENTITY,$B23,AQ$11,AQ$14,AQ$19,),""),IF($I23=3,"",IFBLANK(_xldudf_CX_PUSH(AQ23,CX_ENTITY,$B23,AQ$11,AQ$14,AQ$19,),"")))))),"")</f>
        <v/>
      </c>
      <c r="DE23" s="1883" t="str" cm="1">
        <f t="array" ca="1" aca="1" ref="DE23">IFERROR(IF(AR23*fxVal_normal=_BS!AR23,"",IF(OR(AR23="",NOT(ISNUMBER(AR23)),ISERROR(AR23),$B23=""),"",IF($I23=1,IFBLANK(_xldudf_CX_PUSH(AR23*fxVal_normal,CX_ENTITY,$B23,AR$11,AR$14,AR$19,),""),IF($I23=2,IFBLANK(_xldudf_CX_PUSH(AR23,CX_ENTITY,$B23,AR$11,AR$14,AR$19,),""),IF($I23=3,"",IFBLANK(_xldudf_CX_PUSH(AR23,CX_ENTITY,$B23,AR$11,AR$14,AR$19,),"")))))),"")</f>
        <v/>
      </c>
      <c r="DF23" s="1883" t="str" cm="1">
        <f t="array" ca="1" aca="1" ref="DF23">IFERROR(IF(AS23*fxVal_normal=_BS!AS23,"",IF(OR(AS23="",NOT(ISNUMBER(AS23)),ISERROR(AS23),$B23=""),"",IF($I23=1,IFBLANK(_xldudf_CX_PUSH(AS23*fxVal_normal,CX_ENTITY,$B23,AS$11,AS$14,AS$19,),""),IF($I23=2,IFBLANK(_xldudf_CX_PUSH(AS23,CX_ENTITY,$B23,AS$11,AS$14,AS$19,),""),IF($I23=3,"",IFBLANK(_xldudf_CX_PUSH(AS23,CX_ENTITY,$B23,AS$11,AS$14,AS$19,),"")))))),"")</f>
        <v/>
      </c>
      <c r="DG23" s="1883" t="str" cm="1">
        <f t="array" ca="1" aca="1" ref="DG23">IFERROR(IF(AT23*fxVal_normal=_BS!AT23,"",IF(OR(AT23="",NOT(ISNUMBER(AT23)),ISERROR(AT23),$B23=""),"",IF($I23=1,IFBLANK(_xldudf_CX_PUSH(AT23*fxVal_normal,CX_ENTITY,$B23,AT$11,AT$14,AT$19,),""),IF($I23=2,IFBLANK(_xldudf_CX_PUSH(AT23,CX_ENTITY,$B23,AT$11,AT$14,AT$19,),""),IF($I23=3,"",IFBLANK(_xldudf_CX_PUSH(AT23,CX_ENTITY,$B23,AT$11,AT$14,AT$19,),"")))))),"")</f>
        <v/>
      </c>
      <c r="DH23" s="1883" t="str" cm="1">
        <f t="array" ca="1" aca="1" ref="DH23">IFERROR(IF(AU23*fxVal_normal=_BS!AU23,"",IF(OR(AU23="",NOT(ISNUMBER(AU23)),ISERROR(AU23),$B23=""),"",IF($I23=1,IFBLANK(_xldudf_CX_PUSH(AU23*fxVal_normal,CX_ENTITY,$B23,AU$11,AU$14,AU$19,),""),IF($I23=2,IFBLANK(_xldudf_CX_PUSH(AU23,CX_ENTITY,$B23,AU$11,AU$14,AU$19,),""),IF($I23=3,"",IFBLANK(_xldudf_CX_PUSH(AU23,CX_ENTITY,$B23,AU$11,AU$14,AU$19,),"")))))),"")</f>
        <v/>
      </c>
      <c r="DI23" s="1883" t="str" cm="1">
        <f t="array" ca="1" aca="1" ref="DI23">IFERROR(IF(AV23*fxVal_normal=_BS!AV23,"",IF(OR(AV23="",NOT(ISNUMBER(AV23)),ISERROR(AV23),$B23=""),"",IF($I23=1,IFBLANK(_xldudf_CX_PUSH(AV23*fxVal_normal,CX_ENTITY,$B23,AV$11,AV$14,AV$19,),""),IF($I23=2,IFBLANK(_xldudf_CX_PUSH(AV23,CX_ENTITY,$B23,AV$11,AV$14,AV$19,),""),IF($I23=3,"",IFBLANK(_xldudf_CX_PUSH(AV23,CX_ENTITY,$B23,AV$11,AV$14,AV$19,),"")))))),"")</f>
        <v/>
      </c>
      <c r="DJ23" s="1883" t="str" cm="1">
        <f t="array" ca="1" aca="1" ref="DJ23">IFERROR(IF(AW23*fxVal_normal=_BS!AW23,"",IF(OR(AW23="",NOT(ISNUMBER(AW23)),ISERROR(AW23),$B23=""),"",IF($I23=1,IFBLANK(_xldudf_CX_PUSH(AW23*fxVal_normal,CX_ENTITY,$B23,AW$11,AW$14,AW$19,),""),IF($I23=2,IFBLANK(_xldudf_CX_PUSH(AW23,CX_ENTITY,$B23,AW$11,AW$14,AW$19,),""),IF($I23=3,"",IFBLANK(_xldudf_CX_PUSH(AW23,CX_ENTITY,$B23,AW$11,AW$14,AW$19,),"")))))),"")</f>
        <v/>
      </c>
      <c r="DK23" s="1883" t="str" cm="1">
        <f t="array" ca="1" aca="1" ref="DK23">IFERROR(IF(AX23*fxVal_normal=_BS!AX23,"",IF(OR(AX23="",NOT(ISNUMBER(AX23)),ISERROR(AX23),$B23=""),"",IF($I23=1,IFBLANK(_xldudf_CX_PUSH(AX23*fxVal_normal,CX_ENTITY,$B23,AX$11,AX$14,AX$19,),""),IF($I23=2,IFBLANK(_xldudf_CX_PUSH(AX23,CX_ENTITY,$B23,AX$11,AX$14,AX$19,),""),IF($I23=3,"",IFBLANK(_xldudf_CX_PUSH(AX23,CX_ENTITY,$B23,AX$11,AX$14,AX$19,),"")))))),"")</f>
        <v/>
      </c>
      <c r="DL23" s="1883" t="str" cm="1">
        <f t="array" ca="1" aca="1" ref="DL23">IFERROR(IF(AY23*fxVal_normal=_BS!AY23,"",IF(OR(AY23="",NOT(ISNUMBER(AY23)),ISERROR(AY23),$B23=""),"",IF($I23=1,IFBLANK(_xldudf_CX_PUSH(AY23*fxVal_normal,CX_ENTITY,$B23,AY$11,AY$14,AY$19,),""),IF($I23=2,IFBLANK(_xldudf_CX_PUSH(AY23,CX_ENTITY,$B23,AY$11,AY$14,AY$19,),""),IF($I23=3,"",IFBLANK(_xldudf_CX_PUSH(AY23,CX_ENTITY,$B23,AY$11,AY$14,AY$19,),"")))))),"")</f>
        <v/>
      </c>
      <c r="DM23" s="1883" t="str" cm="1">
        <f t="array" ca="1" aca="1" ref="DM23">IFERROR(IF(AZ23*fxVal_normal=_BS!AZ23,"",IF(OR(AZ23="",NOT(ISNUMBER(AZ23)),ISERROR(AZ23),$B23=""),"",IF($I23=1,IFBLANK(_xldudf_CX_PUSH(AZ23*fxVal_normal,CX_ENTITY,$B23,AZ$11,AZ$14,AZ$19,),""),IF($I23=2,IFBLANK(_xldudf_CX_PUSH(AZ23,CX_ENTITY,$B23,AZ$11,AZ$14,AZ$19,),""),IF($I23=3,"",IFBLANK(_xldudf_CX_PUSH(AZ23,CX_ENTITY,$B23,AZ$11,AZ$14,AZ$19,),"")))))),"")</f>
        <v/>
      </c>
      <c r="DN23" s="1883" t="str" cm="1">
        <f t="array" ca="1" aca="1" ref="DN23">IFERROR(IF(BA23*fxVal_normal=_BS!BA23,"",IF(OR(BA23="",NOT(ISNUMBER(BA23)),ISERROR(BA23),$B23=""),"",IF($I23=1,IFBLANK(_xldudf_CX_PUSH(BA23*fxVal_normal,CX_ENTITY,$B23,BA$11,BA$14,BA$19,),""),IF($I23=2,IFBLANK(_xldudf_CX_PUSH(BA23,CX_ENTITY,$B23,BA$11,BA$14,BA$19,),""),IF($I23=3,"",IFBLANK(_xldudf_CX_PUSH(BA23,CX_ENTITY,$B23,BA$11,BA$14,BA$19,),"")))))),"")</f>
        <v/>
      </c>
      <c r="DO23" s="1883" t="str" cm="1">
        <f t="array" ca="1" aca="1" ref="DO23">IFERROR(IF(BB23*fxVal_normal=_BS!BB23,"",IF(OR(BB23="",NOT(ISNUMBER(BB23)),ISERROR(BB23),$B23=""),"",IF($I23=1,IFBLANK(_xldudf_CX_PUSH(BB23*fxVal_normal,CX_ENTITY,$B23,BB$11,BB$14,BB$19,),""),IF($I23=2,IFBLANK(_xldudf_CX_PUSH(BB23,CX_ENTITY,$B23,BB$11,BB$14,BB$19,),""),IF($I23=3,"",IFBLANK(_xldudf_CX_PUSH(BB23,CX_ENTITY,$B23,BB$11,BB$14,BB$19,),"")))))),"")</f>
        <v/>
      </c>
      <c r="DP23" s="1883" t="str" cm="1">
        <f t="array" ca="1" aca="1" ref="DP23">IFERROR(IF(BC23*fxVal_normal=_BS!BC23,"",IF(OR(BC23="",NOT(ISNUMBER(BC23)),ISERROR(BC23),$B23=""),"",IF($I23=1,IFBLANK(_xldudf_CX_PUSH(BC23*fxVal_normal,CX_ENTITY,$B23,BC$11,BC$14,BC$19,),""),IF($I23=2,IFBLANK(_xldudf_CX_PUSH(BC23,CX_ENTITY,$B23,BC$11,BC$14,BC$19,),""),IF($I23=3,"",IFBLANK(_xldudf_CX_PUSH(BC23,CX_ENTITY,$B23,BC$11,BC$14,BC$19,),"")))))),"")</f>
        <v/>
      </c>
      <c r="DQ23" s="1883" t="str" cm="1">
        <f t="array" ca="1" aca="1" ref="DQ23">IFERROR(IF(BD23*fxVal_normal=_BS!BD23,"",IF(OR(BD23="",NOT(ISNUMBER(BD23)),ISERROR(BD23),$B23=""),"",IF($I23=1,IFBLANK(_xldudf_CX_PUSH(BD23*fxVal_normal,CX_ENTITY,$B23,BD$11,BD$14,BD$19,),""),IF($I23=2,IFBLANK(_xldudf_CX_PUSH(BD23,CX_ENTITY,$B23,BD$11,BD$14,BD$19,),""),IF($I23=3,"",IFBLANK(_xldudf_CX_PUSH(BD23,CX_ENTITY,$B23,BD$11,BD$14,BD$19,),"")))))),"")</f>
        <v/>
      </c>
      <c r="DR23" s="1883" t="str" cm="1">
        <f t="array" ca="1" aca="1" ref="DR23">IFERROR(IF(BE23*fxVal_normal=_BS!BE23,"",IF(OR(BE23="",NOT(ISNUMBER(BE23)),ISERROR(BE23),$B23=""),"",IF($I23=1,IFBLANK(_xldudf_CX_PUSH(BE23*fxVal_normal,CX_ENTITY,$B23,BE$11,BE$14,BE$19,),""),IF($I23=2,IFBLANK(_xldudf_CX_PUSH(BE23,CX_ENTITY,$B23,BE$11,BE$14,BE$19,),""),IF($I23=3,"",IFBLANK(_xldudf_CX_PUSH(BE23,CX_ENTITY,$B23,BE$11,BE$14,BE$19,),"")))))),"")</f>
        <v/>
      </c>
      <c r="DS23" s="1883" t="str" cm="1">
        <f t="array" ca="1" aca="1" ref="DS23">IFERROR(IF(BF23*fxVal_normal=_BS!BF23,"",IF(OR(BF23="",NOT(ISNUMBER(BF23)),ISERROR(BF23),$B23=""),"",IF($I23=1,IFBLANK(_xldudf_CX_PUSH(BF23*fxVal_normal,CX_ENTITY,$B23,BF$11,BF$14,BF$19,),""),IF($I23=2,IFBLANK(_xldudf_CX_PUSH(BF23,CX_ENTITY,$B23,BF$11,BF$14,BF$19,),""),IF($I23=3,"",IFBLANK(_xldudf_CX_PUSH(BF23,CX_ENTITY,$B23,BF$11,BF$14,BF$19,),"")))))),"")</f>
        <v/>
      </c>
      <c r="DT23" s="1883" t="str" cm="1">
        <f t="array" ca="1" aca="1" ref="DT23">IFERROR(IF(BG23*fxVal_normal=_BS!BG23,"",IF(OR(BG23="",NOT(ISNUMBER(BG23)),ISERROR(BG23),$B23=""),"",IF($I23=1,IFBLANK(_xldudf_CX_PUSH(BG23*fxVal_normal,CX_ENTITY,$B23,BG$11,BG$14,BG$19,),""),IF($I23=2,IFBLANK(_xldudf_CX_PUSH(BG23,CX_ENTITY,$B23,BG$11,BG$14,BG$19,),""),IF($I23=3,"",IFBLANK(_xldudf_CX_PUSH(BG23,CX_ENTITY,$B23,BG$11,BG$14,BG$19,),"")))))),"")</f>
        <v/>
      </c>
      <c r="DU23" s="1883" t="str" cm="1">
        <f t="array" ca="1" aca="1" ref="DU23">IFERROR(IF(BH23*fxVal_normal=_BS!BH23,"",IF(OR(BH23="",NOT(ISNUMBER(BH23)),ISERROR(BH23),$B23=""),"",IF($I23=1,IFBLANK(_xldudf_CX_PUSH(BH23*fxVal_normal,CX_ENTITY,$B23,BH$11,BH$14,BH$19,),""),IF($I23=2,IFBLANK(_xldudf_CX_PUSH(BH23,CX_ENTITY,$B23,BH$11,BH$14,BH$19,),""),IF($I23=3,"",IFBLANK(_xldudf_CX_PUSH(BH23,CX_ENTITY,$B23,BH$11,BH$14,BH$19,),"")))))),"")</f>
        <v/>
      </c>
      <c r="DV23" s="1883" t="str" cm="1">
        <f t="array" ca="1" aca="1" ref="DV23">IFERROR(IF(BI23*fxVal_normal=_BS!BI23,"",IF(OR(BI23="",NOT(ISNUMBER(BI23)),ISERROR(BI23),$B23=""),"",IF($I23=1,IFBLANK(_xldudf_CX_PUSH(BI23*fxVal_normal,CX_ENTITY,$B23,BI$11,BI$14,BI$19,),""),IF($I23=2,IFBLANK(_xldudf_CX_PUSH(BI23,CX_ENTITY,$B23,BI$11,BI$14,BI$19,),""),IF($I23=3,"",IFBLANK(_xldudf_CX_PUSH(BI23,CX_ENTITY,$B23,BI$11,BI$14,BI$19,),"")))))),"")</f>
        <v/>
      </c>
      <c r="DW23" s="1883" t="str" cm="1">
        <f t="array" ca="1" aca="1" ref="DW23">IFERROR(IF(BJ23*fxVal_normal=_BS!BJ23,"",IF(OR(BJ23="",NOT(ISNUMBER(BJ23)),ISERROR(BJ23),$B23=""),"",IF($I23=1,IFBLANK(_xldudf_CX_PUSH(BJ23*fxVal_normal,CX_ENTITY,$B23,BJ$11,BJ$14,BJ$19,),""),IF($I23=2,IFBLANK(_xldudf_CX_PUSH(BJ23,CX_ENTITY,$B23,BJ$11,BJ$14,BJ$19,),""),IF($I23=3,"",IFBLANK(_xldudf_CX_PUSH(BJ23,CX_ENTITY,$B23,BJ$11,BJ$14,BJ$19,),"")))))),"")</f>
        <v/>
      </c>
      <c r="DX23" s="1883" t="str" cm="1">
        <f t="array" ca="1" aca="1" ref="DX23">IFERROR(IF(BK23*fxVal_normal=_BS!BK23,"",IF(OR(BK23="",NOT(ISNUMBER(BK23)),ISERROR(BK23),$B23=""),"",IF($I23=1,IFBLANK(_xldudf_CX_PUSH(BK23*fxVal_normal,CX_ENTITY,$B23,BK$11,BK$14,BK$19,),""),IF($I23=2,IFBLANK(_xldudf_CX_PUSH(BK23,CX_ENTITY,$B23,BK$11,BK$14,BK$19,),""),IF($I23=3,"",IFBLANK(_xldudf_CX_PUSH(BK23,CX_ENTITY,$B23,BK$11,BK$14,BK$19,),"")))))),"")</f>
        <v/>
      </c>
      <c r="DY23" s="1883" t="str" cm="1">
        <f t="array" ca="1" aca="1" ref="DY23">IFERROR(IF(BL23*fxVal_normal=_BS!BL23,"",IF(OR(BL23="",NOT(ISNUMBER(BL23)),ISERROR(BL23),$B23=""),"",IF($I23=1,IFBLANK(_xldudf_CX_PUSH(BL23*fxVal_normal,CX_ENTITY,$B23,BL$11,BL$14,BL$19,),""),IF($I23=2,IFBLANK(_xldudf_CX_PUSH(BL23,CX_ENTITY,$B23,BL$11,BL$14,BL$19,),""),IF($I23=3,"",IFBLANK(_xldudf_CX_PUSH(BL23,CX_ENTITY,$B23,BL$11,BL$14,BL$19,),"")))))),"")</f>
        <v/>
      </c>
      <c r="DZ23" s="1883" t="str" cm="1">
        <f t="array" ca="1" aca="1" ref="DZ23">IFERROR(IF(BM23*fxVal_normal=_BS!BM23,"",IF(OR(BM23="",NOT(ISNUMBER(BM23)),ISERROR(BM23),$B23=""),"",IF($I23=1,IFBLANK(_xldudf_CX_PUSH(BM23*fxVal_normal,CX_ENTITY,$B23,BM$11,BM$14,BM$19,),""),IF($I23=2,IFBLANK(_xldudf_CX_PUSH(BM23,CX_ENTITY,$B23,BM$11,BM$14,BM$19,),""),IF($I23=3,"",IFBLANK(_xldudf_CX_PUSH(BM23,CX_ENTITY,$B23,BM$11,BM$14,BM$19,),"")))))),"")</f>
        <v/>
      </c>
      <c r="EA23" s="1883" t="str" cm="1">
        <f t="array" ca="1" aca="1" ref="EA23">IFERROR(IF(BN23*fxVal_normal=_BS!BN23,"",IF(OR(BN23="",NOT(ISNUMBER(BN23)),ISERROR(BN23),$B23=""),"",IF($I23=1,IFBLANK(_xldudf_CX_PUSH(BN23*fxVal_normal,CX_ENTITY,$B23,BN$11,BN$14,BN$19,),""),IF($I23=2,IFBLANK(_xldudf_CX_PUSH(BN23,CX_ENTITY,$B23,BN$11,BN$14,BN$19,),""),IF($I23=3,"",IFBLANK(_xldudf_CX_PUSH(BN23,CX_ENTITY,$B23,BN$11,BN$14,BN$19,),"")))))),"")</f>
        <v/>
      </c>
    </row>
    <row r="24" spans="1:131" ht="21" customHeight="1">
      <c r="A24" s="1625"/>
      <c r="B24" s="695" t="str" cm="1">
        <f t="array" ref="B24">IFBLANK(_BS!F24,"")</f>
        <v>Trade Receivables</v>
      </c>
      <c r="C24" s="3340" t="str" cm="1">
        <f t="array" ref="C24">IFBLANK(_BS!C24,"")</f>
        <v>Trade Receivable (Company View)</v>
      </c>
      <c r="D24" s="1548"/>
      <c r="E24" s="1902" t="e" cm="1">
        <f t="array" ca="1" aca="1" ref="E2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24:$CH24,Z24)</f>
        <v>#NAME?</v>
      </c>
      <c r="F24" s="1897"/>
      <c r="G24" s="1897"/>
      <c r="H24" s="3279">
        <v>1</v>
      </c>
      <c r="I24" s="3279">
        <v>1</v>
      </c>
      <c r="J24" s="578"/>
      <c r="N24" s="158"/>
      <c r="O24" s="101"/>
      <c r="P24" s="52"/>
      <c r="Q24" s="101"/>
      <c r="R24" s="126"/>
      <c r="S24" s="101"/>
      <c r="T24" s="101"/>
      <c r="U24" s="39"/>
      <c r="W24" s="91" t="str">
        <f t="shared" si="1"/>
        <v>Actual</v>
      </c>
      <c r="X24" s="3292">
        <f>_BS!X24</f>
        <v>1</v>
      </c>
      <c r="Y24" s="3183">
        <v>2</v>
      </c>
      <c r="Z24" s="3291" cm="1">
        <f t="array" ref="Z24">_xlfn.SWITCH(TRUE,_BS!$L24=TRUE,1,_BS!$L24=FALSE,-1,_BS!$L24=-1,0,"n/a")</f>
        <v>1</v>
      </c>
      <c r="AA24" s="200"/>
      <c r="AB24" s="3343" t="str">
        <f>_BS!AB24</f>
        <v>Trade Receivables</v>
      </c>
      <c r="AC24" s="88" t="e" vm="5" cm="1">
        <f t="array" ca="1" aca="1" ref="AC24">_xlfn.LET(_xlpm._termname,$AB24,_xlpm._iconname,"find",_xlpm._icon,fx_getIcon(_xlpm._iconname),_xlpm._location,_xlfn.XLOOKUP(LOWER(_xlpm._termname),LOWER(tbl_acctDef[Term]),tbl_acctDef[Term]),_xlpm._hyperlink,HYPERLINK("#"&amp;CELL("address",_xlpm._location),_xlpm._icon),IFERROR(_xlpm._hyperlink,""))</f>
        <v>#VALUE!</v>
      </c>
      <c r="AD24" s="3229">
        <v>1</v>
      </c>
      <c r="AE24" s="3229">
        <v>1</v>
      </c>
      <c r="AF24" s="3229">
        <v>1</v>
      </c>
      <c r="AG24" s="3229">
        <v>1</v>
      </c>
      <c r="AH24" s="3229">
        <v>1</v>
      </c>
      <c r="AI24" s="3229">
        <v>1</v>
      </c>
      <c r="AJ24" s="3229">
        <v>1</v>
      </c>
      <c r="AK24" s="3229">
        <v>1</v>
      </c>
      <c r="AL24" s="3229">
        <v>1</v>
      </c>
      <c r="AM24" s="3229">
        <v>1</v>
      </c>
      <c r="AN24" s="3229">
        <v>1</v>
      </c>
      <c r="AO24" s="3229">
        <v>1</v>
      </c>
      <c r="AP24" s="3229">
        <v>1</v>
      </c>
      <c r="AQ24" s="3229">
        <v>1</v>
      </c>
      <c r="AR24" s="3229">
        <v>1</v>
      </c>
      <c r="AS24" s="3229">
        <v>1</v>
      </c>
      <c r="AT24" s="3229">
        <v>1</v>
      </c>
      <c r="AU24" s="3229">
        <v>1</v>
      </c>
      <c r="AV24" s="3229">
        <v>1</v>
      </c>
      <c r="AW24" s="3229">
        <v>1</v>
      </c>
      <c r="AX24" s="3229">
        <v>1</v>
      </c>
      <c r="AY24" s="3229">
        <v>1</v>
      </c>
      <c r="AZ24" s="3229">
        <v>1</v>
      </c>
      <c r="BA24" s="3229">
        <v>1</v>
      </c>
      <c r="BB24" s="3229">
        <v>1</v>
      </c>
      <c r="BC24" s="3229">
        <v>1</v>
      </c>
      <c r="BD24" s="3229">
        <v>1</v>
      </c>
      <c r="BE24" s="3229">
        <v>1</v>
      </c>
      <c r="BF24" s="3229">
        <v>1</v>
      </c>
      <c r="BG24" s="3229">
        <v>1</v>
      </c>
      <c r="BH24" s="3229">
        <v>1</v>
      </c>
      <c r="BI24" s="3229">
        <v>1</v>
      </c>
      <c r="BJ24" s="3229">
        <v>1</v>
      </c>
      <c r="BK24" s="3229">
        <v>1</v>
      </c>
      <c r="BL24" s="3229">
        <v>1</v>
      </c>
      <c r="BM24" s="3229">
        <v>1</v>
      </c>
      <c r="BN24" s="3229">
        <v>1</v>
      </c>
      <c r="BO24" s="2095"/>
      <c r="BP24" s="2095"/>
      <c r="BQ24" s="2095"/>
      <c r="BR24" s="2095"/>
      <c r="BS24" s="2095"/>
      <c r="BT24" s="2095"/>
      <c r="BU24" s="2095"/>
      <c r="BV24" s="2095"/>
      <c r="BW24" s="2095"/>
      <c r="BX24" s="2095"/>
      <c r="BY24" s="2095"/>
      <c r="BZ24" s="2095"/>
      <c r="CA24" s="926"/>
      <c r="CB24" s="921"/>
      <c r="CC24" s="927"/>
      <c r="CD24" s="2069" t="e" cm="1">
        <f t="array" ca="1" aca="1" ref="CD24">_xlfn.XLOOKUP(BS!CD$11,array_timeline,BS!$AD24:$BN24)</f>
        <v>#NAME?</v>
      </c>
      <c r="CE24" s="2069" t="e" cm="1">
        <f t="array" ca="1" aca="1" ref="CE24">_xlfn.XLOOKUP(BS!CE$11,array_timeline,BS!$AD24:$BN24)</f>
        <v>#NAME?</v>
      </c>
      <c r="CF24" s="925"/>
      <c r="CG24" s="3342" t="e" cm="1">
        <f t="array" ca="1" aca="1" ref="CG24">TODECIMAL(IFBLANK(_BS!CG24,""),fxVal_normal)</f>
        <v>#NAME?</v>
      </c>
      <c r="CH24" s="3342" t="e" cm="1">
        <f t="array" ca="1" aca="1" ref="CH24">TODECIMAL(IFBLANK(_BS!CH24,""),fxVal_normal)</f>
        <v>#NAME?</v>
      </c>
      <c r="CI24" s="200"/>
      <c r="CK24" s="2085" t="str" cm="1">
        <f t="array" ca="1" aca="1" ref="CK24">IFERROR(IF(Y24&lt;&gt;AB24,_xldudf_CX_PUSH(Y24,CX_ENTITY,C24,EOMONTH(val_asOfDate,0)),""),"")</f>
        <v/>
      </c>
      <c r="CL24" s="2085" t="str" cm="1">
        <f t="array" ca="1" aca="1" ref="CL24">IFERROR(IF(Y24&lt;&gt;AB24,_xldudf_CX_PUSH(Y24,CX_ENTITY,C24,EOMONTH(val_asOfDate,1)),""),"")</f>
        <v/>
      </c>
      <c r="CM24" s="2085" t="str" cm="1">
        <f t="array" ca="1" aca="1" ref="CM24">IFERROR(IF(Y24&lt;&gt;AB24,_xldudf_CX_PUSH(Y24,CX_ENTITY,C24,EOMONTH(val_asOfDate,2)),""),"")</f>
        <v/>
      </c>
      <c r="CN24" s="2085" t="str" cm="1">
        <f t="array" ca="1" aca="1" ref="CN24">IFERROR(IF(Y24&lt;&gt;AB24,_xldudf_CX_PUSH(Y24,CX_ENTITY,C24,EOMONTH(val_asOfDate,3)),""),"")</f>
        <v/>
      </c>
      <c r="CO24" s="2086" t="str" cm="1">
        <f t="array" ca="1" aca="1" ref="CO24">IFERROR(IF(CG24*fxVal_normal=_BS!CG24,"",IF(OR($CG24="",$CG24=0,NOT(ISNUMBER($CG24)),ISERROR($CG24),$B24=""),"",IF($I24=1,IFBLANK(_xldudf_CX_PUSH($CG24*10^6,CX_ENTITY,$B24,$CG$11,$CG$14,$CG$19,),""),IF($I24=2,IFBLANK(_xldudf_CX_PUSH($CG24,CX_ENTITY,$B24,$CG$11,$CG$14,$CG$19,),""),IF($I24=3,"",IFBLANK(_xldudf_CX_PUSH($CG24,CX_ENTITY,$B24,$CG$11,$CG$14,$CG$19,),"")))))),"")</f>
        <v/>
      </c>
      <c r="CP24" s="2086" t="str" cm="1">
        <f t="array" ca="1" aca="1" ref="CP24">IFERROR(IF(CH24*fxVal_normal=_BS!CH24,"",IF(OR($CH24="",$CH24=0,NOT(ISNUMBER($CH24)),ISERROR($CH24),$B24=""),"",IF($I24=1,IFBLANK(_xldudf_CX_PUSH($CH24*10^6,CX_ENTITY,$B24,$CH$11,$CH$14,$CH$19,),""),IF($I24=2,IFBLANK(_xldudf_CX_PUSH($CH24,CX_ENTITY,$B24,$CH$11,$CH$14,$CH$19,),""),IF($I24=3,"",IFBLANK(_xldudf_CX_PUSH($CH24,CX_ENTITY,$B24,$CH$11,$CH$14,$CH$19,),"")))))),"")</f>
        <v/>
      </c>
      <c r="CQ24" s="1883" t="str" cm="1">
        <f t="array" ca="1" aca="1" ref="CQ24">IFERROR(IF(AD24*fxVal_normal=_BS!AD24,"",IF(OR(AD24="",NOT(ISNUMBER(AD24)),ISERROR(AD24),$B24=""),"",IF($I24=1,IFBLANK(_xldudf_CX_PUSH(AD24*fxVal_normal,CX_ENTITY,$B24,AD$11,AD$14,AD$19,),""),IF($I24=2,IFBLANK(_xldudf_CX_PUSH(AD24,CX_ENTITY,$B24,AD$11,AD$14,AD$19,),""),IF($I24=3,"",IFBLANK(_xldudf_CX_PUSH(AD24,CX_ENTITY,$B24,AD$11,AD$14,AD$19,),"")))))),"")</f>
        <v/>
      </c>
      <c r="CR24" s="1883" t="str" cm="1">
        <f t="array" ca="1" aca="1" ref="CR24">IFERROR(IF(AE24*fxVal_normal=_BS!AE24,"",IF(OR(AE24="",NOT(ISNUMBER(AE24)),ISERROR(AE24),$B24=""),"",IF($I24=1,IFBLANK(_xldudf_CX_PUSH(AE24*fxVal_normal,CX_ENTITY,$B24,AE$11,AE$14,AE$19,),""),IF($I24=2,IFBLANK(_xldudf_CX_PUSH(AE24,CX_ENTITY,$B24,AE$11,AE$14,AE$19,),""),IF($I24=3,"",IFBLANK(_xldudf_CX_PUSH(AE24,CX_ENTITY,$B24,AE$11,AE$14,AE$19,),"")))))),"")</f>
        <v/>
      </c>
      <c r="CS24" s="1883" t="str" cm="1">
        <f t="array" ca="1" aca="1" ref="CS24">IFERROR(IF(AF24*fxVal_normal=_BS!AF24,"",IF(OR(AF24="",NOT(ISNUMBER(AF24)),ISERROR(AF24),$B24=""),"",IF($I24=1,IFBLANK(_xldudf_CX_PUSH(AF24*fxVal_normal,CX_ENTITY,$B24,AF$11,AF$14,AF$19,),""),IF($I24=2,IFBLANK(_xldudf_CX_PUSH(AF24,CX_ENTITY,$B24,AF$11,AF$14,AF$19,),""),IF($I24=3,"",IFBLANK(_xldudf_CX_PUSH(AF24,CX_ENTITY,$B24,AF$11,AF$14,AF$19,),"")))))),"")</f>
        <v/>
      </c>
      <c r="CT24" s="1883" t="str" cm="1">
        <f t="array" ca="1" aca="1" ref="CT24">IFERROR(IF(AG24*fxVal_normal=_BS!AG24,"",IF(OR(AG24="",NOT(ISNUMBER(AG24)),ISERROR(AG24),$B24=""),"",IF($I24=1,IFBLANK(_xldudf_CX_PUSH(AG24*fxVal_normal,CX_ENTITY,$B24,AG$11,AG$14,AG$19,),""),IF($I24=2,IFBLANK(_xldudf_CX_PUSH(AG24,CX_ENTITY,$B24,AG$11,AG$14,AG$19,),""),IF($I24=3,"",IFBLANK(_xldudf_CX_PUSH(AG24,CX_ENTITY,$B24,AG$11,AG$14,AG$19,),"")))))),"")</f>
        <v/>
      </c>
      <c r="CU24" s="1883" t="str" cm="1">
        <f t="array" ca="1" aca="1" ref="CU24">IFERROR(IF(AH24*fxVal_normal=_BS!AH24,"",IF(OR(AH24="",NOT(ISNUMBER(AH24)),ISERROR(AH24),$B24=""),"",IF($I24=1,IFBLANK(_xldudf_CX_PUSH(AH24*fxVal_normal,CX_ENTITY,$B24,AH$11,AH$14,AH$19,),""),IF($I24=2,IFBLANK(_xldudf_CX_PUSH(AH24,CX_ENTITY,$B24,AH$11,AH$14,AH$19,),""),IF($I24=3,"",IFBLANK(_xldudf_CX_PUSH(AH24,CX_ENTITY,$B24,AH$11,AH$14,AH$19,),"")))))),"")</f>
        <v/>
      </c>
      <c r="CV24" s="1883" t="str" cm="1">
        <f t="array" ca="1" aca="1" ref="CV24">IFERROR(IF(AI24*fxVal_normal=_BS!AI24,"",IF(OR(AI24="",NOT(ISNUMBER(AI24)),ISERROR(AI24),$B24=""),"",IF($I24=1,IFBLANK(_xldudf_CX_PUSH(AI24*fxVal_normal,CX_ENTITY,$B24,AI$11,AI$14,AI$19,),""),IF($I24=2,IFBLANK(_xldudf_CX_PUSH(AI24,CX_ENTITY,$B24,AI$11,AI$14,AI$19,),""),IF($I24=3,"",IFBLANK(_xldudf_CX_PUSH(AI24,CX_ENTITY,$B24,AI$11,AI$14,AI$19,),"")))))),"")</f>
        <v/>
      </c>
      <c r="CW24" s="1883" t="str" cm="1">
        <f t="array" ca="1" aca="1" ref="CW24">IFERROR(IF(AJ24*fxVal_normal=_BS!AJ24,"",IF(OR(AJ24="",NOT(ISNUMBER(AJ24)),ISERROR(AJ24),$B24=""),"",IF($I24=1,IFBLANK(_xldudf_CX_PUSH(AJ24*fxVal_normal,CX_ENTITY,$B24,AJ$11,AJ$14,AJ$19,),""),IF($I24=2,IFBLANK(_xldudf_CX_PUSH(AJ24,CX_ENTITY,$B24,AJ$11,AJ$14,AJ$19,),""),IF($I24=3,"",IFBLANK(_xldudf_CX_PUSH(AJ24,CX_ENTITY,$B24,AJ$11,AJ$14,AJ$19,),"")))))),"")</f>
        <v/>
      </c>
      <c r="CX24" s="1883" t="str" cm="1">
        <f t="array" ca="1" aca="1" ref="CX24">IFERROR(IF(AK24*fxVal_normal=_BS!AK24,"",IF(OR(AK24="",NOT(ISNUMBER(AK24)),ISERROR(AK24),$B24=""),"",IF($I24=1,IFBLANK(_xldudf_CX_PUSH(AK24*fxVal_normal,CX_ENTITY,$B24,AK$11,AK$14,AK$19,),""),IF($I24=2,IFBLANK(_xldudf_CX_PUSH(AK24,CX_ENTITY,$B24,AK$11,AK$14,AK$19,),""),IF($I24=3,"",IFBLANK(_xldudf_CX_PUSH(AK24,CX_ENTITY,$B24,AK$11,AK$14,AK$19,),"")))))),"")</f>
        <v/>
      </c>
      <c r="CY24" s="1883" t="str" cm="1">
        <f t="array" ca="1" aca="1" ref="CY24">IFERROR(IF(AL24*fxVal_normal=_BS!AL24,"",IF(OR(AL24="",NOT(ISNUMBER(AL24)),ISERROR(AL24),$B24=""),"",IF($I24=1,IFBLANK(_xldudf_CX_PUSH(AL24*fxVal_normal,CX_ENTITY,$B24,AL$11,AL$14,AL$19,),""),IF($I24=2,IFBLANK(_xldudf_CX_PUSH(AL24,CX_ENTITY,$B24,AL$11,AL$14,AL$19,),""),IF($I24=3,"",IFBLANK(_xldudf_CX_PUSH(AL24,CX_ENTITY,$B24,AL$11,AL$14,AL$19,),"")))))),"")</f>
        <v/>
      </c>
      <c r="CZ24" s="1883" t="str" cm="1">
        <f t="array" ca="1" aca="1" ref="CZ24">IFERROR(IF(AM24*fxVal_normal=_BS!AM24,"",IF(OR(AM24="",NOT(ISNUMBER(AM24)),ISERROR(AM24),$B24=""),"",IF($I24=1,IFBLANK(_xldudf_CX_PUSH(AM24*fxVal_normal,CX_ENTITY,$B24,AM$11,AM$14,AM$19,),""),IF($I24=2,IFBLANK(_xldudf_CX_PUSH(AM24,CX_ENTITY,$B24,AM$11,AM$14,AM$19,),""),IF($I24=3,"",IFBLANK(_xldudf_CX_PUSH(AM24,CX_ENTITY,$B24,AM$11,AM$14,AM$19,),"")))))),"")</f>
        <v/>
      </c>
      <c r="DA24" s="1883" t="str" cm="1">
        <f t="array" ca="1" aca="1" ref="DA24">IFERROR(IF(AN24*fxVal_normal=_BS!AN24,"",IF(OR(AN24="",NOT(ISNUMBER(AN24)),ISERROR(AN24),$B24=""),"",IF($I24=1,IFBLANK(_xldudf_CX_PUSH(AN24*fxVal_normal,CX_ENTITY,$B24,AN$11,AN$14,AN$19,),""),IF($I24=2,IFBLANK(_xldudf_CX_PUSH(AN24,CX_ENTITY,$B24,AN$11,AN$14,AN$19,),""),IF($I24=3,"",IFBLANK(_xldudf_CX_PUSH(AN24,CX_ENTITY,$B24,AN$11,AN$14,AN$19,),"")))))),"")</f>
        <v/>
      </c>
      <c r="DB24" s="1883" t="str" cm="1">
        <f t="array" ca="1" aca="1" ref="DB24">IFERROR(IF(AO24*fxVal_normal=_BS!AO24,"",IF(OR(AO24="",NOT(ISNUMBER(AO24)),ISERROR(AO24),$B24=""),"",IF($I24=1,IFBLANK(_xldudf_CX_PUSH(AO24*fxVal_normal,CX_ENTITY,$B24,AO$11,AO$14,AO$19,),""),IF($I24=2,IFBLANK(_xldudf_CX_PUSH(AO24,CX_ENTITY,$B24,AO$11,AO$14,AO$19,),""),IF($I24=3,"",IFBLANK(_xldudf_CX_PUSH(AO24,CX_ENTITY,$B24,AO$11,AO$14,AO$19,),"")))))),"")</f>
        <v/>
      </c>
      <c r="DC24" s="1883" t="str" cm="1">
        <f t="array" ca="1" aca="1" ref="DC24">IFERROR(IF(AP24*fxVal_normal=_BS!AP24,"",IF(OR(AP24="",NOT(ISNUMBER(AP24)),ISERROR(AP24),$B24=""),"",IF($I24=1,IFBLANK(_xldudf_CX_PUSH(AP24*fxVal_normal,CX_ENTITY,$B24,AP$11,AP$14,AP$19,),""),IF($I24=2,IFBLANK(_xldudf_CX_PUSH(AP24,CX_ENTITY,$B24,AP$11,AP$14,AP$19,),""),IF($I24=3,"",IFBLANK(_xldudf_CX_PUSH(AP24,CX_ENTITY,$B24,AP$11,AP$14,AP$19,),"")))))),"")</f>
        <v/>
      </c>
      <c r="DD24" s="1883" t="str" cm="1">
        <f t="array" ca="1" aca="1" ref="DD24">IFERROR(IF(AQ24*fxVal_normal=_BS!AQ24,"",IF(OR(AQ24="",NOT(ISNUMBER(AQ24)),ISERROR(AQ24),$B24=""),"",IF($I24=1,IFBLANK(_xldudf_CX_PUSH(AQ24*fxVal_normal,CX_ENTITY,$B24,AQ$11,AQ$14,AQ$19,),""),IF($I24=2,IFBLANK(_xldudf_CX_PUSH(AQ24,CX_ENTITY,$B24,AQ$11,AQ$14,AQ$19,),""),IF($I24=3,"",IFBLANK(_xldudf_CX_PUSH(AQ24,CX_ENTITY,$B24,AQ$11,AQ$14,AQ$19,),"")))))),"")</f>
        <v/>
      </c>
      <c r="DE24" s="1883" t="str" cm="1">
        <f t="array" ca="1" aca="1" ref="DE24">IFERROR(IF(AR24*fxVal_normal=_BS!AR24,"",IF(OR(AR24="",NOT(ISNUMBER(AR24)),ISERROR(AR24),$B24=""),"",IF($I24=1,IFBLANK(_xldudf_CX_PUSH(AR24*fxVal_normal,CX_ENTITY,$B24,AR$11,AR$14,AR$19,),""),IF($I24=2,IFBLANK(_xldudf_CX_PUSH(AR24,CX_ENTITY,$B24,AR$11,AR$14,AR$19,),""),IF($I24=3,"",IFBLANK(_xldudf_CX_PUSH(AR24,CX_ENTITY,$B24,AR$11,AR$14,AR$19,),"")))))),"")</f>
        <v/>
      </c>
      <c r="DF24" s="1883" t="str" cm="1">
        <f t="array" ca="1" aca="1" ref="DF24">IFERROR(IF(AS24*fxVal_normal=_BS!AS24,"",IF(OR(AS24="",NOT(ISNUMBER(AS24)),ISERROR(AS24),$B24=""),"",IF($I24=1,IFBLANK(_xldudf_CX_PUSH(AS24*fxVal_normal,CX_ENTITY,$B24,AS$11,AS$14,AS$19,),""),IF($I24=2,IFBLANK(_xldudf_CX_PUSH(AS24,CX_ENTITY,$B24,AS$11,AS$14,AS$19,),""),IF($I24=3,"",IFBLANK(_xldudf_CX_PUSH(AS24,CX_ENTITY,$B24,AS$11,AS$14,AS$19,),"")))))),"")</f>
        <v/>
      </c>
      <c r="DG24" s="1883" t="str" cm="1">
        <f t="array" ca="1" aca="1" ref="DG24">IFERROR(IF(AT24*fxVal_normal=_BS!AT24,"",IF(OR(AT24="",NOT(ISNUMBER(AT24)),ISERROR(AT24),$B24=""),"",IF($I24=1,IFBLANK(_xldudf_CX_PUSH(AT24*fxVal_normal,CX_ENTITY,$B24,AT$11,AT$14,AT$19,),""),IF($I24=2,IFBLANK(_xldudf_CX_PUSH(AT24,CX_ENTITY,$B24,AT$11,AT$14,AT$19,),""),IF($I24=3,"",IFBLANK(_xldudf_CX_PUSH(AT24,CX_ENTITY,$B24,AT$11,AT$14,AT$19,),"")))))),"")</f>
        <v/>
      </c>
      <c r="DH24" s="1883" t="str" cm="1">
        <f t="array" ca="1" aca="1" ref="DH24">IFERROR(IF(AU24*fxVal_normal=_BS!AU24,"",IF(OR(AU24="",NOT(ISNUMBER(AU24)),ISERROR(AU24),$B24=""),"",IF($I24=1,IFBLANK(_xldudf_CX_PUSH(AU24*fxVal_normal,CX_ENTITY,$B24,AU$11,AU$14,AU$19,),""),IF($I24=2,IFBLANK(_xldudf_CX_PUSH(AU24,CX_ENTITY,$B24,AU$11,AU$14,AU$19,),""),IF($I24=3,"",IFBLANK(_xldudf_CX_PUSH(AU24,CX_ENTITY,$B24,AU$11,AU$14,AU$19,),"")))))),"")</f>
        <v/>
      </c>
      <c r="DI24" s="1883" t="str" cm="1">
        <f t="array" ca="1" aca="1" ref="DI24">IFERROR(IF(AV24*fxVal_normal=_BS!AV24,"",IF(OR(AV24="",NOT(ISNUMBER(AV24)),ISERROR(AV24),$B24=""),"",IF($I24=1,IFBLANK(_xldudf_CX_PUSH(AV24*fxVal_normal,CX_ENTITY,$B24,AV$11,AV$14,AV$19,),""),IF($I24=2,IFBLANK(_xldudf_CX_PUSH(AV24,CX_ENTITY,$B24,AV$11,AV$14,AV$19,),""),IF($I24=3,"",IFBLANK(_xldudf_CX_PUSH(AV24,CX_ENTITY,$B24,AV$11,AV$14,AV$19,),"")))))),"")</f>
        <v/>
      </c>
      <c r="DJ24" s="1883" t="str" cm="1">
        <f t="array" ca="1" aca="1" ref="DJ24">IFERROR(IF(AW24*fxVal_normal=_BS!AW24,"",IF(OR(AW24="",NOT(ISNUMBER(AW24)),ISERROR(AW24),$B24=""),"",IF($I24=1,IFBLANK(_xldudf_CX_PUSH(AW24*fxVal_normal,CX_ENTITY,$B24,AW$11,AW$14,AW$19,),""),IF($I24=2,IFBLANK(_xldudf_CX_PUSH(AW24,CX_ENTITY,$B24,AW$11,AW$14,AW$19,),""),IF($I24=3,"",IFBLANK(_xldudf_CX_PUSH(AW24,CX_ENTITY,$B24,AW$11,AW$14,AW$19,),"")))))),"")</f>
        <v/>
      </c>
      <c r="DK24" s="1883" t="str" cm="1">
        <f t="array" ca="1" aca="1" ref="DK24">IFERROR(IF(AX24*fxVal_normal=_BS!AX24,"",IF(OR(AX24="",NOT(ISNUMBER(AX24)),ISERROR(AX24),$B24=""),"",IF($I24=1,IFBLANK(_xldudf_CX_PUSH(AX24*fxVal_normal,CX_ENTITY,$B24,AX$11,AX$14,AX$19,),""),IF($I24=2,IFBLANK(_xldudf_CX_PUSH(AX24,CX_ENTITY,$B24,AX$11,AX$14,AX$19,),""),IF($I24=3,"",IFBLANK(_xldudf_CX_PUSH(AX24,CX_ENTITY,$B24,AX$11,AX$14,AX$19,),"")))))),"")</f>
        <v/>
      </c>
      <c r="DL24" s="1883" t="str" cm="1">
        <f t="array" ca="1" aca="1" ref="DL24">IFERROR(IF(AY24*fxVal_normal=_BS!AY24,"",IF(OR(AY24="",NOT(ISNUMBER(AY24)),ISERROR(AY24),$B24=""),"",IF($I24=1,IFBLANK(_xldudf_CX_PUSH(AY24*fxVal_normal,CX_ENTITY,$B24,AY$11,AY$14,AY$19,),""),IF($I24=2,IFBLANK(_xldudf_CX_PUSH(AY24,CX_ENTITY,$B24,AY$11,AY$14,AY$19,),""),IF($I24=3,"",IFBLANK(_xldudf_CX_PUSH(AY24,CX_ENTITY,$B24,AY$11,AY$14,AY$19,),"")))))),"")</f>
        <v/>
      </c>
      <c r="DM24" s="1883" t="str" cm="1">
        <f t="array" ca="1" aca="1" ref="DM24">IFERROR(IF(AZ24*fxVal_normal=_BS!AZ24,"",IF(OR(AZ24="",NOT(ISNUMBER(AZ24)),ISERROR(AZ24),$B24=""),"",IF($I24=1,IFBLANK(_xldudf_CX_PUSH(AZ24*fxVal_normal,CX_ENTITY,$B24,AZ$11,AZ$14,AZ$19,),""),IF($I24=2,IFBLANK(_xldudf_CX_PUSH(AZ24,CX_ENTITY,$B24,AZ$11,AZ$14,AZ$19,),""),IF($I24=3,"",IFBLANK(_xldudf_CX_PUSH(AZ24,CX_ENTITY,$B24,AZ$11,AZ$14,AZ$19,),"")))))),"")</f>
        <v/>
      </c>
      <c r="DN24" s="1883" t="str" cm="1">
        <f t="array" ca="1" aca="1" ref="DN24">IFERROR(IF(BA24*fxVal_normal=_BS!BA24,"",IF(OR(BA24="",NOT(ISNUMBER(BA24)),ISERROR(BA24),$B24=""),"",IF($I24=1,IFBLANK(_xldudf_CX_PUSH(BA24*fxVal_normal,CX_ENTITY,$B24,BA$11,BA$14,BA$19,),""),IF($I24=2,IFBLANK(_xldudf_CX_PUSH(BA24,CX_ENTITY,$B24,BA$11,BA$14,BA$19,),""),IF($I24=3,"",IFBLANK(_xldudf_CX_PUSH(BA24,CX_ENTITY,$B24,BA$11,BA$14,BA$19,),"")))))),"")</f>
        <v/>
      </c>
      <c r="DO24" s="1883" t="str" cm="1">
        <f t="array" ca="1" aca="1" ref="DO24">IFERROR(IF(BB24*fxVal_normal=_BS!BB24,"",IF(OR(BB24="",NOT(ISNUMBER(BB24)),ISERROR(BB24),$B24=""),"",IF($I24=1,IFBLANK(_xldudf_CX_PUSH(BB24*fxVal_normal,CX_ENTITY,$B24,BB$11,BB$14,BB$19,),""),IF($I24=2,IFBLANK(_xldudf_CX_PUSH(BB24,CX_ENTITY,$B24,BB$11,BB$14,BB$19,),""),IF($I24=3,"",IFBLANK(_xldudf_CX_PUSH(BB24,CX_ENTITY,$B24,BB$11,BB$14,BB$19,),"")))))),"")</f>
        <v/>
      </c>
      <c r="DP24" s="1883" t="str" cm="1">
        <f t="array" ca="1" aca="1" ref="DP24">IFERROR(IF(BC24*fxVal_normal=_BS!BC24,"",IF(OR(BC24="",NOT(ISNUMBER(BC24)),ISERROR(BC24),$B24=""),"",IF($I24=1,IFBLANK(_xldudf_CX_PUSH(BC24*fxVal_normal,CX_ENTITY,$B24,BC$11,BC$14,BC$19,),""),IF($I24=2,IFBLANK(_xldudf_CX_PUSH(BC24,CX_ENTITY,$B24,BC$11,BC$14,BC$19,),""),IF($I24=3,"",IFBLANK(_xldudf_CX_PUSH(BC24,CX_ENTITY,$B24,BC$11,BC$14,BC$19,),"")))))),"")</f>
        <v/>
      </c>
      <c r="DQ24" s="1883" t="str" cm="1">
        <f t="array" ca="1" aca="1" ref="DQ24">IFERROR(IF(BD24*fxVal_normal=_BS!BD24,"",IF(OR(BD24="",NOT(ISNUMBER(BD24)),ISERROR(BD24),$B24=""),"",IF($I24=1,IFBLANK(_xldudf_CX_PUSH(BD24*fxVal_normal,CX_ENTITY,$B24,BD$11,BD$14,BD$19,),""),IF($I24=2,IFBLANK(_xldudf_CX_PUSH(BD24,CX_ENTITY,$B24,BD$11,BD$14,BD$19,),""),IF($I24=3,"",IFBLANK(_xldudf_CX_PUSH(BD24,CX_ENTITY,$B24,BD$11,BD$14,BD$19,),"")))))),"")</f>
        <v/>
      </c>
      <c r="DR24" s="1883" t="str" cm="1">
        <f t="array" ca="1" aca="1" ref="DR24">IFERROR(IF(BE24*fxVal_normal=_BS!BE24,"",IF(OR(BE24="",NOT(ISNUMBER(BE24)),ISERROR(BE24),$B24=""),"",IF($I24=1,IFBLANK(_xldudf_CX_PUSH(BE24*fxVal_normal,CX_ENTITY,$B24,BE$11,BE$14,BE$19,),""),IF($I24=2,IFBLANK(_xldudf_CX_PUSH(BE24,CX_ENTITY,$B24,BE$11,BE$14,BE$19,),""),IF($I24=3,"",IFBLANK(_xldudf_CX_PUSH(BE24,CX_ENTITY,$B24,BE$11,BE$14,BE$19,),"")))))),"")</f>
        <v/>
      </c>
      <c r="DS24" s="1883" t="str" cm="1">
        <f t="array" ca="1" aca="1" ref="DS24">IFERROR(IF(BF24*fxVal_normal=_BS!BF24,"",IF(OR(BF24="",NOT(ISNUMBER(BF24)),ISERROR(BF24),$B24=""),"",IF($I24=1,IFBLANK(_xldudf_CX_PUSH(BF24*fxVal_normal,CX_ENTITY,$B24,BF$11,BF$14,BF$19,),""),IF($I24=2,IFBLANK(_xldudf_CX_PUSH(BF24,CX_ENTITY,$B24,BF$11,BF$14,BF$19,),""),IF($I24=3,"",IFBLANK(_xldudf_CX_PUSH(BF24,CX_ENTITY,$B24,BF$11,BF$14,BF$19,),"")))))),"")</f>
        <v/>
      </c>
      <c r="DT24" s="1883" t="str" cm="1">
        <f t="array" ca="1" aca="1" ref="DT24">IFERROR(IF(BG24*fxVal_normal=_BS!BG24,"",IF(OR(BG24="",NOT(ISNUMBER(BG24)),ISERROR(BG24),$B24=""),"",IF($I24=1,IFBLANK(_xldudf_CX_PUSH(BG24*fxVal_normal,CX_ENTITY,$B24,BG$11,BG$14,BG$19,),""),IF($I24=2,IFBLANK(_xldudf_CX_PUSH(BG24,CX_ENTITY,$B24,BG$11,BG$14,BG$19,),""),IF($I24=3,"",IFBLANK(_xldudf_CX_PUSH(BG24,CX_ENTITY,$B24,BG$11,BG$14,BG$19,),"")))))),"")</f>
        <v/>
      </c>
      <c r="DU24" s="1883" t="str" cm="1">
        <f t="array" ca="1" aca="1" ref="DU24">IFERROR(IF(BH24*fxVal_normal=_BS!BH24,"",IF(OR(BH24="",NOT(ISNUMBER(BH24)),ISERROR(BH24),$B24=""),"",IF($I24=1,IFBLANK(_xldudf_CX_PUSH(BH24*fxVal_normal,CX_ENTITY,$B24,BH$11,BH$14,BH$19,),""),IF($I24=2,IFBLANK(_xldudf_CX_PUSH(BH24,CX_ENTITY,$B24,BH$11,BH$14,BH$19,),""),IF($I24=3,"",IFBLANK(_xldudf_CX_PUSH(BH24,CX_ENTITY,$B24,BH$11,BH$14,BH$19,),"")))))),"")</f>
        <v/>
      </c>
      <c r="DV24" s="1883" t="str" cm="1">
        <f t="array" ca="1" aca="1" ref="DV24">IFERROR(IF(BI24*fxVal_normal=_BS!BI24,"",IF(OR(BI24="",NOT(ISNUMBER(BI24)),ISERROR(BI24),$B24=""),"",IF($I24=1,IFBLANK(_xldudf_CX_PUSH(BI24*fxVal_normal,CX_ENTITY,$B24,BI$11,BI$14,BI$19,),""),IF($I24=2,IFBLANK(_xldudf_CX_PUSH(BI24,CX_ENTITY,$B24,BI$11,BI$14,BI$19,),""),IF($I24=3,"",IFBLANK(_xldudf_CX_PUSH(BI24,CX_ENTITY,$B24,BI$11,BI$14,BI$19,),"")))))),"")</f>
        <v/>
      </c>
      <c r="DW24" s="1883" t="str" cm="1">
        <f t="array" ca="1" aca="1" ref="DW24">IFERROR(IF(BJ24*fxVal_normal=_BS!BJ24,"",IF(OR(BJ24="",NOT(ISNUMBER(BJ24)),ISERROR(BJ24),$B24=""),"",IF($I24=1,IFBLANK(_xldudf_CX_PUSH(BJ24*fxVal_normal,CX_ENTITY,$B24,BJ$11,BJ$14,BJ$19,),""),IF($I24=2,IFBLANK(_xldudf_CX_PUSH(BJ24,CX_ENTITY,$B24,BJ$11,BJ$14,BJ$19,),""),IF($I24=3,"",IFBLANK(_xldudf_CX_PUSH(BJ24,CX_ENTITY,$B24,BJ$11,BJ$14,BJ$19,),"")))))),"")</f>
        <v/>
      </c>
      <c r="DX24" s="1883" t="str" cm="1">
        <f t="array" ca="1" aca="1" ref="DX24">IFERROR(IF(BK24*fxVal_normal=_BS!BK24,"",IF(OR(BK24="",NOT(ISNUMBER(BK24)),ISERROR(BK24),$B24=""),"",IF($I24=1,IFBLANK(_xldudf_CX_PUSH(BK24*fxVal_normal,CX_ENTITY,$B24,BK$11,BK$14,BK$19,),""),IF($I24=2,IFBLANK(_xldudf_CX_PUSH(BK24,CX_ENTITY,$B24,BK$11,BK$14,BK$19,),""),IF($I24=3,"",IFBLANK(_xldudf_CX_PUSH(BK24,CX_ENTITY,$B24,BK$11,BK$14,BK$19,),"")))))),"")</f>
        <v/>
      </c>
      <c r="DY24" s="1883" t="str" cm="1">
        <f t="array" ca="1" aca="1" ref="DY24">IFERROR(IF(BL24*fxVal_normal=_BS!BL24,"",IF(OR(BL24="",NOT(ISNUMBER(BL24)),ISERROR(BL24),$B24=""),"",IF($I24=1,IFBLANK(_xldudf_CX_PUSH(BL24*fxVal_normal,CX_ENTITY,$B24,BL$11,BL$14,BL$19,),""),IF($I24=2,IFBLANK(_xldudf_CX_PUSH(BL24,CX_ENTITY,$B24,BL$11,BL$14,BL$19,),""),IF($I24=3,"",IFBLANK(_xldudf_CX_PUSH(BL24,CX_ENTITY,$B24,BL$11,BL$14,BL$19,),"")))))),"")</f>
        <v/>
      </c>
      <c r="DZ24" s="1883" t="str" cm="1">
        <f t="array" ca="1" aca="1" ref="DZ24">IFERROR(IF(BM24*fxVal_normal=_BS!BM24,"",IF(OR(BM24="",NOT(ISNUMBER(BM24)),ISERROR(BM24),$B24=""),"",IF($I24=1,IFBLANK(_xldudf_CX_PUSH(BM24*fxVal_normal,CX_ENTITY,$B24,BM$11,BM$14,BM$19,),""),IF($I24=2,IFBLANK(_xldudf_CX_PUSH(BM24,CX_ENTITY,$B24,BM$11,BM$14,BM$19,),""),IF($I24=3,"",IFBLANK(_xldudf_CX_PUSH(BM24,CX_ENTITY,$B24,BM$11,BM$14,BM$19,),"")))))),"")</f>
        <v/>
      </c>
      <c r="EA24" s="1883" t="str" cm="1">
        <f t="array" ca="1" aca="1" ref="EA24">IFERROR(IF(BN24*fxVal_normal=_BS!BN24,"",IF(OR(BN24="",NOT(ISNUMBER(BN24)),ISERROR(BN24),$B24=""),"",IF($I24=1,IFBLANK(_xldudf_CX_PUSH(BN24*fxVal_normal,CX_ENTITY,$B24,BN$11,BN$14,BN$19,),""),IF($I24=2,IFBLANK(_xldudf_CX_PUSH(BN24,CX_ENTITY,$B24,BN$11,BN$14,BN$19,),""),IF($I24=3,"",IFBLANK(_xldudf_CX_PUSH(BN24,CX_ENTITY,$B24,BN$11,BN$14,BN$19,),"")))))),"")</f>
        <v/>
      </c>
    </row>
    <row r="25" spans="1:131" ht="21" customHeight="1">
      <c r="A25" s="1625"/>
      <c r="B25" s="695" t="str" cm="1">
        <f t="array" ref="B25">IFBLANK(_BS!F25,"")</f>
        <v>Accounts Payable</v>
      </c>
      <c r="C25" s="3340" t="str" cm="1">
        <f t="array" ref="C25">IFBLANK(_BS!C25,"")</f>
        <v>Accounts Payable (Company View)</v>
      </c>
      <c r="D25" s="1548"/>
      <c r="E25" s="1902" t="e" cm="1">
        <f t="array" ca="1" aca="1" ref="E2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25:$CH25,Z25)</f>
        <v>#NAME?</v>
      </c>
      <c r="F25" s="1897"/>
      <c r="G25" s="1897"/>
      <c r="H25" s="3279">
        <v>1</v>
      </c>
      <c r="I25" s="3279">
        <v>1</v>
      </c>
      <c r="J25" s="578"/>
      <c r="N25" s="158"/>
      <c r="O25" s="101"/>
      <c r="P25" s="52"/>
      <c r="Q25" s="101"/>
      <c r="R25" s="101"/>
      <c r="S25" s="101"/>
      <c r="T25" s="101"/>
      <c r="U25" s="39"/>
      <c r="W25" s="91" t="str">
        <f t="shared" si="1"/>
        <v>Actual</v>
      </c>
      <c r="X25" s="857">
        <f>_BS!X25</f>
        <v>-1</v>
      </c>
      <c r="Y25" s="3183">
        <v>2</v>
      </c>
      <c r="Z25" s="3291" cm="1">
        <f t="array" ref="Z25">_xlfn.SWITCH(TRUE,_BS!$L25=TRUE,1,_BS!$L25=FALSE,-1,_BS!$L25=-1,0,"n/a")</f>
        <v>1</v>
      </c>
      <c r="AA25" s="200"/>
      <c r="AB25" s="3343" t="str">
        <f>_BS!AB25</f>
        <v>Accounts Payable</v>
      </c>
      <c r="AC25" s="88" t="str" cm="1">
        <f t="array" ca="1" aca="1" ref="AC25">_xlfn.LET(_xlpm._termname,$AB25,_xlpm._iconname,"find",_xlpm._icon,fx_getIcon(_xlpm._iconname),_xlpm._location,_xlfn.XLOOKUP(LOWER(_xlpm._termname),LOWER(tbl_acctDef[Term]),tbl_acctDef[Term]),_xlpm._hyperlink,HYPERLINK("#"&amp;CELL("address",_xlpm._location),_xlpm._icon),IFERROR(_xlpm._hyperlink,""))</f>
        <v/>
      </c>
      <c r="AD25" s="3229">
        <v>1</v>
      </c>
      <c r="AE25" s="3229">
        <v>1</v>
      </c>
      <c r="AF25" s="3229">
        <v>1</v>
      </c>
      <c r="AG25" s="3229">
        <v>1</v>
      </c>
      <c r="AH25" s="3229">
        <v>1</v>
      </c>
      <c r="AI25" s="3229">
        <v>1</v>
      </c>
      <c r="AJ25" s="3229">
        <v>1</v>
      </c>
      <c r="AK25" s="3229">
        <v>1</v>
      </c>
      <c r="AL25" s="3229">
        <v>1</v>
      </c>
      <c r="AM25" s="3229">
        <v>1</v>
      </c>
      <c r="AN25" s="3229">
        <v>1</v>
      </c>
      <c r="AO25" s="3229">
        <v>1</v>
      </c>
      <c r="AP25" s="3229">
        <v>1</v>
      </c>
      <c r="AQ25" s="3229">
        <v>1</v>
      </c>
      <c r="AR25" s="3229">
        <v>1</v>
      </c>
      <c r="AS25" s="3229">
        <v>1</v>
      </c>
      <c r="AT25" s="3229">
        <v>1</v>
      </c>
      <c r="AU25" s="3229">
        <v>1</v>
      </c>
      <c r="AV25" s="3229">
        <v>1</v>
      </c>
      <c r="AW25" s="3229">
        <v>1</v>
      </c>
      <c r="AX25" s="3229">
        <v>1</v>
      </c>
      <c r="AY25" s="3229">
        <v>1</v>
      </c>
      <c r="AZ25" s="3229">
        <v>1</v>
      </c>
      <c r="BA25" s="3229">
        <v>1</v>
      </c>
      <c r="BB25" s="3229">
        <v>1</v>
      </c>
      <c r="BC25" s="3229">
        <v>1</v>
      </c>
      <c r="BD25" s="3229">
        <v>1</v>
      </c>
      <c r="BE25" s="3229">
        <v>1</v>
      </c>
      <c r="BF25" s="3229">
        <v>1</v>
      </c>
      <c r="BG25" s="3229">
        <v>1</v>
      </c>
      <c r="BH25" s="3229">
        <v>1</v>
      </c>
      <c r="BI25" s="3229">
        <v>1</v>
      </c>
      <c r="BJ25" s="3229">
        <v>1</v>
      </c>
      <c r="BK25" s="3229">
        <v>1</v>
      </c>
      <c r="BL25" s="3229">
        <v>1</v>
      </c>
      <c r="BM25" s="3229">
        <v>1</v>
      </c>
      <c r="BN25" s="3229">
        <v>1</v>
      </c>
      <c r="BO25" s="2095"/>
      <c r="BP25" s="2095"/>
      <c r="BQ25" s="2095"/>
      <c r="BR25" s="2095"/>
      <c r="BS25" s="2095"/>
      <c r="BT25" s="2095"/>
      <c r="BU25" s="2095"/>
      <c r="BV25" s="2095"/>
      <c r="BW25" s="2095"/>
      <c r="BX25" s="2095"/>
      <c r="BY25" s="2095"/>
      <c r="BZ25" s="2095"/>
      <c r="CA25" s="926"/>
      <c r="CB25" s="921"/>
      <c r="CC25" s="927"/>
      <c r="CD25" s="2069" t="e" cm="1">
        <f t="array" ca="1" aca="1" ref="CD25">_xlfn.XLOOKUP(BS!CD$11,array_timeline,BS!$AD25:$BN25)</f>
        <v>#NAME?</v>
      </c>
      <c r="CE25" s="2069" t="e" cm="1">
        <f t="array" ca="1" aca="1" ref="CE25">_xlfn.XLOOKUP(BS!CE$11,array_timeline,BS!$AD25:$BN25)</f>
        <v>#NAME?</v>
      </c>
      <c r="CF25" s="925"/>
      <c r="CG25" s="3342" t="e" cm="1">
        <f t="array" ca="1" aca="1" ref="CG25">TODECIMAL(IFBLANK(_BS!CG25,""),fxVal_normal)</f>
        <v>#NAME?</v>
      </c>
      <c r="CH25" s="3342" t="e" cm="1">
        <f t="array" ca="1" aca="1" ref="CH25">TODECIMAL(IFBLANK(_BS!CH25,""),fxVal_normal)</f>
        <v>#NAME?</v>
      </c>
      <c r="CI25" s="200"/>
      <c r="CK25" s="2085" t="str" cm="1">
        <f t="array" ca="1" aca="1" ref="CK25">IFERROR(IF(Y25&lt;&gt;AB25,_xldudf_CX_PUSH(Y25,CX_ENTITY,C25,EOMONTH(val_asOfDate,0)),""),"")</f>
        <v/>
      </c>
      <c r="CL25" s="2085" t="str" cm="1">
        <f t="array" ca="1" aca="1" ref="CL25">IFERROR(IF(Y25&lt;&gt;AB25,_xldudf_CX_PUSH(Y25,CX_ENTITY,C25,EOMONTH(val_asOfDate,1)),""),"")</f>
        <v/>
      </c>
      <c r="CM25" s="2085" t="str" cm="1">
        <f t="array" ca="1" aca="1" ref="CM25">IFERROR(IF(Y25&lt;&gt;AB25,_xldudf_CX_PUSH(Y25,CX_ENTITY,C25,EOMONTH(val_asOfDate,2)),""),"")</f>
        <v/>
      </c>
      <c r="CN25" s="2085" t="str" cm="1">
        <f t="array" ca="1" aca="1" ref="CN25">IFERROR(IF(Y25&lt;&gt;AB25,_xldudf_CX_PUSH(Y25,CX_ENTITY,C25,EOMONTH(val_asOfDate,3)),""),"")</f>
        <v/>
      </c>
      <c r="CO25" s="2086" t="str" cm="1">
        <f t="array" ca="1" aca="1" ref="CO25">IFERROR(IF(CG25*fxVal_normal=_BS!CG25,"",IF(OR($CG25="",$CG25=0,NOT(ISNUMBER($CG25)),ISERROR($CG25),$B25=""),"",IF($I25=1,IFBLANK(_xldudf_CX_PUSH($CG25*10^6,CX_ENTITY,$B25,$CG$11,$CG$14,$CG$19,),""),IF($I25=2,IFBLANK(_xldudf_CX_PUSH($CG25,CX_ENTITY,$B25,$CG$11,$CG$14,$CG$19,),""),IF($I25=3,"",IFBLANK(_xldudf_CX_PUSH($CG25,CX_ENTITY,$B25,$CG$11,$CG$14,$CG$19,),"")))))),"")</f>
        <v/>
      </c>
      <c r="CP25" s="2086" t="str" cm="1">
        <f t="array" ca="1" aca="1" ref="CP25">IFERROR(IF(CH25*fxVal_normal=_BS!CH25,"",IF(OR($CH25="",$CH25=0,NOT(ISNUMBER($CH25)),ISERROR($CH25),$B25=""),"",IF($I25=1,IFBLANK(_xldudf_CX_PUSH($CH25*10^6,CX_ENTITY,$B25,$CH$11,$CH$14,$CH$19,),""),IF($I25=2,IFBLANK(_xldudf_CX_PUSH($CH25,CX_ENTITY,$B25,$CH$11,$CH$14,$CH$19,),""),IF($I25=3,"",IFBLANK(_xldudf_CX_PUSH($CH25,CX_ENTITY,$B25,$CH$11,$CH$14,$CH$19,),"")))))),"")</f>
        <v/>
      </c>
      <c r="CQ25" s="1883" t="str" cm="1">
        <f t="array" ca="1" aca="1" ref="CQ25">IFERROR(IF(AD25*fxVal_normal=_BS!AD25,"",IF(OR(AD25="",NOT(ISNUMBER(AD25)),ISERROR(AD25),$B25=""),"",IF($I25=1,IFBLANK(_xldudf_CX_PUSH(AD25*fxVal_normal,CX_ENTITY,$B25,AD$11,AD$14,AD$19,),""),IF($I25=2,IFBLANK(_xldudf_CX_PUSH(AD25,CX_ENTITY,$B25,AD$11,AD$14,AD$19,),""),IF($I25=3,"",IFBLANK(_xldudf_CX_PUSH(AD25,CX_ENTITY,$B25,AD$11,AD$14,AD$19,),"")))))),"")</f>
        <v/>
      </c>
      <c r="CR25" s="1883" t="str" cm="1">
        <f t="array" ca="1" aca="1" ref="CR25">IFERROR(IF(AE25*fxVal_normal=_BS!AE25,"",IF(OR(AE25="",NOT(ISNUMBER(AE25)),ISERROR(AE25),$B25=""),"",IF($I25=1,IFBLANK(_xldudf_CX_PUSH(AE25*fxVal_normal,CX_ENTITY,$B25,AE$11,AE$14,AE$19,),""),IF($I25=2,IFBLANK(_xldudf_CX_PUSH(AE25,CX_ENTITY,$B25,AE$11,AE$14,AE$19,),""),IF($I25=3,"",IFBLANK(_xldudf_CX_PUSH(AE25,CX_ENTITY,$B25,AE$11,AE$14,AE$19,),"")))))),"")</f>
        <v/>
      </c>
      <c r="CS25" s="1883" t="str" cm="1">
        <f t="array" ca="1" aca="1" ref="CS25">IFERROR(IF(AF25*fxVal_normal=_BS!AF25,"",IF(OR(AF25="",NOT(ISNUMBER(AF25)),ISERROR(AF25),$B25=""),"",IF($I25=1,IFBLANK(_xldudf_CX_PUSH(AF25*fxVal_normal,CX_ENTITY,$B25,AF$11,AF$14,AF$19,),""),IF($I25=2,IFBLANK(_xldudf_CX_PUSH(AF25,CX_ENTITY,$B25,AF$11,AF$14,AF$19,),""),IF($I25=3,"",IFBLANK(_xldudf_CX_PUSH(AF25,CX_ENTITY,$B25,AF$11,AF$14,AF$19,),"")))))),"")</f>
        <v/>
      </c>
      <c r="CT25" s="1883" t="str" cm="1">
        <f t="array" ca="1" aca="1" ref="CT25">IFERROR(IF(AG25*fxVal_normal=_BS!AG25,"",IF(OR(AG25="",NOT(ISNUMBER(AG25)),ISERROR(AG25),$B25=""),"",IF($I25=1,IFBLANK(_xldudf_CX_PUSH(AG25*fxVal_normal,CX_ENTITY,$B25,AG$11,AG$14,AG$19,),""),IF($I25=2,IFBLANK(_xldudf_CX_PUSH(AG25,CX_ENTITY,$B25,AG$11,AG$14,AG$19,),""),IF($I25=3,"",IFBLANK(_xldudf_CX_PUSH(AG25,CX_ENTITY,$B25,AG$11,AG$14,AG$19,),"")))))),"")</f>
        <v/>
      </c>
      <c r="CU25" s="1883" t="str" cm="1">
        <f t="array" ca="1" aca="1" ref="CU25">IFERROR(IF(AH25*fxVal_normal=_BS!AH25,"",IF(OR(AH25="",NOT(ISNUMBER(AH25)),ISERROR(AH25),$B25=""),"",IF($I25=1,IFBLANK(_xldudf_CX_PUSH(AH25*fxVal_normal,CX_ENTITY,$B25,AH$11,AH$14,AH$19,),""),IF($I25=2,IFBLANK(_xldudf_CX_PUSH(AH25,CX_ENTITY,$B25,AH$11,AH$14,AH$19,),""),IF($I25=3,"",IFBLANK(_xldudf_CX_PUSH(AH25,CX_ENTITY,$B25,AH$11,AH$14,AH$19,),"")))))),"")</f>
        <v/>
      </c>
      <c r="CV25" s="1883" t="str" cm="1">
        <f t="array" ca="1" aca="1" ref="CV25">IFERROR(IF(AI25*fxVal_normal=_BS!AI25,"",IF(OR(AI25="",NOT(ISNUMBER(AI25)),ISERROR(AI25),$B25=""),"",IF($I25=1,IFBLANK(_xldudf_CX_PUSH(AI25*fxVal_normal,CX_ENTITY,$B25,AI$11,AI$14,AI$19,),""),IF($I25=2,IFBLANK(_xldudf_CX_PUSH(AI25,CX_ENTITY,$B25,AI$11,AI$14,AI$19,),""),IF($I25=3,"",IFBLANK(_xldudf_CX_PUSH(AI25,CX_ENTITY,$B25,AI$11,AI$14,AI$19,),"")))))),"")</f>
        <v/>
      </c>
      <c r="CW25" s="1883" t="str" cm="1">
        <f t="array" ca="1" aca="1" ref="CW25">IFERROR(IF(AJ25*fxVal_normal=_BS!AJ25,"",IF(OR(AJ25="",NOT(ISNUMBER(AJ25)),ISERROR(AJ25),$B25=""),"",IF($I25=1,IFBLANK(_xldudf_CX_PUSH(AJ25*fxVal_normal,CX_ENTITY,$B25,AJ$11,AJ$14,AJ$19,),""),IF($I25=2,IFBLANK(_xldudf_CX_PUSH(AJ25,CX_ENTITY,$B25,AJ$11,AJ$14,AJ$19,),""),IF($I25=3,"",IFBLANK(_xldudf_CX_PUSH(AJ25,CX_ENTITY,$B25,AJ$11,AJ$14,AJ$19,),"")))))),"")</f>
        <v/>
      </c>
      <c r="CX25" s="1883" t="str" cm="1">
        <f t="array" ca="1" aca="1" ref="CX25">IFERROR(IF(AK25*fxVal_normal=_BS!AK25,"",IF(OR(AK25="",NOT(ISNUMBER(AK25)),ISERROR(AK25),$B25=""),"",IF($I25=1,IFBLANK(_xldudf_CX_PUSH(AK25*fxVal_normal,CX_ENTITY,$B25,AK$11,AK$14,AK$19,),""),IF($I25=2,IFBLANK(_xldudf_CX_PUSH(AK25,CX_ENTITY,$B25,AK$11,AK$14,AK$19,),""),IF($I25=3,"",IFBLANK(_xldudf_CX_PUSH(AK25,CX_ENTITY,$B25,AK$11,AK$14,AK$19,),"")))))),"")</f>
        <v/>
      </c>
      <c r="CY25" s="1883" t="str" cm="1">
        <f t="array" ca="1" aca="1" ref="CY25">IFERROR(IF(AL25*fxVal_normal=_BS!AL25,"",IF(OR(AL25="",NOT(ISNUMBER(AL25)),ISERROR(AL25),$B25=""),"",IF($I25=1,IFBLANK(_xldudf_CX_PUSH(AL25*fxVal_normal,CX_ENTITY,$B25,AL$11,AL$14,AL$19,),""),IF($I25=2,IFBLANK(_xldudf_CX_PUSH(AL25,CX_ENTITY,$B25,AL$11,AL$14,AL$19,),""),IF($I25=3,"",IFBLANK(_xldudf_CX_PUSH(AL25,CX_ENTITY,$B25,AL$11,AL$14,AL$19,),"")))))),"")</f>
        <v/>
      </c>
      <c r="CZ25" s="1883" t="str" cm="1">
        <f t="array" ca="1" aca="1" ref="CZ25">IFERROR(IF(AM25*fxVal_normal=_BS!AM25,"",IF(OR(AM25="",NOT(ISNUMBER(AM25)),ISERROR(AM25),$B25=""),"",IF($I25=1,IFBLANK(_xldudf_CX_PUSH(AM25*fxVal_normal,CX_ENTITY,$B25,AM$11,AM$14,AM$19,),""),IF($I25=2,IFBLANK(_xldudf_CX_PUSH(AM25,CX_ENTITY,$B25,AM$11,AM$14,AM$19,),""),IF($I25=3,"",IFBLANK(_xldudf_CX_PUSH(AM25,CX_ENTITY,$B25,AM$11,AM$14,AM$19,),"")))))),"")</f>
        <v/>
      </c>
      <c r="DA25" s="1883" t="str" cm="1">
        <f t="array" ca="1" aca="1" ref="DA25">IFERROR(IF(AN25*fxVal_normal=_BS!AN25,"",IF(OR(AN25="",NOT(ISNUMBER(AN25)),ISERROR(AN25),$B25=""),"",IF($I25=1,IFBLANK(_xldudf_CX_PUSH(AN25*fxVal_normal,CX_ENTITY,$B25,AN$11,AN$14,AN$19,),""),IF($I25=2,IFBLANK(_xldudf_CX_PUSH(AN25,CX_ENTITY,$B25,AN$11,AN$14,AN$19,),""),IF($I25=3,"",IFBLANK(_xldudf_CX_PUSH(AN25,CX_ENTITY,$B25,AN$11,AN$14,AN$19,),"")))))),"")</f>
        <v/>
      </c>
      <c r="DB25" s="1883" t="str" cm="1">
        <f t="array" ca="1" aca="1" ref="DB25">IFERROR(IF(AO25*fxVal_normal=_BS!AO25,"",IF(OR(AO25="",NOT(ISNUMBER(AO25)),ISERROR(AO25),$B25=""),"",IF($I25=1,IFBLANK(_xldudf_CX_PUSH(AO25*fxVal_normal,CX_ENTITY,$B25,AO$11,AO$14,AO$19,),""),IF($I25=2,IFBLANK(_xldudf_CX_PUSH(AO25,CX_ENTITY,$B25,AO$11,AO$14,AO$19,),""),IF($I25=3,"",IFBLANK(_xldudf_CX_PUSH(AO25,CX_ENTITY,$B25,AO$11,AO$14,AO$19,),"")))))),"")</f>
        <v/>
      </c>
      <c r="DC25" s="1883" t="str" cm="1">
        <f t="array" ca="1" aca="1" ref="DC25">IFERROR(IF(AP25*fxVal_normal=_BS!AP25,"",IF(OR(AP25="",NOT(ISNUMBER(AP25)),ISERROR(AP25),$B25=""),"",IF($I25=1,IFBLANK(_xldudf_CX_PUSH(AP25*fxVal_normal,CX_ENTITY,$B25,AP$11,AP$14,AP$19,),""),IF($I25=2,IFBLANK(_xldudf_CX_PUSH(AP25,CX_ENTITY,$B25,AP$11,AP$14,AP$19,),""),IF($I25=3,"",IFBLANK(_xldudf_CX_PUSH(AP25,CX_ENTITY,$B25,AP$11,AP$14,AP$19,),"")))))),"")</f>
        <v/>
      </c>
      <c r="DD25" s="1883" t="str" cm="1">
        <f t="array" ca="1" aca="1" ref="DD25">IFERROR(IF(AQ25*fxVal_normal=_BS!AQ25,"",IF(OR(AQ25="",NOT(ISNUMBER(AQ25)),ISERROR(AQ25),$B25=""),"",IF($I25=1,IFBLANK(_xldudf_CX_PUSH(AQ25*fxVal_normal,CX_ENTITY,$B25,AQ$11,AQ$14,AQ$19,),""),IF($I25=2,IFBLANK(_xldudf_CX_PUSH(AQ25,CX_ENTITY,$B25,AQ$11,AQ$14,AQ$19,),""),IF($I25=3,"",IFBLANK(_xldudf_CX_PUSH(AQ25,CX_ENTITY,$B25,AQ$11,AQ$14,AQ$19,),"")))))),"")</f>
        <v/>
      </c>
      <c r="DE25" s="1883" t="str" cm="1">
        <f t="array" ca="1" aca="1" ref="DE25">IFERROR(IF(AR25*fxVal_normal=_BS!AR25,"",IF(OR(AR25="",NOT(ISNUMBER(AR25)),ISERROR(AR25),$B25=""),"",IF($I25=1,IFBLANK(_xldudf_CX_PUSH(AR25*fxVal_normal,CX_ENTITY,$B25,AR$11,AR$14,AR$19,),""),IF($I25=2,IFBLANK(_xldudf_CX_PUSH(AR25,CX_ENTITY,$B25,AR$11,AR$14,AR$19,),""),IF($I25=3,"",IFBLANK(_xldudf_CX_PUSH(AR25,CX_ENTITY,$B25,AR$11,AR$14,AR$19,),"")))))),"")</f>
        <v/>
      </c>
      <c r="DF25" s="1883" t="str" cm="1">
        <f t="array" ca="1" aca="1" ref="DF25">IFERROR(IF(AS25*fxVal_normal=_BS!AS25,"",IF(OR(AS25="",NOT(ISNUMBER(AS25)),ISERROR(AS25),$B25=""),"",IF($I25=1,IFBLANK(_xldudf_CX_PUSH(AS25*fxVal_normal,CX_ENTITY,$B25,AS$11,AS$14,AS$19,),""),IF($I25=2,IFBLANK(_xldudf_CX_PUSH(AS25,CX_ENTITY,$B25,AS$11,AS$14,AS$19,),""),IF($I25=3,"",IFBLANK(_xldudf_CX_PUSH(AS25,CX_ENTITY,$B25,AS$11,AS$14,AS$19,),"")))))),"")</f>
        <v/>
      </c>
      <c r="DG25" s="1883" t="str" cm="1">
        <f t="array" ca="1" aca="1" ref="DG25">IFERROR(IF(AT25*fxVal_normal=_BS!AT25,"",IF(OR(AT25="",NOT(ISNUMBER(AT25)),ISERROR(AT25),$B25=""),"",IF($I25=1,IFBLANK(_xldudf_CX_PUSH(AT25*fxVal_normal,CX_ENTITY,$B25,AT$11,AT$14,AT$19,),""),IF($I25=2,IFBLANK(_xldudf_CX_PUSH(AT25,CX_ENTITY,$B25,AT$11,AT$14,AT$19,),""),IF($I25=3,"",IFBLANK(_xldudf_CX_PUSH(AT25,CX_ENTITY,$B25,AT$11,AT$14,AT$19,),"")))))),"")</f>
        <v/>
      </c>
      <c r="DH25" s="1883" t="str" cm="1">
        <f t="array" ca="1" aca="1" ref="DH25">IFERROR(IF(AU25*fxVal_normal=_BS!AU25,"",IF(OR(AU25="",NOT(ISNUMBER(AU25)),ISERROR(AU25),$B25=""),"",IF($I25=1,IFBLANK(_xldudf_CX_PUSH(AU25*fxVal_normal,CX_ENTITY,$B25,AU$11,AU$14,AU$19,),""),IF($I25=2,IFBLANK(_xldudf_CX_PUSH(AU25,CX_ENTITY,$B25,AU$11,AU$14,AU$19,),""),IF($I25=3,"",IFBLANK(_xldudf_CX_PUSH(AU25,CX_ENTITY,$B25,AU$11,AU$14,AU$19,),"")))))),"")</f>
        <v/>
      </c>
      <c r="DI25" s="1883" t="str" cm="1">
        <f t="array" ca="1" aca="1" ref="DI25">IFERROR(IF(AV25*fxVal_normal=_BS!AV25,"",IF(OR(AV25="",NOT(ISNUMBER(AV25)),ISERROR(AV25),$B25=""),"",IF($I25=1,IFBLANK(_xldudf_CX_PUSH(AV25*fxVal_normal,CX_ENTITY,$B25,AV$11,AV$14,AV$19,),""),IF($I25=2,IFBLANK(_xldudf_CX_PUSH(AV25,CX_ENTITY,$B25,AV$11,AV$14,AV$19,),""),IF($I25=3,"",IFBLANK(_xldudf_CX_PUSH(AV25,CX_ENTITY,$B25,AV$11,AV$14,AV$19,),"")))))),"")</f>
        <v/>
      </c>
      <c r="DJ25" s="1883" t="str" cm="1">
        <f t="array" ca="1" aca="1" ref="DJ25">IFERROR(IF(AW25*fxVal_normal=_BS!AW25,"",IF(OR(AW25="",NOT(ISNUMBER(AW25)),ISERROR(AW25),$B25=""),"",IF($I25=1,IFBLANK(_xldudf_CX_PUSH(AW25*fxVal_normal,CX_ENTITY,$B25,AW$11,AW$14,AW$19,),""),IF($I25=2,IFBLANK(_xldudf_CX_PUSH(AW25,CX_ENTITY,$B25,AW$11,AW$14,AW$19,),""),IF($I25=3,"",IFBLANK(_xldudf_CX_PUSH(AW25,CX_ENTITY,$B25,AW$11,AW$14,AW$19,),"")))))),"")</f>
        <v/>
      </c>
      <c r="DK25" s="1883" t="str" cm="1">
        <f t="array" ca="1" aca="1" ref="DK25">IFERROR(IF(AX25*fxVal_normal=_BS!AX25,"",IF(OR(AX25="",NOT(ISNUMBER(AX25)),ISERROR(AX25),$B25=""),"",IF($I25=1,IFBLANK(_xldudf_CX_PUSH(AX25*fxVal_normal,CX_ENTITY,$B25,AX$11,AX$14,AX$19,),""),IF($I25=2,IFBLANK(_xldudf_CX_PUSH(AX25,CX_ENTITY,$B25,AX$11,AX$14,AX$19,),""),IF($I25=3,"",IFBLANK(_xldudf_CX_PUSH(AX25,CX_ENTITY,$B25,AX$11,AX$14,AX$19,),"")))))),"")</f>
        <v/>
      </c>
      <c r="DL25" s="1883" t="str" cm="1">
        <f t="array" ca="1" aca="1" ref="DL25">IFERROR(IF(AY25*fxVal_normal=_BS!AY25,"",IF(OR(AY25="",NOT(ISNUMBER(AY25)),ISERROR(AY25),$B25=""),"",IF($I25=1,IFBLANK(_xldudf_CX_PUSH(AY25*fxVal_normal,CX_ENTITY,$B25,AY$11,AY$14,AY$19,),""),IF($I25=2,IFBLANK(_xldudf_CX_PUSH(AY25,CX_ENTITY,$B25,AY$11,AY$14,AY$19,),""),IF($I25=3,"",IFBLANK(_xldudf_CX_PUSH(AY25,CX_ENTITY,$B25,AY$11,AY$14,AY$19,),"")))))),"")</f>
        <v/>
      </c>
      <c r="DM25" s="1883" t="str" cm="1">
        <f t="array" ca="1" aca="1" ref="DM25">IFERROR(IF(AZ25*fxVal_normal=_BS!AZ25,"",IF(OR(AZ25="",NOT(ISNUMBER(AZ25)),ISERROR(AZ25),$B25=""),"",IF($I25=1,IFBLANK(_xldudf_CX_PUSH(AZ25*fxVal_normal,CX_ENTITY,$B25,AZ$11,AZ$14,AZ$19,),""),IF($I25=2,IFBLANK(_xldudf_CX_PUSH(AZ25,CX_ENTITY,$B25,AZ$11,AZ$14,AZ$19,),""),IF($I25=3,"",IFBLANK(_xldudf_CX_PUSH(AZ25,CX_ENTITY,$B25,AZ$11,AZ$14,AZ$19,),"")))))),"")</f>
        <v/>
      </c>
      <c r="DN25" s="1883" t="str" cm="1">
        <f t="array" ca="1" aca="1" ref="DN25">IFERROR(IF(BA25*fxVal_normal=_BS!BA25,"",IF(OR(BA25="",NOT(ISNUMBER(BA25)),ISERROR(BA25),$B25=""),"",IF($I25=1,IFBLANK(_xldudf_CX_PUSH(BA25*fxVal_normal,CX_ENTITY,$B25,BA$11,BA$14,BA$19,),""),IF($I25=2,IFBLANK(_xldudf_CX_PUSH(BA25,CX_ENTITY,$B25,BA$11,BA$14,BA$19,),""),IF($I25=3,"",IFBLANK(_xldudf_CX_PUSH(BA25,CX_ENTITY,$B25,BA$11,BA$14,BA$19,),"")))))),"")</f>
        <v/>
      </c>
      <c r="DO25" s="1883" t="str" cm="1">
        <f t="array" ca="1" aca="1" ref="DO25">IFERROR(IF(BB25*fxVal_normal=_BS!BB25,"",IF(OR(BB25="",NOT(ISNUMBER(BB25)),ISERROR(BB25),$B25=""),"",IF($I25=1,IFBLANK(_xldudf_CX_PUSH(BB25*fxVal_normal,CX_ENTITY,$B25,BB$11,BB$14,BB$19,),""),IF($I25=2,IFBLANK(_xldudf_CX_PUSH(BB25,CX_ENTITY,$B25,BB$11,BB$14,BB$19,),""),IF($I25=3,"",IFBLANK(_xldudf_CX_PUSH(BB25,CX_ENTITY,$B25,BB$11,BB$14,BB$19,),"")))))),"")</f>
        <v/>
      </c>
      <c r="DP25" s="1883" t="str" cm="1">
        <f t="array" ca="1" aca="1" ref="DP25">IFERROR(IF(BC25*fxVal_normal=_BS!BC25,"",IF(OR(BC25="",NOT(ISNUMBER(BC25)),ISERROR(BC25),$B25=""),"",IF($I25=1,IFBLANK(_xldudf_CX_PUSH(BC25*fxVal_normal,CX_ENTITY,$B25,BC$11,BC$14,BC$19,),""),IF($I25=2,IFBLANK(_xldudf_CX_PUSH(BC25,CX_ENTITY,$B25,BC$11,BC$14,BC$19,),""),IF($I25=3,"",IFBLANK(_xldudf_CX_PUSH(BC25,CX_ENTITY,$B25,BC$11,BC$14,BC$19,),"")))))),"")</f>
        <v/>
      </c>
      <c r="DQ25" s="1883" t="str" cm="1">
        <f t="array" ca="1" aca="1" ref="DQ25">IFERROR(IF(BD25*fxVal_normal=_BS!BD25,"",IF(OR(BD25="",NOT(ISNUMBER(BD25)),ISERROR(BD25),$B25=""),"",IF($I25=1,IFBLANK(_xldudf_CX_PUSH(BD25*fxVal_normal,CX_ENTITY,$B25,BD$11,BD$14,BD$19,),""),IF($I25=2,IFBLANK(_xldudf_CX_PUSH(BD25,CX_ENTITY,$B25,BD$11,BD$14,BD$19,),""),IF($I25=3,"",IFBLANK(_xldudf_CX_PUSH(BD25,CX_ENTITY,$B25,BD$11,BD$14,BD$19,),"")))))),"")</f>
        <v/>
      </c>
      <c r="DR25" s="1883" t="str" cm="1">
        <f t="array" ca="1" aca="1" ref="DR25">IFERROR(IF(BE25*fxVal_normal=_BS!BE25,"",IF(OR(BE25="",NOT(ISNUMBER(BE25)),ISERROR(BE25),$B25=""),"",IF($I25=1,IFBLANK(_xldudf_CX_PUSH(BE25*fxVal_normal,CX_ENTITY,$B25,BE$11,BE$14,BE$19,),""),IF($I25=2,IFBLANK(_xldudf_CX_PUSH(BE25,CX_ENTITY,$B25,BE$11,BE$14,BE$19,),""),IF($I25=3,"",IFBLANK(_xldudf_CX_PUSH(BE25,CX_ENTITY,$B25,BE$11,BE$14,BE$19,),"")))))),"")</f>
        <v/>
      </c>
      <c r="DS25" s="1883" t="str" cm="1">
        <f t="array" ca="1" aca="1" ref="DS25">IFERROR(IF(BF25*fxVal_normal=_BS!BF25,"",IF(OR(BF25="",NOT(ISNUMBER(BF25)),ISERROR(BF25),$B25=""),"",IF($I25=1,IFBLANK(_xldudf_CX_PUSH(BF25*fxVal_normal,CX_ENTITY,$B25,BF$11,BF$14,BF$19,),""),IF($I25=2,IFBLANK(_xldudf_CX_PUSH(BF25,CX_ENTITY,$B25,BF$11,BF$14,BF$19,),""),IF($I25=3,"",IFBLANK(_xldudf_CX_PUSH(BF25,CX_ENTITY,$B25,BF$11,BF$14,BF$19,),"")))))),"")</f>
        <v/>
      </c>
      <c r="DT25" s="1883" t="str" cm="1">
        <f t="array" ca="1" aca="1" ref="DT25">IFERROR(IF(BG25*fxVal_normal=_BS!BG25,"",IF(OR(BG25="",NOT(ISNUMBER(BG25)),ISERROR(BG25),$B25=""),"",IF($I25=1,IFBLANK(_xldudf_CX_PUSH(BG25*fxVal_normal,CX_ENTITY,$B25,BG$11,BG$14,BG$19,),""),IF($I25=2,IFBLANK(_xldudf_CX_PUSH(BG25,CX_ENTITY,$B25,BG$11,BG$14,BG$19,),""),IF($I25=3,"",IFBLANK(_xldudf_CX_PUSH(BG25,CX_ENTITY,$B25,BG$11,BG$14,BG$19,),"")))))),"")</f>
        <v/>
      </c>
      <c r="DU25" s="1883" t="str" cm="1">
        <f t="array" ca="1" aca="1" ref="DU25">IFERROR(IF(BH25*fxVal_normal=_BS!BH25,"",IF(OR(BH25="",NOT(ISNUMBER(BH25)),ISERROR(BH25),$B25=""),"",IF($I25=1,IFBLANK(_xldudf_CX_PUSH(BH25*fxVal_normal,CX_ENTITY,$B25,BH$11,BH$14,BH$19,),""),IF($I25=2,IFBLANK(_xldudf_CX_PUSH(BH25,CX_ENTITY,$B25,BH$11,BH$14,BH$19,),""),IF($I25=3,"",IFBLANK(_xldudf_CX_PUSH(BH25,CX_ENTITY,$B25,BH$11,BH$14,BH$19,),"")))))),"")</f>
        <v/>
      </c>
      <c r="DV25" s="1883" t="str" cm="1">
        <f t="array" ca="1" aca="1" ref="DV25">IFERROR(IF(BI25*fxVal_normal=_BS!BI25,"",IF(OR(BI25="",NOT(ISNUMBER(BI25)),ISERROR(BI25),$B25=""),"",IF($I25=1,IFBLANK(_xldudf_CX_PUSH(BI25*fxVal_normal,CX_ENTITY,$B25,BI$11,BI$14,BI$19,),""),IF($I25=2,IFBLANK(_xldudf_CX_PUSH(BI25,CX_ENTITY,$B25,BI$11,BI$14,BI$19,),""),IF($I25=3,"",IFBLANK(_xldudf_CX_PUSH(BI25,CX_ENTITY,$B25,BI$11,BI$14,BI$19,),"")))))),"")</f>
        <v/>
      </c>
      <c r="DW25" s="1883" t="str" cm="1">
        <f t="array" ca="1" aca="1" ref="DW25">IFERROR(IF(BJ25*fxVal_normal=_BS!BJ25,"",IF(OR(BJ25="",NOT(ISNUMBER(BJ25)),ISERROR(BJ25),$B25=""),"",IF($I25=1,IFBLANK(_xldudf_CX_PUSH(BJ25*fxVal_normal,CX_ENTITY,$B25,BJ$11,BJ$14,BJ$19,),""),IF($I25=2,IFBLANK(_xldudf_CX_PUSH(BJ25,CX_ENTITY,$B25,BJ$11,BJ$14,BJ$19,),""),IF($I25=3,"",IFBLANK(_xldudf_CX_PUSH(BJ25,CX_ENTITY,$B25,BJ$11,BJ$14,BJ$19,),"")))))),"")</f>
        <v/>
      </c>
      <c r="DX25" s="1883" t="str" cm="1">
        <f t="array" ca="1" aca="1" ref="DX25">IFERROR(IF(BK25*fxVal_normal=_BS!BK25,"",IF(OR(BK25="",NOT(ISNUMBER(BK25)),ISERROR(BK25),$B25=""),"",IF($I25=1,IFBLANK(_xldudf_CX_PUSH(BK25*fxVal_normal,CX_ENTITY,$B25,BK$11,BK$14,BK$19,),""),IF($I25=2,IFBLANK(_xldudf_CX_PUSH(BK25,CX_ENTITY,$B25,BK$11,BK$14,BK$19,),""),IF($I25=3,"",IFBLANK(_xldudf_CX_PUSH(BK25,CX_ENTITY,$B25,BK$11,BK$14,BK$19,),"")))))),"")</f>
        <v/>
      </c>
      <c r="DY25" s="1883" t="str" cm="1">
        <f t="array" ca="1" aca="1" ref="DY25">IFERROR(IF(BL25*fxVal_normal=_BS!BL25,"",IF(OR(BL25="",NOT(ISNUMBER(BL25)),ISERROR(BL25),$B25=""),"",IF($I25=1,IFBLANK(_xldudf_CX_PUSH(BL25*fxVal_normal,CX_ENTITY,$B25,BL$11,BL$14,BL$19,),""),IF($I25=2,IFBLANK(_xldudf_CX_PUSH(BL25,CX_ENTITY,$B25,BL$11,BL$14,BL$19,),""),IF($I25=3,"",IFBLANK(_xldudf_CX_PUSH(BL25,CX_ENTITY,$B25,BL$11,BL$14,BL$19,),"")))))),"")</f>
        <v/>
      </c>
      <c r="DZ25" s="1883" t="str" cm="1">
        <f t="array" ca="1" aca="1" ref="DZ25">IFERROR(IF(BM25*fxVal_normal=_BS!BM25,"",IF(OR(BM25="",NOT(ISNUMBER(BM25)),ISERROR(BM25),$B25=""),"",IF($I25=1,IFBLANK(_xldudf_CX_PUSH(BM25*fxVal_normal,CX_ENTITY,$B25,BM$11,BM$14,BM$19,),""),IF($I25=2,IFBLANK(_xldudf_CX_PUSH(BM25,CX_ENTITY,$B25,BM$11,BM$14,BM$19,),""),IF($I25=3,"",IFBLANK(_xldudf_CX_PUSH(BM25,CX_ENTITY,$B25,BM$11,BM$14,BM$19,),"")))))),"")</f>
        <v/>
      </c>
      <c r="EA25" s="1883" t="str" cm="1">
        <f t="array" ca="1" aca="1" ref="EA25">IFERROR(IF(BN25*fxVal_normal=_BS!BN25,"",IF(OR(BN25="",NOT(ISNUMBER(BN25)),ISERROR(BN25),$B25=""),"",IF($I25=1,IFBLANK(_xldudf_CX_PUSH(BN25*fxVal_normal,CX_ENTITY,$B25,BN$11,BN$14,BN$19,),""),IF($I25=2,IFBLANK(_xldudf_CX_PUSH(BN25,CX_ENTITY,$B25,BN$11,BN$14,BN$19,),""),IF($I25=3,"",IFBLANK(_xldudf_CX_PUSH(BN25,CX_ENTITY,$B25,BN$11,BN$14,BN$19,),"")))))),"")</f>
        <v/>
      </c>
    </row>
    <row r="26" spans="1:131" ht="21" customHeight="1">
      <c r="A26" s="1625"/>
      <c r="B26" s="695" t="str" cm="1">
        <f t="array" ref="B26">IFBLANK(_BS!F26,"")</f>
        <v>Inventory</v>
      </c>
      <c r="C26" s="3340" t="str" cm="1">
        <f t="array" ref="C26">IFBLANK(_BS!C26,"")</f>
        <v>Inventory (Company View)</v>
      </c>
      <c r="D26" s="1548"/>
      <c r="E26" s="1902" t="e" cm="1">
        <f t="array" ca="1" aca="1" ref="E2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26:$CH26,Z26)</f>
        <v>#NAME?</v>
      </c>
      <c r="F26" s="1897"/>
      <c r="G26" s="1897"/>
      <c r="H26" s="3279">
        <v>1</v>
      </c>
      <c r="I26" s="3279">
        <v>1</v>
      </c>
      <c r="J26" s="578"/>
      <c r="N26" s="158"/>
      <c r="O26" s="101"/>
      <c r="P26" s="52"/>
      <c r="Q26" s="101"/>
      <c r="R26" s="126"/>
      <c r="S26" s="101"/>
      <c r="T26" s="101"/>
      <c r="U26" s="39"/>
      <c r="W26" s="91" t="str">
        <f t="shared" si="1"/>
        <v>Actual</v>
      </c>
      <c r="X26" s="3292">
        <f>_BS!X26</f>
        <v>1</v>
      </c>
      <c r="Y26" s="3183">
        <v>2</v>
      </c>
      <c r="Z26" s="3291" cm="1">
        <f t="array" ref="Z26">_xlfn.SWITCH(TRUE,_BS!$L26=TRUE,1,_BS!$L26=FALSE,-1,_BS!$L26=-1,0,"n/a")</f>
        <v>1</v>
      </c>
      <c r="AA26" s="200"/>
      <c r="AB26" s="3343" t="str">
        <f>_BS!AB26</f>
        <v>Inventory</v>
      </c>
      <c r="AC26" s="88" t="e" vm="5" cm="1">
        <f t="array" ca="1" aca="1" ref="AC26">_xlfn.LET(_xlpm._termname,$AB26,_xlpm._iconname,"find",_xlpm._icon,fx_getIcon(_xlpm._iconname),_xlpm._location,_xlfn.XLOOKUP(LOWER(_xlpm._termname),LOWER(tbl_acctDef[Term]),tbl_acctDef[Term]),_xlpm._hyperlink,HYPERLINK("#"&amp;CELL("address",_xlpm._location),_xlpm._icon),IFERROR(_xlpm._hyperlink,""))</f>
        <v>#VALUE!</v>
      </c>
      <c r="AD26" s="3229">
        <v>1</v>
      </c>
      <c r="AE26" s="3229">
        <v>1</v>
      </c>
      <c r="AF26" s="3229">
        <v>1</v>
      </c>
      <c r="AG26" s="3229">
        <v>1</v>
      </c>
      <c r="AH26" s="3229">
        <v>1</v>
      </c>
      <c r="AI26" s="3229">
        <v>1</v>
      </c>
      <c r="AJ26" s="3229">
        <v>1</v>
      </c>
      <c r="AK26" s="3229">
        <v>1</v>
      </c>
      <c r="AL26" s="3229">
        <v>1</v>
      </c>
      <c r="AM26" s="3229">
        <v>1</v>
      </c>
      <c r="AN26" s="3229">
        <v>1</v>
      </c>
      <c r="AO26" s="3229">
        <v>1</v>
      </c>
      <c r="AP26" s="3229">
        <v>1</v>
      </c>
      <c r="AQ26" s="3229">
        <v>1</v>
      </c>
      <c r="AR26" s="3229">
        <v>1</v>
      </c>
      <c r="AS26" s="3229">
        <v>1</v>
      </c>
      <c r="AT26" s="3229">
        <v>1</v>
      </c>
      <c r="AU26" s="3229">
        <v>1</v>
      </c>
      <c r="AV26" s="3229">
        <v>1</v>
      </c>
      <c r="AW26" s="3229">
        <v>1</v>
      </c>
      <c r="AX26" s="3229">
        <v>1</v>
      </c>
      <c r="AY26" s="3229">
        <v>1</v>
      </c>
      <c r="AZ26" s="3229">
        <v>1</v>
      </c>
      <c r="BA26" s="3229">
        <v>1</v>
      </c>
      <c r="BB26" s="3229">
        <v>1</v>
      </c>
      <c r="BC26" s="3229">
        <v>1</v>
      </c>
      <c r="BD26" s="3229">
        <v>1</v>
      </c>
      <c r="BE26" s="3229">
        <v>1</v>
      </c>
      <c r="BF26" s="3229">
        <v>1</v>
      </c>
      <c r="BG26" s="3229">
        <v>1</v>
      </c>
      <c r="BH26" s="3229">
        <v>1</v>
      </c>
      <c r="BI26" s="3229">
        <v>1</v>
      </c>
      <c r="BJ26" s="3229">
        <v>1</v>
      </c>
      <c r="BK26" s="3229">
        <v>1</v>
      </c>
      <c r="BL26" s="3229">
        <v>1</v>
      </c>
      <c r="BM26" s="3229">
        <v>1</v>
      </c>
      <c r="BN26" s="3229">
        <v>1</v>
      </c>
      <c r="BO26" s="2095"/>
      <c r="BP26" s="2095"/>
      <c r="BQ26" s="2095"/>
      <c r="BR26" s="2095"/>
      <c r="BS26" s="2095"/>
      <c r="BT26" s="2095"/>
      <c r="BU26" s="2095"/>
      <c r="BV26" s="2095"/>
      <c r="BW26" s="2095"/>
      <c r="BX26" s="2095"/>
      <c r="BY26" s="2095"/>
      <c r="BZ26" s="2095"/>
      <c r="CA26" s="926"/>
      <c r="CB26" s="921"/>
      <c r="CC26" s="927"/>
      <c r="CD26" s="2069" t="e" cm="1">
        <f t="array" ca="1" aca="1" ref="CD26">_xlfn.XLOOKUP(BS!CD$11,array_timeline,BS!$AD26:$BN26)</f>
        <v>#NAME?</v>
      </c>
      <c r="CE26" s="2069" t="e" cm="1">
        <f t="array" ca="1" aca="1" ref="CE26">_xlfn.XLOOKUP(BS!CE$11,array_timeline,BS!$AD26:$BN26)</f>
        <v>#NAME?</v>
      </c>
      <c r="CF26" s="925"/>
      <c r="CG26" s="3342" t="e" cm="1">
        <f t="array" ca="1" aca="1" ref="CG26">TODECIMAL(IFBLANK(_BS!CG26,""),fxVal_normal)</f>
        <v>#NAME?</v>
      </c>
      <c r="CH26" s="3342" t="e" cm="1">
        <f t="array" ca="1" aca="1" ref="CH26">TODECIMAL(IFBLANK(_BS!CH26,""),fxVal_normal)</f>
        <v>#NAME?</v>
      </c>
      <c r="CI26" s="200"/>
      <c r="CK26" s="2085" t="str" cm="1">
        <f t="array" ca="1" aca="1" ref="CK26">IFERROR(IF(Y26&lt;&gt;AB26,_xldudf_CX_PUSH(Y26,CX_ENTITY,C26,EOMONTH(val_asOfDate,0)),""),"")</f>
        <v/>
      </c>
      <c r="CL26" s="2085" t="str" cm="1">
        <f t="array" ca="1" aca="1" ref="CL26">IFERROR(IF(Y26&lt;&gt;AB26,_xldudf_CX_PUSH(Y26,CX_ENTITY,C26,EOMONTH(val_asOfDate,1)),""),"")</f>
        <v/>
      </c>
      <c r="CM26" s="2085" t="str" cm="1">
        <f t="array" ca="1" aca="1" ref="CM26">IFERROR(IF(Y26&lt;&gt;AB26,_xldudf_CX_PUSH(Y26,CX_ENTITY,C26,EOMONTH(val_asOfDate,2)),""),"")</f>
        <v/>
      </c>
      <c r="CN26" s="2085" t="str" cm="1">
        <f t="array" ca="1" aca="1" ref="CN26">IFERROR(IF(Y26&lt;&gt;AB26,_xldudf_CX_PUSH(Y26,CX_ENTITY,C26,EOMONTH(val_asOfDate,3)),""),"")</f>
        <v/>
      </c>
      <c r="CO26" s="2086" t="str" cm="1">
        <f t="array" ca="1" aca="1" ref="CO26">IFERROR(IF(CG26*fxVal_normal=_BS!CG26,"",IF(OR($CG26="",$CG26=0,NOT(ISNUMBER($CG26)),ISERROR($CG26),$B26=""),"",IF($I26=1,IFBLANK(_xldudf_CX_PUSH($CG26*10^6,CX_ENTITY,$B26,$CG$11,$CG$14,$CG$19,),""),IF($I26=2,IFBLANK(_xldudf_CX_PUSH($CG26,CX_ENTITY,$B26,$CG$11,$CG$14,$CG$19,),""),IF($I26=3,"",IFBLANK(_xldudf_CX_PUSH($CG26,CX_ENTITY,$B26,$CG$11,$CG$14,$CG$19,),"")))))),"")</f>
        <v/>
      </c>
      <c r="CP26" s="2086" t="str" cm="1">
        <f t="array" ca="1" aca="1" ref="CP26">IFERROR(IF(CH26*fxVal_normal=_BS!CH26,"",IF(OR($CH26="",$CH26=0,NOT(ISNUMBER($CH26)),ISERROR($CH26),$B26=""),"",IF($I26=1,IFBLANK(_xldudf_CX_PUSH($CH26*10^6,CX_ENTITY,$B26,$CH$11,$CH$14,$CH$19,),""),IF($I26=2,IFBLANK(_xldudf_CX_PUSH($CH26,CX_ENTITY,$B26,$CH$11,$CH$14,$CH$19,),""),IF($I26=3,"",IFBLANK(_xldudf_CX_PUSH($CH26,CX_ENTITY,$B26,$CH$11,$CH$14,$CH$19,),"")))))),"")</f>
        <v/>
      </c>
      <c r="CQ26" s="1883" t="str" cm="1">
        <f t="array" ca="1" aca="1" ref="CQ26">IFERROR(IF(AD26*fxVal_normal=_BS!AD26,"",IF(OR(AD26="",NOT(ISNUMBER(AD26)),ISERROR(AD26),$B26=""),"",IF($I26=1,IFBLANK(_xldudf_CX_PUSH(AD26*fxVal_normal,CX_ENTITY,$B26,AD$11,AD$14,AD$19,),""),IF($I26=2,IFBLANK(_xldudf_CX_PUSH(AD26,CX_ENTITY,$B26,AD$11,AD$14,AD$19,),""),IF($I26=3,"",IFBLANK(_xldudf_CX_PUSH(AD26,CX_ENTITY,$B26,AD$11,AD$14,AD$19,),"")))))),"")</f>
        <v/>
      </c>
      <c r="CR26" s="1883" t="str" cm="1">
        <f t="array" ca="1" aca="1" ref="CR26">IFERROR(IF(AE26*fxVal_normal=_BS!AE26,"",IF(OR(AE26="",NOT(ISNUMBER(AE26)),ISERROR(AE26),$B26=""),"",IF($I26=1,IFBLANK(_xldudf_CX_PUSH(AE26*fxVal_normal,CX_ENTITY,$B26,AE$11,AE$14,AE$19,),""),IF($I26=2,IFBLANK(_xldudf_CX_PUSH(AE26,CX_ENTITY,$B26,AE$11,AE$14,AE$19,),""),IF($I26=3,"",IFBLANK(_xldudf_CX_PUSH(AE26,CX_ENTITY,$B26,AE$11,AE$14,AE$19,),"")))))),"")</f>
        <v/>
      </c>
      <c r="CS26" s="1883" t="str" cm="1">
        <f t="array" ca="1" aca="1" ref="CS26">IFERROR(IF(AF26*fxVal_normal=_BS!AF26,"",IF(OR(AF26="",NOT(ISNUMBER(AF26)),ISERROR(AF26),$B26=""),"",IF($I26=1,IFBLANK(_xldudf_CX_PUSH(AF26*fxVal_normal,CX_ENTITY,$B26,AF$11,AF$14,AF$19,),""),IF($I26=2,IFBLANK(_xldudf_CX_PUSH(AF26,CX_ENTITY,$B26,AF$11,AF$14,AF$19,),""),IF($I26=3,"",IFBLANK(_xldudf_CX_PUSH(AF26,CX_ENTITY,$B26,AF$11,AF$14,AF$19,),"")))))),"")</f>
        <v/>
      </c>
      <c r="CT26" s="1883" t="str" cm="1">
        <f t="array" ca="1" aca="1" ref="CT26">IFERROR(IF(AG26*fxVal_normal=_BS!AG26,"",IF(OR(AG26="",NOT(ISNUMBER(AG26)),ISERROR(AG26),$B26=""),"",IF($I26=1,IFBLANK(_xldudf_CX_PUSH(AG26*fxVal_normal,CX_ENTITY,$B26,AG$11,AG$14,AG$19,),""),IF($I26=2,IFBLANK(_xldudf_CX_PUSH(AG26,CX_ENTITY,$B26,AG$11,AG$14,AG$19,),""),IF($I26=3,"",IFBLANK(_xldudf_CX_PUSH(AG26,CX_ENTITY,$B26,AG$11,AG$14,AG$19,),"")))))),"")</f>
        <v/>
      </c>
      <c r="CU26" s="1883" t="str" cm="1">
        <f t="array" ca="1" aca="1" ref="CU26">IFERROR(IF(AH26*fxVal_normal=_BS!AH26,"",IF(OR(AH26="",NOT(ISNUMBER(AH26)),ISERROR(AH26),$B26=""),"",IF($I26=1,IFBLANK(_xldudf_CX_PUSH(AH26*fxVal_normal,CX_ENTITY,$B26,AH$11,AH$14,AH$19,),""),IF($I26=2,IFBLANK(_xldudf_CX_PUSH(AH26,CX_ENTITY,$B26,AH$11,AH$14,AH$19,),""),IF($I26=3,"",IFBLANK(_xldudf_CX_PUSH(AH26,CX_ENTITY,$B26,AH$11,AH$14,AH$19,),"")))))),"")</f>
        <v/>
      </c>
      <c r="CV26" s="1883" t="str" cm="1">
        <f t="array" ca="1" aca="1" ref="CV26">IFERROR(IF(AI26*fxVal_normal=_BS!AI26,"",IF(OR(AI26="",NOT(ISNUMBER(AI26)),ISERROR(AI26),$B26=""),"",IF($I26=1,IFBLANK(_xldudf_CX_PUSH(AI26*fxVal_normal,CX_ENTITY,$B26,AI$11,AI$14,AI$19,),""),IF($I26=2,IFBLANK(_xldudf_CX_PUSH(AI26,CX_ENTITY,$B26,AI$11,AI$14,AI$19,),""),IF($I26=3,"",IFBLANK(_xldudf_CX_PUSH(AI26,CX_ENTITY,$B26,AI$11,AI$14,AI$19,),"")))))),"")</f>
        <v/>
      </c>
      <c r="CW26" s="1883" t="str" cm="1">
        <f t="array" ca="1" aca="1" ref="CW26">IFERROR(IF(AJ26*fxVal_normal=_BS!AJ26,"",IF(OR(AJ26="",NOT(ISNUMBER(AJ26)),ISERROR(AJ26),$B26=""),"",IF($I26=1,IFBLANK(_xldudf_CX_PUSH(AJ26*fxVal_normal,CX_ENTITY,$B26,AJ$11,AJ$14,AJ$19,),""),IF($I26=2,IFBLANK(_xldudf_CX_PUSH(AJ26,CX_ENTITY,$B26,AJ$11,AJ$14,AJ$19,),""),IF($I26=3,"",IFBLANK(_xldudf_CX_PUSH(AJ26,CX_ENTITY,$B26,AJ$11,AJ$14,AJ$19,),"")))))),"")</f>
        <v/>
      </c>
      <c r="CX26" s="1883" t="str" cm="1">
        <f t="array" ca="1" aca="1" ref="CX26">IFERROR(IF(AK26*fxVal_normal=_BS!AK26,"",IF(OR(AK26="",NOT(ISNUMBER(AK26)),ISERROR(AK26),$B26=""),"",IF($I26=1,IFBLANK(_xldudf_CX_PUSH(AK26*fxVal_normal,CX_ENTITY,$B26,AK$11,AK$14,AK$19,),""),IF($I26=2,IFBLANK(_xldudf_CX_PUSH(AK26,CX_ENTITY,$B26,AK$11,AK$14,AK$19,),""),IF($I26=3,"",IFBLANK(_xldudf_CX_PUSH(AK26,CX_ENTITY,$B26,AK$11,AK$14,AK$19,),"")))))),"")</f>
        <v/>
      </c>
      <c r="CY26" s="1883" t="str" cm="1">
        <f t="array" ca="1" aca="1" ref="CY26">IFERROR(IF(AL26*fxVal_normal=_BS!AL26,"",IF(OR(AL26="",NOT(ISNUMBER(AL26)),ISERROR(AL26),$B26=""),"",IF($I26=1,IFBLANK(_xldudf_CX_PUSH(AL26*fxVal_normal,CX_ENTITY,$B26,AL$11,AL$14,AL$19,),""),IF($I26=2,IFBLANK(_xldudf_CX_PUSH(AL26,CX_ENTITY,$B26,AL$11,AL$14,AL$19,),""),IF($I26=3,"",IFBLANK(_xldudf_CX_PUSH(AL26,CX_ENTITY,$B26,AL$11,AL$14,AL$19,),"")))))),"")</f>
        <v/>
      </c>
      <c r="CZ26" s="1883" t="str" cm="1">
        <f t="array" ca="1" aca="1" ref="CZ26">IFERROR(IF(AM26*fxVal_normal=_BS!AM26,"",IF(OR(AM26="",NOT(ISNUMBER(AM26)),ISERROR(AM26),$B26=""),"",IF($I26=1,IFBLANK(_xldudf_CX_PUSH(AM26*fxVal_normal,CX_ENTITY,$B26,AM$11,AM$14,AM$19,),""),IF($I26=2,IFBLANK(_xldudf_CX_PUSH(AM26,CX_ENTITY,$B26,AM$11,AM$14,AM$19,),""),IF($I26=3,"",IFBLANK(_xldudf_CX_PUSH(AM26,CX_ENTITY,$B26,AM$11,AM$14,AM$19,),"")))))),"")</f>
        <v/>
      </c>
      <c r="DA26" s="1883" t="str" cm="1">
        <f t="array" ca="1" aca="1" ref="DA26">IFERROR(IF(AN26*fxVal_normal=_BS!AN26,"",IF(OR(AN26="",NOT(ISNUMBER(AN26)),ISERROR(AN26),$B26=""),"",IF($I26=1,IFBLANK(_xldudf_CX_PUSH(AN26*fxVal_normal,CX_ENTITY,$B26,AN$11,AN$14,AN$19,),""),IF($I26=2,IFBLANK(_xldudf_CX_PUSH(AN26,CX_ENTITY,$B26,AN$11,AN$14,AN$19,),""),IF($I26=3,"",IFBLANK(_xldudf_CX_PUSH(AN26,CX_ENTITY,$B26,AN$11,AN$14,AN$19,),"")))))),"")</f>
        <v/>
      </c>
      <c r="DB26" s="1883" t="str" cm="1">
        <f t="array" ca="1" aca="1" ref="DB26">IFERROR(IF(AO26*fxVal_normal=_BS!AO26,"",IF(OR(AO26="",NOT(ISNUMBER(AO26)),ISERROR(AO26),$B26=""),"",IF($I26=1,IFBLANK(_xldudf_CX_PUSH(AO26*fxVal_normal,CX_ENTITY,$B26,AO$11,AO$14,AO$19,),""),IF($I26=2,IFBLANK(_xldudf_CX_PUSH(AO26,CX_ENTITY,$B26,AO$11,AO$14,AO$19,),""),IF($I26=3,"",IFBLANK(_xldudf_CX_PUSH(AO26,CX_ENTITY,$B26,AO$11,AO$14,AO$19,),"")))))),"")</f>
        <v/>
      </c>
      <c r="DC26" s="1883" t="str" cm="1">
        <f t="array" ca="1" aca="1" ref="DC26">IFERROR(IF(AP26*fxVal_normal=_BS!AP26,"",IF(OR(AP26="",NOT(ISNUMBER(AP26)),ISERROR(AP26),$B26=""),"",IF($I26=1,IFBLANK(_xldudf_CX_PUSH(AP26*fxVal_normal,CX_ENTITY,$B26,AP$11,AP$14,AP$19,),""),IF($I26=2,IFBLANK(_xldudf_CX_PUSH(AP26,CX_ENTITY,$B26,AP$11,AP$14,AP$19,),""),IF($I26=3,"",IFBLANK(_xldudf_CX_PUSH(AP26,CX_ENTITY,$B26,AP$11,AP$14,AP$19,),"")))))),"")</f>
        <v/>
      </c>
      <c r="DD26" s="1883" t="str" cm="1">
        <f t="array" ca="1" aca="1" ref="DD26">IFERROR(IF(AQ26*fxVal_normal=_BS!AQ26,"",IF(OR(AQ26="",NOT(ISNUMBER(AQ26)),ISERROR(AQ26),$B26=""),"",IF($I26=1,IFBLANK(_xldudf_CX_PUSH(AQ26*fxVal_normal,CX_ENTITY,$B26,AQ$11,AQ$14,AQ$19,),""),IF($I26=2,IFBLANK(_xldudf_CX_PUSH(AQ26,CX_ENTITY,$B26,AQ$11,AQ$14,AQ$19,),""),IF($I26=3,"",IFBLANK(_xldudf_CX_PUSH(AQ26,CX_ENTITY,$B26,AQ$11,AQ$14,AQ$19,),"")))))),"")</f>
        <v/>
      </c>
      <c r="DE26" s="1883" t="str" cm="1">
        <f t="array" ca="1" aca="1" ref="DE26">IFERROR(IF(AR26*fxVal_normal=_BS!AR26,"",IF(OR(AR26="",NOT(ISNUMBER(AR26)),ISERROR(AR26),$B26=""),"",IF($I26=1,IFBLANK(_xldudf_CX_PUSH(AR26*fxVal_normal,CX_ENTITY,$B26,AR$11,AR$14,AR$19,),""),IF($I26=2,IFBLANK(_xldudf_CX_PUSH(AR26,CX_ENTITY,$B26,AR$11,AR$14,AR$19,),""),IF($I26=3,"",IFBLANK(_xldudf_CX_PUSH(AR26,CX_ENTITY,$B26,AR$11,AR$14,AR$19,),"")))))),"")</f>
        <v/>
      </c>
      <c r="DF26" s="1883" t="str" cm="1">
        <f t="array" ca="1" aca="1" ref="DF26">IFERROR(IF(AS26*fxVal_normal=_BS!AS26,"",IF(OR(AS26="",NOT(ISNUMBER(AS26)),ISERROR(AS26),$B26=""),"",IF($I26=1,IFBLANK(_xldudf_CX_PUSH(AS26*fxVal_normal,CX_ENTITY,$B26,AS$11,AS$14,AS$19,),""),IF($I26=2,IFBLANK(_xldudf_CX_PUSH(AS26,CX_ENTITY,$B26,AS$11,AS$14,AS$19,),""),IF($I26=3,"",IFBLANK(_xldudf_CX_PUSH(AS26,CX_ENTITY,$B26,AS$11,AS$14,AS$19,),"")))))),"")</f>
        <v/>
      </c>
      <c r="DG26" s="1883" t="str" cm="1">
        <f t="array" ca="1" aca="1" ref="DG26">IFERROR(IF(AT26*fxVal_normal=_BS!AT26,"",IF(OR(AT26="",NOT(ISNUMBER(AT26)),ISERROR(AT26),$B26=""),"",IF($I26=1,IFBLANK(_xldudf_CX_PUSH(AT26*fxVal_normal,CX_ENTITY,$B26,AT$11,AT$14,AT$19,),""),IF($I26=2,IFBLANK(_xldudf_CX_PUSH(AT26,CX_ENTITY,$B26,AT$11,AT$14,AT$19,),""),IF($I26=3,"",IFBLANK(_xldudf_CX_PUSH(AT26,CX_ENTITY,$B26,AT$11,AT$14,AT$19,),"")))))),"")</f>
        <v/>
      </c>
      <c r="DH26" s="1883" t="str" cm="1">
        <f t="array" ca="1" aca="1" ref="DH26">IFERROR(IF(AU26*fxVal_normal=_BS!AU26,"",IF(OR(AU26="",NOT(ISNUMBER(AU26)),ISERROR(AU26),$B26=""),"",IF($I26=1,IFBLANK(_xldudf_CX_PUSH(AU26*fxVal_normal,CX_ENTITY,$B26,AU$11,AU$14,AU$19,),""),IF($I26=2,IFBLANK(_xldudf_CX_PUSH(AU26,CX_ENTITY,$B26,AU$11,AU$14,AU$19,),""),IF($I26=3,"",IFBLANK(_xldudf_CX_PUSH(AU26,CX_ENTITY,$B26,AU$11,AU$14,AU$19,),"")))))),"")</f>
        <v/>
      </c>
      <c r="DI26" s="1883" t="str" cm="1">
        <f t="array" ca="1" aca="1" ref="DI26">IFERROR(IF(AV26*fxVal_normal=_BS!AV26,"",IF(OR(AV26="",NOT(ISNUMBER(AV26)),ISERROR(AV26),$B26=""),"",IF($I26=1,IFBLANK(_xldudf_CX_PUSH(AV26*fxVal_normal,CX_ENTITY,$B26,AV$11,AV$14,AV$19,),""),IF($I26=2,IFBLANK(_xldudf_CX_PUSH(AV26,CX_ENTITY,$B26,AV$11,AV$14,AV$19,),""),IF($I26=3,"",IFBLANK(_xldudf_CX_PUSH(AV26,CX_ENTITY,$B26,AV$11,AV$14,AV$19,),"")))))),"")</f>
        <v/>
      </c>
      <c r="DJ26" s="1883" t="str" cm="1">
        <f t="array" ca="1" aca="1" ref="DJ26">IFERROR(IF(AW26*fxVal_normal=_BS!AW26,"",IF(OR(AW26="",NOT(ISNUMBER(AW26)),ISERROR(AW26),$B26=""),"",IF($I26=1,IFBLANK(_xldudf_CX_PUSH(AW26*fxVal_normal,CX_ENTITY,$B26,AW$11,AW$14,AW$19,),""),IF($I26=2,IFBLANK(_xldudf_CX_PUSH(AW26,CX_ENTITY,$B26,AW$11,AW$14,AW$19,),""),IF($I26=3,"",IFBLANK(_xldudf_CX_PUSH(AW26,CX_ENTITY,$B26,AW$11,AW$14,AW$19,),"")))))),"")</f>
        <v/>
      </c>
      <c r="DK26" s="1883" t="str" cm="1">
        <f t="array" ca="1" aca="1" ref="DK26">IFERROR(IF(AX26*fxVal_normal=_BS!AX26,"",IF(OR(AX26="",NOT(ISNUMBER(AX26)),ISERROR(AX26),$B26=""),"",IF($I26=1,IFBLANK(_xldudf_CX_PUSH(AX26*fxVal_normal,CX_ENTITY,$B26,AX$11,AX$14,AX$19,),""),IF($I26=2,IFBLANK(_xldudf_CX_PUSH(AX26,CX_ENTITY,$B26,AX$11,AX$14,AX$19,),""),IF($I26=3,"",IFBLANK(_xldudf_CX_PUSH(AX26,CX_ENTITY,$B26,AX$11,AX$14,AX$19,),"")))))),"")</f>
        <v/>
      </c>
      <c r="DL26" s="1883" t="str" cm="1">
        <f t="array" ca="1" aca="1" ref="DL26">IFERROR(IF(AY26*fxVal_normal=_BS!AY26,"",IF(OR(AY26="",NOT(ISNUMBER(AY26)),ISERROR(AY26),$B26=""),"",IF($I26=1,IFBLANK(_xldudf_CX_PUSH(AY26*fxVal_normal,CX_ENTITY,$B26,AY$11,AY$14,AY$19,),""),IF($I26=2,IFBLANK(_xldudf_CX_PUSH(AY26,CX_ENTITY,$B26,AY$11,AY$14,AY$19,),""),IF($I26=3,"",IFBLANK(_xldudf_CX_PUSH(AY26,CX_ENTITY,$B26,AY$11,AY$14,AY$19,),"")))))),"")</f>
        <v/>
      </c>
      <c r="DM26" s="1883" t="str" cm="1">
        <f t="array" ca="1" aca="1" ref="DM26">IFERROR(IF(AZ26*fxVal_normal=_BS!AZ26,"",IF(OR(AZ26="",NOT(ISNUMBER(AZ26)),ISERROR(AZ26),$B26=""),"",IF($I26=1,IFBLANK(_xldudf_CX_PUSH(AZ26*fxVal_normal,CX_ENTITY,$B26,AZ$11,AZ$14,AZ$19,),""),IF($I26=2,IFBLANK(_xldudf_CX_PUSH(AZ26,CX_ENTITY,$B26,AZ$11,AZ$14,AZ$19,),""),IF($I26=3,"",IFBLANK(_xldudf_CX_PUSH(AZ26,CX_ENTITY,$B26,AZ$11,AZ$14,AZ$19,),"")))))),"")</f>
        <v/>
      </c>
      <c r="DN26" s="1883" t="str" cm="1">
        <f t="array" ca="1" aca="1" ref="DN26">IFERROR(IF(BA26*fxVal_normal=_BS!BA26,"",IF(OR(BA26="",NOT(ISNUMBER(BA26)),ISERROR(BA26),$B26=""),"",IF($I26=1,IFBLANK(_xldudf_CX_PUSH(BA26*fxVal_normal,CX_ENTITY,$B26,BA$11,BA$14,BA$19,),""),IF($I26=2,IFBLANK(_xldudf_CX_PUSH(BA26,CX_ENTITY,$B26,BA$11,BA$14,BA$19,),""),IF($I26=3,"",IFBLANK(_xldudf_CX_PUSH(BA26,CX_ENTITY,$B26,BA$11,BA$14,BA$19,),"")))))),"")</f>
        <v/>
      </c>
      <c r="DO26" s="1883" t="str" cm="1">
        <f t="array" ca="1" aca="1" ref="DO26">IFERROR(IF(BB26*fxVal_normal=_BS!BB26,"",IF(OR(BB26="",NOT(ISNUMBER(BB26)),ISERROR(BB26),$B26=""),"",IF($I26=1,IFBLANK(_xldudf_CX_PUSH(BB26*fxVal_normal,CX_ENTITY,$B26,BB$11,BB$14,BB$19,),""),IF($I26=2,IFBLANK(_xldudf_CX_PUSH(BB26,CX_ENTITY,$B26,BB$11,BB$14,BB$19,),""),IF($I26=3,"",IFBLANK(_xldudf_CX_PUSH(BB26,CX_ENTITY,$B26,BB$11,BB$14,BB$19,),"")))))),"")</f>
        <v/>
      </c>
      <c r="DP26" s="1883" t="str" cm="1">
        <f t="array" ca="1" aca="1" ref="DP26">IFERROR(IF(BC26*fxVal_normal=_BS!BC26,"",IF(OR(BC26="",NOT(ISNUMBER(BC26)),ISERROR(BC26),$B26=""),"",IF($I26=1,IFBLANK(_xldudf_CX_PUSH(BC26*fxVal_normal,CX_ENTITY,$B26,BC$11,BC$14,BC$19,),""),IF($I26=2,IFBLANK(_xldudf_CX_PUSH(BC26,CX_ENTITY,$B26,BC$11,BC$14,BC$19,),""),IF($I26=3,"",IFBLANK(_xldudf_CX_PUSH(BC26,CX_ENTITY,$B26,BC$11,BC$14,BC$19,),"")))))),"")</f>
        <v/>
      </c>
      <c r="DQ26" s="1883" t="str" cm="1">
        <f t="array" ca="1" aca="1" ref="DQ26">IFERROR(IF(BD26*fxVal_normal=_BS!BD26,"",IF(OR(BD26="",NOT(ISNUMBER(BD26)),ISERROR(BD26),$B26=""),"",IF($I26=1,IFBLANK(_xldudf_CX_PUSH(BD26*fxVal_normal,CX_ENTITY,$B26,BD$11,BD$14,BD$19,),""),IF($I26=2,IFBLANK(_xldudf_CX_PUSH(BD26,CX_ENTITY,$B26,BD$11,BD$14,BD$19,),""),IF($I26=3,"",IFBLANK(_xldudf_CX_PUSH(BD26,CX_ENTITY,$B26,BD$11,BD$14,BD$19,),"")))))),"")</f>
        <v/>
      </c>
      <c r="DR26" s="1883" t="str" cm="1">
        <f t="array" ca="1" aca="1" ref="DR26">IFERROR(IF(BE26*fxVal_normal=_BS!BE26,"",IF(OR(BE26="",NOT(ISNUMBER(BE26)),ISERROR(BE26),$B26=""),"",IF($I26=1,IFBLANK(_xldudf_CX_PUSH(BE26*fxVal_normal,CX_ENTITY,$B26,BE$11,BE$14,BE$19,),""),IF($I26=2,IFBLANK(_xldudf_CX_PUSH(BE26,CX_ENTITY,$B26,BE$11,BE$14,BE$19,),""),IF($I26=3,"",IFBLANK(_xldudf_CX_PUSH(BE26,CX_ENTITY,$B26,BE$11,BE$14,BE$19,),"")))))),"")</f>
        <v/>
      </c>
      <c r="DS26" s="1883" t="str" cm="1">
        <f t="array" ca="1" aca="1" ref="DS26">IFERROR(IF(BF26*fxVal_normal=_BS!BF26,"",IF(OR(BF26="",NOT(ISNUMBER(BF26)),ISERROR(BF26),$B26=""),"",IF($I26=1,IFBLANK(_xldudf_CX_PUSH(BF26*fxVal_normal,CX_ENTITY,$B26,BF$11,BF$14,BF$19,),""),IF($I26=2,IFBLANK(_xldudf_CX_PUSH(BF26,CX_ENTITY,$B26,BF$11,BF$14,BF$19,),""),IF($I26=3,"",IFBLANK(_xldudf_CX_PUSH(BF26,CX_ENTITY,$B26,BF$11,BF$14,BF$19,),"")))))),"")</f>
        <v/>
      </c>
      <c r="DT26" s="1883" t="str" cm="1">
        <f t="array" ca="1" aca="1" ref="DT26">IFERROR(IF(BG26*fxVal_normal=_BS!BG26,"",IF(OR(BG26="",NOT(ISNUMBER(BG26)),ISERROR(BG26),$B26=""),"",IF($I26=1,IFBLANK(_xldudf_CX_PUSH(BG26*fxVal_normal,CX_ENTITY,$B26,BG$11,BG$14,BG$19,),""),IF($I26=2,IFBLANK(_xldudf_CX_PUSH(BG26,CX_ENTITY,$B26,BG$11,BG$14,BG$19,),""),IF($I26=3,"",IFBLANK(_xldudf_CX_PUSH(BG26,CX_ENTITY,$B26,BG$11,BG$14,BG$19,),"")))))),"")</f>
        <v/>
      </c>
      <c r="DU26" s="1883" t="str" cm="1">
        <f t="array" ca="1" aca="1" ref="DU26">IFERROR(IF(BH26*fxVal_normal=_BS!BH26,"",IF(OR(BH26="",NOT(ISNUMBER(BH26)),ISERROR(BH26),$B26=""),"",IF($I26=1,IFBLANK(_xldudf_CX_PUSH(BH26*fxVal_normal,CX_ENTITY,$B26,BH$11,BH$14,BH$19,),""),IF($I26=2,IFBLANK(_xldudf_CX_PUSH(BH26,CX_ENTITY,$B26,BH$11,BH$14,BH$19,),""),IF($I26=3,"",IFBLANK(_xldudf_CX_PUSH(BH26,CX_ENTITY,$B26,BH$11,BH$14,BH$19,),"")))))),"")</f>
        <v/>
      </c>
      <c r="DV26" s="1883" t="str" cm="1">
        <f t="array" ca="1" aca="1" ref="DV26">IFERROR(IF(BI26*fxVal_normal=_BS!BI26,"",IF(OR(BI26="",NOT(ISNUMBER(BI26)),ISERROR(BI26),$B26=""),"",IF($I26=1,IFBLANK(_xldudf_CX_PUSH(BI26*fxVal_normal,CX_ENTITY,$B26,BI$11,BI$14,BI$19,),""),IF($I26=2,IFBLANK(_xldudf_CX_PUSH(BI26,CX_ENTITY,$B26,BI$11,BI$14,BI$19,),""),IF($I26=3,"",IFBLANK(_xldudf_CX_PUSH(BI26,CX_ENTITY,$B26,BI$11,BI$14,BI$19,),"")))))),"")</f>
        <v/>
      </c>
      <c r="DW26" s="1883" t="str" cm="1">
        <f t="array" ca="1" aca="1" ref="DW26">IFERROR(IF(BJ26*fxVal_normal=_BS!BJ26,"",IF(OR(BJ26="",NOT(ISNUMBER(BJ26)),ISERROR(BJ26),$B26=""),"",IF($I26=1,IFBLANK(_xldudf_CX_PUSH(BJ26*fxVal_normal,CX_ENTITY,$B26,BJ$11,BJ$14,BJ$19,),""),IF($I26=2,IFBLANK(_xldudf_CX_PUSH(BJ26,CX_ENTITY,$B26,BJ$11,BJ$14,BJ$19,),""),IF($I26=3,"",IFBLANK(_xldudf_CX_PUSH(BJ26,CX_ENTITY,$B26,BJ$11,BJ$14,BJ$19,),"")))))),"")</f>
        <v/>
      </c>
      <c r="DX26" s="1883" t="str" cm="1">
        <f t="array" ca="1" aca="1" ref="DX26">IFERROR(IF(BK26*fxVal_normal=_BS!BK26,"",IF(OR(BK26="",NOT(ISNUMBER(BK26)),ISERROR(BK26),$B26=""),"",IF($I26=1,IFBLANK(_xldudf_CX_PUSH(BK26*fxVal_normal,CX_ENTITY,$B26,BK$11,BK$14,BK$19,),""),IF($I26=2,IFBLANK(_xldudf_CX_PUSH(BK26,CX_ENTITY,$B26,BK$11,BK$14,BK$19,),""),IF($I26=3,"",IFBLANK(_xldudf_CX_PUSH(BK26,CX_ENTITY,$B26,BK$11,BK$14,BK$19,),"")))))),"")</f>
        <v/>
      </c>
      <c r="DY26" s="1883" t="str" cm="1">
        <f t="array" ca="1" aca="1" ref="DY26">IFERROR(IF(BL26*fxVal_normal=_BS!BL26,"",IF(OR(BL26="",NOT(ISNUMBER(BL26)),ISERROR(BL26),$B26=""),"",IF($I26=1,IFBLANK(_xldudf_CX_PUSH(BL26*fxVal_normal,CX_ENTITY,$B26,BL$11,BL$14,BL$19,),""),IF($I26=2,IFBLANK(_xldudf_CX_PUSH(BL26,CX_ENTITY,$B26,BL$11,BL$14,BL$19,),""),IF($I26=3,"",IFBLANK(_xldudf_CX_PUSH(BL26,CX_ENTITY,$B26,BL$11,BL$14,BL$19,),"")))))),"")</f>
        <v/>
      </c>
      <c r="DZ26" s="1883" t="str" cm="1">
        <f t="array" ca="1" aca="1" ref="DZ26">IFERROR(IF(BM26*fxVal_normal=_BS!BM26,"",IF(OR(BM26="",NOT(ISNUMBER(BM26)),ISERROR(BM26),$B26=""),"",IF($I26=1,IFBLANK(_xldudf_CX_PUSH(BM26*fxVal_normal,CX_ENTITY,$B26,BM$11,BM$14,BM$19,),""),IF($I26=2,IFBLANK(_xldudf_CX_PUSH(BM26,CX_ENTITY,$B26,BM$11,BM$14,BM$19,),""),IF($I26=3,"",IFBLANK(_xldudf_CX_PUSH(BM26,CX_ENTITY,$B26,BM$11,BM$14,BM$19,),"")))))),"")</f>
        <v/>
      </c>
      <c r="EA26" s="1883" t="str" cm="1">
        <f t="array" ca="1" aca="1" ref="EA26">IFERROR(IF(BN26*fxVal_normal=_BS!BN26,"",IF(OR(BN26="",NOT(ISNUMBER(BN26)),ISERROR(BN26),$B26=""),"",IF($I26=1,IFBLANK(_xldudf_CX_PUSH(BN26*fxVal_normal,CX_ENTITY,$B26,BN$11,BN$14,BN$19,),""),IF($I26=2,IFBLANK(_xldudf_CX_PUSH(BN26,CX_ENTITY,$B26,BN$11,BN$14,BN$19,),""),IF($I26=3,"",IFBLANK(_xldudf_CX_PUSH(BN26,CX_ENTITY,$B26,BN$11,BN$14,BN$19,),"")))))),"")</f>
        <v/>
      </c>
    </row>
    <row r="27" spans="1:131" ht="21" customHeight="1">
      <c r="A27" s="1626"/>
      <c r="B27" s="811" t="str" cm="1">
        <f t="array" ref="B27">IFBLANK(_BS!F27,"")</f>
        <v>Other Net Working Capital</v>
      </c>
      <c r="C27" s="3346" t="str" cm="1">
        <f t="array" ref="C27">IFBLANK(_BS!C27,"")</f>
        <v>Other Net Working Capital (Company View)</v>
      </c>
      <c r="D27" s="1549"/>
      <c r="E27" s="1902" t="e" cm="1">
        <f t="array" ca="1" aca="1" ref="E2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27:$CH27,Z27)</f>
        <v>#NAME?</v>
      </c>
      <c r="F27" s="1897"/>
      <c r="G27" s="1897"/>
      <c r="H27" s="3280">
        <v>1</v>
      </c>
      <c r="I27" s="3280">
        <v>1</v>
      </c>
      <c r="J27" s="401"/>
      <c r="N27" s="158"/>
      <c r="O27" s="101"/>
      <c r="P27" s="52"/>
      <c r="Q27" s="101"/>
      <c r="R27" s="101"/>
      <c r="S27" s="101"/>
      <c r="T27" s="101"/>
      <c r="U27" s="39"/>
      <c r="W27" s="91" t="str">
        <f t="shared" si="1"/>
        <v>Actual</v>
      </c>
      <c r="X27" s="857" t="str">
        <f>_BS!X27</f>
        <v>a</v>
      </c>
      <c r="Y27" s="3183">
        <v>2</v>
      </c>
      <c r="Z27" s="3291" cm="1">
        <f t="array" ref="Z27">_xlfn.SWITCH(TRUE,_BS!$L27=TRUE,1,_BS!$L27=FALSE,-1,_BS!$L27=-1,0,"n/a")</f>
        <v>1</v>
      </c>
      <c r="AA27" s="200"/>
      <c r="AB27" s="3343" t="str">
        <f>_BS!AB27</f>
        <v>Other Net Working Capital</v>
      </c>
      <c r="AC27" s="88" t="e" vm="5" cm="1">
        <f t="array" ca="1" aca="1" ref="AC27">_xlfn.LET(_xlpm._termname,$AB27,_xlpm._iconname,"find",_xlpm._icon,fx_getIcon(_xlpm._iconname),_xlpm._location,_xlfn.XLOOKUP(LOWER(_xlpm._termname),LOWER(tbl_acctDef[Term]),tbl_acctDef[Term]),_xlpm._hyperlink,HYPERLINK("#"&amp;CELL("address",_xlpm._location),_xlpm._icon),IFERROR(_xlpm._hyperlink,""))</f>
        <v>#VALUE!</v>
      </c>
      <c r="AD27" s="3229">
        <v>1</v>
      </c>
      <c r="AE27" s="3229">
        <v>1</v>
      </c>
      <c r="AF27" s="3229">
        <v>1</v>
      </c>
      <c r="AG27" s="3229">
        <v>1</v>
      </c>
      <c r="AH27" s="3229">
        <v>1</v>
      </c>
      <c r="AI27" s="3229">
        <v>1</v>
      </c>
      <c r="AJ27" s="3229">
        <v>1</v>
      </c>
      <c r="AK27" s="3229">
        <v>1</v>
      </c>
      <c r="AL27" s="3229">
        <v>1</v>
      </c>
      <c r="AM27" s="3229">
        <v>1</v>
      </c>
      <c r="AN27" s="3229">
        <v>1</v>
      </c>
      <c r="AO27" s="3229">
        <v>1</v>
      </c>
      <c r="AP27" s="3229">
        <v>1</v>
      </c>
      <c r="AQ27" s="3229">
        <v>1</v>
      </c>
      <c r="AR27" s="3229">
        <v>1</v>
      </c>
      <c r="AS27" s="3229">
        <v>1</v>
      </c>
      <c r="AT27" s="3229">
        <v>1</v>
      </c>
      <c r="AU27" s="3229">
        <v>1</v>
      </c>
      <c r="AV27" s="3229">
        <v>1</v>
      </c>
      <c r="AW27" s="3229">
        <v>1</v>
      </c>
      <c r="AX27" s="3229">
        <v>1</v>
      </c>
      <c r="AY27" s="3229">
        <v>1</v>
      </c>
      <c r="AZ27" s="3229">
        <v>1</v>
      </c>
      <c r="BA27" s="3229">
        <v>1</v>
      </c>
      <c r="BB27" s="3229">
        <v>1</v>
      </c>
      <c r="BC27" s="3229">
        <v>1</v>
      </c>
      <c r="BD27" s="3229">
        <v>1</v>
      </c>
      <c r="BE27" s="3229">
        <v>1</v>
      </c>
      <c r="BF27" s="3229">
        <v>1</v>
      </c>
      <c r="BG27" s="3229">
        <v>1</v>
      </c>
      <c r="BH27" s="3229">
        <v>1</v>
      </c>
      <c r="BI27" s="3229">
        <v>1</v>
      </c>
      <c r="BJ27" s="3229">
        <v>1</v>
      </c>
      <c r="BK27" s="3229">
        <v>1</v>
      </c>
      <c r="BL27" s="3229">
        <v>1</v>
      </c>
      <c r="BM27" s="3229">
        <v>1</v>
      </c>
      <c r="BN27" s="3229">
        <v>1</v>
      </c>
      <c r="BO27" s="2095"/>
      <c r="BP27" s="2095"/>
      <c r="BQ27" s="2095"/>
      <c r="BR27" s="2095"/>
      <c r="BS27" s="2095"/>
      <c r="BT27" s="2095"/>
      <c r="BU27" s="2095"/>
      <c r="BV27" s="2095"/>
      <c r="BW27" s="2095"/>
      <c r="BX27" s="2095"/>
      <c r="BY27" s="2095"/>
      <c r="BZ27" s="2095"/>
      <c r="CA27" s="926"/>
      <c r="CB27" s="921"/>
      <c r="CC27" s="927"/>
      <c r="CD27" s="2069" t="e" cm="1">
        <f t="array" ca="1" aca="1" ref="CD27">_xlfn.XLOOKUP(BS!CD$11,array_timeline,BS!$AD27:$BN27)</f>
        <v>#NAME?</v>
      </c>
      <c r="CE27" s="2069" t="e" cm="1">
        <f t="array" ca="1" aca="1" ref="CE27">_xlfn.XLOOKUP(BS!CE$11,array_timeline,BS!$AD27:$BN27)</f>
        <v>#NAME?</v>
      </c>
      <c r="CF27" s="925"/>
      <c r="CG27" s="3342" t="e" cm="1">
        <f t="array" ca="1" aca="1" ref="CG27">TODECIMAL(IFBLANK(_BS!CG27,""),fxVal_normal)</f>
        <v>#NAME?</v>
      </c>
      <c r="CH27" s="3342" t="e" cm="1">
        <f t="array" ca="1" aca="1" ref="CH27">TODECIMAL(IFBLANK(_BS!CH27,""),fxVal_normal)</f>
        <v>#NAME?</v>
      </c>
      <c r="CI27" s="200"/>
      <c r="CK27" s="2085" t="str" cm="1">
        <f t="array" ca="1" aca="1" ref="CK27">IFERROR(IF(Y27&lt;&gt;AB27,_xldudf_CX_PUSH(Y27,CX_ENTITY,C27,EOMONTH(val_asOfDate,0)),""),"")</f>
        <v/>
      </c>
      <c r="CL27" s="2085" t="str" cm="1">
        <f t="array" ca="1" aca="1" ref="CL27">IFERROR(IF(Y27&lt;&gt;AB27,_xldudf_CX_PUSH(Y27,CX_ENTITY,C27,EOMONTH(val_asOfDate,1)),""),"")</f>
        <v/>
      </c>
      <c r="CM27" s="2085" t="str" cm="1">
        <f t="array" ca="1" aca="1" ref="CM27">IFERROR(IF(Y27&lt;&gt;AB27,_xldudf_CX_PUSH(Y27,CX_ENTITY,C27,EOMONTH(val_asOfDate,2)),""),"")</f>
        <v/>
      </c>
      <c r="CN27" s="2085" t="str" cm="1">
        <f t="array" ca="1" aca="1" ref="CN27">IFERROR(IF(Y27&lt;&gt;AB27,_xldudf_CX_PUSH(Y27,CX_ENTITY,C27,EOMONTH(val_asOfDate,3)),""),"")</f>
        <v/>
      </c>
      <c r="CO27" s="2086" t="str" cm="1">
        <f t="array" ca="1" aca="1" ref="CO27">IFERROR(IF(CG27*fxVal_normal=_BS!CG27,"",IF(OR($CG27="",$CG27=0,NOT(ISNUMBER($CG27)),ISERROR($CG27),$B27=""),"",IF($I27=1,IFBLANK(_xldudf_CX_PUSH($CG27*10^6,CX_ENTITY,$B27,$CG$11,$CG$14,$CG$19,),""),IF($I27=2,IFBLANK(_xldudf_CX_PUSH($CG27,CX_ENTITY,$B27,$CG$11,$CG$14,$CG$19,),""),IF($I27=3,"",IFBLANK(_xldudf_CX_PUSH($CG27,CX_ENTITY,$B27,$CG$11,$CG$14,$CG$19,),"")))))),"")</f>
        <v/>
      </c>
      <c r="CP27" s="2086" t="str" cm="1">
        <f t="array" ca="1" aca="1" ref="CP27">IFERROR(IF(CH27*fxVal_normal=_BS!CH27,"",IF(OR($CH27="",$CH27=0,NOT(ISNUMBER($CH27)),ISERROR($CH27),$B27=""),"",IF($I27=1,IFBLANK(_xldudf_CX_PUSH($CH27*10^6,CX_ENTITY,$B27,$CH$11,$CH$14,$CH$19,),""),IF($I27=2,IFBLANK(_xldudf_CX_PUSH($CH27,CX_ENTITY,$B27,$CH$11,$CH$14,$CH$19,),""),IF($I27=3,"",IFBLANK(_xldudf_CX_PUSH($CH27,CX_ENTITY,$B27,$CH$11,$CH$14,$CH$19,),"")))))),"")</f>
        <v/>
      </c>
      <c r="CQ27" s="1883" t="str" cm="1">
        <f t="array" ca="1" aca="1" ref="CQ27">IFERROR(IF(AD27*fxVal_normal=_BS!AD27,"",IF(OR(AD27="",NOT(ISNUMBER(AD27)),ISERROR(AD27),$B27=""),"",IF($I27=1,IFBLANK(_xldudf_CX_PUSH(AD27*fxVal_normal,CX_ENTITY,$B27,AD$11,AD$14,AD$19,),""),IF($I27=2,IFBLANK(_xldudf_CX_PUSH(AD27,CX_ENTITY,$B27,AD$11,AD$14,AD$19,),""),IF($I27=3,"",IFBLANK(_xldudf_CX_PUSH(AD27,CX_ENTITY,$B27,AD$11,AD$14,AD$19,),"")))))),"")</f>
        <v/>
      </c>
      <c r="CR27" s="1883" t="str" cm="1">
        <f t="array" ca="1" aca="1" ref="CR27">IFERROR(IF(AE27*fxVal_normal=_BS!AE27,"",IF(OR(AE27="",NOT(ISNUMBER(AE27)),ISERROR(AE27),$B27=""),"",IF($I27=1,IFBLANK(_xldudf_CX_PUSH(AE27*fxVal_normal,CX_ENTITY,$B27,AE$11,AE$14,AE$19,),""),IF($I27=2,IFBLANK(_xldudf_CX_PUSH(AE27,CX_ENTITY,$B27,AE$11,AE$14,AE$19,),""),IF($I27=3,"",IFBLANK(_xldudf_CX_PUSH(AE27,CX_ENTITY,$B27,AE$11,AE$14,AE$19,),"")))))),"")</f>
        <v/>
      </c>
      <c r="CS27" s="1883" t="str" cm="1">
        <f t="array" ca="1" aca="1" ref="CS27">IFERROR(IF(AF27*fxVal_normal=_BS!AF27,"",IF(OR(AF27="",NOT(ISNUMBER(AF27)),ISERROR(AF27),$B27=""),"",IF($I27=1,IFBLANK(_xldudf_CX_PUSH(AF27*fxVal_normal,CX_ENTITY,$B27,AF$11,AF$14,AF$19,),""),IF($I27=2,IFBLANK(_xldudf_CX_PUSH(AF27,CX_ENTITY,$B27,AF$11,AF$14,AF$19,),""),IF($I27=3,"",IFBLANK(_xldudf_CX_PUSH(AF27,CX_ENTITY,$B27,AF$11,AF$14,AF$19,),"")))))),"")</f>
        <v/>
      </c>
      <c r="CT27" s="1883" t="str" cm="1">
        <f t="array" ca="1" aca="1" ref="CT27">IFERROR(IF(AG27*fxVal_normal=_BS!AG27,"",IF(OR(AG27="",NOT(ISNUMBER(AG27)),ISERROR(AG27),$B27=""),"",IF($I27=1,IFBLANK(_xldudf_CX_PUSH(AG27*fxVal_normal,CX_ENTITY,$B27,AG$11,AG$14,AG$19,),""),IF($I27=2,IFBLANK(_xldudf_CX_PUSH(AG27,CX_ENTITY,$B27,AG$11,AG$14,AG$19,),""),IF($I27=3,"",IFBLANK(_xldudf_CX_PUSH(AG27,CX_ENTITY,$B27,AG$11,AG$14,AG$19,),"")))))),"")</f>
        <v/>
      </c>
      <c r="CU27" s="1883" t="str" cm="1">
        <f t="array" ca="1" aca="1" ref="CU27">IFERROR(IF(AH27*fxVal_normal=_BS!AH27,"",IF(OR(AH27="",NOT(ISNUMBER(AH27)),ISERROR(AH27),$B27=""),"",IF($I27=1,IFBLANK(_xldudf_CX_PUSH(AH27*fxVal_normal,CX_ENTITY,$B27,AH$11,AH$14,AH$19,),""),IF($I27=2,IFBLANK(_xldudf_CX_PUSH(AH27,CX_ENTITY,$B27,AH$11,AH$14,AH$19,),""),IF($I27=3,"",IFBLANK(_xldudf_CX_PUSH(AH27,CX_ENTITY,$B27,AH$11,AH$14,AH$19,),"")))))),"")</f>
        <v/>
      </c>
      <c r="CV27" s="1883" t="str" cm="1">
        <f t="array" ca="1" aca="1" ref="CV27">IFERROR(IF(AI27*fxVal_normal=_BS!AI27,"",IF(OR(AI27="",NOT(ISNUMBER(AI27)),ISERROR(AI27),$B27=""),"",IF($I27=1,IFBLANK(_xldudf_CX_PUSH(AI27*fxVal_normal,CX_ENTITY,$B27,AI$11,AI$14,AI$19,),""),IF($I27=2,IFBLANK(_xldudf_CX_PUSH(AI27,CX_ENTITY,$B27,AI$11,AI$14,AI$19,),""),IF($I27=3,"",IFBLANK(_xldudf_CX_PUSH(AI27,CX_ENTITY,$B27,AI$11,AI$14,AI$19,),"")))))),"")</f>
        <v/>
      </c>
      <c r="CW27" s="1883" t="str" cm="1">
        <f t="array" ca="1" aca="1" ref="CW27">IFERROR(IF(AJ27*fxVal_normal=_BS!AJ27,"",IF(OR(AJ27="",NOT(ISNUMBER(AJ27)),ISERROR(AJ27),$B27=""),"",IF($I27=1,IFBLANK(_xldudf_CX_PUSH(AJ27*fxVal_normal,CX_ENTITY,$B27,AJ$11,AJ$14,AJ$19,),""),IF($I27=2,IFBLANK(_xldudf_CX_PUSH(AJ27,CX_ENTITY,$B27,AJ$11,AJ$14,AJ$19,),""),IF($I27=3,"",IFBLANK(_xldudf_CX_PUSH(AJ27,CX_ENTITY,$B27,AJ$11,AJ$14,AJ$19,),"")))))),"")</f>
        <v/>
      </c>
      <c r="CX27" s="1883" t="str" cm="1">
        <f t="array" ca="1" aca="1" ref="CX27">IFERROR(IF(AK27*fxVal_normal=_BS!AK27,"",IF(OR(AK27="",NOT(ISNUMBER(AK27)),ISERROR(AK27),$B27=""),"",IF($I27=1,IFBLANK(_xldudf_CX_PUSH(AK27*fxVal_normal,CX_ENTITY,$B27,AK$11,AK$14,AK$19,),""),IF($I27=2,IFBLANK(_xldudf_CX_PUSH(AK27,CX_ENTITY,$B27,AK$11,AK$14,AK$19,),""),IF($I27=3,"",IFBLANK(_xldudf_CX_PUSH(AK27,CX_ENTITY,$B27,AK$11,AK$14,AK$19,),"")))))),"")</f>
        <v/>
      </c>
      <c r="CY27" s="1883" t="str" cm="1">
        <f t="array" ca="1" aca="1" ref="CY27">IFERROR(IF(AL27*fxVal_normal=_BS!AL27,"",IF(OR(AL27="",NOT(ISNUMBER(AL27)),ISERROR(AL27),$B27=""),"",IF($I27=1,IFBLANK(_xldudf_CX_PUSH(AL27*fxVal_normal,CX_ENTITY,$B27,AL$11,AL$14,AL$19,),""),IF($I27=2,IFBLANK(_xldudf_CX_PUSH(AL27,CX_ENTITY,$B27,AL$11,AL$14,AL$19,),""),IF($I27=3,"",IFBLANK(_xldudf_CX_PUSH(AL27,CX_ENTITY,$B27,AL$11,AL$14,AL$19,),"")))))),"")</f>
        <v/>
      </c>
      <c r="CZ27" s="1883" t="str" cm="1">
        <f t="array" ca="1" aca="1" ref="CZ27">IFERROR(IF(AM27*fxVal_normal=_BS!AM27,"",IF(OR(AM27="",NOT(ISNUMBER(AM27)),ISERROR(AM27),$B27=""),"",IF($I27=1,IFBLANK(_xldudf_CX_PUSH(AM27*fxVal_normal,CX_ENTITY,$B27,AM$11,AM$14,AM$19,),""),IF($I27=2,IFBLANK(_xldudf_CX_PUSH(AM27,CX_ENTITY,$B27,AM$11,AM$14,AM$19,),""),IF($I27=3,"",IFBLANK(_xldudf_CX_PUSH(AM27,CX_ENTITY,$B27,AM$11,AM$14,AM$19,),"")))))),"")</f>
        <v/>
      </c>
      <c r="DA27" s="1883" t="str" cm="1">
        <f t="array" ca="1" aca="1" ref="DA27">IFERROR(IF(AN27*fxVal_normal=_BS!AN27,"",IF(OR(AN27="",NOT(ISNUMBER(AN27)),ISERROR(AN27),$B27=""),"",IF($I27=1,IFBLANK(_xldudf_CX_PUSH(AN27*fxVal_normal,CX_ENTITY,$B27,AN$11,AN$14,AN$19,),""),IF($I27=2,IFBLANK(_xldudf_CX_PUSH(AN27,CX_ENTITY,$B27,AN$11,AN$14,AN$19,),""),IF($I27=3,"",IFBLANK(_xldudf_CX_PUSH(AN27,CX_ENTITY,$B27,AN$11,AN$14,AN$19,),"")))))),"")</f>
        <v/>
      </c>
      <c r="DB27" s="1883" t="str" cm="1">
        <f t="array" ca="1" aca="1" ref="DB27">IFERROR(IF(AO27*fxVal_normal=_BS!AO27,"",IF(OR(AO27="",NOT(ISNUMBER(AO27)),ISERROR(AO27),$B27=""),"",IF($I27=1,IFBLANK(_xldudf_CX_PUSH(AO27*fxVal_normal,CX_ENTITY,$B27,AO$11,AO$14,AO$19,),""),IF($I27=2,IFBLANK(_xldudf_CX_PUSH(AO27,CX_ENTITY,$B27,AO$11,AO$14,AO$19,),""),IF($I27=3,"",IFBLANK(_xldudf_CX_PUSH(AO27,CX_ENTITY,$B27,AO$11,AO$14,AO$19,),"")))))),"")</f>
        <v/>
      </c>
      <c r="DC27" s="1883" t="str" cm="1">
        <f t="array" ca="1" aca="1" ref="DC27">IFERROR(IF(AP27*fxVal_normal=_BS!AP27,"",IF(OR(AP27="",NOT(ISNUMBER(AP27)),ISERROR(AP27),$B27=""),"",IF($I27=1,IFBLANK(_xldudf_CX_PUSH(AP27*fxVal_normal,CX_ENTITY,$B27,AP$11,AP$14,AP$19,),""),IF($I27=2,IFBLANK(_xldudf_CX_PUSH(AP27,CX_ENTITY,$B27,AP$11,AP$14,AP$19,),""),IF($I27=3,"",IFBLANK(_xldudf_CX_PUSH(AP27,CX_ENTITY,$B27,AP$11,AP$14,AP$19,),"")))))),"")</f>
        <v/>
      </c>
      <c r="DD27" s="1883" t="str" cm="1">
        <f t="array" ca="1" aca="1" ref="DD27">IFERROR(IF(AQ27*fxVal_normal=_BS!AQ27,"",IF(OR(AQ27="",NOT(ISNUMBER(AQ27)),ISERROR(AQ27),$B27=""),"",IF($I27=1,IFBLANK(_xldudf_CX_PUSH(AQ27*fxVal_normal,CX_ENTITY,$B27,AQ$11,AQ$14,AQ$19,),""),IF($I27=2,IFBLANK(_xldudf_CX_PUSH(AQ27,CX_ENTITY,$B27,AQ$11,AQ$14,AQ$19,),""),IF($I27=3,"",IFBLANK(_xldudf_CX_PUSH(AQ27,CX_ENTITY,$B27,AQ$11,AQ$14,AQ$19,),"")))))),"")</f>
        <v/>
      </c>
      <c r="DE27" s="1883" t="str" cm="1">
        <f t="array" ca="1" aca="1" ref="DE27">IFERROR(IF(AR27*fxVal_normal=_BS!AR27,"",IF(OR(AR27="",NOT(ISNUMBER(AR27)),ISERROR(AR27),$B27=""),"",IF($I27=1,IFBLANK(_xldudf_CX_PUSH(AR27*fxVal_normal,CX_ENTITY,$B27,AR$11,AR$14,AR$19,),""),IF($I27=2,IFBLANK(_xldudf_CX_PUSH(AR27,CX_ENTITY,$B27,AR$11,AR$14,AR$19,),""),IF($I27=3,"",IFBLANK(_xldudf_CX_PUSH(AR27,CX_ENTITY,$B27,AR$11,AR$14,AR$19,),"")))))),"")</f>
        <v/>
      </c>
      <c r="DF27" s="1883" t="str" cm="1">
        <f t="array" ca="1" aca="1" ref="DF27">IFERROR(IF(AS27*fxVal_normal=_BS!AS27,"",IF(OR(AS27="",NOT(ISNUMBER(AS27)),ISERROR(AS27),$B27=""),"",IF($I27=1,IFBLANK(_xldudf_CX_PUSH(AS27*fxVal_normal,CX_ENTITY,$B27,AS$11,AS$14,AS$19,),""),IF($I27=2,IFBLANK(_xldudf_CX_PUSH(AS27,CX_ENTITY,$B27,AS$11,AS$14,AS$19,),""),IF($I27=3,"",IFBLANK(_xldudf_CX_PUSH(AS27,CX_ENTITY,$B27,AS$11,AS$14,AS$19,),"")))))),"")</f>
        <v/>
      </c>
      <c r="DG27" s="1883" t="str" cm="1">
        <f t="array" ca="1" aca="1" ref="DG27">IFERROR(IF(AT27*fxVal_normal=_BS!AT27,"",IF(OR(AT27="",NOT(ISNUMBER(AT27)),ISERROR(AT27),$B27=""),"",IF($I27=1,IFBLANK(_xldudf_CX_PUSH(AT27*fxVal_normal,CX_ENTITY,$B27,AT$11,AT$14,AT$19,),""),IF($I27=2,IFBLANK(_xldudf_CX_PUSH(AT27,CX_ENTITY,$B27,AT$11,AT$14,AT$19,),""),IF($I27=3,"",IFBLANK(_xldudf_CX_PUSH(AT27,CX_ENTITY,$B27,AT$11,AT$14,AT$19,),"")))))),"")</f>
        <v/>
      </c>
      <c r="DH27" s="1883" t="str" cm="1">
        <f t="array" ca="1" aca="1" ref="DH27">IFERROR(IF(AU27*fxVal_normal=_BS!AU27,"",IF(OR(AU27="",NOT(ISNUMBER(AU27)),ISERROR(AU27),$B27=""),"",IF($I27=1,IFBLANK(_xldudf_CX_PUSH(AU27*fxVal_normal,CX_ENTITY,$B27,AU$11,AU$14,AU$19,),""),IF($I27=2,IFBLANK(_xldudf_CX_PUSH(AU27,CX_ENTITY,$B27,AU$11,AU$14,AU$19,),""),IF($I27=3,"",IFBLANK(_xldudf_CX_PUSH(AU27,CX_ENTITY,$B27,AU$11,AU$14,AU$19,),"")))))),"")</f>
        <v/>
      </c>
      <c r="DI27" s="1883" t="str" cm="1">
        <f t="array" ca="1" aca="1" ref="DI27">IFERROR(IF(AV27*fxVal_normal=_BS!AV27,"",IF(OR(AV27="",NOT(ISNUMBER(AV27)),ISERROR(AV27),$B27=""),"",IF($I27=1,IFBLANK(_xldudf_CX_PUSH(AV27*fxVal_normal,CX_ENTITY,$B27,AV$11,AV$14,AV$19,),""),IF($I27=2,IFBLANK(_xldudf_CX_PUSH(AV27,CX_ENTITY,$B27,AV$11,AV$14,AV$19,),""),IF($I27=3,"",IFBLANK(_xldudf_CX_PUSH(AV27,CX_ENTITY,$B27,AV$11,AV$14,AV$19,),"")))))),"")</f>
        <v/>
      </c>
      <c r="DJ27" s="1883" t="str" cm="1">
        <f t="array" ca="1" aca="1" ref="DJ27">IFERROR(IF(AW27*fxVal_normal=_BS!AW27,"",IF(OR(AW27="",NOT(ISNUMBER(AW27)),ISERROR(AW27),$B27=""),"",IF($I27=1,IFBLANK(_xldudf_CX_PUSH(AW27*fxVal_normal,CX_ENTITY,$B27,AW$11,AW$14,AW$19,),""),IF($I27=2,IFBLANK(_xldudf_CX_PUSH(AW27,CX_ENTITY,$B27,AW$11,AW$14,AW$19,),""),IF($I27=3,"",IFBLANK(_xldudf_CX_PUSH(AW27,CX_ENTITY,$B27,AW$11,AW$14,AW$19,),"")))))),"")</f>
        <v/>
      </c>
      <c r="DK27" s="1883" t="str" cm="1">
        <f t="array" ca="1" aca="1" ref="DK27">IFERROR(IF(AX27*fxVal_normal=_BS!AX27,"",IF(OR(AX27="",NOT(ISNUMBER(AX27)),ISERROR(AX27),$B27=""),"",IF($I27=1,IFBLANK(_xldudf_CX_PUSH(AX27*fxVal_normal,CX_ENTITY,$B27,AX$11,AX$14,AX$19,),""),IF($I27=2,IFBLANK(_xldudf_CX_PUSH(AX27,CX_ENTITY,$B27,AX$11,AX$14,AX$19,),""),IF($I27=3,"",IFBLANK(_xldudf_CX_PUSH(AX27,CX_ENTITY,$B27,AX$11,AX$14,AX$19,),"")))))),"")</f>
        <v/>
      </c>
      <c r="DL27" s="1883" t="str" cm="1">
        <f t="array" ca="1" aca="1" ref="DL27">IFERROR(IF(AY27*fxVal_normal=_BS!AY27,"",IF(OR(AY27="",NOT(ISNUMBER(AY27)),ISERROR(AY27),$B27=""),"",IF($I27=1,IFBLANK(_xldudf_CX_PUSH(AY27*fxVal_normal,CX_ENTITY,$B27,AY$11,AY$14,AY$19,),""),IF($I27=2,IFBLANK(_xldudf_CX_PUSH(AY27,CX_ENTITY,$B27,AY$11,AY$14,AY$19,),""),IF($I27=3,"",IFBLANK(_xldudf_CX_PUSH(AY27,CX_ENTITY,$B27,AY$11,AY$14,AY$19,),"")))))),"")</f>
        <v/>
      </c>
      <c r="DM27" s="1883" t="str" cm="1">
        <f t="array" ca="1" aca="1" ref="DM27">IFERROR(IF(AZ27*fxVal_normal=_BS!AZ27,"",IF(OR(AZ27="",NOT(ISNUMBER(AZ27)),ISERROR(AZ27),$B27=""),"",IF($I27=1,IFBLANK(_xldudf_CX_PUSH(AZ27*fxVal_normal,CX_ENTITY,$B27,AZ$11,AZ$14,AZ$19,),""),IF($I27=2,IFBLANK(_xldudf_CX_PUSH(AZ27,CX_ENTITY,$B27,AZ$11,AZ$14,AZ$19,),""),IF($I27=3,"",IFBLANK(_xldudf_CX_PUSH(AZ27,CX_ENTITY,$B27,AZ$11,AZ$14,AZ$19,),"")))))),"")</f>
        <v/>
      </c>
      <c r="DN27" s="1883" t="str" cm="1">
        <f t="array" ca="1" aca="1" ref="DN27">IFERROR(IF(BA27*fxVal_normal=_BS!BA27,"",IF(OR(BA27="",NOT(ISNUMBER(BA27)),ISERROR(BA27),$B27=""),"",IF($I27=1,IFBLANK(_xldudf_CX_PUSH(BA27*fxVal_normal,CX_ENTITY,$B27,BA$11,BA$14,BA$19,),""),IF($I27=2,IFBLANK(_xldudf_CX_PUSH(BA27,CX_ENTITY,$B27,BA$11,BA$14,BA$19,),""),IF($I27=3,"",IFBLANK(_xldudf_CX_PUSH(BA27,CX_ENTITY,$B27,BA$11,BA$14,BA$19,),"")))))),"")</f>
        <v/>
      </c>
      <c r="DO27" s="1883" t="str" cm="1">
        <f t="array" ca="1" aca="1" ref="DO27">IFERROR(IF(BB27*fxVal_normal=_BS!BB27,"",IF(OR(BB27="",NOT(ISNUMBER(BB27)),ISERROR(BB27),$B27=""),"",IF($I27=1,IFBLANK(_xldudf_CX_PUSH(BB27*fxVal_normal,CX_ENTITY,$B27,BB$11,BB$14,BB$19,),""),IF($I27=2,IFBLANK(_xldudf_CX_PUSH(BB27,CX_ENTITY,$B27,BB$11,BB$14,BB$19,),""),IF($I27=3,"",IFBLANK(_xldudf_CX_PUSH(BB27,CX_ENTITY,$B27,BB$11,BB$14,BB$19,),"")))))),"")</f>
        <v/>
      </c>
      <c r="DP27" s="1883" t="str" cm="1">
        <f t="array" ca="1" aca="1" ref="DP27">IFERROR(IF(BC27*fxVal_normal=_BS!BC27,"",IF(OR(BC27="",NOT(ISNUMBER(BC27)),ISERROR(BC27),$B27=""),"",IF($I27=1,IFBLANK(_xldudf_CX_PUSH(BC27*fxVal_normal,CX_ENTITY,$B27,BC$11,BC$14,BC$19,),""),IF($I27=2,IFBLANK(_xldudf_CX_PUSH(BC27,CX_ENTITY,$B27,BC$11,BC$14,BC$19,),""),IF($I27=3,"",IFBLANK(_xldudf_CX_PUSH(BC27,CX_ENTITY,$B27,BC$11,BC$14,BC$19,),"")))))),"")</f>
        <v/>
      </c>
      <c r="DQ27" s="1883" t="str" cm="1">
        <f t="array" ca="1" aca="1" ref="DQ27">IFERROR(IF(BD27*fxVal_normal=_BS!BD27,"",IF(OR(BD27="",NOT(ISNUMBER(BD27)),ISERROR(BD27),$B27=""),"",IF($I27=1,IFBLANK(_xldudf_CX_PUSH(BD27*fxVal_normal,CX_ENTITY,$B27,BD$11,BD$14,BD$19,),""),IF($I27=2,IFBLANK(_xldudf_CX_PUSH(BD27,CX_ENTITY,$B27,BD$11,BD$14,BD$19,),""),IF($I27=3,"",IFBLANK(_xldudf_CX_PUSH(BD27,CX_ENTITY,$B27,BD$11,BD$14,BD$19,),"")))))),"")</f>
        <v/>
      </c>
      <c r="DR27" s="1883" t="str" cm="1">
        <f t="array" ca="1" aca="1" ref="DR27">IFERROR(IF(BE27*fxVal_normal=_BS!BE27,"",IF(OR(BE27="",NOT(ISNUMBER(BE27)),ISERROR(BE27),$B27=""),"",IF($I27=1,IFBLANK(_xldudf_CX_PUSH(BE27*fxVal_normal,CX_ENTITY,$B27,BE$11,BE$14,BE$19,),""),IF($I27=2,IFBLANK(_xldudf_CX_PUSH(BE27,CX_ENTITY,$B27,BE$11,BE$14,BE$19,),""),IF($I27=3,"",IFBLANK(_xldudf_CX_PUSH(BE27,CX_ENTITY,$B27,BE$11,BE$14,BE$19,),"")))))),"")</f>
        <v/>
      </c>
      <c r="DS27" s="1883" t="str" cm="1">
        <f t="array" ca="1" aca="1" ref="DS27">IFERROR(IF(BF27*fxVal_normal=_BS!BF27,"",IF(OR(BF27="",NOT(ISNUMBER(BF27)),ISERROR(BF27),$B27=""),"",IF($I27=1,IFBLANK(_xldudf_CX_PUSH(BF27*fxVal_normal,CX_ENTITY,$B27,BF$11,BF$14,BF$19,),""),IF($I27=2,IFBLANK(_xldudf_CX_PUSH(BF27,CX_ENTITY,$B27,BF$11,BF$14,BF$19,),""),IF($I27=3,"",IFBLANK(_xldudf_CX_PUSH(BF27,CX_ENTITY,$B27,BF$11,BF$14,BF$19,),"")))))),"")</f>
        <v/>
      </c>
      <c r="DT27" s="1883" t="str" cm="1">
        <f t="array" ca="1" aca="1" ref="DT27">IFERROR(IF(BG27*fxVal_normal=_BS!BG27,"",IF(OR(BG27="",NOT(ISNUMBER(BG27)),ISERROR(BG27),$B27=""),"",IF($I27=1,IFBLANK(_xldudf_CX_PUSH(BG27*fxVal_normal,CX_ENTITY,$B27,BG$11,BG$14,BG$19,),""),IF($I27=2,IFBLANK(_xldudf_CX_PUSH(BG27,CX_ENTITY,$B27,BG$11,BG$14,BG$19,),""),IF($I27=3,"",IFBLANK(_xldudf_CX_PUSH(BG27,CX_ENTITY,$B27,BG$11,BG$14,BG$19,),"")))))),"")</f>
        <v/>
      </c>
      <c r="DU27" s="1883" t="str" cm="1">
        <f t="array" ca="1" aca="1" ref="DU27">IFERROR(IF(BH27*fxVal_normal=_BS!BH27,"",IF(OR(BH27="",NOT(ISNUMBER(BH27)),ISERROR(BH27),$B27=""),"",IF($I27=1,IFBLANK(_xldudf_CX_PUSH(BH27*fxVal_normal,CX_ENTITY,$B27,BH$11,BH$14,BH$19,),""),IF($I27=2,IFBLANK(_xldudf_CX_PUSH(BH27,CX_ENTITY,$B27,BH$11,BH$14,BH$19,),""),IF($I27=3,"",IFBLANK(_xldudf_CX_PUSH(BH27,CX_ENTITY,$B27,BH$11,BH$14,BH$19,),"")))))),"")</f>
        <v/>
      </c>
      <c r="DV27" s="1883" t="str" cm="1">
        <f t="array" ca="1" aca="1" ref="DV27">IFERROR(IF(BI27*fxVal_normal=_BS!BI27,"",IF(OR(BI27="",NOT(ISNUMBER(BI27)),ISERROR(BI27),$B27=""),"",IF($I27=1,IFBLANK(_xldudf_CX_PUSH(BI27*fxVal_normal,CX_ENTITY,$B27,BI$11,BI$14,BI$19,),""),IF($I27=2,IFBLANK(_xldudf_CX_PUSH(BI27,CX_ENTITY,$B27,BI$11,BI$14,BI$19,),""),IF($I27=3,"",IFBLANK(_xldudf_CX_PUSH(BI27,CX_ENTITY,$B27,BI$11,BI$14,BI$19,),"")))))),"")</f>
        <v/>
      </c>
      <c r="DW27" s="1883" t="str" cm="1">
        <f t="array" ca="1" aca="1" ref="DW27">IFERROR(IF(BJ27*fxVal_normal=_BS!BJ27,"",IF(OR(BJ27="",NOT(ISNUMBER(BJ27)),ISERROR(BJ27),$B27=""),"",IF($I27=1,IFBLANK(_xldudf_CX_PUSH(BJ27*fxVal_normal,CX_ENTITY,$B27,BJ$11,BJ$14,BJ$19,),""),IF($I27=2,IFBLANK(_xldudf_CX_PUSH(BJ27,CX_ENTITY,$B27,BJ$11,BJ$14,BJ$19,),""),IF($I27=3,"",IFBLANK(_xldudf_CX_PUSH(BJ27,CX_ENTITY,$B27,BJ$11,BJ$14,BJ$19,),"")))))),"")</f>
        <v/>
      </c>
      <c r="DX27" s="1883" t="str" cm="1">
        <f t="array" ca="1" aca="1" ref="DX27">IFERROR(IF(BK27*fxVal_normal=_BS!BK27,"",IF(OR(BK27="",NOT(ISNUMBER(BK27)),ISERROR(BK27),$B27=""),"",IF($I27=1,IFBLANK(_xldudf_CX_PUSH(BK27*fxVal_normal,CX_ENTITY,$B27,BK$11,BK$14,BK$19,),""),IF($I27=2,IFBLANK(_xldudf_CX_PUSH(BK27,CX_ENTITY,$B27,BK$11,BK$14,BK$19,),""),IF($I27=3,"",IFBLANK(_xldudf_CX_PUSH(BK27,CX_ENTITY,$B27,BK$11,BK$14,BK$19,),"")))))),"")</f>
        <v/>
      </c>
      <c r="DY27" s="1883" t="str" cm="1">
        <f t="array" ca="1" aca="1" ref="DY27">IFERROR(IF(BL27*fxVal_normal=_BS!BL27,"",IF(OR(BL27="",NOT(ISNUMBER(BL27)),ISERROR(BL27),$B27=""),"",IF($I27=1,IFBLANK(_xldudf_CX_PUSH(BL27*fxVal_normal,CX_ENTITY,$B27,BL$11,BL$14,BL$19,),""),IF($I27=2,IFBLANK(_xldudf_CX_PUSH(BL27,CX_ENTITY,$B27,BL$11,BL$14,BL$19,),""),IF($I27=3,"",IFBLANK(_xldudf_CX_PUSH(BL27,CX_ENTITY,$B27,BL$11,BL$14,BL$19,),"")))))),"")</f>
        <v/>
      </c>
      <c r="DZ27" s="1883" t="str" cm="1">
        <f t="array" ca="1" aca="1" ref="DZ27">IFERROR(IF(BM27*fxVal_normal=_BS!BM27,"",IF(OR(BM27="",NOT(ISNUMBER(BM27)),ISERROR(BM27),$B27=""),"",IF($I27=1,IFBLANK(_xldudf_CX_PUSH(BM27*fxVal_normal,CX_ENTITY,$B27,BM$11,BM$14,BM$19,),""),IF($I27=2,IFBLANK(_xldudf_CX_PUSH(BM27,CX_ENTITY,$B27,BM$11,BM$14,BM$19,),""),IF($I27=3,"",IFBLANK(_xldudf_CX_PUSH(BM27,CX_ENTITY,$B27,BM$11,BM$14,BM$19,),"")))))),"")</f>
        <v/>
      </c>
      <c r="EA27" s="1883" t="str" cm="1">
        <f t="array" ca="1" aca="1" ref="EA27">IFERROR(IF(BN27*fxVal_normal=_BS!BN27,"",IF(OR(BN27="",NOT(ISNUMBER(BN27)),ISERROR(BN27),$B27=""),"",IF($I27=1,IFBLANK(_xldudf_CX_PUSH(BN27*fxVal_normal,CX_ENTITY,$B27,BN$11,BN$14,BN$19,),""),IF($I27=2,IFBLANK(_xldudf_CX_PUSH(BN27,CX_ENTITY,$B27,BN$11,BN$14,BN$19,),""),IF($I27=3,"",IFBLANK(_xldudf_CX_PUSH(BN27,CX_ENTITY,$B27,BN$11,BN$14,BN$19,),"")))))),"")</f>
        <v/>
      </c>
    </row>
    <row r="28" spans="1:131" ht="21" customHeight="1">
      <c r="A28" s="1626"/>
      <c r="B28" s="811" t="str" cm="1">
        <f t="array" ref="B28">IFBLANK(_BS!F28,"")</f>
        <v>Net Working Capital (NWC)</v>
      </c>
      <c r="C28" s="3346" t="str" cm="1">
        <f t="array" ref="C28">IFBLANK(_BS!C28,"")</f>
        <v>Net Working Capital (NWC) (Company View)</v>
      </c>
      <c r="D28" s="1549"/>
      <c r="E28" s="1902" t="e" cm="1">
        <f t="array" ca="1" aca="1" ref="E2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28:$CH28,Z28)</f>
        <v>#NAME?</v>
      </c>
      <c r="F28" s="1897"/>
      <c r="G28" s="1897"/>
      <c r="H28" s="3280">
        <v>2</v>
      </c>
      <c r="I28" s="3280">
        <v>1</v>
      </c>
      <c r="J28" s="401"/>
      <c r="L28" s="921"/>
      <c r="M28" s="921"/>
      <c r="N28" s="158"/>
      <c r="O28" s="101"/>
      <c r="P28" s="52"/>
      <c r="Q28" s="101"/>
      <c r="R28" s="126"/>
      <c r="S28" s="101"/>
      <c r="T28" s="101"/>
      <c r="U28" s="39"/>
      <c r="V28" s="921"/>
      <c r="W28" s="922" t="str">
        <f t="shared" si="1"/>
        <v>Actual</v>
      </c>
      <c r="X28" s="1294">
        <f>_BS!X28</f>
        <v>0</v>
      </c>
      <c r="Y28" s="3344" t="str">
        <f>_BS!Y28</f>
        <v>Net Working Capital (NWC)</v>
      </c>
      <c r="Z28" s="198" cm="1">
        <f t="array" ref="Z28">_xlfn.SWITCH(TRUE,_BS!$L28=TRUE,1,_BS!$L28=FALSE,-1,_BS!$L28=-1,0,"n/a")</f>
        <v>0</v>
      </c>
      <c r="AA28" s="924"/>
      <c r="AB28" s="3343" t="str">
        <f>_BS!AB28</f>
        <v>Net Working Capital (NWC)</v>
      </c>
      <c r="AC28" s="88" t="e" vm="5" cm="1">
        <f t="array" ca="1" aca="1" ref="AC28">_xlfn.LET(_xlpm._termname,$AB28,_xlpm._iconname,"find",_xlpm._icon,fx_getIcon(_xlpm._iconname),_xlpm._location,_xlfn.XLOOKUP(LOWER(_xlpm._termname),LOWER(tbl_acctDef[Term]),tbl_acctDef[Term]),_xlpm._hyperlink,HYPERLINK("#"&amp;CELL("address",_xlpm._location),_xlpm._icon),IFERROR(_xlpm._hyperlink,""))</f>
        <v>#VALUE!</v>
      </c>
      <c r="AD28" s="919">
        <f t="shared" si="3" ref="AD28:BN28">SUBTOTAL(9,AD24:AD27)</f>
        <v>4</v>
      </c>
      <c r="AE28" s="919">
        <f t="shared" si="3"/>
        <v>4</v>
      </c>
      <c r="AF28" s="919">
        <f t="shared" si="3"/>
        <v>4</v>
      </c>
      <c r="AG28" s="919">
        <f t="shared" si="3"/>
        <v>4</v>
      </c>
      <c r="AH28" s="919">
        <f t="shared" si="3"/>
        <v>4</v>
      </c>
      <c r="AI28" s="919">
        <f t="shared" si="3"/>
        <v>4</v>
      </c>
      <c r="AJ28" s="919">
        <f t="shared" si="3"/>
        <v>4</v>
      </c>
      <c r="AK28" s="919">
        <f t="shared" si="3"/>
        <v>4</v>
      </c>
      <c r="AL28" s="919">
        <f t="shared" si="3"/>
        <v>4</v>
      </c>
      <c r="AM28" s="919">
        <f t="shared" si="3"/>
        <v>4</v>
      </c>
      <c r="AN28" s="919">
        <f t="shared" si="3"/>
        <v>4</v>
      </c>
      <c r="AO28" s="919">
        <f t="shared" si="3"/>
        <v>4</v>
      </c>
      <c r="AP28" s="919">
        <f t="shared" si="3"/>
        <v>4</v>
      </c>
      <c r="AQ28" s="919">
        <f t="shared" si="3"/>
        <v>4</v>
      </c>
      <c r="AR28" s="919">
        <f t="shared" si="3"/>
        <v>4</v>
      </c>
      <c r="AS28" s="919">
        <f t="shared" si="3"/>
        <v>4</v>
      </c>
      <c r="AT28" s="919">
        <f t="shared" si="3"/>
        <v>4</v>
      </c>
      <c r="AU28" s="919">
        <f t="shared" si="3"/>
        <v>4</v>
      </c>
      <c r="AV28" s="919">
        <f t="shared" si="3"/>
        <v>4</v>
      </c>
      <c r="AW28" s="919">
        <f t="shared" si="3"/>
        <v>4</v>
      </c>
      <c r="AX28" s="919">
        <f t="shared" si="3"/>
        <v>4</v>
      </c>
      <c r="AY28" s="919">
        <f t="shared" si="3"/>
        <v>4</v>
      </c>
      <c r="AZ28" s="919">
        <f t="shared" si="3"/>
        <v>4</v>
      </c>
      <c r="BA28" s="919">
        <f t="shared" si="3"/>
        <v>4</v>
      </c>
      <c r="BB28" s="919">
        <f t="shared" si="3"/>
        <v>4</v>
      </c>
      <c r="BC28" s="919">
        <f t="shared" si="3"/>
        <v>4</v>
      </c>
      <c r="BD28" s="919">
        <f t="shared" si="3"/>
        <v>4</v>
      </c>
      <c r="BE28" s="919">
        <f t="shared" si="3"/>
        <v>4</v>
      </c>
      <c r="BF28" s="919">
        <f t="shared" si="3"/>
        <v>4</v>
      </c>
      <c r="BG28" s="919">
        <f t="shared" si="3"/>
        <v>4</v>
      </c>
      <c r="BH28" s="919">
        <f t="shared" si="3"/>
        <v>4</v>
      </c>
      <c r="BI28" s="919">
        <f t="shared" si="3"/>
        <v>4</v>
      </c>
      <c r="BJ28" s="919">
        <f t="shared" si="3"/>
        <v>4</v>
      </c>
      <c r="BK28" s="919">
        <f t="shared" si="3"/>
        <v>4</v>
      </c>
      <c r="BL28" s="919">
        <f t="shared" si="3"/>
        <v>4</v>
      </c>
      <c r="BM28" s="919">
        <f t="shared" si="3"/>
        <v>4</v>
      </c>
      <c r="BN28" s="919">
        <f t="shared" si="3"/>
        <v>4</v>
      </c>
      <c r="BO28" s="2117"/>
      <c r="BP28" s="2117"/>
      <c r="BQ28" s="2117"/>
      <c r="BR28" s="2117"/>
      <c r="BS28" s="2117"/>
      <c r="BT28" s="2117"/>
      <c r="BU28" s="2117"/>
      <c r="BV28" s="2117"/>
      <c r="BW28" s="2117"/>
      <c r="BX28" s="2117"/>
      <c r="BY28" s="2117"/>
      <c r="BZ28" s="2117"/>
      <c r="CA28" s="926"/>
      <c r="CB28" s="921"/>
      <c r="CC28" s="927"/>
      <c r="CD28" s="919" t="e" cm="1">
        <f t="array" ca="1" aca="1" ref="CD28">_xlfn.XLOOKUP(BS!CD$11,array_timeline,BS!$AD28:$BN28)</f>
        <v>#NAME?</v>
      </c>
      <c r="CE28" s="919" t="e" cm="1">
        <f t="array" ca="1" aca="1" ref="CE28">_xlfn.XLOOKUP(BS!CE$11,array_timeline,BS!$AD28:$BN28)</f>
        <v>#NAME?</v>
      </c>
      <c r="CF28" s="925"/>
      <c r="CG28" s="919" t="e">
        <f ca="1">SUBTOTAL(9,CG24:CG27)</f>
        <v>#NAME?</v>
      </c>
      <c r="CH28" s="919" t="e">
        <f ca="1">SUBTOTAL(9,CH24:CH27)</f>
        <v>#NAME?</v>
      </c>
      <c r="CI28" s="924"/>
      <c r="CK28" s="2085" t="str" cm="1">
        <f t="array" ref="CK28">IFERROR(IF(Y28&lt;&gt;AB28,_xldudf_CX_PUSH(Y28,CX_ENTITY,C28,EOMONTH(val_asOfDate,0)),""),"")</f>
        <v/>
      </c>
      <c r="CL28" s="2085" t="str" cm="1">
        <f t="array" ref="CL28">IFERROR(IF(Y28&lt;&gt;AB28,_xldudf_CX_PUSH(Y28,CX_ENTITY,C28,EOMONTH(val_asOfDate,1)),""),"")</f>
        <v/>
      </c>
      <c r="CM28" s="2085" t="str" cm="1">
        <f t="array" ref="CM28">IFERROR(IF(Y28&lt;&gt;AB28,_xldudf_CX_PUSH(Y28,CX_ENTITY,C28,EOMONTH(val_asOfDate,2)),""),"")</f>
        <v/>
      </c>
      <c r="CN28" s="2085" t="str" cm="1">
        <f t="array" ref="CN28">IFERROR(IF(Y28&lt;&gt;AB28,_xldudf_CX_PUSH(Y28,CX_ENTITY,C28,EOMONTH(val_asOfDate,3)),""),"")</f>
        <v/>
      </c>
      <c r="CO28" s="2086" t="str" cm="1">
        <f t="array" ca="1" aca="1" ref="CO28">IFERROR(IF(CG28*fxVal_normal=_BS!CG28,"",IF(OR($CG28="",$CG28=0,NOT(ISNUMBER($CG28)),ISERROR($CG28),$B28=""),"",IF($I28=1,IFBLANK(_xldudf_CX_PUSH($CG28*10^6,CX_ENTITY,$B28,$CG$11,$CG$14,$CG$19,),""),IF($I28=2,IFBLANK(_xldudf_CX_PUSH($CG28,CX_ENTITY,$B28,$CG$11,$CG$14,$CG$19,),""),IF($I28=3,"",IFBLANK(_xldudf_CX_PUSH($CG28,CX_ENTITY,$B28,$CG$11,$CG$14,$CG$19,),"")))))),"")</f>
        <v/>
      </c>
      <c r="CP28" s="2086" t="str" cm="1">
        <f t="array" ca="1" aca="1" ref="CP28">IFERROR(IF(CH28*fxVal_normal=_BS!CH28,"",IF(OR($CH28="",$CH28=0,NOT(ISNUMBER($CH28)),ISERROR($CH28),$B28=""),"",IF($I28=1,IFBLANK(_xldudf_CX_PUSH($CH28*10^6,CX_ENTITY,$B28,$CH$11,$CH$14,$CH$19,),""),IF($I28=2,IFBLANK(_xldudf_CX_PUSH($CH28,CX_ENTITY,$B28,$CH$11,$CH$14,$CH$19,),""),IF($I28=3,"",IFBLANK(_xldudf_CX_PUSH($CH28,CX_ENTITY,$B28,$CH$11,$CH$14,$CH$19,),"")))))),"")</f>
        <v/>
      </c>
      <c r="CQ28" s="1883" t="str" cm="1">
        <f t="array" ca="1" aca="1" ref="CQ28">IFERROR(IF(AD28*fxVal_normal=_BS!AD28,"",IF(OR(AD28="",NOT(ISNUMBER(AD28)),ISERROR(AD28),$B28=""),"",IF($I28=1,IFBLANK(_xldudf_CX_PUSH(AD28*fxVal_normal,CX_ENTITY,$B28,AD$11,AD$14,AD$19,),""),IF($I28=2,IFBLANK(_xldudf_CX_PUSH(AD28,CX_ENTITY,$B28,AD$11,AD$14,AD$19,),""),IF($I28=3,"",IFBLANK(_xldudf_CX_PUSH(AD28,CX_ENTITY,$B28,AD$11,AD$14,AD$19,),"")))))),"")</f>
        <v/>
      </c>
      <c r="CR28" s="1883" t="str" cm="1">
        <f t="array" ca="1" aca="1" ref="CR28">IFERROR(IF(AE28*fxVal_normal=_BS!AE28,"",IF(OR(AE28="",NOT(ISNUMBER(AE28)),ISERROR(AE28),$B28=""),"",IF($I28=1,IFBLANK(_xldudf_CX_PUSH(AE28*fxVal_normal,CX_ENTITY,$B28,AE$11,AE$14,AE$19,),""),IF($I28=2,IFBLANK(_xldudf_CX_PUSH(AE28,CX_ENTITY,$B28,AE$11,AE$14,AE$19,),""),IF($I28=3,"",IFBLANK(_xldudf_CX_PUSH(AE28,CX_ENTITY,$B28,AE$11,AE$14,AE$19,),"")))))),"")</f>
        <v/>
      </c>
      <c r="CS28" s="1883" t="str" cm="1">
        <f t="array" ca="1" aca="1" ref="CS28">IFERROR(IF(AF28*fxVal_normal=_BS!AF28,"",IF(OR(AF28="",NOT(ISNUMBER(AF28)),ISERROR(AF28),$B28=""),"",IF($I28=1,IFBLANK(_xldudf_CX_PUSH(AF28*fxVal_normal,CX_ENTITY,$B28,AF$11,AF$14,AF$19,),""),IF($I28=2,IFBLANK(_xldudf_CX_PUSH(AF28,CX_ENTITY,$B28,AF$11,AF$14,AF$19,),""),IF($I28=3,"",IFBLANK(_xldudf_CX_PUSH(AF28,CX_ENTITY,$B28,AF$11,AF$14,AF$19,),"")))))),"")</f>
        <v/>
      </c>
      <c r="CT28" s="1883" t="str" cm="1">
        <f t="array" ca="1" aca="1" ref="CT28">IFERROR(IF(AG28*fxVal_normal=_BS!AG28,"",IF(OR(AG28="",NOT(ISNUMBER(AG28)),ISERROR(AG28),$B28=""),"",IF($I28=1,IFBLANK(_xldudf_CX_PUSH(AG28*fxVal_normal,CX_ENTITY,$B28,AG$11,AG$14,AG$19,),""),IF($I28=2,IFBLANK(_xldudf_CX_PUSH(AG28,CX_ENTITY,$B28,AG$11,AG$14,AG$19,),""),IF($I28=3,"",IFBLANK(_xldudf_CX_PUSH(AG28,CX_ENTITY,$B28,AG$11,AG$14,AG$19,),"")))))),"")</f>
        <v/>
      </c>
      <c r="CU28" s="1883" t="str" cm="1">
        <f t="array" ca="1" aca="1" ref="CU28">IFERROR(IF(AH28*fxVal_normal=_BS!AH28,"",IF(OR(AH28="",NOT(ISNUMBER(AH28)),ISERROR(AH28),$B28=""),"",IF($I28=1,IFBLANK(_xldudf_CX_PUSH(AH28*fxVal_normal,CX_ENTITY,$B28,AH$11,AH$14,AH$19,),""),IF($I28=2,IFBLANK(_xldudf_CX_PUSH(AH28,CX_ENTITY,$B28,AH$11,AH$14,AH$19,),""),IF($I28=3,"",IFBLANK(_xldudf_CX_PUSH(AH28,CX_ENTITY,$B28,AH$11,AH$14,AH$19,),"")))))),"")</f>
        <v/>
      </c>
      <c r="CV28" s="1883" t="str" cm="1">
        <f t="array" ca="1" aca="1" ref="CV28">IFERROR(IF(AI28*fxVal_normal=_BS!AI28,"",IF(OR(AI28="",NOT(ISNUMBER(AI28)),ISERROR(AI28),$B28=""),"",IF($I28=1,IFBLANK(_xldudf_CX_PUSH(AI28*fxVal_normal,CX_ENTITY,$B28,AI$11,AI$14,AI$19,),""),IF($I28=2,IFBLANK(_xldudf_CX_PUSH(AI28,CX_ENTITY,$B28,AI$11,AI$14,AI$19,),""),IF($I28=3,"",IFBLANK(_xldudf_CX_PUSH(AI28,CX_ENTITY,$B28,AI$11,AI$14,AI$19,),"")))))),"")</f>
        <v/>
      </c>
      <c r="CW28" s="1883" t="str" cm="1">
        <f t="array" ca="1" aca="1" ref="CW28">IFERROR(IF(AJ28*fxVal_normal=_BS!AJ28,"",IF(OR(AJ28="",NOT(ISNUMBER(AJ28)),ISERROR(AJ28),$B28=""),"",IF($I28=1,IFBLANK(_xldudf_CX_PUSH(AJ28*fxVal_normal,CX_ENTITY,$B28,AJ$11,AJ$14,AJ$19,),""),IF($I28=2,IFBLANK(_xldudf_CX_PUSH(AJ28,CX_ENTITY,$B28,AJ$11,AJ$14,AJ$19,),""),IF($I28=3,"",IFBLANK(_xldudf_CX_PUSH(AJ28,CX_ENTITY,$B28,AJ$11,AJ$14,AJ$19,),"")))))),"")</f>
        <v/>
      </c>
      <c r="CX28" s="1883" t="str" cm="1">
        <f t="array" ca="1" aca="1" ref="CX28">IFERROR(IF(AK28*fxVal_normal=_BS!AK28,"",IF(OR(AK28="",NOT(ISNUMBER(AK28)),ISERROR(AK28),$B28=""),"",IF($I28=1,IFBLANK(_xldudf_CX_PUSH(AK28*fxVal_normal,CX_ENTITY,$B28,AK$11,AK$14,AK$19,),""),IF($I28=2,IFBLANK(_xldudf_CX_PUSH(AK28,CX_ENTITY,$B28,AK$11,AK$14,AK$19,),""),IF($I28=3,"",IFBLANK(_xldudf_CX_PUSH(AK28,CX_ENTITY,$B28,AK$11,AK$14,AK$19,),"")))))),"")</f>
        <v/>
      </c>
      <c r="CY28" s="1883" t="str" cm="1">
        <f t="array" ca="1" aca="1" ref="CY28">IFERROR(IF(AL28*fxVal_normal=_BS!AL28,"",IF(OR(AL28="",NOT(ISNUMBER(AL28)),ISERROR(AL28),$B28=""),"",IF($I28=1,IFBLANK(_xldudf_CX_PUSH(AL28*fxVal_normal,CX_ENTITY,$B28,AL$11,AL$14,AL$19,),""),IF($I28=2,IFBLANK(_xldudf_CX_PUSH(AL28,CX_ENTITY,$B28,AL$11,AL$14,AL$19,),""),IF($I28=3,"",IFBLANK(_xldudf_CX_PUSH(AL28,CX_ENTITY,$B28,AL$11,AL$14,AL$19,),"")))))),"")</f>
        <v/>
      </c>
      <c r="CZ28" s="1883" t="str" cm="1">
        <f t="array" ca="1" aca="1" ref="CZ28">IFERROR(IF(AM28*fxVal_normal=_BS!AM28,"",IF(OR(AM28="",NOT(ISNUMBER(AM28)),ISERROR(AM28),$B28=""),"",IF($I28=1,IFBLANK(_xldudf_CX_PUSH(AM28*fxVal_normal,CX_ENTITY,$B28,AM$11,AM$14,AM$19,),""),IF($I28=2,IFBLANK(_xldudf_CX_PUSH(AM28,CX_ENTITY,$B28,AM$11,AM$14,AM$19,),""),IF($I28=3,"",IFBLANK(_xldudf_CX_PUSH(AM28,CX_ENTITY,$B28,AM$11,AM$14,AM$19,),"")))))),"")</f>
        <v/>
      </c>
      <c r="DA28" s="1883" t="str" cm="1">
        <f t="array" ca="1" aca="1" ref="DA28">IFERROR(IF(AN28*fxVal_normal=_BS!AN28,"",IF(OR(AN28="",NOT(ISNUMBER(AN28)),ISERROR(AN28),$B28=""),"",IF($I28=1,IFBLANK(_xldudf_CX_PUSH(AN28*fxVal_normal,CX_ENTITY,$B28,AN$11,AN$14,AN$19,),""),IF($I28=2,IFBLANK(_xldudf_CX_PUSH(AN28,CX_ENTITY,$B28,AN$11,AN$14,AN$19,),""),IF($I28=3,"",IFBLANK(_xldudf_CX_PUSH(AN28,CX_ENTITY,$B28,AN$11,AN$14,AN$19,),"")))))),"")</f>
        <v/>
      </c>
      <c r="DB28" s="1883" t="str" cm="1">
        <f t="array" ca="1" aca="1" ref="DB28">IFERROR(IF(AO28*fxVal_normal=_BS!AO28,"",IF(OR(AO28="",NOT(ISNUMBER(AO28)),ISERROR(AO28),$B28=""),"",IF($I28=1,IFBLANK(_xldudf_CX_PUSH(AO28*fxVal_normal,CX_ENTITY,$B28,AO$11,AO$14,AO$19,),""),IF($I28=2,IFBLANK(_xldudf_CX_PUSH(AO28,CX_ENTITY,$B28,AO$11,AO$14,AO$19,),""),IF($I28=3,"",IFBLANK(_xldudf_CX_PUSH(AO28,CX_ENTITY,$B28,AO$11,AO$14,AO$19,),"")))))),"")</f>
        <v/>
      </c>
      <c r="DC28" s="1883" t="str" cm="1">
        <f t="array" ca="1" aca="1" ref="DC28">IFERROR(IF(AP28*fxVal_normal=_BS!AP28,"",IF(OR(AP28="",NOT(ISNUMBER(AP28)),ISERROR(AP28),$B28=""),"",IF($I28=1,IFBLANK(_xldudf_CX_PUSH(AP28*fxVal_normal,CX_ENTITY,$B28,AP$11,AP$14,AP$19,),""),IF($I28=2,IFBLANK(_xldudf_CX_PUSH(AP28,CX_ENTITY,$B28,AP$11,AP$14,AP$19,),""),IF($I28=3,"",IFBLANK(_xldudf_CX_PUSH(AP28,CX_ENTITY,$B28,AP$11,AP$14,AP$19,),"")))))),"")</f>
        <v/>
      </c>
      <c r="DD28" s="1883" t="str" cm="1">
        <f t="array" ca="1" aca="1" ref="DD28">IFERROR(IF(AQ28*fxVal_normal=_BS!AQ28,"",IF(OR(AQ28="",NOT(ISNUMBER(AQ28)),ISERROR(AQ28),$B28=""),"",IF($I28=1,IFBLANK(_xldudf_CX_PUSH(AQ28*fxVal_normal,CX_ENTITY,$B28,AQ$11,AQ$14,AQ$19,),""),IF($I28=2,IFBLANK(_xldudf_CX_PUSH(AQ28,CX_ENTITY,$B28,AQ$11,AQ$14,AQ$19,),""),IF($I28=3,"",IFBLANK(_xldudf_CX_PUSH(AQ28,CX_ENTITY,$B28,AQ$11,AQ$14,AQ$19,),"")))))),"")</f>
        <v/>
      </c>
      <c r="DE28" s="1883" t="str" cm="1">
        <f t="array" ca="1" aca="1" ref="DE28">IFERROR(IF(AR28*fxVal_normal=_BS!AR28,"",IF(OR(AR28="",NOT(ISNUMBER(AR28)),ISERROR(AR28),$B28=""),"",IF($I28=1,IFBLANK(_xldudf_CX_PUSH(AR28*fxVal_normal,CX_ENTITY,$B28,AR$11,AR$14,AR$19,),""),IF($I28=2,IFBLANK(_xldudf_CX_PUSH(AR28,CX_ENTITY,$B28,AR$11,AR$14,AR$19,),""),IF($I28=3,"",IFBLANK(_xldudf_CX_PUSH(AR28,CX_ENTITY,$B28,AR$11,AR$14,AR$19,),"")))))),"")</f>
        <v/>
      </c>
      <c r="DF28" s="1883" t="str" cm="1">
        <f t="array" ca="1" aca="1" ref="DF28">IFERROR(IF(AS28*fxVal_normal=_BS!AS28,"",IF(OR(AS28="",NOT(ISNUMBER(AS28)),ISERROR(AS28),$B28=""),"",IF($I28=1,IFBLANK(_xldudf_CX_PUSH(AS28*fxVal_normal,CX_ENTITY,$B28,AS$11,AS$14,AS$19,),""),IF($I28=2,IFBLANK(_xldudf_CX_PUSH(AS28,CX_ENTITY,$B28,AS$11,AS$14,AS$19,),""),IF($I28=3,"",IFBLANK(_xldudf_CX_PUSH(AS28,CX_ENTITY,$B28,AS$11,AS$14,AS$19,),"")))))),"")</f>
        <v/>
      </c>
      <c r="DG28" s="1883" t="str" cm="1">
        <f t="array" ca="1" aca="1" ref="DG28">IFERROR(IF(AT28*fxVal_normal=_BS!AT28,"",IF(OR(AT28="",NOT(ISNUMBER(AT28)),ISERROR(AT28),$B28=""),"",IF($I28=1,IFBLANK(_xldudf_CX_PUSH(AT28*fxVal_normal,CX_ENTITY,$B28,AT$11,AT$14,AT$19,),""),IF($I28=2,IFBLANK(_xldudf_CX_PUSH(AT28,CX_ENTITY,$B28,AT$11,AT$14,AT$19,),""),IF($I28=3,"",IFBLANK(_xldudf_CX_PUSH(AT28,CX_ENTITY,$B28,AT$11,AT$14,AT$19,),"")))))),"")</f>
        <v/>
      </c>
      <c r="DH28" s="1883" t="str" cm="1">
        <f t="array" ca="1" aca="1" ref="DH28">IFERROR(IF(AU28*fxVal_normal=_BS!AU28,"",IF(OR(AU28="",NOT(ISNUMBER(AU28)),ISERROR(AU28),$B28=""),"",IF($I28=1,IFBLANK(_xldudf_CX_PUSH(AU28*fxVal_normal,CX_ENTITY,$B28,AU$11,AU$14,AU$19,),""),IF($I28=2,IFBLANK(_xldudf_CX_PUSH(AU28,CX_ENTITY,$B28,AU$11,AU$14,AU$19,),""),IF($I28=3,"",IFBLANK(_xldudf_CX_PUSH(AU28,CX_ENTITY,$B28,AU$11,AU$14,AU$19,),"")))))),"")</f>
        <v/>
      </c>
      <c r="DI28" s="1883" t="str" cm="1">
        <f t="array" ca="1" aca="1" ref="DI28">IFERROR(IF(AV28*fxVal_normal=_BS!AV28,"",IF(OR(AV28="",NOT(ISNUMBER(AV28)),ISERROR(AV28),$B28=""),"",IF($I28=1,IFBLANK(_xldudf_CX_PUSH(AV28*fxVal_normal,CX_ENTITY,$B28,AV$11,AV$14,AV$19,),""),IF($I28=2,IFBLANK(_xldudf_CX_PUSH(AV28,CX_ENTITY,$B28,AV$11,AV$14,AV$19,),""),IF($I28=3,"",IFBLANK(_xldudf_CX_PUSH(AV28,CX_ENTITY,$B28,AV$11,AV$14,AV$19,),"")))))),"")</f>
        <v/>
      </c>
      <c r="DJ28" s="1883" t="str" cm="1">
        <f t="array" ca="1" aca="1" ref="DJ28">IFERROR(IF(AW28*fxVal_normal=_BS!AW28,"",IF(OR(AW28="",NOT(ISNUMBER(AW28)),ISERROR(AW28),$B28=""),"",IF($I28=1,IFBLANK(_xldudf_CX_PUSH(AW28*fxVal_normal,CX_ENTITY,$B28,AW$11,AW$14,AW$19,),""),IF($I28=2,IFBLANK(_xldudf_CX_PUSH(AW28,CX_ENTITY,$B28,AW$11,AW$14,AW$19,),""),IF($I28=3,"",IFBLANK(_xldudf_CX_PUSH(AW28,CX_ENTITY,$B28,AW$11,AW$14,AW$19,),"")))))),"")</f>
        <v/>
      </c>
      <c r="DK28" s="1883" t="str" cm="1">
        <f t="array" ca="1" aca="1" ref="DK28">IFERROR(IF(AX28*fxVal_normal=_BS!AX28,"",IF(OR(AX28="",NOT(ISNUMBER(AX28)),ISERROR(AX28),$B28=""),"",IF($I28=1,IFBLANK(_xldudf_CX_PUSH(AX28*fxVal_normal,CX_ENTITY,$B28,AX$11,AX$14,AX$19,),""),IF($I28=2,IFBLANK(_xldudf_CX_PUSH(AX28,CX_ENTITY,$B28,AX$11,AX$14,AX$19,),""),IF($I28=3,"",IFBLANK(_xldudf_CX_PUSH(AX28,CX_ENTITY,$B28,AX$11,AX$14,AX$19,),"")))))),"")</f>
        <v/>
      </c>
      <c r="DL28" s="1883" t="str" cm="1">
        <f t="array" ca="1" aca="1" ref="DL28">IFERROR(IF(AY28*fxVal_normal=_BS!AY28,"",IF(OR(AY28="",NOT(ISNUMBER(AY28)),ISERROR(AY28),$B28=""),"",IF($I28=1,IFBLANK(_xldudf_CX_PUSH(AY28*fxVal_normal,CX_ENTITY,$B28,AY$11,AY$14,AY$19,),""),IF($I28=2,IFBLANK(_xldudf_CX_PUSH(AY28,CX_ENTITY,$B28,AY$11,AY$14,AY$19,),""),IF($I28=3,"",IFBLANK(_xldudf_CX_PUSH(AY28,CX_ENTITY,$B28,AY$11,AY$14,AY$19,),"")))))),"")</f>
        <v/>
      </c>
      <c r="DM28" s="1883" t="str" cm="1">
        <f t="array" ca="1" aca="1" ref="DM28">IFERROR(IF(AZ28*fxVal_normal=_BS!AZ28,"",IF(OR(AZ28="",NOT(ISNUMBER(AZ28)),ISERROR(AZ28),$B28=""),"",IF($I28=1,IFBLANK(_xldudf_CX_PUSH(AZ28*fxVal_normal,CX_ENTITY,$B28,AZ$11,AZ$14,AZ$19,),""),IF($I28=2,IFBLANK(_xldudf_CX_PUSH(AZ28,CX_ENTITY,$B28,AZ$11,AZ$14,AZ$19,),""),IF($I28=3,"",IFBLANK(_xldudf_CX_PUSH(AZ28,CX_ENTITY,$B28,AZ$11,AZ$14,AZ$19,),"")))))),"")</f>
        <v/>
      </c>
      <c r="DN28" s="1883" t="str" cm="1">
        <f t="array" ca="1" aca="1" ref="DN28">IFERROR(IF(BA28*fxVal_normal=_BS!BA28,"",IF(OR(BA28="",NOT(ISNUMBER(BA28)),ISERROR(BA28),$B28=""),"",IF($I28=1,IFBLANK(_xldudf_CX_PUSH(BA28*fxVal_normal,CX_ENTITY,$B28,BA$11,BA$14,BA$19,),""),IF($I28=2,IFBLANK(_xldudf_CX_PUSH(BA28,CX_ENTITY,$B28,BA$11,BA$14,BA$19,),""),IF($I28=3,"",IFBLANK(_xldudf_CX_PUSH(BA28,CX_ENTITY,$B28,BA$11,BA$14,BA$19,),"")))))),"")</f>
        <v/>
      </c>
      <c r="DO28" s="1883" t="str" cm="1">
        <f t="array" ca="1" aca="1" ref="DO28">IFERROR(IF(BB28*fxVal_normal=_BS!BB28,"",IF(OR(BB28="",NOT(ISNUMBER(BB28)),ISERROR(BB28),$B28=""),"",IF($I28=1,IFBLANK(_xldudf_CX_PUSH(BB28*fxVal_normal,CX_ENTITY,$B28,BB$11,BB$14,BB$19,),""),IF($I28=2,IFBLANK(_xldudf_CX_PUSH(BB28,CX_ENTITY,$B28,BB$11,BB$14,BB$19,),""),IF($I28=3,"",IFBLANK(_xldudf_CX_PUSH(BB28,CX_ENTITY,$B28,BB$11,BB$14,BB$19,),"")))))),"")</f>
        <v/>
      </c>
      <c r="DP28" s="1883" t="str" cm="1">
        <f t="array" ca="1" aca="1" ref="DP28">IFERROR(IF(BC28*fxVal_normal=_BS!BC28,"",IF(OR(BC28="",NOT(ISNUMBER(BC28)),ISERROR(BC28),$B28=""),"",IF($I28=1,IFBLANK(_xldudf_CX_PUSH(BC28*fxVal_normal,CX_ENTITY,$B28,BC$11,BC$14,BC$19,),""),IF($I28=2,IFBLANK(_xldudf_CX_PUSH(BC28,CX_ENTITY,$B28,BC$11,BC$14,BC$19,),""),IF($I28=3,"",IFBLANK(_xldudf_CX_PUSH(BC28,CX_ENTITY,$B28,BC$11,BC$14,BC$19,),"")))))),"")</f>
        <v/>
      </c>
      <c r="DQ28" s="1883" t="str" cm="1">
        <f t="array" ca="1" aca="1" ref="DQ28">IFERROR(IF(BD28*fxVal_normal=_BS!BD28,"",IF(OR(BD28="",NOT(ISNUMBER(BD28)),ISERROR(BD28),$B28=""),"",IF($I28=1,IFBLANK(_xldudf_CX_PUSH(BD28*fxVal_normal,CX_ENTITY,$B28,BD$11,BD$14,BD$19,),""),IF($I28=2,IFBLANK(_xldudf_CX_PUSH(BD28,CX_ENTITY,$B28,BD$11,BD$14,BD$19,),""),IF($I28=3,"",IFBLANK(_xldudf_CX_PUSH(BD28,CX_ENTITY,$B28,BD$11,BD$14,BD$19,),"")))))),"")</f>
        <v/>
      </c>
      <c r="DR28" s="1883" t="str" cm="1">
        <f t="array" ca="1" aca="1" ref="DR28">IFERROR(IF(BE28*fxVal_normal=_BS!BE28,"",IF(OR(BE28="",NOT(ISNUMBER(BE28)),ISERROR(BE28),$B28=""),"",IF($I28=1,IFBLANK(_xldudf_CX_PUSH(BE28*fxVal_normal,CX_ENTITY,$B28,BE$11,BE$14,BE$19,),""),IF($I28=2,IFBLANK(_xldudf_CX_PUSH(BE28,CX_ENTITY,$B28,BE$11,BE$14,BE$19,),""),IF($I28=3,"",IFBLANK(_xldudf_CX_PUSH(BE28,CX_ENTITY,$B28,BE$11,BE$14,BE$19,),"")))))),"")</f>
        <v/>
      </c>
      <c r="DS28" s="1883" t="str" cm="1">
        <f t="array" ca="1" aca="1" ref="DS28">IFERROR(IF(BF28*fxVal_normal=_BS!BF28,"",IF(OR(BF28="",NOT(ISNUMBER(BF28)),ISERROR(BF28),$B28=""),"",IF($I28=1,IFBLANK(_xldudf_CX_PUSH(BF28*fxVal_normal,CX_ENTITY,$B28,BF$11,BF$14,BF$19,),""),IF($I28=2,IFBLANK(_xldudf_CX_PUSH(BF28,CX_ENTITY,$B28,BF$11,BF$14,BF$19,),""),IF($I28=3,"",IFBLANK(_xldudf_CX_PUSH(BF28,CX_ENTITY,$B28,BF$11,BF$14,BF$19,),"")))))),"")</f>
        <v/>
      </c>
      <c r="DT28" s="1883" t="str" cm="1">
        <f t="array" ca="1" aca="1" ref="DT28">IFERROR(IF(BG28*fxVal_normal=_BS!BG28,"",IF(OR(BG28="",NOT(ISNUMBER(BG28)),ISERROR(BG28),$B28=""),"",IF($I28=1,IFBLANK(_xldudf_CX_PUSH(BG28*fxVal_normal,CX_ENTITY,$B28,BG$11,BG$14,BG$19,),""),IF($I28=2,IFBLANK(_xldudf_CX_PUSH(BG28,CX_ENTITY,$B28,BG$11,BG$14,BG$19,),""),IF($I28=3,"",IFBLANK(_xldudf_CX_PUSH(BG28,CX_ENTITY,$B28,BG$11,BG$14,BG$19,),"")))))),"")</f>
        <v/>
      </c>
      <c r="DU28" s="1883" t="str" cm="1">
        <f t="array" ca="1" aca="1" ref="DU28">IFERROR(IF(BH28*fxVal_normal=_BS!BH28,"",IF(OR(BH28="",NOT(ISNUMBER(BH28)),ISERROR(BH28),$B28=""),"",IF($I28=1,IFBLANK(_xldudf_CX_PUSH(BH28*fxVal_normal,CX_ENTITY,$B28,BH$11,BH$14,BH$19,),""),IF($I28=2,IFBLANK(_xldudf_CX_PUSH(BH28,CX_ENTITY,$B28,BH$11,BH$14,BH$19,),""),IF($I28=3,"",IFBLANK(_xldudf_CX_PUSH(BH28,CX_ENTITY,$B28,BH$11,BH$14,BH$19,),"")))))),"")</f>
        <v/>
      </c>
      <c r="DV28" s="1883" t="str" cm="1">
        <f t="array" ca="1" aca="1" ref="DV28">IFERROR(IF(BI28*fxVal_normal=_BS!BI28,"",IF(OR(BI28="",NOT(ISNUMBER(BI28)),ISERROR(BI28),$B28=""),"",IF($I28=1,IFBLANK(_xldudf_CX_PUSH(BI28*fxVal_normal,CX_ENTITY,$B28,BI$11,BI$14,BI$19,),""),IF($I28=2,IFBLANK(_xldudf_CX_PUSH(BI28,CX_ENTITY,$B28,BI$11,BI$14,BI$19,),""),IF($I28=3,"",IFBLANK(_xldudf_CX_PUSH(BI28,CX_ENTITY,$B28,BI$11,BI$14,BI$19,),"")))))),"")</f>
        <v/>
      </c>
      <c r="DW28" s="1883" t="str" cm="1">
        <f t="array" ca="1" aca="1" ref="DW28">IFERROR(IF(BJ28*fxVal_normal=_BS!BJ28,"",IF(OR(BJ28="",NOT(ISNUMBER(BJ28)),ISERROR(BJ28),$B28=""),"",IF($I28=1,IFBLANK(_xldudf_CX_PUSH(BJ28*fxVal_normal,CX_ENTITY,$B28,BJ$11,BJ$14,BJ$19,),""),IF($I28=2,IFBLANK(_xldudf_CX_PUSH(BJ28,CX_ENTITY,$B28,BJ$11,BJ$14,BJ$19,),""),IF($I28=3,"",IFBLANK(_xldudf_CX_PUSH(BJ28,CX_ENTITY,$B28,BJ$11,BJ$14,BJ$19,),"")))))),"")</f>
        <v/>
      </c>
      <c r="DX28" s="1883" t="str" cm="1">
        <f t="array" ca="1" aca="1" ref="DX28">IFERROR(IF(BK28*fxVal_normal=_BS!BK28,"",IF(OR(BK28="",NOT(ISNUMBER(BK28)),ISERROR(BK28),$B28=""),"",IF($I28=1,IFBLANK(_xldudf_CX_PUSH(BK28*fxVal_normal,CX_ENTITY,$B28,BK$11,BK$14,BK$19,),""),IF($I28=2,IFBLANK(_xldudf_CX_PUSH(BK28,CX_ENTITY,$B28,BK$11,BK$14,BK$19,),""),IF($I28=3,"",IFBLANK(_xldudf_CX_PUSH(BK28,CX_ENTITY,$B28,BK$11,BK$14,BK$19,),"")))))),"")</f>
        <v/>
      </c>
      <c r="DY28" s="1883" t="str" cm="1">
        <f t="array" ca="1" aca="1" ref="DY28">IFERROR(IF(BL28*fxVal_normal=_BS!BL28,"",IF(OR(BL28="",NOT(ISNUMBER(BL28)),ISERROR(BL28),$B28=""),"",IF($I28=1,IFBLANK(_xldudf_CX_PUSH(BL28*fxVal_normal,CX_ENTITY,$B28,BL$11,BL$14,BL$19,),""),IF($I28=2,IFBLANK(_xldudf_CX_PUSH(BL28,CX_ENTITY,$B28,BL$11,BL$14,BL$19,),""),IF($I28=3,"",IFBLANK(_xldudf_CX_PUSH(BL28,CX_ENTITY,$B28,BL$11,BL$14,BL$19,),"")))))),"")</f>
        <v/>
      </c>
      <c r="DZ28" s="1883" t="str" cm="1">
        <f t="array" ca="1" aca="1" ref="DZ28">IFERROR(IF(BM28*fxVal_normal=_BS!BM28,"",IF(OR(BM28="",NOT(ISNUMBER(BM28)),ISERROR(BM28),$B28=""),"",IF($I28=1,IFBLANK(_xldudf_CX_PUSH(BM28*fxVal_normal,CX_ENTITY,$B28,BM$11,BM$14,BM$19,),""),IF($I28=2,IFBLANK(_xldudf_CX_PUSH(BM28,CX_ENTITY,$B28,BM$11,BM$14,BM$19,),""),IF($I28=3,"",IFBLANK(_xldudf_CX_PUSH(BM28,CX_ENTITY,$B28,BM$11,BM$14,BM$19,),"")))))),"")</f>
        <v/>
      </c>
      <c r="EA28" s="1883" t="str" cm="1">
        <f t="array" ca="1" aca="1" ref="EA28">IFERROR(IF(BN28*fxVal_normal=_BS!BN28,"",IF(OR(BN28="",NOT(ISNUMBER(BN28)),ISERROR(BN28),$B28=""),"",IF($I28=1,IFBLANK(_xldudf_CX_PUSH(BN28*fxVal_normal,CX_ENTITY,$B28,BN$11,BN$14,BN$19,),""),IF($I28=2,IFBLANK(_xldudf_CX_PUSH(BN28,CX_ENTITY,$B28,BN$11,BN$14,BN$19,),""),IF($I28=3,"",IFBLANK(_xldudf_CX_PUSH(BN28,CX_ENTITY,$B28,BN$11,BN$14,BN$19,),"")))))),"")</f>
        <v/>
      </c>
    </row>
    <row r="29" spans="1:131" ht="21" customHeight="1">
      <c r="A29" s="1626"/>
      <c r="B29" s="811" t="str" cm="1">
        <f t="array" ref="B29">IFBLANK(_BS!F29,"")</f>
        <v>Other Assets</v>
      </c>
      <c r="C29" s="3346" t="str" cm="1">
        <f t="array" ref="C29">IFBLANK(_BS!C29,"")</f>
        <v>Other Assets (Company View)</v>
      </c>
      <c r="D29" s="1549"/>
      <c r="E29" s="1902" t="e" cm="1">
        <f t="array" ca="1" aca="1" ref="E2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29:$CH29,Z29)</f>
        <v>#NAME?</v>
      </c>
      <c r="F29" s="1897"/>
      <c r="G29" s="1897"/>
      <c r="H29" s="3280">
        <v>1</v>
      </c>
      <c r="I29" s="3280">
        <v>1</v>
      </c>
      <c r="J29" s="401"/>
      <c r="N29" s="158"/>
      <c r="O29" s="101"/>
      <c r="P29" s="52"/>
      <c r="Q29" s="101"/>
      <c r="R29" s="101"/>
      <c r="S29" s="101"/>
      <c r="T29" s="101"/>
      <c r="U29" s="39"/>
      <c r="W29" s="91" t="str">
        <f t="shared" si="1"/>
        <v>Actual</v>
      </c>
      <c r="X29" s="3292">
        <f>_BS!X29</f>
        <v>1</v>
      </c>
      <c r="Y29" s="3183">
        <v>2</v>
      </c>
      <c r="Z29" s="3291" cm="1">
        <f t="array" ref="Z29">_xlfn.SWITCH(TRUE,_BS!$L29=TRUE,1,_BS!$L29=FALSE,-1,_BS!$L29=-1,0,"n/a")</f>
        <v>1</v>
      </c>
      <c r="AA29" s="200"/>
      <c r="AB29" s="3343" t="str">
        <f>_BS!AB29</f>
        <v>Other Assets</v>
      </c>
      <c r="AC29" s="88" t="e" vm="5" cm="1">
        <f t="array" ca="1" aca="1" ref="AC29">_xlfn.LET(_xlpm._termname,$AB29,_xlpm._iconname,"find",_xlpm._icon,fx_getIcon(_xlpm._iconname),_xlpm._location,_xlfn.XLOOKUP(LOWER(_xlpm._termname),LOWER(tbl_acctDef[Term]),tbl_acctDef[Term]),_xlpm._hyperlink,HYPERLINK("#"&amp;CELL("address",_xlpm._location),_xlpm._icon),IFERROR(_xlpm._hyperlink,""))</f>
        <v>#VALUE!</v>
      </c>
      <c r="AD29" s="3229">
        <v>1</v>
      </c>
      <c r="AE29" s="3229">
        <v>1</v>
      </c>
      <c r="AF29" s="3229">
        <v>1</v>
      </c>
      <c r="AG29" s="3229">
        <v>1</v>
      </c>
      <c r="AH29" s="3229">
        <v>1</v>
      </c>
      <c r="AI29" s="3229">
        <v>1</v>
      </c>
      <c r="AJ29" s="3229">
        <v>1</v>
      </c>
      <c r="AK29" s="3229">
        <v>1</v>
      </c>
      <c r="AL29" s="3229">
        <v>1</v>
      </c>
      <c r="AM29" s="3229">
        <v>1</v>
      </c>
      <c r="AN29" s="3229">
        <v>1</v>
      </c>
      <c r="AO29" s="3229">
        <v>1</v>
      </c>
      <c r="AP29" s="3229">
        <v>1</v>
      </c>
      <c r="AQ29" s="3229">
        <v>1</v>
      </c>
      <c r="AR29" s="3229">
        <v>1</v>
      </c>
      <c r="AS29" s="3229">
        <v>1</v>
      </c>
      <c r="AT29" s="3229">
        <v>1</v>
      </c>
      <c r="AU29" s="3229">
        <v>1</v>
      </c>
      <c r="AV29" s="3229">
        <v>1</v>
      </c>
      <c r="AW29" s="3229">
        <v>1</v>
      </c>
      <c r="AX29" s="3229">
        <v>1</v>
      </c>
      <c r="AY29" s="3229">
        <v>1</v>
      </c>
      <c r="AZ29" s="3229">
        <v>1</v>
      </c>
      <c r="BA29" s="3229">
        <v>1</v>
      </c>
      <c r="BB29" s="3229">
        <v>1</v>
      </c>
      <c r="BC29" s="3229">
        <v>1</v>
      </c>
      <c r="BD29" s="3229">
        <v>1</v>
      </c>
      <c r="BE29" s="3229">
        <v>1</v>
      </c>
      <c r="BF29" s="3229">
        <v>1</v>
      </c>
      <c r="BG29" s="3229">
        <v>1</v>
      </c>
      <c r="BH29" s="3229">
        <v>1</v>
      </c>
      <c r="BI29" s="3229">
        <v>1</v>
      </c>
      <c r="BJ29" s="3229">
        <v>1</v>
      </c>
      <c r="BK29" s="3229">
        <v>1</v>
      </c>
      <c r="BL29" s="3229">
        <v>1</v>
      </c>
      <c r="BM29" s="3229">
        <v>1</v>
      </c>
      <c r="BN29" s="3229">
        <v>1</v>
      </c>
      <c r="BO29" s="2095"/>
      <c r="BP29" s="2095"/>
      <c r="BQ29" s="2095"/>
      <c r="BR29" s="2095"/>
      <c r="BS29" s="2095"/>
      <c r="BT29" s="2095"/>
      <c r="BU29" s="2095"/>
      <c r="BV29" s="2095"/>
      <c r="BW29" s="2095"/>
      <c r="BX29" s="2095"/>
      <c r="BY29" s="2095"/>
      <c r="BZ29" s="2095"/>
      <c r="CA29" s="926"/>
      <c r="CB29" s="921"/>
      <c r="CC29" s="927"/>
      <c r="CD29" s="2069" t="e" cm="1">
        <f t="array" ca="1" aca="1" ref="CD29">_xlfn.XLOOKUP(BS!CD$11,array_timeline,BS!$AD29:$BN29)</f>
        <v>#NAME?</v>
      </c>
      <c r="CE29" s="2069" t="e" cm="1">
        <f t="array" ca="1" aca="1" ref="CE29">_xlfn.XLOOKUP(BS!CE$11,array_timeline,BS!$AD29:$BN29)</f>
        <v>#NAME?</v>
      </c>
      <c r="CF29" s="925"/>
      <c r="CG29" s="3342" t="e" cm="1">
        <f t="array" ca="1" aca="1" ref="CG29">TODECIMAL(IFBLANK(_BS!CG29,""),fxVal_normal)</f>
        <v>#NAME?</v>
      </c>
      <c r="CH29" s="3342" t="e" cm="1">
        <f t="array" ca="1" aca="1" ref="CH29">TODECIMAL(IFBLANK(_BS!CH29,""),fxVal_normal)</f>
        <v>#NAME?</v>
      </c>
      <c r="CI29" s="200"/>
      <c r="CK29" s="2085" t="str" cm="1">
        <f t="array" ca="1" aca="1" ref="CK29">IFERROR(IF(Y29&lt;&gt;AB29,_xldudf_CX_PUSH(Y29,CX_ENTITY,C29,EOMONTH(val_asOfDate,0)),""),"")</f>
        <v/>
      </c>
      <c r="CL29" s="2085" t="str" cm="1">
        <f t="array" ca="1" aca="1" ref="CL29">IFERROR(IF(Y29&lt;&gt;AB29,_xldudf_CX_PUSH(Y29,CX_ENTITY,C29,EOMONTH(val_asOfDate,1)),""),"")</f>
        <v/>
      </c>
      <c r="CM29" s="2085" t="str" cm="1">
        <f t="array" ca="1" aca="1" ref="CM29">IFERROR(IF(Y29&lt;&gt;AB29,_xldudf_CX_PUSH(Y29,CX_ENTITY,C29,EOMONTH(val_asOfDate,2)),""),"")</f>
        <v/>
      </c>
      <c r="CN29" s="2085" t="str" cm="1">
        <f t="array" ca="1" aca="1" ref="CN29">IFERROR(IF(Y29&lt;&gt;AB29,_xldudf_CX_PUSH(Y29,CX_ENTITY,C29,EOMONTH(val_asOfDate,3)),""),"")</f>
        <v/>
      </c>
      <c r="CO29" s="2086" t="str" cm="1">
        <f t="array" ca="1" aca="1" ref="CO29">IFERROR(IF(CG29*fxVal_normal=_BS!CG29,"",IF(OR($CG29="",$CG29=0,NOT(ISNUMBER($CG29)),ISERROR($CG29),$B29=""),"",IF($I29=1,IFBLANK(_xldudf_CX_PUSH($CG29*10^6,CX_ENTITY,$B29,$CG$11,$CG$14,$CG$19,),""),IF($I29=2,IFBLANK(_xldudf_CX_PUSH($CG29,CX_ENTITY,$B29,$CG$11,$CG$14,$CG$19,),""),IF($I29=3,"",IFBLANK(_xldudf_CX_PUSH($CG29,CX_ENTITY,$B29,$CG$11,$CG$14,$CG$19,),"")))))),"")</f>
        <v/>
      </c>
      <c r="CP29" s="2086" t="str" cm="1">
        <f t="array" ca="1" aca="1" ref="CP29">IFERROR(IF(CH29*fxVal_normal=_BS!CH29,"",IF(OR($CH29="",$CH29=0,NOT(ISNUMBER($CH29)),ISERROR($CH29),$B29=""),"",IF($I29=1,IFBLANK(_xldudf_CX_PUSH($CH29*10^6,CX_ENTITY,$B29,$CH$11,$CH$14,$CH$19,),""),IF($I29=2,IFBLANK(_xldudf_CX_PUSH($CH29,CX_ENTITY,$B29,$CH$11,$CH$14,$CH$19,),""),IF($I29=3,"",IFBLANK(_xldudf_CX_PUSH($CH29,CX_ENTITY,$B29,$CH$11,$CH$14,$CH$19,),"")))))),"")</f>
        <v/>
      </c>
      <c r="CQ29" s="1883" t="str" cm="1">
        <f t="array" ca="1" aca="1" ref="CQ29">IFERROR(IF(AD29*fxVal_normal=_BS!AD29,"",IF(OR(AD29="",NOT(ISNUMBER(AD29)),ISERROR(AD29),$B29=""),"",IF($I29=1,IFBLANK(_xldudf_CX_PUSH(AD29*fxVal_normal,CX_ENTITY,$B29,AD$11,AD$14,AD$19,),""),IF($I29=2,IFBLANK(_xldudf_CX_PUSH(AD29,CX_ENTITY,$B29,AD$11,AD$14,AD$19,),""),IF($I29=3,"",IFBLANK(_xldudf_CX_PUSH(AD29,CX_ENTITY,$B29,AD$11,AD$14,AD$19,),"")))))),"")</f>
        <v/>
      </c>
      <c r="CR29" s="1883" t="str" cm="1">
        <f t="array" ca="1" aca="1" ref="CR29">IFERROR(IF(AE29*fxVal_normal=_BS!AE29,"",IF(OR(AE29="",NOT(ISNUMBER(AE29)),ISERROR(AE29),$B29=""),"",IF($I29=1,IFBLANK(_xldudf_CX_PUSH(AE29*fxVal_normal,CX_ENTITY,$B29,AE$11,AE$14,AE$19,),""),IF($I29=2,IFBLANK(_xldudf_CX_PUSH(AE29,CX_ENTITY,$B29,AE$11,AE$14,AE$19,),""),IF($I29=3,"",IFBLANK(_xldudf_CX_PUSH(AE29,CX_ENTITY,$B29,AE$11,AE$14,AE$19,),"")))))),"")</f>
        <v/>
      </c>
      <c r="CS29" s="1883" t="str" cm="1">
        <f t="array" ca="1" aca="1" ref="CS29">IFERROR(IF(AF29*fxVal_normal=_BS!AF29,"",IF(OR(AF29="",NOT(ISNUMBER(AF29)),ISERROR(AF29),$B29=""),"",IF($I29=1,IFBLANK(_xldudf_CX_PUSH(AF29*fxVal_normal,CX_ENTITY,$B29,AF$11,AF$14,AF$19,),""),IF($I29=2,IFBLANK(_xldudf_CX_PUSH(AF29,CX_ENTITY,$B29,AF$11,AF$14,AF$19,),""),IF($I29=3,"",IFBLANK(_xldudf_CX_PUSH(AF29,CX_ENTITY,$B29,AF$11,AF$14,AF$19,),"")))))),"")</f>
        <v/>
      </c>
      <c r="CT29" s="1883" t="str" cm="1">
        <f t="array" ca="1" aca="1" ref="CT29">IFERROR(IF(AG29*fxVal_normal=_BS!AG29,"",IF(OR(AG29="",NOT(ISNUMBER(AG29)),ISERROR(AG29),$B29=""),"",IF($I29=1,IFBLANK(_xldudf_CX_PUSH(AG29*fxVal_normal,CX_ENTITY,$B29,AG$11,AG$14,AG$19,),""),IF($I29=2,IFBLANK(_xldudf_CX_PUSH(AG29,CX_ENTITY,$B29,AG$11,AG$14,AG$19,),""),IF($I29=3,"",IFBLANK(_xldudf_CX_PUSH(AG29,CX_ENTITY,$B29,AG$11,AG$14,AG$19,),"")))))),"")</f>
        <v/>
      </c>
      <c r="CU29" s="1883" t="str" cm="1">
        <f t="array" ca="1" aca="1" ref="CU29">IFERROR(IF(AH29*fxVal_normal=_BS!AH29,"",IF(OR(AH29="",NOT(ISNUMBER(AH29)),ISERROR(AH29),$B29=""),"",IF($I29=1,IFBLANK(_xldudf_CX_PUSH(AH29*fxVal_normal,CX_ENTITY,$B29,AH$11,AH$14,AH$19,),""),IF($I29=2,IFBLANK(_xldudf_CX_PUSH(AH29,CX_ENTITY,$B29,AH$11,AH$14,AH$19,),""),IF($I29=3,"",IFBLANK(_xldudf_CX_PUSH(AH29,CX_ENTITY,$B29,AH$11,AH$14,AH$19,),"")))))),"")</f>
        <v/>
      </c>
      <c r="CV29" s="1883" t="str" cm="1">
        <f t="array" ca="1" aca="1" ref="CV29">IFERROR(IF(AI29*fxVal_normal=_BS!AI29,"",IF(OR(AI29="",NOT(ISNUMBER(AI29)),ISERROR(AI29),$B29=""),"",IF($I29=1,IFBLANK(_xldudf_CX_PUSH(AI29*fxVal_normal,CX_ENTITY,$B29,AI$11,AI$14,AI$19,),""),IF($I29=2,IFBLANK(_xldudf_CX_PUSH(AI29,CX_ENTITY,$B29,AI$11,AI$14,AI$19,),""),IF($I29=3,"",IFBLANK(_xldudf_CX_PUSH(AI29,CX_ENTITY,$B29,AI$11,AI$14,AI$19,),"")))))),"")</f>
        <v/>
      </c>
      <c r="CW29" s="1883" t="str" cm="1">
        <f t="array" ca="1" aca="1" ref="CW29">IFERROR(IF(AJ29*fxVal_normal=_BS!AJ29,"",IF(OR(AJ29="",NOT(ISNUMBER(AJ29)),ISERROR(AJ29),$B29=""),"",IF($I29=1,IFBLANK(_xldudf_CX_PUSH(AJ29*fxVal_normal,CX_ENTITY,$B29,AJ$11,AJ$14,AJ$19,),""),IF($I29=2,IFBLANK(_xldudf_CX_PUSH(AJ29,CX_ENTITY,$B29,AJ$11,AJ$14,AJ$19,),""),IF($I29=3,"",IFBLANK(_xldudf_CX_PUSH(AJ29,CX_ENTITY,$B29,AJ$11,AJ$14,AJ$19,),"")))))),"")</f>
        <v/>
      </c>
      <c r="CX29" s="1883" t="str" cm="1">
        <f t="array" ca="1" aca="1" ref="CX29">IFERROR(IF(AK29*fxVal_normal=_BS!AK29,"",IF(OR(AK29="",NOT(ISNUMBER(AK29)),ISERROR(AK29),$B29=""),"",IF($I29=1,IFBLANK(_xldudf_CX_PUSH(AK29*fxVal_normal,CX_ENTITY,$B29,AK$11,AK$14,AK$19,),""),IF($I29=2,IFBLANK(_xldudf_CX_PUSH(AK29,CX_ENTITY,$B29,AK$11,AK$14,AK$19,),""),IF($I29=3,"",IFBLANK(_xldudf_CX_PUSH(AK29,CX_ENTITY,$B29,AK$11,AK$14,AK$19,),"")))))),"")</f>
        <v/>
      </c>
      <c r="CY29" s="1883" t="str" cm="1">
        <f t="array" ca="1" aca="1" ref="CY29">IFERROR(IF(AL29*fxVal_normal=_BS!AL29,"",IF(OR(AL29="",NOT(ISNUMBER(AL29)),ISERROR(AL29),$B29=""),"",IF($I29=1,IFBLANK(_xldudf_CX_PUSH(AL29*fxVal_normal,CX_ENTITY,$B29,AL$11,AL$14,AL$19,),""),IF($I29=2,IFBLANK(_xldudf_CX_PUSH(AL29,CX_ENTITY,$B29,AL$11,AL$14,AL$19,),""),IF($I29=3,"",IFBLANK(_xldudf_CX_PUSH(AL29,CX_ENTITY,$B29,AL$11,AL$14,AL$19,),"")))))),"")</f>
        <v/>
      </c>
      <c r="CZ29" s="1883" t="str" cm="1">
        <f t="array" ca="1" aca="1" ref="CZ29">IFERROR(IF(AM29*fxVal_normal=_BS!AM29,"",IF(OR(AM29="",NOT(ISNUMBER(AM29)),ISERROR(AM29),$B29=""),"",IF($I29=1,IFBLANK(_xldudf_CX_PUSH(AM29*fxVal_normal,CX_ENTITY,$B29,AM$11,AM$14,AM$19,),""),IF($I29=2,IFBLANK(_xldudf_CX_PUSH(AM29,CX_ENTITY,$B29,AM$11,AM$14,AM$19,),""),IF($I29=3,"",IFBLANK(_xldudf_CX_PUSH(AM29,CX_ENTITY,$B29,AM$11,AM$14,AM$19,),"")))))),"")</f>
        <v/>
      </c>
      <c r="DA29" s="1883" t="str" cm="1">
        <f t="array" ca="1" aca="1" ref="DA29">IFERROR(IF(AN29*fxVal_normal=_BS!AN29,"",IF(OR(AN29="",NOT(ISNUMBER(AN29)),ISERROR(AN29),$B29=""),"",IF($I29=1,IFBLANK(_xldudf_CX_PUSH(AN29*fxVal_normal,CX_ENTITY,$B29,AN$11,AN$14,AN$19,),""),IF($I29=2,IFBLANK(_xldudf_CX_PUSH(AN29,CX_ENTITY,$B29,AN$11,AN$14,AN$19,),""),IF($I29=3,"",IFBLANK(_xldudf_CX_PUSH(AN29,CX_ENTITY,$B29,AN$11,AN$14,AN$19,),"")))))),"")</f>
        <v/>
      </c>
      <c r="DB29" s="1883" t="str" cm="1">
        <f t="array" ca="1" aca="1" ref="DB29">IFERROR(IF(AO29*fxVal_normal=_BS!AO29,"",IF(OR(AO29="",NOT(ISNUMBER(AO29)),ISERROR(AO29),$B29=""),"",IF($I29=1,IFBLANK(_xldudf_CX_PUSH(AO29*fxVal_normal,CX_ENTITY,$B29,AO$11,AO$14,AO$19,),""),IF($I29=2,IFBLANK(_xldudf_CX_PUSH(AO29,CX_ENTITY,$B29,AO$11,AO$14,AO$19,),""),IF($I29=3,"",IFBLANK(_xldudf_CX_PUSH(AO29,CX_ENTITY,$B29,AO$11,AO$14,AO$19,),"")))))),"")</f>
        <v/>
      </c>
      <c r="DC29" s="1883" t="str" cm="1">
        <f t="array" ca="1" aca="1" ref="DC29">IFERROR(IF(AP29*fxVal_normal=_BS!AP29,"",IF(OR(AP29="",NOT(ISNUMBER(AP29)),ISERROR(AP29),$B29=""),"",IF($I29=1,IFBLANK(_xldudf_CX_PUSH(AP29*fxVal_normal,CX_ENTITY,$B29,AP$11,AP$14,AP$19,),""),IF($I29=2,IFBLANK(_xldudf_CX_PUSH(AP29,CX_ENTITY,$B29,AP$11,AP$14,AP$19,),""),IF($I29=3,"",IFBLANK(_xldudf_CX_PUSH(AP29,CX_ENTITY,$B29,AP$11,AP$14,AP$19,),"")))))),"")</f>
        <v/>
      </c>
      <c r="DD29" s="1883" t="str" cm="1">
        <f t="array" ca="1" aca="1" ref="DD29">IFERROR(IF(AQ29*fxVal_normal=_BS!AQ29,"",IF(OR(AQ29="",NOT(ISNUMBER(AQ29)),ISERROR(AQ29),$B29=""),"",IF($I29=1,IFBLANK(_xldudf_CX_PUSH(AQ29*fxVal_normal,CX_ENTITY,$B29,AQ$11,AQ$14,AQ$19,),""),IF($I29=2,IFBLANK(_xldudf_CX_PUSH(AQ29,CX_ENTITY,$B29,AQ$11,AQ$14,AQ$19,),""),IF($I29=3,"",IFBLANK(_xldudf_CX_PUSH(AQ29,CX_ENTITY,$B29,AQ$11,AQ$14,AQ$19,),"")))))),"")</f>
        <v/>
      </c>
      <c r="DE29" s="1883" t="str" cm="1">
        <f t="array" ca="1" aca="1" ref="DE29">IFERROR(IF(AR29*fxVal_normal=_BS!AR29,"",IF(OR(AR29="",NOT(ISNUMBER(AR29)),ISERROR(AR29),$B29=""),"",IF($I29=1,IFBLANK(_xldudf_CX_PUSH(AR29*fxVal_normal,CX_ENTITY,$B29,AR$11,AR$14,AR$19,),""),IF($I29=2,IFBLANK(_xldudf_CX_PUSH(AR29,CX_ENTITY,$B29,AR$11,AR$14,AR$19,),""),IF($I29=3,"",IFBLANK(_xldudf_CX_PUSH(AR29,CX_ENTITY,$B29,AR$11,AR$14,AR$19,),"")))))),"")</f>
        <v/>
      </c>
      <c r="DF29" s="1883" t="str" cm="1">
        <f t="array" ca="1" aca="1" ref="DF29">IFERROR(IF(AS29*fxVal_normal=_BS!AS29,"",IF(OR(AS29="",NOT(ISNUMBER(AS29)),ISERROR(AS29),$B29=""),"",IF($I29=1,IFBLANK(_xldudf_CX_PUSH(AS29*fxVal_normal,CX_ENTITY,$B29,AS$11,AS$14,AS$19,),""),IF($I29=2,IFBLANK(_xldudf_CX_PUSH(AS29,CX_ENTITY,$B29,AS$11,AS$14,AS$19,),""),IF($I29=3,"",IFBLANK(_xldudf_CX_PUSH(AS29,CX_ENTITY,$B29,AS$11,AS$14,AS$19,),"")))))),"")</f>
        <v/>
      </c>
      <c r="DG29" s="1883" t="str" cm="1">
        <f t="array" ca="1" aca="1" ref="DG29">IFERROR(IF(AT29*fxVal_normal=_BS!AT29,"",IF(OR(AT29="",NOT(ISNUMBER(AT29)),ISERROR(AT29),$B29=""),"",IF($I29=1,IFBLANK(_xldudf_CX_PUSH(AT29*fxVal_normal,CX_ENTITY,$B29,AT$11,AT$14,AT$19,),""),IF($I29=2,IFBLANK(_xldudf_CX_PUSH(AT29,CX_ENTITY,$B29,AT$11,AT$14,AT$19,),""),IF($I29=3,"",IFBLANK(_xldudf_CX_PUSH(AT29,CX_ENTITY,$B29,AT$11,AT$14,AT$19,),"")))))),"")</f>
        <v/>
      </c>
      <c r="DH29" s="1883" t="str" cm="1">
        <f t="array" ca="1" aca="1" ref="DH29">IFERROR(IF(AU29*fxVal_normal=_BS!AU29,"",IF(OR(AU29="",NOT(ISNUMBER(AU29)),ISERROR(AU29),$B29=""),"",IF($I29=1,IFBLANK(_xldudf_CX_PUSH(AU29*fxVal_normal,CX_ENTITY,$B29,AU$11,AU$14,AU$19,),""),IF($I29=2,IFBLANK(_xldudf_CX_PUSH(AU29,CX_ENTITY,$B29,AU$11,AU$14,AU$19,),""),IF($I29=3,"",IFBLANK(_xldudf_CX_PUSH(AU29,CX_ENTITY,$B29,AU$11,AU$14,AU$19,),"")))))),"")</f>
        <v/>
      </c>
      <c r="DI29" s="1883" t="str" cm="1">
        <f t="array" ca="1" aca="1" ref="DI29">IFERROR(IF(AV29*fxVal_normal=_BS!AV29,"",IF(OR(AV29="",NOT(ISNUMBER(AV29)),ISERROR(AV29),$B29=""),"",IF($I29=1,IFBLANK(_xldudf_CX_PUSH(AV29*fxVal_normal,CX_ENTITY,$B29,AV$11,AV$14,AV$19,),""),IF($I29=2,IFBLANK(_xldudf_CX_PUSH(AV29,CX_ENTITY,$B29,AV$11,AV$14,AV$19,),""),IF($I29=3,"",IFBLANK(_xldudf_CX_PUSH(AV29,CX_ENTITY,$B29,AV$11,AV$14,AV$19,),"")))))),"")</f>
        <v/>
      </c>
      <c r="DJ29" s="1883" t="str" cm="1">
        <f t="array" ca="1" aca="1" ref="DJ29">IFERROR(IF(AW29*fxVal_normal=_BS!AW29,"",IF(OR(AW29="",NOT(ISNUMBER(AW29)),ISERROR(AW29),$B29=""),"",IF($I29=1,IFBLANK(_xldudf_CX_PUSH(AW29*fxVal_normal,CX_ENTITY,$B29,AW$11,AW$14,AW$19,),""),IF($I29=2,IFBLANK(_xldudf_CX_PUSH(AW29,CX_ENTITY,$B29,AW$11,AW$14,AW$19,),""),IF($I29=3,"",IFBLANK(_xldudf_CX_PUSH(AW29,CX_ENTITY,$B29,AW$11,AW$14,AW$19,),"")))))),"")</f>
        <v/>
      </c>
      <c r="DK29" s="1883" t="str" cm="1">
        <f t="array" ca="1" aca="1" ref="DK29">IFERROR(IF(AX29*fxVal_normal=_BS!AX29,"",IF(OR(AX29="",NOT(ISNUMBER(AX29)),ISERROR(AX29),$B29=""),"",IF($I29=1,IFBLANK(_xldudf_CX_PUSH(AX29*fxVal_normal,CX_ENTITY,$B29,AX$11,AX$14,AX$19,),""),IF($I29=2,IFBLANK(_xldudf_CX_PUSH(AX29,CX_ENTITY,$B29,AX$11,AX$14,AX$19,),""),IF($I29=3,"",IFBLANK(_xldudf_CX_PUSH(AX29,CX_ENTITY,$B29,AX$11,AX$14,AX$19,),"")))))),"")</f>
        <v/>
      </c>
      <c r="DL29" s="1883" t="str" cm="1">
        <f t="array" ca="1" aca="1" ref="DL29">IFERROR(IF(AY29*fxVal_normal=_BS!AY29,"",IF(OR(AY29="",NOT(ISNUMBER(AY29)),ISERROR(AY29),$B29=""),"",IF($I29=1,IFBLANK(_xldudf_CX_PUSH(AY29*fxVal_normal,CX_ENTITY,$B29,AY$11,AY$14,AY$19,),""),IF($I29=2,IFBLANK(_xldudf_CX_PUSH(AY29,CX_ENTITY,$B29,AY$11,AY$14,AY$19,),""),IF($I29=3,"",IFBLANK(_xldudf_CX_PUSH(AY29,CX_ENTITY,$B29,AY$11,AY$14,AY$19,),"")))))),"")</f>
        <v/>
      </c>
      <c r="DM29" s="1883" t="str" cm="1">
        <f t="array" ca="1" aca="1" ref="DM29">IFERROR(IF(AZ29*fxVal_normal=_BS!AZ29,"",IF(OR(AZ29="",NOT(ISNUMBER(AZ29)),ISERROR(AZ29),$B29=""),"",IF($I29=1,IFBLANK(_xldudf_CX_PUSH(AZ29*fxVal_normal,CX_ENTITY,$B29,AZ$11,AZ$14,AZ$19,),""),IF($I29=2,IFBLANK(_xldudf_CX_PUSH(AZ29,CX_ENTITY,$B29,AZ$11,AZ$14,AZ$19,),""),IF($I29=3,"",IFBLANK(_xldudf_CX_PUSH(AZ29,CX_ENTITY,$B29,AZ$11,AZ$14,AZ$19,),"")))))),"")</f>
        <v/>
      </c>
      <c r="DN29" s="1883" t="str" cm="1">
        <f t="array" ca="1" aca="1" ref="DN29">IFERROR(IF(BA29*fxVal_normal=_BS!BA29,"",IF(OR(BA29="",NOT(ISNUMBER(BA29)),ISERROR(BA29),$B29=""),"",IF($I29=1,IFBLANK(_xldudf_CX_PUSH(BA29*fxVal_normal,CX_ENTITY,$B29,BA$11,BA$14,BA$19,),""),IF($I29=2,IFBLANK(_xldudf_CX_PUSH(BA29,CX_ENTITY,$B29,BA$11,BA$14,BA$19,),""),IF($I29=3,"",IFBLANK(_xldudf_CX_PUSH(BA29,CX_ENTITY,$B29,BA$11,BA$14,BA$19,),"")))))),"")</f>
        <v/>
      </c>
      <c r="DO29" s="1883" t="str" cm="1">
        <f t="array" ca="1" aca="1" ref="DO29">IFERROR(IF(BB29*fxVal_normal=_BS!BB29,"",IF(OR(BB29="",NOT(ISNUMBER(BB29)),ISERROR(BB29),$B29=""),"",IF($I29=1,IFBLANK(_xldudf_CX_PUSH(BB29*fxVal_normal,CX_ENTITY,$B29,BB$11,BB$14,BB$19,),""),IF($I29=2,IFBLANK(_xldudf_CX_PUSH(BB29,CX_ENTITY,$B29,BB$11,BB$14,BB$19,),""),IF($I29=3,"",IFBLANK(_xldudf_CX_PUSH(BB29,CX_ENTITY,$B29,BB$11,BB$14,BB$19,),"")))))),"")</f>
        <v/>
      </c>
      <c r="DP29" s="1883" t="str" cm="1">
        <f t="array" ca="1" aca="1" ref="DP29">IFERROR(IF(BC29*fxVal_normal=_BS!BC29,"",IF(OR(BC29="",NOT(ISNUMBER(BC29)),ISERROR(BC29),$B29=""),"",IF($I29=1,IFBLANK(_xldudf_CX_PUSH(BC29*fxVal_normal,CX_ENTITY,$B29,BC$11,BC$14,BC$19,),""),IF($I29=2,IFBLANK(_xldudf_CX_PUSH(BC29,CX_ENTITY,$B29,BC$11,BC$14,BC$19,),""),IF($I29=3,"",IFBLANK(_xldudf_CX_PUSH(BC29,CX_ENTITY,$B29,BC$11,BC$14,BC$19,),"")))))),"")</f>
        <v/>
      </c>
      <c r="DQ29" s="1883" t="str" cm="1">
        <f t="array" ca="1" aca="1" ref="DQ29">IFERROR(IF(BD29*fxVal_normal=_BS!BD29,"",IF(OR(BD29="",NOT(ISNUMBER(BD29)),ISERROR(BD29),$B29=""),"",IF($I29=1,IFBLANK(_xldudf_CX_PUSH(BD29*fxVal_normal,CX_ENTITY,$B29,BD$11,BD$14,BD$19,),""),IF($I29=2,IFBLANK(_xldudf_CX_PUSH(BD29,CX_ENTITY,$B29,BD$11,BD$14,BD$19,),""),IF($I29=3,"",IFBLANK(_xldudf_CX_PUSH(BD29,CX_ENTITY,$B29,BD$11,BD$14,BD$19,),"")))))),"")</f>
        <v/>
      </c>
      <c r="DR29" s="1883" t="str" cm="1">
        <f t="array" ca="1" aca="1" ref="DR29">IFERROR(IF(BE29*fxVal_normal=_BS!BE29,"",IF(OR(BE29="",NOT(ISNUMBER(BE29)),ISERROR(BE29),$B29=""),"",IF($I29=1,IFBLANK(_xldudf_CX_PUSH(BE29*fxVal_normal,CX_ENTITY,$B29,BE$11,BE$14,BE$19,),""),IF($I29=2,IFBLANK(_xldudf_CX_PUSH(BE29,CX_ENTITY,$B29,BE$11,BE$14,BE$19,),""),IF($I29=3,"",IFBLANK(_xldudf_CX_PUSH(BE29,CX_ENTITY,$B29,BE$11,BE$14,BE$19,),"")))))),"")</f>
        <v/>
      </c>
      <c r="DS29" s="1883" t="str" cm="1">
        <f t="array" ca="1" aca="1" ref="DS29">IFERROR(IF(BF29*fxVal_normal=_BS!BF29,"",IF(OR(BF29="",NOT(ISNUMBER(BF29)),ISERROR(BF29),$B29=""),"",IF($I29=1,IFBLANK(_xldudf_CX_PUSH(BF29*fxVal_normal,CX_ENTITY,$B29,BF$11,BF$14,BF$19,),""),IF($I29=2,IFBLANK(_xldudf_CX_PUSH(BF29,CX_ENTITY,$B29,BF$11,BF$14,BF$19,),""),IF($I29=3,"",IFBLANK(_xldudf_CX_PUSH(BF29,CX_ENTITY,$B29,BF$11,BF$14,BF$19,),"")))))),"")</f>
        <v/>
      </c>
      <c r="DT29" s="1883" t="str" cm="1">
        <f t="array" ca="1" aca="1" ref="DT29">IFERROR(IF(BG29*fxVal_normal=_BS!BG29,"",IF(OR(BG29="",NOT(ISNUMBER(BG29)),ISERROR(BG29),$B29=""),"",IF($I29=1,IFBLANK(_xldudf_CX_PUSH(BG29*fxVal_normal,CX_ENTITY,$B29,BG$11,BG$14,BG$19,),""),IF($I29=2,IFBLANK(_xldudf_CX_PUSH(BG29,CX_ENTITY,$B29,BG$11,BG$14,BG$19,),""),IF($I29=3,"",IFBLANK(_xldudf_CX_PUSH(BG29,CX_ENTITY,$B29,BG$11,BG$14,BG$19,),"")))))),"")</f>
        <v/>
      </c>
      <c r="DU29" s="1883" t="str" cm="1">
        <f t="array" ca="1" aca="1" ref="DU29">IFERROR(IF(BH29*fxVal_normal=_BS!BH29,"",IF(OR(BH29="",NOT(ISNUMBER(BH29)),ISERROR(BH29),$B29=""),"",IF($I29=1,IFBLANK(_xldudf_CX_PUSH(BH29*fxVal_normal,CX_ENTITY,$B29,BH$11,BH$14,BH$19,),""),IF($I29=2,IFBLANK(_xldudf_CX_PUSH(BH29,CX_ENTITY,$B29,BH$11,BH$14,BH$19,),""),IF($I29=3,"",IFBLANK(_xldudf_CX_PUSH(BH29,CX_ENTITY,$B29,BH$11,BH$14,BH$19,),"")))))),"")</f>
        <v/>
      </c>
      <c r="DV29" s="1883" t="str" cm="1">
        <f t="array" ca="1" aca="1" ref="DV29">IFERROR(IF(BI29*fxVal_normal=_BS!BI29,"",IF(OR(BI29="",NOT(ISNUMBER(BI29)),ISERROR(BI29),$B29=""),"",IF($I29=1,IFBLANK(_xldudf_CX_PUSH(BI29*fxVal_normal,CX_ENTITY,$B29,BI$11,BI$14,BI$19,),""),IF($I29=2,IFBLANK(_xldudf_CX_PUSH(BI29,CX_ENTITY,$B29,BI$11,BI$14,BI$19,),""),IF($I29=3,"",IFBLANK(_xldudf_CX_PUSH(BI29,CX_ENTITY,$B29,BI$11,BI$14,BI$19,),"")))))),"")</f>
        <v/>
      </c>
      <c r="DW29" s="1883" t="str" cm="1">
        <f t="array" ca="1" aca="1" ref="DW29">IFERROR(IF(BJ29*fxVal_normal=_BS!BJ29,"",IF(OR(BJ29="",NOT(ISNUMBER(BJ29)),ISERROR(BJ29),$B29=""),"",IF($I29=1,IFBLANK(_xldudf_CX_PUSH(BJ29*fxVal_normal,CX_ENTITY,$B29,BJ$11,BJ$14,BJ$19,),""),IF($I29=2,IFBLANK(_xldudf_CX_PUSH(BJ29,CX_ENTITY,$B29,BJ$11,BJ$14,BJ$19,),""),IF($I29=3,"",IFBLANK(_xldudf_CX_PUSH(BJ29,CX_ENTITY,$B29,BJ$11,BJ$14,BJ$19,),"")))))),"")</f>
        <v/>
      </c>
      <c r="DX29" s="1883" t="str" cm="1">
        <f t="array" ca="1" aca="1" ref="DX29">IFERROR(IF(BK29*fxVal_normal=_BS!BK29,"",IF(OR(BK29="",NOT(ISNUMBER(BK29)),ISERROR(BK29),$B29=""),"",IF($I29=1,IFBLANK(_xldudf_CX_PUSH(BK29*fxVal_normal,CX_ENTITY,$B29,BK$11,BK$14,BK$19,),""),IF($I29=2,IFBLANK(_xldudf_CX_PUSH(BK29,CX_ENTITY,$B29,BK$11,BK$14,BK$19,),""),IF($I29=3,"",IFBLANK(_xldudf_CX_PUSH(BK29,CX_ENTITY,$B29,BK$11,BK$14,BK$19,),"")))))),"")</f>
        <v/>
      </c>
      <c r="DY29" s="1883" t="str" cm="1">
        <f t="array" ca="1" aca="1" ref="DY29">IFERROR(IF(BL29*fxVal_normal=_BS!BL29,"",IF(OR(BL29="",NOT(ISNUMBER(BL29)),ISERROR(BL29),$B29=""),"",IF($I29=1,IFBLANK(_xldudf_CX_PUSH(BL29*fxVal_normal,CX_ENTITY,$B29,BL$11,BL$14,BL$19,),""),IF($I29=2,IFBLANK(_xldudf_CX_PUSH(BL29,CX_ENTITY,$B29,BL$11,BL$14,BL$19,),""),IF($I29=3,"",IFBLANK(_xldudf_CX_PUSH(BL29,CX_ENTITY,$B29,BL$11,BL$14,BL$19,),"")))))),"")</f>
        <v/>
      </c>
      <c r="DZ29" s="1883" t="str" cm="1">
        <f t="array" ca="1" aca="1" ref="DZ29">IFERROR(IF(BM29*fxVal_normal=_BS!BM29,"",IF(OR(BM29="",NOT(ISNUMBER(BM29)),ISERROR(BM29),$B29=""),"",IF($I29=1,IFBLANK(_xldudf_CX_PUSH(BM29*fxVal_normal,CX_ENTITY,$B29,BM$11,BM$14,BM$19,),""),IF($I29=2,IFBLANK(_xldudf_CX_PUSH(BM29,CX_ENTITY,$B29,BM$11,BM$14,BM$19,),""),IF($I29=3,"",IFBLANK(_xldudf_CX_PUSH(BM29,CX_ENTITY,$B29,BM$11,BM$14,BM$19,),"")))))),"")</f>
        <v/>
      </c>
      <c r="EA29" s="1883" t="str" cm="1">
        <f t="array" ca="1" aca="1" ref="EA29">IFERROR(IF(BN29*fxVal_normal=_BS!BN29,"",IF(OR(BN29="",NOT(ISNUMBER(BN29)),ISERROR(BN29),$B29=""),"",IF($I29=1,IFBLANK(_xldudf_CX_PUSH(BN29*fxVal_normal,CX_ENTITY,$B29,BN$11,BN$14,BN$19,),""),IF($I29=2,IFBLANK(_xldudf_CX_PUSH(BN29,CX_ENTITY,$B29,BN$11,BN$14,BN$19,),""),IF($I29=3,"",IFBLANK(_xldudf_CX_PUSH(BN29,CX_ENTITY,$B29,BN$11,BN$14,BN$19,),"")))))),"")</f>
        <v/>
      </c>
    </row>
    <row r="30" spans="1:131" ht="21" customHeight="1">
      <c r="A30" s="1626"/>
      <c r="B30" s="811" t="str" cm="1">
        <f t="array" ref="B30">IFBLANK(_BS!F30,"")</f>
        <v>Net Capital Employed</v>
      </c>
      <c r="C30" s="3346" t="str" cm="1">
        <f t="array" ref="C30">IFBLANK(_BS!C30,"")</f>
        <v>Net Capital Employed (Company View)</v>
      </c>
      <c r="D30" s="1549"/>
      <c r="E30" s="1902" t="e" cm="1">
        <f t="array" ca="1" aca="1" ref="E3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30:$CH30,Z30)</f>
        <v>#NAME?</v>
      </c>
      <c r="F30" s="1897"/>
      <c r="G30" s="1897"/>
      <c r="H30" s="3280">
        <v>2</v>
      </c>
      <c r="I30" s="3280">
        <v>1</v>
      </c>
      <c r="J30" s="401"/>
      <c r="L30" s="921"/>
      <c r="M30" s="921"/>
      <c r="N30" s="158"/>
      <c r="O30" s="101"/>
      <c r="P30" s="52"/>
      <c r="Q30" s="101"/>
      <c r="R30" s="126"/>
      <c r="S30" s="101"/>
      <c r="T30" s="101"/>
      <c r="U30" s="39"/>
      <c r="V30" s="921"/>
      <c r="W30" s="922" t="str">
        <f t="shared" si="1"/>
        <v>Actual</v>
      </c>
      <c r="X30" s="1294">
        <f>_BS!X30</f>
        <v>0</v>
      </c>
      <c r="Y30" s="3344" t="str">
        <f>_BS!Y30</f>
        <v>Net Capital Employed</v>
      </c>
      <c r="Z30" s="198" cm="1">
        <f t="array" ref="Z30">_xlfn.SWITCH(TRUE,_BS!$L30=TRUE,1,_BS!$L30=FALSE,-1,_BS!$L30=-1,0,"n/a")</f>
        <v>0</v>
      </c>
      <c r="AA30" s="924"/>
      <c r="AB30" s="3345" t="str">
        <f>_BS!AB30</f>
        <v>Net Capital Employed</v>
      </c>
      <c r="AC30" s="88" t="str" cm="1">
        <f t="array" ca="1" aca="1" ref="AC30">_xlfn.LET(_xlpm._termname,$AB30,_xlpm._iconname,"find",_xlpm._icon,fx_getIcon(_xlpm._iconname),_xlpm._location,_xlfn.XLOOKUP(LOWER(_xlpm._termname),LOWER(tbl_acctDef[Term]),tbl_acctDef[Term]),_xlpm._hyperlink,HYPERLINK("#"&amp;CELL("address",_xlpm._location),_xlpm._icon),IFERROR(_xlpm._hyperlink,""))</f>
        <v/>
      </c>
      <c r="AD30" s="919">
        <f>SUBTOTAL(9,AD20:AD29)</f>
        <v>8</v>
      </c>
      <c r="AE30" s="919">
        <f t="shared" si="4" ref="AE30:BN30">SUBTOTAL(9,AE20:AE29)</f>
        <v>8</v>
      </c>
      <c r="AF30" s="919">
        <f t="shared" si="4"/>
        <v>8</v>
      </c>
      <c r="AG30" s="919">
        <f t="shared" si="4"/>
        <v>8</v>
      </c>
      <c r="AH30" s="919">
        <f t="shared" si="4"/>
        <v>8</v>
      </c>
      <c r="AI30" s="919">
        <f t="shared" si="4"/>
        <v>8</v>
      </c>
      <c r="AJ30" s="919">
        <f t="shared" si="4"/>
        <v>8</v>
      </c>
      <c r="AK30" s="919">
        <f t="shared" si="4"/>
        <v>8</v>
      </c>
      <c r="AL30" s="919">
        <f t="shared" si="4"/>
        <v>8</v>
      </c>
      <c r="AM30" s="919">
        <f t="shared" si="4"/>
        <v>8</v>
      </c>
      <c r="AN30" s="919">
        <f t="shared" si="4"/>
        <v>8</v>
      </c>
      <c r="AO30" s="919">
        <f t="shared" si="4"/>
        <v>8</v>
      </c>
      <c r="AP30" s="919">
        <f t="shared" si="4"/>
        <v>8</v>
      </c>
      <c r="AQ30" s="919">
        <f t="shared" si="4"/>
        <v>8</v>
      </c>
      <c r="AR30" s="919">
        <f t="shared" si="4"/>
        <v>8</v>
      </c>
      <c r="AS30" s="919">
        <f t="shared" si="4"/>
        <v>8</v>
      </c>
      <c r="AT30" s="919">
        <f t="shared" si="4"/>
        <v>8</v>
      </c>
      <c r="AU30" s="919">
        <f t="shared" si="4"/>
        <v>8</v>
      </c>
      <c r="AV30" s="919">
        <f t="shared" si="4"/>
        <v>8</v>
      </c>
      <c r="AW30" s="919">
        <f t="shared" si="4"/>
        <v>8</v>
      </c>
      <c r="AX30" s="919">
        <f t="shared" si="4"/>
        <v>8</v>
      </c>
      <c r="AY30" s="919">
        <f t="shared" si="4"/>
        <v>8</v>
      </c>
      <c r="AZ30" s="919">
        <f t="shared" si="4"/>
        <v>8</v>
      </c>
      <c r="BA30" s="919">
        <f t="shared" si="4"/>
        <v>8</v>
      </c>
      <c r="BB30" s="919">
        <f t="shared" si="4"/>
        <v>8</v>
      </c>
      <c r="BC30" s="919">
        <f t="shared" si="4"/>
        <v>8</v>
      </c>
      <c r="BD30" s="919">
        <f t="shared" si="4"/>
        <v>8</v>
      </c>
      <c r="BE30" s="919">
        <f t="shared" si="4"/>
        <v>8</v>
      </c>
      <c r="BF30" s="919">
        <f t="shared" si="4"/>
        <v>8</v>
      </c>
      <c r="BG30" s="919">
        <f t="shared" si="4"/>
        <v>8</v>
      </c>
      <c r="BH30" s="919">
        <f t="shared" si="4"/>
        <v>8</v>
      </c>
      <c r="BI30" s="919">
        <f t="shared" si="4"/>
        <v>8</v>
      </c>
      <c r="BJ30" s="919">
        <f t="shared" si="4"/>
        <v>8</v>
      </c>
      <c r="BK30" s="919">
        <f t="shared" si="4"/>
        <v>8</v>
      </c>
      <c r="BL30" s="919">
        <f t="shared" si="4"/>
        <v>8</v>
      </c>
      <c r="BM30" s="919">
        <f t="shared" si="4"/>
        <v>8</v>
      </c>
      <c r="BN30" s="919">
        <f t="shared" si="4"/>
        <v>8</v>
      </c>
      <c r="BO30" s="2117"/>
      <c r="BP30" s="2117"/>
      <c r="BQ30" s="2117"/>
      <c r="BR30" s="2117"/>
      <c r="BS30" s="2117"/>
      <c r="BT30" s="2117"/>
      <c r="BU30" s="2117"/>
      <c r="BV30" s="2117"/>
      <c r="BW30" s="2117"/>
      <c r="BX30" s="2117"/>
      <c r="BY30" s="2117"/>
      <c r="BZ30" s="2117"/>
      <c r="CA30" s="926"/>
      <c r="CB30" s="921"/>
      <c r="CC30" s="927"/>
      <c r="CD30" s="919" t="e" cm="1">
        <f t="array" ca="1" aca="1" ref="CD30">_xlfn.XLOOKUP(BS!CD$11,array_timeline,BS!$AD30:$BN30)</f>
        <v>#NAME?</v>
      </c>
      <c r="CE30" s="919" t="e" cm="1">
        <f t="array" ca="1" aca="1" ref="CE30">_xlfn.XLOOKUP(BS!CE$11,array_timeline,BS!$AD30:$BN30)</f>
        <v>#NAME?</v>
      </c>
      <c r="CF30" s="925"/>
      <c r="CG30" s="919" t="e">
        <f ca="1">SUBTOTAL(9,CG20:CG29)</f>
        <v>#NAME?</v>
      </c>
      <c r="CH30" s="919" t="e">
        <f ca="1">SUBTOTAL(9,CH20:CH29)</f>
        <v>#NAME?</v>
      </c>
      <c r="CI30" s="924"/>
      <c r="CK30" s="2085" t="str" cm="1">
        <f t="array" ref="CK30">IFERROR(IF(Y30&lt;&gt;AB30,_xldudf_CX_PUSH(Y30,CX_ENTITY,C30,EOMONTH(val_asOfDate,0)),""),"")</f>
        <v/>
      </c>
      <c r="CL30" s="2085" t="str" cm="1">
        <f t="array" ref="CL30">IFERROR(IF(Y30&lt;&gt;AB30,_xldudf_CX_PUSH(Y30,CX_ENTITY,C30,EOMONTH(val_asOfDate,1)),""),"")</f>
        <v/>
      </c>
      <c r="CM30" s="2085" t="str" cm="1">
        <f t="array" ref="CM30">IFERROR(IF(Y30&lt;&gt;AB30,_xldudf_CX_PUSH(Y30,CX_ENTITY,C30,EOMONTH(val_asOfDate,2)),""),"")</f>
        <v/>
      </c>
      <c r="CN30" s="2085" t="str" cm="1">
        <f t="array" ref="CN30">IFERROR(IF(Y30&lt;&gt;AB30,_xldudf_CX_PUSH(Y30,CX_ENTITY,C30,EOMONTH(val_asOfDate,3)),""),"")</f>
        <v/>
      </c>
      <c r="CO30" s="2086" t="str" cm="1">
        <f t="array" ca="1" aca="1" ref="CO30">IFERROR(IF(CG30*fxVal_normal=_BS!CG30,"",IF(OR($CG30="",$CG30=0,NOT(ISNUMBER($CG30)),ISERROR($CG30),$B30=""),"",IF($I30=1,IFBLANK(_xldudf_CX_PUSH($CG30*10^6,CX_ENTITY,$B30,$CG$11,$CG$14,$CG$19,),""),IF($I30=2,IFBLANK(_xldudf_CX_PUSH($CG30,CX_ENTITY,$B30,$CG$11,$CG$14,$CG$19,),""),IF($I30=3,"",IFBLANK(_xldudf_CX_PUSH($CG30,CX_ENTITY,$B30,$CG$11,$CG$14,$CG$19,),"")))))),"")</f>
        <v/>
      </c>
      <c r="CP30" s="2086" t="str" cm="1">
        <f t="array" ca="1" aca="1" ref="CP30">IFERROR(IF(CH30*fxVal_normal=_BS!CH30,"",IF(OR($CH30="",$CH30=0,NOT(ISNUMBER($CH30)),ISERROR($CH30),$B30=""),"",IF($I30=1,IFBLANK(_xldudf_CX_PUSH($CH30*10^6,CX_ENTITY,$B30,$CH$11,$CH$14,$CH$19,),""),IF($I30=2,IFBLANK(_xldudf_CX_PUSH($CH30,CX_ENTITY,$B30,$CH$11,$CH$14,$CH$19,),""),IF($I30=3,"",IFBLANK(_xldudf_CX_PUSH($CH30,CX_ENTITY,$B30,$CH$11,$CH$14,$CH$19,),"")))))),"")</f>
        <v/>
      </c>
      <c r="CQ30" s="1883" t="str" cm="1">
        <f t="array" ca="1" aca="1" ref="CQ30">IFERROR(IF(AD30*fxVal_normal=_BS!AD30,"",IF(OR(AD30="",NOT(ISNUMBER(AD30)),ISERROR(AD30),$B30=""),"",IF($I30=1,IFBLANK(_xldudf_CX_PUSH(AD30*fxVal_normal,CX_ENTITY,$B30,AD$11,AD$14,AD$19,),""),IF($I30=2,IFBLANK(_xldudf_CX_PUSH(AD30,CX_ENTITY,$B30,AD$11,AD$14,AD$19,),""),IF($I30=3,"",IFBLANK(_xldudf_CX_PUSH(AD30,CX_ENTITY,$B30,AD$11,AD$14,AD$19,),"")))))),"")</f>
        <v/>
      </c>
      <c r="CR30" s="1883" t="str" cm="1">
        <f t="array" ca="1" aca="1" ref="CR30">IFERROR(IF(AE30*fxVal_normal=_BS!AE30,"",IF(OR(AE30="",NOT(ISNUMBER(AE30)),ISERROR(AE30),$B30=""),"",IF($I30=1,IFBLANK(_xldudf_CX_PUSH(AE30*fxVal_normal,CX_ENTITY,$B30,AE$11,AE$14,AE$19,),""),IF($I30=2,IFBLANK(_xldudf_CX_PUSH(AE30,CX_ENTITY,$B30,AE$11,AE$14,AE$19,),""),IF($I30=3,"",IFBLANK(_xldudf_CX_PUSH(AE30,CX_ENTITY,$B30,AE$11,AE$14,AE$19,),"")))))),"")</f>
        <v/>
      </c>
      <c r="CS30" s="1883" t="str" cm="1">
        <f t="array" ca="1" aca="1" ref="CS30">IFERROR(IF(AF30*fxVal_normal=_BS!AF30,"",IF(OR(AF30="",NOT(ISNUMBER(AF30)),ISERROR(AF30),$B30=""),"",IF($I30=1,IFBLANK(_xldudf_CX_PUSH(AF30*fxVal_normal,CX_ENTITY,$B30,AF$11,AF$14,AF$19,),""),IF($I30=2,IFBLANK(_xldudf_CX_PUSH(AF30,CX_ENTITY,$B30,AF$11,AF$14,AF$19,),""),IF($I30=3,"",IFBLANK(_xldudf_CX_PUSH(AF30,CX_ENTITY,$B30,AF$11,AF$14,AF$19,),"")))))),"")</f>
        <v/>
      </c>
      <c r="CT30" s="1883" t="str" cm="1">
        <f t="array" ca="1" aca="1" ref="CT30">IFERROR(IF(AG30*fxVal_normal=_BS!AG30,"",IF(OR(AG30="",NOT(ISNUMBER(AG30)),ISERROR(AG30),$B30=""),"",IF($I30=1,IFBLANK(_xldudf_CX_PUSH(AG30*fxVal_normal,CX_ENTITY,$B30,AG$11,AG$14,AG$19,),""),IF($I30=2,IFBLANK(_xldudf_CX_PUSH(AG30,CX_ENTITY,$B30,AG$11,AG$14,AG$19,),""),IF($I30=3,"",IFBLANK(_xldudf_CX_PUSH(AG30,CX_ENTITY,$B30,AG$11,AG$14,AG$19,),"")))))),"")</f>
        <v/>
      </c>
      <c r="CU30" s="1883" t="str" cm="1">
        <f t="array" ca="1" aca="1" ref="CU30">IFERROR(IF(AH30*fxVal_normal=_BS!AH30,"",IF(OR(AH30="",NOT(ISNUMBER(AH30)),ISERROR(AH30),$B30=""),"",IF($I30=1,IFBLANK(_xldudf_CX_PUSH(AH30*fxVal_normal,CX_ENTITY,$B30,AH$11,AH$14,AH$19,),""),IF($I30=2,IFBLANK(_xldudf_CX_PUSH(AH30,CX_ENTITY,$B30,AH$11,AH$14,AH$19,),""),IF($I30=3,"",IFBLANK(_xldudf_CX_PUSH(AH30,CX_ENTITY,$B30,AH$11,AH$14,AH$19,),"")))))),"")</f>
        <v/>
      </c>
      <c r="CV30" s="1883" t="str" cm="1">
        <f t="array" ca="1" aca="1" ref="CV30">IFERROR(IF(AI30*fxVal_normal=_BS!AI30,"",IF(OR(AI30="",NOT(ISNUMBER(AI30)),ISERROR(AI30),$B30=""),"",IF($I30=1,IFBLANK(_xldudf_CX_PUSH(AI30*fxVal_normal,CX_ENTITY,$B30,AI$11,AI$14,AI$19,),""),IF($I30=2,IFBLANK(_xldudf_CX_PUSH(AI30,CX_ENTITY,$B30,AI$11,AI$14,AI$19,),""),IF($I30=3,"",IFBLANK(_xldudf_CX_PUSH(AI30,CX_ENTITY,$B30,AI$11,AI$14,AI$19,),"")))))),"")</f>
        <v/>
      </c>
      <c r="CW30" s="1883" t="str" cm="1">
        <f t="array" ca="1" aca="1" ref="CW30">IFERROR(IF(AJ30*fxVal_normal=_BS!AJ30,"",IF(OR(AJ30="",NOT(ISNUMBER(AJ30)),ISERROR(AJ30),$B30=""),"",IF($I30=1,IFBLANK(_xldudf_CX_PUSH(AJ30*fxVal_normal,CX_ENTITY,$B30,AJ$11,AJ$14,AJ$19,),""),IF($I30=2,IFBLANK(_xldudf_CX_PUSH(AJ30,CX_ENTITY,$B30,AJ$11,AJ$14,AJ$19,),""),IF($I30=3,"",IFBLANK(_xldudf_CX_PUSH(AJ30,CX_ENTITY,$B30,AJ$11,AJ$14,AJ$19,),"")))))),"")</f>
        <v/>
      </c>
      <c r="CX30" s="1883" t="str" cm="1">
        <f t="array" ca="1" aca="1" ref="CX30">IFERROR(IF(AK30*fxVal_normal=_BS!AK30,"",IF(OR(AK30="",NOT(ISNUMBER(AK30)),ISERROR(AK30),$B30=""),"",IF($I30=1,IFBLANK(_xldudf_CX_PUSH(AK30*fxVal_normal,CX_ENTITY,$B30,AK$11,AK$14,AK$19,),""),IF($I30=2,IFBLANK(_xldudf_CX_PUSH(AK30,CX_ENTITY,$B30,AK$11,AK$14,AK$19,),""),IF($I30=3,"",IFBLANK(_xldudf_CX_PUSH(AK30,CX_ENTITY,$B30,AK$11,AK$14,AK$19,),"")))))),"")</f>
        <v/>
      </c>
      <c r="CY30" s="1883" t="str" cm="1">
        <f t="array" ca="1" aca="1" ref="CY30">IFERROR(IF(AL30*fxVal_normal=_BS!AL30,"",IF(OR(AL30="",NOT(ISNUMBER(AL30)),ISERROR(AL30),$B30=""),"",IF($I30=1,IFBLANK(_xldudf_CX_PUSH(AL30*fxVal_normal,CX_ENTITY,$B30,AL$11,AL$14,AL$19,),""),IF($I30=2,IFBLANK(_xldudf_CX_PUSH(AL30,CX_ENTITY,$B30,AL$11,AL$14,AL$19,),""),IF($I30=3,"",IFBLANK(_xldudf_CX_PUSH(AL30,CX_ENTITY,$B30,AL$11,AL$14,AL$19,),"")))))),"")</f>
        <v/>
      </c>
      <c r="CZ30" s="1883" t="str" cm="1">
        <f t="array" ca="1" aca="1" ref="CZ30">IFERROR(IF(AM30*fxVal_normal=_BS!AM30,"",IF(OR(AM30="",NOT(ISNUMBER(AM30)),ISERROR(AM30),$B30=""),"",IF($I30=1,IFBLANK(_xldudf_CX_PUSH(AM30*fxVal_normal,CX_ENTITY,$B30,AM$11,AM$14,AM$19,),""),IF($I30=2,IFBLANK(_xldudf_CX_PUSH(AM30,CX_ENTITY,$B30,AM$11,AM$14,AM$19,),""),IF($I30=3,"",IFBLANK(_xldudf_CX_PUSH(AM30,CX_ENTITY,$B30,AM$11,AM$14,AM$19,),"")))))),"")</f>
        <v/>
      </c>
      <c r="DA30" s="1883" t="str" cm="1">
        <f t="array" ca="1" aca="1" ref="DA30">IFERROR(IF(AN30*fxVal_normal=_BS!AN30,"",IF(OR(AN30="",NOT(ISNUMBER(AN30)),ISERROR(AN30),$B30=""),"",IF($I30=1,IFBLANK(_xldudf_CX_PUSH(AN30*fxVal_normal,CX_ENTITY,$B30,AN$11,AN$14,AN$19,),""),IF($I30=2,IFBLANK(_xldudf_CX_PUSH(AN30,CX_ENTITY,$B30,AN$11,AN$14,AN$19,),""),IF($I30=3,"",IFBLANK(_xldudf_CX_PUSH(AN30,CX_ENTITY,$B30,AN$11,AN$14,AN$19,),"")))))),"")</f>
        <v/>
      </c>
      <c r="DB30" s="1883" t="str" cm="1">
        <f t="array" ca="1" aca="1" ref="DB30">IFERROR(IF(AO30*fxVal_normal=_BS!AO30,"",IF(OR(AO30="",NOT(ISNUMBER(AO30)),ISERROR(AO30),$B30=""),"",IF($I30=1,IFBLANK(_xldudf_CX_PUSH(AO30*fxVal_normal,CX_ENTITY,$B30,AO$11,AO$14,AO$19,),""),IF($I30=2,IFBLANK(_xldudf_CX_PUSH(AO30,CX_ENTITY,$B30,AO$11,AO$14,AO$19,),""),IF($I30=3,"",IFBLANK(_xldudf_CX_PUSH(AO30,CX_ENTITY,$B30,AO$11,AO$14,AO$19,),"")))))),"")</f>
        <v/>
      </c>
      <c r="DC30" s="1883" t="str" cm="1">
        <f t="array" ca="1" aca="1" ref="DC30">IFERROR(IF(AP30*fxVal_normal=_BS!AP30,"",IF(OR(AP30="",NOT(ISNUMBER(AP30)),ISERROR(AP30),$B30=""),"",IF($I30=1,IFBLANK(_xldudf_CX_PUSH(AP30*fxVal_normal,CX_ENTITY,$B30,AP$11,AP$14,AP$19,),""),IF($I30=2,IFBLANK(_xldudf_CX_PUSH(AP30,CX_ENTITY,$B30,AP$11,AP$14,AP$19,),""),IF($I30=3,"",IFBLANK(_xldudf_CX_PUSH(AP30,CX_ENTITY,$B30,AP$11,AP$14,AP$19,),"")))))),"")</f>
        <v/>
      </c>
      <c r="DD30" s="1883" t="str" cm="1">
        <f t="array" ca="1" aca="1" ref="DD30">IFERROR(IF(AQ30*fxVal_normal=_BS!AQ30,"",IF(OR(AQ30="",NOT(ISNUMBER(AQ30)),ISERROR(AQ30),$B30=""),"",IF($I30=1,IFBLANK(_xldudf_CX_PUSH(AQ30*fxVal_normal,CX_ENTITY,$B30,AQ$11,AQ$14,AQ$19,),""),IF($I30=2,IFBLANK(_xldudf_CX_PUSH(AQ30,CX_ENTITY,$B30,AQ$11,AQ$14,AQ$19,),""),IF($I30=3,"",IFBLANK(_xldudf_CX_PUSH(AQ30,CX_ENTITY,$B30,AQ$11,AQ$14,AQ$19,),"")))))),"")</f>
        <v/>
      </c>
      <c r="DE30" s="1883" t="str" cm="1">
        <f t="array" ca="1" aca="1" ref="DE30">IFERROR(IF(AR30*fxVal_normal=_BS!AR30,"",IF(OR(AR30="",NOT(ISNUMBER(AR30)),ISERROR(AR30),$B30=""),"",IF($I30=1,IFBLANK(_xldudf_CX_PUSH(AR30*fxVal_normal,CX_ENTITY,$B30,AR$11,AR$14,AR$19,),""),IF($I30=2,IFBLANK(_xldudf_CX_PUSH(AR30,CX_ENTITY,$B30,AR$11,AR$14,AR$19,),""),IF($I30=3,"",IFBLANK(_xldudf_CX_PUSH(AR30,CX_ENTITY,$B30,AR$11,AR$14,AR$19,),"")))))),"")</f>
        <v/>
      </c>
      <c r="DF30" s="1883" t="str" cm="1">
        <f t="array" ca="1" aca="1" ref="DF30">IFERROR(IF(AS30*fxVal_normal=_BS!AS30,"",IF(OR(AS30="",NOT(ISNUMBER(AS30)),ISERROR(AS30),$B30=""),"",IF($I30=1,IFBLANK(_xldudf_CX_PUSH(AS30*fxVal_normal,CX_ENTITY,$B30,AS$11,AS$14,AS$19,),""),IF($I30=2,IFBLANK(_xldudf_CX_PUSH(AS30,CX_ENTITY,$B30,AS$11,AS$14,AS$19,),""),IF($I30=3,"",IFBLANK(_xldudf_CX_PUSH(AS30,CX_ENTITY,$B30,AS$11,AS$14,AS$19,),"")))))),"")</f>
        <v/>
      </c>
      <c r="DG30" s="1883" t="str" cm="1">
        <f t="array" ca="1" aca="1" ref="DG30">IFERROR(IF(AT30*fxVal_normal=_BS!AT30,"",IF(OR(AT30="",NOT(ISNUMBER(AT30)),ISERROR(AT30),$B30=""),"",IF($I30=1,IFBLANK(_xldudf_CX_PUSH(AT30*fxVal_normal,CX_ENTITY,$B30,AT$11,AT$14,AT$19,),""),IF($I30=2,IFBLANK(_xldudf_CX_PUSH(AT30,CX_ENTITY,$B30,AT$11,AT$14,AT$19,),""),IF($I30=3,"",IFBLANK(_xldudf_CX_PUSH(AT30,CX_ENTITY,$B30,AT$11,AT$14,AT$19,),"")))))),"")</f>
        <v/>
      </c>
      <c r="DH30" s="1883" t="str" cm="1">
        <f t="array" ca="1" aca="1" ref="DH30">IFERROR(IF(AU30*fxVal_normal=_BS!AU30,"",IF(OR(AU30="",NOT(ISNUMBER(AU30)),ISERROR(AU30),$B30=""),"",IF($I30=1,IFBLANK(_xldudf_CX_PUSH(AU30*fxVal_normal,CX_ENTITY,$B30,AU$11,AU$14,AU$19,),""),IF($I30=2,IFBLANK(_xldudf_CX_PUSH(AU30,CX_ENTITY,$B30,AU$11,AU$14,AU$19,),""),IF($I30=3,"",IFBLANK(_xldudf_CX_PUSH(AU30,CX_ENTITY,$B30,AU$11,AU$14,AU$19,),"")))))),"")</f>
        <v/>
      </c>
      <c r="DI30" s="1883" t="str" cm="1">
        <f t="array" ca="1" aca="1" ref="DI30">IFERROR(IF(AV30*fxVal_normal=_BS!AV30,"",IF(OR(AV30="",NOT(ISNUMBER(AV30)),ISERROR(AV30),$B30=""),"",IF($I30=1,IFBLANK(_xldudf_CX_PUSH(AV30*fxVal_normal,CX_ENTITY,$B30,AV$11,AV$14,AV$19,),""),IF($I30=2,IFBLANK(_xldudf_CX_PUSH(AV30,CX_ENTITY,$B30,AV$11,AV$14,AV$19,),""),IF($I30=3,"",IFBLANK(_xldudf_CX_PUSH(AV30,CX_ENTITY,$B30,AV$11,AV$14,AV$19,),"")))))),"")</f>
        <v/>
      </c>
      <c r="DJ30" s="1883" t="str" cm="1">
        <f t="array" ca="1" aca="1" ref="DJ30">IFERROR(IF(AW30*fxVal_normal=_BS!AW30,"",IF(OR(AW30="",NOT(ISNUMBER(AW30)),ISERROR(AW30),$B30=""),"",IF($I30=1,IFBLANK(_xldudf_CX_PUSH(AW30*fxVal_normal,CX_ENTITY,$B30,AW$11,AW$14,AW$19,),""),IF($I30=2,IFBLANK(_xldudf_CX_PUSH(AW30,CX_ENTITY,$B30,AW$11,AW$14,AW$19,),""),IF($I30=3,"",IFBLANK(_xldudf_CX_PUSH(AW30,CX_ENTITY,$B30,AW$11,AW$14,AW$19,),"")))))),"")</f>
        <v/>
      </c>
      <c r="DK30" s="1883" t="str" cm="1">
        <f t="array" ca="1" aca="1" ref="DK30">IFERROR(IF(AX30*fxVal_normal=_BS!AX30,"",IF(OR(AX30="",NOT(ISNUMBER(AX30)),ISERROR(AX30),$B30=""),"",IF($I30=1,IFBLANK(_xldudf_CX_PUSH(AX30*fxVal_normal,CX_ENTITY,$B30,AX$11,AX$14,AX$19,),""),IF($I30=2,IFBLANK(_xldudf_CX_PUSH(AX30,CX_ENTITY,$B30,AX$11,AX$14,AX$19,),""),IF($I30=3,"",IFBLANK(_xldudf_CX_PUSH(AX30,CX_ENTITY,$B30,AX$11,AX$14,AX$19,),"")))))),"")</f>
        <v/>
      </c>
      <c r="DL30" s="1883" t="str" cm="1">
        <f t="array" ca="1" aca="1" ref="DL30">IFERROR(IF(AY30*fxVal_normal=_BS!AY30,"",IF(OR(AY30="",NOT(ISNUMBER(AY30)),ISERROR(AY30),$B30=""),"",IF($I30=1,IFBLANK(_xldudf_CX_PUSH(AY30*fxVal_normal,CX_ENTITY,$B30,AY$11,AY$14,AY$19,),""),IF($I30=2,IFBLANK(_xldudf_CX_PUSH(AY30,CX_ENTITY,$B30,AY$11,AY$14,AY$19,),""),IF($I30=3,"",IFBLANK(_xldudf_CX_PUSH(AY30,CX_ENTITY,$B30,AY$11,AY$14,AY$19,),"")))))),"")</f>
        <v/>
      </c>
      <c r="DM30" s="1883" t="str" cm="1">
        <f t="array" ca="1" aca="1" ref="DM30">IFERROR(IF(AZ30*fxVal_normal=_BS!AZ30,"",IF(OR(AZ30="",NOT(ISNUMBER(AZ30)),ISERROR(AZ30),$B30=""),"",IF($I30=1,IFBLANK(_xldudf_CX_PUSH(AZ30*fxVal_normal,CX_ENTITY,$B30,AZ$11,AZ$14,AZ$19,),""),IF($I30=2,IFBLANK(_xldudf_CX_PUSH(AZ30,CX_ENTITY,$B30,AZ$11,AZ$14,AZ$19,),""),IF($I30=3,"",IFBLANK(_xldudf_CX_PUSH(AZ30,CX_ENTITY,$B30,AZ$11,AZ$14,AZ$19,),"")))))),"")</f>
        <v/>
      </c>
      <c r="DN30" s="1883" t="str" cm="1">
        <f t="array" ca="1" aca="1" ref="DN30">IFERROR(IF(BA30*fxVal_normal=_BS!BA30,"",IF(OR(BA30="",NOT(ISNUMBER(BA30)),ISERROR(BA30),$B30=""),"",IF($I30=1,IFBLANK(_xldudf_CX_PUSH(BA30*fxVal_normal,CX_ENTITY,$B30,BA$11,BA$14,BA$19,),""),IF($I30=2,IFBLANK(_xldudf_CX_PUSH(BA30,CX_ENTITY,$B30,BA$11,BA$14,BA$19,),""),IF($I30=3,"",IFBLANK(_xldudf_CX_PUSH(BA30,CX_ENTITY,$B30,BA$11,BA$14,BA$19,),"")))))),"")</f>
        <v/>
      </c>
      <c r="DO30" s="1883" t="str" cm="1">
        <f t="array" ca="1" aca="1" ref="DO30">IFERROR(IF(BB30*fxVal_normal=_BS!BB30,"",IF(OR(BB30="",NOT(ISNUMBER(BB30)),ISERROR(BB30),$B30=""),"",IF($I30=1,IFBLANK(_xldudf_CX_PUSH(BB30*fxVal_normal,CX_ENTITY,$B30,BB$11,BB$14,BB$19,),""),IF($I30=2,IFBLANK(_xldudf_CX_PUSH(BB30,CX_ENTITY,$B30,BB$11,BB$14,BB$19,),""),IF($I30=3,"",IFBLANK(_xldudf_CX_PUSH(BB30,CX_ENTITY,$B30,BB$11,BB$14,BB$19,),"")))))),"")</f>
        <v/>
      </c>
      <c r="DP30" s="1883" t="str" cm="1">
        <f t="array" ca="1" aca="1" ref="DP30">IFERROR(IF(BC30*fxVal_normal=_BS!BC30,"",IF(OR(BC30="",NOT(ISNUMBER(BC30)),ISERROR(BC30),$B30=""),"",IF($I30=1,IFBLANK(_xldudf_CX_PUSH(BC30*fxVal_normal,CX_ENTITY,$B30,BC$11,BC$14,BC$19,),""),IF($I30=2,IFBLANK(_xldudf_CX_PUSH(BC30,CX_ENTITY,$B30,BC$11,BC$14,BC$19,),""),IF($I30=3,"",IFBLANK(_xldudf_CX_PUSH(BC30,CX_ENTITY,$B30,BC$11,BC$14,BC$19,),"")))))),"")</f>
        <v/>
      </c>
      <c r="DQ30" s="1883" t="str" cm="1">
        <f t="array" ca="1" aca="1" ref="DQ30">IFERROR(IF(BD30*fxVal_normal=_BS!BD30,"",IF(OR(BD30="",NOT(ISNUMBER(BD30)),ISERROR(BD30),$B30=""),"",IF($I30=1,IFBLANK(_xldudf_CX_PUSH(BD30*fxVal_normal,CX_ENTITY,$B30,BD$11,BD$14,BD$19,),""),IF($I30=2,IFBLANK(_xldudf_CX_PUSH(BD30,CX_ENTITY,$B30,BD$11,BD$14,BD$19,),""),IF($I30=3,"",IFBLANK(_xldudf_CX_PUSH(BD30,CX_ENTITY,$B30,BD$11,BD$14,BD$19,),"")))))),"")</f>
        <v/>
      </c>
      <c r="DR30" s="1883" t="str" cm="1">
        <f t="array" ca="1" aca="1" ref="DR30">IFERROR(IF(BE30*fxVal_normal=_BS!BE30,"",IF(OR(BE30="",NOT(ISNUMBER(BE30)),ISERROR(BE30),$B30=""),"",IF($I30=1,IFBLANK(_xldudf_CX_PUSH(BE30*fxVal_normal,CX_ENTITY,$B30,BE$11,BE$14,BE$19,),""),IF($I30=2,IFBLANK(_xldudf_CX_PUSH(BE30,CX_ENTITY,$B30,BE$11,BE$14,BE$19,),""),IF($I30=3,"",IFBLANK(_xldudf_CX_PUSH(BE30,CX_ENTITY,$B30,BE$11,BE$14,BE$19,),"")))))),"")</f>
        <v/>
      </c>
      <c r="DS30" s="1883" t="str" cm="1">
        <f t="array" ca="1" aca="1" ref="DS30">IFERROR(IF(BF30*fxVal_normal=_BS!BF30,"",IF(OR(BF30="",NOT(ISNUMBER(BF30)),ISERROR(BF30),$B30=""),"",IF($I30=1,IFBLANK(_xldudf_CX_PUSH(BF30*fxVal_normal,CX_ENTITY,$B30,BF$11,BF$14,BF$19,),""),IF($I30=2,IFBLANK(_xldudf_CX_PUSH(BF30,CX_ENTITY,$B30,BF$11,BF$14,BF$19,),""),IF($I30=3,"",IFBLANK(_xldudf_CX_PUSH(BF30,CX_ENTITY,$B30,BF$11,BF$14,BF$19,),"")))))),"")</f>
        <v/>
      </c>
      <c r="DT30" s="1883" t="str" cm="1">
        <f t="array" ca="1" aca="1" ref="DT30">IFERROR(IF(BG30*fxVal_normal=_BS!BG30,"",IF(OR(BG30="",NOT(ISNUMBER(BG30)),ISERROR(BG30),$B30=""),"",IF($I30=1,IFBLANK(_xldudf_CX_PUSH(BG30*fxVal_normal,CX_ENTITY,$B30,BG$11,BG$14,BG$19,),""),IF($I30=2,IFBLANK(_xldudf_CX_PUSH(BG30,CX_ENTITY,$B30,BG$11,BG$14,BG$19,),""),IF($I30=3,"",IFBLANK(_xldudf_CX_PUSH(BG30,CX_ENTITY,$B30,BG$11,BG$14,BG$19,),"")))))),"")</f>
        <v/>
      </c>
      <c r="DU30" s="1883" t="str" cm="1">
        <f t="array" ca="1" aca="1" ref="DU30">IFERROR(IF(BH30*fxVal_normal=_BS!BH30,"",IF(OR(BH30="",NOT(ISNUMBER(BH30)),ISERROR(BH30),$B30=""),"",IF($I30=1,IFBLANK(_xldudf_CX_PUSH(BH30*fxVal_normal,CX_ENTITY,$B30,BH$11,BH$14,BH$19,),""),IF($I30=2,IFBLANK(_xldudf_CX_PUSH(BH30,CX_ENTITY,$B30,BH$11,BH$14,BH$19,),""),IF($I30=3,"",IFBLANK(_xldudf_CX_PUSH(BH30,CX_ENTITY,$B30,BH$11,BH$14,BH$19,),"")))))),"")</f>
        <v/>
      </c>
      <c r="DV30" s="1883" t="str" cm="1">
        <f t="array" ca="1" aca="1" ref="DV30">IFERROR(IF(BI30*fxVal_normal=_BS!BI30,"",IF(OR(BI30="",NOT(ISNUMBER(BI30)),ISERROR(BI30),$B30=""),"",IF($I30=1,IFBLANK(_xldudf_CX_PUSH(BI30*fxVal_normal,CX_ENTITY,$B30,BI$11,BI$14,BI$19,),""),IF($I30=2,IFBLANK(_xldudf_CX_PUSH(BI30,CX_ENTITY,$B30,BI$11,BI$14,BI$19,),""),IF($I30=3,"",IFBLANK(_xldudf_CX_PUSH(BI30,CX_ENTITY,$B30,BI$11,BI$14,BI$19,),"")))))),"")</f>
        <v/>
      </c>
      <c r="DW30" s="1883" t="str" cm="1">
        <f t="array" ca="1" aca="1" ref="DW30">IFERROR(IF(BJ30*fxVal_normal=_BS!BJ30,"",IF(OR(BJ30="",NOT(ISNUMBER(BJ30)),ISERROR(BJ30),$B30=""),"",IF($I30=1,IFBLANK(_xldudf_CX_PUSH(BJ30*fxVal_normal,CX_ENTITY,$B30,BJ$11,BJ$14,BJ$19,),""),IF($I30=2,IFBLANK(_xldudf_CX_PUSH(BJ30,CX_ENTITY,$B30,BJ$11,BJ$14,BJ$19,),""),IF($I30=3,"",IFBLANK(_xldudf_CX_PUSH(BJ30,CX_ENTITY,$B30,BJ$11,BJ$14,BJ$19,),"")))))),"")</f>
        <v/>
      </c>
      <c r="DX30" s="1883" t="str" cm="1">
        <f t="array" ca="1" aca="1" ref="DX30">IFERROR(IF(BK30*fxVal_normal=_BS!BK30,"",IF(OR(BK30="",NOT(ISNUMBER(BK30)),ISERROR(BK30),$B30=""),"",IF($I30=1,IFBLANK(_xldudf_CX_PUSH(BK30*fxVal_normal,CX_ENTITY,$B30,BK$11,BK$14,BK$19,),""),IF($I30=2,IFBLANK(_xldudf_CX_PUSH(BK30,CX_ENTITY,$B30,BK$11,BK$14,BK$19,),""),IF($I30=3,"",IFBLANK(_xldudf_CX_PUSH(BK30,CX_ENTITY,$B30,BK$11,BK$14,BK$19,),"")))))),"")</f>
        <v/>
      </c>
      <c r="DY30" s="1883" t="str" cm="1">
        <f t="array" ca="1" aca="1" ref="DY30">IFERROR(IF(BL30*fxVal_normal=_BS!BL30,"",IF(OR(BL30="",NOT(ISNUMBER(BL30)),ISERROR(BL30),$B30=""),"",IF($I30=1,IFBLANK(_xldudf_CX_PUSH(BL30*fxVal_normal,CX_ENTITY,$B30,BL$11,BL$14,BL$19,),""),IF($I30=2,IFBLANK(_xldudf_CX_PUSH(BL30,CX_ENTITY,$B30,BL$11,BL$14,BL$19,),""),IF($I30=3,"",IFBLANK(_xldudf_CX_PUSH(BL30,CX_ENTITY,$B30,BL$11,BL$14,BL$19,),"")))))),"")</f>
        <v/>
      </c>
      <c r="DZ30" s="1883" t="str" cm="1">
        <f t="array" ca="1" aca="1" ref="DZ30">IFERROR(IF(BM30*fxVal_normal=_BS!BM30,"",IF(OR(BM30="",NOT(ISNUMBER(BM30)),ISERROR(BM30),$B30=""),"",IF($I30=1,IFBLANK(_xldudf_CX_PUSH(BM30*fxVal_normal,CX_ENTITY,$B30,BM$11,BM$14,BM$19,),""),IF($I30=2,IFBLANK(_xldudf_CX_PUSH(BM30,CX_ENTITY,$B30,BM$11,BM$14,BM$19,),""),IF($I30=3,"",IFBLANK(_xldudf_CX_PUSH(BM30,CX_ENTITY,$B30,BM$11,BM$14,BM$19,),"")))))),"")</f>
        <v/>
      </c>
      <c r="EA30" s="1883" t="str" cm="1">
        <f t="array" ca="1" aca="1" ref="EA30">IFERROR(IF(BN30*fxVal_normal=_BS!BN30,"",IF(OR(BN30="",NOT(ISNUMBER(BN30)),ISERROR(BN30),$B30=""),"",IF($I30=1,IFBLANK(_xldudf_CX_PUSH(BN30*fxVal_normal,CX_ENTITY,$B30,BN$11,BN$14,BN$19,),""),IF($I30=2,IFBLANK(_xldudf_CX_PUSH(BN30,CX_ENTITY,$B30,BN$11,BN$14,BN$19,),""),IF($I30=3,"",IFBLANK(_xldudf_CX_PUSH(BN30,CX_ENTITY,$B30,BN$11,BN$14,BN$19,),"")))))),"")</f>
        <v/>
      </c>
    </row>
    <row r="31" spans="1:131" ht="21" customHeight="1">
      <c r="A31" s="1626"/>
      <c r="B31" s="811" t="str" cm="1">
        <f t="array" ref="B31">IFBLANK(_BS!F31,"")</f>
        <v>Senior Instrument(s) Amortising</v>
      </c>
      <c r="C31" s="3346" t="str" cm="1">
        <f t="array" ref="C31">IFBLANK(_BS!C31,"")</f>
        <v>Senior Instrument(S) Amortising (Company View)</v>
      </c>
      <c r="D31" s="1549"/>
      <c r="E31" s="1902" t="e" cm="1">
        <f t="array" ca="1" aca="1" ref="E3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31:$CH31,Z31)</f>
        <v>#NAME?</v>
      </c>
      <c r="F31" s="1897"/>
      <c r="G31" s="1897"/>
      <c r="H31" s="3280">
        <v>1</v>
      </c>
      <c r="I31" s="3280">
        <v>1</v>
      </c>
      <c r="J31" s="401"/>
      <c r="N31" s="158"/>
      <c r="O31" s="101"/>
      <c r="P31" s="52"/>
      <c r="Q31" s="101"/>
      <c r="R31" s="101"/>
      <c r="S31" s="101"/>
      <c r="T31" s="101"/>
      <c r="U31" s="39"/>
      <c r="W31" s="91" t="str">
        <f t="shared" si="1"/>
        <v>Actual</v>
      </c>
      <c r="X31" s="857">
        <f>_BS!X31</f>
        <v>-1</v>
      </c>
      <c r="Y31" s="3183">
        <v>2</v>
      </c>
      <c r="Z31" s="3291" cm="1">
        <f t="array" ref="Z31">_xlfn.SWITCH(TRUE,_BS!$L31=TRUE,1,_BS!$L31=FALSE,-1,_BS!$L31=-1,0,"n/a")</f>
        <v>1</v>
      </c>
      <c r="AA31" s="200"/>
      <c r="AB31" s="3343" t="str">
        <f>_BS!AB31</f>
        <v>Senior instrument(s) amortising: e.g. Term Loan A</v>
      </c>
      <c r="AC31" s="88" t="str" cm="1">
        <f t="array" ca="1" aca="1" ref="AC31">_xlfn.LET(_xlpm._termname,$AB31,_xlpm._iconname,"find",_xlpm._icon,fx_getIcon(_xlpm._iconname),_xlpm._location,_xlfn.XLOOKUP(LOWER(_xlpm._termname),LOWER(tbl_acctDef[Term]),tbl_acctDef[Term]),_xlpm._hyperlink,HYPERLINK("#"&amp;CELL("address",_xlpm._location),_xlpm._icon),IFERROR(_xlpm._hyperlink,""))</f>
        <v/>
      </c>
      <c r="AD31" s="3229">
        <v>1</v>
      </c>
      <c r="AE31" s="3229">
        <v>1</v>
      </c>
      <c r="AF31" s="3229">
        <v>1</v>
      </c>
      <c r="AG31" s="3229">
        <v>1</v>
      </c>
      <c r="AH31" s="3229">
        <v>1</v>
      </c>
      <c r="AI31" s="3229">
        <v>1</v>
      </c>
      <c r="AJ31" s="3229">
        <v>1</v>
      </c>
      <c r="AK31" s="3229">
        <v>1</v>
      </c>
      <c r="AL31" s="3229">
        <v>1</v>
      </c>
      <c r="AM31" s="3229">
        <v>1</v>
      </c>
      <c r="AN31" s="3229">
        <v>1</v>
      </c>
      <c r="AO31" s="3229">
        <v>1</v>
      </c>
      <c r="AP31" s="3229">
        <v>1</v>
      </c>
      <c r="AQ31" s="3229">
        <v>1</v>
      </c>
      <c r="AR31" s="3229">
        <v>1</v>
      </c>
      <c r="AS31" s="3229">
        <v>1</v>
      </c>
      <c r="AT31" s="3229">
        <v>1</v>
      </c>
      <c r="AU31" s="3229">
        <v>1</v>
      </c>
      <c r="AV31" s="3229">
        <v>1</v>
      </c>
      <c r="AW31" s="3229">
        <v>1</v>
      </c>
      <c r="AX31" s="3229">
        <v>1</v>
      </c>
      <c r="AY31" s="3229">
        <v>1</v>
      </c>
      <c r="AZ31" s="3229">
        <v>1</v>
      </c>
      <c r="BA31" s="3229">
        <v>1</v>
      </c>
      <c r="BB31" s="3229">
        <v>1</v>
      </c>
      <c r="BC31" s="3229">
        <v>1</v>
      </c>
      <c r="BD31" s="3229">
        <v>1</v>
      </c>
      <c r="BE31" s="3229">
        <v>1</v>
      </c>
      <c r="BF31" s="3229">
        <v>1</v>
      </c>
      <c r="BG31" s="3229">
        <v>1</v>
      </c>
      <c r="BH31" s="3229">
        <v>1</v>
      </c>
      <c r="BI31" s="3229">
        <v>1</v>
      </c>
      <c r="BJ31" s="3229">
        <v>1</v>
      </c>
      <c r="BK31" s="3229">
        <v>1</v>
      </c>
      <c r="BL31" s="3229">
        <v>1</v>
      </c>
      <c r="BM31" s="3229">
        <v>1</v>
      </c>
      <c r="BN31" s="3229">
        <v>1</v>
      </c>
      <c r="BO31" s="2095"/>
      <c r="BP31" s="2095"/>
      <c r="BQ31" s="2095"/>
      <c r="BR31" s="2095"/>
      <c r="BS31" s="2095"/>
      <c r="BT31" s="2095"/>
      <c r="BU31" s="2095"/>
      <c r="BV31" s="2095"/>
      <c r="BW31" s="2095"/>
      <c r="BX31" s="2095"/>
      <c r="BY31" s="2095"/>
      <c r="BZ31" s="2095"/>
      <c r="CA31" s="926"/>
      <c r="CB31" s="921"/>
      <c r="CC31" s="927"/>
      <c r="CD31" s="2069" t="e" cm="1">
        <f t="array" ca="1" aca="1" ref="CD31">_xlfn.XLOOKUP(BS!CD$11,array_timeline,BS!$AD31:$BN31)</f>
        <v>#NAME?</v>
      </c>
      <c r="CE31" s="2069" t="e" cm="1">
        <f t="array" ca="1" aca="1" ref="CE31">_xlfn.XLOOKUP(BS!CE$11,array_timeline,BS!$AD31:$BN31)</f>
        <v>#NAME?</v>
      </c>
      <c r="CF31" s="925"/>
      <c r="CG31" s="3342" t="e" cm="1">
        <f t="array" ca="1" aca="1" ref="CG31">TODECIMAL(IFBLANK(_BS!CG31,""),fxVal_normal)</f>
        <v>#NAME?</v>
      </c>
      <c r="CH31" s="3342" t="e" cm="1">
        <f t="array" ca="1" aca="1" ref="CH31">TODECIMAL(IFBLANK(_BS!CH31,""),fxVal_normal)</f>
        <v>#NAME?</v>
      </c>
      <c r="CI31" s="200"/>
      <c r="CK31" s="2085" t="str" cm="1">
        <f t="array" ca="1" aca="1" ref="CK31">IFERROR(IF(Y31&lt;&gt;AB31,_xldudf_CX_PUSH(Y31,CX_ENTITY,C31,EOMONTH(val_asOfDate,0)),""),"")</f>
        <v/>
      </c>
      <c r="CL31" s="2085" t="str" cm="1">
        <f t="array" ca="1" aca="1" ref="CL31">IFERROR(IF(Y31&lt;&gt;AB31,_xldudf_CX_PUSH(Y31,CX_ENTITY,C31,EOMONTH(val_asOfDate,1)),""),"")</f>
        <v/>
      </c>
      <c r="CM31" s="2085" t="str" cm="1">
        <f t="array" ca="1" aca="1" ref="CM31">IFERROR(IF(Y31&lt;&gt;AB31,_xldudf_CX_PUSH(Y31,CX_ENTITY,C31,EOMONTH(val_asOfDate,2)),""),"")</f>
        <v/>
      </c>
      <c r="CN31" s="2085" t="str" cm="1">
        <f t="array" ca="1" aca="1" ref="CN31">IFERROR(IF(Y31&lt;&gt;AB31,_xldudf_CX_PUSH(Y31,CX_ENTITY,C31,EOMONTH(val_asOfDate,3)),""),"")</f>
        <v/>
      </c>
      <c r="CO31" s="2086" t="str" cm="1">
        <f t="array" ca="1" aca="1" ref="CO31">IFERROR(IF(CG31*fxVal_normal=_BS!CG31,"",IF(OR($CG31="",$CG31=0,NOT(ISNUMBER($CG31)),ISERROR($CG31),$B31=""),"",IF($I31=1,IFBLANK(_xldudf_CX_PUSH($CG31*10^6,CX_ENTITY,$B31,$CG$11,$CG$14,$CG$19,),""),IF($I31=2,IFBLANK(_xldudf_CX_PUSH($CG31,CX_ENTITY,$B31,$CG$11,$CG$14,$CG$19,),""),IF($I31=3,"",IFBLANK(_xldudf_CX_PUSH($CG31,CX_ENTITY,$B31,$CG$11,$CG$14,$CG$19,),"")))))),"")</f>
        <v/>
      </c>
      <c r="CP31" s="2086" t="str" cm="1">
        <f t="array" ca="1" aca="1" ref="CP31">IFERROR(IF(CH31*fxVal_normal=_BS!CH31,"",IF(OR($CH31="",$CH31=0,NOT(ISNUMBER($CH31)),ISERROR($CH31),$B31=""),"",IF($I31=1,IFBLANK(_xldudf_CX_PUSH($CH31*10^6,CX_ENTITY,$B31,$CH$11,$CH$14,$CH$19,),""),IF($I31=2,IFBLANK(_xldudf_CX_PUSH($CH31,CX_ENTITY,$B31,$CH$11,$CH$14,$CH$19,),""),IF($I31=3,"",IFBLANK(_xldudf_CX_PUSH($CH31,CX_ENTITY,$B31,$CH$11,$CH$14,$CH$19,),"")))))),"")</f>
        <v/>
      </c>
      <c r="CQ31" s="1883" t="str" cm="1">
        <f t="array" ca="1" aca="1" ref="CQ31">IFERROR(IF(AD31*fxVal_normal=_BS!AD31,"",IF(OR(AD31="",NOT(ISNUMBER(AD31)),ISERROR(AD31),$B31=""),"",IF($I31=1,IFBLANK(_xldudf_CX_PUSH(AD31*fxVal_normal,CX_ENTITY,$B31,AD$11,AD$14,AD$19,),""),IF($I31=2,IFBLANK(_xldudf_CX_PUSH(AD31,CX_ENTITY,$B31,AD$11,AD$14,AD$19,),""),IF($I31=3,"",IFBLANK(_xldudf_CX_PUSH(AD31,CX_ENTITY,$B31,AD$11,AD$14,AD$19,),"")))))),"")</f>
        <v/>
      </c>
      <c r="CR31" s="1883" t="str" cm="1">
        <f t="array" ca="1" aca="1" ref="CR31">IFERROR(IF(AE31*fxVal_normal=_BS!AE31,"",IF(OR(AE31="",NOT(ISNUMBER(AE31)),ISERROR(AE31),$B31=""),"",IF($I31=1,IFBLANK(_xldudf_CX_PUSH(AE31*fxVal_normal,CX_ENTITY,$B31,AE$11,AE$14,AE$19,),""),IF($I31=2,IFBLANK(_xldudf_CX_PUSH(AE31,CX_ENTITY,$B31,AE$11,AE$14,AE$19,),""),IF($I31=3,"",IFBLANK(_xldudf_CX_PUSH(AE31,CX_ENTITY,$B31,AE$11,AE$14,AE$19,),"")))))),"")</f>
        <v/>
      </c>
      <c r="CS31" s="1883" t="str" cm="1">
        <f t="array" ca="1" aca="1" ref="CS31">IFERROR(IF(AF31*fxVal_normal=_BS!AF31,"",IF(OR(AF31="",NOT(ISNUMBER(AF31)),ISERROR(AF31),$B31=""),"",IF($I31=1,IFBLANK(_xldudf_CX_PUSH(AF31*fxVal_normal,CX_ENTITY,$B31,AF$11,AF$14,AF$19,),""),IF($I31=2,IFBLANK(_xldudf_CX_PUSH(AF31,CX_ENTITY,$B31,AF$11,AF$14,AF$19,),""),IF($I31=3,"",IFBLANK(_xldudf_CX_PUSH(AF31,CX_ENTITY,$B31,AF$11,AF$14,AF$19,),"")))))),"")</f>
        <v/>
      </c>
      <c r="CT31" s="1883" t="str" cm="1">
        <f t="array" ca="1" aca="1" ref="CT31">IFERROR(IF(AG31*fxVal_normal=_BS!AG31,"",IF(OR(AG31="",NOT(ISNUMBER(AG31)),ISERROR(AG31),$B31=""),"",IF($I31=1,IFBLANK(_xldudf_CX_PUSH(AG31*fxVal_normal,CX_ENTITY,$B31,AG$11,AG$14,AG$19,),""),IF($I31=2,IFBLANK(_xldudf_CX_PUSH(AG31,CX_ENTITY,$B31,AG$11,AG$14,AG$19,),""),IF($I31=3,"",IFBLANK(_xldudf_CX_PUSH(AG31,CX_ENTITY,$B31,AG$11,AG$14,AG$19,),"")))))),"")</f>
        <v/>
      </c>
      <c r="CU31" s="1883" t="str" cm="1">
        <f t="array" ca="1" aca="1" ref="CU31">IFERROR(IF(AH31*fxVal_normal=_BS!AH31,"",IF(OR(AH31="",NOT(ISNUMBER(AH31)),ISERROR(AH31),$B31=""),"",IF($I31=1,IFBLANK(_xldudf_CX_PUSH(AH31*fxVal_normal,CX_ENTITY,$B31,AH$11,AH$14,AH$19,),""),IF($I31=2,IFBLANK(_xldudf_CX_PUSH(AH31,CX_ENTITY,$B31,AH$11,AH$14,AH$19,),""),IF($I31=3,"",IFBLANK(_xldudf_CX_PUSH(AH31,CX_ENTITY,$B31,AH$11,AH$14,AH$19,),"")))))),"")</f>
        <v/>
      </c>
      <c r="CV31" s="1883" t="str" cm="1">
        <f t="array" ca="1" aca="1" ref="CV31">IFERROR(IF(AI31*fxVal_normal=_BS!AI31,"",IF(OR(AI31="",NOT(ISNUMBER(AI31)),ISERROR(AI31),$B31=""),"",IF($I31=1,IFBLANK(_xldudf_CX_PUSH(AI31*fxVal_normal,CX_ENTITY,$B31,AI$11,AI$14,AI$19,),""),IF($I31=2,IFBLANK(_xldudf_CX_PUSH(AI31,CX_ENTITY,$B31,AI$11,AI$14,AI$19,),""),IF($I31=3,"",IFBLANK(_xldudf_CX_PUSH(AI31,CX_ENTITY,$B31,AI$11,AI$14,AI$19,),"")))))),"")</f>
        <v/>
      </c>
      <c r="CW31" s="1883" t="str" cm="1">
        <f t="array" ca="1" aca="1" ref="CW31">IFERROR(IF(AJ31*fxVal_normal=_BS!AJ31,"",IF(OR(AJ31="",NOT(ISNUMBER(AJ31)),ISERROR(AJ31),$B31=""),"",IF($I31=1,IFBLANK(_xldudf_CX_PUSH(AJ31*fxVal_normal,CX_ENTITY,$B31,AJ$11,AJ$14,AJ$19,),""),IF($I31=2,IFBLANK(_xldudf_CX_PUSH(AJ31,CX_ENTITY,$B31,AJ$11,AJ$14,AJ$19,),""),IF($I31=3,"",IFBLANK(_xldudf_CX_PUSH(AJ31,CX_ENTITY,$B31,AJ$11,AJ$14,AJ$19,),"")))))),"")</f>
        <v/>
      </c>
      <c r="CX31" s="1883" t="str" cm="1">
        <f t="array" ca="1" aca="1" ref="CX31">IFERROR(IF(AK31*fxVal_normal=_BS!AK31,"",IF(OR(AK31="",NOT(ISNUMBER(AK31)),ISERROR(AK31),$B31=""),"",IF($I31=1,IFBLANK(_xldudf_CX_PUSH(AK31*fxVal_normal,CX_ENTITY,$B31,AK$11,AK$14,AK$19,),""),IF($I31=2,IFBLANK(_xldudf_CX_PUSH(AK31,CX_ENTITY,$B31,AK$11,AK$14,AK$19,),""),IF($I31=3,"",IFBLANK(_xldudf_CX_PUSH(AK31,CX_ENTITY,$B31,AK$11,AK$14,AK$19,),"")))))),"")</f>
        <v/>
      </c>
      <c r="CY31" s="1883" t="str" cm="1">
        <f t="array" ca="1" aca="1" ref="CY31">IFERROR(IF(AL31*fxVal_normal=_BS!AL31,"",IF(OR(AL31="",NOT(ISNUMBER(AL31)),ISERROR(AL31),$B31=""),"",IF($I31=1,IFBLANK(_xldudf_CX_PUSH(AL31*fxVal_normal,CX_ENTITY,$B31,AL$11,AL$14,AL$19,),""),IF($I31=2,IFBLANK(_xldudf_CX_PUSH(AL31,CX_ENTITY,$B31,AL$11,AL$14,AL$19,),""),IF($I31=3,"",IFBLANK(_xldudf_CX_PUSH(AL31,CX_ENTITY,$B31,AL$11,AL$14,AL$19,),"")))))),"")</f>
        <v/>
      </c>
      <c r="CZ31" s="1883" t="str" cm="1">
        <f t="array" ca="1" aca="1" ref="CZ31">IFERROR(IF(AM31*fxVal_normal=_BS!AM31,"",IF(OR(AM31="",NOT(ISNUMBER(AM31)),ISERROR(AM31),$B31=""),"",IF($I31=1,IFBLANK(_xldudf_CX_PUSH(AM31*fxVal_normal,CX_ENTITY,$B31,AM$11,AM$14,AM$19,),""),IF($I31=2,IFBLANK(_xldudf_CX_PUSH(AM31,CX_ENTITY,$B31,AM$11,AM$14,AM$19,),""),IF($I31=3,"",IFBLANK(_xldudf_CX_PUSH(AM31,CX_ENTITY,$B31,AM$11,AM$14,AM$19,),"")))))),"")</f>
        <v/>
      </c>
      <c r="DA31" s="1883" t="str" cm="1">
        <f t="array" ca="1" aca="1" ref="DA31">IFERROR(IF(AN31*fxVal_normal=_BS!AN31,"",IF(OR(AN31="",NOT(ISNUMBER(AN31)),ISERROR(AN31),$B31=""),"",IF($I31=1,IFBLANK(_xldudf_CX_PUSH(AN31*fxVal_normal,CX_ENTITY,$B31,AN$11,AN$14,AN$19,),""),IF($I31=2,IFBLANK(_xldudf_CX_PUSH(AN31,CX_ENTITY,$B31,AN$11,AN$14,AN$19,),""),IF($I31=3,"",IFBLANK(_xldudf_CX_PUSH(AN31,CX_ENTITY,$B31,AN$11,AN$14,AN$19,),"")))))),"")</f>
        <v/>
      </c>
      <c r="DB31" s="1883" t="str" cm="1">
        <f t="array" ca="1" aca="1" ref="DB31">IFERROR(IF(AO31*fxVal_normal=_BS!AO31,"",IF(OR(AO31="",NOT(ISNUMBER(AO31)),ISERROR(AO31),$B31=""),"",IF($I31=1,IFBLANK(_xldudf_CX_PUSH(AO31*fxVal_normal,CX_ENTITY,$B31,AO$11,AO$14,AO$19,),""),IF($I31=2,IFBLANK(_xldudf_CX_PUSH(AO31,CX_ENTITY,$B31,AO$11,AO$14,AO$19,),""),IF($I31=3,"",IFBLANK(_xldudf_CX_PUSH(AO31,CX_ENTITY,$B31,AO$11,AO$14,AO$19,),"")))))),"")</f>
        <v/>
      </c>
      <c r="DC31" s="1883" t="str" cm="1">
        <f t="array" ca="1" aca="1" ref="DC31">IFERROR(IF(AP31*fxVal_normal=_BS!AP31,"",IF(OR(AP31="",NOT(ISNUMBER(AP31)),ISERROR(AP31),$B31=""),"",IF($I31=1,IFBLANK(_xldudf_CX_PUSH(AP31*fxVal_normal,CX_ENTITY,$B31,AP$11,AP$14,AP$19,),""),IF($I31=2,IFBLANK(_xldudf_CX_PUSH(AP31,CX_ENTITY,$B31,AP$11,AP$14,AP$19,),""),IF($I31=3,"",IFBLANK(_xldudf_CX_PUSH(AP31,CX_ENTITY,$B31,AP$11,AP$14,AP$19,),"")))))),"")</f>
        <v/>
      </c>
      <c r="DD31" s="1883" t="str" cm="1">
        <f t="array" ca="1" aca="1" ref="DD31">IFERROR(IF(AQ31*fxVal_normal=_BS!AQ31,"",IF(OR(AQ31="",NOT(ISNUMBER(AQ31)),ISERROR(AQ31),$B31=""),"",IF($I31=1,IFBLANK(_xldudf_CX_PUSH(AQ31*fxVal_normal,CX_ENTITY,$B31,AQ$11,AQ$14,AQ$19,),""),IF($I31=2,IFBLANK(_xldudf_CX_PUSH(AQ31,CX_ENTITY,$B31,AQ$11,AQ$14,AQ$19,),""),IF($I31=3,"",IFBLANK(_xldudf_CX_PUSH(AQ31,CX_ENTITY,$B31,AQ$11,AQ$14,AQ$19,),"")))))),"")</f>
        <v/>
      </c>
      <c r="DE31" s="1883" t="str" cm="1">
        <f t="array" ca="1" aca="1" ref="DE31">IFERROR(IF(AR31*fxVal_normal=_BS!AR31,"",IF(OR(AR31="",NOT(ISNUMBER(AR31)),ISERROR(AR31),$B31=""),"",IF($I31=1,IFBLANK(_xldudf_CX_PUSH(AR31*fxVal_normal,CX_ENTITY,$B31,AR$11,AR$14,AR$19,),""),IF($I31=2,IFBLANK(_xldudf_CX_PUSH(AR31,CX_ENTITY,$B31,AR$11,AR$14,AR$19,),""),IF($I31=3,"",IFBLANK(_xldudf_CX_PUSH(AR31,CX_ENTITY,$B31,AR$11,AR$14,AR$19,),"")))))),"")</f>
        <v/>
      </c>
      <c r="DF31" s="1883" t="str" cm="1">
        <f t="array" ca="1" aca="1" ref="DF31">IFERROR(IF(AS31*fxVal_normal=_BS!AS31,"",IF(OR(AS31="",NOT(ISNUMBER(AS31)),ISERROR(AS31),$B31=""),"",IF($I31=1,IFBLANK(_xldudf_CX_PUSH(AS31*fxVal_normal,CX_ENTITY,$B31,AS$11,AS$14,AS$19,),""),IF($I31=2,IFBLANK(_xldudf_CX_PUSH(AS31,CX_ENTITY,$B31,AS$11,AS$14,AS$19,),""),IF($I31=3,"",IFBLANK(_xldudf_CX_PUSH(AS31,CX_ENTITY,$B31,AS$11,AS$14,AS$19,),"")))))),"")</f>
        <v/>
      </c>
      <c r="DG31" s="1883" t="str" cm="1">
        <f t="array" ca="1" aca="1" ref="DG31">IFERROR(IF(AT31*fxVal_normal=_BS!AT31,"",IF(OR(AT31="",NOT(ISNUMBER(AT31)),ISERROR(AT31),$B31=""),"",IF($I31=1,IFBLANK(_xldudf_CX_PUSH(AT31*fxVal_normal,CX_ENTITY,$B31,AT$11,AT$14,AT$19,),""),IF($I31=2,IFBLANK(_xldudf_CX_PUSH(AT31,CX_ENTITY,$B31,AT$11,AT$14,AT$19,),""),IF($I31=3,"",IFBLANK(_xldudf_CX_PUSH(AT31,CX_ENTITY,$B31,AT$11,AT$14,AT$19,),"")))))),"")</f>
        <v/>
      </c>
      <c r="DH31" s="1883" t="str" cm="1">
        <f t="array" ca="1" aca="1" ref="DH31">IFERROR(IF(AU31*fxVal_normal=_BS!AU31,"",IF(OR(AU31="",NOT(ISNUMBER(AU31)),ISERROR(AU31),$B31=""),"",IF($I31=1,IFBLANK(_xldudf_CX_PUSH(AU31*fxVal_normal,CX_ENTITY,$B31,AU$11,AU$14,AU$19,),""),IF($I31=2,IFBLANK(_xldudf_CX_PUSH(AU31,CX_ENTITY,$B31,AU$11,AU$14,AU$19,),""),IF($I31=3,"",IFBLANK(_xldudf_CX_PUSH(AU31,CX_ENTITY,$B31,AU$11,AU$14,AU$19,),"")))))),"")</f>
        <v/>
      </c>
      <c r="DI31" s="1883" t="str" cm="1">
        <f t="array" ca="1" aca="1" ref="DI31">IFERROR(IF(AV31*fxVal_normal=_BS!AV31,"",IF(OR(AV31="",NOT(ISNUMBER(AV31)),ISERROR(AV31),$B31=""),"",IF($I31=1,IFBLANK(_xldudf_CX_PUSH(AV31*fxVal_normal,CX_ENTITY,$B31,AV$11,AV$14,AV$19,),""),IF($I31=2,IFBLANK(_xldudf_CX_PUSH(AV31,CX_ENTITY,$B31,AV$11,AV$14,AV$19,),""),IF($I31=3,"",IFBLANK(_xldudf_CX_PUSH(AV31,CX_ENTITY,$B31,AV$11,AV$14,AV$19,),"")))))),"")</f>
        <v/>
      </c>
      <c r="DJ31" s="1883" t="str" cm="1">
        <f t="array" ca="1" aca="1" ref="DJ31">IFERROR(IF(AW31*fxVal_normal=_BS!AW31,"",IF(OR(AW31="",NOT(ISNUMBER(AW31)),ISERROR(AW31),$B31=""),"",IF($I31=1,IFBLANK(_xldudf_CX_PUSH(AW31*fxVal_normal,CX_ENTITY,$B31,AW$11,AW$14,AW$19,),""),IF($I31=2,IFBLANK(_xldudf_CX_PUSH(AW31,CX_ENTITY,$B31,AW$11,AW$14,AW$19,),""),IF($I31=3,"",IFBLANK(_xldudf_CX_PUSH(AW31,CX_ENTITY,$B31,AW$11,AW$14,AW$19,),"")))))),"")</f>
        <v/>
      </c>
      <c r="DK31" s="1883" t="str" cm="1">
        <f t="array" ca="1" aca="1" ref="DK31">IFERROR(IF(AX31*fxVal_normal=_BS!AX31,"",IF(OR(AX31="",NOT(ISNUMBER(AX31)),ISERROR(AX31),$B31=""),"",IF($I31=1,IFBLANK(_xldudf_CX_PUSH(AX31*fxVal_normal,CX_ENTITY,$B31,AX$11,AX$14,AX$19,),""),IF($I31=2,IFBLANK(_xldudf_CX_PUSH(AX31,CX_ENTITY,$B31,AX$11,AX$14,AX$19,),""),IF($I31=3,"",IFBLANK(_xldudf_CX_PUSH(AX31,CX_ENTITY,$B31,AX$11,AX$14,AX$19,),"")))))),"")</f>
        <v/>
      </c>
      <c r="DL31" s="1883" t="str" cm="1">
        <f t="array" ca="1" aca="1" ref="DL31">IFERROR(IF(AY31*fxVal_normal=_BS!AY31,"",IF(OR(AY31="",NOT(ISNUMBER(AY31)),ISERROR(AY31),$B31=""),"",IF($I31=1,IFBLANK(_xldudf_CX_PUSH(AY31*fxVal_normal,CX_ENTITY,$B31,AY$11,AY$14,AY$19,),""),IF($I31=2,IFBLANK(_xldudf_CX_PUSH(AY31,CX_ENTITY,$B31,AY$11,AY$14,AY$19,),""),IF($I31=3,"",IFBLANK(_xldudf_CX_PUSH(AY31,CX_ENTITY,$B31,AY$11,AY$14,AY$19,),"")))))),"")</f>
        <v/>
      </c>
      <c r="DM31" s="1883" t="str" cm="1">
        <f t="array" ca="1" aca="1" ref="DM31">IFERROR(IF(AZ31*fxVal_normal=_BS!AZ31,"",IF(OR(AZ31="",NOT(ISNUMBER(AZ31)),ISERROR(AZ31),$B31=""),"",IF($I31=1,IFBLANK(_xldudf_CX_PUSH(AZ31*fxVal_normal,CX_ENTITY,$B31,AZ$11,AZ$14,AZ$19,),""),IF($I31=2,IFBLANK(_xldudf_CX_PUSH(AZ31,CX_ENTITY,$B31,AZ$11,AZ$14,AZ$19,),""),IF($I31=3,"",IFBLANK(_xldudf_CX_PUSH(AZ31,CX_ENTITY,$B31,AZ$11,AZ$14,AZ$19,),"")))))),"")</f>
        <v/>
      </c>
      <c r="DN31" s="1883" t="str" cm="1">
        <f t="array" ca="1" aca="1" ref="DN31">IFERROR(IF(BA31*fxVal_normal=_BS!BA31,"",IF(OR(BA31="",NOT(ISNUMBER(BA31)),ISERROR(BA31),$B31=""),"",IF($I31=1,IFBLANK(_xldudf_CX_PUSH(BA31*fxVal_normal,CX_ENTITY,$B31,BA$11,BA$14,BA$19,),""),IF($I31=2,IFBLANK(_xldudf_CX_PUSH(BA31,CX_ENTITY,$B31,BA$11,BA$14,BA$19,),""),IF($I31=3,"",IFBLANK(_xldudf_CX_PUSH(BA31,CX_ENTITY,$B31,BA$11,BA$14,BA$19,),"")))))),"")</f>
        <v/>
      </c>
      <c r="DO31" s="1883" t="str" cm="1">
        <f t="array" ca="1" aca="1" ref="DO31">IFERROR(IF(BB31*fxVal_normal=_BS!BB31,"",IF(OR(BB31="",NOT(ISNUMBER(BB31)),ISERROR(BB31),$B31=""),"",IF($I31=1,IFBLANK(_xldudf_CX_PUSH(BB31*fxVal_normal,CX_ENTITY,$B31,BB$11,BB$14,BB$19,),""),IF($I31=2,IFBLANK(_xldudf_CX_PUSH(BB31,CX_ENTITY,$B31,BB$11,BB$14,BB$19,),""),IF($I31=3,"",IFBLANK(_xldudf_CX_PUSH(BB31,CX_ENTITY,$B31,BB$11,BB$14,BB$19,),"")))))),"")</f>
        <v/>
      </c>
      <c r="DP31" s="1883" t="str" cm="1">
        <f t="array" ca="1" aca="1" ref="DP31">IFERROR(IF(BC31*fxVal_normal=_BS!BC31,"",IF(OR(BC31="",NOT(ISNUMBER(BC31)),ISERROR(BC31),$B31=""),"",IF($I31=1,IFBLANK(_xldudf_CX_PUSH(BC31*fxVal_normal,CX_ENTITY,$B31,BC$11,BC$14,BC$19,),""),IF($I31=2,IFBLANK(_xldudf_CX_PUSH(BC31,CX_ENTITY,$B31,BC$11,BC$14,BC$19,),""),IF($I31=3,"",IFBLANK(_xldudf_CX_PUSH(BC31,CX_ENTITY,$B31,BC$11,BC$14,BC$19,),"")))))),"")</f>
        <v/>
      </c>
      <c r="DQ31" s="1883" t="str" cm="1">
        <f t="array" ca="1" aca="1" ref="DQ31">IFERROR(IF(BD31*fxVal_normal=_BS!BD31,"",IF(OR(BD31="",NOT(ISNUMBER(BD31)),ISERROR(BD31),$B31=""),"",IF($I31=1,IFBLANK(_xldudf_CX_PUSH(BD31*fxVal_normal,CX_ENTITY,$B31,BD$11,BD$14,BD$19,),""),IF($I31=2,IFBLANK(_xldudf_CX_PUSH(BD31,CX_ENTITY,$B31,BD$11,BD$14,BD$19,),""),IF($I31=3,"",IFBLANK(_xldudf_CX_PUSH(BD31,CX_ENTITY,$B31,BD$11,BD$14,BD$19,),"")))))),"")</f>
        <v/>
      </c>
      <c r="DR31" s="1883" t="str" cm="1">
        <f t="array" ca="1" aca="1" ref="DR31">IFERROR(IF(BE31*fxVal_normal=_BS!BE31,"",IF(OR(BE31="",NOT(ISNUMBER(BE31)),ISERROR(BE31),$B31=""),"",IF($I31=1,IFBLANK(_xldudf_CX_PUSH(BE31*fxVal_normal,CX_ENTITY,$B31,BE$11,BE$14,BE$19,),""),IF($I31=2,IFBLANK(_xldudf_CX_PUSH(BE31,CX_ENTITY,$B31,BE$11,BE$14,BE$19,),""),IF($I31=3,"",IFBLANK(_xldudf_CX_PUSH(BE31,CX_ENTITY,$B31,BE$11,BE$14,BE$19,),"")))))),"")</f>
        <v/>
      </c>
      <c r="DS31" s="1883" t="str" cm="1">
        <f t="array" ca="1" aca="1" ref="DS31">IFERROR(IF(BF31*fxVal_normal=_BS!BF31,"",IF(OR(BF31="",NOT(ISNUMBER(BF31)),ISERROR(BF31),$B31=""),"",IF($I31=1,IFBLANK(_xldudf_CX_PUSH(BF31*fxVal_normal,CX_ENTITY,$B31,BF$11,BF$14,BF$19,),""),IF($I31=2,IFBLANK(_xldudf_CX_PUSH(BF31,CX_ENTITY,$B31,BF$11,BF$14,BF$19,),""),IF($I31=3,"",IFBLANK(_xldudf_CX_PUSH(BF31,CX_ENTITY,$B31,BF$11,BF$14,BF$19,),"")))))),"")</f>
        <v/>
      </c>
      <c r="DT31" s="1883" t="str" cm="1">
        <f t="array" ca="1" aca="1" ref="DT31">IFERROR(IF(BG31*fxVal_normal=_BS!BG31,"",IF(OR(BG31="",NOT(ISNUMBER(BG31)),ISERROR(BG31),$B31=""),"",IF($I31=1,IFBLANK(_xldudf_CX_PUSH(BG31*fxVal_normal,CX_ENTITY,$B31,BG$11,BG$14,BG$19,),""),IF($I31=2,IFBLANK(_xldudf_CX_PUSH(BG31,CX_ENTITY,$B31,BG$11,BG$14,BG$19,),""),IF($I31=3,"",IFBLANK(_xldudf_CX_PUSH(BG31,CX_ENTITY,$B31,BG$11,BG$14,BG$19,),"")))))),"")</f>
        <v/>
      </c>
      <c r="DU31" s="1883" t="str" cm="1">
        <f t="array" ca="1" aca="1" ref="DU31">IFERROR(IF(BH31*fxVal_normal=_BS!BH31,"",IF(OR(BH31="",NOT(ISNUMBER(BH31)),ISERROR(BH31),$B31=""),"",IF($I31=1,IFBLANK(_xldudf_CX_PUSH(BH31*fxVal_normal,CX_ENTITY,$B31,BH$11,BH$14,BH$19,),""),IF($I31=2,IFBLANK(_xldudf_CX_PUSH(BH31,CX_ENTITY,$B31,BH$11,BH$14,BH$19,),""),IF($I31=3,"",IFBLANK(_xldudf_CX_PUSH(BH31,CX_ENTITY,$B31,BH$11,BH$14,BH$19,),"")))))),"")</f>
        <v/>
      </c>
      <c r="DV31" s="1883" t="str" cm="1">
        <f t="array" ca="1" aca="1" ref="DV31">IFERROR(IF(BI31*fxVal_normal=_BS!BI31,"",IF(OR(BI31="",NOT(ISNUMBER(BI31)),ISERROR(BI31),$B31=""),"",IF($I31=1,IFBLANK(_xldudf_CX_PUSH(BI31*fxVal_normal,CX_ENTITY,$B31,BI$11,BI$14,BI$19,),""),IF($I31=2,IFBLANK(_xldudf_CX_PUSH(BI31,CX_ENTITY,$B31,BI$11,BI$14,BI$19,),""),IF($I31=3,"",IFBLANK(_xldudf_CX_PUSH(BI31,CX_ENTITY,$B31,BI$11,BI$14,BI$19,),"")))))),"")</f>
        <v/>
      </c>
      <c r="DW31" s="1883" t="str" cm="1">
        <f t="array" ca="1" aca="1" ref="DW31">IFERROR(IF(BJ31*fxVal_normal=_BS!BJ31,"",IF(OR(BJ31="",NOT(ISNUMBER(BJ31)),ISERROR(BJ31),$B31=""),"",IF($I31=1,IFBLANK(_xldudf_CX_PUSH(BJ31*fxVal_normal,CX_ENTITY,$B31,BJ$11,BJ$14,BJ$19,),""),IF($I31=2,IFBLANK(_xldudf_CX_PUSH(BJ31,CX_ENTITY,$B31,BJ$11,BJ$14,BJ$19,),""),IF($I31=3,"",IFBLANK(_xldudf_CX_PUSH(BJ31,CX_ENTITY,$B31,BJ$11,BJ$14,BJ$19,),"")))))),"")</f>
        <v/>
      </c>
      <c r="DX31" s="1883" t="str" cm="1">
        <f t="array" ca="1" aca="1" ref="DX31">IFERROR(IF(BK31*fxVal_normal=_BS!BK31,"",IF(OR(BK31="",NOT(ISNUMBER(BK31)),ISERROR(BK31),$B31=""),"",IF($I31=1,IFBLANK(_xldudf_CX_PUSH(BK31*fxVal_normal,CX_ENTITY,$B31,BK$11,BK$14,BK$19,),""),IF($I31=2,IFBLANK(_xldudf_CX_PUSH(BK31,CX_ENTITY,$B31,BK$11,BK$14,BK$19,),""),IF($I31=3,"",IFBLANK(_xldudf_CX_PUSH(BK31,CX_ENTITY,$B31,BK$11,BK$14,BK$19,),"")))))),"")</f>
        <v/>
      </c>
      <c r="DY31" s="1883" t="str" cm="1">
        <f t="array" ca="1" aca="1" ref="DY31">IFERROR(IF(BL31*fxVal_normal=_BS!BL31,"",IF(OR(BL31="",NOT(ISNUMBER(BL31)),ISERROR(BL31),$B31=""),"",IF($I31=1,IFBLANK(_xldudf_CX_PUSH(BL31*fxVal_normal,CX_ENTITY,$B31,BL$11,BL$14,BL$19,),""),IF($I31=2,IFBLANK(_xldudf_CX_PUSH(BL31,CX_ENTITY,$B31,BL$11,BL$14,BL$19,),""),IF($I31=3,"",IFBLANK(_xldudf_CX_PUSH(BL31,CX_ENTITY,$B31,BL$11,BL$14,BL$19,),"")))))),"")</f>
        <v/>
      </c>
      <c r="DZ31" s="1883" t="str" cm="1">
        <f t="array" ca="1" aca="1" ref="DZ31">IFERROR(IF(BM31*fxVal_normal=_BS!BM31,"",IF(OR(BM31="",NOT(ISNUMBER(BM31)),ISERROR(BM31),$B31=""),"",IF($I31=1,IFBLANK(_xldudf_CX_PUSH(BM31*fxVal_normal,CX_ENTITY,$B31,BM$11,BM$14,BM$19,),""),IF($I31=2,IFBLANK(_xldudf_CX_PUSH(BM31,CX_ENTITY,$B31,BM$11,BM$14,BM$19,),""),IF($I31=3,"",IFBLANK(_xldudf_CX_PUSH(BM31,CX_ENTITY,$B31,BM$11,BM$14,BM$19,),"")))))),"")</f>
        <v/>
      </c>
      <c r="EA31" s="1883" t="str" cm="1">
        <f t="array" ca="1" aca="1" ref="EA31">IFERROR(IF(BN31*fxVal_normal=_BS!BN31,"",IF(OR(BN31="",NOT(ISNUMBER(BN31)),ISERROR(BN31),$B31=""),"",IF($I31=1,IFBLANK(_xldudf_CX_PUSH(BN31*fxVal_normal,CX_ENTITY,$B31,BN$11,BN$14,BN$19,),""),IF($I31=2,IFBLANK(_xldudf_CX_PUSH(BN31,CX_ENTITY,$B31,BN$11,BN$14,BN$19,),""),IF($I31=3,"",IFBLANK(_xldudf_CX_PUSH(BN31,CX_ENTITY,$B31,BN$11,BN$14,BN$19,),"")))))),"")</f>
        <v/>
      </c>
    </row>
    <row r="32" spans="1:131" ht="21" customHeight="1">
      <c r="A32" s="1626"/>
      <c r="B32" s="811" t="str" cm="1">
        <f t="array" ref="B32">IFBLANK(_BS!F32,"")</f>
        <v>Senior Instrument(s) 1</v>
      </c>
      <c r="C32" s="3346" t="str" cm="1">
        <f t="array" ref="C32">IFBLANK(_BS!C32,"")</f>
        <v>Senior Instrument(S) 1 (Company View)</v>
      </c>
      <c r="D32" s="1549"/>
      <c r="E32" s="1902" t="e" cm="1">
        <f t="array" ca="1" aca="1" ref="E3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32:$CH32,Z32)</f>
        <v>#NAME?</v>
      </c>
      <c r="F32" s="1897"/>
      <c r="G32" s="1897"/>
      <c r="H32" s="3280">
        <v>1</v>
      </c>
      <c r="I32" s="3280">
        <v>1</v>
      </c>
      <c r="J32" s="401"/>
      <c r="N32" s="158"/>
      <c r="O32" s="101"/>
      <c r="P32" s="52"/>
      <c r="Q32" s="101"/>
      <c r="R32" s="126"/>
      <c r="S32" s="101"/>
      <c r="T32" s="101"/>
      <c r="U32" s="39"/>
      <c r="W32" s="91" t="str">
        <f t="shared" si="1"/>
        <v>Actual</v>
      </c>
      <c r="X32" s="857">
        <f>_BS!X32</f>
        <v>-1</v>
      </c>
      <c r="Y32" s="3183">
        <v>2</v>
      </c>
      <c r="Z32" s="3291" cm="1">
        <f t="array" ref="Z32">_xlfn.SWITCH(TRUE,_BS!$L32=TRUE,1,_BS!$L32=FALSE,-1,_BS!$L32=-1,0,"n/a")</f>
        <v>1</v>
      </c>
      <c r="AA32" s="200"/>
      <c r="AB32" s="3343" t="str">
        <f>_BS!AB32</f>
        <v>Senior Instrument(s): e.g. Term Loan B or Senior Secured Notes</v>
      </c>
      <c r="AC32" s="88" t="str" cm="1">
        <f t="array" ca="1" aca="1" ref="AC32">_xlfn.LET(_xlpm._termname,$AB32,_xlpm._iconname,"find",_xlpm._icon,fx_getIcon(_xlpm._iconname),_xlpm._location,_xlfn.XLOOKUP(LOWER(_xlpm._termname),LOWER(tbl_acctDef[Term]),tbl_acctDef[Term]),_xlpm._hyperlink,HYPERLINK("#"&amp;CELL("address",_xlpm._location),_xlpm._icon),IFERROR(_xlpm._hyperlink,""))</f>
        <v/>
      </c>
      <c r="AD32" s="3229">
        <v>1</v>
      </c>
      <c r="AE32" s="3229">
        <v>1</v>
      </c>
      <c r="AF32" s="3229">
        <v>1</v>
      </c>
      <c r="AG32" s="3229">
        <v>1</v>
      </c>
      <c r="AH32" s="3229">
        <v>1</v>
      </c>
      <c r="AI32" s="3229">
        <v>1</v>
      </c>
      <c r="AJ32" s="3229">
        <v>1</v>
      </c>
      <c r="AK32" s="3229">
        <v>1</v>
      </c>
      <c r="AL32" s="3229">
        <v>1</v>
      </c>
      <c r="AM32" s="3229">
        <v>1</v>
      </c>
      <c r="AN32" s="3229">
        <v>1</v>
      </c>
      <c r="AO32" s="3229">
        <v>1</v>
      </c>
      <c r="AP32" s="3229">
        <v>1</v>
      </c>
      <c r="AQ32" s="3229">
        <v>1</v>
      </c>
      <c r="AR32" s="3229">
        <v>1</v>
      </c>
      <c r="AS32" s="3229">
        <v>1</v>
      </c>
      <c r="AT32" s="3229">
        <v>1</v>
      </c>
      <c r="AU32" s="3229">
        <v>1</v>
      </c>
      <c r="AV32" s="3229">
        <v>1</v>
      </c>
      <c r="AW32" s="3229">
        <v>1</v>
      </c>
      <c r="AX32" s="3229">
        <v>1</v>
      </c>
      <c r="AY32" s="3229">
        <v>1</v>
      </c>
      <c r="AZ32" s="3229">
        <v>1</v>
      </c>
      <c r="BA32" s="3229">
        <v>1</v>
      </c>
      <c r="BB32" s="3229">
        <v>1</v>
      </c>
      <c r="BC32" s="3229">
        <v>1</v>
      </c>
      <c r="BD32" s="3229">
        <v>1</v>
      </c>
      <c r="BE32" s="3229">
        <v>1</v>
      </c>
      <c r="BF32" s="3229">
        <v>1</v>
      </c>
      <c r="BG32" s="3229">
        <v>1</v>
      </c>
      <c r="BH32" s="3229">
        <v>1</v>
      </c>
      <c r="BI32" s="3229">
        <v>1</v>
      </c>
      <c r="BJ32" s="3229">
        <v>1</v>
      </c>
      <c r="BK32" s="3229">
        <v>1</v>
      </c>
      <c r="BL32" s="3229">
        <v>1</v>
      </c>
      <c r="BM32" s="3229">
        <v>1</v>
      </c>
      <c r="BN32" s="3229">
        <v>1</v>
      </c>
      <c r="BO32" s="2095"/>
      <c r="BP32" s="2095"/>
      <c r="BQ32" s="2095"/>
      <c r="BR32" s="2095"/>
      <c r="BS32" s="2095"/>
      <c r="BT32" s="2095"/>
      <c r="BU32" s="2095"/>
      <c r="BV32" s="2095"/>
      <c r="BW32" s="2095"/>
      <c r="BX32" s="2095"/>
      <c r="BY32" s="2095"/>
      <c r="BZ32" s="2095"/>
      <c r="CA32" s="926"/>
      <c r="CB32" s="921"/>
      <c r="CC32" s="927"/>
      <c r="CD32" s="2069" t="e" cm="1">
        <f t="array" ca="1" aca="1" ref="CD32">_xlfn.XLOOKUP(BS!CD$11,array_timeline,BS!$AD32:$BN32)</f>
        <v>#NAME?</v>
      </c>
      <c r="CE32" s="2069" t="e" cm="1">
        <f t="array" ca="1" aca="1" ref="CE32">_xlfn.XLOOKUP(BS!CE$11,array_timeline,BS!$AD32:$BN32)</f>
        <v>#NAME?</v>
      </c>
      <c r="CF32" s="925"/>
      <c r="CG32" s="3342" t="e" cm="1">
        <f t="array" ca="1" aca="1" ref="CG32">TODECIMAL(IFBLANK(_BS!CG32,""),fxVal_normal)</f>
        <v>#NAME?</v>
      </c>
      <c r="CH32" s="3342" t="e" cm="1">
        <f t="array" ca="1" aca="1" ref="CH32">TODECIMAL(IFBLANK(_BS!CH32,""),fxVal_normal)</f>
        <v>#NAME?</v>
      </c>
      <c r="CI32" s="200"/>
      <c r="CK32" s="2085" t="str" cm="1">
        <f t="array" ca="1" aca="1" ref="CK32">IFERROR(IF(Y32&lt;&gt;AB32,_xldudf_CX_PUSH(Y32,CX_ENTITY,C32,EOMONTH(val_asOfDate,0)),""),"")</f>
        <v/>
      </c>
      <c r="CL32" s="2085" t="str" cm="1">
        <f t="array" ca="1" aca="1" ref="CL32">IFERROR(IF(Y32&lt;&gt;AB32,_xldudf_CX_PUSH(Y32,CX_ENTITY,C32,EOMONTH(val_asOfDate,1)),""),"")</f>
        <v/>
      </c>
      <c r="CM32" s="2085" t="str" cm="1">
        <f t="array" ca="1" aca="1" ref="CM32">IFERROR(IF(Y32&lt;&gt;AB32,_xldudf_CX_PUSH(Y32,CX_ENTITY,C32,EOMONTH(val_asOfDate,2)),""),"")</f>
        <v/>
      </c>
      <c r="CN32" s="2085" t="str" cm="1">
        <f t="array" ca="1" aca="1" ref="CN32">IFERROR(IF(Y32&lt;&gt;AB32,_xldudf_CX_PUSH(Y32,CX_ENTITY,C32,EOMONTH(val_asOfDate,3)),""),"")</f>
        <v/>
      </c>
      <c r="CO32" s="2086" t="str" cm="1">
        <f t="array" ca="1" aca="1" ref="CO32">IFERROR(IF(CG32*fxVal_normal=_BS!CG32,"",IF(OR($CG32="",$CG32=0,NOT(ISNUMBER($CG32)),ISERROR($CG32),$B32=""),"",IF($I32=1,IFBLANK(_xldudf_CX_PUSH($CG32*10^6,CX_ENTITY,$B32,$CG$11,$CG$14,$CG$19,),""),IF($I32=2,IFBLANK(_xldudf_CX_PUSH($CG32,CX_ENTITY,$B32,$CG$11,$CG$14,$CG$19,),""),IF($I32=3,"",IFBLANK(_xldudf_CX_PUSH($CG32,CX_ENTITY,$B32,$CG$11,$CG$14,$CG$19,),"")))))),"")</f>
        <v/>
      </c>
      <c r="CP32" s="2086" t="str" cm="1">
        <f t="array" ca="1" aca="1" ref="CP32">IFERROR(IF(CH32*fxVal_normal=_BS!CH32,"",IF(OR($CH32="",$CH32=0,NOT(ISNUMBER($CH32)),ISERROR($CH32),$B32=""),"",IF($I32=1,IFBLANK(_xldudf_CX_PUSH($CH32*10^6,CX_ENTITY,$B32,$CH$11,$CH$14,$CH$19,),""),IF($I32=2,IFBLANK(_xldudf_CX_PUSH($CH32,CX_ENTITY,$B32,$CH$11,$CH$14,$CH$19,),""),IF($I32=3,"",IFBLANK(_xldudf_CX_PUSH($CH32,CX_ENTITY,$B32,$CH$11,$CH$14,$CH$19,),"")))))),"")</f>
        <v/>
      </c>
      <c r="CQ32" s="1883" t="str" cm="1">
        <f t="array" ca="1" aca="1" ref="CQ32">IFERROR(IF(AD32*fxVal_normal=_BS!AD32,"",IF(OR(AD32="",NOT(ISNUMBER(AD32)),ISERROR(AD32),$B32=""),"",IF($I32=1,IFBLANK(_xldudf_CX_PUSH(AD32*fxVal_normal,CX_ENTITY,$B32,AD$11,AD$14,AD$19,),""),IF($I32=2,IFBLANK(_xldudf_CX_PUSH(AD32,CX_ENTITY,$B32,AD$11,AD$14,AD$19,),""),IF($I32=3,"",IFBLANK(_xldudf_CX_PUSH(AD32,CX_ENTITY,$B32,AD$11,AD$14,AD$19,),"")))))),"")</f>
        <v/>
      </c>
      <c r="CR32" s="1883" t="str" cm="1">
        <f t="array" ca="1" aca="1" ref="CR32">IFERROR(IF(AE32*fxVal_normal=_BS!AE32,"",IF(OR(AE32="",NOT(ISNUMBER(AE32)),ISERROR(AE32),$B32=""),"",IF($I32=1,IFBLANK(_xldudf_CX_PUSH(AE32*fxVal_normal,CX_ENTITY,$B32,AE$11,AE$14,AE$19,),""),IF($I32=2,IFBLANK(_xldudf_CX_PUSH(AE32,CX_ENTITY,$B32,AE$11,AE$14,AE$19,),""),IF($I32=3,"",IFBLANK(_xldudf_CX_PUSH(AE32,CX_ENTITY,$B32,AE$11,AE$14,AE$19,),"")))))),"")</f>
        <v/>
      </c>
      <c r="CS32" s="1883" t="str" cm="1">
        <f t="array" ca="1" aca="1" ref="CS32">IFERROR(IF(AF32*fxVal_normal=_BS!AF32,"",IF(OR(AF32="",NOT(ISNUMBER(AF32)),ISERROR(AF32),$B32=""),"",IF($I32=1,IFBLANK(_xldudf_CX_PUSH(AF32*fxVal_normal,CX_ENTITY,$B32,AF$11,AF$14,AF$19,),""),IF($I32=2,IFBLANK(_xldudf_CX_PUSH(AF32,CX_ENTITY,$B32,AF$11,AF$14,AF$19,),""),IF($I32=3,"",IFBLANK(_xldudf_CX_PUSH(AF32,CX_ENTITY,$B32,AF$11,AF$14,AF$19,),"")))))),"")</f>
        <v/>
      </c>
      <c r="CT32" s="1883" t="str" cm="1">
        <f t="array" ca="1" aca="1" ref="CT32">IFERROR(IF(AG32*fxVal_normal=_BS!AG32,"",IF(OR(AG32="",NOT(ISNUMBER(AG32)),ISERROR(AG32),$B32=""),"",IF($I32=1,IFBLANK(_xldudf_CX_PUSH(AG32*fxVal_normal,CX_ENTITY,$B32,AG$11,AG$14,AG$19,),""),IF($I32=2,IFBLANK(_xldudf_CX_PUSH(AG32,CX_ENTITY,$B32,AG$11,AG$14,AG$19,),""),IF($I32=3,"",IFBLANK(_xldudf_CX_PUSH(AG32,CX_ENTITY,$B32,AG$11,AG$14,AG$19,),"")))))),"")</f>
        <v/>
      </c>
      <c r="CU32" s="1883" t="str" cm="1">
        <f t="array" ca="1" aca="1" ref="CU32">IFERROR(IF(AH32*fxVal_normal=_BS!AH32,"",IF(OR(AH32="",NOT(ISNUMBER(AH32)),ISERROR(AH32),$B32=""),"",IF($I32=1,IFBLANK(_xldudf_CX_PUSH(AH32*fxVal_normal,CX_ENTITY,$B32,AH$11,AH$14,AH$19,),""),IF($I32=2,IFBLANK(_xldudf_CX_PUSH(AH32,CX_ENTITY,$B32,AH$11,AH$14,AH$19,),""),IF($I32=3,"",IFBLANK(_xldudf_CX_PUSH(AH32,CX_ENTITY,$B32,AH$11,AH$14,AH$19,),"")))))),"")</f>
        <v/>
      </c>
      <c r="CV32" s="1883" t="str" cm="1">
        <f t="array" ca="1" aca="1" ref="CV32">IFERROR(IF(AI32*fxVal_normal=_BS!AI32,"",IF(OR(AI32="",NOT(ISNUMBER(AI32)),ISERROR(AI32),$B32=""),"",IF($I32=1,IFBLANK(_xldudf_CX_PUSH(AI32*fxVal_normal,CX_ENTITY,$B32,AI$11,AI$14,AI$19,),""),IF($I32=2,IFBLANK(_xldudf_CX_PUSH(AI32,CX_ENTITY,$B32,AI$11,AI$14,AI$19,),""),IF($I32=3,"",IFBLANK(_xldudf_CX_PUSH(AI32,CX_ENTITY,$B32,AI$11,AI$14,AI$19,),"")))))),"")</f>
        <v/>
      </c>
      <c r="CW32" s="1883" t="str" cm="1">
        <f t="array" ca="1" aca="1" ref="CW32">IFERROR(IF(AJ32*fxVal_normal=_BS!AJ32,"",IF(OR(AJ32="",NOT(ISNUMBER(AJ32)),ISERROR(AJ32),$B32=""),"",IF($I32=1,IFBLANK(_xldudf_CX_PUSH(AJ32*fxVal_normal,CX_ENTITY,$B32,AJ$11,AJ$14,AJ$19,),""),IF($I32=2,IFBLANK(_xldudf_CX_PUSH(AJ32,CX_ENTITY,$B32,AJ$11,AJ$14,AJ$19,),""),IF($I32=3,"",IFBLANK(_xldudf_CX_PUSH(AJ32,CX_ENTITY,$B32,AJ$11,AJ$14,AJ$19,),"")))))),"")</f>
        <v/>
      </c>
      <c r="CX32" s="1883" t="str" cm="1">
        <f t="array" ca="1" aca="1" ref="CX32">IFERROR(IF(AK32*fxVal_normal=_BS!AK32,"",IF(OR(AK32="",NOT(ISNUMBER(AK32)),ISERROR(AK32),$B32=""),"",IF($I32=1,IFBLANK(_xldudf_CX_PUSH(AK32*fxVal_normal,CX_ENTITY,$B32,AK$11,AK$14,AK$19,),""),IF($I32=2,IFBLANK(_xldudf_CX_PUSH(AK32,CX_ENTITY,$B32,AK$11,AK$14,AK$19,),""),IF($I32=3,"",IFBLANK(_xldudf_CX_PUSH(AK32,CX_ENTITY,$B32,AK$11,AK$14,AK$19,),"")))))),"")</f>
        <v/>
      </c>
      <c r="CY32" s="1883" t="str" cm="1">
        <f t="array" ca="1" aca="1" ref="CY32">IFERROR(IF(AL32*fxVal_normal=_BS!AL32,"",IF(OR(AL32="",NOT(ISNUMBER(AL32)),ISERROR(AL32),$B32=""),"",IF($I32=1,IFBLANK(_xldudf_CX_PUSH(AL32*fxVal_normal,CX_ENTITY,$B32,AL$11,AL$14,AL$19,),""),IF($I32=2,IFBLANK(_xldudf_CX_PUSH(AL32,CX_ENTITY,$B32,AL$11,AL$14,AL$19,),""),IF($I32=3,"",IFBLANK(_xldudf_CX_PUSH(AL32,CX_ENTITY,$B32,AL$11,AL$14,AL$19,),"")))))),"")</f>
        <v/>
      </c>
      <c r="CZ32" s="1883" t="str" cm="1">
        <f t="array" ca="1" aca="1" ref="CZ32">IFERROR(IF(AM32*fxVal_normal=_BS!AM32,"",IF(OR(AM32="",NOT(ISNUMBER(AM32)),ISERROR(AM32),$B32=""),"",IF($I32=1,IFBLANK(_xldudf_CX_PUSH(AM32*fxVal_normal,CX_ENTITY,$B32,AM$11,AM$14,AM$19,),""),IF($I32=2,IFBLANK(_xldudf_CX_PUSH(AM32,CX_ENTITY,$B32,AM$11,AM$14,AM$19,),""),IF($I32=3,"",IFBLANK(_xldudf_CX_PUSH(AM32,CX_ENTITY,$B32,AM$11,AM$14,AM$19,),"")))))),"")</f>
        <v/>
      </c>
      <c r="DA32" s="1883" t="str" cm="1">
        <f t="array" ca="1" aca="1" ref="DA32">IFERROR(IF(AN32*fxVal_normal=_BS!AN32,"",IF(OR(AN32="",NOT(ISNUMBER(AN32)),ISERROR(AN32),$B32=""),"",IF($I32=1,IFBLANK(_xldudf_CX_PUSH(AN32*fxVal_normal,CX_ENTITY,$B32,AN$11,AN$14,AN$19,),""),IF($I32=2,IFBLANK(_xldudf_CX_PUSH(AN32,CX_ENTITY,$B32,AN$11,AN$14,AN$19,),""),IF($I32=3,"",IFBLANK(_xldudf_CX_PUSH(AN32,CX_ENTITY,$B32,AN$11,AN$14,AN$19,),"")))))),"")</f>
        <v/>
      </c>
      <c r="DB32" s="1883" t="str" cm="1">
        <f t="array" ca="1" aca="1" ref="DB32">IFERROR(IF(AO32*fxVal_normal=_BS!AO32,"",IF(OR(AO32="",NOT(ISNUMBER(AO32)),ISERROR(AO32),$B32=""),"",IF($I32=1,IFBLANK(_xldudf_CX_PUSH(AO32*fxVal_normal,CX_ENTITY,$B32,AO$11,AO$14,AO$19,),""),IF($I32=2,IFBLANK(_xldudf_CX_PUSH(AO32,CX_ENTITY,$B32,AO$11,AO$14,AO$19,),""),IF($I32=3,"",IFBLANK(_xldudf_CX_PUSH(AO32,CX_ENTITY,$B32,AO$11,AO$14,AO$19,),"")))))),"")</f>
        <v/>
      </c>
      <c r="DC32" s="1883" t="str" cm="1">
        <f t="array" ca="1" aca="1" ref="DC32">IFERROR(IF(AP32*fxVal_normal=_BS!AP32,"",IF(OR(AP32="",NOT(ISNUMBER(AP32)),ISERROR(AP32),$B32=""),"",IF($I32=1,IFBLANK(_xldudf_CX_PUSH(AP32*fxVal_normal,CX_ENTITY,$B32,AP$11,AP$14,AP$19,),""),IF($I32=2,IFBLANK(_xldudf_CX_PUSH(AP32,CX_ENTITY,$B32,AP$11,AP$14,AP$19,),""),IF($I32=3,"",IFBLANK(_xldudf_CX_PUSH(AP32,CX_ENTITY,$B32,AP$11,AP$14,AP$19,),"")))))),"")</f>
        <v/>
      </c>
      <c r="DD32" s="1883" t="str" cm="1">
        <f t="array" ca="1" aca="1" ref="DD32">IFERROR(IF(AQ32*fxVal_normal=_BS!AQ32,"",IF(OR(AQ32="",NOT(ISNUMBER(AQ32)),ISERROR(AQ32),$B32=""),"",IF($I32=1,IFBLANK(_xldudf_CX_PUSH(AQ32*fxVal_normal,CX_ENTITY,$B32,AQ$11,AQ$14,AQ$19,),""),IF($I32=2,IFBLANK(_xldudf_CX_PUSH(AQ32,CX_ENTITY,$B32,AQ$11,AQ$14,AQ$19,),""),IF($I32=3,"",IFBLANK(_xldudf_CX_PUSH(AQ32,CX_ENTITY,$B32,AQ$11,AQ$14,AQ$19,),"")))))),"")</f>
        <v/>
      </c>
      <c r="DE32" s="1883" t="str" cm="1">
        <f t="array" ca="1" aca="1" ref="DE32">IFERROR(IF(AR32*fxVal_normal=_BS!AR32,"",IF(OR(AR32="",NOT(ISNUMBER(AR32)),ISERROR(AR32),$B32=""),"",IF($I32=1,IFBLANK(_xldudf_CX_PUSH(AR32*fxVal_normal,CX_ENTITY,$B32,AR$11,AR$14,AR$19,),""),IF($I32=2,IFBLANK(_xldudf_CX_PUSH(AR32,CX_ENTITY,$B32,AR$11,AR$14,AR$19,),""),IF($I32=3,"",IFBLANK(_xldudf_CX_PUSH(AR32,CX_ENTITY,$B32,AR$11,AR$14,AR$19,),"")))))),"")</f>
        <v/>
      </c>
      <c r="DF32" s="1883" t="str" cm="1">
        <f t="array" ca="1" aca="1" ref="DF32">IFERROR(IF(AS32*fxVal_normal=_BS!AS32,"",IF(OR(AS32="",NOT(ISNUMBER(AS32)),ISERROR(AS32),$B32=""),"",IF($I32=1,IFBLANK(_xldudf_CX_PUSH(AS32*fxVal_normal,CX_ENTITY,$B32,AS$11,AS$14,AS$19,),""),IF($I32=2,IFBLANK(_xldudf_CX_PUSH(AS32,CX_ENTITY,$B32,AS$11,AS$14,AS$19,),""),IF($I32=3,"",IFBLANK(_xldudf_CX_PUSH(AS32,CX_ENTITY,$B32,AS$11,AS$14,AS$19,),"")))))),"")</f>
        <v/>
      </c>
      <c r="DG32" s="1883" t="str" cm="1">
        <f t="array" ca="1" aca="1" ref="DG32">IFERROR(IF(AT32*fxVal_normal=_BS!AT32,"",IF(OR(AT32="",NOT(ISNUMBER(AT32)),ISERROR(AT32),$B32=""),"",IF($I32=1,IFBLANK(_xldudf_CX_PUSH(AT32*fxVal_normal,CX_ENTITY,$B32,AT$11,AT$14,AT$19,),""),IF($I32=2,IFBLANK(_xldudf_CX_PUSH(AT32,CX_ENTITY,$B32,AT$11,AT$14,AT$19,),""),IF($I32=3,"",IFBLANK(_xldudf_CX_PUSH(AT32,CX_ENTITY,$B32,AT$11,AT$14,AT$19,),"")))))),"")</f>
        <v/>
      </c>
      <c r="DH32" s="1883" t="str" cm="1">
        <f t="array" ca="1" aca="1" ref="DH32">IFERROR(IF(AU32*fxVal_normal=_BS!AU32,"",IF(OR(AU32="",NOT(ISNUMBER(AU32)),ISERROR(AU32),$B32=""),"",IF($I32=1,IFBLANK(_xldudf_CX_PUSH(AU32*fxVal_normal,CX_ENTITY,$B32,AU$11,AU$14,AU$19,),""),IF($I32=2,IFBLANK(_xldudf_CX_PUSH(AU32,CX_ENTITY,$B32,AU$11,AU$14,AU$19,),""),IF($I32=3,"",IFBLANK(_xldudf_CX_PUSH(AU32,CX_ENTITY,$B32,AU$11,AU$14,AU$19,),"")))))),"")</f>
        <v/>
      </c>
      <c r="DI32" s="1883" t="str" cm="1">
        <f t="array" ca="1" aca="1" ref="DI32">IFERROR(IF(AV32*fxVal_normal=_BS!AV32,"",IF(OR(AV32="",NOT(ISNUMBER(AV32)),ISERROR(AV32),$B32=""),"",IF($I32=1,IFBLANK(_xldudf_CX_PUSH(AV32*fxVal_normal,CX_ENTITY,$B32,AV$11,AV$14,AV$19,),""),IF($I32=2,IFBLANK(_xldudf_CX_PUSH(AV32,CX_ENTITY,$B32,AV$11,AV$14,AV$19,),""),IF($I32=3,"",IFBLANK(_xldudf_CX_PUSH(AV32,CX_ENTITY,$B32,AV$11,AV$14,AV$19,),"")))))),"")</f>
        <v/>
      </c>
      <c r="DJ32" s="1883" t="str" cm="1">
        <f t="array" ca="1" aca="1" ref="DJ32">IFERROR(IF(AW32*fxVal_normal=_BS!AW32,"",IF(OR(AW32="",NOT(ISNUMBER(AW32)),ISERROR(AW32),$B32=""),"",IF($I32=1,IFBLANK(_xldudf_CX_PUSH(AW32*fxVal_normal,CX_ENTITY,$B32,AW$11,AW$14,AW$19,),""),IF($I32=2,IFBLANK(_xldudf_CX_PUSH(AW32,CX_ENTITY,$B32,AW$11,AW$14,AW$19,),""),IF($I32=3,"",IFBLANK(_xldudf_CX_PUSH(AW32,CX_ENTITY,$B32,AW$11,AW$14,AW$19,),"")))))),"")</f>
        <v/>
      </c>
      <c r="DK32" s="1883" t="str" cm="1">
        <f t="array" ca="1" aca="1" ref="DK32">IFERROR(IF(AX32*fxVal_normal=_BS!AX32,"",IF(OR(AX32="",NOT(ISNUMBER(AX32)),ISERROR(AX32),$B32=""),"",IF($I32=1,IFBLANK(_xldudf_CX_PUSH(AX32*fxVal_normal,CX_ENTITY,$B32,AX$11,AX$14,AX$19,),""),IF($I32=2,IFBLANK(_xldudf_CX_PUSH(AX32,CX_ENTITY,$B32,AX$11,AX$14,AX$19,),""),IF($I32=3,"",IFBLANK(_xldudf_CX_PUSH(AX32,CX_ENTITY,$B32,AX$11,AX$14,AX$19,),"")))))),"")</f>
        <v/>
      </c>
      <c r="DL32" s="1883" t="str" cm="1">
        <f t="array" ca="1" aca="1" ref="DL32">IFERROR(IF(AY32*fxVal_normal=_BS!AY32,"",IF(OR(AY32="",NOT(ISNUMBER(AY32)),ISERROR(AY32),$B32=""),"",IF($I32=1,IFBLANK(_xldudf_CX_PUSH(AY32*fxVal_normal,CX_ENTITY,$B32,AY$11,AY$14,AY$19,),""),IF($I32=2,IFBLANK(_xldudf_CX_PUSH(AY32,CX_ENTITY,$B32,AY$11,AY$14,AY$19,),""),IF($I32=3,"",IFBLANK(_xldudf_CX_PUSH(AY32,CX_ENTITY,$B32,AY$11,AY$14,AY$19,),"")))))),"")</f>
        <v/>
      </c>
      <c r="DM32" s="1883" t="str" cm="1">
        <f t="array" ca="1" aca="1" ref="DM32">IFERROR(IF(AZ32*fxVal_normal=_BS!AZ32,"",IF(OR(AZ32="",NOT(ISNUMBER(AZ32)),ISERROR(AZ32),$B32=""),"",IF($I32=1,IFBLANK(_xldudf_CX_PUSH(AZ32*fxVal_normal,CX_ENTITY,$B32,AZ$11,AZ$14,AZ$19,),""),IF($I32=2,IFBLANK(_xldudf_CX_PUSH(AZ32,CX_ENTITY,$B32,AZ$11,AZ$14,AZ$19,),""),IF($I32=3,"",IFBLANK(_xldudf_CX_PUSH(AZ32,CX_ENTITY,$B32,AZ$11,AZ$14,AZ$19,),"")))))),"")</f>
        <v/>
      </c>
      <c r="DN32" s="1883" t="str" cm="1">
        <f t="array" ca="1" aca="1" ref="DN32">IFERROR(IF(BA32*fxVal_normal=_BS!BA32,"",IF(OR(BA32="",NOT(ISNUMBER(BA32)),ISERROR(BA32),$B32=""),"",IF($I32=1,IFBLANK(_xldudf_CX_PUSH(BA32*fxVal_normal,CX_ENTITY,$B32,BA$11,BA$14,BA$19,),""),IF($I32=2,IFBLANK(_xldudf_CX_PUSH(BA32,CX_ENTITY,$B32,BA$11,BA$14,BA$19,),""),IF($I32=3,"",IFBLANK(_xldudf_CX_PUSH(BA32,CX_ENTITY,$B32,BA$11,BA$14,BA$19,),"")))))),"")</f>
        <v/>
      </c>
      <c r="DO32" s="1883" t="str" cm="1">
        <f t="array" ca="1" aca="1" ref="DO32">IFERROR(IF(BB32*fxVal_normal=_BS!BB32,"",IF(OR(BB32="",NOT(ISNUMBER(BB32)),ISERROR(BB32),$B32=""),"",IF($I32=1,IFBLANK(_xldudf_CX_PUSH(BB32*fxVal_normal,CX_ENTITY,$B32,BB$11,BB$14,BB$19,),""),IF($I32=2,IFBLANK(_xldudf_CX_PUSH(BB32,CX_ENTITY,$B32,BB$11,BB$14,BB$19,),""),IF($I32=3,"",IFBLANK(_xldudf_CX_PUSH(BB32,CX_ENTITY,$B32,BB$11,BB$14,BB$19,),"")))))),"")</f>
        <v/>
      </c>
      <c r="DP32" s="1883" t="str" cm="1">
        <f t="array" ca="1" aca="1" ref="DP32">IFERROR(IF(BC32*fxVal_normal=_BS!BC32,"",IF(OR(BC32="",NOT(ISNUMBER(BC32)),ISERROR(BC32),$B32=""),"",IF($I32=1,IFBLANK(_xldudf_CX_PUSH(BC32*fxVal_normal,CX_ENTITY,$B32,BC$11,BC$14,BC$19,),""),IF($I32=2,IFBLANK(_xldudf_CX_PUSH(BC32,CX_ENTITY,$B32,BC$11,BC$14,BC$19,),""),IF($I32=3,"",IFBLANK(_xldudf_CX_PUSH(BC32,CX_ENTITY,$B32,BC$11,BC$14,BC$19,),"")))))),"")</f>
        <v/>
      </c>
      <c r="DQ32" s="1883" t="str" cm="1">
        <f t="array" ca="1" aca="1" ref="DQ32">IFERROR(IF(BD32*fxVal_normal=_BS!BD32,"",IF(OR(BD32="",NOT(ISNUMBER(BD32)),ISERROR(BD32),$B32=""),"",IF($I32=1,IFBLANK(_xldudf_CX_PUSH(BD32*fxVal_normal,CX_ENTITY,$B32,BD$11,BD$14,BD$19,),""),IF($I32=2,IFBLANK(_xldudf_CX_PUSH(BD32,CX_ENTITY,$B32,BD$11,BD$14,BD$19,),""),IF($I32=3,"",IFBLANK(_xldudf_CX_PUSH(BD32,CX_ENTITY,$B32,BD$11,BD$14,BD$19,),"")))))),"")</f>
        <v/>
      </c>
      <c r="DR32" s="1883" t="str" cm="1">
        <f t="array" ca="1" aca="1" ref="DR32">IFERROR(IF(BE32*fxVal_normal=_BS!BE32,"",IF(OR(BE32="",NOT(ISNUMBER(BE32)),ISERROR(BE32),$B32=""),"",IF($I32=1,IFBLANK(_xldudf_CX_PUSH(BE32*fxVal_normal,CX_ENTITY,$B32,BE$11,BE$14,BE$19,),""),IF($I32=2,IFBLANK(_xldudf_CX_PUSH(BE32,CX_ENTITY,$B32,BE$11,BE$14,BE$19,),""),IF($I32=3,"",IFBLANK(_xldudf_CX_PUSH(BE32,CX_ENTITY,$B32,BE$11,BE$14,BE$19,),"")))))),"")</f>
        <v/>
      </c>
      <c r="DS32" s="1883" t="str" cm="1">
        <f t="array" ca="1" aca="1" ref="DS32">IFERROR(IF(BF32*fxVal_normal=_BS!BF32,"",IF(OR(BF32="",NOT(ISNUMBER(BF32)),ISERROR(BF32),$B32=""),"",IF($I32=1,IFBLANK(_xldudf_CX_PUSH(BF32*fxVal_normal,CX_ENTITY,$B32,BF$11,BF$14,BF$19,),""),IF($I32=2,IFBLANK(_xldudf_CX_PUSH(BF32,CX_ENTITY,$B32,BF$11,BF$14,BF$19,),""),IF($I32=3,"",IFBLANK(_xldudf_CX_PUSH(BF32,CX_ENTITY,$B32,BF$11,BF$14,BF$19,),"")))))),"")</f>
        <v/>
      </c>
      <c r="DT32" s="1883" t="str" cm="1">
        <f t="array" ca="1" aca="1" ref="DT32">IFERROR(IF(BG32*fxVal_normal=_BS!BG32,"",IF(OR(BG32="",NOT(ISNUMBER(BG32)),ISERROR(BG32),$B32=""),"",IF($I32=1,IFBLANK(_xldudf_CX_PUSH(BG32*fxVal_normal,CX_ENTITY,$B32,BG$11,BG$14,BG$19,),""),IF($I32=2,IFBLANK(_xldudf_CX_PUSH(BG32,CX_ENTITY,$B32,BG$11,BG$14,BG$19,),""),IF($I32=3,"",IFBLANK(_xldudf_CX_PUSH(BG32,CX_ENTITY,$B32,BG$11,BG$14,BG$19,),"")))))),"")</f>
        <v/>
      </c>
      <c r="DU32" s="1883" t="str" cm="1">
        <f t="array" ca="1" aca="1" ref="DU32">IFERROR(IF(BH32*fxVal_normal=_BS!BH32,"",IF(OR(BH32="",NOT(ISNUMBER(BH32)),ISERROR(BH32),$B32=""),"",IF($I32=1,IFBLANK(_xldudf_CX_PUSH(BH32*fxVal_normal,CX_ENTITY,$B32,BH$11,BH$14,BH$19,),""),IF($I32=2,IFBLANK(_xldudf_CX_PUSH(BH32,CX_ENTITY,$B32,BH$11,BH$14,BH$19,),""),IF($I32=3,"",IFBLANK(_xldudf_CX_PUSH(BH32,CX_ENTITY,$B32,BH$11,BH$14,BH$19,),"")))))),"")</f>
        <v/>
      </c>
      <c r="DV32" s="1883" t="str" cm="1">
        <f t="array" ca="1" aca="1" ref="DV32">IFERROR(IF(BI32*fxVal_normal=_BS!BI32,"",IF(OR(BI32="",NOT(ISNUMBER(BI32)),ISERROR(BI32),$B32=""),"",IF($I32=1,IFBLANK(_xldudf_CX_PUSH(BI32*fxVal_normal,CX_ENTITY,$B32,BI$11,BI$14,BI$19,),""),IF($I32=2,IFBLANK(_xldudf_CX_PUSH(BI32,CX_ENTITY,$B32,BI$11,BI$14,BI$19,),""),IF($I32=3,"",IFBLANK(_xldudf_CX_PUSH(BI32,CX_ENTITY,$B32,BI$11,BI$14,BI$19,),"")))))),"")</f>
        <v/>
      </c>
      <c r="DW32" s="1883" t="str" cm="1">
        <f t="array" ca="1" aca="1" ref="DW32">IFERROR(IF(BJ32*fxVal_normal=_BS!BJ32,"",IF(OR(BJ32="",NOT(ISNUMBER(BJ32)),ISERROR(BJ32),$B32=""),"",IF($I32=1,IFBLANK(_xldudf_CX_PUSH(BJ32*fxVal_normal,CX_ENTITY,$B32,BJ$11,BJ$14,BJ$19,),""),IF($I32=2,IFBLANK(_xldudf_CX_PUSH(BJ32,CX_ENTITY,$B32,BJ$11,BJ$14,BJ$19,),""),IF($I32=3,"",IFBLANK(_xldudf_CX_PUSH(BJ32,CX_ENTITY,$B32,BJ$11,BJ$14,BJ$19,),"")))))),"")</f>
        <v/>
      </c>
      <c r="DX32" s="1883" t="str" cm="1">
        <f t="array" ca="1" aca="1" ref="DX32">IFERROR(IF(BK32*fxVal_normal=_BS!BK32,"",IF(OR(BK32="",NOT(ISNUMBER(BK32)),ISERROR(BK32),$B32=""),"",IF($I32=1,IFBLANK(_xldudf_CX_PUSH(BK32*fxVal_normal,CX_ENTITY,$B32,BK$11,BK$14,BK$19,),""),IF($I32=2,IFBLANK(_xldudf_CX_PUSH(BK32,CX_ENTITY,$B32,BK$11,BK$14,BK$19,),""),IF($I32=3,"",IFBLANK(_xldudf_CX_PUSH(BK32,CX_ENTITY,$B32,BK$11,BK$14,BK$19,),"")))))),"")</f>
        <v/>
      </c>
      <c r="DY32" s="1883" t="str" cm="1">
        <f t="array" ca="1" aca="1" ref="DY32">IFERROR(IF(BL32*fxVal_normal=_BS!BL32,"",IF(OR(BL32="",NOT(ISNUMBER(BL32)),ISERROR(BL32),$B32=""),"",IF($I32=1,IFBLANK(_xldudf_CX_PUSH(BL32*fxVal_normal,CX_ENTITY,$B32,BL$11,BL$14,BL$19,),""),IF($I32=2,IFBLANK(_xldudf_CX_PUSH(BL32,CX_ENTITY,$B32,BL$11,BL$14,BL$19,),""),IF($I32=3,"",IFBLANK(_xldudf_CX_PUSH(BL32,CX_ENTITY,$B32,BL$11,BL$14,BL$19,),"")))))),"")</f>
        <v/>
      </c>
      <c r="DZ32" s="1883" t="str" cm="1">
        <f t="array" ca="1" aca="1" ref="DZ32">IFERROR(IF(BM32*fxVal_normal=_BS!BM32,"",IF(OR(BM32="",NOT(ISNUMBER(BM32)),ISERROR(BM32),$B32=""),"",IF($I32=1,IFBLANK(_xldudf_CX_PUSH(BM32*fxVal_normal,CX_ENTITY,$B32,BM$11,BM$14,BM$19,),""),IF($I32=2,IFBLANK(_xldudf_CX_PUSH(BM32,CX_ENTITY,$B32,BM$11,BM$14,BM$19,),""),IF($I32=3,"",IFBLANK(_xldudf_CX_PUSH(BM32,CX_ENTITY,$B32,BM$11,BM$14,BM$19,),"")))))),"")</f>
        <v/>
      </c>
      <c r="EA32" s="1883" t="str" cm="1">
        <f t="array" ca="1" aca="1" ref="EA32">IFERROR(IF(BN32*fxVal_normal=_BS!BN32,"",IF(OR(BN32="",NOT(ISNUMBER(BN32)),ISERROR(BN32),$B32=""),"",IF($I32=1,IFBLANK(_xldudf_CX_PUSH(BN32*fxVal_normal,CX_ENTITY,$B32,BN$11,BN$14,BN$19,),""),IF($I32=2,IFBLANK(_xldudf_CX_PUSH(BN32,CX_ENTITY,$B32,BN$11,BN$14,BN$19,),""),IF($I32=3,"",IFBLANK(_xldudf_CX_PUSH(BN32,CX_ENTITY,$B32,BN$11,BN$14,BN$19,),"")))))),"")</f>
        <v/>
      </c>
    </row>
    <row r="33" spans="1:131" ht="21" customHeight="1">
      <c r="A33" s="1626"/>
      <c r="B33" s="811" t="str" cm="1">
        <f t="array" ref="B33">IFBLANK(_BS!F33,"")</f>
        <v>Junior Instrument(s)</v>
      </c>
      <c r="C33" s="3346" t="str" cm="1">
        <f t="array" ref="C33">IFBLANK(_BS!C33,"")</f>
        <v>Junior Instrument(S) (Company View)</v>
      </c>
      <c r="D33" s="1549"/>
      <c r="E33" s="1902" t="e" cm="1">
        <f t="array" ca="1" aca="1" ref="E3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33:$CH33,Z33)</f>
        <v>#NAME?</v>
      </c>
      <c r="F33" s="1897"/>
      <c r="G33" s="1897"/>
      <c r="H33" s="3280">
        <v>1</v>
      </c>
      <c r="I33" s="3280">
        <v>1</v>
      </c>
      <c r="J33" s="401"/>
      <c r="N33" s="158"/>
      <c r="O33" s="101"/>
      <c r="P33" s="52"/>
      <c r="Q33" s="101"/>
      <c r="R33" s="101"/>
      <c r="S33" s="101"/>
      <c r="T33" s="101"/>
      <c r="U33" s="39"/>
      <c r="W33" s="156" t="str">
        <f t="shared" si="1"/>
        <v>Actual</v>
      </c>
      <c r="X33" s="857">
        <f>_BS!X33</f>
        <v>-1</v>
      </c>
      <c r="Y33" s="3183">
        <v>2</v>
      </c>
      <c r="Z33" s="3291" cm="1">
        <f t="array" ref="Z33">_xlfn.SWITCH(TRUE,_BS!$L33=TRUE,1,_BS!$L33=FALSE,-1,_BS!$L33=-1,0,"n/a")</f>
        <v>1</v>
      </c>
      <c r="AA33" s="200"/>
      <c r="AB33" s="3343" t="str">
        <f>_BS!AB33</f>
        <v>Junior Instrument(s): e.g. Second Lien (Junior) or Unsecured Notes</v>
      </c>
      <c r="AC33" s="88" t="str" cm="1">
        <f t="array" ca="1" aca="1" ref="AC33">_xlfn.LET(_xlpm._termname,$AB33,_xlpm._iconname,"find",_xlpm._icon,fx_getIcon(_xlpm._iconname),_xlpm._location,_xlfn.XLOOKUP(LOWER(_xlpm._termname),LOWER(tbl_acctDef[Term]),tbl_acctDef[Term]),_xlpm._hyperlink,HYPERLINK("#"&amp;CELL("address",_xlpm._location),_xlpm._icon),IFERROR(_xlpm._hyperlink,""))</f>
        <v/>
      </c>
      <c r="AD33" s="3229">
        <v>1</v>
      </c>
      <c r="AE33" s="3229">
        <v>1</v>
      </c>
      <c r="AF33" s="3229">
        <v>1</v>
      </c>
      <c r="AG33" s="3229">
        <v>1</v>
      </c>
      <c r="AH33" s="3229">
        <v>1</v>
      </c>
      <c r="AI33" s="3229">
        <v>1</v>
      </c>
      <c r="AJ33" s="3229">
        <v>1</v>
      </c>
      <c r="AK33" s="3229">
        <v>1</v>
      </c>
      <c r="AL33" s="3229">
        <v>1</v>
      </c>
      <c r="AM33" s="3229">
        <v>1</v>
      </c>
      <c r="AN33" s="3229">
        <v>1</v>
      </c>
      <c r="AO33" s="3229">
        <v>1</v>
      </c>
      <c r="AP33" s="3229">
        <v>1</v>
      </c>
      <c r="AQ33" s="3229">
        <v>1</v>
      </c>
      <c r="AR33" s="3229">
        <v>1</v>
      </c>
      <c r="AS33" s="3229">
        <v>1</v>
      </c>
      <c r="AT33" s="3229">
        <v>1</v>
      </c>
      <c r="AU33" s="3229">
        <v>1</v>
      </c>
      <c r="AV33" s="3229">
        <v>1</v>
      </c>
      <c r="AW33" s="3229">
        <v>1</v>
      </c>
      <c r="AX33" s="3229">
        <v>1</v>
      </c>
      <c r="AY33" s="3229">
        <v>1</v>
      </c>
      <c r="AZ33" s="3229">
        <v>1</v>
      </c>
      <c r="BA33" s="3229">
        <v>1</v>
      </c>
      <c r="BB33" s="3229">
        <v>1</v>
      </c>
      <c r="BC33" s="3229">
        <v>1</v>
      </c>
      <c r="BD33" s="3229">
        <v>1</v>
      </c>
      <c r="BE33" s="3229">
        <v>1</v>
      </c>
      <c r="BF33" s="3229">
        <v>1</v>
      </c>
      <c r="BG33" s="3229">
        <v>1</v>
      </c>
      <c r="BH33" s="3229">
        <v>1</v>
      </c>
      <c r="BI33" s="3229">
        <v>1</v>
      </c>
      <c r="BJ33" s="3229">
        <v>1</v>
      </c>
      <c r="BK33" s="3229">
        <v>1</v>
      </c>
      <c r="BL33" s="3229">
        <v>1</v>
      </c>
      <c r="BM33" s="3229">
        <v>1</v>
      </c>
      <c r="BN33" s="3229">
        <v>1</v>
      </c>
      <c r="BO33" s="2095"/>
      <c r="BP33" s="2095"/>
      <c r="BQ33" s="2095"/>
      <c r="BR33" s="2095"/>
      <c r="BS33" s="2095"/>
      <c r="BT33" s="2095"/>
      <c r="BU33" s="2095"/>
      <c r="BV33" s="2095"/>
      <c r="BW33" s="2095"/>
      <c r="BX33" s="2095"/>
      <c r="BY33" s="2095"/>
      <c r="BZ33" s="2095"/>
      <c r="CA33" s="926"/>
      <c r="CB33" s="921"/>
      <c r="CC33" s="927"/>
      <c r="CD33" s="2069" t="e" cm="1">
        <f t="array" ca="1" aca="1" ref="CD33">_xlfn.XLOOKUP(BS!CD$11,array_timeline,BS!$AD33:$BN33)</f>
        <v>#NAME?</v>
      </c>
      <c r="CE33" s="2069" t="e" cm="1">
        <f t="array" ca="1" aca="1" ref="CE33">_xlfn.XLOOKUP(BS!CE$11,array_timeline,BS!$AD33:$BN33)</f>
        <v>#NAME?</v>
      </c>
      <c r="CF33" s="925"/>
      <c r="CG33" s="3342" t="e" cm="1">
        <f t="array" ca="1" aca="1" ref="CG33">TODECIMAL(IFBLANK(_BS!CG33,""),fxVal_normal)</f>
        <v>#NAME?</v>
      </c>
      <c r="CH33" s="3342" t="e" cm="1">
        <f t="array" ca="1" aca="1" ref="CH33">TODECIMAL(IFBLANK(_BS!CH33,""),fxVal_normal)</f>
        <v>#NAME?</v>
      </c>
      <c r="CI33" s="200"/>
      <c r="CK33" s="2085" t="str" cm="1">
        <f t="array" ca="1" aca="1" ref="CK33">IFERROR(IF(Y33&lt;&gt;AB33,_xldudf_CX_PUSH(Y33,CX_ENTITY,C33,EOMONTH(val_asOfDate,0)),""),"")</f>
        <v/>
      </c>
      <c r="CL33" s="2085" t="str" cm="1">
        <f t="array" ca="1" aca="1" ref="CL33">IFERROR(IF(Y33&lt;&gt;AB33,_xldudf_CX_PUSH(Y33,CX_ENTITY,C33,EOMONTH(val_asOfDate,1)),""),"")</f>
        <v/>
      </c>
      <c r="CM33" s="2085" t="str" cm="1">
        <f t="array" ca="1" aca="1" ref="CM33">IFERROR(IF(Y33&lt;&gt;AB33,_xldudf_CX_PUSH(Y33,CX_ENTITY,C33,EOMONTH(val_asOfDate,2)),""),"")</f>
        <v/>
      </c>
      <c r="CN33" s="2085" t="str" cm="1">
        <f t="array" ca="1" aca="1" ref="CN33">IFERROR(IF(Y33&lt;&gt;AB33,_xldudf_CX_PUSH(Y33,CX_ENTITY,C33,EOMONTH(val_asOfDate,3)),""),"")</f>
        <v/>
      </c>
      <c r="CO33" s="2086" t="str" cm="1">
        <f t="array" ca="1" aca="1" ref="CO33">IFERROR(IF(CG33*fxVal_normal=_BS!CG33,"",IF(OR($CG33="",$CG33=0,NOT(ISNUMBER($CG33)),ISERROR($CG33),$B33=""),"",IF($I33=1,IFBLANK(_xldudf_CX_PUSH($CG33*10^6,CX_ENTITY,$B33,$CG$11,$CG$14,$CG$19,),""),IF($I33=2,IFBLANK(_xldudf_CX_PUSH($CG33,CX_ENTITY,$B33,$CG$11,$CG$14,$CG$19,),""),IF($I33=3,"",IFBLANK(_xldudf_CX_PUSH($CG33,CX_ENTITY,$B33,$CG$11,$CG$14,$CG$19,),"")))))),"")</f>
        <v/>
      </c>
      <c r="CP33" s="2086" t="str" cm="1">
        <f t="array" ca="1" aca="1" ref="CP33">IFERROR(IF(CH33*fxVal_normal=_BS!CH33,"",IF(OR($CH33="",$CH33=0,NOT(ISNUMBER($CH33)),ISERROR($CH33),$B33=""),"",IF($I33=1,IFBLANK(_xldudf_CX_PUSH($CH33*10^6,CX_ENTITY,$B33,$CH$11,$CH$14,$CH$19,),""),IF($I33=2,IFBLANK(_xldudf_CX_PUSH($CH33,CX_ENTITY,$B33,$CH$11,$CH$14,$CH$19,),""),IF($I33=3,"",IFBLANK(_xldudf_CX_PUSH($CH33,CX_ENTITY,$B33,$CH$11,$CH$14,$CH$19,),"")))))),"")</f>
        <v/>
      </c>
      <c r="CQ33" s="1883" t="str" cm="1">
        <f t="array" ca="1" aca="1" ref="CQ33">IFERROR(IF(AD33*fxVal_normal=_BS!AD33,"",IF(OR(AD33="",NOT(ISNUMBER(AD33)),ISERROR(AD33),$B33=""),"",IF($I33=1,IFBLANK(_xldudf_CX_PUSH(AD33*fxVal_normal,CX_ENTITY,$B33,AD$11,AD$14,AD$19,),""),IF($I33=2,IFBLANK(_xldudf_CX_PUSH(AD33,CX_ENTITY,$B33,AD$11,AD$14,AD$19,),""),IF($I33=3,"",IFBLANK(_xldudf_CX_PUSH(AD33,CX_ENTITY,$B33,AD$11,AD$14,AD$19,),"")))))),"")</f>
        <v/>
      </c>
      <c r="CR33" s="1883" t="str" cm="1">
        <f t="array" ca="1" aca="1" ref="CR33">IFERROR(IF(AE33*fxVal_normal=_BS!AE33,"",IF(OR(AE33="",NOT(ISNUMBER(AE33)),ISERROR(AE33),$B33=""),"",IF($I33=1,IFBLANK(_xldudf_CX_PUSH(AE33*fxVal_normal,CX_ENTITY,$B33,AE$11,AE$14,AE$19,),""),IF($I33=2,IFBLANK(_xldudf_CX_PUSH(AE33,CX_ENTITY,$B33,AE$11,AE$14,AE$19,),""),IF($I33=3,"",IFBLANK(_xldudf_CX_PUSH(AE33,CX_ENTITY,$B33,AE$11,AE$14,AE$19,),"")))))),"")</f>
        <v/>
      </c>
      <c r="CS33" s="1883" t="str" cm="1">
        <f t="array" ca="1" aca="1" ref="CS33">IFERROR(IF(AF33*fxVal_normal=_BS!AF33,"",IF(OR(AF33="",NOT(ISNUMBER(AF33)),ISERROR(AF33),$B33=""),"",IF($I33=1,IFBLANK(_xldudf_CX_PUSH(AF33*fxVal_normal,CX_ENTITY,$B33,AF$11,AF$14,AF$19,),""),IF($I33=2,IFBLANK(_xldudf_CX_PUSH(AF33,CX_ENTITY,$B33,AF$11,AF$14,AF$19,),""),IF($I33=3,"",IFBLANK(_xldudf_CX_PUSH(AF33,CX_ENTITY,$B33,AF$11,AF$14,AF$19,),"")))))),"")</f>
        <v/>
      </c>
      <c r="CT33" s="1883" t="str" cm="1">
        <f t="array" ca="1" aca="1" ref="CT33">IFERROR(IF(AG33*fxVal_normal=_BS!AG33,"",IF(OR(AG33="",NOT(ISNUMBER(AG33)),ISERROR(AG33),$B33=""),"",IF($I33=1,IFBLANK(_xldudf_CX_PUSH(AG33*fxVal_normal,CX_ENTITY,$B33,AG$11,AG$14,AG$19,),""),IF($I33=2,IFBLANK(_xldudf_CX_PUSH(AG33,CX_ENTITY,$B33,AG$11,AG$14,AG$19,),""),IF($I33=3,"",IFBLANK(_xldudf_CX_PUSH(AG33,CX_ENTITY,$B33,AG$11,AG$14,AG$19,),"")))))),"")</f>
        <v/>
      </c>
      <c r="CU33" s="1883" t="str" cm="1">
        <f t="array" ca="1" aca="1" ref="CU33">IFERROR(IF(AH33*fxVal_normal=_BS!AH33,"",IF(OR(AH33="",NOT(ISNUMBER(AH33)),ISERROR(AH33),$B33=""),"",IF($I33=1,IFBLANK(_xldudf_CX_PUSH(AH33*fxVal_normal,CX_ENTITY,$B33,AH$11,AH$14,AH$19,),""),IF($I33=2,IFBLANK(_xldudf_CX_PUSH(AH33,CX_ENTITY,$B33,AH$11,AH$14,AH$19,),""),IF($I33=3,"",IFBLANK(_xldudf_CX_PUSH(AH33,CX_ENTITY,$B33,AH$11,AH$14,AH$19,),"")))))),"")</f>
        <v/>
      </c>
      <c r="CV33" s="1883" t="str" cm="1">
        <f t="array" ca="1" aca="1" ref="CV33">IFERROR(IF(AI33*fxVal_normal=_BS!AI33,"",IF(OR(AI33="",NOT(ISNUMBER(AI33)),ISERROR(AI33),$B33=""),"",IF($I33=1,IFBLANK(_xldudf_CX_PUSH(AI33*fxVal_normal,CX_ENTITY,$B33,AI$11,AI$14,AI$19,),""),IF($I33=2,IFBLANK(_xldudf_CX_PUSH(AI33,CX_ENTITY,$B33,AI$11,AI$14,AI$19,),""),IF($I33=3,"",IFBLANK(_xldudf_CX_PUSH(AI33,CX_ENTITY,$B33,AI$11,AI$14,AI$19,),"")))))),"")</f>
        <v/>
      </c>
      <c r="CW33" s="1883" t="str" cm="1">
        <f t="array" ca="1" aca="1" ref="CW33">IFERROR(IF(AJ33*fxVal_normal=_BS!AJ33,"",IF(OR(AJ33="",NOT(ISNUMBER(AJ33)),ISERROR(AJ33),$B33=""),"",IF($I33=1,IFBLANK(_xldudf_CX_PUSH(AJ33*fxVal_normal,CX_ENTITY,$B33,AJ$11,AJ$14,AJ$19,),""),IF($I33=2,IFBLANK(_xldudf_CX_PUSH(AJ33,CX_ENTITY,$B33,AJ$11,AJ$14,AJ$19,),""),IF($I33=3,"",IFBLANK(_xldudf_CX_PUSH(AJ33,CX_ENTITY,$B33,AJ$11,AJ$14,AJ$19,),"")))))),"")</f>
        <v/>
      </c>
      <c r="CX33" s="1883" t="str" cm="1">
        <f t="array" ca="1" aca="1" ref="CX33">IFERROR(IF(AK33*fxVal_normal=_BS!AK33,"",IF(OR(AK33="",NOT(ISNUMBER(AK33)),ISERROR(AK33),$B33=""),"",IF($I33=1,IFBLANK(_xldudf_CX_PUSH(AK33*fxVal_normal,CX_ENTITY,$B33,AK$11,AK$14,AK$19,),""),IF($I33=2,IFBLANK(_xldudf_CX_PUSH(AK33,CX_ENTITY,$B33,AK$11,AK$14,AK$19,),""),IF($I33=3,"",IFBLANK(_xldudf_CX_PUSH(AK33,CX_ENTITY,$B33,AK$11,AK$14,AK$19,),"")))))),"")</f>
        <v/>
      </c>
      <c r="CY33" s="1883" t="str" cm="1">
        <f t="array" ca="1" aca="1" ref="CY33">IFERROR(IF(AL33*fxVal_normal=_BS!AL33,"",IF(OR(AL33="",NOT(ISNUMBER(AL33)),ISERROR(AL33),$B33=""),"",IF($I33=1,IFBLANK(_xldudf_CX_PUSH(AL33*fxVal_normal,CX_ENTITY,$B33,AL$11,AL$14,AL$19,),""),IF($I33=2,IFBLANK(_xldudf_CX_PUSH(AL33,CX_ENTITY,$B33,AL$11,AL$14,AL$19,),""),IF($I33=3,"",IFBLANK(_xldudf_CX_PUSH(AL33,CX_ENTITY,$B33,AL$11,AL$14,AL$19,),"")))))),"")</f>
        <v/>
      </c>
      <c r="CZ33" s="1883" t="str" cm="1">
        <f t="array" ca="1" aca="1" ref="CZ33">IFERROR(IF(AM33*fxVal_normal=_BS!AM33,"",IF(OR(AM33="",NOT(ISNUMBER(AM33)),ISERROR(AM33),$B33=""),"",IF($I33=1,IFBLANK(_xldudf_CX_PUSH(AM33*fxVal_normal,CX_ENTITY,$B33,AM$11,AM$14,AM$19,),""),IF($I33=2,IFBLANK(_xldudf_CX_PUSH(AM33,CX_ENTITY,$B33,AM$11,AM$14,AM$19,),""),IF($I33=3,"",IFBLANK(_xldudf_CX_PUSH(AM33,CX_ENTITY,$B33,AM$11,AM$14,AM$19,),"")))))),"")</f>
        <v/>
      </c>
      <c r="DA33" s="1883" t="str" cm="1">
        <f t="array" ca="1" aca="1" ref="DA33">IFERROR(IF(AN33*fxVal_normal=_BS!AN33,"",IF(OR(AN33="",NOT(ISNUMBER(AN33)),ISERROR(AN33),$B33=""),"",IF($I33=1,IFBLANK(_xldudf_CX_PUSH(AN33*fxVal_normal,CX_ENTITY,$B33,AN$11,AN$14,AN$19,),""),IF($I33=2,IFBLANK(_xldudf_CX_PUSH(AN33,CX_ENTITY,$B33,AN$11,AN$14,AN$19,),""),IF($I33=3,"",IFBLANK(_xldudf_CX_PUSH(AN33,CX_ENTITY,$B33,AN$11,AN$14,AN$19,),"")))))),"")</f>
        <v/>
      </c>
      <c r="DB33" s="1883" t="str" cm="1">
        <f t="array" ca="1" aca="1" ref="DB33">IFERROR(IF(AO33*fxVal_normal=_BS!AO33,"",IF(OR(AO33="",NOT(ISNUMBER(AO33)),ISERROR(AO33),$B33=""),"",IF($I33=1,IFBLANK(_xldudf_CX_PUSH(AO33*fxVal_normal,CX_ENTITY,$B33,AO$11,AO$14,AO$19,),""),IF($I33=2,IFBLANK(_xldudf_CX_PUSH(AO33,CX_ENTITY,$B33,AO$11,AO$14,AO$19,),""),IF($I33=3,"",IFBLANK(_xldudf_CX_PUSH(AO33,CX_ENTITY,$B33,AO$11,AO$14,AO$19,),"")))))),"")</f>
        <v/>
      </c>
      <c r="DC33" s="1883" t="str" cm="1">
        <f t="array" ca="1" aca="1" ref="DC33">IFERROR(IF(AP33*fxVal_normal=_BS!AP33,"",IF(OR(AP33="",NOT(ISNUMBER(AP33)),ISERROR(AP33),$B33=""),"",IF($I33=1,IFBLANK(_xldudf_CX_PUSH(AP33*fxVal_normal,CX_ENTITY,$B33,AP$11,AP$14,AP$19,),""),IF($I33=2,IFBLANK(_xldudf_CX_PUSH(AP33,CX_ENTITY,$B33,AP$11,AP$14,AP$19,),""),IF($I33=3,"",IFBLANK(_xldudf_CX_PUSH(AP33,CX_ENTITY,$B33,AP$11,AP$14,AP$19,),"")))))),"")</f>
        <v/>
      </c>
      <c r="DD33" s="1883" t="str" cm="1">
        <f t="array" ca="1" aca="1" ref="DD33">IFERROR(IF(AQ33*fxVal_normal=_BS!AQ33,"",IF(OR(AQ33="",NOT(ISNUMBER(AQ33)),ISERROR(AQ33),$B33=""),"",IF($I33=1,IFBLANK(_xldudf_CX_PUSH(AQ33*fxVal_normal,CX_ENTITY,$B33,AQ$11,AQ$14,AQ$19,),""),IF($I33=2,IFBLANK(_xldudf_CX_PUSH(AQ33,CX_ENTITY,$B33,AQ$11,AQ$14,AQ$19,),""),IF($I33=3,"",IFBLANK(_xldudf_CX_PUSH(AQ33,CX_ENTITY,$B33,AQ$11,AQ$14,AQ$19,),"")))))),"")</f>
        <v/>
      </c>
      <c r="DE33" s="1883" t="str" cm="1">
        <f t="array" ca="1" aca="1" ref="DE33">IFERROR(IF(AR33*fxVal_normal=_BS!AR33,"",IF(OR(AR33="",NOT(ISNUMBER(AR33)),ISERROR(AR33),$B33=""),"",IF($I33=1,IFBLANK(_xldudf_CX_PUSH(AR33*fxVal_normal,CX_ENTITY,$B33,AR$11,AR$14,AR$19,),""),IF($I33=2,IFBLANK(_xldudf_CX_PUSH(AR33,CX_ENTITY,$B33,AR$11,AR$14,AR$19,),""),IF($I33=3,"",IFBLANK(_xldudf_CX_PUSH(AR33,CX_ENTITY,$B33,AR$11,AR$14,AR$19,),"")))))),"")</f>
        <v/>
      </c>
      <c r="DF33" s="1883" t="str" cm="1">
        <f t="array" ca="1" aca="1" ref="DF33">IFERROR(IF(AS33*fxVal_normal=_BS!AS33,"",IF(OR(AS33="",NOT(ISNUMBER(AS33)),ISERROR(AS33),$B33=""),"",IF($I33=1,IFBLANK(_xldudf_CX_PUSH(AS33*fxVal_normal,CX_ENTITY,$B33,AS$11,AS$14,AS$19,),""),IF($I33=2,IFBLANK(_xldudf_CX_PUSH(AS33,CX_ENTITY,$B33,AS$11,AS$14,AS$19,),""),IF($I33=3,"",IFBLANK(_xldudf_CX_PUSH(AS33,CX_ENTITY,$B33,AS$11,AS$14,AS$19,),"")))))),"")</f>
        <v/>
      </c>
      <c r="DG33" s="1883" t="str" cm="1">
        <f t="array" ca="1" aca="1" ref="DG33">IFERROR(IF(AT33*fxVal_normal=_BS!AT33,"",IF(OR(AT33="",NOT(ISNUMBER(AT33)),ISERROR(AT33),$B33=""),"",IF($I33=1,IFBLANK(_xldudf_CX_PUSH(AT33*fxVal_normal,CX_ENTITY,$B33,AT$11,AT$14,AT$19,),""),IF($I33=2,IFBLANK(_xldudf_CX_PUSH(AT33,CX_ENTITY,$B33,AT$11,AT$14,AT$19,),""),IF($I33=3,"",IFBLANK(_xldudf_CX_PUSH(AT33,CX_ENTITY,$B33,AT$11,AT$14,AT$19,),"")))))),"")</f>
        <v/>
      </c>
      <c r="DH33" s="1883" t="str" cm="1">
        <f t="array" ca="1" aca="1" ref="DH33">IFERROR(IF(AU33*fxVal_normal=_BS!AU33,"",IF(OR(AU33="",NOT(ISNUMBER(AU33)),ISERROR(AU33),$B33=""),"",IF($I33=1,IFBLANK(_xldudf_CX_PUSH(AU33*fxVal_normal,CX_ENTITY,$B33,AU$11,AU$14,AU$19,),""),IF($I33=2,IFBLANK(_xldudf_CX_PUSH(AU33,CX_ENTITY,$B33,AU$11,AU$14,AU$19,),""),IF($I33=3,"",IFBLANK(_xldudf_CX_PUSH(AU33,CX_ENTITY,$B33,AU$11,AU$14,AU$19,),"")))))),"")</f>
        <v/>
      </c>
      <c r="DI33" s="1883" t="str" cm="1">
        <f t="array" ca="1" aca="1" ref="DI33">IFERROR(IF(AV33*fxVal_normal=_BS!AV33,"",IF(OR(AV33="",NOT(ISNUMBER(AV33)),ISERROR(AV33),$B33=""),"",IF($I33=1,IFBLANK(_xldudf_CX_PUSH(AV33*fxVal_normal,CX_ENTITY,$B33,AV$11,AV$14,AV$19,),""),IF($I33=2,IFBLANK(_xldudf_CX_PUSH(AV33,CX_ENTITY,$B33,AV$11,AV$14,AV$19,),""),IF($I33=3,"",IFBLANK(_xldudf_CX_PUSH(AV33,CX_ENTITY,$B33,AV$11,AV$14,AV$19,),"")))))),"")</f>
        <v/>
      </c>
      <c r="DJ33" s="1883" t="str" cm="1">
        <f t="array" ca="1" aca="1" ref="DJ33">IFERROR(IF(AW33*fxVal_normal=_BS!AW33,"",IF(OR(AW33="",NOT(ISNUMBER(AW33)),ISERROR(AW33),$B33=""),"",IF($I33=1,IFBLANK(_xldudf_CX_PUSH(AW33*fxVal_normal,CX_ENTITY,$B33,AW$11,AW$14,AW$19,),""),IF($I33=2,IFBLANK(_xldudf_CX_PUSH(AW33,CX_ENTITY,$B33,AW$11,AW$14,AW$19,),""),IF($I33=3,"",IFBLANK(_xldudf_CX_PUSH(AW33,CX_ENTITY,$B33,AW$11,AW$14,AW$19,),"")))))),"")</f>
        <v/>
      </c>
      <c r="DK33" s="1883" t="str" cm="1">
        <f t="array" ca="1" aca="1" ref="DK33">IFERROR(IF(AX33*fxVal_normal=_BS!AX33,"",IF(OR(AX33="",NOT(ISNUMBER(AX33)),ISERROR(AX33),$B33=""),"",IF($I33=1,IFBLANK(_xldudf_CX_PUSH(AX33*fxVal_normal,CX_ENTITY,$B33,AX$11,AX$14,AX$19,),""),IF($I33=2,IFBLANK(_xldudf_CX_PUSH(AX33,CX_ENTITY,$B33,AX$11,AX$14,AX$19,),""),IF($I33=3,"",IFBLANK(_xldudf_CX_PUSH(AX33,CX_ENTITY,$B33,AX$11,AX$14,AX$19,),"")))))),"")</f>
        <v/>
      </c>
      <c r="DL33" s="1883" t="str" cm="1">
        <f t="array" ca="1" aca="1" ref="DL33">IFERROR(IF(AY33*fxVal_normal=_BS!AY33,"",IF(OR(AY33="",NOT(ISNUMBER(AY33)),ISERROR(AY33),$B33=""),"",IF($I33=1,IFBLANK(_xldudf_CX_PUSH(AY33*fxVal_normal,CX_ENTITY,$B33,AY$11,AY$14,AY$19,),""),IF($I33=2,IFBLANK(_xldudf_CX_PUSH(AY33,CX_ENTITY,$B33,AY$11,AY$14,AY$19,),""),IF($I33=3,"",IFBLANK(_xldudf_CX_PUSH(AY33,CX_ENTITY,$B33,AY$11,AY$14,AY$19,),"")))))),"")</f>
        <v/>
      </c>
      <c r="DM33" s="1883" t="str" cm="1">
        <f t="array" ca="1" aca="1" ref="DM33">IFERROR(IF(AZ33*fxVal_normal=_BS!AZ33,"",IF(OR(AZ33="",NOT(ISNUMBER(AZ33)),ISERROR(AZ33),$B33=""),"",IF($I33=1,IFBLANK(_xldudf_CX_PUSH(AZ33*fxVal_normal,CX_ENTITY,$B33,AZ$11,AZ$14,AZ$19,),""),IF($I33=2,IFBLANK(_xldudf_CX_PUSH(AZ33,CX_ENTITY,$B33,AZ$11,AZ$14,AZ$19,),""),IF($I33=3,"",IFBLANK(_xldudf_CX_PUSH(AZ33,CX_ENTITY,$B33,AZ$11,AZ$14,AZ$19,),"")))))),"")</f>
        <v/>
      </c>
      <c r="DN33" s="1883" t="str" cm="1">
        <f t="array" ca="1" aca="1" ref="DN33">IFERROR(IF(BA33*fxVal_normal=_BS!BA33,"",IF(OR(BA33="",NOT(ISNUMBER(BA33)),ISERROR(BA33),$B33=""),"",IF($I33=1,IFBLANK(_xldudf_CX_PUSH(BA33*fxVal_normal,CX_ENTITY,$B33,BA$11,BA$14,BA$19,),""),IF($I33=2,IFBLANK(_xldudf_CX_PUSH(BA33,CX_ENTITY,$B33,BA$11,BA$14,BA$19,),""),IF($I33=3,"",IFBLANK(_xldudf_CX_PUSH(BA33,CX_ENTITY,$B33,BA$11,BA$14,BA$19,),"")))))),"")</f>
        <v/>
      </c>
      <c r="DO33" s="1883" t="str" cm="1">
        <f t="array" ca="1" aca="1" ref="DO33">IFERROR(IF(BB33*fxVal_normal=_BS!BB33,"",IF(OR(BB33="",NOT(ISNUMBER(BB33)),ISERROR(BB33),$B33=""),"",IF($I33=1,IFBLANK(_xldudf_CX_PUSH(BB33*fxVal_normal,CX_ENTITY,$B33,BB$11,BB$14,BB$19,),""),IF($I33=2,IFBLANK(_xldudf_CX_PUSH(BB33,CX_ENTITY,$B33,BB$11,BB$14,BB$19,),""),IF($I33=3,"",IFBLANK(_xldudf_CX_PUSH(BB33,CX_ENTITY,$B33,BB$11,BB$14,BB$19,),"")))))),"")</f>
        <v/>
      </c>
      <c r="DP33" s="1883" t="str" cm="1">
        <f t="array" ca="1" aca="1" ref="DP33">IFERROR(IF(BC33*fxVal_normal=_BS!BC33,"",IF(OR(BC33="",NOT(ISNUMBER(BC33)),ISERROR(BC33),$B33=""),"",IF($I33=1,IFBLANK(_xldudf_CX_PUSH(BC33*fxVal_normal,CX_ENTITY,$B33,BC$11,BC$14,BC$19,),""),IF($I33=2,IFBLANK(_xldudf_CX_PUSH(BC33,CX_ENTITY,$B33,BC$11,BC$14,BC$19,),""),IF($I33=3,"",IFBLANK(_xldudf_CX_PUSH(BC33,CX_ENTITY,$B33,BC$11,BC$14,BC$19,),"")))))),"")</f>
        <v/>
      </c>
      <c r="DQ33" s="1883" t="str" cm="1">
        <f t="array" ca="1" aca="1" ref="DQ33">IFERROR(IF(BD33*fxVal_normal=_BS!BD33,"",IF(OR(BD33="",NOT(ISNUMBER(BD33)),ISERROR(BD33),$B33=""),"",IF($I33=1,IFBLANK(_xldudf_CX_PUSH(BD33*fxVal_normal,CX_ENTITY,$B33,BD$11,BD$14,BD$19,),""),IF($I33=2,IFBLANK(_xldudf_CX_PUSH(BD33,CX_ENTITY,$B33,BD$11,BD$14,BD$19,),""),IF($I33=3,"",IFBLANK(_xldudf_CX_PUSH(BD33,CX_ENTITY,$B33,BD$11,BD$14,BD$19,),"")))))),"")</f>
        <v/>
      </c>
      <c r="DR33" s="1883" t="str" cm="1">
        <f t="array" ca="1" aca="1" ref="DR33">IFERROR(IF(BE33*fxVal_normal=_BS!BE33,"",IF(OR(BE33="",NOT(ISNUMBER(BE33)),ISERROR(BE33),$B33=""),"",IF($I33=1,IFBLANK(_xldudf_CX_PUSH(BE33*fxVal_normal,CX_ENTITY,$B33,BE$11,BE$14,BE$19,),""),IF($I33=2,IFBLANK(_xldudf_CX_PUSH(BE33,CX_ENTITY,$B33,BE$11,BE$14,BE$19,),""),IF($I33=3,"",IFBLANK(_xldudf_CX_PUSH(BE33,CX_ENTITY,$B33,BE$11,BE$14,BE$19,),"")))))),"")</f>
        <v/>
      </c>
      <c r="DS33" s="1883" t="str" cm="1">
        <f t="array" ca="1" aca="1" ref="DS33">IFERROR(IF(BF33*fxVal_normal=_BS!BF33,"",IF(OR(BF33="",NOT(ISNUMBER(BF33)),ISERROR(BF33),$B33=""),"",IF($I33=1,IFBLANK(_xldudf_CX_PUSH(BF33*fxVal_normal,CX_ENTITY,$B33,BF$11,BF$14,BF$19,),""),IF($I33=2,IFBLANK(_xldudf_CX_PUSH(BF33,CX_ENTITY,$B33,BF$11,BF$14,BF$19,),""),IF($I33=3,"",IFBLANK(_xldudf_CX_PUSH(BF33,CX_ENTITY,$B33,BF$11,BF$14,BF$19,),"")))))),"")</f>
        <v/>
      </c>
      <c r="DT33" s="1883" t="str" cm="1">
        <f t="array" ca="1" aca="1" ref="DT33">IFERROR(IF(BG33*fxVal_normal=_BS!BG33,"",IF(OR(BG33="",NOT(ISNUMBER(BG33)),ISERROR(BG33),$B33=""),"",IF($I33=1,IFBLANK(_xldudf_CX_PUSH(BG33*fxVal_normal,CX_ENTITY,$B33,BG$11,BG$14,BG$19,),""),IF($I33=2,IFBLANK(_xldudf_CX_PUSH(BG33,CX_ENTITY,$B33,BG$11,BG$14,BG$19,),""),IF($I33=3,"",IFBLANK(_xldudf_CX_PUSH(BG33,CX_ENTITY,$B33,BG$11,BG$14,BG$19,),"")))))),"")</f>
        <v/>
      </c>
      <c r="DU33" s="1883" t="str" cm="1">
        <f t="array" ca="1" aca="1" ref="DU33">IFERROR(IF(BH33*fxVal_normal=_BS!BH33,"",IF(OR(BH33="",NOT(ISNUMBER(BH33)),ISERROR(BH33),$B33=""),"",IF($I33=1,IFBLANK(_xldudf_CX_PUSH(BH33*fxVal_normal,CX_ENTITY,$B33,BH$11,BH$14,BH$19,),""),IF($I33=2,IFBLANK(_xldudf_CX_PUSH(BH33,CX_ENTITY,$B33,BH$11,BH$14,BH$19,),""),IF($I33=3,"",IFBLANK(_xldudf_CX_PUSH(BH33,CX_ENTITY,$B33,BH$11,BH$14,BH$19,),"")))))),"")</f>
        <v/>
      </c>
      <c r="DV33" s="1883" t="str" cm="1">
        <f t="array" ca="1" aca="1" ref="DV33">IFERROR(IF(BI33*fxVal_normal=_BS!BI33,"",IF(OR(BI33="",NOT(ISNUMBER(BI33)),ISERROR(BI33),$B33=""),"",IF($I33=1,IFBLANK(_xldudf_CX_PUSH(BI33*fxVal_normal,CX_ENTITY,$B33,BI$11,BI$14,BI$19,),""),IF($I33=2,IFBLANK(_xldudf_CX_PUSH(BI33,CX_ENTITY,$B33,BI$11,BI$14,BI$19,),""),IF($I33=3,"",IFBLANK(_xldudf_CX_PUSH(BI33,CX_ENTITY,$B33,BI$11,BI$14,BI$19,),"")))))),"")</f>
        <v/>
      </c>
      <c r="DW33" s="1883" t="str" cm="1">
        <f t="array" ca="1" aca="1" ref="DW33">IFERROR(IF(BJ33*fxVal_normal=_BS!BJ33,"",IF(OR(BJ33="",NOT(ISNUMBER(BJ33)),ISERROR(BJ33),$B33=""),"",IF($I33=1,IFBLANK(_xldudf_CX_PUSH(BJ33*fxVal_normal,CX_ENTITY,$B33,BJ$11,BJ$14,BJ$19,),""),IF($I33=2,IFBLANK(_xldudf_CX_PUSH(BJ33,CX_ENTITY,$B33,BJ$11,BJ$14,BJ$19,),""),IF($I33=3,"",IFBLANK(_xldudf_CX_PUSH(BJ33,CX_ENTITY,$B33,BJ$11,BJ$14,BJ$19,),"")))))),"")</f>
        <v/>
      </c>
      <c r="DX33" s="1883" t="str" cm="1">
        <f t="array" ca="1" aca="1" ref="DX33">IFERROR(IF(BK33*fxVal_normal=_BS!BK33,"",IF(OR(BK33="",NOT(ISNUMBER(BK33)),ISERROR(BK33),$B33=""),"",IF($I33=1,IFBLANK(_xldudf_CX_PUSH(BK33*fxVal_normal,CX_ENTITY,$B33,BK$11,BK$14,BK$19,),""),IF($I33=2,IFBLANK(_xldudf_CX_PUSH(BK33,CX_ENTITY,$B33,BK$11,BK$14,BK$19,),""),IF($I33=3,"",IFBLANK(_xldudf_CX_PUSH(BK33,CX_ENTITY,$B33,BK$11,BK$14,BK$19,),"")))))),"")</f>
        <v/>
      </c>
      <c r="DY33" s="1883" t="str" cm="1">
        <f t="array" ca="1" aca="1" ref="DY33">IFERROR(IF(BL33*fxVal_normal=_BS!BL33,"",IF(OR(BL33="",NOT(ISNUMBER(BL33)),ISERROR(BL33),$B33=""),"",IF($I33=1,IFBLANK(_xldudf_CX_PUSH(BL33*fxVal_normal,CX_ENTITY,$B33,BL$11,BL$14,BL$19,),""),IF($I33=2,IFBLANK(_xldudf_CX_PUSH(BL33,CX_ENTITY,$B33,BL$11,BL$14,BL$19,),""),IF($I33=3,"",IFBLANK(_xldudf_CX_PUSH(BL33,CX_ENTITY,$B33,BL$11,BL$14,BL$19,),"")))))),"")</f>
        <v/>
      </c>
      <c r="DZ33" s="1883" t="str" cm="1">
        <f t="array" ca="1" aca="1" ref="DZ33">IFERROR(IF(BM33*fxVal_normal=_BS!BM33,"",IF(OR(BM33="",NOT(ISNUMBER(BM33)),ISERROR(BM33),$B33=""),"",IF($I33=1,IFBLANK(_xldudf_CX_PUSH(BM33*fxVal_normal,CX_ENTITY,$B33,BM$11,BM$14,BM$19,),""),IF($I33=2,IFBLANK(_xldudf_CX_PUSH(BM33,CX_ENTITY,$B33,BM$11,BM$14,BM$19,),""),IF($I33=3,"",IFBLANK(_xldudf_CX_PUSH(BM33,CX_ENTITY,$B33,BM$11,BM$14,BM$19,),"")))))),"")</f>
        <v/>
      </c>
      <c r="EA33" s="1883" t="str" cm="1">
        <f t="array" ca="1" aca="1" ref="EA33">IFERROR(IF(BN33*fxVal_normal=_BS!BN33,"",IF(OR(BN33="",NOT(ISNUMBER(BN33)),ISERROR(BN33),$B33=""),"",IF($I33=1,IFBLANK(_xldudf_CX_PUSH(BN33*fxVal_normal,CX_ENTITY,$B33,BN$11,BN$14,BN$19,),""),IF($I33=2,IFBLANK(_xldudf_CX_PUSH(BN33,CX_ENTITY,$B33,BN$11,BN$14,BN$19,),""),IF($I33=3,"",IFBLANK(_xldudf_CX_PUSH(BN33,CX_ENTITY,$B33,BN$11,BN$14,BN$19,),"")))))),"")</f>
        <v/>
      </c>
    </row>
    <row r="34" spans="1:131" ht="21" customHeight="1">
      <c r="A34" s="1626"/>
      <c r="B34" s="811" t="str" cm="1">
        <f t="array" ref="B34">IFBLANK(_BS!F34,"")</f>
        <v>Others Instrument(s)</v>
      </c>
      <c r="C34" s="3346" t="str" cm="1">
        <f t="array" ref="C34">IFBLANK(_BS!C34,"")</f>
        <v>Others Instrument(s) (Company View)</v>
      </c>
      <c r="D34" s="1549"/>
      <c r="E34" s="1902" t="e" cm="1">
        <f t="array" ca="1" aca="1" ref="E3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34:$CH34,Z34)</f>
        <v>#NAME?</v>
      </c>
      <c r="F34" s="1897"/>
      <c r="G34" s="1897"/>
      <c r="H34" s="3280">
        <v>1</v>
      </c>
      <c r="I34" s="3280">
        <v>1</v>
      </c>
      <c r="J34" s="401"/>
      <c r="N34" s="158"/>
      <c r="O34" s="101"/>
      <c r="P34" s="52"/>
      <c r="Q34" s="101"/>
      <c r="R34" s="126"/>
      <c r="S34" s="101"/>
      <c r="T34" s="101"/>
      <c r="U34" s="39"/>
      <c r="W34" s="91" t="str">
        <f t="shared" si="1"/>
        <v>Actual</v>
      </c>
      <c r="X34" s="857">
        <f>_BS!X34</f>
        <v>-1</v>
      </c>
      <c r="Y34" s="3183">
        <v>2</v>
      </c>
      <c r="Z34" s="3291" cm="1">
        <f t="array" ref="Z34">_xlfn.SWITCH(TRUE,_BS!$L34=TRUE,1,_BS!$L34=FALSE,-1,_BS!$L34=-1,0,"n/a")</f>
        <v>1</v>
      </c>
      <c r="AA34" s="200"/>
      <c r="AB34" s="3343" t="str">
        <f>_BS!AB34</f>
        <v>Others Instrument(s)</v>
      </c>
      <c r="AC34" s="88" t="str" cm="1">
        <f t="array" ca="1" aca="1" ref="AC34">_xlfn.LET(_xlpm._termname,$AB34,_xlpm._iconname,"find",_xlpm._icon,fx_getIcon(_xlpm._iconname),_xlpm._location,_xlfn.XLOOKUP(LOWER(_xlpm._termname),LOWER(tbl_acctDef[Term]),tbl_acctDef[Term]),_xlpm._hyperlink,HYPERLINK("#"&amp;CELL("address",_xlpm._location),_xlpm._icon),IFERROR(_xlpm._hyperlink,""))</f>
        <v/>
      </c>
      <c r="AD34" s="3229">
        <v>1</v>
      </c>
      <c r="AE34" s="3229">
        <v>1</v>
      </c>
      <c r="AF34" s="3229">
        <v>1</v>
      </c>
      <c r="AG34" s="3229">
        <v>1</v>
      </c>
      <c r="AH34" s="3229">
        <v>1</v>
      </c>
      <c r="AI34" s="3229">
        <v>1</v>
      </c>
      <c r="AJ34" s="3229">
        <v>1</v>
      </c>
      <c r="AK34" s="3229">
        <v>1</v>
      </c>
      <c r="AL34" s="3229">
        <v>1</v>
      </c>
      <c r="AM34" s="3229">
        <v>1</v>
      </c>
      <c r="AN34" s="3229">
        <v>1</v>
      </c>
      <c r="AO34" s="3229">
        <v>1</v>
      </c>
      <c r="AP34" s="3229">
        <v>1</v>
      </c>
      <c r="AQ34" s="3229">
        <v>1</v>
      </c>
      <c r="AR34" s="3229">
        <v>1</v>
      </c>
      <c r="AS34" s="3229">
        <v>1</v>
      </c>
      <c r="AT34" s="3229">
        <v>1</v>
      </c>
      <c r="AU34" s="3229">
        <v>1</v>
      </c>
      <c r="AV34" s="3229">
        <v>1</v>
      </c>
      <c r="AW34" s="3229">
        <v>1</v>
      </c>
      <c r="AX34" s="3229">
        <v>1</v>
      </c>
      <c r="AY34" s="3229">
        <v>1</v>
      </c>
      <c r="AZ34" s="3229">
        <v>1</v>
      </c>
      <c r="BA34" s="3229">
        <v>1</v>
      </c>
      <c r="BB34" s="3229">
        <v>1</v>
      </c>
      <c r="BC34" s="3229">
        <v>1</v>
      </c>
      <c r="BD34" s="3229">
        <v>1</v>
      </c>
      <c r="BE34" s="3229">
        <v>1</v>
      </c>
      <c r="BF34" s="3229">
        <v>1</v>
      </c>
      <c r="BG34" s="3229">
        <v>1</v>
      </c>
      <c r="BH34" s="3229">
        <v>1</v>
      </c>
      <c r="BI34" s="3229">
        <v>1</v>
      </c>
      <c r="BJ34" s="3229">
        <v>1</v>
      </c>
      <c r="BK34" s="3229">
        <v>1</v>
      </c>
      <c r="BL34" s="3229">
        <v>1</v>
      </c>
      <c r="BM34" s="3229">
        <v>1</v>
      </c>
      <c r="BN34" s="3229">
        <v>1</v>
      </c>
      <c r="BO34" s="2095"/>
      <c r="BP34" s="2095"/>
      <c r="BQ34" s="2095"/>
      <c r="BR34" s="2095"/>
      <c r="BS34" s="2095"/>
      <c r="BT34" s="2095"/>
      <c r="BU34" s="2095"/>
      <c r="BV34" s="2095"/>
      <c r="BW34" s="2095"/>
      <c r="BX34" s="2095"/>
      <c r="BY34" s="2095"/>
      <c r="BZ34" s="2095"/>
      <c r="CA34" s="926"/>
      <c r="CB34" s="921"/>
      <c r="CC34" s="927"/>
      <c r="CD34" s="2069" t="e" cm="1">
        <f t="array" ca="1" aca="1" ref="CD34">_xlfn.XLOOKUP(BS!CD$11,array_timeline,BS!$AD34:$BN34)</f>
        <v>#NAME?</v>
      </c>
      <c r="CE34" s="2069" t="e" cm="1">
        <f t="array" ca="1" aca="1" ref="CE34">_xlfn.XLOOKUP(BS!CE$11,array_timeline,BS!$AD34:$BN34)</f>
        <v>#NAME?</v>
      </c>
      <c r="CF34" s="925"/>
      <c r="CG34" s="3342" t="e" cm="1">
        <f t="array" ca="1" aca="1" ref="CG34">TODECIMAL(IFBLANK(_BS!CG34,""),fxVal_normal)</f>
        <v>#NAME?</v>
      </c>
      <c r="CH34" s="3342" t="e" cm="1">
        <f t="array" ca="1" aca="1" ref="CH34">TODECIMAL(IFBLANK(_BS!CH34,""),fxVal_normal)</f>
        <v>#NAME?</v>
      </c>
      <c r="CI34" s="200"/>
      <c r="CK34" s="2085" t="str" cm="1">
        <f t="array" ca="1" aca="1" ref="CK34">IFERROR(IF(Y34&lt;&gt;AB34,_xldudf_CX_PUSH(Y34,CX_ENTITY,C34,EOMONTH(val_asOfDate,0)),""),"")</f>
        <v/>
      </c>
      <c r="CL34" s="2085" t="str" cm="1">
        <f t="array" ca="1" aca="1" ref="CL34">IFERROR(IF(Y34&lt;&gt;AB34,_xldudf_CX_PUSH(Y34,CX_ENTITY,C34,EOMONTH(val_asOfDate,1)),""),"")</f>
        <v/>
      </c>
      <c r="CM34" s="2085" t="str" cm="1">
        <f t="array" ca="1" aca="1" ref="CM34">IFERROR(IF(Y34&lt;&gt;AB34,_xldudf_CX_PUSH(Y34,CX_ENTITY,C34,EOMONTH(val_asOfDate,2)),""),"")</f>
        <v/>
      </c>
      <c r="CN34" s="2085" t="str" cm="1">
        <f t="array" ca="1" aca="1" ref="CN34">IFERROR(IF(Y34&lt;&gt;AB34,_xldudf_CX_PUSH(Y34,CX_ENTITY,C34,EOMONTH(val_asOfDate,3)),""),"")</f>
        <v/>
      </c>
      <c r="CO34" s="2086" t="str" cm="1">
        <f t="array" ca="1" aca="1" ref="CO34">IFERROR(IF(CG34*fxVal_normal=_BS!CG34,"",IF(OR($CG34="",$CG34=0,NOT(ISNUMBER($CG34)),ISERROR($CG34),$B34=""),"",IF($I34=1,IFBLANK(_xldudf_CX_PUSH($CG34*10^6,CX_ENTITY,$B34,$CG$11,$CG$14,$CG$19,),""),IF($I34=2,IFBLANK(_xldudf_CX_PUSH($CG34,CX_ENTITY,$B34,$CG$11,$CG$14,$CG$19,),""),IF($I34=3,"",IFBLANK(_xldudf_CX_PUSH($CG34,CX_ENTITY,$B34,$CG$11,$CG$14,$CG$19,),"")))))),"")</f>
        <v/>
      </c>
      <c r="CP34" s="2086" t="str" cm="1">
        <f t="array" ca="1" aca="1" ref="CP34">IFERROR(IF(CH34*fxVal_normal=_BS!CH34,"",IF(OR($CH34="",$CH34=0,NOT(ISNUMBER($CH34)),ISERROR($CH34),$B34=""),"",IF($I34=1,IFBLANK(_xldudf_CX_PUSH($CH34*10^6,CX_ENTITY,$B34,$CH$11,$CH$14,$CH$19,),""),IF($I34=2,IFBLANK(_xldudf_CX_PUSH($CH34,CX_ENTITY,$B34,$CH$11,$CH$14,$CH$19,),""),IF($I34=3,"",IFBLANK(_xldudf_CX_PUSH($CH34,CX_ENTITY,$B34,$CH$11,$CH$14,$CH$19,),"")))))),"")</f>
        <v/>
      </c>
      <c r="CQ34" s="1883" t="str" cm="1">
        <f t="array" ca="1" aca="1" ref="CQ34">IFERROR(IF(AD34*fxVal_normal=_BS!AD34,"",IF(OR(AD34="",NOT(ISNUMBER(AD34)),ISERROR(AD34),$B34=""),"",IF($I34=1,IFBLANK(_xldudf_CX_PUSH(AD34*fxVal_normal,CX_ENTITY,$B34,AD$11,AD$14,AD$19,),""),IF($I34=2,IFBLANK(_xldudf_CX_PUSH(AD34,CX_ENTITY,$B34,AD$11,AD$14,AD$19,),""),IF($I34=3,"",IFBLANK(_xldudf_CX_PUSH(AD34,CX_ENTITY,$B34,AD$11,AD$14,AD$19,),"")))))),"")</f>
        <v/>
      </c>
      <c r="CR34" s="1883" t="str" cm="1">
        <f t="array" ca="1" aca="1" ref="CR34">IFERROR(IF(AE34*fxVal_normal=_BS!AE34,"",IF(OR(AE34="",NOT(ISNUMBER(AE34)),ISERROR(AE34),$B34=""),"",IF($I34=1,IFBLANK(_xldudf_CX_PUSH(AE34*fxVal_normal,CX_ENTITY,$B34,AE$11,AE$14,AE$19,),""),IF($I34=2,IFBLANK(_xldudf_CX_PUSH(AE34,CX_ENTITY,$B34,AE$11,AE$14,AE$19,),""),IF($I34=3,"",IFBLANK(_xldudf_CX_PUSH(AE34,CX_ENTITY,$B34,AE$11,AE$14,AE$19,),"")))))),"")</f>
        <v/>
      </c>
      <c r="CS34" s="1883" t="str" cm="1">
        <f t="array" ca="1" aca="1" ref="CS34">IFERROR(IF(AF34*fxVal_normal=_BS!AF34,"",IF(OR(AF34="",NOT(ISNUMBER(AF34)),ISERROR(AF34),$B34=""),"",IF($I34=1,IFBLANK(_xldudf_CX_PUSH(AF34*fxVal_normal,CX_ENTITY,$B34,AF$11,AF$14,AF$19,),""),IF($I34=2,IFBLANK(_xldudf_CX_PUSH(AF34,CX_ENTITY,$B34,AF$11,AF$14,AF$19,),""),IF($I34=3,"",IFBLANK(_xldudf_CX_PUSH(AF34,CX_ENTITY,$B34,AF$11,AF$14,AF$19,),"")))))),"")</f>
        <v/>
      </c>
      <c r="CT34" s="1883" t="str" cm="1">
        <f t="array" ca="1" aca="1" ref="CT34">IFERROR(IF(AG34*fxVal_normal=_BS!AG34,"",IF(OR(AG34="",NOT(ISNUMBER(AG34)),ISERROR(AG34),$B34=""),"",IF($I34=1,IFBLANK(_xldudf_CX_PUSH(AG34*fxVal_normal,CX_ENTITY,$B34,AG$11,AG$14,AG$19,),""),IF($I34=2,IFBLANK(_xldudf_CX_PUSH(AG34,CX_ENTITY,$B34,AG$11,AG$14,AG$19,),""),IF($I34=3,"",IFBLANK(_xldudf_CX_PUSH(AG34,CX_ENTITY,$B34,AG$11,AG$14,AG$19,),"")))))),"")</f>
        <v/>
      </c>
      <c r="CU34" s="1883" t="str" cm="1">
        <f t="array" ca="1" aca="1" ref="CU34">IFERROR(IF(AH34*fxVal_normal=_BS!AH34,"",IF(OR(AH34="",NOT(ISNUMBER(AH34)),ISERROR(AH34),$B34=""),"",IF($I34=1,IFBLANK(_xldudf_CX_PUSH(AH34*fxVal_normal,CX_ENTITY,$B34,AH$11,AH$14,AH$19,),""),IF($I34=2,IFBLANK(_xldudf_CX_PUSH(AH34,CX_ENTITY,$B34,AH$11,AH$14,AH$19,),""),IF($I34=3,"",IFBLANK(_xldudf_CX_PUSH(AH34,CX_ENTITY,$B34,AH$11,AH$14,AH$19,),"")))))),"")</f>
        <v/>
      </c>
      <c r="CV34" s="1883" t="str" cm="1">
        <f t="array" ca="1" aca="1" ref="CV34">IFERROR(IF(AI34*fxVal_normal=_BS!AI34,"",IF(OR(AI34="",NOT(ISNUMBER(AI34)),ISERROR(AI34),$B34=""),"",IF($I34=1,IFBLANK(_xldudf_CX_PUSH(AI34*fxVal_normal,CX_ENTITY,$B34,AI$11,AI$14,AI$19,),""),IF($I34=2,IFBLANK(_xldudf_CX_PUSH(AI34,CX_ENTITY,$B34,AI$11,AI$14,AI$19,),""),IF($I34=3,"",IFBLANK(_xldudf_CX_PUSH(AI34,CX_ENTITY,$B34,AI$11,AI$14,AI$19,),"")))))),"")</f>
        <v/>
      </c>
      <c r="CW34" s="1883" t="str" cm="1">
        <f t="array" ca="1" aca="1" ref="CW34">IFERROR(IF(AJ34*fxVal_normal=_BS!AJ34,"",IF(OR(AJ34="",NOT(ISNUMBER(AJ34)),ISERROR(AJ34),$B34=""),"",IF($I34=1,IFBLANK(_xldudf_CX_PUSH(AJ34*fxVal_normal,CX_ENTITY,$B34,AJ$11,AJ$14,AJ$19,),""),IF($I34=2,IFBLANK(_xldudf_CX_PUSH(AJ34,CX_ENTITY,$B34,AJ$11,AJ$14,AJ$19,),""),IF($I34=3,"",IFBLANK(_xldudf_CX_PUSH(AJ34,CX_ENTITY,$B34,AJ$11,AJ$14,AJ$19,),"")))))),"")</f>
        <v/>
      </c>
      <c r="CX34" s="1883" t="str" cm="1">
        <f t="array" ca="1" aca="1" ref="CX34">IFERROR(IF(AK34*fxVal_normal=_BS!AK34,"",IF(OR(AK34="",NOT(ISNUMBER(AK34)),ISERROR(AK34),$B34=""),"",IF($I34=1,IFBLANK(_xldudf_CX_PUSH(AK34*fxVal_normal,CX_ENTITY,$B34,AK$11,AK$14,AK$19,),""),IF($I34=2,IFBLANK(_xldudf_CX_PUSH(AK34,CX_ENTITY,$B34,AK$11,AK$14,AK$19,),""),IF($I34=3,"",IFBLANK(_xldudf_CX_PUSH(AK34,CX_ENTITY,$B34,AK$11,AK$14,AK$19,),"")))))),"")</f>
        <v/>
      </c>
      <c r="CY34" s="1883" t="str" cm="1">
        <f t="array" ca="1" aca="1" ref="CY34">IFERROR(IF(AL34*fxVal_normal=_BS!AL34,"",IF(OR(AL34="",NOT(ISNUMBER(AL34)),ISERROR(AL34),$B34=""),"",IF($I34=1,IFBLANK(_xldudf_CX_PUSH(AL34*fxVal_normal,CX_ENTITY,$B34,AL$11,AL$14,AL$19,),""),IF($I34=2,IFBLANK(_xldudf_CX_PUSH(AL34,CX_ENTITY,$B34,AL$11,AL$14,AL$19,),""),IF($I34=3,"",IFBLANK(_xldudf_CX_PUSH(AL34,CX_ENTITY,$B34,AL$11,AL$14,AL$19,),"")))))),"")</f>
        <v/>
      </c>
      <c r="CZ34" s="1883" t="str" cm="1">
        <f t="array" ca="1" aca="1" ref="CZ34">IFERROR(IF(AM34*fxVal_normal=_BS!AM34,"",IF(OR(AM34="",NOT(ISNUMBER(AM34)),ISERROR(AM34),$B34=""),"",IF($I34=1,IFBLANK(_xldudf_CX_PUSH(AM34*fxVal_normal,CX_ENTITY,$B34,AM$11,AM$14,AM$19,),""),IF($I34=2,IFBLANK(_xldudf_CX_PUSH(AM34,CX_ENTITY,$B34,AM$11,AM$14,AM$19,),""),IF($I34=3,"",IFBLANK(_xldudf_CX_PUSH(AM34,CX_ENTITY,$B34,AM$11,AM$14,AM$19,),"")))))),"")</f>
        <v/>
      </c>
      <c r="DA34" s="1883" t="str" cm="1">
        <f t="array" ca="1" aca="1" ref="DA34">IFERROR(IF(AN34*fxVal_normal=_BS!AN34,"",IF(OR(AN34="",NOT(ISNUMBER(AN34)),ISERROR(AN34),$B34=""),"",IF($I34=1,IFBLANK(_xldudf_CX_PUSH(AN34*fxVal_normal,CX_ENTITY,$B34,AN$11,AN$14,AN$19,),""),IF($I34=2,IFBLANK(_xldudf_CX_PUSH(AN34,CX_ENTITY,$B34,AN$11,AN$14,AN$19,),""),IF($I34=3,"",IFBLANK(_xldudf_CX_PUSH(AN34,CX_ENTITY,$B34,AN$11,AN$14,AN$19,),"")))))),"")</f>
        <v/>
      </c>
      <c r="DB34" s="1883" t="str" cm="1">
        <f t="array" ca="1" aca="1" ref="DB34">IFERROR(IF(AO34*fxVal_normal=_BS!AO34,"",IF(OR(AO34="",NOT(ISNUMBER(AO34)),ISERROR(AO34),$B34=""),"",IF($I34=1,IFBLANK(_xldudf_CX_PUSH(AO34*fxVal_normal,CX_ENTITY,$B34,AO$11,AO$14,AO$19,),""),IF($I34=2,IFBLANK(_xldudf_CX_PUSH(AO34,CX_ENTITY,$B34,AO$11,AO$14,AO$19,),""),IF($I34=3,"",IFBLANK(_xldudf_CX_PUSH(AO34,CX_ENTITY,$B34,AO$11,AO$14,AO$19,),"")))))),"")</f>
        <v/>
      </c>
      <c r="DC34" s="1883" t="str" cm="1">
        <f t="array" ca="1" aca="1" ref="DC34">IFERROR(IF(AP34*fxVal_normal=_BS!AP34,"",IF(OR(AP34="",NOT(ISNUMBER(AP34)),ISERROR(AP34),$B34=""),"",IF($I34=1,IFBLANK(_xldudf_CX_PUSH(AP34*fxVal_normal,CX_ENTITY,$B34,AP$11,AP$14,AP$19,),""),IF($I34=2,IFBLANK(_xldudf_CX_PUSH(AP34,CX_ENTITY,$B34,AP$11,AP$14,AP$19,),""),IF($I34=3,"",IFBLANK(_xldudf_CX_PUSH(AP34,CX_ENTITY,$B34,AP$11,AP$14,AP$19,),"")))))),"")</f>
        <v/>
      </c>
      <c r="DD34" s="1883" t="str" cm="1">
        <f t="array" ca="1" aca="1" ref="DD34">IFERROR(IF(AQ34*fxVal_normal=_BS!AQ34,"",IF(OR(AQ34="",NOT(ISNUMBER(AQ34)),ISERROR(AQ34),$B34=""),"",IF($I34=1,IFBLANK(_xldudf_CX_PUSH(AQ34*fxVal_normal,CX_ENTITY,$B34,AQ$11,AQ$14,AQ$19,),""),IF($I34=2,IFBLANK(_xldudf_CX_PUSH(AQ34,CX_ENTITY,$B34,AQ$11,AQ$14,AQ$19,),""),IF($I34=3,"",IFBLANK(_xldudf_CX_PUSH(AQ34,CX_ENTITY,$B34,AQ$11,AQ$14,AQ$19,),"")))))),"")</f>
        <v/>
      </c>
      <c r="DE34" s="1883" t="str" cm="1">
        <f t="array" ca="1" aca="1" ref="DE34">IFERROR(IF(AR34*fxVal_normal=_BS!AR34,"",IF(OR(AR34="",NOT(ISNUMBER(AR34)),ISERROR(AR34),$B34=""),"",IF($I34=1,IFBLANK(_xldudf_CX_PUSH(AR34*fxVal_normal,CX_ENTITY,$B34,AR$11,AR$14,AR$19,),""),IF($I34=2,IFBLANK(_xldudf_CX_PUSH(AR34,CX_ENTITY,$B34,AR$11,AR$14,AR$19,),""),IF($I34=3,"",IFBLANK(_xldudf_CX_PUSH(AR34,CX_ENTITY,$B34,AR$11,AR$14,AR$19,),"")))))),"")</f>
        <v/>
      </c>
      <c r="DF34" s="1883" t="str" cm="1">
        <f t="array" ca="1" aca="1" ref="DF34">IFERROR(IF(AS34*fxVal_normal=_BS!AS34,"",IF(OR(AS34="",NOT(ISNUMBER(AS34)),ISERROR(AS34),$B34=""),"",IF($I34=1,IFBLANK(_xldudf_CX_PUSH(AS34*fxVal_normal,CX_ENTITY,$B34,AS$11,AS$14,AS$19,),""),IF($I34=2,IFBLANK(_xldudf_CX_PUSH(AS34,CX_ENTITY,$B34,AS$11,AS$14,AS$19,),""),IF($I34=3,"",IFBLANK(_xldudf_CX_PUSH(AS34,CX_ENTITY,$B34,AS$11,AS$14,AS$19,),"")))))),"")</f>
        <v/>
      </c>
      <c r="DG34" s="1883" t="str" cm="1">
        <f t="array" ca="1" aca="1" ref="DG34">IFERROR(IF(AT34*fxVal_normal=_BS!AT34,"",IF(OR(AT34="",NOT(ISNUMBER(AT34)),ISERROR(AT34),$B34=""),"",IF($I34=1,IFBLANK(_xldudf_CX_PUSH(AT34*fxVal_normal,CX_ENTITY,$B34,AT$11,AT$14,AT$19,),""),IF($I34=2,IFBLANK(_xldudf_CX_PUSH(AT34,CX_ENTITY,$B34,AT$11,AT$14,AT$19,),""),IF($I34=3,"",IFBLANK(_xldudf_CX_PUSH(AT34,CX_ENTITY,$B34,AT$11,AT$14,AT$19,),"")))))),"")</f>
        <v/>
      </c>
      <c r="DH34" s="1883" t="str" cm="1">
        <f t="array" ca="1" aca="1" ref="DH34">IFERROR(IF(AU34*fxVal_normal=_BS!AU34,"",IF(OR(AU34="",NOT(ISNUMBER(AU34)),ISERROR(AU34),$B34=""),"",IF($I34=1,IFBLANK(_xldudf_CX_PUSH(AU34*fxVal_normal,CX_ENTITY,$B34,AU$11,AU$14,AU$19,),""),IF($I34=2,IFBLANK(_xldudf_CX_PUSH(AU34,CX_ENTITY,$B34,AU$11,AU$14,AU$19,),""),IF($I34=3,"",IFBLANK(_xldudf_CX_PUSH(AU34,CX_ENTITY,$B34,AU$11,AU$14,AU$19,),"")))))),"")</f>
        <v/>
      </c>
      <c r="DI34" s="1883" t="str" cm="1">
        <f t="array" ca="1" aca="1" ref="DI34">IFERROR(IF(AV34*fxVal_normal=_BS!AV34,"",IF(OR(AV34="",NOT(ISNUMBER(AV34)),ISERROR(AV34),$B34=""),"",IF($I34=1,IFBLANK(_xldudf_CX_PUSH(AV34*fxVal_normal,CX_ENTITY,$B34,AV$11,AV$14,AV$19,),""),IF($I34=2,IFBLANK(_xldudf_CX_PUSH(AV34,CX_ENTITY,$B34,AV$11,AV$14,AV$19,),""),IF($I34=3,"",IFBLANK(_xldudf_CX_PUSH(AV34,CX_ENTITY,$B34,AV$11,AV$14,AV$19,),"")))))),"")</f>
        <v/>
      </c>
      <c r="DJ34" s="1883" t="str" cm="1">
        <f t="array" ca="1" aca="1" ref="DJ34">IFERROR(IF(AW34*fxVal_normal=_BS!AW34,"",IF(OR(AW34="",NOT(ISNUMBER(AW34)),ISERROR(AW34),$B34=""),"",IF($I34=1,IFBLANK(_xldudf_CX_PUSH(AW34*fxVal_normal,CX_ENTITY,$B34,AW$11,AW$14,AW$19,),""),IF($I34=2,IFBLANK(_xldudf_CX_PUSH(AW34,CX_ENTITY,$B34,AW$11,AW$14,AW$19,),""),IF($I34=3,"",IFBLANK(_xldudf_CX_PUSH(AW34,CX_ENTITY,$B34,AW$11,AW$14,AW$19,),"")))))),"")</f>
        <v/>
      </c>
      <c r="DK34" s="1883" t="str" cm="1">
        <f t="array" ca="1" aca="1" ref="DK34">IFERROR(IF(AX34*fxVal_normal=_BS!AX34,"",IF(OR(AX34="",NOT(ISNUMBER(AX34)),ISERROR(AX34),$B34=""),"",IF($I34=1,IFBLANK(_xldudf_CX_PUSH(AX34*fxVal_normal,CX_ENTITY,$B34,AX$11,AX$14,AX$19,),""),IF($I34=2,IFBLANK(_xldudf_CX_PUSH(AX34,CX_ENTITY,$B34,AX$11,AX$14,AX$19,),""),IF($I34=3,"",IFBLANK(_xldudf_CX_PUSH(AX34,CX_ENTITY,$B34,AX$11,AX$14,AX$19,),"")))))),"")</f>
        <v/>
      </c>
      <c r="DL34" s="1883" t="str" cm="1">
        <f t="array" ca="1" aca="1" ref="DL34">IFERROR(IF(AY34*fxVal_normal=_BS!AY34,"",IF(OR(AY34="",NOT(ISNUMBER(AY34)),ISERROR(AY34),$B34=""),"",IF($I34=1,IFBLANK(_xldudf_CX_PUSH(AY34*fxVal_normal,CX_ENTITY,$B34,AY$11,AY$14,AY$19,),""),IF($I34=2,IFBLANK(_xldudf_CX_PUSH(AY34,CX_ENTITY,$B34,AY$11,AY$14,AY$19,),""),IF($I34=3,"",IFBLANK(_xldudf_CX_PUSH(AY34,CX_ENTITY,$B34,AY$11,AY$14,AY$19,),"")))))),"")</f>
        <v/>
      </c>
      <c r="DM34" s="1883" t="str" cm="1">
        <f t="array" ca="1" aca="1" ref="DM34">IFERROR(IF(AZ34*fxVal_normal=_BS!AZ34,"",IF(OR(AZ34="",NOT(ISNUMBER(AZ34)),ISERROR(AZ34),$B34=""),"",IF($I34=1,IFBLANK(_xldudf_CX_PUSH(AZ34*fxVal_normal,CX_ENTITY,$B34,AZ$11,AZ$14,AZ$19,),""),IF($I34=2,IFBLANK(_xldudf_CX_PUSH(AZ34,CX_ENTITY,$B34,AZ$11,AZ$14,AZ$19,),""),IF($I34=3,"",IFBLANK(_xldudf_CX_PUSH(AZ34,CX_ENTITY,$B34,AZ$11,AZ$14,AZ$19,),"")))))),"")</f>
        <v/>
      </c>
      <c r="DN34" s="1883" t="str" cm="1">
        <f t="array" ca="1" aca="1" ref="DN34">IFERROR(IF(BA34*fxVal_normal=_BS!BA34,"",IF(OR(BA34="",NOT(ISNUMBER(BA34)),ISERROR(BA34),$B34=""),"",IF($I34=1,IFBLANK(_xldudf_CX_PUSH(BA34*fxVal_normal,CX_ENTITY,$B34,BA$11,BA$14,BA$19,),""),IF($I34=2,IFBLANK(_xldudf_CX_PUSH(BA34,CX_ENTITY,$B34,BA$11,BA$14,BA$19,),""),IF($I34=3,"",IFBLANK(_xldudf_CX_PUSH(BA34,CX_ENTITY,$B34,BA$11,BA$14,BA$19,),"")))))),"")</f>
        <v/>
      </c>
      <c r="DO34" s="1883" t="str" cm="1">
        <f t="array" ca="1" aca="1" ref="DO34">IFERROR(IF(BB34*fxVal_normal=_BS!BB34,"",IF(OR(BB34="",NOT(ISNUMBER(BB34)),ISERROR(BB34),$B34=""),"",IF($I34=1,IFBLANK(_xldudf_CX_PUSH(BB34*fxVal_normal,CX_ENTITY,$B34,BB$11,BB$14,BB$19,),""),IF($I34=2,IFBLANK(_xldudf_CX_PUSH(BB34,CX_ENTITY,$B34,BB$11,BB$14,BB$19,),""),IF($I34=3,"",IFBLANK(_xldudf_CX_PUSH(BB34,CX_ENTITY,$B34,BB$11,BB$14,BB$19,),"")))))),"")</f>
        <v/>
      </c>
      <c r="DP34" s="1883" t="str" cm="1">
        <f t="array" ca="1" aca="1" ref="DP34">IFERROR(IF(BC34*fxVal_normal=_BS!BC34,"",IF(OR(BC34="",NOT(ISNUMBER(BC34)),ISERROR(BC34),$B34=""),"",IF($I34=1,IFBLANK(_xldudf_CX_PUSH(BC34*fxVal_normal,CX_ENTITY,$B34,BC$11,BC$14,BC$19,),""),IF($I34=2,IFBLANK(_xldudf_CX_PUSH(BC34,CX_ENTITY,$B34,BC$11,BC$14,BC$19,),""),IF($I34=3,"",IFBLANK(_xldudf_CX_PUSH(BC34,CX_ENTITY,$B34,BC$11,BC$14,BC$19,),"")))))),"")</f>
        <v/>
      </c>
      <c r="DQ34" s="1883" t="str" cm="1">
        <f t="array" ca="1" aca="1" ref="DQ34">IFERROR(IF(BD34*fxVal_normal=_BS!BD34,"",IF(OR(BD34="",NOT(ISNUMBER(BD34)),ISERROR(BD34),$B34=""),"",IF($I34=1,IFBLANK(_xldudf_CX_PUSH(BD34*fxVal_normal,CX_ENTITY,$B34,BD$11,BD$14,BD$19,),""),IF($I34=2,IFBLANK(_xldudf_CX_PUSH(BD34,CX_ENTITY,$B34,BD$11,BD$14,BD$19,),""),IF($I34=3,"",IFBLANK(_xldudf_CX_PUSH(BD34,CX_ENTITY,$B34,BD$11,BD$14,BD$19,),"")))))),"")</f>
        <v/>
      </c>
      <c r="DR34" s="1883" t="str" cm="1">
        <f t="array" ca="1" aca="1" ref="DR34">IFERROR(IF(BE34*fxVal_normal=_BS!BE34,"",IF(OR(BE34="",NOT(ISNUMBER(BE34)),ISERROR(BE34),$B34=""),"",IF($I34=1,IFBLANK(_xldudf_CX_PUSH(BE34*fxVal_normal,CX_ENTITY,$B34,BE$11,BE$14,BE$19,),""),IF($I34=2,IFBLANK(_xldudf_CX_PUSH(BE34,CX_ENTITY,$B34,BE$11,BE$14,BE$19,),""),IF($I34=3,"",IFBLANK(_xldudf_CX_PUSH(BE34,CX_ENTITY,$B34,BE$11,BE$14,BE$19,),"")))))),"")</f>
        <v/>
      </c>
      <c r="DS34" s="1883" t="str" cm="1">
        <f t="array" ca="1" aca="1" ref="DS34">IFERROR(IF(BF34*fxVal_normal=_BS!BF34,"",IF(OR(BF34="",NOT(ISNUMBER(BF34)),ISERROR(BF34),$B34=""),"",IF($I34=1,IFBLANK(_xldudf_CX_PUSH(BF34*fxVal_normal,CX_ENTITY,$B34,BF$11,BF$14,BF$19,),""),IF($I34=2,IFBLANK(_xldudf_CX_PUSH(BF34,CX_ENTITY,$B34,BF$11,BF$14,BF$19,),""),IF($I34=3,"",IFBLANK(_xldudf_CX_PUSH(BF34,CX_ENTITY,$B34,BF$11,BF$14,BF$19,),"")))))),"")</f>
        <v/>
      </c>
      <c r="DT34" s="1883" t="str" cm="1">
        <f t="array" ca="1" aca="1" ref="DT34">IFERROR(IF(BG34*fxVal_normal=_BS!BG34,"",IF(OR(BG34="",NOT(ISNUMBER(BG34)),ISERROR(BG34),$B34=""),"",IF($I34=1,IFBLANK(_xldudf_CX_PUSH(BG34*fxVal_normal,CX_ENTITY,$B34,BG$11,BG$14,BG$19,),""),IF($I34=2,IFBLANK(_xldudf_CX_PUSH(BG34,CX_ENTITY,$B34,BG$11,BG$14,BG$19,),""),IF($I34=3,"",IFBLANK(_xldudf_CX_PUSH(BG34,CX_ENTITY,$B34,BG$11,BG$14,BG$19,),"")))))),"")</f>
        <v/>
      </c>
      <c r="DU34" s="1883" t="str" cm="1">
        <f t="array" ca="1" aca="1" ref="DU34">IFERROR(IF(BH34*fxVal_normal=_BS!BH34,"",IF(OR(BH34="",NOT(ISNUMBER(BH34)),ISERROR(BH34),$B34=""),"",IF($I34=1,IFBLANK(_xldudf_CX_PUSH(BH34*fxVal_normal,CX_ENTITY,$B34,BH$11,BH$14,BH$19,),""),IF($I34=2,IFBLANK(_xldudf_CX_PUSH(BH34,CX_ENTITY,$B34,BH$11,BH$14,BH$19,),""),IF($I34=3,"",IFBLANK(_xldudf_CX_PUSH(BH34,CX_ENTITY,$B34,BH$11,BH$14,BH$19,),"")))))),"")</f>
        <v/>
      </c>
      <c r="DV34" s="1883" t="str" cm="1">
        <f t="array" ca="1" aca="1" ref="DV34">IFERROR(IF(BI34*fxVal_normal=_BS!BI34,"",IF(OR(BI34="",NOT(ISNUMBER(BI34)),ISERROR(BI34),$B34=""),"",IF($I34=1,IFBLANK(_xldudf_CX_PUSH(BI34*fxVal_normal,CX_ENTITY,$B34,BI$11,BI$14,BI$19,),""),IF($I34=2,IFBLANK(_xldudf_CX_PUSH(BI34,CX_ENTITY,$B34,BI$11,BI$14,BI$19,),""),IF($I34=3,"",IFBLANK(_xldudf_CX_PUSH(BI34,CX_ENTITY,$B34,BI$11,BI$14,BI$19,),"")))))),"")</f>
        <v/>
      </c>
      <c r="DW34" s="1883" t="str" cm="1">
        <f t="array" ca="1" aca="1" ref="DW34">IFERROR(IF(BJ34*fxVal_normal=_BS!BJ34,"",IF(OR(BJ34="",NOT(ISNUMBER(BJ34)),ISERROR(BJ34),$B34=""),"",IF($I34=1,IFBLANK(_xldudf_CX_PUSH(BJ34*fxVal_normal,CX_ENTITY,$B34,BJ$11,BJ$14,BJ$19,),""),IF($I34=2,IFBLANK(_xldudf_CX_PUSH(BJ34,CX_ENTITY,$B34,BJ$11,BJ$14,BJ$19,),""),IF($I34=3,"",IFBLANK(_xldudf_CX_PUSH(BJ34,CX_ENTITY,$B34,BJ$11,BJ$14,BJ$19,),"")))))),"")</f>
        <v/>
      </c>
      <c r="DX34" s="1883" t="str" cm="1">
        <f t="array" ca="1" aca="1" ref="DX34">IFERROR(IF(BK34*fxVal_normal=_BS!BK34,"",IF(OR(BK34="",NOT(ISNUMBER(BK34)),ISERROR(BK34),$B34=""),"",IF($I34=1,IFBLANK(_xldudf_CX_PUSH(BK34*fxVal_normal,CX_ENTITY,$B34,BK$11,BK$14,BK$19,),""),IF($I34=2,IFBLANK(_xldudf_CX_PUSH(BK34,CX_ENTITY,$B34,BK$11,BK$14,BK$19,),""),IF($I34=3,"",IFBLANK(_xldudf_CX_PUSH(BK34,CX_ENTITY,$B34,BK$11,BK$14,BK$19,),"")))))),"")</f>
        <v/>
      </c>
      <c r="DY34" s="1883" t="str" cm="1">
        <f t="array" ca="1" aca="1" ref="DY34">IFERROR(IF(BL34*fxVal_normal=_BS!BL34,"",IF(OR(BL34="",NOT(ISNUMBER(BL34)),ISERROR(BL34),$B34=""),"",IF($I34=1,IFBLANK(_xldudf_CX_PUSH(BL34*fxVal_normal,CX_ENTITY,$B34,BL$11,BL$14,BL$19,),""),IF($I34=2,IFBLANK(_xldudf_CX_PUSH(BL34,CX_ENTITY,$B34,BL$11,BL$14,BL$19,),""),IF($I34=3,"",IFBLANK(_xldudf_CX_PUSH(BL34,CX_ENTITY,$B34,BL$11,BL$14,BL$19,),"")))))),"")</f>
        <v/>
      </c>
      <c r="DZ34" s="1883" t="str" cm="1">
        <f t="array" ca="1" aca="1" ref="DZ34">IFERROR(IF(BM34*fxVal_normal=_BS!BM34,"",IF(OR(BM34="",NOT(ISNUMBER(BM34)),ISERROR(BM34),$B34=""),"",IF($I34=1,IFBLANK(_xldudf_CX_PUSH(BM34*fxVal_normal,CX_ENTITY,$B34,BM$11,BM$14,BM$19,),""),IF($I34=2,IFBLANK(_xldudf_CX_PUSH(BM34,CX_ENTITY,$B34,BM$11,BM$14,BM$19,),""),IF($I34=3,"",IFBLANK(_xldudf_CX_PUSH(BM34,CX_ENTITY,$B34,BM$11,BM$14,BM$19,),"")))))),"")</f>
        <v/>
      </c>
      <c r="EA34" s="1883" t="str" cm="1">
        <f t="array" ca="1" aca="1" ref="EA34">IFERROR(IF(BN34*fxVal_normal=_BS!BN34,"",IF(OR(BN34="",NOT(ISNUMBER(BN34)),ISERROR(BN34),$B34=""),"",IF($I34=1,IFBLANK(_xldudf_CX_PUSH(BN34*fxVal_normal,CX_ENTITY,$B34,BN$11,BN$14,BN$19,),""),IF($I34=2,IFBLANK(_xldudf_CX_PUSH(BN34,CX_ENTITY,$B34,BN$11,BN$14,BN$19,),""),IF($I34=3,"",IFBLANK(_xldudf_CX_PUSH(BN34,CX_ENTITY,$B34,BN$11,BN$14,BN$19,),"")))))),"")</f>
        <v/>
      </c>
    </row>
    <row r="35" spans="1:131" ht="21" customHeight="1">
      <c r="A35" s="1626"/>
      <c r="B35" s="811" t="str" cm="1">
        <f t="array" ref="B35">IFBLANK(_BS!F35,"")</f>
        <v>Gross External Acquisition / Refi Debt</v>
      </c>
      <c r="C35" s="3346" t="str" cm="1">
        <f t="array" ref="C35">IFBLANK(_BS!C35,"")</f>
        <v>Gross External Acquisition / Refi Debt (Company View)</v>
      </c>
      <c r="D35" s="1549"/>
      <c r="E35" s="1902" t="e" cm="1">
        <f t="array" ca="1" aca="1" ref="E3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35:$CH35,Z35)</f>
        <v>#NAME?</v>
      </c>
      <c r="F35" s="1897"/>
      <c r="G35" s="1897"/>
      <c r="H35" s="3280">
        <v>2</v>
      </c>
      <c r="I35" s="3280">
        <v>1</v>
      </c>
      <c r="J35" s="401"/>
      <c r="L35" s="921"/>
      <c r="M35" s="921"/>
      <c r="N35" s="158"/>
      <c r="O35" s="101"/>
      <c r="P35" s="52"/>
      <c r="Q35" s="101"/>
      <c r="R35" s="101"/>
      <c r="S35" s="101"/>
      <c r="T35" s="101"/>
      <c r="U35" s="39"/>
      <c r="V35" s="921"/>
      <c r="W35" s="922" t="str">
        <f t="shared" si="1"/>
        <v>Actual</v>
      </c>
      <c r="X35" s="1294">
        <f>_BS!X35</f>
        <v>0</v>
      </c>
      <c r="Y35" s="3344" t="str">
        <f>_BS!Y35</f>
        <v>Gross External Acquisition / Refi Debt</v>
      </c>
      <c r="Z35" s="198" cm="1">
        <f t="array" ref="Z35">_xlfn.SWITCH(TRUE,_BS!$L35=TRUE,1,_BS!$L35=FALSE,-1,_BS!$L35=-1,0,"n/a")</f>
        <v>0</v>
      </c>
      <c r="AA35" s="924"/>
      <c r="AB35" s="3345" t="str">
        <f>_BS!AB35</f>
        <v>Gross External Acquisition / Refi Debt</v>
      </c>
      <c r="AC35" s="88" t="str" cm="1">
        <f t="array" ca="1" aca="1" ref="AC35">_xlfn.LET(_xlpm._termname,$AB35,_xlpm._iconname,"find",_xlpm._icon,fx_getIcon(_xlpm._iconname),_xlpm._location,_xlfn.XLOOKUP(LOWER(_xlpm._termname),LOWER(tbl_acctDef[Term]),tbl_acctDef[Term]),_xlpm._hyperlink,HYPERLINK("#"&amp;CELL("address",_xlpm._location),_xlpm._icon),IFERROR(_xlpm._hyperlink,""))</f>
        <v/>
      </c>
      <c r="AD35" s="919">
        <f>SUBTOTAL(9,AD31:AD34)</f>
        <v>4</v>
      </c>
      <c r="AE35" s="919">
        <f t="shared" si="5" ref="AE35:BN35">SUBTOTAL(9,AE31:AE34)</f>
        <v>4</v>
      </c>
      <c r="AF35" s="919">
        <f t="shared" si="5"/>
        <v>4</v>
      </c>
      <c r="AG35" s="919">
        <f t="shared" si="5"/>
        <v>4</v>
      </c>
      <c r="AH35" s="919">
        <f t="shared" si="5"/>
        <v>4</v>
      </c>
      <c r="AI35" s="919">
        <f t="shared" si="5"/>
        <v>4</v>
      </c>
      <c r="AJ35" s="919">
        <f t="shared" si="5"/>
        <v>4</v>
      </c>
      <c r="AK35" s="919">
        <f t="shared" si="5"/>
        <v>4</v>
      </c>
      <c r="AL35" s="919">
        <f t="shared" si="5"/>
        <v>4</v>
      </c>
      <c r="AM35" s="919">
        <f t="shared" si="5"/>
        <v>4</v>
      </c>
      <c r="AN35" s="919">
        <f t="shared" si="5"/>
        <v>4</v>
      </c>
      <c r="AO35" s="919">
        <f t="shared" si="5"/>
        <v>4</v>
      </c>
      <c r="AP35" s="919">
        <f t="shared" si="5"/>
        <v>4</v>
      </c>
      <c r="AQ35" s="919">
        <f t="shared" si="5"/>
        <v>4</v>
      </c>
      <c r="AR35" s="919">
        <f t="shared" si="5"/>
        <v>4</v>
      </c>
      <c r="AS35" s="919">
        <f t="shared" si="5"/>
        <v>4</v>
      </c>
      <c r="AT35" s="919">
        <f t="shared" si="5"/>
        <v>4</v>
      </c>
      <c r="AU35" s="919">
        <f t="shared" si="5"/>
        <v>4</v>
      </c>
      <c r="AV35" s="919">
        <f t="shared" si="5"/>
        <v>4</v>
      </c>
      <c r="AW35" s="919">
        <f t="shared" si="5"/>
        <v>4</v>
      </c>
      <c r="AX35" s="919">
        <f t="shared" si="5"/>
        <v>4</v>
      </c>
      <c r="AY35" s="919">
        <f t="shared" si="5"/>
        <v>4</v>
      </c>
      <c r="AZ35" s="919">
        <f t="shared" si="5"/>
        <v>4</v>
      </c>
      <c r="BA35" s="919">
        <f t="shared" si="5"/>
        <v>4</v>
      </c>
      <c r="BB35" s="919">
        <f t="shared" si="5"/>
        <v>4</v>
      </c>
      <c r="BC35" s="919">
        <f t="shared" si="5"/>
        <v>4</v>
      </c>
      <c r="BD35" s="919">
        <f t="shared" si="5"/>
        <v>4</v>
      </c>
      <c r="BE35" s="919">
        <f t="shared" si="5"/>
        <v>4</v>
      </c>
      <c r="BF35" s="919">
        <f t="shared" si="5"/>
        <v>4</v>
      </c>
      <c r="BG35" s="919">
        <f t="shared" si="5"/>
        <v>4</v>
      </c>
      <c r="BH35" s="919">
        <f t="shared" si="5"/>
        <v>4</v>
      </c>
      <c r="BI35" s="919">
        <f t="shared" si="5"/>
        <v>4</v>
      </c>
      <c r="BJ35" s="919">
        <f t="shared" si="5"/>
        <v>4</v>
      </c>
      <c r="BK35" s="919">
        <f t="shared" si="5"/>
        <v>4</v>
      </c>
      <c r="BL35" s="919">
        <f t="shared" si="5"/>
        <v>4</v>
      </c>
      <c r="BM35" s="919">
        <f t="shared" si="5"/>
        <v>4</v>
      </c>
      <c r="BN35" s="919">
        <f t="shared" si="5"/>
        <v>4</v>
      </c>
      <c r="BO35" s="2117"/>
      <c r="BP35" s="2117"/>
      <c r="BQ35" s="2117"/>
      <c r="BR35" s="2117"/>
      <c r="BS35" s="2117"/>
      <c r="BT35" s="2117"/>
      <c r="BU35" s="2117"/>
      <c r="BV35" s="2117"/>
      <c r="BW35" s="2117"/>
      <c r="BX35" s="2117"/>
      <c r="BY35" s="2117"/>
      <c r="BZ35" s="2117"/>
      <c r="CA35" s="926"/>
      <c r="CB35" s="921"/>
      <c r="CC35" s="927"/>
      <c r="CD35" s="919" t="e" cm="1">
        <f t="array" ca="1" aca="1" ref="CD35">_xlfn.XLOOKUP(BS!CD$11,array_timeline,BS!$AD35:$BN35)</f>
        <v>#NAME?</v>
      </c>
      <c r="CE35" s="919" t="e" cm="1">
        <f t="array" ca="1" aca="1" ref="CE35">_xlfn.XLOOKUP(BS!CE$11,array_timeline,BS!$AD35:$BN35)</f>
        <v>#NAME?</v>
      </c>
      <c r="CF35" s="925"/>
      <c r="CG35" s="919" t="e">
        <f ca="1">SUBTOTAL(9,CG31:CG34)</f>
        <v>#NAME?</v>
      </c>
      <c r="CH35" s="919" t="e">
        <f ca="1">SUBTOTAL(9,CH31:CH34)</f>
        <v>#NAME?</v>
      </c>
      <c r="CI35" s="924"/>
      <c r="CK35" s="2085" t="str" cm="1">
        <f t="array" ref="CK35">IFERROR(IF(Y35&lt;&gt;AB35,_xldudf_CX_PUSH(Y35,CX_ENTITY,C35,EOMONTH(val_asOfDate,0)),""),"")</f>
        <v/>
      </c>
      <c r="CL35" s="2085" t="str" cm="1">
        <f t="array" ref="CL35">IFERROR(IF(Y35&lt;&gt;AB35,_xldudf_CX_PUSH(Y35,CX_ENTITY,C35,EOMONTH(val_asOfDate,1)),""),"")</f>
        <v/>
      </c>
      <c r="CM35" s="2085" t="str" cm="1">
        <f t="array" ref="CM35">IFERROR(IF(Y35&lt;&gt;AB35,_xldudf_CX_PUSH(Y35,CX_ENTITY,C35,EOMONTH(val_asOfDate,2)),""),"")</f>
        <v/>
      </c>
      <c r="CN35" s="2085" t="str" cm="1">
        <f t="array" ref="CN35">IFERROR(IF(Y35&lt;&gt;AB35,_xldudf_CX_PUSH(Y35,CX_ENTITY,C35,EOMONTH(val_asOfDate,3)),""),"")</f>
        <v/>
      </c>
      <c r="CO35" s="2086" t="str" cm="1">
        <f t="array" ca="1" aca="1" ref="CO35">IFERROR(IF(CG35*fxVal_normal=_BS!CG35,"",IF(OR($CG35="",$CG35=0,NOT(ISNUMBER($CG35)),ISERROR($CG35),$B35=""),"",IF($I35=1,IFBLANK(_xldudf_CX_PUSH($CG35*10^6,CX_ENTITY,$B35,$CG$11,$CG$14,$CG$19,),""),IF($I35=2,IFBLANK(_xldudf_CX_PUSH($CG35,CX_ENTITY,$B35,$CG$11,$CG$14,$CG$19,),""),IF($I35=3,"",IFBLANK(_xldudf_CX_PUSH($CG35,CX_ENTITY,$B35,$CG$11,$CG$14,$CG$19,),"")))))),"")</f>
        <v/>
      </c>
      <c r="CP35" s="2086" t="str" cm="1">
        <f t="array" ca="1" aca="1" ref="CP35">IFERROR(IF(CH35*fxVal_normal=_BS!CH35,"",IF(OR($CH35="",$CH35=0,NOT(ISNUMBER($CH35)),ISERROR($CH35),$B35=""),"",IF($I35=1,IFBLANK(_xldudf_CX_PUSH($CH35*10^6,CX_ENTITY,$B35,$CH$11,$CH$14,$CH$19,),""),IF($I35=2,IFBLANK(_xldudf_CX_PUSH($CH35,CX_ENTITY,$B35,$CH$11,$CH$14,$CH$19,),""),IF($I35=3,"",IFBLANK(_xldudf_CX_PUSH($CH35,CX_ENTITY,$B35,$CH$11,$CH$14,$CH$19,),"")))))),"")</f>
        <v/>
      </c>
      <c r="CQ35" s="1883" t="str" cm="1">
        <f t="array" ca="1" aca="1" ref="CQ35">IFERROR(IF(AD35*fxVal_normal=_BS!AD35,"",IF(OR(AD35="",NOT(ISNUMBER(AD35)),ISERROR(AD35),$B35=""),"",IF($I35=1,IFBLANK(_xldudf_CX_PUSH(AD35*fxVal_normal,CX_ENTITY,$B35,AD$11,AD$14,AD$19,),""),IF($I35=2,IFBLANK(_xldudf_CX_PUSH(AD35,CX_ENTITY,$B35,AD$11,AD$14,AD$19,),""),IF($I35=3,"",IFBLANK(_xldudf_CX_PUSH(AD35,CX_ENTITY,$B35,AD$11,AD$14,AD$19,),"")))))),"")</f>
        <v/>
      </c>
      <c r="CR35" s="1883" t="str" cm="1">
        <f t="array" ca="1" aca="1" ref="CR35">IFERROR(IF(AE35*fxVal_normal=_BS!AE35,"",IF(OR(AE35="",NOT(ISNUMBER(AE35)),ISERROR(AE35),$B35=""),"",IF($I35=1,IFBLANK(_xldudf_CX_PUSH(AE35*fxVal_normal,CX_ENTITY,$B35,AE$11,AE$14,AE$19,),""),IF($I35=2,IFBLANK(_xldudf_CX_PUSH(AE35,CX_ENTITY,$B35,AE$11,AE$14,AE$19,),""),IF($I35=3,"",IFBLANK(_xldudf_CX_PUSH(AE35,CX_ENTITY,$B35,AE$11,AE$14,AE$19,),"")))))),"")</f>
        <v/>
      </c>
      <c r="CS35" s="1883" t="str" cm="1">
        <f t="array" ca="1" aca="1" ref="CS35">IFERROR(IF(AF35*fxVal_normal=_BS!AF35,"",IF(OR(AF35="",NOT(ISNUMBER(AF35)),ISERROR(AF35),$B35=""),"",IF($I35=1,IFBLANK(_xldudf_CX_PUSH(AF35*fxVal_normal,CX_ENTITY,$B35,AF$11,AF$14,AF$19,),""),IF($I35=2,IFBLANK(_xldudf_CX_PUSH(AF35,CX_ENTITY,$B35,AF$11,AF$14,AF$19,),""),IF($I35=3,"",IFBLANK(_xldudf_CX_PUSH(AF35,CX_ENTITY,$B35,AF$11,AF$14,AF$19,),"")))))),"")</f>
        <v/>
      </c>
      <c r="CT35" s="1883" t="str" cm="1">
        <f t="array" ca="1" aca="1" ref="CT35">IFERROR(IF(AG35*fxVal_normal=_BS!AG35,"",IF(OR(AG35="",NOT(ISNUMBER(AG35)),ISERROR(AG35),$B35=""),"",IF($I35=1,IFBLANK(_xldudf_CX_PUSH(AG35*fxVal_normal,CX_ENTITY,$B35,AG$11,AG$14,AG$19,),""),IF($I35=2,IFBLANK(_xldudf_CX_PUSH(AG35,CX_ENTITY,$B35,AG$11,AG$14,AG$19,),""),IF($I35=3,"",IFBLANK(_xldudf_CX_PUSH(AG35,CX_ENTITY,$B35,AG$11,AG$14,AG$19,),"")))))),"")</f>
        <v/>
      </c>
      <c r="CU35" s="1883" t="str" cm="1">
        <f t="array" ca="1" aca="1" ref="CU35">IFERROR(IF(AH35*fxVal_normal=_BS!AH35,"",IF(OR(AH35="",NOT(ISNUMBER(AH35)),ISERROR(AH35),$B35=""),"",IF($I35=1,IFBLANK(_xldudf_CX_PUSH(AH35*fxVal_normal,CX_ENTITY,$B35,AH$11,AH$14,AH$19,),""),IF($I35=2,IFBLANK(_xldudf_CX_PUSH(AH35,CX_ENTITY,$B35,AH$11,AH$14,AH$19,),""),IF($I35=3,"",IFBLANK(_xldudf_CX_PUSH(AH35,CX_ENTITY,$B35,AH$11,AH$14,AH$19,),"")))))),"")</f>
        <v/>
      </c>
      <c r="CV35" s="1883" t="str" cm="1">
        <f t="array" ca="1" aca="1" ref="CV35">IFERROR(IF(AI35*fxVal_normal=_BS!AI35,"",IF(OR(AI35="",NOT(ISNUMBER(AI35)),ISERROR(AI35),$B35=""),"",IF($I35=1,IFBLANK(_xldudf_CX_PUSH(AI35*fxVal_normal,CX_ENTITY,$B35,AI$11,AI$14,AI$19,),""),IF($I35=2,IFBLANK(_xldudf_CX_PUSH(AI35,CX_ENTITY,$B35,AI$11,AI$14,AI$19,),""),IF($I35=3,"",IFBLANK(_xldudf_CX_PUSH(AI35,CX_ENTITY,$B35,AI$11,AI$14,AI$19,),"")))))),"")</f>
        <v/>
      </c>
      <c r="CW35" s="1883" t="str" cm="1">
        <f t="array" ca="1" aca="1" ref="CW35">IFERROR(IF(AJ35*fxVal_normal=_BS!AJ35,"",IF(OR(AJ35="",NOT(ISNUMBER(AJ35)),ISERROR(AJ35),$B35=""),"",IF($I35=1,IFBLANK(_xldudf_CX_PUSH(AJ35*fxVal_normal,CX_ENTITY,$B35,AJ$11,AJ$14,AJ$19,),""),IF($I35=2,IFBLANK(_xldudf_CX_PUSH(AJ35,CX_ENTITY,$B35,AJ$11,AJ$14,AJ$19,),""),IF($I35=3,"",IFBLANK(_xldudf_CX_PUSH(AJ35,CX_ENTITY,$B35,AJ$11,AJ$14,AJ$19,),"")))))),"")</f>
        <v/>
      </c>
      <c r="CX35" s="1883" t="str" cm="1">
        <f t="array" ca="1" aca="1" ref="CX35">IFERROR(IF(AK35*fxVal_normal=_BS!AK35,"",IF(OR(AK35="",NOT(ISNUMBER(AK35)),ISERROR(AK35),$B35=""),"",IF($I35=1,IFBLANK(_xldudf_CX_PUSH(AK35*fxVal_normal,CX_ENTITY,$B35,AK$11,AK$14,AK$19,),""),IF($I35=2,IFBLANK(_xldudf_CX_PUSH(AK35,CX_ENTITY,$B35,AK$11,AK$14,AK$19,),""),IF($I35=3,"",IFBLANK(_xldudf_CX_PUSH(AK35,CX_ENTITY,$B35,AK$11,AK$14,AK$19,),"")))))),"")</f>
        <v/>
      </c>
      <c r="CY35" s="1883" t="str" cm="1">
        <f t="array" ca="1" aca="1" ref="CY35">IFERROR(IF(AL35*fxVal_normal=_BS!AL35,"",IF(OR(AL35="",NOT(ISNUMBER(AL35)),ISERROR(AL35),$B35=""),"",IF($I35=1,IFBLANK(_xldudf_CX_PUSH(AL35*fxVal_normal,CX_ENTITY,$B35,AL$11,AL$14,AL$19,),""),IF($I35=2,IFBLANK(_xldudf_CX_PUSH(AL35,CX_ENTITY,$B35,AL$11,AL$14,AL$19,),""),IF($I35=3,"",IFBLANK(_xldudf_CX_PUSH(AL35,CX_ENTITY,$B35,AL$11,AL$14,AL$19,),"")))))),"")</f>
        <v/>
      </c>
      <c r="CZ35" s="1883" t="str" cm="1">
        <f t="array" ca="1" aca="1" ref="CZ35">IFERROR(IF(AM35*fxVal_normal=_BS!AM35,"",IF(OR(AM35="",NOT(ISNUMBER(AM35)),ISERROR(AM35),$B35=""),"",IF($I35=1,IFBLANK(_xldudf_CX_PUSH(AM35*fxVal_normal,CX_ENTITY,$B35,AM$11,AM$14,AM$19,),""),IF($I35=2,IFBLANK(_xldudf_CX_PUSH(AM35,CX_ENTITY,$B35,AM$11,AM$14,AM$19,),""),IF($I35=3,"",IFBLANK(_xldudf_CX_PUSH(AM35,CX_ENTITY,$B35,AM$11,AM$14,AM$19,),"")))))),"")</f>
        <v/>
      </c>
      <c r="DA35" s="1883" t="str" cm="1">
        <f t="array" ca="1" aca="1" ref="DA35">IFERROR(IF(AN35*fxVal_normal=_BS!AN35,"",IF(OR(AN35="",NOT(ISNUMBER(AN35)),ISERROR(AN35),$B35=""),"",IF($I35=1,IFBLANK(_xldudf_CX_PUSH(AN35*fxVal_normal,CX_ENTITY,$B35,AN$11,AN$14,AN$19,),""),IF($I35=2,IFBLANK(_xldudf_CX_PUSH(AN35,CX_ENTITY,$B35,AN$11,AN$14,AN$19,),""),IF($I35=3,"",IFBLANK(_xldudf_CX_PUSH(AN35,CX_ENTITY,$B35,AN$11,AN$14,AN$19,),"")))))),"")</f>
        <v/>
      </c>
      <c r="DB35" s="1883" t="str" cm="1">
        <f t="array" ca="1" aca="1" ref="DB35">IFERROR(IF(AO35*fxVal_normal=_BS!AO35,"",IF(OR(AO35="",NOT(ISNUMBER(AO35)),ISERROR(AO35),$B35=""),"",IF($I35=1,IFBLANK(_xldudf_CX_PUSH(AO35*fxVal_normal,CX_ENTITY,$B35,AO$11,AO$14,AO$19,),""),IF($I35=2,IFBLANK(_xldudf_CX_PUSH(AO35,CX_ENTITY,$B35,AO$11,AO$14,AO$19,),""),IF($I35=3,"",IFBLANK(_xldudf_CX_PUSH(AO35,CX_ENTITY,$B35,AO$11,AO$14,AO$19,),"")))))),"")</f>
        <v/>
      </c>
      <c r="DC35" s="1883" t="str" cm="1">
        <f t="array" ca="1" aca="1" ref="DC35">IFERROR(IF(AP35*fxVal_normal=_BS!AP35,"",IF(OR(AP35="",NOT(ISNUMBER(AP35)),ISERROR(AP35),$B35=""),"",IF($I35=1,IFBLANK(_xldudf_CX_PUSH(AP35*fxVal_normal,CX_ENTITY,$B35,AP$11,AP$14,AP$19,),""),IF($I35=2,IFBLANK(_xldudf_CX_PUSH(AP35,CX_ENTITY,$B35,AP$11,AP$14,AP$19,),""),IF($I35=3,"",IFBLANK(_xldudf_CX_PUSH(AP35,CX_ENTITY,$B35,AP$11,AP$14,AP$19,),"")))))),"")</f>
        <v/>
      </c>
      <c r="DD35" s="1883" t="str" cm="1">
        <f t="array" ca="1" aca="1" ref="DD35">IFERROR(IF(AQ35*fxVal_normal=_BS!AQ35,"",IF(OR(AQ35="",NOT(ISNUMBER(AQ35)),ISERROR(AQ35),$B35=""),"",IF($I35=1,IFBLANK(_xldudf_CX_PUSH(AQ35*fxVal_normal,CX_ENTITY,$B35,AQ$11,AQ$14,AQ$19,),""),IF($I35=2,IFBLANK(_xldudf_CX_PUSH(AQ35,CX_ENTITY,$B35,AQ$11,AQ$14,AQ$19,),""),IF($I35=3,"",IFBLANK(_xldudf_CX_PUSH(AQ35,CX_ENTITY,$B35,AQ$11,AQ$14,AQ$19,),"")))))),"")</f>
        <v/>
      </c>
      <c r="DE35" s="1883" t="str" cm="1">
        <f t="array" ca="1" aca="1" ref="DE35">IFERROR(IF(AR35*fxVal_normal=_BS!AR35,"",IF(OR(AR35="",NOT(ISNUMBER(AR35)),ISERROR(AR35),$B35=""),"",IF($I35=1,IFBLANK(_xldudf_CX_PUSH(AR35*fxVal_normal,CX_ENTITY,$B35,AR$11,AR$14,AR$19,),""),IF($I35=2,IFBLANK(_xldudf_CX_PUSH(AR35,CX_ENTITY,$B35,AR$11,AR$14,AR$19,),""),IF($I35=3,"",IFBLANK(_xldudf_CX_PUSH(AR35,CX_ENTITY,$B35,AR$11,AR$14,AR$19,),"")))))),"")</f>
        <v/>
      </c>
      <c r="DF35" s="1883" t="str" cm="1">
        <f t="array" ca="1" aca="1" ref="DF35">IFERROR(IF(AS35*fxVal_normal=_BS!AS35,"",IF(OR(AS35="",NOT(ISNUMBER(AS35)),ISERROR(AS35),$B35=""),"",IF($I35=1,IFBLANK(_xldudf_CX_PUSH(AS35*fxVal_normal,CX_ENTITY,$B35,AS$11,AS$14,AS$19,),""),IF($I35=2,IFBLANK(_xldudf_CX_PUSH(AS35,CX_ENTITY,$B35,AS$11,AS$14,AS$19,),""),IF($I35=3,"",IFBLANK(_xldudf_CX_PUSH(AS35,CX_ENTITY,$B35,AS$11,AS$14,AS$19,),"")))))),"")</f>
        <v/>
      </c>
      <c r="DG35" s="1883" t="str" cm="1">
        <f t="array" ca="1" aca="1" ref="DG35">IFERROR(IF(AT35*fxVal_normal=_BS!AT35,"",IF(OR(AT35="",NOT(ISNUMBER(AT35)),ISERROR(AT35),$B35=""),"",IF($I35=1,IFBLANK(_xldudf_CX_PUSH(AT35*fxVal_normal,CX_ENTITY,$B35,AT$11,AT$14,AT$19,),""),IF($I35=2,IFBLANK(_xldudf_CX_PUSH(AT35,CX_ENTITY,$B35,AT$11,AT$14,AT$19,),""),IF($I35=3,"",IFBLANK(_xldudf_CX_PUSH(AT35,CX_ENTITY,$B35,AT$11,AT$14,AT$19,),"")))))),"")</f>
        <v/>
      </c>
      <c r="DH35" s="1883" t="str" cm="1">
        <f t="array" ca="1" aca="1" ref="DH35">IFERROR(IF(AU35*fxVal_normal=_BS!AU35,"",IF(OR(AU35="",NOT(ISNUMBER(AU35)),ISERROR(AU35),$B35=""),"",IF($I35=1,IFBLANK(_xldudf_CX_PUSH(AU35*fxVal_normal,CX_ENTITY,$B35,AU$11,AU$14,AU$19,),""),IF($I35=2,IFBLANK(_xldudf_CX_PUSH(AU35,CX_ENTITY,$B35,AU$11,AU$14,AU$19,),""),IF($I35=3,"",IFBLANK(_xldudf_CX_PUSH(AU35,CX_ENTITY,$B35,AU$11,AU$14,AU$19,),"")))))),"")</f>
        <v/>
      </c>
      <c r="DI35" s="1883" t="str" cm="1">
        <f t="array" ca="1" aca="1" ref="DI35">IFERROR(IF(AV35*fxVal_normal=_BS!AV35,"",IF(OR(AV35="",NOT(ISNUMBER(AV35)),ISERROR(AV35),$B35=""),"",IF($I35=1,IFBLANK(_xldudf_CX_PUSH(AV35*fxVal_normal,CX_ENTITY,$B35,AV$11,AV$14,AV$19,),""),IF($I35=2,IFBLANK(_xldudf_CX_PUSH(AV35,CX_ENTITY,$B35,AV$11,AV$14,AV$19,),""),IF($I35=3,"",IFBLANK(_xldudf_CX_PUSH(AV35,CX_ENTITY,$B35,AV$11,AV$14,AV$19,),"")))))),"")</f>
        <v/>
      </c>
      <c r="DJ35" s="1883" t="str" cm="1">
        <f t="array" ca="1" aca="1" ref="DJ35">IFERROR(IF(AW35*fxVal_normal=_BS!AW35,"",IF(OR(AW35="",NOT(ISNUMBER(AW35)),ISERROR(AW35),$B35=""),"",IF($I35=1,IFBLANK(_xldudf_CX_PUSH(AW35*fxVal_normal,CX_ENTITY,$B35,AW$11,AW$14,AW$19,),""),IF($I35=2,IFBLANK(_xldudf_CX_PUSH(AW35,CX_ENTITY,$B35,AW$11,AW$14,AW$19,),""),IF($I35=3,"",IFBLANK(_xldudf_CX_PUSH(AW35,CX_ENTITY,$B35,AW$11,AW$14,AW$19,),"")))))),"")</f>
        <v/>
      </c>
      <c r="DK35" s="1883" t="str" cm="1">
        <f t="array" ca="1" aca="1" ref="DK35">IFERROR(IF(AX35*fxVal_normal=_BS!AX35,"",IF(OR(AX35="",NOT(ISNUMBER(AX35)),ISERROR(AX35),$B35=""),"",IF($I35=1,IFBLANK(_xldudf_CX_PUSH(AX35*fxVal_normal,CX_ENTITY,$B35,AX$11,AX$14,AX$19,),""),IF($I35=2,IFBLANK(_xldudf_CX_PUSH(AX35,CX_ENTITY,$B35,AX$11,AX$14,AX$19,),""),IF($I35=3,"",IFBLANK(_xldudf_CX_PUSH(AX35,CX_ENTITY,$B35,AX$11,AX$14,AX$19,),"")))))),"")</f>
        <v/>
      </c>
      <c r="DL35" s="1883" t="str" cm="1">
        <f t="array" ca="1" aca="1" ref="DL35">IFERROR(IF(AY35*fxVal_normal=_BS!AY35,"",IF(OR(AY35="",NOT(ISNUMBER(AY35)),ISERROR(AY35),$B35=""),"",IF($I35=1,IFBLANK(_xldudf_CX_PUSH(AY35*fxVal_normal,CX_ENTITY,$B35,AY$11,AY$14,AY$19,),""),IF($I35=2,IFBLANK(_xldudf_CX_PUSH(AY35,CX_ENTITY,$B35,AY$11,AY$14,AY$19,),""),IF($I35=3,"",IFBLANK(_xldudf_CX_PUSH(AY35,CX_ENTITY,$B35,AY$11,AY$14,AY$19,),"")))))),"")</f>
        <v/>
      </c>
      <c r="DM35" s="1883" t="str" cm="1">
        <f t="array" ca="1" aca="1" ref="DM35">IFERROR(IF(AZ35*fxVal_normal=_BS!AZ35,"",IF(OR(AZ35="",NOT(ISNUMBER(AZ35)),ISERROR(AZ35),$B35=""),"",IF($I35=1,IFBLANK(_xldudf_CX_PUSH(AZ35*fxVal_normal,CX_ENTITY,$B35,AZ$11,AZ$14,AZ$19,),""),IF($I35=2,IFBLANK(_xldudf_CX_PUSH(AZ35,CX_ENTITY,$B35,AZ$11,AZ$14,AZ$19,),""),IF($I35=3,"",IFBLANK(_xldudf_CX_PUSH(AZ35,CX_ENTITY,$B35,AZ$11,AZ$14,AZ$19,),"")))))),"")</f>
        <v/>
      </c>
      <c r="DN35" s="1883" t="str" cm="1">
        <f t="array" ca="1" aca="1" ref="DN35">IFERROR(IF(BA35*fxVal_normal=_BS!BA35,"",IF(OR(BA35="",NOT(ISNUMBER(BA35)),ISERROR(BA35),$B35=""),"",IF($I35=1,IFBLANK(_xldudf_CX_PUSH(BA35*fxVal_normal,CX_ENTITY,$B35,BA$11,BA$14,BA$19,),""),IF($I35=2,IFBLANK(_xldudf_CX_PUSH(BA35,CX_ENTITY,$B35,BA$11,BA$14,BA$19,),""),IF($I35=3,"",IFBLANK(_xldudf_CX_PUSH(BA35,CX_ENTITY,$B35,BA$11,BA$14,BA$19,),"")))))),"")</f>
        <v/>
      </c>
      <c r="DO35" s="1883" t="str" cm="1">
        <f t="array" ca="1" aca="1" ref="DO35">IFERROR(IF(BB35*fxVal_normal=_BS!BB35,"",IF(OR(BB35="",NOT(ISNUMBER(BB35)),ISERROR(BB35),$B35=""),"",IF($I35=1,IFBLANK(_xldudf_CX_PUSH(BB35*fxVal_normal,CX_ENTITY,$B35,BB$11,BB$14,BB$19,),""),IF($I35=2,IFBLANK(_xldudf_CX_PUSH(BB35,CX_ENTITY,$B35,BB$11,BB$14,BB$19,),""),IF($I35=3,"",IFBLANK(_xldudf_CX_PUSH(BB35,CX_ENTITY,$B35,BB$11,BB$14,BB$19,),"")))))),"")</f>
        <v/>
      </c>
      <c r="DP35" s="1883" t="str" cm="1">
        <f t="array" ca="1" aca="1" ref="DP35">IFERROR(IF(BC35*fxVal_normal=_BS!BC35,"",IF(OR(BC35="",NOT(ISNUMBER(BC35)),ISERROR(BC35),$B35=""),"",IF($I35=1,IFBLANK(_xldudf_CX_PUSH(BC35*fxVal_normal,CX_ENTITY,$B35,BC$11,BC$14,BC$19,),""),IF($I35=2,IFBLANK(_xldudf_CX_PUSH(BC35,CX_ENTITY,$B35,BC$11,BC$14,BC$19,),""),IF($I35=3,"",IFBLANK(_xldudf_CX_PUSH(BC35,CX_ENTITY,$B35,BC$11,BC$14,BC$19,),"")))))),"")</f>
        <v/>
      </c>
      <c r="DQ35" s="1883" t="str" cm="1">
        <f t="array" ca="1" aca="1" ref="DQ35">IFERROR(IF(BD35*fxVal_normal=_BS!BD35,"",IF(OR(BD35="",NOT(ISNUMBER(BD35)),ISERROR(BD35),$B35=""),"",IF($I35=1,IFBLANK(_xldudf_CX_PUSH(BD35*fxVal_normal,CX_ENTITY,$B35,BD$11,BD$14,BD$19,),""),IF($I35=2,IFBLANK(_xldudf_CX_PUSH(BD35,CX_ENTITY,$B35,BD$11,BD$14,BD$19,),""),IF($I35=3,"",IFBLANK(_xldudf_CX_PUSH(BD35,CX_ENTITY,$B35,BD$11,BD$14,BD$19,),"")))))),"")</f>
        <v/>
      </c>
      <c r="DR35" s="1883" t="str" cm="1">
        <f t="array" ca="1" aca="1" ref="DR35">IFERROR(IF(BE35*fxVal_normal=_BS!BE35,"",IF(OR(BE35="",NOT(ISNUMBER(BE35)),ISERROR(BE35),$B35=""),"",IF($I35=1,IFBLANK(_xldudf_CX_PUSH(BE35*fxVal_normal,CX_ENTITY,$B35,BE$11,BE$14,BE$19,),""),IF($I35=2,IFBLANK(_xldudf_CX_PUSH(BE35,CX_ENTITY,$B35,BE$11,BE$14,BE$19,),""),IF($I35=3,"",IFBLANK(_xldudf_CX_PUSH(BE35,CX_ENTITY,$B35,BE$11,BE$14,BE$19,),"")))))),"")</f>
        <v/>
      </c>
      <c r="DS35" s="1883" t="str" cm="1">
        <f t="array" ca="1" aca="1" ref="DS35">IFERROR(IF(BF35*fxVal_normal=_BS!BF35,"",IF(OR(BF35="",NOT(ISNUMBER(BF35)),ISERROR(BF35),$B35=""),"",IF($I35=1,IFBLANK(_xldudf_CX_PUSH(BF35*fxVal_normal,CX_ENTITY,$B35,BF$11,BF$14,BF$19,),""),IF($I35=2,IFBLANK(_xldudf_CX_PUSH(BF35,CX_ENTITY,$B35,BF$11,BF$14,BF$19,),""),IF($I35=3,"",IFBLANK(_xldudf_CX_PUSH(BF35,CX_ENTITY,$B35,BF$11,BF$14,BF$19,),"")))))),"")</f>
        <v/>
      </c>
      <c r="DT35" s="1883" t="str" cm="1">
        <f t="array" ca="1" aca="1" ref="DT35">IFERROR(IF(BG35*fxVal_normal=_BS!BG35,"",IF(OR(BG35="",NOT(ISNUMBER(BG35)),ISERROR(BG35),$B35=""),"",IF($I35=1,IFBLANK(_xldudf_CX_PUSH(BG35*fxVal_normal,CX_ENTITY,$B35,BG$11,BG$14,BG$19,),""),IF($I35=2,IFBLANK(_xldudf_CX_PUSH(BG35,CX_ENTITY,$B35,BG$11,BG$14,BG$19,),""),IF($I35=3,"",IFBLANK(_xldudf_CX_PUSH(BG35,CX_ENTITY,$B35,BG$11,BG$14,BG$19,),"")))))),"")</f>
        <v/>
      </c>
      <c r="DU35" s="1883" t="str" cm="1">
        <f t="array" ca="1" aca="1" ref="DU35">IFERROR(IF(BH35*fxVal_normal=_BS!BH35,"",IF(OR(BH35="",NOT(ISNUMBER(BH35)),ISERROR(BH35),$B35=""),"",IF($I35=1,IFBLANK(_xldudf_CX_PUSH(BH35*fxVal_normal,CX_ENTITY,$B35,BH$11,BH$14,BH$19,),""),IF($I35=2,IFBLANK(_xldudf_CX_PUSH(BH35,CX_ENTITY,$B35,BH$11,BH$14,BH$19,),""),IF($I35=3,"",IFBLANK(_xldudf_CX_PUSH(BH35,CX_ENTITY,$B35,BH$11,BH$14,BH$19,),"")))))),"")</f>
        <v/>
      </c>
      <c r="DV35" s="1883" t="str" cm="1">
        <f t="array" ca="1" aca="1" ref="DV35">IFERROR(IF(BI35*fxVal_normal=_BS!BI35,"",IF(OR(BI35="",NOT(ISNUMBER(BI35)),ISERROR(BI35),$B35=""),"",IF($I35=1,IFBLANK(_xldudf_CX_PUSH(BI35*fxVal_normal,CX_ENTITY,$B35,BI$11,BI$14,BI$19,),""),IF($I35=2,IFBLANK(_xldudf_CX_PUSH(BI35,CX_ENTITY,$B35,BI$11,BI$14,BI$19,),""),IF($I35=3,"",IFBLANK(_xldudf_CX_PUSH(BI35,CX_ENTITY,$B35,BI$11,BI$14,BI$19,),"")))))),"")</f>
        <v/>
      </c>
      <c r="DW35" s="1883" t="str" cm="1">
        <f t="array" ca="1" aca="1" ref="DW35">IFERROR(IF(BJ35*fxVal_normal=_BS!BJ35,"",IF(OR(BJ35="",NOT(ISNUMBER(BJ35)),ISERROR(BJ35),$B35=""),"",IF($I35=1,IFBLANK(_xldudf_CX_PUSH(BJ35*fxVal_normal,CX_ENTITY,$B35,BJ$11,BJ$14,BJ$19,),""),IF($I35=2,IFBLANK(_xldudf_CX_PUSH(BJ35,CX_ENTITY,$B35,BJ$11,BJ$14,BJ$19,),""),IF($I35=3,"",IFBLANK(_xldudf_CX_PUSH(BJ35,CX_ENTITY,$B35,BJ$11,BJ$14,BJ$19,),"")))))),"")</f>
        <v/>
      </c>
      <c r="DX35" s="1883" t="str" cm="1">
        <f t="array" ca="1" aca="1" ref="DX35">IFERROR(IF(BK35*fxVal_normal=_BS!BK35,"",IF(OR(BK35="",NOT(ISNUMBER(BK35)),ISERROR(BK35),$B35=""),"",IF($I35=1,IFBLANK(_xldudf_CX_PUSH(BK35*fxVal_normal,CX_ENTITY,$B35,BK$11,BK$14,BK$19,),""),IF($I35=2,IFBLANK(_xldudf_CX_PUSH(BK35,CX_ENTITY,$B35,BK$11,BK$14,BK$19,),""),IF($I35=3,"",IFBLANK(_xldudf_CX_PUSH(BK35,CX_ENTITY,$B35,BK$11,BK$14,BK$19,),"")))))),"")</f>
        <v/>
      </c>
      <c r="DY35" s="1883" t="str" cm="1">
        <f t="array" ca="1" aca="1" ref="DY35">IFERROR(IF(BL35*fxVal_normal=_BS!BL35,"",IF(OR(BL35="",NOT(ISNUMBER(BL35)),ISERROR(BL35),$B35=""),"",IF($I35=1,IFBLANK(_xldudf_CX_PUSH(BL35*fxVal_normal,CX_ENTITY,$B35,BL$11,BL$14,BL$19,),""),IF($I35=2,IFBLANK(_xldudf_CX_PUSH(BL35,CX_ENTITY,$B35,BL$11,BL$14,BL$19,),""),IF($I35=3,"",IFBLANK(_xldudf_CX_PUSH(BL35,CX_ENTITY,$B35,BL$11,BL$14,BL$19,),"")))))),"")</f>
        <v/>
      </c>
      <c r="DZ35" s="1883" t="str" cm="1">
        <f t="array" ca="1" aca="1" ref="DZ35">IFERROR(IF(BM35*fxVal_normal=_BS!BM35,"",IF(OR(BM35="",NOT(ISNUMBER(BM35)),ISERROR(BM35),$B35=""),"",IF($I35=1,IFBLANK(_xldudf_CX_PUSH(BM35*fxVal_normal,CX_ENTITY,$B35,BM$11,BM$14,BM$19,),""),IF($I35=2,IFBLANK(_xldudf_CX_PUSH(BM35,CX_ENTITY,$B35,BM$11,BM$14,BM$19,),""),IF($I35=3,"",IFBLANK(_xldudf_CX_PUSH(BM35,CX_ENTITY,$B35,BM$11,BM$14,BM$19,),"")))))),"")</f>
        <v/>
      </c>
      <c r="EA35" s="1883" t="str" cm="1">
        <f t="array" ca="1" aca="1" ref="EA35">IFERROR(IF(BN35*fxVal_normal=_BS!BN35,"",IF(OR(BN35="",NOT(ISNUMBER(BN35)),ISERROR(BN35),$B35=""),"",IF($I35=1,IFBLANK(_xldudf_CX_PUSH(BN35*fxVal_normal,CX_ENTITY,$B35,BN$11,BN$14,BN$19,),""),IF($I35=2,IFBLANK(_xldudf_CX_PUSH(BN35,CX_ENTITY,$B35,BN$11,BN$14,BN$19,),""),IF($I35=3,"",IFBLANK(_xldudf_CX_PUSH(BN35,CX_ENTITY,$B35,BN$11,BN$14,BN$19,),"")))))),"")</f>
        <v/>
      </c>
    </row>
    <row r="36" spans="1:131" ht="21" customHeight="1">
      <c r="A36" s="1626"/>
      <c r="B36" s="811" t="str" cm="1">
        <f t="array" ref="B36">IFBLANK(_BS!F36,"")</f>
        <v>Accrued Interest</v>
      </c>
      <c r="C36" s="3346" t="str" cm="1">
        <f t="array" ref="C36">IFBLANK(_BS!C36,"")</f>
        <v>Accrued Interest (Company View)</v>
      </c>
      <c r="D36" s="1549"/>
      <c r="E36" s="1902" t="e" cm="1">
        <f t="array" ca="1" aca="1" ref="E3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36:$CH36,Z36)</f>
        <v>#NAME?</v>
      </c>
      <c r="F36" s="1897"/>
      <c r="G36" s="1897"/>
      <c r="H36" s="3280">
        <v>1</v>
      </c>
      <c r="I36" s="3280">
        <v>1</v>
      </c>
      <c r="J36" s="401"/>
      <c r="N36" s="158"/>
      <c r="O36" s="101"/>
      <c r="P36" s="52"/>
      <c r="Q36" s="101"/>
      <c r="R36" s="126"/>
      <c r="S36" s="101"/>
      <c r="T36" s="101"/>
      <c r="U36" s="39"/>
      <c r="W36" s="91" t="str">
        <f t="shared" si="1"/>
        <v>Actual</v>
      </c>
      <c r="X36" s="857">
        <f>_BS!X36</f>
        <v>-1</v>
      </c>
      <c r="Y36" s="3183">
        <v>2</v>
      </c>
      <c r="Z36" s="3291" cm="1">
        <f t="array" ref="Z36">_xlfn.SWITCH(TRUE,_BS!$L36=TRUE,1,_BS!$L36=FALSE,-1,_BS!$L36=-1,0,"n/a")</f>
        <v>1</v>
      </c>
      <c r="AA36" s="200"/>
      <c r="AB36" s="3343" t="str">
        <f>_BS!AB36</f>
        <v>Accrued Interest</v>
      </c>
      <c r="AC36" s="88" t="e" vm="5" cm="1">
        <f t="array" ca="1" aca="1" ref="AC36">_xlfn.LET(_xlpm._termname,$AB36,_xlpm._iconname,"find",_xlpm._icon,fx_getIcon(_xlpm._iconname),_xlpm._location,_xlfn.XLOOKUP(LOWER(_xlpm._termname),LOWER(tbl_acctDef[Term]),tbl_acctDef[Term]),_xlpm._hyperlink,HYPERLINK("#"&amp;CELL("address",_xlpm._location),_xlpm._icon),IFERROR(_xlpm._hyperlink,""))</f>
        <v>#VALUE!</v>
      </c>
      <c r="AD36" s="3229">
        <v>1</v>
      </c>
      <c r="AE36" s="3229">
        <v>1</v>
      </c>
      <c r="AF36" s="3229">
        <v>1</v>
      </c>
      <c r="AG36" s="3229">
        <v>1</v>
      </c>
      <c r="AH36" s="3229">
        <v>1</v>
      </c>
      <c r="AI36" s="3229">
        <v>1</v>
      </c>
      <c r="AJ36" s="3229">
        <v>1</v>
      </c>
      <c r="AK36" s="3229">
        <v>1</v>
      </c>
      <c r="AL36" s="3229">
        <v>1</v>
      </c>
      <c r="AM36" s="3229">
        <v>1</v>
      </c>
      <c r="AN36" s="3229">
        <v>1</v>
      </c>
      <c r="AO36" s="3229">
        <v>1</v>
      </c>
      <c r="AP36" s="3229">
        <v>1</v>
      </c>
      <c r="AQ36" s="3229">
        <v>1</v>
      </c>
      <c r="AR36" s="3229">
        <v>1</v>
      </c>
      <c r="AS36" s="3229">
        <v>1</v>
      </c>
      <c r="AT36" s="3229">
        <v>1</v>
      </c>
      <c r="AU36" s="3229">
        <v>1</v>
      </c>
      <c r="AV36" s="3229">
        <v>1</v>
      </c>
      <c r="AW36" s="3229">
        <v>1</v>
      </c>
      <c r="AX36" s="3229">
        <v>1</v>
      </c>
      <c r="AY36" s="3229">
        <v>1</v>
      </c>
      <c r="AZ36" s="3229">
        <v>1</v>
      </c>
      <c r="BA36" s="3229">
        <v>1</v>
      </c>
      <c r="BB36" s="3229">
        <v>1</v>
      </c>
      <c r="BC36" s="3229">
        <v>1</v>
      </c>
      <c r="BD36" s="3229">
        <v>1</v>
      </c>
      <c r="BE36" s="3229">
        <v>1</v>
      </c>
      <c r="BF36" s="3229">
        <v>1</v>
      </c>
      <c r="BG36" s="3229">
        <v>1</v>
      </c>
      <c r="BH36" s="3229">
        <v>1</v>
      </c>
      <c r="BI36" s="3229">
        <v>1</v>
      </c>
      <c r="BJ36" s="3229">
        <v>1</v>
      </c>
      <c r="BK36" s="3229">
        <v>1</v>
      </c>
      <c r="BL36" s="3229">
        <v>1</v>
      </c>
      <c r="BM36" s="3229">
        <v>1</v>
      </c>
      <c r="BN36" s="3229">
        <v>1</v>
      </c>
      <c r="BO36" s="2095"/>
      <c r="BP36" s="2095"/>
      <c r="BQ36" s="2095"/>
      <c r="BR36" s="2095"/>
      <c r="BS36" s="2095"/>
      <c r="BT36" s="2095"/>
      <c r="BU36" s="2095"/>
      <c r="BV36" s="2095"/>
      <c r="BW36" s="2095"/>
      <c r="BX36" s="2095"/>
      <c r="BY36" s="2095"/>
      <c r="BZ36" s="2095"/>
      <c r="CA36" s="926"/>
      <c r="CB36" s="921"/>
      <c r="CC36" s="927"/>
      <c r="CD36" s="2069" t="e" cm="1">
        <f t="array" ca="1" aca="1" ref="CD36">_xlfn.XLOOKUP(BS!CD$11,array_timeline,BS!$AD36:$BN36)</f>
        <v>#NAME?</v>
      </c>
      <c r="CE36" s="2069" t="e" cm="1">
        <f t="array" ca="1" aca="1" ref="CE36">_xlfn.XLOOKUP(BS!CE$11,array_timeline,BS!$AD36:$BN36)</f>
        <v>#NAME?</v>
      </c>
      <c r="CF36" s="925"/>
      <c r="CG36" s="3342" t="e" cm="1">
        <f t="array" ca="1" aca="1" ref="CG36">TODECIMAL(IFBLANK(_BS!CG36,""),fxVal_normal)</f>
        <v>#NAME?</v>
      </c>
      <c r="CH36" s="3342" t="e" cm="1">
        <f t="array" ca="1" aca="1" ref="CH36">TODECIMAL(IFBLANK(_BS!CH36,""),fxVal_normal)</f>
        <v>#NAME?</v>
      </c>
      <c r="CI36" s="200"/>
      <c r="CK36" s="2085" t="str" cm="1">
        <f t="array" ca="1" aca="1" ref="CK36">IFERROR(IF(Y36&lt;&gt;AB36,_xldudf_CX_PUSH(Y36,CX_ENTITY,C36,EOMONTH(val_asOfDate,0)),""),"")</f>
        <v/>
      </c>
      <c r="CL36" s="2085" t="str" cm="1">
        <f t="array" ca="1" aca="1" ref="CL36">IFERROR(IF(Y36&lt;&gt;AB36,_xldudf_CX_PUSH(Y36,CX_ENTITY,C36,EOMONTH(val_asOfDate,1)),""),"")</f>
        <v/>
      </c>
      <c r="CM36" s="2085" t="str" cm="1">
        <f t="array" ca="1" aca="1" ref="CM36">IFERROR(IF(Y36&lt;&gt;AB36,_xldudf_CX_PUSH(Y36,CX_ENTITY,C36,EOMONTH(val_asOfDate,2)),""),"")</f>
        <v/>
      </c>
      <c r="CN36" s="2085" t="str" cm="1">
        <f t="array" ca="1" aca="1" ref="CN36">IFERROR(IF(Y36&lt;&gt;AB36,_xldudf_CX_PUSH(Y36,CX_ENTITY,C36,EOMONTH(val_asOfDate,3)),""),"")</f>
        <v/>
      </c>
      <c r="CO36" s="2086" t="str" cm="1">
        <f t="array" ca="1" aca="1" ref="CO36">IFERROR(IF(CG36*fxVal_normal=_BS!CG36,"",IF(OR($CG36="",$CG36=0,NOT(ISNUMBER($CG36)),ISERROR($CG36),$B36=""),"",IF($I36=1,IFBLANK(_xldudf_CX_PUSH($CG36*10^6,CX_ENTITY,$B36,$CG$11,$CG$14,$CG$19,),""),IF($I36=2,IFBLANK(_xldudf_CX_PUSH($CG36,CX_ENTITY,$B36,$CG$11,$CG$14,$CG$19,),""),IF($I36=3,"",IFBLANK(_xldudf_CX_PUSH($CG36,CX_ENTITY,$B36,$CG$11,$CG$14,$CG$19,),"")))))),"")</f>
        <v/>
      </c>
      <c r="CP36" s="2086" t="str" cm="1">
        <f t="array" ca="1" aca="1" ref="CP36">IFERROR(IF(CH36*fxVal_normal=_BS!CH36,"",IF(OR($CH36="",$CH36=0,NOT(ISNUMBER($CH36)),ISERROR($CH36),$B36=""),"",IF($I36=1,IFBLANK(_xldudf_CX_PUSH($CH36*10^6,CX_ENTITY,$B36,$CH$11,$CH$14,$CH$19,),""),IF($I36=2,IFBLANK(_xldudf_CX_PUSH($CH36,CX_ENTITY,$B36,$CH$11,$CH$14,$CH$19,),""),IF($I36=3,"",IFBLANK(_xldudf_CX_PUSH($CH36,CX_ENTITY,$B36,$CH$11,$CH$14,$CH$19,),"")))))),"")</f>
        <v/>
      </c>
      <c r="CQ36" s="1883" t="str" cm="1">
        <f t="array" ca="1" aca="1" ref="CQ36">IFERROR(IF(AD36*fxVal_normal=_BS!AD36,"",IF(OR(AD36="",NOT(ISNUMBER(AD36)),ISERROR(AD36),$B36=""),"",IF($I36=1,IFBLANK(_xldudf_CX_PUSH(AD36*fxVal_normal,CX_ENTITY,$B36,AD$11,AD$14,AD$19,),""),IF($I36=2,IFBLANK(_xldudf_CX_PUSH(AD36,CX_ENTITY,$B36,AD$11,AD$14,AD$19,),""),IF($I36=3,"",IFBLANK(_xldudf_CX_PUSH(AD36,CX_ENTITY,$B36,AD$11,AD$14,AD$19,),"")))))),"")</f>
        <v/>
      </c>
      <c r="CR36" s="1883" t="str" cm="1">
        <f t="array" ca="1" aca="1" ref="CR36">IFERROR(IF(AE36*fxVal_normal=_BS!AE36,"",IF(OR(AE36="",NOT(ISNUMBER(AE36)),ISERROR(AE36),$B36=""),"",IF($I36=1,IFBLANK(_xldudf_CX_PUSH(AE36*fxVal_normal,CX_ENTITY,$B36,AE$11,AE$14,AE$19,),""),IF($I36=2,IFBLANK(_xldudf_CX_PUSH(AE36,CX_ENTITY,$B36,AE$11,AE$14,AE$19,),""),IF($I36=3,"",IFBLANK(_xldudf_CX_PUSH(AE36,CX_ENTITY,$B36,AE$11,AE$14,AE$19,),"")))))),"")</f>
        <v/>
      </c>
      <c r="CS36" s="1883" t="str" cm="1">
        <f t="array" ca="1" aca="1" ref="CS36">IFERROR(IF(AF36*fxVal_normal=_BS!AF36,"",IF(OR(AF36="",NOT(ISNUMBER(AF36)),ISERROR(AF36),$B36=""),"",IF($I36=1,IFBLANK(_xldudf_CX_PUSH(AF36*fxVal_normal,CX_ENTITY,$B36,AF$11,AF$14,AF$19,),""),IF($I36=2,IFBLANK(_xldudf_CX_PUSH(AF36,CX_ENTITY,$B36,AF$11,AF$14,AF$19,),""),IF($I36=3,"",IFBLANK(_xldudf_CX_PUSH(AF36,CX_ENTITY,$B36,AF$11,AF$14,AF$19,),"")))))),"")</f>
        <v/>
      </c>
      <c r="CT36" s="1883" t="str" cm="1">
        <f t="array" ca="1" aca="1" ref="CT36">IFERROR(IF(AG36*fxVal_normal=_BS!AG36,"",IF(OR(AG36="",NOT(ISNUMBER(AG36)),ISERROR(AG36),$B36=""),"",IF($I36=1,IFBLANK(_xldudf_CX_PUSH(AG36*fxVal_normal,CX_ENTITY,$B36,AG$11,AG$14,AG$19,),""),IF($I36=2,IFBLANK(_xldudf_CX_PUSH(AG36,CX_ENTITY,$B36,AG$11,AG$14,AG$19,),""),IF($I36=3,"",IFBLANK(_xldudf_CX_PUSH(AG36,CX_ENTITY,$B36,AG$11,AG$14,AG$19,),"")))))),"")</f>
        <v/>
      </c>
      <c r="CU36" s="1883" t="str" cm="1">
        <f t="array" ca="1" aca="1" ref="CU36">IFERROR(IF(AH36*fxVal_normal=_BS!AH36,"",IF(OR(AH36="",NOT(ISNUMBER(AH36)),ISERROR(AH36),$B36=""),"",IF($I36=1,IFBLANK(_xldudf_CX_PUSH(AH36*fxVal_normal,CX_ENTITY,$B36,AH$11,AH$14,AH$19,),""),IF($I36=2,IFBLANK(_xldudf_CX_PUSH(AH36,CX_ENTITY,$B36,AH$11,AH$14,AH$19,),""),IF($I36=3,"",IFBLANK(_xldudf_CX_PUSH(AH36,CX_ENTITY,$B36,AH$11,AH$14,AH$19,),"")))))),"")</f>
        <v/>
      </c>
      <c r="CV36" s="1883" t="str" cm="1">
        <f t="array" ca="1" aca="1" ref="CV36">IFERROR(IF(AI36*fxVal_normal=_BS!AI36,"",IF(OR(AI36="",NOT(ISNUMBER(AI36)),ISERROR(AI36),$B36=""),"",IF($I36=1,IFBLANK(_xldudf_CX_PUSH(AI36*fxVal_normal,CX_ENTITY,$B36,AI$11,AI$14,AI$19,),""),IF($I36=2,IFBLANK(_xldudf_CX_PUSH(AI36,CX_ENTITY,$B36,AI$11,AI$14,AI$19,),""),IF($I36=3,"",IFBLANK(_xldudf_CX_PUSH(AI36,CX_ENTITY,$B36,AI$11,AI$14,AI$19,),"")))))),"")</f>
        <v/>
      </c>
      <c r="CW36" s="1883" t="str" cm="1">
        <f t="array" ca="1" aca="1" ref="CW36">IFERROR(IF(AJ36*fxVal_normal=_BS!AJ36,"",IF(OR(AJ36="",NOT(ISNUMBER(AJ36)),ISERROR(AJ36),$B36=""),"",IF($I36=1,IFBLANK(_xldudf_CX_PUSH(AJ36*fxVal_normal,CX_ENTITY,$B36,AJ$11,AJ$14,AJ$19,),""),IF($I36=2,IFBLANK(_xldudf_CX_PUSH(AJ36,CX_ENTITY,$B36,AJ$11,AJ$14,AJ$19,),""),IF($I36=3,"",IFBLANK(_xldudf_CX_PUSH(AJ36,CX_ENTITY,$B36,AJ$11,AJ$14,AJ$19,),"")))))),"")</f>
        <v/>
      </c>
      <c r="CX36" s="1883" t="str" cm="1">
        <f t="array" ca="1" aca="1" ref="CX36">IFERROR(IF(AK36*fxVal_normal=_BS!AK36,"",IF(OR(AK36="",NOT(ISNUMBER(AK36)),ISERROR(AK36),$B36=""),"",IF($I36=1,IFBLANK(_xldudf_CX_PUSH(AK36*fxVal_normal,CX_ENTITY,$B36,AK$11,AK$14,AK$19,),""),IF($I36=2,IFBLANK(_xldudf_CX_PUSH(AK36,CX_ENTITY,$B36,AK$11,AK$14,AK$19,),""),IF($I36=3,"",IFBLANK(_xldudf_CX_PUSH(AK36,CX_ENTITY,$B36,AK$11,AK$14,AK$19,),"")))))),"")</f>
        <v/>
      </c>
      <c r="CY36" s="1883" t="str" cm="1">
        <f t="array" ca="1" aca="1" ref="CY36">IFERROR(IF(AL36*fxVal_normal=_BS!AL36,"",IF(OR(AL36="",NOT(ISNUMBER(AL36)),ISERROR(AL36),$B36=""),"",IF($I36=1,IFBLANK(_xldudf_CX_PUSH(AL36*fxVal_normal,CX_ENTITY,$B36,AL$11,AL$14,AL$19,),""),IF($I36=2,IFBLANK(_xldudf_CX_PUSH(AL36,CX_ENTITY,$B36,AL$11,AL$14,AL$19,),""),IF($I36=3,"",IFBLANK(_xldudf_CX_PUSH(AL36,CX_ENTITY,$B36,AL$11,AL$14,AL$19,),"")))))),"")</f>
        <v/>
      </c>
      <c r="CZ36" s="1883" t="str" cm="1">
        <f t="array" ca="1" aca="1" ref="CZ36">IFERROR(IF(AM36*fxVal_normal=_BS!AM36,"",IF(OR(AM36="",NOT(ISNUMBER(AM36)),ISERROR(AM36),$B36=""),"",IF($I36=1,IFBLANK(_xldudf_CX_PUSH(AM36*fxVal_normal,CX_ENTITY,$B36,AM$11,AM$14,AM$19,),""),IF($I36=2,IFBLANK(_xldudf_CX_PUSH(AM36,CX_ENTITY,$B36,AM$11,AM$14,AM$19,),""),IF($I36=3,"",IFBLANK(_xldudf_CX_PUSH(AM36,CX_ENTITY,$B36,AM$11,AM$14,AM$19,),"")))))),"")</f>
        <v/>
      </c>
      <c r="DA36" s="1883" t="str" cm="1">
        <f t="array" ca="1" aca="1" ref="DA36">IFERROR(IF(AN36*fxVal_normal=_BS!AN36,"",IF(OR(AN36="",NOT(ISNUMBER(AN36)),ISERROR(AN36),$B36=""),"",IF($I36=1,IFBLANK(_xldudf_CX_PUSH(AN36*fxVal_normal,CX_ENTITY,$B36,AN$11,AN$14,AN$19,),""),IF($I36=2,IFBLANK(_xldudf_CX_PUSH(AN36,CX_ENTITY,$B36,AN$11,AN$14,AN$19,),""),IF($I36=3,"",IFBLANK(_xldudf_CX_PUSH(AN36,CX_ENTITY,$B36,AN$11,AN$14,AN$19,),"")))))),"")</f>
        <v/>
      </c>
      <c r="DB36" s="1883" t="str" cm="1">
        <f t="array" ca="1" aca="1" ref="DB36">IFERROR(IF(AO36*fxVal_normal=_BS!AO36,"",IF(OR(AO36="",NOT(ISNUMBER(AO36)),ISERROR(AO36),$B36=""),"",IF($I36=1,IFBLANK(_xldudf_CX_PUSH(AO36*fxVal_normal,CX_ENTITY,$B36,AO$11,AO$14,AO$19,),""),IF($I36=2,IFBLANK(_xldudf_CX_PUSH(AO36,CX_ENTITY,$B36,AO$11,AO$14,AO$19,),""),IF($I36=3,"",IFBLANK(_xldudf_CX_PUSH(AO36,CX_ENTITY,$B36,AO$11,AO$14,AO$19,),"")))))),"")</f>
        <v/>
      </c>
      <c r="DC36" s="1883" t="str" cm="1">
        <f t="array" ca="1" aca="1" ref="DC36">IFERROR(IF(AP36*fxVal_normal=_BS!AP36,"",IF(OR(AP36="",NOT(ISNUMBER(AP36)),ISERROR(AP36),$B36=""),"",IF($I36=1,IFBLANK(_xldudf_CX_PUSH(AP36*fxVal_normal,CX_ENTITY,$B36,AP$11,AP$14,AP$19,),""),IF($I36=2,IFBLANK(_xldudf_CX_PUSH(AP36,CX_ENTITY,$B36,AP$11,AP$14,AP$19,),""),IF($I36=3,"",IFBLANK(_xldudf_CX_PUSH(AP36,CX_ENTITY,$B36,AP$11,AP$14,AP$19,),"")))))),"")</f>
        <v/>
      </c>
      <c r="DD36" s="1883" t="str" cm="1">
        <f t="array" ca="1" aca="1" ref="DD36">IFERROR(IF(AQ36*fxVal_normal=_BS!AQ36,"",IF(OR(AQ36="",NOT(ISNUMBER(AQ36)),ISERROR(AQ36),$B36=""),"",IF($I36=1,IFBLANK(_xldudf_CX_PUSH(AQ36*fxVal_normal,CX_ENTITY,$B36,AQ$11,AQ$14,AQ$19,),""),IF($I36=2,IFBLANK(_xldudf_CX_PUSH(AQ36,CX_ENTITY,$B36,AQ$11,AQ$14,AQ$19,),""),IF($I36=3,"",IFBLANK(_xldudf_CX_PUSH(AQ36,CX_ENTITY,$B36,AQ$11,AQ$14,AQ$19,),"")))))),"")</f>
        <v/>
      </c>
      <c r="DE36" s="1883" t="str" cm="1">
        <f t="array" ca="1" aca="1" ref="DE36">IFERROR(IF(AR36*fxVal_normal=_BS!AR36,"",IF(OR(AR36="",NOT(ISNUMBER(AR36)),ISERROR(AR36),$B36=""),"",IF($I36=1,IFBLANK(_xldudf_CX_PUSH(AR36*fxVal_normal,CX_ENTITY,$B36,AR$11,AR$14,AR$19,),""),IF($I36=2,IFBLANK(_xldudf_CX_PUSH(AR36,CX_ENTITY,$B36,AR$11,AR$14,AR$19,),""),IF($I36=3,"",IFBLANK(_xldudf_CX_PUSH(AR36,CX_ENTITY,$B36,AR$11,AR$14,AR$19,),"")))))),"")</f>
        <v/>
      </c>
      <c r="DF36" s="1883" t="str" cm="1">
        <f t="array" ca="1" aca="1" ref="DF36">IFERROR(IF(AS36*fxVal_normal=_BS!AS36,"",IF(OR(AS36="",NOT(ISNUMBER(AS36)),ISERROR(AS36),$B36=""),"",IF($I36=1,IFBLANK(_xldudf_CX_PUSH(AS36*fxVal_normal,CX_ENTITY,$B36,AS$11,AS$14,AS$19,),""),IF($I36=2,IFBLANK(_xldudf_CX_PUSH(AS36,CX_ENTITY,$B36,AS$11,AS$14,AS$19,),""),IF($I36=3,"",IFBLANK(_xldudf_CX_PUSH(AS36,CX_ENTITY,$B36,AS$11,AS$14,AS$19,),"")))))),"")</f>
        <v/>
      </c>
      <c r="DG36" s="1883" t="str" cm="1">
        <f t="array" ca="1" aca="1" ref="DG36">IFERROR(IF(AT36*fxVal_normal=_BS!AT36,"",IF(OR(AT36="",NOT(ISNUMBER(AT36)),ISERROR(AT36),$B36=""),"",IF($I36=1,IFBLANK(_xldudf_CX_PUSH(AT36*fxVal_normal,CX_ENTITY,$B36,AT$11,AT$14,AT$19,),""),IF($I36=2,IFBLANK(_xldudf_CX_PUSH(AT36,CX_ENTITY,$B36,AT$11,AT$14,AT$19,),""),IF($I36=3,"",IFBLANK(_xldudf_CX_PUSH(AT36,CX_ENTITY,$B36,AT$11,AT$14,AT$19,),"")))))),"")</f>
        <v/>
      </c>
      <c r="DH36" s="1883" t="str" cm="1">
        <f t="array" ca="1" aca="1" ref="DH36">IFERROR(IF(AU36*fxVal_normal=_BS!AU36,"",IF(OR(AU36="",NOT(ISNUMBER(AU36)),ISERROR(AU36),$B36=""),"",IF($I36=1,IFBLANK(_xldudf_CX_PUSH(AU36*fxVal_normal,CX_ENTITY,$B36,AU$11,AU$14,AU$19,),""),IF($I36=2,IFBLANK(_xldudf_CX_PUSH(AU36,CX_ENTITY,$B36,AU$11,AU$14,AU$19,),""),IF($I36=3,"",IFBLANK(_xldudf_CX_PUSH(AU36,CX_ENTITY,$B36,AU$11,AU$14,AU$19,),"")))))),"")</f>
        <v/>
      </c>
      <c r="DI36" s="1883" t="str" cm="1">
        <f t="array" ca="1" aca="1" ref="DI36">IFERROR(IF(AV36*fxVal_normal=_BS!AV36,"",IF(OR(AV36="",NOT(ISNUMBER(AV36)),ISERROR(AV36),$B36=""),"",IF($I36=1,IFBLANK(_xldudf_CX_PUSH(AV36*fxVal_normal,CX_ENTITY,$B36,AV$11,AV$14,AV$19,),""),IF($I36=2,IFBLANK(_xldudf_CX_PUSH(AV36,CX_ENTITY,$B36,AV$11,AV$14,AV$19,),""),IF($I36=3,"",IFBLANK(_xldudf_CX_PUSH(AV36,CX_ENTITY,$B36,AV$11,AV$14,AV$19,),"")))))),"")</f>
        <v/>
      </c>
      <c r="DJ36" s="1883" t="str" cm="1">
        <f t="array" ca="1" aca="1" ref="DJ36">IFERROR(IF(AW36*fxVal_normal=_BS!AW36,"",IF(OR(AW36="",NOT(ISNUMBER(AW36)),ISERROR(AW36),$B36=""),"",IF($I36=1,IFBLANK(_xldudf_CX_PUSH(AW36*fxVal_normal,CX_ENTITY,$B36,AW$11,AW$14,AW$19,),""),IF($I36=2,IFBLANK(_xldudf_CX_PUSH(AW36,CX_ENTITY,$B36,AW$11,AW$14,AW$19,),""),IF($I36=3,"",IFBLANK(_xldudf_CX_PUSH(AW36,CX_ENTITY,$B36,AW$11,AW$14,AW$19,),"")))))),"")</f>
        <v/>
      </c>
      <c r="DK36" s="1883" t="str" cm="1">
        <f t="array" ca="1" aca="1" ref="DK36">IFERROR(IF(AX36*fxVal_normal=_BS!AX36,"",IF(OR(AX36="",NOT(ISNUMBER(AX36)),ISERROR(AX36),$B36=""),"",IF($I36=1,IFBLANK(_xldudf_CX_PUSH(AX36*fxVal_normal,CX_ENTITY,$B36,AX$11,AX$14,AX$19,),""),IF($I36=2,IFBLANK(_xldudf_CX_PUSH(AX36,CX_ENTITY,$B36,AX$11,AX$14,AX$19,),""),IF($I36=3,"",IFBLANK(_xldudf_CX_PUSH(AX36,CX_ENTITY,$B36,AX$11,AX$14,AX$19,),"")))))),"")</f>
        <v/>
      </c>
      <c r="DL36" s="1883" t="str" cm="1">
        <f t="array" ca="1" aca="1" ref="DL36">IFERROR(IF(AY36*fxVal_normal=_BS!AY36,"",IF(OR(AY36="",NOT(ISNUMBER(AY36)),ISERROR(AY36),$B36=""),"",IF($I36=1,IFBLANK(_xldudf_CX_PUSH(AY36*fxVal_normal,CX_ENTITY,$B36,AY$11,AY$14,AY$19,),""),IF($I36=2,IFBLANK(_xldudf_CX_PUSH(AY36,CX_ENTITY,$B36,AY$11,AY$14,AY$19,),""),IF($I36=3,"",IFBLANK(_xldudf_CX_PUSH(AY36,CX_ENTITY,$B36,AY$11,AY$14,AY$19,),"")))))),"")</f>
        <v/>
      </c>
      <c r="DM36" s="1883" t="str" cm="1">
        <f t="array" ca="1" aca="1" ref="DM36">IFERROR(IF(AZ36*fxVal_normal=_BS!AZ36,"",IF(OR(AZ36="",NOT(ISNUMBER(AZ36)),ISERROR(AZ36),$B36=""),"",IF($I36=1,IFBLANK(_xldudf_CX_PUSH(AZ36*fxVal_normal,CX_ENTITY,$B36,AZ$11,AZ$14,AZ$19,),""),IF($I36=2,IFBLANK(_xldudf_CX_PUSH(AZ36,CX_ENTITY,$B36,AZ$11,AZ$14,AZ$19,),""),IF($I36=3,"",IFBLANK(_xldudf_CX_PUSH(AZ36,CX_ENTITY,$B36,AZ$11,AZ$14,AZ$19,),"")))))),"")</f>
        <v/>
      </c>
      <c r="DN36" s="1883" t="str" cm="1">
        <f t="array" ca="1" aca="1" ref="DN36">IFERROR(IF(BA36*fxVal_normal=_BS!BA36,"",IF(OR(BA36="",NOT(ISNUMBER(BA36)),ISERROR(BA36),$B36=""),"",IF($I36=1,IFBLANK(_xldudf_CX_PUSH(BA36*fxVal_normal,CX_ENTITY,$B36,BA$11,BA$14,BA$19,),""),IF($I36=2,IFBLANK(_xldudf_CX_PUSH(BA36,CX_ENTITY,$B36,BA$11,BA$14,BA$19,),""),IF($I36=3,"",IFBLANK(_xldudf_CX_PUSH(BA36,CX_ENTITY,$B36,BA$11,BA$14,BA$19,),"")))))),"")</f>
        <v/>
      </c>
      <c r="DO36" s="1883" t="str" cm="1">
        <f t="array" ca="1" aca="1" ref="DO36">IFERROR(IF(BB36*fxVal_normal=_BS!BB36,"",IF(OR(BB36="",NOT(ISNUMBER(BB36)),ISERROR(BB36),$B36=""),"",IF($I36=1,IFBLANK(_xldudf_CX_PUSH(BB36*fxVal_normal,CX_ENTITY,$B36,BB$11,BB$14,BB$19,),""),IF($I36=2,IFBLANK(_xldudf_CX_PUSH(BB36,CX_ENTITY,$B36,BB$11,BB$14,BB$19,),""),IF($I36=3,"",IFBLANK(_xldudf_CX_PUSH(BB36,CX_ENTITY,$B36,BB$11,BB$14,BB$19,),"")))))),"")</f>
        <v/>
      </c>
      <c r="DP36" s="1883" t="str" cm="1">
        <f t="array" ca="1" aca="1" ref="DP36">IFERROR(IF(BC36*fxVal_normal=_BS!BC36,"",IF(OR(BC36="",NOT(ISNUMBER(BC36)),ISERROR(BC36),$B36=""),"",IF($I36=1,IFBLANK(_xldudf_CX_PUSH(BC36*fxVal_normal,CX_ENTITY,$B36,BC$11,BC$14,BC$19,),""),IF($I36=2,IFBLANK(_xldudf_CX_PUSH(BC36,CX_ENTITY,$B36,BC$11,BC$14,BC$19,),""),IF($I36=3,"",IFBLANK(_xldudf_CX_PUSH(BC36,CX_ENTITY,$B36,BC$11,BC$14,BC$19,),"")))))),"")</f>
        <v/>
      </c>
      <c r="DQ36" s="1883" t="str" cm="1">
        <f t="array" ca="1" aca="1" ref="DQ36">IFERROR(IF(BD36*fxVal_normal=_BS!BD36,"",IF(OR(BD36="",NOT(ISNUMBER(BD36)),ISERROR(BD36),$B36=""),"",IF($I36=1,IFBLANK(_xldudf_CX_PUSH(BD36*fxVal_normal,CX_ENTITY,$B36,BD$11,BD$14,BD$19,),""),IF($I36=2,IFBLANK(_xldudf_CX_PUSH(BD36,CX_ENTITY,$B36,BD$11,BD$14,BD$19,),""),IF($I36=3,"",IFBLANK(_xldudf_CX_PUSH(BD36,CX_ENTITY,$B36,BD$11,BD$14,BD$19,),"")))))),"")</f>
        <v/>
      </c>
      <c r="DR36" s="1883" t="str" cm="1">
        <f t="array" ca="1" aca="1" ref="DR36">IFERROR(IF(BE36*fxVal_normal=_BS!BE36,"",IF(OR(BE36="",NOT(ISNUMBER(BE36)),ISERROR(BE36),$B36=""),"",IF($I36=1,IFBLANK(_xldudf_CX_PUSH(BE36*fxVal_normal,CX_ENTITY,$B36,BE$11,BE$14,BE$19,),""),IF($I36=2,IFBLANK(_xldudf_CX_PUSH(BE36,CX_ENTITY,$B36,BE$11,BE$14,BE$19,),""),IF($I36=3,"",IFBLANK(_xldudf_CX_PUSH(BE36,CX_ENTITY,$B36,BE$11,BE$14,BE$19,),"")))))),"")</f>
        <v/>
      </c>
      <c r="DS36" s="1883" t="str" cm="1">
        <f t="array" ca="1" aca="1" ref="DS36">IFERROR(IF(BF36*fxVal_normal=_BS!BF36,"",IF(OR(BF36="",NOT(ISNUMBER(BF36)),ISERROR(BF36),$B36=""),"",IF($I36=1,IFBLANK(_xldudf_CX_PUSH(BF36*fxVal_normal,CX_ENTITY,$B36,BF$11,BF$14,BF$19,),""),IF($I36=2,IFBLANK(_xldudf_CX_PUSH(BF36,CX_ENTITY,$B36,BF$11,BF$14,BF$19,),""),IF($I36=3,"",IFBLANK(_xldudf_CX_PUSH(BF36,CX_ENTITY,$B36,BF$11,BF$14,BF$19,),"")))))),"")</f>
        <v/>
      </c>
      <c r="DT36" s="1883" t="str" cm="1">
        <f t="array" ca="1" aca="1" ref="DT36">IFERROR(IF(BG36*fxVal_normal=_BS!BG36,"",IF(OR(BG36="",NOT(ISNUMBER(BG36)),ISERROR(BG36),$B36=""),"",IF($I36=1,IFBLANK(_xldudf_CX_PUSH(BG36*fxVal_normal,CX_ENTITY,$B36,BG$11,BG$14,BG$19,),""),IF($I36=2,IFBLANK(_xldudf_CX_PUSH(BG36,CX_ENTITY,$B36,BG$11,BG$14,BG$19,),""),IF($I36=3,"",IFBLANK(_xldudf_CX_PUSH(BG36,CX_ENTITY,$B36,BG$11,BG$14,BG$19,),"")))))),"")</f>
        <v/>
      </c>
      <c r="DU36" s="1883" t="str" cm="1">
        <f t="array" ca="1" aca="1" ref="DU36">IFERROR(IF(BH36*fxVal_normal=_BS!BH36,"",IF(OR(BH36="",NOT(ISNUMBER(BH36)),ISERROR(BH36),$B36=""),"",IF($I36=1,IFBLANK(_xldudf_CX_PUSH(BH36*fxVal_normal,CX_ENTITY,$B36,BH$11,BH$14,BH$19,),""),IF($I36=2,IFBLANK(_xldudf_CX_PUSH(BH36,CX_ENTITY,$B36,BH$11,BH$14,BH$19,),""),IF($I36=3,"",IFBLANK(_xldudf_CX_PUSH(BH36,CX_ENTITY,$B36,BH$11,BH$14,BH$19,),"")))))),"")</f>
        <v/>
      </c>
      <c r="DV36" s="1883" t="str" cm="1">
        <f t="array" ca="1" aca="1" ref="DV36">IFERROR(IF(BI36*fxVal_normal=_BS!BI36,"",IF(OR(BI36="",NOT(ISNUMBER(BI36)),ISERROR(BI36),$B36=""),"",IF($I36=1,IFBLANK(_xldudf_CX_PUSH(BI36*fxVal_normal,CX_ENTITY,$B36,BI$11,BI$14,BI$19,),""),IF($I36=2,IFBLANK(_xldudf_CX_PUSH(BI36,CX_ENTITY,$B36,BI$11,BI$14,BI$19,),""),IF($I36=3,"",IFBLANK(_xldudf_CX_PUSH(BI36,CX_ENTITY,$B36,BI$11,BI$14,BI$19,),"")))))),"")</f>
        <v/>
      </c>
      <c r="DW36" s="1883" t="str" cm="1">
        <f t="array" ca="1" aca="1" ref="DW36">IFERROR(IF(BJ36*fxVal_normal=_BS!BJ36,"",IF(OR(BJ36="",NOT(ISNUMBER(BJ36)),ISERROR(BJ36),$B36=""),"",IF($I36=1,IFBLANK(_xldudf_CX_PUSH(BJ36*fxVal_normal,CX_ENTITY,$B36,BJ$11,BJ$14,BJ$19,),""),IF($I36=2,IFBLANK(_xldudf_CX_PUSH(BJ36,CX_ENTITY,$B36,BJ$11,BJ$14,BJ$19,),""),IF($I36=3,"",IFBLANK(_xldudf_CX_PUSH(BJ36,CX_ENTITY,$B36,BJ$11,BJ$14,BJ$19,),"")))))),"")</f>
        <v/>
      </c>
      <c r="DX36" s="1883" t="str" cm="1">
        <f t="array" ca="1" aca="1" ref="DX36">IFERROR(IF(BK36*fxVal_normal=_BS!BK36,"",IF(OR(BK36="",NOT(ISNUMBER(BK36)),ISERROR(BK36),$B36=""),"",IF($I36=1,IFBLANK(_xldudf_CX_PUSH(BK36*fxVal_normal,CX_ENTITY,$B36,BK$11,BK$14,BK$19,),""),IF($I36=2,IFBLANK(_xldudf_CX_PUSH(BK36,CX_ENTITY,$B36,BK$11,BK$14,BK$19,),""),IF($I36=3,"",IFBLANK(_xldudf_CX_PUSH(BK36,CX_ENTITY,$B36,BK$11,BK$14,BK$19,),"")))))),"")</f>
        <v/>
      </c>
      <c r="DY36" s="1883" t="str" cm="1">
        <f t="array" ca="1" aca="1" ref="DY36">IFERROR(IF(BL36*fxVal_normal=_BS!BL36,"",IF(OR(BL36="",NOT(ISNUMBER(BL36)),ISERROR(BL36),$B36=""),"",IF($I36=1,IFBLANK(_xldudf_CX_PUSH(BL36*fxVal_normal,CX_ENTITY,$B36,BL$11,BL$14,BL$19,),""),IF($I36=2,IFBLANK(_xldudf_CX_PUSH(BL36,CX_ENTITY,$B36,BL$11,BL$14,BL$19,),""),IF($I36=3,"",IFBLANK(_xldudf_CX_PUSH(BL36,CX_ENTITY,$B36,BL$11,BL$14,BL$19,),"")))))),"")</f>
        <v/>
      </c>
      <c r="DZ36" s="1883" t="str" cm="1">
        <f t="array" ca="1" aca="1" ref="DZ36">IFERROR(IF(BM36*fxVal_normal=_BS!BM36,"",IF(OR(BM36="",NOT(ISNUMBER(BM36)),ISERROR(BM36),$B36=""),"",IF($I36=1,IFBLANK(_xldudf_CX_PUSH(BM36*fxVal_normal,CX_ENTITY,$B36,BM$11,BM$14,BM$19,),""),IF($I36=2,IFBLANK(_xldudf_CX_PUSH(BM36,CX_ENTITY,$B36,BM$11,BM$14,BM$19,),""),IF($I36=3,"",IFBLANK(_xldudf_CX_PUSH(BM36,CX_ENTITY,$B36,BM$11,BM$14,BM$19,),"")))))),"")</f>
        <v/>
      </c>
      <c r="EA36" s="1883" t="str" cm="1">
        <f t="array" ca="1" aca="1" ref="EA36">IFERROR(IF(BN36*fxVal_normal=_BS!BN36,"",IF(OR(BN36="",NOT(ISNUMBER(BN36)),ISERROR(BN36),$B36=""),"",IF($I36=1,IFBLANK(_xldudf_CX_PUSH(BN36*fxVal_normal,CX_ENTITY,$B36,BN$11,BN$14,BN$19,),""),IF($I36=2,IFBLANK(_xldudf_CX_PUSH(BN36,CX_ENTITY,$B36,BN$11,BN$14,BN$19,),""),IF($I36=3,"",IFBLANK(_xldudf_CX_PUSH(BN36,CX_ENTITY,$B36,BN$11,BN$14,BN$19,),"")))))),"")</f>
        <v/>
      </c>
    </row>
    <row r="37" spans="1:131" ht="21" customHeight="1">
      <c r="A37" s="1626"/>
      <c r="B37" s="811" t="str" cm="1">
        <f t="array" ref="B37">IFBLANK(_BS!F37,"")</f>
        <v>Drawn RCF</v>
      </c>
      <c r="C37" s="3346" t="str" cm="1">
        <f t="array" ref="C37">IFBLANK(_BS!C37,"")</f>
        <v>Drawn RCF (Company View)</v>
      </c>
      <c r="D37" s="1549"/>
      <c r="E37" s="1902" t="e" cm="1">
        <f t="array" ca="1" aca="1" ref="E3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37:$CH37,Z37)</f>
        <v>#NAME?</v>
      </c>
      <c r="F37" s="1897"/>
      <c r="G37" s="1897"/>
      <c r="H37" s="3280">
        <v>1</v>
      </c>
      <c r="I37" s="3280">
        <v>1</v>
      </c>
      <c r="J37" s="401"/>
      <c r="N37" s="158"/>
      <c r="O37" s="101"/>
      <c r="P37" s="52"/>
      <c r="Q37" s="101"/>
      <c r="R37" s="101"/>
      <c r="S37" s="101"/>
      <c r="T37" s="101"/>
      <c r="U37" s="39"/>
      <c r="W37" s="91" t="str">
        <f t="shared" si="1"/>
        <v>Actual</v>
      </c>
      <c r="X37" s="857">
        <f>_BS!X37</f>
        <v>-1</v>
      </c>
      <c r="Y37" s="3183">
        <v>2</v>
      </c>
      <c r="Z37" s="3311" cm="1">
        <f t="array" ref="Z37">_xlfn.SWITCH(TRUE,_BS!$L37=TRUE,1,_BS!$L37=FALSE,-1,_BS!$L37=-1,0,"n/a")</f>
        <v>1</v>
      </c>
      <c r="AA37" s="200"/>
      <c r="AB37" s="3343" t="str">
        <f>_BS!AB37</f>
        <v>Drawn RCF</v>
      </c>
      <c r="AC37" s="88" t="e" vm="5" cm="1">
        <f t="array" ca="1" aca="1" ref="AC37">_xlfn.LET(_xlpm._termname,$AB37,_xlpm._iconname,"find",_xlpm._icon,fx_getIcon(_xlpm._iconname),_xlpm._location,_xlfn.XLOOKUP(LOWER(_xlpm._termname),LOWER(tbl_acctDef[Term]),tbl_acctDef[Term]),_xlpm._hyperlink,HYPERLINK("#"&amp;CELL("address",_xlpm._location),_xlpm._icon),IFERROR(_xlpm._hyperlink,""))</f>
        <v>#VALUE!</v>
      </c>
      <c r="AD37" s="3229">
        <v>1</v>
      </c>
      <c r="AE37" s="3229">
        <v>1</v>
      </c>
      <c r="AF37" s="3229">
        <v>1</v>
      </c>
      <c r="AG37" s="3229">
        <v>1</v>
      </c>
      <c r="AH37" s="3229">
        <v>1</v>
      </c>
      <c r="AI37" s="3229">
        <v>1</v>
      </c>
      <c r="AJ37" s="3229">
        <v>1</v>
      </c>
      <c r="AK37" s="3229">
        <v>1</v>
      </c>
      <c r="AL37" s="3229">
        <v>1</v>
      </c>
      <c r="AM37" s="3229">
        <v>1</v>
      </c>
      <c r="AN37" s="3229">
        <v>1</v>
      </c>
      <c r="AO37" s="3229">
        <v>1</v>
      </c>
      <c r="AP37" s="3229">
        <v>1</v>
      </c>
      <c r="AQ37" s="3229">
        <v>1</v>
      </c>
      <c r="AR37" s="3229">
        <v>1</v>
      </c>
      <c r="AS37" s="3229">
        <v>1</v>
      </c>
      <c r="AT37" s="3229">
        <v>1</v>
      </c>
      <c r="AU37" s="3229">
        <v>1</v>
      </c>
      <c r="AV37" s="3229">
        <v>1</v>
      </c>
      <c r="AW37" s="3229">
        <v>1</v>
      </c>
      <c r="AX37" s="3229">
        <v>1</v>
      </c>
      <c r="AY37" s="3229">
        <v>1</v>
      </c>
      <c r="AZ37" s="3229">
        <v>1</v>
      </c>
      <c r="BA37" s="3229">
        <v>1</v>
      </c>
      <c r="BB37" s="3229">
        <v>1</v>
      </c>
      <c r="BC37" s="3229">
        <v>1</v>
      </c>
      <c r="BD37" s="3229">
        <v>1</v>
      </c>
      <c r="BE37" s="3229">
        <v>1</v>
      </c>
      <c r="BF37" s="3229">
        <v>1</v>
      </c>
      <c r="BG37" s="3229">
        <v>1</v>
      </c>
      <c r="BH37" s="3229">
        <v>1</v>
      </c>
      <c r="BI37" s="3229">
        <v>1</v>
      </c>
      <c r="BJ37" s="3229">
        <v>1</v>
      </c>
      <c r="BK37" s="3229">
        <v>1</v>
      </c>
      <c r="BL37" s="3229">
        <v>1</v>
      </c>
      <c r="BM37" s="3229">
        <v>1</v>
      </c>
      <c r="BN37" s="3229">
        <v>1</v>
      </c>
      <c r="BO37" s="2095"/>
      <c r="BP37" s="2095"/>
      <c r="BQ37" s="2095"/>
      <c r="BR37" s="2095"/>
      <c r="BS37" s="2095"/>
      <c r="BT37" s="2095"/>
      <c r="BU37" s="2095"/>
      <c r="BV37" s="2095"/>
      <c r="BW37" s="2095"/>
      <c r="BX37" s="2095"/>
      <c r="BY37" s="2095"/>
      <c r="BZ37" s="2095"/>
      <c r="CA37" s="926"/>
      <c r="CB37" s="921"/>
      <c r="CC37" s="927"/>
      <c r="CD37" s="2069" t="e" cm="1">
        <f t="array" ca="1" aca="1" ref="CD37">_xlfn.XLOOKUP(BS!CD$11,array_timeline,BS!$AD37:$BN37)</f>
        <v>#NAME?</v>
      </c>
      <c r="CE37" s="2069" t="e" cm="1">
        <f t="array" ca="1" aca="1" ref="CE37">_xlfn.XLOOKUP(BS!CE$11,array_timeline,BS!$AD37:$BN37)</f>
        <v>#NAME?</v>
      </c>
      <c r="CF37" s="925"/>
      <c r="CG37" s="3342" t="e" cm="1">
        <f t="array" ca="1" aca="1" ref="CG37">TODECIMAL(IFBLANK(_BS!CG37,""),fxVal_normal)</f>
        <v>#NAME?</v>
      </c>
      <c r="CH37" s="3342" t="e" cm="1">
        <f t="array" ca="1" aca="1" ref="CH37">TODECIMAL(IFBLANK(_BS!CH37,""),fxVal_normal)</f>
        <v>#NAME?</v>
      </c>
      <c r="CI37" s="200"/>
      <c r="CK37" s="2085" t="str" cm="1">
        <f t="array" ca="1" aca="1" ref="CK37">IFERROR(IF(Y37&lt;&gt;AB37,_xldudf_CX_PUSH(Y37,CX_ENTITY,C37,EOMONTH(val_asOfDate,0)),""),"")</f>
        <v/>
      </c>
      <c r="CL37" s="2085" t="str" cm="1">
        <f t="array" ca="1" aca="1" ref="CL37">IFERROR(IF(Y37&lt;&gt;AB37,_xldudf_CX_PUSH(Y37,CX_ENTITY,C37,EOMONTH(val_asOfDate,1)),""),"")</f>
        <v/>
      </c>
      <c r="CM37" s="2085" t="str" cm="1">
        <f t="array" ca="1" aca="1" ref="CM37">IFERROR(IF(Y37&lt;&gt;AB37,_xldudf_CX_PUSH(Y37,CX_ENTITY,C37,EOMONTH(val_asOfDate,2)),""),"")</f>
        <v/>
      </c>
      <c r="CN37" s="2085" t="str" cm="1">
        <f t="array" ca="1" aca="1" ref="CN37">IFERROR(IF(Y37&lt;&gt;AB37,_xldudf_CX_PUSH(Y37,CX_ENTITY,C37,EOMONTH(val_asOfDate,3)),""),"")</f>
        <v/>
      </c>
      <c r="CO37" s="2086" t="str" cm="1">
        <f t="array" ca="1" aca="1" ref="CO37">IFERROR(IF(CG37*fxVal_normal=_BS!CG37,"",IF(OR($CG37="",$CG37=0,NOT(ISNUMBER($CG37)),ISERROR($CG37),$B37=""),"",IF($I37=1,IFBLANK(_xldudf_CX_PUSH($CG37*10^6,CX_ENTITY,$B37,$CG$11,$CG$14,$CG$19,),""),IF($I37=2,IFBLANK(_xldudf_CX_PUSH($CG37,CX_ENTITY,$B37,$CG$11,$CG$14,$CG$19,),""),IF($I37=3,"",IFBLANK(_xldudf_CX_PUSH($CG37,CX_ENTITY,$B37,$CG$11,$CG$14,$CG$19,),"")))))),"")</f>
        <v/>
      </c>
      <c r="CP37" s="2086" t="str" cm="1">
        <f t="array" ca="1" aca="1" ref="CP37">IFERROR(IF(CH37*fxVal_normal=_BS!CH37,"",IF(OR($CH37="",$CH37=0,NOT(ISNUMBER($CH37)),ISERROR($CH37),$B37=""),"",IF($I37=1,IFBLANK(_xldudf_CX_PUSH($CH37*10^6,CX_ENTITY,$B37,$CH$11,$CH$14,$CH$19,),""),IF($I37=2,IFBLANK(_xldudf_CX_PUSH($CH37,CX_ENTITY,$B37,$CH$11,$CH$14,$CH$19,),""),IF($I37=3,"",IFBLANK(_xldudf_CX_PUSH($CH37,CX_ENTITY,$B37,$CH$11,$CH$14,$CH$19,),"")))))),"")</f>
        <v/>
      </c>
      <c r="CQ37" s="1883" t="str" cm="1">
        <f t="array" ca="1" aca="1" ref="CQ37">IFERROR(IF(AD37*fxVal_normal=_BS!AD37,"",IF(OR(AD37="",NOT(ISNUMBER(AD37)),ISERROR(AD37),$B37=""),"",IF($I37=1,IFBLANK(_xldudf_CX_PUSH(AD37*fxVal_normal,CX_ENTITY,$B37,AD$11,AD$14,AD$19,),""),IF($I37=2,IFBLANK(_xldudf_CX_PUSH(AD37,CX_ENTITY,$B37,AD$11,AD$14,AD$19,),""),IF($I37=3,"",IFBLANK(_xldudf_CX_PUSH(AD37,CX_ENTITY,$B37,AD$11,AD$14,AD$19,),"")))))),"")</f>
        <v/>
      </c>
      <c r="CR37" s="1883" t="str" cm="1">
        <f t="array" ca="1" aca="1" ref="CR37">IFERROR(IF(AE37*fxVal_normal=_BS!AE37,"",IF(OR(AE37="",NOT(ISNUMBER(AE37)),ISERROR(AE37),$B37=""),"",IF($I37=1,IFBLANK(_xldudf_CX_PUSH(AE37*fxVal_normal,CX_ENTITY,$B37,AE$11,AE$14,AE$19,),""),IF($I37=2,IFBLANK(_xldudf_CX_PUSH(AE37,CX_ENTITY,$B37,AE$11,AE$14,AE$19,),""),IF($I37=3,"",IFBLANK(_xldudf_CX_PUSH(AE37,CX_ENTITY,$B37,AE$11,AE$14,AE$19,),"")))))),"")</f>
        <v/>
      </c>
      <c r="CS37" s="1883" t="str" cm="1">
        <f t="array" ca="1" aca="1" ref="CS37">IFERROR(IF(AF37*fxVal_normal=_BS!AF37,"",IF(OR(AF37="",NOT(ISNUMBER(AF37)),ISERROR(AF37),$B37=""),"",IF($I37=1,IFBLANK(_xldudf_CX_PUSH(AF37*fxVal_normal,CX_ENTITY,$B37,AF$11,AF$14,AF$19,),""),IF($I37=2,IFBLANK(_xldudf_CX_PUSH(AF37,CX_ENTITY,$B37,AF$11,AF$14,AF$19,),""),IF($I37=3,"",IFBLANK(_xldudf_CX_PUSH(AF37,CX_ENTITY,$B37,AF$11,AF$14,AF$19,),"")))))),"")</f>
        <v/>
      </c>
      <c r="CT37" s="1883" t="str" cm="1">
        <f t="array" ca="1" aca="1" ref="CT37">IFERROR(IF(AG37*fxVal_normal=_BS!AG37,"",IF(OR(AG37="",NOT(ISNUMBER(AG37)),ISERROR(AG37),$B37=""),"",IF($I37=1,IFBLANK(_xldudf_CX_PUSH(AG37*fxVal_normal,CX_ENTITY,$B37,AG$11,AG$14,AG$19,),""),IF($I37=2,IFBLANK(_xldudf_CX_PUSH(AG37,CX_ENTITY,$B37,AG$11,AG$14,AG$19,),""),IF($I37=3,"",IFBLANK(_xldudf_CX_PUSH(AG37,CX_ENTITY,$B37,AG$11,AG$14,AG$19,),"")))))),"")</f>
        <v/>
      </c>
      <c r="CU37" s="1883" t="str" cm="1">
        <f t="array" ca="1" aca="1" ref="CU37">IFERROR(IF(AH37*fxVal_normal=_BS!AH37,"",IF(OR(AH37="",NOT(ISNUMBER(AH37)),ISERROR(AH37),$B37=""),"",IF($I37=1,IFBLANK(_xldudf_CX_PUSH(AH37*fxVal_normal,CX_ENTITY,$B37,AH$11,AH$14,AH$19,),""),IF($I37=2,IFBLANK(_xldudf_CX_PUSH(AH37,CX_ENTITY,$B37,AH$11,AH$14,AH$19,),""),IF($I37=3,"",IFBLANK(_xldudf_CX_PUSH(AH37,CX_ENTITY,$B37,AH$11,AH$14,AH$19,),"")))))),"")</f>
        <v/>
      </c>
      <c r="CV37" s="1883" t="str" cm="1">
        <f t="array" ca="1" aca="1" ref="CV37">IFERROR(IF(AI37*fxVal_normal=_BS!AI37,"",IF(OR(AI37="",NOT(ISNUMBER(AI37)),ISERROR(AI37),$B37=""),"",IF($I37=1,IFBLANK(_xldudf_CX_PUSH(AI37*fxVal_normal,CX_ENTITY,$B37,AI$11,AI$14,AI$19,),""),IF($I37=2,IFBLANK(_xldudf_CX_PUSH(AI37,CX_ENTITY,$B37,AI$11,AI$14,AI$19,),""),IF($I37=3,"",IFBLANK(_xldudf_CX_PUSH(AI37,CX_ENTITY,$B37,AI$11,AI$14,AI$19,),"")))))),"")</f>
        <v/>
      </c>
      <c r="CW37" s="1883" t="str" cm="1">
        <f t="array" ca="1" aca="1" ref="CW37">IFERROR(IF(AJ37*fxVal_normal=_BS!AJ37,"",IF(OR(AJ37="",NOT(ISNUMBER(AJ37)),ISERROR(AJ37),$B37=""),"",IF($I37=1,IFBLANK(_xldudf_CX_PUSH(AJ37*fxVal_normal,CX_ENTITY,$B37,AJ$11,AJ$14,AJ$19,),""),IF($I37=2,IFBLANK(_xldudf_CX_PUSH(AJ37,CX_ENTITY,$B37,AJ$11,AJ$14,AJ$19,),""),IF($I37=3,"",IFBLANK(_xldudf_CX_PUSH(AJ37,CX_ENTITY,$B37,AJ$11,AJ$14,AJ$19,),"")))))),"")</f>
        <v/>
      </c>
      <c r="CX37" s="1883" t="str" cm="1">
        <f t="array" ca="1" aca="1" ref="CX37">IFERROR(IF(AK37*fxVal_normal=_BS!AK37,"",IF(OR(AK37="",NOT(ISNUMBER(AK37)),ISERROR(AK37),$B37=""),"",IF($I37=1,IFBLANK(_xldudf_CX_PUSH(AK37*fxVal_normal,CX_ENTITY,$B37,AK$11,AK$14,AK$19,),""),IF($I37=2,IFBLANK(_xldudf_CX_PUSH(AK37,CX_ENTITY,$B37,AK$11,AK$14,AK$19,),""),IF($I37=3,"",IFBLANK(_xldudf_CX_PUSH(AK37,CX_ENTITY,$B37,AK$11,AK$14,AK$19,),"")))))),"")</f>
        <v/>
      </c>
      <c r="CY37" s="1883" t="str" cm="1">
        <f t="array" ca="1" aca="1" ref="CY37">IFERROR(IF(AL37*fxVal_normal=_BS!AL37,"",IF(OR(AL37="",NOT(ISNUMBER(AL37)),ISERROR(AL37),$B37=""),"",IF($I37=1,IFBLANK(_xldudf_CX_PUSH(AL37*fxVal_normal,CX_ENTITY,$B37,AL$11,AL$14,AL$19,),""),IF($I37=2,IFBLANK(_xldudf_CX_PUSH(AL37,CX_ENTITY,$B37,AL$11,AL$14,AL$19,),""),IF($I37=3,"",IFBLANK(_xldudf_CX_PUSH(AL37,CX_ENTITY,$B37,AL$11,AL$14,AL$19,),"")))))),"")</f>
        <v/>
      </c>
      <c r="CZ37" s="1883" t="str" cm="1">
        <f t="array" ca="1" aca="1" ref="CZ37">IFERROR(IF(AM37*fxVal_normal=_BS!AM37,"",IF(OR(AM37="",NOT(ISNUMBER(AM37)),ISERROR(AM37),$B37=""),"",IF($I37=1,IFBLANK(_xldudf_CX_PUSH(AM37*fxVal_normal,CX_ENTITY,$B37,AM$11,AM$14,AM$19,),""),IF($I37=2,IFBLANK(_xldudf_CX_PUSH(AM37,CX_ENTITY,$B37,AM$11,AM$14,AM$19,),""),IF($I37=3,"",IFBLANK(_xldudf_CX_PUSH(AM37,CX_ENTITY,$B37,AM$11,AM$14,AM$19,),"")))))),"")</f>
        <v/>
      </c>
      <c r="DA37" s="1883" t="str" cm="1">
        <f t="array" ca="1" aca="1" ref="DA37">IFERROR(IF(AN37*fxVal_normal=_BS!AN37,"",IF(OR(AN37="",NOT(ISNUMBER(AN37)),ISERROR(AN37),$B37=""),"",IF($I37=1,IFBLANK(_xldudf_CX_PUSH(AN37*fxVal_normal,CX_ENTITY,$B37,AN$11,AN$14,AN$19,),""),IF($I37=2,IFBLANK(_xldudf_CX_PUSH(AN37,CX_ENTITY,$B37,AN$11,AN$14,AN$19,),""),IF($I37=3,"",IFBLANK(_xldudf_CX_PUSH(AN37,CX_ENTITY,$B37,AN$11,AN$14,AN$19,),"")))))),"")</f>
        <v/>
      </c>
      <c r="DB37" s="1883" t="str" cm="1">
        <f t="array" ca="1" aca="1" ref="DB37">IFERROR(IF(AO37*fxVal_normal=_BS!AO37,"",IF(OR(AO37="",NOT(ISNUMBER(AO37)),ISERROR(AO37),$B37=""),"",IF($I37=1,IFBLANK(_xldudf_CX_PUSH(AO37*fxVal_normal,CX_ENTITY,$B37,AO$11,AO$14,AO$19,),""),IF($I37=2,IFBLANK(_xldudf_CX_PUSH(AO37,CX_ENTITY,$B37,AO$11,AO$14,AO$19,),""),IF($I37=3,"",IFBLANK(_xldudf_CX_PUSH(AO37,CX_ENTITY,$B37,AO$11,AO$14,AO$19,),"")))))),"")</f>
        <v/>
      </c>
      <c r="DC37" s="1883" t="str" cm="1">
        <f t="array" ca="1" aca="1" ref="DC37">IFERROR(IF(AP37*fxVal_normal=_BS!AP37,"",IF(OR(AP37="",NOT(ISNUMBER(AP37)),ISERROR(AP37),$B37=""),"",IF($I37=1,IFBLANK(_xldudf_CX_PUSH(AP37*fxVal_normal,CX_ENTITY,$B37,AP$11,AP$14,AP$19,),""),IF($I37=2,IFBLANK(_xldudf_CX_PUSH(AP37,CX_ENTITY,$B37,AP$11,AP$14,AP$19,),""),IF($I37=3,"",IFBLANK(_xldudf_CX_PUSH(AP37,CX_ENTITY,$B37,AP$11,AP$14,AP$19,),"")))))),"")</f>
        <v/>
      </c>
      <c r="DD37" s="1883" t="str" cm="1">
        <f t="array" ca="1" aca="1" ref="DD37">IFERROR(IF(AQ37*fxVal_normal=_BS!AQ37,"",IF(OR(AQ37="",NOT(ISNUMBER(AQ37)),ISERROR(AQ37),$B37=""),"",IF($I37=1,IFBLANK(_xldudf_CX_PUSH(AQ37*fxVal_normal,CX_ENTITY,$B37,AQ$11,AQ$14,AQ$19,),""),IF($I37=2,IFBLANK(_xldudf_CX_PUSH(AQ37,CX_ENTITY,$B37,AQ$11,AQ$14,AQ$19,),""),IF($I37=3,"",IFBLANK(_xldudf_CX_PUSH(AQ37,CX_ENTITY,$B37,AQ$11,AQ$14,AQ$19,),"")))))),"")</f>
        <v/>
      </c>
      <c r="DE37" s="1883" t="str" cm="1">
        <f t="array" ca="1" aca="1" ref="DE37">IFERROR(IF(AR37*fxVal_normal=_BS!AR37,"",IF(OR(AR37="",NOT(ISNUMBER(AR37)),ISERROR(AR37),$B37=""),"",IF($I37=1,IFBLANK(_xldudf_CX_PUSH(AR37*fxVal_normal,CX_ENTITY,$B37,AR$11,AR$14,AR$19,),""),IF($I37=2,IFBLANK(_xldudf_CX_PUSH(AR37,CX_ENTITY,$B37,AR$11,AR$14,AR$19,),""),IF($I37=3,"",IFBLANK(_xldudf_CX_PUSH(AR37,CX_ENTITY,$B37,AR$11,AR$14,AR$19,),"")))))),"")</f>
        <v/>
      </c>
      <c r="DF37" s="1883" t="str" cm="1">
        <f t="array" ca="1" aca="1" ref="DF37">IFERROR(IF(AS37*fxVal_normal=_BS!AS37,"",IF(OR(AS37="",NOT(ISNUMBER(AS37)),ISERROR(AS37),$B37=""),"",IF($I37=1,IFBLANK(_xldudf_CX_PUSH(AS37*fxVal_normal,CX_ENTITY,$B37,AS$11,AS$14,AS$19,),""),IF($I37=2,IFBLANK(_xldudf_CX_PUSH(AS37,CX_ENTITY,$B37,AS$11,AS$14,AS$19,),""),IF($I37=3,"",IFBLANK(_xldudf_CX_PUSH(AS37,CX_ENTITY,$B37,AS$11,AS$14,AS$19,),"")))))),"")</f>
        <v/>
      </c>
      <c r="DG37" s="1883" t="str" cm="1">
        <f t="array" ca="1" aca="1" ref="DG37">IFERROR(IF(AT37*fxVal_normal=_BS!AT37,"",IF(OR(AT37="",NOT(ISNUMBER(AT37)),ISERROR(AT37),$B37=""),"",IF($I37=1,IFBLANK(_xldudf_CX_PUSH(AT37*fxVal_normal,CX_ENTITY,$B37,AT$11,AT$14,AT$19,),""),IF($I37=2,IFBLANK(_xldudf_CX_PUSH(AT37,CX_ENTITY,$B37,AT$11,AT$14,AT$19,),""),IF($I37=3,"",IFBLANK(_xldudf_CX_PUSH(AT37,CX_ENTITY,$B37,AT$11,AT$14,AT$19,),"")))))),"")</f>
        <v/>
      </c>
      <c r="DH37" s="1883" t="str" cm="1">
        <f t="array" ca="1" aca="1" ref="DH37">IFERROR(IF(AU37*fxVal_normal=_BS!AU37,"",IF(OR(AU37="",NOT(ISNUMBER(AU37)),ISERROR(AU37),$B37=""),"",IF($I37=1,IFBLANK(_xldudf_CX_PUSH(AU37*fxVal_normal,CX_ENTITY,$B37,AU$11,AU$14,AU$19,),""),IF($I37=2,IFBLANK(_xldudf_CX_PUSH(AU37,CX_ENTITY,$B37,AU$11,AU$14,AU$19,),""),IF($I37=3,"",IFBLANK(_xldudf_CX_PUSH(AU37,CX_ENTITY,$B37,AU$11,AU$14,AU$19,),"")))))),"")</f>
        <v/>
      </c>
      <c r="DI37" s="1883" t="str" cm="1">
        <f t="array" ca="1" aca="1" ref="DI37">IFERROR(IF(AV37*fxVal_normal=_BS!AV37,"",IF(OR(AV37="",NOT(ISNUMBER(AV37)),ISERROR(AV37),$B37=""),"",IF($I37=1,IFBLANK(_xldudf_CX_PUSH(AV37*fxVal_normal,CX_ENTITY,$B37,AV$11,AV$14,AV$19,),""),IF($I37=2,IFBLANK(_xldudf_CX_PUSH(AV37,CX_ENTITY,$B37,AV$11,AV$14,AV$19,),""),IF($I37=3,"",IFBLANK(_xldudf_CX_PUSH(AV37,CX_ENTITY,$B37,AV$11,AV$14,AV$19,),"")))))),"")</f>
        <v/>
      </c>
      <c r="DJ37" s="1883" t="str" cm="1">
        <f t="array" ca="1" aca="1" ref="DJ37">IFERROR(IF(AW37*fxVal_normal=_BS!AW37,"",IF(OR(AW37="",NOT(ISNUMBER(AW37)),ISERROR(AW37),$B37=""),"",IF($I37=1,IFBLANK(_xldudf_CX_PUSH(AW37*fxVal_normal,CX_ENTITY,$B37,AW$11,AW$14,AW$19,),""),IF($I37=2,IFBLANK(_xldudf_CX_PUSH(AW37,CX_ENTITY,$B37,AW$11,AW$14,AW$19,),""),IF($I37=3,"",IFBLANK(_xldudf_CX_PUSH(AW37,CX_ENTITY,$B37,AW$11,AW$14,AW$19,),"")))))),"")</f>
        <v/>
      </c>
      <c r="DK37" s="1883" t="str" cm="1">
        <f t="array" ca="1" aca="1" ref="DK37">IFERROR(IF(AX37*fxVal_normal=_BS!AX37,"",IF(OR(AX37="",NOT(ISNUMBER(AX37)),ISERROR(AX37),$B37=""),"",IF($I37=1,IFBLANK(_xldudf_CX_PUSH(AX37*fxVal_normal,CX_ENTITY,$B37,AX$11,AX$14,AX$19,),""),IF($I37=2,IFBLANK(_xldudf_CX_PUSH(AX37,CX_ENTITY,$B37,AX$11,AX$14,AX$19,),""),IF($I37=3,"",IFBLANK(_xldudf_CX_PUSH(AX37,CX_ENTITY,$B37,AX$11,AX$14,AX$19,),"")))))),"")</f>
        <v/>
      </c>
      <c r="DL37" s="1883" t="str" cm="1">
        <f t="array" ca="1" aca="1" ref="DL37">IFERROR(IF(AY37*fxVal_normal=_BS!AY37,"",IF(OR(AY37="",NOT(ISNUMBER(AY37)),ISERROR(AY37),$B37=""),"",IF($I37=1,IFBLANK(_xldudf_CX_PUSH(AY37*fxVal_normal,CX_ENTITY,$B37,AY$11,AY$14,AY$19,),""),IF($I37=2,IFBLANK(_xldudf_CX_PUSH(AY37,CX_ENTITY,$B37,AY$11,AY$14,AY$19,),""),IF($I37=3,"",IFBLANK(_xldudf_CX_PUSH(AY37,CX_ENTITY,$B37,AY$11,AY$14,AY$19,),"")))))),"")</f>
        <v/>
      </c>
      <c r="DM37" s="1883" t="str" cm="1">
        <f t="array" ca="1" aca="1" ref="DM37">IFERROR(IF(AZ37*fxVal_normal=_BS!AZ37,"",IF(OR(AZ37="",NOT(ISNUMBER(AZ37)),ISERROR(AZ37),$B37=""),"",IF($I37=1,IFBLANK(_xldudf_CX_PUSH(AZ37*fxVal_normal,CX_ENTITY,$B37,AZ$11,AZ$14,AZ$19,),""),IF($I37=2,IFBLANK(_xldudf_CX_PUSH(AZ37,CX_ENTITY,$B37,AZ$11,AZ$14,AZ$19,),""),IF($I37=3,"",IFBLANK(_xldudf_CX_PUSH(AZ37,CX_ENTITY,$B37,AZ$11,AZ$14,AZ$19,),"")))))),"")</f>
        <v/>
      </c>
      <c r="DN37" s="1883" t="str" cm="1">
        <f t="array" ca="1" aca="1" ref="DN37">IFERROR(IF(BA37*fxVal_normal=_BS!BA37,"",IF(OR(BA37="",NOT(ISNUMBER(BA37)),ISERROR(BA37),$B37=""),"",IF($I37=1,IFBLANK(_xldudf_CX_PUSH(BA37*fxVal_normal,CX_ENTITY,$B37,BA$11,BA$14,BA$19,),""),IF($I37=2,IFBLANK(_xldudf_CX_PUSH(BA37,CX_ENTITY,$B37,BA$11,BA$14,BA$19,),""),IF($I37=3,"",IFBLANK(_xldudf_CX_PUSH(BA37,CX_ENTITY,$B37,BA$11,BA$14,BA$19,),"")))))),"")</f>
        <v/>
      </c>
      <c r="DO37" s="1883" t="str" cm="1">
        <f t="array" ca="1" aca="1" ref="DO37">IFERROR(IF(BB37*fxVal_normal=_BS!BB37,"",IF(OR(BB37="",NOT(ISNUMBER(BB37)),ISERROR(BB37),$B37=""),"",IF($I37=1,IFBLANK(_xldudf_CX_PUSH(BB37*fxVal_normal,CX_ENTITY,$B37,BB$11,BB$14,BB$19,),""),IF($I37=2,IFBLANK(_xldudf_CX_PUSH(BB37,CX_ENTITY,$B37,BB$11,BB$14,BB$19,),""),IF($I37=3,"",IFBLANK(_xldudf_CX_PUSH(BB37,CX_ENTITY,$B37,BB$11,BB$14,BB$19,),"")))))),"")</f>
        <v/>
      </c>
      <c r="DP37" s="1883" t="str" cm="1">
        <f t="array" ca="1" aca="1" ref="DP37">IFERROR(IF(BC37*fxVal_normal=_BS!BC37,"",IF(OR(BC37="",NOT(ISNUMBER(BC37)),ISERROR(BC37),$B37=""),"",IF($I37=1,IFBLANK(_xldudf_CX_PUSH(BC37*fxVal_normal,CX_ENTITY,$B37,BC$11,BC$14,BC$19,),""),IF($I37=2,IFBLANK(_xldudf_CX_PUSH(BC37,CX_ENTITY,$B37,BC$11,BC$14,BC$19,),""),IF($I37=3,"",IFBLANK(_xldudf_CX_PUSH(BC37,CX_ENTITY,$B37,BC$11,BC$14,BC$19,),"")))))),"")</f>
        <v/>
      </c>
      <c r="DQ37" s="1883" t="str" cm="1">
        <f t="array" ca="1" aca="1" ref="DQ37">IFERROR(IF(BD37*fxVal_normal=_BS!BD37,"",IF(OR(BD37="",NOT(ISNUMBER(BD37)),ISERROR(BD37),$B37=""),"",IF($I37=1,IFBLANK(_xldudf_CX_PUSH(BD37*fxVal_normal,CX_ENTITY,$B37,BD$11,BD$14,BD$19,),""),IF($I37=2,IFBLANK(_xldudf_CX_PUSH(BD37,CX_ENTITY,$B37,BD$11,BD$14,BD$19,),""),IF($I37=3,"",IFBLANK(_xldudf_CX_PUSH(BD37,CX_ENTITY,$B37,BD$11,BD$14,BD$19,),"")))))),"")</f>
        <v/>
      </c>
      <c r="DR37" s="1883" t="str" cm="1">
        <f t="array" ca="1" aca="1" ref="DR37">IFERROR(IF(BE37*fxVal_normal=_BS!BE37,"",IF(OR(BE37="",NOT(ISNUMBER(BE37)),ISERROR(BE37),$B37=""),"",IF($I37=1,IFBLANK(_xldudf_CX_PUSH(BE37*fxVal_normal,CX_ENTITY,$B37,BE$11,BE$14,BE$19,),""),IF($I37=2,IFBLANK(_xldudf_CX_PUSH(BE37,CX_ENTITY,$B37,BE$11,BE$14,BE$19,),""),IF($I37=3,"",IFBLANK(_xldudf_CX_PUSH(BE37,CX_ENTITY,$B37,BE$11,BE$14,BE$19,),"")))))),"")</f>
        <v/>
      </c>
      <c r="DS37" s="1883" t="str" cm="1">
        <f t="array" ca="1" aca="1" ref="DS37">IFERROR(IF(BF37*fxVal_normal=_BS!BF37,"",IF(OR(BF37="",NOT(ISNUMBER(BF37)),ISERROR(BF37),$B37=""),"",IF($I37=1,IFBLANK(_xldudf_CX_PUSH(BF37*fxVal_normal,CX_ENTITY,$B37,BF$11,BF$14,BF$19,),""),IF($I37=2,IFBLANK(_xldudf_CX_PUSH(BF37,CX_ENTITY,$B37,BF$11,BF$14,BF$19,),""),IF($I37=3,"",IFBLANK(_xldudf_CX_PUSH(BF37,CX_ENTITY,$B37,BF$11,BF$14,BF$19,),"")))))),"")</f>
        <v/>
      </c>
      <c r="DT37" s="1883" t="str" cm="1">
        <f t="array" ca="1" aca="1" ref="DT37">IFERROR(IF(BG37*fxVal_normal=_BS!BG37,"",IF(OR(BG37="",NOT(ISNUMBER(BG37)),ISERROR(BG37),$B37=""),"",IF($I37=1,IFBLANK(_xldudf_CX_PUSH(BG37*fxVal_normal,CX_ENTITY,$B37,BG$11,BG$14,BG$19,),""),IF($I37=2,IFBLANK(_xldudf_CX_PUSH(BG37,CX_ENTITY,$B37,BG$11,BG$14,BG$19,),""),IF($I37=3,"",IFBLANK(_xldudf_CX_PUSH(BG37,CX_ENTITY,$B37,BG$11,BG$14,BG$19,),"")))))),"")</f>
        <v/>
      </c>
      <c r="DU37" s="1883" t="str" cm="1">
        <f t="array" ca="1" aca="1" ref="DU37">IFERROR(IF(BH37*fxVal_normal=_BS!BH37,"",IF(OR(BH37="",NOT(ISNUMBER(BH37)),ISERROR(BH37),$B37=""),"",IF($I37=1,IFBLANK(_xldudf_CX_PUSH(BH37*fxVal_normal,CX_ENTITY,$B37,BH$11,BH$14,BH$19,),""),IF($I37=2,IFBLANK(_xldudf_CX_PUSH(BH37,CX_ENTITY,$B37,BH$11,BH$14,BH$19,),""),IF($I37=3,"",IFBLANK(_xldudf_CX_PUSH(BH37,CX_ENTITY,$B37,BH$11,BH$14,BH$19,),"")))))),"")</f>
        <v/>
      </c>
      <c r="DV37" s="1883" t="str" cm="1">
        <f t="array" ca="1" aca="1" ref="DV37">IFERROR(IF(BI37*fxVal_normal=_BS!BI37,"",IF(OR(BI37="",NOT(ISNUMBER(BI37)),ISERROR(BI37),$B37=""),"",IF($I37=1,IFBLANK(_xldudf_CX_PUSH(BI37*fxVal_normal,CX_ENTITY,$B37,BI$11,BI$14,BI$19,),""),IF($I37=2,IFBLANK(_xldudf_CX_PUSH(BI37,CX_ENTITY,$B37,BI$11,BI$14,BI$19,),""),IF($I37=3,"",IFBLANK(_xldudf_CX_PUSH(BI37,CX_ENTITY,$B37,BI$11,BI$14,BI$19,),"")))))),"")</f>
        <v/>
      </c>
      <c r="DW37" s="1883" t="str" cm="1">
        <f t="array" ca="1" aca="1" ref="DW37">IFERROR(IF(BJ37*fxVal_normal=_BS!BJ37,"",IF(OR(BJ37="",NOT(ISNUMBER(BJ37)),ISERROR(BJ37),$B37=""),"",IF($I37=1,IFBLANK(_xldudf_CX_PUSH(BJ37*fxVal_normal,CX_ENTITY,$B37,BJ$11,BJ$14,BJ$19,),""),IF($I37=2,IFBLANK(_xldudf_CX_PUSH(BJ37,CX_ENTITY,$B37,BJ$11,BJ$14,BJ$19,),""),IF($I37=3,"",IFBLANK(_xldudf_CX_PUSH(BJ37,CX_ENTITY,$B37,BJ$11,BJ$14,BJ$19,),"")))))),"")</f>
        <v/>
      </c>
      <c r="DX37" s="1883" t="str" cm="1">
        <f t="array" ca="1" aca="1" ref="DX37">IFERROR(IF(BK37*fxVal_normal=_BS!BK37,"",IF(OR(BK37="",NOT(ISNUMBER(BK37)),ISERROR(BK37),$B37=""),"",IF($I37=1,IFBLANK(_xldudf_CX_PUSH(BK37*fxVal_normal,CX_ENTITY,$B37,BK$11,BK$14,BK$19,),""),IF($I37=2,IFBLANK(_xldudf_CX_PUSH(BK37,CX_ENTITY,$B37,BK$11,BK$14,BK$19,),""),IF($I37=3,"",IFBLANK(_xldudf_CX_PUSH(BK37,CX_ENTITY,$B37,BK$11,BK$14,BK$19,),"")))))),"")</f>
        <v/>
      </c>
      <c r="DY37" s="1883" t="str" cm="1">
        <f t="array" ca="1" aca="1" ref="DY37">IFERROR(IF(BL37*fxVal_normal=_BS!BL37,"",IF(OR(BL37="",NOT(ISNUMBER(BL37)),ISERROR(BL37),$B37=""),"",IF($I37=1,IFBLANK(_xldudf_CX_PUSH(BL37*fxVal_normal,CX_ENTITY,$B37,BL$11,BL$14,BL$19,),""),IF($I37=2,IFBLANK(_xldudf_CX_PUSH(BL37,CX_ENTITY,$B37,BL$11,BL$14,BL$19,),""),IF($I37=3,"",IFBLANK(_xldudf_CX_PUSH(BL37,CX_ENTITY,$B37,BL$11,BL$14,BL$19,),"")))))),"")</f>
        <v/>
      </c>
      <c r="DZ37" s="1883" t="str" cm="1">
        <f t="array" ca="1" aca="1" ref="DZ37">IFERROR(IF(BM37*fxVal_normal=_BS!BM37,"",IF(OR(BM37="",NOT(ISNUMBER(BM37)),ISERROR(BM37),$B37=""),"",IF($I37=1,IFBLANK(_xldudf_CX_PUSH(BM37*fxVal_normal,CX_ENTITY,$B37,BM$11,BM$14,BM$19,),""),IF($I37=2,IFBLANK(_xldudf_CX_PUSH(BM37,CX_ENTITY,$B37,BM$11,BM$14,BM$19,),""),IF($I37=3,"",IFBLANK(_xldudf_CX_PUSH(BM37,CX_ENTITY,$B37,BM$11,BM$14,BM$19,),"")))))),"")</f>
        <v/>
      </c>
      <c r="EA37" s="1883" t="str" cm="1">
        <f t="array" ca="1" aca="1" ref="EA37">IFERROR(IF(BN37*fxVal_normal=_BS!BN37,"",IF(OR(BN37="",NOT(ISNUMBER(BN37)),ISERROR(BN37),$B37=""),"",IF($I37=1,IFBLANK(_xldudf_CX_PUSH(BN37*fxVal_normal,CX_ENTITY,$B37,BN$11,BN$14,BN$19,),""),IF($I37=2,IFBLANK(_xldudf_CX_PUSH(BN37,CX_ENTITY,$B37,BN$11,BN$14,BN$19,),""),IF($I37=3,"",IFBLANK(_xldudf_CX_PUSH(BN37,CX_ENTITY,$B37,BN$11,BN$14,BN$19,),"")))))),"")</f>
        <v/>
      </c>
    </row>
    <row r="38" spans="1:131" ht="21" customHeight="1">
      <c r="A38" s="1626"/>
      <c r="B38" s="811" t="str" cm="1">
        <f t="array" ref="B38">IFBLANK(_BS!F38,"")</f>
        <v>Gross External Debt</v>
      </c>
      <c r="C38" s="3346" t="str" cm="1">
        <f t="array" ref="C38">IFBLANK(_BS!C38,"")</f>
        <v>Gross External Debt (Company View)</v>
      </c>
      <c r="D38" s="1549"/>
      <c r="E38" s="1902" t="e" cm="1">
        <f t="array" ca="1" aca="1" ref="E3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38:$CH38,Z38)</f>
        <v>#NAME?</v>
      </c>
      <c r="F38" s="1897"/>
      <c r="G38" s="1897"/>
      <c r="H38" s="3280">
        <v>2</v>
      </c>
      <c r="I38" s="3280">
        <v>1</v>
      </c>
      <c r="J38" s="401"/>
      <c r="L38" s="921"/>
      <c r="M38" s="921"/>
      <c r="N38" s="158"/>
      <c r="O38" s="101"/>
      <c r="P38" s="52"/>
      <c r="Q38" s="101"/>
      <c r="R38" s="126"/>
      <c r="S38" s="101"/>
      <c r="T38" s="101"/>
      <c r="U38" s="39"/>
      <c r="V38" s="921"/>
      <c r="W38" s="922" t="str">
        <f t="shared" si="1"/>
        <v>Actual</v>
      </c>
      <c r="X38" s="1294">
        <f>_BS!X38</f>
        <v>0</v>
      </c>
      <c r="Y38" s="3344" t="str">
        <f>_BS!Y38</f>
        <v>Gross External Debt</v>
      </c>
      <c r="Z38" s="198" cm="1">
        <f t="array" ref="Z38">_xlfn.SWITCH(TRUE,_BS!$L38=TRUE,1,_BS!$L38=FALSE,-1,_BS!$L38=-1,0,"n/a")</f>
        <v>0</v>
      </c>
      <c r="AA38" s="924"/>
      <c r="AB38" s="3343" t="str">
        <f>_BS!AB38</f>
        <v>Gross External Debt</v>
      </c>
      <c r="AC38" s="88" t="e" vm="5" cm="1">
        <f t="array" ca="1" aca="1" ref="AC38">_xlfn.LET(_xlpm._termname,$AB38,_xlpm._iconname,"find",_xlpm._icon,fx_getIcon(_xlpm._iconname),_xlpm._location,_xlfn.XLOOKUP(LOWER(_xlpm._termname),LOWER(tbl_acctDef[Term]),tbl_acctDef[Term]),_xlpm._hyperlink,HYPERLINK("#"&amp;CELL("address",_xlpm._location),_xlpm._icon),IFERROR(_xlpm._hyperlink,""))</f>
        <v>#VALUE!</v>
      </c>
      <c r="AD38" s="919">
        <f t="shared" si="6" ref="AD38:BN38">SUBTOTAL(9,AD31:AD37)</f>
        <v>6</v>
      </c>
      <c r="AE38" s="919">
        <f t="shared" si="6"/>
        <v>6</v>
      </c>
      <c r="AF38" s="919">
        <f t="shared" si="6"/>
        <v>6</v>
      </c>
      <c r="AG38" s="919">
        <f t="shared" si="6"/>
        <v>6</v>
      </c>
      <c r="AH38" s="919">
        <f t="shared" si="6"/>
        <v>6</v>
      </c>
      <c r="AI38" s="919">
        <f t="shared" si="6"/>
        <v>6</v>
      </c>
      <c r="AJ38" s="919">
        <f t="shared" si="6"/>
        <v>6</v>
      </c>
      <c r="AK38" s="919">
        <f t="shared" si="6"/>
        <v>6</v>
      </c>
      <c r="AL38" s="919">
        <f t="shared" si="6"/>
        <v>6</v>
      </c>
      <c r="AM38" s="919">
        <f t="shared" si="6"/>
        <v>6</v>
      </c>
      <c r="AN38" s="919">
        <f t="shared" si="6"/>
        <v>6</v>
      </c>
      <c r="AO38" s="919">
        <f t="shared" si="6"/>
        <v>6</v>
      </c>
      <c r="AP38" s="919">
        <f t="shared" si="6"/>
        <v>6</v>
      </c>
      <c r="AQ38" s="919">
        <f t="shared" si="6"/>
        <v>6</v>
      </c>
      <c r="AR38" s="919">
        <f t="shared" si="6"/>
        <v>6</v>
      </c>
      <c r="AS38" s="919">
        <f t="shared" si="6"/>
        <v>6</v>
      </c>
      <c r="AT38" s="919">
        <f t="shared" si="6"/>
        <v>6</v>
      </c>
      <c r="AU38" s="919">
        <f t="shared" si="6"/>
        <v>6</v>
      </c>
      <c r="AV38" s="919">
        <f t="shared" si="6"/>
        <v>6</v>
      </c>
      <c r="AW38" s="919">
        <f t="shared" si="6"/>
        <v>6</v>
      </c>
      <c r="AX38" s="919">
        <f t="shared" si="6"/>
        <v>6</v>
      </c>
      <c r="AY38" s="919">
        <f t="shared" si="6"/>
        <v>6</v>
      </c>
      <c r="AZ38" s="919">
        <f t="shared" si="6"/>
        <v>6</v>
      </c>
      <c r="BA38" s="919">
        <f t="shared" si="6"/>
        <v>6</v>
      </c>
      <c r="BB38" s="919">
        <f t="shared" si="6"/>
        <v>6</v>
      </c>
      <c r="BC38" s="919">
        <f t="shared" si="6"/>
        <v>6</v>
      </c>
      <c r="BD38" s="919">
        <f t="shared" si="6"/>
        <v>6</v>
      </c>
      <c r="BE38" s="919">
        <f t="shared" si="6"/>
        <v>6</v>
      </c>
      <c r="BF38" s="919">
        <f t="shared" si="6"/>
        <v>6</v>
      </c>
      <c r="BG38" s="919">
        <f t="shared" si="6"/>
        <v>6</v>
      </c>
      <c r="BH38" s="919">
        <f t="shared" si="6"/>
        <v>6</v>
      </c>
      <c r="BI38" s="919">
        <f t="shared" si="6"/>
        <v>6</v>
      </c>
      <c r="BJ38" s="919">
        <f t="shared" si="6"/>
        <v>6</v>
      </c>
      <c r="BK38" s="919">
        <f t="shared" si="6"/>
        <v>6</v>
      </c>
      <c r="BL38" s="919">
        <f t="shared" si="6"/>
        <v>6</v>
      </c>
      <c r="BM38" s="919">
        <f t="shared" si="6"/>
        <v>6</v>
      </c>
      <c r="BN38" s="919">
        <f t="shared" si="6"/>
        <v>6</v>
      </c>
      <c r="BO38" s="2117"/>
      <c r="BP38" s="2117"/>
      <c r="BQ38" s="2117"/>
      <c r="BR38" s="2117"/>
      <c r="BS38" s="2117"/>
      <c r="BT38" s="2117"/>
      <c r="BU38" s="2117"/>
      <c r="BV38" s="2117"/>
      <c r="BW38" s="2117"/>
      <c r="BX38" s="2117"/>
      <c r="BY38" s="2117"/>
      <c r="BZ38" s="2117"/>
      <c r="CA38" s="926"/>
      <c r="CB38" s="921"/>
      <c r="CC38" s="927"/>
      <c r="CD38" s="919" t="e" cm="1">
        <f t="array" ca="1" aca="1" ref="CD38">_xlfn.XLOOKUP(BS!CD$11,array_timeline,BS!$AD38:$BN38)</f>
        <v>#NAME?</v>
      </c>
      <c r="CE38" s="919" t="e" cm="1">
        <f t="array" ca="1" aca="1" ref="CE38">_xlfn.XLOOKUP(BS!CE$11,array_timeline,BS!$AD38:$BN38)</f>
        <v>#NAME?</v>
      </c>
      <c r="CF38" s="925"/>
      <c r="CG38" s="919" t="e">
        <f ca="1" t="shared" si="7" ref="CG38:CH38">SUBTOTAL(9,CG31:CG37)</f>
        <v>#NAME?</v>
      </c>
      <c r="CH38" s="919" t="e">
        <f t="shared" ca="1" si="7"/>
        <v>#NAME?</v>
      </c>
      <c r="CI38" s="924"/>
      <c r="CK38" s="2085" t="str" cm="1">
        <f t="array" ref="CK38">IFERROR(IF(Y38&lt;&gt;AB38,_xldudf_CX_PUSH(Y38,CX_ENTITY,C38,EOMONTH(val_asOfDate,0)),""),"")</f>
        <v/>
      </c>
      <c r="CL38" s="2085" t="str" cm="1">
        <f t="array" ref="CL38">IFERROR(IF(Y38&lt;&gt;AB38,_xldudf_CX_PUSH(Y38,CX_ENTITY,C38,EOMONTH(val_asOfDate,1)),""),"")</f>
        <v/>
      </c>
      <c r="CM38" s="2085" t="str" cm="1">
        <f t="array" ref="CM38">IFERROR(IF(Y38&lt;&gt;AB38,_xldudf_CX_PUSH(Y38,CX_ENTITY,C38,EOMONTH(val_asOfDate,2)),""),"")</f>
        <v/>
      </c>
      <c r="CN38" s="2085" t="str" cm="1">
        <f t="array" ref="CN38">IFERROR(IF(Y38&lt;&gt;AB38,_xldudf_CX_PUSH(Y38,CX_ENTITY,C38,EOMONTH(val_asOfDate,3)),""),"")</f>
        <v/>
      </c>
      <c r="CO38" s="2086" t="str" cm="1">
        <f t="array" ca="1" aca="1" ref="CO38">IFERROR(IF(CG38*fxVal_normal=_BS!CG38,"",IF(OR($CG38="",$CG38=0,NOT(ISNUMBER($CG38)),ISERROR($CG38),$B38=""),"",IF($I38=1,IFBLANK(_xldudf_CX_PUSH($CG38*10^6,CX_ENTITY,$B38,$CG$11,$CG$14,$CG$19,),""),IF($I38=2,IFBLANK(_xldudf_CX_PUSH($CG38,CX_ENTITY,$B38,$CG$11,$CG$14,$CG$19,),""),IF($I38=3,"",IFBLANK(_xldudf_CX_PUSH($CG38,CX_ENTITY,$B38,$CG$11,$CG$14,$CG$19,),"")))))),"")</f>
        <v/>
      </c>
      <c r="CP38" s="2086" t="str" cm="1">
        <f t="array" ca="1" aca="1" ref="CP38">IFERROR(IF(CH38*fxVal_normal=_BS!CH38,"",IF(OR($CH38="",$CH38=0,NOT(ISNUMBER($CH38)),ISERROR($CH38),$B38=""),"",IF($I38=1,IFBLANK(_xldudf_CX_PUSH($CH38*10^6,CX_ENTITY,$B38,$CH$11,$CH$14,$CH$19,),""),IF($I38=2,IFBLANK(_xldudf_CX_PUSH($CH38,CX_ENTITY,$B38,$CH$11,$CH$14,$CH$19,),""),IF($I38=3,"",IFBLANK(_xldudf_CX_PUSH($CH38,CX_ENTITY,$B38,$CH$11,$CH$14,$CH$19,),"")))))),"")</f>
        <v/>
      </c>
      <c r="CQ38" s="1883" t="str" cm="1">
        <f t="array" ca="1" aca="1" ref="CQ38">IFERROR(IF(AD38*fxVal_normal=_BS!AD38,"",IF(OR(AD38="",NOT(ISNUMBER(AD38)),ISERROR(AD38),$B38=""),"",IF($I38=1,IFBLANK(_xldudf_CX_PUSH(AD38*fxVal_normal,CX_ENTITY,$B38,AD$11,AD$14,AD$19,),""),IF($I38=2,IFBLANK(_xldudf_CX_PUSH(AD38,CX_ENTITY,$B38,AD$11,AD$14,AD$19,),""),IF($I38=3,"",IFBLANK(_xldudf_CX_PUSH(AD38,CX_ENTITY,$B38,AD$11,AD$14,AD$19,),"")))))),"")</f>
        <v/>
      </c>
      <c r="CR38" s="1883" t="str" cm="1">
        <f t="array" ca="1" aca="1" ref="CR38">IFERROR(IF(AE38*fxVal_normal=_BS!AE38,"",IF(OR(AE38="",NOT(ISNUMBER(AE38)),ISERROR(AE38),$B38=""),"",IF($I38=1,IFBLANK(_xldudf_CX_PUSH(AE38*fxVal_normal,CX_ENTITY,$B38,AE$11,AE$14,AE$19,),""),IF($I38=2,IFBLANK(_xldudf_CX_PUSH(AE38,CX_ENTITY,$B38,AE$11,AE$14,AE$19,),""),IF($I38=3,"",IFBLANK(_xldudf_CX_PUSH(AE38,CX_ENTITY,$B38,AE$11,AE$14,AE$19,),"")))))),"")</f>
        <v/>
      </c>
      <c r="CS38" s="1883" t="str" cm="1">
        <f t="array" ca="1" aca="1" ref="CS38">IFERROR(IF(AF38*fxVal_normal=_BS!AF38,"",IF(OR(AF38="",NOT(ISNUMBER(AF38)),ISERROR(AF38),$B38=""),"",IF($I38=1,IFBLANK(_xldudf_CX_PUSH(AF38*fxVal_normal,CX_ENTITY,$B38,AF$11,AF$14,AF$19,),""),IF($I38=2,IFBLANK(_xldudf_CX_PUSH(AF38,CX_ENTITY,$B38,AF$11,AF$14,AF$19,),""),IF($I38=3,"",IFBLANK(_xldudf_CX_PUSH(AF38,CX_ENTITY,$B38,AF$11,AF$14,AF$19,),"")))))),"")</f>
        <v/>
      </c>
      <c r="CT38" s="1883" t="str" cm="1">
        <f t="array" ca="1" aca="1" ref="CT38">IFERROR(IF(AG38*fxVal_normal=_BS!AG38,"",IF(OR(AG38="",NOT(ISNUMBER(AG38)),ISERROR(AG38),$B38=""),"",IF($I38=1,IFBLANK(_xldudf_CX_PUSH(AG38*fxVal_normal,CX_ENTITY,$B38,AG$11,AG$14,AG$19,),""),IF($I38=2,IFBLANK(_xldudf_CX_PUSH(AG38,CX_ENTITY,$B38,AG$11,AG$14,AG$19,),""),IF($I38=3,"",IFBLANK(_xldudf_CX_PUSH(AG38,CX_ENTITY,$B38,AG$11,AG$14,AG$19,),"")))))),"")</f>
        <v/>
      </c>
      <c r="CU38" s="1883" t="str" cm="1">
        <f t="array" ca="1" aca="1" ref="CU38">IFERROR(IF(AH38*fxVal_normal=_BS!AH38,"",IF(OR(AH38="",NOT(ISNUMBER(AH38)),ISERROR(AH38),$B38=""),"",IF($I38=1,IFBLANK(_xldudf_CX_PUSH(AH38*fxVal_normal,CX_ENTITY,$B38,AH$11,AH$14,AH$19,),""),IF($I38=2,IFBLANK(_xldudf_CX_PUSH(AH38,CX_ENTITY,$B38,AH$11,AH$14,AH$19,),""),IF($I38=3,"",IFBLANK(_xldudf_CX_PUSH(AH38,CX_ENTITY,$B38,AH$11,AH$14,AH$19,),"")))))),"")</f>
        <v/>
      </c>
      <c r="CV38" s="1883" t="str" cm="1">
        <f t="array" ca="1" aca="1" ref="CV38">IFERROR(IF(AI38*fxVal_normal=_BS!AI38,"",IF(OR(AI38="",NOT(ISNUMBER(AI38)),ISERROR(AI38),$B38=""),"",IF($I38=1,IFBLANK(_xldudf_CX_PUSH(AI38*fxVal_normal,CX_ENTITY,$B38,AI$11,AI$14,AI$19,),""),IF($I38=2,IFBLANK(_xldudf_CX_PUSH(AI38,CX_ENTITY,$B38,AI$11,AI$14,AI$19,),""),IF($I38=3,"",IFBLANK(_xldudf_CX_PUSH(AI38,CX_ENTITY,$B38,AI$11,AI$14,AI$19,),"")))))),"")</f>
        <v/>
      </c>
      <c r="CW38" s="1883" t="str" cm="1">
        <f t="array" ca="1" aca="1" ref="CW38">IFERROR(IF(AJ38*fxVal_normal=_BS!AJ38,"",IF(OR(AJ38="",NOT(ISNUMBER(AJ38)),ISERROR(AJ38),$B38=""),"",IF($I38=1,IFBLANK(_xldudf_CX_PUSH(AJ38*fxVal_normal,CX_ENTITY,$B38,AJ$11,AJ$14,AJ$19,),""),IF($I38=2,IFBLANK(_xldudf_CX_PUSH(AJ38,CX_ENTITY,$B38,AJ$11,AJ$14,AJ$19,),""),IF($I38=3,"",IFBLANK(_xldudf_CX_PUSH(AJ38,CX_ENTITY,$B38,AJ$11,AJ$14,AJ$19,),"")))))),"")</f>
        <v/>
      </c>
      <c r="CX38" s="1883" t="str" cm="1">
        <f t="array" ca="1" aca="1" ref="CX38">IFERROR(IF(AK38*fxVal_normal=_BS!AK38,"",IF(OR(AK38="",NOT(ISNUMBER(AK38)),ISERROR(AK38),$B38=""),"",IF($I38=1,IFBLANK(_xldudf_CX_PUSH(AK38*fxVal_normal,CX_ENTITY,$B38,AK$11,AK$14,AK$19,),""),IF($I38=2,IFBLANK(_xldudf_CX_PUSH(AK38,CX_ENTITY,$B38,AK$11,AK$14,AK$19,),""),IF($I38=3,"",IFBLANK(_xldudf_CX_PUSH(AK38,CX_ENTITY,$B38,AK$11,AK$14,AK$19,),"")))))),"")</f>
        <v/>
      </c>
      <c r="CY38" s="1883" t="str" cm="1">
        <f t="array" ca="1" aca="1" ref="CY38">IFERROR(IF(AL38*fxVal_normal=_BS!AL38,"",IF(OR(AL38="",NOT(ISNUMBER(AL38)),ISERROR(AL38),$B38=""),"",IF($I38=1,IFBLANK(_xldudf_CX_PUSH(AL38*fxVal_normal,CX_ENTITY,$B38,AL$11,AL$14,AL$19,),""),IF($I38=2,IFBLANK(_xldudf_CX_PUSH(AL38,CX_ENTITY,$B38,AL$11,AL$14,AL$19,),""),IF($I38=3,"",IFBLANK(_xldudf_CX_PUSH(AL38,CX_ENTITY,$B38,AL$11,AL$14,AL$19,),"")))))),"")</f>
        <v/>
      </c>
      <c r="CZ38" s="1883" t="str" cm="1">
        <f t="array" ca="1" aca="1" ref="CZ38">IFERROR(IF(AM38*fxVal_normal=_BS!AM38,"",IF(OR(AM38="",NOT(ISNUMBER(AM38)),ISERROR(AM38),$B38=""),"",IF($I38=1,IFBLANK(_xldudf_CX_PUSH(AM38*fxVal_normal,CX_ENTITY,$B38,AM$11,AM$14,AM$19,),""),IF($I38=2,IFBLANK(_xldudf_CX_PUSH(AM38,CX_ENTITY,$B38,AM$11,AM$14,AM$19,),""),IF($I38=3,"",IFBLANK(_xldudf_CX_PUSH(AM38,CX_ENTITY,$B38,AM$11,AM$14,AM$19,),"")))))),"")</f>
        <v/>
      </c>
      <c r="DA38" s="1883" t="str" cm="1">
        <f t="array" ca="1" aca="1" ref="DA38">IFERROR(IF(AN38*fxVal_normal=_BS!AN38,"",IF(OR(AN38="",NOT(ISNUMBER(AN38)),ISERROR(AN38),$B38=""),"",IF($I38=1,IFBLANK(_xldudf_CX_PUSH(AN38*fxVal_normal,CX_ENTITY,$B38,AN$11,AN$14,AN$19,),""),IF($I38=2,IFBLANK(_xldudf_CX_PUSH(AN38,CX_ENTITY,$B38,AN$11,AN$14,AN$19,),""),IF($I38=3,"",IFBLANK(_xldudf_CX_PUSH(AN38,CX_ENTITY,$B38,AN$11,AN$14,AN$19,),"")))))),"")</f>
        <v/>
      </c>
      <c r="DB38" s="1883" t="str" cm="1">
        <f t="array" ca="1" aca="1" ref="DB38">IFERROR(IF(AO38*fxVal_normal=_BS!AO38,"",IF(OR(AO38="",NOT(ISNUMBER(AO38)),ISERROR(AO38),$B38=""),"",IF($I38=1,IFBLANK(_xldudf_CX_PUSH(AO38*fxVal_normal,CX_ENTITY,$B38,AO$11,AO$14,AO$19,),""),IF($I38=2,IFBLANK(_xldudf_CX_PUSH(AO38,CX_ENTITY,$B38,AO$11,AO$14,AO$19,),""),IF($I38=3,"",IFBLANK(_xldudf_CX_PUSH(AO38,CX_ENTITY,$B38,AO$11,AO$14,AO$19,),"")))))),"")</f>
        <v/>
      </c>
      <c r="DC38" s="1883" t="str" cm="1">
        <f t="array" ca="1" aca="1" ref="DC38">IFERROR(IF(AP38*fxVal_normal=_BS!AP38,"",IF(OR(AP38="",NOT(ISNUMBER(AP38)),ISERROR(AP38),$B38=""),"",IF($I38=1,IFBLANK(_xldudf_CX_PUSH(AP38*fxVal_normal,CX_ENTITY,$B38,AP$11,AP$14,AP$19,),""),IF($I38=2,IFBLANK(_xldudf_CX_PUSH(AP38,CX_ENTITY,$B38,AP$11,AP$14,AP$19,),""),IF($I38=3,"",IFBLANK(_xldudf_CX_PUSH(AP38,CX_ENTITY,$B38,AP$11,AP$14,AP$19,),"")))))),"")</f>
        <v/>
      </c>
      <c r="DD38" s="1883" t="str" cm="1">
        <f t="array" ca="1" aca="1" ref="DD38">IFERROR(IF(AQ38*fxVal_normal=_BS!AQ38,"",IF(OR(AQ38="",NOT(ISNUMBER(AQ38)),ISERROR(AQ38),$B38=""),"",IF($I38=1,IFBLANK(_xldudf_CX_PUSH(AQ38*fxVal_normal,CX_ENTITY,$B38,AQ$11,AQ$14,AQ$19,),""),IF($I38=2,IFBLANK(_xldudf_CX_PUSH(AQ38,CX_ENTITY,$B38,AQ$11,AQ$14,AQ$19,),""),IF($I38=3,"",IFBLANK(_xldudf_CX_PUSH(AQ38,CX_ENTITY,$B38,AQ$11,AQ$14,AQ$19,),"")))))),"")</f>
        <v/>
      </c>
      <c r="DE38" s="1883" t="str" cm="1">
        <f t="array" ca="1" aca="1" ref="DE38">IFERROR(IF(AR38*fxVal_normal=_BS!AR38,"",IF(OR(AR38="",NOT(ISNUMBER(AR38)),ISERROR(AR38),$B38=""),"",IF($I38=1,IFBLANK(_xldudf_CX_PUSH(AR38*fxVal_normal,CX_ENTITY,$B38,AR$11,AR$14,AR$19,),""),IF($I38=2,IFBLANK(_xldudf_CX_PUSH(AR38,CX_ENTITY,$B38,AR$11,AR$14,AR$19,),""),IF($I38=3,"",IFBLANK(_xldudf_CX_PUSH(AR38,CX_ENTITY,$B38,AR$11,AR$14,AR$19,),"")))))),"")</f>
        <v/>
      </c>
      <c r="DF38" s="1883" t="str" cm="1">
        <f t="array" ca="1" aca="1" ref="DF38">IFERROR(IF(AS38*fxVal_normal=_BS!AS38,"",IF(OR(AS38="",NOT(ISNUMBER(AS38)),ISERROR(AS38),$B38=""),"",IF($I38=1,IFBLANK(_xldudf_CX_PUSH(AS38*fxVal_normal,CX_ENTITY,$B38,AS$11,AS$14,AS$19,),""),IF($I38=2,IFBLANK(_xldudf_CX_PUSH(AS38,CX_ENTITY,$B38,AS$11,AS$14,AS$19,),""),IF($I38=3,"",IFBLANK(_xldudf_CX_PUSH(AS38,CX_ENTITY,$B38,AS$11,AS$14,AS$19,),"")))))),"")</f>
        <v/>
      </c>
      <c r="DG38" s="1883" t="str" cm="1">
        <f t="array" ca="1" aca="1" ref="DG38">IFERROR(IF(AT38*fxVal_normal=_BS!AT38,"",IF(OR(AT38="",NOT(ISNUMBER(AT38)),ISERROR(AT38),$B38=""),"",IF($I38=1,IFBLANK(_xldudf_CX_PUSH(AT38*fxVal_normal,CX_ENTITY,$B38,AT$11,AT$14,AT$19,),""),IF($I38=2,IFBLANK(_xldudf_CX_PUSH(AT38,CX_ENTITY,$B38,AT$11,AT$14,AT$19,),""),IF($I38=3,"",IFBLANK(_xldudf_CX_PUSH(AT38,CX_ENTITY,$B38,AT$11,AT$14,AT$19,),"")))))),"")</f>
        <v/>
      </c>
      <c r="DH38" s="1883" t="str" cm="1">
        <f t="array" ca="1" aca="1" ref="DH38">IFERROR(IF(AU38*fxVal_normal=_BS!AU38,"",IF(OR(AU38="",NOT(ISNUMBER(AU38)),ISERROR(AU38),$B38=""),"",IF($I38=1,IFBLANK(_xldudf_CX_PUSH(AU38*fxVal_normal,CX_ENTITY,$B38,AU$11,AU$14,AU$19,),""),IF($I38=2,IFBLANK(_xldudf_CX_PUSH(AU38,CX_ENTITY,$B38,AU$11,AU$14,AU$19,),""),IF($I38=3,"",IFBLANK(_xldudf_CX_PUSH(AU38,CX_ENTITY,$B38,AU$11,AU$14,AU$19,),"")))))),"")</f>
        <v/>
      </c>
      <c r="DI38" s="1883" t="str" cm="1">
        <f t="array" ca="1" aca="1" ref="DI38">IFERROR(IF(AV38*fxVal_normal=_BS!AV38,"",IF(OR(AV38="",NOT(ISNUMBER(AV38)),ISERROR(AV38),$B38=""),"",IF($I38=1,IFBLANK(_xldudf_CX_PUSH(AV38*fxVal_normal,CX_ENTITY,$B38,AV$11,AV$14,AV$19,),""),IF($I38=2,IFBLANK(_xldudf_CX_PUSH(AV38,CX_ENTITY,$B38,AV$11,AV$14,AV$19,),""),IF($I38=3,"",IFBLANK(_xldudf_CX_PUSH(AV38,CX_ENTITY,$B38,AV$11,AV$14,AV$19,),"")))))),"")</f>
        <v/>
      </c>
      <c r="DJ38" s="1883" t="str" cm="1">
        <f t="array" ca="1" aca="1" ref="DJ38">IFERROR(IF(AW38*fxVal_normal=_BS!AW38,"",IF(OR(AW38="",NOT(ISNUMBER(AW38)),ISERROR(AW38),$B38=""),"",IF($I38=1,IFBLANK(_xldudf_CX_PUSH(AW38*fxVal_normal,CX_ENTITY,$B38,AW$11,AW$14,AW$19,),""),IF($I38=2,IFBLANK(_xldudf_CX_PUSH(AW38,CX_ENTITY,$B38,AW$11,AW$14,AW$19,),""),IF($I38=3,"",IFBLANK(_xldudf_CX_PUSH(AW38,CX_ENTITY,$B38,AW$11,AW$14,AW$19,),"")))))),"")</f>
        <v/>
      </c>
      <c r="DK38" s="1883" t="str" cm="1">
        <f t="array" ca="1" aca="1" ref="DK38">IFERROR(IF(AX38*fxVal_normal=_BS!AX38,"",IF(OR(AX38="",NOT(ISNUMBER(AX38)),ISERROR(AX38),$B38=""),"",IF($I38=1,IFBLANK(_xldudf_CX_PUSH(AX38*fxVal_normal,CX_ENTITY,$B38,AX$11,AX$14,AX$19,),""),IF($I38=2,IFBLANK(_xldudf_CX_PUSH(AX38,CX_ENTITY,$B38,AX$11,AX$14,AX$19,),""),IF($I38=3,"",IFBLANK(_xldudf_CX_PUSH(AX38,CX_ENTITY,$B38,AX$11,AX$14,AX$19,),"")))))),"")</f>
        <v/>
      </c>
      <c r="DL38" s="1883" t="str" cm="1">
        <f t="array" ca="1" aca="1" ref="DL38">IFERROR(IF(AY38*fxVal_normal=_BS!AY38,"",IF(OR(AY38="",NOT(ISNUMBER(AY38)),ISERROR(AY38),$B38=""),"",IF($I38=1,IFBLANK(_xldudf_CX_PUSH(AY38*fxVal_normal,CX_ENTITY,$B38,AY$11,AY$14,AY$19,),""),IF($I38=2,IFBLANK(_xldudf_CX_PUSH(AY38,CX_ENTITY,$B38,AY$11,AY$14,AY$19,),""),IF($I38=3,"",IFBLANK(_xldudf_CX_PUSH(AY38,CX_ENTITY,$B38,AY$11,AY$14,AY$19,),"")))))),"")</f>
        <v/>
      </c>
      <c r="DM38" s="1883" t="str" cm="1">
        <f t="array" ca="1" aca="1" ref="DM38">IFERROR(IF(AZ38*fxVal_normal=_BS!AZ38,"",IF(OR(AZ38="",NOT(ISNUMBER(AZ38)),ISERROR(AZ38),$B38=""),"",IF($I38=1,IFBLANK(_xldudf_CX_PUSH(AZ38*fxVal_normal,CX_ENTITY,$B38,AZ$11,AZ$14,AZ$19,),""),IF($I38=2,IFBLANK(_xldudf_CX_PUSH(AZ38,CX_ENTITY,$B38,AZ$11,AZ$14,AZ$19,),""),IF($I38=3,"",IFBLANK(_xldudf_CX_PUSH(AZ38,CX_ENTITY,$B38,AZ$11,AZ$14,AZ$19,),"")))))),"")</f>
        <v/>
      </c>
      <c r="DN38" s="1883" t="str" cm="1">
        <f t="array" ca="1" aca="1" ref="DN38">IFERROR(IF(BA38*fxVal_normal=_BS!BA38,"",IF(OR(BA38="",NOT(ISNUMBER(BA38)),ISERROR(BA38),$B38=""),"",IF($I38=1,IFBLANK(_xldudf_CX_PUSH(BA38*fxVal_normal,CX_ENTITY,$B38,BA$11,BA$14,BA$19,),""),IF($I38=2,IFBLANK(_xldudf_CX_PUSH(BA38,CX_ENTITY,$B38,BA$11,BA$14,BA$19,),""),IF($I38=3,"",IFBLANK(_xldudf_CX_PUSH(BA38,CX_ENTITY,$B38,BA$11,BA$14,BA$19,),"")))))),"")</f>
        <v/>
      </c>
      <c r="DO38" s="1883" t="str" cm="1">
        <f t="array" ca="1" aca="1" ref="DO38">IFERROR(IF(BB38*fxVal_normal=_BS!BB38,"",IF(OR(BB38="",NOT(ISNUMBER(BB38)),ISERROR(BB38),$B38=""),"",IF($I38=1,IFBLANK(_xldudf_CX_PUSH(BB38*fxVal_normal,CX_ENTITY,$B38,BB$11,BB$14,BB$19,),""),IF($I38=2,IFBLANK(_xldudf_CX_PUSH(BB38,CX_ENTITY,$B38,BB$11,BB$14,BB$19,),""),IF($I38=3,"",IFBLANK(_xldudf_CX_PUSH(BB38,CX_ENTITY,$B38,BB$11,BB$14,BB$19,),"")))))),"")</f>
        <v/>
      </c>
      <c r="DP38" s="1883" t="str" cm="1">
        <f t="array" ca="1" aca="1" ref="DP38">IFERROR(IF(BC38*fxVal_normal=_BS!BC38,"",IF(OR(BC38="",NOT(ISNUMBER(BC38)),ISERROR(BC38),$B38=""),"",IF($I38=1,IFBLANK(_xldudf_CX_PUSH(BC38*fxVal_normal,CX_ENTITY,$B38,BC$11,BC$14,BC$19,),""),IF($I38=2,IFBLANK(_xldudf_CX_PUSH(BC38,CX_ENTITY,$B38,BC$11,BC$14,BC$19,),""),IF($I38=3,"",IFBLANK(_xldudf_CX_PUSH(BC38,CX_ENTITY,$B38,BC$11,BC$14,BC$19,),"")))))),"")</f>
        <v/>
      </c>
      <c r="DQ38" s="1883" t="str" cm="1">
        <f t="array" ca="1" aca="1" ref="DQ38">IFERROR(IF(BD38*fxVal_normal=_BS!BD38,"",IF(OR(BD38="",NOT(ISNUMBER(BD38)),ISERROR(BD38),$B38=""),"",IF($I38=1,IFBLANK(_xldudf_CX_PUSH(BD38*fxVal_normal,CX_ENTITY,$B38,BD$11,BD$14,BD$19,),""),IF($I38=2,IFBLANK(_xldudf_CX_PUSH(BD38,CX_ENTITY,$B38,BD$11,BD$14,BD$19,),""),IF($I38=3,"",IFBLANK(_xldudf_CX_PUSH(BD38,CX_ENTITY,$B38,BD$11,BD$14,BD$19,),"")))))),"")</f>
        <v/>
      </c>
      <c r="DR38" s="1883" t="str" cm="1">
        <f t="array" ca="1" aca="1" ref="DR38">IFERROR(IF(BE38*fxVal_normal=_BS!BE38,"",IF(OR(BE38="",NOT(ISNUMBER(BE38)),ISERROR(BE38),$B38=""),"",IF($I38=1,IFBLANK(_xldudf_CX_PUSH(BE38*fxVal_normal,CX_ENTITY,$B38,BE$11,BE$14,BE$19,),""),IF($I38=2,IFBLANK(_xldudf_CX_PUSH(BE38,CX_ENTITY,$B38,BE$11,BE$14,BE$19,),""),IF($I38=3,"",IFBLANK(_xldudf_CX_PUSH(BE38,CX_ENTITY,$B38,BE$11,BE$14,BE$19,),"")))))),"")</f>
        <v/>
      </c>
      <c r="DS38" s="1883" t="str" cm="1">
        <f t="array" ca="1" aca="1" ref="DS38">IFERROR(IF(BF38*fxVal_normal=_BS!BF38,"",IF(OR(BF38="",NOT(ISNUMBER(BF38)),ISERROR(BF38),$B38=""),"",IF($I38=1,IFBLANK(_xldudf_CX_PUSH(BF38*fxVal_normal,CX_ENTITY,$B38,BF$11,BF$14,BF$19,),""),IF($I38=2,IFBLANK(_xldudf_CX_PUSH(BF38,CX_ENTITY,$B38,BF$11,BF$14,BF$19,),""),IF($I38=3,"",IFBLANK(_xldudf_CX_PUSH(BF38,CX_ENTITY,$B38,BF$11,BF$14,BF$19,),"")))))),"")</f>
        <v/>
      </c>
      <c r="DT38" s="1883" t="str" cm="1">
        <f t="array" ca="1" aca="1" ref="DT38">IFERROR(IF(BG38*fxVal_normal=_BS!BG38,"",IF(OR(BG38="",NOT(ISNUMBER(BG38)),ISERROR(BG38),$B38=""),"",IF($I38=1,IFBLANK(_xldudf_CX_PUSH(BG38*fxVal_normal,CX_ENTITY,$B38,BG$11,BG$14,BG$19,),""),IF($I38=2,IFBLANK(_xldudf_CX_PUSH(BG38,CX_ENTITY,$B38,BG$11,BG$14,BG$19,),""),IF($I38=3,"",IFBLANK(_xldudf_CX_PUSH(BG38,CX_ENTITY,$B38,BG$11,BG$14,BG$19,),"")))))),"")</f>
        <v/>
      </c>
      <c r="DU38" s="1883" t="str" cm="1">
        <f t="array" ca="1" aca="1" ref="DU38">IFERROR(IF(BH38*fxVal_normal=_BS!BH38,"",IF(OR(BH38="",NOT(ISNUMBER(BH38)),ISERROR(BH38),$B38=""),"",IF($I38=1,IFBLANK(_xldudf_CX_PUSH(BH38*fxVal_normal,CX_ENTITY,$B38,BH$11,BH$14,BH$19,),""),IF($I38=2,IFBLANK(_xldudf_CX_PUSH(BH38,CX_ENTITY,$B38,BH$11,BH$14,BH$19,),""),IF($I38=3,"",IFBLANK(_xldudf_CX_PUSH(BH38,CX_ENTITY,$B38,BH$11,BH$14,BH$19,),"")))))),"")</f>
        <v/>
      </c>
      <c r="DV38" s="1883" t="str" cm="1">
        <f t="array" ca="1" aca="1" ref="DV38">IFERROR(IF(BI38*fxVal_normal=_BS!BI38,"",IF(OR(BI38="",NOT(ISNUMBER(BI38)),ISERROR(BI38),$B38=""),"",IF($I38=1,IFBLANK(_xldudf_CX_PUSH(BI38*fxVal_normal,CX_ENTITY,$B38,BI$11,BI$14,BI$19,),""),IF($I38=2,IFBLANK(_xldudf_CX_PUSH(BI38,CX_ENTITY,$B38,BI$11,BI$14,BI$19,),""),IF($I38=3,"",IFBLANK(_xldudf_CX_PUSH(BI38,CX_ENTITY,$B38,BI$11,BI$14,BI$19,),"")))))),"")</f>
        <v/>
      </c>
      <c r="DW38" s="1883" t="str" cm="1">
        <f t="array" ca="1" aca="1" ref="DW38">IFERROR(IF(BJ38*fxVal_normal=_BS!BJ38,"",IF(OR(BJ38="",NOT(ISNUMBER(BJ38)),ISERROR(BJ38),$B38=""),"",IF($I38=1,IFBLANK(_xldudf_CX_PUSH(BJ38*fxVal_normal,CX_ENTITY,$B38,BJ$11,BJ$14,BJ$19,),""),IF($I38=2,IFBLANK(_xldudf_CX_PUSH(BJ38,CX_ENTITY,$B38,BJ$11,BJ$14,BJ$19,),""),IF($I38=3,"",IFBLANK(_xldudf_CX_PUSH(BJ38,CX_ENTITY,$B38,BJ$11,BJ$14,BJ$19,),"")))))),"")</f>
        <v/>
      </c>
      <c r="DX38" s="1883" t="str" cm="1">
        <f t="array" ca="1" aca="1" ref="DX38">IFERROR(IF(BK38*fxVal_normal=_BS!BK38,"",IF(OR(BK38="",NOT(ISNUMBER(BK38)),ISERROR(BK38),$B38=""),"",IF($I38=1,IFBLANK(_xldudf_CX_PUSH(BK38*fxVal_normal,CX_ENTITY,$B38,BK$11,BK$14,BK$19,),""),IF($I38=2,IFBLANK(_xldudf_CX_PUSH(BK38,CX_ENTITY,$B38,BK$11,BK$14,BK$19,),""),IF($I38=3,"",IFBLANK(_xldudf_CX_PUSH(BK38,CX_ENTITY,$B38,BK$11,BK$14,BK$19,),"")))))),"")</f>
        <v/>
      </c>
      <c r="DY38" s="1883" t="str" cm="1">
        <f t="array" ca="1" aca="1" ref="DY38">IFERROR(IF(BL38*fxVal_normal=_BS!BL38,"",IF(OR(BL38="",NOT(ISNUMBER(BL38)),ISERROR(BL38),$B38=""),"",IF($I38=1,IFBLANK(_xldudf_CX_PUSH(BL38*fxVal_normal,CX_ENTITY,$B38,BL$11,BL$14,BL$19,),""),IF($I38=2,IFBLANK(_xldudf_CX_PUSH(BL38,CX_ENTITY,$B38,BL$11,BL$14,BL$19,),""),IF($I38=3,"",IFBLANK(_xldudf_CX_PUSH(BL38,CX_ENTITY,$B38,BL$11,BL$14,BL$19,),"")))))),"")</f>
        <v/>
      </c>
      <c r="DZ38" s="1883" t="str" cm="1">
        <f t="array" ca="1" aca="1" ref="DZ38">IFERROR(IF(BM38*fxVal_normal=_BS!BM38,"",IF(OR(BM38="",NOT(ISNUMBER(BM38)),ISERROR(BM38),$B38=""),"",IF($I38=1,IFBLANK(_xldudf_CX_PUSH(BM38*fxVal_normal,CX_ENTITY,$B38,BM$11,BM$14,BM$19,),""),IF($I38=2,IFBLANK(_xldudf_CX_PUSH(BM38,CX_ENTITY,$B38,BM$11,BM$14,BM$19,),""),IF($I38=3,"",IFBLANK(_xldudf_CX_PUSH(BM38,CX_ENTITY,$B38,BM$11,BM$14,BM$19,),"")))))),"")</f>
        <v/>
      </c>
      <c r="EA38" s="1883" t="str" cm="1">
        <f t="array" ca="1" aca="1" ref="EA38">IFERROR(IF(BN38*fxVal_normal=_BS!BN38,"",IF(OR(BN38="",NOT(ISNUMBER(BN38)),ISERROR(BN38),$B38=""),"",IF($I38=1,IFBLANK(_xldudf_CX_PUSH(BN38*fxVal_normal,CX_ENTITY,$B38,BN$11,BN$14,BN$19,),""),IF($I38=2,IFBLANK(_xldudf_CX_PUSH(BN38,CX_ENTITY,$B38,BN$11,BN$14,BN$19,),""),IF($I38=3,"",IFBLANK(_xldudf_CX_PUSH(BN38,CX_ENTITY,$B38,BN$11,BN$14,BN$19,),"")))))),"")</f>
        <v/>
      </c>
    </row>
    <row r="39" spans="1:131" ht="21" customHeight="1">
      <c r="A39" s="1626"/>
      <c r="B39" s="811" t="str" cm="1">
        <f t="array" ref="B39">IFBLANK(_BS!F39,"")</f>
        <v>Cash &amp; Equivalents</v>
      </c>
      <c r="C39" s="3346" t="str" cm="1">
        <f t="array" ref="C39">IFBLANK(_BS!C39,"")</f>
        <v>Cash &amp; Equivalents (Company View)</v>
      </c>
      <c r="D39" s="1549"/>
      <c r="E39" s="1902" t="e" cm="1">
        <f t="array" ca="1" aca="1" ref="E3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39:$CH39,Z39)</f>
        <v>#NAME?</v>
      </c>
      <c r="F39" s="1897"/>
      <c r="G39" s="1897"/>
      <c r="H39" s="3280">
        <v>1</v>
      </c>
      <c r="I39" s="3280">
        <v>1</v>
      </c>
      <c r="J39" s="401"/>
      <c r="N39" s="158"/>
      <c r="O39" s="101"/>
      <c r="P39" s="52"/>
      <c r="Q39" s="101"/>
      <c r="R39" s="101"/>
      <c r="S39" s="101"/>
      <c r="T39" s="101"/>
      <c r="U39" s="39"/>
      <c r="W39" s="91" t="str">
        <f t="shared" si="1"/>
        <v>Actual</v>
      </c>
      <c r="X39" s="3292">
        <f>_BS!X39</f>
        <v>1</v>
      </c>
      <c r="Y39" s="3183">
        <v>2</v>
      </c>
      <c r="Z39" s="3291" cm="1">
        <f t="array" ref="Z39">_xlfn.SWITCH(TRUE,_BS!$L39=TRUE,1,_BS!$L39=FALSE,-1,_BS!$L39=-1,0,"n/a")</f>
        <v>1</v>
      </c>
      <c r="AA39" s="200"/>
      <c r="AB39" s="3343" t="str">
        <f>_BS!AB39</f>
        <v>Cash &amp; Equivalents</v>
      </c>
      <c r="AC39" s="88" t="str" cm="1">
        <f t="array" ca="1" aca="1" ref="AC39">_xlfn.LET(_xlpm._termname,$AB39,_xlpm._iconname,"find",_xlpm._icon,fx_getIcon(_xlpm._iconname),_xlpm._location,_xlfn.XLOOKUP(LOWER(_xlpm._termname),LOWER(tbl_acctDef[Term]),tbl_acctDef[Term]),_xlpm._hyperlink,HYPERLINK("#"&amp;CELL("address",_xlpm._location),_xlpm._icon),IFERROR(_xlpm._hyperlink,""))</f>
        <v/>
      </c>
      <c r="AD39" s="3229">
        <v>1</v>
      </c>
      <c r="AE39" s="3229">
        <v>1</v>
      </c>
      <c r="AF39" s="3229">
        <v>1</v>
      </c>
      <c r="AG39" s="3229">
        <v>1</v>
      </c>
      <c r="AH39" s="3229">
        <v>1</v>
      </c>
      <c r="AI39" s="3229">
        <v>1</v>
      </c>
      <c r="AJ39" s="3229">
        <v>1</v>
      </c>
      <c r="AK39" s="3229">
        <v>1</v>
      </c>
      <c r="AL39" s="3229">
        <v>1</v>
      </c>
      <c r="AM39" s="3229">
        <v>1</v>
      </c>
      <c r="AN39" s="3229">
        <v>1</v>
      </c>
      <c r="AO39" s="3229">
        <v>1</v>
      </c>
      <c r="AP39" s="3229">
        <v>1</v>
      </c>
      <c r="AQ39" s="3229">
        <v>1</v>
      </c>
      <c r="AR39" s="3229">
        <v>1</v>
      </c>
      <c r="AS39" s="3229">
        <v>1</v>
      </c>
      <c r="AT39" s="3229">
        <v>1</v>
      </c>
      <c r="AU39" s="3229">
        <v>1</v>
      </c>
      <c r="AV39" s="3229">
        <v>1</v>
      </c>
      <c r="AW39" s="3229">
        <v>1</v>
      </c>
      <c r="AX39" s="3229">
        <v>1</v>
      </c>
      <c r="AY39" s="3229">
        <v>1</v>
      </c>
      <c r="AZ39" s="3229">
        <v>1</v>
      </c>
      <c r="BA39" s="3229">
        <v>1</v>
      </c>
      <c r="BB39" s="3229">
        <v>1</v>
      </c>
      <c r="BC39" s="3229">
        <v>1</v>
      </c>
      <c r="BD39" s="3229">
        <v>1</v>
      </c>
      <c r="BE39" s="3229">
        <v>1</v>
      </c>
      <c r="BF39" s="3229">
        <v>1</v>
      </c>
      <c r="BG39" s="3229">
        <v>1</v>
      </c>
      <c r="BH39" s="3229">
        <v>1</v>
      </c>
      <c r="BI39" s="3229">
        <v>1</v>
      </c>
      <c r="BJ39" s="3229">
        <v>1</v>
      </c>
      <c r="BK39" s="3229">
        <v>1</v>
      </c>
      <c r="BL39" s="3229">
        <v>1</v>
      </c>
      <c r="BM39" s="3229">
        <v>1</v>
      </c>
      <c r="BN39" s="3229">
        <v>1</v>
      </c>
      <c r="BO39" s="2095"/>
      <c r="BP39" s="2095"/>
      <c r="BQ39" s="2095"/>
      <c r="BR39" s="2095"/>
      <c r="BS39" s="2095"/>
      <c r="BT39" s="2095"/>
      <c r="BU39" s="2095"/>
      <c r="BV39" s="2095"/>
      <c r="BW39" s="2095"/>
      <c r="BX39" s="2095"/>
      <c r="BY39" s="2095"/>
      <c r="BZ39" s="2095"/>
      <c r="CA39" s="926"/>
      <c r="CB39" s="921"/>
      <c r="CC39" s="927"/>
      <c r="CD39" s="2069" t="e" cm="1">
        <f t="array" ca="1" aca="1" ref="CD39">_xlfn.XLOOKUP(BS!CD$11,array_timeline,BS!$AD39:$BN39)</f>
        <v>#NAME?</v>
      </c>
      <c r="CE39" s="2069" t="e" cm="1">
        <f t="array" ca="1" aca="1" ref="CE39">_xlfn.XLOOKUP(BS!CE$11,array_timeline,BS!$AD39:$BN39)</f>
        <v>#NAME?</v>
      </c>
      <c r="CF39" s="925"/>
      <c r="CG39" s="3342" t="e" cm="1">
        <f t="array" ca="1" aca="1" ref="CG39">TODECIMAL(IFBLANK(_BS!CG39,""),fxVal_normal)</f>
        <v>#NAME?</v>
      </c>
      <c r="CH39" s="3342" t="e" cm="1">
        <f t="array" ca="1" aca="1" ref="CH39">TODECIMAL(IFBLANK(_BS!CH39,""),fxVal_normal)</f>
        <v>#NAME?</v>
      </c>
      <c r="CI39" s="200"/>
      <c r="CK39" s="2085" t="str" cm="1">
        <f t="array" ca="1" aca="1" ref="CK39">IFERROR(IF(Y39&lt;&gt;AB39,_xldudf_CX_PUSH(Y39,CX_ENTITY,C39,EOMONTH(val_asOfDate,0)),""),"")</f>
        <v/>
      </c>
      <c r="CL39" s="2085" t="str" cm="1">
        <f t="array" ca="1" aca="1" ref="CL39">IFERROR(IF(Y39&lt;&gt;AB39,_xldudf_CX_PUSH(Y39,CX_ENTITY,C39,EOMONTH(val_asOfDate,1)),""),"")</f>
        <v/>
      </c>
      <c r="CM39" s="2085" t="str" cm="1">
        <f t="array" ca="1" aca="1" ref="CM39">IFERROR(IF(Y39&lt;&gt;AB39,_xldudf_CX_PUSH(Y39,CX_ENTITY,C39,EOMONTH(val_asOfDate,2)),""),"")</f>
        <v/>
      </c>
      <c r="CN39" s="2085" t="str" cm="1">
        <f t="array" ca="1" aca="1" ref="CN39">IFERROR(IF(Y39&lt;&gt;AB39,_xldudf_CX_PUSH(Y39,CX_ENTITY,C39,EOMONTH(val_asOfDate,3)),""),"")</f>
        <v/>
      </c>
      <c r="CO39" s="2086" t="str" cm="1">
        <f t="array" ca="1" aca="1" ref="CO39">IFERROR(IF(CG39*fxVal_normal=_BS!CG39,"",IF(OR($CG39="",$CG39=0,NOT(ISNUMBER($CG39)),ISERROR($CG39),$B39=""),"",IF($I39=1,IFBLANK(_xldudf_CX_PUSH($CG39*10^6,CX_ENTITY,$B39,$CG$11,$CG$14,$CG$19,),""),IF($I39=2,IFBLANK(_xldudf_CX_PUSH($CG39,CX_ENTITY,$B39,$CG$11,$CG$14,$CG$19,),""),IF($I39=3,"",IFBLANK(_xldudf_CX_PUSH($CG39,CX_ENTITY,$B39,$CG$11,$CG$14,$CG$19,),"")))))),"")</f>
        <v/>
      </c>
      <c r="CP39" s="2086" t="str" cm="1">
        <f t="array" ca="1" aca="1" ref="CP39">IFERROR(IF(CH39*fxVal_normal=_BS!CH39,"",IF(OR($CH39="",$CH39=0,NOT(ISNUMBER($CH39)),ISERROR($CH39),$B39=""),"",IF($I39=1,IFBLANK(_xldudf_CX_PUSH($CH39*10^6,CX_ENTITY,$B39,$CH$11,$CH$14,$CH$19,),""),IF($I39=2,IFBLANK(_xldudf_CX_PUSH($CH39,CX_ENTITY,$B39,$CH$11,$CH$14,$CH$19,),""),IF($I39=3,"",IFBLANK(_xldudf_CX_PUSH($CH39,CX_ENTITY,$B39,$CH$11,$CH$14,$CH$19,),"")))))),"")</f>
        <v/>
      </c>
      <c r="CQ39" s="1883" t="str" cm="1">
        <f t="array" ca="1" aca="1" ref="CQ39">IFERROR(IF(AD39*fxVal_normal=_BS!AD39,"",IF(OR(AD39="",NOT(ISNUMBER(AD39)),ISERROR(AD39),$B39=""),"",IF($I39=1,IFBLANK(_xldudf_CX_PUSH(AD39*fxVal_normal,CX_ENTITY,$B39,AD$11,AD$14,AD$19,),""),IF($I39=2,IFBLANK(_xldudf_CX_PUSH(AD39,CX_ENTITY,$B39,AD$11,AD$14,AD$19,),""),IF($I39=3,"",IFBLANK(_xldudf_CX_PUSH(AD39,CX_ENTITY,$B39,AD$11,AD$14,AD$19,),"")))))),"")</f>
        <v/>
      </c>
      <c r="CR39" s="1883" t="str" cm="1">
        <f t="array" ca="1" aca="1" ref="CR39">IFERROR(IF(AE39*fxVal_normal=_BS!AE39,"",IF(OR(AE39="",NOT(ISNUMBER(AE39)),ISERROR(AE39),$B39=""),"",IF($I39=1,IFBLANK(_xldudf_CX_PUSH(AE39*fxVal_normal,CX_ENTITY,$B39,AE$11,AE$14,AE$19,),""),IF($I39=2,IFBLANK(_xldudf_CX_PUSH(AE39,CX_ENTITY,$B39,AE$11,AE$14,AE$19,),""),IF($I39=3,"",IFBLANK(_xldudf_CX_PUSH(AE39,CX_ENTITY,$B39,AE$11,AE$14,AE$19,),"")))))),"")</f>
        <v/>
      </c>
      <c r="CS39" s="1883" t="str" cm="1">
        <f t="array" ca="1" aca="1" ref="CS39">IFERROR(IF(AF39*fxVal_normal=_BS!AF39,"",IF(OR(AF39="",NOT(ISNUMBER(AF39)),ISERROR(AF39),$B39=""),"",IF($I39=1,IFBLANK(_xldudf_CX_PUSH(AF39*fxVal_normal,CX_ENTITY,$B39,AF$11,AF$14,AF$19,),""),IF($I39=2,IFBLANK(_xldudf_CX_PUSH(AF39,CX_ENTITY,$B39,AF$11,AF$14,AF$19,),""),IF($I39=3,"",IFBLANK(_xldudf_CX_PUSH(AF39,CX_ENTITY,$B39,AF$11,AF$14,AF$19,),"")))))),"")</f>
        <v/>
      </c>
      <c r="CT39" s="1883" t="str" cm="1">
        <f t="array" ca="1" aca="1" ref="CT39">IFERROR(IF(AG39*fxVal_normal=_BS!AG39,"",IF(OR(AG39="",NOT(ISNUMBER(AG39)),ISERROR(AG39),$B39=""),"",IF($I39=1,IFBLANK(_xldudf_CX_PUSH(AG39*fxVal_normal,CX_ENTITY,$B39,AG$11,AG$14,AG$19,),""),IF($I39=2,IFBLANK(_xldudf_CX_PUSH(AG39,CX_ENTITY,$B39,AG$11,AG$14,AG$19,),""),IF($I39=3,"",IFBLANK(_xldudf_CX_PUSH(AG39,CX_ENTITY,$B39,AG$11,AG$14,AG$19,),"")))))),"")</f>
        <v/>
      </c>
      <c r="CU39" s="1883" t="str" cm="1">
        <f t="array" ca="1" aca="1" ref="CU39">IFERROR(IF(AH39*fxVal_normal=_BS!AH39,"",IF(OR(AH39="",NOT(ISNUMBER(AH39)),ISERROR(AH39),$B39=""),"",IF($I39=1,IFBLANK(_xldudf_CX_PUSH(AH39*fxVal_normal,CX_ENTITY,$B39,AH$11,AH$14,AH$19,),""),IF($I39=2,IFBLANK(_xldudf_CX_PUSH(AH39,CX_ENTITY,$B39,AH$11,AH$14,AH$19,),""),IF($I39=3,"",IFBLANK(_xldudf_CX_PUSH(AH39,CX_ENTITY,$B39,AH$11,AH$14,AH$19,),"")))))),"")</f>
        <v/>
      </c>
      <c r="CV39" s="1883" t="str" cm="1">
        <f t="array" ca="1" aca="1" ref="CV39">IFERROR(IF(AI39*fxVal_normal=_BS!AI39,"",IF(OR(AI39="",NOT(ISNUMBER(AI39)),ISERROR(AI39),$B39=""),"",IF($I39=1,IFBLANK(_xldudf_CX_PUSH(AI39*fxVal_normal,CX_ENTITY,$B39,AI$11,AI$14,AI$19,),""),IF($I39=2,IFBLANK(_xldudf_CX_PUSH(AI39,CX_ENTITY,$B39,AI$11,AI$14,AI$19,),""),IF($I39=3,"",IFBLANK(_xldudf_CX_PUSH(AI39,CX_ENTITY,$B39,AI$11,AI$14,AI$19,),"")))))),"")</f>
        <v/>
      </c>
      <c r="CW39" s="1883" t="str" cm="1">
        <f t="array" ca="1" aca="1" ref="CW39">IFERROR(IF(AJ39*fxVal_normal=_BS!AJ39,"",IF(OR(AJ39="",NOT(ISNUMBER(AJ39)),ISERROR(AJ39),$B39=""),"",IF($I39=1,IFBLANK(_xldudf_CX_PUSH(AJ39*fxVal_normal,CX_ENTITY,$B39,AJ$11,AJ$14,AJ$19,),""),IF($I39=2,IFBLANK(_xldudf_CX_PUSH(AJ39,CX_ENTITY,$B39,AJ$11,AJ$14,AJ$19,),""),IF($I39=3,"",IFBLANK(_xldudf_CX_PUSH(AJ39,CX_ENTITY,$B39,AJ$11,AJ$14,AJ$19,),"")))))),"")</f>
        <v/>
      </c>
      <c r="CX39" s="1883" t="str" cm="1">
        <f t="array" ca="1" aca="1" ref="CX39">IFERROR(IF(AK39*fxVal_normal=_BS!AK39,"",IF(OR(AK39="",NOT(ISNUMBER(AK39)),ISERROR(AK39),$B39=""),"",IF($I39=1,IFBLANK(_xldudf_CX_PUSH(AK39*fxVal_normal,CX_ENTITY,$B39,AK$11,AK$14,AK$19,),""),IF($I39=2,IFBLANK(_xldudf_CX_PUSH(AK39,CX_ENTITY,$B39,AK$11,AK$14,AK$19,),""),IF($I39=3,"",IFBLANK(_xldudf_CX_PUSH(AK39,CX_ENTITY,$B39,AK$11,AK$14,AK$19,),"")))))),"")</f>
        <v/>
      </c>
      <c r="CY39" s="1883" t="str" cm="1">
        <f t="array" ca="1" aca="1" ref="CY39">IFERROR(IF(AL39*fxVal_normal=_BS!AL39,"",IF(OR(AL39="",NOT(ISNUMBER(AL39)),ISERROR(AL39),$B39=""),"",IF($I39=1,IFBLANK(_xldudf_CX_PUSH(AL39*fxVal_normal,CX_ENTITY,$B39,AL$11,AL$14,AL$19,),""),IF($I39=2,IFBLANK(_xldudf_CX_PUSH(AL39,CX_ENTITY,$B39,AL$11,AL$14,AL$19,),""),IF($I39=3,"",IFBLANK(_xldudf_CX_PUSH(AL39,CX_ENTITY,$B39,AL$11,AL$14,AL$19,),"")))))),"")</f>
        <v/>
      </c>
      <c r="CZ39" s="1883" t="str" cm="1">
        <f t="array" ca="1" aca="1" ref="CZ39">IFERROR(IF(AM39*fxVal_normal=_BS!AM39,"",IF(OR(AM39="",NOT(ISNUMBER(AM39)),ISERROR(AM39),$B39=""),"",IF($I39=1,IFBLANK(_xldudf_CX_PUSH(AM39*fxVal_normal,CX_ENTITY,$B39,AM$11,AM$14,AM$19,),""),IF($I39=2,IFBLANK(_xldudf_CX_PUSH(AM39,CX_ENTITY,$B39,AM$11,AM$14,AM$19,),""),IF($I39=3,"",IFBLANK(_xldudf_CX_PUSH(AM39,CX_ENTITY,$B39,AM$11,AM$14,AM$19,),"")))))),"")</f>
        <v/>
      </c>
      <c r="DA39" s="1883" t="str" cm="1">
        <f t="array" ca="1" aca="1" ref="DA39">IFERROR(IF(AN39*fxVal_normal=_BS!AN39,"",IF(OR(AN39="",NOT(ISNUMBER(AN39)),ISERROR(AN39),$B39=""),"",IF($I39=1,IFBLANK(_xldudf_CX_PUSH(AN39*fxVal_normal,CX_ENTITY,$B39,AN$11,AN$14,AN$19,),""),IF($I39=2,IFBLANK(_xldudf_CX_PUSH(AN39,CX_ENTITY,$B39,AN$11,AN$14,AN$19,),""),IF($I39=3,"",IFBLANK(_xldudf_CX_PUSH(AN39,CX_ENTITY,$B39,AN$11,AN$14,AN$19,),"")))))),"")</f>
        <v/>
      </c>
      <c r="DB39" s="1883" t="str" cm="1">
        <f t="array" ca="1" aca="1" ref="DB39">IFERROR(IF(AO39*fxVal_normal=_BS!AO39,"",IF(OR(AO39="",NOT(ISNUMBER(AO39)),ISERROR(AO39),$B39=""),"",IF($I39=1,IFBLANK(_xldudf_CX_PUSH(AO39*fxVal_normal,CX_ENTITY,$B39,AO$11,AO$14,AO$19,),""),IF($I39=2,IFBLANK(_xldudf_CX_PUSH(AO39,CX_ENTITY,$B39,AO$11,AO$14,AO$19,),""),IF($I39=3,"",IFBLANK(_xldudf_CX_PUSH(AO39,CX_ENTITY,$B39,AO$11,AO$14,AO$19,),"")))))),"")</f>
        <v/>
      </c>
      <c r="DC39" s="1883" t="str" cm="1">
        <f t="array" ca="1" aca="1" ref="DC39">IFERROR(IF(AP39*fxVal_normal=_BS!AP39,"",IF(OR(AP39="",NOT(ISNUMBER(AP39)),ISERROR(AP39),$B39=""),"",IF($I39=1,IFBLANK(_xldudf_CX_PUSH(AP39*fxVal_normal,CX_ENTITY,$B39,AP$11,AP$14,AP$19,),""),IF($I39=2,IFBLANK(_xldudf_CX_PUSH(AP39,CX_ENTITY,$B39,AP$11,AP$14,AP$19,),""),IF($I39=3,"",IFBLANK(_xldudf_CX_PUSH(AP39,CX_ENTITY,$B39,AP$11,AP$14,AP$19,),"")))))),"")</f>
        <v/>
      </c>
      <c r="DD39" s="1883" t="str" cm="1">
        <f t="array" ca="1" aca="1" ref="DD39">IFERROR(IF(AQ39*fxVal_normal=_BS!AQ39,"",IF(OR(AQ39="",NOT(ISNUMBER(AQ39)),ISERROR(AQ39),$B39=""),"",IF($I39=1,IFBLANK(_xldudf_CX_PUSH(AQ39*fxVal_normal,CX_ENTITY,$B39,AQ$11,AQ$14,AQ$19,),""),IF($I39=2,IFBLANK(_xldudf_CX_PUSH(AQ39,CX_ENTITY,$B39,AQ$11,AQ$14,AQ$19,),""),IF($I39=3,"",IFBLANK(_xldudf_CX_PUSH(AQ39,CX_ENTITY,$B39,AQ$11,AQ$14,AQ$19,),"")))))),"")</f>
        <v/>
      </c>
      <c r="DE39" s="1883" t="str" cm="1">
        <f t="array" ca="1" aca="1" ref="DE39">IFERROR(IF(AR39*fxVal_normal=_BS!AR39,"",IF(OR(AR39="",NOT(ISNUMBER(AR39)),ISERROR(AR39),$B39=""),"",IF($I39=1,IFBLANK(_xldudf_CX_PUSH(AR39*fxVal_normal,CX_ENTITY,$B39,AR$11,AR$14,AR$19,),""),IF($I39=2,IFBLANK(_xldudf_CX_PUSH(AR39,CX_ENTITY,$B39,AR$11,AR$14,AR$19,),""),IF($I39=3,"",IFBLANK(_xldudf_CX_PUSH(AR39,CX_ENTITY,$B39,AR$11,AR$14,AR$19,),"")))))),"")</f>
        <v/>
      </c>
      <c r="DF39" s="1883" t="str" cm="1">
        <f t="array" ca="1" aca="1" ref="DF39">IFERROR(IF(AS39*fxVal_normal=_BS!AS39,"",IF(OR(AS39="",NOT(ISNUMBER(AS39)),ISERROR(AS39),$B39=""),"",IF($I39=1,IFBLANK(_xldudf_CX_PUSH(AS39*fxVal_normal,CX_ENTITY,$B39,AS$11,AS$14,AS$19,),""),IF($I39=2,IFBLANK(_xldudf_CX_PUSH(AS39,CX_ENTITY,$B39,AS$11,AS$14,AS$19,),""),IF($I39=3,"",IFBLANK(_xldudf_CX_PUSH(AS39,CX_ENTITY,$B39,AS$11,AS$14,AS$19,),"")))))),"")</f>
        <v/>
      </c>
      <c r="DG39" s="1883" t="str" cm="1">
        <f t="array" ca="1" aca="1" ref="DG39">IFERROR(IF(AT39*fxVal_normal=_BS!AT39,"",IF(OR(AT39="",NOT(ISNUMBER(AT39)),ISERROR(AT39),$B39=""),"",IF($I39=1,IFBLANK(_xldudf_CX_PUSH(AT39*fxVal_normal,CX_ENTITY,$B39,AT$11,AT$14,AT$19,),""),IF($I39=2,IFBLANK(_xldudf_CX_PUSH(AT39,CX_ENTITY,$B39,AT$11,AT$14,AT$19,),""),IF($I39=3,"",IFBLANK(_xldudf_CX_PUSH(AT39,CX_ENTITY,$B39,AT$11,AT$14,AT$19,),"")))))),"")</f>
        <v/>
      </c>
      <c r="DH39" s="1883" t="str" cm="1">
        <f t="array" ca="1" aca="1" ref="DH39">IFERROR(IF(AU39*fxVal_normal=_BS!AU39,"",IF(OR(AU39="",NOT(ISNUMBER(AU39)),ISERROR(AU39),$B39=""),"",IF($I39=1,IFBLANK(_xldudf_CX_PUSH(AU39*fxVal_normal,CX_ENTITY,$B39,AU$11,AU$14,AU$19,),""),IF($I39=2,IFBLANK(_xldudf_CX_PUSH(AU39,CX_ENTITY,$B39,AU$11,AU$14,AU$19,),""),IF($I39=3,"",IFBLANK(_xldudf_CX_PUSH(AU39,CX_ENTITY,$B39,AU$11,AU$14,AU$19,),"")))))),"")</f>
        <v/>
      </c>
      <c r="DI39" s="1883" t="str" cm="1">
        <f t="array" ca="1" aca="1" ref="DI39">IFERROR(IF(AV39*fxVal_normal=_BS!AV39,"",IF(OR(AV39="",NOT(ISNUMBER(AV39)),ISERROR(AV39),$B39=""),"",IF($I39=1,IFBLANK(_xldudf_CX_PUSH(AV39*fxVal_normal,CX_ENTITY,$B39,AV$11,AV$14,AV$19,),""),IF($I39=2,IFBLANK(_xldudf_CX_PUSH(AV39,CX_ENTITY,$B39,AV$11,AV$14,AV$19,),""),IF($I39=3,"",IFBLANK(_xldudf_CX_PUSH(AV39,CX_ENTITY,$B39,AV$11,AV$14,AV$19,),"")))))),"")</f>
        <v/>
      </c>
      <c r="DJ39" s="1883" t="str" cm="1">
        <f t="array" ca="1" aca="1" ref="DJ39">IFERROR(IF(AW39*fxVal_normal=_BS!AW39,"",IF(OR(AW39="",NOT(ISNUMBER(AW39)),ISERROR(AW39),$B39=""),"",IF($I39=1,IFBLANK(_xldudf_CX_PUSH(AW39*fxVal_normal,CX_ENTITY,$B39,AW$11,AW$14,AW$19,),""),IF($I39=2,IFBLANK(_xldudf_CX_PUSH(AW39,CX_ENTITY,$B39,AW$11,AW$14,AW$19,),""),IF($I39=3,"",IFBLANK(_xldudf_CX_PUSH(AW39,CX_ENTITY,$B39,AW$11,AW$14,AW$19,),"")))))),"")</f>
        <v/>
      </c>
      <c r="DK39" s="1883" t="str" cm="1">
        <f t="array" ca="1" aca="1" ref="DK39">IFERROR(IF(AX39*fxVal_normal=_BS!AX39,"",IF(OR(AX39="",NOT(ISNUMBER(AX39)),ISERROR(AX39),$B39=""),"",IF($I39=1,IFBLANK(_xldudf_CX_PUSH(AX39*fxVal_normal,CX_ENTITY,$B39,AX$11,AX$14,AX$19,),""),IF($I39=2,IFBLANK(_xldudf_CX_PUSH(AX39,CX_ENTITY,$B39,AX$11,AX$14,AX$19,),""),IF($I39=3,"",IFBLANK(_xldudf_CX_PUSH(AX39,CX_ENTITY,$B39,AX$11,AX$14,AX$19,),"")))))),"")</f>
        <v/>
      </c>
      <c r="DL39" s="1883" t="str" cm="1">
        <f t="array" ca="1" aca="1" ref="DL39">IFERROR(IF(AY39*fxVal_normal=_BS!AY39,"",IF(OR(AY39="",NOT(ISNUMBER(AY39)),ISERROR(AY39),$B39=""),"",IF($I39=1,IFBLANK(_xldudf_CX_PUSH(AY39*fxVal_normal,CX_ENTITY,$B39,AY$11,AY$14,AY$19,),""),IF($I39=2,IFBLANK(_xldudf_CX_PUSH(AY39,CX_ENTITY,$B39,AY$11,AY$14,AY$19,),""),IF($I39=3,"",IFBLANK(_xldudf_CX_PUSH(AY39,CX_ENTITY,$B39,AY$11,AY$14,AY$19,),"")))))),"")</f>
        <v/>
      </c>
      <c r="DM39" s="1883" t="str" cm="1">
        <f t="array" ca="1" aca="1" ref="DM39">IFERROR(IF(AZ39*fxVal_normal=_BS!AZ39,"",IF(OR(AZ39="",NOT(ISNUMBER(AZ39)),ISERROR(AZ39),$B39=""),"",IF($I39=1,IFBLANK(_xldudf_CX_PUSH(AZ39*fxVal_normal,CX_ENTITY,$B39,AZ$11,AZ$14,AZ$19,),""),IF($I39=2,IFBLANK(_xldudf_CX_PUSH(AZ39,CX_ENTITY,$B39,AZ$11,AZ$14,AZ$19,),""),IF($I39=3,"",IFBLANK(_xldudf_CX_PUSH(AZ39,CX_ENTITY,$B39,AZ$11,AZ$14,AZ$19,),"")))))),"")</f>
        <v/>
      </c>
      <c r="DN39" s="1883" t="str" cm="1">
        <f t="array" ca="1" aca="1" ref="DN39">IFERROR(IF(BA39*fxVal_normal=_BS!BA39,"",IF(OR(BA39="",NOT(ISNUMBER(BA39)),ISERROR(BA39),$B39=""),"",IF($I39=1,IFBLANK(_xldudf_CX_PUSH(BA39*fxVal_normal,CX_ENTITY,$B39,BA$11,BA$14,BA$19,),""),IF($I39=2,IFBLANK(_xldudf_CX_PUSH(BA39,CX_ENTITY,$B39,BA$11,BA$14,BA$19,),""),IF($I39=3,"",IFBLANK(_xldudf_CX_PUSH(BA39,CX_ENTITY,$B39,BA$11,BA$14,BA$19,),"")))))),"")</f>
        <v/>
      </c>
      <c r="DO39" s="1883" t="str" cm="1">
        <f t="array" ca="1" aca="1" ref="DO39">IFERROR(IF(BB39*fxVal_normal=_BS!BB39,"",IF(OR(BB39="",NOT(ISNUMBER(BB39)),ISERROR(BB39),$B39=""),"",IF($I39=1,IFBLANK(_xldudf_CX_PUSH(BB39*fxVal_normal,CX_ENTITY,$B39,BB$11,BB$14,BB$19,),""),IF($I39=2,IFBLANK(_xldudf_CX_PUSH(BB39,CX_ENTITY,$B39,BB$11,BB$14,BB$19,),""),IF($I39=3,"",IFBLANK(_xldudf_CX_PUSH(BB39,CX_ENTITY,$B39,BB$11,BB$14,BB$19,),"")))))),"")</f>
        <v/>
      </c>
      <c r="DP39" s="1883" t="str" cm="1">
        <f t="array" ca="1" aca="1" ref="DP39">IFERROR(IF(BC39*fxVal_normal=_BS!BC39,"",IF(OR(BC39="",NOT(ISNUMBER(BC39)),ISERROR(BC39),$B39=""),"",IF($I39=1,IFBLANK(_xldudf_CX_PUSH(BC39*fxVal_normal,CX_ENTITY,$B39,BC$11,BC$14,BC$19,),""),IF($I39=2,IFBLANK(_xldudf_CX_PUSH(BC39,CX_ENTITY,$B39,BC$11,BC$14,BC$19,),""),IF($I39=3,"",IFBLANK(_xldudf_CX_PUSH(BC39,CX_ENTITY,$B39,BC$11,BC$14,BC$19,),"")))))),"")</f>
        <v/>
      </c>
      <c r="DQ39" s="1883" t="str" cm="1">
        <f t="array" ca="1" aca="1" ref="DQ39">IFERROR(IF(BD39*fxVal_normal=_BS!BD39,"",IF(OR(BD39="",NOT(ISNUMBER(BD39)),ISERROR(BD39),$B39=""),"",IF($I39=1,IFBLANK(_xldudf_CX_PUSH(BD39*fxVal_normal,CX_ENTITY,$B39,BD$11,BD$14,BD$19,),""),IF($I39=2,IFBLANK(_xldudf_CX_PUSH(BD39,CX_ENTITY,$B39,BD$11,BD$14,BD$19,),""),IF($I39=3,"",IFBLANK(_xldudf_CX_PUSH(BD39,CX_ENTITY,$B39,BD$11,BD$14,BD$19,),"")))))),"")</f>
        <v/>
      </c>
      <c r="DR39" s="1883" t="str" cm="1">
        <f t="array" ca="1" aca="1" ref="DR39">IFERROR(IF(BE39*fxVal_normal=_BS!BE39,"",IF(OR(BE39="",NOT(ISNUMBER(BE39)),ISERROR(BE39),$B39=""),"",IF($I39=1,IFBLANK(_xldudf_CX_PUSH(BE39*fxVal_normal,CX_ENTITY,$B39,BE$11,BE$14,BE$19,),""),IF($I39=2,IFBLANK(_xldudf_CX_PUSH(BE39,CX_ENTITY,$B39,BE$11,BE$14,BE$19,),""),IF($I39=3,"",IFBLANK(_xldudf_CX_PUSH(BE39,CX_ENTITY,$B39,BE$11,BE$14,BE$19,),"")))))),"")</f>
        <v/>
      </c>
      <c r="DS39" s="1883" t="str" cm="1">
        <f t="array" ca="1" aca="1" ref="DS39">IFERROR(IF(BF39*fxVal_normal=_BS!BF39,"",IF(OR(BF39="",NOT(ISNUMBER(BF39)),ISERROR(BF39),$B39=""),"",IF($I39=1,IFBLANK(_xldudf_CX_PUSH(BF39*fxVal_normal,CX_ENTITY,$B39,BF$11,BF$14,BF$19,),""),IF($I39=2,IFBLANK(_xldudf_CX_PUSH(BF39,CX_ENTITY,$B39,BF$11,BF$14,BF$19,),""),IF($I39=3,"",IFBLANK(_xldudf_CX_PUSH(BF39,CX_ENTITY,$B39,BF$11,BF$14,BF$19,),"")))))),"")</f>
        <v/>
      </c>
      <c r="DT39" s="1883" t="str" cm="1">
        <f t="array" ca="1" aca="1" ref="DT39">IFERROR(IF(BG39*fxVal_normal=_BS!BG39,"",IF(OR(BG39="",NOT(ISNUMBER(BG39)),ISERROR(BG39),$B39=""),"",IF($I39=1,IFBLANK(_xldudf_CX_PUSH(BG39*fxVal_normal,CX_ENTITY,$B39,BG$11,BG$14,BG$19,),""),IF($I39=2,IFBLANK(_xldudf_CX_PUSH(BG39,CX_ENTITY,$B39,BG$11,BG$14,BG$19,),""),IF($I39=3,"",IFBLANK(_xldudf_CX_PUSH(BG39,CX_ENTITY,$B39,BG$11,BG$14,BG$19,),"")))))),"")</f>
        <v/>
      </c>
      <c r="DU39" s="1883" t="str" cm="1">
        <f t="array" ca="1" aca="1" ref="DU39">IFERROR(IF(BH39*fxVal_normal=_BS!BH39,"",IF(OR(BH39="",NOT(ISNUMBER(BH39)),ISERROR(BH39),$B39=""),"",IF($I39=1,IFBLANK(_xldudf_CX_PUSH(BH39*fxVal_normal,CX_ENTITY,$B39,BH$11,BH$14,BH$19,),""),IF($I39=2,IFBLANK(_xldudf_CX_PUSH(BH39,CX_ENTITY,$B39,BH$11,BH$14,BH$19,),""),IF($I39=3,"",IFBLANK(_xldudf_CX_PUSH(BH39,CX_ENTITY,$B39,BH$11,BH$14,BH$19,),"")))))),"")</f>
        <v/>
      </c>
      <c r="DV39" s="1883" t="str" cm="1">
        <f t="array" ca="1" aca="1" ref="DV39">IFERROR(IF(BI39*fxVal_normal=_BS!BI39,"",IF(OR(BI39="",NOT(ISNUMBER(BI39)),ISERROR(BI39),$B39=""),"",IF($I39=1,IFBLANK(_xldudf_CX_PUSH(BI39*fxVal_normal,CX_ENTITY,$B39,BI$11,BI$14,BI$19,),""),IF($I39=2,IFBLANK(_xldudf_CX_PUSH(BI39,CX_ENTITY,$B39,BI$11,BI$14,BI$19,),""),IF($I39=3,"",IFBLANK(_xldudf_CX_PUSH(BI39,CX_ENTITY,$B39,BI$11,BI$14,BI$19,),"")))))),"")</f>
        <v/>
      </c>
      <c r="DW39" s="1883" t="str" cm="1">
        <f t="array" ca="1" aca="1" ref="DW39">IFERROR(IF(BJ39*fxVal_normal=_BS!BJ39,"",IF(OR(BJ39="",NOT(ISNUMBER(BJ39)),ISERROR(BJ39),$B39=""),"",IF($I39=1,IFBLANK(_xldudf_CX_PUSH(BJ39*fxVal_normal,CX_ENTITY,$B39,BJ$11,BJ$14,BJ$19,),""),IF($I39=2,IFBLANK(_xldudf_CX_PUSH(BJ39,CX_ENTITY,$B39,BJ$11,BJ$14,BJ$19,),""),IF($I39=3,"",IFBLANK(_xldudf_CX_PUSH(BJ39,CX_ENTITY,$B39,BJ$11,BJ$14,BJ$19,),"")))))),"")</f>
        <v/>
      </c>
      <c r="DX39" s="1883" t="str" cm="1">
        <f t="array" ca="1" aca="1" ref="DX39">IFERROR(IF(BK39*fxVal_normal=_BS!BK39,"",IF(OR(BK39="",NOT(ISNUMBER(BK39)),ISERROR(BK39),$B39=""),"",IF($I39=1,IFBLANK(_xldudf_CX_PUSH(BK39*fxVal_normal,CX_ENTITY,$B39,BK$11,BK$14,BK$19,),""),IF($I39=2,IFBLANK(_xldudf_CX_PUSH(BK39,CX_ENTITY,$B39,BK$11,BK$14,BK$19,),""),IF($I39=3,"",IFBLANK(_xldudf_CX_PUSH(BK39,CX_ENTITY,$B39,BK$11,BK$14,BK$19,),"")))))),"")</f>
        <v/>
      </c>
      <c r="DY39" s="1883" t="str" cm="1">
        <f t="array" ca="1" aca="1" ref="DY39">IFERROR(IF(BL39*fxVal_normal=_BS!BL39,"",IF(OR(BL39="",NOT(ISNUMBER(BL39)),ISERROR(BL39),$B39=""),"",IF($I39=1,IFBLANK(_xldudf_CX_PUSH(BL39*fxVal_normal,CX_ENTITY,$B39,BL$11,BL$14,BL$19,),""),IF($I39=2,IFBLANK(_xldudf_CX_PUSH(BL39,CX_ENTITY,$B39,BL$11,BL$14,BL$19,),""),IF($I39=3,"",IFBLANK(_xldudf_CX_PUSH(BL39,CX_ENTITY,$B39,BL$11,BL$14,BL$19,),"")))))),"")</f>
        <v/>
      </c>
      <c r="DZ39" s="1883" t="str" cm="1">
        <f t="array" ca="1" aca="1" ref="DZ39">IFERROR(IF(BM39*fxVal_normal=_BS!BM39,"",IF(OR(BM39="",NOT(ISNUMBER(BM39)),ISERROR(BM39),$B39=""),"",IF($I39=1,IFBLANK(_xldudf_CX_PUSH(BM39*fxVal_normal,CX_ENTITY,$B39,BM$11,BM$14,BM$19,),""),IF($I39=2,IFBLANK(_xldudf_CX_PUSH(BM39,CX_ENTITY,$B39,BM$11,BM$14,BM$19,),""),IF($I39=3,"",IFBLANK(_xldudf_CX_PUSH(BM39,CX_ENTITY,$B39,BM$11,BM$14,BM$19,),"")))))),"")</f>
        <v/>
      </c>
      <c r="EA39" s="1883" t="str" cm="1">
        <f t="array" ca="1" aca="1" ref="EA39">IFERROR(IF(BN39*fxVal_normal=_BS!BN39,"",IF(OR(BN39="",NOT(ISNUMBER(BN39)),ISERROR(BN39),$B39=""),"",IF($I39=1,IFBLANK(_xldudf_CX_PUSH(BN39*fxVal_normal,CX_ENTITY,$B39,BN$11,BN$14,BN$19,),""),IF($I39=2,IFBLANK(_xldudf_CX_PUSH(BN39,CX_ENTITY,$B39,BN$11,BN$14,BN$19,),""),IF($I39=3,"",IFBLANK(_xldudf_CX_PUSH(BN39,CX_ENTITY,$B39,BN$11,BN$14,BN$19,),"")))))),"")</f>
        <v/>
      </c>
    </row>
    <row r="40" spans="1:131" ht="21" customHeight="1">
      <c r="A40" s="1626"/>
      <c r="B40" s="811" t="str" cm="1">
        <f t="array" ref="B40">IFBLANK(_BS!F40,"")</f>
        <v>Net External Debt</v>
      </c>
      <c r="C40" s="3346" t="str" cm="1">
        <f t="array" ref="C40">IFBLANK(_BS!C40,"")</f>
        <v>Net External Debt (Company View)</v>
      </c>
      <c r="D40" s="1549"/>
      <c r="E40" s="1902" t="e" cm="1">
        <f t="array" ca="1" aca="1" ref="E4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40:$CH40,Z40)</f>
        <v>#NAME?</v>
      </c>
      <c r="F40" s="1897"/>
      <c r="G40" s="1897"/>
      <c r="H40" s="3280">
        <v>2</v>
      </c>
      <c r="I40" s="3280">
        <v>1</v>
      </c>
      <c r="J40" s="401"/>
      <c r="L40" s="921"/>
      <c r="M40" s="921"/>
      <c r="N40" s="158"/>
      <c r="O40" s="101"/>
      <c r="P40" s="52"/>
      <c r="Q40" s="101"/>
      <c r="R40" s="126"/>
      <c r="S40" s="101"/>
      <c r="T40" s="101"/>
      <c r="U40" s="39"/>
      <c r="V40" s="921"/>
      <c r="W40" s="922" t="str">
        <f t="shared" si="1"/>
        <v>Actual</v>
      </c>
      <c r="X40" s="1294">
        <f>_BS!X40</f>
        <v>0</v>
      </c>
      <c r="Y40" s="3344" t="str">
        <f>_BS!Y40</f>
        <v>Net External Debt</v>
      </c>
      <c r="Z40" s="198" cm="1">
        <f t="array" ref="Z40">_xlfn.SWITCH(TRUE,_BS!$L40=TRUE,1,_BS!$L40=FALSE,-1,_BS!$L40=-1,0,"n/a")</f>
        <v>0</v>
      </c>
      <c r="AA40" s="924"/>
      <c r="AB40" s="3343" t="str">
        <f>_BS!AB40</f>
        <v>Net External Debt</v>
      </c>
      <c r="AC40" s="88" t="e" vm="5" cm="1">
        <f t="array" ca="1" aca="1" ref="AC40">_xlfn.LET(_xlpm._termname,$AB40,_xlpm._iconname,"find",_xlpm._icon,fx_getIcon(_xlpm._iconname),_xlpm._location,_xlfn.XLOOKUP(LOWER(_xlpm._termname),LOWER(tbl_acctDef[Term]),tbl_acctDef[Term]),_xlpm._hyperlink,HYPERLINK("#"&amp;CELL("address",_xlpm._location),_xlpm._icon),IFERROR(_xlpm._hyperlink,""))</f>
        <v>#VALUE!</v>
      </c>
      <c r="AD40" s="919">
        <f t="shared" si="8" ref="AD40:BN40">SUBTOTAL(9,AD31:AD39)</f>
        <v>7</v>
      </c>
      <c r="AE40" s="919">
        <f t="shared" si="8"/>
        <v>7</v>
      </c>
      <c r="AF40" s="919">
        <f t="shared" si="8"/>
        <v>7</v>
      </c>
      <c r="AG40" s="919">
        <f t="shared" si="8"/>
        <v>7</v>
      </c>
      <c r="AH40" s="919">
        <f t="shared" si="8"/>
        <v>7</v>
      </c>
      <c r="AI40" s="919">
        <f t="shared" si="8"/>
        <v>7</v>
      </c>
      <c r="AJ40" s="919">
        <f t="shared" si="8"/>
        <v>7</v>
      </c>
      <c r="AK40" s="919">
        <f t="shared" si="8"/>
        <v>7</v>
      </c>
      <c r="AL40" s="919">
        <f t="shared" si="8"/>
        <v>7</v>
      </c>
      <c r="AM40" s="919">
        <f t="shared" si="8"/>
        <v>7</v>
      </c>
      <c r="AN40" s="919">
        <f t="shared" si="8"/>
        <v>7</v>
      </c>
      <c r="AO40" s="919">
        <f t="shared" si="8"/>
        <v>7</v>
      </c>
      <c r="AP40" s="919">
        <f t="shared" si="8"/>
        <v>7</v>
      </c>
      <c r="AQ40" s="919">
        <f t="shared" si="8"/>
        <v>7</v>
      </c>
      <c r="AR40" s="919">
        <f t="shared" si="8"/>
        <v>7</v>
      </c>
      <c r="AS40" s="919">
        <f t="shared" si="8"/>
        <v>7</v>
      </c>
      <c r="AT40" s="919">
        <f t="shared" si="8"/>
        <v>7</v>
      </c>
      <c r="AU40" s="919">
        <f t="shared" si="8"/>
        <v>7</v>
      </c>
      <c r="AV40" s="919">
        <f t="shared" si="8"/>
        <v>7</v>
      </c>
      <c r="AW40" s="919">
        <f t="shared" si="8"/>
        <v>7</v>
      </c>
      <c r="AX40" s="919">
        <f t="shared" si="8"/>
        <v>7</v>
      </c>
      <c r="AY40" s="919">
        <f t="shared" si="8"/>
        <v>7</v>
      </c>
      <c r="AZ40" s="919">
        <f t="shared" si="8"/>
        <v>7</v>
      </c>
      <c r="BA40" s="919">
        <f t="shared" si="8"/>
        <v>7</v>
      </c>
      <c r="BB40" s="919">
        <f t="shared" si="8"/>
        <v>7</v>
      </c>
      <c r="BC40" s="919">
        <f t="shared" si="8"/>
        <v>7</v>
      </c>
      <c r="BD40" s="919">
        <f t="shared" si="8"/>
        <v>7</v>
      </c>
      <c r="BE40" s="919">
        <f t="shared" si="8"/>
        <v>7</v>
      </c>
      <c r="BF40" s="919">
        <f t="shared" si="8"/>
        <v>7</v>
      </c>
      <c r="BG40" s="919">
        <f t="shared" si="8"/>
        <v>7</v>
      </c>
      <c r="BH40" s="919">
        <f t="shared" si="8"/>
        <v>7</v>
      </c>
      <c r="BI40" s="919">
        <f t="shared" si="8"/>
        <v>7</v>
      </c>
      <c r="BJ40" s="919">
        <f t="shared" si="8"/>
        <v>7</v>
      </c>
      <c r="BK40" s="919">
        <f t="shared" si="8"/>
        <v>7</v>
      </c>
      <c r="BL40" s="919">
        <f t="shared" si="8"/>
        <v>7</v>
      </c>
      <c r="BM40" s="919">
        <f t="shared" si="8"/>
        <v>7</v>
      </c>
      <c r="BN40" s="919">
        <f t="shared" si="8"/>
        <v>7</v>
      </c>
      <c r="BO40" s="2117"/>
      <c r="BP40" s="2117"/>
      <c r="BQ40" s="2117"/>
      <c r="BR40" s="2117"/>
      <c r="BS40" s="2117"/>
      <c r="BT40" s="2117"/>
      <c r="BU40" s="2117"/>
      <c r="BV40" s="2117"/>
      <c r="BW40" s="2117"/>
      <c r="BX40" s="2117"/>
      <c r="BY40" s="2117"/>
      <c r="BZ40" s="2117"/>
      <c r="CA40" s="926"/>
      <c r="CB40" s="921"/>
      <c r="CC40" s="927"/>
      <c r="CD40" s="919" t="e" cm="1">
        <f t="array" ca="1" aca="1" ref="CD40">_xlfn.XLOOKUP(BS!CD$11,array_timeline,BS!$AD40:$BN40)</f>
        <v>#NAME?</v>
      </c>
      <c r="CE40" s="919" t="e" cm="1">
        <f t="array" ca="1" aca="1" ref="CE40">_xlfn.XLOOKUP(BS!CE$11,array_timeline,BS!$AD40:$BN40)</f>
        <v>#NAME?</v>
      </c>
      <c r="CF40" s="925"/>
      <c r="CG40" s="919" t="e">
        <f ca="1">SUBTOTAL(9,CG31:CG39)</f>
        <v>#NAME?</v>
      </c>
      <c r="CH40" s="919" t="e">
        <f ca="1">SUBTOTAL(9,CH31:CH39)</f>
        <v>#NAME?</v>
      </c>
      <c r="CI40" s="924"/>
      <c r="CK40" s="2085" t="str" cm="1">
        <f t="array" ref="CK40">IFERROR(IF(Y40&lt;&gt;AB40,_xldudf_CX_PUSH(Y40,CX_ENTITY,C40,EOMONTH(val_asOfDate,0)),""),"")</f>
        <v/>
      </c>
      <c r="CL40" s="2085" t="str" cm="1">
        <f t="array" ref="CL40">IFERROR(IF(Y40&lt;&gt;AB40,_xldudf_CX_PUSH(Y40,CX_ENTITY,C40,EOMONTH(val_asOfDate,1)),""),"")</f>
        <v/>
      </c>
      <c r="CM40" s="2085" t="str" cm="1">
        <f t="array" ref="CM40">IFERROR(IF(Y40&lt;&gt;AB40,_xldudf_CX_PUSH(Y40,CX_ENTITY,C40,EOMONTH(val_asOfDate,2)),""),"")</f>
        <v/>
      </c>
      <c r="CN40" s="2085" t="str" cm="1">
        <f t="array" ref="CN40">IFERROR(IF(Y40&lt;&gt;AB40,_xldudf_CX_PUSH(Y40,CX_ENTITY,C40,EOMONTH(val_asOfDate,3)),""),"")</f>
        <v/>
      </c>
      <c r="CO40" s="2086" t="str" cm="1">
        <f t="array" ca="1" aca="1" ref="CO40">IFERROR(IF(CG40*fxVal_normal=_BS!CG40,"",IF(OR($CG40="",$CG40=0,NOT(ISNUMBER($CG40)),ISERROR($CG40),$B40=""),"",IF($I40=1,IFBLANK(_xldudf_CX_PUSH($CG40*10^6,CX_ENTITY,$B40,$CG$11,$CG$14,$CG$19,),""),IF($I40=2,IFBLANK(_xldudf_CX_PUSH($CG40,CX_ENTITY,$B40,$CG$11,$CG$14,$CG$19,),""),IF($I40=3,"",IFBLANK(_xldudf_CX_PUSH($CG40,CX_ENTITY,$B40,$CG$11,$CG$14,$CG$19,),"")))))),"")</f>
        <v/>
      </c>
      <c r="CP40" s="2086" t="str" cm="1">
        <f t="array" ca="1" aca="1" ref="CP40">IFERROR(IF(CH40*fxVal_normal=_BS!CH40,"",IF(OR($CH40="",$CH40=0,NOT(ISNUMBER($CH40)),ISERROR($CH40),$B40=""),"",IF($I40=1,IFBLANK(_xldudf_CX_PUSH($CH40*10^6,CX_ENTITY,$B40,$CH$11,$CH$14,$CH$19,),""),IF($I40=2,IFBLANK(_xldudf_CX_PUSH($CH40,CX_ENTITY,$B40,$CH$11,$CH$14,$CH$19,),""),IF($I40=3,"",IFBLANK(_xldudf_CX_PUSH($CH40,CX_ENTITY,$B40,$CH$11,$CH$14,$CH$19,),"")))))),"")</f>
        <v/>
      </c>
      <c r="CQ40" s="1883" t="str" cm="1">
        <f t="array" ca="1" aca="1" ref="CQ40">IFERROR(IF(AD40*fxVal_normal=_BS!AD40,"",IF(OR(AD40="",NOT(ISNUMBER(AD40)),ISERROR(AD40),$B40=""),"",IF($I40=1,IFBLANK(_xldudf_CX_PUSH(AD40*fxVal_normal,CX_ENTITY,$B40,AD$11,AD$14,AD$19,),""),IF($I40=2,IFBLANK(_xldudf_CX_PUSH(AD40,CX_ENTITY,$B40,AD$11,AD$14,AD$19,),""),IF($I40=3,"",IFBLANK(_xldudf_CX_PUSH(AD40,CX_ENTITY,$B40,AD$11,AD$14,AD$19,),"")))))),"")</f>
        <v/>
      </c>
      <c r="CR40" s="1883" t="str" cm="1">
        <f t="array" ca="1" aca="1" ref="CR40">IFERROR(IF(AE40*fxVal_normal=_BS!AE40,"",IF(OR(AE40="",NOT(ISNUMBER(AE40)),ISERROR(AE40),$B40=""),"",IF($I40=1,IFBLANK(_xldudf_CX_PUSH(AE40*fxVal_normal,CX_ENTITY,$B40,AE$11,AE$14,AE$19,),""),IF($I40=2,IFBLANK(_xldudf_CX_PUSH(AE40,CX_ENTITY,$B40,AE$11,AE$14,AE$19,),""),IF($I40=3,"",IFBLANK(_xldudf_CX_PUSH(AE40,CX_ENTITY,$B40,AE$11,AE$14,AE$19,),"")))))),"")</f>
        <v/>
      </c>
      <c r="CS40" s="1883" t="str" cm="1">
        <f t="array" ca="1" aca="1" ref="CS40">IFERROR(IF(AF40*fxVal_normal=_BS!AF40,"",IF(OR(AF40="",NOT(ISNUMBER(AF40)),ISERROR(AF40),$B40=""),"",IF($I40=1,IFBLANK(_xldudf_CX_PUSH(AF40*fxVal_normal,CX_ENTITY,$B40,AF$11,AF$14,AF$19,),""),IF($I40=2,IFBLANK(_xldudf_CX_PUSH(AF40,CX_ENTITY,$B40,AF$11,AF$14,AF$19,),""),IF($I40=3,"",IFBLANK(_xldudf_CX_PUSH(AF40,CX_ENTITY,$B40,AF$11,AF$14,AF$19,),"")))))),"")</f>
        <v/>
      </c>
      <c r="CT40" s="1883" t="str" cm="1">
        <f t="array" ca="1" aca="1" ref="CT40">IFERROR(IF(AG40*fxVal_normal=_BS!AG40,"",IF(OR(AG40="",NOT(ISNUMBER(AG40)),ISERROR(AG40),$B40=""),"",IF($I40=1,IFBLANK(_xldudf_CX_PUSH(AG40*fxVal_normal,CX_ENTITY,$B40,AG$11,AG$14,AG$19,),""),IF($I40=2,IFBLANK(_xldudf_CX_PUSH(AG40,CX_ENTITY,$B40,AG$11,AG$14,AG$19,),""),IF($I40=3,"",IFBLANK(_xldudf_CX_PUSH(AG40,CX_ENTITY,$B40,AG$11,AG$14,AG$19,),"")))))),"")</f>
        <v/>
      </c>
      <c r="CU40" s="1883" t="str" cm="1">
        <f t="array" ca="1" aca="1" ref="CU40">IFERROR(IF(AH40*fxVal_normal=_BS!AH40,"",IF(OR(AH40="",NOT(ISNUMBER(AH40)),ISERROR(AH40),$B40=""),"",IF($I40=1,IFBLANK(_xldudf_CX_PUSH(AH40*fxVal_normal,CX_ENTITY,$B40,AH$11,AH$14,AH$19,),""),IF($I40=2,IFBLANK(_xldudf_CX_PUSH(AH40,CX_ENTITY,$B40,AH$11,AH$14,AH$19,),""),IF($I40=3,"",IFBLANK(_xldudf_CX_PUSH(AH40,CX_ENTITY,$B40,AH$11,AH$14,AH$19,),"")))))),"")</f>
        <v/>
      </c>
      <c r="CV40" s="1883" t="str" cm="1">
        <f t="array" ca="1" aca="1" ref="CV40">IFERROR(IF(AI40*fxVal_normal=_BS!AI40,"",IF(OR(AI40="",NOT(ISNUMBER(AI40)),ISERROR(AI40),$B40=""),"",IF($I40=1,IFBLANK(_xldudf_CX_PUSH(AI40*fxVal_normal,CX_ENTITY,$B40,AI$11,AI$14,AI$19,),""),IF($I40=2,IFBLANK(_xldudf_CX_PUSH(AI40,CX_ENTITY,$B40,AI$11,AI$14,AI$19,),""),IF($I40=3,"",IFBLANK(_xldudf_CX_PUSH(AI40,CX_ENTITY,$B40,AI$11,AI$14,AI$19,),"")))))),"")</f>
        <v/>
      </c>
      <c r="CW40" s="1883" t="str" cm="1">
        <f t="array" ca="1" aca="1" ref="CW40">IFERROR(IF(AJ40*fxVal_normal=_BS!AJ40,"",IF(OR(AJ40="",NOT(ISNUMBER(AJ40)),ISERROR(AJ40),$B40=""),"",IF($I40=1,IFBLANK(_xldudf_CX_PUSH(AJ40*fxVal_normal,CX_ENTITY,$B40,AJ$11,AJ$14,AJ$19,),""),IF($I40=2,IFBLANK(_xldudf_CX_PUSH(AJ40,CX_ENTITY,$B40,AJ$11,AJ$14,AJ$19,),""),IF($I40=3,"",IFBLANK(_xldudf_CX_PUSH(AJ40,CX_ENTITY,$B40,AJ$11,AJ$14,AJ$19,),"")))))),"")</f>
        <v/>
      </c>
      <c r="CX40" s="1883" t="str" cm="1">
        <f t="array" ca="1" aca="1" ref="CX40">IFERROR(IF(AK40*fxVal_normal=_BS!AK40,"",IF(OR(AK40="",NOT(ISNUMBER(AK40)),ISERROR(AK40),$B40=""),"",IF($I40=1,IFBLANK(_xldudf_CX_PUSH(AK40*fxVal_normal,CX_ENTITY,$B40,AK$11,AK$14,AK$19,),""),IF($I40=2,IFBLANK(_xldudf_CX_PUSH(AK40,CX_ENTITY,$B40,AK$11,AK$14,AK$19,),""),IF($I40=3,"",IFBLANK(_xldudf_CX_PUSH(AK40,CX_ENTITY,$B40,AK$11,AK$14,AK$19,),"")))))),"")</f>
        <v/>
      </c>
      <c r="CY40" s="1883" t="str" cm="1">
        <f t="array" ca="1" aca="1" ref="CY40">IFERROR(IF(AL40*fxVal_normal=_BS!AL40,"",IF(OR(AL40="",NOT(ISNUMBER(AL40)),ISERROR(AL40),$B40=""),"",IF($I40=1,IFBLANK(_xldudf_CX_PUSH(AL40*fxVal_normal,CX_ENTITY,$B40,AL$11,AL$14,AL$19,),""),IF($I40=2,IFBLANK(_xldudf_CX_PUSH(AL40,CX_ENTITY,$B40,AL$11,AL$14,AL$19,),""),IF($I40=3,"",IFBLANK(_xldudf_CX_PUSH(AL40,CX_ENTITY,$B40,AL$11,AL$14,AL$19,),"")))))),"")</f>
        <v/>
      </c>
      <c r="CZ40" s="1883" t="str" cm="1">
        <f t="array" ca="1" aca="1" ref="CZ40">IFERROR(IF(AM40*fxVal_normal=_BS!AM40,"",IF(OR(AM40="",NOT(ISNUMBER(AM40)),ISERROR(AM40),$B40=""),"",IF($I40=1,IFBLANK(_xldudf_CX_PUSH(AM40*fxVal_normal,CX_ENTITY,$B40,AM$11,AM$14,AM$19,),""),IF($I40=2,IFBLANK(_xldudf_CX_PUSH(AM40,CX_ENTITY,$B40,AM$11,AM$14,AM$19,),""),IF($I40=3,"",IFBLANK(_xldudf_CX_PUSH(AM40,CX_ENTITY,$B40,AM$11,AM$14,AM$19,),"")))))),"")</f>
        <v/>
      </c>
      <c r="DA40" s="1883" t="str" cm="1">
        <f t="array" ca="1" aca="1" ref="DA40">IFERROR(IF(AN40*fxVal_normal=_BS!AN40,"",IF(OR(AN40="",NOT(ISNUMBER(AN40)),ISERROR(AN40),$B40=""),"",IF($I40=1,IFBLANK(_xldudf_CX_PUSH(AN40*fxVal_normal,CX_ENTITY,$B40,AN$11,AN$14,AN$19,),""),IF($I40=2,IFBLANK(_xldudf_CX_PUSH(AN40,CX_ENTITY,$B40,AN$11,AN$14,AN$19,),""),IF($I40=3,"",IFBLANK(_xldudf_CX_PUSH(AN40,CX_ENTITY,$B40,AN$11,AN$14,AN$19,),"")))))),"")</f>
        <v/>
      </c>
      <c r="DB40" s="1883" t="str" cm="1">
        <f t="array" ca="1" aca="1" ref="DB40">IFERROR(IF(AO40*fxVal_normal=_BS!AO40,"",IF(OR(AO40="",NOT(ISNUMBER(AO40)),ISERROR(AO40),$B40=""),"",IF($I40=1,IFBLANK(_xldudf_CX_PUSH(AO40*fxVal_normal,CX_ENTITY,$B40,AO$11,AO$14,AO$19,),""),IF($I40=2,IFBLANK(_xldudf_CX_PUSH(AO40,CX_ENTITY,$B40,AO$11,AO$14,AO$19,),""),IF($I40=3,"",IFBLANK(_xldudf_CX_PUSH(AO40,CX_ENTITY,$B40,AO$11,AO$14,AO$19,),"")))))),"")</f>
        <v/>
      </c>
      <c r="DC40" s="1883" t="str" cm="1">
        <f t="array" ca="1" aca="1" ref="DC40">IFERROR(IF(AP40*fxVal_normal=_BS!AP40,"",IF(OR(AP40="",NOT(ISNUMBER(AP40)),ISERROR(AP40),$B40=""),"",IF($I40=1,IFBLANK(_xldudf_CX_PUSH(AP40*fxVal_normal,CX_ENTITY,$B40,AP$11,AP$14,AP$19,),""),IF($I40=2,IFBLANK(_xldudf_CX_PUSH(AP40,CX_ENTITY,$B40,AP$11,AP$14,AP$19,),""),IF($I40=3,"",IFBLANK(_xldudf_CX_PUSH(AP40,CX_ENTITY,$B40,AP$11,AP$14,AP$19,),"")))))),"")</f>
        <v/>
      </c>
      <c r="DD40" s="1883" t="str" cm="1">
        <f t="array" ca="1" aca="1" ref="DD40">IFERROR(IF(AQ40*fxVal_normal=_BS!AQ40,"",IF(OR(AQ40="",NOT(ISNUMBER(AQ40)),ISERROR(AQ40),$B40=""),"",IF($I40=1,IFBLANK(_xldudf_CX_PUSH(AQ40*fxVal_normal,CX_ENTITY,$B40,AQ$11,AQ$14,AQ$19,),""),IF($I40=2,IFBLANK(_xldudf_CX_PUSH(AQ40,CX_ENTITY,$B40,AQ$11,AQ$14,AQ$19,),""),IF($I40=3,"",IFBLANK(_xldudf_CX_PUSH(AQ40,CX_ENTITY,$B40,AQ$11,AQ$14,AQ$19,),"")))))),"")</f>
        <v/>
      </c>
      <c r="DE40" s="1883" t="str" cm="1">
        <f t="array" ca="1" aca="1" ref="DE40">IFERROR(IF(AR40*fxVal_normal=_BS!AR40,"",IF(OR(AR40="",NOT(ISNUMBER(AR40)),ISERROR(AR40),$B40=""),"",IF($I40=1,IFBLANK(_xldudf_CX_PUSH(AR40*fxVal_normal,CX_ENTITY,$B40,AR$11,AR$14,AR$19,),""),IF($I40=2,IFBLANK(_xldudf_CX_PUSH(AR40,CX_ENTITY,$B40,AR$11,AR$14,AR$19,),""),IF($I40=3,"",IFBLANK(_xldudf_CX_PUSH(AR40,CX_ENTITY,$B40,AR$11,AR$14,AR$19,),"")))))),"")</f>
        <v/>
      </c>
      <c r="DF40" s="1883" t="str" cm="1">
        <f t="array" ca="1" aca="1" ref="DF40">IFERROR(IF(AS40*fxVal_normal=_BS!AS40,"",IF(OR(AS40="",NOT(ISNUMBER(AS40)),ISERROR(AS40),$B40=""),"",IF($I40=1,IFBLANK(_xldudf_CX_PUSH(AS40*fxVal_normal,CX_ENTITY,$B40,AS$11,AS$14,AS$19,),""),IF($I40=2,IFBLANK(_xldudf_CX_PUSH(AS40,CX_ENTITY,$B40,AS$11,AS$14,AS$19,),""),IF($I40=3,"",IFBLANK(_xldudf_CX_PUSH(AS40,CX_ENTITY,$B40,AS$11,AS$14,AS$19,),"")))))),"")</f>
        <v/>
      </c>
      <c r="DG40" s="1883" t="str" cm="1">
        <f t="array" ca="1" aca="1" ref="DG40">IFERROR(IF(AT40*fxVal_normal=_BS!AT40,"",IF(OR(AT40="",NOT(ISNUMBER(AT40)),ISERROR(AT40),$B40=""),"",IF($I40=1,IFBLANK(_xldudf_CX_PUSH(AT40*fxVal_normal,CX_ENTITY,$B40,AT$11,AT$14,AT$19,),""),IF($I40=2,IFBLANK(_xldudf_CX_PUSH(AT40,CX_ENTITY,$B40,AT$11,AT$14,AT$19,),""),IF($I40=3,"",IFBLANK(_xldudf_CX_PUSH(AT40,CX_ENTITY,$B40,AT$11,AT$14,AT$19,),"")))))),"")</f>
        <v/>
      </c>
      <c r="DH40" s="1883" t="str" cm="1">
        <f t="array" ca="1" aca="1" ref="DH40">IFERROR(IF(AU40*fxVal_normal=_BS!AU40,"",IF(OR(AU40="",NOT(ISNUMBER(AU40)),ISERROR(AU40),$B40=""),"",IF($I40=1,IFBLANK(_xldudf_CX_PUSH(AU40*fxVal_normal,CX_ENTITY,$B40,AU$11,AU$14,AU$19,),""),IF($I40=2,IFBLANK(_xldudf_CX_PUSH(AU40,CX_ENTITY,$B40,AU$11,AU$14,AU$19,),""),IF($I40=3,"",IFBLANK(_xldudf_CX_PUSH(AU40,CX_ENTITY,$B40,AU$11,AU$14,AU$19,),"")))))),"")</f>
        <v/>
      </c>
      <c r="DI40" s="1883" t="str" cm="1">
        <f t="array" ca="1" aca="1" ref="DI40">IFERROR(IF(AV40*fxVal_normal=_BS!AV40,"",IF(OR(AV40="",NOT(ISNUMBER(AV40)),ISERROR(AV40),$B40=""),"",IF($I40=1,IFBLANK(_xldudf_CX_PUSH(AV40*fxVal_normal,CX_ENTITY,$B40,AV$11,AV$14,AV$19,),""),IF($I40=2,IFBLANK(_xldudf_CX_PUSH(AV40,CX_ENTITY,$B40,AV$11,AV$14,AV$19,),""),IF($I40=3,"",IFBLANK(_xldudf_CX_PUSH(AV40,CX_ENTITY,$B40,AV$11,AV$14,AV$19,),"")))))),"")</f>
        <v/>
      </c>
      <c r="DJ40" s="1883" t="str" cm="1">
        <f t="array" ca="1" aca="1" ref="DJ40">IFERROR(IF(AW40*fxVal_normal=_BS!AW40,"",IF(OR(AW40="",NOT(ISNUMBER(AW40)),ISERROR(AW40),$B40=""),"",IF($I40=1,IFBLANK(_xldudf_CX_PUSH(AW40*fxVal_normal,CX_ENTITY,$B40,AW$11,AW$14,AW$19,),""),IF($I40=2,IFBLANK(_xldudf_CX_PUSH(AW40,CX_ENTITY,$B40,AW$11,AW$14,AW$19,),""),IF($I40=3,"",IFBLANK(_xldudf_CX_PUSH(AW40,CX_ENTITY,$B40,AW$11,AW$14,AW$19,),"")))))),"")</f>
        <v/>
      </c>
      <c r="DK40" s="1883" t="str" cm="1">
        <f t="array" ca="1" aca="1" ref="DK40">IFERROR(IF(AX40*fxVal_normal=_BS!AX40,"",IF(OR(AX40="",NOT(ISNUMBER(AX40)),ISERROR(AX40),$B40=""),"",IF($I40=1,IFBLANK(_xldudf_CX_PUSH(AX40*fxVal_normal,CX_ENTITY,$B40,AX$11,AX$14,AX$19,),""),IF($I40=2,IFBLANK(_xldudf_CX_PUSH(AX40,CX_ENTITY,$B40,AX$11,AX$14,AX$19,),""),IF($I40=3,"",IFBLANK(_xldudf_CX_PUSH(AX40,CX_ENTITY,$B40,AX$11,AX$14,AX$19,),"")))))),"")</f>
        <v/>
      </c>
      <c r="DL40" s="1883" t="str" cm="1">
        <f t="array" ca="1" aca="1" ref="DL40">IFERROR(IF(AY40*fxVal_normal=_BS!AY40,"",IF(OR(AY40="",NOT(ISNUMBER(AY40)),ISERROR(AY40),$B40=""),"",IF($I40=1,IFBLANK(_xldudf_CX_PUSH(AY40*fxVal_normal,CX_ENTITY,$B40,AY$11,AY$14,AY$19,),""),IF($I40=2,IFBLANK(_xldudf_CX_PUSH(AY40,CX_ENTITY,$B40,AY$11,AY$14,AY$19,),""),IF($I40=3,"",IFBLANK(_xldudf_CX_PUSH(AY40,CX_ENTITY,$B40,AY$11,AY$14,AY$19,),"")))))),"")</f>
        <v/>
      </c>
      <c r="DM40" s="1883" t="str" cm="1">
        <f t="array" ca="1" aca="1" ref="DM40">IFERROR(IF(AZ40*fxVal_normal=_BS!AZ40,"",IF(OR(AZ40="",NOT(ISNUMBER(AZ40)),ISERROR(AZ40),$B40=""),"",IF($I40=1,IFBLANK(_xldudf_CX_PUSH(AZ40*fxVal_normal,CX_ENTITY,$B40,AZ$11,AZ$14,AZ$19,),""),IF($I40=2,IFBLANK(_xldudf_CX_PUSH(AZ40,CX_ENTITY,$B40,AZ$11,AZ$14,AZ$19,),""),IF($I40=3,"",IFBLANK(_xldudf_CX_PUSH(AZ40,CX_ENTITY,$B40,AZ$11,AZ$14,AZ$19,),"")))))),"")</f>
        <v/>
      </c>
      <c r="DN40" s="1883" t="str" cm="1">
        <f t="array" ca="1" aca="1" ref="DN40">IFERROR(IF(BA40*fxVal_normal=_BS!BA40,"",IF(OR(BA40="",NOT(ISNUMBER(BA40)),ISERROR(BA40),$B40=""),"",IF($I40=1,IFBLANK(_xldudf_CX_PUSH(BA40*fxVal_normal,CX_ENTITY,$B40,BA$11,BA$14,BA$19,),""),IF($I40=2,IFBLANK(_xldudf_CX_PUSH(BA40,CX_ENTITY,$B40,BA$11,BA$14,BA$19,),""),IF($I40=3,"",IFBLANK(_xldudf_CX_PUSH(BA40,CX_ENTITY,$B40,BA$11,BA$14,BA$19,),"")))))),"")</f>
        <v/>
      </c>
      <c r="DO40" s="1883" t="str" cm="1">
        <f t="array" ca="1" aca="1" ref="DO40">IFERROR(IF(BB40*fxVal_normal=_BS!BB40,"",IF(OR(BB40="",NOT(ISNUMBER(BB40)),ISERROR(BB40),$B40=""),"",IF($I40=1,IFBLANK(_xldudf_CX_PUSH(BB40*fxVal_normal,CX_ENTITY,$B40,BB$11,BB$14,BB$19,),""),IF($I40=2,IFBLANK(_xldudf_CX_PUSH(BB40,CX_ENTITY,$B40,BB$11,BB$14,BB$19,),""),IF($I40=3,"",IFBLANK(_xldudf_CX_PUSH(BB40,CX_ENTITY,$B40,BB$11,BB$14,BB$19,),"")))))),"")</f>
        <v/>
      </c>
      <c r="DP40" s="1883" t="str" cm="1">
        <f t="array" ca="1" aca="1" ref="DP40">IFERROR(IF(BC40*fxVal_normal=_BS!BC40,"",IF(OR(BC40="",NOT(ISNUMBER(BC40)),ISERROR(BC40),$B40=""),"",IF($I40=1,IFBLANK(_xldudf_CX_PUSH(BC40*fxVal_normal,CX_ENTITY,$B40,BC$11,BC$14,BC$19,),""),IF($I40=2,IFBLANK(_xldudf_CX_PUSH(BC40,CX_ENTITY,$B40,BC$11,BC$14,BC$19,),""),IF($I40=3,"",IFBLANK(_xldudf_CX_PUSH(BC40,CX_ENTITY,$B40,BC$11,BC$14,BC$19,),"")))))),"")</f>
        <v/>
      </c>
      <c r="DQ40" s="1883" t="str" cm="1">
        <f t="array" ca="1" aca="1" ref="DQ40">IFERROR(IF(BD40*fxVal_normal=_BS!BD40,"",IF(OR(BD40="",NOT(ISNUMBER(BD40)),ISERROR(BD40),$B40=""),"",IF($I40=1,IFBLANK(_xldudf_CX_PUSH(BD40*fxVal_normal,CX_ENTITY,$B40,BD$11,BD$14,BD$19,),""),IF($I40=2,IFBLANK(_xldudf_CX_PUSH(BD40,CX_ENTITY,$B40,BD$11,BD$14,BD$19,),""),IF($I40=3,"",IFBLANK(_xldudf_CX_PUSH(BD40,CX_ENTITY,$B40,BD$11,BD$14,BD$19,),"")))))),"")</f>
        <v/>
      </c>
      <c r="DR40" s="1883" t="str" cm="1">
        <f t="array" ca="1" aca="1" ref="DR40">IFERROR(IF(BE40*fxVal_normal=_BS!BE40,"",IF(OR(BE40="",NOT(ISNUMBER(BE40)),ISERROR(BE40),$B40=""),"",IF($I40=1,IFBLANK(_xldudf_CX_PUSH(BE40*fxVal_normal,CX_ENTITY,$B40,BE$11,BE$14,BE$19,),""),IF($I40=2,IFBLANK(_xldudf_CX_PUSH(BE40,CX_ENTITY,$B40,BE$11,BE$14,BE$19,),""),IF($I40=3,"",IFBLANK(_xldudf_CX_PUSH(BE40,CX_ENTITY,$B40,BE$11,BE$14,BE$19,),"")))))),"")</f>
        <v/>
      </c>
      <c r="DS40" s="1883" t="str" cm="1">
        <f t="array" ca="1" aca="1" ref="DS40">IFERROR(IF(BF40*fxVal_normal=_BS!BF40,"",IF(OR(BF40="",NOT(ISNUMBER(BF40)),ISERROR(BF40),$B40=""),"",IF($I40=1,IFBLANK(_xldudf_CX_PUSH(BF40*fxVal_normal,CX_ENTITY,$B40,BF$11,BF$14,BF$19,),""),IF($I40=2,IFBLANK(_xldudf_CX_PUSH(BF40,CX_ENTITY,$B40,BF$11,BF$14,BF$19,),""),IF($I40=3,"",IFBLANK(_xldudf_CX_PUSH(BF40,CX_ENTITY,$B40,BF$11,BF$14,BF$19,),"")))))),"")</f>
        <v/>
      </c>
      <c r="DT40" s="1883" t="str" cm="1">
        <f t="array" ca="1" aca="1" ref="DT40">IFERROR(IF(BG40*fxVal_normal=_BS!BG40,"",IF(OR(BG40="",NOT(ISNUMBER(BG40)),ISERROR(BG40),$B40=""),"",IF($I40=1,IFBLANK(_xldudf_CX_PUSH(BG40*fxVal_normal,CX_ENTITY,$B40,BG$11,BG$14,BG$19,),""),IF($I40=2,IFBLANK(_xldudf_CX_PUSH(BG40,CX_ENTITY,$B40,BG$11,BG$14,BG$19,),""),IF($I40=3,"",IFBLANK(_xldudf_CX_PUSH(BG40,CX_ENTITY,$B40,BG$11,BG$14,BG$19,),"")))))),"")</f>
        <v/>
      </c>
      <c r="DU40" s="1883" t="str" cm="1">
        <f t="array" ca="1" aca="1" ref="DU40">IFERROR(IF(BH40*fxVal_normal=_BS!BH40,"",IF(OR(BH40="",NOT(ISNUMBER(BH40)),ISERROR(BH40),$B40=""),"",IF($I40=1,IFBLANK(_xldudf_CX_PUSH(BH40*fxVal_normal,CX_ENTITY,$B40,BH$11,BH$14,BH$19,),""),IF($I40=2,IFBLANK(_xldudf_CX_PUSH(BH40,CX_ENTITY,$B40,BH$11,BH$14,BH$19,),""),IF($I40=3,"",IFBLANK(_xldudf_CX_PUSH(BH40,CX_ENTITY,$B40,BH$11,BH$14,BH$19,),"")))))),"")</f>
        <v/>
      </c>
      <c r="DV40" s="1883" t="str" cm="1">
        <f t="array" ca="1" aca="1" ref="DV40">IFERROR(IF(BI40*fxVal_normal=_BS!BI40,"",IF(OR(BI40="",NOT(ISNUMBER(BI40)),ISERROR(BI40),$B40=""),"",IF($I40=1,IFBLANK(_xldudf_CX_PUSH(BI40*fxVal_normal,CX_ENTITY,$B40,BI$11,BI$14,BI$19,),""),IF($I40=2,IFBLANK(_xldudf_CX_PUSH(BI40,CX_ENTITY,$B40,BI$11,BI$14,BI$19,),""),IF($I40=3,"",IFBLANK(_xldudf_CX_PUSH(BI40,CX_ENTITY,$B40,BI$11,BI$14,BI$19,),"")))))),"")</f>
        <v/>
      </c>
      <c r="DW40" s="1883" t="str" cm="1">
        <f t="array" ca="1" aca="1" ref="DW40">IFERROR(IF(BJ40*fxVal_normal=_BS!BJ40,"",IF(OR(BJ40="",NOT(ISNUMBER(BJ40)),ISERROR(BJ40),$B40=""),"",IF($I40=1,IFBLANK(_xldudf_CX_PUSH(BJ40*fxVal_normal,CX_ENTITY,$B40,BJ$11,BJ$14,BJ$19,),""),IF($I40=2,IFBLANK(_xldudf_CX_PUSH(BJ40,CX_ENTITY,$B40,BJ$11,BJ$14,BJ$19,),""),IF($I40=3,"",IFBLANK(_xldudf_CX_PUSH(BJ40,CX_ENTITY,$B40,BJ$11,BJ$14,BJ$19,),"")))))),"")</f>
        <v/>
      </c>
      <c r="DX40" s="1883" t="str" cm="1">
        <f t="array" ca="1" aca="1" ref="DX40">IFERROR(IF(BK40*fxVal_normal=_BS!BK40,"",IF(OR(BK40="",NOT(ISNUMBER(BK40)),ISERROR(BK40),$B40=""),"",IF($I40=1,IFBLANK(_xldudf_CX_PUSH(BK40*fxVal_normal,CX_ENTITY,$B40,BK$11,BK$14,BK$19,),""),IF($I40=2,IFBLANK(_xldudf_CX_PUSH(BK40,CX_ENTITY,$B40,BK$11,BK$14,BK$19,),""),IF($I40=3,"",IFBLANK(_xldudf_CX_PUSH(BK40,CX_ENTITY,$B40,BK$11,BK$14,BK$19,),"")))))),"")</f>
        <v/>
      </c>
      <c r="DY40" s="1883" t="str" cm="1">
        <f t="array" ca="1" aca="1" ref="DY40">IFERROR(IF(BL40*fxVal_normal=_BS!BL40,"",IF(OR(BL40="",NOT(ISNUMBER(BL40)),ISERROR(BL40),$B40=""),"",IF($I40=1,IFBLANK(_xldudf_CX_PUSH(BL40*fxVal_normal,CX_ENTITY,$B40,BL$11,BL$14,BL$19,),""),IF($I40=2,IFBLANK(_xldudf_CX_PUSH(BL40,CX_ENTITY,$B40,BL$11,BL$14,BL$19,),""),IF($I40=3,"",IFBLANK(_xldudf_CX_PUSH(BL40,CX_ENTITY,$B40,BL$11,BL$14,BL$19,),"")))))),"")</f>
        <v/>
      </c>
      <c r="DZ40" s="1883" t="str" cm="1">
        <f t="array" ca="1" aca="1" ref="DZ40">IFERROR(IF(BM40*fxVal_normal=_BS!BM40,"",IF(OR(BM40="",NOT(ISNUMBER(BM40)),ISERROR(BM40),$B40=""),"",IF($I40=1,IFBLANK(_xldudf_CX_PUSH(BM40*fxVal_normal,CX_ENTITY,$B40,BM$11,BM$14,BM$19,),""),IF($I40=2,IFBLANK(_xldudf_CX_PUSH(BM40,CX_ENTITY,$B40,BM$11,BM$14,BM$19,),""),IF($I40=3,"",IFBLANK(_xldudf_CX_PUSH(BM40,CX_ENTITY,$B40,BM$11,BM$14,BM$19,),"")))))),"")</f>
        <v/>
      </c>
      <c r="EA40" s="1883" t="str" cm="1">
        <f t="array" ca="1" aca="1" ref="EA40">IFERROR(IF(BN40*fxVal_normal=_BS!BN40,"",IF(OR(BN40="",NOT(ISNUMBER(BN40)),ISERROR(BN40),$B40=""),"",IF($I40=1,IFBLANK(_xldudf_CX_PUSH(BN40*fxVal_normal,CX_ENTITY,$B40,BN$11,BN$14,BN$19,),""),IF($I40=2,IFBLANK(_xldudf_CX_PUSH(BN40,CX_ENTITY,$B40,BN$11,BN$14,BN$19,),""),IF($I40=3,"",IFBLANK(_xldudf_CX_PUSH(BN40,CX_ENTITY,$B40,BN$11,BN$14,BN$19,),"")))))),"")</f>
        <v/>
      </c>
    </row>
    <row r="41" spans="1:131" ht="21" customHeight="1">
      <c r="A41" s="1626"/>
      <c r="B41" s="811" t="str" cm="1">
        <f t="array" ref="B41">IFBLANK(_BS!F41,"")</f>
        <v>Pension Liabilities (on BS)</v>
      </c>
      <c r="C41" s="3346" t="str" cm="1">
        <f t="array" ref="C41">IFBLANK(_BS!C41,"")</f>
        <v>Pension Liabilities (on BS) (Company View)</v>
      </c>
      <c r="D41" s="1549"/>
      <c r="E41" s="1902" t="e" cm="1">
        <f t="array" ca="1" aca="1" ref="E4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41:$CH41,Z41)</f>
        <v>#NAME?</v>
      </c>
      <c r="F41" s="1897"/>
      <c r="G41" s="1897"/>
      <c r="H41" s="3280">
        <v>1</v>
      </c>
      <c r="I41" s="3280">
        <v>1</v>
      </c>
      <c r="J41" s="401"/>
      <c r="N41" s="158"/>
      <c r="O41" s="101"/>
      <c r="P41" s="52"/>
      <c r="Q41" s="101"/>
      <c r="R41" s="101"/>
      <c r="S41" s="101"/>
      <c r="T41" s="101"/>
      <c r="U41" s="39"/>
      <c r="W41" s="91" t="str">
        <f t="shared" si="1"/>
        <v>Actual</v>
      </c>
      <c r="X41" s="857">
        <f>_BS!X41</f>
        <v>-1</v>
      </c>
      <c r="Y41" s="3183">
        <v>2</v>
      </c>
      <c r="Z41" s="3291" cm="1">
        <f t="array" ref="Z41">_xlfn.SWITCH(TRUE,_BS!$L41=TRUE,1,_BS!$L41=FALSE,-1,_BS!$L41=-1,0,"n/a")</f>
        <v>1</v>
      </c>
      <c r="AA41" s="200"/>
      <c r="AB41" s="3343" t="str">
        <f>_BS!AB41</f>
        <v>Pension Liabilities (on BS)</v>
      </c>
      <c r="AC41" s="88" t="e" vm="5" cm="1">
        <f t="array" ca="1" aca="1" ref="AC41">_xlfn.LET(_xlpm._termname,$AB41,_xlpm._iconname,"find",_xlpm._icon,fx_getIcon(_xlpm._iconname),_xlpm._location,_xlfn.XLOOKUP(LOWER(_xlpm._termname),LOWER(tbl_acctDef[Term]),tbl_acctDef[Term]),_xlpm._hyperlink,HYPERLINK("#"&amp;CELL("address",_xlpm._location),_xlpm._icon),IFERROR(_xlpm._hyperlink,""))</f>
        <v>#VALUE!</v>
      </c>
      <c r="AD41" s="3229">
        <v>1</v>
      </c>
      <c r="AE41" s="3229">
        <v>1</v>
      </c>
      <c r="AF41" s="3229">
        <v>1</v>
      </c>
      <c r="AG41" s="3229">
        <v>1</v>
      </c>
      <c r="AH41" s="3229">
        <v>1</v>
      </c>
      <c r="AI41" s="3229">
        <v>1</v>
      </c>
      <c r="AJ41" s="3229">
        <v>1</v>
      </c>
      <c r="AK41" s="3229">
        <v>1</v>
      </c>
      <c r="AL41" s="3229">
        <v>1</v>
      </c>
      <c r="AM41" s="3229">
        <v>1</v>
      </c>
      <c r="AN41" s="3229">
        <v>1</v>
      </c>
      <c r="AO41" s="3229">
        <v>1</v>
      </c>
      <c r="AP41" s="3229">
        <v>1</v>
      </c>
      <c r="AQ41" s="3229">
        <v>1</v>
      </c>
      <c r="AR41" s="3229">
        <v>1</v>
      </c>
      <c r="AS41" s="3229">
        <v>1</v>
      </c>
      <c r="AT41" s="3229">
        <v>1</v>
      </c>
      <c r="AU41" s="3229">
        <v>1</v>
      </c>
      <c r="AV41" s="3229">
        <v>1</v>
      </c>
      <c r="AW41" s="3229">
        <v>1</v>
      </c>
      <c r="AX41" s="3229">
        <v>1</v>
      </c>
      <c r="AY41" s="3229">
        <v>1</v>
      </c>
      <c r="AZ41" s="3229">
        <v>1</v>
      </c>
      <c r="BA41" s="3229">
        <v>1</v>
      </c>
      <c r="BB41" s="3229">
        <v>1</v>
      </c>
      <c r="BC41" s="3229">
        <v>1</v>
      </c>
      <c r="BD41" s="3229">
        <v>1</v>
      </c>
      <c r="BE41" s="3229">
        <v>1</v>
      </c>
      <c r="BF41" s="3229">
        <v>1</v>
      </c>
      <c r="BG41" s="3229">
        <v>1</v>
      </c>
      <c r="BH41" s="3229">
        <v>1</v>
      </c>
      <c r="BI41" s="3229">
        <v>1</v>
      </c>
      <c r="BJ41" s="3229">
        <v>1</v>
      </c>
      <c r="BK41" s="3229">
        <v>1</v>
      </c>
      <c r="BL41" s="3229">
        <v>1</v>
      </c>
      <c r="BM41" s="3229">
        <v>1</v>
      </c>
      <c r="BN41" s="3229">
        <v>1</v>
      </c>
      <c r="BO41" s="2095"/>
      <c r="BP41" s="2095"/>
      <c r="BQ41" s="2095"/>
      <c r="BR41" s="2095"/>
      <c r="BS41" s="2095"/>
      <c r="BT41" s="2095"/>
      <c r="BU41" s="2095"/>
      <c r="BV41" s="2095"/>
      <c r="BW41" s="2095"/>
      <c r="BX41" s="2095"/>
      <c r="BY41" s="2095"/>
      <c r="BZ41" s="2095"/>
      <c r="CA41" s="926"/>
      <c r="CB41" s="921"/>
      <c r="CC41" s="927"/>
      <c r="CD41" s="2069" t="e" cm="1">
        <f t="array" ca="1" aca="1" ref="CD41">_xlfn.XLOOKUP(BS!CD$11,array_timeline,BS!$AD41:$BN41)</f>
        <v>#NAME?</v>
      </c>
      <c r="CE41" s="2069" t="e" cm="1">
        <f t="array" ca="1" aca="1" ref="CE41">_xlfn.XLOOKUP(BS!CE$11,array_timeline,BS!$AD41:$BN41)</f>
        <v>#NAME?</v>
      </c>
      <c r="CF41" s="925"/>
      <c r="CG41" s="3342" t="e" cm="1">
        <f t="array" ca="1" aca="1" ref="CG41">TODECIMAL(IFBLANK(_BS!CG41,""),fxVal_normal)</f>
        <v>#NAME?</v>
      </c>
      <c r="CH41" s="3342" t="e" cm="1">
        <f t="array" ca="1" aca="1" ref="CH41">TODECIMAL(IFBLANK(_BS!CH41,""),fxVal_normal)</f>
        <v>#NAME?</v>
      </c>
      <c r="CI41" s="200"/>
      <c r="CK41" s="2085" t="str" cm="1">
        <f t="array" ca="1" aca="1" ref="CK41">IFERROR(IF(Y41&lt;&gt;AB41,_xldudf_CX_PUSH(Y41,CX_ENTITY,C41,EOMONTH(val_asOfDate,0)),""),"")</f>
        <v/>
      </c>
      <c r="CL41" s="2085" t="str" cm="1">
        <f t="array" ca="1" aca="1" ref="CL41">IFERROR(IF(Y41&lt;&gt;AB41,_xldudf_CX_PUSH(Y41,CX_ENTITY,C41,EOMONTH(val_asOfDate,1)),""),"")</f>
        <v/>
      </c>
      <c r="CM41" s="2085" t="str" cm="1">
        <f t="array" ca="1" aca="1" ref="CM41">IFERROR(IF(Y41&lt;&gt;AB41,_xldudf_CX_PUSH(Y41,CX_ENTITY,C41,EOMONTH(val_asOfDate,2)),""),"")</f>
        <v/>
      </c>
      <c r="CN41" s="2085" t="str" cm="1">
        <f t="array" ca="1" aca="1" ref="CN41">IFERROR(IF(Y41&lt;&gt;AB41,_xldudf_CX_PUSH(Y41,CX_ENTITY,C41,EOMONTH(val_asOfDate,3)),""),"")</f>
        <v/>
      </c>
      <c r="CO41" s="2086" t="str" cm="1">
        <f t="array" ca="1" aca="1" ref="CO41">IFERROR(IF(CG41*fxVal_normal=_BS!CG41,"",IF(OR($CG41="",$CG41=0,NOT(ISNUMBER($CG41)),ISERROR($CG41),$B41=""),"",IF($I41=1,IFBLANK(_xldudf_CX_PUSH($CG41*10^6,CX_ENTITY,$B41,$CG$11,$CG$14,$CG$19,),""),IF($I41=2,IFBLANK(_xldudf_CX_PUSH($CG41,CX_ENTITY,$B41,$CG$11,$CG$14,$CG$19,),""),IF($I41=3,"",IFBLANK(_xldudf_CX_PUSH($CG41,CX_ENTITY,$B41,$CG$11,$CG$14,$CG$19,),"")))))),"")</f>
        <v/>
      </c>
      <c r="CP41" s="2086" t="str" cm="1">
        <f t="array" ca="1" aca="1" ref="CP41">IFERROR(IF(CH41*fxVal_normal=_BS!CH41,"",IF(OR($CH41="",$CH41=0,NOT(ISNUMBER($CH41)),ISERROR($CH41),$B41=""),"",IF($I41=1,IFBLANK(_xldudf_CX_PUSH($CH41*10^6,CX_ENTITY,$B41,$CH$11,$CH$14,$CH$19,),""),IF($I41=2,IFBLANK(_xldudf_CX_PUSH($CH41,CX_ENTITY,$B41,$CH$11,$CH$14,$CH$19,),""),IF($I41=3,"",IFBLANK(_xldudf_CX_PUSH($CH41,CX_ENTITY,$B41,$CH$11,$CH$14,$CH$19,),"")))))),"")</f>
        <v/>
      </c>
      <c r="CQ41" s="1883" t="str" cm="1">
        <f t="array" ca="1" aca="1" ref="CQ41">IFERROR(IF(AD41*fxVal_normal=_BS!AD41,"",IF(OR(AD41="",NOT(ISNUMBER(AD41)),ISERROR(AD41),$B41=""),"",IF($I41=1,IFBLANK(_xldudf_CX_PUSH(AD41*fxVal_normal,CX_ENTITY,$B41,AD$11,AD$14,AD$19,),""),IF($I41=2,IFBLANK(_xldudf_CX_PUSH(AD41,CX_ENTITY,$B41,AD$11,AD$14,AD$19,),""),IF($I41=3,"",IFBLANK(_xldudf_CX_PUSH(AD41,CX_ENTITY,$B41,AD$11,AD$14,AD$19,),"")))))),"")</f>
        <v/>
      </c>
      <c r="CR41" s="1883" t="str" cm="1">
        <f t="array" ca="1" aca="1" ref="CR41">IFERROR(IF(AE41*fxVal_normal=_BS!AE41,"",IF(OR(AE41="",NOT(ISNUMBER(AE41)),ISERROR(AE41),$B41=""),"",IF($I41=1,IFBLANK(_xldudf_CX_PUSH(AE41*fxVal_normal,CX_ENTITY,$B41,AE$11,AE$14,AE$19,),""),IF($I41=2,IFBLANK(_xldudf_CX_PUSH(AE41,CX_ENTITY,$B41,AE$11,AE$14,AE$19,),""),IF($I41=3,"",IFBLANK(_xldudf_CX_PUSH(AE41,CX_ENTITY,$B41,AE$11,AE$14,AE$19,),"")))))),"")</f>
        <v/>
      </c>
      <c r="CS41" s="1883" t="str" cm="1">
        <f t="array" ca="1" aca="1" ref="CS41">IFERROR(IF(AF41*fxVal_normal=_BS!AF41,"",IF(OR(AF41="",NOT(ISNUMBER(AF41)),ISERROR(AF41),$B41=""),"",IF($I41=1,IFBLANK(_xldudf_CX_PUSH(AF41*fxVal_normal,CX_ENTITY,$B41,AF$11,AF$14,AF$19,),""),IF($I41=2,IFBLANK(_xldudf_CX_PUSH(AF41,CX_ENTITY,$B41,AF$11,AF$14,AF$19,),""),IF($I41=3,"",IFBLANK(_xldudf_CX_PUSH(AF41,CX_ENTITY,$B41,AF$11,AF$14,AF$19,),"")))))),"")</f>
        <v/>
      </c>
      <c r="CT41" s="1883" t="str" cm="1">
        <f t="array" ca="1" aca="1" ref="CT41">IFERROR(IF(AG41*fxVal_normal=_BS!AG41,"",IF(OR(AG41="",NOT(ISNUMBER(AG41)),ISERROR(AG41),$B41=""),"",IF($I41=1,IFBLANK(_xldudf_CX_PUSH(AG41*fxVal_normal,CX_ENTITY,$B41,AG$11,AG$14,AG$19,),""),IF($I41=2,IFBLANK(_xldudf_CX_PUSH(AG41,CX_ENTITY,$B41,AG$11,AG$14,AG$19,),""),IF($I41=3,"",IFBLANK(_xldudf_CX_PUSH(AG41,CX_ENTITY,$B41,AG$11,AG$14,AG$19,),"")))))),"")</f>
        <v/>
      </c>
      <c r="CU41" s="1883" t="str" cm="1">
        <f t="array" ca="1" aca="1" ref="CU41">IFERROR(IF(AH41*fxVal_normal=_BS!AH41,"",IF(OR(AH41="",NOT(ISNUMBER(AH41)),ISERROR(AH41),$B41=""),"",IF($I41=1,IFBLANK(_xldudf_CX_PUSH(AH41*fxVal_normal,CX_ENTITY,$B41,AH$11,AH$14,AH$19,),""),IF($I41=2,IFBLANK(_xldudf_CX_PUSH(AH41,CX_ENTITY,$B41,AH$11,AH$14,AH$19,),""),IF($I41=3,"",IFBLANK(_xldudf_CX_PUSH(AH41,CX_ENTITY,$B41,AH$11,AH$14,AH$19,),"")))))),"")</f>
        <v/>
      </c>
      <c r="CV41" s="1883" t="str" cm="1">
        <f t="array" ca="1" aca="1" ref="CV41">IFERROR(IF(AI41*fxVal_normal=_BS!AI41,"",IF(OR(AI41="",NOT(ISNUMBER(AI41)),ISERROR(AI41),$B41=""),"",IF($I41=1,IFBLANK(_xldudf_CX_PUSH(AI41*fxVal_normal,CX_ENTITY,$B41,AI$11,AI$14,AI$19,),""),IF($I41=2,IFBLANK(_xldudf_CX_PUSH(AI41,CX_ENTITY,$B41,AI$11,AI$14,AI$19,),""),IF($I41=3,"",IFBLANK(_xldudf_CX_PUSH(AI41,CX_ENTITY,$B41,AI$11,AI$14,AI$19,),"")))))),"")</f>
        <v/>
      </c>
      <c r="CW41" s="1883" t="str" cm="1">
        <f t="array" ca="1" aca="1" ref="CW41">IFERROR(IF(AJ41*fxVal_normal=_BS!AJ41,"",IF(OR(AJ41="",NOT(ISNUMBER(AJ41)),ISERROR(AJ41),$B41=""),"",IF($I41=1,IFBLANK(_xldudf_CX_PUSH(AJ41*fxVal_normal,CX_ENTITY,$B41,AJ$11,AJ$14,AJ$19,),""),IF($I41=2,IFBLANK(_xldudf_CX_PUSH(AJ41,CX_ENTITY,$B41,AJ$11,AJ$14,AJ$19,),""),IF($I41=3,"",IFBLANK(_xldudf_CX_PUSH(AJ41,CX_ENTITY,$B41,AJ$11,AJ$14,AJ$19,),"")))))),"")</f>
        <v/>
      </c>
      <c r="CX41" s="1883" t="str" cm="1">
        <f t="array" ca="1" aca="1" ref="CX41">IFERROR(IF(AK41*fxVal_normal=_BS!AK41,"",IF(OR(AK41="",NOT(ISNUMBER(AK41)),ISERROR(AK41),$B41=""),"",IF($I41=1,IFBLANK(_xldudf_CX_PUSH(AK41*fxVal_normal,CX_ENTITY,$B41,AK$11,AK$14,AK$19,),""),IF($I41=2,IFBLANK(_xldudf_CX_PUSH(AK41,CX_ENTITY,$B41,AK$11,AK$14,AK$19,),""),IF($I41=3,"",IFBLANK(_xldudf_CX_PUSH(AK41,CX_ENTITY,$B41,AK$11,AK$14,AK$19,),"")))))),"")</f>
        <v/>
      </c>
      <c r="CY41" s="1883" t="str" cm="1">
        <f t="array" ca="1" aca="1" ref="CY41">IFERROR(IF(AL41*fxVal_normal=_BS!AL41,"",IF(OR(AL41="",NOT(ISNUMBER(AL41)),ISERROR(AL41),$B41=""),"",IF($I41=1,IFBLANK(_xldudf_CX_PUSH(AL41*fxVal_normal,CX_ENTITY,$B41,AL$11,AL$14,AL$19,),""),IF($I41=2,IFBLANK(_xldudf_CX_PUSH(AL41,CX_ENTITY,$B41,AL$11,AL$14,AL$19,),""),IF($I41=3,"",IFBLANK(_xldudf_CX_PUSH(AL41,CX_ENTITY,$B41,AL$11,AL$14,AL$19,),"")))))),"")</f>
        <v/>
      </c>
      <c r="CZ41" s="1883" t="str" cm="1">
        <f t="array" ca="1" aca="1" ref="CZ41">IFERROR(IF(AM41*fxVal_normal=_BS!AM41,"",IF(OR(AM41="",NOT(ISNUMBER(AM41)),ISERROR(AM41),$B41=""),"",IF($I41=1,IFBLANK(_xldudf_CX_PUSH(AM41*fxVal_normal,CX_ENTITY,$B41,AM$11,AM$14,AM$19,),""),IF($I41=2,IFBLANK(_xldudf_CX_PUSH(AM41,CX_ENTITY,$B41,AM$11,AM$14,AM$19,),""),IF($I41=3,"",IFBLANK(_xldudf_CX_PUSH(AM41,CX_ENTITY,$B41,AM$11,AM$14,AM$19,),"")))))),"")</f>
        <v/>
      </c>
      <c r="DA41" s="1883" t="str" cm="1">
        <f t="array" ca="1" aca="1" ref="DA41">IFERROR(IF(AN41*fxVal_normal=_BS!AN41,"",IF(OR(AN41="",NOT(ISNUMBER(AN41)),ISERROR(AN41),$B41=""),"",IF($I41=1,IFBLANK(_xldudf_CX_PUSH(AN41*fxVal_normal,CX_ENTITY,$B41,AN$11,AN$14,AN$19,),""),IF($I41=2,IFBLANK(_xldudf_CX_PUSH(AN41,CX_ENTITY,$B41,AN$11,AN$14,AN$19,),""),IF($I41=3,"",IFBLANK(_xldudf_CX_PUSH(AN41,CX_ENTITY,$B41,AN$11,AN$14,AN$19,),"")))))),"")</f>
        <v/>
      </c>
      <c r="DB41" s="1883" t="str" cm="1">
        <f t="array" ca="1" aca="1" ref="DB41">IFERROR(IF(AO41*fxVal_normal=_BS!AO41,"",IF(OR(AO41="",NOT(ISNUMBER(AO41)),ISERROR(AO41),$B41=""),"",IF($I41=1,IFBLANK(_xldudf_CX_PUSH(AO41*fxVal_normal,CX_ENTITY,$B41,AO$11,AO$14,AO$19,),""),IF($I41=2,IFBLANK(_xldudf_CX_PUSH(AO41,CX_ENTITY,$B41,AO$11,AO$14,AO$19,),""),IF($I41=3,"",IFBLANK(_xldudf_CX_PUSH(AO41,CX_ENTITY,$B41,AO$11,AO$14,AO$19,),"")))))),"")</f>
        <v/>
      </c>
      <c r="DC41" s="1883" t="str" cm="1">
        <f t="array" ca="1" aca="1" ref="DC41">IFERROR(IF(AP41*fxVal_normal=_BS!AP41,"",IF(OR(AP41="",NOT(ISNUMBER(AP41)),ISERROR(AP41),$B41=""),"",IF($I41=1,IFBLANK(_xldudf_CX_PUSH(AP41*fxVal_normal,CX_ENTITY,$B41,AP$11,AP$14,AP$19,),""),IF($I41=2,IFBLANK(_xldudf_CX_PUSH(AP41,CX_ENTITY,$B41,AP$11,AP$14,AP$19,),""),IF($I41=3,"",IFBLANK(_xldudf_CX_PUSH(AP41,CX_ENTITY,$B41,AP$11,AP$14,AP$19,),"")))))),"")</f>
        <v/>
      </c>
      <c r="DD41" s="1883" t="str" cm="1">
        <f t="array" ca="1" aca="1" ref="DD41">IFERROR(IF(AQ41*fxVal_normal=_BS!AQ41,"",IF(OR(AQ41="",NOT(ISNUMBER(AQ41)),ISERROR(AQ41),$B41=""),"",IF($I41=1,IFBLANK(_xldudf_CX_PUSH(AQ41*fxVal_normal,CX_ENTITY,$B41,AQ$11,AQ$14,AQ$19,),""),IF($I41=2,IFBLANK(_xldudf_CX_PUSH(AQ41,CX_ENTITY,$B41,AQ$11,AQ$14,AQ$19,),""),IF($I41=3,"",IFBLANK(_xldudf_CX_PUSH(AQ41,CX_ENTITY,$B41,AQ$11,AQ$14,AQ$19,),"")))))),"")</f>
        <v/>
      </c>
      <c r="DE41" s="1883" t="str" cm="1">
        <f t="array" ca="1" aca="1" ref="DE41">IFERROR(IF(AR41*fxVal_normal=_BS!AR41,"",IF(OR(AR41="",NOT(ISNUMBER(AR41)),ISERROR(AR41),$B41=""),"",IF($I41=1,IFBLANK(_xldudf_CX_PUSH(AR41*fxVal_normal,CX_ENTITY,$B41,AR$11,AR$14,AR$19,),""),IF($I41=2,IFBLANK(_xldudf_CX_PUSH(AR41,CX_ENTITY,$B41,AR$11,AR$14,AR$19,),""),IF($I41=3,"",IFBLANK(_xldudf_CX_PUSH(AR41,CX_ENTITY,$B41,AR$11,AR$14,AR$19,),"")))))),"")</f>
        <v/>
      </c>
      <c r="DF41" s="1883" t="str" cm="1">
        <f t="array" ca="1" aca="1" ref="DF41">IFERROR(IF(AS41*fxVal_normal=_BS!AS41,"",IF(OR(AS41="",NOT(ISNUMBER(AS41)),ISERROR(AS41),$B41=""),"",IF($I41=1,IFBLANK(_xldudf_CX_PUSH(AS41*fxVal_normal,CX_ENTITY,$B41,AS$11,AS$14,AS$19,),""),IF($I41=2,IFBLANK(_xldudf_CX_PUSH(AS41,CX_ENTITY,$B41,AS$11,AS$14,AS$19,),""),IF($I41=3,"",IFBLANK(_xldudf_CX_PUSH(AS41,CX_ENTITY,$B41,AS$11,AS$14,AS$19,),"")))))),"")</f>
        <v/>
      </c>
      <c r="DG41" s="1883" t="str" cm="1">
        <f t="array" ca="1" aca="1" ref="DG41">IFERROR(IF(AT41*fxVal_normal=_BS!AT41,"",IF(OR(AT41="",NOT(ISNUMBER(AT41)),ISERROR(AT41),$B41=""),"",IF($I41=1,IFBLANK(_xldudf_CX_PUSH(AT41*fxVal_normal,CX_ENTITY,$B41,AT$11,AT$14,AT$19,),""),IF($I41=2,IFBLANK(_xldudf_CX_PUSH(AT41,CX_ENTITY,$B41,AT$11,AT$14,AT$19,),""),IF($I41=3,"",IFBLANK(_xldudf_CX_PUSH(AT41,CX_ENTITY,$B41,AT$11,AT$14,AT$19,),"")))))),"")</f>
        <v/>
      </c>
      <c r="DH41" s="1883" t="str" cm="1">
        <f t="array" ca="1" aca="1" ref="DH41">IFERROR(IF(AU41*fxVal_normal=_BS!AU41,"",IF(OR(AU41="",NOT(ISNUMBER(AU41)),ISERROR(AU41),$B41=""),"",IF($I41=1,IFBLANK(_xldudf_CX_PUSH(AU41*fxVal_normal,CX_ENTITY,$B41,AU$11,AU$14,AU$19,),""),IF($I41=2,IFBLANK(_xldudf_CX_PUSH(AU41,CX_ENTITY,$B41,AU$11,AU$14,AU$19,),""),IF($I41=3,"",IFBLANK(_xldudf_CX_PUSH(AU41,CX_ENTITY,$B41,AU$11,AU$14,AU$19,),"")))))),"")</f>
        <v/>
      </c>
      <c r="DI41" s="1883" t="str" cm="1">
        <f t="array" ca="1" aca="1" ref="DI41">IFERROR(IF(AV41*fxVal_normal=_BS!AV41,"",IF(OR(AV41="",NOT(ISNUMBER(AV41)),ISERROR(AV41),$B41=""),"",IF($I41=1,IFBLANK(_xldudf_CX_PUSH(AV41*fxVal_normal,CX_ENTITY,$B41,AV$11,AV$14,AV$19,),""),IF($I41=2,IFBLANK(_xldudf_CX_PUSH(AV41,CX_ENTITY,$B41,AV$11,AV$14,AV$19,),""),IF($I41=3,"",IFBLANK(_xldudf_CX_PUSH(AV41,CX_ENTITY,$B41,AV$11,AV$14,AV$19,),"")))))),"")</f>
        <v/>
      </c>
      <c r="DJ41" s="1883" t="str" cm="1">
        <f t="array" ca="1" aca="1" ref="DJ41">IFERROR(IF(AW41*fxVal_normal=_BS!AW41,"",IF(OR(AW41="",NOT(ISNUMBER(AW41)),ISERROR(AW41),$B41=""),"",IF($I41=1,IFBLANK(_xldudf_CX_PUSH(AW41*fxVal_normal,CX_ENTITY,$B41,AW$11,AW$14,AW$19,),""),IF($I41=2,IFBLANK(_xldudf_CX_PUSH(AW41,CX_ENTITY,$B41,AW$11,AW$14,AW$19,),""),IF($I41=3,"",IFBLANK(_xldudf_CX_PUSH(AW41,CX_ENTITY,$B41,AW$11,AW$14,AW$19,),"")))))),"")</f>
        <v/>
      </c>
      <c r="DK41" s="1883" t="str" cm="1">
        <f t="array" ca="1" aca="1" ref="DK41">IFERROR(IF(AX41*fxVal_normal=_BS!AX41,"",IF(OR(AX41="",NOT(ISNUMBER(AX41)),ISERROR(AX41),$B41=""),"",IF($I41=1,IFBLANK(_xldudf_CX_PUSH(AX41*fxVal_normal,CX_ENTITY,$B41,AX$11,AX$14,AX$19,),""),IF($I41=2,IFBLANK(_xldudf_CX_PUSH(AX41,CX_ENTITY,$B41,AX$11,AX$14,AX$19,),""),IF($I41=3,"",IFBLANK(_xldudf_CX_PUSH(AX41,CX_ENTITY,$B41,AX$11,AX$14,AX$19,),"")))))),"")</f>
        <v/>
      </c>
      <c r="DL41" s="1883" t="str" cm="1">
        <f t="array" ca="1" aca="1" ref="DL41">IFERROR(IF(AY41*fxVal_normal=_BS!AY41,"",IF(OR(AY41="",NOT(ISNUMBER(AY41)),ISERROR(AY41),$B41=""),"",IF($I41=1,IFBLANK(_xldudf_CX_PUSH(AY41*fxVal_normal,CX_ENTITY,$B41,AY$11,AY$14,AY$19,),""),IF($I41=2,IFBLANK(_xldudf_CX_PUSH(AY41,CX_ENTITY,$B41,AY$11,AY$14,AY$19,),""),IF($I41=3,"",IFBLANK(_xldudf_CX_PUSH(AY41,CX_ENTITY,$B41,AY$11,AY$14,AY$19,),"")))))),"")</f>
        <v/>
      </c>
      <c r="DM41" s="1883" t="str" cm="1">
        <f t="array" ca="1" aca="1" ref="DM41">IFERROR(IF(AZ41*fxVal_normal=_BS!AZ41,"",IF(OR(AZ41="",NOT(ISNUMBER(AZ41)),ISERROR(AZ41),$B41=""),"",IF($I41=1,IFBLANK(_xldudf_CX_PUSH(AZ41*fxVal_normal,CX_ENTITY,$B41,AZ$11,AZ$14,AZ$19,),""),IF($I41=2,IFBLANK(_xldudf_CX_PUSH(AZ41,CX_ENTITY,$B41,AZ$11,AZ$14,AZ$19,),""),IF($I41=3,"",IFBLANK(_xldudf_CX_PUSH(AZ41,CX_ENTITY,$B41,AZ$11,AZ$14,AZ$19,),"")))))),"")</f>
        <v/>
      </c>
      <c r="DN41" s="1883" t="str" cm="1">
        <f t="array" ca="1" aca="1" ref="DN41">IFERROR(IF(BA41*fxVal_normal=_BS!BA41,"",IF(OR(BA41="",NOT(ISNUMBER(BA41)),ISERROR(BA41),$B41=""),"",IF($I41=1,IFBLANK(_xldudf_CX_PUSH(BA41*fxVal_normal,CX_ENTITY,$B41,BA$11,BA$14,BA$19,),""),IF($I41=2,IFBLANK(_xldudf_CX_PUSH(BA41,CX_ENTITY,$B41,BA$11,BA$14,BA$19,),""),IF($I41=3,"",IFBLANK(_xldudf_CX_PUSH(BA41,CX_ENTITY,$B41,BA$11,BA$14,BA$19,),"")))))),"")</f>
        <v/>
      </c>
      <c r="DO41" s="1883" t="str" cm="1">
        <f t="array" ca="1" aca="1" ref="DO41">IFERROR(IF(BB41*fxVal_normal=_BS!BB41,"",IF(OR(BB41="",NOT(ISNUMBER(BB41)),ISERROR(BB41),$B41=""),"",IF($I41=1,IFBLANK(_xldudf_CX_PUSH(BB41*fxVal_normal,CX_ENTITY,$B41,BB$11,BB$14,BB$19,),""),IF($I41=2,IFBLANK(_xldudf_CX_PUSH(BB41,CX_ENTITY,$B41,BB$11,BB$14,BB$19,),""),IF($I41=3,"",IFBLANK(_xldudf_CX_PUSH(BB41,CX_ENTITY,$B41,BB$11,BB$14,BB$19,),"")))))),"")</f>
        <v/>
      </c>
      <c r="DP41" s="1883" t="str" cm="1">
        <f t="array" ca="1" aca="1" ref="DP41">IFERROR(IF(BC41*fxVal_normal=_BS!BC41,"",IF(OR(BC41="",NOT(ISNUMBER(BC41)),ISERROR(BC41),$B41=""),"",IF($I41=1,IFBLANK(_xldudf_CX_PUSH(BC41*fxVal_normal,CX_ENTITY,$B41,BC$11,BC$14,BC$19,),""),IF($I41=2,IFBLANK(_xldudf_CX_PUSH(BC41,CX_ENTITY,$B41,BC$11,BC$14,BC$19,),""),IF($I41=3,"",IFBLANK(_xldudf_CX_PUSH(BC41,CX_ENTITY,$B41,BC$11,BC$14,BC$19,),"")))))),"")</f>
        <v/>
      </c>
      <c r="DQ41" s="1883" t="str" cm="1">
        <f t="array" ca="1" aca="1" ref="DQ41">IFERROR(IF(BD41*fxVal_normal=_BS!BD41,"",IF(OR(BD41="",NOT(ISNUMBER(BD41)),ISERROR(BD41),$B41=""),"",IF($I41=1,IFBLANK(_xldudf_CX_PUSH(BD41*fxVal_normal,CX_ENTITY,$B41,BD$11,BD$14,BD$19,),""),IF($I41=2,IFBLANK(_xldudf_CX_PUSH(BD41,CX_ENTITY,$B41,BD$11,BD$14,BD$19,),""),IF($I41=3,"",IFBLANK(_xldudf_CX_PUSH(BD41,CX_ENTITY,$B41,BD$11,BD$14,BD$19,),"")))))),"")</f>
        <v/>
      </c>
      <c r="DR41" s="1883" t="str" cm="1">
        <f t="array" ca="1" aca="1" ref="DR41">IFERROR(IF(BE41*fxVal_normal=_BS!BE41,"",IF(OR(BE41="",NOT(ISNUMBER(BE41)),ISERROR(BE41),$B41=""),"",IF($I41=1,IFBLANK(_xldudf_CX_PUSH(BE41*fxVal_normal,CX_ENTITY,$B41,BE$11,BE$14,BE$19,),""),IF($I41=2,IFBLANK(_xldudf_CX_PUSH(BE41,CX_ENTITY,$B41,BE$11,BE$14,BE$19,),""),IF($I41=3,"",IFBLANK(_xldudf_CX_PUSH(BE41,CX_ENTITY,$B41,BE$11,BE$14,BE$19,),"")))))),"")</f>
        <v/>
      </c>
      <c r="DS41" s="1883" t="str" cm="1">
        <f t="array" ca="1" aca="1" ref="DS41">IFERROR(IF(BF41*fxVal_normal=_BS!BF41,"",IF(OR(BF41="",NOT(ISNUMBER(BF41)),ISERROR(BF41),$B41=""),"",IF($I41=1,IFBLANK(_xldudf_CX_PUSH(BF41*fxVal_normal,CX_ENTITY,$B41,BF$11,BF$14,BF$19,),""),IF($I41=2,IFBLANK(_xldudf_CX_PUSH(BF41,CX_ENTITY,$B41,BF$11,BF$14,BF$19,),""),IF($I41=3,"",IFBLANK(_xldudf_CX_PUSH(BF41,CX_ENTITY,$B41,BF$11,BF$14,BF$19,),"")))))),"")</f>
        <v/>
      </c>
      <c r="DT41" s="1883" t="str" cm="1">
        <f t="array" ca="1" aca="1" ref="DT41">IFERROR(IF(BG41*fxVal_normal=_BS!BG41,"",IF(OR(BG41="",NOT(ISNUMBER(BG41)),ISERROR(BG41),$B41=""),"",IF($I41=1,IFBLANK(_xldudf_CX_PUSH(BG41*fxVal_normal,CX_ENTITY,$B41,BG$11,BG$14,BG$19,),""),IF($I41=2,IFBLANK(_xldudf_CX_PUSH(BG41,CX_ENTITY,$B41,BG$11,BG$14,BG$19,),""),IF($I41=3,"",IFBLANK(_xldudf_CX_PUSH(BG41,CX_ENTITY,$B41,BG$11,BG$14,BG$19,),"")))))),"")</f>
        <v/>
      </c>
      <c r="DU41" s="1883" t="str" cm="1">
        <f t="array" ca="1" aca="1" ref="DU41">IFERROR(IF(BH41*fxVal_normal=_BS!BH41,"",IF(OR(BH41="",NOT(ISNUMBER(BH41)),ISERROR(BH41),$B41=""),"",IF($I41=1,IFBLANK(_xldudf_CX_PUSH(BH41*fxVal_normal,CX_ENTITY,$B41,BH$11,BH$14,BH$19,),""),IF($I41=2,IFBLANK(_xldudf_CX_PUSH(BH41,CX_ENTITY,$B41,BH$11,BH$14,BH$19,),""),IF($I41=3,"",IFBLANK(_xldudf_CX_PUSH(BH41,CX_ENTITY,$B41,BH$11,BH$14,BH$19,),"")))))),"")</f>
        <v/>
      </c>
      <c r="DV41" s="1883" t="str" cm="1">
        <f t="array" ca="1" aca="1" ref="DV41">IFERROR(IF(BI41*fxVal_normal=_BS!BI41,"",IF(OR(BI41="",NOT(ISNUMBER(BI41)),ISERROR(BI41),$B41=""),"",IF($I41=1,IFBLANK(_xldudf_CX_PUSH(BI41*fxVal_normal,CX_ENTITY,$B41,BI$11,BI$14,BI$19,),""),IF($I41=2,IFBLANK(_xldudf_CX_PUSH(BI41,CX_ENTITY,$B41,BI$11,BI$14,BI$19,),""),IF($I41=3,"",IFBLANK(_xldudf_CX_PUSH(BI41,CX_ENTITY,$B41,BI$11,BI$14,BI$19,),"")))))),"")</f>
        <v/>
      </c>
      <c r="DW41" s="1883" t="str" cm="1">
        <f t="array" ca="1" aca="1" ref="DW41">IFERROR(IF(BJ41*fxVal_normal=_BS!BJ41,"",IF(OR(BJ41="",NOT(ISNUMBER(BJ41)),ISERROR(BJ41),$B41=""),"",IF($I41=1,IFBLANK(_xldudf_CX_PUSH(BJ41*fxVal_normal,CX_ENTITY,$B41,BJ$11,BJ$14,BJ$19,),""),IF($I41=2,IFBLANK(_xldudf_CX_PUSH(BJ41,CX_ENTITY,$B41,BJ$11,BJ$14,BJ$19,),""),IF($I41=3,"",IFBLANK(_xldudf_CX_PUSH(BJ41,CX_ENTITY,$B41,BJ$11,BJ$14,BJ$19,),"")))))),"")</f>
        <v/>
      </c>
      <c r="DX41" s="1883" t="str" cm="1">
        <f t="array" ca="1" aca="1" ref="DX41">IFERROR(IF(BK41*fxVal_normal=_BS!BK41,"",IF(OR(BK41="",NOT(ISNUMBER(BK41)),ISERROR(BK41),$B41=""),"",IF($I41=1,IFBLANK(_xldudf_CX_PUSH(BK41*fxVal_normal,CX_ENTITY,$B41,BK$11,BK$14,BK$19,),""),IF($I41=2,IFBLANK(_xldudf_CX_PUSH(BK41,CX_ENTITY,$B41,BK$11,BK$14,BK$19,),""),IF($I41=3,"",IFBLANK(_xldudf_CX_PUSH(BK41,CX_ENTITY,$B41,BK$11,BK$14,BK$19,),"")))))),"")</f>
        <v/>
      </c>
      <c r="DY41" s="1883" t="str" cm="1">
        <f t="array" ca="1" aca="1" ref="DY41">IFERROR(IF(BL41*fxVal_normal=_BS!BL41,"",IF(OR(BL41="",NOT(ISNUMBER(BL41)),ISERROR(BL41),$B41=""),"",IF($I41=1,IFBLANK(_xldudf_CX_PUSH(BL41*fxVal_normal,CX_ENTITY,$B41,BL$11,BL$14,BL$19,),""),IF($I41=2,IFBLANK(_xldudf_CX_PUSH(BL41,CX_ENTITY,$B41,BL$11,BL$14,BL$19,),""),IF($I41=3,"",IFBLANK(_xldudf_CX_PUSH(BL41,CX_ENTITY,$B41,BL$11,BL$14,BL$19,),"")))))),"")</f>
        <v/>
      </c>
      <c r="DZ41" s="1883" t="str" cm="1">
        <f t="array" ca="1" aca="1" ref="DZ41">IFERROR(IF(BM41*fxVal_normal=_BS!BM41,"",IF(OR(BM41="",NOT(ISNUMBER(BM41)),ISERROR(BM41),$B41=""),"",IF($I41=1,IFBLANK(_xldudf_CX_PUSH(BM41*fxVal_normal,CX_ENTITY,$B41,BM$11,BM$14,BM$19,),""),IF($I41=2,IFBLANK(_xldudf_CX_PUSH(BM41,CX_ENTITY,$B41,BM$11,BM$14,BM$19,),""),IF($I41=3,"",IFBLANK(_xldudf_CX_PUSH(BM41,CX_ENTITY,$B41,BM$11,BM$14,BM$19,),"")))))),"")</f>
        <v/>
      </c>
      <c r="EA41" s="1883" t="str" cm="1">
        <f t="array" ca="1" aca="1" ref="EA41">IFERROR(IF(BN41*fxVal_normal=_BS!BN41,"",IF(OR(BN41="",NOT(ISNUMBER(BN41)),ISERROR(BN41),$B41=""),"",IF($I41=1,IFBLANK(_xldudf_CX_PUSH(BN41*fxVal_normal,CX_ENTITY,$B41,BN$11,BN$14,BN$19,),""),IF($I41=2,IFBLANK(_xldudf_CX_PUSH(BN41,CX_ENTITY,$B41,BN$11,BN$14,BN$19,),""),IF($I41=3,"",IFBLANK(_xldudf_CX_PUSH(BN41,CX_ENTITY,$B41,BN$11,BN$14,BN$19,),"")))))),"")</f>
        <v/>
      </c>
    </row>
    <row r="42" spans="1:131" ht="21" customHeight="1">
      <c r="A42" s="1626"/>
      <c r="B42" s="811" t="str" cm="1">
        <f t="array" ref="B42">IFBLANK(_BS!F42,"")</f>
        <v>IFRS-16 Lease Liabilities (on BS)</v>
      </c>
      <c r="C42" s="3346" t="str" cm="1">
        <f t="array" ref="C42">IFBLANK(_BS!C42,"")</f>
        <v>IFRS-16 Lease Liabilities (on BS) (Company View)</v>
      </c>
      <c r="D42" s="1638"/>
      <c r="E42" s="1902" t="e" cm="1">
        <f t="array" ca="1" aca="1" ref="E4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42:$CH42,Z42)</f>
        <v>#NAME?</v>
      </c>
      <c r="F42" s="1897"/>
      <c r="G42" s="1897"/>
      <c r="H42" s="3280">
        <v>1</v>
      </c>
      <c r="I42" s="3280">
        <v>1</v>
      </c>
      <c r="J42" s="1072"/>
      <c r="N42" s="158"/>
      <c r="O42" s="101"/>
      <c r="P42" s="52"/>
      <c r="Q42" s="101"/>
      <c r="R42" s="126"/>
      <c r="S42" s="101"/>
      <c r="T42" s="101"/>
      <c r="U42" s="39"/>
      <c r="W42" s="91" t="str">
        <f t="shared" si="1"/>
        <v>Actual</v>
      </c>
      <c r="X42" s="857">
        <f>_BS!X42</f>
        <v>-1</v>
      </c>
      <c r="Y42" s="3183">
        <v>2</v>
      </c>
      <c r="Z42" s="3291" cm="1">
        <f t="array" ref="Z42">_xlfn.SWITCH(TRUE,_BS!$L42=TRUE,1,_BS!$L42=FALSE,-1,_BS!$L42=-1,0,"n/a")</f>
        <v>1</v>
      </c>
      <c r="AA42" s="200"/>
      <c r="AB42" s="3343" t="str">
        <f>_BS!AB42</f>
        <v>IFRS-16 Lease Liabilities (on BS)</v>
      </c>
      <c r="AC42" s="88" t="e" vm="5" cm="1">
        <f t="array" ca="1" aca="1" ref="AC42">_xlfn.LET(_xlpm._termname,$AB42,_xlpm._iconname,"find",_xlpm._icon,fx_getIcon(_xlpm._iconname),_xlpm._location,_xlfn.XLOOKUP(LOWER(_xlpm._termname),LOWER(tbl_acctDef[Term]),tbl_acctDef[Term]),_xlpm._hyperlink,HYPERLINK("#"&amp;CELL("address",_xlpm._location),_xlpm._icon),IFERROR(_xlpm._hyperlink,""))</f>
        <v>#VALUE!</v>
      </c>
      <c r="AD42" s="3229">
        <v>1</v>
      </c>
      <c r="AE42" s="3229">
        <v>1</v>
      </c>
      <c r="AF42" s="3229">
        <v>1</v>
      </c>
      <c r="AG42" s="3229">
        <v>1</v>
      </c>
      <c r="AH42" s="3229">
        <v>1</v>
      </c>
      <c r="AI42" s="3229">
        <v>1</v>
      </c>
      <c r="AJ42" s="3229">
        <v>1</v>
      </c>
      <c r="AK42" s="3229">
        <v>1</v>
      </c>
      <c r="AL42" s="3229">
        <v>1</v>
      </c>
      <c r="AM42" s="3229">
        <v>1</v>
      </c>
      <c r="AN42" s="3229">
        <v>1</v>
      </c>
      <c r="AO42" s="3229">
        <v>1</v>
      </c>
      <c r="AP42" s="3229">
        <v>1</v>
      </c>
      <c r="AQ42" s="3229">
        <v>1</v>
      </c>
      <c r="AR42" s="3229">
        <v>1</v>
      </c>
      <c r="AS42" s="3229">
        <v>1</v>
      </c>
      <c r="AT42" s="3229">
        <v>1</v>
      </c>
      <c r="AU42" s="3229">
        <v>1</v>
      </c>
      <c r="AV42" s="3229">
        <v>1</v>
      </c>
      <c r="AW42" s="3229">
        <v>1</v>
      </c>
      <c r="AX42" s="3229">
        <v>1</v>
      </c>
      <c r="AY42" s="3229">
        <v>1</v>
      </c>
      <c r="AZ42" s="3229">
        <v>1</v>
      </c>
      <c r="BA42" s="3229">
        <v>1</v>
      </c>
      <c r="BB42" s="3229">
        <v>1</v>
      </c>
      <c r="BC42" s="3229">
        <v>1</v>
      </c>
      <c r="BD42" s="3229">
        <v>1</v>
      </c>
      <c r="BE42" s="3229">
        <v>1</v>
      </c>
      <c r="BF42" s="3229">
        <v>1</v>
      </c>
      <c r="BG42" s="3229">
        <v>1</v>
      </c>
      <c r="BH42" s="3229">
        <v>1</v>
      </c>
      <c r="BI42" s="3229">
        <v>1</v>
      </c>
      <c r="BJ42" s="3229">
        <v>1</v>
      </c>
      <c r="BK42" s="3229">
        <v>1</v>
      </c>
      <c r="BL42" s="3229">
        <v>1</v>
      </c>
      <c r="BM42" s="3229">
        <v>1</v>
      </c>
      <c r="BN42" s="3229">
        <v>1</v>
      </c>
      <c r="BO42" s="2095"/>
      <c r="BP42" s="2095"/>
      <c r="BQ42" s="2095"/>
      <c r="BR42" s="2095"/>
      <c r="BS42" s="2095"/>
      <c r="BT42" s="2095"/>
      <c r="BU42" s="2095"/>
      <c r="BV42" s="2095"/>
      <c r="BW42" s="2095"/>
      <c r="BX42" s="2095"/>
      <c r="BY42" s="2095"/>
      <c r="BZ42" s="2095"/>
      <c r="CA42" s="926"/>
      <c r="CB42" s="921"/>
      <c r="CC42" s="927"/>
      <c r="CD42" s="2069" t="e" cm="1">
        <f t="array" ca="1" aca="1" ref="CD42">_xlfn.XLOOKUP(BS!CD$11,array_timeline,BS!$AD42:$BN42)</f>
        <v>#NAME?</v>
      </c>
      <c r="CE42" s="2069" t="e" cm="1">
        <f t="array" ca="1" aca="1" ref="CE42">_xlfn.XLOOKUP(BS!CE$11,array_timeline,BS!$AD42:$BN42)</f>
        <v>#NAME?</v>
      </c>
      <c r="CF42" s="925"/>
      <c r="CG42" s="3342" t="e" cm="1">
        <f t="array" ca="1" aca="1" ref="CG42">TODECIMAL(IFBLANK(_BS!CG42,""),fxVal_normal)</f>
        <v>#NAME?</v>
      </c>
      <c r="CH42" s="3342" t="e" cm="1">
        <f t="array" ca="1" aca="1" ref="CH42">TODECIMAL(IFBLANK(_BS!CH42,""),fxVal_normal)</f>
        <v>#NAME?</v>
      </c>
      <c r="CI42" s="200"/>
      <c r="CK42" s="2085" t="str" cm="1">
        <f t="array" ca="1" aca="1" ref="CK42">IFERROR(IF(Y42&lt;&gt;AB42,_xldudf_CX_PUSH(Y42,CX_ENTITY,C42,EOMONTH(val_asOfDate,0)),""),"")</f>
        <v/>
      </c>
      <c r="CL42" s="2085" t="str" cm="1">
        <f t="array" ca="1" aca="1" ref="CL42">IFERROR(IF(Y42&lt;&gt;AB42,_xldudf_CX_PUSH(Y42,CX_ENTITY,C42,EOMONTH(val_asOfDate,1)),""),"")</f>
        <v/>
      </c>
      <c r="CM42" s="2085" t="str" cm="1">
        <f t="array" ca="1" aca="1" ref="CM42">IFERROR(IF(Y42&lt;&gt;AB42,_xldudf_CX_PUSH(Y42,CX_ENTITY,C42,EOMONTH(val_asOfDate,2)),""),"")</f>
        <v/>
      </c>
      <c r="CN42" s="2085" t="str" cm="1">
        <f t="array" ca="1" aca="1" ref="CN42">IFERROR(IF(Y42&lt;&gt;AB42,_xldudf_CX_PUSH(Y42,CX_ENTITY,C42,EOMONTH(val_asOfDate,3)),""),"")</f>
        <v/>
      </c>
      <c r="CO42" s="2086" t="str" cm="1">
        <f t="array" ca="1" aca="1" ref="CO42">IFERROR(IF(CG42*fxVal_normal=_BS!CG42,"",IF(OR($CG42="",$CG42=0,NOT(ISNUMBER($CG42)),ISERROR($CG42),$B42=""),"",IF($I42=1,IFBLANK(_xldudf_CX_PUSH($CG42*10^6,CX_ENTITY,$B42,$CG$11,$CG$14,$CG$19,),""),IF($I42=2,IFBLANK(_xldudf_CX_PUSH($CG42,CX_ENTITY,$B42,$CG$11,$CG$14,$CG$19,),""),IF($I42=3,"",IFBLANK(_xldudf_CX_PUSH($CG42,CX_ENTITY,$B42,$CG$11,$CG$14,$CG$19,),"")))))),"")</f>
        <v/>
      </c>
      <c r="CP42" s="2086" t="str" cm="1">
        <f t="array" ca="1" aca="1" ref="CP42">IFERROR(IF(CH42*fxVal_normal=_BS!CH42,"",IF(OR($CH42="",$CH42=0,NOT(ISNUMBER($CH42)),ISERROR($CH42),$B42=""),"",IF($I42=1,IFBLANK(_xldudf_CX_PUSH($CH42*10^6,CX_ENTITY,$B42,$CH$11,$CH$14,$CH$19,),""),IF($I42=2,IFBLANK(_xldudf_CX_PUSH($CH42,CX_ENTITY,$B42,$CH$11,$CH$14,$CH$19,),""),IF($I42=3,"",IFBLANK(_xldudf_CX_PUSH($CH42,CX_ENTITY,$B42,$CH$11,$CH$14,$CH$19,),"")))))),"")</f>
        <v/>
      </c>
      <c r="CQ42" s="1883" t="str" cm="1">
        <f t="array" ca="1" aca="1" ref="CQ42">IFERROR(IF(AD42*fxVal_normal=_BS!AD42,"",IF(OR(AD42="",NOT(ISNUMBER(AD42)),ISERROR(AD42),$B42=""),"",IF($I42=1,IFBLANK(_xldudf_CX_PUSH(AD42*fxVal_normal,CX_ENTITY,$B42,AD$11,AD$14,AD$19,),""),IF($I42=2,IFBLANK(_xldudf_CX_PUSH(AD42,CX_ENTITY,$B42,AD$11,AD$14,AD$19,),""),IF($I42=3,"",IFBLANK(_xldudf_CX_PUSH(AD42,CX_ENTITY,$B42,AD$11,AD$14,AD$19,),"")))))),"")</f>
        <v/>
      </c>
      <c r="CR42" s="1883" t="str" cm="1">
        <f t="array" ca="1" aca="1" ref="CR42">IFERROR(IF(AE42*fxVal_normal=_BS!AE42,"",IF(OR(AE42="",NOT(ISNUMBER(AE42)),ISERROR(AE42),$B42=""),"",IF($I42=1,IFBLANK(_xldudf_CX_PUSH(AE42*fxVal_normal,CX_ENTITY,$B42,AE$11,AE$14,AE$19,),""),IF($I42=2,IFBLANK(_xldudf_CX_PUSH(AE42,CX_ENTITY,$B42,AE$11,AE$14,AE$19,),""),IF($I42=3,"",IFBLANK(_xldudf_CX_PUSH(AE42,CX_ENTITY,$B42,AE$11,AE$14,AE$19,),"")))))),"")</f>
        <v/>
      </c>
      <c r="CS42" s="1883" t="str" cm="1">
        <f t="array" ca="1" aca="1" ref="CS42">IFERROR(IF(AF42*fxVal_normal=_BS!AF42,"",IF(OR(AF42="",NOT(ISNUMBER(AF42)),ISERROR(AF42),$B42=""),"",IF($I42=1,IFBLANK(_xldudf_CX_PUSH(AF42*fxVal_normal,CX_ENTITY,$B42,AF$11,AF$14,AF$19,),""),IF($I42=2,IFBLANK(_xldudf_CX_PUSH(AF42,CX_ENTITY,$B42,AF$11,AF$14,AF$19,),""),IF($I42=3,"",IFBLANK(_xldudf_CX_PUSH(AF42,CX_ENTITY,$B42,AF$11,AF$14,AF$19,),"")))))),"")</f>
        <v/>
      </c>
      <c r="CT42" s="1883" t="str" cm="1">
        <f t="array" ca="1" aca="1" ref="CT42">IFERROR(IF(AG42*fxVal_normal=_BS!AG42,"",IF(OR(AG42="",NOT(ISNUMBER(AG42)),ISERROR(AG42),$B42=""),"",IF($I42=1,IFBLANK(_xldudf_CX_PUSH(AG42*fxVal_normal,CX_ENTITY,$B42,AG$11,AG$14,AG$19,),""),IF($I42=2,IFBLANK(_xldudf_CX_PUSH(AG42,CX_ENTITY,$B42,AG$11,AG$14,AG$19,),""),IF($I42=3,"",IFBLANK(_xldudf_CX_PUSH(AG42,CX_ENTITY,$B42,AG$11,AG$14,AG$19,),"")))))),"")</f>
        <v/>
      </c>
      <c r="CU42" s="1883" t="str" cm="1">
        <f t="array" ca="1" aca="1" ref="CU42">IFERROR(IF(AH42*fxVal_normal=_BS!AH42,"",IF(OR(AH42="",NOT(ISNUMBER(AH42)),ISERROR(AH42),$B42=""),"",IF($I42=1,IFBLANK(_xldudf_CX_PUSH(AH42*fxVal_normal,CX_ENTITY,$B42,AH$11,AH$14,AH$19,),""),IF($I42=2,IFBLANK(_xldudf_CX_PUSH(AH42,CX_ENTITY,$B42,AH$11,AH$14,AH$19,),""),IF($I42=3,"",IFBLANK(_xldudf_CX_PUSH(AH42,CX_ENTITY,$B42,AH$11,AH$14,AH$19,),"")))))),"")</f>
        <v/>
      </c>
      <c r="CV42" s="1883" t="str" cm="1">
        <f t="array" ca="1" aca="1" ref="CV42">IFERROR(IF(AI42*fxVal_normal=_BS!AI42,"",IF(OR(AI42="",NOT(ISNUMBER(AI42)),ISERROR(AI42),$B42=""),"",IF($I42=1,IFBLANK(_xldudf_CX_PUSH(AI42*fxVal_normal,CX_ENTITY,$B42,AI$11,AI$14,AI$19,),""),IF($I42=2,IFBLANK(_xldudf_CX_PUSH(AI42,CX_ENTITY,$B42,AI$11,AI$14,AI$19,),""),IF($I42=3,"",IFBLANK(_xldudf_CX_PUSH(AI42,CX_ENTITY,$B42,AI$11,AI$14,AI$19,),"")))))),"")</f>
        <v/>
      </c>
      <c r="CW42" s="1883" t="str" cm="1">
        <f t="array" ca="1" aca="1" ref="CW42">IFERROR(IF(AJ42*fxVal_normal=_BS!AJ42,"",IF(OR(AJ42="",NOT(ISNUMBER(AJ42)),ISERROR(AJ42),$B42=""),"",IF($I42=1,IFBLANK(_xldudf_CX_PUSH(AJ42*fxVal_normal,CX_ENTITY,$B42,AJ$11,AJ$14,AJ$19,),""),IF($I42=2,IFBLANK(_xldudf_CX_PUSH(AJ42,CX_ENTITY,$B42,AJ$11,AJ$14,AJ$19,),""),IF($I42=3,"",IFBLANK(_xldudf_CX_PUSH(AJ42,CX_ENTITY,$B42,AJ$11,AJ$14,AJ$19,),"")))))),"")</f>
        <v/>
      </c>
      <c r="CX42" s="1883" t="str" cm="1">
        <f t="array" ca="1" aca="1" ref="CX42">IFERROR(IF(AK42*fxVal_normal=_BS!AK42,"",IF(OR(AK42="",NOT(ISNUMBER(AK42)),ISERROR(AK42),$B42=""),"",IF($I42=1,IFBLANK(_xldudf_CX_PUSH(AK42*fxVal_normal,CX_ENTITY,$B42,AK$11,AK$14,AK$19,),""),IF($I42=2,IFBLANK(_xldudf_CX_PUSH(AK42,CX_ENTITY,$B42,AK$11,AK$14,AK$19,),""),IF($I42=3,"",IFBLANK(_xldudf_CX_PUSH(AK42,CX_ENTITY,$B42,AK$11,AK$14,AK$19,),"")))))),"")</f>
        <v/>
      </c>
      <c r="CY42" s="1883" t="str" cm="1">
        <f t="array" ca="1" aca="1" ref="CY42">IFERROR(IF(AL42*fxVal_normal=_BS!AL42,"",IF(OR(AL42="",NOT(ISNUMBER(AL42)),ISERROR(AL42),$B42=""),"",IF($I42=1,IFBLANK(_xldudf_CX_PUSH(AL42*fxVal_normal,CX_ENTITY,$B42,AL$11,AL$14,AL$19,),""),IF($I42=2,IFBLANK(_xldudf_CX_PUSH(AL42,CX_ENTITY,$B42,AL$11,AL$14,AL$19,),""),IF($I42=3,"",IFBLANK(_xldudf_CX_PUSH(AL42,CX_ENTITY,$B42,AL$11,AL$14,AL$19,),"")))))),"")</f>
        <v/>
      </c>
      <c r="CZ42" s="1883" t="str" cm="1">
        <f t="array" ca="1" aca="1" ref="CZ42">IFERROR(IF(AM42*fxVal_normal=_BS!AM42,"",IF(OR(AM42="",NOT(ISNUMBER(AM42)),ISERROR(AM42),$B42=""),"",IF($I42=1,IFBLANK(_xldudf_CX_PUSH(AM42*fxVal_normal,CX_ENTITY,$B42,AM$11,AM$14,AM$19,),""),IF($I42=2,IFBLANK(_xldudf_CX_PUSH(AM42,CX_ENTITY,$B42,AM$11,AM$14,AM$19,),""),IF($I42=3,"",IFBLANK(_xldudf_CX_PUSH(AM42,CX_ENTITY,$B42,AM$11,AM$14,AM$19,),"")))))),"")</f>
        <v/>
      </c>
      <c r="DA42" s="1883" t="str" cm="1">
        <f t="array" ca="1" aca="1" ref="DA42">IFERROR(IF(AN42*fxVal_normal=_BS!AN42,"",IF(OR(AN42="",NOT(ISNUMBER(AN42)),ISERROR(AN42),$B42=""),"",IF($I42=1,IFBLANK(_xldudf_CX_PUSH(AN42*fxVal_normal,CX_ENTITY,$B42,AN$11,AN$14,AN$19,),""),IF($I42=2,IFBLANK(_xldudf_CX_PUSH(AN42,CX_ENTITY,$B42,AN$11,AN$14,AN$19,),""),IF($I42=3,"",IFBLANK(_xldudf_CX_PUSH(AN42,CX_ENTITY,$B42,AN$11,AN$14,AN$19,),"")))))),"")</f>
        <v/>
      </c>
      <c r="DB42" s="1883" t="str" cm="1">
        <f t="array" ca="1" aca="1" ref="DB42">IFERROR(IF(AO42*fxVal_normal=_BS!AO42,"",IF(OR(AO42="",NOT(ISNUMBER(AO42)),ISERROR(AO42),$B42=""),"",IF($I42=1,IFBLANK(_xldudf_CX_PUSH(AO42*fxVal_normal,CX_ENTITY,$B42,AO$11,AO$14,AO$19,),""),IF($I42=2,IFBLANK(_xldudf_CX_PUSH(AO42,CX_ENTITY,$B42,AO$11,AO$14,AO$19,),""),IF($I42=3,"",IFBLANK(_xldudf_CX_PUSH(AO42,CX_ENTITY,$B42,AO$11,AO$14,AO$19,),"")))))),"")</f>
        <v/>
      </c>
      <c r="DC42" s="1883" t="str" cm="1">
        <f t="array" ca="1" aca="1" ref="DC42">IFERROR(IF(AP42*fxVal_normal=_BS!AP42,"",IF(OR(AP42="",NOT(ISNUMBER(AP42)),ISERROR(AP42),$B42=""),"",IF($I42=1,IFBLANK(_xldudf_CX_PUSH(AP42*fxVal_normal,CX_ENTITY,$B42,AP$11,AP$14,AP$19,),""),IF($I42=2,IFBLANK(_xldudf_CX_PUSH(AP42,CX_ENTITY,$B42,AP$11,AP$14,AP$19,),""),IF($I42=3,"",IFBLANK(_xldudf_CX_PUSH(AP42,CX_ENTITY,$B42,AP$11,AP$14,AP$19,),"")))))),"")</f>
        <v/>
      </c>
      <c r="DD42" s="1883" t="str" cm="1">
        <f t="array" ca="1" aca="1" ref="DD42">IFERROR(IF(AQ42*fxVal_normal=_BS!AQ42,"",IF(OR(AQ42="",NOT(ISNUMBER(AQ42)),ISERROR(AQ42),$B42=""),"",IF($I42=1,IFBLANK(_xldudf_CX_PUSH(AQ42*fxVal_normal,CX_ENTITY,$B42,AQ$11,AQ$14,AQ$19,),""),IF($I42=2,IFBLANK(_xldudf_CX_PUSH(AQ42,CX_ENTITY,$B42,AQ$11,AQ$14,AQ$19,),""),IF($I42=3,"",IFBLANK(_xldudf_CX_PUSH(AQ42,CX_ENTITY,$B42,AQ$11,AQ$14,AQ$19,),"")))))),"")</f>
        <v/>
      </c>
      <c r="DE42" s="1883" t="str" cm="1">
        <f t="array" ca="1" aca="1" ref="DE42">IFERROR(IF(AR42*fxVal_normal=_BS!AR42,"",IF(OR(AR42="",NOT(ISNUMBER(AR42)),ISERROR(AR42),$B42=""),"",IF($I42=1,IFBLANK(_xldudf_CX_PUSH(AR42*fxVal_normal,CX_ENTITY,$B42,AR$11,AR$14,AR$19,),""),IF($I42=2,IFBLANK(_xldudf_CX_PUSH(AR42,CX_ENTITY,$B42,AR$11,AR$14,AR$19,),""),IF($I42=3,"",IFBLANK(_xldudf_CX_PUSH(AR42,CX_ENTITY,$B42,AR$11,AR$14,AR$19,),"")))))),"")</f>
        <v/>
      </c>
      <c r="DF42" s="1883" t="str" cm="1">
        <f t="array" ca="1" aca="1" ref="DF42">IFERROR(IF(AS42*fxVal_normal=_BS!AS42,"",IF(OR(AS42="",NOT(ISNUMBER(AS42)),ISERROR(AS42),$B42=""),"",IF($I42=1,IFBLANK(_xldudf_CX_PUSH(AS42*fxVal_normal,CX_ENTITY,$B42,AS$11,AS$14,AS$19,),""),IF($I42=2,IFBLANK(_xldudf_CX_PUSH(AS42,CX_ENTITY,$B42,AS$11,AS$14,AS$19,),""),IF($I42=3,"",IFBLANK(_xldudf_CX_PUSH(AS42,CX_ENTITY,$B42,AS$11,AS$14,AS$19,),"")))))),"")</f>
        <v/>
      </c>
      <c r="DG42" s="1883" t="str" cm="1">
        <f t="array" ca="1" aca="1" ref="DG42">IFERROR(IF(AT42*fxVal_normal=_BS!AT42,"",IF(OR(AT42="",NOT(ISNUMBER(AT42)),ISERROR(AT42),$B42=""),"",IF($I42=1,IFBLANK(_xldudf_CX_PUSH(AT42*fxVal_normal,CX_ENTITY,$B42,AT$11,AT$14,AT$19,),""),IF($I42=2,IFBLANK(_xldudf_CX_PUSH(AT42,CX_ENTITY,$B42,AT$11,AT$14,AT$19,),""),IF($I42=3,"",IFBLANK(_xldudf_CX_PUSH(AT42,CX_ENTITY,$B42,AT$11,AT$14,AT$19,),"")))))),"")</f>
        <v/>
      </c>
      <c r="DH42" s="1883" t="str" cm="1">
        <f t="array" ca="1" aca="1" ref="DH42">IFERROR(IF(AU42*fxVal_normal=_BS!AU42,"",IF(OR(AU42="",NOT(ISNUMBER(AU42)),ISERROR(AU42),$B42=""),"",IF($I42=1,IFBLANK(_xldudf_CX_PUSH(AU42*fxVal_normal,CX_ENTITY,$B42,AU$11,AU$14,AU$19,),""),IF($I42=2,IFBLANK(_xldudf_CX_PUSH(AU42,CX_ENTITY,$B42,AU$11,AU$14,AU$19,),""),IF($I42=3,"",IFBLANK(_xldudf_CX_PUSH(AU42,CX_ENTITY,$B42,AU$11,AU$14,AU$19,),"")))))),"")</f>
        <v/>
      </c>
      <c r="DI42" s="1883" t="str" cm="1">
        <f t="array" ca="1" aca="1" ref="DI42">IFERROR(IF(AV42*fxVal_normal=_BS!AV42,"",IF(OR(AV42="",NOT(ISNUMBER(AV42)),ISERROR(AV42),$B42=""),"",IF($I42=1,IFBLANK(_xldudf_CX_PUSH(AV42*fxVal_normal,CX_ENTITY,$B42,AV$11,AV$14,AV$19,),""),IF($I42=2,IFBLANK(_xldudf_CX_PUSH(AV42,CX_ENTITY,$B42,AV$11,AV$14,AV$19,),""),IF($I42=3,"",IFBLANK(_xldudf_CX_PUSH(AV42,CX_ENTITY,$B42,AV$11,AV$14,AV$19,),"")))))),"")</f>
        <v/>
      </c>
      <c r="DJ42" s="1883" t="str" cm="1">
        <f t="array" ca="1" aca="1" ref="DJ42">IFERROR(IF(AW42*fxVal_normal=_BS!AW42,"",IF(OR(AW42="",NOT(ISNUMBER(AW42)),ISERROR(AW42),$B42=""),"",IF($I42=1,IFBLANK(_xldudf_CX_PUSH(AW42*fxVal_normal,CX_ENTITY,$B42,AW$11,AW$14,AW$19,),""),IF($I42=2,IFBLANK(_xldudf_CX_PUSH(AW42,CX_ENTITY,$B42,AW$11,AW$14,AW$19,),""),IF($I42=3,"",IFBLANK(_xldudf_CX_PUSH(AW42,CX_ENTITY,$B42,AW$11,AW$14,AW$19,),"")))))),"")</f>
        <v/>
      </c>
      <c r="DK42" s="1883" t="str" cm="1">
        <f t="array" ca="1" aca="1" ref="DK42">IFERROR(IF(AX42*fxVal_normal=_BS!AX42,"",IF(OR(AX42="",NOT(ISNUMBER(AX42)),ISERROR(AX42),$B42=""),"",IF($I42=1,IFBLANK(_xldudf_CX_PUSH(AX42*fxVal_normal,CX_ENTITY,$B42,AX$11,AX$14,AX$19,),""),IF($I42=2,IFBLANK(_xldudf_CX_PUSH(AX42,CX_ENTITY,$B42,AX$11,AX$14,AX$19,),""),IF($I42=3,"",IFBLANK(_xldudf_CX_PUSH(AX42,CX_ENTITY,$B42,AX$11,AX$14,AX$19,),"")))))),"")</f>
        <v/>
      </c>
      <c r="DL42" s="1883" t="str" cm="1">
        <f t="array" ca="1" aca="1" ref="DL42">IFERROR(IF(AY42*fxVal_normal=_BS!AY42,"",IF(OR(AY42="",NOT(ISNUMBER(AY42)),ISERROR(AY42),$B42=""),"",IF($I42=1,IFBLANK(_xldudf_CX_PUSH(AY42*fxVal_normal,CX_ENTITY,$B42,AY$11,AY$14,AY$19,),""),IF($I42=2,IFBLANK(_xldudf_CX_PUSH(AY42,CX_ENTITY,$B42,AY$11,AY$14,AY$19,),""),IF($I42=3,"",IFBLANK(_xldudf_CX_PUSH(AY42,CX_ENTITY,$B42,AY$11,AY$14,AY$19,),"")))))),"")</f>
        <v/>
      </c>
      <c r="DM42" s="1883" t="str" cm="1">
        <f t="array" ca="1" aca="1" ref="DM42">IFERROR(IF(AZ42*fxVal_normal=_BS!AZ42,"",IF(OR(AZ42="",NOT(ISNUMBER(AZ42)),ISERROR(AZ42),$B42=""),"",IF($I42=1,IFBLANK(_xldudf_CX_PUSH(AZ42*fxVal_normal,CX_ENTITY,$B42,AZ$11,AZ$14,AZ$19,),""),IF($I42=2,IFBLANK(_xldudf_CX_PUSH(AZ42,CX_ENTITY,$B42,AZ$11,AZ$14,AZ$19,),""),IF($I42=3,"",IFBLANK(_xldudf_CX_PUSH(AZ42,CX_ENTITY,$B42,AZ$11,AZ$14,AZ$19,),"")))))),"")</f>
        <v/>
      </c>
      <c r="DN42" s="1883" t="str" cm="1">
        <f t="array" ca="1" aca="1" ref="DN42">IFERROR(IF(BA42*fxVal_normal=_BS!BA42,"",IF(OR(BA42="",NOT(ISNUMBER(BA42)),ISERROR(BA42),$B42=""),"",IF($I42=1,IFBLANK(_xldudf_CX_PUSH(BA42*fxVal_normal,CX_ENTITY,$B42,BA$11,BA$14,BA$19,),""),IF($I42=2,IFBLANK(_xldudf_CX_PUSH(BA42,CX_ENTITY,$B42,BA$11,BA$14,BA$19,),""),IF($I42=3,"",IFBLANK(_xldudf_CX_PUSH(BA42,CX_ENTITY,$B42,BA$11,BA$14,BA$19,),"")))))),"")</f>
        <v/>
      </c>
      <c r="DO42" s="1883" t="str" cm="1">
        <f t="array" ca="1" aca="1" ref="DO42">IFERROR(IF(BB42*fxVal_normal=_BS!BB42,"",IF(OR(BB42="",NOT(ISNUMBER(BB42)),ISERROR(BB42),$B42=""),"",IF($I42=1,IFBLANK(_xldudf_CX_PUSH(BB42*fxVal_normal,CX_ENTITY,$B42,BB$11,BB$14,BB$19,),""),IF($I42=2,IFBLANK(_xldudf_CX_PUSH(BB42,CX_ENTITY,$B42,BB$11,BB$14,BB$19,),""),IF($I42=3,"",IFBLANK(_xldudf_CX_PUSH(BB42,CX_ENTITY,$B42,BB$11,BB$14,BB$19,),"")))))),"")</f>
        <v/>
      </c>
      <c r="DP42" s="1883" t="str" cm="1">
        <f t="array" ca="1" aca="1" ref="DP42">IFERROR(IF(BC42*fxVal_normal=_BS!BC42,"",IF(OR(BC42="",NOT(ISNUMBER(BC42)),ISERROR(BC42),$B42=""),"",IF($I42=1,IFBLANK(_xldudf_CX_PUSH(BC42*fxVal_normal,CX_ENTITY,$B42,BC$11,BC$14,BC$19,),""),IF($I42=2,IFBLANK(_xldudf_CX_PUSH(BC42,CX_ENTITY,$B42,BC$11,BC$14,BC$19,),""),IF($I42=3,"",IFBLANK(_xldudf_CX_PUSH(BC42,CX_ENTITY,$B42,BC$11,BC$14,BC$19,),"")))))),"")</f>
        <v/>
      </c>
      <c r="DQ42" s="1883" t="str" cm="1">
        <f t="array" ca="1" aca="1" ref="DQ42">IFERROR(IF(BD42*fxVal_normal=_BS!BD42,"",IF(OR(BD42="",NOT(ISNUMBER(BD42)),ISERROR(BD42),$B42=""),"",IF($I42=1,IFBLANK(_xldudf_CX_PUSH(BD42*fxVal_normal,CX_ENTITY,$B42,BD$11,BD$14,BD$19,),""),IF($I42=2,IFBLANK(_xldudf_CX_PUSH(BD42,CX_ENTITY,$B42,BD$11,BD$14,BD$19,),""),IF($I42=3,"",IFBLANK(_xldudf_CX_PUSH(BD42,CX_ENTITY,$B42,BD$11,BD$14,BD$19,),"")))))),"")</f>
        <v/>
      </c>
      <c r="DR42" s="1883" t="str" cm="1">
        <f t="array" ca="1" aca="1" ref="DR42">IFERROR(IF(BE42*fxVal_normal=_BS!BE42,"",IF(OR(BE42="",NOT(ISNUMBER(BE42)),ISERROR(BE42),$B42=""),"",IF($I42=1,IFBLANK(_xldudf_CX_PUSH(BE42*fxVal_normal,CX_ENTITY,$B42,BE$11,BE$14,BE$19,),""),IF($I42=2,IFBLANK(_xldudf_CX_PUSH(BE42,CX_ENTITY,$B42,BE$11,BE$14,BE$19,),""),IF($I42=3,"",IFBLANK(_xldudf_CX_PUSH(BE42,CX_ENTITY,$B42,BE$11,BE$14,BE$19,),"")))))),"")</f>
        <v/>
      </c>
      <c r="DS42" s="1883" t="str" cm="1">
        <f t="array" ca="1" aca="1" ref="DS42">IFERROR(IF(BF42*fxVal_normal=_BS!BF42,"",IF(OR(BF42="",NOT(ISNUMBER(BF42)),ISERROR(BF42),$B42=""),"",IF($I42=1,IFBLANK(_xldudf_CX_PUSH(BF42*fxVal_normal,CX_ENTITY,$B42,BF$11,BF$14,BF$19,),""),IF($I42=2,IFBLANK(_xldudf_CX_PUSH(BF42,CX_ENTITY,$B42,BF$11,BF$14,BF$19,),""),IF($I42=3,"",IFBLANK(_xldudf_CX_PUSH(BF42,CX_ENTITY,$B42,BF$11,BF$14,BF$19,),"")))))),"")</f>
        <v/>
      </c>
      <c r="DT42" s="1883" t="str" cm="1">
        <f t="array" ca="1" aca="1" ref="DT42">IFERROR(IF(BG42*fxVal_normal=_BS!BG42,"",IF(OR(BG42="",NOT(ISNUMBER(BG42)),ISERROR(BG42),$B42=""),"",IF($I42=1,IFBLANK(_xldudf_CX_PUSH(BG42*fxVal_normal,CX_ENTITY,$B42,BG$11,BG$14,BG$19,),""),IF($I42=2,IFBLANK(_xldudf_CX_PUSH(BG42,CX_ENTITY,$B42,BG$11,BG$14,BG$19,),""),IF($I42=3,"",IFBLANK(_xldudf_CX_PUSH(BG42,CX_ENTITY,$B42,BG$11,BG$14,BG$19,),"")))))),"")</f>
        <v/>
      </c>
      <c r="DU42" s="1883" t="str" cm="1">
        <f t="array" ca="1" aca="1" ref="DU42">IFERROR(IF(BH42*fxVal_normal=_BS!BH42,"",IF(OR(BH42="",NOT(ISNUMBER(BH42)),ISERROR(BH42),$B42=""),"",IF($I42=1,IFBLANK(_xldudf_CX_PUSH(BH42*fxVal_normal,CX_ENTITY,$B42,BH$11,BH$14,BH$19,),""),IF($I42=2,IFBLANK(_xldudf_CX_PUSH(BH42,CX_ENTITY,$B42,BH$11,BH$14,BH$19,),""),IF($I42=3,"",IFBLANK(_xldudf_CX_PUSH(BH42,CX_ENTITY,$B42,BH$11,BH$14,BH$19,),"")))))),"")</f>
        <v/>
      </c>
      <c r="DV42" s="1883" t="str" cm="1">
        <f t="array" ca="1" aca="1" ref="DV42">IFERROR(IF(BI42*fxVal_normal=_BS!BI42,"",IF(OR(BI42="",NOT(ISNUMBER(BI42)),ISERROR(BI42),$B42=""),"",IF($I42=1,IFBLANK(_xldudf_CX_PUSH(BI42*fxVal_normal,CX_ENTITY,$B42,BI$11,BI$14,BI$19,),""),IF($I42=2,IFBLANK(_xldudf_CX_PUSH(BI42,CX_ENTITY,$B42,BI$11,BI$14,BI$19,),""),IF($I42=3,"",IFBLANK(_xldudf_CX_PUSH(BI42,CX_ENTITY,$B42,BI$11,BI$14,BI$19,),"")))))),"")</f>
        <v/>
      </c>
      <c r="DW42" s="1883" t="str" cm="1">
        <f t="array" ca="1" aca="1" ref="DW42">IFERROR(IF(BJ42*fxVal_normal=_BS!BJ42,"",IF(OR(BJ42="",NOT(ISNUMBER(BJ42)),ISERROR(BJ42),$B42=""),"",IF($I42=1,IFBLANK(_xldudf_CX_PUSH(BJ42*fxVal_normal,CX_ENTITY,$B42,BJ$11,BJ$14,BJ$19,),""),IF($I42=2,IFBLANK(_xldudf_CX_PUSH(BJ42,CX_ENTITY,$B42,BJ$11,BJ$14,BJ$19,),""),IF($I42=3,"",IFBLANK(_xldudf_CX_PUSH(BJ42,CX_ENTITY,$B42,BJ$11,BJ$14,BJ$19,),"")))))),"")</f>
        <v/>
      </c>
      <c r="DX42" s="1883" t="str" cm="1">
        <f t="array" ca="1" aca="1" ref="DX42">IFERROR(IF(BK42*fxVal_normal=_BS!BK42,"",IF(OR(BK42="",NOT(ISNUMBER(BK42)),ISERROR(BK42),$B42=""),"",IF($I42=1,IFBLANK(_xldudf_CX_PUSH(BK42*fxVal_normal,CX_ENTITY,$B42,BK$11,BK$14,BK$19,),""),IF($I42=2,IFBLANK(_xldudf_CX_PUSH(BK42,CX_ENTITY,$B42,BK$11,BK$14,BK$19,),""),IF($I42=3,"",IFBLANK(_xldudf_CX_PUSH(BK42,CX_ENTITY,$B42,BK$11,BK$14,BK$19,),"")))))),"")</f>
        <v/>
      </c>
      <c r="DY42" s="1883" t="str" cm="1">
        <f t="array" ca="1" aca="1" ref="DY42">IFERROR(IF(BL42*fxVal_normal=_BS!BL42,"",IF(OR(BL42="",NOT(ISNUMBER(BL42)),ISERROR(BL42),$B42=""),"",IF($I42=1,IFBLANK(_xldudf_CX_PUSH(BL42*fxVal_normal,CX_ENTITY,$B42,BL$11,BL$14,BL$19,),""),IF($I42=2,IFBLANK(_xldudf_CX_PUSH(BL42,CX_ENTITY,$B42,BL$11,BL$14,BL$19,),""),IF($I42=3,"",IFBLANK(_xldudf_CX_PUSH(BL42,CX_ENTITY,$B42,BL$11,BL$14,BL$19,),"")))))),"")</f>
        <v/>
      </c>
      <c r="DZ42" s="1883" t="str" cm="1">
        <f t="array" ca="1" aca="1" ref="DZ42">IFERROR(IF(BM42*fxVal_normal=_BS!BM42,"",IF(OR(BM42="",NOT(ISNUMBER(BM42)),ISERROR(BM42),$B42=""),"",IF($I42=1,IFBLANK(_xldudf_CX_PUSH(BM42*fxVal_normal,CX_ENTITY,$B42,BM$11,BM$14,BM$19,),""),IF($I42=2,IFBLANK(_xldudf_CX_PUSH(BM42,CX_ENTITY,$B42,BM$11,BM$14,BM$19,),""),IF($I42=3,"",IFBLANK(_xldudf_CX_PUSH(BM42,CX_ENTITY,$B42,BM$11,BM$14,BM$19,),"")))))),"")</f>
        <v/>
      </c>
      <c r="EA42" s="1883" t="str" cm="1">
        <f t="array" ca="1" aca="1" ref="EA42">IFERROR(IF(BN42*fxVal_normal=_BS!BN42,"",IF(OR(BN42="",NOT(ISNUMBER(BN42)),ISERROR(BN42),$B42=""),"",IF($I42=1,IFBLANK(_xldudf_CX_PUSH(BN42*fxVal_normal,CX_ENTITY,$B42,BN$11,BN$14,BN$19,),""),IF($I42=2,IFBLANK(_xldudf_CX_PUSH(BN42,CX_ENTITY,$B42,BN$11,BN$14,BN$19,),""),IF($I42=3,"",IFBLANK(_xldudf_CX_PUSH(BN42,CX_ENTITY,$B42,BN$11,BN$14,BN$19,),"")))))),"")</f>
        <v/>
      </c>
    </row>
    <row r="43" spans="1:131" ht="21" customHeight="1">
      <c r="A43" s="1626"/>
      <c r="B43" s="811" t="str" cm="1">
        <f t="array" ref="B43">IFBLANK(_BS!F43,"")</f>
        <v>Deferred Tax Assets / Liabilities (on BS)</v>
      </c>
      <c r="C43" s="3346" t="str" cm="1">
        <f t="array" ref="C43">IFBLANK(_BS!C43,"")</f>
        <v>Deferred Tax Assets / Liabilities (Company View)</v>
      </c>
      <c r="D43" s="1638"/>
      <c r="E43" s="1902" t="e" cm="1">
        <f t="array" ca="1" aca="1" ref="E4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43:$CH43,Z43)</f>
        <v>#NAME?</v>
      </c>
      <c r="F43" s="1897"/>
      <c r="G43" s="1897"/>
      <c r="H43" s="3280">
        <v>1</v>
      </c>
      <c r="I43" s="3280">
        <v>1</v>
      </c>
      <c r="J43" s="401"/>
      <c r="N43" s="158"/>
      <c r="O43" s="101"/>
      <c r="P43" s="52"/>
      <c r="Q43" s="101"/>
      <c r="R43" s="101"/>
      <c r="S43" s="101"/>
      <c r="T43" s="101"/>
      <c r="U43" s="39"/>
      <c r="W43" s="156" t="str">
        <f t="shared" si="1"/>
        <v>Actual</v>
      </c>
      <c r="X43" s="857" t="str">
        <f>_BS!X43</f>
        <v>a</v>
      </c>
      <c r="Y43" s="3183">
        <v>2</v>
      </c>
      <c r="Z43" s="3291" cm="1">
        <f t="array" ref="Z43">_xlfn.SWITCH(TRUE,_BS!$L43=TRUE,1,_BS!$L43=FALSE,-1,_BS!$L43=-1,0,"n/a")</f>
        <v>1</v>
      </c>
      <c r="AA43" s="200"/>
      <c r="AB43" s="3343" t="str">
        <f>_BS!AB43</f>
        <v>Deferred Tax Assets / Liabilities</v>
      </c>
      <c r="AC43" s="88" t="e" vm="5" cm="1">
        <f t="array" ca="1" aca="1" ref="AC43">_xlfn.LET(_xlpm._termname,$AB43,_xlpm._iconname,"find",_xlpm._icon,fx_getIcon(_xlpm._iconname),_xlpm._location,_xlfn.XLOOKUP(LOWER(_xlpm._termname),LOWER(tbl_acctDef[Term]),tbl_acctDef[Term]),_xlpm._hyperlink,HYPERLINK("#"&amp;CELL("address",_xlpm._location),_xlpm._icon),IFERROR(_xlpm._hyperlink,""))</f>
        <v>#VALUE!</v>
      </c>
      <c r="AD43" s="3229">
        <v>1</v>
      </c>
      <c r="AE43" s="3229">
        <v>1</v>
      </c>
      <c r="AF43" s="3229">
        <v>1</v>
      </c>
      <c r="AG43" s="3229">
        <v>1</v>
      </c>
      <c r="AH43" s="3229">
        <v>1</v>
      </c>
      <c r="AI43" s="3229">
        <v>1</v>
      </c>
      <c r="AJ43" s="3229">
        <v>1</v>
      </c>
      <c r="AK43" s="3229">
        <v>1</v>
      </c>
      <c r="AL43" s="3229">
        <v>1</v>
      </c>
      <c r="AM43" s="3229">
        <v>1</v>
      </c>
      <c r="AN43" s="3229">
        <v>1</v>
      </c>
      <c r="AO43" s="3229">
        <v>1</v>
      </c>
      <c r="AP43" s="3229">
        <v>1</v>
      </c>
      <c r="AQ43" s="3229">
        <v>1</v>
      </c>
      <c r="AR43" s="3229">
        <v>1</v>
      </c>
      <c r="AS43" s="3229">
        <v>1</v>
      </c>
      <c r="AT43" s="3229">
        <v>1</v>
      </c>
      <c r="AU43" s="3229">
        <v>1</v>
      </c>
      <c r="AV43" s="3229">
        <v>1</v>
      </c>
      <c r="AW43" s="3229">
        <v>1</v>
      </c>
      <c r="AX43" s="3229">
        <v>1</v>
      </c>
      <c r="AY43" s="3229">
        <v>1</v>
      </c>
      <c r="AZ43" s="3229">
        <v>1</v>
      </c>
      <c r="BA43" s="3229">
        <v>1</v>
      </c>
      <c r="BB43" s="3229">
        <v>1</v>
      </c>
      <c r="BC43" s="3229">
        <v>1</v>
      </c>
      <c r="BD43" s="3229">
        <v>1</v>
      </c>
      <c r="BE43" s="3229">
        <v>1</v>
      </c>
      <c r="BF43" s="3229">
        <v>1</v>
      </c>
      <c r="BG43" s="3229">
        <v>1</v>
      </c>
      <c r="BH43" s="3229">
        <v>1</v>
      </c>
      <c r="BI43" s="3229">
        <v>1</v>
      </c>
      <c r="BJ43" s="3229">
        <v>1</v>
      </c>
      <c r="BK43" s="3229">
        <v>1</v>
      </c>
      <c r="BL43" s="3229">
        <v>1</v>
      </c>
      <c r="BM43" s="3229">
        <v>1</v>
      </c>
      <c r="BN43" s="3229">
        <v>1</v>
      </c>
      <c r="BO43" s="2095"/>
      <c r="BP43" s="2095"/>
      <c r="BQ43" s="2095"/>
      <c r="BR43" s="2095"/>
      <c r="BS43" s="2095"/>
      <c r="BT43" s="2095"/>
      <c r="BU43" s="2095"/>
      <c r="BV43" s="2095"/>
      <c r="BW43" s="2095"/>
      <c r="BX43" s="2095"/>
      <c r="BY43" s="2095"/>
      <c r="BZ43" s="2095"/>
      <c r="CA43" s="926"/>
      <c r="CB43" s="921"/>
      <c r="CC43" s="927"/>
      <c r="CD43" s="2069" t="e" cm="1">
        <f t="array" ca="1" aca="1" ref="CD43">_xlfn.XLOOKUP(BS!CD$11,array_timeline,BS!$AD43:$BN43)</f>
        <v>#NAME?</v>
      </c>
      <c r="CE43" s="2069" t="e" cm="1">
        <f t="array" ca="1" aca="1" ref="CE43">_xlfn.XLOOKUP(BS!CE$11,array_timeline,BS!$AD43:$BN43)</f>
        <v>#NAME?</v>
      </c>
      <c r="CF43" s="925"/>
      <c r="CG43" s="3342" t="e" cm="1">
        <f t="array" ca="1" aca="1" ref="CG43">TODECIMAL(IFBLANK(_BS!CG43,""),fxVal_normal)</f>
        <v>#NAME?</v>
      </c>
      <c r="CH43" s="3342" t="e" cm="1">
        <f t="array" ca="1" aca="1" ref="CH43">TODECIMAL(IFBLANK(_BS!CH43,""),fxVal_normal)</f>
        <v>#NAME?</v>
      </c>
      <c r="CI43" s="200"/>
      <c r="CK43" s="2085" t="str" cm="1">
        <f t="array" ca="1" aca="1" ref="CK43">IFERROR(IF(Y43&lt;&gt;AB43,_xldudf_CX_PUSH(Y43,CX_ENTITY,C43,EOMONTH(val_asOfDate,0)),""),"")</f>
        <v/>
      </c>
      <c r="CL43" s="2085" t="str" cm="1">
        <f t="array" ca="1" aca="1" ref="CL43">IFERROR(IF(Y43&lt;&gt;AB43,_xldudf_CX_PUSH(Y43,CX_ENTITY,C43,EOMONTH(val_asOfDate,1)),""),"")</f>
        <v/>
      </c>
      <c r="CM43" s="2085" t="str" cm="1">
        <f t="array" ca="1" aca="1" ref="CM43">IFERROR(IF(Y43&lt;&gt;AB43,_xldudf_CX_PUSH(Y43,CX_ENTITY,C43,EOMONTH(val_asOfDate,2)),""),"")</f>
        <v/>
      </c>
      <c r="CN43" s="2085" t="str" cm="1">
        <f t="array" ca="1" aca="1" ref="CN43">IFERROR(IF(Y43&lt;&gt;AB43,_xldudf_CX_PUSH(Y43,CX_ENTITY,C43,EOMONTH(val_asOfDate,3)),""),"")</f>
        <v/>
      </c>
      <c r="CO43" s="2086" t="str" cm="1">
        <f t="array" ca="1" aca="1" ref="CO43">IFERROR(IF(CG43*fxVal_normal=_BS!CG43,"",IF(OR($CG43="",$CG43=0,NOT(ISNUMBER($CG43)),ISERROR($CG43),$B43=""),"",IF($I43=1,IFBLANK(_xldudf_CX_PUSH($CG43*10^6,CX_ENTITY,$B43,$CG$11,$CG$14,$CG$19,),""),IF($I43=2,IFBLANK(_xldudf_CX_PUSH($CG43,CX_ENTITY,$B43,$CG$11,$CG$14,$CG$19,),""),IF($I43=3,"",IFBLANK(_xldudf_CX_PUSH($CG43,CX_ENTITY,$B43,$CG$11,$CG$14,$CG$19,),"")))))),"")</f>
        <v/>
      </c>
      <c r="CP43" s="2086" t="str" cm="1">
        <f t="array" ca="1" aca="1" ref="CP43">IFERROR(IF(CH43*fxVal_normal=_BS!CH43,"",IF(OR($CH43="",$CH43=0,NOT(ISNUMBER($CH43)),ISERROR($CH43),$B43=""),"",IF($I43=1,IFBLANK(_xldudf_CX_PUSH($CH43*10^6,CX_ENTITY,$B43,$CH$11,$CH$14,$CH$19,),""),IF($I43=2,IFBLANK(_xldudf_CX_PUSH($CH43,CX_ENTITY,$B43,$CH$11,$CH$14,$CH$19,),""),IF($I43=3,"",IFBLANK(_xldudf_CX_PUSH($CH43,CX_ENTITY,$B43,$CH$11,$CH$14,$CH$19,),"")))))),"")</f>
        <v/>
      </c>
      <c r="CQ43" s="1883" t="str" cm="1">
        <f t="array" ca="1" aca="1" ref="CQ43">IFERROR(IF(AD43*fxVal_normal=_BS!AD43,"",IF(OR(AD43="",NOT(ISNUMBER(AD43)),ISERROR(AD43),$B43=""),"",IF($I43=1,IFBLANK(_xldudf_CX_PUSH(AD43*fxVal_normal,CX_ENTITY,$B43,AD$11,AD$14,AD$19,),""),IF($I43=2,IFBLANK(_xldudf_CX_PUSH(AD43,CX_ENTITY,$B43,AD$11,AD$14,AD$19,),""),IF($I43=3,"",IFBLANK(_xldudf_CX_PUSH(AD43,CX_ENTITY,$B43,AD$11,AD$14,AD$19,),"")))))),"")</f>
        <v/>
      </c>
      <c r="CR43" s="1883" t="str" cm="1">
        <f t="array" ca="1" aca="1" ref="CR43">IFERROR(IF(AE43*fxVal_normal=_BS!AE43,"",IF(OR(AE43="",NOT(ISNUMBER(AE43)),ISERROR(AE43),$B43=""),"",IF($I43=1,IFBLANK(_xldudf_CX_PUSH(AE43*fxVal_normal,CX_ENTITY,$B43,AE$11,AE$14,AE$19,),""),IF($I43=2,IFBLANK(_xldudf_CX_PUSH(AE43,CX_ENTITY,$B43,AE$11,AE$14,AE$19,),""),IF($I43=3,"",IFBLANK(_xldudf_CX_PUSH(AE43,CX_ENTITY,$B43,AE$11,AE$14,AE$19,),"")))))),"")</f>
        <v/>
      </c>
      <c r="CS43" s="1883" t="str" cm="1">
        <f t="array" ca="1" aca="1" ref="CS43">IFERROR(IF(AF43*fxVal_normal=_BS!AF43,"",IF(OR(AF43="",NOT(ISNUMBER(AF43)),ISERROR(AF43),$B43=""),"",IF($I43=1,IFBLANK(_xldudf_CX_PUSH(AF43*fxVal_normal,CX_ENTITY,$B43,AF$11,AF$14,AF$19,),""),IF($I43=2,IFBLANK(_xldudf_CX_PUSH(AF43,CX_ENTITY,$B43,AF$11,AF$14,AF$19,),""),IF($I43=3,"",IFBLANK(_xldudf_CX_PUSH(AF43,CX_ENTITY,$B43,AF$11,AF$14,AF$19,),"")))))),"")</f>
        <v/>
      </c>
      <c r="CT43" s="1883" t="str" cm="1">
        <f t="array" ca="1" aca="1" ref="CT43">IFERROR(IF(AG43*fxVal_normal=_BS!AG43,"",IF(OR(AG43="",NOT(ISNUMBER(AG43)),ISERROR(AG43),$B43=""),"",IF($I43=1,IFBLANK(_xldudf_CX_PUSH(AG43*fxVal_normal,CX_ENTITY,$B43,AG$11,AG$14,AG$19,),""),IF($I43=2,IFBLANK(_xldudf_CX_PUSH(AG43,CX_ENTITY,$B43,AG$11,AG$14,AG$19,),""),IF($I43=3,"",IFBLANK(_xldudf_CX_PUSH(AG43,CX_ENTITY,$B43,AG$11,AG$14,AG$19,),"")))))),"")</f>
        <v/>
      </c>
      <c r="CU43" s="1883" t="str" cm="1">
        <f t="array" ca="1" aca="1" ref="CU43">IFERROR(IF(AH43*fxVal_normal=_BS!AH43,"",IF(OR(AH43="",NOT(ISNUMBER(AH43)),ISERROR(AH43),$B43=""),"",IF($I43=1,IFBLANK(_xldudf_CX_PUSH(AH43*fxVal_normal,CX_ENTITY,$B43,AH$11,AH$14,AH$19,),""),IF($I43=2,IFBLANK(_xldudf_CX_PUSH(AH43,CX_ENTITY,$B43,AH$11,AH$14,AH$19,),""),IF($I43=3,"",IFBLANK(_xldudf_CX_PUSH(AH43,CX_ENTITY,$B43,AH$11,AH$14,AH$19,),"")))))),"")</f>
        <v/>
      </c>
      <c r="CV43" s="1883" t="str" cm="1">
        <f t="array" ca="1" aca="1" ref="CV43">IFERROR(IF(AI43*fxVal_normal=_BS!AI43,"",IF(OR(AI43="",NOT(ISNUMBER(AI43)),ISERROR(AI43),$B43=""),"",IF($I43=1,IFBLANK(_xldudf_CX_PUSH(AI43*fxVal_normal,CX_ENTITY,$B43,AI$11,AI$14,AI$19,),""),IF($I43=2,IFBLANK(_xldudf_CX_PUSH(AI43,CX_ENTITY,$B43,AI$11,AI$14,AI$19,),""),IF($I43=3,"",IFBLANK(_xldudf_CX_PUSH(AI43,CX_ENTITY,$B43,AI$11,AI$14,AI$19,),"")))))),"")</f>
        <v/>
      </c>
      <c r="CW43" s="1883" t="str" cm="1">
        <f t="array" ca="1" aca="1" ref="CW43">IFERROR(IF(AJ43*fxVal_normal=_BS!AJ43,"",IF(OR(AJ43="",NOT(ISNUMBER(AJ43)),ISERROR(AJ43),$B43=""),"",IF($I43=1,IFBLANK(_xldudf_CX_PUSH(AJ43*fxVal_normal,CX_ENTITY,$B43,AJ$11,AJ$14,AJ$19,),""),IF($I43=2,IFBLANK(_xldudf_CX_PUSH(AJ43,CX_ENTITY,$B43,AJ$11,AJ$14,AJ$19,),""),IF($I43=3,"",IFBLANK(_xldudf_CX_PUSH(AJ43,CX_ENTITY,$B43,AJ$11,AJ$14,AJ$19,),"")))))),"")</f>
        <v/>
      </c>
      <c r="CX43" s="1883" t="str" cm="1">
        <f t="array" ca="1" aca="1" ref="CX43">IFERROR(IF(AK43*fxVal_normal=_BS!AK43,"",IF(OR(AK43="",NOT(ISNUMBER(AK43)),ISERROR(AK43),$B43=""),"",IF($I43=1,IFBLANK(_xldudf_CX_PUSH(AK43*fxVal_normal,CX_ENTITY,$B43,AK$11,AK$14,AK$19,),""),IF($I43=2,IFBLANK(_xldudf_CX_PUSH(AK43,CX_ENTITY,$B43,AK$11,AK$14,AK$19,),""),IF($I43=3,"",IFBLANK(_xldudf_CX_PUSH(AK43,CX_ENTITY,$B43,AK$11,AK$14,AK$19,),"")))))),"")</f>
        <v/>
      </c>
      <c r="CY43" s="1883" t="str" cm="1">
        <f t="array" ca="1" aca="1" ref="CY43">IFERROR(IF(AL43*fxVal_normal=_BS!AL43,"",IF(OR(AL43="",NOT(ISNUMBER(AL43)),ISERROR(AL43),$B43=""),"",IF($I43=1,IFBLANK(_xldudf_CX_PUSH(AL43*fxVal_normal,CX_ENTITY,$B43,AL$11,AL$14,AL$19,),""),IF($I43=2,IFBLANK(_xldudf_CX_PUSH(AL43,CX_ENTITY,$B43,AL$11,AL$14,AL$19,),""),IF($I43=3,"",IFBLANK(_xldudf_CX_PUSH(AL43,CX_ENTITY,$B43,AL$11,AL$14,AL$19,),"")))))),"")</f>
        <v/>
      </c>
      <c r="CZ43" s="1883" t="str" cm="1">
        <f t="array" ca="1" aca="1" ref="CZ43">IFERROR(IF(AM43*fxVal_normal=_BS!AM43,"",IF(OR(AM43="",NOT(ISNUMBER(AM43)),ISERROR(AM43),$B43=""),"",IF($I43=1,IFBLANK(_xldudf_CX_PUSH(AM43*fxVal_normal,CX_ENTITY,$B43,AM$11,AM$14,AM$19,),""),IF($I43=2,IFBLANK(_xldudf_CX_PUSH(AM43,CX_ENTITY,$B43,AM$11,AM$14,AM$19,),""),IF($I43=3,"",IFBLANK(_xldudf_CX_PUSH(AM43,CX_ENTITY,$B43,AM$11,AM$14,AM$19,),"")))))),"")</f>
        <v/>
      </c>
      <c r="DA43" s="1883" t="str" cm="1">
        <f t="array" ca="1" aca="1" ref="DA43">IFERROR(IF(AN43*fxVal_normal=_BS!AN43,"",IF(OR(AN43="",NOT(ISNUMBER(AN43)),ISERROR(AN43),$B43=""),"",IF($I43=1,IFBLANK(_xldudf_CX_PUSH(AN43*fxVal_normal,CX_ENTITY,$B43,AN$11,AN$14,AN$19,),""),IF($I43=2,IFBLANK(_xldudf_CX_PUSH(AN43,CX_ENTITY,$B43,AN$11,AN$14,AN$19,),""),IF($I43=3,"",IFBLANK(_xldudf_CX_PUSH(AN43,CX_ENTITY,$B43,AN$11,AN$14,AN$19,),"")))))),"")</f>
        <v/>
      </c>
      <c r="DB43" s="1883" t="str" cm="1">
        <f t="array" ca="1" aca="1" ref="DB43">IFERROR(IF(AO43*fxVal_normal=_BS!AO43,"",IF(OR(AO43="",NOT(ISNUMBER(AO43)),ISERROR(AO43),$B43=""),"",IF($I43=1,IFBLANK(_xldudf_CX_PUSH(AO43*fxVal_normal,CX_ENTITY,$B43,AO$11,AO$14,AO$19,),""),IF($I43=2,IFBLANK(_xldudf_CX_PUSH(AO43,CX_ENTITY,$B43,AO$11,AO$14,AO$19,),""),IF($I43=3,"",IFBLANK(_xldudf_CX_PUSH(AO43,CX_ENTITY,$B43,AO$11,AO$14,AO$19,),"")))))),"")</f>
        <v/>
      </c>
      <c r="DC43" s="1883" t="str" cm="1">
        <f t="array" ca="1" aca="1" ref="DC43">IFERROR(IF(AP43*fxVal_normal=_BS!AP43,"",IF(OR(AP43="",NOT(ISNUMBER(AP43)),ISERROR(AP43),$B43=""),"",IF($I43=1,IFBLANK(_xldudf_CX_PUSH(AP43*fxVal_normal,CX_ENTITY,$B43,AP$11,AP$14,AP$19,),""),IF($I43=2,IFBLANK(_xldudf_CX_PUSH(AP43,CX_ENTITY,$B43,AP$11,AP$14,AP$19,),""),IF($I43=3,"",IFBLANK(_xldudf_CX_PUSH(AP43,CX_ENTITY,$B43,AP$11,AP$14,AP$19,),"")))))),"")</f>
        <v/>
      </c>
      <c r="DD43" s="1883" t="str" cm="1">
        <f t="array" ca="1" aca="1" ref="DD43">IFERROR(IF(AQ43*fxVal_normal=_BS!AQ43,"",IF(OR(AQ43="",NOT(ISNUMBER(AQ43)),ISERROR(AQ43),$B43=""),"",IF($I43=1,IFBLANK(_xldudf_CX_PUSH(AQ43*fxVal_normal,CX_ENTITY,$B43,AQ$11,AQ$14,AQ$19,),""),IF($I43=2,IFBLANK(_xldudf_CX_PUSH(AQ43,CX_ENTITY,$B43,AQ$11,AQ$14,AQ$19,),""),IF($I43=3,"",IFBLANK(_xldudf_CX_PUSH(AQ43,CX_ENTITY,$B43,AQ$11,AQ$14,AQ$19,),"")))))),"")</f>
        <v/>
      </c>
      <c r="DE43" s="1883" t="str" cm="1">
        <f t="array" ca="1" aca="1" ref="DE43">IFERROR(IF(AR43*fxVal_normal=_BS!AR43,"",IF(OR(AR43="",NOT(ISNUMBER(AR43)),ISERROR(AR43),$B43=""),"",IF($I43=1,IFBLANK(_xldudf_CX_PUSH(AR43*fxVal_normal,CX_ENTITY,$B43,AR$11,AR$14,AR$19,),""),IF($I43=2,IFBLANK(_xldudf_CX_PUSH(AR43,CX_ENTITY,$B43,AR$11,AR$14,AR$19,),""),IF($I43=3,"",IFBLANK(_xldudf_CX_PUSH(AR43,CX_ENTITY,$B43,AR$11,AR$14,AR$19,),"")))))),"")</f>
        <v/>
      </c>
      <c r="DF43" s="1883" t="str" cm="1">
        <f t="array" ca="1" aca="1" ref="DF43">IFERROR(IF(AS43*fxVal_normal=_BS!AS43,"",IF(OR(AS43="",NOT(ISNUMBER(AS43)),ISERROR(AS43),$B43=""),"",IF($I43=1,IFBLANK(_xldudf_CX_PUSH(AS43*fxVal_normal,CX_ENTITY,$B43,AS$11,AS$14,AS$19,),""),IF($I43=2,IFBLANK(_xldudf_CX_PUSH(AS43,CX_ENTITY,$B43,AS$11,AS$14,AS$19,),""),IF($I43=3,"",IFBLANK(_xldudf_CX_PUSH(AS43,CX_ENTITY,$B43,AS$11,AS$14,AS$19,),"")))))),"")</f>
        <v/>
      </c>
      <c r="DG43" s="1883" t="str" cm="1">
        <f t="array" ca="1" aca="1" ref="DG43">IFERROR(IF(AT43*fxVal_normal=_BS!AT43,"",IF(OR(AT43="",NOT(ISNUMBER(AT43)),ISERROR(AT43),$B43=""),"",IF($I43=1,IFBLANK(_xldudf_CX_PUSH(AT43*fxVal_normal,CX_ENTITY,$B43,AT$11,AT$14,AT$19,),""),IF($I43=2,IFBLANK(_xldudf_CX_PUSH(AT43,CX_ENTITY,$B43,AT$11,AT$14,AT$19,),""),IF($I43=3,"",IFBLANK(_xldudf_CX_PUSH(AT43,CX_ENTITY,$B43,AT$11,AT$14,AT$19,),"")))))),"")</f>
        <v/>
      </c>
      <c r="DH43" s="1883" t="str" cm="1">
        <f t="array" ca="1" aca="1" ref="DH43">IFERROR(IF(AU43*fxVal_normal=_BS!AU43,"",IF(OR(AU43="",NOT(ISNUMBER(AU43)),ISERROR(AU43),$B43=""),"",IF($I43=1,IFBLANK(_xldudf_CX_PUSH(AU43*fxVal_normal,CX_ENTITY,$B43,AU$11,AU$14,AU$19,),""),IF($I43=2,IFBLANK(_xldudf_CX_PUSH(AU43,CX_ENTITY,$B43,AU$11,AU$14,AU$19,),""),IF($I43=3,"",IFBLANK(_xldudf_CX_PUSH(AU43,CX_ENTITY,$B43,AU$11,AU$14,AU$19,),"")))))),"")</f>
        <v/>
      </c>
      <c r="DI43" s="1883" t="str" cm="1">
        <f t="array" ca="1" aca="1" ref="DI43">IFERROR(IF(AV43*fxVal_normal=_BS!AV43,"",IF(OR(AV43="",NOT(ISNUMBER(AV43)),ISERROR(AV43),$B43=""),"",IF($I43=1,IFBLANK(_xldudf_CX_PUSH(AV43*fxVal_normal,CX_ENTITY,$B43,AV$11,AV$14,AV$19,),""),IF($I43=2,IFBLANK(_xldudf_CX_PUSH(AV43,CX_ENTITY,$B43,AV$11,AV$14,AV$19,),""),IF($I43=3,"",IFBLANK(_xldudf_CX_PUSH(AV43,CX_ENTITY,$B43,AV$11,AV$14,AV$19,),"")))))),"")</f>
        <v/>
      </c>
      <c r="DJ43" s="1883" t="str" cm="1">
        <f t="array" ca="1" aca="1" ref="DJ43">IFERROR(IF(AW43*fxVal_normal=_BS!AW43,"",IF(OR(AW43="",NOT(ISNUMBER(AW43)),ISERROR(AW43),$B43=""),"",IF($I43=1,IFBLANK(_xldudf_CX_PUSH(AW43*fxVal_normal,CX_ENTITY,$B43,AW$11,AW$14,AW$19,),""),IF($I43=2,IFBLANK(_xldudf_CX_PUSH(AW43,CX_ENTITY,$B43,AW$11,AW$14,AW$19,),""),IF($I43=3,"",IFBLANK(_xldudf_CX_PUSH(AW43,CX_ENTITY,$B43,AW$11,AW$14,AW$19,),"")))))),"")</f>
        <v/>
      </c>
      <c r="DK43" s="1883" t="str" cm="1">
        <f t="array" ca="1" aca="1" ref="DK43">IFERROR(IF(AX43*fxVal_normal=_BS!AX43,"",IF(OR(AX43="",NOT(ISNUMBER(AX43)),ISERROR(AX43),$B43=""),"",IF($I43=1,IFBLANK(_xldudf_CX_PUSH(AX43*fxVal_normal,CX_ENTITY,$B43,AX$11,AX$14,AX$19,),""),IF($I43=2,IFBLANK(_xldudf_CX_PUSH(AX43,CX_ENTITY,$B43,AX$11,AX$14,AX$19,),""),IF($I43=3,"",IFBLANK(_xldudf_CX_PUSH(AX43,CX_ENTITY,$B43,AX$11,AX$14,AX$19,),"")))))),"")</f>
        <v/>
      </c>
      <c r="DL43" s="1883" t="str" cm="1">
        <f t="array" ca="1" aca="1" ref="DL43">IFERROR(IF(AY43*fxVal_normal=_BS!AY43,"",IF(OR(AY43="",NOT(ISNUMBER(AY43)),ISERROR(AY43),$B43=""),"",IF($I43=1,IFBLANK(_xldudf_CX_PUSH(AY43*fxVal_normal,CX_ENTITY,$B43,AY$11,AY$14,AY$19,),""),IF($I43=2,IFBLANK(_xldudf_CX_PUSH(AY43,CX_ENTITY,$B43,AY$11,AY$14,AY$19,),""),IF($I43=3,"",IFBLANK(_xldudf_CX_PUSH(AY43,CX_ENTITY,$B43,AY$11,AY$14,AY$19,),"")))))),"")</f>
        <v/>
      </c>
      <c r="DM43" s="1883" t="str" cm="1">
        <f t="array" ca="1" aca="1" ref="DM43">IFERROR(IF(AZ43*fxVal_normal=_BS!AZ43,"",IF(OR(AZ43="",NOT(ISNUMBER(AZ43)),ISERROR(AZ43),$B43=""),"",IF($I43=1,IFBLANK(_xldudf_CX_PUSH(AZ43*fxVal_normal,CX_ENTITY,$B43,AZ$11,AZ$14,AZ$19,),""),IF($I43=2,IFBLANK(_xldudf_CX_PUSH(AZ43,CX_ENTITY,$B43,AZ$11,AZ$14,AZ$19,),""),IF($I43=3,"",IFBLANK(_xldudf_CX_PUSH(AZ43,CX_ENTITY,$B43,AZ$11,AZ$14,AZ$19,),"")))))),"")</f>
        <v/>
      </c>
      <c r="DN43" s="1883" t="str" cm="1">
        <f t="array" ca="1" aca="1" ref="DN43">IFERROR(IF(BA43*fxVal_normal=_BS!BA43,"",IF(OR(BA43="",NOT(ISNUMBER(BA43)),ISERROR(BA43),$B43=""),"",IF($I43=1,IFBLANK(_xldudf_CX_PUSH(BA43*fxVal_normal,CX_ENTITY,$B43,BA$11,BA$14,BA$19,),""),IF($I43=2,IFBLANK(_xldudf_CX_PUSH(BA43,CX_ENTITY,$B43,BA$11,BA$14,BA$19,),""),IF($I43=3,"",IFBLANK(_xldudf_CX_PUSH(BA43,CX_ENTITY,$B43,BA$11,BA$14,BA$19,),"")))))),"")</f>
        <v/>
      </c>
      <c r="DO43" s="1883" t="str" cm="1">
        <f t="array" ca="1" aca="1" ref="DO43">IFERROR(IF(BB43*fxVal_normal=_BS!BB43,"",IF(OR(BB43="",NOT(ISNUMBER(BB43)),ISERROR(BB43),$B43=""),"",IF($I43=1,IFBLANK(_xldudf_CX_PUSH(BB43*fxVal_normal,CX_ENTITY,$B43,BB$11,BB$14,BB$19,),""),IF($I43=2,IFBLANK(_xldudf_CX_PUSH(BB43,CX_ENTITY,$B43,BB$11,BB$14,BB$19,),""),IF($I43=3,"",IFBLANK(_xldudf_CX_PUSH(BB43,CX_ENTITY,$B43,BB$11,BB$14,BB$19,),"")))))),"")</f>
        <v/>
      </c>
      <c r="DP43" s="1883" t="str" cm="1">
        <f t="array" ca="1" aca="1" ref="DP43">IFERROR(IF(BC43*fxVal_normal=_BS!BC43,"",IF(OR(BC43="",NOT(ISNUMBER(BC43)),ISERROR(BC43),$B43=""),"",IF($I43=1,IFBLANK(_xldudf_CX_PUSH(BC43*fxVal_normal,CX_ENTITY,$B43,BC$11,BC$14,BC$19,),""),IF($I43=2,IFBLANK(_xldudf_CX_PUSH(BC43,CX_ENTITY,$B43,BC$11,BC$14,BC$19,),""),IF($I43=3,"",IFBLANK(_xldudf_CX_PUSH(BC43,CX_ENTITY,$B43,BC$11,BC$14,BC$19,),"")))))),"")</f>
        <v/>
      </c>
      <c r="DQ43" s="1883" t="str" cm="1">
        <f t="array" ca="1" aca="1" ref="DQ43">IFERROR(IF(BD43*fxVal_normal=_BS!BD43,"",IF(OR(BD43="",NOT(ISNUMBER(BD43)),ISERROR(BD43),$B43=""),"",IF($I43=1,IFBLANK(_xldudf_CX_PUSH(BD43*fxVal_normal,CX_ENTITY,$B43,BD$11,BD$14,BD$19,),""),IF($I43=2,IFBLANK(_xldudf_CX_PUSH(BD43,CX_ENTITY,$B43,BD$11,BD$14,BD$19,),""),IF($I43=3,"",IFBLANK(_xldudf_CX_PUSH(BD43,CX_ENTITY,$B43,BD$11,BD$14,BD$19,),"")))))),"")</f>
        <v/>
      </c>
      <c r="DR43" s="1883" t="str" cm="1">
        <f t="array" ca="1" aca="1" ref="DR43">IFERROR(IF(BE43*fxVal_normal=_BS!BE43,"",IF(OR(BE43="",NOT(ISNUMBER(BE43)),ISERROR(BE43),$B43=""),"",IF($I43=1,IFBLANK(_xldudf_CX_PUSH(BE43*fxVal_normal,CX_ENTITY,$B43,BE$11,BE$14,BE$19,),""),IF($I43=2,IFBLANK(_xldudf_CX_PUSH(BE43,CX_ENTITY,$B43,BE$11,BE$14,BE$19,),""),IF($I43=3,"",IFBLANK(_xldudf_CX_PUSH(BE43,CX_ENTITY,$B43,BE$11,BE$14,BE$19,),"")))))),"")</f>
        <v/>
      </c>
      <c r="DS43" s="1883" t="str" cm="1">
        <f t="array" ca="1" aca="1" ref="DS43">IFERROR(IF(BF43*fxVal_normal=_BS!BF43,"",IF(OR(BF43="",NOT(ISNUMBER(BF43)),ISERROR(BF43),$B43=""),"",IF($I43=1,IFBLANK(_xldudf_CX_PUSH(BF43*fxVal_normal,CX_ENTITY,$B43,BF$11,BF$14,BF$19,),""),IF($I43=2,IFBLANK(_xldudf_CX_PUSH(BF43,CX_ENTITY,$B43,BF$11,BF$14,BF$19,),""),IF($I43=3,"",IFBLANK(_xldudf_CX_PUSH(BF43,CX_ENTITY,$B43,BF$11,BF$14,BF$19,),"")))))),"")</f>
        <v/>
      </c>
      <c r="DT43" s="1883" t="str" cm="1">
        <f t="array" ca="1" aca="1" ref="DT43">IFERROR(IF(BG43*fxVal_normal=_BS!BG43,"",IF(OR(BG43="",NOT(ISNUMBER(BG43)),ISERROR(BG43),$B43=""),"",IF($I43=1,IFBLANK(_xldudf_CX_PUSH(BG43*fxVal_normal,CX_ENTITY,$B43,BG$11,BG$14,BG$19,),""),IF($I43=2,IFBLANK(_xldudf_CX_PUSH(BG43,CX_ENTITY,$B43,BG$11,BG$14,BG$19,),""),IF($I43=3,"",IFBLANK(_xldudf_CX_PUSH(BG43,CX_ENTITY,$B43,BG$11,BG$14,BG$19,),"")))))),"")</f>
        <v/>
      </c>
      <c r="DU43" s="1883" t="str" cm="1">
        <f t="array" ca="1" aca="1" ref="DU43">IFERROR(IF(BH43*fxVal_normal=_BS!BH43,"",IF(OR(BH43="",NOT(ISNUMBER(BH43)),ISERROR(BH43),$B43=""),"",IF($I43=1,IFBLANK(_xldudf_CX_PUSH(BH43*fxVal_normal,CX_ENTITY,$B43,BH$11,BH$14,BH$19,),""),IF($I43=2,IFBLANK(_xldudf_CX_PUSH(BH43,CX_ENTITY,$B43,BH$11,BH$14,BH$19,),""),IF($I43=3,"",IFBLANK(_xldudf_CX_PUSH(BH43,CX_ENTITY,$B43,BH$11,BH$14,BH$19,),"")))))),"")</f>
        <v/>
      </c>
      <c r="DV43" s="1883" t="str" cm="1">
        <f t="array" ca="1" aca="1" ref="DV43">IFERROR(IF(BI43*fxVal_normal=_BS!BI43,"",IF(OR(BI43="",NOT(ISNUMBER(BI43)),ISERROR(BI43),$B43=""),"",IF($I43=1,IFBLANK(_xldudf_CX_PUSH(BI43*fxVal_normal,CX_ENTITY,$B43,BI$11,BI$14,BI$19,),""),IF($I43=2,IFBLANK(_xldudf_CX_PUSH(BI43,CX_ENTITY,$B43,BI$11,BI$14,BI$19,),""),IF($I43=3,"",IFBLANK(_xldudf_CX_PUSH(BI43,CX_ENTITY,$B43,BI$11,BI$14,BI$19,),"")))))),"")</f>
        <v/>
      </c>
      <c r="DW43" s="1883" t="str" cm="1">
        <f t="array" ca="1" aca="1" ref="DW43">IFERROR(IF(BJ43*fxVal_normal=_BS!BJ43,"",IF(OR(BJ43="",NOT(ISNUMBER(BJ43)),ISERROR(BJ43),$B43=""),"",IF($I43=1,IFBLANK(_xldudf_CX_PUSH(BJ43*fxVal_normal,CX_ENTITY,$B43,BJ$11,BJ$14,BJ$19,),""),IF($I43=2,IFBLANK(_xldudf_CX_PUSH(BJ43,CX_ENTITY,$B43,BJ$11,BJ$14,BJ$19,),""),IF($I43=3,"",IFBLANK(_xldudf_CX_PUSH(BJ43,CX_ENTITY,$B43,BJ$11,BJ$14,BJ$19,),"")))))),"")</f>
        <v/>
      </c>
      <c r="DX43" s="1883" t="str" cm="1">
        <f t="array" ca="1" aca="1" ref="DX43">IFERROR(IF(BK43*fxVal_normal=_BS!BK43,"",IF(OR(BK43="",NOT(ISNUMBER(BK43)),ISERROR(BK43),$B43=""),"",IF($I43=1,IFBLANK(_xldudf_CX_PUSH(BK43*fxVal_normal,CX_ENTITY,$B43,BK$11,BK$14,BK$19,),""),IF($I43=2,IFBLANK(_xldudf_CX_PUSH(BK43,CX_ENTITY,$B43,BK$11,BK$14,BK$19,),""),IF($I43=3,"",IFBLANK(_xldudf_CX_PUSH(BK43,CX_ENTITY,$B43,BK$11,BK$14,BK$19,),"")))))),"")</f>
        <v/>
      </c>
      <c r="DY43" s="1883" t="str" cm="1">
        <f t="array" ca="1" aca="1" ref="DY43">IFERROR(IF(BL43*fxVal_normal=_BS!BL43,"",IF(OR(BL43="",NOT(ISNUMBER(BL43)),ISERROR(BL43),$B43=""),"",IF($I43=1,IFBLANK(_xldudf_CX_PUSH(BL43*fxVal_normal,CX_ENTITY,$B43,BL$11,BL$14,BL$19,),""),IF($I43=2,IFBLANK(_xldudf_CX_PUSH(BL43,CX_ENTITY,$B43,BL$11,BL$14,BL$19,),""),IF($I43=3,"",IFBLANK(_xldudf_CX_PUSH(BL43,CX_ENTITY,$B43,BL$11,BL$14,BL$19,),"")))))),"")</f>
        <v/>
      </c>
      <c r="DZ43" s="1883" t="str" cm="1">
        <f t="array" ca="1" aca="1" ref="DZ43">IFERROR(IF(BM43*fxVal_normal=_BS!BM43,"",IF(OR(BM43="",NOT(ISNUMBER(BM43)),ISERROR(BM43),$B43=""),"",IF($I43=1,IFBLANK(_xldudf_CX_PUSH(BM43*fxVal_normal,CX_ENTITY,$B43,BM$11,BM$14,BM$19,),""),IF($I43=2,IFBLANK(_xldudf_CX_PUSH(BM43,CX_ENTITY,$B43,BM$11,BM$14,BM$19,),""),IF($I43=3,"",IFBLANK(_xldudf_CX_PUSH(BM43,CX_ENTITY,$B43,BM$11,BM$14,BM$19,),"")))))),"")</f>
        <v/>
      </c>
      <c r="EA43" s="1883" t="str" cm="1">
        <f t="array" ca="1" aca="1" ref="EA43">IFERROR(IF(BN43*fxVal_normal=_BS!BN43,"",IF(OR(BN43="",NOT(ISNUMBER(BN43)),ISERROR(BN43),$B43=""),"",IF($I43=1,IFBLANK(_xldudf_CX_PUSH(BN43*fxVal_normal,CX_ENTITY,$B43,BN$11,BN$14,BN$19,),""),IF($I43=2,IFBLANK(_xldudf_CX_PUSH(BN43,CX_ENTITY,$B43,BN$11,BN$14,BN$19,),""),IF($I43=3,"",IFBLANK(_xldudf_CX_PUSH(BN43,CX_ENTITY,$B43,BN$11,BN$14,BN$19,),"")))))),"")</f>
        <v/>
      </c>
    </row>
    <row r="44" spans="1:131" ht="21" customHeight="1">
      <c r="A44" s="1626"/>
      <c r="B44" s="811" t="str" cm="1">
        <f t="array" ref="B44">IFBLANK(_BS!F44,"")</f>
        <v>Other debt Like items (on BS)</v>
      </c>
      <c r="C44" s="3346" t="str" cm="1">
        <f t="array" ref="C44">IFBLANK(_BS!C44,"")</f>
        <v>Other debt Like items (on BS) (Company View)</v>
      </c>
      <c r="D44" s="1549"/>
      <c r="E44" s="1902" t="e" cm="1">
        <f t="array" ca="1" aca="1" ref="E4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44:$CH44,Z44)</f>
        <v>#NAME?</v>
      </c>
      <c r="F44" s="1897"/>
      <c r="G44" s="1897"/>
      <c r="H44" s="3280">
        <v>1</v>
      </c>
      <c r="I44" s="3280">
        <v>1</v>
      </c>
      <c r="J44" s="401"/>
      <c r="N44" s="158"/>
      <c r="O44" s="101"/>
      <c r="P44" s="52"/>
      <c r="Q44" s="101"/>
      <c r="R44" s="126"/>
      <c r="S44" s="101"/>
      <c r="T44" s="101"/>
      <c r="U44" s="39"/>
      <c r="W44" s="91" t="str">
        <f t="shared" si="1"/>
        <v>Actual</v>
      </c>
      <c r="X44" s="857">
        <f>_BS!X44</f>
        <v>-1</v>
      </c>
      <c r="Y44" s="3183">
        <v>2</v>
      </c>
      <c r="Z44" s="3291" cm="1">
        <f t="array" ref="Z44">_xlfn.SWITCH(TRUE,_BS!$L44=TRUE,1,_BS!$L44=FALSE,-1,_BS!$L44=-1,0,"n/a")</f>
        <v>1</v>
      </c>
      <c r="AA44" s="200"/>
      <c r="AB44" s="3343" t="str">
        <f>_BS!AB44</f>
        <v>Other debt Like items (on BS)</v>
      </c>
      <c r="AC44" s="88" t="e" vm="5" cm="1">
        <f t="array" ca="1" aca="1" ref="AC44">_xlfn.LET(_xlpm._termname,$AB44,_xlpm._iconname,"find",_xlpm._icon,fx_getIcon(_xlpm._iconname),_xlpm._location,_xlfn.XLOOKUP(LOWER(_xlpm._termname),LOWER(tbl_acctDef[Term]),tbl_acctDef[Term]),_xlpm._hyperlink,HYPERLINK("#"&amp;CELL("address",_xlpm._location),_xlpm._icon),IFERROR(_xlpm._hyperlink,""))</f>
        <v>#VALUE!</v>
      </c>
      <c r="AD44" s="3229">
        <v>1</v>
      </c>
      <c r="AE44" s="3229">
        <v>1</v>
      </c>
      <c r="AF44" s="3229">
        <v>1</v>
      </c>
      <c r="AG44" s="3229">
        <v>1</v>
      </c>
      <c r="AH44" s="3229">
        <v>1</v>
      </c>
      <c r="AI44" s="3229">
        <v>1</v>
      </c>
      <c r="AJ44" s="3229">
        <v>1</v>
      </c>
      <c r="AK44" s="3229">
        <v>1</v>
      </c>
      <c r="AL44" s="3229">
        <v>1</v>
      </c>
      <c r="AM44" s="3229">
        <v>1</v>
      </c>
      <c r="AN44" s="3229">
        <v>1</v>
      </c>
      <c r="AO44" s="3229">
        <v>1</v>
      </c>
      <c r="AP44" s="3229">
        <v>1</v>
      </c>
      <c r="AQ44" s="3229">
        <v>1</v>
      </c>
      <c r="AR44" s="3229">
        <v>1</v>
      </c>
      <c r="AS44" s="3229">
        <v>1</v>
      </c>
      <c r="AT44" s="3229">
        <v>1</v>
      </c>
      <c r="AU44" s="3229">
        <v>1</v>
      </c>
      <c r="AV44" s="3229">
        <v>1</v>
      </c>
      <c r="AW44" s="3229">
        <v>1</v>
      </c>
      <c r="AX44" s="3229">
        <v>1</v>
      </c>
      <c r="AY44" s="3229">
        <v>1</v>
      </c>
      <c r="AZ44" s="3229">
        <v>1</v>
      </c>
      <c r="BA44" s="3229">
        <v>1</v>
      </c>
      <c r="BB44" s="3229">
        <v>1</v>
      </c>
      <c r="BC44" s="3229">
        <v>1</v>
      </c>
      <c r="BD44" s="3229">
        <v>1</v>
      </c>
      <c r="BE44" s="3229">
        <v>1</v>
      </c>
      <c r="BF44" s="3229">
        <v>1</v>
      </c>
      <c r="BG44" s="3229">
        <v>1</v>
      </c>
      <c r="BH44" s="3229">
        <v>1</v>
      </c>
      <c r="BI44" s="3229">
        <v>1</v>
      </c>
      <c r="BJ44" s="3229">
        <v>1</v>
      </c>
      <c r="BK44" s="3229">
        <v>1</v>
      </c>
      <c r="BL44" s="3229">
        <v>1</v>
      </c>
      <c r="BM44" s="3229">
        <v>1</v>
      </c>
      <c r="BN44" s="3229">
        <v>1</v>
      </c>
      <c r="BO44" s="2095"/>
      <c r="BP44" s="2095"/>
      <c r="BQ44" s="2095"/>
      <c r="BR44" s="2095"/>
      <c r="BS44" s="2095"/>
      <c r="BT44" s="2095"/>
      <c r="BU44" s="2095"/>
      <c r="BV44" s="2095"/>
      <c r="BW44" s="2095"/>
      <c r="BX44" s="2095"/>
      <c r="BY44" s="2095"/>
      <c r="BZ44" s="2095"/>
      <c r="CA44" s="926"/>
      <c r="CB44" s="921"/>
      <c r="CC44" s="927"/>
      <c r="CD44" s="2069" t="e" cm="1">
        <f t="array" ca="1" aca="1" ref="CD44">_xlfn.XLOOKUP(BS!CD$11,array_timeline,BS!$AD44:$BN44)</f>
        <v>#NAME?</v>
      </c>
      <c r="CE44" s="2069" t="e" cm="1">
        <f t="array" ca="1" aca="1" ref="CE44">_xlfn.XLOOKUP(BS!CE$11,array_timeline,BS!$AD44:$BN44)</f>
        <v>#NAME?</v>
      </c>
      <c r="CF44" s="925"/>
      <c r="CG44" s="3342" t="e" cm="1">
        <f t="array" ca="1" aca="1" ref="CG44">TODECIMAL(IFBLANK(_BS!CG44,""),fxVal_normal)</f>
        <v>#NAME?</v>
      </c>
      <c r="CH44" s="3342" t="e" cm="1">
        <f t="array" ca="1" aca="1" ref="CH44">TODECIMAL(IFBLANK(_BS!CH44,""),fxVal_normal)</f>
        <v>#NAME?</v>
      </c>
      <c r="CI44" s="200"/>
      <c r="CK44" s="2085" t="str" cm="1">
        <f t="array" ca="1" aca="1" ref="CK44">IFERROR(IF(Y44&lt;&gt;AB44,_xldudf_CX_PUSH(Y44,CX_ENTITY,C44,EOMONTH(val_asOfDate,0)),""),"")</f>
        <v/>
      </c>
      <c r="CL44" s="2085" t="str" cm="1">
        <f t="array" ca="1" aca="1" ref="CL44">IFERROR(IF(Y44&lt;&gt;AB44,_xldudf_CX_PUSH(Y44,CX_ENTITY,C44,EOMONTH(val_asOfDate,1)),""),"")</f>
        <v/>
      </c>
      <c r="CM44" s="2085" t="str" cm="1">
        <f t="array" ca="1" aca="1" ref="CM44">IFERROR(IF(Y44&lt;&gt;AB44,_xldudf_CX_PUSH(Y44,CX_ENTITY,C44,EOMONTH(val_asOfDate,2)),""),"")</f>
        <v/>
      </c>
      <c r="CN44" s="2085" t="str" cm="1">
        <f t="array" ca="1" aca="1" ref="CN44">IFERROR(IF(Y44&lt;&gt;AB44,_xldudf_CX_PUSH(Y44,CX_ENTITY,C44,EOMONTH(val_asOfDate,3)),""),"")</f>
        <v/>
      </c>
      <c r="CO44" s="2086" t="str" cm="1">
        <f t="array" ca="1" aca="1" ref="CO44">IFERROR(IF(CG44*fxVal_normal=_BS!CG44,"",IF(OR($CG44="",$CG44=0,NOT(ISNUMBER($CG44)),ISERROR($CG44),$B44=""),"",IF($I44=1,IFBLANK(_xldudf_CX_PUSH($CG44*10^6,CX_ENTITY,$B44,$CG$11,$CG$14,$CG$19,),""),IF($I44=2,IFBLANK(_xldudf_CX_PUSH($CG44,CX_ENTITY,$B44,$CG$11,$CG$14,$CG$19,),""),IF($I44=3,"",IFBLANK(_xldudf_CX_PUSH($CG44,CX_ENTITY,$B44,$CG$11,$CG$14,$CG$19,),"")))))),"")</f>
        <v/>
      </c>
      <c r="CP44" s="2086" t="str" cm="1">
        <f t="array" ca="1" aca="1" ref="CP44">IFERROR(IF(CH44*fxVal_normal=_BS!CH44,"",IF(OR($CH44="",$CH44=0,NOT(ISNUMBER($CH44)),ISERROR($CH44),$B44=""),"",IF($I44=1,IFBLANK(_xldudf_CX_PUSH($CH44*10^6,CX_ENTITY,$B44,$CH$11,$CH$14,$CH$19,),""),IF($I44=2,IFBLANK(_xldudf_CX_PUSH($CH44,CX_ENTITY,$B44,$CH$11,$CH$14,$CH$19,),""),IF($I44=3,"",IFBLANK(_xldudf_CX_PUSH($CH44,CX_ENTITY,$B44,$CH$11,$CH$14,$CH$19,),"")))))),"")</f>
        <v/>
      </c>
      <c r="CQ44" s="1883" t="str" cm="1">
        <f t="array" ca="1" aca="1" ref="CQ44">IFERROR(IF(AD44*fxVal_normal=_BS!AD44,"",IF(OR(AD44="",NOT(ISNUMBER(AD44)),ISERROR(AD44),$B44=""),"",IF($I44=1,IFBLANK(_xldudf_CX_PUSH(AD44*fxVal_normal,CX_ENTITY,$B44,AD$11,AD$14,AD$19,),""),IF($I44=2,IFBLANK(_xldudf_CX_PUSH(AD44,CX_ENTITY,$B44,AD$11,AD$14,AD$19,),""),IF($I44=3,"",IFBLANK(_xldudf_CX_PUSH(AD44,CX_ENTITY,$B44,AD$11,AD$14,AD$19,),"")))))),"")</f>
        <v/>
      </c>
      <c r="CR44" s="1883" t="str" cm="1">
        <f t="array" ca="1" aca="1" ref="CR44">IFERROR(IF(AE44*fxVal_normal=_BS!AE44,"",IF(OR(AE44="",NOT(ISNUMBER(AE44)),ISERROR(AE44),$B44=""),"",IF($I44=1,IFBLANK(_xldudf_CX_PUSH(AE44*fxVal_normal,CX_ENTITY,$B44,AE$11,AE$14,AE$19,),""),IF($I44=2,IFBLANK(_xldudf_CX_PUSH(AE44,CX_ENTITY,$B44,AE$11,AE$14,AE$19,),""),IF($I44=3,"",IFBLANK(_xldudf_CX_PUSH(AE44,CX_ENTITY,$B44,AE$11,AE$14,AE$19,),"")))))),"")</f>
        <v/>
      </c>
      <c r="CS44" s="1883" t="str" cm="1">
        <f t="array" ca="1" aca="1" ref="CS44">IFERROR(IF(AF44*fxVal_normal=_BS!AF44,"",IF(OR(AF44="",NOT(ISNUMBER(AF44)),ISERROR(AF44),$B44=""),"",IF($I44=1,IFBLANK(_xldudf_CX_PUSH(AF44*fxVal_normal,CX_ENTITY,$B44,AF$11,AF$14,AF$19,),""),IF($I44=2,IFBLANK(_xldudf_CX_PUSH(AF44,CX_ENTITY,$B44,AF$11,AF$14,AF$19,),""),IF($I44=3,"",IFBLANK(_xldudf_CX_PUSH(AF44,CX_ENTITY,$B44,AF$11,AF$14,AF$19,),"")))))),"")</f>
        <v/>
      </c>
      <c r="CT44" s="1883" t="str" cm="1">
        <f t="array" ca="1" aca="1" ref="CT44">IFERROR(IF(AG44*fxVal_normal=_BS!AG44,"",IF(OR(AG44="",NOT(ISNUMBER(AG44)),ISERROR(AG44),$B44=""),"",IF($I44=1,IFBLANK(_xldudf_CX_PUSH(AG44*fxVal_normal,CX_ENTITY,$B44,AG$11,AG$14,AG$19,),""),IF($I44=2,IFBLANK(_xldudf_CX_PUSH(AG44,CX_ENTITY,$B44,AG$11,AG$14,AG$19,),""),IF($I44=3,"",IFBLANK(_xldudf_CX_PUSH(AG44,CX_ENTITY,$B44,AG$11,AG$14,AG$19,),"")))))),"")</f>
        <v/>
      </c>
      <c r="CU44" s="1883" t="str" cm="1">
        <f t="array" ca="1" aca="1" ref="CU44">IFERROR(IF(AH44*fxVal_normal=_BS!AH44,"",IF(OR(AH44="",NOT(ISNUMBER(AH44)),ISERROR(AH44),$B44=""),"",IF($I44=1,IFBLANK(_xldudf_CX_PUSH(AH44*fxVal_normal,CX_ENTITY,$B44,AH$11,AH$14,AH$19,),""),IF($I44=2,IFBLANK(_xldudf_CX_PUSH(AH44,CX_ENTITY,$B44,AH$11,AH$14,AH$19,),""),IF($I44=3,"",IFBLANK(_xldudf_CX_PUSH(AH44,CX_ENTITY,$B44,AH$11,AH$14,AH$19,),"")))))),"")</f>
        <v/>
      </c>
      <c r="CV44" s="1883" t="str" cm="1">
        <f t="array" ca="1" aca="1" ref="CV44">IFERROR(IF(AI44*fxVal_normal=_BS!AI44,"",IF(OR(AI44="",NOT(ISNUMBER(AI44)),ISERROR(AI44),$B44=""),"",IF($I44=1,IFBLANK(_xldudf_CX_PUSH(AI44*fxVal_normal,CX_ENTITY,$B44,AI$11,AI$14,AI$19,),""),IF($I44=2,IFBLANK(_xldudf_CX_PUSH(AI44,CX_ENTITY,$B44,AI$11,AI$14,AI$19,),""),IF($I44=3,"",IFBLANK(_xldudf_CX_PUSH(AI44,CX_ENTITY,$B44,AI$11,AI$14,AI$19,),"")))))),"")</f>
        <v/>
      </c>
      <c r="CW44" s="1883" t="str" cm="1">
        <f t="array" ca="1" aca="1" ref="CW44">IFERROR(IF(AJ44*fxVal_normal=_BS!AJ44,"",IF(OR(AJ44="",NOT(ISNUMBER(AJ44)),ISERROR(AJ44),$B44=""),"",IF($I44=1,IFBLANK(_xldudf_CX_PUSH(AJ44*fxVal_normal,CX_ENTITY,$B44,AJ$11,AJ$14,AJ$19,),""),IF($I44=2,IFBLANK(_xldudf_CX_PUSH(AJ44,CX_ENTITY,$B44,AJ$11,AJ$14,AJ$19,),""),IF($I44=3,"",IFBLANK(_xldudf_CX_PUSH(AJ44,CX_ENTITY,$B44,AJ$11,AJ$14,AJ$19,),"")))))),"")</f>
        <v/>
      </c>
      <c r="CX44" s="1883" t="str" cm="1">
        <f t="array" ca="1" aca="1" ref="CX44">IFERROR(IF(AK44*fxVal_normal=_BS!AK44,"",IF(OR(AK44="",NOT(ISNUMBER(AK44)),ISERROR(AK44),$B44=""),"",IF($I44=1,IFBLANK(_xldudf_CX_PUSH(AK44*fxVal_normal,CX_ENTITY,$B44,AK$11,AK$14,AK$19,),""),IF($I44=2,IFBLANK(_xldudf_CX_PUSH(AK44,CX_ENTITY,$B44,AK$11,AK$14,AK$19,),""),IF($I44=3,"",IFBLANK(_xldudf_CX_PUSH(AK44,CX_ENTITY,$B44,AK$11,AK$14,AK$19,),"")))))),"")</f>
        <v/>
      </c>
      <c r="CY44" s="1883" t="str" cm="1">
        <f t="array" ca="1" aca="1" ref="CY44">IFERROR(IF(AL44*fxVal_normal=_BS!AL44,"",IF(OR(AL44="",NOT(ISNUMBER(AL44)),ISERROR(AL44),$B44=""),"",IF($I44=1,IFBLANK(_xldudf_CX_PUSH(AL44*fxVal_normal,CX_ENTITY,$B44,AL$11,AL$14,AL$19,),""),IF($I44=2,IFBLANK(_xldudf_CX_PUSH(AL44,CX_ENTITY,$B44,AL$11,AL$14,AL$19,),""),IF($I44=3,"",IFBLANK(_xldudf_CX_PUSH(AL44,CX_ENTITY,$B44,AL$11,AL$14,AL$19,),"")))))),"")</f>
        <v/>
      </c>
      <c r="CZ44" s="1883" t="str" cm="1">
        <f t="array" ca="1" aca="1" ref="CZ44">IFERROR(IF(AM44*fxVal_normal=_BS!AM44,"",IF(OR(AM44="",NOT(ISNUMBER(AM44)),ISERROR(AM44),$B44=""),"",IF($I44=1,IFBLANK(_xldudf_CX_PUSH(AM44*fxVal_normal,CX_ENTITY,$B44,AM$11,AM$14,AM$19,),""),IF($I44=2,IFBLANK(_xldudf_CX_PUSH(AM44,CX_ENTITY,$B44,AM$11,AM$14,AM$19,),""),IF($I44=3,"",IFBLANK(_xldudf_CX_PUSH(AM44,CX_ENTITY,$B44,AM$11,AM$14,AM$19,),"")))))),"")</f>
        <v/>
      </c>
      <c r="DA44" s="1883" t="str" cm="1">
        <f t="array" ca="1" aca="1" ref="DA44">IFERROR(IF(AN44*fxVal_normal=_BS!AN44,"",IF(OR(AN44="",NOT(ISNUMBER(AN44)),ISERROR(AN44),$B44=""),"",IF($I44=1,IFBLANK(_xldudf_CX_PUSH(AN44*fxVal_normal,CX_ENTITY,$B44,AN$11,AN$14,AN$19,),""),IF($I44=2,IFBLANK(_xldudf_CX_PUSH(AN44,CX_ENTITY,$B44,AN$11,AN$14,AN$19,),""),IF($I44=3,"",IFBLANK(_xldudf_CX_PUSH(AN44,CX_ENTITY,$B44,AN$11,AN$14,AN$19,),"")))))),"")</f>
        <v/>
      </c>
      <c r="DB44" s="1883" t="str" cm="1">
        <f t="array" ca="1" aca="1" ref="DB44">IFERROR(IF(AO44*fxVal_normal=_BS!AO44,"",IF(OR(AO44="",NOT(ISNUMBER(AO44)),ISERROR(AO44),$B44=""),"",IF($I44=1,IFBLANK(_xldudf_CX_PUSH(AO44*fxVal_normal,CX_ENTITY,$B44,AO$11,AO$14,AO$19,),""),IF($I44=2,IFBLANK(_xldudf_CX_PUSH(AO44,CX_ENTITY,$B44,AO$11,AO$14,AO$19,),""),IF($I44=3,"",IFBLANK(_xldudf_CX_PUSH(AO44,CX_ENTITY,$B44,AO$11,AO$14,AO$19,),"")))))),"")</f>
        <v/>
      </c>
      <c r="DC44" s="1883" t="str" cm="1">
        <f t="array" ca="1" aca="1" ref="DC44">IFERROR(IF(AP44*fxVal_normal=_BS!AP44,"",IF(OR(AP44="",NOT(ISNUMBER(AP44)),ISERROR(AP44),$B44=""),"",IF($I44=1,IFBLANK(_xldudf_CX_PUSH(AP44*fxVal_normal,CX_ENTITY,$B44,AP$11,AP$14,AP$19,),""),IF($I44=2,IFBLANK(_xldudf_CX_PUSH(AP44,CX_ENTITY,$B44,AP$11,AP$14,AP$19,),""),IF($I44=3,"",IFBLANK(_xldudf_CX_PUSH(AP44,CX_ENTITY,$B44,AP$11,AP$14,AP$19,),"")))))),"")</f>
        <v/>
      </c>
      <c r="DD44" s="1883" t="str" cm="1">
        <f t="array" ca="1" aca="1" ref="DD44">IFERROR(IF(AQ44*fxVal_normal=_BS!AQ44,"",IF(OR(AQ44="",NOT(ISNUMBER(AQ44)),ISERROR(AQ44),$B44=""),"",IF($I44=1,IFBLANK(_xldudf_CX_PUSH(AQ44*fxVal_normal,CX_ENTITY,$B44,AQ$11,AQ$14,AQ$19,),""),IF($I44=2,IFBLANK(_xldudf_CX_PUSH(AQ44,CX_ENTITY,$B44,AQ$11,AQ$14,AQ$19,),""),IF($I44=3,"",IFBLANK(_xldudf_CX_PUSH(AQ44,CX_ENTITY,$B44,AQ$11,AQ$14,AQ$19,),"")))))),"")</f>
        <v/>
      </c>
      <c r="DE44" s="1883" t="str" cm="1">
        <f t="array" ca="1" aca="1" ref="DE44">IFERROR(IF(AR44*fxVal_normal=_BS!AR44,"",IF(OR(AR44="",NOT(ISNUMBER(AR44)),ISERROR(AR44),$B44=""),"",IF($I44=1,IFBLANK(_xldudf_CX_PUSH(AR44*fxVal_normal,CX_ENTITY,$B44,AR$11,AR$14,AR$19,),""),IF($I44=2,IFBLANK(_xldudf_CX_PUSH(AR44,CX_ENTITY,$B44,AR$11,AR$14,AR$19,),""),IF($I44=3,"",IFBLANK(_xldudf_CX_PUSH(AR44,CX_ENTITY,$B44,AR$11,AR$14,AR$19,),"")))))),"")</f>
        <v/>
      </c>
      <c r="DF44" s="1883" t="str" cm="1">
        <f t="array" ca="1" aca="1" ref="DF44">IFERROR(IF(AS44*fxVal_normal=_BS!AS44,"",IF(OR(AS44="",NOT(ISNUMBER(AS44)),ISERROR(AS44),$B44=""),"",IF($I44=1,IFBLANK(_xldudf_CX_PUSH(AS44*fxVal_normal,CX_ENTITY,$B44,AS$11,AS$14,AS$19,),""),IF($I44=2,IFBLANK(_xldudf_CX_PUSH(AS44,CX_ENTITY,$B44,AS$11,AS$14,AS$19,),""),IF($I44=3,"",IFBLANK(_xldudf_CX_PUSH(AS44,CX_ENTITY,$B44,AS$11,AS$14,AS$19,),"")))))),"")</f>
        <v/>
      </c>
      <c r="DG44" s="1883" t="str" cm="1">
        <f t="array" ca="1" aca="1" ref="DG44">IFERROR(IF(AT44*fxVal_normal=_BS!AT44,"",IF(OR(AT44="",NOT(ISNUMBER(AT44)),ISERROR(AT44),$B44=""),"",IF($I44=1,IFBLANK(_xldudf_CX_PUSH(AT44*fxVal_normal,CX_ENTITY,$B44,AT$11,AT$14,AT$19,),""),IF($I44=2,IFBLANK(_xldudf_CX_PUSH(AT44,CX_ENTITY,$B44,AT$11,AT$14,AT$19,),""),IF($I44=3,"",IFBLANK(_xldudf_CX_PUSH(AT44,CX_ENTITY,$B44,AT$11,AT$14,AT$19,),"")))))),"")</f>
        <v/>
      </c>
      <c r="DH44" s="1883" t="str" cm="1">
        <f t="array" ca="1" aca="1" ref="DH44">IFERROR(IF(AU44*fxVal_normal=_BS!AU44,"",IF(OR(AU44="",NOT(ISNUMBER(AU44)),ISERROR(AU44),$B44=""),"",IF($I44=1,IFBLANK(_xldudf_CX_PUSH(AU44*fxVal_normal,CX_ENTITY,$B44,AU$11,AU$14,AU$19,),""),IF($I44=2,IFBLANK(_xldudf_CX_PUSH(AU44,CX_ENTITY,$B44,AU$11,AU$14,AU$19,),""),IF($I44=3,"",IFBLANK(_xldudf_CX_PUSH(AU44,CX_ENTITY,$B44,AU$11,AU$14,AU$19,),"")))))),"")</f>
        <v/>
      </c>
      <c r="DI44" s="1883" t="str" cm="1">
        <f t="array" ca="1" aca="1" ref="DI44">IFERROR(IF(AV44*fxVal_normal=_BS!AV44,"",IF(OR(AV44="",NOT(ISNUMBER(AV44)),ISERROR(AV44),$B44=""),"",IF($I44=1,IFBLANK(_xldudf_CX_PUSH(AV44*fxVal_normal,CX_ENTITY,$B44,AV$11,AV$14,AV$19,),""),IF($I44=2,IFBLANK(_xldudf_CX_PUSH(AV44,CX_ENTITY,$B44,AV$11,AV$14,AV$19,),""),IF($I44=3,"",IFBLANK(_xldudf_CX_PUSH(AV44,CX_ENTITY,$B44,AV$11,AV$14,AV$19,),"")))))),"")</f>
        <v/>
      </c>
      <c r="DJ44" s="1883" t="str" cm="1">
        <f t="array" ca="1" aca="1" ref="DJ44">IFERROR(IF(AW44*fxVal_normal=_BS!AW44,"",IF(OR(AW44="",NOT(ISNUMBER(AW44)),ISERROR(AW44),$B44=""),"",IF($I44=1,IFBLANK(_xldudf_CX_PUSH(AW44*fxVal_normal,CX_ENTITY,$B44,AW$11,AW$14,AW$19,),""),IF($I44=2,IFBLANK(_xldudf_CX_PUSH(AW44,CX_ENTITY,$B44,AW$11,AW$14,AW$19,),""),IF($I44=3,"",IFBLANK(_xldudf_CX_PUSH(AW44,CX_ENTITY,$B44,AW$11,AW$14,AW$19,),"")))))),"")</f>
        <v/>
      </c>
      <c r="DK44" s="1883" t="str" cm="1">
        <f t="array" ca="1" aca="1" ref="DK44">IFERROR(IF(AX44*fxVal_normal=_BS!AX44,"",IF(OR(AX44="",NOT(ISNUMBER(AX44)),ISERROR(AX44),$B44=""),"",IF($I44=1,IFBLANK(_xldudf_CX_PUSH(AX44*fxVal_normal,CX_ENTITY,$B44,AX$11,AX$14,AX$19,),""),IF($I44=2,IFBLANK(_xldudf_CX_PUSH(AX44,CX_ENTITY,$B44,AX$11,AX$14,AX$19,),""),IF($I44=3,"",IFBLANK(_xldudf_CX_PUSH(AX44,CX_ENTITY,$B44,AX$11,AX$14,AX$19,),"")))))),"")</f>
        <v/>
      </c>
      <c r="DL44" s="1883" t="str" cm="1">
        <f t="array" ca="1" aca="1" ref="DL44">IFERROR(IF(AY44*fxVal_normal=_BS!AY44,"",IF(OR(AY44="",NOT(ISNUMBER(AY44)),ISERROR(AY44),$B44=""),"",IF($I44=1,IFBLANK(_xldudf_CX_PUSH(AY44*fxVal_normal,CX_ENTITY,$B44,AY$11,AY$14,AY$19,),""),IF($I44=2,IFBLANK(_xldudf_CX_PUSH(AY44,CX_ENTITY,$B44,AY$11,AY$14,AY$19,),""),IF($I44=3,"",IFBLANK(_xldudf_CX_PUSH(AY44,CX_ENTITY,$B44,AY$11,AY$14,AY$19,),"")))))),"")</f>
        <v/>
      </c>
      <c r="DM44" s="1883" t="str" cm="1">
        <f t="array" ca="1" aca="1" ref="DM44">IFERROR(IF(AZ44*fxVal_normal=_BS!AZ44,"",IF(OR(AZ44="",NOT(ISNUMBER(AZ44)),ISERROR(AZ44),$B44=""),"",IF($I44=1,IFBLANK(_xldudf_CX_PUSH(AZ44*fxVal_normal,CX_ENTITY,$B44,AZ$11,AZ$14,AZ$19,),""),IF($I44=2,IFBLANK(_xldudf_CX_PUSH(AZ44,CX_ENTITY,$B44,AZ$11,AZ$14,AZ$19,),""),IF($I44=3,"",IFBLANK(_xldudf_CX_PUSH(AZ44,CX_ENTITY,$B44,AZ$11,AZ$14,AZ$19,),"")))))),"")</f>
        <v/>
      </c>
      <c r="DN44" s="1883" t="str" cm="1">
        <f t="array" ca="1" aca="1" ref="DN44">IFERROR(IF(BA44*fxVal_normal=_BS!BA44,"",IF(OR(BA44="",NOT(ISNUMBER(BA44)),ISERROR(BA44),$B44=""),"",IF($I44=1,IFBLANK(_xldudf_CX_PUSH(BA44*fxVal_normal,CX_ENTITY,$B44,BA$11,BA$14,BA$19,),""),IF($I44=2,IFBLANK(_xldudf_CX_PUSH(BA44,CX_ENTITY,$B44,BA$11,BA$14,BA$19,),""),IF($I44=3,"",IFBLANK(_xldudf_CX_PUSH(BA44,CX_ENTITY,$B44,BA$11,BA$14,BA$19,),"")))))),"")</f>
        <v/>
      </c>
      <c r="DO44" s="1883" t="str" cm="1">
        <f t="array" ca="1" aca="1" ref="DO44">IFERROR(IF(BB44*fxVal_normal=_BS!BB44,"",IF(OR(BB44="",NOT(ISNUMBER(BB44)),ISERROR(BB44),$B44=""),"",IF($I44=1,IFBLANK(_xldudf_CX_PUSH(BB44*fxVal_normal,CX_ENTITY,$B44,BB$11,BB$14,BB$19,),""),IF($I44=2,IFBLANK(_xldudf_CX_PUSH(BB44,CX_ENTITY,$B44,BB$11,BB$14,BB$19,),""),IF($I44=3,"",IFBLANK(_xldudf_CX_PUSH(BB44,CX_ENTITY,$B44,BB$11,BB$14,BB$19,),"")))))),"")</f>
        <v/>
      </c>
      <c r="DP44" s="1883" t="str" cm="1">
        <f t="array" ca="1" aca="1" ref="DP44">IFERROR(IF(BC44*fxVal_normal=_BS!BC44,"",IF(OR(BC44="",NOT(ISNUMBER(BC44)),ISERROR(BC44),$B44=""),"",IF($I44=1,IFBLANK(_xldudf_CX_PUSH(BC44*fxVal_normal,CX_ENTITY,$B44,BC$11,BC$14,BC$19,),""),IF($I44=2,IFBLANK(_xldudf_CX_PUSH(BC44,CX_ENTITY,$B44,BC$11,BC$14,BC$19,),""),IF($I44=3,"",IFBLANK(_xldudf_CX_PUSH(BC44,CX_ENTITY,$B44,BC$11,BC$14,BC$19,),"")))))),"")</f>
        <v/>
      </c>
      <c r="DQ44" s="1883" t="str" cm="1">
        <f t="array" ca="1" aca="1" ref="DQ44">IFERROR(IF(BD44*fxVal_normal=_BS!BD44,"",IF(OR(BD44="",NOT(ISNUMBER(BD44)),ISERROR(BD44),$B44=""),"",IF($I44=1,IFBLANK(_xldudf_CX_PUSH(BD44*fxVal_normal,CX_ENTITY,$B44,BD$11,BD$14,BD$19,),""),IF($I44=2,IFBLANK(_xldudf_CX_PUSH(BD44,CX_ENTITY,$B44,BD$11,BD$14,BD$19,),""),IF($I44=3,"",IFBLANK(_xldudf_CX_PUSH(BD44,CX_ENTITY,$B44,BD$11,BD$14,BD$19,),"")))))),"")</f>
        <v/>
      </c>
      <c r="DR44" s="1883" t="str" cm="1">
        <f t="array" ca="1" aca="1" ref="DR44">IFERROR(IF(BE44*fxVal_normal=_BS!BE44,"",IF(OR(BE44="",NOT(ISNUMBER(BE44)),ISERROR(BE44),$B44=""),"",IF($I44=1,IFBLANK(_xldudf_CX_PUSH(BE44*fxVal_normal,CX_ENTITY,$B44,BE$11,BE$14,BE$19,),""),IF($I44=2,IFBLANK(_xldudf_CX_PUSH(BE44,CX_ENTITY,$B44,BE$11,BE$14,BE$19,),""),IF($I44=3,"",IFBLANK(_xldudf_CX_PUSH(BE44,CX_ENTITY,$B44,BE$11,BE$14,BE$19,),"")))))),"")</f>
        <v/>
      </c>
      <c r="DS44" s="1883" t="str" cm="1">
        <f t="array" ca="1" aca="1" ref="DS44">IFERROR(IF(BF44*fxVal_normal=_BS!BF44,"",IF(OR(BF44="",NOT(ISNUMBER(BF44)),ISERROR(BF44),$B44=""),"",IF($I44=1,IFBLANK(_xldudf_CX_PUSH(BF44*fxVal_normal,CX_ENTITY,$B44,BF$11,BF$14,BF$19,),""),IF($I44=2,IFBLANK(_xldudf_CX_PUSH(BF44,CX_ENTITY,$B44,BF$11,BF$14,BF$19,),""),IF($I44=3,"",IFBLANK(_xldudf_CX_PUSH(BF44,CX_ENTITY,$B44,BF$11,BF$14,BF$19,),"")))))),"")</f>
        <v/>
      </c>
      <c r="DT44" s="1883" t="str" cm="1">
        <f t="array" ca="1" aca="1" ref="DT44">IFERROR(IF(BG44*fxVal_normal=_BS!BG44,"",IF(OR(BG44="",NOT(ISNUMBER(BG44)),ISERROR(BG44),$B44=""),"",IF($I44=1,IFBLANK(_xldudf_CX_PUSH(BG44*fxVal_normal,CX_ENTITY,$B44,BG$11,BG$14,BG$19,),""),IF($I44=2,IFBLANK(_xldudf_CX_PUSH(BG44,CX_ENTITY,$B44,BG$11,BG$14,BG$19,),""),IF($I44=3,"",IFBLANK(_xldudf_CX_PUSH(BG44,CX_ENTITY,$B44,BG$11,BG$14,BG$19,),"")))))),"")</f>
        <v/>
      </c>
      <c r="DU44" s="1883" t="str" cm="1">
        <f t="array" ca="1" aca="1" ref="DU44">IFERROR(IF(BH44*fxVal_normal=_BS!BH44,"",IF(OR(BH44="",NOT(ISNUMBER(BH44)),ISERROR(BH44),$B44=""),"",IF($I44=1,IFBLANK(_xldudf_CX_PUSH(BH44*fxVal_normal,CX_ENTITY,$B44,BH$11,BH$14,BH$19,),""),IF($I44=2,IFBLANK(_xldudf_CX_PUSH(BH44,CX_ENTITY,$B44,BH$11,BH$14,BH$19,),""),IF($I44=3,"",IFBLANK(_xldudf_CX_PUSH(BH44,CX_ENTITY,$B44,BH$11,BH$14,BH$19,),"")))))),"")</f>
        <v/>
      </c>
      <c r="DV44" s="1883" t="str" cm="1">
        <f t="array" ca="1" aca="1" ref="DV44">IFERROR(IF(BI44*fxVal_normal=_BS!BI44,"",IF(OR(BI44="",NOT(ISNUMBER(BI44)),ISERROR(BI44),$B44=""),"",IF($I44=1,IFBLANK(_xldudf_CX_PUSH(BI44*fxVal_normal,CX_ENTITY,$B44,BI$11,BI$14,BI$19,),""),IF($I44=2,IFBLANK(_xldudf_CX_PUSH(BI44,CX_ENTITY,$B44,BI$11,BI$14,BI$19,),""),IF($I44=3,"",IFBLANK(_xldudf_CX_PUSH(BI44,CX_ENTITY,$B44,BI$11,BI$14,BI$19,),"")))))),"")</f>
        <v/>
      </c>
      <c r="DW44" s="1883" t="str" cm="1">
        <f t="array" ca="1" aca="1" ref="DW44">IFERROR(IF(BJ44*fxVal_normal=_BS!BJ44,"",IF(OR(BJ44="",NOT(ISNUMBER(BJ44)),ISERROR(BJ44),$B44=""),"",IF($I44=1,IFBLANK(_xldudf_CX_PUSH(BJ44*fxVal_normal,CX_ENTITY,$B44,BJ$11,BJ$14,BJ$19,),""),IF($I44=2,IFBLANK(_xldudf_CX_PUSH(BJ44,CX_ENTITY,$B44,BJ$11,BJ$14,BJ$19,),""),IF($I44=3,"",IFBLANK(_xldudf_CX_PUSH(BJ44,CX_ENTITY,$B44,BJ$11,BJ$14,BJ$19,),"")))))),"")</f>
        <v/>
      </c>
      <c r="DX44" s="1883" t="str" cm="1">
        <f t="array" ca="1" aca="1" ref="DX44">IFERROR(IF(BK44*fxVal_normal=_BS!BK44,"",IF(OR(BK44="",NOT(ISNUMBER(BK44)),ISERROR(BK44),$B44=""),"",IF($I44=1,IFBLANK(_xldudf_CX_PUSH(BK44*fxVal_normal,CX_ENTITY,$B44,BK$11,BK$14,BK$19,),""),IF($I44=2,IFBLANK(_xldudf_CX_PUSH(BK44,CX_ENTITY,$B44,BK$11,BK$14,BK$19,),""),IF($I44=3,"",IFBLANK(_xldudf_CX_PUSH(BK44,CX_ENTITY,$B44,BK$11,BK$14,BK$19,),"")))))),"")</f>
        <v/>
      </c>
      <c r="DY44" s="1883" t="str" cm="1">
        <f t="array" ca="1" aca="1" ref="DY44">IFERROR(IF(BL44*fxVal_normal=_BS!BL44,"",IF(OR(BL44="",NOT(ISNUMBER(BL44)),ISERROR(BL44),$B44=""),"",IF($I44=1,IFBLANK(_xldudf_CX_PUSH(BL44*fxVal_normal,CX_ENTITY,$B44,BL$11,BL$14,BL$19,),""),IF($I44=2,IFBLANK(_xldudf_CX_PUSH(BL44,CX_ENTITY,$B44,BL$11,BL$14,BL$19,),""),IF($I44=3,"",IFBLANK(_xldudf_CX_PUSH(BL44,CX_ENTITY,$B44,BL$11,BL$14,BL$19,),"")))))),"")</f>
        <v/>
      </c>
      <c r="DZ44" s="1883" t="str" cm="1">
        <f t="array" ca="1" aca="1" ref="DZ44">IFERROR(IF(BM44*fxVal_normal=_BS!BM44,"",IF(OR(BM44="",NOT(ISNUMBER(BM44)),ISERROR(BM44),$B44=""),"",IF($I44=1,IFBLANK(_xldudf_CX_PUSH(BM44*fxVal_normal,CX_ENTITY,$B44,BM$11,BM$14,BM$19,),""),IF($I44=2,IFBLANK(_xldudf_CX_PUSH(BM44,CX_ENTITY,$B44,BM$11,BM$14,BM$19,),""),IF($I44=3,"",IFBLANK(_xldudf_CX_PUSH(BM44,CX_ENTITY,$B44,BM$11,BM$14,BM$19,),"")))))),"")</f>
        <v/>
      </c>
      <c r="EA44" s="1883" t="str" cm="1">
        <f t="array" ca="1" aca="1" ref="EA44">IFERROR(IF(BN44*fxVal_normal=_BS!BN44,"",IF(OR(BN44="",NOT(ISNUMBER(BN44)),ISERROR(BN44),$B44=""),"",IF($I44=1,IFBLANK(_xldudf_CX_PUSH(BN44*fxVal_normal,CX_ENTITY,$B44,BN$11,BN$14,BN$19,),""),IF($I44=2,IFBLANK(_xldudf_CX_PUSH(BN44,CX_ENTITY,$B44,BN$11,BN$14,BN$19,),""),IF($I44=3,"",IFBLANK(_xldudf_CX_PUSH(BN44,CX_ENTITY,$B44,BN$11,BN$14,BN$19,),"")))))),"")</f>
        <v/>
      </c>
    </row>
    <row r="45" spans="1:131" ht="21" customHeight="1">
      <c r="A45" s="1626"/>
      <c r="B45" s="811" t="str" cm="1">
        <f t="array" ref="B45">IFBLANK(_BS!F45,"")</f>
        <v>Potential Debt Like Items (on BS)</v>
      </c>
      <c r="C45" s="3346" t="str" cm="1">
        <f t="array" ref="C45">IFBLANK(_BS!C45,"")</f>
        <v>Potential Debt Like Items (Company View)</v>
      </c>
      <c r="D45" s="1549"/>
      <c r="E45" s="1902" t="e" cm="1">
        <f t="array" ca="1" aca="1" ref="E4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45:$CH45,Z45)</f>
        <v>#NAME?</v>
      </c>
      <c r="F45" s="1897"/>
      <c r="G45" s="1897"/>
      <c r="H45" s="3280">
        <v>2</v>
      </c>
      <c r="I45" s="3280">
        <v>1</v>
      </c>
      <c r="J45" s="401"/>
      <c r="L45" s="921"/>
      <c r="M45" s="921"/>
      <c r="N45" s="158"/>
      <c r="O45" s="101"/>
      <c r="P45" s="52"/>
      <c r="Q45" s="101"/>
      <c r="R45" s="101"/>
      <c r="S45" s="101"/>
      <c r="T45" s="101"/>
      <c r="U45" s="39"/>
      <c r="V45" s="921"/>
      <c r="W45" s="922" t="str">
        <f t="shared" si="1"/>
        <v>Actual</v>
      </c>
      <c r="X45" s="1294">
        <f>_BS!X45</f>
        <v>0</v>
      </c>
      <c r="Y45" s="3347" t="str">
        <f>_BS!Y45</f>
        <v>Potential Debt Like Items</v>
      </c>
      <c r="Z45" s="198" cm="1">
        <f t="array" ref="Z45">_xlfn.SWITCH(TRUE,_BS!$L45=TRUE,1,_BS!$L45=FALSE,-1,_BS!$L45=-1,0,"n/a")</f>
        <v>0</v>
      </c>
      <c r="AA45" s="924"/>
      <c r="AB45" s="3345" t="str">
        <f>_BS!AB45</f>
        <v>Potential Debt Like Items</v>
      </c>
      <c r="AC45" s="88" t="str" cm="1">
        <f t="array" ca="1" aca="1" ref="AC45">_xlfn.LET(_xlpm._termname,$AB45,_xlpm._iconname,"find",_xlpm._icon,fx_getIcon(_xlpm._iconname),_xlpm._location,_xlfn.XLOOKUP(LOWER(_xlpm._termname),LOWER(tbl_acctDef[Term]),tbl_acctDef[Term]),_xlpm._hyperlink,HYPERLINK("#"&amp;CELL("address",_xlpm._location),_xlpm._icon),IFERROR(_xlpm._hyperlink,""))</f>
        <v/>
      </c>
      <c r="AD45" s="919">
        <f t="shared" si="9" ref="AD45:BN45">SUBTOTAL(9,AD41:AD44)</f>
        <v>4</v>
      </c>
      <c r="AE45" s="919">
        <f t="shared" si="9"/>
        <v>4</v>
      </c>
      <c r="AF45" s="919">
        <f t="shared" si="9"/>
        <v>4</v>
      </c>
      <c r="AG45" s="919">
        <f t="shared" si="9"/>
        <v>4</v>
      </c>
      <c r="AH45" s="919">
        <f t="shared" si="9"/>
        <v>4</v>
      </c>
      <c r="AI45" s="919">
        <f t="shared" si="9"/>
        <v>4</v>
      </c>
      <c r="AJ45" s="919">
        <f t="shared" si="9"/>
        <v>4</v>
      </c>
      <c r="AK45" s="919">
        <f t="shared" si="9"/>
        <v>4</v>
      </c>
      <c r="AL45" s="919">
        <f t="shared" si="9"/>
        <v>4</v>
      </c>
      <c r="AM45" s="919">
        <f t="shared" si="9"/>
        <v>4</v>
      </c>
      <c r="AN45" s="919">
        <f t="shared" si="9"/>
        <v>4</v>
      </c>
      <c r="AO45" s="919">
        <f t="shared" si="9"/>
        <v>4</v>
      </c>
      <c r="AP45" s="919">
        <f t="shared" si="9"/>
        <v>4</v>
      </c>
      <c r="AQ45" s="919">
        <f t="shared" si="9"/>
        <v>4</v>
      </c>
      <c r="AR45" s="919">
        <f t="shared" si="9"/>
        <v>4</v>
      </c>
      <c r="AS45" s="919">
        <f t="shared" si="9"/>
        <v>4</v>
      </c>
      <c r="AT45" s="919">
        <f t="shared" si="9"/>
        <v>4</v>
      </c>
      <c r="AU45" s="919">
        <f t="shared" si="9"/>
        <v>4</v>
      </c>
      <c r="AV45" s="919">
        <f t="shared" si="9"/>
        <v>4</v>
      </c>
      <c r="AW45" s="919">
        <f t="shared" si="9"/>
        <v>4</v>
      </c>
      <c r="AX45" s="919">
        <f t="shared" si="9"/>
        <v>4</v>
      </c>
      <c r="AY45" s="919">
        <f t="shared" si="9"/>
        <v>4</v>
      </c>
      <c r="AZ45" s="919">
        <f t="shared" si="9"/>
        <v>4</v>
      </c>
      <c r="BA45" s="919">
        <f t="shared" si="9"/>
        <v>4</v>
      </c>
      <c r="BB45" s="919">
        <f t="shared" si="9"/>
        <v>4</v>
      </c>
      <c r="BC45" s="919">
        <f t="shared" si="9"/>
        <v>4</v>
      </c>
      <c r="BD45" s="919">
        <f t="shared" si="9"/>
        <v>4</v>
      </c>
      <c r="BE45" s="919">
        <f t="shared" si="9"/>
        <v>4</v>
      </c>
      <c r="BF45" s="919">
        <f t="shared" si="9"/>
        <v>4</v>
      </c>
      <c r="BG45" s="919">
        <f t="shared" si="9"/>
        <v>4</v>
      </c>
      <c r="BH45" s="919">
        <f t="shared" si="9"/>
        <v>4</v>
      </c>
      <c r="BI45" s="919">
        <f t="shared" si="9"/>
        <v>4</v>
      </c>
      <c r="BJ45" s="919">
        <f t="shared" si="9"/>
        <v>4</v>
      </c>
      <c r="BK45" s="919">
        <f t="shared" si="9"/>
        <v>4</v>
      </c>
      <c r="BL45" s="919">
        <f t="shared" si="9"/>
        <v>4</v>
      </c>
      <c r="BM45" s="919">
        <f t="shared" si="9"/>
        <v>4</v>
      </c>
      <c r="BN45" s="919">
        <f t="shared" si="9"/>
        <v>4</v>
      </c>
      <c r="BO45" s="2117"/>
      <c r="BP45" s="2117"/>
      <c r="BQ45" s="2117"/>
      <c r="BR45" s="2117"/>
      <c r="BS45" s="2117"/>
      <c r="BT45" s="2117"/>
      <c r="BU45" s="2117"/>
      <c r="BV45" s="2117"/>
      <c r="BW45" s="2117"/>
      <c r="BX45" s="2117"/>
      <c r="BY45" s="2117"/>
      <c r="BZ45" s="2117"/>
      <c r="CA45" s="926"/>
      <c r="CB45" s="921"/>
      <c r="CC45" s="927"/>
      <c r="CD45" s="919" t="e" cm="1">
        <f t="array" ca="1" aca="1" ref="CD45">_xlfn.XLOOKUP(BS!CD$11,array_timeline,BS!$AD45:$BN45)</f>
        <v>#NAME?</v>
      </c>
      <c r="CE45" s="919" t="e" cm="1">
        <f t="array" ca="1" aca="1" ref="CE45">_xlfn.XLOOKUP(BS!CE$11,array_timeline,BS!$AD45:$BN45)</f>
        <v>#NAME?</v>
      </c>
      <c r="CF45" s="925"/>
      <c r="CG45" s="919" t="e">
        <f ca="1">SUBTOTAL(9,CG41:CG44)</f>
        <v>#NAME?</v>
      </c>
      <c r="CH45" s="919" t="e">
        <f ca="1">SUBTOTAL(9,CH41:CH44)</f>
        <v>#NAME?</v>
      </c>
      <c r="CI45" s="924"/>
      <c r="CK45" s="2085" t="str" cm="1">
        <f t="array" ref="CK45">IFERROR(IF(Y45&lt;&gt;AB45,_xldudf_CX_PUSH(Y45,CX_ENTITY,C45,EOMONTH(val_asOfDate,0)),""),"")</f>
        <v/>
      </c>
      <c r="CL45" s="2085" t="str" cm="1">
        <f t="array" ref="CL45">IFERROR(IF(Y45&lt;&gt;AB45,_xldudf_CX_PUSH(Y45,CX_ENTITY,C45,EOMONTH(val_asOfDate,1)),""),"")</f>
        <v/>
      </c>
      <c r="CM45" s="2085" t="str" cm="1">
        <f t="array" ref="CM45">IFERROR(IF(Y45&lt;&gt;AB45,_xldudf_CX_PUSH(Y45,CX_ENTITY,C45,EOMONTH(val_asOfDate,2)),""),"")</f>
        <v/>
      </c>
      <c r="CN45" s="2085" t="str" cm="1">
        <f t="array" ref="CN45">IFERROR(IF(Y45&lt;&gt;AB45,_xldudf_CX_PUSH(Y45,CX_ENTITY,C45,EOMONTH(val_asOfDate,3)),""),"")</f>
        <v/>
      </c>
      <c r="CO45" s="2086" t="str" cm="1">
        <f t="array" ca="1" aca="1" ref="CO45">IFERROR(IF(CG45*fxVal_normal=_BS!CG45,"",IF(OR($CG45="",$CG45=0,NOT(ISNUMBER($CG45)),ISERROR($CG45),$B45=""),"",IF($I45=1,IFBLANK(_xldudf_CX_PUSH($CG45*10^6,CX_ENTITY,$B45,$CG$11,$CG$14,$CG$19,),""),IF($I45=2,IFBLANK(_xldudf_CX_PUSH($CG45,CX_ENTITY,$B45,$CG$11,$CG$14,$CG$19,),""),IF($I45=3,"",IFBLANK(_xldudf_CX_PUSH($CG45,CX_ENTITY,$B45,$CG$11,$CG$14,$CG$19,),"")))))),"")</f>
        <v/>
      </c>
      <c r="CP45" s="2086" t="str" cm="1">
        <f t="array" ca="1" aca="1" ref="CP45">IFERROR(IF(CH45*fxVal_normal=_BS!CH45,"",IF(OR($CH45="",$CH45=0,NOT(ISNUMBER($CH45)),ISERROR($CH45),$B45=""),"",IF($I45=1,IFBLANK(_xldudf_CX_PUSH($CH45*10^6,CX_ENTITY,$B45,$CH$11,$CH$14,$CH$19,),""),IF($I45=2,IFBLANK(_xldudf_CX_PUSH($CH45,CX_ENTITY,$B45,$CH$11,$CH$14,$CH$19,),""),IF($I45=3,"",IFBLANK(_xldudf_CX_PUSH($CH45,CX_ENTITY,$B45,$CH$11,$CH$14,$CH$19,),"")))))),"")</f>
        <v/>
      </c>
      <c r="CQ45" s="1883" t="str" cm="1">
        <f t="array" ca="1" aca="1" ref="CQ45">IFERROR(IF(AD45*fxVal_normal=_BS!AD45,"",IF(OR(AD45="",NOT(ISNUMBER(AD45)),ISERROR(AD45),$B45=""),"",IF($I45=1,IFBLANK(_xldudf_CX_PUSH(AD45*fxVal_normal,CX_ENTITY,$B45,AD$11,AD$14,AD$19,),""),IF($I45=2,IFBLANK(_xldudf_CX_PUSH(AD45,CX_ENTITY,$B45,AD$11,AD$14,AD$19,),""),IF($I45=3,"",IFBLANK(_xldudf_CX_PUSH(AD45,CX_ENTITY,$B45,AD$11,AD$14,AD$19,),"")))))),"")</f>
        <v/>
      </c>
      <c r="CR45" s="1883" t="str" cm="1">
        <f t="array" ca="1" aca="1" ref="CR45">IFERROR(IF(AE45*fxVal_normal=_BS!AE45,"",IF(OR(AE45="",NOT(ISNUMBER(AE45)),ISERROR(AE45),$B45=""),"",IF($I45=1,IFBLANK(_xldudf_CX_PUSH(AE45*fxVal_normal,CX_ENTITY,$B45,AE$11,AE$14,AE$19,),""),IF($I45=2,IFBLANK(_xldudf_CX_PUSH(AE45,CX_ENTITY,$B45,AE$11,AE$14,AE$19,),""),IF($I45=3,"",IFBLANK(_xldudf_CX_PUSH(AE45,CX_ENTITY,$B45,AE$11,AE$14,AE$19,),"")))))),"")</f>
        <v/>
      </c>
      <c r="CS45" s="1883" t="str" cm="1">
        <f t="array" ca="1" aca="1" ref="CS45">IFERROR(IF(AF45*fxVal_normal=_BS!AF45,"",IF(OR(AF45="",NOT(ISNUMBER(AF45)),ISERROR(AF45),$B45=""),"",IF($I45=1,IFBLANK(_xldudf_CX_PUSH(AF45*fxVal_normal,CX_ENTITY,$B45,AF$11,AF$14,AF$19,),""),IF($I45=2,IFBLANK(_xldudf_CX_PUSH(AF45,CX_ENTITY,$B45,AF$11,AF$14,AF$19,),""),IF($I45=3,"",IFBLANK(_xldudf_CX_PUSH(AF45,CX_ENTITY,$B45,AF$11,AF$14,AF$19,),"")))))),"")</f>
        <v/>
      </c>
      <c r="CT45" s="1883" t="str" cm="1">
        <f t="array" ca="1" aca="1" ref="CT45">IFERROR(IF(AG45*fxVal_normal=_BS!AG45,"",IF(OR(AG45="",NOT(ISNUMBER(AG45)),ISERROR(AG45),$B45=""),"",IF($I45=1,IFBLANK(_xldudf_CX_PUSH(AG45*fxVal_normal,CX_ENTITY,$B45,AG$11,AG$14,AG$19,),""),IF($I45=2,IFBLANK(_xldudf_CX_PUSH(AG45,CX_ENTITY,$B45,AG$11,AG$14,AG$19,),""),IF($I45=3,"",IFBLANK(_xldudf_CX_PUSH(AG45,CX_ENTITY,$B45,AG$11,AG$14,AG$19,),"")))))),"")</f>
        <v/>
      </c>
      <c r="CU45" s="1883" t="str" cm="1">
        <f t="array" ca="1" aca="1" ref="CU45">IFERROR(IF(AH45*fxVal_normal=_BS!AH45,"",IF(OR(AH45="",NOT(ISNUMBER(AH45)),ISERROR(AH45),$B45=""),"",IF($I45=1,IFBLANK(_xldudf_CX_PUSH(AH45*fxVal_normal,CX_ENTITY,$B45,AH$11,AH$14,AH$19,),""),IF($I45=2,IFBLANK(_xldudf_CX_PUSH(AH45,CX_ENTITY,$B45,AH$11,AH$14,AH$19,),""),IF($I45=3,"",IFBLANK(_xldudf_CX_PUSH(AH45,CX_ENTITY,$B45,AH$11,AH$14,AH$19,),"")))))),"")</f>
        <v/>
      </c>
      <c r="CV45" s="1883" t="str" cm="1">
        <f t="array" ca="1" aca="1" ref="CV45">IFERROR(IF(AI45*fxVal_normal=_BS!AI45,"",IF(OR(AI45="",NOT(ISNUMBER(AI45)),ISERROR(AI45),$B45=""),"",IF($I45=1,IFBLANK(_xldudf_CX_PUSH(AI45*fxVal_normal,CX_ENTITY,$B45,AI$11,AI$14,AI$19,),""),IF($I45=2,IFBLANK(_xldudf_CX_PUSH(AI45,CX_ENTITY,$B45,AI$11,AI$14,AI$19,),""),IF($I45=3,"",IFBLANK(_xldudf_CX_PUSH(AI45,CX_ENTITY,$B45,AI$11,AI$14,AI$19,),"")))))),"")</f>
        <v/>
      </c>
      <c r="CW45" s="1883" t="str" cm="1">
        <f t="array" ca="1" aca="1" ref="CW45">IFERROR(IF(AJ45*fxVal_normal=_BS!AJ45,"",IF(OR(AJ45="",NOT(ISNUMBER(AJ45)),ISERROR(AJ45),$B45=""),"",IF($I45=1,IFBLANK(_xldudf_CX_PUSH(AJ45*fxVal_normal,CX_ENTITY,$B45,AJ$11,AJ$14,AJ$19,),""),IF($I45=2,IFBLANK(_xldudf_CX_PUSH(AJ45,CX_ENTITY,$B45,AJ$11,AJ$14,AJ$19,),""),IF($I45=3,"",IFBLANK(_xldudf_CX_PUSH(AJ45,CX_ENTITY,$B45,AJ$11,AJ$14,AJ$19,),"")))))),"")</f>
        <v/>
      </c>
      <c r="CX45" s="1883" t="str" cm="1">
        <f t="array" ca="1" aca="1" ref="CX45">IFERROR(IF(AK45*fxVal_normal=_BS!AK45,"",IF(OR(AK45="",NOT(ISNUMBER(AK45)),ISERROR(AK45),$B45=""),"",IF($I45=1,IFBLANK(_xldudf_CX_PUSH(AK45*fxVal_normal,CX_ENTITY,$B45,AK$11,AK$14,AK$19,),""),IF($I45=2,IFBLANK(_xldudf_CX_PUSH(AK45,CX_ENTITY,$B45,AK$11,AK$14,AK$19,),""),IF($I45=3,"",IFBLANK(_xldudf_CX_PUSH(AK45,CX_ENTITY,$B45,AK$11,AK$14,AK$19,),"")))))),"")</f>
        <v/>
      </c>
      <c r="CY45" s="1883" t="str" cm="1">
        <f t="array" ca="1" aca="1" ref="CY45">IFERROR(IF(AL45*fxVal_normal=_BS!AL45,"",IF(OR(AL45="",NOT(ISNUMBER(AL45)),ISERROR(AL45),$B45=""),"",IF($I45=1,IFBLANK(_xldudf_CX_PUSH(AL45*fxVal_normal,CX_ENTITY,$B45,AL$11,AL$14,AL$19,),""),IF($I45=2,IFBLANK(_xldudf_CX_PUSH(AL45,CX_ENTITY,$B45,AL$11,AL$14,AL$19,),""),IF($I45=3,"",IFBLANK(_xldudf_CX_PUSH(AL45,CX_ENTITY,$B45,AL$11,AL$14,AL$19,),"")))))),"")</f>
        <v/>
      </c>
      <c r="CZ45" s="1883" t="str" cm="1">
        <f t="array" ca="1" aca="1" ref="CZ45">IFERROR(IF(AM45*fxVal_normal=_BS!AM45,"",IF(OR(AM45="",NOT(ISNUMBER(AM45)),ISERROR(AM45),$B45=""),"",IF($I45=1,IFBLANK(_xldudf_CX_PUSH(AM45*fxVal_normal,CX_ENTITY,$B45,AM$11,AM$14,AM$19,),""),IF($I45=2,IFBLANK(_xldudf_CX_PUSH(AM45,CX_ENTITY,$B45,AM$11,AM$14,AM$19,),""),IF($I45=3,"",IFBLANK(_xldudf_CX_PUSH(AM45,CX_ENTITY,$B45,AM$11,AM$14,AM$19,),"")))))),"")</f>
        <v/>
      </c>
      <c r="DA45" s="1883" t="str" cm="1">
        <f t="array" ca="1" aca="1" ref="DA45">IFERROR(IF(AN45*fxVal_normal=_BS!AN45,"",IF(OR(AN45="",NOT(ISNUMBER(AN45)),ISERROR(AN45),$B45=""),"",IF($I45=1,IFBLANK(_xldudf_CX_PUSH(AN45*fxVal_normal,CX_ENTITY,$B45,AN$11,AN$14,AN$19,),""),IF($I45=2,IFBLANK(_xldudf_CX_PUSH(AN45,CX_ENTITY,$B45,AN$11,AN$14,AN$19,),""),IF($I45=3,"",IFBLANK(_xldudf_CX_PUSH(AN45,CX_ENTITY,$B45,AN$11,AN$14,AN$19,),"")))))),"")</f>
        <v/>
      </c>
      <c r="DB45" s="1883" t="str" cm="1">
        <f t="array" ca="1" aca="1" ref="DB45">IFERROR(IF(AO45*fxVal_normal=_BS!AO45,"",IF(OR(AO45="",NOT(ISNUMBER(AO45)),ISERROR(AO45),$B45=""),"",IF($I45=1,IFBLANK(_xldudf_CX_PUSH(AO45*fxVal_normal,CX_ENTITY,$B45,AO$11,AO$14,AO$19,),""),IF($I45=2,IFBLANK(_xldudf_CX_PUSH(AO45,CX_ENTITY,$B45,AO$11,AO$14,AO$19,),""),IF($I45=3,"",IFBLANK(_xldudf_CX_PUSH(AO45,CX_ENTITY,$B45,AO$11,AO$14,AO$19,),"")))))),"")</f>
        <v/>
      </c>
      <c r="DC45" s="1883" t="str" cm="1">
        <f t="array" ca="1" aca="1" ref="DC45">IFERROR(IF(AP45*fxVal_normal=_BS!AP45,"",IF(OR(AP45="",NOT(ISNUMBER(AP45)),ISERROR(AP45),$B45=""),"",IF($I45=1,IFBLANK(_xldudf_CX_PUSH(AP45*fxVal_normal,CX_ENTITY,$B45,AP$11,AP$14,AP$19,),""),IF($I45=2,IFBLANK(_xldudf_CX_PUSH(AP45,CX_ENTITY,$B45,AP$11,AP$14,AP$19,),""),IF($I45=3,"",IFBLANK(_xldudf_CX_PUSH(AP45,CX_ENTITY,$B45,AP$11,AP$14,AP$19,),"")))))),"")</f>
        <v/>
      </c>
      <c r="DD45" s="1883" t="str" cm="1">
        <f t="array" ca="1" aca="1" ref="DD45">IFERROR(IF(AQ45*fxVal_normal=_BS!AQ45,"",IF(OR(AQ45="",NOT(ISNUMBER(AQ45)),ISERROR(AQ45),$B45=""),"",IF($I45=1,IFBLANK(_xldudf_CX_PUSH(AQ45*fxVal_normal,CX_ENTITY,$B45,AQ$11,AQ$14,AQ$19,),""),IF($I45=2,IFBLANK(_xldudf_CX_PUSH(AQ45,CX_ENTITY,$B45,AQ$11,AQ$14,AQ$19,),""),IF($I45=3,"",IFBLANK(_xldudf_CX_PUSH(AQ45,CX_ENTITY,$B45,AQ$11,AQ$14,AQ$19,),"")))))),"")</f>
        <v/>
      </c>
      <c r="DE45" s="1883" t="str" cm="1">
        <f t="array" ca="1" aca="1" ref="DE45">IFERROR(IF(AR45*fxVal_normal=_BS!AR45,"",IF(OR(AR45="",NOT(ISNUMBER(AR45)),ISERROR(AR45),$B45=""),"",IF($I45=1,IFBLANK(_xldudf_CX_PUSH(AR45*fxVal_normal,CX_ENTITY,$B45,AR$11,AR$14,AR$19,),""),IF($I45=2,IFBLANK(_xldudf_CX_PUSH(AR45,CX_ENTITY,$B45,AR$11,AR$14,AR$19,),""),IF($I45=3,"",IFBLANK(_xldudf_CX_PUSH(AR45,CX_ENTITY,$B45,AR$11,AR$14,AR$19,),"")))))),"")</f>
        <v/>
      </c>
      <c r="DF45" s="1883" t="str" cm="1">
        <f t="array" ca="1" aca="1" ref="DF45">IFERROR(IF(AS45*fxVal_normal=_BS!AS45,"",IF(OR(AS45="",NOT(ISNUMBER(AS45)),ISERROR(AS45),$B45=""),"",IF($I45=1,IFBLANK(_xldudf_CX_PUSH(AS45*fxVal_normal,CX_ENTITY,$B45,AS$11,AS$14,AS$19,),""),IF($I45=2,IFBLANK(_xldudf_CX_PUSH(AS45,CX_ENTITY,$B45,AS$11,AS$14,AS$19,),""),IF($I45=3,"",IFBLANK(_xldudf_CX_PUSH(AS45,CX_ENTITY,$B45,AS$11,AS$14,AS$19,),"")))))),"")</f>
        <v/>
      </c>
      <c r="DG45" s="1883" t="str" cm="1">
        <f t="array" ca="1" aca="1" ref="DG45">IFERROR(IF(AT45*fxVal_normal=_BS!AT45,"",IF(OR(AT45="",NOT(ISNUMBER(AT45)),ISERROR(AT45),$B45=""),"",IF($I45=1,IFBLANK(_xldudf_CX_PUSH(AT45*fxVal_normal,CX_ENTITY,$B45,AT$11,AT$14,AT$19,),""),IF($I45=2,IFBLANK(_xldudf_CX_PUSH(AT45,CX_ENTITY,$B45,AT$11,AT$14,AT$19,),""),IF($I45=3,"",IFBLANK(_xldudf_CX_PUSH(AT45,CX_ENTITY,$B45,AT$11,AT$14,AT$19,),"")))))),"")</f>
        <v/>
      </c>
      <c r="DH45" s="1883" t="str" cm="1">
        <f t="array" ca="1" aca="1" ref="DH45">IFERROR(IF(AU45*fxVal_normal=_BS!AU45,"",IF(OR(AU45="",NOT(ISNUMBER(AU45)),ISERROR(AU45),$B45=""),"",IF($I45=1,IFBLANK(_xldudf_CX_PUSH(AU45*fxVal_normal,CX_ENTITY,$B45,AU$11,AU$14,AU$19,),""),IF($I45=2,IFBLANK(_xldudf_CX_PUSH(AU45,CX_ENTITY,$B45,AU$11,AU$14,AU$19,),""),IF($I45=3,"",IFBLANK(_xldudf_CX_PUSH(AU45,CX_ENTITY,$B45,AU$11,AU$14,AU$19,),"")))))),"")</f>
        <v/>
      </c>
      <c r="DI45" s="1883" t="str" cm="1">
        <f t="array" ca="1" aca="1" ref="DI45">IFERROR(IF(AV45*fxVal_normal=_BS!AV45,"",IF(OR(AV45="",NOT(ISNUMBER(AV45)),ISERROR(AV45),$B45=""),"",IF($I45=1,IFBLANK(_xldudf_CX_PUSH(AV45*fxVal_normal,CX_ENTITY,$B45,AV$11,AV$14,AV$19,),""),IF($I45=2,IFBLANK(_xldudf_CX_PUSH(AV45,CX_ENTITY,$B45,AV$11,AV$14,AV$19,),""),IF($I45=3,"",IFBLANK(_xldudf_CX_PUSH(AV45,CX_ENTITY,$B45,AV$11,AV$14,AV$19,),"")))))),"")</f>
        <v/>
      </c>
      <c r="DJ45" s="1883" t="str" cm="1">
        <f t="array" ca="1" aca="1" ref="DJ45">IFERROR(IF(AW45*fxVal_normal=_BS!AW45,"",IF(OR(AW45="",NOT(ISNUMBER(AW45)),ISERROR(AW45),$B45=""),"",IF($I45=1,IFBLANK(_xldudf_CX_PUSH(AW45*fxVal_normal,CX_ENTITY,$B45,AW$11,AW$14,AW$19,),""),IF($I45=2,IFBLANK(_xldudf_CX_PUSH(AW45,CX_ENTITY,$B45,AW$11,AW$14,AW$19,),""),IF($I45=3,"",IFBLANK(_xldudf_CX_PUSH(AW45,CX_ENTITY,$B45,AW$11,AW$14,AW$19,),"")))))),"")</f>
        <v/>
      </c>
      <c r="DK45" s="1883" t="str" cm="1">
        <f t="array" ca="1" aca="1" ref="DK45">IFERROR(IF(AX45*fxVal_normal=_BS!AX45,"",IF(OR(AX45="",NOT(ISNUMBER(AX45)),ISERROR(AX45),$B45=""),"",IF($I45=1,IFBLANK(_xldudf_CX_PUSH(AX45*fxVal_normal,CX_ENTITY,$B45,AX$11,AX$14,AX$19,),""),IF($I45=2,IFBLANK(_xldudf_CX_PUSH(AX45,CX_ENTITY,$B45,AX$11,AX$14,AX$19,),""),IF($I45=3,"",IFBLANK(_xldudf_CX_PUSH(AX45,CX_ENTITY,$B45,AX$11,AX$14,AX$19,),"")))))),"")</f>
        <v/>
      </c>
      <c r="DL45" s="1883" t="str" cm="1">
        <f t="array" ca="1" aca="1" ref="DL45">IFERROR(IF(AY45*fxVal_normal=_BS!AY45,"",IF(OR(AY45="",NOT(ISNUMBER(AY45)),ISERROR(AY45),$B45=""),"",IF($I45=1,IFBLANK(_xldudf_CX_PUSH(AY45*fxVal_normal,CX_ENTITY,$B45,AY$11,AY$14,AY$19,),""),IF($I45=2,IFBLANK(_xldudf_CX_PUSH(AY45,CX_ENTITY,$B45,AY$11,AY$14,AY$19,),""),IF($I45=3,"",IFBLANK(_xldudf_CX_PUSH(AY45,CX_ENTITY,$B45,AY$11,AY$14,AY$19,),"")))))),"")</f>
        <v/>
      </c>
      <c r="DM45" s="1883" t="str" cm="1">
        <f t="array" ca="1" aca="1" ref="DM45">IFERROR(IF(AZ45*fxVal_normal=_BS!AZ45,"",IF(OR(AZ45="",NOT(ISNUMBER(AZ45)),ISERROR(AZ45),$B45=""),"",IF($I45=1,IFBLANK(_xldudf_CX_PUSH(AZ45*fxVal_normal,CX_ENTITY,$B45,AZ$11,AZ$14,AZ$19,),""),IF($I45=2,IFBLANK(_xldudf_CX_PUSH(AZ45,CX_ENTITY,$B45,AZ$11,AZ$14,AZ$19,),""),IF($I45=3,"",IFBLANK(_xldudf_CX_PUSH(AZ45,CX_ENTITY,$B45,AZ$11,AZ$14,AZ$19,),"")))))),"")</f>
        <v/>
      </c>
      <c r="DN45" s="1883" t="str" cm="1">
        <f t="array" ca="1" aca="1" ref="DN45">IFERROR(IF(BA45*fxVal_normal=_BS!BA45,"",IF(OR(BA45="",NOT(ISNUMBER(BA45)),ISERROR(BA45),$B45=""),"",IF($I45=1,IFBLANK(_xldudf_CX_PUSH(BA45*fxVal_normal,CX_ENTITY,$B45,BA$11,BA$14,BA$19,),""),IF($I45=2,IFBLANK(_xldudf_CX_PUSH(BA45,CX_ENTITY,$B45,BA$11,BA$14,BA$19,),""),IF($I45=3,"",IFBLANK(_xldudf_CX_PUSH(BA45,CX_ENTITY,$B45,BA$11,BA$14,BA$19,),"")))))),"")</f>
        <v/>
      </c>
      <c r="DO45" s="1883" t="str" cm="1">
        <f t="array" ca="1" aca="1" ref="DO45">IFERROR(IF(BB45*fxVal_normal=_BS!BB45,"",IF(OR(BB45="",NOT(ISNUMBER(BB45)),ISERROR(BB45),$B45=""),"",IF($I45=1,IFBLANK(_xldudf_CX_PUSH(BB45*fxVal_normal,CX_ENTITY,$B45,BB$11,BB$14,BB$19,),""),IF($I45=2,IFBLANK(_xldudf_CX_PUSH(BB45,CX_ENTITY,$B45,BB$11,BB$14,BB$19,),""),IF($I45=3,"",IFBLANK(_xldudf_CX_PUSH(BB45,CX_ENTITY,$B45,BB$11,BB$14,BB$19,),"")))))),"")</f>
        <v/>
      </c>
      <c r="DP45" s="1883" t="str" cm="1">
        <f t="array" ca="1" aca="1" ref="DP45">IFERROR(IF(BC45*fxVal_normal=_BS!BC45,"",IF(OR(BC45="",NOT(ISNUMBER(BC45)),ISERROR(BC45),$B45=""),"",IF($I45=1,IFBLANK(_xldudf_CX_PUSH(BC45*fxVal_normal,CX_ENTITY,$B45,BC$11,BC$14,BC$19,),""),IF($I45=2,IFBLANK(_xldudf_CX_PUSH(BC45,CX_ENTITY,$B45,BC$11,BC$14,BC$19,),""),IF($I45=3,"",IFBLANK(_xldudf_CX_PUSH(BC45,CX_ENTITY,$B45,BC$11,BC$14,BC$19,),"")))))),"")</f>
        <v/>
      </c>
      <c r="DQ45" s="1883" t="str" cm="1">
        <f t="array" ca="1" aca="1" ref="DQ45">IFERROR(IF(BD45*fxVal_normal=_BS!BD45,"",IF(OR(BD45="",NOT(ISNUMBER(BD45)),ISERROR(BD45),$B45=""),"",IF($I45=1,IFBLANK(_xldudf_CX_PUSH(BD45*fxVal_normal,CX_ENTITY,$B45,BD$11,BD$14,BD$19,),""),IF($I45=2,IFBLANK(_xldudf_CX_PUSH(BD45,CX_ENTITY,$B45,BD$11,BD$14,BD$19,),""),IF($I45=3,"",IFBLANK(_xldudf_CX_PUSH(BD45,CX_ENTITY,$B45,BD$11,BD$14,BD$19,),"")))))),"")</f>
        <v/>
      </c>
      <c r="DR45" s="1883" t="str" cm="1">
        <f t="array" ca="1" aca="1" ref="DR45">IFERROR(IF(BE45*fxVal_normal=_BS!BE45,"",IF(OR(BE45="",NOT(ISNUMBER(BE45)),ISERROR(BE45),$B45=""),"",IF($I45=1,IFBLANK(_xldudf_CX_PUSH(BE45*fxVal_normal,CX_ENTITY,$B45,BE$11,BE$14,BE$19,),""),IF($I45=2,IFBLANK(_xldudf_CX_PUSH(BE45,CX_ENTITY,$B45,BE$11,BE$14,BE$19,),""),IF($I45=3,"",IFBLANK(_xldudf_CX_PUSH(BE45,CX_ENTITY,$B45,BE$11,BE$14,BE$19,),"")))))),"")</f>
        <v/>
      </c>
      <c r="DS45" s="1883" t="str" cm="1">
        <f t="array" ca="1" aca="1" ref="DS45">IFERROR(IF(BF45*fxVal_normal=_BS!BF45,"",IF(OR(BF45="",NOT(ISNUMBER(BF45)),ISERROR(BF45),$B45=""),"",IF($I45=1,IFBLANK(_xldudf_CX_PUSH(BF45*fxVal_normal,CX_ENTITY,$B45,BF$11,BF$14,BF$19,),""),IF($I45=2,IFBLANK(_xldudf_CX_PUSH(BF45,CX_ENTITY,$B45,BF$11,BF$14,BF$19,),""),IF($I45=3,"",IFBLANK(_xldudf_CX_PUSH(BF45,CX_ENTITY,$B45,BF$11,BF$14,BF$19,),"")))))),"")</f>
        <v/>
      </c>
      <c r="DT45" s="1883" t="str" cm="1">
        <f t="array" ca="1" aca="1" ref="DT45">IFERROR(IF(BG45*fxVal_normal=_BS!BG45,"",IF(OR(BG45="",NOT(ISNUMBER(BG45)),ISERROR(BG45),$B45=""),"",IF($I45=1,IFBLANK(_xldudf_CX_PUSH(BG45*fxVal_normal,CX_ENTITY,$B45,BG$11,BG$14,BG$19,),""),IF($I45=2,IFBLANK(_xldudf_CX_PUSH(BG45,CX_ENTITY,$B45,BG$11,BG$14,BG$19,),""),IF($I45=3,"",IFBLANK(_xldudf_CX_PUSH(BG45,CX_ENTITY,$B45,BG$11,BG$14,BG$19,),"")))))),"")</f>
        <v/>
      </c>
      <c r="DU45" s="1883" t="str" cm="1">
        <f t="array" ca="1" aca="1" ref="DU45">IFERROR(IF(BH45*fxVal_normal=_BS!BH45,"",IF(OR(BH45="",NOT(ISNUMBER(BH45)),ISERROR(BH45),$B45=""),"",IF($I45=1,IFBLANK(_xldudf_CX_PUSH(BH45*fxVal_normal,CX_ENTITY,$B45,BH$11,BH$14,BH$19,),""),IF($I45=2,IFBLANK(_xldudf_CX_PUSH(BH45,CX_ENTITY,$B45,BH$11,BH$14,BH$19,),""),IF($I45=3,"",IFBLANK(_xldudf_CX_PUSH(BH45,CX_ENTITY,$B45,BH$11,BH$14,BH$19,),"")))))),"")</f>
        <v/>
      </c>
      <c r="DV45" s="1883" t="str" cm="1">
        <f t="array" ca="1" aca="1" ref="DV45">IFERROR(IF(BI45*fxVal_normal=_BS!BI45,"",IF(OR(BI45="",NOT(ISNUMBER(BI45)),ISERROR(BI45),$B45=""),"",IF($I45=1,IFBLANK(_xldudf_CX_PUSH(BI45*fxVal_normal,CX_ENTITY,$B45,BI$11,BI$14,BI$19,),""),IF($I45=2,IFBLANK(_xldudf_CX_PUSH(BI45,CX_ENTITY,$B45,BI$11,BI$14,BI$19,),""),IF($I45=3,"",IFBLANK(_xldudf_CX_PUSH(BI45,CX_ENTITY,$B45,BI$11,BI$14,BI$19,),"")))))),"")</f>
        <v/>
      </c>
      <c r="DW45" s="1883" t="str" cm="1">
        <f t="array" ca="1" aca="1" ref="DW45">IFERROR(IF(BJ45*fxVal_normal=_BS!BJ45,"",IF(OR(BJ45="",NOT(ISNUMBER(BJ45)),ISERROR(BJ45),$B45=""),"",IF($I45=1,IFBLANK(_xldudf_CX_PUSH(BJ45*fxVal_normal,CX_ENTITY,$B45,BJ$11,BJ$14,BJ$19,),""),IF($I45=2,IFBLANK(_xldudf_CX_PUSH(BJ45,CX_ENTITY,$B45,BJ$11,BJ$14,BJ$19,),""),IF($I45=3,"",IFBLANK(_xldudf_CX_PUSH(BJ45,CX_ENTITY,$B45,BJ$11,BJ$14,BJ$19,),"")))))),"")</f>
        <v/>
      </c>
      <c r="DX45" s="1883" t="str" cm="1">
        <f t="array" ca="1" aca="1" ref="DX45">IFERROR(IF(BK45*fxVal_normal=_BS!BK45,"",IF(OR(BK45="",NOT(ISNUMBER(BK45)),ISERROR(BK45),$B45=""),"",IF($I45=1,IFBLANK(_xldudf_CX_PUSH(BK45*fxVal_normal,CX_ENTITY,$B45,BK$11,BK$14,BK$19,),""),IF($I45=2,IFBLANK(_xldudf_CX_PUSH(BK45,CX_ENTITY,$B45,BK$11,BK$14,BK$19,),""),IF($I45=3,"",IFBLANK(_xldudf_CX_PUSH(BK45,CX_ENTITY,$B45,BK$11,BK$14,BK$19,),"")))))),"")</f>
        <v/>
      </c>
      <c r="DY45" s="1883" t="str" cm="1">
        <f t="array" ca="1" aca="1" ref="DY45">IFERROR(IF(BL45*fxVal_normal=_BS!BL45,"",IF(OR(BL45="",NOT(ISNUMBER(BL45)),ISERROR(BL45),$B45=""),"",IF($I45=1,IFBLANK(_xldudf_CX_PUSH(BL45*fxVal_normal,CX_ENTITY,$B45,BL$11,BL$14,BL$19,),""),IF($I45=2,IFBLANK(_xldudf_CX_PUSH(BL45,CX_ENTITY,$B45,BL$11,BL$14,BL$19,),""),IF($I45=3,"",IFBLANK(_xldudf_CX_PUSH(BL45,CX_ENTITY,$B45,BL$11,BL$14,BL$19,),"")))))),"")</f>
        <v/>
      </c>
      <c r="DZ45" s="1883" t="str" cm="1">
        <f t="array" ca="1" aca="1" ref="DZ45">IFERROR(IF(BM45*fxVal_normal=_BS!BM45,"",IF(OR(BM45="",NOT(ISNUMBER(BM45)),ISERROR(BM45),$B45=""),"",IF($I45=1,IFBLANK(_xldudf_CX_PUSH(BM45*fxVal_normal,CX_ENTITY,$B45,BM$11,BM$14,BM$19,),""),IF($I45=2,IFBLANK(_xldudf_CX_PUSH(BM45,CX_ENTITY,$B45,BM$11,BM$14,BM$19,),""),IF($I45=3,"",IFBLANK(_xldudf_CX_PUSH(BM45,CX_ENTITY,$B45,BM$11,BM$14,BM$19,),"")))))),"")</f>
        <v/>
      </c>
      <c r="EA45" s="1883" t="str" cm="1">
        <f t="array" ca="1" aca="1" ref="EA45">IFERROR(IF(BN45*fxVal_normal=_BS!BN45,"",IF(OR(BN45="",NOT(ISNUMBER(BN45)),ISERROR(BN45),$B45=""),"",IF($I45=1,IFBLANK(_xldudf_CX_PUSH(BN45*fxVal_normal,CX_ENTITY,$B45,BN$11,BN$14,BN$19,),""),IF($I45=2,IFBLANK(_xldudf_CX_PUSH(BN45,CX_ENTITY,$B45,BN$11,BN$14,BN$19,),""),IF($I45=3,"",IFBLANK(_xldudf_CX_PUSH(BN45,CX_ENTITY,$B45,BN$11,BN$14,BN$19,),"")))))),"")</f>
        <v/>
      </c>
    </row>
    <row r="46" spans="1:131" ht="21" customHeight="1">
      <c r="A46" s="1626"/>
      <c r="B46" s="811" t="str" cm="1">
        <f t="array" ref="B46">IFBLANK(_BS!F46,"")</f>
        <v>Net (Debt) / Cash</v>
      </c>
      <c r="C46" s="3346" t="str" cm="1">
        <f t="array" ref="C46">IFBLANK(_BS!C46,"")</f>
        <v>Net (Debt) / Cash (Company View)</v>
      </c>
      <c r="D46" s="1549"/>
      <c r="E46" s="1902" t="e" cm="1">
        <f t="array" ca="1" aca="1" ref="E4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46:$CH46,Z46)</f>
        <v>#NAME?</v>
      </c>
      <c r="F46" s="1897"/>
      <c r="G46" s="1897"/>
      <c r="H46" s="3280">
        <v>2</v>
      </c>
      <c r="I46" s="3280">
        <v>1</v>
      </c>
      <c r="J46" s="401"/>
      <c r="L46" s="921"/>
      <c r="M46" s="921"/>
      <c r="N46" s="158"/>
      <c r="O46" s="101"/>
      <c r="P46" s="52"/>
      <c r="Q46" s="101"/>
      <c r="R46" s="126"/>
      <c r="S46" s="101"/>
      <c r="T46" s="101"/>
      <c r="U46" s="39"/>
      <c r="V46" s="921"/>
      <c r="W46" s="922" t="str">
        <f t="shared" si="1"/>
        <v>Actual</v>
      </c>
      <c r="X46" s="1294">
        <f>_BS!X46</f>
        <v>0</v>
      </c>
      <c r="Y46" s="3347" t="str">
        <f>_BS!Y46</f>
        <v>Net Debt / (Cash)</v>
      </c>
      <c r="Z46" s="198" cm="1">
        <f t="array" ref="Z46">_xlfn.SWITCH(TRUE,_BS!$L46=TRUE,1,_BS!$L46=FALSE,-1,_BS!$L46=-1,0,"n/a")</f>
        <v>0</v>
      </c>
      <c r="AA46" s="924"/>
      <c r="AB46" s="3345" t="str">
        <f>_BS!AB46</f>
        <v>Net Debt / (Cash)</v>
      </c>
      <c r="AC46" s="88" t="str" cm="1">
        <f t="array" ca="1" aca="1" ref="AC46">_xlfn.LET(_xlpm._termname,$AB46,_xlpm._iconname,"find",_xlpm._icon,fx_getIcon(_xlpm._iconname),_xlpm._location,_xlfn.XLOOKUP(LOWER(_xlpm._termname),LOWER(tbl_acctDef[Term]),tbl_acctDef[Term]),_xlpm._hyperlink,HYPERLINK("#"&amp;CELL("address",_xlpm._location),_xlpm._icon),IFERROR(_xlpm._hyperlink,""))</f>
        <v/>
      </c>
      <c r="AD46" s="919">
        <f t="shared" si="10" ref="AD46:BN46">SUBTOTAL(9,AD31:AD45)</f>
        <v>11</v>
      </c>
      <c r="AE46" s="919">
        <f t="shared" si="10"/>
        <v>11</v>
      </c>
      <c r="AF46" s="919">
        <f t="shared" si="10"/>
        <v>11</v>
      </c>
      <c r="AG46" s="919">
        <f t="shared" si="10"/>
        <v>11</v>
      </c>
      <c r="AH46" s="919">
        <f t="shared" si="10"/>
        <v>11</v>
      </c>
      <c r="AI46" s="919">
        <f t="shared" si="10"/>
        <v>11</v>
      </c>
      <c r="AJ46" s="919">
        <f t="shared" si="10"/>
        <v>11</v>
      </c>
      <c r="AK46" s="919">
        <f t="shared" si="10"/>
        <v>11</v>
      </c>
      <c r="AL46" s="919">
        <f t="shared" si="10"/>
        <v>11</v>
      </c>
      <c r="AM46" s="919">
        <f t="shared" si="10"/>
        <v>11</v>
      </c>
      <c r="AN46" s="919">
        <f t="shared" si="10"/>
        <v>11</v>
      </c>
      <c r="AO46" s="919">
        <f t="shared" si="10"/>
        <v>11</v>
      </c>
      <c r="AP46" s="919">
        <f t="shared" si="10"/>
        <v>11</v>
      </c>
      <c r="AQ46" s="919">
        <f t="shared" si="10"/>
        <v>11</v>
      </c>
      <c r="AR46" s="919">
        <f t="shared" si="10"/>
        <v>11</v>
      </c>
      <c r="AS46" s="919">
        <f t="shared" si="10"/>
        <v>11</v>
      </c>
      <c r="AT46" s="919">
        <f t="shared" si="10"/>
        <v>11</v>
      </c>
      <c r="AU46" s="919">
        <f t="shared" si="10"/>
        <v>11</v>
      </c>
      <c r="AV46" s="919">
        <f t="shared" si="10"/>
        <v>11</v>
      </c>
      <c r="AW46" s="919">
        <f t="shared" si="10"/>
        <v>11</v>
      </c>
      <c r="AX46" s="919">
        <f t="shared" si="10"/>
        <v>11</v>
      </c>
      <c r="AY46" s="919">
        <f t="shared" si="10"/>
        <v>11</v>
      </c>
      <c r="AZ46" s="919">
        <f t="shared" si="10"/>
        <v>11</v>
      </c>
      <c r="BA46" s="919">
        <f t="shared" si="10"/>
        <v>11</v>
      </c>
      <c r="BB46" s="919">
        <f t="shared" si="10"/>
        <v>11</v>
      </c>
      <c r="BC46" s="919">
        <f t="shared" si="10"/>
        <v>11</v>
      </c>
      <c r="BD46" s="919">
        <f t="shared" si="10"/>
        <v>11</v>
      </c>
      <c r="BE46" s="919">
        <f t="shared" si="10"/>
        <v>11</v>
      </c>
      <c r="BF46" s="919">
        <f t="shared" si="10"/>
        <v>11</v>
      </c>
      <c r="BG46" s="919">
        <f t="shared" si="10"/>
        <v>11</v>
      </c>
      <c r="BH46" s="919">
        <f t="shared" si="10"/>
        <v>11</v>
      </c>
      <c r="BI46" s="919">
        <f t="shared" si="10"/>
        <v>11</v>
      </c>
      <c r="BJ46" s="919">
        <f t="shared" si="10"/>
        <v>11</v>
      </c>
      <c r="BK46" s="919">
        <f t="shared" si="10"/>
        <v>11</v>
      </c>
      <c r="BL46" s="919">
        <f t="shared" si="10"/>
        <v>11</v>
      </c>
      <c r="BM46" s="919">
        <f t="shared" si="10"/>
        <v>11</v>
      </c>
      <c r="BN46" s="919">
        <f t="shared" si="10"/>
        <v>11</v>
      </c>
      <c r="BO46" s="2117"/>
      <c r="BP46" s="2117"/>
      <c r="BQ46" s="2117"/>
      <c r="BR46" s="2117"/>
      <c r="BS46" s="2117"/>
      <c r="BT46" s="2117"/>
      <c r="BU46" s="2117"/>
      <c r="BV46" s="2117"/>
      <c r="BW46" s="2117"/>
      <c r="BX46" s="2117"/>
      <c r="BY46" s="2117"/>
      <c r="BZ46" s="2117"/>
      <c r="CA46" s="926"/>
      <c r="CB46" s="921"/>
      <c r="CC46" s="927"/>
      <c r="CD46" s="919" t="e" cm="1">
        <f t="array" ca="1" aca="1" ref="CD46">_xlfn.XLOOKUP(BS!CD$11,array_timeline,BS!$AD46:$BN46)</f>
        <v>#NAME?</v>
      </c>
      <c r="CE46" s="919" t="e" cm="1">
        <f t="array" ca="1" aca="1" ref="CE46">_xlfn.XLOOKUP(BS!CE$11,array_timeline,BS!$AD46:$BN46)</f>
        <v>#NAME?</v>
      </c>
      <c r="CF46" s="925"/>
      <c r="CG46" s="919" t="e">
        <f ca="1">SUBTOTAL(9,CG31:CG45)</f>
        <v>#NAME?</v>
      </c>
      <c r="CH46" s="919" t="e">
        <f ca="1">SUBTOTAL(9,CH31:CH45)</f>
        <v>#NAME?</v>
      </c>
      <c r="CI46" s="924"/>
      <c r="CK46" s="2085" t="str" cm="1">
        <f t="array" ref="CK46">IFERROR(IF(Y46&lt;&gt;AB46,_xldudf_CX_PUSH(Y46,CX_ENTITY,C46,EOMONTH(val_asOfDate,0)),""),"")</f>
        <v/>
      </c>
      <c r="CL46" s="2085" t="str" cm="1">
        <f t="array" ref="CL46">IFERROR(IF(Y46&lt;&gt;AB46,_xldudf_CX_PUSH(Y46,CX_ENTITY,C46,EOMONTH(val_asOfDate,1)),""),"")</f>
        <v/>
      </c>
      <c r="CM46" s="2085" t="str" cm="1">
        <f t="array" ref="CM46">IFERROR(IF(Y46&lt;&gt;AB46,_xldudf_CX_PUSH(Y46,CX_ENTITY,C46,EOMONTH(val_asOfDate,2)),""),"")</f>
        <v/>
      </c>
      <c r="CN46" s="2085" t="str" cm="1">
        <f t="array" ref="CN46">IFERROR(IF(Y46&lt;&gt;AB46,_xldudf_CX_PUSH(Y46,CX_ENTITY,C46,EOMONTH(val_asOfDate,3)),""),"")</f>
        <v/>
      </c>
      <c r="CO46" s="2086" t="str" cm="1">
        <f t="array" ca="1" aca="1" ref="CO46">IFERROR(IF(CG46*fxVal_normal=_BS!CG46,"",IF(OR($CG46="",$CG46=0,NOT(ISNUMBER($CG46)),ISERROR($CG46),$B46=""),"",IF($I46=1,IFBLANK(_xldudf_CX_PUSH($CG46*10^6,CX_ENTITY,$B46,$CG$11,$CG$14,$CG$19,),""),IF($I46=2,IFBLANK(_xldudf_CX_PUSH($CG46,CX_ENTITY,$B46,$CG$11,$CG$14,$CG$19,),""),IF($I46=3,"",IFBLANK(_xldudf_CX_PUSH($CG46,CX_ENTITY,$B46,$CG$11,$CG$14,$CG$19,),"")))))),"")</f>
        <v/>
      </c>
      <c r="CP46" s="2086" t="str" cm="1">
        <f t="array" ca="1" aca="1" ref="CP46">IFERROR(IF(CH46*fxVal_normal=_BS!CH46,"",IF(OR($CH46="",$CH46=0,NOT(ISNUMBER($CH46)),ISERROR($CH46),$B46=""),"",IF($I46=1,IFBLANK(_xldudf_CX_PUSH($CH46*10^6,CX_ENTITY,$B46,$CH$11,$CH$14,$CH$19,),""),IF($I46=2,IFBLANK(_xldudf_CX_PUSH($CH46,CX_ENTITY,$B46,$CH$11,$CH$14,$CH$19,),""),IF($I46=3,"",IFBLANK(_xldudf_CX_PUSH($CH46,CX_ENTITY,$B46,$CH$11,$CH$14,$CH$19,),"")))))),"")</f>
        <v/>
      </c>
      <c r="CQ46" s="1883" t="str" cm="1">
        <f t="array" ca="1" aca="1" ref="CQ46">IFERROR(IF(AD46*fxVal_normal=_BS!AD46,"",IF(OR(AD46="",NOT(ISNUMBER(AD46)),ISERROR(AD46),$B46=""),"",IF($I46=1,IFBLANK(_xldudf_CX_PUSH(AD46*fxVal_normal,CX_ENTITY,$B46,AD$11,AD$14,AD$19,),""),IF($I46=2,IFBLANK(_xldudf_CX_PUSH(AD46,CX_ENTITY,$B46,AD$11,AD$14,AD$19,),""),IF($I46=3,"",IFBLANK(_xldudf_CX_PUSH(AD46,CX_ENTITY,$B46,AD$11,AD$14,AD$19,),"")))))),"")</f>
        <v/>
      </c>
      <c r="CR46" s="1883" t="str" cm="1">
        <f t="array" ca="1" aca="1" ref="CR46">IFERROR(IF(AE46*fxVal_normal=_BS!AE46,"",IF(OR(AE46="",NOT(ISNUMBER(AE46)),ISERROR(AE46),$B46=""),"",IF($I46=1,IFBLANK(_xldudf_CX_PUSH(AE46*fxVal_normal,CX_ENTITY,$B46,AE$11,AE$14,AE$19,),""),IF($I46=2,IFBLANK(_xldudf_CX_PUSH(AE46,CX_ENTITY,$B46,AE$11,AE$14,AE$19,),""),IF($I46=3,"",IFBLANK(_xldudf_CX_PUSH(AE46,CX_ENTITY,$B46,AE$11,AE$14,AE$19,),"")))))),"")</f>
        <v/>
      </c>
      <c r="CS46" s="1883" t="str" cm="1">
        <f t="array" ca="1" aca="1" ref="CS46">IFERROR(IF(AF46*fxVal_normal=_BS!AF46,"",IF(OR(AF46="",NOT(ISNUMBER(AF46)),ISERROR(AF46),$B46=""),"",IF($I46=1,IFBLANK(_xldudf_CX_PUSH(AF46*fxVal_normal,CX_ENTITY,$B46,AF$11,AF$14,AF$19,),""),IF($I46=2,IFBLANK(_xldudf_CX_PUSH(AF46,CX_ENTITY,$B46,AF$11,AF$14,AF$19,),""),IF($I46=3,"",IFBLANK(_xldudf_CX_PUSH(AF46,CX_ENTITY,$B46,AF$11,AF$14,AF$19,),"")))))),"")</f>
        <v/>
      </c>
      <c r="CT46" s="1883" t="str" cm="1">
        <f t="array" ca="1" aca="1" ref="CT46">IFERROR(IF(AG46*fxVal_normal=_BS!AG46,"",IF(OR(AG46="",NOT(ISNUMBER(AG46)),ISERROR(AG46),$B46=""),"",IF($I46=1,IFBLANK(_xldudf_CX_PUSH(AG46*fxVal_normal,CX_ENTITY,$B46,AG$11,AG$14,AG$19,),""),IF($I46=2,IFBLANK(_xldudf_CX_PUSH(AG46,CX_ENTITY,$B46,AG$11,AG$14,AG$19,),""),IF($I46=3,"",IFBLANK(_xldudf_CX_PUSH(AG46,CX_ENTITY,$B46,AG$11,AG$14,AG$19,),"")))))),"")</f>
        <v/>
      </c>
      <c r="CU46" s="1883" t="str" cm="1">
        <f t="array" ca="1" aca="1" ref="CU46">IFERROR(IF(AH46*fxVal_normal=_BS!AH46,"",IF(OR(AH46="",NOT(ISNUMBER(AH46)),ISERROR(AH46),$B46=""),"",IF($I46=1,IFBLANK(_xldudf_CX_PUSH(AH46*fxVal_normal,CX_ENTITY,$B46,AH$11,AH$14,AH$19,),""),IF($I46=2,IFBLANK(_xldudf_CX_PUSH(AH46,CX_ENTITY,$B46,AH$11,AH$14,AH$19,),""),IF($I46=3,"",IFBLANK(_xldudf_CX_PUSH(AH46,CX_ENTITY,$B46,AH$11,AH$14,AH$19,),"")))))),"")</f>
        <v/>
      </c>
      <c r="CV46" s="1883" t="str" cm="1">
        <f t="array" ca="1" aca="1" ref="CV46">IFERROR(IF(AI46*fxVal_normal=_BS!AI46,"",IF(OR(AI46="",NOT(ISNUMBER(AI46)),ISERROR(AI46),$B46=""),"",IF($I46=1,IFBLANK(_xldudf_CX_PUSH(AI46*fxVal_normal,CX_ENTITY,$B46,AI$11,AI$14,AI$19,),""),IF($I46=2,IFBLANK(_xldudf_CX_PUSH(AI46,CX_ENTITY,$B46,AI$11,AI$14,AI$19,),""),IF($I46=3,"",IFBLANK(_xldudf_CX_PUSH(AI46,CX_ENTITY,$B46,AI$11,AI$14,AI$19,),"")))))),"")</f>
        <v/>
      </c>
      <c r="CW46" s="1883" t="str" cm="1">
        <f t="array" ca="1" aca="1" ref="CW46">IFERROR(IF(AJ46*fxVal_normal=_BS!AJ46,"",IF(OR(AJ46="",NOT(ISNUMBER(AJ46)),ISERROR(AJ46),$B46=""),"",IF($I46=1,IFBLANK(_xldudf_CX_PUSH(AJ46*fxVal_normal,CX_ENTITY,$B46,AJ$11,AJ$14,AJ$19,),""),IF($I46=2,IFBLANK(_xldudf_CX_PUSH(AJ46,CX_ENTITY,$B46,AJ$11,AJ$14,AJ$19,),""),IF($I46=3,"",IFBLANK(_xldudf_CX_PUSH(AJ46,CX_ENTITY,$B46,AJ$11,AJ$14,AJ$19,),"")))))),"")</f>
        <v/>
      </c>
      <c r="CX46" s="1883" t="str" cm="1">
        <f t="array" ca="1" aca="1" ref="CX46">IFERROR(IF(AK46*fxVal_normal=_BS!AK46,"",IF(OR(AK46="",NOT(ISNUMBER(AK46)),ISERROR(AK46),$B46=""),"",IF($I46=1,IFBLANK(_xldudf_CX_PUSH(AK46*fxVal_normal,CX_ENTITY,$B46,AK$11,AK$14,AK$19,),""),IF($I46=2,IFBLANK(_xldudf_CX_PUSH(AK46,CX_ENTITY,$B46,AK$11,AK$14,AK$19,),""),IF($I46=3,"",IFBLANK(_xldudf_CX_PUSH(AK46,CX_ENTITY,$B46,AK$11,AK$14,AK$19,),"")))))),"")</f>
        <v/>
      </c>
      <c r="CY46" s="1883" t="str" cm="1">
        <f t="array" ca="1" aca="1" ref="CY46">IFERROR(IF(AL46*fxVal_normal=_BS!AL46,"",IF(OR(AL46="",NOT(ISNUMBER(AL46)),ISERROR(AL46),$B46=""),"",IF($I46=1,IFBLANK(_xldudf_CX_PUSH(AL46*fxVal_normal,CX_ENTITY,$B46,AL$11,AL$14,AL$19,),""),IF($I46=2,IFBLANK(_xldudf_CX_PUSH(AL46,CX_ENTITY,$B46,AL$11,AL$14,AL$19,),""),IF($I46=3,"",IFBLANK(_xldudf_CX_PUSH(AL46,CX_ENTITY,$B46,AL$11,AL$14,AL$19,),"")))))),"")</f>
        <v/>
      </c>
      <c r="CZ46" s="1883" t="str" cm="1">
        <f t="array" ca="1" aca="1" ref="CZ46">IFERROR(IF(AM46*fxVal_normal=_BS!AM46,"",IF(OR(AM46="",NOT(ISNUMBER(AM46)),ISERROR(AM46),$B46=""),"",IF($I46=1,IFBLANK(_xldudf_CX_PUSH(AM46*fxVal_normal,CX_ENTITY,$B46,AM$11,AM$14,AM$19,),""),IF($I46=2,IFBLANK(_xldudf_CX_PUSH(AM46,CX_ENTITY,$B46,AM$11,AM$14,AM$19,),""),IF($I46=3,"",IFBLANK(_xldudf_CX_PUSH(AM46,CX_ENTITY,$B46,AM$11,AM$14,AM$19,),"")))))),"")</f>
        <v/>
      </c>
      <c r="DA46" s="1883" t="str" cm="1">
        <f t="array" ca="1" aca="1" ref="DA46">IFERROR(IF(AN46*fxVal_normal=_BS!AN46,"",IF(OR(AN46="",NOT(ISNUMBER(AN46)),ISERROR(AN46),$B46=""),"",IF($I46=1,IFBLANK(_xldudf_CX_PUSH(AN46*fxVal_normal,CX_ENTITY,$B46,AN$11,AN$14,AN$19,),""),IF($I46=2,IFBLANK(_xldudf_CX_PUSH(AN46,CX_ENTITY,$B46,AN$11,AN$14,AN$19,),""),IF($I46=3,"",IFBLANK(_xldudf_CX_PUSH(AN46,CX_ENTITY,$B46,AN$11,AN$14,AN$19,),"")))))),"")</f>
        <v/>
      </c>
      <c r="DB46" s="1883" t="str" cm="1">
        <f t="array" ca="1" aca="1" ref="DB46">IFERROR(IF(AO46*fxVal_normal=_BS!AO46,"",IF(OR(AO46="",NOT(ISNUMBER(AO46)),ISERROR(AO46),$B46=""),"",IF($I46=1,IFBLANK(_xldudf_CX_PUSH(AO46*fxVal_normal,CX_ENTITY,$B46,AO$11,AO$14,AO$19,),""),IF($I46=2,IFBLANK(_xldudf_CX_PUSH(AO46,CX_ENTITY,$B46,AO$11,AO$14,AO$19,),""),IF($I46=3,"",IFBLANK(_xldudf_CX_PUSH(AO46,CX_ENTITY,$B46,AO$11,AO$14,AO$19,),"")))))),"")</f>
        <v/>
      </c>
      <c r="DC46" s="1883" t="str" cm="1">
        <f t="array" ca="1" aca="1" ref="DC46">IFERROR(IF(AP46*fxVal_normal=_BS!AP46,"",IF(OR(AP46="",NOT(ISNUMBER(AP46)),ISERROR(AP46),$B46=""),"",IF($I46=1,IFBLANK(_xldudf_CX_PUSH(AP46*fxVal_normal,CX_ENTITY,$B46,AP$11,AP$14,AP$19,),""),IF($I46=2,IFBLANK(_xldudf_CX_PUSH(AP46,CX_ENTITY,$B46,AP$11,AP$14,AP$19,),""),IF($I46=3,"",IFBLANK(_xldudf_CX_PUSH(AP46,CX_ENTITY,$B46,AP$11,AP$14,AP$19,),"")))))),"")</f>
        <v/>
      </c>
      <c r="DD46" s="1883" t="str" cm="1">
        <f t="array" ca="1" aca="1" ref="DD46">IFERROR(IF(AQ46*fxVal_normal=_BS!AQ46,"",IF(OR(AQ46="",NOT(ISNUMBER(AQ46)),ISERROR(AQ46),$B46=""),"",IF($I46=1,IFBLANK(_xldudf_CX_PUSH(AQ46*fxVal_normal,CX_ENTITY,$B46,AQ$11,AQ$14,AQ$19,),""),IF($I46=2,IFBLANK(_xldudf_CX_PUSH(AQ46,CX_ENTITY,$B46,AQ$11,AQ$14,AQ$19,),""),IF($I46=3,"",IFBLANK(_xldudf_CX_PUSH(AQ46,CX_ENTITY,$B46,AQ$11,AQ$14,AQ$19,),"")))))),"")</f>
        <v/>
      </c>
      <c r="DE46" s="1883" t="str" cm="1">
        <f t="array" ca="1" aca="1" ref="DE46">IFERROR(IF(AR46*fxVal_normal=_BS!AR46,"",IF(OR(AR46="",NOT(ISNUMBER(AR46)),ISERROR(AR46),$B46=""),"",IF($I46=1,IFBLANK(_xldudf_CX_PUSH(AR46*fxVal_normal,CX_ENTITY,$B46,AR$11,AR$14,AR$19,),""),IF($I46=2,IFBLANK(_xldudf_CX_PUSH(AR46,CX_ENTITY,$B46,AR$11,AR$14,AR$19,),""),IF($I46=3,"",IFBLANK(_xldudf_CX_PUSH(AR46,CX_ENTITY,$B46,AR$11,AR$14,AR$19,),"")))))),"")</f>
        <v/>
      </c>
      <c r="DF46" s="1883" t="str" cm="1">
        <f t="array" ca="1" aca="1" ref="DF46">IFERROR(IF(AS46*fxVal_normal=_BS!AS46,"",IF(OR(AS46="",NOT(ISNUMBER(AS46)),ISERROR(AS46),$B46=""),"",IF($I46=1,IFBLANK(_xldudf_CX_PUSH(AS46*fxVal_normal,CX_ENTITY,$B46,AS$11,AS$14,AS$19,),""),IF($I46=2,IFBLANK(_xldudf_CX_PUSH(AS46,CX_ENTITY,$B46,AS$11,AS$14,AS$19,),""),IF($I46=3,"",IFBLANK(_xldudf_CX_PUSH(AS46,CX_ENTITY,$B46,AS$11,AS$14,AS$19,),"")))))),"")</f>
        <v/>
      </c>
      <c r="DG46" s="1883" t="str" cm="1">
        <f t="array" ca="1" aca="1" ref="DG46">IFERROR(IF(AT46*fxVal_normal=_BS!AT46,"",IF(OR(AT46="",NOT(ISNUMBER(AT46)),ISERROR(AT46),$B46=""),"",IF($I46=1,IFBLANK(_xldudf_CX_PUSH(AT46*fxVal_normal,CX_ENTITY,$B46,AT$11,AT$14,AT$19,),""),IF($I46=2,IFBLANK(_xldudf_CX_PUSH(AT46,CX_ENTITY,$B46,AT$11,AT$14,AT$19,),""),IF($I46=3,"",IFBLANK(_xldudf_CX_PUSH(AT46,CX_ENTITY,$B46,AT$11,AT$14,AT$19,),"")))))),"")</f>
        <v/>
      </c>
      <c r="DH46" s="1883" t="str" cm="1">
        <f t="array" ca="1" aca="1" ref="DH46">IFERROR(IF(AU46*fxVal_normal=_BS!AU46,"",IF(OR(AU46="",NOT(ISNUMBER(AU46)),ISERROR(AU46),$B46=""),"",IF($I46=1,IFBLANK(_xldudf_CX_PUSH(AU46*fxVal_normal,CX_ENTITY,$B46,AU$11,AU$14,AU$19,),""),IF($I46=2,IFBLANK(_xldudf_CX_PUSH(AU46,CX_ENTITY,$B46,AU$11,AU$14,AU$19,),""),IF($I46=3,"",IFBLANK(_xldudf_CX_PUSH(AU46,CX_ENTITY,$B46,AU$11,AU$14,AU$19,),"")))))),"")</f>
        <v/>
      </c>
      <c r="DI46" s="1883" t="str" cm="1">
        <f t="array" ca="1" aca="1" ref="DI46">IFERROR(IF(AV46*fxVal_normal=_BS!AV46,"",IF(OR(AV46="",NOT(ISNUMBER(AV46)),ISERROR(AV46),$B46=""),"",IF($I46=1,IFBLANK(_xldudf_CX_PUSH(AV46*fxVal_normal,CX_ENTITY,$B46,AV$11,AV$14,AV$19,),""),IF($I46=2,IFBLANK(_xldudf_CX_PUSH(AV46,CX_ENTITY,$B46,AV$11,AV$14,AV$19,),""),IF($I46=3,"",IFBLANK(_xldudf_CX_PUSH(AV46,CX_ENTITY,$B46,AV$11,AV$14,AV$19,),"")))))),"")</f>
        <v/>
      </c>
      <c r="DJ46" s="1883" t="str" cm="1">
        <f t="array" ca="1" aca="1" ref="DJ46">IFERROR(IF(AW46*fxVal_normal=_BS!AW46,"",IF(OR(AW46="",NOT(ISNUMBER(AW46)),ISERROR(AW46),$B46=""),"",IF($I46=1,IFBLANK(_xldudf_CX_PUSH(AW46*fxVal_normal,CX_ENTITY,$B46,AW$11,AW$14,AW$19,),""),IF($I46=2,IFBLANK(_xldudf_CX_PUSH(AW46,CX_ENTITY,$B46,AW$11,AW$14,AW$19,),""),IF($I46=3,"",IFBLANK(_xldudf_CX_PUSH(AW46,CX_ENTITY,$B46,AW$11,AW$14,AW$19,),"")))))),"")</f>
        <v/>
      </c>
      <c r="DK46" s="1883" t="str" cm="1">
        <f t="array" ca="1" aca="1" ref="DK46">IFERROR(IF(AX46*fxVal_normal=_BS!AX46,"",IF(OR(AX46="",NOT(ISNUMBER(AX46)),ISERROR(AX46),$B46=""),"",IF($I46=1,IFBLANK(_xldudf_CX_PUSH(AX46*fxVal_normal,CX_ENTITY,$B46,AX$11,AX$14,AX$19,),""),IF($I46=2,IFBLANK(_xldudf_CX_PUSH(AX46,CX_ENTITY,$B46,AX$11,AX$14,AX$19,),""),IF($I46=3,"",IFBLANK(_xldudf_CX_PUSH(AX46,CX_ENTITY,$B46,AX$11,AX$14,AX$19,),"")))))),"")</f>
        <v/>
      </c>
      <c r="DL46" s="1883" t="str" cm="1">
        <f t="array" ca="1" aca="1" ref="DL46">IFERROR(IF(AY46*fxVal_normal=_BS!AY46,"",IF(OR(AY46="",NOT(ISNUMBER(AY46)),ISERROR(AY46),$B46=""),"",IF($I46=1,IFBLANK(_xldudf_CX_PUSH(AY46*fxVal_normal,CX_ENTITY,$B46,AY$11,AY$14,AY$19,),""),IF($I46=2,IFBLANK(_xldudf_CX_PUSH(AY46,CX_ENTITY,$B46,AY$11,AY$14,AY$19,),""),IF($I46=3,"",IFBLANK(_xldudf_CX_PUSH(AY46,CX_ENTITY,$B46,AY$11,AY$14,AY$19,),"")))))),"")</f>
        <v/>
      </c>
      <c r="DM46" s="1883" t="str" cm="1">
        <f t="array" ca="1" aca="1" ref="DM46">IFERROR(IF(AZ46*fxVal_normal=_BS!AZ46,"",IF(OR(AZ46="",NOT(ISNUMBER(AZ46)),ISERROR(AZ46),$B46=""),"",IF($I46=1,IFBLANK(_xldudf_CX_PUSH(AZ46*fxVal_normal,CX_ENTITY,$B46,AZ$11,AZ$14,AZ$19,),""),IF($I46=2,IFBLANK(_xldudf_CX_PUSH(AZ46,CX_ENTITY,$B46,AZ$11,AZ$14,AZ$19,),""),IF($I46=3,"",IFBLANK(_xldudf_CX_PUSH(AZ46,CX_ENTITY,$B46,AZ$11,AZ$14,AZ$19,),"")))))),"")</f>
        <v/>
      </c>
      <c r="DN46" s="1883" t="str" cm="1">
        <f t="array" ca="1" aca="1" ref="DN46">IFERROR(IF(BA46*fxVal_normal=_BS!BA46,"",IF(OR(BA46="",NOT(ISNUMBER(BA46)),ISERROR(BA46),$B46=""),"",IF($I46=1,IFBLANK(_xldudf_CX_PUSH(BA46*fxVal_normal,CX_ENTITY,$B46,BA$11,BA$14,BA$19,),""),IF($I46=2,IFBLANK(_xldudf_CX_PUSH(BA46,CX_ENTITY,$B46,BA$11,BA$14,BA$19,),""),IF($I46=3,"",IFBLANK(_xldudf_CX_PUSH(BA46,CX_ENTITY,$B46,BA$11,BA$14,BA$19,),"")))))),"")</f>
        <v/>
      </c>
      <c r="DO46" s="1883" t="str" cm="1">
        <f t="array" ca="1" aca="1" ref="DO46">IFERROR(IF(BB46*fxVal_normal=_BS!BB46,"",IF(OR(BB46="",NOT(ISNUMBER(BB46)),ISERROR(BB46),$B46=""),"",IF($I46=1,IFBLANK(_xldudf_CX_PUSH(BB46*fxVal_normal,CX_ENTITY,$B46,BB$11,BB$14,BB$19,),""),IF($I46=2,IFBLANK(_xldudf_CX_PUSH(BB46,CX_ENTITY,$B46,BB$11,BB$14,BB$19,),""),IF($I46=3,"",IFBLANK(_xldudf_CX_PUSH(BB46,CX_ENTITY,$B46,BB$11,BB$14,BB$19,),"")))))),"")</f>
        <v/>
      </c>
      <c r="DP46" s="1883" t="str" cm="1">
        <f t="array" ca="1" aca="1" ref="DP46">IFERROR(IF(BC46*fxVal_normal=_BS!BC46,"",IF(OR(BC46="",NOT(ISNUMBER(BC46)),ISERROR(BC46),$B46=""),"",IF($I46=1,IFBLANK(_xldudf_CX_PUSH(BC46*fxVal_normal,CX_ENTITY,$B46,BC$11,BC$14,BC$19,),""),IF($I46=2,IFBLANK(_xldudf_CX_PUSH(BC46,CX_ENTITY,$B46,BC$11,BC$14,BC$19,),""),IF($I46=3,"",IFBLANK(_xldudf_CX_PUSH(BC46,CX_ENTITY,$B46,BC$11,BC$14,BC$19,),"")))))),"")</f>
        <v/>
      </c>
      <c r="DQ46" s="1883" t="str" cm="1">
        <f t="array" ca="1" aca="1" ref="DQ46">IFERROR(IF(BD46*fxVal_normal=_BS!BD46,"",IF(OR(BD46="",NOT(ISNUMBER(BD46)),ISERROR(BD46),$B46=""),"",IF($I46=1,IFBLANK(_xldudf_CX_PUSH(BD46*fxVal_normal,CX_ENTITY,$B46,BD$11,BD$14,BD$19,),""),IF($I46=2,IFBLANK(_xldudf_CX_PUSH(BD46,CX_ENTITY,$B46,BD$11,BD$14,BD$19,),""),IF($I46=3,"",IFBLANK(_xldudf_CX_PUSH(BD46,CX_ENTITY,$B46,BD$11,BD$14,BD$19,),"")))))),"")</f>
        <v/>
      </c>
      <c r="DR46" s="1883" t="str" cm="1">
        <f t="array" ca="1" aca="1" ref="DR46">IFERROR(IF(BE46*fxVal_normal=_BS!BE46,"",IF(OR(BE46="",NOT(ISNUMBER(BE46)),ISERROR(BE46),$B46=""),"",IF($I46=1,IFBLANK(_xldudf_CX_PUSH(BE46*fxVal_normal,CX_ENTITY,$B46,BE$11,BE$14,BE$19,),""),IF($I46=2,IFBLANK(_xldudf_CX_PUSH(BE46,CX_ENTITY,$B46,BE$11,BE$14,BE$19,),""),IF($I46=3,"",IFBLANK(_xldudf_CX_PUSH(BE46,CX_ENTITY,$B46,BE$11,BE$14,BE$19,),"")))))),"")</f>
        <v/>
      </c>
      <c r="DS46" s="1883" t="str" cm="1">
        <f t="array" ca="1" aca="1" ref="DS46">IFERROR(IF(BF46*fxVal_normal=_BS!BF46,"",IF(OR(BF46="",NOT(ISNUMBER(BF46)),ISERROR(BF46),$B46=""),"",IF($I46=1,IFBLANK(_xldudf_CX_PUSH(BF46*fxVal_normal,CX_ENTITY,$B46,BF$11,BF$14,BF$19,),""),IF($I46=2,IFBLANK(_xldudf_CX_PUSH(BF46,CX_ENTITY,$B46,BF$11,BF$14,BF$19,),""),IF($I46=3,"",IFBLANK(_xldudf_CX_PUSH(BF46,CX_ENTITY,$B46,BF$11,BF$14,BF$19,),"")))))),"")</f>
        <v/>
      </c>
      <c r="DT46" s="1883" t="str" cm="1">
        <f t="array" ca="1" aca="1" ref="DT46">IFERROR(IF(BG46*fxVal_normal=_BS!BG46,"",IF(OR(BG46="",NOT(ISNUMBER(BG46)),ISERROR(BG46),$B46=""),"",IF($I46=1,IFBLANK(_xldudf_CX_PUSH(BG46*fxVal_normal,CX_ENTITY,$B46,BG$11,BG$14,BG$19,),""),IF($I46=2,IFBLANK(_xldudf_CX_PUSH(BG46,CX_ENTITY,$B46,BG$11,BG$14,BG$19,),""),IF($I46=3,"",IFBLANK(_xldudf_CX_PUSH(BG46,CX_ENTITY,$B46,BG$11,BG$14,BG$19,),"")))))),"")</f>
        <v/>
      </c>
      <c r="DU46" s="1883" t="str" cm="1">
        <f t="array" ca="1" aca="1" ref="DU46">IFERROR(IF(BH46*fxVal_normal=_BS!BH46,"",IF(OR(BH46="",NOT(ISNUMBER(BH46)),ISERROR(BH46),$B46=""),"",IF($I46=1,IFBLANK(_xldudf_CX_PUSH(BH46*fxVal_normal,CX_ENTITY,$B46,BH$11,BH$14,BH$19,),""),IF($I46=2,IFBLANK(_xldudf_CX_PUSH(BH46,CX_ENTITY,$B46,BH$11,BH$14,BH$19,),""),IF($I46=3,"",IFBLANK(_xldudf_CX_PUSH(BH46,CX_ENTITY,$B46,BH$11,BH$14,BH$19,),"")))))),"")</f>
        <v/>
      </c>
      <c r="DV46" s="1883" t="str" cm="1">
        <f t="array" ca="1" aca="1" ref="DV46">IFERROR(IF(BI46*fxVal_normal=_BS!BI46,"",IF(OR(BI46="",NOT(ISNUMBER(BI46)),ISERROR(BI46),$B46=""),"",IF($I46=1,IFBLANK(_xldudf_CX_PUSH(BI46*fxVal_normal,CX_ENTITY,$B46,BI$11,BI$14,BI$19,),""),IF($I46=2,IFBLANK(_xldudf_CX_PUSH(BI46,CX_ENTITY,$B46,BI$11,BI$14,BI$19,),""),IF($I46=3,"",IFBLANK(_xldudf_CX_PUSH(BI46,CX_ENTITY,$B46,BI$11,BI$14,BI$19,),"")))))),"")</f>
        <v/>
      </c>
      <c r="DW46" s="1883" t="str" cm="1">
        <f t="array" ca="1" aca="1" ref="DW46">IFERROR(IF(BJ46*fxVal_normal=_BS!BJ46,"",IF(OR(BJ46="",NOT(ISNUMBER(BJ46)),ISERROR(BJ46),$B46=""),"",IF($I46=1,IFBLANK(_xldudf_CX_PUSH(BJ46*fxVal_normal,CX_ENTITY,$B46,BJ$11,BJ$14,BJ$19,),""),IF($I46=2,IFBLANK(_xldudf_CX_PUSH(BJ46,CX_ENTITY,$B46,BJ$11,BJ$14,BJ$19,),""),IF($I46=3,"",IFBLANK(_xldudf_CX_PUSH(BJ46,CX_ENTITY,$B46,BJ$11,BJ$14,BJ$19,),"")))))),"")</f>
        <v/>
      </c>
      <c r="DX46" s="1883" t="str" cm="1">
        <f t="array" ca="1" aca="1" ref="DX46">IFERROR(IF(BK46*fxVal_normal=_BS!BK46,"",IF(OR(BK46="",NOT(ISNUMBER(BK46)),ISERROR(BK46),$B46=""),"",IF($I46=1,IFBLANK(_xldudf_CX_PUSH(BK46*fxVal_normal,CX_ENTITY,$B46,BK$11,BK$14,BK$19,),""),IF($I46=2,IFBLANK(_xldudf_CX_PUSH(BK46,CX_ENTITY,$B46,BK$11,BK$14,BK$19,),""),IF($I46=3,"",IFBLANK(_xldudf_CX_PUSH(BK46,CX_ENTITY,$B46,BK$11,BK$14,BK$19,),"")))))),"")</f>
        <v/>
      </c>
      <c r="DY46" s="1883" t="str" cm="1">
        <f t="array" ca="1" aca="1" ref="DY46">IFERROR(IF(BL46*fxVal_normal=_BS!BL46,"",IF(OR(BL46="",NOT(ISNUMBER(BL46)),ISERROR(BL46),$B46=""),"",IF($I46=1,IFBLANK(_xldudf_CX_PUSH(BL46*fxVal_normal,CX_ENTITY,$B46,BL$11,BL$14,BL$19,),""),IF($I46=2,IFBLANK(_xldudf_CX_PUSH(BL46,CX_ENTITY,$B46,BL$11,BL$14,BL$19,),""),IF($I46=3,"",IFBLANK(_xldudf_CX_PUSH(BL46,CX_ENTITY,$B46,BL$11,BL$14,BL$19,),"")))))),"")</f>
        <v/>
      </c>
      <c r="DZ46" s="1883" t="str" cm="1">
        <f t="array" ca="1" aca="1" ref="DZ46">IFERROR(IF(BM46*fxVal_normal=_BS!BM46,"",IF(OR(BM46="",NOT(ISNUMBER(BM46)),ISERROR(BM46),$B46=""),"",IF($I46=1,IFBLANK(_xldudf_CX_PUSH(BM46*fxVal_normal,CX_ENTITY,$B46,BM$11,BM$14,BM$19,),""),IF($I46=2,IFBLANK(_xldudf_CX_PUSH(BM46,CX_ENTITY,$B46,BM$11,BM$14,BM$19,),""),IF($I46=3,"",IFBLANK(_xldudf_CX_PUSH(BM46,CX_ENTITY,$B46,BM$11,BM$14,BM$19,),"")))))),"")</f>
        <v/>
      </c>
      <c r="EA46" s="1883" t="str" cm="1">
        <f t="array" ca="1" aca="1" ref="EA46">IFERROR(IF(BN46*fxVal_normal=_BS!BN46,"",IF(OR(BN46="",NOT(ISNUMBER(BN46)),ISERROR(BN46),$B46=""),"",IF($I46=1,IFBLANK(_xldudf_CX_PUSH(BN46*fxVal_normal,CX_ENTITY,$B46,BN$11,BN$14,BN$19,),""),IF($I46=2,IFBLANK(_xldudf_CX_PUSH(BN46,CX_ENTITY,$B46,BN$11,BN$14,BN$19,),""),IF($I46=3,"",IFBLANK(_xldudf_CX_PUSH(BN46,CX_ENTITY,$B46,BN$11,BN$14,BN$19,),"")))))),"")</f>
        <v/>
      </c>
    </row>
    <row r="47" spans="1:131" ht="21" customHeight="1">
      <c r="A47" s="1626"/>
      <c r="B47" s="811" t="str" cm="1">
        <f t="array" ref="B47">IFBLANK(_BS!F47,"")</f>
        <v>Capitalised Fees</v>
      </c>
      <c r="C47" s="3346" t="str" cm="1">
        <f t="array" ref="C47">IFBLANK(_BS!C47,"")</f>
        <v>Capitalised Fees (Company View)</v>
      </c>
      <c r="D47" s="1549"/>
      <c r="E47" s="1902" t="e" cm="1">
        <f t="array" ca="1" aca="1" ref="E4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47:$CH47,Z47)</f>
        <v>#NAME?</v>
      </c>
      <c r="F47" s="1897"/>
      <c r="G47" s="1897"/>
      <c r="H47" s="3280">
        <v>1</v>
      </c>
      <c r="I47" s="3280">
        <v>1</v>
      </c>
      <c r="J47" s="401"/>
      <c r="N47" s="158"/>
      <c r="O47" s="101"/>
      <c r="P47" s="52"/>
      <c r="Q47" s="101"/>
      <c r="R47" s="101"/>
      <c r="S47" s="101"/>
      <c r="T47" s="101"/>
      <c r="U47" s="39"/>
      <c r="W47" s="91" t="str">
        <f t="shared" si="1"/>
        <v>Actual</v>
      </c>
      <c r="X47" s="3292">
        <f>_BS!X47</f>
        <v>1</v>
      </c>
      <c r="Y47" s="3183">
        <v>2</v>
      </c>
      <c r="Z47" s="3291" cm="1">
        <f t="array" ref="Z47">_xlfn.SWITCH(TRUE,_BS!$L47=TRUE,1,_BS!$L47=FALSE,-1,_BS!$L47=-1,0,"n/a")</f>
        <v>1</v>
      </c>
      <c r="AA47" s="200"/>
      <c r="AB47" s="3343" t="str">
        <f>_BS!AB47</f>
        <v>Capitalised Fees</v>
      </c>
      <c r="AC47" s="88" t="e" vm="5" cm="1">
        <f t="array" ca="1" aca="1" ref="AC47">_xlfn.LET(_xlpm._termname,$AB47,_xlpm._iconname,"find",_xlpm._icon,fx_getIcon(_xlpm._iconname),_xlpm._location,_xlfn.XLOOKUP(LOWER(_xlpm._termname),LOWER(tbl_acctDef[Term]),tbl_acctDef[Term]),_xlpm._hyperlink,HYPERLINK("#"&amp;CELL("address",_xlpm._location),_xlpm._icon),IFERROR(_xlpm._hyperlink,""))</f>
        <v>#VALUE!</v>
      </c>
      <c r="AD47" s="3229">
        <v>1</v>
      </c>
      <c r="AE47" s="3229">
        <v>1</v>
      </c>
      <c r="AF47" s="3229">
        <v>1</v>
      </c>
      <c r="AG47" s="3229">
        <v>1</v>
      </c>
      <c r="AH47" s="3229">
        <v>1</v>
      </c>
      <c r="AI47" s="3229">
        <v>1</v>
      </c>
      <c r="AJ47" s="3229">
        <v>1</v>
      </c>
      <c r="AK47" s="3229">
        <v>1</v>
      </c>
      <c r="AL47" s="3229">
        <v>1</v>
      </c>
      <c r="AM47" s="3229">
        <v>1</v>
      </c>
      <c r="AN47" s="3229">
        <v>1</v>
      </c>
      <c r="AO47" s="3229">
        <v>1</v>
      </c>
      <c r="AP47" s="3229">
        <v>1</v>
      </c>
      <c r="AQ47" s="3229">
        <v>1</v>
      </c>
      <c r="AR47" s="3229">
        <v>1</v>
      </c>
      <c r="AS47" s="3229">
        <v>1</v>
      </c>
      <c r="AT47" s="3229">
        <v>1</v>
      </c>
      <c r="AU47" s="3229">
        <v>1</v>
      </c>
      <c r="AV47" s="3229">
        <v>1</v>
      </c>
      <c r="AW47" s="3229">
        <v>1</v>
      </c>
      <c r="AX47" s="3229">
        <v>1</v>
      </c>
      <c r="AY47" s="3229">
        <v>1</v>
      </c>
      <c r="AZ47" s="3229">
        <v>1</v>
      </c>
      <c r="BA47" s="3229">
        <v>1</v>
      </c>
      <c r="BB47" s="3229">
        <v>1</v>
      </c>
      <c r="BC47" s="3229">
        <v>1</v>
      </c>
      <c r="BD47" s="3229">
        <v>1</v>
      </c>
      <c r="BE47" s="3229">
        <v>1</v>
      </c>
      <c r="BF47" s="3229">
        <v>1</v>
      </c>
      <c r="BG47" s="3229">
        <v>1</v>
      </c>
      <c r="BH47" s="3229">
        <v>1</v>
      </c>
      <c r="BI47" s="3229">
        <v>1</v>
      </c>
      <c r="BJ47" s="3229">
        <v>1</v>
      </c>
      <c r="BK47" s="3229">
        <v>1</v>
      </c>
      <c r="BL47" s="3229">
        <v>1</v>
      </c>
      <c r="BM47" s="3229">
        <v>1</v>
      </c>
      <c r="BN47" s="3229">
        <v>1</v>
      </c>
      <c r="BO47" s="2095"/>
      <c r="BP47" s="2095"/>
      <c r="BQ47" s="2095"/>
      <c r="BR47" s="2095"/>
      <c r="BS47" s="2095"/>
      <c r="BT47" s="2095"/>
      <c r="BU47" s="2095"/>
      <c r="BV47" s="2095"/>
      <c r="BW47" s="2095"/>
      <c r="BX47" s="2095"/>
      <c r="BY47" s="2095"/>
      <c r="BZ47" s="2095"/>
      <c r="CA47" s="926"/>
      <c r="CB47" s="921"/>
      <c r="CC47" s="927"/>
      <c r="CD47" s="2069" t="e" cm="1">
        <f t="array" ca="1" aca="1" ref="CD47">_xlfn.XLOOKUP(BS!CD$11,array_timeline,BS!$AD47:$BN47)</f>
        <v>#NAME?</v>
      </c>
      <c r="CE47" s="2069" t="e" cm="1">
        <f t="array" ca="1" aca="1" ref="CE47">_xlfn.XLOOKUP(BS!CE$11,array_timeline,BS!$AD47:$BN47)</f>
        <v>#NAME?</v>
      </c>
      <c r="CF47" s="925"/>
      <c r="CG47" s="3342" t="e" cm="1">
        <f t="array" ca="1" aca="1" ref="CG47">TODECIMAL(IFBLANK(_BS!CG47,""),fxVal_normal)</f>
        <v>#NAME?</v>
      </c>
      <c r="CH47" s="3342" t="e" cm="1">
        <f t="array" ca="1" aca="1" ref="CH47">TODECIMAL(IFBLANK(_BS!CH47,""),fxVal_normal)</f>
        <v>#NAME?</v>
      </c>
      <c r="CI47" s="200"/>
      <c r="CK47" s="2085" t="str" cm="1">
        <f t="array" ca="1" aca="1" ref="CK47">IFERROR(IF(Y47&lt;&gt;AB47,_xldudf_CX_PUSH(Y47,CX_ENTITY,C47,EOMONTH(val_asOfDate,0)),""),"")</f>
        <v/>
      </c>
      <c r="CL47" s="2085" t="str" cm="1">
        <f t="array" ca="1" aca="1" ref="CL47">IFERROR(IF(Y47&lt;&gt;AB47,_xldudf_CX_PUSH(Y47,CX_ENTITY,C47,EOMONTH(val_asOfDate,1)),""),"")</f>
        <v/>
      </c>
      <c r="CM47" s="2085" t="str" cm="1">
        <f t="array" ca="1" aca="1" ref="CM47">IFERROR(IF(Y47&lt;&gt;AB47,_xldudf_CX_PUSH(Y47,CX_ENTITY,C47,EOMONTH(val_asOfDate,2)),""),"")</f>
        <v/>
      </c>
      <c r="CN47" s="2085" t="str" cm="1">
        <f t="array" ca="1" aca="1" ref="CN47">IFERROR(IF(Y47&lt;&gt;AB47,_xldudf_CX_PUSH(Y47,CX_ENTITY,C47,EOMONTH(val_asOfDate,3)),""),"")</f>
        <v/>
      </c>
      <c r="CO47" s="2086" t="str" cm="1">
        <f t="array" ca="1" aca="1" ref="CO47">IFERROR(IF(CG47*fxVal_normal=_BS!CG47,"",IF(OR($CG47="",$CG47=0,NOT(ISNUMBER($CG47)),ISERROR($CG47),$B47=""),"",IF($I47=1,IFBLANK(_xldudf_CX_PUSH($CG47*10^6,CX_ENTITY,$B47,$CG$11,$CG$14,$CG$19,),""),IF($I47=2,IFBLANK(_xldudf_CX_PUSH($CG47,CX_ENTITY,$B47,$CG$11,$CG$14,$CG$19,),""),IF($I47=3,"",IFBLANK(_xldudf_CX_PUSH($CG47,CX_ENTITY,$B47,$CG$11,$CG$14,$CG$19,),"")))))),"")</f>
        <v/>
      </c>
      <c r="CP47" s="2086" t="str" cm="1">
        <f t="array" ca="1" aca="1" ref="CP47">IFERROR(IF(CH47*fxVal_normal=_BS!CH47,"",IF(OR($CH47="",$CH47=0,NOT(ISNUMBER($CH47)),ISERROR($CH47),$B47=""),"",IF($I47=1,IFBLANK(_xldudf_CX_PUSH($CH47*10^6,CX_ENTITY,$B47,$CH$11,$CH$14,$CH$19,),""),IF($I47=2,IFBLANK(_xldudf_CX_PUSH($CH47,CX_ENTITY,$B47,$CH$11,$CH$14,$CH$19,),""),IF($I47=3,"",IFBLANK(_xldudf_CX_PUSH($CH47,CX_ENTITY,$B47,$CH$11,$CH$14,$CH$19,),"")))))),"")</f>
        <v/>
      </c>
      <c r="CQ47" s="1883" t="str" cm="1">
        <f t="array" ca="1" aca="1" ref="CQ47">IFERROR(IF(AD47*fxVal_normal=_BS!AD47,"",IF(OR(AD47="",NOT(ISNUMBER(AD47)),ISERROR(AD47),$B47=""),"",IF($I47=1,IFBLANK(_xldudf_CX_PUSH(AD47*fxVal_normal,CX_ENTITY,$B47,AD$11,AD$14,AD$19,),""),IF($I47=2,IFBLANK(_xldudf_CX_PUSH(AD47,CX_ENTITY,$B47,AD$11,AD$14,AD$19,),""),IF($I47=3,"",IFBLANK(_xldudf_CX_PUSH(AD47,CX_ENTITY,$B47,AD$11,AD$14,AD$19,),"")))))),"")</f>
        <v/>
      </c>
      <c r="CR47" s="1883" t="str" cm="1">
        <f t="array" ca="1" aca="1" ref="CR47">IFERROR(IF(AE47*fxVal_normal=_BS!AE47,"",IF(OR(AE47="",NOT(ISNUMBER(AE47)),ISERROR(AE47),$B47=""),"",IF($I47=1,IFBLANK(_xldudf_CX_PUSH(AE47*fxVal_normal,CX_ENTITY,$B47,AE$11,AE$14,AE$19,),""),IF($I47=2,IFBLANK(_xldudf_CX_PUSH(AE47,CX_ENTITY,$B47,AE$11,AE$14,AE$19,),""),IF($I47=3,"",IFBLANK(_xldudf_CX_PUSH(AE47,CX_ENTITY,$B47,AE$11,AE$14,AE$19,),"")))))),"")</f>
        <v/>
      </c>
      <c r="CS47" s="1883" t="str" cm="1">
        <f t="array" ca="1" aca="1" ref="CS47">IFERROR(IF(AF47*fxVal_normal=_BS!AF47,"",IF(OR(AF47="",NOT(ISNUMBER(AF47)),ISERROR(AF47),$B47=""),"",IF($I47=1,IFBLANK(_xldudf_CX_PUSH(AF47*fxVal_normal,CX_ENTITY,$B47,AF$11,AF$14,AF$19,),""),IF($I47=2,IFBLANK(_xldudf_CX_PUSH(AF47,CX_ENTITY,$B47,AF$11,AF$14,AF$19,),""),IF($I47=3,"",IFBLANK(_xldudf_CX_PUSH(AF47,CX_ENTITY,$B47,AF$11,AF$14,AF$19,),"")))))),"")</f>
        <v/>
      </c>
      <c r="CT47" s="1883" t="str" cm="1">
        <f t="array" ca="1" aca="1" ref="CT47">IFERROR(IF(AG47*fxVal_normal=_BS!AG47,"",IF(OR(AG47="",NOT(ISNUMBER(AG47)),ISERROR(AG47),$B47=""),"",IF($I47=1,IFBLANK(_xldudf_CX_PUSH(AG47*fxVal_normal,CX_ENTITY,$B47,AG$11,AG$14,AG$19,),""),IF($I47=2,IFBLANK(_xldudf_CX_PUSH(AG47,CX_ENTITY,$B47,AG$11,AG$14,AG$19,),""),IF($I47=3,"",IFBLANK(_xldudf_CX_PUSH(AG47,CX_ENTITY,$B47,AG$11,AG$14,AG$19,),"")))))),"")</f>
        <v/>
      </c>
      <c r="CU47" s="1883" t="str" cm="1">
        <f t="array" ca="1" aca="1" ref="CU47">IFERROR(IF(AH47*fxVal_normal=_BS!AH47,"",IF(OR(AH47="",NOT(ISNUMBER(AH47)),ISERROR(AH47),$B47=""),"",IF($I47=1,IFBLANK(_xldudf_CX_PUSH(AH47*fxVal_normal,CX_ENTITY,$B47,AH$11,AH$14,AH$19,),""),IF($I47=2,IFBLANK(_xldudf_CX_PUSH(AH47,CX_ENTITY,$B47,AH$11,AH$14,AH$19,),""),IF($I47=3,"",IFBLANK(_xldudf_CX_PUSH(AH47,CX_ENTITY,$B47,AH$11,AH$14,AH$19,),"")))))),"")</f>
        <v/>
      </c>
      <c r="CV47" s="1883" t="str" cm="1">
        <f t="array" ca="1" aca="1" ref="CV47">IFERROR(IF(AI47*fxVal_normal=_BS!AI47,"",IF(OR(AI47="",NOT(ISNUMBER(AI47)),ISERROR(AI47),$B47=""),"",IF($I47=1,IFBLANK(_xldudf_CX_PUSH(AI47*fxVal_normal,CX_ENTITY,$B47,AI$11,AI$14,AI$19,),""),IF($I47=2,IFBLANK(_xldudf_CX_PUSH(AI47,CX_ENTITY,$B47,AI$11,AI$14,AI$19,),""),IF($I47=3,"",IFBLANK(_xldudf_CX_PUSH(AI47,CX_ENTITY,$B47,AI$11,AI$14,AI$19,),"")))))),"")</f>
        <v/>
      </c>
      <c r="CW47" s="1883" t="str" cm="1">
        <f t="array" ca="1" aca="1" ref="CW47">IFERROR(IF(AJ47*fxVal_normal=_BS!AJ47,"",IF(OR(AJ47="",NOT(ISNUMBER(AJ47)),ISERROR(AJ47),$B47=""),"",IF($I47=1,IFBLANK(_xldudf_CX_PUSH(AJ47*fxVal_normal,CX_ENTITY,$B47,AJ$11,AJ$14,AJ$19,),""),IF($I47=2,IFBLANK(_xldudf_CX_PUSH(AJ47,CX_ENTITY,$B47,AJ$11,AJ$14,AJ$19,),""),IF($I47=3,"",IFBLANK(_xldudf_CX_PUSH(AJ47,CX_ENTITY,$B47,AJ$11,AJ$14,AJ$19,),"")))))),"")</f>
        <v/>
      </c>
      <c r="CX47" s="1883" t="str" cm="1">
        <f t="array" ca="1" aca="1" ref="CX47">IFERROR(IF(AK47*fxVal_normal=_BS!AK47,"",IF(OR(AK47="",NOT(ISNUMBER(AK47)),ISERROR(AK47),$B47=""),"",IF($I47=1,IFBLANK(_xldudf_CX_PUSH(AK47*fxVal_normal,CX_ENTITY,$B47,AK$11,AK$14,AK$19,),""),IF($I47=2,IFBLANK(_xldudf_CX_PUSH(AK47,CX_ENTITY,$B47,AK$11,AK$14,AK$19,),""),IF($I47=3,"",IFBLANK(_xldudf_CX_PUSH(AK47,CX_ENTITY,$B47,AK$11,AK$14,AK$19,),"")))))),"")</f>
        <v/>
      </c>
      <c r="CY47" s="1883" t="str" cm="1">
        <f t="array" ca="1" aca="1" ref="CY47">IFERROR(IF(AL47*fxVal_normal=_BS!AL47,"",IF(OR(AL47="",NOT(ISNUMBER(AL47)),ISERROR(AL47),$B47=""),"",IF($I47=1,IFBLANK(_xldudf_CX_PUSH(AL47*fxVal_normal,CX_ENTITY,$B47,AL$11,AL$14,AL$19,),""),IF($I47=2,IFBLANK(_xldudf_CX_PUSH(AL47,CX_ENTITY,$B47,AL$11,AL$14,AL$19,),""),IF($I47=3,"",IFBLANK(_xldudf_CX_PUSH(AL47,CX_ENTITY,$B47,AL$11,AL$14,AL$19,),"")))))),"")</f>
        <v/>
      </c>
      <c r="CZ47" s="1883" t="str" cm="1">
        <f t="array" ca="1" aca="1" ref="CZ47">IFERROR(IF(AM47*fxVal_normal=_BS!AM47,"",IF(OR(AM47="",NOT(ISNUMBER(AM47)),ISERROR(AM47),$B47=""),"",IF($I47=1,IFBLANK(_xldudf_CX_PUSH(AM47*fxVal_normal,CX_ENTITY,$B47,AM$11,AM$14,AM$19,),""),IF($I47=2,IFBLANK(_xldudf_CX_PUSH(AM47,CX_ENTITY,$B47,AM$11,AM$14,AM$19,),""),IF($I47=3,"",IFBLANK(_xldudf_CX_PUSH(AM47,CX_ENTITY,$B47,AM$11,AM$14,AM$19,),"")))))),"")</f>
        <v/>
      </c>
      <c r="DA47" s="1883" t="str" cm="1">
        <f t="array" ca="1" aca="1" ref="DA47">IFERROR(IF(AN47*fxVal_normal=_BS!AN47,"",IF(OR(AN47="",NOT(ISNUMBER(AN47)),ISERROR(AN47),$B47=""),"",IF($I47=1,IFBLANK(_xldudf_CX_PUSH(AN47*fxVal_normal,CX_ENTITY,$B47,AN$11,AN$14,AN$19,),""),IF($I47=2,IFBLANK(_xldudf_CX_PUSH(AN47,CX_ENTITY,$B47,AN$11,AN$14,AN$19,),""),IF($I47=3,"",IFBLANK(_xldudf_CX_PUSH(AN47,CX_ENTITY,$B47,AN$11,AN$14,AN$19,),"")))))),"")</f>
        <v/>
      </c>
      <c r="DB47" s="1883" t="str" cm="1">
        <f t="array" ca="1" aca="1" ref="DB47">IFERROR(IF(AO47*fxVal_normal=_BS!AO47,"",IF(OR(AO47="",NOT(ISNUMBER(AO47)),ISERROR(AO47),$B47=""),"",IF($I47=1,IFBLANK(_xldudf_CX_PUSH(AO47*fxVal_normal,CX_ENTITY,$B47,AO$11,AO$14,AO$19,),""),IF($I47=2,IFBLANK(_xldudf_CX_PUSH(AO47,CX_ENTITY,$B47,AO$11,AO$14,AO$19,),""),IF($I47=3,"",IFBLANK(_xldudf_CX_PUSH(AO47,CX_ENTITY,$B47,AO$11,AO$14,AO$19,),"")))))),"")</f>
        <v/>
      </c>
      <c r="DC47" s="1883" t="str" cm="1">
        <f t="array" ca="1" aca="1" ref="DC47">IFERROR(IF(AP47*fxVal_normal=_BS!AP47,"",IF(OR(AP47="",NOT(ISNUMBER(AP47)),ISERROR(AP47),$B47=""),"",IF($I47=1,IFBLANK(_xldudf_CX_PUSH(AP47*fxVal_normal,CX_ENTITY,$B47,AP$11,AP$14,AP$19,),""),IF($I47=2,IFBLANK(_xldudf_CX_PUSH(AP47,CX_ENTITY,$B47,AP$11,AP$14,AP$19,),""),IF($I47=3,"",IFBLANK(_xldudf_CX_PUSH(AP47,CX_ENTITY,$B47,AP$11,AP$14,AP$19,),"")))))),"")</f>
        <v/>
      </c>
      <c r="DD47" s="1883" t="str" cm="1">
        <f t="array" ca="1" aca="1" ref="DD47">IFERROR(IF(AQ47*fxVal_normal=_BS!AQ47,"",IF(OR(AQ47="",NOT(ISNUMBER(AQ47)),ISERROR(AQ47),$B47=""),"",IF($I47=1,IFBLANK(_xldudf_CX_PUSH(AQ47*fxVal_normal,CX_ENTITY,$B47,AQ$11,AQ$14,AQ$19,),""),IF($I47=2,IFBLANK(_xldudf_CX_PUSH(AQ47,CX_ENTITY,$B47,AQ$11,AQ$14,AQ$19,),""),IF($I47=3,"",IFBLANK(_xldudf_CX_PUSH(AQ47,CX_ENTITY,$B47,AQ$11,AQ$14,AQ$19,),"")))))),"")</f>
        <v/>
      </c>
      <c r="DE47" s="1883" t="str" cm="1">
        <f t="array" ca="1" aca="1" ref="DE47">IFERROR(IF(AR47*fxVal_normal=_BS!AR47,"",IF(OR(AR47="",NOT(ISNUMBER(AR47)),ISERROR(AR47),$B47=""),"",IF($I47=1,IFBLANK(_xldudf_CX_PUSH(AR47*fxVal_normal,CX_ENTITY,$B47,AR$11,AR$14,AR$19,),""),IF($I47=2,IFBLANK(_xldudf_CX_PUSH(AR47,CX_ENTITY,$B47,AR$11,AR$14,AR$19,),""),IF($I47=3,"",IFBLANK(_xldudf_CX_PUSH(AR47,CX_ENTITY,$B47,AR$11,AR$14,AR$19,),"")))))),"")</f>
        <v/>
      </c>
      <c r="DF47" s="1883" t="str" cm="1">
        <f t="array" ca="1" aca="1" ref="DF47">IFERROR(IF(AS47*fxVal_normal=_BS!AS47,"",IF(OR(AS47="",NOT(ISNUMBER(AS47)),ISERROR(AS47),$B47=""),"",IF($I47=1,IFBLANK(_xldudf_CX_PUSH(AS47*fxVal_normal,CX_ENTITY,$B47,AS$11,AS$14,AS$19,),""),IF($I47=2,IFBLANK(_xldudf_CX_PUSH(AS47,CX_ENTITY,$B47,AS$11,AS$14,AS$19,),""),IF($I47=3,"",IFBLANK(_xldudf_CX_PUSH(AS47,CX_ENTITY,$B47,AS$11,AS$14,AS$19,),"")))))),"")</f>
        <v/>
      </c>
      <c r="DG47" s="1883" t="str" cm="1">
        <f t="array" ca="1" aca="1" ref="DG47">IFERROR(IF(AT47*fxVal_normal=_BS!AT47,"",IF(OR(AT47="",NOT(ISNUMBER(AT47)),ISERROR(AT47),$B47=""),"",IF($I47=1,IFBLANK(_xldudf_CX_PUSH(AT47*fxVal_normal,CX_ENTITY,$B47,AT$11,AT$14,AT$19,),""),IF($I47=2,IFBLANK(_xldudf_CX_PUSH(AT47,CX_ENTITY,$B47,AT$11,AT$14,AT$19,),""),IF($I47=3,"",IFBLANK(_xldudf_CX_PUSH(AT47,CX_ENTITY,$B47,AT$11,AT$14,AT$19,),"")))))),"")</f>
        <v/>
      </c>
      <c r="DH47" s="1883" t="str" cm="1">
        <f t="array" ca="1" aca="1" ref="DH47">IFERROR(IF(AU47*fxVal_normal=_BS!AU47,"",IF(OR(AU47="",NOT(ISNUMBER(AU47)),ISERROR(AU47),$B47=""),"",IF($I47=1,IFBLANK(_xldudf_CX_PUSH(AU47*fxVal_normal,CX_ENTITY,$B47,AU$11,AU$14,AU$19,),""),IF($I47=2,IFBLANK(_xldudf_CX_PUSH(AU47,CX_ENTITY,$B47,AU$11,AU$14,AU$19,),""),IF($I47=3,"",IFBLANK(_xldudf_CX_PUSH(AU47,CX_ENTITY,$B47,AU$11,AU$14,AU$19,),"")))))),"")</f>
        <v/>
      </c>
      <c r="DI47" s="1883" t="str" cm="1">
        <f t="array" ca="1" aca="1" ref="DI47">IFERROR(IF(AV47*fxVal_normal=_BS!AV47,"",IF(OR(AV47="",NOT(ISNUMBER(AV47)),ISERROR(AV47),$B47=""),"",IF($I47=1,IFBLANK(_xldudf_CX_PUSH(AV47*fxVal_normal,CX_ENTITY,$B47,AV$11,AV$14,AV$19,),""),IF($I47=2,IFBLANK(_xldudf_CX_PUSH(AV47,CX_ENTITY,$B47,AV$11,AV$14,AV$19,),""),IF($I47=3,"",IFBLANK(_xldudf_CX_PUSH(AV47,CX_ENTITY,$B47,AV$11,AV$14,AV$19,),"")))))),"")</f>
        <v/>
      </c>
      <c r="DJ47" s="1883" t="str" cm="1">
        <f t="array" ca="1" aca="1" ref="DJ47">IFERROR(IF(AW47*fxVal_normal=_BS!AW47,"",IF(OR(AW47="",NOT(ISNUMBER(AW47)),ISERROR(AW47),$B47=""),"",IF($I47=1,IFBLANK(_xldudf_CX_PUSH(AW47*fxVal_normal,CX_ENTITY,$B47,AW$11,AW$14,AW$19,),""),IF($I47=2,IFBLANK(_xldudf_CX_PUSH(AW47,CX_ENTITY,$B47,AW$11,AW$14,AW$19,),""),IF($I47=3,"",IFBLANK(_xldudf_CX_PUSH(AW47,CX_ENTITY,$B47,AW$11,AW$14,AW$19,),"")))))),"")</f>
        <v/>
      </c>
      <c r="DK47" s="1883" t="str" cm="1">
        <f t="array" ca="1" aca="1" ref="DK47">IFERROR(IF(AX47*fxVal_normal=_BS!AX47,"",IF(OR(AX47="",NOT(ISNUMBER(AX47)),ISERROR(AX47),$B47=""),"",IF($I47=1,IFBLANK(_xldudf_CX_PUSH(AX47*fxVal_normal,CX_ENTITY,$B47,AX$11,AX$14,AX$19,),""),IF($I47=2,IFBLANK(_xldudf_CX_PUSH(AX47,CX_ENTITY,$B47,AX$11,AX$14,AX$19,),""),IF($I47=3,"",IFBLANK(_xldudf_CX_PUSH(AX47,CX_ENTITY,$B47,AX$11,AX$14,AX$19,),"")))))),"")</f>
        <v/>
      </c>
      <c r="DL47" s="1883" t="str" cm="1">
        <f t="array" ca="1" aca="1" ref="DL47">IFERROR(IF(AY47*fxVal_normal=_BS!AY47,"",IF(OR(AY47="",NOT(ISNUMBER(AY47)),ISERROR(AY47),$B47=""),"",IF($I47=1,IFBLANK(_xldudf_CX_PUSH(AY47*fxVal_normal,CX_ENTITY,$B47,AY$11,AY$14,AY$19,),""),IF($I47=2,IFBLANK(_xldudf_CX_PUSH(AY47,CX_ENTITY,$B47,AY$11,AY$14,AY$19,),""),IF($I47=3,"",IFBLANK(_xldudf_CX_PUSH(AY47,CX_ENTITY,$B47,AY$11,AY$14,AY$19,),"")))))),"")</f>
        <v/>
      </c>
      <c r="DM47" s="1883" t="str" cm="1">
        <f t="array" ca="1" aca="1" ref="DM47">IFERROR(IF(AZ47*fxVal_normal=_BS!AZ47,"",IF(OR(AZ47="",NOT(ISNUMBER(AZ47)),ISERROR(AZ47),$B47=""),"",IF($I47=1,IFBLANK(_xldudf_CX_PUSH(AZ47*fxVal_normal,CX_ENTITY,$B47,AZ$11,AZ$14,AZ$19,),""),IF($I47=2,IFBLANK(_xldudf_CX_PUSH(AZ47,CX_ENTITY,$B47,AZ$11,AZ$14,AZ$19,),""),IF($I47=3,"",IFBLANK(_xldudf_CX_PUSH(AZ47,CX_ENTITY,$B47,AZ$11,AZ$14,AZ$19,),"")))))),"")</f>
        <v/>
      </c>
      <c r="DN47" s="1883" t="str" cm="1">
        <f t="array" ca="1" aca="1" ref="DN47">IFERROR(IF(BA47*fxVal_normal=_BS!BA47,"",IF(OR(BA47="",NOT(ISNUMBER(BA47)),ISERROR(BA47),$B47=""),"",IF($I47=1,IFBLANK(_xldudf_CX_PUSH(BA47*fxVal_normal,CX_ENTITY,$B47,BA$11,BA$14,BA$19,),""),IF($I47=2,IFBLANK(_xldudf_CX_PUSH(BA47,CX_ENTITY,$B47,BA$11,BA$14,BA$19,),""),IF($I47=3,"",IFBLANK(_xldudf_CX_PUSH(BA47,CX_ENTITY,$B47,BA$11,BA$14,BA$19,),"")))))),"")</f>
        <v/>
      </c>
      <c r="DO47" s="1883" t="str" cm="1">
        <f t="array" ca="1" aca="1" ref="DO47">IFERROR(IF(BB47*fxVal_normal=_BS!BB47,"",IF(OR(BB47="",NOT(ISNUMBER(BB47)),ISERROR(BB47),$B47=""),"",IF($I47=1,IFBLANK(_xldudf_CX_PUSH(BB47*fxVal_normal,CX_ENTITY,$B47,BB$11,BB$14,BB$19,),""),IF($I47=2,IFBLANK(_xldudf_CX_PUSH(BB47,CX_ENTITY,$B47,BB$11,BB$14,BB$19,),""),IF($I47=3,"",IFBLANK(_xldudf_CX_PUSH(BB47,CX_ENTITY,$B47,BB$11,BB$14,BB$19,),"")))))),"")</f>
        <v/>
      </c>
      <c r="DP47" s="1883" t="str" cm="1">
        <f t="array" ca="1" aca="1" ref="DP47">IFERROR(IF(BC47*fxVal_normal=_BS!BC47,"",IF(OR(BC47="",NOT(ISNUMBER(BC47)),ISERROR(BC47),$B47=""),"",IF($I47=1,IFBLANK(_xldudf_CX_PUSH(BC47*fxVal_normal,CX_ENTITY,$B47,BC$11,BC$14,BC$19,),""),IF($I47=2,IFBLANK(_xldudf_CX_PUSH(BC47,CX_ENTITY,$B47,BC$11,BC$14,BC$19,),""),IF($I47=3,"",IFBLANK(_xldudf_CX_PUSH(BC47,CX_ENTITY,$B47,BC$11,BC$14,BC$19,),"")))))),"")</f>
        <v/>
      </c>
      <c r="DQ47" s="1883" t="str" cm="1">
        <f t="array" ca="1" aca="1" ref="DQ47">IFERROR(IF(BD47*fxVal_normal=_BS!BD47,"",IF(OR(BD47="",NOT(ISNUMBER(BD47)),ISERROR(BD47),$B47=""),"",IF($I47=1,IFBLANK(_xldudf_CX_PUSH(BD47*fxVal_normal,CX_ENTITY,$B47,BD$11,BD$14,BD$19,),""),IF($I47=2,IFBLANK(_xldudf_CX_PUSH(BD47,CX_ENTITY,$B47,BD$11,BD$14,BD$19,),""),IF($I47=3,"",IFBLANK(_xldudf_CX_PUSH(BD47,CX_ENTITY,$B47,BD$11,BD$14,BD$19,),"")))))),"")</f>
        <v/>
      </c>
      <c r="DR47" s="1883" t="str" cm="1">
        <f t="array" ca="1" aca="1" ref="DR47">IFERROR(IF(BE47*fxVal_normal=_BS!BE47,"",IF(OR(BE47="",NOT(ISNUMBER(BE47)),ISERROR(BE47),$B47=""),"",IF($I47=1,IFBLANK(_xldudf_CX_PUSH(BE47*fxVal_normal,CX_ENTITY,$B47,BE$11,BE$14,BE$19,),""),IF($I47=2,IFBLANK(_xldudf_CX_PUSH(BE47,CX_ENTITY,$B47,BE$11,BE$14,BE$19,),""),IF($I47=3,"",IFBLANK(_xldudf_CX_PUSH(BE47,CX_ENTITY,$B47,BE$11,BE$14,BE$19,),"")))))),"")</f>
        <v/>
      </c>
      <c r="DS47" s="1883" t="str" cm="1">
        <f t="array" ca="1" aca="1" ref="DS47">IFERROR(IF(BF47*fxVal_normal=_BS!BF47,"",IF(OR(BF47="",NOT(ISNUMBER(BF47)),ISERROR(BF47),$B47=""),"",IF($I47=1,IFBLANK(_xldudf_CX_PUSH(BF47*fxVal_normal,CX_ENTITY,$B47,BF$11,BF$14,BF$19,),""),IF($I47=2,IFBLANK(_xldudf_CX_PUSH(BF47,CX_ENTITY,$B47,BF$11,BF$14,BF$19,),""),IF($I47=3,"",IFBLANK(_xldudf_CX_PUSH(BF47,CX_ENTITY,$B47,BF$11,BF$14,BF$19,),"")))))),"")</f>
        <v/>
      </c>
      <c r="DT47" s="1883" t="str" cm="1">
        <f t="array" ca="1" aca="1" ref="DT47">IFERROR(IF(BG47*fxVal_normal=_BS!BG47,"",IF(OR(BG47="",NOT(ISNUMBER(BG47)),ISERROR(BG47),$B47=""),"",IF($I47=1,IFBLANK(_xldudf_CX_PUSH(BG47*fxVal_normal,CX_ENTITY,$B47,BG$11,BG$14,BG$19,),""),IF($I47=2,IFBLANK(_xldudf_CX_PUSH(BG47,CX_ENTITY,$B47,BG$11,BG$14,BG$19,),""),IF($I47=3,"",IFBLANK(_xldudf_CX_PUSH(BG47,CX_ENTITY,$B47,BG$11,BG$14,BG$19,),"")))))),"")</f>
        <v/>
      </c>
      <c r="DU47" s="1883" t="str" cm="1">
        <f t="array" ca="1" aca="1" ref="DU47">IFERROR(IF(BH47*fxVal_normal=_BS!BH47,"",IF(OR(BH47="",NOT(ISNUMBER(BH47)),ISERROR(BH47),$B47=""),"",IF($I47=1,IFBLANK(_xldudf_CX_PUSH(BH47*fxVal_normal,CX_ENTITY,$B47,BH$11,BH$14,BH$19,),""),IF($I47=2,IFBLANK(_xldudf_CX_PUSH(BH47,CX_ENTITY,$B47,BH$11,BH$14,BH$19,),""),IF($I47=3,"",IFBLANK(_xldudf_CX_PUSH(BH47,CX_ENTITY,$B47,BH$11,BH$14,BH$19,),"")))))),"")</f>
        <v/>
      </c>
      <c r="DV47" s="1883" t="str" cm="1">
        <f t="array" ca="1" aca="1" ref="DV47">IFERROR(IF(BI47*fxVal_normal=_BS!BI47,"",IF(OR(BI47="",NOT(ISNUMBER(BI47)),ISERROR(BI47),$B47=""),"",IF($I47=1,IFBLANK(_xldudf_CX_PUSH(BI47*fxVal_normal,CX_ENTITY,$B47,BI$11,BI$14,BI$19,),""),IF($I47=2,IFBLANK(_xldudf_CX_PUSH(BI47,CX_ENTITY,$B47,BI$11,BI$14,BI$19,),""),IF($I47=3,"",IFBLANK(_xldudf_CX_PUSH(BI47,CX_ENTITY,$B47,BI$11,BI$14,BI$19,),"")))))),"")</f>
        <v/>
      </c>
      <c r="DW47" s="1883" t="str" cm="1">
        <f t="array" ca="1" aca="1" ref="DW47">IFERROR(IF(BJ47*fxVal_normal=_BS!BJ47,"",IF(OR(BJ47="",NOT(ISNUMBER(BJ47)),ISERROR(BJ47),$B47=""),"",IF($I47=1,IFBLANK(_xldudf_CX_PUSH(BJ47*fxVal_normal,CX_ENTITY,$B47,BJ$11,BJ$14,BJ$19,),""),IF($I47=2,IFBLANK(_xldudf_CX_PUSH(BJ47,CX_ENTITY,$B47,BJ$11,BJ$14,BJ$19,),""),IF($I47=3,"",IFBLANK(_xldudf_CX_PUSH(BJ47,CX_ENTITY,$B47,BJ$11,BJ$14,BJ$19,),"")))))),"")</f>
        <v/>
      </c>
      <c r="DX47" s="1883" t="str" cm="1">
        <f t="array" ca="1" aca="1" ref="DX47">IFERROR(IF(BK47*fxVal_normal=_BS!BK47,"",IF(OR(BK47="",NOT(ISNUMBER(BK47)),ISERROR(BK47),$B47=""),"",IF($I47=1,IFBLANK(_xldudf_CX_PUSH(BK47*fxVal_normal,CX_ENTITY,$B47,BK$11,BK$14,BK$19,),""),IF($I47=2,IFBLANK(_xldudf_CX_PUSH(BK47,CX_ENTITY,$B47,BK$11,BK$14,BK$19,),""),IF($I47=3,"",IFBLANK(_xldudf_CX_PUSH(BK47,CX_ENTITY,$B47,BK$11,BK$14,BK$19,),"")))))),"")</f>
        <v/>
      </c>
      <c r="DY47" s="1883" t="str" cm="1">
        <f t="array" ca="1" aca="1" ref="DY47">IFERROR(IF(BL47*fxVal_normal=_BS!BL47,"",IF(OR(BL47="",NOT(ISNUMBER(BL47)),ISERROR(BL47),$B47=""),"",IF($I47=1,IFBLANK(_xldudf_CX_PUSH(BL47*fxVal_normal,CX_ENTITY,$B47,BL$11,BL$14,BL$19,),""),IF($I47=2,IFBLANK(_xldudf_CX_PUSH(BL47,CX_ENTITY,$B47,BL$11,BL$14,BL$19,),""),IF($I47=3,"",IFBLANK(_xldudf_CX_PUSH(BL47,CX_ENTITY,$B47,BL$11,BL$14,BL$19,),"")))))),"")</f>
        <v/>
      </c>
      <c r="DZ47" s="1883" t="str" cm="1">
        <f t="array" ca="1" aca="1" ref="DZ47">IFERROR(IF(BM47*fxVal_normal=_BS!BM47,"",IF(OR(BM47="",NOT(ISNUMBER(BM47)),ISERROR(BM47),$B47=""),"",IF($I47=1,IFBLANK(_xldudf_CX_PUSH(BM47*fxVal_normal,CX_ENTITY,$B47,BM$11,BM$14,BM$19,),""),IF($I47=2,IFBLANK(_xldudf_CX_PUSH(BM47,CX_ENTITY,$B47,BM$11,BM$14,BM$19,),""),IF($I47=3,"",IFBLANK(_xldudf_CX_PUSH(BM47,CX_ENTITY,$B47,BM$11,BM$14,BM$19,),"")))))),"")</f>
        <v/>
      </c>
      <c r="EA47" s="1883" t="str" cm="1">
        <f t="array" ca="1" aca="1" ref="EA47">IFERROR(IF(BN47*fxVal_normal=_BS!BN47,"",IF(OR(BN47="",NOT(ISNUMBER(BN47)),ISERROR(BN47),$B47=""),"",IF($I47=1,IFBLANK(_xldudf_CX_PUSH(BN47*fxVal_normal,CX_ENTITY,$B47,BN$11,BN$14,BN$19,),""),IF($I47=2,IFBLANK(_xldudf_CX_PUSH(BN47,CX_ENTITY,$B47,BN$11,BN$14,BN$19,),""),IF($I47=3,"",IFBLANK(_xldudf_CX_PUSH(BN47,CX_ENTITY,$B47,BN$11,BN$14,BN$19,),"")))))),"")</f>
        <v/>
      </c>
    </row>
    <row r="48" spans="1:131" ht="21" customHeight="1">
      <c r="A48" s="1626"/>
      <c r="B48" s="811" t="str" cm="1">
        <f t="array" ref="B48">IFBLANK(_BS!F48,"")</f>
        <v>Other Liabilities</v>
      </c>
      <c r="C48" s="3346" t="str" cm="1">
        <f t="array" ref="C48">IFBLANK(_BS!C48,"")</f>
        <v>Other Liabilities (Company View)</v>
      </c>
      <c r="D48" s="1549"/>
      <c r="E48" s="1902" t="e" cm="1">
        <f t="array" ca="1" aca="1" ref="E4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48:$CH48,Z48)</f>
        <v>#NAME?</v>
      </c>
      <c r="F48" s="1897"/>
      <c r="G48" s="1897"/>
      <c r="H48" s="3280">
        <v>1</v>
      </c>
      <c r="I48" s="3280">
        <v>1</v>
      </c>
      <c r="J48" s="401"/>
      <c r="N48" s="158"/>
      <c r="O48" s="101"/>
      <c r="P48" s="52"/>
      <c r="Q48" s="101"/>
      <c r="R48" s="126"/>
      <c r="S48" s="101"/>
      <c r="T48" s="101"/>
      <c r="U48" s="39"/>
      <c r="W48" s="91" t="str">
        <f t="shared" si="1"/>
        <v>Actual</v>
      </c>
      <c r="X48" s="857">
        <f>_BS!X48</f>
        <v>-1</v>
      </c>
      <c r="Y48" s="3183">
        <v>2</v>
      </c>
      <c r="Z48" s="3291" cm="1">
        <f t="array" ref="Z48">_xlfn.SWITCH(TRUE,_BS!$L48=TRUE,1,_BS!$L48=FALSE,-1,_BS!$L48=-1,0,"n/a")</f>
        <v>1</v>
      </c>
      <c r="AA48" s="200"/>
      <c r="AB48" s="3343" t="str">
        <f>_BS!AB48</f>
        <v>Other Liabilities</v>
      </c>
      <c r="AC48" s="88" t="e" vm="5" cm="1">
        <f t="array" ca="1" aca="1" ref="AC48">_xlfn.LET(_xlpm._termname,$AB48,_xlpm._iconname,"find",_xlpm._icon,fx_getIcon(_xlpm._iconname),_xlpm._location,_xlfn.XLOOKUP(LOWER(_xlpm._termname),LOWER(tbl_acctDef[Term]),tbl_acctDef[Term]),_xlpm._hyperlink,HYPERLINK("#"&amp;CELL("address",_xlpm._location),_xlpm._icon),IFERROR(_xlpm._hyperlink,""))</f>
        <v>#VALUE!</v>
      </c>
      <c r="AD48" s="3229">
        <v>1</v>
      </c>
      <c r="AE48" s="3229">
        <v>1</v>
      </c>
      <c r="AF48" s="3229">
        <v>1</v>
      </c>
      <c r="AG48" s="3229">
        <v>1</v>
      </c>
      <c r="AH48" s="3229">
        <v>1</v>
      </c>
      <c r="AI48" s="3229">
        <v>1</v>
      </c>
      <c r="AJ48" s="3229">
        <v>1</v>
      </c>
      <c r="AK48" s="3229">
        <v>1</v>
      </c>
      <c r="AL48" s="3229">
        <v>1</v>
      </c>
      <c r="AM48" s="3229">
        <v>1</v>
      </c>
      <c r="AN48" s="3229">
        <v>1</v>
      </c>
      <c r="AO48" s="3229">
        <v>1</v>
      </c>
      <c r="AP48" s="3229">
        <v>1</v>
      </c>
      <c r="AQ48" s="3229">
        <v>1</v>
      </c>
      <c r="AR48" s="3229">
        <v>1</v>
      </c>
      <c r="AS48" s="3229">
        <v>1</v>
      </c>
      <c r="AT48" s="3229">
        <v>1</v>
      </c>
      <c r="AU48" s="3229">
        <v>1</v>
      </c>
      <c r="AV48" s="3229">
        <v>1</v>
      </c>
      <c r="AW48" s="3229">
        <v>1</v>
      </c>
      <c r="AX48" s="3229">
        <v>1</v>
      </c>
      <c r="AY48" s="3229">
        <v>1</v>
      </c>
      <c r="AZ48" s="3229">
        <v>1</v>
      </c>
      <c r="BA48" s="3229">
        <v>1</v>
      </c>
      <c r="BB48" s="3229">
        <v>1</v>
      </c>
      <c r="BC48" s="3229">
        <v>1</v>
      </c>
      <c r="BD48" s="3229">
        <v>1</v>
      </c>
      <c r="BE48" s="3229">
        <v>1</v>
      </c>
      <c r="BF48" s="3229">
        <v>1</v>
      </c>
      <c r="BG48" s="3229">
        <v>1</v>
      </c>
      <c r="BH48" s="3229">
        <v>1</v>
      </c>
      <c r="BI48" s="3229">
        <v>1</v>
      </c>
      <c r="BJ48" s="3229">
        <v>1</v>
      </c>
      <c r="BK48" s="3229">
        <v>1</v>
      </c>
      <c r="BL48" s="3229">
        <v>1</v>
      </c>
      <c r="BM48" s="3229">
        <v>1</v>
      </c>
      <c r="BN48" s="3229">
        <v>1</v>
      </c>
      <c r="BO48" s="2095"/>
      <c r="BP48" s="2095"/>
      <c r="BQ48" s="2095"/>
      <c r="BR48" s="2095"/>
      <c r="BS48" s="2095"/>
      <c r="BT48" s="2095"/>
      <c r="BU48" s="2095"/>
      <c r="BV48" s="2095"/>
      <c r="BW48" s="2095"/>
      <c r="BX48" s="2095"/>
      <c r="BY48" s="2095"/>
      <c r="BZ48" s="2095"/>
      <c r="CA48" s="926"/>
      <c r="CB48" s="921"/>
      <c r="CC48" s="927"/>
      <c r="CD48" s="2069" t="e" cm="1">
        <f t="array" ca="1" aca="1" ref="CD48">_xlfn.XLOOKUP(BS!CD$11,array_timeline,BS!$AD48:$BN48)</f>
        <v>#NAME?</v>
      </c>
      <c r="CE48" s="2069" t="e" cm="1">
        <f t="array" ca="1" aca="1" ref="CE48">_xlfn.XLOOKUP(BS!CE$11,array_timeline,BS!$AD48:$BN48)</f>
        <v>#NAME?</v>
      </c>
      <c r="CF48" s="925"/>
      <c r="CG48" s="3342" t="e" cm="1">
        <f t="array" ca="1" aca="1" ref="CG48">TODECIMAL(IFBLANK(_BS!CG48,""),fxVal_normal)</f>
        <v>#NAME?</v>
      </c>
      <c r="CH48" s="3342" t="e" cm="1">
        <f t="array" ca="1" aca="1" ref="CH48">TODECIMAL(IFBLANK(_BS!CH48,""),fxVal_normal)</f>
        <v>#NAME?</v>
      </c>
      <c r="CI48" s="200"/>
      <c r="CK48" s="2085" t="str" cm="1">
        <f t="array" ca="1" aca="1" ref="CK48">IFERROR(IF(Y48&lt;&gt;AB48,_xldudf_CX_PUSH(Y48,CX_ENTITY,C48,EOMONTH(val_asOfDate,0)),""),"")</f>
        <v/>
      </c>
      <c r="CL48" s="2085" t="str" cm="1">
        <f t="array" ca="1" aca="1" ref="CL48">IFERROR(IF(Y48&lt;&gt;AB48,_xldudf_CX_PUSH(Y48,CX_ENTITY,C48,EOMONTH(val_asOfDate,1)),""),"")</f>
        <v/>
      </c>
      <c r="CM48" s="2085" t="str" cm="1">
        <f t="array" ca="1" aca="1" ref="CM48">IFERROR(IF(Y48&lt;&gt;AB48,_xldudf_CX_PUSH(Y48,CX_ENTITY,C48,EOMONTH(val_asOfDate,2)),""),"")</f>
        <v/>
      </c>
      <c r="CN48" s="2085" t="str" cm="1">
        <f t="array" ca="1" aca="1" ref="CN48">IFERROR(IF(Y48&lt;&gt;AB48,_xldudf_CX_PUSH(Y48,CX_ENTITY,C48,EOMONTH(val_asOfDate,3)),""),"")</f>
        <v/>
      </c>
      <c r="CO48" s="2086" t="str" cm="1">
        <f t="array" ca="1" aca="1" ref="CO48">IFERROR(IF(CG48*fxVal_normal=_BS!CG48,"",IF(OR($CG48="",$CG48=0,NOT(ISNUMBER($CG48)),ISERROR($CG48),$B48=""),"",IF($I48=1,IFBLANK(_xldudf_CX_PUSH($CG48*10^6,CX_ENTITY,$B48,$CG$11,$CG$14,$CG$19,),""),IF($I48=2,IFBLANK(_xldudf_CX_PUSH($CG48,CX_ENTITY,$B48,$CG$11,$CG$14,$CG$19,),""),IF($I48=3,"",IFBLANK(_xldudf_CX_PUSH($CG48,CX_ENTITY,$B48,$CG$11,$CG$14,$CG$19,),"")))))),"")</f>
        <v/>
      </c>
      <c r="CP48" s="2086" t="str" cm="1">
        <f t="array" ca="1" aca="1" ref="CP48">IFERROR(IF(CH48*fxVal_normal=_BS!CH48,"",IF(OR($CH48="",$CH48=0,NOT(ISNUMBER($CH48)),ISERROR($CH48),$B48=""),"",IF($I48=1,IFBLANK(_xldudf_CX_PUSH($CH48*10^6,CX_ENTITY,$B48,$CH$11,$CH$14,$CH$19,),""),IF($I48=2,IFBLANK(_xldudf_CX_PUSH($CH48,CX_ENTITY,$B48,$CH$11,$CH$14,$CH$19,),""),IF($I48=3,"",IFBLANK(_xldudf_CX_PUSH($CH48,CX_ENTITY,$B48,$CH$11,$CH$14,$CH$19,),"")))))),"")</f>
        <v/>
      </c>
      <c r="CQ48" s="1883" t="str" cm="1">
        <f t="array" ca="1" aca="1" ref="CQ48">IFERROR(IF(AD48*fxVal_normal=_BS!AD48,"",IF(OR(AD48="",NOT(ISNUMBER(AD48)),ISERROR(AD48),$B48=""),"",IF($I48=1,IFBLANK(_xldudf_CX_PUSH(AD48*fxVal_normal,CX_ENTITY,$B48,AD$11,AD$14,AD$19,),""),IF($I48=2,IFBLANK(_xldudf_CX_PUSH(AD48,CX_ENTITY,$B48,AD$11,AD$14,AD$19,),""),IF($I48=3,"",IFBLANK(_xldudf_CX_PUSH(AD48,CX_ENTITY,$B48,AD$11,AD$14,AD$19,),"")))))),"")</f>
        <v/>
      </c>
      <c r="CR48" s="1883" t="str" cm="1">
        <f t="array" ca="1" aca="1" ref="CR48">IFERROR(IF(AE48*fxVal_normal=_BS!AE48,"",IF(OR(AE48="",NOT(ISNUMBER(AE48)),ISERROR(AE48),$B48=""),"",IF($I48=1,IFBLANK(_xldudf_CX_PUSH(AE48*fxVal_normal,CX_ENTITY,$B48,AE$11,AE$14,AE$19,),""),IF($I48=2,IFBLANK(_xldudf_CX_PUSH(AE48,CX_ENTITY,$B48,AE$11,AE$14,AE$19,),""),IF($I48=3,"",IFBLANK(_xldudf_CX_PUSH(AE48,CX_ENTITY,$B48,AE$11,AE$14,AE$19,),"")))))),"")</f>
        <v/>
      </c>
      <c r="CS48" s="1883" t="str" cm="1">
        <f t="array" ca="1" aca="1" ref="CS48">IFERROR(IF(AF48*fxVal_normal=_BS!AF48,"",IF(OR(AF48="",NOT(ISNUMBER(AF48)),ISERROR(AF48),$B48=""),"",IF($I48=1,IFBLANK(_xldudf_CX_PUSH(AF48*fxVal_normal,CX_ENTITY,$B48,AF$11,AF$14,AF$19,),""),IF($I48=2,IFBLANK(_xldudf_CX_PUSH(AF48,CX_ENTITY,$B48,AF$11,AF$14,AF$19,),""),IF($I48=3,"",IFBLANK(_xldudf_CX_PUSH(AF48,CX_ENTITY,$B48,AF$11,AF$14,AF$19,),"")))))),"")</f>
        <v/>
      </c>
      <c r="CT48" s="1883" t="str" cm="1">
        <f t="array" ca="1" aca="1" ref="CT48">IFERROR(IF(AG48*fxVal_normal=_BS!AG48,"",IF(OR(AG48="",NOT(ISNUMBER(AG48)),ISERROR(AG48),$B48=""),"",IF($I48=1,IFBLANK(_xldudf_CX_PUSH(AG48*fxVal_normal,CX_ENTITY,$B48,AG$11,AG$14,AG$19,),""),IF($I48=2,IFBLANK(_xldudf_CX_PUSH(AG48,CX_ENTITY,$B48,AG$11,AG$14,AG$19,),""),IF($I48=3,"",IFBLANK(_xldudf_CX_PUSH(AG48,CX_ENTITY,$B48,AG$11,AG$14,AG$19,),"")))))),"")</f>
        <v/>
      </c>
      <c r="CU48" s="1883" t="str" cm="1">
        <f t="array" ca="1" aca="1" ref="CU48">IFERROR(IF(AH48*fxVal_normal=_BS!AH48,"",IF(OR(AH48="",NOT(ISNUMBER(AH48)),ISERROR(AH48),$B48=""),"",IF($I48=1,IFBLANK(_xldudf_CX_PUSH(AH48*fxVal_normal,CX_ENTITY,$B48,AH$11,AH$14,AH$19,),""),IF($I48=2,IFBLANK(_xldudf_CX_PUSH(AH48,CX_ENTITY,$B48,AH$11,AH$14,AH$19,),""),IF($I48=3,"",IFBLANK(_xldudf_CX_PUSH(AH48,CX_ENTITY,$B48,AH$11,AH$14,AH$19,),"")))))),"")</f>
        <v/>
      </c>
      <c r="CV48" s="1883" t="str" cm="1">
        <f t="array" ca="1" aca="1" ref="CV48">IFERROR(IF(AI48*fxVal_normal=_BS!AI48,"",IF(OR(AI48="",NOT(ISNUMBER(AI48)),ISERROR(AI48),$B48=""),"",IF($I48=1,IFBLANK(_xldudf_CX_PUSH(AI48*fxVal_normal,CX_ENTITY,$B48,AI$11,AI$14,AI$19,),""),IF($I48=2,IFBLANK(_xldudf_CX_PUSH(AI48,CX_ENTITY,$B48,AI$11,AI$14,AI$19,),""),IF($I48=3,"",IFBLANK(_xldudf_CX_PUSH(AI48,CX_ENTITY,$B48,AI$11,AI$14,AI$19,),"")))))),"")</f>
        <v/>
      </c>
      <c r="CW48" s="1883" t="str" cm="1">
        <f t="array" ca="1" aca="1" ref="CW48">IFERROR(IF(AJ48*fxVal_normal=_BS!AJ48,"",IF(OR(AJ48="",NOT(ISNUMBER(AJ48)),ISERROR(AJ48),$B48=""),"",IF($I48=1,IFBLANK(_xldudf_CX_PUSH(AJ48*fxVal_normal,CX_ENTITY,$B48,AJ$11,AJ$14,AJ$19,),""),IF($I48=2,IFBLANK(_xldudf_CX_PUSH(AJ48,CX_ENTITY,$B48,AJ$11,AJ$14,AJ$19,),""),IF($I48=3,"",IFBLANK(_xldudf_CX_PUSH(AJ48,CX_ENTITY,$B48,AJ$11,AJ$14,AJ$19,),"")))))),"")</f>
        <v/>
      </c>
      <c r="CX48" s="1883" t="str" cm="1">
        <f t="array" ca="1" aca="1" ref="CX48">IFERROR(IF(AK48*fxVal_normal=_BS!AK48,"",IF(OR(AK48="",NOT(ISNUMBER(AK48)),ISERROR(AK48),$B48=""),"",IF($I48=1,IFBLANK(_xldudf_CX_PUSH(AK48*fxVal_normal,CX_ENTITY,$B48,AK$11,AK$14,AK$19,),""),IF($I48=2,IFBLANK(_xldudf_CX_PUSH(AK48,CX_ENTITY,$B48,AK$11,AK$14,AK$19,),""),IF($I48=3,"",IFBLANK(_xldudf_CX_PUSH(AK48,CX_ENTITY,$B48,AK$11,AK$14,AK$19,),"")))))),"")</f>
        <v/>
      </c>
      <c r="CY48" s="1883" t="str" cm="1">
        <f t="array" ca="1" aca="1" ref="CY48">IFERROR(IF(AL48*fxVal_normal=_BS!AL48,"",IF(OR(AL48="",NOT(ISNUMBER(AL48)),ISERROR(AL48),$B48=""),"",IF($I48=1,IFBLANK(_xldudf_CX_PUSH(AL48*fxVal_normal,CX_ENTITY,$B48,AL$11,AL$14,AL$19,),""),IF($I48=2,IFBLANK(_xldudf_CX_PUSH(AL48,CX_ENTITY,$B48,AL$11,AL$14,AL$19,),""),IF($I48=3,"",IFBLANK(_xldudf_CX_PUSH(AL48,CX_ENTITY,$B48,AL$11,AL$14,AL$19,),"")))))),"")</f>
        <v/>
      </c>
      <c r="CZ48" s="1883" t="str" cm="1">
        <f t="array" ca="1" aca="1" ref="CZ48">IFERROR(IF(AM48*fxVal_normal=_BS!AM48,"",IF(OR(AM48="",NOT(ISNUMBER(AM48)),ISERROR(AM48),$B48=""),"",IF($I48=1,IFBLANK(_xldudf_CX_PUSH(AM48*fxVal_normal,CX_ENTITY,$B48,AM$11,AM$14,AM$19,),""),IF($I48=2,IFBLANK(_xldudf_CX_PUSH(AM48,CX_ENTITY,$B48,AM$11,AM$14,AM$19,),""),IF($I48=3,"",IFBLANK(_xldudf_CX_PUSH(AM48,CX_ENTITY,$B48,AM$11,AM$14,AM$19,),"")))))),"")</f>
        <v/>
      </c>
      <c r="DA48" s="1883" t="str" cm="1">
        <f t="array" ca="1" aca="1" ref="DA48">IFERROR(IF(AN48*fxVal_normal=_BS!AN48,"",IF(OR(AN48="",NOT(ISNUMBER(AN48)),ISERROR(AN48),$B48=""),"",IF($I48=1,IFBLANK(_xldudf_CX_PUSH(AN48*fxVal_normal,CX_ENTITY,$B48,AN$11,AN$14,AN$19,),""),IF($I48=2,IFBLANK(_xldudf_CX_PUSH(AN48,CX_ENTITY,$B48,AN$11,AN$14,AN$19,),""),IF($I48=3,"",IFBLANK(_xldudf_CX_PUSH(AN48,CX_ENTITY,$B48,AN$11,AN$14,AN$19,),"")))))),"")</f>
        <v/>
      </c>
      <c r="DB48" s="1883" t="str" cm="1">
        <f t="array" ca="1" aca="1" ref="DB48">IFERROR(IF(AO48*fxVal_normal=_BS!AO48,"",IF(OR(AO48="",NOT(ISNUMBER(AO48)),ISERROR(AO48),$B48=""),"",IF($I48=1,IFBLANK(_xldudf_CX_PUSH(AO48*fxVal_normal,CX_ENTITY,$B48,AO$11,AO$14,AO$19,),""),IF($I48=2,IFBLANK(_xldudf_CX_PUSH(AO48,CX_ENTITY,$B48,AO$11,AO$14,AO$19,),""),IF($I48=3,"",IFBLANK(_xldudf_CX_PUSH(AO48,CX_ENTITY,$B48,AO$11,AO$14,AO$19,),"")))))),"")</f>
        <v/>
      </c>
      <c r="DC48" s="1883" t="str" cm="1">
        <f t="array" ca="1" aca="1" ref="DC48">IFERROR(IF(AP48*fxVal_normal=_BS!AP48,"",IF(OR(AP48="",NOT(ISNUMBER(AP48)),ISERROR(AP48),$B48=""),"",IF($I48=1,IFBLANK(_xldudf_CX_PUSH(AP48*fxVal_normal,CX_ENTITY,$B48,AP$11,AP$14,AP$19,),""),IF($I48=2,IFBLANK(_xldudf_CX_PUSH(AP48,CX_ENTITY,$B48,AP$11,AP$14,AP$19,),""),IF($I48=3,"",IFBLANK(_xldudf_CX_PUSH(AP48,CX_ENTITY,$B48,AP$11,AP$14,AP$19,),"")))))),"")</f>
        <v/>
      </c>
      <c r="DD48" s="1883" t="str" cm="1">
        <f t="array" ca="1" aca="1" ref="DD48">IFERROR(IF(AQ48*fxVal_normal=_BS!AQ48,"",IF(OR(AQ48="",NOT(ISNUMBER(AQ48)),ISERROR(AQ48),$B48=""),"",IF($I48=1,IFBLANK(_xldudf_CX_PUSH(AQ48*fxVal_normal,CX_ENTITY,$B48,AQ$11,AQ$14,AQ$19,),""),IF($I48=2,IFBLANK(_xldudf_CX_PUSH(AQ48,CX_ENTITY,$B48,AQ$11,AQ$14,AQ$19,),""),IF($I48=3,"",IFBLANK(_xldudf_CX_PUSH(AQ48,CX_ENTITY,$B48,AQ$11,AQ$14,AQ$19,),"")))))),"")</f>
        <v/>
      </c>
      <c r="DE48" s="1883" t="str" cm="1">
        <f t="array" ca="1" aca="1" ref="DE48">IFERROR(IF(AR48*fxVal_normal=_BS!AR48,"",IF(OR(AR48="",NOT(ISNUMBER(AR48)),ISERROR(AR48),$B48=""),"",IF($I48=1,IFBLANK(_xldudf_CX_PUSH(AR48*fxVal_normal,CX_ENTITY,$B48,AR$11,AR$14,AR$19,),""),IF($I48=2,IFBLANK(_xldudf_CX_PUSH(AR48,CX_ENTITY,$B48,AR$11,AR$14,AR$19,),""),IF($I48=3,"",IFBLANK(_xldudf_CX_PUSH(AR48,CX_ENTITY,$B48,AR$11,AR$14,AR$19,),"")))))),"")</f>
        <v/>
      </c>
      <c r="DF48" s="1883" t="str" cm="1">
        <f t="array" ca="1" aca="1" ref="DF48">IFERROR(IF(AS48*fxVal_normal=_BS!AS48,"",IF(OR(AS48="",NOT(ISNUMBER(AS48)),ISERROR(AS48),$B48=""),"",IF($I48=1,IFBLANK(_xldudf_CX_PUSH(AS48*fxVal_normal,CX_ENTITY,$B48,AS$11,AS$14,AS$19,),""),IF($I48=2,IFBLANK(_xldudf_CX_PUSH(AS48,CX_ENTITY,$B48,AS$11,AS$14,AS$19,),""),IF($I48=3,"",IFBLANK(_xldudf_CX_PUSH(AS48,CX_ENTITY,$B48,AS$11,AS$14,AS$19,),"")))))),"")</f>
        <v/>
      </c>
      <c r="DG48" s="1883" t="str" cm="1">
        <f t="array" ca="1" aca="1" ref="DG48">IFERROR(IF(AT48*fxVal_normal=_BS!AT48,"",IF(OR(AT48="",NOT(ISNUMBER(AT48)),ISERROR(AT48),$B48=""),"",IF($I48=1,IFBLANK(_xldudf_CX_PUSH(AT48*fxVal_normal,CX_ENTITY,$B48,AT$11,AT$14,AT$19,),""),IF($I48=2,IFBLANK(_xldudf_CX_PUSH(AT48,CX_ENTITY,$B48,AT$11,AT$14,AT$19,),""),IF($I48=3,"",IFBLANK(_xldudf_CX_PUSH(AT48,CX_ENTITY,$B48,AT$11,AT$14,AT$19,),"")))))),"")</f>
        <v/>
      </c>
      <c r="DH48" s="1883" t="str" cm="1">
        <f t="array" ca="1" aca="1" ref="DH48">IFERROR(IF(AU48*fxVal_normal=_BS!AU48,"",IF(OR(AU48="",NOT(ISNUMBER(AU48)),ISERROR(AU48),$B48=""),"",IF($I48=1,IFBLANK(_xldudf_CX_PUSH(AU48*fxVal_normal,CX_ENTITY,$B48,AU$11,AU$14,AU$19,),""),IF($I48=2,IFBLANK(_xldudf_CX_PUSH(AU48,CX_ENTITY,$B48,AU$11,AU$14,AU$19,),""),IF($I48=3,"",IFBLANK(_xldudf_CX_PUSH(AU48,CX_ENTITY,$B48,AU$11,AU$14,AU$19,),"")))))),"")</f>
        <v/>
      </c>
      <c r="DI48" s="1883" t="str" cm="1">
        <f t="array" ca="1" aca="1" ref="DI48">IFERROR(IF(AV48*fxVal_normal=_BS!AV48,"",IF(OR(AV48="",NOT(ISNUMBER(AV48)),ISERROR(AV48),$B48=""),"",IF($I48=1,IFBLANK(_xldudf_CX_PUSH(AV48*fxVal_normal,CX_ENTITY,$B48,AV$11,AV$14,AV$19,),""),IF($I48=2,IFBLANK(_xldudf_CX_PUSH(AV48,CX_ENTITY,$B48,AV$11,AV$14,AV$19,),""),IF($I48=3,"",IFBLANK(_xldudf_CX_PUSH(AV48,CX_ENTITY,$B48,AV$11,AV$14,AV$19,),"")))))),"")</f>
        <v/>
      </c>
      <c r="DJ48" s="1883" t="str" cm="1">
        <f t="array" ca="1" aca="1" ref="DJ48">IFERROR(IF(AW48*fxVal_normal=_BS!AW48,"",IF(OR(AW48="",NOT(ISNUMBER(AW48)),ISERROR(AW48),$B48=""),"",IF($I48=1,IFBLANK(_xldudf_CX_PUSH(AW48*fxVal_normal,CX_ENTITY,$B48,AW$11,AW$14,AW$19,),""),IF($I48=2,IFBLANK(_xldudf_CX_PUSH(AW48,CX_ENTITY,$B48,AW$11,AW$14,AW$19,),""),IF($I48=3,"",IFBLANK(_xldudf_CX_PUSH(AW48,CX_ENTITY,$B48,AW$11,AW$14,AW$19,),"")))))),"")</f>
        <v/>
      </c>
      <c r="DK48" s="1883" t="str" cm="1">
        <f t="array" ca="1" aca="1" ref="DK48">IFERROR(IF(AX48*fxVal_normal=_BS!AX48,"",IF(OR(AX48="",NOT(ISNUMBER(AX48)),ISERROR(AX48),$B48=""),"",IF($I48=1,IFBLANK(_xldudf_CX_PUSH(AX48*fxVal_normal,CX_ENTITY,$B48,AX$11,AX$14,AX$19,),""),IF($I48=2,IFBLANK(_xldudf_CX_PUSH(AX48,CX_ENTITY,$B48,AX$11,AX$14,AX$19,),""),IF($I48=3,"",IFBLANK(_xldudf_CX_PUSH(AX48,CX_ENTITY,$B48,AX$11,AX$14,AX$19,),"")))))),"")</f>
        <v/>
      </c>
      <c r="DL48" s="1883" t="str" cm="1">
        <f t="array" ca="1" aca="1" ref="DL48">IFERROR(IF(AY48*fxVal_normal=_BS!AY48,"",IF(OR(AY48="",NOT(ISNUMBER(AY48)),ISERROR(AY48),$B48=""),"",IF($I48=1,IFBLANK(_xldudf_CX_PUSH(AY48*fxVal_normal,CX_ENTITY,$B48,AY$11,AY$14,AY$19,),""),IF($I48=2,IFBLANK(_xldudf_CX_PUSH(AY48,CX_ENTITY,$B48,AY$11,AY$14,AY$19,),""),IF($I48=3,"",IFBLANK(_xldudf_CX_PUSH(AY48,CX_ENTITY,$B48,AY$11,AY$14,AY$19,),"")))))),"")</f>
        <v/>
      </c>
      <c r="DM48" s="1883" t="str" cm="1">
        <f t="array" ca="1" aca="1" ref="DM48">IFERROR(IF(AZ48*fxVal_normal=_BS!AZ48,"",IF(OR(AZ48="",NOT(ISNUMBER(AZ48)),ISERROR(AZ48),$B48=""),"",IF($I48=1,IFBLANK(_xldudf_CX_PUSH(AZ48*fxVal_normal,CX_ENTITY,$B48,AZ$11,AZ$14,AZ$19,),""),IF($I48=2,IFBLANK(_xldudf_CX_PUSH(AZ48,CX_ENTITY,$B48,AZ$11,AZ$14,AZ$19,),""),IF($I48=3,"",IFBLANK(_xldudf_CX_PUSH(AZ48,CX_ENTITY,$B48,AZ$11,AZ$14,AZ$19,),"")))))),"")</f>
        <v/>
      </c>
      <c r="DN48" s="1883" t="str" cm="1">
        <f t="array" ca="1" aca="1" ref="DN48">IFERROR(IF(BA48*fxVal_normal=_BS!BA48,"",IF(OR(BA48="",NOT(ISNUMBER(BA48)),ISERROR(BA48),$B48=""),"",IF($I48=1,IFBLANK(_xldudf_CX_PUSH(BA48*fxVal_normal,CX_ENTITY,$B48,BA$11,BA$14,BA$19,),""),IF($I48=2,IFBLANK(_xldudf_CX_PUSH(BA48,CX_ENTITY,$B48,BA$11,BA$14,BA$19,),""),IF($I48=3,"",IFBLANK(_xldudf_CX_PUSH(BA48,CX_ENTITY,$B48,BA$11,BA$14,BA$19,),"")))))),"")</f>
        <v/>
      </c>
      <c r="DO48" s="1883" t="str" cm="1">
        <f t="array" ca="1" aca="1" ref="DO48">IFERROR(IF(BB48*fxVal_normal=_BS!BB48,"",IF(OR(BB48="",NOT(ISNUMBER(BB48)),ISERROR(BB48),$B48=""),"",IF($I48=1,IFBLANK(_xldudf_CX_PUSH(BB48*fxVal_normal,CX_ENTITY,$B48,BB$11,BB$14,BB$19,),""),IF($I48=2,IFBLANK(_xldudf_CX_PUSH(BB48,CX_ENTITY,$B48,BB$11,BB$14,BB$19,),""),IF($I48=3,"",IFBLANK(_xldudf_CX_PUSH(BB48,CX_ENTITY,$B48,BB$11,BB$14,BB$19,),"")))))),"")</f>
        <v/>
      </c>
      <c r="DP48" s="1883" t="str" cm="1">
        <f t="array" ca="1" aca="1" ref="DP48">IFERROR(IF(BC48*fxVal_normal=_BS!BC48,"",IF(OR(BC48="",NOT(ISNUMBER(BC48)),ISERROR(BC48),$B48=""),"",IF($I48=1,IFBLANK(_xldudf_CX_PUSH(BC48*fxVal_normal,CX_ENTITY,$B48,BC$11,BC$14,BC$19,),""),IF($I48=2,IFBLANK(_xldudf_CX_PUSH(BC48,CX_ENTITY,$B48,BC$11,BC$14,BC$19,),""),IF($I48=3,"",IFBLANK(_xldudf_CX_PUSH(BC48,CX_ENTITY,$B48,BC$11,BC$14,BC$19,),"")))))),"")</f>
        <v/>
      </c>
      <c r="DQ48" s="1883" t="str" cm="1">
        <f t="array" ca="1" aca="1" ref="DQ48">IFERROR(IF(BD48*fxVal_normal=_BS!BD48,"",IF(OR(BD48="",NOT(ISNUMBER(BD48)),ISERROR(BD48),$B48=""),"",IF($I48=1,IFBLANK(_xldudf_CX_PUSH(BD48*fxVal_normal,CX_ENTITY,$B48,BD$11,BD$14,BD$19,),""),IF($I48=2,IFBLANK(_xldudf_CX_PUSH(BD48,CX_ENTITY,$B48,BD$11,BD$14,BD$19,),""),IF($I48=3,"",IFBLANK(_xldudf_CX_PUSH(BD48,CX_ENTITY,$B48,BD$11,BD$14,BD$19,),"")))))),"")</f>
        <v/>
      </c>
      <c r="DR48" s="1883" t="str" cm="1">
        <f t="array" ca="1" aca="1" ref="DR48">IFERROR(IF(BE48*fxVal_normal=_BS!BE48,"",IF(OR(BE48="",NOT(ISNUMBER(BE48)),ISERROR(BE48),$B48=""),"",IF($I48=1,IFBLANK(_xldudf_CX_PUSH(BE48*fxVal_normal,CX_ENTITY,$B48,BE$11,BE$14,BE$19,),""),IF($I48=2,IFBLANK(_xldudf_CX_PUSH(BE48,CX_ENTITY,$B48,BE$11,BE$14,BE$19,),""),IF($I48=3,"",IFBLANK(_xldudf_CX_PUSH(BE48,CX_ENTITY,$B48,BE$11,BE$14,BE$19,),"")))))),"")</f>
        <v/>
      </c>
      <c r="DS48" s="1883" t="str" cm="1">
        <f t="array" ca="1" aca="1" ref="DS48">IFERROR(IF(BF48*fxVal_normal=_BS!BF48,"",IF(OR(BF48="",NOT(ISNUMBER(BF48)),ISERROR(BF48),$B48=""),"",IF($I48=1,IFBLANK(_xldudf_CX_PUSH(BF48*fxVal_normal,CX_ENTITY,$B48,BF$11,BF$14,BF$19,),""),IF($I48=2,IFBLANK(_xldudf_CX_PUSH(BF48,CX_ENTITY,$B48,BF$11,BF$14,BF$19,),""),IF($I48=3,"",IFBLANK(_xldudf_CX_PUSH(BF48,CX_ENTITY,$B48,BF$11,BF$14,BF$19,),"")))))),"")</f>
        <v/>
      </c>
      <c r="DT48" s="1883" t="str" cm="1">
        <f t="array" ca="1" aca="1" ref="DT48">IFERROR(IF(BG48*fxVal_normal=_BS!BG48,"",IF(OR(BG48="",NOT(ISNUMBER(BG48)),ISERROR(BG48),$B48=""),"",IF($I48=1,IFBLANK(_xldudf_CX_PUSH(BG48*fxVal_normal,CX_ENTITY,$B48,BG$11,BG$14,BG$19,),""),IF($I48=2,IFBLANK(_xldudf_CX_PUSH(BG48,CX_ENTITY,$B48,BG$11,BG$14,BG$19,),""),IF($I48=3,"",IFBLANK(_xldudf_CX_PUSH(BG48,CX_ENTITY,$B48,BG$11,BG$14,BG$19,),"")))))),"")</f>
        <v/>
      </c>
      <c r="DU48" s="1883" t="str" cm="1">
        <f t="array" ca="1" aca="1" ref="DU48">IFERROR(IF(BH48*fxVal_normal=_BS!BH48,"",IF(OR(BH48="",NOT(ISNUMBER(BH48)),ISERROR(BH48),$B48=""),"",IF($I48=1,IFBLANK(_xldudf_CX_PUSH(BH48*fxVal_normal,CX_ENTITY,$B48,BH$11,BH$14,BH$19,),""),IF($I48=2,IFBLANK(_xldudf_CX_PUSH(BH48,CX_ENTITY,$B48,BH$11,BH$14,BH$19,),""),IF($I48=3,"",IFBLANK(_xldudf_CX_PUSH(BH48,CX_ENTITY,$B48,BH$11,BH$14,BH$19,),"")))))),"")</f>
        <v/>
      </c>
      <c r="DV48" s="1883" t="str" cm="1">
        <f t="array" ca="1" aca="1" ref="DV48">IFERROR(IF(BI48*fxVal_normal=_BS!BI48,"",IF(OR(BI48="",NOT(ISNUMBER(BI48)),ISERROR(BI48),$B48=""),"",IF($I48=1,IFBLANK(_xldudf_CX_PUSH(BI48*fxVal_normal,CX_ENTITY,$B48,BI$11,BI$14,BI$19,),""),IF($I48=2,IFBLANK(_xldudf_CX_PUSH(BI48,CX_ENTITY,$B48,BI$11,BI$14,BI$19,),""),IF($I48=3,"",IFBLANK(_xldudf_CX_PUSH(BI48,CX_ENTITY,$B48,BI$11,BI$14,BI$19,),"")))))),"")</f>
        <v/>
      </c>
      <c r="DW48" s="1883" t="str" cm="1">
        <f t="array" ca="1" aca="1" ref="DW48">IFERROR(IF(BJ48*fxVal_normal=_BS!BJ48,"",IF(OR(BJ48="",NOT(ISNUMBER(BJ48)),ISERROR(BJ48),$B48=""),"",IF($I48=1,IFBLANK(_xldudf_CX_PUSH(BJ48*fxVal_normal,CX_ENTITY,$B48,BJ$11,BJ$14,BJ$19,),""),IF($I48=2,IFBLANK(_xldudf_CX_PUSH(BJ48,CX_ENTITY,$B48,BJ$11,BJ$14,BJ$19,),""),IF($I48=3,"",IFBLANK(_xldudf_CX_PUSH(BJ48,CX_ENTITY,$B48,BJ$11,BJ$14,BJ$19,),"")))))),"")</f>
        <v/>
      </c>
      <c r="DX48" s="1883" t="str" cm="1">
        <f t="array" ca="1" aca="1" ref="DX48">IFERROR(IF(BK48*fxVal_normal=_BS!BK48,"",IF(OR(BK48="",NOT(ISNUMBER(BK48)),ISERROR(BK48),$B48=""),"",IF($I48=1,IFBLANK(_xldudf_CX_PUSH(BK48*fxVal_normal,CX_ENTITY,$B48,BK$11,BK$14,BK$19,),""),IF($I48=2,IFBLANK(_xldudf_CX_PUSH(BK48,CX_ENTITY,$B48,BK$11,BK$14,BK$19,),""),IF($I48=3,"",IFBLANK(_xldudf_CX_PUSH(BK48,CX_ENTITY,$B48,BK$11,BK$14,BK$19,),"")))))),"")</f>
        <v/>
      </c>
      <c r="DY48" s="1883" t="str" cm="1">
        <f t="array" ca="1" aca="1" ref="DY48">IFERROR(IF(BL48*fxVal_normal=_BS!BL48,"",IF(OR(BL48="",NOT(ISNUMBER(BL48)),ISERROR(BL48),$B48=""),"",IF($I48=1,IFBLANK(_xldudf_CX_PUSH(BL48*fxVal_normal,CX_ENTITY,$B48,BL$11,BL$14,BL$19,),""),IF($I48=2,IFBLANK(_xldudf_CX_PUSH(BL48,CX_ENTITY,$B48,BL$11,BL$14,BL$19,),""),IF($I48=3,"",IFBLANK(_xldudf_CX_PUSH(BL48,CX_ENTITY,$B48,BL$11,BL$14,BL$19,),"")))))),"")</f>
        <v/>
      </c>
      <c r="DZ48" s="1883" t="str" cm="1">
        <f t="array" ca="1" aca="1" ref="DZ48">IFERROR(IF(BM48*fxVal_normal=_BS!BM48,"",IF(OR(BM48="",NOT(ISNUMBER(BM48)),ISERROR(BM48),$B48=""),"",IF($I48=1,IFBLANK(_xldudf_CX_PUSH(BM48*fxVal_normal,CX_ENTITY,$B48,BM$11,BM$14,BM$19,),""),IF($I48=2,IFBLANK(_xldudf_CX_PUSH(BM48,CX_ENTITY,$B48,BM$11,BM$14,BM$19,),""),IF($I48=3,"",IFBLANK(_xldudf_CX_PUSH(BM48,CX_ENTITY,$B48,BM$11,BM$14,BM$19,),"")))))),"")</f>
        <v/>
      </c>
      <c r="EA48" s="1883" t="str" cm="1">
        <f t="array" ca="1" aca="1" ref="EA48">IFERROR(IF(BN48*fxVal_normal=_BS!BN48,"",IF(OR(BN48="",NOT(ISNUMBER(BN48)),ISERROR(BN48),$B48=""),"",IF($I48=1,IFBLANK(_xldudf_CX_PUSH(BN48*fxVal_normal,CX_ENTITY,$B48,BN$11,BN$14,BN$19,),""),IF($I48=2,IFBLANK(_xldudf_CX_PUSH(BN48,CX_ENTITY,$B48,BN$11,BN$14,BN$19,),""),IF($I48=3,"",IFBLANK(_xldudf_CX_PUSH(BN48,CX_ENTITY,$B48,BN$11,BN$14,BN$19,),"")))))),"")</f>
        <v/>
      </c>
    </row>
    <row r="49" spans="1:131" ht="21" customHeight="1">
      <c r="A49" s="1626"/>
      <c r="B49" s="811" t="str" cm="1">
        <f t="array" ref="B49">IFBLANK(_BS!F49,"")</f>
        <v>Preferred Equity</v>
      </c>
      <c r="C49" s="3346" t="str" cm="1">
        <f t="array" ref="C49">IFBLANK(_BS!C49,"")</f>
        <v>Preferred Equity (Company View)</v>
      </c>
      <c r="D49" s="1549"/>
      <c r="E49" s="1902" t="e" cm="1">
        <f t="array" ca="1" aca="1" ref="E4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49:$CH49,Z49)</f>
        <v>#NAME?</v>
      </c>
      <c r="F49" s="1897"/>
      <c r="G49" s="1897"/>
      <c r="H49" s="3280">
        <v>1</v>
      </c>
      <c r="I49" s="3280">
        <v>1</v>
      </c>
      <c r="J49" s="401"/>
      <c r="N49" s="158"/>
      <c r="O49" s="101"/>
      <c r="P49" s="52"/>
      <c r="Q49" s="101"/>
      <c r="R49" s="126"/>
      <c r="S49" s="101"/>
      <c r="T49" s="101"/>
      <c r="U49" s="39"/>
      <c r="W49" s="91" t="str">
        <f t="shared" si="1"/>
        <v>Actual</v>
      </c>
      <c r="X49" s="857">
        <f>_BS!X49</f>
        <v>-1</v>
      </c>
      <c r="Y49" s="3183">
        <v>2</v>
      </c>
      <c r="Z49" s="198" cm="1">
        <f t="array" ref="Z49">_xlfn.SWITCH(TRUE,_BS!$L49=TRUE,1,_BS!$L49=FALSE,-1,_BS!$L49=-1,0,"n/a")</f>
        <v>-1</v>
      </c>
      <c r="AA49" s="200"/>
      <c r="AB49" s="3343" t="str">
        <f>_BS!AB49</f>
        <v>Preferred Equity</v>
      </c>
      <c r="AC49" s="88" t="e" vm="5" cm="1">
        <f t="array" ca="1" aca="1" ref="AC49">_xlfn.LET(_xlpm._termname,$AB49,_xlpm._iconname,"find",_xlpm._icon,fx_getIcon(_xlpm._iconname),_xlpm._location,_xlfn.XLOOKUP(LOWER(_xlpm._termname),LOWER(tbl_acctDef[Term]),tbl_acctDef[Term]),_xlpm._hyperlink,HYPERLINK("#"&amp;CELL("address",_xlpm._location),_xlpm._icon),IFERROR(_xlpm._hyperlink,""))</f>
        <v>#VALUE!</v>
      </c>
      <c r="AD49" s="3229">
        <v>1</v>
      </c>
      <c r="AE49" s="3229">
        <v>1</v>
      </c>
      <c r="AF49" s="3229">
        <v>1</v>
      </c>
      <c r="AG49" s="3229">
        <v>1</v>
      </c>
      <c r="AH49" s="3229">
        <v>1</v>
      </c>
      <c r="AI49" s="3229">
        <v>1</v>
      </c>
      <c r="AJ49" s="3229">
        <v>1</v>
      </c>
      <c r="AK49" s="3229">
        <v>1</v>
      </c>
      <c r="AL49" s="3229">
        <v>1</v>
      </c>
      <c r="AM49" s="3229">
        <v>1</v>
      </c>
      <c r="AN49" s="3229">
        <v>1</v>
      </c>
      <c r="AO49" s="3229">
        <v>1</v>
      </c>
      <c r="AP49" s="3229">
        <v>1</v>
      </c>
      <c r="AQ49" s="3229">
        <v>1</v>
      </c>
      <c r="AR49" s="3229">
        <v>1</v>
      </c>
      <c r="AS49" s="3229">
        <v>1</v>
      </c>
      <c r="AT49" s="3229">
        <v>1</v>
      </c>
      <c r="AU49" s="3229">
        <v>1</v>
      </c>
      <c r="AV49" s="3229">
        <v>1</v>
      </c>
      <c r="AW49" s="3229">
        <v>1</v>
      </c>
      <c r="AX49" s="3229">
        <v>1</v>
      </c>
      <c r="AY49" s="3229">
        <v>1</v>
      </c>
      <c r="AZ49" s="3229">
        <v>1</v>
      </c>
      <c r="BA49" s="3229">
        <v>1</v>
      </c>
      <c r="BB49" s="3229">
        <v>1</v>
      </c>
      <c r="BC49" s="3229">
        <v>1</v>
      </c>
      <c r="BD49" s="3229">
        <v>1</v>
      </c>
      <c r="BE49" s="3229">
        <v>1</v>
      </c>
      <c r="BF49" s="3229">
        <v>1</v>
      </c>
      <c r="BG49" s="3229">
        <v>1</v>
      </c>
      <c r="BH49" s="3229">
        <v>1</v>
      </c>
      <c r="BI49" s="3229">
        <v>1</v>
      </c>
      <c r="BJ49" s="3229">
        <v>1</v>
      </c>
      <c r="BK49" s="3229">
        <v>1</v>
      </c>
      <c r="BL49" s="3229">
        <v>1</v>
      </c>
      <c r="BM49" s="3229">
        <v>1</v>
      </c>
      <c r="BN49" s="3229">
        <v>1</v>
      </c>
      <c r="BO49" s="2279"/>
      <c r="BP49" s="2279"/>
      <c r="BQ49" s="2279"/>
      <c r="BR49" s="2279"/>
      <c r="BS49" s="2279"/>
      <c r="BT49" s="2279"/>
      <c r="BU49" s="2279"/>
      <c r="BV49" s="2279"/>
      <c r="BW49" s="2279"/>
      <c r="BX49" s="2279"/>
      <c r="BY49" s="2279"/>
      <c r="BZ49" s="2279"/>
      <c r="CA49" s="926"/>
      <c r="CB49" s="921"/>
      <c r="CC49" s="927"/>
      <c r="CD49" s="2069" t="e" cm="1">
        <f t="array" ca="1" aca="1" ref="CD49">_xlfn.XLOOKUP(BS!CD$11,array_timeline,BS!$AD49:$BN49)</f>
        <v>#NAME?</v>
      </c>
      <c r="CE49" s="2069" t="e" cm="1">
        <f t="array" ca="1" aca="1" ref="CE49">_xlfn.XLOOKUP(BS!CE$11,array_timeline,BS!$AD49:$BN49)</f>
        <v>#NAME?</v>
      </c>
      <c r="CF49" s="925"/>
      <c r="CG49" s="3342" t="e" cm="1">
        <f t="array" ca="1" aca="1" ref="CG49">TODECIMAL(IFBLANK(_BS!CG49,""),fxVal_normal)</f>
        <v>#NAME?</v>
      </c>
      <c r="CH49" s="3342" t="e" cm="1">
        <f t="array" ca="1" aca="1" ref="CH49">TODECIMAL(IFBLANK(_BS!CH49,""),fxVal_normal)</f>
        <v>#NAME?</v>
      </c>
      <c r="CI49" s="200"/>
      <c r="CK49" s="2085" t="str" cm="1">
        <f t="array" ca="1" aca="1" ref="CK49">IFERROR(IF(Y49&lt;&gt;AB49,_xldudf_CX_PUSH(Y49,CX_ENTITY,C49,EOMONTH(val_asOfDate,0)),""),"")</f>
        <v/>
      </c>
      <c r="CL49" s="2085" t="str" cm="1">
        <f t="array" ca="1" aca="1" ref="CL49">IFERROR(IF(Y49&lt;&gt;AB49,_xldudf_CX_PUSH(Y49,CX_ENTITY,C49,EOMONTH(val_asOfDate,1)),""),"")</f>
        <v/>
      </c>
      <c r="CM49" s="2085" t="str" cm="1">
        <f t="array" ca="1" aca="1" ref="CM49">IFERROR(IF(Y49&lt;&gt;AB49,_xldudf_CX_PUSH(Y49,CX_ENTITY,C49,EOMONTH(val_asOfDate,2)),""),"")</f>
        <v/>
      </c>
      <c r="CN49" s="2085" t="str" cm="1">
        <f t="array" ca="1" aca="1" ref="CN49">IFERROR(IF(Y49&lt;&gt;AB49,_xldudf_CX_PUSH(Y49,CX_ENTITY,C49,EOMONTH(val_asOfDate,3)),""),"")</f>
        <v/>
      </c>
      <c r="CO49" s="2086" t="str" cm="1">
        <f t="array" ca="1" aca="1" ref="CO49">IFERROR(IF(CG49*fxVal_normal=_BS!CG49,"",IF(OR($CG49="",$CG49=0,NOT(ISNUMBER($CG49)),ISERROR($CG49),$B49=""),"",IF($I49=1,IFBLANK(_xldudf_CX_PUSH($CG49*10^6,CX_ENTITY,$B49,$CG$11,$CG$14,$CG$19,),""),IF($I49=2,IFBLANK(_xldudf_CX_PUSH($CG49,CX_ENTITY,$B49,$CG$11,$CG$14,$CG$19,),""),IF($I49=3,"",IFBLANK(_xldudf_CX_PUSH($CG49,CX_ENTITY,$B49,$CG$11,$CG$14,$CG$19,),"")))))),"")</f>
        <v/>
      </c>
      <c r="CP49" s="2086" t="str" cm="1">
        <f t="array" ca="1" aca="1" ref="CP49">IFERROR(IF(CH49*fxVal_normal=_BS!CH49,"",IF(OR($CH49="",$CH49=0,NOT(ISNUMBER($CH49)),ISERROR($CH49),$B49=""),"",IF($I49=1,IFBLANK(_xldudf_CX_PUSH($CH49*10^6,CX_ENTITY,$B49,$CH$11,$CH$14,$CH$19,),""),IF($I49=2,IFBLANK(_xldudf_CX_PUSH($CH49,CX_ENTITY,$B49,$CH$11,$CH$14,$CH$19,),""),IF($I49=3,"",IFBLANK(_xldudf_CX_PUSH($CH49,CX_ENTITY,$B49,$CH$11,$CH$14,$CH$19,),"")))))),"")</f>
        <v/>
      </c>
      <c r="CQ49" s="1883" t="str" cm="1">
        <f t="array" ca="1" aca="1" ref="CQ49">IFERROR(IF(AD49*fxVal_normal=_BS!AD49,"",IF(OR(AD49="",NOT(ISNUMBER(AD49)),ISERROR(AD49),$B49=""),"",IF($I49=1,IFBLANK(_xldudf_CX_PUSH(AD49*fxVal_normal,CX_ENTITY,$B49,AD$11,AD$14,AD$19,),""),IF($I49=2,IFBLANK(_xldudf_CX_PUSH(AD49,CX_ENTITY,$B49,AD$11,AD$14,AD$19,),""),IF($I49=3,"",IFBLANK(_xldudf_CX_PUSH(AD49,CX_ENTITY,$B49,AD$11,AD$14,AD$19,),"")))))),"")</f>
        <v/>
      </c>
      <c r="CR49" s="1883" t="str" cm="1">
        <f t="array" ca="1" aca="1" ref="CR49">IFERROR(IF(AE49*fxVal_normal=_BS!AE49,"",IF(OR(AE49="",NOT(ISNUMBER(AE49)),ISERROR(AE49),$B49=""),"",IF($I49=1,IFBLANK(_xldudf_CX_PUSH(AE49*fxVal_normal,CX_ENTITY,$B49,AE$11,AE$14,AE$19,),""),IF($I49=2,IFBLANK(_xldudf_CX_PUSH(AE49,CX_ENTITY,$B49,AE$11,AE$14,AE$19,),""),IF($I49=3,"",IFBLANK(_xldudf_CX_PUSH(AE49,CX_ENTITY,$B49,AE$11,AE$14,AE$19,),"")))))),"")</f>
        <v/>
      </c>
      <c r="CS49" s="1883" t="str" cm="1">
        <f t="array" ca="1" aca="1" ref="CS49">IFERROR(IF(AF49*fxVal_normal=_BS!AF49,"",IF(OR(AF49="",NOT(ISNUMBER(AF49)),ISERROR(AF49),$B49=""),"",IF($I49=1,IFBLANK(_xldudf_CX_PUSH(AF49*fxVal_normal,CX_ENTITY,$B49,AF$11,AF$14,AF$19,),""),IF($I49=2,IFBLANK(_xldudf_CX_PUSH(AF49,CX_ENTITY,$B49,AF$11,AF$14,AF$19,),""),IF($I49=3,"",IFBLANK(_xldudf_CX_PUSH(AF49,CX_ENTITY,$B49,AF$11,AF$14,AF$19,),"")))))),"")</f>
        <v/>
      </c>
      <c r="CT49" s="1883" t="str" cm="1">
        <f t="array" ca="1" aca="1" ref="CT49">IFERROR(IF(AG49*fxVal_normal=_BS!AG49,"",IF(OR(AG49="",NOT(ISNUMBER(AG49)),ISERROR(AG49),$B49=""),"",IF($I49=1,IFBLANK(_xldudf_CX_PUSH(AG49*fxVal_normal,CX_ENTITY,$B49,AG$11,AG$14,AG$19,),""),IF($I49=2,IFBLANK(_xldudf_CX_PUSH(AG49,CX_ENTITY,$B49,AG$11,AG$14,AG$19,),""),IF($I49=3,"",IFBLANK(_xldudf_CX_PUSH(AG49,CX_ENTITY,$B49,AG$11,AG$14,AG$19,),"")))))),"")</f>
        <v/>
      </c>
      <c r="CU49" s="1883" t="str" cm="1">
        <f t="array" ca="1" aca="1" ref="CU49">IFERROR(IF(AH49*fxVal_normal=_BS!AH49,"",IF(OR(AH49="",NOT(ISNUMBER(AH49)),ISERROR(AH49),$B49=""),"",IF($I49=1,IFBLANK(_xldudf_CX_PUSH(AH49*fxVal_normal,CX_ENTITY,$B49,AH$11,AH$14,AH$19,),""),IF($I49=2,IFBLANK(_xldudf_CX_PUSH(AH49,CX_ENTITY,$B49,AH$11,AH$14,AH$19,),""),IF($I49=3,"",IFBLANK(_xldudf_CX_PUSH(AH49,CX_ENTITY,$B49,AH$11,AH$14,AH$19,),"")))))),"")</f>
        <v/>
      </c>
      <c r="CV49" s="1883" t="str" cm="1">
        <f t="array" ca="1" aca="1" ref="CV49">IFERROR(IF(AI49*fxVal_normal=_BS!AI49,"",IF(OR(AI49="",NOT(ISNUMBER(AI49)),ISERROR(AI49),$B49=""),"",IF($I49=1,IFBLANK(_xldudf_CX_PUSH(AI49*fxVal_normal,CX_ENTITY,$B49,AI$11,AI$14,AI$19,),""),IF($I49=2,IFBLANK(_xldudf_CX_PUSH(AI49,CX_ENTITY,$B49,AI$11,AI$14,AI$19,),""),IF($I49=3,"",IFBLANK(_xldudf_CX_PUSH(AI49,CX_ENTITY,$B49,AI$11,AI$14,AI$19,),"")))))),"")</f>
        <v/>
      </c>
      <c r="CW49" s="1883" t="str" cm="1">
        <f t="array" ca="1" aca="1" ref="CW49">IFERROR(IF(AJ49*fxVal_normal=_BS!AJ49,"",IF(OR(AJ49="",NOT(ISNUMBER(AJ49)),ISERROR(AJ49),$B49=""),"",IF($I49=1,IFBLANK(_xldudf_CX_PUSH(AJ49*fxVal_normal,CX_ENTITY,$B49,AJ$11,AJ$14,AJ$19,),""),IF($I49=2,IFBLANK(_xldudf_CX_PUSH(AJ49,CX_ENTITY,$B49,AJ$11,AJ$14,AJ$19,),""),IF($I49=3,"",IFBLANK(_xldudf_CX_PUSH(AJ49,CX_ENTITY,$B49,AJ$11,AJ$14,AJ$19,),"")))))),"")</f>
        <v/>
      </c>
      <c r="CX49" s="1883" t="str" cm="1">
        <f t="array" ca="1" aca="1" ref="CX49">IFERROR(IF(AK49*fxVal_normal=_BS!AK49,"",IF(OR(AK49="",NOT(ISNUMBER(AK49)),ISERROR(AK49),$B49=""),"",IF($I49=1,IFBLANK(_xldudf_CX_PUSH(AK49*fxVal_normal,CX_ENTITY,$B49,AK$11,AK$14,AK$19,),""),IF($I49=2,IFBLANK(_xldudf_CX_PUSH(AK49,CX_ENTITY,$B49,AK$11,AK$14,AK$19,),""),IF($I49=3,"",IFBLANK(_xldudf_CX_PUSH(AK49,CX_ENTITY,$B49,AK$11,AK$14,AK$19,),"")))))),"")</f>
        <v/>
      </c>
      <c r="CY49" s="1883" t="str" cm="1">
        <f t="array" ca="1" aca="1" ref="CY49">IFERROR(IF(AL49*fxVal_normal=_BS!AL49,"",IF(OR(AL49="",NOT(ISNUMBER(AL49)),ISERROR(AL49),$B49=""),"",IF($I49=1,IFBLANK(_xldudf_CX_PUSH(AL49*fxVal_normal,CX_ENTITY,$B49,AL$11,AL$14,AL$19,),""),IF($I49=2,IFBLANK(_xldudf_CX_PUSH(AL49,CX_ENTITY,$B49,AL$11,AL$14,AL$19,),""),IF($I49=3,"",IFBLANK(_xldudf_CX_PUSH(AL49,CX_ENTITY,$B49,AL$11,AL$14,AL$19,),"")))))),"")</f>
        <v/>
      </c>
      <c r="CZ49" s="1883" t="str" cm="1">
        <f t="array" ca="1" aca="1" ref="CZ49">IFERROR(IF(AM49*fxVal_normal=_BS!AM49,"",IF(OR(AM49="",NOT(ISNUMBER(AM49)),ISERROR(AM49),$B49=""),"",IF($I49=1,IFBLANK(_xldudf_CX_PUSH(AM49*fxVal_normal,CX_ENTITY,$B49,AM$11,AM$14,AM$19,),""),IF($I49=2,IFBLANK(_xldudf_CX_PUSH(AM49,CX_ENTITY,$B49,AM$11,AM$14,AM$19,),""),IF($I49=3,"",IFBLANK(_xldudf_CX_PUSH(AM49,CX_ENTITY,$B49,AM$11,AM$14,AM$19,),"")))))),"")</f>
        <v/>
      </c>
      <c r="DA49" s="1883" t="str" cm="1">
        <f t="array" ca="1" aca="1" ref="DA49">IFERROR(IF(AN49*fxVal_normal=_BS!AN49,"",IF(OR(AN49="",NOT(ISNUMBER(AN49)),ISERROR(AN49),$B49=""),"",IF($I49=1,IFBLANK(_xldudf_CX_PUSH(AN49*fxVal_normal,CX_ENTITY,$B49,AN$11,AN$14,AN$19,),""),IF($I49=2,IFBLANK(_xldudf_CX_PUSH(AN49,CX_ENTITY,$B49,AN$11,AN$14,AN$19,),""),IF($I49=3,"",IFBLANK(_xldudf_CX_PUSH(AN49,CX_ENTITY,$B49,AN$11,AN$14,AN$19,),"")))))),"")</f>
        <v/>
      </c>
      <c r="DB49" s="1883" t="str" cm="1">
        <f t="array" ca="1" aca="1" ref="DB49">IFERROR(IF(AO49*fxVal_normal=_BS!AO49,"",IF(OR(AO49="",NOT(ISNUMBER(AO49)),ISERROR(AO49),$B49=""),"",IF($I49=1,IFBLANK(_xldudf_CX_PUSH(AO49*fxVal_normal,CX_ENTITY,$B49,AO$11,AO$14,AO$19,),""),IF($I49=2,IFBLANK(_xldudf_CX_PUSH(AO49,CX_ENTITY,$B49,AO$11,AO$14,AO$19,),""),IF($I49=3,"",IFBLANK(_xldudf_CX_PUSH(AO49,CX_ENTITY,$B49,AO$11,AO$14,AO$19,),"")))))),"")</f>
        <v/>
      </c>
      <c r="DC49" s="1883" t="str" cm="1">
        <f t="array" ca="1" aca="1" ref="DC49">IFERROR(IF(AP49*fxVal_normal=_BS!AP49,"",IF(OR(AP49="",NOT(ISNUMBER(AP49)),ISERROR(AP49),$B49=""),"",IF($I49=1,IFBLANK(_xldudf_CX_PUSH(AP49*fxVal_normal,CX_ENTITY,$B49,AP$11,AP$14,AP$19,),""),IF($I49=2,IFBLANK(_xldudf_CX_PUSH(AP49,CX_ENTITY,$B49,AP$11,AP$14,AP$19,),""),IF($I49=3,"",IFBLANK(_xldudf_CX_PUSH(AP49,CX_ENTITY,$B49,AP$11,AP$14,AP$19,),"")))))),"")</f>
        <v/>
      </c>
      <c r="DD49" s="1883" t="str" cm="1">
        <f t="array" ca="1" aca="1" ref="DD49">IFERROR(IF(AQ49*fxVal_normal=_BS!AQ49,"",IF(OR(AQ49="",NOT(ISNUMBER(AQ49)),ISERROR(AQ49),$B49=""),"",IF($I49=1,IFBLANK(_xldudf_CX_PUSH(AQ49*fxVal_normal,CX_ENTITY,$B49,AQ$11,AQ$14,AQ$19,),""),IF($I49=2,IFBLANK(_xldudf_CX_PUSH(AQ49,CX_ENTITY,$B49,AQ$11,AQ$14,AQ$19,),""),IF($I49=3,"",IFBLANK(_xldudf_CX_PUSH(AQ49,CX_ENTITY,$B49,AQ$11,AQ$14,AQ$19,),"")))))),"")</f>
        <v/>
      </c>
      <c r="DE49" s="1883" t="str" cm="1">
        <f t="array" ca="1" aca="1" ref="DE49">IFERROR(IF(AR49*fxVal_normal=_BS!AR49,"",IF(OR(AR49="",NOT(ISNUMBER(AR49)),ISERROR(AR49),$B49=""),"",IF($I49=1,IFBLANK(_xldudf_CX_PUSH(AR49*fxVal_normal,CX_ENTITY,$B49,AR$11,AR$14,AR$19,),""),IF($I49=2,IFBLANK(_xldudf_CX_PUSH(AR49,CX_ENTITY,$B49,AR$11,AR$14,AR$19,),""),IF($I49=3,"",IFBLANK(_xldudf_CX_PUSH(AR49,CX_ENTITY,$B49,AR$11,AR$14,AR$19,),"")))))),"")</f>
        <v/>
      </c>
      <c r="DF49" s="1883" t="str" cm="1">
        <f t="array" ca="1" aca="1" ref="DF49">IFERROR(IF(AS49*fxVal_normal=_BS!AS49,"",IF(OR(AS49="",NOT(ISNUMBER(AS49)),ISERROR(AS49),$B49=""),"",IF($I49=1,IFBLANK(_xldudf_CX_PUSH(AS49*fxVal_normal,CX_ENTITY,$B49,AS$11,AS$14,AS$19,),""),IF($I49=2,IFBLANK(_xldudf_CX_PUSH(AS49,CX_ENTITY,$B49,AS$11,AS$14,AS$19,),""),IF($I49=3,"",IFBLANK(_xldudf_CX_PUSH(AS49,CX_ENTITY,$B49,AS$11,AS$14,AS$19,),"")))))),"")</f>
        <v/>
      </c>
      <c r="DG49" s="1883" t="str" cm="1">
        <f t="array" ca="1" aca="1" ref="DG49">IFERROR(IF(AT49*fxVal_normal=_BS!AT49,"",IF(OR(AT49="",NOT(ISNUMBER(AT49)),ISERROR(AT49),$B49=""),"",IF($I49=1,IFBLANK(_xldudf_CX_PUSH(AT49*fxVal_normal,CX_ENTITY,$B49,AT$11,AT$14,AT$19,),""),IF($I49=2,IFBLANK(_xldudf_CX_PUSH(AT49,CX_ENTITY,$B49,AT$11,AT$14,AT$19,),""),IF($I49=3,"",IFBLANK(_xldudf_CX_PUSH(AT49,CX_ENTITY,$B49,AT$11,AT$14,AT$19,),"")))))),"")</f>
        <v/>
      </c>
      <c r="DH49" s="1883" t="str" cm="1">
        <f t="array" ca="1" aca="1" ref="DH49">IFERROR(IF(AU49*fxVal_normal=_BS!AU49,"",IF(OR(AU49="",NOT(ISNUMBER(AU49)),ISERROR(AU49),$B49=""),"",IF($I49=1,IFBLANK(_xldudf_CX_PUSH(AU49*fxVal_normal,CX_ENTITY,$B49,AU$11,AU$14,AU$19,),""),IF($I49=2,IFBLANK(_xldudf_CX_PUSH(AU49,CX_ENTITY,$B49,AU$11,AU$14,AU$19,),""),IF($I49=3,"",IFBLANK(_xldudf_CX_PUSH(AU49,CX_ENTITY,$B49,AU$11,AU$14,AU$19,),"")))))),"")</f>
        <v/>
      </c>
      <c r="DI49" s="1883" t="str" cm="1">
        <f t="array" ca="1" aca="1" ref="DI49">IFERROR(IF(AV49*fxVal_normal=_BS!AV49,"",IF(OR(AV49="",NOT(ISNUMBER(AV49)),ISERROR(AV49),$B49=""),"",IF($I49=1,IFBLANK(_xldudf_CX_PUSH(AV49*fxVal_normal,CX_ENTITY,$B49,AV$11,AV$14,AV$19,),""),IF($I49=2,IFBLANK(_xldudf_CX_PUSH(AV49,CX_ENTITY,$B49,AV$11,AV$14,AV$19,),""),IF($I49=3,"",IFBLANK(_xldudf_CX_PUSH(AV49,CX_ENTITY,$B49,AV$11,AV$14,AV$19,),"")))))),"")</f>
        <v/>
      </c>
      <c r="DJ49" s="1883" t="str" cm="1">
        <f t="array" ca="1" aca="1" ref="DJ49">IFERROR(IF(AW49*fxVal_normal=_BS!AW49,"",IF(OR(AW49="",NOT(ISNUMBER(AW49)),ISERROR(AW49),$B49=""),"",IF($I49=1,IFBLANK(_xldudf_CX_PUSH(AW49*fxVal_normal,CX_ENTITY,$B49,AW$11,AW$14,AW$19,),""),IF($I49=2,IFBLANK(_xldudf_CX_PUSH(AW49,CX_ENTITY,$B49,AW$11,AW$14,AW$19,),""),IF($I49=3,"",IFBLANK(_xldudf_CX_PUSH(AW49,CX_ENTITY,$B49,AW$11,AW$14,AW$19,),"")))))),"")</f>
        <v/>
      </c>
      <c r="DK49" s="1883" t="str" cm="1">
        <f t="array" ca="1" aca="1" ref="DK49">IFERROR(IF(AX49*fxVal_normal=_BS!AX49,"",IF(OR(AX49="",NOT(ISNUMBER(AX49)),ISERROR(AX49),$B49=""),"",IF($I49=1,IFBLANK(_xldudf_CX_PUSH(AX49*fxVal_normal,CX_ENTITY,$B49,AX$11,AX$14,AX$19,),""),IF($I49=2,IFBLANK(_xldudf_CX_PUSH(AX49,CX_ENTITY,$B49,AX$11,AX$14,AX$19,),""),IF($I49=3,"",IFBLANK(_xldudf_CX_PUSH(AX49,CX_ENTITY,$B49,AX$11,AX$14,AX$19,),"")))))),"")</f>
        <v/>
      </c>
      <c r="DL49" s="1883" t="str" cm="1">
        <f t="array" ca="1" aca="1" ref="DL49">IFERROR(IF(AY49*fxVal_normal=_BS!AY49,"",IF(OR(AY49="",NOT(ISNUMBER(AY49)),ISERROR(AY49),$B49=""),"",IF($I49=1,IFBLANK(_xldudf_CX_PUSH(AY49*fxVal_normal,CX_ENTITY,$B49,AY$11,AY$14,AY$19,),""),IF($I49=2,IFBLANK(_xldudf_CX_PUSH(AY49,CX_ENTITY,$B49,AY$11,AY$14,AY$19,),""),IF($I49=3,"",IFBLANK(_xldudf_CX_PUSH(AY49,CX_ENTITY,$B49,AY$11,AY$14,AY$19,),"")))))),"")</f>
        <v/>
      </c>
      <c r="DM49" s="1883" t="str" cm="1">
        <f t="array" ca="1" aca="1" ref="DM49">IFERROR(IF(AZ49*fxVal_normal=_BS!AZ49,"",IF(OR(AZ49="",NOT(ISNUMBER(AZ49)),ISERROR(AZ49),$B49=""),"",IF($I49=1,IFBLANK(_xldudf_CX_PUSH(AZ49*fxVal_normal,CX_ENTITY,$B49,AZ$11,AZ$14,AZ$19,),""),IF($I49=2,IFBLANK(_xldudf_CX_PUSH(AZ49,CX_ENTITY,$B49,AZ$11,AZ$14,AZ$19,),""),IF($I49=3,"",IFBLANK(_xldudf_CX_PUSH(AZ49,CX_ENTITY,$B49,AZ$11,AZ$14,AZ$19,),"")))))),"")</f>
        <v/>
      </c>
      <c r="DN49" s="1883" t="str" cm="1">
        <f t="array" ca="1" aca="1" ref="DN49">IFERROR(IF(BA49*fxVal_normal=_BS!BA49,"",IF(OR(BA49="",NOT(ISNUMBER(BA49)),ISERROR(BA49),$B49=""),"",IF($I49=1,IFBLANK(_xldudf_CX_PUSH(BA49*fxVal_normal,CX_ENTITY,$B49,BA$11,BA$14,BA$19,),""),IF($I49=2,IFBLANK(_xldudf_CX_PUSH(BA49,CX_ENTITY,$B49,BA$11,BA$14,BA$19,),""),IF($I49=3,"",IFBLANK(_xldudf_CX_PUSH(BA49,CX_ENTITY,$B49,BA$11,BA$14,BA$19,),"")))))),"")</f>
        <v/>
      </c>
      <c r="DO49" s="1883" t="str" cm="1">
        <f t="array" ca="1" aca="1" ref="DO49">IFERROR(IF(BB49*fxVal_normal=_BS!BB49,"",IF(OR(BB49="",NOT(ISNUMBER(BB49)),ISERROR(BB49),$B49=""),"",IF($I49=1,IFBLANK(_xldudf_CX_PUSH(BB49*fxVal_normal,CX_ENTITY,$B49,BB$11,BB$14,BB$19,),""),IF($I49=2,IFBLANK(_xldudf_CX_PUSH(BB49,CX_ENTITY,$B49,BB$11,BB$14,BB$19,),""),IF($I49=3,"",IFBLANK(_xldudf_CX_PUSH(BB49,CX_ENTITY,$B49,BB$11,BB$14,BB$19,),"")))))),"")</f>
        <v/>
      </c>
      <c r="DP49" s="1883" t="str" cm="1">
        <f t="array" ca="1" aca="1" ref="DP49">IFERROR(IF(BC49*fxVal_normal=_BS!BC49,"",IF(OR(BC49="",NOT(ISNUMBER(BC49)),ISERROR(BC49),$B49=""),"",IF($I49=1,IFBLANK(_xldudf_CX_PUSH(BC49*fxVal_normal,CX_ENTITY,$B49,BC$11,BC$14,BC$19,),""),IF($I49=2,IFBLANK(_xldudf_CX_PUSH(BC49,CX_ENTITY,$B49,BC$11,BC$14,BC$19,),""),IF($I49=3,"",IFBLANK(_xldudf_CX_PUSH(BC49,CX_ENTITY,$B49,BC$11,BC$14,BC$19,),"")))))),"")</f>
        <v/>
      </c>
      <c r="DQ49" s="1883" t="str" cm="1">
        <f t="array" ca="1" aca="1" ref="DQ49">IFERROR(IF(BD49*fxVal_normal=_BS!BD49,"",IF(OR(BD49="",NOT(ISNUMBER(BD49)),ISERROR(BD49),$B49=""),"",IF($I49=1,IFBLANK(_xldudf_CX_PUSH(BD49*fxVal_normal,CX_ENTITY,$B49,BD$11,BD$14,BD$19,),""),IF($I49=2,IFBLANK(_xldudf_CX_PUSH(BD49,CX_ENTITY,$B49,BD$11,BD$14,BD$19,),""),IF($I49=3,"",IFBLANK(_xldudf_CX_PUSH(BD49,CX_ENTITY,$B49,BD$11,BD$14,BD$19,),"")))))),"")</f>
        <v/>
      </c>
      <c r="DR49" s="1883" t="str" cm="1">
        <f t="array" ca="1" aca="1" ref="DR49">IFERROR(IF(BE49*fxVal_normal=_BS!BE49,"",IF(OR(BE49="",NOT(ISNUMBER(BE49)),ISERROR(BE49),$B49=""),"",IF($I49=1,IFBLANK(_xldudf_CX_PUSH(BE49*fxVal_normal,CX_ENTITY,$B49,BE$11,BE$14,BE$19,),""),IF($I49=2,IFBLANK(_xldudf_CX_PUSH(BE49,CX_ENTITY,$B49,BE$11,BE$14,BE$19,),""),IF($I49=3,"",IFBLANK(_xldudf_CX_PUSH(BE49,CX_ENTITY,$B49,BE$11,BE$14,BE$19,),"")))))),"")</f>
        <v/>
      </c>
      <c r="DS49" s="1883" t="str" cm="1">
        <f t="array" ca="1" aca="1" ref="DS49">IFERROR(IF(BF49*fxVal_normal=_BS!BF49,"",IF(OR(BF49="",NOT(ISNUMBER(BF49)),ISERROR(BF49),$B49=""),"",IF($I49=1,IFBLANK(_xldudf_CX_PUSH(BF49*fxVal_normal,CX_ENTITY,$B49,BF$11,BF$14,BF$19,),""),IF($I49=2,IFBLANK(_xldudf_CX_PUSH(BF49,CX_ENTITY,$B49,BF$11,BF$14,BF$19,),""),IF($I49=3,"",IFBLANK(_xldudf_CX_PUSH(BF49,CX_ENTITY,$B49,BF$11,BF$14,BF$19,),"")))))),"")</f>
        <v/>
      </c>
      <c r="DT49" s="1883" t="str" cm="1">
        <f t="array" ca="1" aca="1" ref="DT49">IFERROR(IF(BG49*fxVal_normal=_BS!BG49,"",IF(OR(BG49="",NOT(ISNUMBER(BG49)),ISERROR(BG49),$B49=""),"",IF($I49=1,IFBLANK(_xldudf_CX_PUSH(BG49*fxVal_normal,CX_ENTITY,$B49,BG$11,BG$14,BG$19,),""),IF($I49=2,IFBLANK(_xldudf_CX_PUSH(BG49,CX_ENTITY,$B49,BG$11,BG$14,BG$19,),""),IF($I49=3,"",IFBLANK(_xldudf_CX_PUSH(BG49,CX_ENTITY,$B49,BG$11,BG$14,BG$19,),"")))))),"")</f>
        <v/>
      </c>
      <c r="DU49" s="1883" t="str" cm="1">
        <f t="array" ca="1" aca="1" ref="DU49">IFERROR(IF(BH49*fxVal_normal=_BS!BH49,"",IF(OR(BH49="",NOT(ISNUMBER(BH49)),ISERROR(BH49),$B49=""),"",IF($I49=1,IFBLANK(_xldudf_CX_PUSH(BH49*fxVal_normal,CX_ENTITY,$B49,BH$11,BH$14,BH$19,),""),IF($I49=2,IFBLANK(_xldudf_CX_PUSH(BH49,CX_ENTITY,$B49,BH$11,BH$14,BH$19,),""),IF($I49=3,"",IFBLANK(_xldudf_CX_PUSH(BH49,CX_ENTITY,$B49,BH$11,BH$14,BH$19,),"")))))),"")</f>
        <v/>
      </c>
      <c r="DV49" s="1883" t="str" cm="1">
        <f t="array" ca="1" aca="1" ref="DV49">IFERROR(IF(BI49*fxVal_normal=_BS!BI49,"",IF(OR(BI49="",NOT(ISNUMBER(BI49)),ISERROR(BI49),$B49=""),"",IF($I49=1,IFBLANK(_xldudf_CX_PUSH(BI49*fxVal_normal,CX_ENTITY,$B49,BI$11,BI$14,BI$19,),""),IF($I49=2,IFBLANK(_xldudf_CX_PUSH(BI49,CX_ENTITY,$B49,BI$11,BI$14,BI$19,),""),IF($I49=3,"",IFBLANK(_xldudf_CX_PUSH(BI49,CX_ENTITY,$B49,BI$11,BI$14,BI$19,),"")))))),"")</f>
        <v/>
      </c>
      <c r="DW49" s="1883" t="str" cm="1">
        <f t="array" ca="1" aca="1" ref="DW49">IFERROR(IF(BJ49*fxVal_normal=_BS!BJ49,"",IF(OR(BJ49="",NOT(ISNUMBER(BJ49)),ISERROR(BJ49),$B49=""),"",IF($I49=1,IFBLANK(_xldudf_CX_PUSH(BJ49*fxVal_normal,CX_ENTITY,$B49,BJ$11,BJ$14,BJ$19,),""),IF($I49=2,IFBLANK(_xldudf_CX_PUSH(BJ49,CX_ENTITY,$B49,BJ$11,BJ$14,BJ$19,),""),IF($I49=3,"",IFBLANK(_xldudf_CX_PUSH(BJ49,CX_ENTITY,$B49,BJ$11,BJ$14,BJ$19,),"")))))),"")</f>
        <v/>
      </c>
      <c r="DX49" s="1883" t="str" cm="1">
        <f t="array" ca="1" aca="1" ref="DX49">IFERROR(IF(BK49*fxVal_normal=_BS!BK49,"",IF(OR(BK49="",NOT(ISNUMBER(BK49)),ISERROR(BK49),$B49=""),"",IF($I49=1,IFBLANK(_xldudf_CX_PUSH(BK49*fxVal_normal,CX_ENTITY,$B49,BK$11,BK$14,BK$19,),""),IF($I49=2,IFBLANK(_xldudf_CX_PUSH(BK49,CX_ENTITY,$B49,BK$11,BK$14,BK$19,),""),IF($I49=3,"",IFBLANK(_xldudf_CX_PUSH(BK49,CX_ENTITY,$B49,BK$11,BK$14,BK$19,),"")))))),"")</f>
        <v/>
      </c>
      <c r="DY49" s="1883" t="str" cm="1">
        <f t="array" ca="1" aca="1" ref="DY49">IFERROR(IF(BL49*fxVal_normal=_BS!BL49,"",IF(OR(BL49="",NOT(ISNUMBER(BL49)),ISERROR(BL49),$B49=""),"",IF($I49=1,IFBLANK(_xldudf_CX_PUSH(BL49*fxVal_normal,CX_ENTITY,$B49,BL$11,BL$14,BL$19,),""),IF($I49=2,IFBLANK(_xldudf_CX_PUSH(BL49,CX_ENTITY,$B49,BL$11,BL$14,BL$19,),""),IF($I49=3,"",IFBLANK(_xldudf_CX_PUSH(BL49,CX_ENTITY,$B49,BL$11,BL$14,BL$19,),"")))))),"")</f>
        <v/>
      </c>
      <c r="DZ49" s="1883" t="str" cm="1">
        <f t="array" ca="1" aca="1" ref="DZ49">IFERROR(IF(BM49*fxVal_normal=_BS!BM49,"",IF(OR(BM49="",NOT(ISNUMBER(BM49)),ISERROR(BM49),$B49=""),"",IF($I49=1,IFBLANK(_xldudf_CX_PUSH(BM49*fxVal_normal,CX_ENTITY,$B49,BM$11,BM$14,BM$19,),""),IF($I49=2,IFBLANK(_xldudf_CX_PUSH(BM49,CX_ENTITY,$B49,BM$11,BM$14,BM$19,),""),IF($I49=3,"",IFBLANK(_xldudf_CX_PUSH(BM49,CX_ENTITY,$B49,BM$11,BM$14,BM$19,),"")))))),"")</f>
        <v/>
      </c>
      <c r="EA49" s="1883" t="str" cm="1">
        <f t="array" ca="1" aca="1" ref="EA49">IFERROR(IF(BN49*fxVal_normal=_BS!BN49,"",IF(OR(BN49="",NOT(ISNUMBER(BN49)),ISERROR(BN49),$B49=""),"",IF($I49=1,IFBLANK(_xldudf_CX_PUSH(BN49*fxVal_normal,CX_ENTITY,$B49,BN$11,BN$14,BN$19,),""),IF($I49=2,IFBLANK(_xldudf_CX_PUSH(BN49,CX_ENTITY,$B49,BN$11,BN$14,BN$19,),""),IF($I49=3,"",IFBLANK(_xldudf_CX_PUSH(BN49,CX_ENTITY,$B49,BN$11,BN$14,BN$19,),"")))))),"")</f>
        <v/>
      </c>
    </row>
    <row r="50" spans="1:131" ht="21" customHeight="1">
      <c r="A50" s="1626" t="s">
        <v>229</v>
      </c>
      <c r="B50" s="811" t="str" cm="1">
        <f t="array" ref="B50">IFBLANK(_BS!F50,"")</f>
        <v>Net Assets / Total Equity</v>
      </c>
      <c r="C50" s="3346" t="str" cm="1">
        <f t="array" ref="C50">IFBLANK(_BS!C50,"")</f>
        <v>Net Assets / Total Equity (Company View)</v>
      </c>
      <c r="D50" s="1549"/>
      <c r="E50" s="1902" t="e" cm="1">
        <f t="array" ca="1" aca="1" ref="E5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50:$CH50,Z50)</f>
        <v>#NAME?</v>
      </c>
      <c r="F50" s="1897"/>
      <c r="G50" s="1897"/>
      <c r="H50" s="3280">
        <v>2</v>
      </c>
      <c r="I50" s="3280">
        <v>1</v>
      </c>
      <c r="J50" s="401"/>
      <c r="L50" s="921"/>
      <c r="M50" s="921"/>
      <c r="N50" s="158"/>
      <c r="O50" s="101"/>
      <c r="P50" s="52"/>
      <c r="Q50" s="101"/>
      <c r="R50" s="101"/>
      <c r="S50" s="101"/>
      <c r="T50" s="101"/>
      <c r="U50" s="39"/>
      <c r="V50" s="921"/>
      <c r="W50" s="962" t="str">
        <f t="shared" si="1"/>
        <v>Actual</v>
      </c>
      <c r="X50" s="1295">
        <f>_BS!X50</f>
        <v>0</v>
      </c>
      <c r="Y50" s="3347" t="str">
        <f>_BS!Y50</f>
        <v>Net Assets / Total Equity</v>
      </c>
      <c r="Z50" s="538" cm="1">
        <f t="array" ref="Z50">_xlfn.SWITCH(TRUE,_BS!$L50=TRUE,1,_BS!$L50=FALSE,-1,_BS!$L50=-1,0,"n/a")</f>
        <v>0</v>
      </c>
      <c r="AA50" s="1166"/>
      <c r="AB50" s="3348" t="str">
        <f>_BS!AB50</f>
        <v>Net Assets / Total Equity</v>
      </c>
      <c r="AC50" s="2280" t="e" vm="5" cm="1">
        <f t="array" ca="1" aca="1" ref="AC50">_xlfn.LET(_xlpm._termname,$AB50,_xlpm._iconname,"find",_xlpm._icon,fx_getIcon(_xlpm._iconname),_xlpm._location,_xlfn.XLOOKUP(LOWER(_xlpm._termname),LOWER(tbl_acctDef[Term]),tbl_acctDef[Term]),_xlpm._hyperlink,HYPERLINK("#"&amp;CELL("address",_xlpm._location),_xlpm._icon),IFERROR(_xlpm._hyperlink,""))</f>
        <v>#VALUE!</v>
      </c>
      <c r="AD50" s="1167">
        <f>SUBTOTAL(9,AD20:AD49)</f>
        <v>22</v>
      </c>
      <c r="AE50" s="919">
        <f t="shared" si="11" ref="AE50:BN50">SUBTOTAL(9,AE20:AE49)</f>
        <v>22</v>
      </c>
      <c r="AF50" s="919">
        <f t="shared" si="11"/>
        <v>22</v>
      </c>
      <c r="AG50" s="919">
        <f t="shared" si="11"/>
        <v>22</v>
      </c>
      <c r="AH50" s="919">
        <f t="shared" si="11"/>
        <v>22</v>
      </c>
      <c r="AI50" s="919">
        <f t="shared" si="11"/>
        <v>22</v>
      </c>
      <c r="AJ50" s="919">
        <f t="shared" si="11"/>
        <v>22</v>
      </c>
      <c r="AK50" s="919">
        <f t="shared" si="11"/>
        <v>22</v>
      </c>
      <c r="AL50" s="919">
        <f t="shared" si="11"/>
        <v>22</v>
      </c>
      <c r="AM50" s="919">
        <f t="shared" si="11"/>
        <v>22</v>
      </c>
      <c r="AN50" s="919">
        <f t="shared" si="11"/>
        <v>22</v>
      </c>
      <c r="AO50" s="919">
        <f t="shared" si="11"/>
        <v>22</v>
      </c>
      <c r="AP50" s="919">
        <f t="shared" si="11"/>
        <v>22</v>
      </c>
      <c r="AQ50" s="919">
        <f t="shared" si="11"/>
        <v>22</v>
      </c>
      <c r="AR50" s="919">
        <f t="shared" si="11"/>
        <v>22</v>
      </c>
      <c r="AS50" s="919">
        <f t="shared" si="11"/>
        <v>22</v>
      </c>
      <c r="AT50" s="919">
        <f t="shared" si="11"/>
        <v>22</v>
      </c>
      <c r="AU50" s="919">
        <f t="shared" si="11"/>
        <v>22</v>
      </c>
      <c r="AV50" s="919">
        <f t="shared" si="11"/>
        <v>22</v>
      </c>
      <c r="AW50" s="919">
        <f t="shared" si="11"/>
        <v>22</v>
      </c>
      <c r="AX50" s="919">
        <f t="shared" si="11"/>
        <v>22</v>
      </c>
      <c r="AY50" s="919">
        <f t="shared" si="11"/>
        <v>22</v>
      </c>
      <c r="AZ50" s="919">
        <f t="shared" si="11"/>
        <v>22</v>
      </c>
      <c r="BA50" s="919">
        <f t="shared" si="11"/>
        <v>22</v>
      </c>
      <c r="BB50" s="919">
        <f t="shared" si="11"/>
        <v>22</v>
      </c>
      <c r="BC50" s="919">
        <f t="shared" si="11"/>
        <v>22</v>
      </c>
      <c r="BD50" s="919">
        <f t="shared" si="11"/>
        <v>22</v>
      </c>
      <c r="BE50" s="919">
        <f t="shared" si="11"/>
        <v>22</v>
      </c>
      <c r="BF50" s="919">
        <f t="shared" si="11"/>
        <v>22</v>
      </c>
      <c r="BG50" s="919">
        <f t="shared" si="11"/>
        <v>22</v>
      </c>
      <c r="BH50" s="919">
        <f t="shared" si="11"/>
        <v>22</v>
      </c>
      <c r="BI50" s="919">
        <f t="shared" si="11"/>
        <v>22</v>
      </c>
      <c r="BJ50" s="919">
        <f t="shared" si="11"/>
        <v>22</v>
      </c>
      <c r="BK50" s="919">
        <f t="shared" si="11"/>
        <v>22</v>
      </c>
      <c r="BL50" s="919">
        <f t="shared" si="11"/>
        <v>22</v>
      </c>
      <c r="BM50" s="919">
        <f t="shared" si="11"/>
        <v>22</v>
      </c>
      <c r="BN50" s="919">
        <f t="shared" si="11"/>
        <v>22</v>
      </c>
      <c r="BO50" s="2117"/>
      <c r="BP50" s="2117"/>
      <c r="BQ50" s="2117"/>
      <c r="BR50" s="2117"/>
      <c r="BS50" s="2117"/>
      <c r="BT50" s="2117"/>
      <c r="BU50" s="2117"/>
      <c r="BV50" s="2117"/>
      <c r="BW50" s="2117"/>
      <c r="BX50" s="2117"/>
      <c r="BY50" s="2117"/>
      <c r="BZ50" s="2117"/>
      <c r="CA50" s="926"/>
      <c r="CB50" s="921"/>
      <c r="CC50" s="927"/>
      <c r="CD50" s="919" t="e" cm="1">
        <f t="array" ca="1" aca="1" ref="CD50">_xlfn.XLOOKUP(BS!CD$11,array_timeline,BS!$AD50:$BN50)</f>
        <v>#NAME?</v>
      </c>
      <c r="CE50" s="919" t="e" cm="1">
        <f t="array" ca="1" aca="1" ref="CE50">_xlfn.XLOOKUP(BS!CE$11,array_timeline,BS!$AD50:$BN50)</f>
        <v>#NAME?</v>
      </c>
      <c r="CF50" s="925"/>
      <c r="CG50" s="919" t="e">
        <f ca="1">SUBTOTAL(9,CG20:CG49)</f>
        <v>#NAME?</v>
      </c>
      <c r="CH50" s="919" t="e">
        <f ca="1">SUBTOTAL(9,CH20:CH49)</f>
        <v>#NAME?</v>
      </c>
      <c r="CI50" s="924"/>
      <c r="CK50" s="2085" t="str" cm="1">
        <f t="array" ref="CK50">IFERROR(IF(Y50&lt;&gt;AB50,_xldudf_CX_PUSH(Y50,CX_ENTITY,C50,EOMONTH(val_asOfDate,0)),""),"")</f>
        <v/>
      </c>
      <c r="CL50" s="2085" t="str" cm="1">
        <f t="array" ref="CL50">IFERROR(IF(Y50&lt;&gt;AB50,_xldudf_CX_PUSH(Y50,CX_ENTITY,C50,EOMONTH(val_asOfDate,1)),""),"")</f>
        <v/>
      </c>
      <c r="CM50" s="2085" t="str" cm="1">
        <f t="array" ref="CM50">IFERROR(IF(Y50&lt;&gt;AB50,_xldudf_CX_PUSH(Y50,CX_ENTITY,C50,EOMONTH(val_asOfDate,2)),""),"")</f>
        <v/>
      </c>
      <c r="CN50" s="2085" t="str" cm="1">
        <f t="array" ref="CN50">IFERROR(IF(Y50&lt;&gt;AB50,_xldudf_CX_PUSH(Y50,CX_ENTITY,C50,EOMONTH(val_asOfDate,3)),""),"")</f>
        <v/>
      </c>
      <c r="CO50" s="2086" t="str" cm="1">
        <f t="array" ca="1" aca="1" ref="CO50">IFERROR(IF(CG50*fxVal_normal=_BS!CG50,"",IF(OR($CG50="",$CG50=0,NOT(ISNUMBER($CG50)),ISERROR($CG50),$B50=""),"",IF($I50=1,IFBLANK(_xldudf_CX_PUSH($CG50*10^6,CX_ENTITY,$B50,$CG$11,$CG$14,$CG$19,),""),IF($I50=2,IFBLANK(_xldudf_CX_PUSH($CG50,CX_ENTITY,$B50,$CG$11,$CG$14,$CG$19,),""),IF($I50=3,"",IFBLANK(_xldudf_CX_PUSH($CG50,CX_ENTITY,$B50,$CG$11,$CG$14,$CG$19,),"")))))),"")</f>
        <v/>
      </c>
      <c r="CP50" s="2086" t="str" cm="1">
        <f t="array" ca="1" aca="1" ref="CP50">IFERROR(IF(CH50*fxVal_normal=_BS!CH50,"",IF(OR($CH50="",$CH50=0,NOT(ISNUMBER($CH50)),ISERROR($CH50),$B50=""),"",IF($I50=1,IFBLANK(_xldudf_CX_PUSH($CH50*10^6,CX_ENTITY,$B50,$CH$11,$CH$14,$CH$19,),""),IF($I50=2,IFBLANK(_xldudf_CX_PUSH($CH50,CX_ENTITY,$B50,$CH$11,$CH$14,$CH$19,),""),IF($I50=3,"",IFBLANK(_xldudf_CX_PUSH($CH50,CX_ENTITY,$B50,$CH$11,$CH$14,$CH$19,),"")))))),"")</f>
        <v/>
      </c>
      <c r="CQ50" s="1883" t="str" cm="1">
        <f t="array" ca="1" aca="1" ref="CQ50">IFERROR(IF(AD50*fxVal_normal=_BS!AD50,"",IF(OR(AD50="",NOT(ISNUMBER(AD50)),ISERROR(AD50),$B50=""),"",IF($I50=1,IFBLANK(_xldudf_CX_PUSH(AD50*fxVal_normal,CX_ENTITY,$B50,AD$11,AD$14,AD$19,),""),IF($I50=2,IFBLANK(_xldudf_CX_PUSH(AD50,CX_ENTITY,$B50,AD$11,AD$14,AD$19,),""),IF($I50=3,"",IFBLANK(_xldudf_CX_PUSH(AD50,CX_ENTITY,$B50,AD$11,AD$14,AD$19,),"")))))),"")</f>
        <v/>
      </c>
      <c r="CR50" s="1883" t="str" cm="1">
        <f t="array" ca="1" aca="1" ref="CR50">IFERROR(IF(AE50*fxVal_normal=_BS!AE50,"",IF(OR(AE50="",NOT(ISNUMBER(AE50)),ISERROR(AE50),$B50=""),"",IF($I50=1,IFBLANK(_xldudf_CX_PUSH(AE50*fxVal_normal,CX_ENTITY,$B50,AE$11,AE$14,AE$19,),""),IF($I50=2,IFBLANK(_xldudf_CX_PUSH(AE50,CX_ENTITY,$B50,AE$11,AE$14,AE$19,),""),IF($I50=3,"",IFBLANK(_xldudf_CX_PUSH(AE50,CX_ENTITY,$B50,AE$11,AE$14,AE$19,),"")))))),"")</f>
        <v/>
      </c>
      <c r="CS50" s="1883" t="str" cm="1">
        <f t="array" ca="1" aca="1" ref="CS50">IFERROR(IF(AF50*fxVal_normal=_BS!AF50,"",IF(OR(AF50="",NOT(ISNUMBER(AF50)),ISERROR(AF50),$B50=""),"",IF($I50=1,IFBLANK(_xldudf_CX_PUSH(AF50*fxVal_normal,CX_ENTITY,$B50,AF$11,AF$14,AF$19,),""),IF($I50=2,IFBLANK(_xldudf_CX_PUSH(AF50,CX_ENTITY,$B50,AF$11,AF$14,AF$19,),""),IF($I50=3,"",IFBLANK(_xldudf_CX_PUSH(AF50,CX_ENTITY,$B50,AF$11,AF$14,AF$19,),"")))))),"")</f>
        <v/>
      </c>
      <c r="CT50" s="1883" t="str" cm="1">
        <f t="array" ca="1" aca="1" ref="CT50">IFERROR(IF(AG50*fxVal_normal=_BS!AG50,"",IF(OR(AG50="",NOT(ISNUMBER(AG50)),ISERROR(AG50),$B50=""),"",IF($I50=1,IFBLANK(_xldudf_CX_PUSH(AG50*fxVal_normal,CX_ENTITY,$B50,AG$11,AG$14,AG$19,),""),IF($I50=2,IFBLANK(_xldudf_CX_PUSH(AG50,CX_ENTITY,$B50,AG$11,AG$14,AG$19,),""),IF($I50=3,"",IFBLANK(_xldudf_CX_PUSH(AG50,CX_ENTITY,$B50,AG$11,AG$14,AG$19,),"")))))),"")</f>
        <v/>
      </c>
      <c r="CU50" s="1883" t="str" cm="1">
        <f t="array" ca="1" aca="1" ref="CU50">IFERROR(IF(AH50*fxVal_normal=_BS!AH50,"",IF(OR(AH50="",NOT(ISNUMBER(AH50)),ISERROR(AH50),$B50=""),"",IF($I50=1,IFBLANK(_xldudf_CX_PUSH(AH50*fxVal_normal,CX_ENTITY,$B50,AH$11,AH$14,AH$19,),""),IF($I50=2,IFBLANK(_xldudf_CX_PUSH(AH50,CX_ENTITY,$B50,AH$11,AH$14,AH$19,),""),IF($I50=3,"",IFBLANK(_xldudf_CX_PUSH(AH50,CX_ENTITY,$B50,AH$11,AH$14,AH$19,),"")))))),"")</f>
        <v/>
      </c>
      <c r="CV50" s="1883" t="str" cm="1">
        <f t="array" ca="1" aca="1" ref="CV50">IFERROR(IF(AI50*fxVal_normal=_BS!AI50,"",IF(OR(AI50="",NOT(ISNUMBER(AI50)),ISERROR(AI50),$B50=""),"",IF($I50=1,IFBLANK(_xldudf_CX_PUSH(AI50*fxVal_normal,CX_ENTITY,$B50,AI$11,AI$14,AI$19,),""),IF($I50=2,IFBLANK(_xldudf_CX_PUSH(AI50,CX_ENTITY,$B50,AI$11,AI$14,AI$19,),""),IF($I50=3,"",IFBLANK(_xldudf_CX_PUSH(AI50,CX_ENTITY,$B50,AI$11,AI$14,AI$19,),"")))))),"")</f>
        <v/>
      </c>
      <c r="CW50" s="1883" t="str" cm="1">
        <f t="array" ca="1" aca="1" ref="CW50">IFERROR(IF(AJ50*fxVal_normal=_BS!AJ50,"",IF(OR(AJ50="",NOT(ISNUMBER(AJ50)),ISERROR(AJ50),$B50=""),"",IF($I50=1,IFBLANK(_xldudf_CX_PUSH(AJ50*fxVal_normal,CX_ENTITY,$B50,AJ$11,AJ$14,AJ$19,),""),IF($I50=2,IFBLANK(_xldudf_CX_PUSH(AJ50,CX_ENTITY,$B50,AJ$11,AJ$14,AJ$19,),""),IF($I50=3,"",IFBLANK(_xldudf_CX_PUSH(AJ50,CX_ENTITY,$B50,AJ$11,AJ$14,AJ$19,),"")))))),"")</f>
        <v/>
      </c>
      <c r="CX50" s="1883" t="str" cm="1">
        <f t="array" ca="1" aca="1" ref="CX50">IFERROR(IF(AK50*fxVal_normal=_BS!AK50,"",IF(OR(AK50="",NOT(ISNUMBER(AK50)),ISERROR(AK50),$B50=""),"",IF($I50=1,IFBLANK(_xldudf_CX_PUSH(AK50*fxVal_normal,CX_ENTITY,$B50,AK$11,AK$14,AK$19,),""),IF($I50=2,IFBLANK(_xldudf_CX_PUSH(AK50,CX_ENTITY,$B50,AK$11,AK$14,AK$19,),""),IF($I50=3,"",IFBLANK(_xldudf_CX_PUSH(AK50,CX_ENTITY,$B50,AK$11,AK$14,AK$19,),"")))))),"")</f>
        <v/>
      </c>
      <c r="CY50" s="1883" t="str" cm="1">
        <f t="array" ca="1" aca="1" ref="CY50">IFERROR(IF(AL50*fxVal_normal=_BS!AL50,"",IF(OR(AL50="",NOT(ISNUMBER(AL50)),ISERROR(AL50),$B50=""),"",IF($I50=1,IFBLANK(_xldudf_CX_PUSH(AL50*fxVal_normal,CX_ENTITY,$B50,AL$11,AL$14,AL$19,),""),IF($I50=2,IFBLANK(_xldudf_CX_PUSH(AL50,CX_ENTITY,$B50,AL$11,AL$14,AL$19,),""),IF($I50=3,"",IFBLANK(_xldudf_CX_PUSH(AL50,CX_ENTITY,$B50,AL$11,AL$14,AL$19,),"")))))),"")</f>
        <v/>
      </c>
      <c r="CZ50" s="1883" t="str" cm="1">
        <f t="array" ca="1" aca="1" ref="CZ50">IFERROR(IF(AM50*fxVal_normal=_BS!AM50,"",IF(OR(AM50="",NOT(ISNUMBER(AM50)),ISERROR(AM50),$B50=""),"",IF($I50=1,IFBLANK(_xldudf_CX_PUSH(AM50*fxVal_normal,CX_ENTITY,$B50,AM$11,AM$14,AM$19,),""),IF($I50=2,IFBLANK(_xldudf_CX_PUSH(AM50,CX_ENTITY,$B50,AM$11,AM$14,AM$19,),""),IF($I50=3,"",IFBLANK(_xldudf_CX_PUSH(AM50,CX_ENTITY,$B50,AM$11,AM$14,AM$19,),"")))))),"")</f>
        <v/>
      </c>
      <c r="DA50" s="1883" t="str" cm="1">
        <f t="array" ca="1" aca="1" ref="DA50">IFERROR(IF(AN50*fxVal_normal=_BS!AN50,"",IF(OR(AN50="",NOT(ISNUMBER(AN50)),ISERROR(AN50),$B50=""),"",IF($I50=1,IFBLANK(_xldudf_CX_PUSH(AN50*fxVal_normal,CX_ENTITY,$B50,AN$11,AN$14,AN$19,),""),IF($I50=2,IFBLANK(_xldudf_CX_PUSH(AN50,CX_ENTITY,$B50,AN$11,AN$14,AN$19,),""),IF($I50=3,"",IFBLANK(_xldudf_CX_PUSH(AN50,CX_ENTITY,$B50,AN$11,AN$14,AN$19,),"")))))),"")</f>
        <v/>
      </c>
      <c r="DB50" s="1883" t="str" cm="1">
        <f t="array" ca="1" aca="1" ref="DB50">IFERROR(IF(AO50*fxVal_normal=_BS!AO50,"",IF(OR(AO50="",NOT(ISNUMBER(AO50)),ISERROR(AO50),$B50=""),"",IF($I50=1,IFBLANK(_xldudf_CX_PUSH(AO50*fxVal_normal,CX_ENTITY,$B50,AO$11,AO$14,AO$19,),""),IF($I50=2,IFBLANK(_xldudf_CX_PUSH(AO50,CX_ENTITY,$B50,AO$11,AO$14,AO$19,),""),IF($I50=3,"",IFBLANK(_xldudf_CX_PUSH(AO50,CX_ENTITY,$B50,AO$11,AO$14,AO$19,),"")))))),"")</f>
        <v/>
      </c>
      <c r="DC50" s="1883" t="str" cm="1">
        <f t="array" ca="1" aca="1" ref="DC50">IFERROR(IF(AP50*fxVal_normal=_BS!AP50,"",IF(OR(AP50="",NOT(ISNUMBER(AP50)),ISERROR(AP50),$B50=""),"",IF($I50=1,IFBLANK(_xldudf_CX_PUSH(AP50*fxVal_normal,CX_ENTITY,$B50,AP$11,AP$14,AP$19,),""),IF($I50=2,IFBLANK(_xldudf_CX_PUSH(AP50,CX_ENTITY,$B50,AP$11,AP$14,AP$19,),""),IF($I50=3,"",IFBLANK(_xldudf_CX_PUSH(AP50,CX_ENTITY,$B50,AP$11,AP$14,AP$19,),"")))))),"")</f>
        <v/>
      </c>
      <c r="DD50" s="1883" t="str" cm="1">
        <f t="array" ca="1" aca="1" ref="DD50">IFERROR(IF(AQ50*fxVal_normal=_BS!AQ50,"",IF(OR(AQ50="",NOT(ISNUMBER(AQ50)),ISERROR(AQ50),$B50=""),"",IF($I50=1,IFBLANK(_xldudf_CX_PUSH(AQ50*fxVal_normal,CX_ENTITY,$B50,AQ$11,AQ$14,AQ$19,),""),IF($I50=2,IFBLANK(_xldudf_CX_PUSH(AQ50,CX_ENTITY,$B50,AQ$11,AQ$14,AQ$19,),""),IF($I50=3,"",IFBLANK(_xldudf_CX_PUSH(AQ50,CX_ENTITY,$B50,AQ$11,AQ$14,AQ$19,),"")))))),"")</f>
        <v/>
      </c>
      <c r="DE50" s="1883" t="str" cm="1">
        <f t="array" ca="1" aca="1" ref="DE50">IFERROR(IF(AR50*fxVal_normal=_BS!AR50,"",IF(OR(AR50="",NOT(ISNUMBER(AR50)),ISERROR(AR50),$B50=""),"",IF($I50=1,IFBLANK(_xldudf_CX_PUSH(AR50*fxVal_normal,CX_ENTITY,$B50,AR$11,AR$14,AR$19,),""),IF($I50=2,IFBLANK(_xldudf_CX_PUSH(AR50,CX_ENTITY,$B50,AR$11,AR$14,AR$19,),""),IF($I50=3,"",IFBLANK(_xldudf_CX_PUSH(AR50,CX_ENTITY,$B50,AR$11,AR$14,AR$19,),"")))))),"")</f>
        <v/>
      </c>
      <c r="DF50" s="1883" t="str" cm="1">
        <f t="array" ca="1" aca="1" ref="DF50">IFERROR(IF(AS50*fxVal_normal=_BS!AS50,"",IF(OR(AS50="",NOT(ISNUMBER(AS50)),ISERROR(AS50),$B50=""),"",IF($I50=1,IFBLANK(_xldudf_CX_PUSH(AS50*fxVal_normal,CX_ENTITY,$B50,AS$11,AS$14,AS$19,),""),IF($I50=2,IFBLANK(_xldudf_CX_PUSH(AS50,CX_ENTITY,$B50,AS$11,AS$14,AS$19,),""),IF($I50=3,"",IFBLANK(_xldudf_CX_PUSH(AS50,CX_ENTITY,$B50,AS$11,AS$14,AS$19,),"")))))),"")</f>
        <v/>
      </c>
      <c r="DG50" s="1883" t="str" cm="1">
        <f t="array" ca="1" aca="1" ref="DG50">IFERROR(IF(AT50*fxVal_normal=_BS!AT50,"",IF(OR(AT50="",NOT(ISNUMBER(AT50)),ISERROR(AT50),$B50=""),"",IF($I50=1,IFBLANK(_xldudf_CX_PUSH(AT50*fxVal_normal,CX_ENTITY,$B50,AT$11,AT$14,AT$19,),""),IF($I50=2,IFBLANK(_xldudf_CX_PUSH(AT50,CX_ENTITY,$B50,AT$11,AT$14,AT$19,),""),IF($I50=3,"",IFBLANK(_xldudf_CX_PUSH(AT50,CX_ENTITY,$B50,AT$11,AT$14,AT$19,),"")))))),"")</f>
        <v/>
      </c>
      <c r="DH50" s="1883" t="str" cm="1">
        <f t="array" ca="1" aca="1" ref="DH50">IFERROR(IF(AU50*fxVal_normal=_BS!AU50,"",IF(OR(AU50="",NOT(ISNUMBER(AU50)),ISERROR(AU50),$B50=""),"",IF($I50=1,IFBLANK(_xldudf_CX_PUSH(AU50*fxVal_normal,CX_ENTITY,$B50,AU$11,AU$14,AU$19,),""),IF($I50=2,IFBLANK(_xldudf_CX_PUSH(AU50,CX_ENTITY,$B50,AU$11,AU$14,AU$19,),""),IF($I50=3,"",IFBLANK(_xldudf_CX_PUSH(AU50,CX_ENTITY,$B50,AU$11,AU$14,AU$19,),"")))))),"")</f>
        <v/>
      </c>
      <c r="DI50" s="1883" t="str" cm="1">
        <f t="array" ca="1" aca="1" ref="DI50">IFERROR(IF(AV50*fxVal_normal=_BS!AV50,"",IF(OR(AV50="",NOT(ISNUMBER(AV50)),ISERROR(AV50),$B50=""),"",IF($I50=1,IFBLANK(_xldudf_CX_PUSH(AV50*fxVal_normal,CX_ENTITY,$B50,AV$11,AV$14,AV$19,),""),IF($I50=2,IFBLANK(_xldudf_CX_PUSH(AV50,CX_ENTITY,$B50,AV$11,AV$14,AV$19,),""),IF($I50=3,"",IFBLANK(_xldudf_CX_PUSH(AV50,CX_ENTITY,$B50,AV$11,AV$14,AV$19,),"")))))),"")</f>
        <v/>
      </c>
      <c r="DJ50" s="1883" t="str" cm="1">
        <f t="array" ca="1" aca="1" ref="DJ50">IFERROR(IF(AW50*fxVal_normal=_BS!AW50,"",IF(OR(AW50="",NOT(ISNUMBER(AW50)),ISERROR(AW50),$B50=""),"",IF($I50=1,IFBLANK(_xldudf_CX_PUSH(AW50*fxVal_normal,CX_ENTITY,$B50,AW$11,AW$14,AW$19,),""),IF($I50=2,IFBLANK(_xldudf_CX_PUSH(AW50,CX_ENTITY,$B50,AW$11,AW$14,AW$19,),""),IF($I50=3,"",IFBLANK(_xldudf_CX_PUSH(AW50,CX_ENTITY,$B50,AW$11,AW$14,AW$19,),"")))))),"")</f>
        <v/>
      </c>
      <c r="DK50" s="1883" t="str" cm="1">
        <f t="array" ca="1" aca="1" ref="DK50">IFERROR(IF(AX50*fxVal_normal=_BS!AX50,"",IF(OR(AX50="",NOT(ISNUMBER(AX50)),ISERROR(AX50),$B50=""),"",IF($I50=1,IFBLANK(_xldudf_CX_PUSH(AX50*fxVal_normal,CX_ENTITY,$B50,AX$11,AX$14,AX$19,),""),IF($I50=2,IFBLANK(_xldudf_CX_PUSH(AX50,CX_ENTITY,$B50,AX$11,AX$14,AX$19,),""),IF($I50=3,"",IFBLANK(_xldudf_CX_PUSH(AX50,CX_ENTITY,$B50,AX$11,AX$14,AX$19,),"")))))),"")</f>
        <v/>
      </c>
      <c r="DL50" s="1883" t="str" cm="1">
        <f t="array" ca="1" aca="1" ref="DL50">IFERROR(IF(AY50*fxVal_normal=_BS!AY50,"",IF(OR(AY50="",NOT(ISNUMBER(AY50)),ISERROR(AY50),$B50=""),"",IF($I50=1,IFBLANK(_xldudf_CX_PUSH(AY50*fxVal_normal,CX_ENTITY,$B50,AY$11,AY$14,AY$19,),""),IF($I50=2,IFBLANK(_xldudf_CX_PUSH(AY50,CX_ENTITY,$B50,AY$11,AY$14,AY$19,),""),IF($I50=3,"",IFBLANK(_xldudf_CX_PUSH(AY50,CX_ENTITY,$B50,AY$11,AY$14,AY$19,),"")))))),"")</f>
        <v/>
      </c>
      <c r="DM50" s="1883" t="str" cm="1">
        <f t="array" ca="1" aca="1" ref="DM50">IFERROR(IF(AZ50*fxVal_normal=_BS!AZ50,"",IF(OR(AZ50="",NOT(ISNUMBER(AZ50)),ISERROR(AZ50),$B50=""),"",IF($I50=1,IFBLANK(_xldudf_CX_PUSH(AZ50*fxVal_normal,CX_ENTITY,$B50,AZ$11,AZ$14,AZ$19,),""),IF($I50=2,IFBLANK(_xldudf_CX_PUSH(AZ50,CX_ENTITY,$B50,AZ$11,AZ$14,AZ$19,),""),IF($I50=3,"",IFBLANK(_xldudf_CX_PUSH(AZ50,CX_ENTITY,$B50,AZ$11,AZ$14,AZ$19,),"")))))),"")</f>
        <v/>
      </c>
      <c r="DN50" s="1883" t="str" cm="1">
        <f t="array" ca="1" aca="1" ref="DN50">IFERROR(IF(BA50*fxVal_normal=_BS!BA50,"",IF(OR(BA50="",NOT(ISNUMBER(BA50)),ISERROR(BA50),$B50=""),"",IF($I50=1,IFBLANK(_xldudf_CX_PUSH(BA50*fxVal_normal,CX_ENTITY,$B50,BA$11,BA$14,BA$19,),""),IF($I50=2,IFBLANK(_xldudf_CX_PUSH(BA50,CX_ENTITY,$B50,BA$11,BA$14,BA$19,),""),IF($I50=3,"",IFBLANK(_xldudf_CX_PUSH(BA50,CX_ENTITY,$B50,BA$11,BA$14,BA$19,),"")))))),"")</f>
        <v/>
      </c>
      <c r="DO50" s="1883" t="str" cm="1">
        <f t="array" ca="1" aca="1" ref="DO50">IFERROR(IF(BB50*fxVal_normal=_BS!BB50,"",IF(OR(BB50="",NOT(ISNUMBER(BB50)),ISERROR(BB50),$B50=""),"",IF($I50=1,IFBLANK(_xldudf_CX_PUSH(BB50*fxVal_normal,CX_ENTITY,$B50,BB$11,BB$14,BB$19,),""),IF($I50=2,IFBLANK(_xldudf_CX_PUSH(BB50,CX_ENTITY,$B50,BB$11,BB$14,BB$19,),""),IF($I50=3,"",IFBLANK(_xldudf_CX_PUSH(BB50,CX_ENTITY,$B50,BB$11,BB$14,BB$19,),"")))))),"")</f>
        <v/>
      </c>
      <c r="DP50" s="1883" t="str" cm="1">
        <f t="array" ca="1" aca="1" ref="DP50">IFERROR(IF(BC50*fxVal_normal=_BS!BC50,"",IF(OR(BC50="",NOT(ISNUMBER(BC50)),ISERROR(BC50),$B50=""),"",IF($I50=1,IFBLANK(_xldudf_CX_PUSH(BC50*fxVal_normal,CX_ENTITY,$B50,BC$11,BC$14,BC$19,),""),IF($I50=2,IFBLANK(_xldudf_CX_PUSH(BC50,CX_ENTITY,$B50,BC$11,BC$14,BC$19,),""),IF($I50=3,"",IFBLANK(_xldudf_CX_PUSH(BC50,CX_ENTITY,$B50,BC$11,BC$14,BC$19,),"")))))),"")</f>
        <v/>
      </c>
      <c r="DQ50" s="1883" t="str" cm="1">
        <f t="array" ca="1" aca="1" ref="DQ50">IFERROR(IF(BD50*fxVal_normal=_BS!BD50,"",IF(OR(BD50="",NOT(ISNUMBER(BD50)),ISERROR(BD50),$B50=""),"",IF($I50=1,IFBLANK(_xldudf_CX_PUSH(BD50*fxVal_normal,CX_ENTITY,$B50,BD$11,BD$14,BD$19,),""),IF($I50=2,IFBLANK(_xldudf_CX_PUSH(BD50,CX_ENTITY,$B50,BD$11,BD$14,BD$19,),""),IF($I50=3,"",IFBLANK(_xldudf_CX_PUSH(BD50,CX_ENTITY,$B50,BD$11,BD$14,BD$19,),"")))))),"")</f>
        <v/>
      </c>
      <c r="DR50" s="1883" t="str" cm="1">
        <f t="array" ca="1" aca="1" ref="DR50">IFERROR(IF(BE50*fxVal_normal=_BS!BE50,"",IF(OR(BE50="",NOT(ISNUMBER(BE50)),ISERROR(BE50),$B50=""),"",IF($I50=1,IFBLANK(_xldudf_CX_PUSH(BE50*fxVal_normal,CX_ENTITY,$B50,BE$11,BE$14,BE$19,),""),IF($I50=2,IFBLANK(_xldudf_CX_PUSH(BE50,CX_ENTITY,$B50,BE$11,BE$14,BE$19,),""),IF($I50=3,"",IFBLANK(_xldudf_CX_PUSH(BE50,CX_ENTITY,$B50,BE$11,BE$14,BE$19,),"")))))),"")</f>
        <v/>
      </c>
      <c r="DS50" s="1883" t="str" cm="1">
        <f t="array" ca="1" aca="1" ref="DS50">IFERROR(IF(BF50*fxVal_normal=_BS!BF50,"",IF(OR(BF50="",NOT(ISNUMBER(BF50)),ISERROR(BF50),$B50=""),"",IF($I50=1,IFBLANK(_xldudf_CX_PUSH(BF50*fxVal_normal,CX_ENTITY,$B50,BF$11,BF$14,BF$19,),""),IF($I50=2,IFBLANK(_xldudf_CX_PUSH(BF50,CX_ENTITY,$B50,BF$11,BF$14,BF$19,),""),IF($I50=3,"",IFBLANK(_xldudf_CX_PUSH(BF50,CX_ENTITY,$B50,BF$11,BF$14,BF$19,),"")))))),"")</f>
        <v/>
      </c>
      <c r="DT50" s="1883" t="str" cm="1">
        <f t="array" ca="1" aca="1" ref="DT50">IFERROR(IF(BG50*fxVal_normal=_BS!BG50,"",IF(OR(BG50="",NOT(ISNUMBER(BG50)),ISERROR(BG50),$B50=""),"",IF($I50=1,IFBLANK(_xldudf_CX_PUSH(BG50*fxVal_normal,CX_ENTITY,$B50,BG$11,BG$14,BG$19,),""),IF($I50=2,IFBLANK(_xldudf_CX_PUSH(BG50,CX_ENTITY,$B50,BG$11,BG$14,BG$19,),""),IF($I50=3,"",IFBLANK(_xldudf_CX_PUSH(BG50,CX_ENTITY,$B50,BG$11,BG$14,BG$19,),"")))))),"")</f>
        <v/>
      </c>
      <c r="DU50" s="1883" t="str" cm="1">
        <f t="array" ca="1" aca="1" ref="DU50">IFERROR(IF(BH50*fxVal_normal=_BS!BH50,"",IF(OR(BH50="",NOT(ISNUMBER(BH50)),ISERROR(BH50),$B50=""),"",IF($I50=1,IFBLANK(_xldudf_CX_PUSH(BH50*fxVal_normal,CX_ENTITY,$B50,BH$11,BH$14,BH$19,),""),IF($I50=2,IFBLANK(_xldudf_CX_PUSH(BH50,CX_ENTITY,$B50,BH$11,BH$14,BH$19,),""),IF($I50=3,"",IFBLANK(_xldudf_CX_PUSH(BH50,CX_ENTITY,$B50,BH$11,BH$14,BH$19,),"")))))),"")</f>
        <v/>
      </c>
      <c r="DV50" s="1883" t="str" cm="1">
        <f t="array" ca="1" aca="1" ref="DV50">IFERROR(IF(BI50*fxVal_normal=_BS!BI50,"",IF(OR(BI50="",NOT(ISNUMBER(BI50)),ISERROR(BI50),$B50=""),"",IF($I50=1,IFBLANK(_xldudf_CX_PUSH(BI50*fxVal_normal,CX_ENTITY,$B50,BI$11,BI$14,BI$19,),""),IF($I50=2,IFBLANK(_xldudf_CX_PUSH(BI50,CX_ENTITY,$B50,BI$11,BI$14,BI$19,),""),IF($I50=3,"",IFBLANK(_xldudf_CX_PUSH(BI50,CX_ENTITY,$B50,BI$11,BI$14,BI$19,),"")))))),"")</f>
        <v/>
      </c>
      <c r="DW50" s="1883" t="str" cm="1">
        <f t="array" ca="1" aca="1" ref="DW50">IFERROR(IF(BJ50*fxVal_normal=_BS!BJ50,"",IF(OR(BJ50="",NOT(ISNUMBER(BJ50)),ISERROR(BJ50),$B50=""),"",IF($I50=1,IFBLANK(_xldudf_CX_PUSH(BJ50*fxVal_normal,CX_ENTITY,$B50,BJ$11,BJ$14,BJ$19,),""),IF($I50=2,IFBLANK(_xldudf_CX_PUSH(BJ50,CX_ENTITY,$B50,BJ$11,BJ$14,BJ$19,),""),IF($I50=3,"",IFBLANK(_xldudf_CX_PUSH(BJ50,CX_ENTITY,$B50,BJ$11,BJ$14,BJ$19,),"")))))),"")</f>
        <v/>
      </c>
      <c r="DX50" s="1883" t="str" cm="1">
        <f t="array" ca="1" aca="1" ref="DX50">IFERROR(IF(BK50*fxVal_normal=_BS!BK50,"",IF(OR(BK50="",NOT(ISNUMBER(BK50)),ISERROR(BK50),$B50=""),"",IF($I50=1,IFBLANK(_xldudf_CX_PUSH(BK50*fxVal_normal,CX_ENTITY,$B50,BK$11,BK$14,BK$19,),""),IF($I50=2,IFBLANK(_xldudf_CX_PUSH(BK50,CX_ENTITY,$B50,BK$11,BK$14,BK$19,),""),IF($I50=3,"",IFBLANK(_xldudf_CX_PUSH(BK50,CX_ENTITY,$B50,BK$11,BK$14,BK$19,),"")))))),"")</f>
        <v/>
      </c>
      <c r="DY50" s="1883" t="str" cm="1">
        <f t="array" ca="1" aca="1" ref="DY50">IFERROR(IF(BL50*fxVal_normal=_BS!BL50,"",IF(OR(BL50="",NOT(ISNUMBER(BL50)),ISERROR(BL50),$B50=""),"",IF($I50=1,IFBLANK(_xldudf_CX_PUSH(BL50*fxVal_normal,CX_ENTITY,$B50,BL$11,BL$14,BL$19,),""),IF($I50=2,IFBLANK(_xldudf_CX_PUSH(BL50,CX_ENTITY,$B50,BL$11,BL$14,BL$19,),""),IF($I50=3,"",IFBLANK(_xldudf_CX_PUSH(BL50,CX_ENTITY,$B50,BL$11,BL$14,BL$19,),"")))))),"")</f>
        <v/>
      </c>
      <c r="DZ50" s="1883" t="str" cm="1">
        <f t="array" ca="1" aca="1" ref="DZ50">IFERROR(IF(BM50*fxVal_normal=_BS!BM50,"",IF(OR(BM50="",NOT(ISNUMBER(BM50)),ISERROR(BM50),$B50=""),"",IF($I50=1,IFBLANK(_xldudf_CX_PUSH(BM50*fxVal_normal,CX_ENTITY,$B50,BM$11,BM$14,BM$19,),""),IF($I50=2,IFBLANK(_xldudf_CX_PUSH(BM50,CX_ENTITY,$B50,BM$11,BM$14,BM$19,),""),IF($I50=3,"",IFBLANK(_xldudf_CX_PUSH(BM50,CX_ENTITY,$B50,BM$11,BM$14,BM$19,),"")))))),"")</f>
        <v/>
      </c>
      <c r="EA50" s="1883" t="str" cm="1">
        <f t="array" ca="1" aca="1" ref="EA50">IFERROR(IF(BN50*fxVal_normal=_BS!BN50,"",IF(OR(BN50="",NOT(ISNUMBER(BN50)),ISERROR(BN50),$B50=""),"",IF($I50=1,IFBLANK(_xldudf_CX_PUSH(BN50*fxVal_normal,CX_ENTITY,$B50,BN$11,BN$14,BN$19,),""),IF($I50=2,IFBLANK(_xldudf_CX_PUSH(BN50,CX_ENTITY,$B50,BN$11,BN$14,BN$19,),""),IF($I50=3,"",IFBLANK(_xldudf_CX_PUSH(BN50,CX_ENTITY,$B50,BN$11,BN$14,BN$19,),"")))))),"")</f>
        <v/>
      </c>
    </row>
    <row r="51" spans="1:87" ht="15.5">
      <c r="A51" s="1626"/>
      <c r="B51" s="811" t="str" cm="1">
        <f t="array" ref="B51">IFBLANK(_BS!F51,"")</f>
        <v/>
      </c>
      <c r="C51" s="811" t="str" cm="1">
        <f t="array" ref="C51">IFBLANK(_BS!C51,"")</f>
        <v/>
      </c>
      <c r="D51" s="811" t="str" cm="1">
        <f t="array" ref="D51">IFBLANK(_BS!D51,"")</f>
        <v/>
      </c>
      <c r="E51" s="1902"/>
      <c r="F51" s="1897"/>
      <c r="G51" s="1897"/>
      <c r="H51" s="401"/>
      <c r="I51" s="401"/>
      <c r="J51" s="401"/>
      <c r="N51" s="158"/>
      <c r="O51" s="101"/>
      <c r="P51" s="52"/>
      <c r="Q51" s="101"/>
      <c r="R51" s="126"/>
      <c r="S51" s="101"/>
      <c r="T51" s="101"/>
      <c r="U51" s="39"/>
      <c r="W51" s="944"/>
      <c r="X51" s="754"/>
      <c r="Y51" s="1812"/>
      <c r="Z51" s="128"/>
      <c r="AA51" s="803"/>
      <c r="AB51" s="97"/>
      <c r="AC51" s="1991"/>
      <c r="AD51" s="954"/>
      <c r="AE51" s="954"/>
      <c r="AF51" s="955"/>
      <c r="AG51" s="954"/>
      <c r="AH51" s="954"/>
      <c r="AI51" s="954"/>
      <c r="AJ51" s="954"/>
      <c r="AK51" s="954"/>
      <c r="AL51" s="954"/>
      <c r="AM51" s="954"/>
      <c r="AN51" s="954"/>
      <c r="AO51" s="954"/>
      <c r="AP51" s="954"/>
      <c r="AQ51" s="954"/>
      <c r="AR51" s="954"/>
      <c r="AS51" s="954"/>
      <c r="AT51" s="954"/>
      <c r="AU51" s="954"/>
      <c r="AV51" s="954"/>
      <c r="AW51" s="954"/>
      <c r="AX51" s="954"/>
      <c r="AY51" s="954"/>
      <c r="AZ51" s="954"/>
      <c r="BA51" s="954"/>
      <c r="BB51" s="954"/>
      <c r="BC51" s="954"/>
      <c r="BD51" s="954"/>
      <c r="BE51" s="954"/>
      <c r="BF51" s="954"/>
      <c r="BG51" s="954"/>
      <c r="BH51" s="954"/>
      <c r="BI51" s="954"/>
      <c r="BJ51" s="954"/>
      <c r="BK51" s="954"/>
      <c r="BL51" s="954"/>
      <c r="BM51" s="955"/>
      <c r="BN51" s="956"/>
      <c r="BO51" s="955"/>
      <c r="BP51" s="955"/>
      <c r="BQ51" s="955"/>
      <c r="BR51" s="955"/>
      <c r="BS51" s="955"/>
      <c r="BT51" s="955"/>
      <c r="BU51" s="955"/>
      <c r="BV51" s="955"/>
      <c r="BW51" s="955"/>
      <c r="BX51" s="955"/>
      <c r="BY51" s="955"/>
      <c r="BZ51" s="955"/>
      <c r="CA51" s="926"/>
      <c r="CB51" s="921"/>
      <c r="CC51" s="957"/>
      <c r="CD51" s="954"/>
      <c r="CE51" s="954"/>
      <c r="CF51" s="954"/>
      <c r="CG51" s="954"/>
      <c r="CH51" s="954"/>
      <c r="CI51" s="200"/>
    </row>
    <row r="52" spans="1:87" ht="18">
      <c r="A52" s="1624"/>
      <c r="B52" s="811" t="str" cm="1">
        <f t="array" ref="B52">IFBLANK(_BS!F52,"")</f>
        <v/>
      </c>
      <c r="C52" s="811" t="str" cm="1">
        <f t="array" ref="C52">IFBLANK(_BS!C52,"")</f>
        <v/>
      </c>
      <c r="D52" s="811" t="str" cm="1">
        <f t="array" ref="D52">IFBLANK(_BS!D52,"")</f>
        <v/>
      </c>
      <c r="E52" s="1902"/>
      <c r="F52" s="1897"/>
      <c r="G52" s="1897"/>
      <c r="H52" s="401"/>
      <c r="I52" s="401"/>
      <c r="J52" s="1072"/>
      <c r="N52" s="158"/>
      <c r="O52" s="101"/>
      <c r="P52" s="52"/>
      <c r="Q52" s="101"/>
      <c r="R52" s="101"/>
      <c r="S52" s="101"/>
      <c r="T52" s="101"/>
      <c r="U52" s="39"/>
      <c r="W52" s="944"/>
      <c r="X52" s="754"/>
      <c r="Y52" s="950"/>
      <c r="Z52" s="128"/>
      <c r="AA52" s="803"/>
      <c r="AB52" s="803"/>
      <c r="AC52" s="1991"/>
      <c r="AD52" s="955"/>
      <c r="AE52" s="955"/>
      <c r="AF52" s="955"/>
      <c r="AG52" s="955"/>
      <c r="AH52" s="955"/>
      <c r="AI52" s="955"/>
      <c r="AJ52" s="955"/>
      <c r="AK52" s="955"/>
      <c r="AL52" s="955"/>
      <c r="AM52" s="955"/>
      <c r="AN52" s="955"/>
      <c r="AO52" s="955"/>
      <c r="AP52" s="955"/>
      <c r="AQ52" s="955"/>
      <c r="AR52" s="955"/>
      <c r="AS52" s="955"/>
      <c r="AT52" s="955"/>
      <c r="AU52" s="955"/>
      <c r="AV52" s="955"/>
      <c r="AW52" s="955"/>
      <c r="AX52" s="955"/>
      <c r="AY52" s="955"/>
      <c r="AZ52" s="955"/>
      <c r="BA52" s="955"/>
      <c r="BB52" s="955"/>
      <c r="BC52" s="955"/>
      <c r="BD52" s="955"/>
      <c r="BE52" s="955"/>
      <c r="BF52" s="955"/>
      <c r="BG52" s="955"/>
      <c r="BH52" s="955"/>
      <c r="BI52" s="955"/>
      <c r="BJ52" s="955"/>
      <c r="BK52" s="955"/>
      <c r="BL52" s="955"/>
      <c r="BM52" s="955"/>
      <c r="BN52" s="956"/>
      <c r="BO52" s="955"/>
      <c r="BP52" s="955"/>
      <c r="BQ52" s="955"/>
      <c r="BR52" s="955"/>
      <c r="BS52" s="955"/>
      <c r="BT52" s="955"/>
      <c r="BU52" s="955"/>
      <c r="BV52" s="955"/>
      <c r="BW52" s="955"/>
      <c r="BX52" s="955"/>
      <c r="BY52" s="955"/>
      <c r="BZ52" s="955"/>
      <c r="CA52" s="926"/>
      <c r="CB52" s="921"/>
      <c r="CC52" s="958"/>
      <c r="CD52" s="954"/>
      <c r="CE52" s="954"/>
      <c r="CF52" s="954"/>
      <c r="CG52" s="954"/>
      <c r="CH52" s="954"/>
      <c r="CI52" s="200"/>
    </row>
    <row r="53" spans="1:87" ht="32.5">
      <c r="A53" s="1626"/>
      <c r="B53" s="811" t="str" cm="1">
        <f t="array" ref="B53">IFBLANK(_BS!F53,"")</f>
        <v/>
      </c>
      <c r="C53" s="811" t="str" cm="1">
        <f t="array" ref="C53">IFBLANK(_BS!C53,"")</f>
        <v/>
      </c>
      <c r="D53" s="811" t="str" cm="1">
        <f t="array" ref="D53">IFBLANK(_BS!D53,"")</f>
        <v/>
      </c>
      <c r="E53" s="1902"/>
      <c r="F53" s="1897"/>
      <c r="G53" s="1897"/>
      <c r="H53" s="401"/>
      <c r="I53" s="401"/>
      <c r="J53" s="401"/>
      <c r="N53" s="158"/>
      <c r="O53" s="101"/>
      <c r="P53" s="52"/>
      <c r="Q53" s="101"/>
      <c r="R53" s="126"/>
      <c r="S53" s="101"/>
      <c r="T53" s="101"/>
      <c r="U53" s="39"/>
      <c r="W53" s="944"/>
      <c r="X53" s="754"/>
      <c r="Y53" s="1813"/>
      <c r="Z53" s="128"/>
      <c r="AA53" s="991"/>
      <c r="AB53" s="991"/>
      <c r="AC53" s="1991"/>
      <c r="AD53" s="954"/>
      <c r="AE53" s="954"/>
      <c r="AF53" s="954"/>
      <c r="AG53" s="954"/>
      <c r="AH53" s="954"/>
      <c r="AI53" s="954"/>
      <c r="AJ53" s="954"/>
      <c r="AK53" s="954"/>
      <c r="AL53" s="954"/>
      <c r="AM53" s="954"/>
      <c r="AN53" s="954"/>
      <c r="AO53" s="954"/>
      <c r="AP53" s="954"/>
      <c r="AQ53" s="954"/>
      <c r="AR53" s="954"/>
      <c r="AS53" s="954"/>
      <c r="AT53" s="954"/>
      <c r="AU53" s="954"/>
      <c r="AV53" s="954"/>
      <c r="AW53" s="954"/>
      <c r="AX53" s="954"/>
      <c r="AY53" s="954"/>
      <c r="AZ53" s="954"/>
      <c r="BA53" s="954"/>
      <c r="BB53" s="954"/>
      <c r="BC53" s="954"/>
      <c r="BD53" s="954"/>
      <c r="BE53" s="954"/>
      <c r="BF53" s="954"/>
      <c r="BG53" s="954"/>
      <c r="BH53" s="954"/>
      <c r="BI53" s="954"/>
      <c r="BJ53" s="954"/>
      <c r="BK53" s="954"/>
      <c r="BL53" s="954"/>
      <c r="BM53" s="954"/>
      <c r="BN53" s="959"/>
      <c r="BO53" s="954"/>
      <c r="BP53" s="954"/>
      <c r="BQ53" s="954"/>
      <c r="BR53" s="954"/>
      <c r="BS53" s="954"/>
      <c r="BT53" s="954"/>
      <c r="BU53" s="954"/>
      <c r="BV53" s="954"/>
      <c r="BW53" s="954"/>
      <c r="BX53" s="954"/>
      <c r="BY53" s="954"/>
      <c r="BZ53" s="954"/>
      <c r="CA53" s="926"/>
      <c r="CB53" s="921"/>
      <c r="CC53" s="958"/>
      <c r="CD53" s="3028" t="s">
        <v>41</v>
      </c>
      <c r="CE53" s="3029"/>
      <c r="CF53" s="1471"/>
      <c r="CG53" s="3069" t="s">
        <v>222</v>
      </c>
      <c r="CH53" s="3070"/>
      <c r="CI53" s="200"/>
    </row>
    <row r="54" spans="1:87" ht="27.75" customHeight="1">
      <c r="A54" s="1626"/>
      <c r="B54" s="811" t="str" cm="1">
        <f t="array" ref="B54">IFBLANK(_BS!F54,"")</f>
        <v/>
      </c>
      <c r="C54" s="811" t="str" cm="1">
        <f t="array" ref="C54">IFBLANK(_BS!C54,"")</f>
        <v/>
      </c>
      <c r="D54" s="811" t="str" cm="1">
        <f t="array" ref="D54">IFBLANK(_BS!D54,"")</f>
        <v/>
      </c>
      <c r="E54" s="1902"/>
      <c r="F54" s="1897"/>
      <c r="G54" s="1897"/>
      <c r="H54" s="401"/>
      <c r="I54" s="401"/>
      <c r="J54" s="401"/>
      <c r="N54" s="158"/>
      <c r="O54" s="101"/>
      <c r="P54" s="52"/>
      <c r="Q54" s="101"/>
      <c r="R54" s="101"/>
      <c r="S54" s="101"/>
      <c r="T54" s="101"/>
      <c r="U54" s="39"/>
      <c r="W54" s="1814"/>
      <c r="X54" s="974"/>
      <c r="Y54" s="1815"/>
      <c r="Z54" s="1816"/>
      <c r="AA54" s="974"/>
      <c r="AB54" s="985" t="s">
        <v>47</v>
      </c>
      <c r="AC54" s="1988"/>
      <c r="AD54" s="977">
        <f t="shared" si="12" ref="AD54:BN54">IFERROR(AD11,"")</f>
        <v>44926</v>
      </c>
      <c r="AE54" s="977">
        <f t="shared" si="12"/>
        <v>44957</v>
      </c>
      <c r="AF54" s="977">
        <f t="shared" si="12"/>
        <v>44985</v>
      </c>
      <c r="AG54" s="977">
        <f t="shared" si="12"/>
        <v>45016</v>
      </c>
      <c r="AH54" s="977">
        <f t="shared" si="12"/>
        <v>45046</v>
      </c>
      <c r="AI54" s="977">
        <f t="shared" si="12"/>
        <v>45077</v>
      </c>
      <c r="AJ54" s="977">
        <f t="shared" si="12"/>
        <v>45107</v>
      </c>
      <c r="AK54" s="977">
        <f t="shared" si="12"/>
        <v>45138</v>
      </c>
      <c r="AL54" s="977">
        <f t="shared" si="12"/>
        <v>45169</v>
      </c>
      <c r="AM54" s="977">
        <f t="shared" si="12"/>
        <v>45199</v>
      </c>
      <c r="AN54" s="977">
        <f t="shared" si="12"/>
        <v>45230</v>
      </c>
      <c r="AO54" s="977">
        <f t="shared" si="12"/>
        <v>45260</v>
      </c>
      <c r="AP54" s="977">
        <f t="shared" si="12"/>
        <v>45291</v>
      </c>
      <c r="AQ54" s="977">
        <f t="shared" si="12"/>
        <v>45322</v>
      </c>
      <c r="AR54" s="977">
        <f t="shared" si="12"/>
        <v>45351</v>
      </c>
      <c r="AS54" s="977">
        <f t="shared" si="12"/>
        <v>45382</v>
      </c>
      <c r="AT54" s="977">
        <f t="shared" si="12"/>
        <v>45412</v>
      </c>
      <c r="AU54" s="977">
        <f t="shared" si="12"/>
        <v>45443</v>
      </c>
      <c r="AV54" s="977">
        <f t="shared" si="12"/>
        <v>45473</v>
      </c>
      <c r="AW54" s="977">
        <f t="shared" si="12"/>
        <v>45504</v>
      </c>
      <c r="AX54" s="977">
        <f t="shared" si="12"/>
        <v>45535</v>
      </c>
      <c r="AY54" s="977">
        <f t="shared" si="12"/>
        <v>45565</v>
      </c>
      <c r="AZ54" s="977">
        <f t="shared" si="12"/>
        <v>45596</v>
      </c>
      <c r="BA54" s="977">
        <f t="shared" si="12"/>
        <v>45626</v>
      </c>
      <c r="BB54" s="977">
        <f t="shared" si="12"/>
        <v>45657</v>
      </c>
      <c r="BC54" s="977">
        <f t="shared" si="12"/>
        <v>45688</v>
      </c>
      <c r="BD54" s="977">
        <f t="shared" si="12"/>
        <v>45716</v>
      </c>
      <c r="BE54" s="977">
        <f t="shared" si="12"/>
        <v>45747</v>
      </c>
      <c r="BF54" s="977">
        <f t="shared" si="12"/>
        <v>45777</v>
      </c>
      <c r="BG54" s="977">
        <f t="shared" si="12"/>
        <v>45808</v>
      </c>
      <c r="BH54" s="977">
        <f t="shared" si="12"/>
        <v>45838</v>
      </c>
      <c r="BI54" s="977">
        <f t="shared" si="12"/>
        <v>45869</v>
      </c>
      <c r="BJ54" s="977">
        <f t="shared" si="12"/>
        <v>45900</v>
      </c>
      <c r="BK54" s="977">
        <f t="shared" si="12"/>
        <v>45930</v>
      </c>
      <c r="BL54" s="977">
        <f t="shared" si="12"/>
        <v>45961</v>
      </c>
      <c r="BM54" s="977">
        <f t="shared" si="12"/>
        <v>45991</v>
      </c>
      <c r="BN54" s="978">
        <f t="shared" si="12"/>
        <v>46022</v>
      </c>
      <c r="BO54" s="2090"/>
      <c r="BP54" s="2090"/>
      <c r="BQ54" s="2090"/>
      <c r="BR54" s="2090"/>
      <c r="BS54" s="2090"/>
      <c r="BT54" s="2090"/>
      <c r="BU54" s="2090"/>
      <c r="BV54" s="2090"/>
      <c r="BW54" s="2090"/>
      <c r="BX54" s="2090"/>
      <c r="BY54" s="2090"/>
      <c r="BZ54" s="2090"/>
      <c r="CA54" s="926"/>
      <c r="CB54" s="921"/>
      <c r="CC54" s="958"/>
      <c r="CD54" s="1722" t="e" cm="1">
        <f t="array" ca="1" aca="1" ref="CD54">EOMONTH(val_currentFYE,-24)</f>
        <v>#NAME?</v>
      </c>
      <c r="CE54" s="1723" t="e" cm="1">
        <f t="array" ca="1" aca="1" ref="CE54">EOMONTH(val_currentFYE,-12)</f>
        <v>#NAME?</v>
      </c>
      <c r="CF54" s="128"/>
      <c r="CG54" s="1796" t="e" cm="1">
        <f t="array" ca="1" aca="1" ref="CG54">val_currentFYE</f>
        <v>#NAME?</v>
      </c>
      <c r="CH54" s="1797" t="e" cm="1">
        <f t="array" ca="1" aca="1" ref="CH54">val_currentFYE</f>
        <v>#NAME?</v>
      </c>
      <c r="CI54" s="200"/>
    </row>
    <row r="55" spans="1:87" ht="18">
      <c r="A55" s="1626"/>
      <c r="B55" s="811" t="str" cm="1">
        <f t="array" ref="B55">IFBLANK(_BS!F55,"")</f>
        <v/>
      </c>
      <c r="C55" s="811" t="str" cm="1">
        <f t="array" ref="C55">IFBLANK(_BS!C55,"")</f>
        <v/>
      </c>
      <c r="D55" s="811" t="str" cm="1">
        <f t="array" ref="D55">IFBLANK(_BS!D55,"")</f>
        <v/>
      </c>
      <c r="E55" s="1902"/>
      <c r="F55" s="1897"/>
      <c r="G55" s="1897"/>
      <c r="H55" s="401"/>
      <c r="I55" s="401"/>
      <c r="J55" s="401"/>
      <c r="N55" s="158"/>
      <c r="O55" s="101"/>
      <c r="P55" s="52"/>
      <c r="Q55" s="101"/>
      <c r="R55" s="126"/>
      <c r="S55" s="101"/>
      <c r="T55" s="101"/>
      <c r="U55" s="39"/>
      <c r="W55" s="938"/>
      <c r="X55" s="752"/>
      <c r="Y55" s="1817"/>
      <c r="Z55" s="553"/>
      <c r="AA55" s="992"/>
      <c r="AB55" s="97" t="s">
        <v>230</v>
      </c>
      <c r="AC55" s="382"/>
      <c r="AD55" s="960" t="e" cm="1">
        <f t="array" ca="1" aca="1" ref="AD55">EOMONTH(AD54,12-MONTH(val_currentFYE))</f>
        <v>#NAME?</v>
      </c>
      <c r="AE55" s="960" t="e" cm="1">
        <f t="array" ca="1" aca="1" ref="AE55">EOMONTH(AE54,12-MONTH(val_currentFYE))</f>
        <v>#NAME?</v>
      </c>
      <c r="AF55" s="960" t="e" cm="1">
        <f t="array" ca="1" aca="1" ref="AF55">EOMONTH(AF54,12-MONTH(val_currentFYE))</f>
        <v>#NAME?</v>
      </c>
      <c r="AG55" s="960" t="e" cm="1">
        <f t="array" ca="1" aca="1" ref="AG55">EOMONTH(AG54,12-MONTH(val_currentFYE))</f>
        <v>#NAME?</v>
      </c>
      <c r="AH55" s="960" t="e" cm="1">
        <f t="array" ca="1" aca="1" ref="AH55">EOMONTH(AH54,12-MONTH(val_currentFYE))</f>
        <v>#NAME?</v>
      </c>
      <c r="AI55" s="960" t="e" cm="1">
        <f t="array" ca="1" aca="1" ref="AI55">EOMONTH(AI54,12-MONTH(val_currentFYE))</f>
        <v>#NAME?</v>
      </c>
      <c r="AJ55" s="960" t="e" cm="1">
        <f t="array" ca="1" aca="1" ref="AJ55">EOMONTH(AJ54,12-MONTH(val_currentFYE))</f>
        <v>#NAME?</v>
      </c>
      <c r="AK55" s="960" t="e" cm="1">
        <f t="array" ca="1" aca="1" ref="AK55">EOMONTH(AK54,12-MONTH(val_currentFYE))</f>
        <v>#NAME?</v>
      </c>
      <c r="AL55" s="960" t="e" cm="1">
        <f t="array" ca="1" aca="1" ref="AL55">EOMONTH(AL54,12-MONTH(val_currentFYE))</f>
        <v>#NAME?</v>
      </c>
      <c r="AM55" s="960" t="e" cm="1">
        <f t="array" ca="1" aca="1" ref="AM55">EOMONTH(AM54,12-MONTH(val_currentFYE))</f>
        <v>#NAME?</v>
      </c>
      <c r="AN55" s="960" t="e" cm="1">
        <f t="array" ca="1" aca="1" ref="AN55">EOMONTH(AN54,12-MONTH(val_currentFYE))</f>
        <v>#NAME?</v>
      </c>
      <c r="AO55" s="960" t="e" cm="1">
        <f t="array" ca="1" aca="1" ref="AO55">EOMONTH(AO54,12-MONTH(val_currentFYE))</f>
        <v>#NAME?</v>
      </c>
      <c r="AP55" s="960" t="e" cm="1">
        <f t="array" ca="1" aca="1" ref="AP55">EOMONTH(AP54,12-MONTH(val_currentFYE))</f>
        <v>#NAME?</v>
      </c>
      <c r="AQ55" s="960" t="e" cm="1">
        <f t="array" ca="1" aca="1" ref="AQ55">EOMONTH(AQ54,12-MONTH(val_currentFYE))</f>
        <v>#NAME?</v>
      </c>
      <c r="AR55" s="960" t="e" cm="1">
        <f t="array" ca="1" aca="1" ref="AR55">EOMONTH(AR54,12-MONTH(val_currentFYE))</f>
        <v>#NAME?</v>
      </c>
      <c r="AS55" s="960" t="e" cm="1">
        <f t="array" ca="1" aca="1" ref="AS55">EOMONTH(AS54,12-MONTH(val_currentFYE))</f>
        <v>#NAME?</v>
      </c>
      <c r="AT55" s="960" t="e" cm="1">
        <f t="array" ca="1" aca="1" ref="AT55">EOMONTH(AT54,12-MONTH(val_currentFYE))</f>
        <v>#NAME?</v>
      </c>
      <c r="AU55" s="960" t="e" cm="1">
        <f t="array" ca="1" aca="1" ref="AU55">EOMONTH(AU54,12-MONTH(val_currentFYE))</f>
        <v>#NAME?</v>
      </c>
      <c r="AV55" s="960" t="e" cm="1">
        <f t="array" ca="1" aca="1" ref="AV55">EOMONTH(AV54,12-MONTH(val_currentFYE))</f>
        <v>#NAME?</v>
      </c>
      <c r="AW55" s="960" t="e" cm="1">
        <f t="array" ca="1" aca="1" ref="AW55">EOMONTH(AW54,12-MONTH(val_currentFYE))</f>
        <v>#NAME?</v>
      </c>
      <c r="AX55" s="960" t="e" cm="1">
        <f t="array" ca="1" aca="1" ref="AX55">EOMONTH(AX54,12-MONTH(val_currentFYE))</f>
        <v>#NAME?</v>
      </c>
      <c r="AY55" s="960" t="e" cm="1">
        <f t="array" ca="1" aca="1" ref="AY55">EOMONTH(AY54,12-MONTH(val_currentFYE))</f>
        <v>#NAME?</v>
      </c>
      <c r="AZ55" s="960" t="e" cm="1">
        <f t="array" ca="1" aca="1" ref="AZ55">EOMONTH(AZ54,12-MONTH(val_currentFYE))</f>
        <v>#NAME?</v>
      </c>
      <c r="BA55" s="960" t="e" cm="1">
        <f t="array" ca="1" aca="1" ref="BA55">EOMONTH(BA54,12-MONTH(val_currentFYE))</f>
        <v>#NAME?</v>
      </c>
      <c r="BB55" s="960" t="e" cm="1">
        <f t="array" ca="1" aca="1" ref="BB55">EOMONTH(BB54,12-MONTH(val_currentFYE))</f>
        <v>#NAME?</v>
      </c>
      <c r="BC55" s="960" t="e" cm="1">
        <f t="array" ca="1" aca="1" ref="BC55">EOMONTH(BC54,12-MONTH(val_currentFYE))</f>
        <v>#NAME?</v>
      </c>
      <c r="BD55" s="960" t="e" cm="1">
        <f t="array" ca="1" aca="1" ref="BD55">EOMONTH(BD54,12-MONTH(val_currentFYE))</f>
        <v>#NAME?</v>
      </c>
      <c r="BE55" s="960" t="e" cm="1">
        <f t="array" ca="1" aca="1" ref="BE55">EOMONTH(BE54,12-MONTH(val_currentFYE))</f>
        <v>#NAME?</v>
      </c>
      <c r="BF55" s="960" t="e" cm="1">
        <f t="array" ca="1" aca="1" ref="BF55">EOMONTH(BF54,12-MONTH(val_currentFYE))</f>
        <v>#NAME?</v>
      </c>
      <c r="BG55" s="960" t="e" cm="1">
        <f t="array" ca="1" aca="1" ref="BG55">EOMONTH(BG54,12-MONTH(val_currentFYE))</f>
        <v>#NAME?</v>
      </c>
      <c r="BH55" s="960" t="e" cm="1">
        <f t="array" ca="1" aca="1" ref="BH55">EOMONTH(BH54,12-MONTH(val_currentFYE))</f>
        <v>#NAME?</v>
      </c>
      <c r="BI55" s="960" t="e" cm="1">
        <f t="array" ca="1" aca="1" ref="BI55">EOMONTH(BI54,12-MONTH(val_currentFYE))</f>
        <v>#NAME?</v>
      </c>
      <c r="BJ55" s="960" t="e" cm="1">
        <f t="array" ca="1" aca="1" ref="BJ55">EOMONTH(BJ54,12-MONTH(val_currentFYE))</f>
        <v>#NAME?</v>
      </c>
      <c r="BK55" s="960" t="e" cm="1">
        <f t="array" ca="1" aca="1" ref="BK55">EOMONTH(BK54,12-MONTH(val_currentFYE))</f>
        <v>#NAME?</v>
      </c>
      <c r="BL55" s="960" t="e" cm="1">
        <f t="array" ca="1" aca="1" ref="BL55">EOMONTH(BL54,12-MONTH(val_currentFYE))</f>
        <v>#NAME?</v>
      </c>
      <c r="BM55" s="960" t="e" cm="1">
        <f t="array" ca="1" aca="1" ref="BM55">EOMONTH(BM54,12-MONTH(val_currentFYE))</f>
        <v>#NAME?</v>
      </c>
      <c r="BN55" s="1802" t="e" cm="1">
        <f t="array" ca="1" aca="1" ref="BN55">EOMONTH(BN54,12-MONTH(val_currentFYE))</f>
        <v>#NAME?</v>
      </c>
      <c r="BO55" s="1803"/>
      <c r="BP55" s="1803"/>
      <c r="BQ55" s="1803"/>
      <c r="BR55" s="1803"/>
      <c r="BS55" s="1803"/>
      <c r="BT55" s="1803"/>
      <c r="BU55" s="1803"/>
      <c r="BV55" s="1803"/>
      <c r="BW55" s="1803"/>
      <c r="BX55" s="1803"/>
      <c r="BY55" s="1803"/>
      <c r="BZ55" s="1803"/>
      <c r="CA55" s="926"/>
      <c r="CB55" s="921"/>
      <c r="CC55" s="958"/>
      <c r="CD55" s="1753" t="e" cm="1">
        <f t="array" ca="1" aca="1" ref="CD55">YEAR(val_currentFYE)-2</f>
        <v>#NAME?</v>
      </c>
      <c r="CE55" s="1754" t="e" cm="1">
        <f t="array" ca="1" aca="1" ref="CE55">YEAR(val_currentFYE)-1</f>
        <v>#NAME?</v>
      </c>
      <c r="CF55" s="128"/>
      <c r="CG55" s="1761" t="e" cm="1">
        <f t="array" ca="1" aca="1" ref="CG55">YEAR(val_currentFYE)</f>
        <v>#NAME?</v>
      </c>
      <c r="CH55" s="1762" t="e" cm="1">
        <f t="array" ca="1" aca="1" ref="CH55">YEAR(val_currentFYE)</f>
        <v>#NAME?</v>
      </c>
      <c r="CI55" s="200"/>
    </row>
    <row r="56" spans="1:87" ht="18">
      <c r="A56" s="1626"/>
      <c r="B56" s="811" t="str" cm="1">
        <f t="array" ref="B56">IFBLANK(_BS!F56,"")</f>
        <v/>
      </c>
      <c r="C56" s="811" t="str" cm="1">
        <f t="array" ref="C56">IFBLANK(_BS!C56,"")</f>
        <v/>
      </c>
      <c r="D56" s="811" t="str" cm="1">
        <f t="array" ref="D56">IFBLANK(_BS!D56,"")</f>
        <v/>
      </c>
      <c r="E56" s="1902"/>
      <c r="F56" s="1897"/>
      <c r="G56" s="1897"/>
      <c r="H56" s="401"/>
      <c r="I56" s="401"/>
      <c r="J56" s="401"/>
      <c r="N56" s="158"/>
      <c r="O56" s="101"/>
      <c r="P56" s="52"/>
      <c r="Q56" s="101"/>
      <c r="R56" s="101"/>
      <c r="S56" s="101"/>
      <c r="T56" s="101"/>
      <c r="U56" s="39"/>
      <c r="W56" s="938"/>
      <c r="X56" s="752"/>
      <c r="Y56" s="952"/>
      <c r="Z56" s="128"/>
      <c r="AA56" s="800"/>
      <c r="AB56" s="97" t="s">
        <v>64</v>
      </c>
      <c r="AC56" s="382"/>
      <c r="AD56" s="960" t="s">
        <v>225</v>
      </c>
      <c r="AE56" s="960" t="str">
        <f t="shared" si="13" ref="AE56:BN56">$AD$14</f>
        <v>As of</v>
      </c>
      <c r="AF56" s="960" t="str">
        <f t="shared" si="13"/>
        <v>As of</v>
      </c>
      <c r="AG56" s="960" t="str">
        <f t="shared" si="13"/>
        <v>As of</v>
      </c>
      <c r="AH56" s="960" t="str">
        <f t="shared" si="13"/>
        <v>As of</v>
      </c>
      <c r="AI56" s="960" t="str">
        <f t="shared" si="13"/>
        <v>As of</v>
      </c>
      <c r="AJ56" s="960" t="str">
        <f t="shared" si="13"/>
        <v>As of</v>
      </c>
      <c r="AK56" s="960" t="str">
        <f t="shared" si="13"/>
        <v>As of</v>
      </c>
      <c r="AL56" s="960" t="str">
        <f t="shared" si="13"/>
        <v>As of</v>
      </c>
      <c r="AM56" s="960" t="str">
        <f t="shared" si="13"/>
        <v>As of</v>
      </c>
      <c r="AN56" s="960" t="str">
        <f t="shared" si="13"/>
        <v>As of</v>
      </c>
      <c r="AO56" s="960" t="str">
        <f t="shared" si="13"/>
        <v>As of</v>
      </c>
      <c r="AP56" s="960" t="str">
        <f t="shared" si="13"/>
        <v>As of</v>
      </c>
      <c r="AQ56" s="960" t="str">
        <f t="shared" si="13"/>
        <v>As of</v>
      </c>
      <c r="AR56" s="960" t="str">
        <f t="shared" si="13"/>
        <v>As of</v>
      </c>
      <c r="AS56" s="960" t="str">
        <f t="shared" si="13"/>
        <v>As of</v>
      </c>
      <c r="AT56" s="960" t="str">
        <f t="shared" si="13"/>
        <v>As of</v>
      </c>
      <c r="AU56" s="960" t="str">
        <f t="shared" si="13"/>
        <v>As of</v>
      </c>
      <c r="AV56" s="960" t="str">
        <f t="shared" si="13"/>
        <v>As of</v>
      </c>
      <c r="AW56" s="960" t="str">
        <f t="shared" si="13"/>
        <v>As of</v>
      </c>
      <c r="AX56" s="960" t="str">
        <f t="shared" si="13"/>
        <v>As of</v>
      </c>
      <c r="AY56" s="960" t="str">
        <f t="shared" si="13"/>
        <v>As of</v>
      </c>
      <c r="AZ56" s="960" t="str">
        <f t="shared" si="13"/>
        <v>As of</v>
      </c>
      <c r="BA56" s="960" t="str">
        <f t="shared" si="13"/>
        <v>As of</v>
      </c>
      <c r="BB56" s="960" t="str">
        <f t="shared" si="13"/>
        <v>As of</v>
      </c>
      <c r="BC56" s="960" t="str">
        <f t="shared" si="13"/>
        <v>As of</v>
      </c>
      <c r="BD56" s="960" t="str">
        <f t="shared" si="13"/>
        <v>As of</v>
      </c>
      <c r="BE56" s="960" t="str">
        <f t="shared" si="13"/>
        <v>As of</v>
      </c>
      <c r="BF56" s="960" t="str">
        <f t="shared" si="13"/>
        <v>As of</v>
      </c>
      <c r="BG56" s="960" t="str">
        <f t="shared" si="13"/>
        <v>As of</v>
      </c>
      <c r="BH56" s="960" t="str">
        <f t="shared" si="13"/>
        <v>As of</v>
      </c>
      <c r="BI56" s="960" t="str">
        <f t="shared" si="13"/>
        <v>As of</v>
      </c>
      <c r="BJ56" s="960" t="str">
        <f t="shared" si="13"/>
        <v>As of</v>
      </c>
      <c r="BK56" s="960" t="str">
        <f t="shared" si="13"/>
        <v>As of</v>
      </c>
      <c r="BL56" s="960" t="str">
        <f t="shared" si="13"/>
        <v>As of</v>
      </c>
      <c r="BM56" s="960" t="str">
        <f t="shared" si="13"/>
        <v>As of</v>
      </c>
      <c r="BN56" s="1803" t="str">
        <f t="shared" si="13"/>
        <v>As of</v>
      </c>
      <c r="BO56" s="1803"/>
      <c r="BP56" s="1803"/>
      <c r="BQ56" s="1803"/>
      <c r="BR56" s="1803"/>
      <c r="BS56" s="1803"/>
      <c r="BT56" s="1803"/>
      <c r="BU56" s="1803"/>
      <c r="BV56" s="1803"/>
      <c r="BW56" s="1803"/>
      <c r="BX56" s="1803"/>
      <c r="BY56" s="1803"/>
      <c r="BZ56" s="1803"/>
      <c r="CA56" s="926"/>
      <c r="CB56" s="921"/>
      <c r="CC56" s="958"/>
      <c r="CD56" s="1341"/>
      <c r="CE56" s="1342"/>
      <c r="CF56" s="88"/>
      <c r="CG56" s="1792"/>
      <c r="CH56" s="1793"/>
      <c r="CI56" s="200"/>
    </row>
    <row r="57" spans="1:87" ht="15.75" customHeight="1">
      <c r="A57" s="1626"/>
      <c r="B57" s="811" t="str" cm="1">
        <f t="array" ref="B57">IFBLANK(_BS!F57,"")</f>
        <v/>
      </c>
      <c r="C57" s="811" t="str" cm="1">
        <f t="array" ref="C57">IFBLANK(_BS!C57,"")</f>
        <v/>
      </c>
      <c r="D57" s="811" t="str" cm="1">
        <f t="array" ref="D57">IFBLANK(_BS!D57,"")</f>
        <v/>
      </c>
      <c r="E57" s="1902"/>
      <c r="F57" s="1897"/>
      <c r="G57" s="1897"/>
      <c r="H57" s="401"/>
      <c r="I57" s="401"/>
      <c r="J57" s="401"/>
      <c r="N57" s="158"/>
      <c r="O57" s="101"/>
      <c r="P57" s="52"/>
      <c r="Q57" s="101"/>
      <c r="R57" s="126"/>
      <c r="S57" s="101"/>
      <c r="T57" s="101"/>
      <c r="U57" s="39"/>
      <c r="W57" s="938"/>
      <c r="X57" s="752"/>
      <c r="Y57" s="1818"/>
      <c r="Z57" s="124"/>
      <c r="AA57" s="800"/>
      <c r="AB57" s="97" t="s">
        <v>80</v>
      </c>
      <c r="AC57" s="382"/>
      <c r="AD57" s="1003" t="e" cm="1">
        <f t="array" ca="1" aca="1" ref="AD57">IF(MONTH(AD54)=MONTH(val_currentFYE),1,IF(MOD(MONTH(AD$11)-MONTH(val_currentFYE),3)=0,2,0))</f>
        <v>#NAME?</v>
      </c>
      <c r="AE57" s="1003" t="e" cm="1">
        <f t="array" ca="1" aca="1" ref="AE57">IF(MONTH(AE54)=MONTH(val_currentFYE),1,IF(MOD(MONTH(AE$11)-MONTH(val_currentFYE),3)=0,2,0))</f>
        <v>#NAME?</v>
      </c>
      <c r="AF57" s="1003" t="e" cm="1">
        <f t="array" ca="1" aca="1" ref="AF57">IF(MONTH(AF54)=MONTH(val_currentFYE),1,IF(MOD(MONTH(AF$11)-MONTH(val_currentFYE),3)=0,2,0))</f>
        <v>#NAME?</v>
      </c>
      <c r="AG57" s="1003" t="e" cm="1">
        <f t="array" ca="1" aca="1" ref="AG57">IF(MONTH(AG54)=MONTH(val_currentFYE),1,IF(MOD(MONTH(AG$11)-MONTH(val_currentFYE),3)=0,2,0))</f>
        <v>#NAME?</v>
      </c>
      <c r="AH57" s="1003" t="e" cm="1">
        <f t="array" ca="1" aca="1" ref="AH57">IF(MONTH(AH54)=MONTH(val_currentFYE),1,IF(MOD(MONTH(AH$11)-MONTH(val_currentFYE),3)=0,2,0))</f>
        <v>#NAME?</v>
      </c>
      <c r="AI57" s="1003" t="e" cm="1">
        <f t="array" ca="1" aca="1" ref="AI57">IF(MONTH(AI54)=MONTH(val_currentFYE),1,IF(MOD(MONTH(AI$11)-MONTH(val_currentFYE),3)=0,2,0))</f>
        <v>#NAME?</v>
      </c>
      <c r="AJ57" s="1003" t="e" cm="1">
        <f t="array" ca="1" aca="1" ref="AJ57">IF(MONTH(AJ54)=MONTH(val_currentFYE),1,IF(MOD(MONTH(AJ$11)-MONTH(val_currentFYE),3)=0,2,0))</f>
        <v>#NAME?</v>
      </c>
      <c r="AK57" s="1003" t="e" cm="1">
        <f t="array" ca="1" aca="1" ref="AK57">IF(MONTH(AK54)=MONTH(val_currentFYE),1,IF(MOD(MONTH(AK$11)-MONTH(val_currentFYE),3)=0,2,0))</f>
        <v>#NAME?</v>
      </c>
      <c r="AL57" s="1003" t="e" cm="1">
        <f t="array" ca="1" aca="1" ref="AL57">IF(MONTH(AL54)=MONTH(val_currentFYE),1,IF(MOD(MONTH(AL$11)-MONTH(val_currentFYE),3)=0,2,0))</f>
        <v>#NAME?</v>
      </c>
      <c r="AM57" s="1003" t="e" cm="1">
        <f t="array" ca="1" aca="1" ref="AM57">IF(MONTH(AM54)=MONTH(val_currentFYE),1,IF(MOD(MONTH(AM$11)-MONTH(val_currentFYE),3)=0,2,0))</f>
        <v>#NAME?</v>
      </c>
      <c r="AN57" s="1003" t="e" cm="1">
        <f t="array" ca="1" aca="1" ref="AN57">IF(MONTH(AN54)=MONTH(val_currentFYE),1,IF(MOD(MONTH(AN$11)-MONTH(val_currentFYE),3)=0,2,0))</f>
        <v>#NAME?</v>
      </c>
      <c r="AO57" s="1003" t="e" cm="1">
        <f t="array" ca="1" aca="1" ref="AO57">IF(MONTH(AO54)=MONTH(val_currentFYE),1,IF(MOD(MONTH(AO$11)-MONTH(val_currentFYE),3)=0,2,0))</f>
        <v>#NAME?</v>
      </c>
      <c r="AP57" s="1003" t="e" cm="1">
        <f t="array" ca="1" aca="1" ref="AP57">IF(MONTH(AP54)=MONTH(val_currentFYE),1,IF(MOD(MONTH(AP$11)-MONTH(val_currentFYE),3)=0,2,0))</f>
        <v>#NAME?</v>
      </c>
      <c r="AQ57" s="1003" t="e" cm="1">
        <f t="array" ca="1" aca="1" ref="AQ57">IF(MONTH(AQ54)=MONTH(val_currentFYE),1,IF(MOD(MONTH(AQ$11)-MONTH(val_currentFYE),3)=0,2,0))</f>
        <v>#NAME?</v>
      </c>
      <c r="AR57" s="1003" t="e" cm="1">
        <f t="array" ca="1" aca="1" ref="AR57">IF(MONTH(AR54)=MONTH(val_currentFYE),1,IF(MOD(MONTH(AR$11)-MONTH(val_currentFYE),3)=0,2,0))</f>
        <v>#NAME?</v>
      </c>
      <c r="AS57" s="1003" t="e" cm="1">
        <f t="array" ca="1" aca="1" ref="AS57">IF(MONTH(AS54)=MONTH(val_currentFYE),1,IF(MOD(MONTH(AS$11)-MONTH(val_currentFYE),3)=0,2,0))</f>
        <v>#NAME?</v>
      </c>
      <c r="AT57" s="1003" t="e" cm="1">
        <f t="array" ca="1" aca="1" ref="AT57">IF(MONTH(AT54)=MONTH(val_currentFYE),1,IF(MOD(MONTH(AT$11)-MONTH(val_currentFYE),3)=0,2,0))</f>
        <v>#NAME?</v>
      </c>
      <c r="AU57" s="1003" t="e" cm="1">
        <f t="array" ca="1" aca="1" ref="AU57">IF(MONTH(AU54)=MONTH(val_currentFYE),1,IF(MOD(MONTH(AU$11)-MONTH(val_currentFYE),3)=0,2,0))</f>
        <v>#NAME?</v>
      </c>
      <c r="AV57" s="1003" t="e" cm="1">
        <f t="array" ca="1" aca="1" ref="AV57">IF(MONTH(AV54)=MONTH(val_currentFYE),1,IF(MOD(MONTH(AV$11)-MONTH(val_currentFYE),3)=0,2,0))</f>
        <v>#NAME?</v>
      </c>
      <c r="AW57" s="1003" t="e" cm="1">
        <f t="array" ca="1" aca="1" ref="AW57">IF(MONTH(AW54)=MONTH(val_currentFYE),1,IF(MOD(MONTH(AW$11)-MONTH(val_currentFYE),3)=0,2,0))</f>
        <v>#NAME?</v>
      </c>
      <c r="AX57" s="1003" t="e" cm="1">
        <f t="array" ca="1" aca="1" ref="AX57">IF(MONTH(AX54)=MONTH(val_currentFYE),1,IF(MOD(MONTH(AX$11)-MONTH(val_currentFYE),3)=0,2,0))</f>
        <v>#NAME?</v>
      </c>
      <c r="AY57" s="1003" t="e" cm="1">
        <f t="array" ca="1" aca="1" ref="AY57">IF(MONTH(AY54)=MONTH(val_currentFYE),1,IF(MOD(MONTH(AY$11)-MONTH(val_currentFYE),3)=0,2,0))</f>
        <v>#NAME?</v>
      </c>
      <c r="AZ57" s="1003" t="e" cm="1">
        <f t="array" ca="1" aca="1" ref="AZ57">IF(MONTH(AZ54)=MONTH(val_currentFYE),1,IF(MOD(MONTH(AZ$11)-MONTH(val_currentFYE),3)=0,2,0))</f>
        <v>#NAME?</v>
      </c>
      <c r="BA57" s="1003" t="e" cm="1">
        <f t="array" ca="1" aca="1" ref="BA57">IF(MONTH(BA54)=MONTH(val_currentFYE),1,IF(MOD(MONTH(BA$11)-MONTH(val_currentFYE),3)=0,2,0))</f>
        <v>#NAME?</v>
      </c>
      <c r="BB57" s="1003" t="e" cm="1">
        <f t="array" ca="1" aca="1" ref="BB57">IF(MONTH(BB54)=MONTH(val_currentFYE),1,IF(MOD(MONTH(BB$11)-MONTH(val_currentFYE),3)=0,2,0))</f>
        <v>#NAME?</v>
      </c>
      <c r="BC57" s="1003" t="e" cm="1">
        <f t="array" ca="1" aca="1" ref="BC57">IF(MONTH(BC54)=MONTH(val_currentFYE),1,IF(MOD(MONTH(BC$11)-MONTH(val_currentFYE),3)=0,2,0))</f>
        <v>#NAME?</v>
      </c>
      <c r="BD57" s="1003" t="e" cm="1">
        <f t="array" ca="1" aca="1" ref="BD57">IF(MONTH(BD54)=MONTH(val_currentFYE),1,IF(MOD(MONTH(BD$11)-MONTH(val_currentFYE),3)=0,2,0))</f>
        <v>#NAME?</v>
      </c>
      <c r="BE57" s="1003" t="e" cm="1">
        <f t="array" ca="1" aca="1" ref="BE57">IF(MONTH(BE54)=MONTH(val_currentFYE),1,IF(MOD(MONTH(BE$11)-MONTH(val_currentFYE),3)=0,2,0))</f>
        <v>#NAME?</v>
      </c>
      <c r="BF57" s="1003" t="e" cm="1">
        <f t="array" ca="1" aca="1" ref="BF57">IF(MONTH(BF54)=MONTH(val_currentFYE),1,IF(MOD(MONTH(BF$11)-MONTH(val_currentFYE),3)=0,2,0))</f>
        <v>#NAME?</v>
      </c>
      <c r="BG57" s="1003" t="e" cm="1">
        <f t="array" ca="1" aca="1" ref="BG57">IF(MONTH(BG54)=MONTH(val_currentFYE),1,IF(MOD(MONTH(BG$11)-MONTH(val_currentFYE),3)=0,2,0))</f>
        <v>#NAME?</v>
      </c>
      <c r="BH57" s="1003" t="e" cm="1">
        <f t="array" ca="1" aca="1" ref="BH57">IF(MONTH(BH54)=MONTH(val_currentFYE),1,IF(MOD(MONTH(BH$11)-MONTH(val_currentFYE),3)=0,2,0))</f>
        <v>#NAME?</v>
      </c>
      <c r="BI57" s="1003" t="e" cm="1">
        <f t="array" ca="1" aca="1" ref="BI57">IF(MONTH(BI54)=MONTH(val_currentFYE),1,IF(MOD(MONTH(BI$11)-MONTH(val_currentFYE),3)=0,2,0))</f>
        <v>#NAME?</v>
      </c>
      <c r="BJ57" s="1003" t="e" cm="1">
        <f t="array" ca="1" aca="1" ref="BJ57">IF(MONTH(BJ54)=MONTH(val_currentFYE),1,IF(MOD(MONTH(BJ$11)-MONTH(val_currentFYE),3)=0,2,0))</f>
        <v>#NAME?</v>
      </c>
      <c r="BK57" s="1003" t="e" cm="1">
        <f t="array" ca="1" aca="1" ref="BK57">IF(MONTH(BK54)=MONTH(val_currentFYE),1,IF(MOD(MONTH(BK$11)-MONTH(val_currentFYE),3)=0,2,0))</f>
        <v>#NAME?</v>
      </c>
      <c r="BL57" s="1003" t="e" cm="1">
        <f t="array" ca="1" aca="1" ref="BL57">IF(MONTH(BL54)=MONTH(val_currentFYE),1,IF(MOD(MONTH(BL$11)-MONTH(val_currentFYE),3)=0,2,0))</f>
        <v>#NAME?</v>
      </c>
      <c r="BM57" s="1003" t="e" cm="1">
        <f t="array" ca="1" aca="1" ref="BM57">IF(MONTH(BM54)=MONTH(val_currentFYE),1,IF(MOD(MONTH(BM$11)-MONTH(val_currentFYE),3)=0,2,0))</f>
        <v>#NAME?</v>
      </c>
      <c r="BN57" s="1004" t="e" cm="1">
        <f t="array" ca="1" aca="1" ref="BN57">IF(MONTH(BN54)=MONTH(val_currentFYE),1,IF(MOD(MONTH(BN$11)-MONTH(val_currentFYE),3)=0,2,0))</f>
        <v>#NAME?</v>
      </c>
      <c r="BO57" s="388"/>
      <c r="BP57" s="388"/>
      <c r="BQ57" s="388"/>
      <c r="BR57" s="388"/>
      <c r="BS57" s="388"/>
      <c r="BT57" s="388"/>
      <c r="BU57" s="388"/>
      <c r="BV57" s="388"/>
      <c r="BW57" s="388"/>
      <c r="BX57" s="388"/>
      <c r="BY57" s="388"/>
      <c r="BZ57" s="388"/>
      <c r="CA57" s="926"/>
      <c r="CB57" s="921"/>
      <c r="CC57" s="958"/>
      <c r="CD57" s="1755" t="s">
        <v>65</v>
      </c>
      <c r="CE57" s="1756" t="s">
        <v>65</v>
      </c>
      <c r="CF57" s="88"/>
      <c r="CG57" s="1965" t="s">
        <v>54</v>
      </c>
      <c r="CH57" s="1966" t="s">
        <v>54</v>
      </c>
      <c r="CI57" s="200"/>
    </row>
    <row r="58" spans="1:87" ht="18">
      <c r="A58" s="1626"/>
      <c r="B58" s="811" t="str" cm="1">
        <f t="array" ref="B58">IFBLANK(_BS!F58,"")</f>
        <v/>
      </c>
      <c r="C58" s="811" t="str" cm="1">
        <f t="array" ref="C58">IFBLANK(_BS!C58,"")</f>
        <v/>
      </c>
      <c r="D58" s="811" t="str" cm="1">
        <f t="array" ref="D58">IFBLANK(_BS!D58,"")</f>
        <v/>
      </c>
      <c r="E58" s="1902"/>
      <c r="F58" s="1897"/>
      <c r="G58" s="1897"/>
      <c r="H58" s="401"/>
      <c r="I58" s="401"/>
      <c r="J58" s="401"/>
      <c r="N58" s="158"/>
      <c r="O58" s="101"/>
      <c r="P58" s="288"/>
      <c r="Q58" s="288"/>
      <c r="R58" s="101"/>
      <c r="S58" s="101"/>
      <c r="T58" s="101"/>
      <c r="U58" s="39"/>
      <c r="W58" s="3045" t="str">
        <f>_BS!W58</f>
        <v>Budget</v>
      </c>
      <c r="X58" s="3065"/>
      <c r="Y58" s="3063" t="s">
        <v>226</v>
      </c>
      <c r="Z58" s="804" t="s">
        <v>82</v>
      </c>
      <c r="AA58" s="784"/>
      <c r="AB58" s="281"/>
      <c r="AC58" s="1989"/>
      <c r="AD58" s="859" cm="1">
        <f t="array" ca="1" aca="1" ref="AD58:AD59">fx_checkComp(AD61:AD91)</f>
        <v>100</v>
      </c>
      <c r="AE58" s="859" cm="1">
        <f t="array" ca="1" aca="1" ref="AE58:AE59">fx_checkComp(AE61:AE91)</f>
        <v>100</v>
      </c>
      <c r="AF58" s="859" cm="1">
        <f t="array" ca="1" aca="1" ref="AF58:AF59">fx_checkComp(AF61:AF91)</f>
        <v>100</v>
      </c>
      <c r="AG58" s="859" cm="1">
        <f t="array" ca="1" aca="1" ref="AG58:AG59">fx_checkComp(AG61:AG91)</f>
        <v>100</v>
      </c>
      <c r="AH58" s="859" cm="1">
        <f t="array" ca="1" aca="1" ref="AH58:AH59">fx_checkComp(AH61:AH91)</f>
        <v>100</v>
      </c>
      <c r="AI58" s="859" cm="1">
        <f t="array" ca="1" aca="1" ref="AI58:AI59">fx_checkComp(AI61:AI91)</f>
        <v>100</v>
      </c>
      <c r="AJ58" s="859" cm="1">
        <f t="array" ca="1" aca="1" ref="AJ58:AJ59">fx_checkComp(AJ61:AJ91)</f>
        <v>100</v>
      </c>
      <c r="AK58" s="859" cm="1">
        <f t="array" ca="1" aca="1" ref="AK58:AK59">fx_checkComp(AK61:AK91)</f>
        <v>100</v>
      </c>
      <c r="AL58" s="859" cm="1">
        <f t="array" ca="1" aca="1" ref="AL58:AL59">fx_checkComp(AL61:AL91)</f>
        <v>100</v>
      </c>
      <c r="AM58" s="859" cm="1">
        <f t="array" ca="1" aca="1" ref="AM58:AM59">fx_checkComp(AM61:AM91)</f>
        <v>100</v>
      </c>
      <c r="AN58" s="859" cm="1">
        <f t="array" ca="1" aca="1" ref="AN58:AN59">fx_checkComp(AN61:AN91)</f>
        <v>100</v>
      </c>
      <c r="AO58" s="859" cm="1">
        <f t="array" ca="1" aca="1" ref="AO58:AO59">fx_checkComp(AO61:AO91)</f>
        <v>100</v>
      </c>
      <c r="AP58" s="859" cm="1">
        <f t="array" ca="1" aca="1" ref="AP58:AP59">fx_checkComp(AP61:AP91)</f>
        <v>100</v>
      </c>
      <c r="AQ58" s="859" cm="1">
        <f t="array" ca="1" aca="1" ref="AQ58:AQ59">fx_checkComp(AQ61:AQ91)</f>
        <v>100</v>
      </c>
      <c r="AR58" s="859" cm="1">
        <f t="array" ca="1" aca="1" ref="AR58:AR59">fx_checkComp(AR61:AR91)</f>
        <v>100</v>
      </c>
      <c r="AS58" s="859" cm="1">
        <f t="array" ca="1" aca="1" ref="AS58:AS59">fx_checkComp(AS61:AS91)</f>
        <v>100</v>
      </c>
      <c r="AT58" s="859" cm="1">
        <f t="array" ca="1" aca="1" ref="AT58:AT59">fx_checkComp(AT61:AT91)</f>
        <v>100</v>
      </c>
      <c r="AU58" s="859" cm="1">
        <f t="array" ca="1" aca="1" ref="AU58:AU59">fx_checkComp(AU61:AU91)</f>
        <v>100</v>
      </c>
      <c r="AV58" s="859" cm="1">
        <f t="array" ca="1" aca="1" ref="AV58:AV59">fx_checkComp(AV61:AV91)</f>
        <v>100</v>
      </c>
      <c r="AW58" s="859" cm="1">
        <f t="array" ca="1" aca="1" ref="AW58:AW59">fx_checkComp(AW61:AW91)</f>
        <v>100</v>
      </c>
      <c r="AX58" s="859" cm="1">
        <f t="array" ca="1" aca="1" ref="AX58:AX59">fx_checkComp(AX61:AX91)</f>
        <v>100</v>
      </c>
      <c r="AY58" s="859" cm="1">
        <f t="array" ca="1" aca="1" ref="AY58:AY59">fx_checkComp(AY61:AY91)</f>
        <v>100</v>
      </c>
      <c r="AZ58" s="859" cm="1">
        <f t="array" ca="1" aca="1" ref="AZ58:AZ59">fx_checkComp(AZ61:AZ91)</f>
        <v>100</v>
      </c>
      <c r="BA58" s="859" cm="1">
        <f t="array" ca="1" aca="1" ref="BA58:BA59">fx_checkComp(BA61:BA91)</f>
        <v>100</v>
      </c>
      <c r="BB58" s="859" cm="1">
        <f t="array" ca="1" aca="1" ref="BB58:BB59">fx_checkComp(BB61:BB91)</f>
        <v>100</v>
      </c>
      <c r="BC58" s="859" cm="1">
        <f t="array" ca="1" aca="1" ref="BC58:BC59">fx_checkComp(BC61:BC91)</f>
        <v>100</v>
      </c>
      <c r="BD58" s="859" cm="1">
        <f t="array" ca="1" aca="1" ref="BD58:BD59">fx_checkComp(BD61:BD91)</f>
        <v>100</v>
      </c>
      <c r="BE58" s="859" cm="1">
        <f t="array" ca="1" aca="1" ref="BE58:BE59">fx_checkComp(BE61:BE91)</f>
        <v>100</v>
      </c>
      <c r="BF58" s="859" cm="1">
        <f t="array" ca="1" aca="1" ref="BF58:BF59">fx_checkComp(BF61:BF91)</f>
        <v>100</v>
      </c>
      <c r="BG58" s="859" cm="1">
        <f t="array" ca="1" aca="1" ref="BG58:BG59">fx_checkComp(BG61:BG91)</f>
        <v>100</v>
      </c>
      <c r="BH58" s="859" cm="1">
        <f t="array" ca="1" aca="1" ref="BH58:BH59">fx_checkComp(BH61:BH91)</f>
        <v>100</v>
      </c>
      <c r="BI58" s="859" cm="1">
        <f t="array" ca="1" aca="1" ref="BI58:BI59">fx_checkComp(BI61:BI91)</f>
        <v>100</v>
      </c>
      <c r="BJ58" s="859" cm="1">
        <f t="array" ca="1" aca="1" ref="BJ58:BJ59">fx_checkComp(BJ61:BJ91)</f>
        <v>100</v>
      </c>
      <c r="BK58" s="859" cm="1">
        <f t="array" ca="1" aca="1" ref="BK58:BK59">fx_checkComp(BK61:BK91)</f>
        <v>100</v>
      </c>
      <c r="BL58" s="859" cm="1">
        <f t="array" ca="1" aca="1" ref="BL58:BL59">fx_checkComp(BL61:BL91)</f>
        <v>100</v>
      </c>
      <c r="BM58" s="859" cm="1">
        <f t="array" ca="1" aca="1" ref="BM58:BM59">fx_checkComp(BM61:BM91)</f>
        <v>100</v>
      </c>
      <c r="BN58" s="1804" cm="1">
        <f t="array" ca="1" aca="1" ref="BN58:BN59">fx_checkComp(BN61:BN91)</f>
        <v>100</v>
      </c>
      <c r="BO58" s="1804"/>
      <c r="BP58" s="1804"/>
      <c r="BQ58" s="1804"/>
      <c r="BR58" s="1804"/>
      <c r="BS58" s="1804"/>
      <c r="BT58" s="1804"/>
      <c r="BU58" s="1804"/>
      <c r="BV58" s="1804"/>
      <c r="BW58" s="1804"/>
      <c r="BX58" s="1804"/>
      <c r="BY58" s="1804"/>
      <c r="BZ58" s="1804"/>
      <c r="CA58" s="926"/>
      <c r="CB58" s="921"/>
      <c r="CC58" s="927"/>
      <c r="CD58" s="1341"/>
      <c r="CE58" s="1342"/>
      <c r="CF58" s="88"/>
      <c r="CG58" s="1798" t="str" cm="1">
        <f t="array" ca="1" aca="1" ref="CG58">IFERROR(fx_checkComp(CG61:CG91),"")</f>
        <v/>
      </c>
      <c r="CH58" s="1798" t="str" cm="1">
        <f t="array" ca="1" aca="1" ref="CH58">IFERROR(fx_checkComp(CH61:CH91),"")</f>
        <v/>
      </c>
      <c r="CI58" s="200"/>
    </row>
    <row r="59" spans="1:87" ht="18">
      <c r="A59" s="1626"/>
      <c r="B59" s="811"/>
      <c r="C59" s="811"/>
      <c r="D59" s="811"/>
      <c r="E59" s="401"/>
      <c r="F59" s="401"/>
      <c r="G59" s="401"/>
      <c r="H59" s="401"/>
      <c r="I59" s="401"/>
      <c r="J59" s="401"/>
      <c r="L59" s="902"/>
      <c r="M59" s="902"/>
      <c r="N59" s="1573"/>
      <c r="O59" s="1574"/>
      <c r="P59" s="1574"/>
      <c r="Q59" s="1574"/>
      <c r="R59" s="1574"/>
      <c r="S59" s="1574"/>
      <c r="T59" s="1574"/>
      <c r="U59" s="1575"/>
      <c r="V59" s="902"/>
      <c r="W59" s="3046"/>
      <c r="X59" s="3066"/>
      <c r="Y59" s="3064"/>
      <c r="Z59" s="124"/>
      <c r="AA59" s="1576"/>
      <c r="AB59" s="1577"/>
      <c r="AC59" s="1217"/>
      <c r="AD59" s="1579" t="str">
        <f ca="1"/>
        <v>O: 9 / 9</v>
      </c>
      <c r="AE59" s="1579" t="str">
        <f ca="1"/>
        <v>O: 9 / 9</v>
      </c>
      <c r="AF59" s="1579" t="str">
        <f ca="1"/>
        <v>O: 9 / 9</v>
      </c>
      <c r="AG59" s="1579" t="str">
        <f ca="1"/>
        <v>O: 9 / 9</v>
      </c>
      <c r="AH59" s="1579" t="str">
        <f ca="1"/>
        <v>O: 9 / 9</v>
      </c>
      <c r="AI59" s="1579" t="str">
        <f ca="1"/>
        <v>O: 9 / 9</v>
      </c>
      <c r="AJ59" s="1579" t="str">
        <f ca="1"/>
        <v>O: 9 / 9</v>
      </c>
      <c r="AK59" s="1579" t="str">
        <f ca="1"/>
        <v>O: 9 / 9</v>
      </c>
      <c r="AL59" s="1579" t="str">
        <f ca="1"/>
        <v>O: 9 / 9</v>
      </c>
      <c r="AM59" s="1579" t="str">
        <f ca="1"/>
        <v>O: 9 / 9</v>
      </c>
      <c r="AN59" s="1579" t="str">
        <f ca="1"/>
        <v>O: 9 / 9</v>
      </c>
      <c r="AO59" s="1579" t="str">
        <f ca="1"/>
        <v>O: 9 / 9</v>
      </c>
      <c r="AP59" s="1579" t="str">
        <f ca="1"/>
        <v>O: 9 / 9</v>
      </c>
      <c r="AQ59" s="1579" t="str">
        <f ca="1"/>
        <v>O: 9 / 9</v>
      </c>
      <c r="AR59" s="1579" t="str">
        <f ca="1"/>
        <v>O: 9 / 9</v>
      </c>
      <c r="AS59" s="1579" t="str">
        <f ca="1"/>
        <v>O: 9 / 9</v>
      </c>
      <c r="AT59" s="1579" t="str">
        <f ca="1"/>
        <v>O: 9 / 9</v>
      </c>
      <c r="AU59" s="1579" t="str">
        <f ca="1"/>
        <v>O: 9 / 9</v>
      </c>
      <c r="AV59" s="1579" t="str">
        <f ca="1"/>
        <v>O: 9 / 9</v>
      </c>
      <c r="AW59" s="1579" t="str">
        <f ca="1"/>
        <v>O: 9 / 9</v>
      </c>
      <c r="AX59" s="1579" t="str">
        <f ca="1"/>
        <v>O: 9 / 9</v>
      </c>
      <c r="AY59" s="1579" t="str">
        <f ca="1"/>
        <v>O: 9 / 9</v>
      </c>
      <c r="AZ59" s="1579" t="str">
        <f ca="1"/>
        <v>O: 9 / 9</v>
      </c>
      <c r="BA59" s="1579" t="str">
        <f ca="1"/>
        <v>O: 9 / 9</v>
      </c>
      <c r="BB59" s="1579" t="str">
        <f ca="1"/>
        <v>O: 9 / 9</v>
      </c>
      <c r="BC59" s="1579" t="str">
        <f ca="1"/>
        <v>O: 9 / 9</v>
      </c>
      <c r="BD59" s="1579" t="str">
        <f ca="1"/>
        <v>O: 9 / 9</v>
      </c>
      <c r="BE59" s="1579" t="str">
        <f ca="1"/>
        <v>O: 9 / 9</v>
      </c>
      <c r="BF59" s="1579" t="str">
        <f ca="1"/>
        <v>O: 9 / 9</v>
      </c>
      <c r="BG59" s="1579" t="str">
        <f ca="1"/>
        <v>O: 9 / 9</v>
      </c>
      <c r="BH59" s="1579" t="str">
        <f ca="1"/>
        <v>O: 9 / 9</v>
      </c>
      <c r="BI59" s="1579" t="str">
        <f ca="1"/>
        <v>O: 9 / 9</v>
      </c>
      <c r="BJ59" s="1579" t="str">
        <f ca="1"/>
        <v>O: 9 / 9</v>
      </c>
      <c r="BK59" s="1579" t="str">
        <f ca="1"/>
        <v>O: 9 / 9</v>
      </c>
      <c r="BL59" s="1579" t="str">
        <f ca="1"/>
        <v>O: 9 / 9</v>
      </c>
      <c r="BM59" s="1579" t="str">
        <f ca="1"/>
        <v>O: 9 / 9</v>
      </c>
      <c r="BN59" s="1580" t="str">
        <f ca="1"/>
        <v>O: 9 / 9</v>
      </c>
      <c r="BO59" s="2113"/>
      <c r="BP59" s="2113"/>
      <c r="BQ59" s="2113"/>
      <c r="BR59" s="2113"/>
      <c r="BS59" s="2113"/>
      <c r="BT59" s="2113"/>
      <c r="BU59" s="2113"/>
      <c r="BV59" s="2113"/>
      <c r="BW59" s="2113"/>
      <c r="BX59" s="2113"/>
      <c r="BY59" s="2113"/>
      <c r="BZ59" s="2113"/>
      <c r="CA59" s="1581"/>
      <c r="CB59" s="1582"/>
      <c r="CC59" s="1583"/>
      <c r="CD59" s="1790"/>
      <c r="CE59" s="1791"/>
      <c r="CF59" s="885"/>
      <c r="CG59" s="1794"/>
      <c r="CH59" s="1795"/>
      <c r="CI59" s="1220"/>
    </row>
    <row r="60" spans="1:87" ht="30" customHeight="1">
      <c r="A60" s="1626"/>
      <c r="B60" s="811" t="str" cm="1">
        <f t="array" ref="B60">IFBLANK(_BS!F60,"")</f>
        <v/>
      </c>
      <c r="C60" s="811" t="str" cm="1">
        <f t="array" ref="C60">IFBLANK(_BS!C60,"")</f>
        <v/>
      </c>
      <c r="D60" s="811" t="str" cm="1">
        <f t="array" ref="D60">IFBLANK(_BS!D60,"")</f>
        <v/>
      </c>
      <c r="E60" s="401"/>
      <c r="F60" s="401"/>
      <c r="G60" s="401"/>
      <c r="H60" s="401"/>
      <c r="I60" s="401"/>
      <c r="J60" s="401"/>
      <c r="N60" s="158"/>
      <c r="O60" s="101"/>
      <c r="P60" s="52"/>
      <c r="Q60" s="101"/>
      <c r="R60" s="101"/>
      <c r="S60" s="101"/>
      <c r="T60" s="101"/>
      <c r="U60" s="39"/>
      <c r="W60" s="1225"/>
      <c r="X60" s="1232"/>
      <c r="Y60" s="1233" t="str">
        <f>val_company&amp;" Internal Accounts"</f>
        <v>Therme Horizon Internal Accounts</v>
      </c>
      <c r="Z60" s="1227"/>
      <c r="AA60" s="1227"/>
      <c r="AB60" s="1226" t="s">
        <v>227</v>
      </c>
      <c r="AC60" s="1227"/>
      <c r="AD60" s="1230" t="str" cm="1">
        <f t="array" ref="AD60">fx_scenarioConverter(W58)</f>
        <v>Budget</v>
      </c>
      <c r="AE60" s="1230" t="str">
        <f>$AD60</f>
        <v>Budget</v>
      </c>
      <c r="AF60" s="1230" t="str">
        <f t="shared" si="14" ref="AF60:BN60">$AD60</f>
        <v>Budget</v>
      </c>
      <c r="AG60" s="1230" t="str">
        <f t="shared" si="14"/>
        <v>Budget</v>
      </c>
      <c r="AH60" s="1230" t="str">
        <f t="shared" si="14"/>
        <v>Budget</v>
      </c>
      <c r="AI60" s="1230" t="str">
        <f t="shared" si="14"/>
        <v>Budget</v>
      </c>
      <c r="AJ60" s="1230" t="str">
        <f t="shared" si="14"/>
        <v>Budget</v>
      </c>
      <c r="AK60" s="1230" t="str">
        <f t="shared" si="14"/>
        <v>Budget</v>
      </c>
      <c r="AL60" s="1230" t="str">
        <f t="shared" si="14"/>
        <v>Budget</v>
      </c>
      <c r="AM60" s="1230" t="str">
        <f t="shared" si="14"/>
        <v>Budget</v>
      </c>
      <c r="AN60" s="1230" t="str">
        <f t="shared" si="14"/>
        <v>Budget</v>
      </c>
      <c r="AO60" s="1230" t="str">
        <f t="shared" si="14"/>
        <v>Budget</v>
      </c>
      <c r="AP60" s="1230" t="str">
        <f t="shared" si="14"/>
        <v>Budget</v>
      </c>
      <c r="AQ60" s="1230" t="str">
        <f t="shared" si="14"/>
        <v>Budget</v>
      </c>
      <c r="AR60" s="1230" t="str">
        <f t="shared" si="14"/>
        <v>Budget</v>
      </c>
      <c r="AS60" s="1230" t="str">
        <f t="shared" si="14"/>
        <v>Budget</v>
      </c>
      <c r="AT60" s="1230" t="str">
        <f t="shared" si="14"/>
        <v>Budget</v>
      </c>
      <c r="AU60" s="1230" t="str">
        <f t="shared" si="14"/>
        <v>Budget</v>
      </c>
      <c r="AV60" s="1230" t="str">
        <f t="shared" si="14"/>
        <v>Budget</v>
      </c>
      <c r="AW60" s="1230" t="str">
        <f t="shared" si="14"/>
        <v>Budget</v>
      </c>
      <c r="AX60" s="1230" t="str">
        <f t="shared" si="14"/>
        <v>Budget</v>
      </c>
      <c r="AY60" s="1230" t="str">
        <f t="shared" si="14"/>
        <v>Budget</v>
      </c>
      <c r="AZ60" s="1230" t="str">
        <f t="shared" si="14"/>
        <v>Budget</v>
      </c>
      <c r="BA60" s="1230" t="str">
        <f t="shared" si="14"/>
        <v>Budget</v>
      </c>
      <c r="BB60" s="1230" t="str">
        <f t="shared" si="14"/>
        <v>Budget</v>
      </c>
      <c r="BC60" s="1230" t="str">
        <f t="shared" si="14"/>
        <v>Budget</v>
      </c>
      <c r="BD60" s="1230" t="str">
        <f t="shared" si="14"/>
        <v>Budget</v>
      </c>
      <c r="BE60" s="1230" t="str">
        <f t="shared" si="14"/>
        <v>Budget</v>
      </c>
      <c r="BF60" s="1230" t="str">
        <f t="shared" si="14"/>
        <v>Budget</v>
      </c>
      <c r="BG60" s="1230" t="str">
        <f t="shared" si="14"/>
        <v>Budget</v>
      </c>
      <c r="BH60" s="1230" t="str">
        <f t="shared" si="14"/>
        <v>Budget</v>
      </c>
      <c r="BI60" s="1230" t="str">
        <f t="shared" si="14"/>
        <v>Budget</v>
      </c>
      <c r="BJ60" s="1230" t="str">
        <f t="shared" si="14"/>
        <v>Budget</v>
      </c>
      <c r="BK60" s="1230" t="str">
        <f t="shared" si="14"/>
        <v>Budget</v>
      </c>
      <c r="BL60" s="1230" t="str">
        <f t="shared" si="14"/>
        <v>Budget</v>
      </c>
      <c r="BM60" s="1230" t="str">
        <f t="shared" si="14"/>
        <v>Budget</v>
      </c>
      <c r="BN60" s="1231" t="str">
        <f t="shared" si="14"/>
        <v>Budget</v>
      </c>
      <c r="BO60" s="2112"/>
      <c r="BP60" s="2112"/>
      <c r="BQ60" s="2112"/>
      <c r="BR60" s="2112"/>
      <c r="BS60" s="2112"/>
      <c r="BT60" s="2112"/>
      <c r="BU60" s="2112"/>
      <c r="BV60" s="2112"/>
      <c r="BW60" s="2112"/>
      <c r="BX60" s="2112"/>
      <c r="BY60" s="2112"/>
      <c r="BZ60" s="2112"/>
      <c r="CA60" s="34"/>
      <c r="CC60" s="33"/>
      <c r="CD60" s="1799" t="str">
        <f t="shared" si="15" ref="CD60:CE60">$AD60</f>
        <v>Budget</v>
      </c>
      <c r="CE60" s="1800" t="str">
        <f t="shared" si="15"/>
        <v>Budget</v>
      </c>
      <c r="CF60" s="88"/>
      <c r="CG60" s="1198" t="str">
        <f>CG19</f>
        <v>Original Budget</v>
      </c>
      <c r="CH60" s="1198" t="str">
        <f>CH19</f>
        <v>LE</v>
      </c>
      <c r="CI60" s="200"/>
    </row>
    <row r="61" spans="1:131" ht="21" customHeight="1">
      <c r="A61" s="1626" t="s">
        <v>228</v>
      </c>
      <c r="B61" s="811" t="str" cm="1">
        <f t="array" ref="B61">IFBLANK(_BS!F61,"")</f>
        <v>Fixed Assets</v>
      </c>
      <c r="C61" s="811" t="str" cm="1">
        <f t="array" ref="C61">IFBLANK(_BS!C61,"")</f>
        <v>Fixed Asset (Company View)</v>
      </c>
      <c r="D61" s="1549"/>
      <c r="E61" s="1902" t="e" cm="1">
        <f t="array" ca="1" aca="1" ref="E6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61:$CH61,Z61)</f>
        <v>#NAME?</v>
      </c>
      <c r="F61" s="1897"/>
      <c r="G61" s="1897"/>
      <c r="H61" s="3280">
        <v>1</v>
      </c>
      <c r="I61" s="3280">
        <v>1</v>
      </c>
      <c r="J61" s="401"/>
      <c r="N61" s="158"/>
      <c r="O61" s="101"/>
      <c r="P61" s="52"/>
      <c r="Q61" s="101"/>
      <c r="R61" s="101"/>
      <c r="S61" s="101"/>
      <c r="T61" s="101"/>
      <c r="U61" s="39"/>
      <c r="W61" s="1290" t="str" cm="1">
        <f t="array" ref="W61">fx_scenarioConverter(W58)</f>
        <v>Budget</v>
      </c>
      <c r="X61" s="3303">
        <f>_BS!X61</f>
        <v>1</v>
      </c>
      <c r="Y61" s="3230">
        <f>Y20</f>
        <v>2</v>
      </c>
      <c r="Z61" s="198" cm="1">
        <f t="array" ref="Z61">_xlfn.SWITCH(TRUE,_BS!$L61=TRUE,1,_BS!$L61=FALSE,-1,_BS!$L61=-1,0,"n/a")</f>
        <v>-1</v>
      </c>
      <c r="AA61" s="200"/>
      <c r="AB61" s="88" t="str">
        <f>_BS!AB61</f>
        <v>Fixed Assets</v>
      </c>
      <c r="AC61" s="88" t="e" vm="5" cm="1">
        <f t="array" ca="1" aca="1" ref="AC61">_xlfn.LET(_xlpm._termname,$AB61,_xlpm._iconname,"find",_xlpm._icon,fx_getIcon(_xlpm._iconname),_xlpm._location,_xlfn.XLOOKUP(LOWER(_xlpm._termname),LOWER(tbl_acctDef[Term]),tbl_acctDef[Term]),_xlpm._hyperlink,HYPERLINK("#"&amp;CELL("address",_xlpm._location),_xlpm._icon),IFERROR(_xlpm._hyperlink,""))</f>
        <v>#VALUE!</v>
      </c>
      <c r="AD61" s="3229">
        <v>1</v>
      </c>
      <c r="AE61" s="3229">
        <v>1</v>
      </c>
      <c r="AF61" s="3229">
        <v>1</v>
      </c>
      <c r="AG61" s="3229">
        <v>1</v>
      </c>
      <c r="AH61" s="3229">
        <v>1</v>
      </c>
      <c r="AI61" s="3229">
        <v>1</v>
      </c>
      <c r="AJ61" s="3229">
        <v>1</v>
      </c>
      <c r="AK61" s="3229">
        <v>1</v>
      </c>
      <c r="AL61" s="3229">
        <v>1</v>
      </c>
      <c r="AM61" s="3229">
        <v>1</v>
      </c>
      <c r="AN61" s="3229">
        <v>1</v>
      </c>
      <c r="AO61" s="3229">
        <v>1</v>
      </c>
      <c r="AP61" s="3229">
        <v>1</v>
      </c>
      <c r="AQ61" s="3229">
        <v>1</v>
      </c>
      <c r="AR61" s="3229">
        <v>1</v>
      </c>
      <c r="AS61" s="3229">
        <v>1</v>
      </c>
      <c r="AT61" s="3229">
        <v>1</v>
      </c>
      <c r="AU61" s="3229">
        <v>1</v>
      </c>
      <c r="AV61" s="3229">
        <v>1</v>
      </c>
      <c r="AW61" s="3229">
        <v>1</v>
      </c>
      <c r="AX61" s="3229">
        <v>1</v>
      </c>
      <c r="AY61" s="3229">
        <v>1</v>
      </c>
      <c r="AZ61" s="3229">
        <v>1</v>
      </c>
      <c r="BA61" s="3229">
        <v>1</v>
      </c>
      <c r="BB61" s="3229">
        <v>1</v>
      </c>
      <c r="BC61" s="3229">
        <v>1</v>
      </c>
      <c r="BD61" s="3229">
        <v>1</v>
      </c>
      <c r="BE61" s="3229">
        <v>1</v>
      </c>
      <c r="BF61" s="3229">
        <v>1</v>
      </c>
      <c r="BG61" s="3229">
        <v>1</v>
      </c>
      <c r="BH61" s="3229">
        <v>1</v>
      </c>
      <c r="BI61" s="3229">
        <v>1</v>
      </c>
      <c r="BJ61" s="3229">
        <v>1</v>
      </c>
      <c r="BK61" s="3229">
        <v>1</v>
      </c>
      <c r="BL61" s="3229">
        <v>1</v>
      </c>
      <c r="BM61" s="3229">
        <v>1</v>
      </c>
      <c r="BN61" s="3229">
        <v>1</v>
      </c>
      <c r="BO61" s="2095"/>
      <c r="BP61" s="2095"/>
      <c r="BQ61" s="2095"/>
      <c r="BR61" s="2095"/>
      <c r="BS61" s="2095"/>
      <c r="BT61" s="2095"/>
      <c r="BU61" s="2095"/>
      <c r="BV61" s="2095"/>
      <c r="BW61" s="2095"/>
      <c r="BX61" s="2095"/>
      <c r="BY61" s="2095"/>
      <c r="BZ61" s="2095"/>
      <c r="CA61" s="926"/>
      <c r="CB61" s="921"/>
      <c r="CC61" s="927"/>
      <c r="CD61" s="928" t="e" cm="1">
        <f t="array" ca="1" aca="1" ref="CD61">_xlfn.XLOOKUP(BS!CD$11,array_timeline,BS!$AD61:$BN61)</f>
        <v>#NAME?</v>
      </c>
      <c r="CE61" s="928" t="e" cm="1">
        <f t="array" ca="1" aca="1" ref="CE61">_xlfn.XLOOKUP(BS!CE$11,array_timeline,BS!$AD61:$BN61)</f>
        <v>#NAME?</v>
      </c>
      <c r="CF61" s="925"/>
      <c r="CG61" s="2122" t="e">
        <f ca="1" t="shared" si="16" ref="CG61:CH90">CG20</f>
        <v>#NAME?</v>
      </c>
      <c r="CH61" s="2122" t="e">
        <f t="shared" ca="1" si="16"/>
        <v>#NAME?</v>
      </c>
      <c r="CI61" s="200"/>
      <c r="CQ61" s="1883" t="str" cm="1">
        <f t="array" ca="1" aca="1" ref="CQ61">IFERROR(IF(AD61*fxVal_normal=_BS!AD61,"",IF(OR(AD61="",NOT(ISNUMBER(AD61)),ISERROR(AD61),$B61=""),"",IF($I61=1,IFBLANK(_xldudf_CX_PUSH(AD61*fxVal_normal,CX_ENTITY,$B61,AD$11,AD$14,AD$60,),""),IF($I61=2,IFBLANK(_xldudf_CX_PUSH(AD61,CX_ENTITY,$B61,AD$11,AD$14,AD$60,),""),IF($I61=3,"",IFBLANK(_xldudf_CX_PUSH(AD61,CX_ENTITY,$B61,AD$11,AD$14,AD$60,),"")))))),"")</f>
        <v/>
      </c>
      <c r="CR61" s="1883" t="str" cm="1">
        <f t="array" ca="1" aca="1" ref="CR61">IFERROR(IF(AE61*fxVal_normal=_BS!AE61,"",IF(OR(AE61="",NOT(ISNUMBER(AE61)),ISERROR(AE61),$B61=""),"",IF($I61=1,IFBLANK(_xldudf_CX_PUSH(AE61*fxVal_normal,CX_ENTITY,$B61,AE$11,AE$14,AE$60,),""),IF($I61=2,IFBLANK(_xldudf_CX_PUSH(AE61,CX_ENTITY,$B61,AE$11,AE$14,AE$60,),""),IF($I61=3,"",IFBLANK(_xldudf_CX_PUSH(AE61,CX_ENTITY,$B61,AE$11,AE$14,AE$60,),"")))))),"")</f>
        <v/>
      </c>
      <c r="CS61" s="1883" t="str" cm="1">
        <f t="array" ca="1" aca="1" ref="CS61">IFERROR(IF(AF61*fxVal_normal=_BS!AF61,"",IF(OR(AF61="",NOT(ISNUMBER(AF61)),ISERROR(AF61),$B61=""),"",IF($I61=1,IFBLANK(_xldudf_CX_PUSH(AF61*fxVal_normal,CX_ENTITY,$B61,AF$11,AF$14,AF$60,),""),IF($I61=2,IFBLANK(_xldudf_CX_PUSH(AF61,CX_ENTITY,$B61,AF$11,AF$14,AF$60,),""),IF($I61=3,"",IFBLANK(_xldudf_CX_PUSH(AF61,CX_ENTITY,$B61,AF$11,AF$14,AF$60,),"")))))),"")</f>
        <v/>
      </c>
      <c r="CT61" s="1883" t="str" cm="1">
        <f t="array" ca="1" aca="1" ref="CT61">IFERROR(IF(AG61*fxVal_normal=_BS!AG61,"",IF(OR(AG61="",NOT(ISNUMBER(AG61)),ISERROR(AG61),$B61=""),"",IF($I61=1,IFBLANK(_xldudf_CX_PUSH(AG61*fxVal_normal,CX_ENTITY,$B61,AG$11,AG$14,AG$60,),""),IF($I61=2,IFBLANK(_xldudf_CX_PUSH(AG61,CX_ENTITY,$B61,AG$11,AG$14,AG$60,),""),IF($I61=3,"",IFBLANK(_xldudf_CX_PUSH(AG61,CX_ENTITY,$B61,AG$11,AG$14,AG$60,),"")))))),"")</f>
        <v/>
      </c>
      <c r="CU61" s="1883" t="str" cm="1">
        <f t="array" ca="1" aca="1" ref="CU61">IFERROR(IF(AH61*fxVal_normal=_BS!AH61,"",IF(OR(AH61="",NOT(ISNUMBER(AH61)),ISERROR(AH61),$B61=""),"",IF($I61=1,IFBLANK(_xldudf_CX_PUSH(AH61*fxVal_normal,CX_ENTITY,$B61,AH$11,AH$14,AH$60,),""),IF($I61=2,IFBLANK(_xldudf_CX_PUSH(AH61,CX_ENTITY,$B61,AH$11,AH$14,AH$60,),""),IF($I61=3,"",IFBLANK(_xldudf_CX_PUSH(AH61,CX_ENTITY,$B61,AH$11,AH$14,AH$60,),"")))))),"")</f>
        <v/>
      </c>
      <c r="CV61" s="1883" t="str" cm="1">
        <f t="array" ca="1" aca="1" ref="CV61">IFERROR(IF(AI61*fxVal_normal=_BS!AI61,"",IF(OR(AI61="",NOT(ISNUMBER(AI61)),ISERROR(AI61),$B61=""),"",IF($I61=1,IFBLANK(_xldudf_CX_PUSH(AI61*fxVal_normal,CX_ENTITY,$B61,AI$11,AI$14,AI$60,),""),IF($I61=2,IFBLANK(_xldudf_CX_PUSH(AI61,CX_ENTITY,$B61,AI$11,AI$14,AI$60,),""),IF($I61=3,"",IFBLANK(_xldudf_CX_PUSH(AI61,CX_ENTITY,$B61,AI$11,AI$14,AI$60,),"")))))),"")</f>
        <v/>
      </c>
      <c r="CW61" s="1883" t="str" cm="1">
        <f t="array" ca="1" aca="1" ref="CW61">IFERROR(IF(AJ61*fxVal_normal=_BS!AJ61,"",IF(OR(AJ61="",NOT(ISNUMBER(AJ61)),ISERROR(AJ61),$B61=""),"",IF($I61=1,IFBLANK(_xldudf_CX_PUSH(AJ61*fxVal_normal,CX_ENTITY,$B61,AJ$11,AJ$14,AJ$60,),""),IF($I61=2,IFBLANK(_xldudf_CX_PUSH(AJ61,CX_ENTITY,$B61,AJ$11,AJ$14,AJ$60,),""),IF($I61=3,"",IFBLANK(_xldudf_CX_PUSH(AJ61,CX_ENTITY,$B61,AJ$11,AJ$14,AJ$60,),"")))))),"")</f>
        <v/>
      </c>
      <c r="CX61" s="1883" t="str" cm="1">
        <f t="array" ca="1" aca="1" ref="CX61">IFERROR(IF(AK61*fxVal_normal=_BS!AK61,"",IF(OR(AK61="",NOT(ISNUMBER(AK61)),ISERROR(AK61),$B61=""),"",IF($I61=1,IFBLANK(_xldudf_CX_PUSH(AK61*fxVal_normal,CX_ENTITY,$B61,AK$11,AK$14,AK$60,),""),IF($I61=2,IFBLANK(_xldudf_CX_PUSH(AK61,CX_ENTITY,$B61,AK$11,AK$14,AK$60,),""),IF($I61=3,"",IFBLANK(_xldudf_CX_PUSH(AK61,CX_ENTITY,$B61,AK$11,AK$14,AK$60,),"")))))),"")</f>
        <v/>
      </c>
      <c r="CY61" s="1883" t="str" cm="1">
        <f t="array" ca="1" aca="1" ref="CY61">IFERROR(IF(AL61*fxVal_normal=_BS!AL61,"",IF(OR(AL61="",NOT(ISNUMBER(AL61)),ISERROR(AL61),$B61=""),"",IF($I61=1,IFBLANK(_xldudf_CX_PUSH(AL61*fxVal_normal,CX_ENTITY,$B61,AL$11,AL$14,AL$60,),""),IF($I61=2,IFBLANK(_xldudf_CX_PUSH(AL61,CX_ENTITY,$B61,AL$11,AL$14,AL$60,),""),IF($I61=3,"",IFBLANK(_xldudf_CX_PUSH(AL61,CX_ENTITY,$B61,AL$11,AL$14,AL$60,),"")))))),"")</f>
        <v/>
      </c>
      <c r="CZ61" s="1883" t="str" cm="1">
        <f t="array" ca="1" aca="1" ref="CZ61">IFERROR(IF(AM61*fxVal_normal=_BS!AM61,"",IF(OR(AM61="",NOT(ISNUMBER(AM61)),ISERROR(AM61),$B61=""),"",IF($I61=1,IFBLANK(_xldudf_CX_PUSH(AM61*fxVal_normal,CX_ENTITY,$B61,AM$11,AM$14,AM$60,),""),IF($I61=2,IFBLANK(_xldudf_CX_PUSH(AM61,CX_ENTITY,$B61,AM$11,AM$14,AM$60,),""),IF($I61=3,"",IFBLANK(_xldudf_CX_PUSH(AM61,CX_ENTITY,$B61,AM$11,AM$14,AM$60,),"")))))),"")</f>
        <v/>
      </c>
      <c r="DA61" s="1883" t="str" cm="1">
        <f t="array" ca="1" aca="1" ref="DA61">IFERROR(IF(AN61*fxVal_normal=_BS!AN61,"",IF(OR(AN61="",NOT(ISNUMBER(AN61)),ISERROR(AN61),$B61=""),"",IF($I61=1,IFBLANK(_xldudf_CX_PUSH(AN61*fxVal_normal,CX_ENTITY,$B61,AN$11,AN$14,AN$60,),""),IF($I61=2,IFBLANK(_xldudf_CX_PUSH(AN61,CX_ENTITY,$B61,AN$11,AN$14,AN$60,),""),IF($I61=3,"",IFBLANK(_xldudf_CX_PUSH(AN61,CX_ENTITY,$B61,AN$11,AN$14,AN$60,),"")))))),"")</f>
        <v/>
      </c>
      <c r="DB61" s="1883" t="str" cm="1">
        <f t="array" ca="1" aca="1" ref="DB61">IFERROR(IF(AO61*fxVal_normal=_BS!AO61,"",IF(OR(AO61="",NOT(ISNUMBER(AO61)),ISERROR(AO61),$B61=""),"",IF($I61=1,IFBLANK(_xldudf_CX_PUSH(AO61*fxVal_normal,CX_ENTITY,$B61,AO$11,AO$14,AO$60,),""),IF($I61=2,IFBLANK(_xldudf_CX_PUSH(AO61,CX_ENTITY,$B61,AO$11,AO$14,AO$60,),""),IF($I61=3,"",IFBLANK(_xldudf_CX_PUSH(AO61,CX_ENTITY,$B61,AO$11,AO$14,AO$60,),"")))))),"")</f>
        <v/>
      </c>
      <c r="DC61" s="1883" t="str" cm="1">
        <f t="array" ca="1" aca="1" ref="DC61">IFERROR(IF(AP61*fxVal_normal=_BS!AP61,"",IF(OR(AP61="",NOT(ISNUMBER(AP61)),ISERROR(AP61),$B61=""),"",IF($I61=1,IFBLANK(_xldudf_CX_PUSH(AP61*fxVal_normal,CX_ENTITY,$B61,AP$11,AP$14,AP$60,),""),IF($I61=2,IFBLANK(_xldudf_CX_PUSH(AP61,CX_ENTITY,$B61,AP$11,AP$14,AP$60,),""),IF($I61=3,"",IFBLANK(_xldudf_CX_PUSH(AP61,CX_ENTITY,$B61,AP$11,AP$14,AP$60,),"")))))),"")</f>
        <v/>
      </c>
      <c r="DD61" s="1883" t="str" cm="1">
        <f t="array" ca="1" aca="1" ref="DD61">IFERROR(IF(AQ61*fxVal_normal=_BS!AQ61,"",IF(OR(AQ61="",NOT(ISNUMBER(AQ61)),ISERROR(AQ61),$B61=""),"",IF($I61=1,IFBLANK(_xldudf_CX_PUSH(AQ61*fxVal_normal,CX_ENTITY,$B61,AQ$11,AQ$14,AQ$60,),""),IF($I61=2,IFBLANK(_xldudf_CX_PUSH(AQ61,CX_ENTITY,$B61,AQ$11,AQ$14,AQ$60,),""),IF($I61=3,"",IFBLANK(_xldudf_CX_PUSH(AQ61,CX_ENTITY,$B61,AQ$11,AQ$14,AQ$60,),"")))))),"")</f>
        <v/>
      </c>
      <c r="DE61" s="1883" t="str" cm="1">
        <f t="array" ca="1" aca="1" ref="DE61">IFERROR(IF(AR61*fxVal_normal=_BS!AR61,"",IF(OR(AR61="",NOT(ISNUMBER(AR61)),ISERROR(AR61),$B61=""),"",IF($I61=1,IFBLANK(_xldudf_CX_PUSH(AR61*fxVal_normal,CX_ENTITY,$B61,AR$11,AR$14,AR$60,),""),IF($I61=2,IFBLANK(_xldudf_CX_PUSH(AR61,CX_ENTITY,$B61,AR$11,AR$14,AR$60,),""),IF($I61=3,"",IFBLANK(_xldudf_CX_PUSH(AR61,CX_ENTITY,$B61,AR$11,AR$14,AR$60,),"")))))),"")</f>
        <v/>
      </c>
      <c r="DF61" s="1883" t="str" cm="1">
        <f t="array" ca="1" aca="1" ref="DF61">IFERROR(IF(AS61*fxVal_normal=_BS!AS61,"",IF(OR(AS61="",NOT(ISNUMBER(AS61)),ISERROR(AS61),$B61=""),"",IF($I61=1,IFBLANK(_xldudf_CX_PUSH(AS61*fxVal_normal,CX_ENTITY,$B61,AS$11,AS$14,AS$60,),""),IF($I61=2,IFBLANK(_xldudf_CX_PUSH(AS61,CX_ENTITY,$B61,AS$11,AS$14,AS$60,),""),IF($I61=3,"",IFBLANK(_xldudf_CX_PUSH(AS61,CX_ENTITY,$B61,AS$11,AS$14,AS$60,),"")))))),"")</f>
        <v/>
      </c>
      <c r="DG61" s="1883" t="str" cm="1">
        <f t="array" ca="1" aca="1" ref="DG61">IFERROR(IF(AT61*fxVal_normal=_BS!AT61,"",IF(OR(AT61="",NOT(ISNUMBER(AT61)),ISERROR(AT61),$B61=""),"",IF($I61=1,IFBLANK(_xldudf_CX_PUSH(AT61*fxVal_normal,CX_ENTITY,$B61,AT$11,AT$14,AT$60,),""),IF($I61=2,IFBLANK(_xldudf_CX_PUSH(AT61,CX_ENTITY,$B61,AT$11,AT$14,AT$60,),""),IF($I61=3,"",IFBLANK(_xldudf_CX_PUSH(AT61,CX_ENTITY,$B61,AT$11,AT$14,AT$60,),"")))))),"")</f>
        <v/>
      </c>
      <c r="DH61" s="1883" t="str" cm="1">
        <f t="array" ca="1" aca="1" ref="DH61">IFERROR(IF(AU61*fxVal_normal=_BS!AU61,"",IF(OR(AU61="",NOT(ISNUMBER(AU61)),ISERROR(AU61),$B61=""),"",IF($I61=1,IFBLANK(_xldudf_CX_PUSH(AU61*fxVal_normal,CX_ENTITY,$B61,AU$11,AU$14,AU$60,),""),IF($I61=2,IFBLANK(_xldudf_CX_PUSH(AU61,CX_ENTITY,$B61,AU$11,AU$14,AU$60,),""),IF($I61=3,"",IFBLANK(_xldudf_CX_PUSH(AU61,CX_ENTITY,$B61,AU$11,AU$14,AU$60,),"")))))),"")</f>
        <v/>
      </c>
      <c r="DI61" s="1883" t="str" cm="1">
        <f t="array" ca="1" aca="1" ref="DI61">IFERROR(IF(AV61*fxVal_normal=_BS!AV61,"",IF(OR(AV61="",NOT(ISNUMBER(AV61)),ISERROR(AV61),$B61=""),"",IF($I61=1,IFBLANK(_xldudf_CX_PUSH(AV61*fxVal_normal,CX_ENTITY,$B61,AV$11,AV$14,AV$60,),""),IF($I61=2,IFBLANK(_xldudf_CX_PUSH(AV61,CX_ENTITY,$B61,AV$11,AV$14,AV$60,),""),IF($I61=3,"",IFBLANK(_xldudf_CX_PUSH(AV61,CX_ENTITY,$B61,AV$11,AV$14,AV$60,),"")))))),"")</f>
        <v/>
      </c>
      <c r="DJ61" s="1883" t="str" cm="1">
        <f t="array" ca="1" aca="1" ref="DJ61">IFERROR(IF(AW61*fxVal_normal=_BS!AW61,"",IF(OR(AW61="",NOT(ISNUMBER(AW61)),ISERROR(AW61),$B61=""),"",IF($I61=1,IFBLANK(_xldudf_CX_PUSH(AW61*fxVal_normal,CX_ENTITY,$B61,AW$11,AW$14,AW$60,),""),IF($I61=2,IFBLANK(_xldudf_CX_PUSH(AW61,CX_ENTITY,$B61,AW$11,AW$14,AW$60,),""),IF($I61=3,"",IFBLANK(_xldudf_CX_PUSH(AW61,CX_ENTITY,$B61,AW$11,AW$14,AW$60,),"")))))),"")</f>
        <v/>
      </c>
      <c r="DK61" s="1883" t="str" cm="1">
        <f t="array" ca="1" aca="1" ref="DK61">IFERROR(IF(AX61*fxVal_normal=_BS!AX61,"",IF(OR(AX61="",NOT(ISNUMBER(AX61)),ISERROR(AX61),$B61=""),"",IF($I61=1,IFBLANK(_xldudf_CX_PUSH(AX61*fxVal_normal,CX_ENTITY,$B61,AX$11,AX$14,AX$60,),""),IF($I61=2,IFBLANK(_xldudf_CX_PUSH(AX61,CX_ENTITY,$B61,AX$11,AX$14,AX$60,),""),IF($I61=3,"",IFBLANK(_xldudf_CX_PUSH(AX61,CX_ENTITY,$B61,AX$11,AX$14,AX$60,),"")))))),"")</f>
        <v/>
      </c>
      <c r="DL61" s="1883" t="str" cm="1">
        <f t="array" ca="1" aca="1" ref="DL61">IFERROR(IF(AY61*fxVal_normal=_BS!AY61,"",IF(OR(AY61="",NOT(ISNUMBER(AY61)),ISERROR(AY61),$B61=""),"",IF($I61=1,IFBLANK(_xldudf_CX_PUSH(AY61*fxVal_normal,CX_ENTITY,$B61,AY$11,AY$14,AY$60,),""),IF($I61=2,IFBLANK(_xldudf_CX_PUSH(AY61,CX_ENTITY,$B61,AY$11,AY$14,AY$60,),""),IF($I61=3,"",IFBLANK(_xldudf_CX_PUSH(AY61,CX_ENTITY,$B61,AY$11,AY$14,AY$60,),"")))))),"")</f>
        <v/>
      </c>
      <c r="DM61" s="1883" t="str" cm="1">
        <f t="array" ca="1" aca="1" ref="DM61">IFERROR(IF(AZ61*fxVal_normal=_BS!AZ61,"",IF(OR(AZ61="",NOT(ISNUMBER(AZ61)),ISERROR(AZ61),$B61=""),"",IF($I61=1,IFBLANK(_xldudf_CX_PUSH(AZ61*fxVal_normal,CX_ENTITY,$B61,AZ$11,AZ$14,AZ$60,),""),IF($I61=2,IFBLANK(_xldudf_CX_PUSH(AZ61,CX_ENTITY,$B61,AZ$11,AZ$14,AZ$60,),""),IF($I61=3,"",IFBLANK(_xldudf_CX_PUSH(AZ61,CX_ENTITY,$B61,AZ$11,AZ$14,AZ$60,),"")))))),"")</f>
        <v/>
      </c>
      <c r="DN61" s="1883" t="str" cm="1">
        <f t="array" ca="1" aca="1" ref="DN61">IFERROR(IF(BA61*fxVal_normal=_BS!BA61,"",IF(OR(BA61="",NOT(ISNUMBER(BA61)),ISERROR(BA61),$B61=""),"",IF($I61=1,IFBLANK(_xldudf_CX_PUSH(BA61*fxVal_normal,CX_ENTITY,$B61,BA$11,BA$14,BA$60,),""),IF($I61=2,IFBLANK(_xldudf_CX_PUSH(BA61,CX_ENTITY,$B61,BA$11,BA$14,BA$60,),""),IF($I61=3,"",IFBLANK(_xldudf_CX_PUSH(BA61,CX_ENTITY,$B61,BA$11,BA$14,BA$60,),"")))))),"")</f>
        <v/>
      </c>
      <c r="DO61" s="1883" t="str" cm="1">
        <f t="array" ca="1" aca="1" ref="DO61">IFERROR(IF(BB61*fxVal_normal=_BS!BB61,"",IF(OR(BB61="",NOT(ISNUMBER(BB61)),ISERROR(BB61),$B61=""),"",IF($I61=1,IFBLANK(_xldudf_CX_PUSH(BB61*fxVal_normal,CX_ENTITY,$B61,BB$11,BB$14,BB$60,),""),IF($I61=2,IFBLANK(_xldudf_CX_PUSH(BB61,CX_ENTITY,$B61,BB$11,BB$14,BB$60,),""),IF($I61=3,"",IFBLANK(_xldudf_CX_PUSH(BB61,CX_ENTITY,$B61,BB$11,BB$14,BB$60,),"")))))),"")</f>
        <v/>
      </c>
      <c r="DP61" s="1883" t="str" cm="1">
        <f t="array" ca="1" aca="1" ref="DP61">IFERROR(IF(BC61*fxVal_normal=_BS!BC61,"",IF(OR(BC61="",NOT(ISNUMBER(BC61)),ISERROR(BC61),$B61=""),"",IF($I61=1,IFBLANK(_xldudf_CX_PUSH(BC61*fxVal_normal,CX_ENTITY,$B61,BC$11,BC$14,BC$60,),""),IF($I61=2,IFBLANK(_xldudf_CX_PUSH(BC61,CX_ENTITY,$B61,BC$11,BC$14,BC$60,),""),IF($I61=3,"",IFBLANK(_xldudf_CX_PUSH(BC61,CX_ENTITY,$B61,BC$11,BC$14,BC$60,),"")))))),"")</f>
        <v/>
      </c>
      <c r="DQ61" s="1883" t="str" cm="1">
        <f t="array" ca="1" aca="1" ref="DQ61">IFERROR(IF(BD61*fxVal_normal=_BS!BD61,"",IF(OR(BD61="",NOT(ISNUMBER(BD61)),ISERROR(BD61),$B61=""),"",IF($I61=1,IFBLANK(_xldudf_CX_PUSH(BD61*fxVal_normal,CX_ENTITY,$B61,BD$11,BD$14,BD$60,),""),IF($I61=2,IFBLANK(_xldudf_CX_PUSH(BD61,CX_ENTITY,$B61,BD$11,BD$14,BD$60,),""),IF($I61=3,"",IFBLANK(_xldudf_CX_PUSH(BD61,CX_ENTITY,$B61,BD$11,BD$14,BD$60,),"")))))),"")</f>
        <v/>
      </c>
      <c r="DR61" s="1883" t="str" cm="1">
        <f t="array" ca="1" aca="1" ref="DR61">IFERROR(IF(BE61*fxVal_normal=_BS!BE61,"",IF(OR(BE61="",NOT(ISNUMBER(BE61)),ISERROR(BE61),$B61=""),"",IF($I61=1,IFBLANK(_xldudf_CX_PUSH(BE61*fxVal_normal,CX_ENTITY,$B61,BE$11,BE$14,BE$60,),""),IF($I61=2,IFBLANK(_xldudf_CX_PUSH(BE61,CX_ENTITY,$B61,BE$11,BE$14,BE$60,),""),IF($I61=3,"",IFBLANK(_xldudf_CX_PUSH(BE61,CX_ENTITY,$B61,BE$11,BE$14,BE$60,),"")))))),"")</f>
        <v/>
      </c>
      <c r="DS61" s="1883" t="str" cm="1">
        <f t="array" ca="1" aca="1" ref="DS61">IFERROR(IF(BF61*fxVal_normal=_BS!BF61,"",IF(OR(BF61="",NOT(ISNUMBER(BF61)),ISERROR(BF61),$B61=""),"",IF($I61=1,IFBLANK(_xldudf_CX_PUSH(BF61*fxVal_normal,CX_ENTITY,$B61,BF$11,BF$14,BF$60,),""),IF($I61=2,IFBLANK(_xldudf_CX_PUSH(BF61,CX_ENTITY,$B61,BF$11,BF$14,BF$60,),""),IF($I61=3,"",IFBLANK(_xldudf_CX_PUSH(BF61,CX_ENTITY,$B61,BF$11,BF$14,BF$60,),"")))))),"")</f>
        <v/>
      </c>
      <c r="DT61" s="1883" t="str" cm="1">
        <f t="array" ca="1" aca="1" ref="DT61">IFERROR(IF(BG61*fxVal_normal=_BS!BG61,"",IF(OR(BG61="",NOT(ISNUMBER(BG61)),ISERROR(BG61),$B61=""),"",IF($I61=1,IFBLANK(_xldudf_CX_PUSH(BG61*fxVal_normal,CX_ENTITY,$B61,BG$11,BG$14,BG$60,),""),IF($I61=2,IFBLANK(_xldudf_CX_PUSH(BG61,CX_ENTITY,$B61,BG$11,BG$14,BG$60,),""),IF($I61=3,"",IFBLANK(_xldudf_CX_PUSH(BG61,CX_ENTITY,$B61,BG$11,BG$14,BG$60,),"")))))),"")</f>
        <v/>
      </c>
      <c r="DU61" s="1883" t="str" cm="1">
        <f t="array" ca="1" aca="1" ref="DU61">IFERROR(IF(BH61*fxVal_normal=_BS!BH61,"",IF(OR(BH61="",NOT(ISNUMBER(BH61)),ISERROR(BH61),$B61=""),"",IF($I61=1,IFBLANK(_xldudf_CX_PUSH(BH61*fxVal_normal,CX_ENTITY,$B61,BH$11,BH$14,BH$60,),""),IF($I61=2,IFBLANK(_xldudf_CX_PUSH(BH61,CX_ENTITY,$B61,BH$11,BH$14,BH$60,),""),IF($I61=3,"",IFBLANK(_xldudf_CX_PUSH(BH61,CX_ENTITY,$B61,BH$11,BH$14,BH$60,),"")))))),"")</f>
        <v/>
      </c>
      <c r="DV61" s="1883" t="str" cm="1">
        <f t="array" ca="1" aca="1" ref="DV61">IFERROR(IF(BI61*fxVal_normal=_BS!BI61,"",IF(OR(BI61="",NOT(ISNUMBER(BI61)),ISERROR(BI61),$B61=""),"",IF($I61=1,IFBLANK(_xldudf_CX_PUSH(BI61*fxVal_normal,CX_ENTITY,$B61,BI$11,BI$14,BI$60,),""),IF($I61=2,IFBLANK(_xldudf_CX_PUSH(BI61,CX_ENTITY,$B61,BI$11,BI$14,BI$60,),""),IF($I61=3,"",IFBLANK(_xldudf_CX_PUSH(BI61,CX_ENTITY,$B61,BI$11,BI$14,BI$60,),"")))))),"")</f>
        <v/>
      </c>
      <c r="DW61" s="1883" t="str" cm="1">
        <f t="array" ca="1" aca="1" ref="DW61">IFERROR(IF(BJ61*fxVal_normal=_BS!BJ61,"",IF(OR(BJ61="",NOT(ISNUMBER(BJ61)),ISERROR(BJ61),$B61=""),"",IF($I61=1,IFBLANK(_xldudf_CX_PUSH(BJ61*fxVal_normal,CX_ENTITY,$B61,BJ$11,BJ$14,BJ$60,),""),IF($I61=2,IFBLANK(_xldudf_CX_PUSH(BJ61,CX_ENTITY,$B61,BJ$11,BJ$14,BJ$60,),""),IF($I61=3,"",IFBLANK(_xldudf_CX_PUSH(BJ61,CX_ENTITY,$B61,BJ$11,BJ$14,BJ$60,),"")))))),"")</f>
        <v/>
      </c>
      <c r="DX61" s="1883" t="str" cm="1">
        <f t="array" ca="1" aca="1" ref="DX61">IFERROR(IF(BK61*fxVal_normal=_BS!BK61,"",IF(OR(BK61="",NOT(ISNUMBER(BK61)),ISERROR(BK61),$B61=""),"",IF($I61=1,IFBLANK(_xldudf_CX_PUSH(BK61*fxVal_normal,CX_ENTITY,$B61,BK$11,BK$14,BK$60,),""),IF($I61=2,IFBLANK(_xldudf_CX_PUSH(BK61,CX_ENTITY,$B61,BK$11,BK$14,BK$60,),""),IF($I61=3,"",IFBLANK(_xldudf_CX_PUSH(BK61,CX_ENTITY,$B61,BK$11,BK$14,BK$60,),"")))))),"")</f>
        <v/>
      </c>
      <c r="DY61" s="1883" t="str" cm="1">
        <f t="array" ca="1" aca="1" ref="DY61">IFERROR(IF(BL61*fxVal_normal=_BS!BL61,"",IF(OR(BL61="",NOT(ISNUMBER(BL61)),ISERROR(BL61),$B61=""),"",IF($I61=1,IFBLANK(_xldudf_CX_PUSH(BL61*fxVal_normal,CX_ENTITY,$B61,BL$11,BL$14,BL$60,),""),IF($I61=2,IFBLANK(_xldudf_CX_PUSH(BL61,CX_ENTITY,$B61,BL$11,BL$14,BL$60,),""),IF($I61=3,"",IFBLANK(_xldudf_CX_PUSH(BL61,CX_ENTITY,$B61,BL$11,BL$14,BL$60,),"")))))),"")</f>
        <v/>
      </c>
      <c r="DZ61" s="1883" t="str" cm="1">
        <f t="array" ca="1" aca="1" ref="DZ61">IFERROR(IF(BM61*fxVal_normal=_BS!BM61,"",IF(OR(BM61="",NOT(ISNUMBER(BM61)),ISERROR(BM61),$B61=""),"",IF($I61=1,IFBLANK(_xldudf_CX_PUSH(BM61*fxVal_normal,CX_ENTITY,$B61,BM$11,BM$14,BM$60,),""),IF($I61=2,IFBLANK(_xldudf_CX_PUSH(BM61,CX_ENTITY,$B61,BM$11,BM$14,BM$60,),""),IF($I61=3,"",IFBLANK(_xldudf_CX_PUSH(BM61,CX_ENTITY,$B61,BM$11,BM$14,BM$60,),"")))))),"")</f>
        <v/>
      </c>
      <c r="EA61" s="1883" t="str" cm="1">
        <f t="array" ca="1" aca="1" ref="EA61">IFERROR(IF(BN61*fxVal_normal=_BS!BN61,"",IF(OR(BN61="",NOT(ISNUMBER(BN61)),ISERROR(BN61),$B61=""),"",IF($I61=1,IFBLANK(_xldudf_CX_PUSH(BN61*fxVal_normal,CX_ENTITY,$B61,BN$11,BN$14,BN$60,),""),IF($I61=2,IFBLANK(_xldudf_CX_PUSH(BN61,CX_ENTITY,$B61,BN$11,BN$14,BN$60,),""),IF($I61=3,"",IFBLANK(_xldudf_CX_PUSH(BN61,CX_ENTITY,$B61,BN$11,BN$14,BN$60,),"")))))),"")</f>
        <v/>
      </c>
    </row>
    <row r="62" spans="1:131" ht="21" customHeight="1">
      <c r="A62" s="1626"/>
      <c r="B62" s="811" t="str" cm="1">
        <f t="array" ref="B62">IFBLANK(_BS!F62,"")</f>
        <v>Intangible Assets</v>
      </c>
      <c r="C62" s="811" t="str" cm="1">
        <f t="array" ref="C62">IFBLANK(_BS!C62,"")</f>
        <v>Intangible Asset (Company View)</v>
      </c>
      <c r="D62" s="1549"/>
      <c r="E62" s="1902" t="e" cm="1">
        <f t="array" ca="1" aca="1" ref="E6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62:$CH62,Z62)</f>
        <v>#NAME?</v>
      </c>
      <c r="F62" s="1897"/>
      <c r="G62" s="1897"/>
      <c r="H62" s="3280">
        <v>1</v>
      </c>
      <c r="I62" s="3280">
        <v>1</v>
      </c>
      <c r="J62" s="401"/>
      <c r="N62" s="158"/>
      <c r="O62" s="101"/>
      <c r="P62" s="52"/>
      <c r="Q62" s="101"/>
      <c r="R62" s="126"/>
      <c r="S62" s="101"/>
      <c r="T62" s="101"/>
      <c r="U62" s="39"/>
      <c r="W62" s="930" t="str">
        <f>$W$61</f>
        <v>Budget</v>
      </c>
      <c r="X62" s="3292">
        <f>_BS!X62</f>
        <v>1</v>
      </c>
      <c r="Y62" s="3230">
        <f t="shared" si="17" ref="Y62:Y91">Y21</f>
        <v>2</v>
      </c>
      <c r="Z62" s="198" cm="1">
        <f t="array" ref="Z62">_xlfn.SWITCH(TRUE,_BS!$L62=TRUE,1,_BS!$L62=FALSE,-1,_BS!$L62=-1,0,"n/a")</f>
        <v>-1</v>
      </c>
      <c r="AA62" s="200"/>
      <c r="AB62" s="88" t="str">
        <f>_BS!AB62</f>
        <v>Intangible Assets</v>
      </c>
      <c r="AC62" s="88" t="e" vm="5" cm="1">
        <f t="array" ca="1" aca="1" ref="AC62">_xlfn.LET(_xlpm._termname,$AB62,_xlpm._iconname,"find",_xlpm._icon,fx_getIcon(_xlpm._iconname),_xlpm._location,_xlfn.XLOOKUP(LOWER(_xlpm._termname),LOWER(tbl_acctDef[Term]),tbl_acctDef[Term]),_xlpm._hyperlink,HYPERLINK("#"&amp;CELL("address",_xlpm._location),_xlpm._icon),IFERROR(_xlpm._hyperlink,""))</f>
        <v>#VALUE!</v>
      </c>
      <c r="AD62" s="3229">
        <v>1</v>
      </c>
      <c r="AE62" s="3229">
        <v>1</v>
      </c>
      <c r="AF62" s="3229">
        <v>1</v>
      </c>
      <c r="AG62" s="3229">
        <v>1</v>
      </c>
      <c r="AH62" s="3229">
        <v>1</v>
      </c>
      <c r="AI62" s="3229">
        <v>1</v>
      </c>
      <c r="AJ62" s="3229">
        <v>1</v>
      </c>
      <c r="AK62" s="3229">
        <v>1</v>
      </c>
      <c r="AL62" s="3229">
        <v>1</v>
      </c>
      <c r="AM62" s="3229">
        <v>1</v>
      </c>
      <c r="AN62" s="3229">
        <v>1</v>
      </c>
      <c r="AO62" s="3229">
        <v>1</v>
      </c>
      <c r="AP62" s="3229">
        <v>1</v>
      </c>
      <c r="AQ62" s="3229">
        <v>1</v>
      </c>
      <c r="AR62" s="3229">
        <v>1</v>
      </c>
      <c r="AS62" s="3229">
        <v>1</v>
      </c>
      <c r="AT62" s="3229">
        <v>1</v>
      </c>
      <c r="AU62" s="3229">
        <v>1</v>
      </c>
      <c r="AV62" s="3229">
        <v>1</v>
      </c>
      <c r="AW62" s="3229">
        <v>1</v>
      </c>
      <c r="AX62" s="3229">
        <v>1</v>
      </c>
      <c r="AY62" s="3229">
        <v>1</v>
      </c>
      <c r="AZ62" s="3229">
        <v>1</v>
      </c>
      <c r="BA62" s="3229">
        <v>1</v>
      </c>
      <c r="BB62" s="3229">
        <v>1</v>
      </c>
      <c r="BC62" s="3229">
        <v>1</v>
      </c>
      <c r="BD62" s="3229">
        <v>1</v>
      </c>
      <c r="BE62" s="3229">
        <v>1</v>
      </c>
      <c r="BF62" s="3229">
        <v>1</v>
      </c>
      <c r="BG62" s="3229">
        <v>1</v>
      </c>
      <c r="BH62" s="3229">
        <v>1</v>
      </c>
      <c r="BI62" s="3229">
        <v>1</v>
      </c>
      <c r="BJ62" s="3229">
        <v>1</v>
      </c>
      <c r="BK62" s="3229">
        <v>1</v>
      </c>
      <c r="BL62" s="3229">
        <v>1</v>
      </c>
      <c r="BM62" s="3229">
        <v>1</v>
      </c>
      <c r="BN62" s="3229">
        <v>1</v>
      </c>
      <c r="BO62" s="2095"/>
      <c r="BP62" s="2095"/>
      <c r="BQ62" s="2095"/>
      <c r="BR62" s="2095"/>
      <c r="BS62" s="2095"/>
      <c r="BT62" s="2095"/>
      <c r="BU62" s="2095"/>
      <c r="BV62" s="2095"/>
      <c r="BW62" s="2095"/>
      <c r="BX62" s="2095"/>
      <c r="BY62" s="2095"/>
      <c r="BZ62" s="2095"/>
      <c r="CA62" s="926"/>
      <c r="CB62" s="921"/>
      <c r="CC62" s="927"/>
      <c r="CD62" s="928" t="e" cm="1">
        <f t="array" ca="1" aca="1" ref="CD62">_xlfn.XLOOKUP(BS!CD$11,array_timeline,BS!$AD62:$BN62)</f>
        <v>#NAME?</v>
      </c>
      <c r="CE62" s="928" t="e" cm="1">
        <f t="array" ca="1" aca="1" ref="CE62">_xlfn.XLOOKUP(BS!CE$11,array_timeline,BS!$AD62:$BN62)</f>
        <v>#NAME?</v>
      </c>
      <c r="CF62" s="925"/>
      <c r="CG62" s="2122" t="e">
        <f t="shared" ca="1" si="16"/>
        <v>#NAME?</v>
      </c>
      <c r="CH62" s="2122" t="e">
        <f t="shared" ca="1" si="16"/>
        <v>#NAME?</v>
      </c>
      <c r="CI62" s="200"/>
      <c r="CQ62" s="1883" t="str" cm="1">
        <f t="array" ca="1" aca="1" ref="CQ62">IFERROR(IF(AD62*fxVal_normal=_BS!AD62,"",IF(OR(AD62="",NOT(ISNUMBER(AD62)),ISERROR(AD62),$B62=""),"",IF($I62=1,IFBLANK(_xldudf_CX_PUSH(AD62*fxVal_normal,CX_ENTITY,$B62,AD$11,AD$14,AD$60,),""),IF($I62=2,IFBLANK(_xldudf_CX_PUSH(AD62,CX_ENTITY,$B62,AD$11,AD$14,AD$60,),""),IF($I62=3,"",IFBLANK(_xldudf_CX_PUSH(AD62,CX_ENTITY,$B62,AD$11,AD$14,AD$60,),"")))))),"")</f>
        <v/>
      </c>
      <c r="CR62" s="1883" t="str" cm="1">
        <f t="array" ca="1" aca="1" ref="CR62">IFERROR(IF(AE62*fxVal_normal=_BS!AE62,"",IF(OR(AE62="",NOT(ISNUMBER(AE62)),ISERROR(AE62),$B62=""),"",IF($I62=1,IFBLANK(_xldudf_CX_PUSH(AE62*fxVal_normal,CX_ENTITY,$B62,AE$11,AE$14,AE$60,),""),IF($I62=2,IFBLANK(_xldudf_CX_PUSH(AE62,CX_ENTITY,$B62,AE$11,AE$14,AE$60,),""),IF($I62=3,"",IFBLANK(_xldudf_CX_PUSH(AE62,CX_ENTITY,$B62,AE$11,AE$14,AE$60,),"")))))),"")</f>
        <v/>
      </c>
      <c r="CS62" s="1883" t="str" cm="1">
        <f t="array" ca="1" aca="1" ref="CS62">IFERROR(IF(AF62*fxVal_normal=_BS!AF62,"",IF(OR(AF62="",NOT(ISNUMBER(AF62)),ISERROR(AF62),$B62=""),"",IF($I62=1,IFBLANK(_xldudf_CX_PUSH(AF62*fxVal_normal,CX_ENTITY,$B62,AF$11,AF$14,AF$60,),""),IF($I62=2,IFBLANK(_xldudf_CX_PUSH(AF62,CX_ENTITY,$B62,AF$11,AF$14,AF$60,),""),IF($I62=3,"",IFBLANK(_xldudf_CX_PUSH(AF62,CX_ENTITY,$B62,AF$11,AF$14,AF$60,),"")))))),"")</f>
        <v/>
      </c>
      <c r="CT62" s="1883" t="str" cm="1">
        <f t="array" ca="1" aca="1" ref="CT62">IFERROR(IF(AG62*fxVal_normal=_BS!AG62,"",IF(OR(AG62="",NOT(ISNUMBER(AG62)),ISERROR(AG62),$B62=""),"",IF($I62=1,IFBLANK(_xldudf_CX_PUSH(AG62*fxVal_normal,CX_ENTITY,$B62,AG$11,AG$14,AG$60,),""),IF($I62=2,IFBLANK(_xldudf_CX_PUSH(AG62,CX_ENTITY,$B62,AG$11,AG$14,AG$60,),""),IF($I62=3,"",IFBLANK(_xldudf_CX_PUSH(AG62,CX_ENTITY,$B62,AG$11,AG$14,AG$60,),"")))))),"")</f>
        <v/>
      </c>
      <c r="CU62" s="1883" t="str" cm="1">
        <f t="array" ca="1" aca="1" ref="CU62">IFERROR(IF(AH62*fxVal_normal=_BS!AH62,"",IF(OR(AH62="",NOT(ISNUMBER(AH62)),ISERROR(AH62),$B62=""),"",IF($I62=1,IFBLANK(_xldudf_CX_PUSH(AH62*fxVal_normal,CX_ENTITY,$B62,AH$11,AH$14,AH$60,),""),IF($I62=2,IFBLANK(_xldudf_CX_PUSH(AH62,CX_ENTITY,$B62,AH$11,AH$14,AH$60,),""),IF($I62=3,"",IFBLANK(_xldudf_CX_PUSH(AH62,CX_ENTITY,$B62,AH$11,AH$14,AH$60,),"")))))),"")</f>
        <v/>
      </c>
      <c r="CV62" s="1883" t="str" cm="1">
        <f t="array" ca="1" aca="1" ref="CV62">IFERROR(IF(AI62*fxVal_normal=_BS!AI62,"",IF(OR(AI62="",NOT(ISNUMBER(AI62)),ISERROR(AI62),$B62=""),"",IF($I62=1,IFBLANK(_xldudf_CX_PUSH(AI62*fxVal_normal,CX_ENTITY,$B62,AI$11,AI$14,AI$60,),""),IF($I62=2,IFBLANK(_xldudf_CX_PUSH(AI62,CX_ENTITY,$B62,AI$11,AI$14,AI$60,),""),IF($I62=3,"",IFBLANK(_xldudf_CX_PUSH(AI62,CX_ENTITY,$B62,AI$11,AI$14,AI$60,),"")))))),"")</f>
        <v/>
      </c>
      <c r="CW62" s="1883" t="str" cm="1">
        <f t="array" ca="1" aca="1" ref="CW62">IFERROR(IF(AJ62*fxVal_normal=_BS!AJ62,"",IF(OR(AJ62="",NOT(ISNUMBER(AJ62)),ISERROR(AJ62),$B62=""),"",IF($I62=1,IFBLANK(_xldudf_CX_PUSH(AJ62*fxVal_normal,CX_ENTITY,$B62,AJ$11,AJ$14,AJ$60,),""),IF($I62=2,IFBLANK(_xldudf_CX_PUSH(AJ62,CX_ENTITY,$B62,AJ$11,AJ$14,AJ$60,),""),IF($I62=3,"",IFBLANK(_xldudf_CX_PUSH(AJ62,CX_ENTITY,$B62,AJ$11,AJ$14,AJ$60,),"")))))),"")</f>
        <v/>
      </c>
      <c r="CX62" s="1883" t="str" cm="1">
        <f t="array" ca="1" aca="1" ref="CX62">IFERROR(IF(AK62*fxVal_normal=_BS!AK62,"",IF(OR(AK62="",NOT(ISNUMBER(AK62)),ISERROR(AK62),$B62=""),"",IF($I62=1,IFBLANK(_xldudf_CX_PUSH(AK62*fxVal_normal,CX_ENTITY,$B62,AK$11,AK$14,AK$60,),""),IF($I62=2,IFBLANK(_xldudf_CX_PUSH(AK62,CX_ENTITY,$B62,AK$11,AK$14,AK$60,),""),IF($I62=3,"",IFBLANK(_xldudf_CX_PUSH(AK62,CX_ENTITY,$B62,AK$11,AK$14,AK$60,),"")))))),"")</f>
        <v/>
      </c>
      <c r="CY62" s="1883" t="str" cm="1">
        <f t="array" ca="1" aca="1" ref="CY62">IFERROR(IF(AL62*fxVal_normal=_BS!AL62,"",IF(OR(AL62="",NOT(ISNUMBER(AL62)),ISERROR(AL62),$B62=""),"",IF($I62=1,IFBLANK(_xldudf_CX_PUSH(AL62*fxVal_normal,CX_ENTITY,$B62,AL$11,AL$14,AL$60,),""),IF($I62=2,IFBLANK(_xldudf_CX_PUSH(AL62,CX_ENTITY,$B62,AL$11,AL$14,AL$60,),""),IF($I62=3,"",IFBLANK(_xldudf_CX_PUSH(AL62,CX_ENTITY,$B62,AL$11,AL$14,AL$60,),"")))))),"")</f>
        <v/>
      </c>
      <c r="CZ62" s="1883" t="str" cm="1">
        <f t="array" ca="1" aca="1" ref="CZ62">IFERROR(IF(AM62*fxVal_normal=_BS!AM62,"",IF(OR(AM62="",NOT(ISNUMBER(AM62)),ISERROR(AM62),$B62=""),"",IF($I62=1,IFBLANK(_xldudf_CX_PUSH(AM62*fxVal_normal,CX_ENTITY,$B62,AM$11,AM$14,AM$60,),""),IF($I62=2,IFBLANK(_xldudf_CX_PUSH(AM62,CX_ENTITY,$B62,AM$11,AM$14,AM$60,),""),IF($I62=3,"",IFBLANK(_xldudf_CX_PUSH(AM62,CX_ENTITY,$B62,AM$11,AM$14,AM$60,),"")))))),"")</f>
        <v/>
      </c>
      <c r="DA62" s="1883" t="str" cm="1">
        <f t="array" ca="1" aca="1" ref="DA62">IFERROR(IF(AN62*fxVal_normal=_BS!AN62,"",IF(OR(AN62="",NOT(ISNUMBER(AN62)),ISERROR(AN62),$B62=""),"",IF($I62=1,IFBLANK(_xldudf_CX_PUSH(AN62*fxVal_normal,CX_ENTITY,$B62,AN$11,AN$14,AN$60,),""),IF($I62=2,IFBLANK(_xldudf_CX_PUSH(AN62,CX_ENTITY,$B62,AN$11,AN$14,AN$60,),""),IF($I62=3,"",IFBLANK(_xldudf_CX_PUSH(AN62,CX_ENTITY,$B62,AN$11,AN$14,AN$60,),"")))))),"")</f>
        <v/>
      </c>
      <c r="DB62" s="1883" t="str" cm="1">
        <f t="array" ca="1" aca="1" ref="DB62">IFERROR(IF(AO62*fxVal_normal=_BS!AO62,"",IF(OR(AO62="",NOT(ISNUMBER(AO62)),ISERROR(AO62),$B62=""),"",IF($I62=1,IFBLANK(_xldudf_CX_PUSH(AO62*fxVal_normal,CX_ENTITY,$B62,AO$11,AO$14,AO$60,),""),IF($I62=2,IFBLANK(_xldudf_CX_PUSH(AO62,CX_ENTITY,$B62,AO$11,AO$14,AO$60,),""),IF($I62=3,"",IFBLANK(_xldudf_CX_PUSH(AO62,CX_ENTITY,$B62,AO$11,AO$14,AO$60,),"")))))),"")</f>
        <v/>
      </c>
      <c r="DC62" s="1883" t="str" cm="1">
        <f t="array" ca="1" aca="1" ref="DC62">IFERROR(IF(AP62*fxVal_normal=_BS!AP62,"",IF(OR(AP62="",NOT(ISNUMBER(AP62)),ISERROR(AP62),$B62=""),"",IF($I62=1,IFBLANK(_xldudf_CX_PUSH(AP62*fxVal_normal,CX_ENTITY,$B62,AP$11,AP$14,AP$60,),""),IF($I62=2,IFBLANK(_xldudf_CX_PUSH(AP62,CX_ENTITY,$B62,AP$11,AP$14,AP$60,),""),IF($I62=3,"",IFBLANK(_xldudf_CX_PUSH(AP62,CX_ENTITY,$B62,AP$11,AP$14,AP$60,),"")))))),"")</f>
        <v/>
      </c>
      <c r="DD62" s="1883" t="str" cm="1">
        <f t="array" ca="1" aca="1" ref="DD62">IFERROR(IF(AQ62*fxVal_normal=_BS!AQ62,"",IF(OR(AQ62="",NOT(ISNUMBER(AQ62)),ISERROR(AQ62),$B62=""),"",IF($I62=1,IFBLANK(_xldudf_CX_PUSH(AQ62*fxVal_normal,CX_ENTITY,$B62,AQ$11,AQ$14,AQ$60,),""),IF($I62=2,IFBLANK(_xldudf_CX_PUSH(AQ62,CX_ENTITY,$B62,AQ$11,AQ$14,AQ$60,),""),IF($I62=3,"",IFBLANK(_xldudf_CX_PUSH(AQ62,CX_ENTITY,$B62,AQ$11,AQ$14,AQ$60,),"")))))),"")</f>
        <v/>
      </c>
      <c r="DE62" s="1883" t="str" cm="1">
        <f t="array" ca="1" aca="1" ref="DE62">IFERROR(IF(AR62*fxVal_normal=_BS!AR62,"",IF(OR(AR62="",NOT(ISNUMBER(AR62)),ISERROR(AR62),$B62=""),"",IF($I62=1,IFBLANK(_xldudf_CX_PUSH(AR62*fxVal_normal,CX_ENTITY,$B62,AR$11,AR$14,AR$60,),""),IF($I62=2,IFBLANK(_xldudf_CX_PUSH(AR62,CX_ENTITY,$B62,AR$11,AR$14,AR$60,),""),IF($I62=3,"",IFBLANK(_xldudf_CX_PUSH(AR62,CX_ENTITY,$B62,AR$11,AR$14,AR$60,),"")))))),"")</f>
        <v/>
      </c>
      <c r="DF62" s="1883" t="str" cm="1">
        <f t="array" ca="1" aca="1" ref="DF62">IFERROR(IF(AS62*fxVal_normal=_BS!AS62,"",IF(OR(AS62="",NOT(ISNUMBER(AS62)),ISERROR(AS62),$B62=""),"",IF($I62=1,IFBLANK(_xldudf_CX_PUSH(AS62*fxVal_normal,CX_ENTITY,$B62,AS$11,AS$14,AS$60,),""),IF($I62=2,IFBLANK(_xldudf_CX_PUSH(AS62,CX_ENTITY,$B62,AS$11,AS$14,AS$60,),""),IF($I62=3,"",IFBLANK(_xldudf_CX_PUSH(AS62,CX_ENTITY,$B62,AS$11,AS$14,AS$60,),"")))))),"")</f>
        <v/>
      </c>
      <c r="DG62" s="1883" t="str" cm="1">
        <f t="array" ca="1" aca="1" ref="DG62">IFERROR(IF(AT62*fxVal_normal=_BS!AT62,"",IF(OR(AT62="",NOT(ISNUMBER(AT62)),ISERROR(AT62),$B62=""),"",IF($I62=1,IFBLANK(_xldudf_CX_PUSH(AT62*fxVal_normal,CX_ENTITY,$B62,AT$11,AT$14,AT$60,),""),IF($I62=2,IFBLANK(_xldudf_CX_PUSH(AT62,CX_ENTITY,$B62,AT$11,AT$14,AT$60,),""),IF($I62=3,"",IFBLANK(_xldudf_CX_PUSH(AT62,CX_ENTITY,$B62,AT$11,AT$14,AT$60,),"")))))),"")</f>
        <v/>
      </c>
      <c r="DH62" s="1883" t="str" cm="1">
        <f t="array" ca="1" aca="1" ref="DH62">IFERROR(IF(AU62*fxVal_normal=_BS!AU62,"",IF(OR(AU62="",NOT(ISNUMBER(AU62)),ISERROR(AU62),$B62=""),"",IF($I62=1,IFBLANK(_xldudf_CX_PUSH(AU62*fxVal_normal,CX_ENTITY,$B62,AU$11,AU$14,AU$60,),""),IF($I62=2,IFBLANK(_xldudf_CX_PUSH(AU62,CX_ENTITY,$B62,AU$11,AU$14,AU$60,),""),IF($I62=3,"",IFBLANK(_xldudf_CX_PUSH(AU62,CX_ENTITY,$B62,AU$11,AU$14,AU$60,),"")))))),"")</f>
        <v/>
      </c>
      <c r="DI62" s="1883" t="str" cm="1">
        <f t="array" ca="1" aca="1" ref="DI62">IFERROR(IF(AV62*fxVal_normal=_BS!AV62,"",IF(OR(AV62="",NOT(ISNUMBER(AV62)),ISERROR(AV62),$B62=""),"",IF($I62=1,IFBLANK(_xldudf_CX_PUSH(AV62*fxVal_normal,CX_ENTITY,$B62,AV$11,AV$14,AV$60,),""),IF($I62=2,IFBLANK(_xldudf_CX_PUSH(AV62,CX_ENTITY,$B62,AV$11,AV$14,AV$60,),""),IF($I62=3,"",IFBLANK(_xldudf_CX_PUSH(AV62,CX_ENTITY,$B62,AV$11,AV$14,AV$60,),"")))))),"")</f>
        <v/>
      </c>
      <c r="DJ62" s="1883" t="str" cm="1">
        <f t="array" ca="1" aca="1" ref="DJ62">IFERROR(IF(AW62*fxVal_normal=_BS!AW62,"",IF(OR(AW62="",NOT(ISNUMBER(AW62)),ISERROR(AW62),$B62=""),"",IF($I62=1,IFBLANK(_xldudf_CX_PUSH(AW62*fxVal_normal,CX_ENTITY,$B62,AW$11,AW$14,AW$60,),""),IF($I62=2,IFBLANK(_xldudf_CX_PUSH(AW62,CX_ENTITY,$B62,AW$11,AW$14,AW$60,),""),IF($I62=3,"",IFBLANK(_xldudf_CX_PUSH(AW62,CX_ENTITY,$B62,AW$11,AW$14,AW$60,),"")))))),"")</f>
        <v/>
      </c>
      <c r="DK62" s="1883" t="str" cm="1">
        <f t="array" ca="1" aca="1" ref="DK62">IFERROR(IF(AX62*fxVal_normal=_BS!AX62,"",IF(OR(AX62="",NOT(ISNUMBER(AX62)),ISERROR(AX62),$B62=""),"",IF($I62=1,IFBLANK(_xldudf_CX_PUSH(AX62*fxVal_normal,CX_ENTITY,$B62,AX$11,AX$14,AX$60,),""),IF($I62=2,IFBLANK(_xldudf_CX_PUSH(AX62,CX_ENTITY,$B62,AX$11,AX$14,AX$60,),""),IF($I62=3,"",IFBLANK(_xldudf_CX_PUSH(AX62,CX_ENTITY,$B62,AX$11,AX$14,AX$60,),"")))))),"")</f>
        <v/>
      </c>
      <c r="DL62" s="1883" t="str" cm="1">
        <f t="array" ca="1" aca="1" ref="DL62">IFERROR(IF(AY62*fxVal_normal=_BS!AY62,"",IF(OR(AY62="",NOT(ISNUMBER(AY62)),ISERROR(AY62),$B62=""),"",IF($I62=1,IFBLANK(_xldudf_CX_PUSH(AY62*fxVal_normal,CX_ENTITY,$B62,AY$11,AY$14,AY$60,),""),IF($I62=2,IFBLANK(_xldudf_CX_PUSH(AY62,CX_ENTITY,$B62,AY$11,AY$14,AY$60,),""),IF($I62=3,"",IFBLANK(_xldudf_CX_PUSH(AY62,CX_ENTITY,$B62,AY$11,AY$14,AY$60,),"")))))),"")</f>
        <v/>
      </c>
      <c r="DM62" s="1883" t="str" cm="1">
        <f t="array" ca="1" aca="1" ref="DM62">IFERROR(IF(AZ62*fxVal_normal=_BS!AZ62,"",IF(OR(AZ62="",NOT(ISNUMBER(AZ62)),ISERROR(AZ62),$B62=""),"",IF($I62=1,IFBLANK(_xldudf_CX_PUSH(AZ62*fxVal_normal,CX_ENTITY,$B62,AZ$11,AZ$14,AZ$60,),""),IF($I62=2,IFBLANK(_xldudf_CX_PUSH(AZ62,CX_ENTITY,$B62,AZ$11,AZ$14,AZ$60,),""),IF($I62=3,"",IFBLANK(_xldudf_CX_PUSH(AZ62,CX_ENTITY,$B62,AZ$11,AZ$14,AZ$60,),"")))))),"")</f>
        <v/>
      </c>
      <c r="DN62" s="1883" t="str" cm="1">
        <f t="array" ca="1" aca="1" ref="DN62">IFERROR(IF(BA62*fxVal_normal=_BS!BA62,"",IF(OR(BA62="",NOT(ISNUMBER(BA62)),ISERROR(BA62),$B62=""),"",IF($I62=1,IFBLANK(_xldudf_CX_PUSH(BA62*fxVal_normal,CX_ENTITY,$B62,BA$11,BA$14,BA$60,),""),IF($I62=2,IFBLANK(_xldudf_CX_PUSH(BA62,CX_ENTITY,$B62,BA$11,BA$14,BA$60,),""),IF($I62=3,"",IFBLANK(_xldudf_CX_PUSH(BA62,CX_ENTITY,$B62,BA$11,BA$14,BA$60,),"")))))),"")</f>
        <v/>
      </c>
      <c r="DO62" s="1883" t="str" cm="1">
        <f t="array" ca="1" aca="1" ref="DO62">IFERROR(IF(BB62*fxVal_normal=_BS!BB62,"",IF(OR(BB62="",NOT(ISNUMBER(BB62)),ISERROR(BB62),$B62=""),"",IF($I62=1,IFBLANK(_xldudf_CX_PUSH(BB62*fxVal_normal,CX_ENTITY,$B62,BB$11,BB$14,BB$60,),""),IF($I62=2,IFBLANK(_xldudf_CX_PUSH(BB62,CX_ENTITY,$B62,BB$11,BB$14,BB$60,),""),IF($I62=3,"",IFBLANK(_xldudf_CX_PUSH(BB62,CX_ENTITY,$B62,BB$11,BB$14,BB$60,),"")))))),"")</f>
        <v/>
      </c>
      <c r="DP62" s="1883" t="str" cm="1">
        <f t="array" ca="1" aca="1" ref="DP62">IFERROR(IF(BC62*fxVal_normal=_BS!BC62,"",IF(OR(BC62="",NOT(ISNUMBER(BC62)),ISERROR(BC62),$B62=""),"",IF($I62=1,IFBLANK(_xldudf_CX_PUSH(BC62*fxVal_normal,CX_ENTITY,$B62,BC$11,BC$14,BC$60,),""),IF($I62=2,IFBLANK(_xldudf_CX_PUSH(BC62,CX_ENTITY,$B62,BC$11,BC$14,BC$60,),""),IF($I62=3,"",IFBLANK(_xldudf_CX_PUSH(BC62,CX_ENTITY,$B62,BC$11,BC$14,BC$60,),"")))))),"")</f>
        <v/>
      </c>
      <c r="DQ62" s="1883" t="str" cm="1">
        <f t="array" ca="1" aca="1" ref="DQ62">IFERROR(IF(BD62*fxVal_normal=_BS!BD62,"",IF(OR(BD62="",NOT(ISNUMBER(BD62)),ISERROR(BD62),$B62=""),"",IF($I62=1,IFBLANK(_xldudf_CX_PUSH(BD62*fxVal_normal,CX_ENTITY,$B62,BD$11,BD$14,BD$60,),""),IF($I62=2,IFBLANK(_xldudf_CX_PUSH(BD62,CX_ENTITY,$B62,BD$11,BD$14,BD$60,),""),IF($I62=3,"",IFBLANK(_xldudf_CX_PUSH(BD62,CX_ENTITY,$B62,BD$11,BD$14,BD$60,),"")))))),"")</f>
        <v/>
      </c>
      <c r="DR62" s="1883" t="str" cm="1">
        <f t="array" ca="1" aca="1" ref="DR62">IFERROR(IF(BE62*fxVal_normal=_BS!BE62,"",IF(OR(BE62="",NOT(ISNUMBER(BE62)),ISERROR(BE62),$B62=""),"",IF($I62=1,IFBLANK(_xldudf_CX_PUSH(BE62*fxVal_normal,CX_ENTITY,$B62,BE$11,BE$14,BE$60,),""),IF($I62=2,IFBLANK(_xldudf_CX_PUSH(BE62,CX_ENTITY,$B62,BE$11,BE$14,BE$60,),""),IF($I62=3,"",IFBLANK(_xldudf_CX_PUSH(BE62,CX_ENTITY,$B62,BE$11,BE$14,BE$60,),"")))))),"")</f>
        <v/>
      </c>
      <c r="DS62" s="1883" t="str" cm="1">
        <f t="array" ca="1" aca="1" ref="DS62">IFERROR(IF(BF62*fxVal_normal=_BS!BF62,"",IF(OR(BF62="",NOT(ISNUMBER(BF62)),ISERROR(BF62),$B62=""),"",IF($I62=1,IFBLANK(_xldudf_CX_PUSH(BF62*fxVal_normal,CX_ENTITY,$B62,BF$11,BF$14,BF$60,),""),IF($I62=2,IFBLANK(_xldudf_CX_PUSH(BF62,CX_ENTITY,$B62,BF$11,BF$14,BF$60,),""),IF($I62=3,"",IFBLANK(_xldudf_CX_PUSH(BF62,CX_ENTITY,$B62,BF$11,BF$14,BF$60,),"")))))),"")</f>
        <v/>
      </c>
      <c r="DT62" s="1883" t="str" cm="1">
        <f t="array" ca="1" aca="1" ref="DT62">IFERROR(IF(BG62*fxVal_normal=_BS!BG62,"",IF(OR(BG62="",NOT(ISNUMBER(BG62)),ISERROR(BG62),$B62=""),"",IF($I62=1,IFBLANK(_xldudf_CX_PUSH(BG62*fxVal_normal,CX_ENTITY,$B62,BG$11,BG$14,BG$60,),""),IF($I62=2,IFBLANK(_xldudf_CX_PUSH(BG62,CX_ENTITY,$B62,BG$11,BG$14,BG$60,),""),IF($I62=3,"",IFBLANK(_xldudf_CX_PUSH(BG62,CX_ENTITY,$B62,BG$11,BG$14,BG$60,),"")))))),"")</f>
        <v/>
      </c>
      <c r="DU62" s="1883" t="str" cm="1">
        <f t="array" ca="1" aca="1" ref="DU62">IFERROR(IF(BH62*fxVal_normal=_BS!BH62,"",IF(OR(BH62="",NOT(ISNUMBER(BH62)),ISERROR(BH62),$B62=""),"",IF($I62=1,IFBLANK(_xldudf_CX_PUSH(BH62*fxVal_normal,CX_ENTITY,$B62,BH$11,BH$14,BH$60,),""),IF($I62=2,IFBLANK(_xldudf_CX_PUSH(BH62,CX_ENTITY,$B62,BH$11,BH$14,BH$60,),""),IF($I62=3,"",IFBLANK(_xldudf_CX_PUSH(BH62,CX_ENTITY,$B62,BH$11,BH$14,BH$60,),"")))))),"")</f>
        <v/>
      </c>
      <c r="DV62" s="1883" t="str" cm="1">
        <f t="array" ca="1" aca="1" ref="DV62">IFERROR(IF(BI62*fxVal_normal=_BS!BI62,"",IF(OR(BI62="",NOT(ISNUMBER(BI62)),ISERROR(BI62),$B62=""),"",IF($I62=1,IFBLANK(_xldudf_CX_PUSH(BI62*fxVal_normal,CX_ENTITY,$B62,BI$11,BI$14,BI$60,),""),IF($I62=2,IFBLANK(_xldudf_CX_PUSH(BI62,CX_ENTITY,$B62,BI$11,BI$14,BI$60,),""),IF($I62=3,"",IFBLANK(_xldudf_CX_PUSH(BI62,CX_ENTITY,$B62,BI$11,BI$14,BI$60,),"")))))),"")</f>
        <v/>
      </c>
      <c r="DW62" s="1883" t="str" cm="1">
        <f t="array" ca="1" aca="1" ref="DW62">IFERROR(IF(BJ62*fxVal_normal=_BS!BJ62,"",IF(OR(BJ62="",NOT(ISNUMBER(BJ62)),ISERROR(BJ62),$B62=""),"",IF($I62=1,IFBLANK(_xldudf_CX_PUSH(BJ62*fxVal_normal,CX_ENTITY,$B62,BJ$11,BJ$14,BJ$60,),""),IF($I62=2,IFBLANK(_xldudf_CX_PUSH(BJ62,CX_ENTITY,$B62,BJ$11,BJ$14,BJ$60,),""),IF($I62=3,"",IFBLANK(_xldudf_CX_PUSH(BJ62,CX_ENTITY,$B62,BJ$11,BJ$14,BJ$60,),"")))))),"")</f>
        <v/>
      </c>
      <c r="DX62" s="1883" t="str" cm="1">
        <f t="array" ca="1" aca="1" ref="DX62">IFERROR(IF(BK62*fxVal_normal=_BS!BK62,"",IF(OR(BK62="",NOT(ISNUMBER(BK62)),ISERROR(BK62),$B62=""),"",IF($I62=1,IFBLANK(_xldudf_CX_PUSH(BK62*fxVal_normal,CX_ENTITY,$B62,BK$11,BK$14,BK$60,),""),IF($I62=2,IFBLANK(_xldudf_CX_PUSH(BK62,CX_ENTITY,$B62,BK$11,BK$14,BK$60,),""),IF($I62=3,"",IFBLANK(_xldudf_CX_PUSH(BK62,CX_ENTITY,$B62,BK$11,BK$14,BK$60,),"")))))),"")</f>
        <v/>
      </c>
      <c r="DY62" s="1883" t="str" cm="1">
        <f t="array" ca="1" aca="1" ref="DY62">IFERROR(IF(BL62*fxVal_normal=_BS!BL62,"",IF(OR(BL62="",NOT(ISNUMBER(BL62)),ISERROR(BL62),$B62=""),"",IF($I62=1,IFBLANK(_xldudf_CX_PUSH(BL62*fxVal_normal,CX_ENTITY,$B62,BL$11,BL$14,BL$60,),""),IF($I62=2,IFBLANK(_xldudf_CX_PUSH(BL62,CX_ENTITY,$B62,BL$11,BL$14,BL$60,),""),IF($I62=3,"",IFBLANK(_xldudf_CX_PUSH(BL62,CX_ENTITY,$B62,BL$11,BL$14,BL$60,),"")))))),"")</f>
        <v/>
      </c>
      <c r="DZ62" s="1883" t="str" cm="1">
        <f t="array" ca="1" aca="1" ref="DZ62">IFERROR(IF(BM62*fxVal_normal=_BS!BM62,"",IF(OR(BM62="",NOT(ISNUMBER(BM62)),ISERROR(BM62),$B62=""),"",IF($I62=1,IFBLANK(_xldudf_CX_PUSH(BM62*fxVal_normal,CX_ENTITY,$B62,BM$11,BM$14,BM$60,),""),IF($I62=2,IFBLANK(_xldudf_CX_PUSH(BM62,CX_ENTITY,$B62,BM$11,BM$14,BM$60,),""),IF($I62=3,"",IFBLANK(_xldudf_CX_PUSH(BM62,CX_ENTITY,$B62,BM$11,BM$14,BM$60,),"")))))),"")</f>
        <v/>
      </c>
      <c r="EA62" s="1883" t="str" cm="1">
        <f t="array" ca="1" aca="1" ref="EA62">IFERROR(IF(BN62*fxVal_normal=_BS!BN62,"",IF(OR(BN62="",NOT(ISNUMBER(BN62)),ISERROR(BN62),$B62=""),"",IF($I62=1,IFBLANK(_xldudf_CX_PUSH(BN62*fxVal_normal,CX_ENTITY,$B62,BN$11,BN$14,BN$60,),""),IF($I62=2,IFBLANK(_xldudf_CX_PUSH(BN62,CX_ENTITY,$B62,BN$11,BN$14,BN$60,),""),IF($I62=3,"",IFBLANK(_xldudf_CX_PUSH(BN62,CX_ENTITY,$B62,BN$11,BN$14,BN$60,),"")))))),"")</f>
        <v/>
      </c>
    </row>
    <row r="63" spans="1:131" ht="21" customHeight="1">
      <c r="A63" s="1626"/>
      <c r="B63" s="811" t="str" cm="1">
        <f t="array" ref="B63">IFBLANK(_BS!F63,"")</f>
        <v>Other Non-current Assets</v>
      </c>
      <c r="C63" s="811" t="str" cm="1">
        <f t="array" ref="C63">IFBLANK(_BS!C63,"")</f>
        <v>Other Non-current Asset (Company View)</v>
      </c>
      <c r="D63" s="1549"/>
      <c r="E63" s="1902" t="e" cm="1">
        <f t="array" ca="1" aca="1" ref="E6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63:$CH63,Z63)</f>
        <v>#NAME?</v>
      </c>
      <c r="F63" s="1897"/>
      <c r="G63" s="1897"/>
      <c r="H63" s="3280">
        <v>1</v>
      </c>
      <c r="I63" s="3280">
        <v>1</v>
      </c>
      <c r="J63" s="401"/>
      <c r="N63" s="158"/>
      <c r="O63" s="101"/>
      <c r="P63" s="52"/>
      <c r="Q63" s="101"/>
      <c r="R63" s="101"/>
      <c r="S63" s="101"/>
      <c r="T63" s="101"/>
      <c r="U63" s="39"/>
      <c r="W63" s="930" t="str">
        <f t="shared" si="18" ref="W63:W91">$W$61</f>
        <v>Budget</v>
      </c>
      <c r="X63" s="3292">
        <f>_BS!X63</f>
        <v>1</v>
      </c>
      <c r="Y63" s="3230">
        <f t="shared" si="17"/>
        <v>2</v>
      </c>
      <c r="Z63" s="198" cm="1">
        <f t="array" ref="Z63">_xlfn.SWITCH(TRUE,_BS!$L63=TRUE,1,_BS!$L63=FALSE,-1,_BS!$L63=-1,0,"n/a")</f>
        <v>-1</v>
      </c>
      <c r="AA63" s="200"/>
      <c r="AB63" s="88" t="str">
        <f>_BS!AB63</f>
        <v>Other Non-current Assets</v>
      </c>
      <c r="AC63" s="88" t="e" vm="5" cm="1">
        <f t="array" ca="1" aca="1" ref="AC63">_xlfn.LET(_xlpm._termname,$AB63,_xlpm._iconname,"find",_xlpm._icon,fx_getIcon(_xlpm._iconname),_xlpm._location,_xlfn.XLOOKUP(LOWER(_xlpm._termname),LOWER(tbl_acctDef[Term]),tbl_acctDef[Term]),_xlpm._hyperlink,HYPERLINK("#"&amp;CELL("address",_xlpm._location),_xlpm._icon),IFERROR(_xlpm._hyperlink,""))</f>
        <v>#VALUE!</v>
      </c>
      <c r="AD63" s="3229">
        <v>1</v>
      </c>
      <c r="AE63" s="3229">
        <v>1</v>
      </c>
      <c r="AF63" s="3229">
        <v>1</v>
      </c>
      <c r="AG63" s="3229">
        <v>1</v>
      </c>
      <c r="AH63" s="3229">
        <v>1</v>
      </c>
      <c r="AI63" s="3229">
        <v>1</v>
      </c>
      <c r="AJ63" s="3229">
        <v>1</v>
      </c>
      <c r="AK63" s="3229">
        <v>1</v>
      </c>
      <c r="AL63" s="3229">
        <v>1</v>
      </c>
      <c r="AM63" s="3229">
        <v>1</v>
      </c>
      <c r="AN63" s="3229">
        <v>1</v>
      </c>
      <c r="AO63" s="3229">
        <v>1</v>
      </c>
      <c r="AP63" s="3229">
        <v>1</v>
      </c>
      <c r="AQ63" s="3229">
        <v>1</v>
      </c>
      <c r="AR63" s="3229">
        <v>1</v>
      </c>
      <c r="AS63" s="3229">
        <v>1</v>
      </c>
      <c r="AT63" s="3229">
        <v>1</v>
      </c>
      <c r="AU63" s="3229">
        <v>1</v>
      </c>
      <c r="AV63" s="3229">
        <v>1</v>
      </c>
      <c r="AW63" s="3229">
        <v>1</v>
      </c>
      <c r="AX63" s="3229">
        <v>1</v>
      </c>
      <c r="AY63" s="3229">
        <v>1</v>
      </c>
      <c r="AZ63" s="3229">
        <v>1</v>
      </c>
      <c r="BA63" s="3229">
        <v>1</v>
      </c>
      <c r="BB63" s="3229">
        <v>1</v>
      </c>
      <c r="BC63" s="3229">
        <v>1</v>
      </c>
      <c r="BD63" s="3229">
        <v>1</v>
      </c>
      <c r="BE63" s="3229">
        <v>1</v>
      </c>
      <c r="BF63" s="3229">
        <v>1</v>
      </c>
      <c r="BG63" s="3229">
        <v>1</v>
      </c>
      <c r="BH63" s="3229">
        <v>1</v>
      </c>
      <c r="BI63" s="3229">
        <v>1</v>
      </c>
      <c r="BJ63" s="3229">
        <v>1</v>
      </c>
      <c r="BK63" s="3229">
        <v>1</v>
      </c>
      <c r="BL63" s="3229">
        <v>1</v>
      </c>
      <c r="BM63" s="3229">
        <v>1</v>
      </c>
      <c r="BN63" s="3229">
        <v>1</v>
      </c>
      <c r="BO63" s="2095"/>
      <c r="BP63" s="2095"/>
      <c r="BQ63" s="2095"/>
      <c r="BR63" s="2095"/>
      <c r="BS63" s="2095"/>
      <c r="BT63" s="2095"/>
      <c r="BU63" s="2095"/>
      <c r="BV63" s="2095"/>
      <c r="BW63" s="2095"/>
      <c r="BX63" s="2095"/>
      <c r="BY63" s="2095"/>
      <c r="BZ63" s="2095"/>
      <c r="CA63" s="926"/>
      <c r="CB63" s="921"/>
      <c r="CC63" s="927"/>
      <c r="CD63" s="928" t="e" cm="1">
        <f t="array" ca="1" aca="1" ref="CD63">_xlfn.XLOOKUP(BS!CD$11,array_timeline,BS!$AD63:$BN63)</f>
        <v>#NAME?</v>
      </c>
      <c r="CE63" s="928" t="e" cm="1">
        <f t="array" ca="1" aca="1" ref="CE63">_xlfn.XLOOKUP(BS!CE$11,array_timeline,BS!$AD63:$BN63)</f>
        <v>#NAME?</v>
      </c>
      <c r="CF63" s="925"/>
      <c r="CG63" s="2122" t="e">
        <f t="shared" ca="1" si="16"/>
        <v>#NAME?</v>
      </c>
      <c r="CH63" s="2122" t="e">
        <f t="shared" ca="1" si="16"/>
        <v>#NAME?</v>
      </c>
      <c r="CI63" s="200"/>
      <c r="CQ63" s="1883" t="str" cm="1">
        <f t="array" ca="1" aca="1" ref="CQ63">IFERROR(IF(AD63*fxVal_normal=_BS!AD63,"",IF(OR(AD63="",NOT(ISNUMBER(AD63)),ISERROR(AD63),$B63=""),"",IF($I63=1,IFBLANK(_xldudf_CX_PUSH(AD63*fxVal_normal,CX_ENTITY,$B63,AD$11,AD$14,AD$60,),""),IF($I63=2,IFBLANK(_xldudf_CX_PUSH(AD63,CX_ENTITY,$B63,AD$11,AD$14,AD$60,),""),IF($I63=3,"",IFBLANK(_xldudf_CX_PUSH(AD63,CX_ENTITY,$B63,AD$11,AD$14,AD$60,),"")))))),"")</f>
        <v/>
      </c>
      <c r="CR63" s="1883" t="str" cm="1">
        <f t="array" ca="1" aca="1" ref="CR63">IFERROR(IF(AE63*fxVal_normal=_BS!AE63,"",IF(OR(AE63="",NOT(ISNUMBER(AE63)),ISERROR(AE63),$B63=""),"",IF($I63=1,IFBLANK(_xldudf_CX_PUSH(AE63*fxVal_normal,CX_ENTITY,$B63,AE$11,AE$14,AE$60,),""),IF($I63=2,IFBLANK(_xldudf_CX_PUSH(AE63,CX_ENTITY,$B63,AE$11,AE$14,AE$60,),""),IF($I63=3,"",IFBLANK(_xldudf_CX_PUSH(AE63,CX_ENTITY,$B63,AE$11,AE$14,AE$60,),"")))))),"")</f>
        <v/>
      </c>
      <c r="CS63" s="1883" t="str" cm="1">
        <f t="array" ca="1" aca="1" ref="CS63">IFERROR(IF(AF63*fxVal_normal=_BS!AF63,"",IF(OR(AF63="",NOT(ISNUMBER(AF63)),ISERROR(AF63),$B63=""),"",IF($I63=1,IFBLANK(_xldudf_CX_PUSH(AF63*fxVal_normal,CX_ENTITY,$B63,AF$11,AF$14,AF$60,),""),IF($I63=2,IFBLANK(_xldudf_CX_PUSH(AF63,CX_ENTITY,$B63,AF$11,AF$14,AF$60,),""),IF($I63=3,"",IFBLANK(_xldudf_CX_PUSH(AF63,CX_ENTITY,$B63,AF$11,AF$14,AF$60,),"")))))),"")</f>
        <v/>
      </c>
      <c r="CT63" s="1883" t="str" cm="1">
        <f t="array" ca="1" aca="1" ref="CT63">IFERROR(IF(AG63*fxVal_normal=_BS!AG63,"",IF(OR(AG63="",NOT(ISNUMBER(AG63)),ISERROR(AG63),$B63=""),"",IF($I63=1,IFBLANK(_xldudf_CX_PUSH(AG63*fxVal_normal,CX_ENTITY,$B63,AG$11,AG$14,AG$60,),""),IF($I63=2,IFBLANK(_xldudf_CX_PUSH(AG63,CX_ENTITY,$B63,AG$11,AG$14,AG$60,),""),IF($I63=3,"",IFBLANK(_xldudf_CX_PUSH(AG63,CX_ENTITY,$B63,AG$11,AG$14,AG$60,),"")))))),"")</f>
        <v/>
      </c>
      <c r="CU63" s="1883" t="str" cm="1">
        <f t="array" ca="1" aca="1" ref="CU63">IFERROR(IF(AH63*fxVal_normal=_BS!AH63,"",IF(OR(AH63="",NOT(ISNUMBER(AH63)),ISERROR(AH63),$B63=""),"",IF($I63=1,IFBLANK(_xldudf_CX_PUSH(AH63*fxVal_normal,CX_ENTITY,$B63,AH$11,AH$14,AH$60,),""),IF($I63=2,IFBLANK(_xldudf_CX_PUSH(AH63,CX_ENTITY,$B63,AH$11,AH$14,AH$60,),""),IF($I63=3,"",IFBLANK(_xldudf_CX_PUSH(AH63,CX_ENTITY,$B63,AH$11,AH$14,AH$60,),"")))))),"")</f>
        <v/>
      </c>
      <c r="CV63" s="1883" t="str" cm="1">
        <f t="array" ca="1" aca="1" ref="CV63">IFERROR(IF(AI63*fxVal_normal=_BS!AI63,"",IF(OR(AI63="",NOT(ISNUMBER(AI63)),ISERROR(AI63),$B63=""),"",IF($I63=1,IFBLANK(_xldudf_CX_PUSH(AI63*fxVal_normal,CX_ENTITY,$B63,AI$11,AI$14,AI$60,),""),IF($I63=2,IFBLANK(_xldudf_CX_PUSH(AI63,CX_ENTITY,$B63,AI$11,AI$14,AI$60,),""),IF($I63=3,"",IFBLANK(_xldudf_CX_PUSH(AI63,CX_ENTITY,$B63,AI$11,AI$14,AI$60,),"")))))),"")</f>
        <v/>
      </c>
      <c r="CW63" s="1883" t="str" cm="1">
        <f t="array" ca="1" aca="1" ref="CW63">IFERROR(IF(AJ63*fxVal_normal=_BS!AJ63,"",IF(OR(AJ63="",NOT(ISNUMBER(AJ63)),ISERROR(AJ63),$B63=""),"",IF($I63=1,IFBLANK(_xldudf_CX_PUSH(AJ63*fxVal_normal,CX_ENTITY,$B63,AJ$11,AJ$14,AJ$60,),""),IF($I63=2,IFBLANK(_xldudf_CX_PUSH(AJ63,CX_ENTITY,$B63,AJ$11,AJ$14,AJ$60,),""),IF($I63=3,"",IFBLANK(_xldudf_CX_PUSH(AJ63,CX_ENTITY,$B63,AJ$11,AJ$14,AJ$60,),"")))))),"")</f>
        <v/>
      </c>
      <c r="CX63" s="1883" t="str" cm="1">
        <f t="array" ca="1" aca="1" ref="CX63">IFERROR(IF(AK63*fxVal_normal=_BS!AK63,"",IF(OR(AK63="",NOT(ISNUMBER(AK63)),ISERROR(AK63),$B63=""),"",IF($I63=1,IFBLANK(_xldudf_CX_PUSH(AK63*fxVal_normal,CX_ENTITY,$B63,AK$11,AK$14,AK$60,),""),IF($I63=2,IFBLANK(_xldudf_CX_PUSH(AK63,CX_ENTITY,$B63,AK$11,AK$14,AK$60,),""),IF($I63=3,"",IFBLANK(_xldudf_CX_PUSH(AK63,CX_ENTITY,$B63,AK$11,AK$14,AK$60,),"")))))),"")</f>
        <v/>
      </c>
      <c r="CY63" s="1883" t="str" cm="1">
        <f t="array" ca="1" aca="1" ref="CY63">IFERROR(IF(AL63*fxVal_normal=_BS!AL63,"",IF(OR(AL63="",NOT(ISNUMBER(AL63)),ISERROR(AL63),$B63=""),"",IF($I63=1,IFBLANK(_xldudf_CX_PUSH(AL63*fxVal_normal,CX_ENTITY,$B63,AL$11,AL$14,AL$60,),""),IF($I63=2,IFBLANK(_xldudf_CX_PUSH(AL63,CX_ENTITY,$B63,AL$11,AL$14,AL$60,),""),IF($I63=3,"",IFBLANK(_xldudf_CX_PUSH(AL63,CX_ENTITY,$B63,AL$11,AL$14,AL$60,),"")))))),"")</f>
        <v/>
      </c>
      <c r="CZ63" s="1883" t="str" cm="1">
        <f t="array" ca="1" aca="1" ref="CZ63">IFERROR(IF(AM63*fxVal_normal=_BS!AM63,"",IF(OR(AM63="",NOT(ISNUMBER(AM63)),ISERROR(AM63),$B63=""),"",IF($I63=1,IFBLANK(_xldudf_CX_PUSH(AM63*fxVal_normal,CX_ENTITY,$B63,AM$11,AM$14,AM$60,),""),IF($I63=2,IFBLANK(_xldudf_CX_PUSH(AM63,CX_ENTITY,$B63,AM$11,AM$14,AM$60,),""),IF($I63=3,"",IFBLANK(_xldudf_CX_PUSH(AM63,CX_ENTITY,$B63,AM$11,AM$14,AM$60,),"")))))),"")</f>
        <v/>
      </c>
      <c r="DA63" s="1883" t="str" cm="1">
        <f t="array" ca="1" aca="1" ref="DA63">IFERROR(IF(AN63*fxVal_normal=_BS!AN63,"",IF(OR(AN63="",NOT(ISNUMBER(AN63)),ISERROR(AN63),$B63=""),"",IF($I63=1,IFBLANK(_xldudf_CX_PUSH(AN63*fxVal_normal,CX_ENTITY,$B63,AN$11,AN$14,AN$60,),""),IF($I63=2,IFBLANK(_xldudf_CX_PUSH(AN63,CX_ENTITY,$B63,AN$11,AN$14,AN$60,),""),IF($I63=3,"",IFBLANK(_xldudf_CX_PUSH(AN63,CX_ENTITY,$B63,AN$11,AN$14,AN$60,),"")))))),"")</f>
        <v/>
      </c>
      <c r="DB63" s="1883" t="str" cm="1">
        <f t="array" ca="1" aca="1" ref="DB63">IFERROR(IF(AO63*fxVal_normal=_BS!AO63,"",IF(OR(AO63="",NOT(ISNUMBER(AO63)),ISERROR(AO63),$B63=""),"",IF($I63=1,IFBLANK(_xldudf_CX_PUSH(AO63*fxVal_normal,CX_ENTITY,$B63,AO$11,AO$14,AO$60,),""),IF($I63=2,IFBLANK(_xldudf_CX_PUSH(AO63,CX_ENTITY,$B63,AO$11,AO$14,AO$60,),""),IF($I63=3,"",IFBLANK(_xldudf_CX_PUSH(AO63,CX_ENTITY,$B63,AO$11,AO$14,AO$60,),"")))))),"")</f>
        <v/>
      </c>
      <c r="DC63" s="1883" t="str" cm="1">
        <f t="array" ca="1" aca="1" ref="DC63">IFERROR(IF(AP63*fxVal_normal=_BS!AP63,"",IF(OR(AP63="",NOT(ISNUMBER(AP63)),ISERROR(AP63),$B63=""),"",IF($I63=1,IFBLANK(_xldudf_CX_PUSH(AP63*fxVal_normal,CX_ENTITY,$B63,AP$11,AP$14,AP$60,),""),IF($I63=2,IFBLANK(_xldudf_CX_PUSH(AP63,CX_ENTITY,$B63,AP$11,AP$14,AP$60,),""),IF($I63=3,"",IFBLANK(_xldudf_CX_PUSH(AP63,CX_ENTITY,$B63,AP$11,AP$14,AP$60,),"")))))),"")</f>
        <v/>
      </c>
      <c r="DD63" s="1883" t="str" cm="1">
        <f t="array" ca="1" aca="1" ref="DD63">IFERROR(IF(AQ63*fxVal_normal=_BS!AQ63,"",IF(OR(AQ63="",NOT(ISNUMBER(AQ63)),ISERROR(AQ63),$B63=""),"",IF($I63=1,IFBLANK(_xldudf_CX_PUSH(AQ63*fxVal_normal,CX_ENTITY,$B63,AQ$11,AQ$14,AQ$60,),""),IF($I63=2,IFBLANK(_xldudf_CX_PUSH(AQ63,CX_ENTITY,$B63,AQ$11,AQ$14,AQ$60,),""),IF($I63=3,"",IFBLANK(_xldudf_CX_PUSH(AQ63,CX_ENTITY,$B63,AQ$11,AQ$14,AQ$60,),"")))))),"")</f>
        <v/>
      </c>
      <c r="DE63" s="1883" t="str" cm="1">
        <f t="array" ca="1" aca="1" ref="DE63">IFERROR(IF(AR63*fxVal_normal=_BS!AR63,"",IF(OR(AR63="",NOT(ISNUMBER(AR63)),ISERROR(AR63),$B63=""),"",IF($I63=1,IFBLANK(_xldudf_CX_PUSH(AR63*fxVal_normal,CX_ENTITY,$B63,AR$11,AR$14,AR$60,),""),IF($I63=2,IFBLANK(_xldudf_CX_PUSH(AR63,CX_ENTITY,$B63,AR$11,AR$14,AR$60,),""),IF($I63=3,"",IFBLANK(_xldudf_CX_PUSH(AR63,CX_ENTITY,$B63,AR$11,AR$14,AR$60,),"")))))),"")</f>
        <v/>
      </c>
      <c r="DF63" s="1883" t="str" cm="1">
        <f t="array" ca="1" aca="1" ref="DF63">IFERROR(IF(AS63*fxVal_normal=_BS!AS63,"",IF(OR(AS63="",NOT(ISNUMBER(AS63)),ISERROR(AS63),$B63=""),"",IF($I63=1,IFBLANK(_xldudf_CX_PUSH(AS63*fxVal_normal,CX_ENTITY,$B63,AS$11,AS$14,AS$60,),""),IF($I63=2,IFBLANK(_xldudf_CX_PUSH(AS63,CX_ENTITY,$B63,AS$11,AS$14,AS$60,),""),IF($I63=3,"",IFBLANK(_xldudf_CX_PUSH(AS63,CX_ENTITY,$B63,AS$11,AS$14,AS$60,),"")))))),"")</f>
        <v/>
      </c>
      <c r="DG63" s="1883" t="str" cm="1">
        <f t="array" ca="1" aca="1" ref="DG63">IFERROR(IF(AT63*fxVal_normal=_BS!AT63,"",IF(OR(AT63="",NOT(ISNUMBER(AT63)),ISERROR(AT63),$B63=""),"",IF($I63=1,IFBLANK(_xldudf_CX_PUSH(AT63*fxVal_normal,CX_ENTITY,$B63,AT$11,AT$14,AT$60,),""),IF($I63=2,IFBLANK(_xldudf_CX_PUSH(AT63,CX_ENTITY,$B63,AT$11,AT$14,AT$60,),""),IF($I63=3,"",IFBLANK(_xldudf_CX_PUSH(AT63,CX_ENTITY,$B63,AT$11,AT$14,AT$60,),"")))))),"")</f>
        <v/>
      </c>
      <c r="DH63" s="1883" t="str" cm="1">
        <f t="array" ca="1" aca="1" ref="DH63">IFERROR(IF(AU63*fxVal_normal=_BS!AU63,"",IF(OR(AU63="",NOT(ISNUMBER(AU63)),ISERROR(AU63),$B63=""),"",IF($I63=1,IFBLANK(_xldudf_CX_PUSH(AU63*fxVal_normal,CX_ENTITY,$B63,AU$11,AU$14,AU$60,),""),IF($I63=2,IFBLANK(_xldudf_CX_PUSH(AU63,CX_ENTITY,$B63,AU$11,AU$14,AU$60,),""),IF($I63=3,"",IFBLANK(_xldudf_CX_PUSH(AU63,CX_ENTITY,$B63,AU$11,AU$14,AU$60,),"")))))),"")</f>
        <v/>
      </c>
      <c r="DI63" s="1883" t="str" cm="1">
        <f t="array" ca="1" aca="1" ref="DI63">IFERROR(IF(AV63*fxVal_normal=_BS!AV63,"",IF(OR(AV63="",NOT(ISNUMBER(AV63)),ISERROR(AV63),$B63=""),"",IF($I63=1,IFBLANK(_xldudf_CX_PUSH(AV63*fxVal_normal,CX_ENTITY,$B63,AV$11,AV$14,AV$60,),""),IF($I63=2,IFBLANK(_xldudf_CX_PUSH(AV63,CX_ENTITY,$B63,AV$11,AV$14,AV$60,),""),IF($I63=3,"",IFBLANK(_xldudf_CX_PUSH(AV63,CX_ENTITY,$B63,AV$11,AV$14,AV$60,),"")))))),"")</f>
        <v/>
      </c>
      <c r="DJ63" s="1883" t="str" cm="1">
        <f t="array" ca="1" aca="1" ref="DJ63">IFERROR(IF(AW63*fxVal_normal=_BS!AW63,"",IF(OR(AW63="",NOT(ISNUMBER(AW63)),ISERROR(AW63),$B63=""),"",IF($I63=1,IFBLANK(_xldudf_CX_PUSH(AW63*fxVal_normal,CX_ENTITY,$B63,AW$11,AW$14,AW$60,),""),IF($I63=2,IFBLANK(_xldudf_CX_PUSH(AW63,CX_ENTITY,$B63,AW$11,AW$14,AW$60,),""),IF($I63=3,"",IFBLANK(_xldudf_CX_PUSH(AW63,CX_ENTITY,$B63,AW$11,AW$14,AW$60,),"")))))),"")</f>
        <v/>
      </c>
      <c r="DK63" s="1883" t="str" cm="1">
        <f t="array" ca="1" aca="1" ref="DK63">IFERROR(IF(AX63*fxVal_normal=_BS!AX63,"",IF(OR(AX63="",NOT(ISNUMBER(AX63)),ISERROR(AX63),$B63=""),"",IF($I63=1,IFBLANK(_xldudf_CX_PUSH(AX63*fxVal_normal,CX_ENTITY,$B63,AX$11,AX$14,AX$60,),""),IF($I63=2,IFBLANK(_xldudf_CX_PUSH(AX63,CX_ENTITY,$B63,AX$11,AX$14,AX$60,),""),IF($I63=3,"",IFBLANK(_xldudf_CX_PUSH(AX63,CX_ENTITY,$B63,AX$11,AX$14,AX$60,),"")))))),"")</f>
        <v/>
      </c>
      <c r="DL63" s="1883" t="str" cm="1">
        <f t="array" ca="1" aca="1" ref="DL63">IFERROR(IF(AY63*fxVal_normal=_BS!AY63,"",IF(OR(AY63="",NOT(ISNUMBER(AY63)),ISERROR(AY63),$B63=""),"",IF($I63=1,IFBLANK(_xldudf_CX_PUSH(AY63*fxVal_normal,CX_ENTITY,$B63,AY$11,AY$14,AY$60,),""),IF($I63=2,IFBLANK(_xldudf_CX_PUSH(AY63,CX_ENTITY,$B63,AY$11,AY$14,AY$60,),""),IF($I63=3,"",IFBLANK(_xldudf_CX_PUSH(AY63,CX_ENTITY,$B63,AY$11,AY$14,AY$60,),"")))))),"")</f>
        <v/>
      </c>
      <c r="DM63" s="1883" t="str" cm="1">
        <f t="array" ca="1" aca="1" ref="DM63">IFERROR(IF(AZ63*fxVal_normal=_BS!AZ63,"",IF(OR(AZ63="",NOT(ISNUMBER(AZ63)),ISERROR(AZ63),$B63=""),"",IF($I63=1,IFBLANK(_xldudf_CX_PUSH(AZ63*fxVal_normal,CX_ENTITY,$B63,AZ$11,AZ$14,AZ$60,),""),IF($I63=2,IFBLANK(_xldudf_CX_PUSH(AZ63,CX_ENTITY,$B63,AZ$11,AZ$14,AZ$60,),""),IF($I63=3,"",IFBLANK(_xldudf_CX_PUSH(AZ63,CX_ENTITY,$B63,AZ$11,AZ$14,AZ$60,),"")))))),"")</f>
        <v/>
      </c>
      <c r="DN63" s="1883" t="str" cm="1">
        <f t="array" ca="1" aca="1" ref="DN63">IFERROR(IF(BA63*fxVal_normal=_BS!BA63,"",IF(OR(BA63="",NOT(ISNUMBER(BA63)),ISERROR(BA63),$B63=""),"",IF($I63=1,IFBLANK(_xldudf_CX_PUSH(BA63*fxVal_normal,CX_ENTITY,$B63,BA$11,BA$14,BA$60,),""),IF($I63=2,IFBLANK(_xldudf_CX_PUSH(BA63,CX_ENTITY,$B63,BA$11,BA$14,BA$60,),""),IF($I63=3,"",IFBLANK(_xldudf_CX_PUSH(BA63,CX_ENTITY,$B63,BA$11,BA$14,BA$60,),"")))))),"")</f>
        <v/>
      </c>
      <c r="DO63" s="1883" t="str" cm="1">
        <f t="array" ca="1" aca="1" ref="DO63">IFERROR(IF(BB63*fxVal_normal=_BS!BB63,"",IF(OR(BB63="",NOT(ISNUMBER(BB63)),ISERROR(BB63),$B63=""),"",IF($I63=1,IFBLANK(_xldudf_CX_PUSH(BB63*fxVal_normal,CX_ENTITY,$B63,BB$11,BB$14,BB$60,),""),IF($I63=2,IFBLANK(_xldudf_CX_PUSH(BB63,CX_ENTITY,$B63,BB$11,BB$14,BB$60,),""),IF($I63=3,"",IFBLANK(_xldudf_CX_PUSH(BB63,CX_ENTITY,$B63,BB$11,BB$14,BB$60,),"")))))),"")</f>
        <v/>
      </c>
      <c r="DP63" s="1883" t="str" cm="1">
        <f t="array" ca="1" aca="1" ref="DP63">IFERROR(IF(BC63*fxVal_normal=_BS!BC63,"",IF(OR(BC63="",NOT(ISNUMBER(BC63)),ISERROR(BC63),$B63=""),"",IF($I63=1,IFBLANK(_xldudf_CX_PUSH(BC63*fxVal_normal,CX_ENTITY,$B63,BC$11,BC$14,BC$60,),""),IF($I63=2,IFBLANK(_xldudf_CX_PUSH(BC63,CX_ENTITY,$B63,BC$11,BC$14,BC$60,),""),IF($I63=3,"",IFBLANK(_xldudf_CX_PUSH(BC63,CX_ENTITY,$B63,BC$11,BC$14,BC$60,),"")))))),"")</f>
        <v/>
      </c>
      <c r="DQ63" s="1883" t="str" cm="1">
        <f t="array" ca="1" aca="1" ref="DQ63">IFERROR(IF(BD63*fxVal_normal=_BS!BD63,"",IF(OR(BD63="",NOT(ISNUMBER(BD63)),ISERROR(BD63),$B63=""),"",IF($I63=1,IFBLANK(_xldudf_CX_PUSH(BD63*fxVal_normal,CX_ENTITY,$B63,BD$11,BD$14,BD$60,),""),IF($I63=2,IFBLANK(_xldudf_CX_PUSH(BD63,CX_ENTITY,$B63,BD$11,BD$14,BD$60,),""),IF($I63=3,"",IFBLANK(_xldudf_CX_PUSH(BD63,CX_ENTITY,$B63,BD$11,BD$14,BD$60,),"")))))),"")</f>
        <v/>
      </c>
      <c r="DR63" s="1883" t="str" cm="1">
        <f t="array" ca="1" aca="1" ref="DR63">IFERROR(IF(BE63*fxVal_normal=_BS!BE63,"",IF(OR(BE63="",NOT(ISNUMBER(BE63)),ISERROR(BE63),$B63=""),"",IF($I63=1,IFBLANK(_xldudf_CX_PUSH(BE63*fxVal_normal,CX_ENTITY,$B63,BE$11,BE$14,BE$60,),""),IF($I63=2,IFBLANK(_xldudf_CX_PUSH(BE63,CX_ENTITY,$B63,BE$11,BE$14,BE$60,),""),IF($I63=3,"",IFBLANK(_xldudf_CX_PUSH(BE63,CX_ENTITY,$B63,BE$11,BE$14,BE$60,),"")))))),"")</f>
        <v/>
      </c>
      <c r="DS63" s="1883" t="str" cm="1">
        <f t="array" ca="1" aca="1" ref="DS63">IFERROR(IF(BF63*fxVal_normal=_BS!BF63,"",IF(OR(BF63="",NOT(ISNUMBER(BF63)),ISERROR(BF63),$B63=""),"",IF($I63=1,IFBLANK(_xldudf_CX_PUSH(BF63*fxVal_normal,CX_ENTITY,$B63,BF$11,BF$14,BF$60,),""),IF($I63=2,IFBLANK(_xldudf_CX_PUSH(BF63,CX_ENTITY,$B63,BF$11,BF$14,BF$60,),""),IF($I63=3,"",IFBLANK(_xldudf_CX_PUSH(BF63,CX_ENTITY,$B63,BF$11,BF$14,BF$60,),"")))))),"")</f>
        <v/>
      </c>
      <c r="DT63" s="1883" t="str" cm="1">
        <f t="array" ca="1" aca="1" ref="DT63">IFERROR(IF(BG63*fxVal_normal=_BS!BG63,"",IF(OR(BG63="",NOT(ISNUMBER(BG63)),ISERROR(BG63),$B63=""),"",IF($I63=1,IFBLANK(_xldudf_CX_PUSH(BG63*fxVal_normal,CX_ENTITY,$B63,BG$11,BG$14,BG$60,),""),IF($I63=2,IFBLANK(_xldudf_CX_PUSH(BG63,CX_ENTITY,$B63,BG$11,BG$14,BG$60,),""),IF($I63=3,"",IFBLANK(_xldudf_CX_PUSH(BG63,CX_ENTITY,$B63,BG$11,BG$14,BG$60,),"")))))),"")</f>
        <v/>
      </c>
      <c r="DU63" s="1883" t="str" cm="1">
        <f t="array" ca="1" aca="1" ref="DU63">IFERROR(IF(BH63*fxVal_normal=_BS!BH63,"",IF(OR(BH63="",NOT(ISNUMBER(BH63)),ISERROR(BH63),$B63=""),"",IF($I63=1,IFBLANK(_xldudf_CX_PUSH(BH63*fxVal_normal,CX_ENTITY,$B63,BH$11,BH$14,BH$60,),""),IF($I63=2,IFBLANK(_xldudf_CX_PUSH(BH63,CX_ENTITY,$B63,BH$11,BH$14,BH$60,),""),IF($I63=3,"",IFBLANK(_xldudf_CX_PUSH(BH63,CX_ENTITY,$B63,BH$11,BH$14,BH$60,),"")))))),"")</f>
        <v/>
      </c>
      <c r="DV63" s="1883" t="str" cm="1">
        <f t="array" ca="1" aca="1" ref="DV63">IFERROR(IF(BI63*fxVal_normal=_BS!BI63,"",IF(OR(BI63="",NOT(ISNUMBER(BI63)),ISERROR(BI63),$B63=""),"",IF($I63=1,IFBLANK(_xldudf_CX_PUSH(BI63*fxVal_normal,CX_ENTITY,$B63,BI$11,BI$14,BI$60,),""),IF($I63=2,IFBLANK(_xldudf_CX_PUSH(BI63,CX_ENTITY,$B63,BI$11,BI$14,BI$60,),""),IF($I63=3,"",IFBLANK(_xldudf_CX_PUSH(BI63,CX_ENTITY,$B63,BI$11,BI$14,BI$60,),"")))))),"")</f>
        <v/>
      </c>
      <c r="DW63" s="1883" t="str" cm="1">
        <f t="array" ca="1" aca="1" ref="DW63">IFERROR(IF(BJ63*fxVal_normal=_BS!BJ63,"",IF(OR(BJ63="",NOT(ISNUMBER(BJ63)),ISERROR(BJ63),$B63=""),"",IF($I63=1,IFBLANK(_xldudf_CX_PUSH(BJ63*fxVal_normal,CX_ENTITY,$B63,BJ$11,BJ$14,BJ$60,),""),IF($I63=2,IFBLANK(_xldudf_CX_PUSH(BJ63,CX_ENTITY,$B63,BJ$11,BJ$14,BJ$60,),""),IF($I63=3,"",IFBLANK(_xldudf_CX_PUSH(BJ63,CX_ENTITY,$B63,BJ$11,BJ$14,BJ$60,),"")))))),"")</f>
        <v/>
      </c>
      <c r="DX63" s="1883" t="str" cm="1">
        <f t="array" ca="1" aca="1" ref="DX63">IFERROR(IF(BK63*fxVal_normal=_BS!BK63,"",IF(OR(BK63="",NOT(ISNUMBER(BK63)),ISERROR(BK63),$B63=""),"",IF($I63=1,IFBLANK(_xldudf_CX_PUSH(BK63*fxVal_normal,CX_ENTITY,$B63,BK$11,BK$14,BK$60,),""),IF($I63=2,IFBLANK(_xldudf_CX_PUSH(BK63,CX_ENTITY,$B63,BK$11,BK$14,BK$60,),""),IF($I63=3,"",IFBLANK(_xldudf_CX_PUSH(BK63,CX_ENTITY,$B63,BK$11,BK$14,BK$60,),"")))))),"")</f>
        <v/>
      </c>
      <c r="DY63" s="1883" t="str" cm="1">
        <f t="array" ca="1" aca="1" ref="DY63">IFERROR(IF(BL63*fxVal_normal=_BS!BL63,"",IF(OR(BL63="",NOT(ISNUMBER(BL63)),ISERROR(BL63),$B63=""),"",IF($I63=1,IFBLANK(_xldudf_CX_PUSH(BL63*fxVal_normal,CX_ENTITY,$B63,BL$11,BL$14,BL$60,),""),IF($I63=2,IFBLANK(_xldudf_CX_PUSH(BL63,CX_ENTITY,$B63,BL$11,BL$14,BL$60,),""),IF($I63=3,"",IFBLANK(_xldudf_CX_PUSH(BL63,CX_ENTITY,$B63,BL$11,BL$14,BL$60,),"")))))),"")</f>
        <v/>
      </c>
      <c r="DZ63" s="1883" t="str" cm="1">
        <f t="array" ca="1" aca="1" ref="DZ63">IFERROR(IF(BM63*fxVal_normal=_BS!BM63,"",IF(OR(BM63="",NOT(ISNUMBER(BM63)),ISERROR(BM63),$B63=""),"",IF($I63=1,IFBLANK(_xldudf_CX_PUSH(BM63*fxVal_normal,CX_ENTITY,$B63,BM$11,BM$14,BM$60,),""),IF($I63=2,IFBLANK(_xldudf_CX_PUSH(BM63,CX_ENTITY,$B63,BM$11,BM$14,BM$60,),""),IF($I63=3,"",IFBLANK(_xldudf_CX_PUSH(BM63,CX_ENTITY,$B63,BM$11,BM$14,BM$60,),"")))))),"")</f>
        <v/>
      </c>
      <c r="EA63" s="1883" t="str" cm="1">
        <f t="array" ca="1" aca="1" ref="EA63">IFERROR(IF(BN63*fxVal_normal=_BS!BN63,"",IF(OR(BN63="",NOT(ISNUMBER(BN63)),ISERROR(BN63),$B63=""),"",IF($I63=1,IFBLANK(_xldudf_CX_PUSH(BN63*fxVal_normal,CX_ENTITY,$B63,BN$11,BN$14,BN$60,),""),IF($I63=2,IFBLANK(_xldudf_CX_PUSH(BN63,CX_ENTITY,$B63,BN$11,BN$14,BN$60,),""),IF($I63=3,"",IFBLANK(_xldudf_CX_PUSH(BN63,CX_ENTITY,$B63,BN$11,BN$14,BN$60,),"")))))),"")</f>
        <v/>
      </c>
    </row>
    <row r="64" spans="1:131" ht="21" customHeight="1">
      <c r="A64" s="1624"/>
      <c r="B64" s="811" t="str" cm="1">
        <f t="array" ref="B64">IFBLANK(_BS!F64,"")</f>
        <v>Non-Current Assets</v>
      </c>
      <c r="C64" s="811" t="str" cm="1">
        <f t="array" ref="C64">IFBLANK(_BS!C64,"")</f>
        <v>Non-Current Asset (Company View)</v>
      </c>
      <c r="D64" s="1638"/>
      <c r="E64" s="1902" t="e" cm="1">
        <f t="array" ca="1" aca="1" ref="E6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64:$CH64,Z64)</f>
        <v>#NAME?</v>
      </c>
      <c r="F64" s="1897"/>
      <c r="G64" s="1897"/>
      <c r="H64" s="3280">
        <v>2</v>
      </c>
      <c r="I64" s="3280">
        <v>1</v>
      </c>
      <c r="J64" s="1072"/>
      <c r="L64" s="921"/>
      <c r="M64" s="921"/>
      <c r="N64" s="158"/>
      <c r="O64" s="101"/>
      <c r="P64" s="52"/>
      <c r="Q64" s="101"/>
      <c r="R64" s="101"/>
      <c r="S64" s="101"/>
      <c r="T64" s="101"/>
      <c r="U64" s="39"/>
      <c r="V64" s="921"/>
      <c r="W64" s="1291" t="str">
        <f t="shared" si="18"/>
        <v>Budget</v>
      </c>
      <c r="X64" s="1294">
        <f>_BS!X64</f>
        <v>0</v>
      </c>
      <c r="Y64" s="1593" t="str">
        <f t="shared" si="17"/>
        <v>Non-Current Assets</v>
      </c>
      <c r="Z64" s="198" cm="1">
        <f t="array" ref="Z64">_xlfn.SWITCH(TRUE,_BS!$L64=TRUE,1,_BS!$L64=FALSE,-1,_BS!$L64=-1,0,"n/a")</f>
        <v>0</v>
      </c>
      <c r="AA64" s="924"/>
      <c r="AB64" s="925" t="str">
        <f>_BS!AB64</f>
        <v>Non-Current Assets</v>
      </c>
      <c r="AC64" s="88" t="str" cm="1">
        <f t="array" ca="1" aca="1" ref="AC64">_xlfn.LET(_xlpm._termname,$AB64,_xlpm._iconname,"find",_xlpm._icon,fx_getIcon(_xlpm._iconname),_xlpm._location,_xlfn.XLOOKUP(LOWER(_xlpm._termname),LOWER(tbl_acctDef[Term]),tbl_acctDef[Term]),_xlpm._hyperlink,HYPERLINK("#"&amp;CELL("address",_xlpm._location),_xlpm._icon),IFERROR(_xlpm._hyperlink,""))</f>
        <v/>
      </c>
      <c r="AD64" s="1668">
        <f t="shared" si="19" ref="AD64:BN64">SUBTOTAL(9,AD61:AD63)</f>
        <v>3</v>
      </c>
      <c r="AE64" s="919">
        <f t="shared" si="19"/>
        <v>3</v>
      </c>
      <c r="AF64" s="919">
        <f t="shared" si="19"/>
        <v>3</v>
      </c>
      <c r="AG64" s="919">
        <f t="shared" si="19"/>
        <v>3</v>
      </c>
      <c r="AH64" s="919">
        <f t="shared" si="19"/>
        <v>3</v>
      </c>
      <c r="AI64" s="919">
        <f t="shared" si="19"/>
        <v>3</v>
      </c>
      <c r="AJ64" s="919">
        <f t="shared" si="19"/>
        <v>3</v>
      </c>
      <c r="AK64" s="919">
        <f t="shared" si="19"/>
        <v>3</v>
      </c>
      <c r="AL64" s="919">
        <f t="shared" si="19"/>
        <v>3</v>
      </c>
      <c r="AM64" s="919">
        <f t="shared" si="19"/>
        <v>3</v>
      </c>
      <c r="AN64" s="919">
        <f t="shared" si="19"/>
        <v>3</v>
      </c>
      <c r="AO64" s="919">
        <f t="shared" si="19"/>
        <v>3</v>
      </c>
      <c r="AP64" s="919">
        <f t="shared" si="19"/>
        <v>3</v>
      </c>
      <c r="AQ64" s="919">
        <f t="shared" si="19"/>
        <v>3</v>
      </c>
      <c r="AR64" s="919">
        <f t="shared" si="19"/>
        <v>3</v>
      </c>
      <c r="AS64" s="919">
        <f t="shared" si="19"/>
        <v>3</v>
      </c>
      <c r="AT64" s="919">
        <f t="shared" si="19"/>
        <v>3</v>
      </c>
      <c r="AU64" s="919">
        <f t="shared" si="19"/>
        <v>3</v>
      </c>
      <c r="AV64" s="919">
        <f t="shared" si="19"/>
        <v>3</v>
      </c>
      <c r="AW64" s="919">
        <f t="shared" si="19"/>
        <v>3</v>
      </c>
      <c r="AX64" s="919">
        <f t="shared" si="19"/>
        <v>3</v>
      </c>
      <c r="AY64" s="919">
        <f t="shared" si="19"/>
        <v>3</v>
      </c>
      <c r="AZ64" s="919">
        <f t="shared" si="19"/>
        <v>3</v>
      </c>
      <c r="BA64" s="919">
        <f t="shared" si="19"/>
        <v>3</v>
      </c>
      <c r="BB64" s="919">
        <f t="shared" si="19"/>
        <v>3</v>
      </c>
      <c r="BC64" s="919">
        <f t="shared" si="19"/>
        <v>3</v>
      </c>
      <c r="BD64" s="919">
        <f t="shared" si="19"/>
        <v>3</v>
      </c>
      <c r="BE64" s="919">
        <f t="shared" si="19"/>
        <v>3</v>
      </c>
      <c r="BF64" s="919">
        <f t="shared" si="19"/>
        <v>3</v>
      </c>
      <c r="BG64" s="919">
        <f t="shared" si="19"/>
        <v>3</v>
      </c>
      <c r="BH64" s="919">
        <f t="shared" si="19"/>
        <v>3</v>
      </c>
      <c r="BI64" s="919">
        <f t="shared" si="19"/>
        <v>3</v>
      </c>
      <c r="BJ64" s="919">
        <f t="shared" si="19"/>
        <v>3</v>
      </c>
      <c r="BK64" s="919">
        <f t="shared" si="19"/>
        <v>3</v>
      </c>
      <c r="BL64" s="919">
        <f t="shared" si="19"/>
        <v>3</v>
      </c>
      <c r="BM64" s="919">
        <f t="shared" si="19"/>
        <v>3</v>
      </c>
      <c r="BN64" s="919">
        <f t="shared" si="19"/>
        <v>3</v>
      </c>
      <c r="BO64" s="2117"/>
      <c r="BP64" s="2117"/>
      <c r="BQ64" s="2117"/>
      <c r="BR64" s="2117"/>
      <c r="BS64" s="2117"/>
      <c r="BT64" s="2117"/>
      <c r="BU64" s="2117"/>
      <c r="BV64" s="2117"/>
      <c r="BW64" s="2117"/>
      <c r="BX64" s="2117"/>
      <c r="BY64" s="2117"/>
      <c r="BZ64" s="2117"/>
      <c r="CA64" s="926"/>
      <c r="CB64" s="921"/>
      <c r="CC64" s="927"/>
      <c r="CD64" s="928" t="e" cm="1">
        <f t="array" ca="1" aca="1" ref="CD64">_xlfn.XLOOKUP(BS!CD$11,array_timeline,BS!$AD64:$BN64)</f>
        <v>#NAME?</v>
      </c>
      <c r="CE64" s="928" t="e" cm="1">
        <f t="array" ca="1" aca="1" ref="CE64">_xlfn.XLOOKUP(BS!CE$11,array_timeline,BS!$AD64:$BN64)</f>
        <v>#NAME?</v>
      </c>
      <c r="CF64" s="925"/>
      <c r="CG64" s="541" t="e">
        <f t="shared" ca="1" si="16"/>
        <v>#NAME?</v>
      </c>
      <c r="CH64" s="541" t="e">
        <f t="shared" ca="1" si="16"/>
        <v>#NAME?</v>
      </c>
      <c r="CI64" s="924"/>
      <c r="CQ64" s="1883" t="str" cm="1">
        <f t="array" ca="1" aca="1" ref="CQ64">IFERROR(IF(AD64*fxVal_normal=_BS!AD64,"",IF(OR(AD64="",NOT(ISNUMBER(AD64)),ISERROR(AD64),$B64=""),"",IF($I64=1,IFBLANK(_xldudf_CX_PUSH(AD64*fxVal_normal,CX_ENTITY,$B64,AD$11,AD$14,AD$60,),""),IF($I64=2,IFBLANK(_xldudf_CX_PUSH(AD64,CX_ENTITY,$B64,AD$11,AD$14,AD$60,),""),IF($I64=3,"",IFBLANK(_xldudf_CX_PUSH(AD64,CX_ENTITY,$B64,AD$11,AD$14,AD$60,),"")))))),"")</f>
        <v/>
      </c>
      <c r="CR64" s="1883" t="str" cm="1">
        <f t="array" ca="1" aca="1" ref="CR64">IFERROR(IF(AE64*fxVal_normal=_BS!AE64,"",IF(OR(AE64="",NOT(ISNUMBER(AE64)),ISERROR(AE64),$B64=""),"",IF($I64=1,IFBLANK(_xldudf_CX_PUSH(AE64*fxVal_normal,CX_ENTITY,$B64,AE$11,AE$14,AE$60,),""),IF($I64=2,IFBLANK(_xldudf_CX_PUSH(AE64,CX_ENTITY,$B64,AE$11,AE$14,AE$60,),""),IF($I64=3,"",IFBLANK(_xldudf_CX_PUSH(AE64,CX_ENTITY,$B64,AE$11,AE$14,AE$60,),"")))))),"")</f>
        <v/>
      </c>
      <c r="CS64" s="1883" t="str" cm="1">
        <f t="array" ca="1" aca="1" ref="CS64">IFERROR(IF(AF64*fxVal_normal=_BS!AF64,"",IF(OR(AF64="",NOT(ISNUMBER(AF64)),ISERROR(AF64),$B64=""),"",IF($I64=1,IFBLANK(_xldudf_CX_PUSH(AF64*fxVal_normal,CX_ENTITY,$B64,AF$11,AF$14,AF$60,),""),IF($I64=2,IFBLANK(_xldudf_CX_PUSH(AF64,CX_ENTITY,$B64,AF$11,AF$14,AF$60,),""),IF($I64=3,"",IFBLANK(_xldudf_CX_PUSH(AF64,CX_ENTITY,$B64,AF$11,AF$14,AF$60,),"")))))),"")</f>
        <v/>
      </c>
      <c r="CT64" s="1883" t="str" cm="1">
        <f t="array" ca="1" aca="1" ref="CT64">IFERROR(IF(AG64*fxVal_normal=_BS!AG64,"",IF(OR(AG64="",NOT(ISNUMBER(AG64)),ISERROR(AG64),$B64=""),"",IF($I64=1,IFBLANK(_xldudf_CX_PUSH(AG64*fxVal_normal,CX_ENTITY,$B64,AG$11,AG$14,AG$60,),""),IF($I64=2,IFBLANK(_xldudf_CX_PUSH(AG64,CX_ENTITY,$B64,AG$11,AG$14,AG$60,),""),IF($I64=3,"",IFBLANK(_xldudf_CX_PUSH(AG64,CX_ENTITY,$B64,AG$11,AG$14,AG$60,),"")))))),"")</f>
        <v/>
      </c>
      <c r="CU64" s="1883" t="str" cm="1">
        <f t="array" ca="1" aca="1" ref="CU64">IFERROR(IF(AH64*fxVal_normal=_BS!AH64,"",IF(OR(AH64="",NOT(ISNUMBER(AH64)),ISERROR(AH64),$B64=""),"",IF($I64=1,IFBLANK(_xldudf_CX_PUSH(AH64*fxVal_normal,CX_ENTITY,$B64,AH$11,AH$14,AH$60,),""),IF($I64=2,IFBLANK(_xldudf_CX_PUSH(AH64,CX_ENTITY,$B64,AH$11,AH$14,AH$60,),""),IF($I64=3,"",IFBLANK(_xldudf_CX_PUSH(AH64,CX_ENTITY,$B64,AH$11,AH$14,AH$60,),"")))))),"")</f>
        <v/>
      </c>
      <c r="CV64" s="1883" t="str" cm="1">
        <f t="array" ca="1" aca="1" ref="CV64">IFERROR(IF(AI64*fxVal_normal=_BS!AI64,"",IF(OR(AI64="",NOT(ISNUMBER(AI64)),ISERROR(AI64),$B64=""),"",IF($I64=1,IFBLANK(_xldudf_CX_PUSH(AI64*fxVal_normal,CX_ENTITY,$B64,AI$11,AI$14,AI$60,),""),IF($I64=2,IFBLANK(_xldudf_CX_PUSH(AI64,CX_ENTITY,$B64,AI$11,AI$14,AI$60,),""),IF($I64=3,"",IFBLANK(_xldudf_CX_PUSH(AI64,CX_ENTITY,$B64,AI$11,AI$14,AI$60,),"")))))),"")</f>
        <v/>
      </c>
      <c r="CW64" s="1883" t="str" cm="1">
        <f t="array" ca="1" aca="1" ref="CW64">IFERROR(IF(AJ64*fxVal_normal=_BS!AJ64,"",IF(OR(AJ64="",NOT(ISNUMBER(AJ64)),ISERROR(AJ64),$B64=""),"",IF($I64=1,IFBLANK(_xldudf_CX_PUSH(AJ64*fxVal_normal,CX_ENTITY,$B64,AJ$11,AJ$14,AJ$60,),""),IF($I64=2,IFBLANK(_xldudf_CX_PUSH(AJ64,CX_ENTITY,$B64,AJ$11,AJ$14,AJ$60,),""),IF($I64=3,"",IFBLANK(_xldudf_CX_PUSH(AJ64,CX_ENTITY,$B64,AJ$11,AJ$14,AJ$60,),"")))))),"")</f>
        <v/>
      </c>
      <c r="CX64" s="1883" t="str" cm="1">
        <f t="array" ca="1" aca="1" ref="CX64">IFERROR(IF(AK64*fxVal_normal=_BS!AK64,"",IF(OR(AK64="",NOT(ISNUMBER(AK64)),ISERROR(AK64),$B64=""),"",IF($I64=1,IFBLANK(_xldudf_CX_PUSH(AK64*fxVal_normal,CX_ENTITY,$B64,AK$11,AK$14,AK$60,),""),IF($I64=2,IFBLANK(_xldudf_CX_PUSH(AK64,CX_ENTITY,$B64,AK$11,AK$14,AK$60,),""),IF($I64=3,"",IFBLANK(_xldudf_CX_PUSH(AK64,CX_ENTITY,$B64,AK$11,AK$14,AK$60,),"")))))),"")</f>
        <v/>
      </c>
      <c r="CY64" s="1883" t="str" cm="1">
        <f t="array" ca="1" aca="1" ref="CY64">IFERROR(IF(AL64*fxVal_normal=_BS!AL64,"",IF(OR(AL64="",NOT(ISNUMBER(AL64)),ISERROR(AL64),$B64=""),"",IF($I64=1,IFBLANK(_xldudf_CX_PUSH(AL64*fxVal_normal,CX_ENTITY,$B64,AL$11,AL$14,AL$60,),""),IF($I64=2,IFBLANK(_xldudf_CX_PUSH(AL64,CX_ENTITY,$B64,AL$11,AL$14,AL$60,),""),IF($I64=3,"",IFBLANK(_xldudf_CX_PUSH(AL64,CX_ENTITY,$B64,AL$11,AL$14,AL$60,),"")))))),"")</f>
        <v/>
      </c>
      <c r="CZ64" s="1883" t="str" cm="1">
        <f t="array" ca="1" aca="1" ref="CZ64">IFERROR(IF(AM64*fxVal_normal=_BS!AM64,"",IF(OR(AM64="",NOT(ISNUMBER(AM64)),ISERROR(AM64),$B64=""),"",IF($I64=1,IFBLANK(_xldudf_CX_PUSH(AM64*fxVal_normal,CX_ENTITY,$B64,AM$11,AM$14,AM$60,),""),IF($I64=2,IFBLANK(_xldudf_CX_PUSH(AM64,CX_ENTITY,$B64,AM$11,AM$14,AM$60,),""),IF($I64=3,"",IFBLANK(_xldudf_CX_PUSH(AM64,CX_ENTITY,$B64,AM$11,AM$14,AM$60,),"")))))),"")</f>
        <v/>
      </c>
      <c r="DA64" s="1883" t="str" cm="1">
        <f t="array" ca="1" aca="1" ref="DA64">IFERROR(IF(AN64*fxVal_normal=_BS!AN64,"",IF(OR(AN64="",NOT(ISNUMBER(AN64)),ISERROR(AN64),$B64=""),"",IF($I64=1,IFBLANK(_xldudf_CX_PUSH(AN64*fxVal_normal,CX_ENTITY,$B64,AN$11,AN$14,AN$60,),""),IF($I64=2,IFBLANK(_xldudf_CX_PUSH(AN64,CX_ENTITY,$B64,AN$11,AN$14,AN$60,),""),IF($I64=3,"",IFBLANK(_xldudf_CX_PUSH(AN64,CX_ENTITY,$B64,AN$11,AN$14,AN$60,),"")))))),"")</f>
        <v/>
      </c>
      <c r="DB64" s="1883" t="str" cm="1">
        <f t="array" ca="1" aca="1" ref="DB64">IFERROR(IF(AO64*fxVal_normal=_BS!AO64,"",IF(OR(AO64="",NOT(ISNUMBER(AO64)),ISERROR(AO64),$B64=""),"",IF($I64=1,IFBLANK(_xldudf_CX_PUSH(AO64*fxVal_normal,CX_ENTITY,$B64,AO$11,AO$14,AO$60,),""),IF($I64=2,IFBLANK(_xldudf_CX_PUSH(AO64,CX_ENTITY,$B64,AO$11,AO$14,AO$60,),""),IF($I64=3,"",IFBLANK(_xldudf_CX_PUSH(AO64,CX_ENTITY,$B64,AO$11,AO$14,AO$60,),"")))))),"")</f>
        <v/>
      </c>
      <c r="DC64" s="1883" t="str" cm="1">
        <f t="array" ca="1" aca="1" ref="DC64">IFERROR(IF(AP64*fxVal_normal=_BS!AP64,"",IF(OR(AP64="",NOT(ISNUMBER(AP64)),ISERROR(AP64),$B64=""),"",IF($I64=1,IFBLANK(_xldudf_CX_PUSH(AP64*fxVal_normal,CX_ENTITY,$B64,AP$11,AP$14,AP$60,),""),IF($I64=2,IFBLANK(_xldudf_CX_PUSH(AP64,CX_ENTITY,$B64,AP$11,AP$14,AP$60,),""),IF($I64=3,"",IFBLANK(_xldudf_CX_PUSH(AP64,CX_ENTITY,$B64,AP$11,AP$14,AP$60,),"")))))),"")</f>
        <v/>
      </c>
      <c r="DD64" s="1883" t="str" cm="1">
        <f t="array" ca="1" aca="1" ref="DD64">IFERROR(IF(AQ64*fxVal_normal=_BS!AQ64,"",IF(OR(AQ64="",NOT(ISNUMBER(AQ64)),ISERROR(AQ64),$B64=""),"",IF($I64=1,IFBLANK(_xldudf_CX_PUSH(AQ64*fxVal_normal,CX_ENTITY,$B64,AQ$11,AQ$14,AQ$60,),""),IF($I64=2,IFBLANK(_xldudf_CX_PUSH(AQ64,CX_ENTITY,$B64,AQ$11,AQ$14,AQ$60,),""),IF($I64=3,"",IFBLANK(_xldudf_CX_PUSH(AQ64,CX_ENTITY,$B64,AQ$11,AQ$14,AQ$60,),"")))))),"")</f>
        <v/>
      </c>
      <c r="DE64" s="1883" t="str" cm="1">
        <f t="array" ca="1" aca="1" ref="DE64">IFERROR(IF(AR64*fxVal_normal=_BS!AR64,"",IF(OR(AR64="",NOT(ISNUMBER(AR64)),ISERROR(AR64),$B64=""),"",IF($I64=1,IFBLANK(_xldudf_CX_PUSH(AR64*fxVal_normal,CX_ENTITY,$B64,AR$11,AR$14,AR$60,),""),IF($I64=2,IFBLANK(_xldudf_CX_PUSH(AR64,CX_ENTITY,$B64,AR$11,AR$14,AR$60,),""),IF($I64=3,"",IFBLANK(_xldudf_CX_PUSH(AR64,CX_ENTITY,$B64,AR$11,AR$14,AR$60,),"")))))),"")</f>
        <v/>
      </c>
      <c r="DF64" s="1883" t="str" cm="1">
        <f t="array" ca="1" aca="1" ref="DF64">IFERROR(IF(AS64*fxVal_normal=_BS!AS64,"",IF(OR(AS64="",NOT(ISNUMBER(AS64)),ISERROR(AS64),$B64=""),"",IF($I64=1,IFBLANK(_xldudf_CX_PUSH(AS64*fxVal_normal,CX_ENTITY,$B64,AS$11,AS$14,AS$60,),""),IF($I64=2,IFBLANK(_xldudf_CX_PUSH(AS64,CX_ENTITY,$B64,AS$11,AS$14,AS$60,),""),IF($I64=3,"",IFBLANK(_xldudf_CX_PUSH(AS64,CX_ENTITY,$B64,AS$11,AS$14,AS$60,),"")))))),"")</f>
        <v/>
      </c>
      <c r="DG64" s="1883" t="str" cm="1">
        <f t="array" ca="1" aca="1" ref="DG64">IFERROR(IF(AT64*fxVal_normal=_BS!AT64,"",IF(OR(AT64="",NOT(ISNUMBER(AT64)),ISERROR(AT64),$B64=""),"",IF($I64=1,IFBLANK(_xldudf_CX_PUSH(AT64*fxVal_normal,CX_ENTITY,$B64,AT$11,AT$14,AT$60,),""),IF($I64=2,IFBLANK(_xldudf_CX_PUSH(AT64,CX_ENTITY,$B64,AT$11,AT$14,AT$60,),""),IF($I64=3,"",IFBLANK(_xldudf_CX_PUSH(AT64,CX_ENTITY,$B64,AT$11,AT$14,AT$60,),"")))))),"")</f>
        <v/>
      </c>
      <c r="DH64" s="1883" t="str" cm="1">
        <f t="array" ca="1" aca="1" ref="DH64">IFERROR(IF(AU64*fxVal_normal=_BS!AU64,"",IF(OR(AU64="",NOT(ISNUMBER(AU64)),ISERROR(AU64),$B64=""),"",IF($I64=1,IFBLANK(_xldudf_CX_PUSH(AU64*fxVal_normal,CX_ENTITY,$B64,AU$11,AU$14,AU$60,),""),IF($I64=2,IFBLANK(_xldudf_CX_PUSH(AU64,CX_ENTITY,$B64,AU$11,AU$14,AU$60,),""),IF($I64=3,"",IFBLANK(_xldudf_CX_PUSH(AU64,CX_ENTITY,$B64,AU$11,AU$14,AU$60,),"")))))),"")</f>
        <v/>
      </c>
      <c r="DI64" s="1883" t="str" cm="1">
        <f t="array" ca="1" aca="1" ref="DI64">IFERROR(IF(AV64*fxVal_normal=_BS!AV64,"",IF(OR(AV64="",NOT(ISNUMBER(AV64)),ISERROR(AV64),$B64=""),"",IF($I64=1,IFBLANK(_xldudf_CX_PUSH(AV64*fxVal_normal,CX_ENTITY,$B64,AV$11,AV$14,AV$60,),""),IF($I64=2,IFBLANK(_xldudf_CX_PUSH(AV64,CX_ENTITY,$B64,AV$11,AV$14,AV$60,),""),IF($I64=3,"",IFBLANK(_xldudf_CX_PUSH(AV64,CX_ENTITY,$B64,AV$11,AV$14,AV$60,),"")))))),"")</f>
        <v/>
      </c>
      <c r="DJ64" s="1883" t="str" cm="1">
        <f t="array" ca="1" aca="1" ref="DJ64">IFERROR(IF(AW64*fxVal_normal=_BS!AW64,"",IF(OR(AW64="",NOT(ISNUMBER(AW64)),ISERROR(AW64),$B64=""),"",IF($I64=1,IFBLANK(_xldudf_CX_PUSH(AW64*fxVal_normal,CX_ENTITY,$B64,AW$11,AW$14,AW$60,),""),IF($I64=2,IFBLANK(_xldudf_CX_PUSH(AW64,CX_ENTITY,$B64,AW$11,AW$14,AW$60,),""),IF($I64=3,"",IFBLANK(_xldudf_CX_PUSH(AW64,CX_ENTITY,$B64,AW$11,AW$14,AW$60,),"")))))),"")</f>
        <v/>
      </c>
      <c r="DK64" s="1883" t="str" cm="1">
        <f t="array" ca="1" aca="1" ref="DK64">IFERROR(IF(AX64*fxVal_normal=_BS!AX64,"",IF(OR(AX64="",NOT(ISNUMBER(AX64)),ISERROR(AX64),$B64=""),"",IF($I64=1,IFBLANK(_xldudf_CX_PUSH(AX64*fxVal_normal,CX_ENTITY,$B64,AX$11,AX$14,AX$60,),""),IF($I64=2,IFBLANK(_xldudf_CX_PUSH(AX64,CX_ENTITY,$B64,AX$11,AX$14,AX$60,),""),IF($I64=3,"",IFBLANK(_xldudf_CX_PUSH(AX64,CX_ENTITY,$B64,AX$11,AX$14,AX$60,),"")))))),"")</f>
        <v/>
      </c>
      <c r="DL64" s="1883" t="str" cm="1">
        <f t="array" ca="1" aca="1" ref="DL64">IFERROR(IF(AY64*fxVal_normal=_BS!AY64,"",IF(OR(AY64="",NOT(ISNUMBER(AY64)),ISERROR(AY64),$B64=""),"",IF($I64=1,IFBLANK(_xldudf_CX_PUSH(AY64*fxVal_normal,CX_ENTITY,$B64,AY$11,AY$14,AY$60,),""),IF($I64=2,IFBLANK(_xldudf_CX_PUSH(AY64,CX_ENTITY,$B64,AY$11,AY$14,AY$60,),""),IF($I64=3,"",IFBLANK(_xldudf_CX_PUSH(AY64,CX_ENTITY,$B64,AY$11,AY$14,AY$60,),"")))))),"")</f>
        <v/>
      </c>
      <c r="DM64" s="1883" t="str" cm="1">
        <f t="array" ca="1" aca="1" ref="DM64">IFERROR(IF(AZ64*fxVal_normal=_BS!AZ64,"",IF(OR(AZ64="",NOT(ISNUMBER(AZ64)),ISERROR(AZ64),$B64=""),"",IF($I64=1,IFBLANK(_xldudf_CX_PUSH(AZ64*fxVal_normal,CX_ENTITY,$B64,AZ$11,AZ$14,AZ$60,),""),IF($I64=2,IFBLANK(_xldudf_CX_PUSH(AZ64,CX_ENTITY,$B64,AZ$11,AZ$14,AZ$60,),""),IF($I64=3,"",IFBLANK(_xldudf_CX_PUSH(AZ64,CX_ENTITY,$B64,AZ$11,AZ$14,AZ$60,),"")))))),"")</f>
        <v/>
      </c>
      <c r="DN64" s="1883" t="str" cm="1">
        <f t="array" ca="1" aca="1" ref="DN64">IFERROR(IF(BA64*fxVal_normal=_BS!BA64,"",IF(OR(BA64="",NOT(ISNUMBER(BA64)),ISERROR(BA64),$B64=""),"",IF($I64=1,IFBLANK(_xldudf_CX_PUSH(BA64*fxVal_normal,CX_ENTITY,$B64,BA$11,BA$14,BA$60,),""),IF($I64=2,IFBLANK(_xldudf_CX_PUSH(BA64,CX_ENTITY,$B64,BA$11,BA$14,BA$60,),""),IF($I64=3,"",IFBLANK(_xldudf_CX_PUSH(BA64,CX_ENTITY,$B64,BA$11,BA$14,BA$60,),"")))))),"")</f>
        <v/>
      </c>
      <c r="DO64" s="1883" t="str" cm="1">
        <f t="array" ca="1" aca="1" ref="DO64">IFERROR(IF(BB64*fxVal_normal=_BS!BB64,"",IF(OR(BB64="",NOT(ISNUMBER(BB64)),ISERROR(BB64),$B64=""),"",IF($I64=1,IFBLANK(_xldudf_CX_PUSH(BB64*fxVal_normal,CX_ENTITY,$B64,BB$11,BB$14,BB$60,),""),IF($I64=2,IFBLANK(_xldudf_CX_PUSH(BB64,CX_ENTITY,$B64,BB$11,BB$14,BB$60,),""),IF($I64=3,"",IFBLANK(_xldudf_CX_PUSH(BB64,CX_ENTITY,$B64,BB$11,BB$14,BB$60,),"")))))),"")</f>
        <v/>
      </c>
      <c r="DP64" s="1883" t="str" cm="1">
        <f t="array" ca="1" aca="1" ref="DP64">IFERROR(IF(BC64*fxVal_normal=_BS!BC64,"",IF(OR(BC64="",NOT(ISNUMBER(BC64)),ISERROR(BC64),$B64=""),"",IF($I64=1,IFBLANK(_xldudf_CX_PUSH(BC64*fxVal_normal,CX_ENTITY,$B64,BC$11,BC$14,BC$60,),""),IF($I64=2,IFBLANK(_xldudf_CX_PUSH(BC64,CX_ENTITY,$B64,BC$11,BC$14,BC$60,),""),IF($I64=3,"",IFBLANK(_xldudf_CX_PUSH(BC64,CX_ENTITY,$B64,BC$11,BC$14,BC$60,),"")))))),"")</f>
        <v/>
      </c>
      <c r="DQ64" s="1883" t="str" cm="1">
        <f t="array" ca="1" aca="1" ref="DQ64">IFERROR(IF(BD64*fxVal_normal=_BS!BD64,"",IF(OR(BD64="",NOT(ISNUMBER(BD64)),ISERROR(BD64),$B64=""),"",IF($I64=1,IFBLANK(_xldudf_CX_PUSH(BD64*fxVal_normal,CX_ENTITY,$B64,BD$11,BD$14,BD$60,),""),IF($I64=2,IFBLANK(_xldudf_CX_PUSH(BD64,CX_ENTITY,$B64,BD$11,BD$14,BD$60,),""),IF($I64=3,"",IFBLANK(_xldudf_CX_PUSH(BD64,CX_ENTITY,$B64,BD$11,BD$14,BD$60,),"")))))),"")</f>
        <v/>
      </c>
      <c r="DR64" s="1883" t="str" cm="1">
        <f t="array" ca="1" aca="1" ref="DR64">IFERROR(IF(BE64*fxVal_normal=_BS!BE64,"",IF(OR(BE64="",NOT(ISNUMBER(BE64)),ISERROR(BE64),$B64=""),"",IF($I64=1,IFBLANK(_xldudf_CX_PUSH(BE64*fxVal_normal,CX_ENTITY,$B64,BE$11,BE$14,BE$60,),""),IF($I64=2,IFBLANK(_xldudf_CX_PUSH(BE64,CX_ENTITY,$B64,BE$11,BE$14,BE$60,),""),IF($I64=3,"",IFBLANK(_xldudf_CX_PUSH(BE64,CX_ENTITY,$B64,BE$11,BE$14,BE$60,),"")))))),"")</f>
        <v/>
      </c>
      <c r="DS64" s="1883" t="str" cm="1">
        <f t="array" ca="1" aca="1" ref="DS64">IFERROR(IF(BF64*fxVal_normal=_BS!BF64,"",IF(OR(BF64="",NOT(ISNUMBER(BF64)),ISERROR(BF64),$B64=""),"",IF($I64=1,IFBLANK(_xldudf_CX_PUSH(BF64*fxVal_normal,CX_ENTITY,$B64,BF$11,BF$14,BF$60,),""),IF($I64=2,IFBLANK(_xldudf_CX_PUSH(BF64,CX_ENTITY,$B64,BF$11,BF$14,BF$60,),""),IF($I64=3,"",IFBLANK(_xldudf_CX_PUSH(BF64,CX_ENTITY,$B64,BF$11,BF$14,BF$60,),"")))))),"")</f>
        <v/>
      </c>
      <c r="DT64" s="1883" t="str" cm="1">
        <f t="array" ca="1" aca="1" ref="DT64">IFERROR(IF(BG64*fxVal_normal=_BS!BG64,"",IF(OR(BG64="",NOT(ISNUMBER(BG64)),ISERROR(BG64),$B64=""),"",IF($I64=1,IFBLANK(_xldudf_CX_PUSH(BG64*fxVal_normal,CX_ENTITY,$B64,BG$11,BG$14,BG$60,),""),IF($I64=2,IFBLANK(_xldudf_CX_PUSH(BG64,CX_ENTITY,$B64,BG$11,BG$14,BG$60,),""),IF($I64=3,"",IFBLANK(_xldudf_CX_PUSH(BG64,CX_ENTITY,$B64,BG$11,BG$14,BG$60,),"")))))),"")</f>
        <v/>
      </c>
      <c r="DU64" s="1883" t="str" cm="1">
        <f t="array" ca="1" aca="1" ref="DU64">IFERROR(IF(BH64*fxVal_normal=_BS!BH64,"",IF(OR(BH64="",NOT(ISNUMBER(BH64)),ISERROR(BH64),$B64=""),"",IF($I64=1,IFBLANK(_xldudf_CX_PUSH(BH64*fxVal_normal,CX_ENTITY,$B64,BH$11,BH$14,BH$60,),""),IF($I64=2,IFBLANK(_xldudf_CX_PUSH(BH64,CX_ENTITY,$B64,BH$11,BH$14,BH$60,),""),IF($I64=3,"",IFBLANK(_xldudf_CX_PUSH(BH64,CX_ENTITY,$B64,BH$11,BH$14,BH$60,),"")))))),"")</f>
        <v/>
      </c>
      <c r="DV64" s="1883" t="str" cm="1">
        <f t="array" ca="1" aca="1" ref="DV64">IFERROR(IF(BI64*fxVal_normal=_BS!BI64,"",IF(OR(BI64="",NOT(ISNUMBER(BI64)),ISERROR(BI64),$B64=""),"",IF($I64=1,IFBLANK(_xldudf_CX_PUSH(BI64*fxVal_normal,CX_ENTITY,$B64,BI$11,BI$14,BI$60,),""),IF($I64=2,IFBLANK(_xldudf_CX_PUSH(BI64,CX_ENTITY,$B64,BI$11,BI$14,BI$60,),""),IF($I64=3,"",IFBLANK(_xldudf_CX_PUSH(BI64,CX_ENTITY,$B64,BI$11,BI$14,BI$60,),"")))))),"")</f>
        <v/>
      </c>
      <c r="DW64" s="1883" t="str" cm="1">
        <f t="array" ca="1" aca="1" ref="DW64">IFERROR(IF(BJ64*fxVal_normal=_BS!BJ64,"",IF(OR(BJ64="",NOT(ISNUMBER(BJ64)),ISERROR(BJ64),$B64=""),"",IF($I64=1,IFBLANK(_xldudf_CX_PUSH(BJ64*fxVal_normal,CX_ENTITY,$B64,BJ$11,BJ$14,BJ$60,),""),IF($I64=2,IFBLANK(_xldudf_CX_PUSH(BJ64,CX_ENTITY,$B64,BJ$11,BJ$14,BJ$60,),""),IF($I64=3,"",IFBLANK(_xldudf_CX_PUSH(BJ64,CX_ENTITY,$B64,BJ$11,BJ$14,BJ$60,),"")))))),"")</f>
        <v/>
      </c>
      <c r="DX64" s="1883" t="str" cm="1">
        <f t="array" ca="1" aca="1" ref="DX64">IFERROR(IF(BK64*fxVal_normal=_BS!BK64,"",IF(OR(BK64="",NOT(ISNUMBER(BK64)),ISERROR(BK64),$B64=""),"",IF($I64=1,IFBLANK(_xldudf_CX_PUSH(BK64*fxVal_normal,CX_ENTITY,$B64,BK$11,BK$14,BK$60,),""),IF($I64=2,IFBLANK(_xldudf_CX_PUSH(BK64,CX_ENTITY,$B64,BK$11,BK$14,BK$60,),""),IF($I64=3,"",IFBLANK(_xldudf_CX_PUSH(BK64,CX_ENTITY,$B64,BK$11,BK$14,BK$60,),"")))))),"")</f>
        <v/>
      </c>
      <c r="DY64" s="1883" t="str" cm="1">
        <f t="array" ca="1" aca="1" ref="DY64">IFERROR(IF(BL64*fxVal_normal=_BS!BL64,"",IF(OR(BL64="",NOT(ISNUMBER(BL64)),ISERROR(BL64),$B64=""),"",IF($I64=1,IFBLANK(_xldudf_CX_PUSH(BL64*fxVal_normal,CX_ENTITY,$B64,BL$11,BL$14,BL$60,),""),IF($I64=2,IFBLANK(_xldudf_CX_PUSH(BL64,CX_ENTITY,$B64,BL$11,BL$14,BL$60,),""),IF($I64=3,"",IFBLANK(_xldudf_CX_PUSH(BL64,CX_ENTITY,$B64,BL$11,BL$14,BL$60,),"")))))),"")</f>
        <v/>
      </c>
      <c r="DZ64" s="1883" t="str" cm="1">
        <f t="array" ca="1" aca="1" ref="DZ64">IFERROR(IF(BM64*fxVal_normal=_BS!BM64,"",IF(OR(BM64="",NOT(ISNUMBER(BM64)),ISERROR(BM64),$B64=""),"",IF($I64=1,IFBLANK(_xldudf_CX_PUSH(BM64*fxVal_normal,CX_ENTITY,$B64,BM$11,BM$14,BM$60,),""),IF($I64=2,IFBLANK(_xldudf_CX_PUSH(BM64,CX_ENTITY,$B64,BM$11,BM$14,BM$60,),""),IF($I64=3,"",IFBLANK(_xldudf_CX_PUSH(BM64,CX_ENTITY,$B64,BM$11,BM$14,BM$60,),"")))))),"")</f>
        <v/>
      </c>
      <c r="EA64" s="1883" t="str" cm="1">
        <f t="array" ca="1" aca="1" ref="EA64">IFERROR(IF(BN64*fxVal_normal=_BS!BN64,"",IF(OR(BN64="",NOT(ISNUMBER(BN64)),ISERROR(BN64),$B64=""),"",IF($I64=1,IFBLANK(_xldudf_CX_PUSH(BN64*fxVal_normal,CX_ENTITY,$B64,BN$11,BN$14,BN$60,),""),IF($I64=2,IFBLANK(_xldudf_CX_PUSH(BN64,CX_ENTITY,$B64,BN$11,BN$14,BN$60,),""),IF($I64=3,"",IFBLANK(_xldudf_CX_PUSH(BN64,CX_ENTITY,$B64,BN$11,BN$14,BN$60,),"")))))),"")</f>
        <v/>
      </c>
    </row>
    <row r="65" spans="1:131" ht="21" customHeight="1">
      <c r="A65" s="1624"/>
      <c r="B65" s="811" t="str" cm="1">
        <f t="array" ref="B65">IFBLANK(_BS!F65,"")</f>
        <v>Trade Receivables</v>
      </c>
      <c r="C65" s="811" t="str" cm="1">
        <f t="array" ref="C65">IFBLANK(_BS!C65,"")</f>
        <v>Trade Receivable (Company View)</v>
      </c>
      <c r="D65" s="1638"/>
      <c r="E65" s="1902" t="e" cm="1">
        <f t="array" ca="1" aca="1" ref="E6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65:$CH65,Z65)</f>
        <v>#NAME?</v>
      </c>
      <c r="F65" s="1897"/>
      <c r="G65" s="1897"/>
      <c r="H65" s="3280">
        <v>1</v>
      </c>
      <c r="I65" s="3280">
        <v>1</v>
      </c>
      <c r="J65" s="401"/>
      <c r="N65" s="158"/>
      <c r="O65" s="101"/>
      <c r="P65" s="52"/>
      <c r="Q65" s="101"/>
      <c r="R65" s="101"/>
      <c r="S65" s="101"/>
      <c r="T65" s="101"/>
      <c r="U65" s="39"/>
      <c r="W65" s="931" t="str">
        <f t="shared" si="18"/>
        <v>Budget</v>
      </c>
      <c r="X65" s="3292">
        <f>_BS!X65</f>
        <v>1</v>
      </c>
      <c r="Y65" s="3230">
        <f t="shared" si="17"/>
        <v>2</v>
      </c>
      <c r="Z65" s="198" cm="1">
        <f t="array" ref="Z65">_xlfn.SWITCH(TRUE,_BS!$L65=TRUE,1,_BS!$L65=FALSE,-1,_BS!$L65=-1,0,"n/a")</f>
        <v>-1</v>
      </c>
      <c r="AA65" s="200"/>
      <c r="AB65" s="88" t="str">
        <f>_BS!AB65</f>
        <v>Trade Receivables</v>
      </c>
      <c r="AC65" s="88" t="e" vm="5" cm="1">
        <f t="array" ca="1" aca="1" ref="AC65">_xlfn.LET(_xlpm._termname,$AB65,_xlpm._iconname,"find",_xlpm._icon,fx_getIcon(_xlpm._iconname),_xlpm._location,_xlfn.XLOOKUP(LOWER(_xlpm._termname),LOWER(tbl_acctDef[Term]),tbl_acctDef[Term]),_xlpm._hyperlink,HYPERLINK("#"&amp;CELL("address",_xlpm._location),_xlpm._icon),IFERROR(_xlpm._hyperlink,""))</f>
        <v>#VALUE!</v>
      </c>
      <c r="AD65" s="3229">
        <v>1</v>
      </c>
      <c r="AE65" s="3229">
        <v>1</v>
      </c>
      <c r="AF65" s="3229">
        <v>1</v>
      </c>
      <c r="AG65" s="3229">
        <v>1</v>
      </c>
      <c r="AH65" s="3229">
        <v>1</v>
      </c>
      <c r="AI65" s="3229">
        <v>1</v>
      </c>
      <c r="AJ65" s="3229">
        <v>1</v>
      </c>
      <c r="AK65" s="3229">
        <v>1</v>
      </c>
      <c r="AL65" s="3229">
        <v>1</v>
      </c>
      <c r="AM65" s="3229">
        <v>1</v>
      </c>
      <c r="AN65" s="3229">
        <v>1</v>
      </c>
      <c r="AO65" s="3229">
        <v>1</v>
      </c>
      <c r="AP65" s="3229">
        <v>1</v>
      </c>
      <c r="AQ65" s="3229">
        <v>1</v>
      </c>
      <c r="AR65" s="3229">
        <v>1</v>
      </c>
      <c r="AS65" s="3229">
        <v>1</v>
      </c>
      <c r="AT65" s="3229">
        <v>1</v>
      </c>
      <c r="AU65" s="3229">
        <v>1</v>
      </c>
      <c r="AV65" s="3229">
        <v>1</v>
      </c>
      <c r="AW65" s="3229">
        <v>1</v>
      </c>
      <c r="AX65" s="3229">
        <v>1</v>
      </c>
      <c r="AY65" s="3229">
        <v>1</v>
      </c>
      <c r="AZ65" s="3229">
        <v>1</v>
      </c>
      <c r="BA65" s="3229">
        <v>1</v>
      </c>
      <c r="BB65" s="3229">
        <v>1</v>
      </c>
      <c r="BC65" s="3229">
        <v>1</v>
      </c>
      <c r="BD65" s="3229">
        <v>1</v>
      </c>
      <c r="BE65" s="3229">
        <v>1</v>
      </c>
      <c r="BF65" s="3229">
        <v>1</v>
      </c>
      <c r="BG65" s="3229">
        <v>1</v>
      </c>
      <c r="BH65" s="3229">
        <v>1</v>
      </c>
      <c r="BI65" s="3229">
        <v>1</v>
      </c>
      <c r="BJ65" s="3229">
        <v>1</v>
      </c>
      <c r="BK65" s="3229">
        <v>1</v>
      </c>
      <c r="BL65" s="3229">
        <v>1</v>
      </c>
      <c r="BM65" s="3229">
        <v>1</v>
      </c>
      <c r="BN65" s="3229">
        <v>1</v>
      </c>
      <c r="BO65" s="2095"/>
      <c r="BP65" s="2095"/>
      <c r="BQ65" s="2095"/>
      <c r="BR65" s="2095"/>
      <c r="BS65" s="2095"/>
      <c r="BT65" s="2095"/>
      <c r="BU65" s="2095"/>
      <c r="BV65" s="2095"/>
      <c r="BW65" s="2095"/>
      <c r="BX65" s="2095"/>
      <c r="BY65" s="2095"/>
      <c r="BZ65" s="2095"/>
      <c r="CA65" s="926"/>
      <c r="CB65" s="921"/>
      <c r="CC65" s="927"/>
      <c r="CD65" s="1355" t="e" cm="1">
        <f t="array" ca="1" aca="1" ref="CD65">_xlfn.XLOOKUP(BS!CD$11,array_timeline,BS!$AD65:$BN65)</f>
        <v>#NAME?</v>
      </c>
      <c r="CE65" s="1355" t="e" cm="1">
        <f t="array" ca="1" aca="1" ref="CE65">_xlfn.XLOOKUP(BS!CE$11,array_timeline,BS!$AD65:$BN65)</f>
        <v>#NAME?</v>
      </c>
      <c r="CF65" s="1356"/>
      <c r="CG65" s="2123" t="e">
        <f t="shared" ca="1" si="16"/>
        <v>#NAME?</v>
      </c>
      <c r="CH65" s="2123" t="e">
        <f t="shared" ca="1" si="16"/>
        <v>#NAME?</v>
      </c>
      <c r="CI65" s="200"/>
      <c r="CQ65" s="1883" t="str" cm="1">
        <f t="array" ca="1" aca="1" ref="CQ65">IFERROR(IF(AD65*fxVal_normal=_BS!AD65,"",IF(OR(AD65="",NOT(ISNUMBER(AD65)),ISERROR(AD65),$B65=""),"",IF($I65=1,IFBLANK(_xldudf_CX_PUSH(AD65*fxVal_normal,CX_ENTITY,$B65,AD$11,AD$14,AD$60,),""),IF($I65=2,IFBLANK(_xldudf_CX_PUSH(AD65,CX_ENTITY,$B65,AD$11,AD$14,AD$60,),""),IF($I65=3,"",IFBLANK(_xldudf_CX_PUSH(AD65,CX_ENTITY,$B65,AD$11,AD$14,AD$60,),"")))))),"")</f>
        <v/>
      </c>
      <c r="CR65" s="1883" t="str" cm="1">
        <f t="array" ca="1" aca="1" ref="CR65">IFERROR(IF(AE65*fxVal_normal=_BS!AE65,"",IF(OR(AE65="",NOT(ISNUMBER(AE65)),ISERROR(AE65),$B65=""),"",IF($I65=1,IFBLANK(_xldudf_CX_PUSH(AE65*fxVal_normal,CX_ENTITY,$B65,AE$11,AE$14,AE$60,),""),IF($I65=2,IFBLANK(_xldudf_CX_PUSH(AE65,CX_ENTITY,$B65,AE$11,AE$14,AE$60,),""),IF($I65=3,"",IFBLANK(_xldudf_CX_PUSH(AE65,CX_ENTITY,$B65,AE$11,AE$14,AE$60,),"")))))),"")</f>
        <v/>
      </c>
      <c r="CS65" s="1883" t="str" cm="1">
        <f t="array" ca="1" aca="1" ref="CS65">IFERROR(IF(AF65*fxVal_normal=_BS!AF65,"",IF(OR(AF65="",NOT(ISNUMBER(AF65)),ISERROR(AF65),$B65=""),"",IF($I65=1,IFBLANK(_xldudf_CX_PUSH(AF65*fxVal_normal,CX_ENTITY,$B65,AF$11,AF$14,AF$60,),""),IF($I65=2,IFBLANK(_xldudf_CX_PUSH(AF65,CX_ENTITY,$B65,AF$11,AF$14,AF$60,),""),IF($I65=3,"",IFBLANK(_xldudf_CX_PUSH(AF65,CX_ENTITY,$B65,AF$11,AF$14,AF$60,),"")))))),"")</f>
        <v/>
      </c>
      <c r="CT65" s="1883" t="str" cm="1">
        <f t="array" ca="1" aca="1" ref="CT65">IFERROR(IF(AG65*fxVal_normal=_BS!AG65,"",IF(OR(AG65="",NOT(ISNUMBER(AG65)),ISERROR(AG65),$B65=""),"",IF($I65=1,IFBLANK(_xldudf_CX_PUSH(AG65*fxVal_normal,CX_ENTITY,$B65,AG$11,AG$14,AG$60,),""),IF($I65=2,IFBLANK(_xldudf_CX_PUSH(AG65,CX_ENTITY,$B65,AG$11,AG$14,AG$60,),""),IF($I65=3,"",IFBLANK(_xldudf_CX_PUSH(AG65,CX_ENTITY,$B65,AG$11,AG$14,AG$60,),"")))))),"")</f>
        <v/>
      </c>
      <c r="CU65" s="1883" t="str" cm="1">
        <f t="array" ca="1" aca="1" ref="CU65">IFERROR(IF(AH65*fxVal_normal=_BS!AH65,"",IF(OR(AH65="",NOT(ISNUMBER(AH65)),ISERROR(AH65),$B65=""),"",IF($I65=1,IFBLANK(_xldudf_CX_PUSH(AH65*fxVal_normal,CX_ENTITY,$B65,AH$11,AH$14,AH$60,),""),IF($I65=2,IFBLANK(_xldudf_CX_PUSH(AH65,CX_ENTITY,$B65,AH$11,AH$14,AH$60,),""),IF($I65=3,"",IFBLANK(_xldudf_CX_PUSH(AH65,CX_ENTITY,$B65,AH$11,AH$14,AH$60,),"")))))),"")</f>
        <v/>
      </c>
      <c r="CV65" s="1883" t="str" cm="1">
        <f t="array" ca="1" aca="1" ref="CV65">IFERROR(IF(AI65*fxVal_normal=_BS!AI65,"",IF(OR(AI65="",NOT(ISNUMBER(AI65)),ISERROR(AI65),$B65=""),"",IF($I65=1,IFBLANK(_xldudf_CX_PUSH(AI65*fxVal_normal,CX_ENTITY,$B65,AI$11,AI$14,AI$60,),""),IF($I65=2,IFBLANK(_xldudf_CX_PUSH(AI65,CX_ENTITY,$B65,AI$11,AI$14,AI$60,),""),IF($I65=3,"",IFBLANK(_xldudf_CX_PUSH(AI65,CX_ENTITY,$B65,AI$11,AI$14,AI$60,),"")))))),"")</f>
        <v/>
      </c>
      <c r="CW65" s="1883" t="str" cm="1">
        <f t="array" ca="1" aca="1" ref="CW65">IFERROR(IF(AJ65*fxVal_normal=_BS!AJ65,"",IF(OR(AJ65="",NOT(ISNUMBER(AJ65)),ISERROR(AJ65),$B65=""),"",IF($I65=1,IFBLANK(_xldudf_CX_PUSH(AJ65*fxVal_normal,CX_ENTITY,$B65,AJ$11,AJ$14,AJ$60,),""),IF($I65=2,IFBLANK(_xldudf_CX_PUSH(AJ65,CX_ENTITY,$B65,AJ$11,AJ$14,AJ$60,),""),IF($I65=3,"",IFBLANK(_xldudf_CX_PUSH(AJ65,CX_ENTITY,$B65,AJ$11,AJ$14,AJ$60,),"")))))),"")</f>
        <v/>
      </c>
      <c r="CX65" s="1883" t="str" cm="1">
        <f t="array" ca="1" aca="1" ref="CX65">IFERROR(IF(AK65*fxVal_normal=_BS!AK65,"",IF(OR(AK65="",NOT(ISNUMBER(AK65)),ISERROR(AK65),$B65=""),"",IF($I65=1,IFBLANK(_xldudf_CX_PUSH(AK65*fxVal_normal,CX_ENTITY,$B65,AK$11,AK$14,AK$60,),""),IF($I65=2,IFBLANK(_xldudf_CX_PUSH(AK65,CX_ENTITY,$B65,AK$11,AK$14,AK$60,),""),IF($I65=3,"",IFBLANK(_xldudf_CX_PUSH(AK65,CX_ENTITY,$B65,AK$11,AK$14,AK$60,),"")))))),"")</f>
        <v/>
      </c>
      <c r="CY65" s="1883" t="str" cm="1">
        <f t="array" ca="1" aca="1" ref="CY65">IFERROR(IF(AL65*fxVal_normal=_BS!AL65,"",IF(OR(AL65="",NOT(ISNUMBER(AL65)),ISERROR(AL65),$B65=""),"",IF($I65=1,IFBLANK(_xldudf_CX_PUSH(AL65*fxVal_normal,CX_ENTITY,$B65,AL$11,AL$14,AL$60,),""),IF($I65=2,IFBLANK(_xldudf_CX_PUSH(AL65,CX_ENTITY,$B65,AL$11,AL$14,AL$60,),""),IF($I65=3,"",IFBLANK(_xldudf_CX_PUSH(AL65,CX_ENTITY,$B65,AL$11,AL$14,AL$60,),"")))))),"")</f>
        <v/>
      </c>
      <c r="CZ65" s="1883" t="str" cm="1">
        <f t="array" ca="1" aca="1" ref="CZ65">IFERROR(IF(AM65*fxVal_normal=_BS!AM65,"",IF(OR(AM65="",NOT(ISNUMBER(AM65)),ISERROR(AM65),$B65=""),"",IF($I65=1,IFBLANK(_xldudf_CX_PUSH(AM65*fxVal_normal,CX_ENTITY,$B65,AM$11,AM$14,AM$60,),""),IF($I65=2,IFBLANK(_xldudf_CX_PUSH(AM65,CX_ENTITY,$B65,AM$11,AM$14,AM$60,),""),IF($I65=3,"",IFBLANK(_xldudf_CX_PUSH(AM65,CX_ENTITY,$B65,AM$11,AM$14,AM$60,),"")))))),"")</f>
        <v/>
      </c>
      <c r="DA65" s="1883" t="str" cm="1">
        <f t="array" ca="1" aca="1" ref="DA65">IFERROR(IF(AN65*fxVal_normal=_BS!AN65,"",IF(OR(AN65="",NOT(ISNUMBER(AN65)),ISERROR(AN65),$B65=""),"",IF($I65=1,IFBLANK(_xldudf_CX_PUSH(AN65*fxVal_normal,CX_ENTITY,$B65,AN$11,AN$14,AN$60,),""),IF($I65=2,IFBLANK(_xldudf_CX_PUSH(AN65,CX_ENTITY,$B65,AN$11,AN$14,AN$60,),""),IF($I65=3,"",IFBLANK(_xldudf_CX_PUSH(AN65,CX_ENTITY,$B65,AN$11,AN$14,AN$60,),"")))))),"")</f>
        <v/>
      </c>
      <c r="DB65" s="1883" t="str" cm="1">
        <f t="array" ca="1" aca="1" ref="DB65">IFERROR(IF(AO65*fxVal_normal=_BS!AO65,"",IF(OR(AO65="",NOT(ISNUMBER(AO65)),ISERROR(AO65),$B65=""),"",IF($I65=1,IFBLANK(_xldudf_CX_PUSH(AO65*fxVal_normal,CX_ENTITY,$B65,AO$11,AO$14,AO$60,),""),IF($I65=2,IFBLANK(_xldudf_CX_PUSH(AO65,CX_ENTITY,$B65,AO$11,AO$14,AO$60,),""),IF($I65=3,"",IFBLANK(_xldudf_CX_PUSH(AO65,CX_ENTITY,$B65,AO$11,AO$14,AO$60,),"")))))),"")</f>
        <v/>
      </c>
      <c r="DC65" s="1883" t="str" cm="1">
        <f t="array" ca="1" aca="1" ref="DC65">IFERROR(IF(AP65*fxVal_normal=_BS!AP65,"",IF(OR(AP65="",NOT(ISNUMBER(AP65)),ISERROR(AP65),$B65=""),"",IF($I65=1,IFBLANK(_xldudf_CX_PUSH(AP65*fxVal_normal,CX_ENTITY,$B65,AP$11,AP$14,AP$60,),""),IF($I65=2,IFBLANK(_xldudf_CX_PUSH(AP65,CX_ENTITY,$B65,AP$11,AP$14,AP$60,),""),IF($I65=3,"",IFBLANK(_xldudf_CX_PUSH(AP65,CX_ENTITY,$B65,AP$11,AP$14,AP$60,),"")))))),"")</f>
        <v/>
      </c>
      <c r="DD65" s="1883" t="str" cm="1">
        <f t="array" ca="1" aca="1" ref="DD65">IFERROR(IF(AQ65*fxVal_normal=_BS!AQ65,"",IF(OR(AQ65="",NOT(ISNUMBER(AQ65)),ISERROR(AQ65),$B65=""),"",IF($I65=1,IFBLANK(_xldudf_CX_PUSH(AQ65*fxVal_normal,CX_ENTITY,$B65,AQ$11,AQ$14,AQ$60,),""),IF($I65=2,IFBLANK(_xldudf_CX_PUSH(AQ65,CX_ENTITY,$B65,AQ$11,AQ$14,AQ$60,),""),IF($I65=3,"",IFBLANK(_xldudf_CX_PUSH(AQ65,CX_ENTITY,$B65,AQ$11,AQ$14,AQ$60,),"")))))),"")</f>
        <v/>
      </c>
      <c r="DE65" s="1883" t="str" cm="1">
        <f t="array" ca="1" aca="1" ref="DE65">IFERROR(IF(AR65*fxVal_normal=_BS!AR65,"",IF(OR(AR65="",NOT(ISNUMBER(AR65)),ISERROR(AR65),$B65=""),"",IF($I65=1,IFBLANK(_xldudf_CX_PUSH(AR65*fxVal_normal,CX_ENTITY,$B65,AR$11,AR$14,AR$60,),""),IF($I65=2,IFBLANK(_xldudf_CX_PUSH(AR65,CX_ENTITY,$B65,AR$11,AR$14,AR$60,),""),IF($I65=3,"",IFBLANK(_xldudf_CX_PUSH(AR65,CX_ENTITY,$B65,AR$11,AR$14,AR$60,),"")))))),"")</f>
        <v/>
      </c>
      <c r="DF65" s="1883" t="str" cm="1">
        <f t="array" ca="1" aca="1" ref="DF65">IFERROR(IF(AS65*fxVal_normal=_BS!AS65,"",IF(OR(AS65="",NOT(ISNUMBER(AS65)),ISERROR(AS65),$B65=""),"",IF($I65=1,IFBLANK(_xldudf_CX_PUSH(AS65*fxVal_normal,CX_ENTITY,$B65,AS$11,AS$14,AS$60,),""),IF($I65=2,IFBLANK(_xldudf_CX_PUSH(AS65,CX_ENTITY,$B65,AS$11,AS$14,AS$60,),""),IF($I65=3,"",IFBLANK(_xldudf_CX_PUSH(AS65,CX_ENTITY,$B65,AS$11,AS$14,AS$60,),"")))))),"")</f>
        <v/>
      </c>
      <c r="DG65" s="1883" t="str" cm="1">
        <f t="array" ca="1" aca="1" ref="DG65">IFERROR(IF(AT65*fxVal_normal=_BS!AT65,"",IF(OR(AT65="",NOT(ISNUMBER(AT65)),ISERROR(AT65),$B65=""),"",IF($I65=1,IFBLANK(_xldudf_CX_PUSH(AT65*fxVal_normal,CX_ENTITY,$B65,AT$11,AT$14,AT$60,),""),IF($I65=2,IFBLANK(_xldudf_CX_PUSH(AT65,CX_ENTITY,$B65,AT$11,AT$14,AT$60,),""),IF($I65=3,"",IFBLANK(_xldudf_CX_PUSH(AT65,CX_ENTITY,$B65,AT$11,AT$14,AT$60,),"")))))),"")</f>
        <v/>
      </c>
      <c r="DH65" s="1883" t="str" cm="1">
        <f t="array" ca="1" aca="1" ref="DH65">IFERROR(IF(AU65*fxVal_normal=_BS!AU65,"",IF(OR(AU65="",NOT(ISNUMBER(AU65)),ISERROR(AU65),$B65=""),"",IF($I65=1,IFBLANK(_xldudf_CX_PUSH(AU65*fxVal_normal,CX_ENTITY,$B65,AU$11,AU$14,AU$60,),""),IF($I65=2,IFBLANK(_xldudf_CX_PUSH(AU65,CX_ENTITY,$B65,AU$11,AU$14,AU$60,),""),IF($I65=3,"",IFBLANK(_xldudf_CX_PUSH(AU65,CX_ENTITY,$B65,AU$11,AU$14,AU$60,),"")))))),"")</f>
        <v/>
      </c>
      <c r="DI65" s="1883" t="str" cm="1">
        <f t="array" ca="1" aca="1" ref="DI65">IFERROR(IF(AV65*fxVal_normal=_BS!AV65,"",IF(OR(AV65="",NOT(ISNUMBER(AV65)),ISERROR(AV65),$B65=""),"",IF($I65=1,IFBLANK(_xldudf_CX_PUSH(AV65*fxVal_normal,CX_ENTITY,$B65,AV$11,AV$14,AV$60,),""),IF($I65=2,IFBLANK(_xldudf_CX_PUSH(AV65,CX_ENTITY,$B65,AV$11,AV$14,AV$60,),""),IF($I65=3,"",IFBLANK(_xldudf_CX_PUSH(AV65,CX_ENTITY,$B65,AV$11,AV$14,AV$60,),"")))))),"")</f>
        <v/>
      </c>
      <c r="DJ65" s="1883" t="str" cm="1">
        <f t="array" ca="1" aca="1" ref="DJ65">IFERROR(IF(AW65*fxVal_normal=_BS!AW65,"",IF(OR(AW65="",NOT(ISNUMBER(AW65)),ISERROR(AW65),$B65=""),"",IF($I65=1,IFBLANK(_xldudf_CX_PUSH(AW65*fxVal_normal,CX_ENTITY,$B65,AW$11,AW$14,AW$60,),""),IF($I65=2,IFBLANK(_xldudf_CX_PUSH(AW65,CX_ENTITY,$B65,AW$11,AW$14,AW$60,),""),IF($I65=3,"",IFBLANK(_xldudf_CX_PUSH(AW65,CX_ENTITY,$B65,AW$11,AW$14,AW$60,),"")))))),"")</f>
        <v/>
      </c>
      <c r="DK65" s="1883" t="str" cm="1">
        <f t="array" ca="1" aca="1" ref="DK65">IFERROR(IF(AX65*fxVal_normal=_BS!AX65,"",IF(OR(AX65="",NOT(ISNUMBER(AX65)),ISERROR(AX65),$B65=""),"",IF($I65=1,IFBLANK(_xldudf_CX_PUSH(AX65*fxVal_normal,CX_ENTITY,$B65,AX$11,AX$14,AX$60,),""),IF($I65=2,IFBLANK(_xldudf_CX_PUSH(AX65,CX_ENTITY,$B65,AX$11,AX$14,AX$60,),""),IF($I65=3,"",IFBLANK(_xldudf_CX_PUSH(AX65,CX_ENTITY,$B65,AX$11,AX$14,AX$60,),"")))))),"")</f>
        <v/>
      </c>
      <c r="DL65" s="1883" t="str" cm="1">
        <f t="array" ca="1" aca="1" ref="DL65">IFERROR(IF(AY65*fxVal_normal=_BS!AY65,"",IF(OR(AY65="",NOT(ISNUMBER(AY65)),ISERROR(AY65),$B65=""),"",IF($I65=1,IFBLANK(_xldudf_CX_PUSH(AY65*fxVal_normal,CX_ENTITY,$B65,AY$11,AY$14,AY$60,),""),IF($I65=2,IFBLANK(_xldudf_CX_PUSH(AY65,CX_ENTITY,$B65,AY$11,AY$14,AY$60,),""),IF($I65=3,"",IFBLANK(_xldudf_CX_PUSH(AY65,CX_ENTITY,$B65,AY$11,AY$14,AY$60,),"")))))),"")</f>
        <v/>
      </c>
      <c r="DM65" s="1883" t="str" cm="1">
        <f t="array" ca="1" aca="1" ref="DM65">IFERROR(IF(AZ65*fxVal_normal=_BS!AZ65,"",IF(OR(AZ65="",NOT(ISNUMBER(AZ65)),ISERROR(AZ65),$B65=""),"",IF($I65=1,IFBLANK(_xldudf_CX_PUSH(AZ65*fxVal_normal,CX_ENTITY,$B65,AZ$11,AZ$14,AZ$60,),""),IF($I65=2,IFBLANK(_xldudf_CX_PUSH(AZ65,CX_ENTITY,$B65,AZ$11,AZ$14,AZ$60,),""),IF($I65=3,"",IFBLANK(_xldudf_CX_PUSH(AZ65,CX_ENTITY,$B65,AZ$11,AZ$14,AZ$60,),"")))))),"")</f>
        <v/>
      </c>
      <c r="DN65" s="1883" t="str" cm="1">
        <f t="array" ca="1" aca="1" ref="DN65">IFERROR(IF(BA65*fxVal_normal=_BS!BA65,"",IF(OR(BA65="",NOT(ISNUMBER(BA65)),ISERROR(BA65),$B65=""),"",IF($I65=1,IFBLANK(_xldudf_CX_PUSH(BA65*fxVal_normal,CX_ENTITY,$B65,BA$11,BA$14,BA$60,),""),IF($I65=2,IFBLANK(_xldudf_CX_PUSH(BA65,CX_ENTITY,$B65,BA$11,BA$14,BA$60,),""),IF($I65=3,"",IFBLANK(_xldudf_CX_PUSH(BA65,CX_ENTITY,$B65,BA$11,BA$14,BA$60,),"")))))),"")</f>
        <v/>
      </c>
      <c r="DO65" s="1883" t="str" cm="1">
        <f t="array" ca="1" aca="1" ref="DO65">IFERROR(IF(BB65*fxVal_normal=_BS!BB65,"",IF(OR(BB65="",NOT(ISNUMBER(BB65)),ISERROR(BB65),$B65=""),"",IF($I65=1,IFBLANK(_xldudf_CX_PUSH(BB65*fxVal_normal,CX_ENTITY,$B65,BB$11,BB$14,BB$60,),""),IF($I65=2,IFBLANK(_xldudf_CX_PUSH(BB65,CX_ENTITY,$B65,BB$11,BB$14,BB$60,),""),IF($I65=3,"",IFBLANK(_xldudf_CX_PUSH(BB65,CX_ENTITY,$B65,BB$11,BB$14,BB$60,),"")))))),"")</f>
        <v/>
      </c>
      <c r="DP65" s="1883" t="str" cm="1">
        <f t="array" ca="1" aca="1" ref="DP65">IFERROR(IF(BC65*fxVal_normal=_BS!BC65,"",IF(OR(BC65="",NOT(ISNUMBER(BC65)),ISERROR(BC65),$B65=""),"",IF($I65=1,IFBLANK(_xldudf_CX_PUSH(BC65*fxVal_normal,CX_ENTITY,$B65,BC$11,BC$14,BC$60,),""),IF($I65=2,IFBLANK(_xldudf_CX_PUSH(BC65,CX_ENTITY,$B65,BC$11,BC$14,BC$60,),""),IF($I65=3,"",IFBLANK(_xldudf_CX_PUSH(BC65,CX_ENTITY,$B65,BC$11,BC$14,BC$60,),"")))))),"")</f>
        <v/>
      </c>
      <c r="DQ65" s="1883" t="str" cm="1">
        <f t="array" ca="1" aca="1" ref="DQ65">IFERROR(IF(BD65*fxVal_normal=_BS!BD65,"",IF(OR(BD65="",NOT(ISNUMBER(BD65)),ISERROR(BD65),$B65=""),"",IF($I65=1,IFBLANK(_xldudf_CX_PUSH(BD65*fxVal_normal,CX_ENTITY,$B65,BD$11,BD$14,BD$60,),""),IF($I65=2,IFBLANK(_xldudf_CX_PUSH(BD65,CX_ENTITY,$B65,BD$11,BD$14,BD$60,),""),IF($I65=3,"",IFBLANK(_xldudf_CX_PUSH(BD65,CX_ENTITY,$B65,BD$11,BD$14,BD$60,),"")))))),"")</f>
        <v/>
      </c>
      <c r="DR65" s="1883" t="str" cm="1">
        <f t="array" ca="1" aca="1" ref="DR65">IFERROR(IF(BE65*fxVal_normal=_BS!BE65,"",IF(OR(BE65="",NOT(ISNUMBER(BE65)),ISERROR(BE65),$B65=""),"",IF($I65=1,IFBLANK(_xldudf_CX_PUSH(BE65*fxVal_normal,CX_ENTITY,$B65,BE$11,BE$14,BE$60,),""),IF($I65=2,IFBLANK(_xldudf_CX_PUSH(BE65,CX_ENTITY,$B65,BE$11,BE$14,BE$60,),""),IF($I65=3,"",IFBLANK(_xldudf_CX_PUSH(BE65,CX_ENTITY,$B65,BE$11,BE$14,BE$60,),"")))))),"")</f>
        <v/>
      </c>
      <c r="DS65" s="1883" t="str" cm="1">
        <f t="array" ca="1" aca="1" ref="DS65">IFERROR(IF(BF65*fxVal_normal=_BS!BF65,"",IF(OR(BF65="",NOT(ISNUMBER(BF65)),ISERROR(BF65),$B65=""),"",IF($I65=1,IFBLANK(_xldudf_CX_PUSH(BF65*fxVal_normal,CX_ENTITY,$B65,BF$11,BF$14,BF$60,),""),IF($I65=2,IFBLANK(_xldudf_CX_PUSH(BF65,CX_ENTITY,$B65,BF$11,BF$14,BF$60,),""),IF($I65=3,"",IFBLANK(_xldudf_CX_PUSH(BF65,CX_ENTITY,$B65,BF$11,BF$14,BF$60,),"")))))),"")</f>
        <v/>
      </c>
      <c r="DT65" s="1883" t="str" cm="1">
        <f t="array" ca="1" aca="1" ref="DT65">IFERROR(IF(BG65*fxVal_normal=_BS!BG65,"",IF(OR(BG65="",NOT(ISNUMBER(BG65)),ISERROR(BG65),$B65=""),"",IF($I65=1,IFBLANK(_xldudf_CX_PUSH(BG65*fxVal_normal,CX_ENTITY,$B65,BG$11,BG$14,BG$60,),""),IF($I65=2,IFBLANK(_xldudf_CX_PUSH(BG65,CX_ENTITY,$B65,BG$11,BG$14,BG$60,),""),IF($I65=3,"",IFBLANK(_xldudf_CX_PUSH(BG65,CX_ENTITY,$B65,BG$11,BG$14,BG$60,),"")))))),"")</f>
        <v/>
      </c>
      <c r="DU65" s="1883" t="str" cm="1">
        <f t="array" ca="1" aca="1" ref="DU65">IFERROR(IF(BH65*fxVal_normal=_BS!BH65,"",IF(OR(BH65="",NOT(ISNUMBER(BH65)),ISERROR(BH65),$B65=""),"",IF($I65=1,IFBLANK(_xldudf_CX_PUSH(BH65*fxVal_normal,CX_ENTITY,$B65,BH$11,BH$14,BH$60,),""),IF($I65=2,IFBLANK(_xldudf_CX_PUSH(BH65,CX_ENTITY,$B65,BH$11,BH$14,BH$60,),""),IF($I65=3,"",IFBLANK(_xldudf_CX_PUSH(BH65,CX_ENTITY,$B65,BH$11,BH$14,BH$60,),"")))))),"")</f>
        <v/>
      </c>
      <c r="DV65" s="1883" t="str" cm="1">
        <f t="array" ca="1" aca="1" ref="DV65">IFERROR(IF(BI65*fxVal_normal=_BS!BI65,"",IF(OR(BI65="",NOT(ISNUMBER(BI65)),ISERROR(BI65),$B65=""),"",IF($I65=1,IFBLANK(_xldudf_CX_PUSH(BI65*fxVal_normal,CX_ENTITY,$B65,BI$11,BI$14,BI$60,),""),IF($I65=2,IFBLANK(_xldudf_CX_PUSH(BI65,CX_ENTITY,$B65,BI$11,BI$14,BI$60,),""),IF($I65=3,"",IFBLANK(_xldudf_CX_PUSH(BI65,CX_ENTITY,$B65,BI$11,BI$14,BI$60,),"")))))),"")</f>
        <v/>
      </c>
      <c r="DW65" s="1883" t="str" cm="1">
        <f t="array" ca="1" aca="1" ref="DW65">IFERROR(IF(BJ65*fxVal_normal=_BS!BJ65,"",IF(OR(BJ65="",NOT(ISNUMBER(BJ65)),ISERROR(BJ65),$B65=""),"",IF($I65=1,IFBLANK(_xldudf_CX_PUSH(BJ65*fxVal_normal,CX_ENTITY,$B65,BJ$11,BJ$14,BJ$60,),""),IF($I65=2,IFBLANK(_xldudf_CX_PUSH(BJ65,CX_ENTITY,$B65,BJ$11,BJ$14,BJ$60,),""),IF($I65=3,"",IFBLANK(_xldudf_CX_PUSH(BJ65,CX_ENTITY,$B65,BJ$11,BJ$14,BJ$60,),"")))))),"")</f>
        <v/>
      </c>
      <c r="DX65" s="1883" t="str" cm="1">
        <f t="array" ca="1" aca="1" ref="DX65">IFERROR(IF(BK65*fxVal_normal=_BS!BK65,"",IF(OR(BK65="",NOT(ISNUMBER(BK65)),ISERROR(BK65),$B65=""),"",IF($I65=1,IFBLANK(_xldudf_CX_PUSH(BK65*fxVal_normal,CX_ENTITY,$B65,BK$11,BK$14,BK$60,),""),IF($I65=2,IFBLANK(_xldudf_CX_PUSH(BK65,CX_ENTITY,$B65,BK$11,BK$14,BK$60,),""),IF($I65=3,"",IFBLANK(_xldudf_CX_PUSH(BK65,CX_ENTITY,$B65,BK$11,BK$14,BK$60,),"")))))),"")</f>
        <v/>
      </c>
      <c r="DY65" s="1883" t="str" cm="1">
        <f t="array" ca="1" aca="1" ref="DY65">IFERROR(IF(BL65*fxVal_normal=_BS!BL65,"",IF(OR(BL65="",NOT(ISNUMBER(BL65)),ISERROR(BL65),$B65=""),"",IF($I65=1,IFBLANK(_xldudf_CX_PUSH(BL65*fxVal_normal,CX_ENTITY,$B65,BL$11,BL$14,BL$60,),""),IF($I65=2,IFBLANK(_xldudf_CX_PUSH(BL65,CX_ENTITY,$B65,BL$11,BL$14,BL$60,),""),IF($I65=3,"",IFBLANK(_xldudf_CX_PUSH(BL65,CX_ENTITY,$B65,BL$11,BL$14,BL$60,),"")))))),"")</f>
        <v/>
      </c>
      <c r="DZ65" s="1883" t="str" cm="1">
        <f t="array" ca="1" aca="1" ref="DZ65">IFERROR(IF(BM65*fxVal_normal=_BS!BM65,"",IF(OR(BM65="",NOT(ISNUMBER(BM65)),ISERROR(BM65),$B65=""),"",IF($I65=1,IFBLANK(_xldudf_CX_PUSH(BM65*fxVal_normal,CX_ENTITY,$B65,BM$11,BM$14,BM$60,),""),IF($I65=2,IFBLANK(_xldudf_CX_PUSH(BM65,CX_ENTITY,$B65,BM$11,BM$14,BM$60,),""),IF($I65=3,"",IFBLANK(_xldudf_CX_PUSH(BM65,CX_ENTITY,$B65,BM$11,BM$14,BM$60,),"")))))),"")</f>
        <v/>
      </c>
      <c r="EA65" s="1883" t="str" cm="1">
        <f t="array" ca="1" aca="1" ref="EA65">IFERROR(IF(BN65*fxVal_normal=_BS!BN65,"",IF(OR(BN65="",NOT(ISNUMBER(BN65)),ISERROR(BN65),$B65=""),"",IF($I65=1,IFBLANK(_xldudf_CX_PUSH(BN65*fxVal_normal,CX_ENTITY,$B65,BN$11,BN$14,BN$60,),""),IF($I65=2,IFBLANK(_xldudf_CX_PUSH(BN65,CX_ENTITY,$B65,BN$11,BN$14,BN$60,),""),IF($I65=3,"",IFBLANK(_xldudf_CX_PUSH(BN65,CX_ENTITY,$B65,BN$11,BN$14,BN$60,),"")))))),"")</f>
        <v/>
      </c>
    </row>
    <row r="66" spans="1:131" ht="21" customHeight="1">
      <c r="A66" s="1645"/>
      <c r="B66" s="811" t="str" cm="1">
        <f t="array" ref="B66">IFBLANK(_BS!F66,"")</f>
        <v>Accounts Payable</v>
      </c>
      <c r="C66" s="811" t="str" cm="1">
        <f t="array" ref="C66">IFBLANK(_BS!C66,"")</f>
        <v>Accounts Payable (Company View)</v>
      </c>
      <c r="D66" s="1638"/>
      <c r="E66" s="1902" t="e" cm="1">
        <f t="array" ca="1" aca="1" ref="E6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66:$CH66,Z66)</f>
        <v>#NAME?</v>
      </c>
      <c r="F66" s="1897"/>
      <c r="G66" s="1897"/>
      <c r="H66" s="3280">
        <v>1</v>
      </c>
      <c r="I66" s="3280">
        <v>1</v>
      </c>
      <c r="J66" s="401"/>
      <c r="N66" s="158"/>
      <c r="O66" s="101"/>
      <c r="P66" s="52"/>
      <c r="Q66" s="101"/>
      <c r="R66" s="126"/>
      <c r="S66" s="101"/>
      <c r="T66" s="101"/>
      <c r="U66" s="39"/>
      <c r="W66" s="930" t="str">
        <f t="shared" si="18"/>
        <v>Budget</v>
      </c>
      <c r="X66" s="857">
        <f>_BS!X66</f>
        <v>-1</v>
      </c>
      <c r="Y66" s="3230">
        <f t="shared" si="17"/>
        <v>2</v>
      </c>
      <c r="Z66" s="198" cm="1">
        <f t="array" ref="Z66">_xlfn.SWITCH(TRUE,_BS!$L66=TRUE,1,_BS!$L66=FALSE,-1,_BS!$L66=-1,0,"n/a")</f>
        <v>-1</v>
      </c>
      <c r="AA66" s="200"/>
      <c r="AB66" s="88" t="str">
        <f>_BS!AB66</f>
        <v>Accounts Payable</v>
      </c>
      <c r="AC66" s="88" t="str" cm="1">
        <f t="array" ca="1" aca="1" ref="AC66">_xlfn.LET(_xlpm._termname,$AB66,_xlpm._iconname,"find",_xlpm._icon,fx_getIcon(_xlpm._iconname),_xlpm._location,_xlfn.XLOOKUP(LOWER(_xlpm._termname),LOWER(tbl_acctDef[Term]),tbl_acctDef[Term]),_xlpm._hyperlink,HYPERLINK("#"&amp;CELL("address",_xlpm._location),_xlpm._icon),IFERROR(_xlpm._hyperlink,""))</f>
        <v/>
      </c>
      <c r="AD66" s="3229">
        <v>1</v>
      </c>
      <c r="AE66" s="3229">
        <v>1</v>
      </c>
      <c r="AF66" s="3229">
        <v>1</v>
      </c>
      <c r="AG66" s="3229">
        <v>1</v>
      </c>
      <c r="AH66" s="3229">
        <v>1</v>
      </c>
      <c r="AI66" s="3229">
        <v>1</v>
      </c>
      <c r="AJ66" s="3229">
        <v>1</v>
      </c>
      <c r="AK66" s="3229">
        <v>1</v>
      </c>
      <c r="AL66" s="3229">
        <v>1</v>
      </c>
      <c r="AM66" s="3229">
        <v>1</v>
      </c>
      <c r="AN66" s="3229">
        <v>1</v>
      </c>
      <c r="AO66" s="3229">
        <v>1</v>
      </c>
      <c r="AP66" s="3229">
        <v>1</v>
      </c>
      <c r="AQ66" s="3229">
        <v>1</v>
      </c>
      <c r="AR66" s="3229">
        <v>1</v>
      </c>
      <c r="AS66" s="3229">
        <v>1</v>
      </c>
      <c r="AT66" s="3229">
        <v>1</v>
      </c>
      <c r="AU66" s="3229">
        <v>1</v>
      </c>
      <c r="AV66" s="3229">
        <v>1</v>
      </c>
      <c r="AW66" s="3229">
        <v>1</v>
      </c>
      <c r="AX66" s="3229">
        <v>1</v>
      </c>
      <c r="AY66" s="3229">
        <v>1</v>
      </c>
      <c r="AZ66" s="3229">
        <v>1</v>
      </c>
      <c r="BA66" s="3229">
        <v>1</v>
      </c>
      <c r="BB66" s="3229">
        <v>1</v>
      </c>
      <c r="BC66" s="3229">
        <v>1</v>
      </c>
      <c r="BD66" s="3229">
        <v>1</v>
      </c>
      <c r="BE66" s="3229">
        <v>1</v>
      </c>
      <c r="BF66" s="3229">
        <v>1</v>
      </c>
      <c r="BG66" s="3229">
        <v>1</v>
      </c>
      <c r="BH66" s="3229">
        <v>1</v>
      </c>
      <c r="BI66" s="3229">
        <v>1</v>
      </c>
      <c r="BJ66" s="3229">
        <v>1</v>
      </c>
      <c r="BK66" s="3229">
        <v>1</v>
      </c>
      <c r="BL66" s="3229">
        <v>1</v>
      </c>
      <c r="BM66" s="3229">
        <v>1</v>
      </c>
      <c r="BN66" s="3229">
        <v>1</v>
      </c>
      <c r="BO66" s="2095"/>
      <c r="BP66" s="2095"/>
      <c r="BQ66" s="2095"/>
      <c r="BR66" s="2095"/>
      <c r="BS66" s="2095"/>
      <c r="BT66" s="2095"/>
      <c r="BU66" s="2095"/>
      <c r="BV66" s="2095"/>
      <c r="BW66" s="2095"/>
      <c r="BX66" s="2095"/>
      <c r="BY66" s="2095"/>
      <c r="BZ66" s="2095"/>
      <c r="CA66" s="926"/>
      <c r="CB66" s="921"/>
      <c r="CC66" s="927"/>
      <c r="CD66" s="928" t="e" cm="1">
        <f t="array" ca="1" aca="1" ref="CD66">_xlfn.XLOOKUP(BS!CD$11,array_timeline,BS!$AD66:$BN66)</f>
        <v>#NAME?</v>
      </c>
      <c r="CE66" s="928" t="e" cm="1">
        <f t="array" ca="1" aca="1" ref="CE66">_xlfn.XLOOKUP(BS!CE$11,array_timeline,BS!$AD66:$BN66)</f>
        <v>#NAME?</v>
      </c>
      <c r="CF66" s="925"/>
      <c r="CG66" s="2122" t="e">
        <f t="shared" ca="1" si="16"/>
        <v>#NAME?</v>
      </c>
      <c r="CH66" s="2122" t="e">
        <f t="shared" ca="1" si="16"/>
        <v>#NAME?</v>
      </c>
      <c r="CI66" s="200"/>
      <c r="CQ66" s="1883" t="str" cm="1">
        <f t="array" ca="1" aca="1" ref="CQ66">IFERROR(IF(AD66*fxVal_normal=_BS!AD66,"",IF(OR(AD66="",NOT(ISNUMBER(AD66)),ISERROR(AD66),$B66=""),"",IF($I66=1,IFBLANK(_xldudf_CX_PUSH(AD66*fxVal_normal,CX_ENTITY,$B66,AD$11,AD$14,AD$60,),""),IF($I66=2,IFBLANK(_xldudf_CX_PUSH(AD66,CX_ENTITY,$B66,AD$11,AD$14,AD$60,),""),IF($I66=3,"",IFBLANK(_xldudf_CX_PUSH(AD66,CX_ENTITY,$B66,AD$11,AD$14,AD$60,),"")))))),"")</f>
        <v/>
      </c>
      <c r="CR66" s="1883" t="str" cm="1">
        <f t="array" ca="1" aca="1" ref="CR66">IFERROR(IF(AE66*fxVal_normal=_BS!AE66,"",IF(OR(AE66="",NOT(ISNUMBER(AE66)),ISERROR(AE66),$B66=""),"",IF($I66=1,IFBLANK(_xldudf_CX_PUSH(AE66*fxVal_normal,CX_ENTITY,$B66,AE$11,AE$14,AE$60,),""),IF($I66=2,IFBLANK(_xldudf_CX_PUSH(AE66,CX_ENTITY,$B66,AE$11,AE$14,AE$60,),""),IF($I66=3,"",IFBLANK(_xldudf_CX_PUSH(AE66,CX_ENTITY,$B66,AE$11,AE$14,AE$60,),"")))))),"")</f>
        <v/>
      </c>
      <c r="CS66" s="1883" t="str" cm="1">
        <f t="array" ca="1" aca="1" ref="CS66">IFERROR(IF(AF66*fxVal_normal=_BS!AF66,"",IF(OR(AF66="",NOT(ISNUMBER(AF66)),ISERROR(AF66),$B66=""),"",IF($I66=1,IFBLANK(_xldudf_CX_PUSH(AF66*fxVal_normal,CX_ENTITY,$B66,AF$11,AF$14,AF$60,),""),IF($I66=2,IFBLANK(_xldudf_CX_PUSH(AF66,CX_ENTITY,$B66,AF$11,AF$14,AF$60,),""),IF($I66=3,"",IFBLANK(_xldudf_CX_PUSH(AF66,CX_ENTITY,$B66,AF$11,AF$14,AF$60,),"")))))),"")</f>
        <v/>
      </c>
      <c r="CT66" s="1883" t="str" cm="1">
        <f t="array" ca="1" aca="1" ref="CT66">IFERROR(IF(AG66*fxVal_normal=_BS!AG66,"",IF(OR(AG66="",NOT(ISNUMBER(AG66)),ISERROR(AG66),$B66=""),"",IF($I66=1,IFBLANK(_xldudf_CX_PUSH(AG66*fxVal_normal,CX_ENTITY,$B66,AG$11,AG$14,AG$60,),""),IF($I66=2,IFBLANK(_xldudf_CX_PUSH(AG66,CX_ENTITY,$B66,AG$11,AG$14,AG$60,),""),IF($I66=3,"",IFBLANK(_xldudf_CX_PUSH(AG66,CX_ENTITY,$B66,AG$11,AG$14,AG$60,),"")))))),"")</f>
        <v/>
      </c>
      <c r="CU66" s="1883" t="str" cm="1">
        <f t="array" ca="1" aca="1" ref="CU66">IFERROR(IF(AH66*fxVal_normal=_BS!AH66,"",IF(OR(AH66="",NOT(ISNUMBER(AH66)),ISERROR(AH66),$B66=""),"",IF($I66=1,IFBLANK(_xldudf_CX_PUSH(AH66*fxVal_normal,CX_ENTITY,$B66,AH$11,AH$14,AH$60,),""),IF($I66=2,IFBLANK(_xldudf_CX_PUSH(AH66,CX_ENTITY,$B66,AH$11,AH$14,AH$60,),""),IF($I66=3,"",IFBLANK(_xldudf_CX_PUSH(AH66,CX_ENTITY,$B66,AH$11,AH$14,AH$60,),"")))))),"")</f>
        <v/>
      </c>
      <c r="CV66" s="1883" t="str" cm="1">
        <f t="array" ca="1" aca="1" ref="CV66">IFERROR(IF(AI66*fxVal_normal=_BS!AI66,"",IF(OR(AI66="",NOT(ISNUMBER(AI66)),ISERROR(AI66),$B66=""),"",IF($I66=1,IFBLANK(_xldudf_CX_PUSH(AI66*fxVal_normal,CX_ENTITY,$B66,AI$11,AI$14,AI$60,),""),IF($I66=2,IFBLANK(_xldudf_CX_PUSH(AI66,CX_ENTITY,$B66,AI$11,AI$14,AI$60,),""),IF($I66=3,"",IFBLANK(_xldudf_CX_PUSH(AI66,CX_ENTITY,$B66,AI$11,AI$14,AI$60,),"")))))),"")</f>
        <v/>
      </c>
      <c r="CW66" s="1883" t="str" cm="1">
        <f t="array" ca="1" aca="1" ref="CW66">IFERROR(IF(AJ66*fxVal_normal=_BS!AJ66,"",IF(OR(AJ66="",NOT(ISNUMBER(AJ66)),ISERROR(AJ66),$B66=""),"",IF($I66=1,IFBLANK(_xldudf_CX_PUSH(AJ66*fxVal_normal,CX_ENTITY,$B66,AJ$11,AJ$14,AJ$60,),""),IF($I66=2,IFBLANK(_xldudf_CX_PUSH(AJ66,CX_ENTITY,$B66,AJ$11,AJ$14,AJ$60,),""),IF($I66=3,"",IFBLANK(_xldudf_CX_PUSH(AJ66,CX_ENTITY,$B66,AJ$11,AJ$14,AJ$60,),"")))))),"")</f>
        <v/>
      </c>
      <c r="CX66" s="1883" t="str" cm="1">
        <f t="array" ca="1" aca="1" ref="CX66">IFERROR(IF(AK66*fxVal_normal=_BS!AK66,"",IF(OR(AK66="",NOT(ISNUMBER(AK66)),ISERROR(AK66),$B66=""),"",IF($I66=1,IFBLANK(_xldudf_CX_PUSH(AK66*fxVal_normal,CX_ENTITY,$B66,AK$11,AK$14,AK$60,),""),IF($I66=2,IFBLANK(_xldudf_CX_PUSH(AK66,CX_ENTITY,$B66,AK$11,AK$14,AK$60,),""),IF($I66=3,"",IFBLANK(_xldudf_CX_PUSH(AK66,CX_ENTITY,$B66,AK$11,AK$14,AK$60,),"")))))),"")</f>
        <v/>
      </c>
      <c r="CY66" s="1883" t="str" cm="1">
        <f t="array" ca="1" aca="1" ref="CY66">IFERROR(IF(AL66*fxVal_normal=_BS!AL66,"",IF(OR(AL66="",NOT(ISNUMBER(AL66)),ISERROR(AL66),$B66=""),"",IF($I66=1,IFBLANK(_xldudf_CX_PUSH(AL66*fxVal_normal,CX_ENTITY,$B66,AL$11,AL$14,AL$60,),""),IF($I66=2,IFBLANK(_xldudf_CX_PUSH(AL66,CX_ENTITY,$B66,AL$11,AL$14,AL$60,),""),IF($I66=3,"",IFBLANK(_xldudf_CX_PUSH(AL66,CX_ENTITY,$B66,AL$11,AL$14,AL$60,),"")))))),"")</f>
        <v/>
      </c>
      <c r="CZ66" s="1883" t="str" cm="1">
        <f t="array" ca="1" aca="1" ref="CZ66">IFERROR(IF(AM66*fxVal_normal=_BS!AM66,"",IF(OR(AM66="",NOT(ISNUMBER(AM66)),ISERROR(AM66),$B66=""),"",IF($I66=1,IFBLANK(_xldudf_CX_PUSH(AM66*fxVal_normal,CX_ENTITY,$B66,AM$11,AM$14,AM$60,),""),IF($I66=2,IFBLANK(_xldudf_CX_PUSH(AM66,CX_ENTITY,$B66,AM$11,AM$14,AM$60,),""),IF($I66=3,"",IFBLANK(_xldudf_CX_PUSH(AM66,CX_ENTITY,$B66,AM$11,AM$14,AM$60,),"")))))),"")</f>
        <v/>
      </c>
      <c r="DA66" s="1883" t="str" cm="1">
        <f t="array" ca="1" aca="1" ref="DA66">IFERROR(IF(AN66*fxVal_normal=_BS!AN66,"",IF(OR(AN66="",NOT(ISNUMBER(AN66)),ISERROR(AN66),$B66=""),"",IF($I66=1,IFBLANK(_xldudf_CX_PUSH(AN66*fxVal_normal,CX_ENTITY,$B66,AN$11,AN$14,AN$60,),""),IF($I66=2,IFBLANK(_xldudf_CX_PUSH(AN66,CX_ENTITY,$B66,AN$11,AN$14,AN$60,),""),IF($I66=3,"",IFBLANK(_xldudf_CX_PUSH(AN66,CX_ENTITY,$B66,AN$11,AN$14,AN$60,),"")))))),"")</f>
        <v/>
      </c>
      <c r="DB66" s="1883" t="str" cm="1">
        <f t="array" ca="1" aca="1" ref="DB66">IFERROR(IF(AO66*fxVal_normal=_BS!AO66,"",IF(OR(AO66="",NOT(ISNUMBER(AO66)),ISERROR(AO66),$B66=""),"",IF($I66=1,IFBLANK(_xldudf_CX_PUSH(AO66*fxVal_normal,CX_ENTITY,$B66,AO$11,AO$14,AO$60,),""),IF($I66=2,IFBLANK(_xldudf_CX_PUSH(AO66,CX_ENTITY,$B66,AO$11,AO$14,AO$60,),""),IF($I66=3,"",IFBLANK(_xldudf_CX_PUSH(AO66,CX_ENTITY,$B66,AO$11,AO$14,AO$60,),"")))))),"")</f>
        <v/>
      </c>
      <c r="DC66" s="1883" t="str" cm="1">
        <f t="array" ca="1" aca="1" ref="DC66">IFERROR(IF(AP66*fxVal_normal=_BS!AP66,"",IF(OR(AP66="",NOT(ISNUMBER(AP66)),ISERROR(AP66),$B66=""),"",IF($I66=1,IFBLANK(_xldudf_CX_PUSH(AP66*fxVal_normal,CX_ENTITY,$B66,AP$11,AP$14,AP$60,),""),IF($I66=2,IFBLANK(_xldudf_CX_PUSH(AP66,CX_ENTITY,$B66,AP$11,AP$14,AP$60,),""),IF($I66=3,"",IFBLANK(_xldudf_CX_PUSH(AP66,CX_ENTITY,$B66,AP$11,AP$14,AP$60,),"")))))),"")</f>
        <v/>
      </c>
      <c r="DD66" s="1883" t="str" cm="1">
        <f t="array" ca="1" aca="1" ref="DD66">IFERROR(IF(AQ66*fxVal_normal=_BS!AQ66,"",IF(OR(AQ66="",NOT(ISNUMBER(AQ66)),ISERROR(AQ66),$B66=""),"",IF($I66=1,IFBLANK(_xldudf_CX_PUSH(AQ66*fxVal_normal,CX_ENTITY,$B66,AQ$11,AQ$14,AQ$60,),""),IF($I66=2,IFBLANK(_xldudf_CX_PUSH(AQ66,CX_ENTITY,$B66,AQ$11,AQ$14,AQ$60,),""),IF($I66=3,"",IFBLANK(_xldudf_CX_PUSH(AQ66,CX_ENTITY,$B66,AQ$11,AQ$14,AQ$60,),"")))))),"")</f>
        <v/>
      </c>
      <c r="DE66" s="1883" t="str" cm="1">
        <f t="array" ca="1" aca="1" ref="DE66">IFERROR(IF(AR66*fxVal_normal=_BS!AR66,"",IF(OR(AR66="",NOT(ISNUMBER(AR66)),ISERROR(AR66),$B66=""),"",IF($I66=1,IFBLANK(_xldudf_CX_PUSH(AR66*fxVal_normal,CX_ENTITY,$B66,AR$11,AR$14,AR$60,),""),IF($I66=2,IFBLANK(_xldudf_CX_PUSH(AR66,CX_ENTITY,$B66,AR$11,AR$14,AR$60,),""),IF($I66=3,"",IFBLANK(_xldudf_CX_PUSH(AR66,CX_ENTITY,$B66,AR$11,AR$14,AR$60,),"")))))),"")</f>
        <v/>
      </c>
      <c r="DF66" s="1883" t="str" cm="1">
        <f t="array" ca="1" aca="1" ref="DF66">IFERROR(IF(AS66*fxVal_normal=_BS!AS66,"",IF(OR(AS66="",NOT(ISNUMBER(AS66)),ISERROR(AS66),$B66=""),"",IF($I66=1,IFBLANK(_xldudf_CX_PUSH(AS66*fxVal_normal,CX_ENTITY,$B66,AS$11,AS$14,AS$60,),""),IF($I66=2,IFBLANK(_xldudf_CX_PUSH(AS66,CX_ENTITY,$B66,AS$11,AS$14,AS$60,),""),IF($I66=3,"",IFBLANK(_xldudf_CX_PUSH(AS66,CX_ENTITY,$B66,AS$11,AS$14,AS$60,),"")))))),"")</f>
        <v/>
      </c>
      <c r="DG66" s="1883" t="str" cm="1">
        <f t="array" ca="1" aca="1" ref="DG66">IFERROR(IF(AT66*fxVal_normal=_BS!AT66,"",IF(OR(AT66="",NOT(ISNUMBER(AT66)),ISERROR(AT66),$B66=""),"",IF($I66=1,IFBLANK(_xldudf_CX_PUSH(AT66*fxVal_normal,CX_ENTITY,$B66,AT$11,AT$14,AT$60,),""),IF($I66=2,IFBLANK(_xldudf_CX_PUSH(AT66,CX_ENTITY,$B66,AT$11,AT$14,AT$60,),""),IF($I66=3,"",IFBLANK(_xldudf_CX_PUSH(AT66,CX_ENTITY,$B66,AT$11,AT$14,AT$60,),"")))))),"")</f>
        <v/>
      </c>
      <c r="DH66" s="1883" t="str" cm="1">
        <f t="array" ca="1" aca="1" ref="DH66">IFERROR(IF(AU66*fxVal_normal=_BS!AU66,"",IF(OR(AU66="",NOT(ISNUMBER(AU66)),ISERROR(AU66),$B66=""),"",IF($I66=1,IFBLANK(_xldudf_CX_PUSH(AU66*fxVal_normal,CX_ENTITY,$B66,AU$11,AU$14,AU$60,),""),IF($I66=2,IFBLANK(_xldudf_CX_PUSH(AU66,CX_ENTITY,$B66,AU$11,AU$14,AU$60,),""),IF($I66=3,"",IFBLANK(_xldudf_CX_PUSH(AU66,CX_ENTITY,$B66,AU$11,AU$14,AU$60,),"")))))),"")</f>
        <v/>
      </c>
      <c r="DI66" s="1883" t="str" cm="1">
        <f t="array" ca="1" aca="1" ref="DI66">IFERROR(IF(AV66*fxVal_normal=_BS!AV66,"",IF(OR(AV66="",NOT(ISNUMBER(AV66)),ISERROR(AV66),$B66=""),"",IF($I66=1,IFBLANK(_xldudf_CX_PUSH(AV66*fxVal_normal,CX_ENTITY,$B66,AV$11,AV$14,AV$60,),""),IF($I66=2,IFBLANK(_xldudf_CX_PUSH(AV66,CX_ENTITY,$B66,AV$11,AV$14,AV$60,),""),IF($I66=3,"",IFBLANK(_xldudf_CX_PUSH(AV66,CX_ENTITY,$B66,AV$11,AV$14,AV$60,),"")))))),"")</f>
        <v/>
      </c>
      <c r="DJ66" s="1883" t="str" cm="1">
        <f t="array" ca="1" aca="1" ref="DJ66">IFERROR(IF(AW66*fxVal_normal=_BS!AW66,"",IF(OR(AW66="",NOT(ISNUMBER(AW66)),ISERROR(AW66),$B66=""),"",IF($I66=1,IFBLANK(_xldudf_CX_PUSH(AW66*fxVal_normal,CX_ENTITY,$B66,AW$11,AW$14,AW$60,),""),IF($I66=2,IFBLANK(_xldudf_CX_PUSH(AW66,CX_ENTITY,$B66,AW$11,AW$14,AW$60,),""),IF($I66=3,"",IFBLANK(_xldudf_CX_PUSH(AW66,CX_ENTITY,$B66,AW$11,AW$14,AW$60,),"")))))),"")</f>
        <v/>
      </c>
      <c r="DK66" s="1883" t="str" cm="1">
        <f t="array" ca="1" aca="1" ref="DK66">IFERROR(IF(AX66*fxVal_normal=_BS!AX66,"",IF(OR(AX66="",NOT(ISNUMBER(AX66)),ISERROR(AX66),$B66=""),"",IF($I66=1,IFBLANK(_xldudf_CX_PUSH(AX66*fxVal_normal,CX_ENTITY,$B66,AX$11,AX$14,AX$60,),""),IF($I66=2,IFBLANK(_xldudf_CX_PUSH(AX66,CX_ENTITY,$B66,AX$11,AX$14,AX$60,),""),IF($I66=3,"",IFBLANK(_xldudf_CX_PUSH(AX66,CX_ENTITY,$B66,AX$11,AX$14,AX$60,),"")))))),"")</f>
        <v/>
      </c>
      <c r="DL66" s="1883" t="str" cm="1">
        <f t="array" ca="1" aca="1" ref="DL66">IFERROR(IF(AY66*fxVal_normal=_BS!AY66,"",IF(OR(AY66="",NOT(ISNUMBER(AY66)),ISERROR(AY66),$B66=""),"",IF($I66=1,IFBLANK(_xldudf_CX_PUSH(AY66*fxVal_normal,CX_ENTITY,$B66,AY$11,AY$14,AY$60,),""),IF($I66=2,IFBLANK(_xldudf_CX_PUSH(AY66,CX_ENTITY,$B66,AY$11,AY$14,AY$60,),""),IF($I66=3,"",IFBLANK(_xldudf_CX_PUSH(AY66,CX_ENTITY,$B66,AY$11,AY$14,AY$60,),"")))))),"")</f>
        <v/>
      </c>
      <c r="DM66" s="1883" t="str" cm="1">
        <f t="array" ca="1" aca="1" ref="DM66">IFERROR(IF(AZ66*fxVal_normal=_BS!AZ66,"",IF(OR(AZ66="",NOT(ISNUMBER(AZ66)),ISERROR(AZ66),$B66=""),"",IF($I66=1,IFBLANK(_xldudf_CX_PUSH(AZ66*fxVal_normal,CX_ENTITY,$B66,AZ$11,AZ$14,AZ$60,),""),IF($I66=2,IFBLANK(_xldudf_CX_PUSH(AZ66,CX_ENTITY,$B66,AZ$11,AZ$14,AZ$60,),""),IF($I66=3,"",IFBLANK(_xldudf_CX_PUSH(AZ66,CX_ENTITY,$B66,AZ$11,AZ$14,AZ$60,),"")))))),"")</f>
        <v/>
      </c>
      <c r="DN66" s="1883" t="str" cm="1">
        <f t="array" ca="1" aca="1" ref="DN66">IFERROR(IF(BA66*fxVal_normal=_BS!BA66,"",IF(OR(BA66="",NOT(ISNUMBER(BA66)),ISERROR(BA66),$B66=""),"",IF($I66=1,IFBLANK(_xldudf_CX_PUSH(BA66*fxVal_normal,CX_ENTITY,$B66,BA$11,BA$14,BA$60,),""),IF($I66=2,IFBLANK(_xldudf_CX_PUSH(BA66,CX_ENTITY,$B66,BA$11,BA$14,BA$60,),""),IF($I66=3,"",IFBLANK(_xldudf_CX_PUSH(BA66,CX_ENTITY,$B66,BA$11,BA$14,BA$60,),"")))))),"")</f>
        <v/>
      </c>
      <c r="DO66" s="1883" t="str" cm="1">
        <f t="array" ca="1" aca="1" ref="DO66">IFERROR(IF(BB66*fxVal_normal=_BS!BB66,"",IF(OR(BB66="",NOT(ISNUMBER(BB66)),ISERROR(BB66),$B66=""),"",IF($I66=1,IFBLANK(_xldudf_CX_PUSH(BB66*fxVal_normal,CX_ENTITY,$B66,BB$11,BB$14,BB$60,),""),IF($I66=2,IFBLANK(_xldudf_CX_PUSH(BB66,CX_ENTITY,$B66,BB$11,BB$14,BB$60,),""),IF($I66=3,"",IFBLANK(_xldudf_CX_PUSH(BB66,CX_ENTITY,$B66,BB$11,BB$14,BB$60,),"")))))),"")</f>
        <v/>
      </c>
      <c r="DP66" s="1883" t="str" cm="1">
        <f t="array" ca="1" aca="1" ref="DP66">IFERROR(IF(BC66*fxVal_normal=_BS!BC66,"",IF(OR(BC66="",NOT(ISNUMBER(BC66)),ISERROR(BC66),$B66=""),"",IF($I66=1,IFBLANK(_xldudf_CX_PUSH(BC66*fxVal_normal,CX_ENTITY,$B66,BC$11,BC$14,BC$60,),""),IF($I66=2,IFBLANK(_xldudf_CX_PUSH(BC66,CX_ENTITY,$B66,BC$11,BC$14,BC$60,),""),IF($I66=3,"",IFBLANK(_xldudf_CX_PUSH(BC66,CX_ENTITY,$B66,BC$11,BC$14,BC$60,),"")))))),"")</f>
        <v/>
      </c>
      <c r="DQ66" s="1883" t="str" cm="1">
        <f t="array" ca="1" aca="1" ref="DQ66">IFERROR(IF(BD66*fxVal_normal=_BS!BD66,"",IF(OR(BD66="",NOT(ISNUMBER(BD66)),ISERROR(BD66),$B66=""),"",IF($I66=1,IFBLANK(_xldudf_CX_PUSH(BD66*fxVal_normal,CX_ENTITY,$B66,BD$11,BD$14,BD$60,),""),IF($I66=2,IFBLANK(_xldudf_CX_PUSH(BD66,CX_ENTITY,$B66,BD$11,BD$14,BD$60,),""),IF($I66=3,"",IFBLANK(_xldudf_CX_PUSH(BD66,CX_ENTITY,$B66,BD$11,BD$14,BD$60,),"")))))),"")</f>
        <v/>
      </c>
      <c r="DR66" s="1883" t="str" cm="1">
        <f t="array" ca="1" aca="1" ref="DR66">IFERROR(IF(BE66*fxVal_normal=_BS!BE66,"",IF(OR(BE66="",NOT(ISNUMBER(BE66)),ISERROR(BE66),$B66=""),"",IF($I66=1,IFBLANK(_xldudf_CX_PUSH(BE66*fxVal_normal,CX_ENTITY,$B66,BE$11,BE$14,BE$60,),""),IF($I66=2,IFBLANK(_xldudf_CX_PUSH(BE66,CX_ENTITY,$B66,BE$11,BE$14,BE$60,),""),IF($I66=3,"",IFBLANK(_xldudf_CX_PUSH(BE66,CX_ENTITY,$B66,BE$11,BE$14,BE$60,),"")))))),"")</f>
        <v/>
      </c>
      <c r="DS66" s="1883" t="str" cm="1">
        <f t="array" ca="1" aca="1" ref="DS66">IFERROR(IF(BF66*fxVal_normal=_BS!BF66,"",IF(OR(BF66="",NOT(ISNUMBER(BF66)),ISERROR(BF66),$B66=""),"",IF($I66=1,IFBLANK(_xldudf_CX_PUSH(BF66*fxVal_normal,CX_ENTITY,$B66,BF$11,BF$14,BF$60,),""),IF($I66=2,IFBLANK(_xldudf_CX_PUSH(BF66,CX_ENTITY,$B66,BF$11,BF$14,BF$60,),""),IF($I66=3,"",IFBLANK(_xldudf_CX_PUSH(BF66,CX_ENTITY,$B66,BF$11,BF$14,BF$60,),"")))))),"")</f>
        <v/>
      </c>
      <c r="DT66" s="1883" t="str" cm="1">
        <f t="array" ca="1" aca="1" ref="DT66">IFERROR(IF(BG66*fxVal_normal=_BS!BG66,"",IF(OR(BG66="",NOT(ISNUMBER(BG66)),ISERROR(BG66),$B66=""),"",IF($I66=1,IFBLANK(_xldudf_CX_PUSH(BG66*fxVal_normal,CX_ENTITY,$B66,BG$11,BG$14,BG$60,),""),IF($I66=2,IFBLANK(_xldudf_CX_PUSH(BG66,CX_ENTITY,$B66,BG$11,BG$14,BG$60,),""),IF($I66=3,"",IFBLANK(_xldudf_CX_PUSH(BG66,CX_ENTITY,$B66,BG$11,BG$14,BG$60,),"")))))),"")</f>
        <v/>
      </c>
      <c r="DU66" s="1883" t="str" cm="1">
        <f t="array" ca="1" aca="1" ref="DU66">IFERROR(IF(BH66*fxVal_normal=_BS!BH66,"",IF(OR(BH66="",NOT(ISNUMBER(BH66)),ISERROR(BH66),$B66=""),"",IF($I66=1,IFBLANK(_xldudf_CX_PUSH(BH66*fxVal_normal,CX_ENTITY,$B66,BH$11,BH$14,BH$60,),""),IF($I66=2,IFBLANK(_xldudf_CX_PUSH(BH66,CX_ENTITY,$B66,BH$11,BH$14,BH$60,),""),IF($I66=3,"",IFBLANK(_xldudf_CX_PUSH(BH66,CX_ENTITY,$B66,BH$11,BH$14,BH$60,),"")))))),"")</f>
        <v/>
      </c>
      <c r="DV66" s="1883" t="str" cm="1">
        <f t="array" ca="1" aca="1" ref="DV66">IFERROR(IF(BI66*fxVal_normal=_BS!BI66,"",IF(OR(BI66="",NOT(ISNUMBER(BI66)),ISERROR(BI66),$B66=""),"",IF($I66=1,IFBLANK(_xldudf_CX_PUSH(BI66*fxVal_normal,CX_ENTITY,$B66,BI$11,BI$14,BI$60,),""),IF($I66=2,IFBLANK(_xldudf_CX_PUSH(BI66,CX_ENTITY,$B66,BI$11,BI$14,BI$60,),""),IF($I66=3,"",IFBLANK(_xldudf_CX_PUSH(BI66,CX_ENTITY,$B66,BI$11,BI$14,BI$60,),"")))))),"")</f>
        <v/>
      </c>
      <c r="DW66" s="1883" t="str" cm="1">
        <f t="array" ca="1" aca="1" ref="DW66">IFERROR(IF(BJ66*fxVal_normal=_BS!BJ66,"",IF(OR(BJ66="",NOT(ISNUMBER(BJ66)),ISERROR(BJ66),$B66=""),"",IF($I66=1,IFBLANK(_xldudf_CX_PUSH(BJ66*fxVal_normal,CX_ENTITY,$B66,BJ$11,BJ$14,BJ$60,),""),IF($I66=2,IFBLANK(_xldudf_CX_PUSH(BJ66,CX_ENTITY,$B66,BJ$11,BJ$14,BJ$60,),""),IF($I66=3,"",IFBLANK(_xldudf_CX_PUSH(BJ66,CX_ENTITY,$B66,BJ$11,BJ$14,BJ$60,),"")))))),"")</f>
        <v/>
      </c>
      <c r="DX66" s="1883" t="str" cm="1">
        <f t="array" ca="1" aca="1" ref="DX66">IFERROR(IF(BK66*fxVal_normal=_BS!BK66,"",IF(OR(BK66="",NOT(ISNUMBER(BK66)),ISERROR(BK66),$B66=""),"",IF($I66=1,IFBLANK(_xldudf_CX_PUSH(BK66*fxVal_normal,CX_ENTITY,$B66,BK$11,BK$14,BK$60,),""),IF($I66=2,IFBLANK(_xldudf_CX_PUSH(BK66,CX_ENTITY,$B66,BK$11,BK$14,BK$60,),""),IF($I66=3,"",IFBLANK(_xldudf_CX_PUSH(BK66,CX_ENTITY,$B66,BK$11,BK$14,BK$60,),"")))))),"")</f>
        <v/>
      </c>
      <c r="DY66" s="1883" t="str" cm="1">
        <f t="array" ca="1" aca="1" ref="DY66">IFERROR(IF(BL66*fxVal_normal=_BS!BL66,"",IF(OR(BL66="",NOT(ISNUMBER(BL66)),ISERROR(BL66),$B66=""),"",IF($I66=1,IFBLANK(_xldudf_CX_PUSH(BL66*fxVal_normal,CX_ENTITY,$B66,BL$11,BL$14,BL$60,),""),IF($I66=2,IFBLANK(_xldudf_CX_PUSH(BL66,CX_ENTITY,$B66,BL$11,BL$14,BL$60,),""),IF($I66=3,"",IFBLANK(_xldudf_CX_PUSH(BL66,CX_ENTITY,$B66,BL$11,BL$14,BL$60,),"")))))),"")</f>
        <v/>
      </c>
      <c r="DZ66" s="1883" t="str" cm="1">
        <f t="array" ca="1" aca="1" ref="DZ66">IFERROR(IF(BM66*fxVal_normal=_BS!BM66,"",IF(OR(BM66="",NOT(ISNUMBER(BM66)),ISERROR(BM66),$B66=""),"",IF($I66=1,IFBLANK(_xldudf_CX_PUSH(BM66*fxVal_normal,CX_ENTITY,$B66,BM$11,BM$14,BM$60,),""),IF($I66=2,IFBLANK(_xldudf_CX_PUSH(BM66,CX_ENTITY,$B66,BM$11,BM$14,BM$60,),""),IF($I66=3,"",IFBLANK(_xldudf_CX_PUSH(BM66,CX_ENTITY,$B66,BM$11,BM$14,BM$60,),"")))))),"")</f>
        <v/>
      </c>
      <c r="EA66" s="1883" t="str" cm="1">
        <f t="array" ca="1" aca="1" ref="EA66">IFERROR(IF(BN66*fxVal_normal=_BS!BN66,"",IF(OR(BN66="",NOT(ISNUMBER(BN66)),ISERROR(BN66),$B66=""),"",IF($I66=1,IFBLANK(_xldudf_CX_PUSH(BN66*fxVal_normal,CX_ENTITY,$B66,BN$11,BN$14,BN$60,),""),IF($I66=2,IFBLANK(_xldudf_CX_PUSH(BN66,CX_ENTITY,$B66,BN$11,BN$14,BN$60,),""),IF($I66=3,"",IFBLANK(_xldudf_CX_PUSH(BN66,CX_ENTITY,$B66,BN$11,BN$14,BN$60,),"")))))),"")</f>
        <v/>
      </c>
    </row>
    <row r="67" spans="1:131" ht="21" customHeight="1">
      <c r="A67" s="1645"/>
      <c r="B67" s="811" t="str" cm="1">
        <f t="array" ref="B67">IFBLANK(_BS!F67,"")</f>
        <v>Inventory</v>
      </c>
      <c r="C67" s="811" t="str" cm="1">
        <f t="array" ref="C67">IFBLANK(_BS!C67,"")</f>
        <v>Inventory (Company View)</v>
      </c>
      <c r="D67" s="1549"/>
      <c r="E67" s="1902" t="e" cm="1">
        <f t="array" ca="1" aca="1" ref="E6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67:$CH67,Z67)</f>
        <v>#NAME?</v>
      </c>
      <c r="F67" s="1897"/>
      <c r="G67" s="1897"/>
      <c r="H67" s="3333">
        <v>1</v>
      </c>
      <c r="I67" s="3326">
        <v>1</v>
      </c>
      <c r="J67" s="731"/>
      <c r="N67" s="158"/>
      <c r="O67" s="101"/>
      <c r="P67" s="52"/>
      <c r="Q67" s="101"/>
      <c r="R67" s="101"/>
      <c r="S67" s="101"/>
      <c r="T67" s="101"/>
      <c r="U67" s="39"/>
      <c r="W67" s="930" t="str">
        <f t="shared" si="18"/>
        <v>Budget</v>
      </c>
      <c r="X67" s="3292">
        <f>_BS!X67</f>
        <v>1</v>
      </c>
      <c r="Y67" s="3230">
        <f t="shared" si="17"/>
        <v>2</v>
      </c>
      <c r="Z67" s="198" cm="1">
        <f t="array" ref="Z67">_xlfn.SWITCH(TRUE,_BS!$L67=TRUE,1,_BS!$L67=FALSE,-1,_BS!$L67=-1,0,"n/a")</f>
        <v>-1</v>
      </c>
      <c r="AA67" s="200"/>
      <c r="AB67" s="88" t="str">
        <f>_BS!AB67</f>
        <v>Inventory</v>
      </c>
      <c r="AC67" s="88" t="e" vm="5" cm="1">
        <f t="array" ca="1" aca="1" ref="AC67">_xlfn.LET(_xlpm._termname,$AB67,_xlpm._iconname,"find",_xlpm._icon,fx_getIcon(_xlpm._iconname),_xlpm._location,_xlfn.XLOOKUP(LOWER(_xlpm._termname),LOWER(tbl_acctDef[Term]),tbl_acctDef[Term]),_xlpm._hyperlink,HYPERLINK("#"&amp;CELL("address",_xlpm._location),_xlpm._icon),IFERROR(_xlpm._hyperlink,""))</f>
        <v>#VALUE!</v>
      </c>
      <c r="AD67" s="3229">
        <v>1</v>
      </c>
      <c r="AE67" s="3229">
        <v>1</v>
      </c>
      <c r="AF67" s="3229">
        <v>1</v>
      </c>
      <c r="AG67" s="3229">
        <v>1</v>
      </c>
      <c r="AH67" s="3229">
        <v>1</v>
      </c>
      <c r="AI67" s="3229">
        <v>1</v>
      </c>
      <c r="AJ67" s="3229">
        <v>1</v>
      </c>
      <c r="AK67" s="3229">
        <v>1</v>
      </c>
      <c r="AL67" s="3229">
        <v>1</v>
      </c>
      <c r="AM67" s="3229">
        <v>1</v>
      </c>
      <c r="AN67" s="3229">
        <v>1</v>
      </c>
      <c r="AO67" s="3229">
        <v>1</v>
      </c>
      <c r="AP67" s="3229">
        <v>1</v>
      </c>
      <c r="AQ67" s="3229">
        <v>1</v>
      </c>
      <c r="AR67" s="3229">
        <v>1</v>
      </c>
      <c r="AS67" s="3229">
        <v>1</v>
      </c>
      <c r="AT67" s="3229">
        <v>1</v>
      </c>
      <c r="AU67" s="3229">
        <v>1</v>
      </c>
      <c r="AV67" s="3229">
        <v>1</v>
      </c>
      <c r="AW67" s="3229">
        <v>1</v>
      </c>
      <c r="AX67" s="3229">
        <v>1</v>
      </c>
      <c r="AY67" s="3229">
        <v>1</v>
      </c>
      <c r="AZ67" s="3229">
        <v>1</v>
      </c>
      <c r="BA67" s="3229">
        <v>1</v>
      </c>
      <c r="BB67" s="3229">
        <v>1</v>
      </c>
      <c r="BC67" s="3229">
        <v>1</v>
      </c>
      <c r="BD67" s="3229">
        <v>1</v>
      </c>
      <c r="BE67" s="3229">
        <v>1</v>
      </c>
      <c r="BF67" s="3229">
        <v>1</v>
      </c>
      <c r="BG67" s="3229">
        <v>1</v>
      </c>
      <c r="BH67" s="3229">
        <v>1</v>
      </c>
      <c r="BI67" s="3229">
        <v>1</v>
      </c>
      <c r="BJ67" s="3229">
        <v>1</v>
      </c>
      <c r="BK67" s="3229">
        <v>1</v>
      </c>
      <c r="BL67" s="3229">
        <v>1</v>
      </c>
      <c r="BM67" s="3229">
        <v>1</v>
      </c>
      <c r="BN67" s="3229">
        <v>1</v>
      </c>
      <c r="BO67" s="2095"/>
      <c r="BP67" s="2095"/>
      <c r="BQ67" s="2095"/>
      <c r="BR67" s="2095"/>
      <c r="BS67" s="2095"/>
      <c r="BT67" s="2095"/>
      <c r="BU67" s="2095"/>
      <c r="BV67" s="2095"/>
      <c r="BW67" s="2095"/>
      <c r="BX67" s="2095"/>
      <c r="BY67" s="2095"/>
      <c r="BZ67" s="2095"/>
      <c r="CA67" s="926"/>
      <c r="CB67" s="921"/>
      <c r="CC67" s="927"/>
      <c r="CD67" s="928" t="e" cm="1">
        <f t="array" ca="1" aca="1" ref="CD67">_xlfn.XLOOKUP(BS!CD$11,array_timeline,BS!$AD67:$BN67)</f>
        <v>#NAME?</v>
      </c>
      <c r="CE67" s="928" t="e" cm="1">
        <f t="array" ca="1" aca="1" ref="CE67">_xlfn.XLOOKUP(BS!CE$11,array_timeline,BS!$AD67:$BN67)</f>
        <v>#NAME?</v>
      </c>
      <c r="CF67" s="925"/>
      <c r="CG67" s="2122" t="e">
        <f t="shared" ca="1" si="16"/>
        <v>#NAME?</v>
      </c>
      <c r="CH67" s="2122" t="e">
        <f t="shared" ca="1" si="16"/>
        <v>#NAME?</v>
      </c>
      <c r="CI67" s="200"/>
      <c r="CQ67" s="1883" t="str" cm="1">
        <f t="array" ca="1" aca="1" ref="CQ67">IFERROR(IF(AD67*fxVal_normal=_BS!AD67,"",IF(OR(AD67="",NOT(ISNUMBER(AD67)),ISERROR(AD67),$B67=""),"",IF($I67=1,IFBLANK(_xldudf_CX_PUSH(AD67*fxVal_normal,CX_ENTITY,$B67,AD$11,AD$14,AD$60,),""),IF($I67=2,IFBLANK(_xldudf_CX_PUSH(AD67,CX_ENTITY,$B67,AD$11,AD$14,AD$60,),""),IF($I67=3,"",IFBLANK(_xldudf_CX_PUSH(AD67,CX_ENTITY,$B67,AD$11,AD$14,AD$60,),"")))))),"")</f>
        <v/>
      </c>
      <c r="CR67" s="1883" t="str" cm="1">
        <f t="array" ca="1" aca="1" ref="CR67">IFERROR(IF(AE67*fxVal_normal=_BS!AE67,"",IF(OR(AE67="",NOT(ISNUMBER(AE67)),ISERROR(AE67),$B67=""),"",IF($I67=1,IFBLANK(_xldudf_CX_PUSH(AE67*fxVal_normal,CX_ENTITY,$B67,AE$11,AE$14,AE$60,),""),IF($I67=2,IFBLANK(_xldudf_CX_PUSH(AE67,CX_ENTITY,$B67,AE$11,AE$14,AE$60,),""),IF($I67=3,"",IFBLANK(_xldudf_CX_PUSH(AE67,CX_ENTITY,$B67,AE$11,AE$14,AE$60,),"")))))),"")</f>
        <v/>
      </c>
      <c r="CS67" s="1883" t="str" cm="1">
        <f t="array" ca="1" aca="1" ref="CS67">IFERROR(IF(AF67*fxVal_normal=_BS!AF67,"",IF(OR(AF67="",NOT(ISNUMBER(AF67)),ISERROR(AF67),$B67=""),"",IF($I67=1,IFBLANK(_xldudf_CX_PUSH(AF67*fxVal_normal,CX_ENTITY,$B67,AF$11,AF$14,AF$60,),""),IF($I67=2,IFBLANK(_xldudf_CX_PUSH(AF67,CX_ENTITY,$B67,AF$11,AF$14,AF$60,),""),IF($I67=3,"",IFBLANK(_xldudf_CX_PUSH(AF67,CX_ENTITY,$B67,AF$11,AF$14,AF$60,),"")))))),"")</f>
        <v/>
      </c>
      <c r="CT67" s="1883" t="str" cm="1">
        <f t="array" ca="1" aca="1" ref="CT67">IFERROR(IF(AG67*fxVal_normal=_BS!AG67,"",IF(OR(AG67="",NOT(ISNUMBER(AG67)),ISERROR(AG67),$B67=""),"",IF($I67=1,IFBLANK(_xldudf_CX_PUSH(AG67*fxVal_normal,CX_ENTITY,$B67,AG$11,AG$14,AG$60,),""),IF($I67=2,IFBLANK(_xldudf_CX_PUSH(AG67,CX_ENTITY,$B67,AG$11,AG$14,AG$60,),""),IF($I67=3,"",IFBLANK(_xldudf_CX_PUSH(AG67,CX_ENTITY,$B67,AG$11,AG$14,AG$60,),"")))))),"")</f>
        <v/>
      </c>
      <c r="CU67" s="1883" t="str" cm="1">
        <f t="array" ca="1" aca="1" ref="CU67">IFERROR(IF(AH67*fxVal_normal=_BS!AH67,"",IF(OR(AH67="",NOT(ISNUMBER(AH67)),ISERROR(AH67),$B67=""),"",IF($I67=1,IFBLANK(_xldudf_CX_PUSH(AH67*fxVal_normal,CX_ENTITY,$B67,AH$11,AH$14,AH$60,),""),IF($I67=2,IFBLANK(_xldudf_CX_PUSH(AH67,CX_ENTITY,$B67,AH$11,AH$14,AH$60,),""),IF($I67=3,"",IFBLANK(_xldudf_CX_PUSH(AH67,CX_ENTITY,$B67,AH$11,AH$14,AH$60,),"")))))),"")</f>
        <v/>
      </c>
      <c r="CV67" s="1883" t="str" cm="1">
        <f t="array" ca="1" aca="1" ref="CV67">IFERROR(IF(AI67*fxVal_normal=_BS!AI67,"",IF(OR(AI67="",NOT(ISNUMBER(AI67)),ISERROR(AI67),$B67=""),"",IF($I67=1,IFBLANK(_xldudf_CX_PUSH(AI67*fxVal_normal,CX_ENTITY,$B67,AI$11,AI$14,AI$60,),""),IF($I67=2,IFBLANK(_xldudf_CX_PUSH(AI67,CX_ENTITY,$B67,AI$11,AI$14,AI$60,),""),IF($I67=3,"",IFBLANK(_xldudf_CX_PUSH(AI67,CX_ENTITY,$B67,AI$11,AI$14,AI$60,),"")))))),"")</f>
        <v/>
      </c>
      <c r="CW67" s="1883" t="str" cm="1">
        <f t="array" ca="1" aca="1" ref="CW67">IFERROR(IF(AJ67*fxVal_normal=_BS!AJ67,"",IF(OR(AJ67="",NOT(ISNUMBER(AJ67)),ISERROR(AJ67),$B67=""),"",IF($I67=1,IFBLANK(_xldudf_CX_PUSH(AJ67*fxVal_normal,CX_ENTITY,$B67,AJ$11,AJ$14,AJ$60,),""),IF($I67=2,IFBLANK(_xldudf_CX_PUSH(AJ67,CX_ENTITY,$B67,AJ$11,AJ$14,AJ$60,),""),IF($I67=3,"",IFBLANK(_xldudf_CX_PUSH(AJ67,CX_ENTITY,$B67,AJ$11,AJ$14,AJ$60,),"")))))),"")</f>
        <v/>
      </c>
      <c r="CX67" s="1883" t="str" cm="1">
        <f t="array" ca="1" aca="1" ref="CX67">IFERROR(IF(AK67*fxVal_normal=_BS!AK67,"",IF(OR(AK67="",NOT(ISNUMBER(AK67)),ISERROR(AK67),$B67=""),"",IF($I67=1,IFBLANK(_xldudf_CX_PUSH(AK67*fxVal_normal,CX_ENTITY,$B67,AK$11,AK$14,AK$60,),""),IF($I67=2,IFBLANK(_xldudf_CX_PUSH(AK67,CX_ENTITY,$B67,AK$11,AK$14,AK$60,),""),IF($I67=3,"",IFBLANK(_xldudf_CX_PUSH(AK67,CX_ENTITY,$B67,AK$11,AK$14,AK$60,),"")))))),"")</f>
        <v/>
      </c>
      <c r="CY67" s="1883" t="str" cm="1">
        <f t="array" ca="1" aca="1" ref="CY67">IFERROR(IF(AL67*fxVal_normal=_BS!AL67,"",IF(OR(AL67="",NOT(ISNUMBER(AL67)),ISERROR(AL67),$B67=""),"",IF($I67=1,IFBLANK(_xldudf_CX_PUSH(AL67*fxVal_normal,CX_ENTITY,$B67,AL$11,AL$14,AL$60,),""),IF($I67=2,IFBLANK(_xldudf_CX_PUSH(AL67,CX_ENTITY,$B67,AL$11,AL$14,AL$60,),""),IF($I67=3,"",IFBLANK(_xldudf_CX_PUSH(AL67,CX_ENTITY,$B67,AL$11,AL$14,AL$60,),"")))))),"")</f>
        <v/>
      </c>
      <c r="CZ67" s="1883" t="str" cm="1">
        <f t="array" ca="1" aca="1" ref="CZ67">IFERROR(IF(AM67*fxVal_normal=_BS!AM67,"",IF(OR(AM67="",NOT(ISNUMBER(AM67)),ISERROR(AM67),$B67=""),"",IF($I67=1,IFBLANK(_xldudf_CX_PUSH(AM67*fxVal_normal,CX_ENTITY,$B67,AM$11,AM$14,AM$60,),""),IF($I67=2,IFBLANK(_xldudf_CX_PUSH(AM67,CX_ENTITY,$B67,AM$11,AM$14,AM$60,),""),IF($I67=3,"",IFBLANK(_xldudf_CX_PUSH(AM67,CX_ENTITY,$B67,AM$11,AM$14,AM$60,),"")))))),"")</f>
        <v/>
      </c>
      <c r="DA67" s="1883" t="str" cm="1">
        <f t="array" ca="1" aca="1" ref="DA67">IFERROR(IF(AN67*fxVal_normal=_BS!AN67,"",IF(OR(AN67="",NOT(ISNUMBER(AN67)),ISERROR(AN67),$B67=""),"",IF($I67=1,IFBLANK(_xldudf_CX_PUSH(AN67*fxVal_normal,CX_ENTITY,$B67,AN$11,AN$14,AN$60,),""),IF($I67=2,IFBLANK(_xldudf_CX_PUSH(AN67,CX_ENTITY,$B67,AN$11,AN$14,AN$60,),""),IF($I67=3,"",IFBLANK(_xldudf_CX_PUSH(AN67,CX_ENTITY,$B67,AN$11,AN$14,AN$60,),"")))))),"")</f>
        <v/>
      </c>
      <c r="DB67" s="1883" t="str" cm="1">
        <f t="array" ca="1" aca="1" ref="DB67">IFERROR(IF(AO67*fxVal_normal=_BS!AO67,"",IF(OR(AO67="",NOT(ISNUMBER(AO67)),ISERROR(AO67),$B67=""),"",IF($I67=1,IFBLANK(_xldudf_CX_PUSH(AO67*fxVal_normal,CX_ENTITY,$B67,AO$11,AO$14,AO$60,),""),IF($I67=2,IFBLANK(_xldudf_CX_PUSH(AO67,CX_ENTITY,$B67,AO$11,AO$14,AO$60,),""),IF($I67=3,"",IFBLANK(_xldudf_CX_PUSH(AO67,CX_ENTITY,$B67,AO$11,AO$14,AO$60,),"")))))),"")</f>
        <v/>
      </c>
      <c r="DC67" s="1883" t="str" cm="1">
        <f t="array" ca="1" aca="1" ref="DC67">IFERROR(IF(AP67*fxVal_normal=_BS!AP67,"",IF(OR(AP67="",NOT(ISNUMBER(AP67)),ISERROR(AP67),$B67=""),"",IF($I67=1,IFBLANK(_xldudf_CX_PUSH(AP67*fxVal_normal,CX_ENTITY,$B67,AP$11,AP$14,AP$60,),""),IF($I67=2,IFBLANK(_xldudf_CX_PUSH(AP67,CX_ENTITY,$B67,AP$11,AP$14,AP$60,),""),IF($I67=3,"",IFBLANK(_xldudf_CX_PUSH(AP67,CX_ENTITY,$B67,AP$11,AP$14,AP$60,),"")))))),"")</f>
        <v/>
      </c>
      <c r="DD67" s="1883" t="str" cm="1">
        <f t="array" ca="1" aca="1" ref="DD67">IFERROR(IF(AQ67*fxVal_normal=_BS!AQ67,"",IF(OR(AQ67="",NOT(ISNUMBER(AQ67)),ISERROR(AQ67),$B67=""),"",IF($I67=1,IFBLANK(_xldudf_CX_PUSH(AQ67*fxVal_normal,CX_ENTITY,$B67,AQ$11,AQ$14,AQ$60,),""),IF($I67=2,IFBLANK(_xldudf_CX_PUSH(AQ67,CX_ENTITY,$B67,AQ$11,AQ$14,AQ$60,),""),IF($I67=3,"",IFBLANK(_xldudf_CX_PUSH(AQ67,CX_ENTITY,$B67,AQ$11,AQ$14,AQ$60,),"")))))),"")</f>
        <v/>
      </c>
      <c r="DE67" s="1883" t="str" cm="1">
        <f t="array" ca="1" aca="1" ref="DE67">IFERROR(IF(AR67*fxVal_normal=_BS!AR67,"",IF(OR(AR67="",NOT(ISNUMBER(AR67)),ISERROR(AR67),$B67=""),"",IF($I67=1,IFBLANK(_xldudf_CX_PUSH(AR67*fxVal_normal,CX_ENTITY,$B67,AR$11,AR$14,AR$60,),""),IF($I67=2,IFBLANK(_xldudf_CX_PUSH(AR67,CX_ENTITY,$B67,AR$11,AR$14,AR$60,),""),IF($I67=3,"",IFBLANK(_xldudf_CX_PUSH(AR67,CX_ENTITY,$B67,AR$11,AR$14,AR$60,),"")))))),"")</f>
        <v/>
      </c>
      <c r="DF67" s="1883" t="str" cm="1">
        <f t="array" ca="1" aca="1" ref="DF67">IFERROR(IF(AS67*fxVal_normal=_BS!AS67,"",IF(OR(AS67="",NOT(ISNUMBER(AS67)),ISERROR(AS67),$B67=""),"",IF($I67=1,IFBLANK(_xldudf_CX_PUSH(AS67*fxVal_normal,CX_ENTITY,$B67,AS$11,AS$14,AS$60,),""),IF($I67=2,IFBLANK(_xldudf_CX_PUSH(AS67,CX_ENTITY,$B67,AS$11,AS$14,AS$60,),""),IF($I67=3,"",IFBLANK(_xldudf_CX_PUSH(AS67,CX_ENTITY,$B67,AS$11,AS$14,AS$60,),"")))))),"")</f>
        <v/>
      </c>
      <c r="DG67" s="1883" t="str" cm="1">
        <f t="array" ca="1" aca="1" ref="DG67">IFERROR(IF(AT67*fxVal_normal=_BS!AT67,"",IF(OR(AT67="",NOT(ISNUMBER(AT67)),ISERROR(AT67),$B67=""),"",IF($I67=1,IFBLANK(_xldudf_CX_PUSH(AT67*fxVal_normal,CX_ENTITY,$B67,AT$11,AT$14,AT$60,),""),IF($I67=2,IFBLANK(_xldudf_CX_PUSH(AT67,CX_ENTITY,$B67,AT$11,AT$14,AT$60,),""),IF($I67=3,"",IFBLANK(_xldudf_CX_PUSH(AT67,CX_ENTITY,$B67,AT$11,AT$14,AT$60,),"")))))),"")</f>
        <v/>
      </c>
      <c r="DH67" s="1883" t="str" cm="1">
        <f t="array" ca="1" aca="1" ref="DH67">IFERROR(IF(AU67*fxVal_normal=_BS!AU67,"",IF(OR(AU67="",NOT(ISNUMBER(AU67)),ISERROR(AU67),$B67=""),"",IF($I67=1,IFBLANK(_xldudf_CX_PUSH(AU67*fxVal_normal,CX_ENTITY,$B67,AU$11,AU$14,AU$60,),""),IF($I67=2,IFBLANK(_xldudf_CX_PUSH(AU67,CX_ENTITY,$B67,AU$11,AU$14,AU$60,),""),IF($I67=3,"",IFBLANK(_xldudf_CX_PUSH(AU67,CX_ENTITY,$B67,AU$11,AU$14,AU$60,),"")))))),"")</f>
        <v/>
      </c>
      <c r="DI67" s="1883" t="str" cm="1">
        <f t="array" ca="1" aca="1" ref="DI67">IFERROR(IF(AV67*fxVal_normal=_BS!AV67,"",IF(OR(AV67="",NOT(ISNUMBER(AV67)),ISERROR(AV67),$B67=""),"",IF($I67=1,IFBLANK(_xldudf_CX_PUSH(AV67*fxVal_normal,CX_ENTITY,$B67,AV$11,AV$14,AV$60,),""),IF($I67=2,IFBLANK(_xldudf_CX_PUSH(AV67,CX_ENTITY,$B67,AV$11,AV$14,AV$60,),""),IF($I67=3,"",IFBLANK(_xldudf_CX_PUSH(AV67,CX_ENTITY,$B67,AV$11,AV$14,AV$60,),"")))))),"")</f>
        <v/>
      </c>
      <c r="DJ67" s="1883" t="str" cm="1">
        <f t="array" ca="1" aca="1" ref="DJ67">IFERROR(IF(AW67*fxVal_normal=_BS!AW67,"",IF(OR(AW67="",NOT(ISNUMBER(AW67)),ISERROR(AW67),$B67=""),"",IF($I67=1,IFBLANK(_xldudf_CX_PUSH(AW67*fxVal_normal,CX_ENTITY,$B67,AW$11,AW$14,AW$60,),""),IF($I67=2,IFBLANK(_xldudf_CX_PUSH(AW67,CX_ENTITY,$B67,AW$11,AW$14,AW$60,),""),IF($I67=3,"",IFBLANK(_xldudf_CX_PUSH(AW67,CX_ENTITY,$B67,AW$11,AW$14,AW$60,),"")))))),"")</f>
        <v/>
      </c>
      <c r="DK67" s="1883" t="str" cm="1">
        <f t="array" ca="1" aca="1" ref="DK67">IFERROR(IF(AX67*fxVal_normal=_BS!AX67,"",IF(OR(AX67="",NOT(ISNUMBER(AX67)),ISERROR(AX67),$B67=""),"",IF($I67=1,IFBLANK(_xldudf_CX_PUSH(AX67*fxVal_normal,CX_ENTITY,$B67,AX$11,AX$14,AX$60,),""),IF($I67=2,IFBLANK(_xldudf_CX_PUSH(AX67,CX_ENTITY,$B67,AX$11,AX$14,AX$60,),""),IF($I67=3,"",IFBLANK(_xldudf_CX_PUSH(AX67,CX_ENTITY,$B67,AX$11,AX$14,AX$60,),"")))))),"")</f>
        <v/>
      </c>
      <c r="DL67" s="1883" t="str" cm="1">
        <f t="array" ca="1" aca="1" ref="DL67">IFERROR(IF(AY67*fxVal_normal=_BS!AY67,"",IF(OR(AY67="",NOT(ISNUMBER(AY67)),ISERROR(AY67),$B67=""),"",IF($I67=1,IFBLANK(_xldudf_CX_PUSH(AY67*fxVal_normal,CX_ENTITY,$B67,AY$11,AY$14,AY$60,),""),IF($I67=2,IFBLANK(_xldudf_CX_PUSH(AY67,CX_ENTITY,$B67,AY$11,AY$14,AY$60,),""),IF($I67=3,"",IFBLANK(_xldudf_CX_PUSH(AY67,CX_ENTITY,$B67,AY$11,AY$14,AY$60,),"")))))),"")</f>
        <v/>
      </c>
      <c r="DM67" s="1883" t="str" cm="1">
        <f t="array" ca="1" aca="1" ref="DM67">IFERROR(IF(AZ67*fxVal_normal=_BS!AZ67,"",IF(OR(AZ67="",NOT(ISNUMBER(AZ67)),ISERROR(AZ67),$B67=""),"",IF($I67=1,IFBLANK(_xldudf_CX_PUSH(AZ67*fxVal_normal,CX_ENTITY,$B67,AZ$11,AZ$14,AZ$60,),""),IF($I67=2,IFBLANK(_xldudf_CX_PUSH(AZ67,CX_ENTITY,$B67,AZ$11,AZ$14,AZ$60,),""),IF($I67=3,"",IFBLANK(_xldudf_CX_PUSH(AZ67,CX_ENTITY,$B67,AZ$11,AZ$14,AZ$60,),"")))))),"")</f>
        <v/>
      </c>
      <c r="DN67" s="1883" t="str" cm="1">
        <f t="array" ca="1" aca="1" ref="DN67">IFERROR(IF(BA67*fxVal_normal=_BS!BA67,"",IF(OR(BA67="",NOT(ISNUMBER(BA67)),ISERROR(BA67),$B67=""),"",IF($I67=1,IFBLANK(_xldudf_CX_PUSH(BA67*fxVal_normal,CX_ENTITY,$B67,BA$11,BA$14,BA$60,),""),IF($I67=2,IFBLANK(_xldudf_CX_PUSH(BA67,CX_ENTITY,$B67,BA$11,BA$14,BA$60,),""),IF($I67=3,"",IFBLANK(_xldudf_CX_PUSH(BA67,CX_ENTITY,$B67,BA$11,BA$14,BA$60,),"")))))),"")</f>
        <v/>
      </c>
      <c r="DO67" s="1883" t="str" cm="1">
        <f t="array" ca="1" aca="1" ref="DO67">IFERROR(IF(BB67*fxVal_normal=_BS!BB67,"",IF(OR(BB67="",NOT(ISNUMBER(BB67)),ISERROR(BB67),$B67=""),"",IF($I67=1,IFBLANK(_xldudf_CX_PUSH(BB67*fxVal_normal,CX_ENTITY,$B67,BB$11,BB$14,BB$60,),""),IF($I67=2,IFBLANK(_xldudf_CX_PUSH(BB67,CX_ENTITY,$B67,BB$11,BB$14,BB$60,),""),IF($I67=3,"",IFBLANK(_xldudf_CX_PUSH(BB67,CX_ENTITY,$B67,BB$11,BB$14,BB$60,),"")))))),"")</f>
        <v/>
      </c>
      <c r="DP67" s="1883" t="str" cm="1">
        <f t="array" ca="1" aca="1" ref="DP67">IFERROR(IF(BC67*fxVal_normal=_BS!BC67,"",IF(OR(BC67="",NOT(ISNUMBER(BC67)),ISERROR(BC67),$B67=""),"",IF($I67=1,IFBLANK(_xldudf_CX_PUSH(BC67*fxVal_normal,CX_ENTITY,$B67,BC$11,BC$14,BC$60,),""),IF($I67=2,IFBLANK(_xldudf_CX_PUSH(BC67,CX_ENTITY,$B67,BC$11,BC$14,BC$60,),""),IF($I67=3,"",IFBLANK(_xldudf_CX_PUSH(BC67,CX_ENTITY,$B67,BC$11,BC$14,BC$60,),"")))))),"")</f>
        <v/>
      </c>
      <c r="DQ67" s="1883" t="str" cm="1">
        <f t="array" ca="1" aca="1" ref="DQ67">IFERROR(IF(BD67*fxVal_normal=_BS!BD67,"",IF(OR(BD67="",NOT(ISNUMBER(BD67)),ISERROR(BD67),$B67=""),"",IF($I67=1,IFBLANK(_xldudf_CX_PUSH(BD67*fxVal_normal,CX_ENTITY,$B67,BD$11,BD$14,BD$60,),""),IF($I67=2,IFBLANK(_xldudf_CX_PUSH(BD67,CX_ENTITY,$B67,BD$11,BD$14,BD$60,),""),IF($I67=3,"",IFBLANK(_xldudf_CX_PUSH(BD67,CX_ENTITY,$B67,BD$11,BD$14,BD$60,),"")))))),"")</f>
        <v/>
      </c>
      <c r="DR67" s="1883" t="str" cm="1">
        <f t="array" ca="1" aca="1" ref="DR67">IFERROR(IF(BE67*fxVal_normal=_BS!BE67,"",IF(OR(BE67="",NOT(ISNUMBER(BE67)),ISERROR(BE67),$B67=""),"",IF($I67=1,IFBLANK(_xldudf_CX_PUSH(BE67*fxVal_normal,CX_ENTITY,$B67,BE$11,BE$14,BE$60,),""),IF($I67=2,IFBLANK(_xldudf_CX_PUSH(BE67,CX_ENTITY,$B67,BE$11,BE$14,BE$60,),""),IF($I67=3,"",IFBLANK(_xldudf_CX_PUSH(BE67,CX_ENTITY,$B67,BE$11,BE$14,BE$60,),"")))))),"")</f>
        <v/>
      </c>
      <c r="DS67" s="1883" t="str" cm="1">
        <f t="array" ca="1" aca="1" ref="DS67">IFERROR(IF(BF67*fxVal_normal=_BS!BF67,"",IF(OR(BF67="",NOT(ISNUMBER(BF67)),ISERROR(BF67),$B67=""),"",IF($I67=1,IFBLANK(_xldudf_CX_PUSH(BF67*fxVal_normal,CX_ENTITY,$B67,BF$11,BF$14,BF$60,),""),IF($I67=2,IFBLANK(_xldudf_CX_PUSH(BF67,CX_ENTITY,$B67,BF$11,BF$14,BF$60,),""),IF($I67=3,"",IFBLANK(_xldudf_CX_PUSH(BF67,CX_ENTITY,$B67,BF$11,BF$14,BF$60,),"")))))),"")</f>
        <v/>
      </c>
      <c r="DT67" s="1883" t="str" cm="1">
        <f t="array" ca="1" aca="1" ref="DT67">IFERROR(IF(BG67*fxVal_normal=_BS!BG67,"",IF(OR(BG67="",NOT(ISNUMBER(BG67)),ISERROR(BG67),$B67=""),"",IF($I67=1,IFBLANK(_xldudf_CX_PUSH(BG67*fxVal_normal,CX_ENTITY,$B67,BG$11,BG$14,BG$60,),""),IF($I67=2,IFBLANK(_xldudf_CX_PUSH(BG67,CX_ENTITY,$B67,BG$11,BG$14,BG$60,),""),IF($I67=3,"",IFBLANK(_xldudf_CX_PUSH(BG67,CX_ENTITY,$B67,BG$11,BG$14,BG$60,),"")))))),"")</f>
        <v/>
      </c>
      <c r="DU67" s="1883" t="str" cm="1">
        <f t="array" ca="1" aca="1" ref="DU67">IFERROR(IF(BH67*fxVal_normal=_BS!BH67,"",IF(OR(BH67="",NOT(ISNUMBER(BH67)),ISERROR(BH67),$B67=""),"",IF($I67=1,IFBLANK(_xldudf_CX_PUSH(BH67*fxVal_normal,CX_ENTITY,$B67,BH$11,BH$14,BH$60,),""),IF($I67=2,IFBLANK(_xldudf_CX_PUSH(BH67,CX_ENTITY,$B67,BH$11,BH$14,BH$60,),""),IF($I67=3,"",IFBLANK(_xldudf_CX_PUSH(BH67,CX_ENTITY,$B67,BH$11,BH$14,BH$60,),"")))))),"")</f>
        <v/>
      </c>
      <c r="DV67" s="1883" t="str" cm="1">
        <f t="array" ca="1" aca="1" ref="DV67">IFERROR(IF(BI67*fxVal_normal=_BS!BI67,"",IF(OR(BI67="",NOT(ISNUMBER(BI67)),ISERROR(BI67),$B67=""),"",IF($I67=1,IFBLANK(_xldudf_CX_PUSH(BI67*fxVal_normal,CX_ENTITY,$B67,BI$11,BI$14,BI$60,),""),IF($I67=2,IFBLANK(_xldudf_CX_PUSH(BI67,CX_ENTITY,$B67,BI$11,BI$14,BI$60,),""),IF($I67=3,"",IFBLANK(_xldudf_CX_PUSH(BI67,CX_ENTITY,$B67,BI$11,BI$14,BI$60,),"")))))),"")</f>
        <v/>
      </c>
      <c r="DW67" s="1883" t="str" cm="1">
        <f t="array" ca="1" aca="1" ref="DW67">IFERROR(IF(BJ67*fxVal_normal=_BS!BJ67,"",IF(OR(BJ67="",NOT(ISNUMBER(BJ67)),ISERROR(BJ67),$B67=""),"",IF($I67=1,IFBLANK(_xldudf_CX_PUSH(BJ67*fxVal_normal,CX_ENTITY,$B67,BJ$11,BJ$14,BJ$60,),""),IF($I67=2,IFBLANK(_xldudf_CX_PUSH(BJ67,CX_ENTITY,$B67,BJ$11,BJ$14,BJ$60,),""),IF($I67=3,"",IFBLANK(_xldudf_CX_PUSH(BJ67,CX_ENTITY,$B67,BJ$11,BJ$14,BJ$60,),"")))))),"")</f>
        <v/>
      </c>
      <c r="DX67" s="1883" t="str" cm="1">
        <f t="array" ca="1" aca="1" ref="DX67">IFERROR(IF(BK67*fxVal_normal=_BS!BK67,"",IF(OR(BK67="",NOT(ISNUMBER(BK67)),ISERROR(BK67),$B67=""),"",IF($I67=1,IFBLANK(_xldudf_CX_PUSH(BK67*fxVal_normal,CX_ENTITY,$B67,BK$11,BK$14,BK$60,),""),IF($I67=2,IFBLANK(_xldudf_CX_PUSH(BK67,CX_ENTITY,$B67,BK$11,BK$14,BK$60,),""),IF($I67=3,"",IFBLANK(_xldudf_CX_PUSH(BK67,CX_ENTITY,$B67,BK$11,BK$14,BK$60,),"")))))),"")</f>
        <v/>
      </c>
      <c r="DY67" s="1883" t="str" cm="1">
        <f t="array" ca="1" aca="1" ref="DY67">IFERROR(IF(BL67*fxVal_normal=_BS!BL67,"",IF(OR(BL67="",NOT(ISNUMBER(BL67)),ISERROR(BL67),$B67=""),"",IF($I67=1,IFBLANK(_xldudf_CX_PUSH(BL67*fxVal_normal,CX_ENTITY,$B67,BL$11,BL$14,BL$60,),""),IF($I67=2,IFBLANK(_xldudf_CX_PUSH(BL67,CX_ENTITY,$B67,BL$11,BL$14,BL$60,),""),IF($I67=3,"",IFBLANK(_xldudf_CX_PUSH(BL67,CX_ENTITY,$B67,BL$11,BL$14,BL$60,),"")))))),"")</f>
        <v/>
      </c>
      <c r="DZ67" s="1883" t="str" cm="1">
        <f t="array" ca="1" aca="1" ref="DZ67">IFERROR(IF(BM67*fxVal_normal=_BS!BM67,"",IF(OR(BM67="",NOT(ISNUMBER(BM67)),ISERROR(BM67),$B67=""),"",IF($I67=1,IFBLANK(_xldudf_CX_PUSH(BM67*fxVal_normal,CX_ENTITY,$B67,BM$11,BM$14,BM$60,),""),IF($I67=2,IFBLANK(_xldudf_CX_PUSH(BM67,CX_ENTITY,$B67,BM$11,BM$14,BM$60,),""),IF($I67=3,"",IFBLANK(_xldudf_CX_PUSH(BM67,CX_ENTITY,$B67,BM$11,BM$14,BM$60,),"")))))),"")</f>
        <v/>
      </c>
      <c r="EA67" s="1883" t="str" cm="1">
        <f t="array" ca="1" aca="1" ref="EA67">IFERROR(IF(BN67*fxVal_normal=_BS!BN67,"",IF(OR(BN67="",NOT(ISNUMBER(BN67)),ISERROR(BN67),$B67=""),"",IF($I67=1,IFBLANK(_xldudf_CX_PUSH(BN67*fxVal_normal,CX_ENTITY,$B67,BN$11,BN$14,BN$60,),""),IF($I67=2,IFBLANK(_xldudf_CX_PUSH(BN67,CX_ENTITY,$B67,BN$11,BN$14,BN$60,),""),IF($I67=3,"",IFBLANK(_xldudf_CX_PUSH(BN67,CX_ENTITY,$B67,BN$11,BN$14,BN$60,),"")))))),"")</f>
        <v/>
      </c>
    </row>
    <row r="68" spans="1:131" ht="21" customHeight="1">
      <c r="A68" s="1646"/>
      <c r="B68" s="811" t="str" cm="1">
        <f t="array" ref="B68">IFBLANK(_BS!F68,"")</f>
        <v>Other Net Working Capital</v>
      </c>
      <c r="C68" s="811" t="str" cm="1">
        <f t="array" ref="C68">IFBLANK(_BS!C68,"")</f>
        <v>Other Net Working Capital (Company View)</v>
      </c>
      <c r="D68" s="1549"/>
      <c r="E68" s="1902" t="e" cm="1">
        <f t="array" ca="1" aca="1" ref="E6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68:$CH68,Z68)</f>
        <v>#NAME?</v>
      </c>
      <c r="F68" s="1897"/>
      <c r="G68" s="1897"/>
      <c r="H68" s="3290">
        <v>1</v>
      </c>
      <c r="I68" s="3290">
        <v>1</v>
      </c>
      <c r="J68" s="586"/>
      <c r="N68" s="158"/>
      <c r="O68" s="101"/>
      <c r="P68" s="52"/>
      <c r="Q68" s="101"/>
      <c r="R68" s="126"/>
      <c r="S68" s="101"/>
      <c r="T68" s="101"/>
      <c r="U68" s="39"/>
      <c r="W68" s="930" t="str">
        <f t="shared" si="18"/>
        <v>Budget</v>
      </c>
      <c r="X68" s="857" t="str">
        <f>_BS!X68</f>
        <v>a</v>
      </c>
      <c r="Y68" s="3230">
        <f t="shared" si="17"/>
        <v>2</v>
      </c>
      <c r="Z68" s="198" cm="1">
        <f t="array" ref="Z68">_xlfn.SWITCH(TRUE,_BS!$L68=TRUE,1,_BS!$L68=FALSE,-1,_BS!$L68=-1,0,"n/a")</f>
        <v>-1</v>
      </c>
      <c r="AA68" s="200"/>
      <c r="AB68" s="88" t="str">
        <f>_BS!AB68</f>
        <v>Other Net Working Capital</v>
      </c>
      <c r="AC68" s="88" t="e" vm="5" cm="1">
        <f t="array" ca="1" aca="1" ref="AC68">_xlfn.LET(_xlpm._termname,$AB68,_xlpm._iconname,"find",_xlpm._icon,fx_getIcon(_xlpm._iconname),_xlpm._location,_xlfn.XLOOKUP(LOWER(_xlpm._termname),LOWER(tbl_acctDef[Term]),tbl_acctDef[Term]),_xlpm._hyperlink,HYPERLINK("#"&amp;CELL("address",_xlpm._location),_xlpm._icon),IFERROR(_xlpm._hyperlink,""))</f>
        <v>#VALUE!</v>
      </c>
      <c r="AD68" s="3229">
        <v>1</v>
      </c>
      <c r="AE68" s="3229">
        <v>1</v>
      </c>
      <c r="AF68" s="3229">
        <v>1</v>
      </c>
      <c r="AG68" s="3229">
        <v>1</v>
      </c>
      <c r="AH68" s="3229">
        <v>1</v>
      </c>
      <c r="AI68" s="3229">
        <v>1</v>
      </c>
      <c r="AJ68" s="3229">
        <v>1</v>
      </c>
      <c r="AK68" s="3229">
        <v>1</v>
      </c>
      <c r="AL68" s="3229">
        <v>1</v>
      </c>
      <c r="AM68" s="3229">
        <v>1</v>
      </c>
      <c r="AN68" s="3229">
        <v>1</v>
      </c>
      <c r="AO68" s="3229">
        <v>1</v>
      </c>
      <c r="AP68" s="3229">
        <v>1</v>
      </c>
      <c r="AQ68" s="3229">
        <v>1</v>
      </c>
      <c r="AR68" s="3229">
        <v>1</v>
      </c>
      <c r="AS68" s="3229">
        <v>1</v>
      </c>
      <c r="AT68" s="3229">
        <v>1</v>
      </c>
      <c r="AU68" s="3229">
        <v>1</v>
      </c>
      <c r="AV68" s="3229">
        <v>1</v>
      </c>
      <c r="AW68" s="3229">
        <v>1</v>
      </c>
      <c r="AX68" s="3229">
        <v>1</v>
      </c>
      <c r="AY68" s="3229">
        <v>1</v>
      </c>
      <c r="AZ68" s="3229">
        <v>1</v>
      </c>
      <c r="BA68" s="3229">
        <v>1</v>
      </c>
      <c r="BB68" s="3229">
        <v>1</v>
      </c>
      <c r="BC68" s="3229">
        <v>1</v>
      </c>
      <c r="BD68" s="3229">
        <v>1</v>
      </c>
      <c r="BE68" s="3229">
        <v>1</v>
      </c>
      <c r="BF68" s="3229">
        <v>1</v>
      </c>
      <c r="BG68" s="3229">
        <v>1</v>
      </c>
      <c r="BH68" s="3229">
        <v>1</v>
      </c>
      <c r="BI68" s="3229">
        <v>1</v>
      </c>
      <c r="BJ68" s="3229">
        <v>1</v>
      </c>
      <c r="BK68" s="3229">
        <v>1</v>
      </c>
      <c r="BL68" s="3229">
        <v>1</v>
      </c>
      <c r="BM68" s="3229">
        <v>1</v>
      </c>
      <c r="BN68" s="3229">
        <v>1</v>
      </c>
      <c r="BO68" s="2118"/>
      <c r="BP68" s="2118"/>
      <c r="BQ68" s="2118"/>
      <c r="BR68" s="2118"/>
      <c r="BS68" s="2118"/>
      <c r="BT68" s="2118"/>
      <c r="BU68" s="2118"/>
      <c r="BV68" s="2118"/>
      <c r="BW68" s="2118"/>
      <c r="BX68" s="2118"/>
      <c r="BY68" s="2118"/>
      <c r="BZ68" s="2118"/>
      <c r="CA68" s="929"/>
      <c r="CB68" s="921"/>
      <c r="CC68" s="988"/>
      <c r="CD68" s="928" t="e" cm="1">
        <f t="array" ca="1" aca="1" ref="CD68">_xlfn.XLOOKUP(BS!CD$11,array_timeline,BS!$AD68:$BN68)</f>
        <v>#NAME?</v>
      </c>
      <c r="CE68" s="928" t="e" cm="1">
        <f t="array" ca="1" aca="1" ref="CE68">_xlfn.XLOOKUP(BS!CE$11,array_timeline,BS!$AD68:$BN68)</f>
        <v>#NAME?</v>
      </c>
      <c r="CF68" s="925"/>
      <c r="CG68" s="2122" t="e">
        <f t="shared" ca="1" si="16"/>
        <v>#NAME?</v>
      </c>
      <c r="CH68" s="2122" t="e">
        <f t="shared" ca="1" si="16"/>
        <v>#NAME?</v>
      </c>
      <c r="CI68" s="787"/>
      <c r="CQ68" s="1883" t="str" cm="1">
        <f t="array" ca="1" aca="1" ref="CQ68">IFERROR(IF(AD68*fxVal_normal=_BS!AD68,"",IF(OR(AD68="",NOT(ISNUMBER(AD68)),ISERROR(AD68),$B68=""),"",IF($I68=1,IFBLANK(_xldudf_CX_PUSH(AD68*fxVal_normal,CX_ENTITY,$B68,AD$11,AD$14,AD$60,),""),IF($I68=2,IFBLANK(_xldudf_CX_PUSH(AD68,CX_ENTITY,$B68,AD$11,AD$14,AD$60,),""),IF($I68=3,"",IFBLANK(_xldudf_CX_PUSH(AD68,CX_ENTITY,$B68,AD$11,AD$14,AD$60,),"")))))),"")</f>
        <v/>
      </c>
      <c r="CR68" s="1883" t="str" cm="1">
        <f t="array" ca="1" aca="1" ref="CR68">IFERROR(IF(AE68*fxVal_normal=_BS!AE68,"",IF(OR(AE68="",NOT(ISNUMBER(AE68)),ISERROR(AE68),$B68=""),"",IF($I68=1,IFBLANK(_xldudf_CX_PUSH(AE68*fxVal_normal,CX_ENTITY,$B68,AE$11,AE$14,AE$60,),""),IF($I68=2,IFBLANK(_xldudf_CX_PUSH(AE68,CX_ENTITY,$B68,AE$11,AE$14,AE$60,),""),IF($I68=3,"",IFBLANK(_xldudf_CX_PUSH(AE68,CX_ENTITY,$B68,AE$11,AE$14,AE$60,),"")))))),"")</f>
        <v/>
      </c>
      <c r="CS68" s="1883" t="str" cm="1">
        <f t="array" ca="1" aca="1" ref="CS68">IFERROR(IF(AF68*fxVal_normal=_BS!AF68,"",IF(OR(AF68="",NOT(ISNUMBER(AF68)),ISERROR(AF68),$B68=""),"",IF($I68=1,IFBLANK(_xldudf_CX_PUSH(AF68*fxVal_normal,CX_ENTITY,$B68,AF$11,AF$14,AF$60,),""),IF($I68=2,IFBLANK(_xldudf_CX_PUSH(AF68,CX_ENTITY,$B68,AF$11,AF$14,AF$60,),""),IF($I68=3,"",IFBLANK(_xldudf_CX_PUSH(AF68,CX_ENTITY,$B68,AF$11,AF$14,AF$60,),"")))))),"")</f>
        <v/>
      </c>
      <c r="CT68" s="1883" t="str" cm="1">
        <f t="array" ca="1" aca="1" ref="CT68">IFERROR(IF(AG68*fxVal_normal=_BS!AG68,"",IF(OR(AG68="",NOT(ISNUMBER(AG68)),ISERROR(AG68),$B68=""),"",IF($I68=1,IFBLANK(_xldudf_CX_PUSH(AG68*fxVal_normal,CX_ENTITY,$B68,AG$11,AG$14,AG$60,),""),IF($I68=2,IFBLANK(_xldudf_CX_PUSH(AG68,CX_ENTITY,$B68,AG$11,AG$14,AG$60,),""),IF($I68=3,"",IFBLANK(_xldudf_CX_PUSH(AG68,CX_ENTITY,$B68,AG$11,AG$14,AG$60,),"")))))),"")</f>
        <v/>
      </c>
      <c r="CU68" s="1883" t="str" cm="1">
        <f t="array" ca="1" aca="1" ref="CU68">IFERROR(IF(AH68*fxVal_normal=_BS!AH68,"",IF(OR(AH68="",NOT(ISNUMBER(AH68)),ISERROR(AH68),$B68=""),"",IF($I68=1,IFBLANK(_xldudf_CX_PUSH(AH68*fxVal_normal,CX_ENTITY,$B68,AH$11,AH$14,AH$60,),""),IF($I68=2,IFBLANK(_xldudf_CX_PUSH(AH68,CX_ENTITY,$B68,AH$11,AH$14,AH$60,),""),IF($I68=3,"",IFBLANK(_xldudf_CX_PUSH(AH68,CX_ENTITY,$B68,AH$11,AH$14,AH$60,),"")))))),"")</f>
        <v/>
      </c>
      <c r="CV68" s="1883" t="str" cm="1">
        <f t="array" ca="1" aca="1" ref="CV68">IFERROR(IF(AI68*fxVal_normal=_BS!AI68,"",IF(OR(AI68="",NOT(ISNUMBER(AI68)),ISERROR(AI68),$B68=""),"",IF($I68=1,IFBLANK(_xldudf_CX_PUSH(AI68*fxVal_normal,CX_ENTITY,$B68,AI$11,AI$14,AI$60,),""),IF($I68=2,IFBLANK(_xldudf_CX_PUSH(AI68,CX_ENTITY,$B68,AI$11,AI$14,AI$60,),""),IF($I68=3,"",IFBLANK(_xldudf_CX_PUSH(AI68,CX_ENTITY,$B68,AI$11,AI$14,AI$60,),"")))))),"")</f>
        <v/>
      </c>
      <c r="CW68" s="1883" t="str" cm="1">
        <f t="array" ca="1" aca="1" ref="CW68">IFERROR(IF(AJ68*fxVal_normal=_BS!AJ68,"",IF(OR(AJ68="",NOT(ISNUMBER(AJ68)),ISERROR(AJ68),$B68=""),"",IF($I68=1,IFBLANK(_xldudf_CX_PUSH(AJ68*fxVal_normal,CX_ENTITY,$B68,AJ$11,AJ$14,AJ$60,),""),IF($I68=2,IFBLANK(_xldudf_CX_PUSH(AJ68,CX_ENTITY,$B68,AJ$11,AJ$14,AJ$60,),""),IF($I68=3,"",IFBLANK(_xldudf_CX_PUSH(AJ68,CX_ENTITY,$B68,AJ$11,AJ$14,AJ$60,),"")))))),"")</f>
        <v/>
      </c>
      <c r="CX68" s="1883" t="str" cm="1">
        <f t="array" ca="1" aca="1" ref="CX68">IFERROR(IF(AK68*fxVal_normal=_BS!AK68,"",IF(OR(AK68="",NOT(ISNUMBER(AK68)),ISERROR(AK68),$B68=""),"",IF($I68=1,IFBLANK(_xldudf_CX_PUSH(AK68*fxVal_normal,CX_ENTITY,$B68,AK$11,AK$14,AK$60,),""),IF($I68=2,IFBLANK(_xldudf_CX_PUSH(AK68,CX_ENTITY,$B68,AK$11,AK$14,AK$60,),""),IF($I68=3,"",IFBLANK(_xldudf_CX_PUSH(AK68,CX_ENTITY,$B68,AK$11,AK$14,AK$60,),"")))))),"")</f>
        <v/>
      </c>
      <c r="CY68" s="1883" t="str" cm="1">
        <f t="array" ca="1" aca="1" ref="CY68">IFERROR(IF(AL68*fxVal_normal=_BS!AL68,"",IF(OR(AL68="",NOT(ISNUMBER(AL68)),ISERROR(AL68),$B68=""),"",IF($I68=1,IFBLANK(_xldudf_CX_PUSH(AL68*fxVal_normal,CX_ENTITY,$B68,AL$11,AL$14,AL$60,),""),IF($I68=2,IFBLANK(_xldudf_CX_PUSH(AL68,CX_ENTITY,$B68,AL$11,AL$14,AL$60,),""),IF($I68=3,"",IFBLANK(_xldudf_CX_PUSH(AL68,CX_ENTITY,$B68,AL$11,AL$14,AL$60,),"")))))),"")</f>
        <v/>
      </c>
      <c r="CZ68" s="1883" t="str" cm="1">
        <f t="array" ca="1" aca="1" ref="CZ68">IFERROR(IF(AM68*fxVal_normal=_BS!AM68,"",IF(OR(AM68="",NOT(ISNUMBER(AM68)),ISERROR(AM68),$B68=""),"",IF($I68=1,IFBLANK(_xldudf_CX_PUSH(AM68*fxVal_normal,CX_ENTITY,$B68,AM$11,AM$14,AM$60,),""),IF($I68=2,IFBLANK(_xldudf_CX_PUSH(AM68,CX_ENTITY,$B68,AM$11,AM$14,AM$60,),""),IF($I68=3,"",IFBLANK(_xldudf_CX_PUSH(AM68,CX_ENTITY,$B68,AM$11,AM$14,AM$60,),"")))))),"")</f>
        <v/>
      </c>
      <c r="DA68" s="1883" t="str" cm="1">
        <f t="array" ca="1" aca="1" ref="DA68">IFERROR(IF(AN68*fxVal_normal=_BS!AN68,"",IF(OR(AN68="",NOT(ISNUMBER(AN68)),ISERROR(AN68),$B68=""),"",IF($I68=1,IFBLANK(_xldudf_CX_PUSH(AN68*fxVal_normal,CX_ENTITY,$B68,AN$11,AN$14,AN$60,),""),IF($I68=2,IFBLANK(_xldudf_CX_PUSH(AN68,CX_ENTITY,$B68,AN$11,AN$14,AN$60,),""),IF($I68=3,"",IFBLANK(_xldudf_CX_PUSH(AN68,CX_ENTITY,$B68,AN$11,AN$14,AN$60,),"")))))),"")</f>
        <v/>
      </c>
      <c r="DB68" s="1883" t="str" cm="1">
        <f t="array" ca="1" aca="1" ref="DB68">IFERROR(IF(AO68*fxVal_normal=_BS!AO68,"",IF(OR(AO68="",NOT(ISNUMBER(AO68)),ISERROR(AO68),$B68=""),"",IF($I68=1,IFBLANK(_xldudf_CX_PUSH(AO68*fxVal_normal,CX_ENTITY,$B68,AO$11,AO$14,AO$60,),""),IF($I68=2,IFBLANK(_xldudf_CX_PUSH(AO68,CX_ENTITY,$B68,AO$11,AO$14,AO$60,),""),IF($I68=3,"",IFBLANK(_xldudf_CX_PUSH(AO68,CX_ENTITY,$B68,AO$11,AO$14,AO$60,),"")))))),"")</f>
        <v/>
      </c>
      <c r="DC68" s="1883" t="str" cm="1">
        <f t="array" ca="1" aca="1" ref="DC68">IFERROR(IF(AP68*fxVal_normal=_BS!AP68,"",IF(OR(AP68="",NOT(ISNUMBER(AP68)),ISERROR(AP68),$B68=""),"",IF($I68=1,IFBLANK(_xldudf_CX_PUSH(AP68*fxVal_normal,CX_ENTITY,$B68,AP$11,AP$14,AP$60,),""),IF($I68=2,IFBLANK(_xldudf_CX_PUSH(AP68,CX_ENTITY,$B68,AP$11,AP$14,AP$60,),""),IF($I68=3,"",IFBLANK(_xldudf_CX_PUSH(AP68,CX_ENTITY,$B68,AP$11,AP$14,AP$60,),"")))))),"")</f>
        <v/>
      </c>
      <c r="DD68" s="1883" t="str" cm="1">
        <f t="array" ca="1" aca="1" ref="DD68">IFERROR(IF(AQ68*fxVal_normal=_BS!AQ68,"",IF(OR(AQ68="",NOT(ISNUMBER(AQ68)),ISERROR(AQ68),$B68=""),"",IF($I68=1,IFBLANK(_xldudf_CX_PUSH(AQ68*fxVal_normal,CX_ENTITY,$B68,AQ$11,AQ$14,AQ$60,),""),IF($I68=2,IFBLANK(_xldudf_CX_PUSH(AQ68,CX_ENTITY,$B68,AQ$11,AQ$14,AQ$60,),""),IF($I68=3,"",IFBLANK(_xldudf_CX_PUSH(AQ68,CX_ENTITY,$B68,AQ$11,AQ$14,AQ$60,),"")))))),"")</f>
        <v/>
      </c>
      <c r="DE68" s="1883" t="str" cm="1">
        <f t="array" ca="1" aca="1" ref="DE68">IFERROR(IF(AR68*fxVal_normal=_BS!AR68,"",IF(OR(AR68="",NOT(ISNUMBER(AR68)),ISERROR(AR68),$B68=""),"",IF($I68=1,IFBLANK(_xldudf_CX_PUSH(AR68*fxVal_normal,CX_ENTITY,$B68,AR$11,AR$14,AR$60,),""),IF($I68=2,IFBLANK(_xldudf_CX_PUSH(AR68,CX_ENTITY,$B68,AR$11,AR$14,AR$60,),""),IF($I68=3,"",IFBLANK(_xldudf_CX_PUSH(AR68,CX_ENTITY,$B68,AR$11,AR$14,AR$60,),"")))))),"")</f>
        <v/>
      </c>
      <c r="DF68" s="1883" t="str" cm="1">
        <f t="array" ca="1" aca="1" ref="DF68">IFERROR(IF(AS68*fxVal_normal=_BS!AS68,"",IF(OR(AS68="",NOT(ISNUMBER(AS68)),ISERROR(AS68),$B68=""),"",IF($I68=1,IFBLANK(_xldudf_CX_PUSH(AS68*fxVal_normal,CX_ENTITY,$B68,AS$11,AS$14,AS$60,),""),IF($I68=2,IFBLANK(_xldudf_CX_PUSH(AS68,CX_ENTITY,$B68,AS$11,AS$14,AS$60,),""),IF($I68=3,"",IFBLANK(_xldudf_CX_PUSH(AS68,CX_ENTITY,$B68,AS$11,AS$14,AS$60,),"")))))),"")</f>
        <v/>
      </c>
      <c r="DG68" s="1883" t="str" cm="1">
        <f t="array" ca="1" aca="1" ref="DG68">IFERROR(IF(AT68*fxVal_normal=_BS!AT68,"",IF(OR(AT68="",NOT(ISNUMBER(AT68)),ISERROR(AT68),$B68=""),"",IF($I68=1,IFBLANK(_xldudf_CX_PUSH(AT68*fxVal_normal,CX_ENTITY,$B68,AT$11,AT$14,AT$60,),""),IF($I68=2,IFBLANK(_xldudf_CX_PUSH(AT68,CX_ENTITY,$B68,AT$11,AT$14,AT$60,),""),IF($I68=3,"",IFBLANK(_xldudf_CX_PUSH(AT68,CX_ENTITY,$B68,AT$11,AT$14,AT$60,),"")))))),"")</f>
        <v/>
      </c>
      <c r="DH68" s="1883" t="str" cm="1">
        <f t="array" ca="1" aca="1" ref="DH68">IFERROR(IF(AU68*fxVal_normal=_BS!AU68,"",IF(OR(AU68="",NOT(ISNUMBER(AU68)),ISERROR(AU68),$B68=""),"",IF($I68=1,IFBLANK(_xldudf_CX_PUSH(AU68*fxVal_normal,CX_ENTITY,$B68,AU$11,AU$14,AU$60,),""),IF($I68=2,IFBLANK(_xldudf_CX_PUSH(AU68,CX_ENTITY,$B68,AU$11,AU$14,AU$60,),""),IF($I68=3,"",IFBLANK(_xldudf_CX_PUSH(AU68,CX_ENTITY,$B68,AU$11,AU$14,AU$60,),"")))))),"")</f>
        <v/>
      </c>
      <c r="DI68" s="1883" t="str" cm="1">
        <f t="array" ca="1" aca="1" ref="DI68">IFERROR(IF(AV68*fxVal_normal=_BS!AV68,"",IF(OR(AV68="",NOT(ISNUMBER(AV68)),ISERROR(AV68),$B68=""),"",IF($I68=1,IFBLANK(_xldudf_CX_PUSH(AV68*fxVal_normal,CX_ENTITY,$B68,AV$11,AV$14,AV$60,),""),IF($I68=2,IFBLANK(_xldudf_CX_PUSH(AV68,CX_ENTITY,$B68,AV$11,AV$14,AV$60,),""),IF($I68=3,"",IFBLANK(_xldudf_CX_PUSH(AV68,CX_ENTITY,$B68,AV$11,AV$14,AV$60,),"")))))),"")</f>
        <v/>
      </c>
      <c r="DJ68" s="1883" t="str" cm="1">
        <f t="array" ca="1" aca="1" ref="DJ68">IFERROR(IF(AW68*fxVal_normal=_BS!AW68,"",IF(OR(AW68="",NOT(ISNUMBER(AW68)),ISERROR(AW68),$B68=""),"",IF($I68=1,IFBLANK(_xldudf_CX_PUSH(AW68*fxVal_normal,CX_ENTITY,$B68,AW$11,AW$14,AW$60,),""),IF($I68=2,IFBLANK(_xldudf_CX_PUSH(AW68,CX_ENTITY,$B68,AW$11,AW$14,AW$60,),""),IF($I68=3,"",IFBLANK(_xldudf_CX_PUSH(AW68,CX_ENTITY,$B68,AW$11,AW$14,AW$60,),"")))))),"")</f>
        <v/>
      </c>
      <c r="DK68" s="1883" t="str" cm="1">
        <f t="array" ca="1" aca="1" ref="DK68">IFERROR(IF(AX68*fxVal_normal=_BS!AX68,"",IF(OR(AX68="",NOT(ISNUMBER(AX68)),ISERROR(AX68),$B68=""),"",IF($I68=1,IFBLANK(_xldudf_CX_PUSH(AX68*fxVal_normal,CX_ENTITY,$B68,AX$11,AX$14,AX$60,),""),IF($I68=2,IFBLANK(_xldudf_CX_PUSH(AX68,CX_ENTITY,$B68,AX$11,AX$14,AX$60,),""),IF($I68=3,"",IFBLANK(_xldudf_CX_PUSH(AX68,CX_ENTITY,$B68,AX$11,AX$14,AX$60,),"")))))),"")</f>
        <v/>
      </c>
      <c r="DL68" s="1883" t="str" cm="1">
        <f t="array" ca="1" aca="1" ref="DL68">IFERROR(IF(AY68*fxVal_normal=_BS!AY68,"",IF(OR(AY68="",NOT(ISNUMBER(AY68)),ISERROR(AY68),$B68=""),"",IF($I68=1,IFBLANK(_xldudf_CX_PUSH(AY68*fxVal_normal,CX_ENTITY,$B68,AY$11,AY$14,AY$60,),""),IF($I68=2,IFBLANK(_xldudf_CX_PUSH(AY68,CX_ENTITY,$B68,AY$11,AY$14,AY$60,),""),IF($I68=3,"",IFBLANK(_xldudf_CX_PUSH(AY68,CX_ENTITY,$B68,AY$11,AY$14,AY$60,),"")))))),"")</f>
        <v/>
      </c>
      <c r="DM68" s="1883" t="str" cm="1">
        <f t="array" ca="1" aca="1" ref="DM68">IFERROR(IF(AZ68*fxVal_normal=_BS!AZ68,"",IF(OR(AZ68="",NOT(ISNUMBER(AZ68)),ISERROR(AZ68),$B68=""),"",IF($I68=1,IFBLANK(_xldudf_CX_PUSH(AZ68*fxVal_normal,CX_ENTITY,$B68,AZ$11,AZ$14,AZ$60,),""),IF($I68=2,IFBLANK(_xldudf_CX_PUSH(AZ68,CX_ENTITY,$B68,AZ$11,AZ$14,AZ$60,),""),IF($I68=3,"",IFBLANK(_xldudf_CX_PUSH(AZ68,CX_ENTITY,$B68,AZ$11,AZ$14,AZ$60,),"")))))),"")</f>
        <v/>
      </c>
      <c r="DN68" s="1883" t="str" cm="1">
        <f t="array" ca="1" aca="1" ref="DN68">IFERROR(IF(BA68*fxVal_normal=_BS!BA68,"",IF(OR(BA68="",NOT(ISNUMBER(BA68)),ISERROR(BA68),$B68=""),"",IF($I68=1,IFBLANK(_xldudf_CX_PUSH(BA68*fxVal_normal,CX_ENTITY,$B68,BA$11,BA$14,BA$60,),""),IF($I68=2,IFBLANK(_xldudf_CX_PUSH(BA68,CX_ENTITY,$B68,BA$11,BA$14,BA$60,),""),IF($I68=3,"",IFBLANK(_xldudf_CX_PUSH(BA68,CX_ENTITY,$B68,BA$11,BA$14,BA$60,),"")))))),"")</f>
        <v/>
      </c>
      <c r="DO68" s="1883" t="str" cm="1">
        <f t="array" ca="1" aca="1" ref="DO68">IFERROR(IF(BB68*fxVal_normal=_BS!BB68,"",IF(OR(BB68="",NOT(ISNUMBER(BB68)),ISERROR(BB68),$B68=""),"",IF($I68=1,IFBLANK(_xldudf_CX_PUSH(BB68*fxVal_normal,CX_ENTITY,$B68,BB$11,BB$14,BB$60,),""),IF($I68=2,IFBLANK(_xldudf_CX_PUSH(BB68,CX_ENTITY,$B68,BB$11,BB$14,BB$60,),""),IF($I68=3,"",IFBLANK(_xldudf_CX_PUSH(BB68,CX_ENTITY,$B68,BB$11,BB$14,BB$60,),"")))))),"")</f>
        <v/>
      </c>
      <c r="DP68" s="1883" t="str" cm="1">
        <f t="array" ca="1" aca="1" ref="DP68">IFERROR(IF(BC68*fxVal_normal=_BS!BC68,"",IF(OR(BC68="",NOT(ISNUMBER(BC68)),ISERROR(BC68),$B68=""),"",IF($I68=1,IFBLANK(_xldudf_CX_PUSH(BC68*fxVal_normal,CX_ENTITY,$B68,BC$11,BC$14,BC$60,),""),IF($I68=2,IFBLANK(_xldudf_CX_PUSH(BC68,CX_ENTITY,$B68,BC$11,BC$14,BC$60,),""),IF($I68=3,"",IFBLANK(_xldudf_CX_PUSH(BC68,CX_ENTITY,$B68,BC$11,BC$14,BC$60,),"")))))),"")</f>
        <v/>
      </c>
      <c r="DQ68" s="1883" t="str" cm="1">
        <f t="array" ca="1" aca="1" ref="DQ68">IFERROR(IF(BD68*fxVal_normal=_BS!BD68,"",IF(OR(BD68="",NOT(ISNUMBER(BD68)),ISERROR(BD68),$B68=""),"",IF($I68=1,IFBLANK(_xldudf_CX_PUSH(BD68*fxVal_normal,CX_ENTITY,$B68,BD$11,BD$14,BD$60,),""),IF($I68=2,IFBLANK(_xldudf_CX_PUSH(BD68,CX_ENTITY,$B68,BD$11,BD$14,BD$60,),""),IF($I68=3,"",IFBLANK(_xldudf_CX_PUSH(BD68,CX_ENTITY,$B68,BD$11,BD$14,BD$60,),"")))))),"")</f>
        <v/>
      </c>
      <c r="DR68" s="1883" t="str" cm="1">
        <f t="array" ca="1" aca="1" ref="DR68">IFERROR(IF(BE68*fxVal_normal=_BS!BE68,"",IF(OR(BE68="",NOT(ISNUMBER(BE68)),ISERROR(BE68),$B68=""),"",IF($I68=1,IFBLANK(_xldudf_CX_PUSH(BE68*fxVal_normal,CX_ENTITY,$B68,BE$11,BE$14,BE$60,),""),IF($I68=2,IFBLANK(_xldudf_CX_PUSH(BE68,CX_ENTITY,$B68,BE$11,BE$14,BE$60,),""),IF($I68=3,"",IFBLANK(_xldudf_CX_PUSH(BE68,CX_ENTITY,$B68,BE$11,BE$14,BE$60,),"")))))),"")</f>
        <v/>
      </c>
      <c r="DS68" s="1883" t="str" cm="1">
        <f t="array" ca="1" aca="1" ref="DS68">IFERROR(IF(BF68*fxVal_normal=_BS!BF68,"",IF(OR(BF68="",NOT(ISNUMBER(BF68)),ISERROR(BF68),$B68=""),"",IF($I68=1,IFBLANK(_xldudf_CX_PUSH(BF68*fxVal_normal,CX_ENTITY,$B68,BF$11,BF$14,BF$60,),""),IF($I68=2,IFBLANK(_xldudf_CX_PUSH(BF68,CX_ENTITY,$B68,BF$11,BF$14,BF$60,),""),IF($I68=3,"",IFBLANK(_xldudf_CX_PUSH(BF68,CX_ENTITY,$B68,BF$11,BF$14,BF$60,),"")))))),"")</f>
        <v/>
      </c>
      <c r="DT68" s="1883" t="str" cm="1">
        <f t="array" ca="1" aca="1" ref="DT68">IFERROR(IF(BG68*fxVal_normal=_BS!BG68,"",IF(OR(BG68="",NOT(ISNUMBER(BG68)),ISERROR(BG68),$B68=""),"",IF($I68=1,IFBLANK(_xldudf_CX_PUSH(BG68*fxVal_normal,CX_ENTITY,$B68,BG$11,BG$14,BG$60,),""),IF($I68=2,IFBLANK(_xldudf_CX_PUSH(BG68,CX_ENTITY,$B68,BG$11,BG$14,BG$60,),""),IF($I68=3,"",IFBLANK(_xldudf_CX_PUSH(BG68,CX_ENTITY,$B68,BG$11,BG$14,BG$60,),"")))))),"")</f>
        <v/>
      </c>
      <c r="DU68" s="1883" t="str" cm="1">
        <f t="array" ca="1" aca="1" ref="DU68">IFERROR(IF(BH68*fxVal_normal=_BS!BH68,"",IF(OR(BH68="",NOT(ISNUMBER(BH68)),ISERROR(BH68),$B68=""),"",IF($I68=1,IFBLANK(_xldudf_CX_PUSH(BH68*fxVal_normal,CX_ENTITY,$B68,BH$11,BH$14,BH$60,),""),IF($I68=2,IFBLANK(_xldudf_CX_PUSH(BH68,CX_ENTITY,$B68,BH$11,BH$14,BH$60,),""),IF($I68=3,"",IFBLANK(_xldudf_CX_PUSH(BH68,CX_ENTITY,$B68,BH$11,BH$14,BH$60,),"")))))),"")</f>
        <v/>
      </c>
      <c r="DV68" s="1883" t="str" cm="1">
        <f t="array" ca="1" aca="1" ref="DV68">IFERROR(IF(BI68*fxVal_normal=_BS!BI68,"",IF(OR(BI68="",NOT(ISNUMBER(BI68)),ISERROR(BI68),$B68=""),"",IF($I68=1,IFBLANK(_xldudf_CX_PUSH(BI68*fxVal_normal,CX_ENTITY,$B68,BI$11,BI$14,BI$60,),""),IF($I68=2,IFBLANK(_xldudf_CX_PUSH(BI68,CX_ENTITY,$B68,BI$11,BI$14,BI$60,),""),IF($I68=3,"",IFBLANK(_xldudf_CX_PUSH(BI68,CX_ENTITY,$B68,BI$11,BI$14,BI$60,),"")))))),"")</f>
        <v/>
      </c>
      <c r="DW68" s="1883" t="str" cm="1">
        <f t="array" ca="1" aca="1" ref="DW68">IFERROR(IF(BJ68*fxVal_normal=_BS!BJ68,"",IF(OR(BJ68="",NOT(ISNUMBER(BJ68)),ISERROR(BJ68),$B68=""),"",IF($I68=1,IFBLANK(_xldudf_CX_PUSH(BJ68*fxVal_normal,CX_ENTITY,$B68,BJ$11,BJ$14,BJ$60,),""),IF($I68=2,IFBLANK(_xldudf_CX_PUSH(BJ68,CX_ENTITY,$B68,BJ$11,BJ$14,BJ$60,),""),IF($I68=3,"",IFBLANK(_xldudf_CX_PUSH(BJ68,CX_ENTITY,$B68,BJ$11,BJ$14,BJ$60,),"")))))),"")</f>
        <v/>
      </c>
      <c r="DX68" s="1883" t="str" cm="1">
        <f t="array" ca="1" aca="1" ref="DX68">IFERROR(IF(BK68*fxVal_normal=_BS!BK68,"",IF(OR(BK68="",NOT(ISNUMBER(BK68)),ISERROR(BK68),$B68=""),"",IF($I68=1,IFBLANK(_xldudf_CX_PUSH(BK68*fxVal_normal,CX_ENTITY,$B68,BK$11,BK$14,BK$60,),""),IF($I68=2,IFBLANK(_xldudf_CX_PUSH(BK68,CX_ENTITY,$B68,BK$11,BK$14,BK$60,),""),IF($I68=3,"",IFBLANK(_xldudf_CX_PUSH(BK68,CX_ENTITY,$B68,BK$11,BK$14,BK$60,),"")))))),"")</f>
        <v/>
      </c>
      <c r="DY68" s="1883" t="str" cm="1">
        <f t="array" ca="1" aca="1" ref="DY68">IFERROR(IF(BL68*fxVal_normal=_BS!BL68,"",IF(OR(BL68="",NOT(ISNUMBER(BL68)),ISERROR(BL68),$B68=""),"",IF($I68=1,IFBLANK(_xldudf_CX_PUSH(BL68*fxVal_normal,CX_ENTITY,$B68,BL$11,BL$14,BL$60,),""),IF($I68=2,IFBLANK(_xldudf_CX_PUSH(BL68,CX_ENTITY,$B68,BL$11,BL$14,BL$60,),""),IF($I68=3,"",IFBLANK(_xldudf_CX_PUSH(BL68,CX_ENTITY,$B68,BL$11,BL$14,BL$60,),"")))))),"")</f>
        <v/>
      </c>
      <c r="DZ68" s="1883" t="str" cm="1">
        <f t="array" ca="1" aca="1" ref="DZ68">IFERROR(IF(BM68*fxVal_normal=_BS!BM68,"",IF(OR(BM68="",NOT(ISNUMBER(BM68)),ISERROR(BM68),$B68=""),"",IF($I68=1,IFBLANK(_xldudf_CX_PUSH(BM68*fxVal_normal,CX_ENTITY,$B68,BM$11,BM$14,BM$60,),""),IF($I68=2,IFBLANK(_xldudf_CX_PUSH(BM68,CX_ENTITY,$B68,BM$11,BM$14,BM$60,),""),IF($I68=3,"",IFBLANK(_xldudf_CX_PUSH(BM68,CX_ENTITY,$B68,BM$11,BM$14,BM$60,),"")))))),"")</f>
        <v/>
      </c>
      <c r="EA68" s="1883" t="str" cm="1">
        <f t="array" ca="1" aca="1" ref="EA68">IFERROR(IF(BN68*fxVal_normal=_BS!BN68,"",IF(OR(BN68="",NOT(ISNUMBER(BN68)),ISERROR(BN68),$B68=""),"",IF($I68=1,IFBLANK(_xldudf_CX_PUSH(BN68*fxVal_normal,CX_ENTITY,$B68,BN$11,BN$14,BN$60,),""),IF($I68=2,IFBLANK(_xldudf_CX_PUSH(BN68,CX_ENTITY,$B68,BN$11,BN$14,BN$60,),""),IF($I68=3,"",IFBLANK(_xldudf_CX_PUSH(BN68,CX_ENTITY,$B68,BN$11,BN$14,BN$60,),"")))))),"")</f>
        <v/>
      </c>
    </row>
    <row r="69" spans="1:131" ht="21" customHeight="1">
      <c r="A69" s="1646"/>
      <c r="B69" s="811" t="str" cm="1">
        <f t="array" ref="B69">IFBLANK(_BS!F69,"")</f>
        <v>Net Working Capital (NWC)</v>
      </c>
      <c r="C69" s="811" t="str" cm="1">
        <f t="array" ref="C69">IFBLANK(_BS!C69,"")</f>
        <v>Net Working Capital (NWC) (Company View)</v>
      </c>
      <c r="D69" s="1549"/>
      <c r="E69" s="1902" t="e" cm="1">
        <f t="array" ca="1" aca="1" ref="E6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69:$CH69,Z69)</f>
        <v>#NAME?</v>
      </c>
      <c r="F69" s="1897"/>
      <c r="G69" s="1897"/>
      <c r="H69" s="3280">
        <v>2</v>
      </c>
      <c r="I69" s="3280">
        <v>1</v>
      </c>
      <c r="J69" s="401"/>
      <c r="L69" s="921"/>
      <c r="M69" s="921"/>
      <c r="N69" s="158"/>
      <c r="O69" s="101"/>
      <c r="P69" s="52"/>
      <c r="Q69" s="101"/>
      <c r="R69" s="101"/>
      <c r="S69" s="101"/>
      <c r="T69" s="101"/>
      <c r="U69" s="39"/>
      <c r="V69" s="921"/>
      <c r="W69" s="1291" t="str">
        <f t="shared" si="18"/>
        <v>Budget</v>
      </c>
      <c r="X69" s="1294">
        <f>_BS!X69</f>
        <v>0</v>
      </c>
      <c r="Y69" s="1593" t="str">
        <f t="shared" si="17"/>
        <v>Net Working Capital (NWC)</v>
      </c>
      <c r="Z69" s="198" cm="1">
        <f t="array" ref="Z69">_xlfn.SWITCH(TRUE,_BS!$L69=TRUE,1,_BS!$L69=FALSE,-1,_BS!$L69=-1,0,"n/a")</f>
        <v>0</v>
      </c>
      <c r="AA69" s="924"/>
      <c r="AB69" s="88" t="str">
        <f>_BS!AB69</f>
        <v>Net Working Capital (NWC)</v>
      </c>
      <c r="AC69" s="88" t="e" vm="5" cm="1">
        <f t="array" ca="1" aca="1" ref="AC69">_xlfn.LET(_xlpm._termname,$AB69,_xlpm._iconname,"find",_xlpm._icon,fx_getIcon(_xlpm._iconname),_xlpm._location,_xlfn.XLOOKUP(LOWER(_xlpm._termname),LOWER(tbl_acctDef[Term]),tbl_acctDef[Term]),_xlpm._hyperlink,HYPERLINK("#"&amp;CELL("address",_xlpm._location),_xlpm._icon),IFERROR(_xlpm._hyperlink,""))</f>
        <v>#VALUE!</v>
      </c>
      <c r="AD69" s="919">
        <f t="shared" si="20" ref="AD69:BN69">SUBTOTAL(9,AD65:AD68)</f>
        <v>4</v>
      </c>
      <c r="AE69" s="919">
        <f t="shared" si="20"/>
        <v>4</v>
      </c>
      <c r="AF69" s="919">
        <f t="shared" si="20"/>
        <v>4</v>
      </c>
      <c r="AG69" s="919">
        <f t="shared" si="20"/>
        <v>4</v>
      </c>
      <c r="AH69" s="919">
        <f t="shared" si="20"/>
        <v>4</v>
      </c>
      <c r="AI69" s="919">
        <f t="shared" si="20"/>
        <v>4</v>
      </c>
      <c r="AJ69" s="919">
        <f t="shared" si="20"/>
        <v>4</v>
      </c>
      <c r="AK69" s="919">
        <f t="shared" si="20"/>
        <v>4</v>
      </c>
      <c r="AL69" s="919">
        <f t="shared" si="20"/>
        <v>4</v>
      </c>
      <c r="AM69" s="919">
        <f t="shared" si="20"/>
        <v>4</v>
      </c>
      <c r="AN69" s="919">
        <f t="shared" si="20"/>
        <v>4</v>
      </c>
      <c r="AO69" s="919">
        <f t="shared" si="20"/>
        <v>4</v>
      </c>
      <c r="AP69" s="919">
        <f t="shared" si="20"/>
        <v>4</v>
      </c>
      <c r="AQ69" s="919">
        <f t="shared" si="20"/>
        <v>4</v>
      </c>
      <c r="AR69" s="919">
        <f t="shared" si="20"/>
        <v>4</v>
      </c>
      <c r="AS69" s="919">
        <f t="shared" si="20"/>
        <v>4</v>
      </c>
      <c r="AT69" s="919">
        <f t="shared" si="20"/>
        <v>4</v>
      </c>
      <c r="AU69" s="919">
        <f t="shared" si="20"/>
        <v>4</v>
      </c>
      <c r="AV69" s="919">
        <f t="shared" si="20"/>
        <v>4</v>
      </c>
      <c r="AW69" s="919">
        <f t="shared" si="20"/>
        <v>4</v>
      </c>
      <c r="AX69" s="919">
        <f t="shared" si="20"/>
        <v>4</v>
      </c>
      <c r="AY69" s="919">
        <f t="shared" si="20"/>
        <v>4</v>
      </c>
      <c r="AZ69" s="919">
        <f t="shared" si="20"/>
        <v>4</v>
      </c>
      <c r="BA69" s="919">
        <f t="shared" si="20"/>
        <v>4</v>
      </c>
      <c r="BB69" s="919">
        <f t="shared" si="20"/>
        <v>4</v>
      </c>
      <c r="BC69" s="919">
        <f t="shared" si="20"/>
        <v>4</v>
      </c>
      <c r="BD69" s="919">
        <f t="shared" si="20"/>
        <v>4</v>
      </c>
      <c r="BE69" s="919">
        <f t="shared" si="20"/>
        <v>4</v>
      </c>
      <c r="BF69" s="919">
        <f t="shared" si="20"/>
        <v>4</v>
      </c>
      <c r="BG69" s="919">
        <f t="shared" si="20"/>
        <v>4</v>
      </c>
      <c r="BH69" s="919">
        <f t="shared" si="20"/>
        <v>4</v>
      </c>
      <c r="BI69" s="919">
        <f t="shared" si="20"/>
        <v>4</v>
      </c>
      <c r="BJ69" s="919">
        <f t="shared" si="20"/>
        <v>4</v>
      </c>
      <c r="BK69" s="919">
        <f t="shared" si="20"/>
        <v>4</v>
      </c>
      <c r="BL69" s="919">
        <f t="shared" si="20"/>
        <v>4</v>
      </c>
      <c r="BM69" s="919">
        <f t="shared" si="20"/>
        <v>4</v>
      </c>
      <c r="BN69" s="919">
        <f t="shared" si="20"/>
        <v>4</v>
      </c>
      <c r="BO69" s="2117"/>
      <c r="BP69" s="2117"/>
      <c r="BQ69" s="2117"/>
      <c r="BR69" s="2117"/>
      <c r="BS69" s="2117"/>
      <c r="BT69" s="2117"/>
      <c r="BU69" s="2117"/>
      <c r="BV69" s="2117"/>
      <c r="BW69" s="2117"/>
      <c r="BX69" s="2117"/>
      <c r="BY69" s="2117"/>
      <c r="BZ69" s="2117"/>
      <c r="CA69" s="926"/>
      <c r="CB69" s="921"/>
      <c r="CC69" s="927"/>
      <c r="CD69" s="928" t="e" cm="1">
        <f t="array" ca="1" aca="1" ref="CD69">_xlfn.XLOOKUP(BS!CD$11,array_timeline,BS!$AD69:$BN69)</f>
        <v>#NAME?</v>
      </c>
      <c r="CE69" s="928" t="e" cm="1">
        <f t="array" ca="1" aca="1" ref="CE69">_xlfn.XLOOKUP(BS!CE$11,array_timeline,BS!$AD69:$BN69)</f>
        <v>#NAME?</v>
      </c>
      <c r="CF69" s="925"/>
      <c r="CG69" s="541" t="e">
        <f t="shared" ca="1" si="16"/>
        <v>#NAME?</v>
      </c>
      <c r="CH69" s="541" t="e">
        <f t="shared" ca="1" si="16"/>
        <v>#NAME?</v>
      </c>
      <c r="CI69" s="924"/>
      <c r="CQ69" s="1883" t="str" cm="1">
        <f t="array" ca="1" aca="1" ref="CQ69">IFERROR(IF(AD69*fxVal_normal=_BS!AD69,"",IF(OR(AD69="",NOT(ISNUMBER(AD69)),ISERROR(AD69),$B69=""),"",IF($I69=1,IFBLANK(_xldudf_CX_PUSH(AD69*fxVal_normal,CX_ENTITY,$B69,AD$11,AD$14,AD$60,),""),IF($I69=2,IFBLANK(_xldudf_CX_PUSH(AD69,CX_ENTITY,$B69,AD$11,AD$14,AD$60,),""),IF($I69=3,"",IFBLANK(_xldudf_CX_PUSH(AD69,CX_ENTITY,$B69,AD$11,AD$14,AD$60,),"")))))),"")</f>
        <v/>
      </c>
      <c r="CR69" s="1883" t="str" cm="1">
        <f t="array" ca="1" aca="1" ref="CR69">IFERROR(IF(AE69*fxVal_normal=_BS!AE69,"",IF(OR(AE69="",NOT(ISNUMBER(AE69)),ISERROR(AE69),$B69=""),"",IF($I69=1,IFBLANK(_xldudf_CX_PUSH(AE69*fxVal_normal,CX_ENTITY,$B69,AE$11,AE$14,AE$60,),""),IF($I69=2,IFBLANK(_xldudf_CX_PUSH(AE69,CX_ENTITY,$B69,AE$11,AE$14,AE$60,),""),IF($I69=3,"",IFBLANK(_xldudf_CX_PUSH(AE69,CX_ENTITY,$B69,AE$11,AE$14,AE$60,),"")))))),"")</f>
        <v/>
      </c>
      <c r="CS69" s="1883" t="str" cm="1">
        <f t="array" ca="1" aca="1" ref="CS69">IFERROR(IF(AF69*fxVal_normal=_BS!AF69,"",IF(OR(AF69="",NOT(ISNUMBER(AF69)),ISERROR(AF69),$B69=""),"",IF($I69=1,IFBLANK(_xldudf_CX_PUSH(AF69*fxVal_normal,CX_ENTITY,$B69,AF$11,AF$14,AF$60,),""),IF($I69=2,IFBLANK(_xldudf_CX_PUSH(AF69,CX_ENTITY,$B69,AF$11,AF$14,AF$60,),""),IF($I69=3,"",IFBLANK(_xldudf_CX_PUSH(AF69,CX_ENTITY,$B69,AF$11,AF$14,AF$60,),"")))))),"")</f>
        <v/>
      </c>
      <c r="CT69" s="1883" t="str" cm="1">
        <f t="array" ca="1" aca="1" ref="CT69">IFERROR(IF(AG69*fxVal_normal=_BS!AG69,"",IF(OR(AG69="",NOT(ISNUMBER(AG69)),ISERROR(AG69),$B69=""),"",IF($I69=1,IFBLANK(_xldudf_CX_PUSH(AG69*fxVal_normal,CX_ENTITY,$B69,AG$11,AG$14,AG$60,),""),IF($I69=2,IFBLANK(_xldudf_CX_PUSH(AG69,CX_ENTITY,$B69,AG$11,AG$14,AG$60,),""),IF($I69=3,"",IFBLANK(_xldudf_CX_PUSH(AG69,CX_ENTITY,$B69,AG$11,AG$14,AG$60,),"")))))),"")</f>
        <v/>
      </c>
      <c r="CU69" s="1883" t="str" cm="1">
        <f t="array" ca="1" aca="1" ref="CU69">IFERROR(IF(AH69*fxVal_normal=_BS!AH69,"",IF(OR(AH69="",NOT(ISNUMBER(AH69)),ISERROR(AH69),$B69=""),"",IF($I69=1,IFBLANK(_xldudf_CX_PUSH(AH69*fxVal_normal,CX_ENTITY,$B69,AH$11,AH$14,AH$60,),""),IF($I69=2,IFBLANK(_xldudf_CX_PUSH(AH69,CX_ENTITY,$B69,AH$11,AH$14,AH$60,),""),IF($I69=3,"",IFBLANK(_xldudf_CX_PUSH(AH69,CX_ENTITY,$B69,AH$11,AH$14,AH$60,),"")))))),"")</f>
        <v/>
      </c>
      <c r="CV69" s="1883" t="str" cm="1">
        <f t="array" ca="1" aca="1" ref="CV69">IFERROR(IF(AI69*fxVal_normal=_BS!AI69,"",IF(OR(AI69="",NOT(ISNUMBER(AI69)),ISERROR(AI69),$B69=""),"",IF($I69=1,IFBLANK(_xldudf_CX_PUSH(AI69*fxVal_normal,CX_ENTITY,$B69,AI$11,AI$14,AI$60,),""),IF($I69=2,IFBLANK(_xldudf_CX_PUSH(AI69,CX_ENTITY,$B69,AI$11,AI$14,AI$60,),""),IF($I69=3,"",IFBLANK(_xldudf_CX_PUSH(AI69,CX_ENTITY,$B69,AI$11,AI$14,AI$60,),"")))))),"")</f>
        <v/>
      </c>
      <c r="CW69" s="1883" t="str" cm="1">
        <f t="array" ca="1" aca="1" ref="CW69">IFERROR(IF(AJ69*fxVal_normal=_BS!AJ69,"",IF(OR(AJ69="",NOT(ISNUMBER(AJ69)),ISERROR(AJ69),$B69=""),"",IF($I69=1,IFBLANK(_xldudf_CX_PUSH(AJ69*fxVal_normal,CX_ENTITY,$B69,AJ$11,AJ$14,AJ$60,),""),IF($I69=2,IFBLANK(_xldudf_CX_PUSH(AJ69,CX_ENTITY,$B69,AJ$11,AJ$14,AJ$60,),""),IF($I69=3,"",IFBLANK(_xldudf_CX_PUSH(AJ69,CX_ENTITY,$B69,AJ$11,AJ$14,AJ$60,),"")))))),"")</f>
        <v/>
      </c>
      <c r="CX69" s="1883" t="str" cm="1">
        <f t="array" ca="1" aca="1" ref="CX69">IFERROR(IF(AK69*fxVal_normal=_BS!AK69,"",IF(OR(AK69="",NOT(ISNUMBER(AK69)),ISERROR(AK69),$B69=""),"",IF($I69=1,IFBLANK(_xldudf_CX_PUSH(AK69*fxVal_normal,CX_ENTITY,$B69,AK$11,AK$14,AK$60,),""),IF($I69=2,IFBLANK(_xldudf_CX_PUSH(AK69,CX_ENTITY,$B69,AK$11,AK$14,AK$60,),""),IF($I69=3,"",IFBLANK(_xldudf_CX_PUSH(AK69,CX_ENTITY,$B69,AK$11,AK$14,AK$60,),"")))))),"")</f>
        <v/>
      </c>
      <c r="CY69" s="1883" t="str" cm="1">
        <f t="array" ca="1" aca="1" ref="CY69">IFERROR(IF(AL69*fxVal_normal=_BS!AL69,"",IF(OR(AL69="",NOT(ISNUMBER(AL69)),ISERROR(AL69),$B69=""),"",IF($I69=1,IFBLANK(_xldudf_CX_PUSH(AL69*fxVal_normal,CX_ENTITY,$B69,AL$11,AL$14,AL$60,),""),IF($I69=2,IFBLANK(_xldudf_CX_PUSH(AL69,CX_ENTITY,$B69,AL$11,AL$14,AL$60,),""),IF($I69=3,"",IFBLANK(_xldudf_CX_PUSH(AL69,CX_ENTITY,$B69,AL$11,AL$14,AL$60,),"")))))),"")</f>
        <v/>
      </c>
      <c r="CZ69" s="1883" t="str" cm="1">
        <f t="array" ca="1" aca="1" ref="CZ69">IFERROR(IF(AM69*fxVal_normal=_BS!AM69,"",IF(OR(AM69="",NOT(ISNUMBER(AM69)),ISERROR(AM69),$B69=""),"",IF($I69=1,IFBLANK(_xldudf_CX_PUSH(AM69*fxVal_normal,CX_ENTITY,$B69,AM$11,AM$14,AM$60,),""),IF($I69=2,IFBLANK(_xldudf_CX_PUSH(AM69,CX_ENTITY,$B69,AM$11,AM$14,AM$60,),""),IF($I69=3,"",IFBLANK(_xldudf_CX_PUSH(AM69,CX_ENTITY,$B69,AM$11,AM$14,AM$60,),"")))))),"")</f>
        <v/>
      </c>
      <c r="DA69" s="1883" t="str" cm="1">
        <f t="array" ca="1" aca="1" ref="DA69">IFERROR(IF(AN69*fxVal_normal=_BS!AN69,"",IF(OR(AN69="",NOT(ISNUMBER(AN69)),ISERROR(AN69),$B69=""),"",IF($I69=1,IFBLANK(_xldudf_CX_PUSH(AN69*fxVal_normal,CX_ENTITY,$B69,AN$11,AN$14,AN$60,),""),IF($I69=2,IFBLANK(_xldudf_CX_PUSH(AN69,CX_ENTITY,$B69,AN$11,AN$14,AN$60,),""),IF($I69=3,"",IFBLANK(_xldudf_CX_PUSH(AN69,CX_ENTITY,$B69,AN$11,AN$14,AN$60,),"")))))),"")</f>
        <v/>
      </c>
      <c r="DB69" s="1883" t="str" cm="1">
        <f t="array" ca="1" aca="1" ref="DB69">IFERROR(IF(AO69*fxVal_normal=_BS!AO69,"",IF(OR(AO69="",NOT(ISNUMBER(AO69)),ISERROR(AO69),$B69=""),"",IF($I69=1,IFBLANK(_xldudf_CX_PUSH(AO69*fxVal_normal,CX_ENTITY,$B69,AO$11,AO$14,AO$60,),""),IF($I69=2,IFBLANK(_xldudf_CX_PUSH(AO69,CX_ENTITY,$B69,AO$11,AO$14,AO$60,),""),IF($I69=3,"",IFBLANK(_xldudf_CX_PUSH(AO69,CX_ENTITY,$B69,AO$11,AO$14,AO$60,),"")))))),"")</f>
        <v/>
      </c>
      <c r="DC69" s="1883" t="str" cm="1">
        <f t="array" ca="1" aca="1" ref="DC69">IFERROR(IF(AP69*fxVal_normal=_BS!AP69,"",IF(OR(AP69="",NOT(ISNUMBER(AP69)),ISERROR(AP69),$B69=""),"",IF($I69=1,IFBLANK(_xldudf_CX_PUSH(AP69*fxVal_normal,CX_ENTITY,$B69,AP$11,AP$14,AP$60,),""),IF($I69=2,IFBLANK(_xldudf_CX_PUSH(AP69,CX_ENTITY,$B69,AP$11,AP$14,AP$60,),""),IF($I69=3,"",IFBLANK(_xldudf_CX_PUSH(AP69,CX_ENTITY,$B69,AP$11,AP$14,AP$60,),"")))))),"")</f>
        <v/>
      </c>
      <c r="DD69" s="1883" t="str" cm="1">
        <f t="array" ca="1" aca="1" ref="DD69">IFERROR(IF(AQ69*fxVal_normal=_BS!AQ69,"",IF(OR(AQ69="",NOT(ISNUMBER(AQ69)),ISERROR(AQ69),$B69=""),"",IF($I69=1,IFBLANK(_xldudf_CX_PUSH(AQ69*fxVal_normal,CX_ENTITY,$B69,AQ$11,AQ$14,AQ$60,),""),IF($I69=2,IFBLANK(_xldudf_CX_PUSH(AQ69,CX_ENTITY,$B69,AQ$11,AQ$14,AQ$60,),""),IF($I69=3,"",IFBLANK(_xldudf_CX_PUSH(AQ69,CX_ENTITY,$B69,AQ$11,AQ$14,AQ$60,),"")))))),"")</f>
        <v/>
      </c>
      <c r="DE69" s="1883" t="str" cm="1">
        <f t="array" ca="1" aca="1" ref="DE69">IFERROR(IF(AR69*fxVal_normal=_BS!AR69,"",IF(OR(AR69="",NOT(ISNUMBER(AR69)),ISERROR(AR69),$B69=""),"",IF($I69=1,IFBLANK(_xldudf_CX_PUSH(AR69*fxVal_normal,CX_ENTITY,$B69,AR$11,AR$14,AR$60,),""),IF($I69=2,IFBLANK(_xldudf_CX_PUSH(AR69,CX_ENTITY,$B69,AR$11,AR$14,AR$60,),""),IF($I69=3,"",IFBLANK(_xldudf_CX_PUSH(AR69,CX_ENTITY,$B69,AR$11,AR$14,AR$60,),"")))))),"")</f>
        <v/>
      </c>
      <c r="DF69" s="1883" t="str" cm="1">
        <f t="array" ca="1" aca="1" ref="DF69">IFERROR(IF(AS69*fxVal_normal=_BS!AS69,"",IF(OR(AS69="",NOT(ISNUMBER(AS69)),ISERROR(AS69),$B69=""),"",IF($I69=1,IFBLANK(_xldudf_CX_PUSH(AS69*fxVal_normal,CX_ENTITY,$B69,AS$11,AS$14,AS$60,),""),IF($I69=2,IFBLANK(_xldudf_CX_PUSH(AS69,CX_ENTITY,$B69,AS$11,AS$14,AS$60,),""),IF($I69=3,"",IFBLANK(_xldudf_CX_PUSH(AS69,CX_ENTITY,$B69,AS$11,AS$14,AS$60,),"")))))),"")</f>
        <v/>
      </c>
      <c r="DG69" s="1883" t="str" cm="1">
        <f t="array" ca="1" aca="1" ref="DG69">IFERROR(IF(AT69*fxVal_normal=_BS!AT69,"",IF(OR(AT69="",NOT(ISNUMBER(AT69)),ISERROR(AT69),$B69=""),"",IF($I69=1,IFBLANK(_xldudf_CX_PUSH(AT69*fxVal_normal,CX_ENTITY,$B69,AT$11,AT$14,AT$60,),""),IF($I69=2,IFBLANK(_xldudf_CX_PUSH(AT69,CX_ENTITY,$B69,AT$11,AT$14,AT$60,),""),IF($I69=3,"",IFBLANK(_xldudf_CX_PUSH(AT69,CX_ENTITY,$B69,AT$11,AT$14,AT$60,),"")))))),"")</f>
        <v/>
      </c>
      <c r="DH69" s="1883" t="str" cm="1">
        <f t="array" ca="1" aca="1" ref="DH69">IFERROR(IF(AU69*fxVal_normal=_BS!AU69,"",IF(OR(AU69="",NOT(ISNUMBER(AU69)),ISERROR(AU69),$B69=""),"",IF($I69=1,IFBLANK(_xldudf_CX_PUSH(AU69*fxVal_normal,CX_ENTITY,$B69,AU$11,AU$14,AU$60,),""),IF($I69=2,IFBLANK(_xldudf_CX_PUSH(AU69,CX_ENTITY,$B69,AU$11,AU$14,AU$60,),""),IF($I69=3,"",IFBLANK(_xldudf_CX_PUSH(AU69,CX_ENTITY,$B69,AU$11,AU$14,AU$60,),"")))))),"")</f>
        <v/>
      </c>
      <c r="DI69" s="1883" t="str" cm="1">
        <f t="array" ca="1" aca="1" ref="DI69">IFERROR(IF(AV69*fxVal_normal=_BS!AV69,"",IF(OR(AV69="",NOT(ISNUMBER(AV69)),ISERROR(AV69),$B69=""),"",IF($I69=1,IFBLANK(_xldudf_CX_PUSH(AV69*fxVal_normal,CX_ENTITY,$B69,AV$11,AV$14,AV$60,),""),IF($I69=2,IFBLANK(_xldudf_CX_PUSH(AV69,CX_ENTITY,$B69,AV$11,AV$14,AV$60,),""),IF($I69=3,"",IFBLANK(_xldudf_CX_PUSH(AV69,CX_ENTITY,$B69,AV$11,AV$14,AV$60,),"")))))),"")</f>
        <v/>
      </c>
      <c r="DJ69" s="1883" t="str" cm="1">
        <f t="array" ca="1" aca="1" ref="DJ69">IFERROR(IF(AW69*fxVal_normal=_BS!AW69,"",IF(OR(AW69="",NOT(ISNUMBER(AW69)),ISERROR(AW69),$B69=""),"",IF($I69=1,IFBLANK(_xldudf_CX_PUSH(AW69*fxVal_normal,CX_ENTITY,$B69,AW$11,AW$14,AW$60,),""),IF($I69=2,IFBLANK(_xldudf_CX_PUSH(AW69,CX_ENTITY,$B69,AW$11,AW$14,AW$60,),""),IF($I69=3,"",IFBLANK(_xldudf_CX_PUSH(AW69,CX_ENTITY,$B69,AW$11,AW$14,AW$60,),"")))))),"")</f>
        <v/>
      </c>
      <c r="DK69" s="1883" t="str" cm="1">
        <f t="array" ca="1" aca="1" ref="DK69">IFERROR(IF(AX69*fxVal_normal=_BS!AX69,"",IF(OR(AX69="",NOT(ISNUMBER(AX69)),ISERROR(AX69),$B69=""),"",IF($I69=1,IFBLANK(_xldudf_CX_PUSH(AX69*fxVal_normal,CX_ENTITY,$B69,AX$11,AX$14,AX$60,),""),IF($I69=2,IFBLANK(_xldudf_CX_PUSH(AX69,CX_ENTITY,$B69,AX$11,AX$14,AX$60,),""),IF($I69=3,"",IFBLANK(_xldudf_CX_PUSH(AX69,CX_ENTITY,$B69,AX$11,AX$14,AX$60,),"")))))),"")</f>
        <v/>
      </c>
      <c r="DL69" s="1883" t="str" cm="1">
        <f t="array" ca="1" aca="1" ref="DL69">IFERROR(IF(AY69*fxVal_normal=_BS!AY69,"",IF(OR(AY69="",NOT(ISNUMBER(AY69)),ISERROR(AY69),$B69=""),"",IF($I69=1,IFBLANK(_xldudf_CX_PUSH(AY69*fxVal_normal,CX_ENTITY,$B69,AY$11,AY$14,AY$60,),""),IF($I69=2,IFBLANK(_xldudf_CX_PUSH(AY69,CX_ENTITY,$B69,AY$11,AY$14,AY$60,),""),IF($I69=3,"",IFBLANK(_xldudf_CX_PUSH(AY69,CX_ENTITY,$B69,AY$11,AY$14,AY$60,),"")))))),"")</f>
        <v/>
      </c>
      <c r="DM69" s="1883" t="str" cm="1">
        <f t="array" ca="1" aca="1" ref="DM69">IFERROR(IF(AZ69*fxVal_normal=_BS!AZ69,"",IF(OR(AZ69="",NOT(ISNUMBER(AZ69)),ISERROR(AZ69),$B69=""),"",IF($I69=1,IFBLANK(_xldudf_CX_PUSH(AZ69*fxVal_normal,CX_ENTITY,$B69,AZ$11,AZ$14,AZ$60,),""),IF($I69=2,IFBLANK(_xldudf_CX_PUSH(AZ69,CX_ENTITY,$B69,AZ$11,AZ$14,AZ$60,),""),IF($I69=3,"",IFBLANK(_xldudf_CX_PUSH(AZ69,CX_ENTITY,$B69,AZ$11,AZ$14,AZ$60,),"")))))),"")</f>
        <v/>
      </c>
      <c r="DN69" s="1883" t="str" cm="1">
        <f t="array" ca="1" aca="1" ref="DN69">IFERROR(IF(BA69*fxVal_normal=_BS!BA69,"",IF(OR(BA69="",NOT(ISNUMBER(BA69)),ISERROR(BA69),$B69=""),"",IF($I69=1,IFBLANK(_xldudf_CX_PUSH(BA69*fxVal_normal,CX_ENTITY,$B69,BA$11,BA$14,BA$60,),""),IF($I69=2,IFBLANK(_xldudf_CX_PUSH(BA69,CX_ENTITY,$B69,BA$11,BA$14,BA$60,),""),IF($I69=3,"",IFBLANK(_xldudf_CX_PUSH(BA69,CX_ENTITY,$B69,BA$11,BA$14,BA$60,),"")))))),"")</f>
        <v/>
      </c>
      <c r="DO69" s="1883" t="str" cm="1">
        <f t="array" ca="1" aca="1" ref="DO69">IFERROR(IF(BB69*fxVal_normal=_BS!BB69,"",IF(OR(BB69="",NOT(ISNUMBER(BB69)),ISERROR(BB69),$B69=""),"",IF($I69=1,IFBLANK(_xldudf_CX_PUSH(BB69*fxVal_normal,CX_ENTITY,$B69,BB$11,BB$14,BB$60,),""),IF($I69=2,IFBLANK(_xldudf_CX_PUSH(BB69,CX_ENTITY,$B69,BB$11,BB$14,BB$60,),""),IF($I69=3,"",IFBLANK(_xldudf_CX_PUSH(BB69,CX_ENTITY,$B69,BB$11,BB$14,BB$60,),"")))))),"")</f>
        <v/>
      </c>
      <c r="DP69" s="1883" t="str" cm="1">
        <f t="array" ca="1" aca="1" ref="DP69">IFERROR(IF(BC69*fxVal_normal=_BS!BC69,"",IF(OR(BC69="",NOT(ISNUMBER(BC69)),ISERROR(BC69),$B69=""),"",IF($I69=1,IFBLANK(_xldudf_CX_PUSH(BC69*fxVal_normal,CX_ENTITY,$B69,BC$11,BC$14,BC$60,),""),IF($I69=2,IFBLANK(_xldudf_CX_PUSH(BC69,CX_ENTITY,$B69,BC$11,BC$14,BC$60,),""),IF($I69=3,"",IFBLANK(_xldudf_CX_PUSH(BC69,CX_ENTITY,$B69,BC$11,BC$14,BC$60,),"")))))),"")</f>
        <v/>
      </c>
      <c r="DQ69" s="1883" t="str" cm="1">
        <f t="array" ca="1" aca="1" ref="DQ69">IFERROR(IF(BD69*fxVal_normal=_BS!BD69,"",IF(OR(BD69="",NOT(ISNUMBER(BD69)),ISERROR(BD69),$B69=""),"",IF($I69=1,IFBLANK(_xldudf_CX_PUSH(BD69*fxVal_normal,CX_ENTITY,$B69,BD$11,BD$14,BD$60,),""),IF($I69=2,IFBLANK(_xldudf_CX_PUSH(BD69,CX_ENTITY,$B69,BD$11,BD$14,BD$60,),""),IF($I69=3,"",IFBLANK(_xldudf_CX_PUSH(BD69,CX_ENTITY,$B69,BD$11,BD$14,BD$60,),"")))))),"")</f>
        <v/>
      </c>
      <c r="DR69" s="1883" t="str" cm="1">
        <f t="array" ca="1" aca="1" ref="DR69">IFERROR(IF(BE69*fxVal_normal=_BS!BE69,"",IF(OR(BE69="",NOT(ISNUMBER(BE69)),ISERROR(BE69),$B69=""),"",IF($I69=1,IFBLANK(_xldudf_CX_PUSH(BE69*fxVal_normal,CX_ENTITY,$B69,BE$11,BE$14,BE$60,),""),IF($I69=2,IFBLANK(_xldudf_CX_PUSH(BE69,CX_ENTITY,$B69,BE$11,BE$14,BE$60,),""),IF($I69=3,"",IFBLANK(_xldudf_CX_PUSH(BE69,CX_ENTITY,$B69,BE$11,BE$14,BE$60,),"")))))),"")</f>
        <v/>
      </c>
      <c r="DS69" s="1883" t="str" cm="1">
        <f t="array" ca="1" aca="1" ref="DS69">IFERROR(IF(BF69*fxVal_normal=_BS!BF69,"",IF(OR(BF69="",NOT(ISNUMBER(BF69)),ISERROR(BF69),$B69=""),"",IF($I69=1,IFBLANK(_xldudf_CX_PUSH(BF69*fxVal_normal,CX_ENTITY,$B69,BF$11,BF$14,BF$60,),""),IF($I69=2,IFBLANK(_xldudf_CX_PUSH(BF69,CX_ENTITY,$B69,BF$11,BF$14,BF$60,),""),IF($I69=3,"",IFBLANK(_xldudf_CX_PUSH(BF69,CX_ENTITY,$B69,BF$11,BF$14,BF$60,),"")))))),"")</f>
        <v/>
      </c>
      <c r="DT69" s="1883" t="str" cm="1">
        <f t="array" ca="1" aca="1" ref="DT69">IFERROR(IF(BG69*fxVal_normal=_BS!BG69,"",IF(OR(BG69="",NOT(ISNUMBER(BG69)),ISERROR(BG69),$B69=""),"",IF($I69=1,IFBLANK(_xldudf_CX_PUSH(BG69*fxVal_normal,CX_ENTITY,$B69,BG$11,BG$14,BG$60,),""),IF($I69=2,IFBLANK(_xldudf_CX_PUSH(BG69,CX_ENTITY,$B69,BG$11,BG$14,BG$60,),""),IF($I69=3,"",IFBLANK(_xldudf_CX_PUSH(BG69,CX_ENTITY,$B69,BG$11,BG$14,BG$60,),"")))))),"")</f>
        <v/>
      </c>
      <c r="DU69" s="1883" t="str" cm="1">
        <f t="array" ca="1" aca="1" ref="DU69">IFERROR(IF(BH69*fxVal_normal=_BS!BH69,"",IF(OR(BH69="",NOT(ISNUMBER(BH69)),ISERROR(BH69),$B69=""),"",IF($I69=1,IFBLANK(_xldudf_CX_PUSH(BH69*fxVal_normal,CX_ENTITY,$B69,BH$11,BH$14,BH$60,),""),IF($I69=2,IFBLANK(_xldudf_CX_PUSH(BH69,CX_ENTITY,$B69,BH$11,BH$14,BH$60,),""),IF($I69=3,"",IFBLANK(_xldudf_CX_PUSH(BH69,CX_ENTITY,$B69,BH$11,BH$14,BH$60,),"")))))),"")</f>
        <v/>
      </c>
      <c r="DV69" s="1883" t="str" cm="1">
        <f t="array" ca="1" aca="1" ref="DV69">IFERROR(IF(BI69*fxVal_normal=_BS!BI69,"",IF(OR(BI69="",NOT(ISNUMBER(BI69)),ISERROR(BI69),$B69=""),"",IF($I69=1,IFBLANK(_xldudf_CX_PUSH(BI69*fxVal_normal,CX_ENTITY,$B69,BI$11,BI$14,BI$60,),""),IF($I69=2,IFBLANK(_xldudf_CX_PUSH(BI69,CX_ENTITY,$B69,BI$11,BI$14,BI$60,),""),IF($I69=3,"",IFBLANK(_xldudf_CX_PUSH(BI69,CX_ENTITY,$B69,BI$11,BI$14,BI$60,),"")))))),"")</f>
        <v/>
      </c>
      <c r="DW69" s="1883" t="str" cm="1">
        <f t="array" ca="1" aca="1" ref="DW69">IFERROR(IF(BJ69*fxVal_normal=_BS!BJ69,"",IF(OR(BJ69="",NOT(ISNUMBER(BJ69)),ISERROR(BJ69),$B69=""),"",IF($I69=1,IFBLANK(_xldudf_CX_PUSH(BJ69*fxVal_normal,CX_ENTITY,$B69,BJ$11,BJ$14,BJ$60,),""),IF($I69=2,IFBLANK(_xldudf_CX_PUSH(BJ69,CX_ENTITY,$B69,BJ$11,BJ$14,BJ$60,),""),IF($I69=3,"",IFBLANK(_xldudf_CX_PUSH(BJ69,CX_ENTITY,$B69,BJ$11,BJ$14,BJ$60,),"")))))),"")</f>
        <v/>
      </c>
      <c r="DX69" s="1883" t="str" cm="1">
        <f t="array" ca="1" aca="1" ref="DX69">IFERROR(IF(BK69*fxVal_normal=_BS!BK69,"",IF(OR(BK69="",NOT(ISNUMBER(BK69)),ISERROR(BK69),$B69=""),"",IF($I69=1,IFBLANK(_xldudf_CX_PUSH(BK69*fxVal_normal,CX_ENTITY,$B69,BK$11,BK$14,BK$60,),""),IF($I69=2,IFBLANK(_xldudf_CX_PUSH(BK69,CX_ENTITY,$B69,BK$11,BK$14,BK$60,),""),IF($I69=3,"",IFBLANK(_xldudf_CX_PUSH(BK69,CX_ENTITY,$B69,BK$11,BK$14,BK$60,),"")))))),"")</f>
        <v/>
      </c>
      <c r="DY69" s="1883" t="str" cm="1">
        <f t="array" ca="1" aca="1" ref="DY69">IFERROR(IF(BL69*fxVal_normal=_BS!BL69,"",IF(OR(BL69="",NOT(ISNUMBER(BL69)),ISERROR(BL69),$B69=""),"",IF($I69=1,IFBLANK(_xldudf_CX_PUSH(BL69*fxVal_normal,CX_ENTITY,$B69,BL$11,BL$14,BL$60,),""),IF($I69=2,IFBLANK(_xldudf_CX_PUSH(BL69,CX_ENTITY,$B69,BL$11,BL$14,BL$60,),""),IF($I69=3,"",IFBLANK(_xldudf_CX_PUSH(BL69,CX_ENTITY,$B69,BL$11,BL$14,BL$60,),"")))))),"")</f>
        <v/>
      </c>
      <c r="DZ69" s="1883" t="str" cm="1">
        <f t="array" ca="1" aca="1" ref="DZ69">IFERROR(IF(BM69*fxVal_normal=_BS!BM69,"",IF(OR(BM69="",NOT(ISNUMBER(BM69)),ISERROR(BM69),$B69=""),"",IF($I69=1,IFBLANK(_xldudf_CX_PUSH(BM69*fxVal_normal,CX_ENTITY,$B69,BM$11,BM$14,BM$60,),""),IF($I69=2,IFBLANK(_xldudf_CX_PUSH(BM69,CX_ENTITY,$B69,BM$11,BM$14,BM$60,),""),IF($I69=3,"",IFBLANK(_xldudf_CX_PUSH(BM69,CX_ENTITY,$B69,BM$11,BM$14,BM$60,),"")))))),"")</f>
        <v/>
      </c>
      <c r="EA69" s="1883" t="str" cm="1">
        <f t="array" ca="1" aca="1" ref="EA69">IFERROR(IF(BN69*fxVal_normal=_BS!BN69,"",IF(OR(BN69="",NOT(ISNUMBER(BN69)),ISERROR(BN69),$B69=""),"",IF($I69=1,IFBLANK(_xldudf_CX_PUSH(BN69*fxVal_normal,CX_ENTITY,$B69,BN$11,BN$14,BN$60,),""),IF($I69=2,IFBLANK(_xldudf_CX_PUSH(BN69,CX_ENTITY,$B69,BN$11,BN$14,BN$60,),""),IF($I69=3,"",IFBLANK(_xldudf_CX_PUSH(BN69,CX_ENTITY,$B69,BN$11,BN$14,BN$60,),"")))))),"")</f>
        <v/>
      </c>
    </row>
    <row r="70" spans="1:131" ht="21" customHeight="1">
      <c r="A70" s="1646"/>
      <c r="B70" s="811" t="str" cm="1">
        <f t="array" ref="B70">IFBLANK(_BS!F70,"")</f>
        <v>Other Assets</v>
      </c>
      <c r="C70" s="811" t="str" cm="1">
        <f t="array" ref="C70">IFBLANK(_BS!C70,"")</f>
        <v>Other Assets (Company View)</v>
      </c>
      <c r="D70" s="1549"/>
      <c r="E70" s="1902" t="e" cm="1">
        <f t="array" ca="1" aca="1" ref="E7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70:$CH70,Z70)</f>
        <v>#NAME?</v>
      </c>
      <c r="F70" s="1897"/>
      <c r="G70" s="1897"/>
      <c r="H70" s="3280">
        <v>1</v>
      </c>
      <c r="I70" s="3280">
        <v>1</v>
      </c>
      <c r="J70" s="401"/>
      <c r="N70" s="158"/>
      <c r="O70" s="101"/>
      <c r="P70" s="52"/>
      <c r="Q70" s="101"/>
      <c r="R70" s="126"/>
      <c r="S70" s="101"/>
      <c r="T70" s="101"/>
      <c r="U70" s="39"/>
      <c r="W70" s="930" t="str">
        <f t="shared" si="18"/>
        <v>Budget</v>
      </c>
      <c r="X70" s="3292">
        <f>_BS!X70</f>
        <v>1</v>
      </c>
      <c r="Y70" s="3230">
        <f t="shared" si="17"/>
        <v>2</v>
      </c>
      <c r="Z70" s="198" cm="1">
        <f t="array" ref="Z70">_xlfn.SWITCH(TRUE,_BS!$L70=TRUE,1,_BS!$L70=FALSE,-1,_BS!$L70=-1,0,"n/a")</f>
        <v>-1</v>
      </c>
      <c r="AA70" s="200"/>
      <c r="AB70" s="88" t="str">
        <f>_BS!AB70</f>
        <v>Other Assets</v>
      </c>
      <c r="AC70" s="88" t="e" vm="5" cm="1">
        <f t="array" ca="1" aca="1" ref="AC70">_xlfn.LET(_xlpm._termname,$AB70,_xlpm._iconname,"find",_xlpm._icon,fx_getIcon(_xlpm._iconname),_xlpm._location,_xlfn.XLOOKUP(LOWER(_xlpm._termname),LOWER(tbl_acctDef[Term]),tbl_acctDef[Term]),_xlpm._hyperlink,HYPERLINK("#"&amp;CELL("address",_xlpm._location),_xlpm._icon),IFERROR(_xlpm._hyperlink,""))</f>
        <v>#VALUE!</v>
      </c>
      <c r="AD70" s="3229">
        <v>1</v>
      </c>
      <c r="AE70" s="3229">
        <v>1</v>
      </c>
      <c r="AF70" s="3229">
        <v>1</v>
      </c>
      <c r="AG70" s="3229">
        <v>1</v>
      </c>
      <c r="AH70" s="3229">
        <v>1</v>
      </c>
      <c r="AI70" s="3229">
        <v>1</v>
      </c>
      <c r="AJ70" s="3229">
        <v>1</v>
      </c>
      <c r="AK70" s="3229">
        <v>1</v>
      </c>
      <c r="AL70" s="3229">
        <v>1</v>
      </c>
      <c r="AM70" s="3229">
        <v>1</v>
      </c>
      <c r="AN70" s="3229">
        <v>1</v>
      </c>
      <c r="AO70" s="3229">
        <v>1</v>
      </c>
      <c r="AP70" s="3229">
        <v>1</v>
      </c>
      <c r="AQ70" s="3229">
        <v>1</v>
      </c>
      <c r="AR70" s="3229">
        <v>1</v>
      </c>
      <c r="AS70" s="3229">
        <v>1</v>
      </c>
      <c r="AT70" s="3229">
        <v>1</v>
      </c>
      <c r="AU70" s="3229">
        <v>1</v>
      </c>
      <c r="AV70" s="3229">
        <v>1</v>
      </c>
      <c r="AW70" s="3229">
        <v>1</v>
      </c>
      <c r="AX70" s="3229">
        <v>1</v>
      </c>
      <c r="AY70" s="3229">
        <v>1</v>
      </c>
      <c r="AZ70" s="3229">
        <v>1</v>
      </c>
      <c r="BA70" s="3229">
        <v>1</v>
      </c>
      <c r="BB70" s="3229">
        <v>1</v>
      </c>
      <c r="BC70" s="3229">
        <v>1</v>
      </c>
      <c r="BD70" s="3229">
        <v>1</v>
      </c>
      <c r="BE70" s="3229">
        <v>1</v>
      </c>
      <c r="BF70" s="3229">
        <v>1</v>
      </c>
      <c r="BG70" s="3229">
        <v>1</v>
      </c>
      <c r="BH70" s="3229">
        <v>1</v>
      </c>
      <c r="BI70" s="3229">
        <v>1</v>
      </c>
      <c r="BJ70" s="3229">
        <v>1</v>
      </c>
      <c r="BK70" s="3229">
        <v>1</v>
      </c>
      <c r="BL70" s="3229">
        <v>1</v>
      </c>
      <c r="BM70" s="3229">
        <v>1</v>
      </c>
      <c r="BN70" s="3229">
        <v>1</v>
      </c>
      <c r="BO70" s="2095"/>
      <c r="BP70" s="2095"/>
      <c r="BQ70" s="2095"/>
      <c r="BR70" s="2095"/>
      <c r="BS70" s="2095"/>
      <c r="BT70" s="2095"/>
      <c r="BU70" s="2095"/>
      <c r="BV70" s="2095"/>
      <c r="BW70" s="2095"/>
      <c r="BX70" s="2095"/>
      <c r="BY70" s="2095"/>
      <c r="BZ70" s="2095"/>
      <c r="CA70" s="926"/>
      <c r="CB70" s="921"/>
      <c r="CC70" s="927"/>
      <c r="CD70" s="928" t="e" cm="1">
        <f t="array" ca="1" aca="1" ref="CD70">_xlfn.XLOOKUP(BS!CD$11,array_timeline,BS!$AD70:$BN70)</f>
        <v>#NAME?</v>
      </c>
      <c r="CE70" s="928" t="e" cm="1">
        <f t="array" ca="1" aca="1" ref="CE70">_xlfn.XLOOKUP(BS!CE$11,array_timeline,BS!$AD70:$BN70)</f>
        <v>#NAME?</v>
      </c>
      <c r="CF70" s="925"/>
      <c r="CG70" s="2122" t="e">
        <f t="shared" ca="1" si="16"/>
        <v>#NAME?</v>
      </c>
      <c r="CH70" s="2122" t="e">
        <f t="shared" ca="1" si="16"/>
        <v>#NAME?</v>
      </c>
      <c r="CI70" s="200"/>
      <c r="CQ70" s="1883" t="str" cm="1">
        <f t="array" ca="1" aca="1" ref="CQ70">IFERROR(IF(AD70*fxVal_normal=_BS!AD70,"",IF(OR(AD70="",NOT(ISNUMBER(AD70)),ISERROR(AD70),$B70=""),"",IF($I70=1,IFBLANK(_xldudf_CX_PUSH(AD70*fxVal_normal,CX_ENTITY,$B70,AD$11,AD$14,AD$60,),""),IF($I70=2,IFBLANK(_xldudf_CX_PUSH(AD70,CX_ENTITY,$B70,AD$11,AD$14,AD$60,),""),IF($I70=3,"",IFBLANK(_xldudf_CX_PUSH(AD70,CX_ENTITY,$B70,AD$11,AD$14,AD$60,),"")))))),"")</f>
        <v/>
      </c>
      <c r="CR70" s="1883" t="str" cm="1">
        <f t="array" ca="1" aca="1" ref="CR70">IFERROR(IF(AE70*fxVal_normal=_BS!AE70,"",IF(OR(AE70="",NOT(ISNUMBER(AE70)),ISERROR(AE70),$B70=""),"",IF($I70=1,IFBLANK(_xldudf_CX_PUSH(AE70*fxVal_normal,CX_ENTITY,$B70,AE$11,AE$14,AE$60,),""),IF($I70=2,IFBLANK(_xldudf_CX_PUSH(AE70,CX_ENTITY,$B70,AE$11,AE$14,AE$60,),""),IF($I70=3,"",IFBLANK(_xldudf_CX_PUSH(AE70,CX_ENTITY,$B70,AE$11,AE$14,AE$60,),"")))))),"")</f>
        <v/>
      </c>
      <c r="CS70" s="1883" t="str" cm="1">
        <f t="array" ca="1" aca="1" ref="CS70">IFERROR(IF(AF70*fxVal_normal=_BS!AF70,"",IF(OR(AF70="",NOT(ISNUMBER(AF70)),ISERROR(AF70),$B70=""),"",IF($I70=1,IFBLANK(_xldudf_CX_PUSH(AF70*fxVal_normal,CX_ENTITY,$B70,AF$11,AF$14,AF$60,),""),IF($I70=2,IFBLANK(_xldudf_CX_PUSH(AF70,CX_ENTITY,$B70,AF$11,AF$14,AF$60,),""),IF($I70=3,"",IFBLANK(_xldudf_CX_PUSH(AF70,CX_ENTITY,$B70,AF$11,AF$14,AF$60,),"")))))),"")</f>
        <v/>
      </c>
      <c r="CT70" s="1883" t="str" cm="1">
        <f t="array" ca="1" aca="1" ref="CT70">IFERROR(IF(AG70*fxVal_normal=_BS!AG70,"",IF(OR(AG70="",NOT(ISNUMBER(AG70)),ISERROR(AG70),$B70=""),"",IF($I70=1,IFBLANK(_xldudf_CX_PUSH(AG70*fxVal_normal,CX_ENTITY,$B70,AG$11,AG$14,AG$60,),""),IF($I70=2,IFBLANK(_xldudf_CX_PUSH(AG70,CX_ENTITY,$B70,AG$11,AG$14,AG$60,),""),IF($I70=3,"",IFBLANK(_xldudf_CX_PUSH(AG70,CX_ENTITY,$B70,AG$11,AG$14,AG$60,),"")))))),"")</f>
        <v/>
      </c>
      <c r="CU70" s="1883" t="str" cm="1">
        <f t="array" ca="1" aca="1" ref="CU70">IFERROR(IF(AH70*fxVal_normal=_BS!AH70,"",IF(OR(AH70="",NOT(ISNUMBER(AH70)),ISERROR(AH70),$B70=""),"",IF($I70=1,IFBLANK(_xldudf_CX_PUSH(AH70*fxVal_normal,CX_ENTITY,$B70,AH$11,AH$14,AH$60,),""),IF($I70=2,IFBLANK(_xldudf_CX_PUSH(AH70,CX_ENTITY,$B70,AH$11,AH$14,AH$60,),""),IF($I70=3,"",IFBLANK(_xldudf_CX_PUSH(AH70,CX_ENTITY,$B70,AH$11,AH$14,AH$60,),"")))))),"")</f>
        <v/>
      </c>
      <c r="CV70" s="1883" t="str" cm="1">
        <f t="array" ca="1" aca="1" ref="CV70">IFERROR(IF(AI70*fxVal_normal=_BS!AI70,"",IF(OR(AI70="",NOT(ISNUMBER(AI70)),ISERROR(AI70),$B70=""),"",IF($I70=1,IFBLANK(_xldudf_CX_PUSH(AI70*fxVal_normal,CX_ENTITY,$B70,AI$11,AI$14,AI$60,),""),IF($I70=2,IFBLANK(_xldudf_CX_PUSH(AI70,CX_ENTITY,$B70,AI$11,AI$14,AI$60,),""),IF($I70=3,"",IFBLANK(_xldudf_CX_PUSH(AI70,CX_ENTITY,$B70,AI$11,AI$14,AI$60,),"")))))),"")</f>
        <v/>
      </c>
      <c r="CW70" s="1883" t="str" cm="1">
        <f t="array" ca="1" aca="1" ref="CW70">IFERROR(IF(AJ70*fxVal_normal=_BS!AJ70,"",IF(OR(AJ70="",NOT(ISNUMBER(AJ70)),ISERROR(AJ70),$B70=""),"",IF($I70=1,IFBLANK(_xldudf_CX_PUSH(AJ70*fxVal_normal,CX_ENTITY,$B70,AJ$11,AJ$14,AJ$60,),""),IF($I70=2,IFBLANK(_xldudf_CX_PUSH(AJ70,CX_ENTITY,$B70,AJ$11,AJ$14,AJ$60,),""),IF($I70=3,"",IFBLANK(_xldudf_CX_PUSH(AJ70,CX_ENTITY,$B70,AJ$11,AJ$14,AJ$60,),"")))))),"")</f>
        <v/>
      </c>
      <c r="CX70" s="1883" t="str" cm="1">
        <f t="array" ca="1" aca="1" ref="CX70">IFERROR(IF(AK70*fxVal_normal=_BS!AK70,"",IF(OR(AK70="",NOT(ISNUMBER(AK70)),ISERROR(AK70),$B70=""),"",IF($I70=1,IFBLANK(_xldudf_CX_PUSH(AK70*fxVal_normal,CX_ENTITY,$B70,AK$11,AK$14,AK$60,),""),IF($I70=2,IFBLANK(_xldudf_CX_PUSH(AK70,CX_ENTITY,$B70,AK$11,AK$14,AK$60,),""),IF($I70=3,"",IFBLANK(_xldudf_CX_PUSH(AK70,CX_ENTITY,$B70,AK$11,AK$14,AK$60,),"")))))),"")</f>
        <v/>
      </c>
      <c r="CY70" s="1883" t="str" cm="1">
        <f t="array" ca="1" aca="1" ref="CY70">IFERROR(IF(AL70*fxVal_normal=_BS!AL70,"",IF(OR(AL70="",NOT(ISNUMBER(AL70)),ISERROR(AL70),$B70=""),"",IF($I70=1,IFBLANK(_xldudf_CX_PUSH(AL70*fxVal_normal,CX_ENTITY,$B70,AL$11,AL$14,AL$60,),""),IF($I70=2,IFBLANK(_xldudf_CX_PUSH(AL70,CX_ENTITY,$B70,AL$11,AL$14,AL$60,),""),IF($I70=3,"",IFBLANK(_xldudf_CX_PUSH(AL70,CX_ENTITY,$B70,AL$11,AL$14,AL$60,),"")))))),"")</f>
        <v/>
      </c>
      <c r="CZ70" s="1883" t="str" cm="1">
        <f t="array" ca="1" aca="1" ref="CZ70">IFERROR(IF(AM70*fxVal_normal=_BS!AM70,"",IF(OR(AM70="",NOT(ISNUMBER(AM70)),ISERROR(AM70),$B70=""),"",IF($I70=1,IFBLANK(_xldudf_CX_PUSH(AM70*fxVal_normal,CX_ENTITY,$B70,AM$11,AM$14,AM$60,),""),IF($I70=2,IFBLANK(_xldudf_CX_PUSH(AM70,CX_ENTITY,$B70,AM$11,AM$14,AM$60,),""),IF($I70=3,"",IFBLANK(_xldudf_CX_PUSH(AM70,CX_ENTITY,$B70,AM$11,AM$14,AM$60,),"")))))),"")</f>
        <v/>
      </c>
      <c r="DA70" s="1883" t="str" cm="1">
        <f t="array" ca="1" aca="1" ref="DA70">IFERROR(IF(AN70*fxVal_normal=_BS!AN70,"",IF(OR(AN70="",NOT(ISNUMBER(AN70)),ISERROR(AN70),$B70=""),"",IF($I70=1,IFBLANK(_xldudf_CX_PUSH(AN70*fxVal_normal,CX_ENTITY,$B70,AN$11,AN$14,AN$60,),""),IF($I70=2,IFBLANK(_xldudf_CX_PUSH(AN70,CX_ENTITY,$B70,AN$11,AN$14,AN$60,),""),IF($I70=3,"",IFBLANK(_xldudf_CX_PUSH(AN70,CX_ENTITY,$B70,AN$11,AN$14,AN$60,),"")))))),"")</f>
        <v/>
      </c>
      <c r="DB70" s="1883" t="str" cm="1">
        <f t="array" ca="1" aca="1" ref="DB70">IFERROR(IF(AO70*fxVal_normal=_BS!AO70,"",IF(OR(AO70="",NOT(ISNUMBER(AO70)),ISERROR(AO70),$B70=""),"",IF($I70=1,IFBLANK(_xldudf_CX_PUSH(AO70*fxVal_normal,CX_ENTITY,$B70,AO$11,AO$14,AO$60,),""),IF($I70=2,IFBLANK(_xldudf_CX_PUSH(AO70,CX_ENTITY,$B70,AO$11,AO$14,AO$60,),""),IF($I70=3,"",IFBLANK(_xldudf_CX_PUSH(AO70,CX_ENTITY,$B70,AO$11,AO$14,AO$60,),"")))))),"")</f>
        <v/>
      </c>
      <c r="DC70" s="1883" t="str" cm="1">
        <f t="array" ca="1" aca="1" ref="DC70">IFERROR(IF(AP70*fxVal_normal=_BS!AP70,"",IF(OR(AP70="",NOT(ISNUMBER(AP70)),ISERROR(AP70),$B70=""),"",IF($I70=1,IFBLANK(_xldudf_CX_PUSH(AP70*fxVal_normal,CX_ENTITY,$B70,AP$11,AP$14,AP$60,),""),IF($I70=2,IFBLANK(_xldudf_CX_PUSH(AP70,CX_ENTITY,$B70,AP$11,AP$14,AP$60,),""),IF($I70=3,"",IFBLANK(_xldudf_CX_PUSH(AP70,CX_ENTITY,$B70,AP$11,AP$14,AP$60,),"")))))),"")</f>
        <v/>
      </c>
      <c r="DD70" s="1883" t="str" cm="1">
        <f t="array" ca="1" aca="1" ref="DD70">IFERROR(IF(AQ70*fxVal_normal=_BS!AQ70,"",IF(OR(AQ70="",NOT(ISNUMBER(AQ70)),ISERROR(AQ70),$B70=""),"",IF($I70=1,IFBLANK(_xldudf_CX_PUSH(AQ70*fxVal_normal,CX_ENTITY,$B70,AQ$11,AQ$14,AQ$60,),""),IF($I70=2,IFBLANK(_xldudf_CX_PUSH(AQ70,CX_ENTITY,$B70,AQ$11,AQ$14,AQ$60,),""),IF($I70=3,"",IFBLANK(_xldudf_CX_PUSH(AQ70,CX_ENTITY,$B70,AQ$11,AQ$14,AQ$60,),"")))))),"")</f>
        <v/>
      </c>
      <c r="DE70" s="1883" t="str" cm="1">
        <f t="array" ca="1" aca="1" ref="DE70">IFERROR(IF(AR70*fxVal_normal=_BS!AR70,"",IF(OR(AR70="",NOT(ISNUMBER(AR70)),ISERROR(AR70),$B70=""),"",IF($I70=1,IFBLANK(_xldudf_CX_PUSH(AR70*fxVal_normal,CX_ENTITY,$B70,AR$11,AR$14,AR$60,),""),IF($I70=2,IFBLANK(_xldudf_CX_PUSH(AR70,CX_ENTITY,$B70,AR$11,AR$14,AR$60,),""),IF($I70=3,"",IFBLANK(_xldudf_CX_PUSH(AR70,CX_ENTITY,$B70,AR$11,AR$14,AR$60,),"")))))),"")</f>
        <v/>
      </c>
      <c r="DF70" s="1883" t="str" cm="1">
        <f t="array" ca="1" aca="1" ref="DF70">IFERROR(IF(AS70*fxVal_normal=_BS!AS70,"",IF(OR(AS70="",NOT(ISNUMBER(AS70)),ISERROR(AS70),$B70=""),"",IF($I70=1,IFBLANK(_xldudf_CX_PUSH(AS70*fxVal_normal,CX_ENTITY,$B70,AS$11,AS$14,AS$60,),""),IF($I70=2,IFBLANK(_xldudf_CX_PUSH(AS70,CX_ENTITY,$B70,AS$11,AS$14,AS$60,),""),IF($I70=3,"",IFBLANK(_xldudf_CX_PUSH(AS70,CX_ENTITY,$B70,AS$11,AS$14,AS$60,),"")))))),"")</f>
        <v/>
      </c>
      <c r="DG70" s="1883" t="str" cm="1">
        <f t="array" ca="1" aca="1" ref="DG70">IFERROR(IF(AT70*fxVal_normal=_BS!AT70,"",IF(OR(AT70="",NOT(ISNUMBER(AT70)),ISERROR(AT70),$B70=""),"",IF($I70=1,IFBLANK(_xldudf_CX_PUSH(AT70*fxVal_normal,CX_ENTITY,$B70,AT$11,AT$14,AT$60,),""),IF($I70=2,IFBLANK(_xldudf_CX_PUSH(AT70,CX_ENTITY,$B70,AT$11,AT$14,AT$60,),""),IF($I70=3,"",IFBLANK(_xldudf_CX_PUSH(AT70,CX_ENTITY,$B70,AT$11,AT$14,AT$60,),"")))))),"")</f>
        <v/>
      </c>
      <c r="DH70" s="1883" t="str" cm="1">
        <f t="array" ca="1" aca="1" ref="DH70">IFERROR(IF(AU70*fxVal_normal=_BS!AU70,"",IF(OR(AU70="",NOT(ISNUMBER(AU70)),ISERROR(AU70),$B70=""),"",IF($I70=1,IFBLANK(_xldudf_CX_PUSH(AU70*fxVal_normal,CX_ENTITY,$B70,AU$11,AU$14,AU$60,),""),IF($I70=2,IFBLANK(_xldudf_CX_PUSH(AU70,CX_ENTITY,$B70,AU$11,AU$14,AU$60,),""),IF($I70=3,"",IFBLANK(_xldudf_CX_PUSH(AU70,CX_ENTITY,$B70,AU$11,AU$14,AU$60,),"")))))),"")</f>
        <v/>
      </c>
      <c r="DI70" s="1883" t="str" cm="1">
        <f t="array" ca="1" aca="1" ref="DI70">IFERROR(IF(AV70*fxVal_normal=_BS!AV70,"",IF(OR(AV70="",NOT(ISNUMBER(AV70)),ISERROR(AV70),$B70=""),"",IF($I70=1,IFBLANK(_xldudf_CX_PUSH(AV70*fxVal_normal,CX_ENTITY,$B70,AV$11,AV$14,AV$60,),""),IF($I70=2,IFBLANK(_xldudf_CX_PUSH(AV70,CX_ENTITY,$B70,AV$11,AV$14,AV$60,),""),IF($I70=3,"",IFBLANK(_xldudf_CX_PUSH(AV70,CX_ENTITY,$B70,AV$11,AV$14,AV$60,),"")))))),"")</f>
        <v/>
      </c>
      <c r="DJ70" s="1883" t="str" cm="1">
        <f t="array" ca="1" aca="1" ref="DJ70">IFERROR(IF(AW70*fxVal_normal=_BS!AW70,"",IF(OR(AW70="",NOT(ISNUMBER(AW70)),ISERROR(AW70),$B70=""),"",IF($I70=1,IFBLANK(_xldudf_CX_PUSH(AW70*fxVal_normal,CX_ENTITY,$B70,AW$11,AW$14,AW$60,),""),IF($I70=2,IFBLANK(_xldudf_CX_PUSH(AW70,CX_ENTITY,$B70,AW$11,AW$14,AW$60,),""),IF($I70=3,"",IFBLANK(_xldudf_CX_PUSH(AW70,CX_ENTITY,$B70,AW$11,AW$14,AW$60,),"")))))),"")</f>
        <v/>
      </c>
      <c r="DK70" s="1883" t="str" cm="1">
        <f t="array" ca="1" aca="1" ref="DK70">IFERROR(IF(AX70*fxVal_normal=_BS!AX70,"",IF(OR(AX70="",NOT(ISNUMBER(AX70)),ISERROR(AX70),$B70=""),"",IF($I70=1,IFBLANK(_xldudf_CX_PUSH(AX70*fxVal_normal,CX_ENTITY,$B70,AX$11,AX$14,AX$60,),""),IF($I70=2,IFBLANK(_xldudf_CX_PUSH(AX70,CX_ENTITY,$B70,AX$11,AX$14,AX$60,),""),IF($I70=3,"",IFBLANK(_xldudf_CX_PUSH(AX70,CX_ENTITY,$B70,AX$11,AX$14,AX$60,),"")))))),"")</f>
        <v/>
      </c>
      <c r="DL70" s="1883" t="str" cm="1">
        <f t="array" ca="1" aca="1" ref="DL70">IFERROR(IF(AY70*fxVal_normal=_BS!AY70,"",IF(OR(AY70="",NOT(ISNUMBER(AY70)),ISERROR(AY70),$B70=""),"",IF($I70=1,IFBLANK(_xldudf_CX_PUSH(AY70*fxVal_normal,CX_ENTITY,$B70,AY$11,AY$14,AY$60,),""),IF($I70=2,IFBLANK(_xldudf_CX_PUSH(AY70,CX_ENTITY,$B70,AY$11,AY$14,AY$60,),""),IF($I70=3,"",IFBLANK(_xldudf_CX_PUSH(AY70,CX_ENTITY,$B70,AY$11,AY$14,AY$60,),"")))))),"")</f>
        <v/>
      </c>
      <c r="DM70" s="1883" t="str" cm="1">
        <f t="array" ca="1" aca="1" ref="DM70">IFERROR(IF(AZ70*fxVal_normal=_BS!AZ70,"",IF(OR(AZ70="",NOT(ISNUMBER(AZ70)),ISERROR(AZ70),$B70=""),"",IF($I70=1,IFBLANK(_xldudf_CX_PUSH(AZ70*fxVal_normal,CX_ENTITY,$B70,AZ$11,AZ$14,AZ$60,),""),IF($I70=2,IFBLANK(_xldudf_CX_PUSH(AZ70,CX_ENTITY,$B70,AZ$11,AZ$14,AZ$60,),""),IF($I70=3,"",IFBLANK(_xldudf_CX_PUSH(AZ70,CX_ENTITY,$B70,AZ$11,AZ$14,AZ$60,),"")))))),"")</f>
        <v/>
      </c>
      <c r="DN70" s="1883" t="str" cm="1">
        <f t="array" ca="1" aca="1" ref="DN70">IFERROR(IF(BA70*fxVal_normal=_BS!BA70,"",IF(OR(BA70="",NOT(ISNUMBER(BA70)),ISERROR(BA70),$B70=""),"",IF($I70=1,IFBLANK(_xldudf_CX_PUSH(BA70*fxVal_normal,CX_ENTITY,$B70,BA$11,BA$14,BA$60,),""),IF($I70=2,IFBLANK(_xldudf_CX_PUSH(BA70,CX_ENTITY,$B70,BA$11,BA$14,BA$60,),""),IF($I70=3,"",IFBLANK(_xldudf_CX_PUSH(BA70,CX_ENTITY,$B70,BA$11,BA$14,BA$60,),"")))))),"")</f>
        <v/>
      </c>
      <c r="DO70" s="1883" t="str" cm="1">
        <f t="array" ca="1" aca="1" ref="DO70">IFERROR(IF(BB70*fxVal_normal=_BS!BB70,"",IF(OR(BB70="",NOT(ISNUMBER(BB70)),ISERROR(BB70),$B70=""),"",IF($I70=1,IFBLANK(_xldudf_CX_PUSH(BB70*fxVal_normal,CX_ENTITY,$B70,BB$11,BB$14,BB$60,),""),IF($I70=2,IFBLANK(_xldudf_CX_PUSH(BB70,CX_ENTITY,$B70,BB$11,BB$14,BB$60,),""),IF($I70=3,"",IFBLANK(_xldudf_CX_PUSH(BB70,CX_ENTITY,$B70,BB$11,BB$14,BB$60,),"")))))),"")</f>
        <v/>
      </c>
      <c r="DP70" s="1883" t="str" cm="1">
        <f t="array" ca="1" aca="1" ref="DP70">IFERROR(IF(BC70*fxVal_normal=_BS!BC70,"",IF(OR(BC70="",NOT(ISNUMBER(BC70)),ISERROR(BC70),$B70=""),"",IF($I70=1,IFBLANK(_xldudf_CX_PUSH(BC70*fxVal_normal,CX_ENTITY,$B70,BC$11,BC$14,BC$60,),""),IF($I70=2,IFBLANK(_xldudf_CX_PUSH(BC70,CX_ENTITY,$B70,BC$11,BC$14,BC$60,),""),IF($I70=3,"",IFBLANK(_xldudf_CX_PUSH(BC70,CX_ENTITY,$B70,BC$11,BC$14,BC$60,),"")))))),"")</f>
        <v/>
      </c>
      <c r="DQ70" s="1883" t="str" cm="1">
        <f t="array" ca="1" aca="1" ref="DQ70">IFERROR(IF(BD70*fxVal_normal=_BS!BD70,"",IF(OR(BD70="",NOT(ISNUMBER(BD70)),ISERROR(BD70),$B70=""),"",IF($I70=1,IFBLANK(_xldudf_CX_PUSH(BD70*fxVal_normal,CX_ENTITY,$B70,BD$11,BD$14,BD$60,),""),IF($I70=2,IFBLANK(_xldudf_CX_PUSH(BD70,CX_ENTITY,$B70,BD$11,BD$14,BD$60,),""),IF($I70=3,"",IFBLANK(_xldudf_CX_PUSH(BD70,CX_ENTITY,$B70,BD$11,BD$14,BD$60,),"")))))),"")</f>
        <v/>
      </c>
      <c r="DR70" s="1883" t="str" cm="1">
        <f t="array" ca="1" aca="1" ref="DR70">IFERROR(IF(BE70*fxVal_normal=_BS!BE70,"",IF(OR(BE70="",NOT(ISNUMBER(BE70)),ISERROR(BE70),$B70=""),"",IF($I70=1,IFBLANK(_xldudf_CX_PUSH(BE70*fxVal_normal,CX_ENTITY,$B70,BE$11,BE$14,BE$60,),""),IF($I70=2,IFBLANK(_xldudf_CX_PUSH(BE70,CX_ENTITY,$B70,BE$11,BE$14,BE$60,),""),IF($I70=3,"",IFBLANK(_xldudf_CX_PUSH(BE70,CX_ENTITY,$B70,BE$11,BE$14,BE$60,),"")))))),"")</f>
        <v/>
      </c>
      <c r="DS70" s="1883" t="str" cm="1">
        <f t="array" ca="1" aca="1" ref="DS70">IFERROR(IF(BF70*fxVal_normal=_BS!BF70,"",IF(OR(BF70="",NOT(ISNUMBER(BF70)),ISERROR(BF70),$B70=""),"",IF($I70=1,IFBLANK(_xldudf_CX_PUSH(BF70*fxVal_normal,CX_ENTITY,$B70,BF$11,BF$14,BF$60,),""),IF($I70=2,IFBLANK(_xldudf_CX_PUSH(BF70,CX_ENTITY,$B70,BF$11,BF$14,BF$60,),""),IF($I70=3,"",IFBLANK(_xldudf_CX_PUSH(BF70,CX_ENTITY,$B70,BF$11,BF$14,BF$60,),"")))))),"")</f>
        <v/>
      </c>
      <c r="DT70" s="1883" t="str" cm="1">
        <f t="array" ca="1" aca="1" ref="DT70">IFERROR(IF(BG70*fxVal_normal=_BS!BG70,"",IF(OR(BG70="",NOT(ISNUMBER(BG70)),ISERROR(BG70),$B70=""),"",IF($I70=1,IFBLANK(_xldudf_CX_PUSH(BG70*fxVal_normal,CX_ENTITY,$B70,BG$11,BG$14,BG$60,),""),IF($I70=2,IFBLANK(_xldudf_CX_PUSH(BG70,CX_ENTITY,$B70,BG$11,BG$14,BG$60,),""),IF($I70=3,"",IFBLANK(_xldudf_CX_PUSH(BG70,CX_ENTITY,$B70,BG$11,BG$14,BG$60,),"")))))),"")</f>
        <v/>
      </c>
      <c r="DU70" s="1883" t="str" cm="1">
        <f t="array" ca="1" aca="1" ref="DU70">IFERROR(IF(BH70*fxVal_normal=_BS!BH70,"",IF(OR(BH70="",NOT(ISNUMBER(BH70)),ISERROR(BH70),$B70=""),"",IF($I70=1,IFBLANK(_xldudf_CX_PUSH(BH70*fxVal_normal,CX_ENTITY,$B70,BH$11,BH$14,BH$60,),""),IF($I70=2,IFBLANK(_xldudf_CX_PUSH(BH70,CX_ENTITY,$B70,BH$11,BH$14,BH$60,),""),IF($I70=3,"",IFBLANK(_xldudf_CX_PUSH(BH70,CX_ENTITY,$B70,BH$11,BH$14,BH$60,),"")))))),"")</f>
        <v/>
      </c>
      <c r="DV70" s="1883" t="str" cm="1">
        <f t="array" ca="1" aca="1" ref="DV70">IFERROR(IF(BI70*fxVal_normal=_BS!BI70,"",IF(OR(BI70="",NOT(ISNUMBER(BI70)),ISERROR(BI70),$B70=""),"",IF($I70=1,IFBLANK(_xldudf_CX_PUSH(BI70*fxVal_normal,CX_ENTITY,$B70,BI$11,BI$14,BI$60,),""),IF($I70=2,IFBLANK(_xldudf_CX_PUSH(BI70,CX_ENTITY,$B70,BI$11,BI$14,BI$60,),""),IF($I70=3,"",IFBLANK(_xldudf_CX_PUSH(BI70,CX_ENTITY,$B70,BI$11,BI$14,BI$60,),"")))))),"")</f>
        <v/>
      </c>
      <c r="DW70" s="1883" t="str" cm="1">
        <f t="array" ca="1" aca="1" ref="DW70">IFERROR(IF(BJ70*fxVal_normal=_BS!BJ70,"",IF(OR(BJ70="",NOT(ISNUMBER(BJ70)),ISERROR(BJ70),$B70=""),"",IF($I70=1,IFBLANK(_xldudf_CX_PUSH(BJ70*fxVal_normal,CX_ENTITY,$B70,BJ$11,BJ$14,BJ$60,),""),IF($I70=2,IFBLANK(_xldudf_CX_PUSH(BJ70,CX_ENTITY,$B70,BJ$11,BJ$14,BJ$60,),""),IF($I70=3,"",IFBLANK(_xldudf_CX_PUSH(BJ70,CX_ENTITY,$B70,BJ$11,BJ$14,BJ$60,),"")))))),"")</f>
        <v/>
      </c>
      <c r="DX70" s="1883" t="str" cm="1">
        <f t="array" ca="1" aca="1" ref="DX70">IFERROR(IF(BK70*fxVal_normal=_BS!BK70,"",IF(OR(BK70="",NOT(ISNUMBER(BK70)),ISERROR(BK70),$B70=""),"",IF($I70=1,IFBLANK(_xldudf_CX_PUSH(BK70*fxVal_normal,CX_ENTITY,$B70,BK$11,BK$14,BK$60,),""),IF($I70=2,IFBLANK(_xldudf_CX_PUSH(BK70,CX_ENTITY,$B70,BK$11,BK$14,BK$60,),""),IF($I70=3,"",IFBLANK(_xldudf_CX_PUSH(BK70,CX_ENTITY,$B70,BK$11,BK$14,BK$60,),"")))))),"")</f>
        <v/>
      </c>
      <c r="DY70" s="1883" t="str" cm="1">
        <f t="array" ca="1" aca="1" ref="DY70">IFERROR(IF(BL70*fxVal_normal=_BS!BL70,"",IF(OR(BL70="",NOT(ISNUMBER(BL70)),ISERROR(BL70),$B70=""),"",IF($I70=1,IFBLANK(_xldudf_CX_PUSH(BL70*fxVal_normal,CX_ENTITY,$B70,BL$11,BL$14,BL$60,),""),IF($I70=2,IFBLANK(_xldudf_CX_PUSH(BL70,CX_ENTITY,$B70,BL$11,BL$14,BL$60,),""),IF($I70=3,"",IFBLANK(_xldudf_CX_PUSH(BL70,CX_ENTITY,$B70,BL$11,BL$14,BL$60,),"")))))),"")</f>
        <v/>
      </c>
      <c r="DZ70" s="1883" t="str" cm="1">
        <f t="array" ca="1" aca="1" ref="DZ70">IFERROR(IF(BM70*fxVal_normal=_BS!BM70,"",IF(OR(BM70="",NOT(ISNUMBER(BM70)),ISERROR(BM70),$B70=""),"",IF($I70=1,IFBLANK(_xldudf_CX_PUSH(BM70*fxVal_normal,CX_ENTITY,$B70,BM$11,BM$14,BM$60,),""),IF($I70=2,IFBLANK(_xldudf_CX_PUSH(BM70,CX_ENTITY,$B70,BM$11,BM$14,BM$60,),""),IF($I70=3,"",IFBLANK(_xldudf_CX_PUSH(BM70,CX_ENTITY,$B70,BM$11,BM$14,BM$60,),"")))))),"")</f>
        <v/>
      </c>
      <c r="EA70" s="1883" t="str" cm="1">
        <f t="array" ca="1" aca="1" ref="EA70">IFERROR(IF(BN70*fxVal_normal=_BS!BN70,"",IF(OR(BN70="",NOT(ISNUMBER(BN70)),ISERROR(BN70),$B70=""),"",IF($I70=1,IFBLANK(_xldudf_CX_PUSH(BN70*fxVal_normal,CX_ENTITY,$B70,BN$11,BN$14,BN$60,),""),IF($I70=2,IFBLANK(_xldudf_CX_PUSH(BN70,CX_ENTITY,$B70,BN$11,BN$14,BN$60,),""),IF($I70=3,"",IFBLANK(_xldudf_CX_PUSH(BN70,CX_ENTITY,$B70,BN$11,BN$14,BN$60,),"")))))),"")</f>
        <v/>
      </c>
    </row>
    <row r="71" spans="1:131" ht="21" customHeight="1">
      <c r="A71" s="1646"/>
      <c r="B71" s="811" t="str" cm="1">
        <f t="array" ref="B71">IFBLANK(_BS!F71,"")</f>
        <v>Net Capital Employed</v>
      </c>
      <c r="C71" s="811" t="str" cm="1">
        <f t="array" ref="C71">IFBLANK(_BS!C71,"")</f>
        <v>Net Capital Employed (Company View)</v>
      </c>
      <c r="D71" s="1549"/>
      <c r="E71" s="1902" t="e" cm="1">
        <f t="array" ca="1" aca="1" ref="E7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71:$CH71,Z71)</f>
        <v>#NAME?</v>
      </c>
      <c r="F71" s="1897"/>
      <c r="G71" s="1897"/>
      <c r="H71" s="3280">
        <v>2</v>
      </c>
      <c r="I71" s="3280">
        <v>1</v>
      </c>
      <c r="J71" s="401"/>
      <c r="L71" s="921"/>
      <c r="M71" s="921"/>
      <c r="N71" s="158"/>
      <c r="O71" s="101"/>
      <c r="P71" s="52"/>
      <c r="Q71" s="101"/>
      <c r="R71" s="101"/>
      <c r="S71" s="101"/>
      <c r="T71" s="101"/>
      <c r="U71" s="39"/>
      <c r="V71" s="921"/>
      <c r="W71" s="1291" t="str">
        <f t="shared" si="18"/>
        <v>Budget</v>
      </c>
      <c r="X71" s="1294">
        <f>_BS!X71</f>
        <v>0</v>
      </c>
      <c r="Y71" s="1593" t="str">
        <f t="shared" si="17"/>
        <v>Net Capital Employed</v>
      </c>
      <c r="Z71" s="198" cm="1">
        <f t="array" ref="Z71">_xlfn.SWITCH(TRUE,_BS!$L71=TRUE,1,_BS!$L71=FALSE,-1,_BS!$L71=-1,0,"n/a")</f>
        <v>0</v>
      </c>
      <c r="AA71" s="924"/>
      <c r="AB71" s="925" t="str">
        <f>_BS!AB71</f>
        <v>Net Capital Employed</v>
      </c>
      <c r="AC71" s="88" t="str" cm="1">
        <f t="array" ca="1" aca="1" ref="AC71">_xlfn.LET(_xlpm._termname,$AB71,_xlpm._iconname,"find",_xlpm._icon,fx_getIcon(_xlpm._iconname),_xlpm._location,_xlfn.XLOOKUP(LOWER(_xlpm._termname),LOWER(tbl_acctDef[Term]),tbl_acctDef[Term]),_xlpm._hyperlink,HYPERLINK("#"&amp;CELL("address",_xlpm._location),_xlpm._icon),IFERROR(_xlpm._hyperlink,""))</f>
        <v/>
      </c>
      <c r="AD71" s="919">
        <f t="shared" si="21" ref="AD71:BN71">SUBTOTAL(9,AD61:AD70)</f>
        <v>8</v>
      </c>
      <c r="AE71" s="919">
        <f t="shared" si="21"/>
        <v>8</v>
      </c>
      <c r="AF71" s="919">
        <f t="shared" si="21"/>
        <v>8</v>
      </c>
      <c r="AG71" s="919">
        <f t="shared" si="21"/>
        <v>8</v>
      </c>
      <c r="AH71" s="919">
        <f t="shared" si="21"/>
        <v>8</v>
      </c>
      <c r="AI71" s="919">
        <f t="shared" si="21"/>
        <v>8</v>
      </c>
      <c r="AJ71" s="919">
        <f t="shared" si="21"/>
        <v>8</v>
      </c>
      <c r="AK71" s="919">
        <f t="shared" si="21"/>
        <v>8</v>
      </c>
      <c r="AL71" s="919">
        <f t="shared" si="21"/>
        <v>8</v>
      </c>
      <c r="AM71" s="919">
        <f t="shared" si="21"/>
        <v>8</v>
      </c>
      <c r="AN71" s="919">
        <f t="shared" si="21"/>
        <v>8</v>
      </c>
      <c r="AO71" s="919">
        <f t="shared" si="21"/>
        <v>8</v>
      </c>
      <c r="AP71" s="919">
        <f t="shared" si="21"/>
        <v>8</v>
      </c>
      <c r="AQ71" s="919">
        <f t="shared" si="21"/>
        <v>8</v>
      </c>
      <c r="AR71" s="919">
        <f t="shared" si="21"/>
        <v>8</v>
      </c>
      <c r="AS71" s="919">
        <f t="shared" si="21"/>
        <v>8</v>
      </c>
      <c r="AT71" s="919">
        <f t="shared" si="21"/>
        <v>8</v>
      </c>
      <c r="AU71" s="919">
        <f t="shared" si="21"/>
        <v>8</v>
      </c>
      <c r="AV71" s="919">
        <f t="shared" si="21"/>
        <v>8</v>
      </c>
      <c r="AW71" s="919">
        <f t="shared" si="21"/>
        <v>8</v>
      </c>
      <c r="AX71" s="919">
        <f t="shared" si="21"/>
        <v>8</v>
      </c>
      <c r="AY71" s="919">
        <f t="shared" si="21"/>
        <v>8</v>
      </c>
      <c r="AZ71" s="919">
        <f t="shared" si="21"/>
        <v>8</v>
      </c>
      <c r="BA71" s="919">
        <f t="shared" si="21"/>
        <v>8</v>
      </c>
      <c r="BB71" s="919">
        <f t="shared" si="21"/>
        <v>8</v>
      </c>
      <c r="BC71" s="919">
        <f t="shared" si="21"/>
        <v>8</v>
      </c>
      <c r="BD71" s="919">
        <f t="shared" si="21"/>
        <v>8</v>
      </c>
      <c r="BE71" s="919">
        <f t="shared" si="21"/>
        <v>8</v>
      </c>
      <c r="BF71" s="919">
        <f t="shared" si="21"/>
        <v>8</v>
      </c>
      <c r="BG71" s="919">
        <f t="shared" si="21"/>
        <v>8</v>
      </c>
      <c r="BH71" s="919">
        <f t="shared" si="21"/>
        <v>8</v>
      </c>
      <c r="BI71" s="919">
        <f t="shared" si="21"/>
        <v>8</v>
      </c>
      <c r="BJ71" s="919">
        <f t="shared" si="21"/>
        <v>8</v>
      </c>
      <c r="BK71" s="919">
        <f t="shared" si="21"/>
        <v>8</v>
      </c>
      <c r="BL71" s="919">
        <f t="shared" si="21"/>
        <v>8</v>
      </c>
      <c r="BM71" s="919">
        <f t="shared" si="21"/>
        <v>8</v>
      </c>
      <c r="BN71" s="919">
        <f t="shared" si="21"/>
        <v>8</v>
      </c>
      <c r="BO71" s="2117"/>
      <c r="BP71" s="2117"/>
      <c r="BQ71" s="2117"/>
      <c r="BR71" s="2117"/>
      <c r="BS71" s="2117"/>
      <c r="BT71" s="2117"/>
      <c r="BU71" s="2117"/>
      <c r="BV71" s="2117"/>
      <c r="BW71" s="2117"/>
      <c r="BX71" s="2117"/>
      <c r="BY71" s="2117"/>
      <c r="BZ71" s="2117"/>
      <c r="CA71" s="926"/>
      <c r="CB71" s="921"/>
      <c r="CC71" s="927"/>
      <c r="CD71" s="928" t="e" cm="1">
        <f t="array" ca="1" aca="1" ref="CD71">_xlfn.XLOOKUP(BS!CD$11,array_timeline,BS!$AD71:$BN71)</f>
        <v>#NAME?</v>
      </c>
      <c r="CE71" s="928" t="e" cm="1">
        <f t="array" ca="1" aca="1" ref="CE71">_xlfn.XLOOKUP(BS!CE$11,array_timeline,BS!$AD71:$BN71)</f>
        <v>#NAME?</v>
      </c>
      <c r="CF71" s="925"/>
      <c r="CG71" s="541" t="e">
        <f t="shared" ca="1" si="16"/>
        <v>#NAME?</v>
      </c>
      <c r="CH71" s="541" t="e">
        <f t="shared" ca="1" si="16"/>
        <v>#NAME?</v>
      </c>
      <c r="CI71" s="924"/>
      <c r="CQ71" s="1883" t="str" cm="1">
        <f t="array" ca="1" aca="1" ref="CQ71">IFERROR(IF(AD71*fxVal_normal=_BS!AD71,"",IF(OR(AD71="",NOT(ISNUMBER(AD71)),ISERROR(AD71),$B71=""),"",IF($I71=1,IFBLANK(_xldudf_CX_PUSH(AD71*fxVal_normal,CX_ENTITY,$B71,AD$11,AD$14,AD$60,),""),IF($I71=2,IFBLANK(_xldudf_CX_PUSH(AD71,CX_ENTITY,$B71,AD$11,AD$14,AD$60,),""),IF($I71=3,"",IFBLANK(_xldudf_CX_PUSH(AD71,CX_ENTITY,$B71,AD$11,AD$14,AD$60,),"")))))),"")</f>
        <v/>
      </c>
      <c r="CR71" s="1883" t="str" cm="1">
        <f t="array" ca="1" aca="1" ref="CR71">IFERROR(IF(AE71*fxVal_normal=_BS!AE71,"",IF(OR(AE71="",NOT(ISNUMBER(AE71)),ISERROR(AE71),$B71=""),"",IF($I71=1,IFBLANK(_xldudf_CX_PUSH(AE71*fxVal_normal,CX_ENTITY,$B71,AE$11,AE$14,AE$60,),""),IF($I71=2,IFBLANK(_xldudf_CX_PUSH(AE71,CX_ENTITY,$B71,AE$11,AE$14,AE$60,),""),IF($I71=3,"",IFBLANK(_xldudf_CX_PUSH(AE71,CX_ENTITY,$B71,AE$11,AE$14,AE$60,),"")))))),"")</f>
        <v/>
      </c>
      <c r="CS71" s="1883" t="str" cm="1">
        <f t="array" ca="1" aca="1" ref="CS71">IFERROR(IF(AF71*fxVal_normal=_BS!AF71,"",IF(OR(AF71="",NOT(ISNUMBER(AF71)),ISERROR(AF71),$B71=""),"",IF($I71=1,IFBLANK(_xldudf_CX_PUSH(AF71*fxVal_normal,CX_ENTITY,$B71,AF$11,AF$14,AF$60,),""),IF($I71=2,IFBLANK(_xldudf_CX_PUSH(AF71,CX_ENTITY,$B71,AF$11,AF$14,AF$60,),""),IF($I71=3,"",IFBLANK(_xldudf_CX_PUSH(AF71,CX_ENTITY,$B71,AF$11,AF$14,AF$60,),"")))))),"")</f>
        <v/>
      </c>
      <c r="CT71" s="1883" t="str" cm="1">
        <f t="array" ca="1" aca="1" ref="CT71">IFERROR(IF(AG71*fxVal_normal=_BS!AG71,"",IF(OR(AG71="",NOT(ISNUMBER(AG71)),ISERROR(AG71),$B71=""),"",IF($I71=1,IFBLANK(_xldudf_CX_PUSH(AG71*fxVal_normal,CX_ENTITY,$B71,AG$11,AG$14,AG$60,),""),IF($I71=2,IFBLANK(_xldudf_CX_PUSH(AG71,CX_ENTITY,$B71,AG$11,AG$14,AG$60,),""),IF($I71=3,"",IFBLANK(_xldudf_CX_PUSH(AG71,CX_ENTITY,$B71,AG$11,AG$14,AG$60,),"")))))),"")</f>
        <v/>
      </c>
      <c r="CU71" s="1883" t="str" cm="1">
        <f t="array" ca="1" aca="1" ref="CU71">IFERROR(IF(AH71*fxVal_normal=_BS!AH71,"",IF(OR(AH71="",NOT(ISNUMBER(AH71)),ISERROR(AH71),$B71=""),"",IF($I71=1,IFBLANK(_xldudf_CX_PUSH(AH71*fxVal_normal,CX_ENTITY,$B71,AH$11,AH$14,AH$60,),""),IF($I71=2,IFBLANK(_xldudf_CX_PUSH(AH71,CX_ENTITY,$B71,AH$11,AH$14,AH$60,),""),IF($I71=3,"",IFBLANK(_xldudf_CX_PUSH(AH71,CX_ENTITY,$B71,AH$11,AH$14,AH$60,),"")))))),"")</f>
        <v/>
      </c>
      <c r="CV71" s="1883" t="str" cm="1">
        <f t="array" ca="1" aca="1" ref="CV71">IFERROR(IF(AI71*fxVal_normal=_BS!AI71,"",IF(OR(AI71="",NOT(ISNUMBER(AI71)),ISERROR(AI71),$B71=""),"",IF($I71=1,IFBLANK(_xldudf_CX_PUSH(AI71*fxVal_normal,CX_ENTITY,$B71,AI$11,AI$14,AI$60,),""),IF($I71=2,IFBLANK(_xldudf_CX_PUSH(AI71,CX_ENTITY,$B71,AI$11,AI$14,AI$60,),""),IF($I71=3,"",IFBLANK(_xldudf_CX_PUSH(AI71,CX_ENTITY,$B71,AI$11,AI$14,AI$60,),"")))))),"")</f>
        <v/>
      </c>
      <c r="CW71" s="1883" t="str" cm="1">
        <f t="array" ca="1" aca="1" ref="CW71">IFERROR(IF(AJ71*fxVal_normal=_BS!AJ71,"",IF(OR(AJ71="",NOT(ISNUMBER(AJ71)),ISERROR(AJ71),$B71=""),"",IF($I71=1,IFBLANK(_xldudf_CX_PUSH(AJ71*fxVal_normal,CX_ENTITY,$B71,AJ$11,AJ$14,AJ$60,),""),IF($I71=2,IFBLANK(_xldudf_CX_PUSH(AJ71,CX_ENTITY,$B71,AJ$11,AJ$14,AJ$60,),""),IF($I71=3,"",IFBLANK(_xldudf_CX_PUSH(AJ71,CX_ENTITY,$B71,AJ$11,AJ$14,AJ$60,),"")))))),"")</f>
        <v/>
      </c>
      <c r="CX71" s="1883" t="str" cm="1">
        <f t="array" ca="1" aca="1" ref="CX71">IFERROR(IF(AK71*fxVal_normal=_BS!AK71,"",IF(OR(AK71="",NOT(ISNUMBER(AK71)),ISERROR(AK71),$B71=""),"",IF($I71=1,IFBLANK(_xldudf_CX_PUSH(AK71*fxVal_normal,CX_ENTITY,$B71,AK$11,AK$14,AK$60,),""),IF($I71=2,IFBLANK(_xldudf_CX_PUSH(AK71,CX_ENTITY,$B71,AK$11,AK$14,AK$60,),""),IF($I71=3,"",IFBLANK(_xldudf_CX_PUSH(AK71,CX_ENTITY,$B71,AK$11,AK$14,AK$60,),"")))))),"")</f>
        <v/>
      </c>
      <c r="CY71" s="1883" t="str" cm="1">
        <f t="array" ca="1" aca="1" ref="CY71">IFERROR(IF(AL71*fxVal_normal=_BS!AL71,"",IF(OR(AL71="",NOT(ISNUMBER(AL71)),ISERROR(AL71),$B71=""),"",IF($I71=1,IFBLANK(_xldudf_CX_PUSH(AL71*fxVal_normal,CX_ENTITY,$B71,AL$11,AL$14,AL$60,),""),IF($I71=2,IFBLANK(_xldudf_CX_PUSH(AL71,CX_ENTITY,$B71,AL$11,AL$14,AL$60,),""),IF($I71=3,"",IFBLANK(_xldudf_CX_PUSH(AL71,CX_ENTITY,$B71,AL$11,AL$14,AL$60,),"")))))),"")</f>
        <v/>
      </c>
      <c r="CZ71" s="1883" t="str" cm="1">
        <f t="array" ca="1" aca="1" ref="CZ71">IFERROR(IF(AM71*fxVal_normal=_BS!AM71,"",IF(OR(AM71="",NOT(ISNUMBER(AM71)),ISERROR(AM71),$B71=""),"",IF($I71=1,IFBLANK(_xldudf_CX_PUSH(AM71*fxVal_normal,CX_ENTITY,$B71,AM$11,AM$14,AM$60,),""),IF($I71=2,IFBLANK(_xldudf_CX_PUSH(AM71,CX_ENTITY,$B71,AM$11,AM$14,AM$60,),""),IF($I71=3,"",IFBLANK(_xldudf_CX_PUSH(AM71,CX_ENTITY,$B71,AM$11,AM$14,AM$60,),"")))))),"")</f>
        <v/>
      </c>
      <c r="DA71" s="1883" t="str" cm="1">
        <f t="array" ca="1" aca="1" ref="DA71">IFERROR(IF(AN71*fxVal_normal=_BS!AN71,"",IF(OR(AN71="",NOT(ISNUMBER(AN71)),ISERROR(AN71),$B71=""),"",IF($I71=1,IFBLANK(_xldudf_CX_PUSH(AN71*fxVal_normal,CX_ENTITY,$B71,AN$11,AN$14,AN$60,),""),IF($I71=2,IFBLANK(_xldudf_CX_PUSH(AN71,CX_ENTITY,$B71,AN$11,AN$14,AN$60,),""),IF($I71=3,"",IFBLANK(_xldudf_CX_PUSH(AN71,CX_ENTITY,$B71,AN$11,AN$14,AN$60,),"")))))),"")</f>
        <v/>
      </c>
      <c r="DB71" s="1883" t="str" cm="1">
        <f t="array" ca="1" aca="1" ref="DB71">IFERROR(IF(AO71*fxVal_normal=_BS!AO71,"",IF(OR(AO71="",NOT(ISNUMBER(AO71)),ISERROR(AO71),$B71=""),"",IF($I71=1,IFBLANK(_xldudf_CX_PUSH(AO71*fxVal_normal,CX_ENTITY,$B71,AO$11,AO$14,AO$60,),""),IF($I71=2,IFBLANK(_xldudf_CX_PUSH(AO71,CX_ENTITY,$B71,AO$11,AO$14,AO$60,),""),IF($I71=3,"",IFBLANK(_xldudf_CX_PUSH(AO71,CX_ENTITY,$B71,AO$11,AO$14,AO$60,),"")))))),"")</f>
        <v/>
      </c>
      <c r="DC71" s="1883" t="str" cm="1">
        <f t="array" ca="1" aca="1" ref="DC71">IFERROR(IF(AP71*fxVal_normal=_BS!AP71,"",IF(OR(AP71="",NOT(ISNUMBER(AP71)),ISERROR(AP71),$B71=""),"",IF($I71=1,IFBLANK(_xldudf_CX_PUSH(AP71*fxVal_normal,CX_ENTITY,$B71,AP$11,AP$14,AP$60,),""),IF($I71=2,IFBLANK(_xldudf_CX_PUSH(AP71,CX_ENTITY,$B71,AP$11,AP$14,AP$60,),""),IF($I71=3,"",IFBLANK(_xldudf_CX_PUSH(AP71,CX_ENTITY,$B71,AP$11,AP$14,AP$60,),"")))))),"")</f>
        <v/>
      </c>
      <c r="DD71" s="1883" t="str" cm="1">
        <f t="array" ca="1" aca="1" ref="DD71">IFERROR(IF(AQ71*fxVal_normal=_BS!AQ71,"",IF(OR(AQ71="",NOT(ISNUMBER(AQ71)),ISERROR(AQ71),$B71=""),"",IF($I71=1,IFBLANK(_xldudf_CX_PUSH(AQ71*fxVal_normal,CX_ENTITY,$B71,AQ$11,AQ$14,AQ$60,),""),IF($I71=2,IFBLANK(_xldudf_CX_PUSH(AQ71,CX_ENTITY,$B71,AQ$11,AQ$14,AQ$60,),""),IF($I71=3,"",IFBLANK(_xldudf_CX_PUSH(AQ71,CX_ENTITY,$B71,AQ$11,AQ$14,AQ$60,),"")))))),"")</f>
        <v/>
      </c>
      <c r="DE71" s="1883" t="str" cm="1">
        <f t="array" ca="1" aca="1" ref="DE71">IFERROR(IF(AR71*fxVal_normal=_BS!AR71,"",IF(OR(AR71="",NOT(ISNUMBER(AR71)),ISERROR(AR71),$B71=""),"",IF($I71=1,IFBLANK(_xldudf_CX_PUSH(AR71*fxVal_normal,CX_ENTITY,$B71,AR$11,AR$14,AR$60,),""),IF($I71=2,IFBLANK(_xldudf_CX_PUSH(AR71,CX_ENTITY,$B71,AR$11,AR$14,AR$60,),""),IF($I71=3,"",IFBLANK(_xldudf_CX_PUSH(AR71,CX_ENTITY,$B71,AR$11,AR$14,AR$60,),"")))))),"")</f>
        <v/>
      </c>
      <c r="DF71" s="1883" t="str" cm="1">
        <f t="array" ca="1" aca="1" ref="DF71">IFERROR(IF(AS71*fxVal_normal=_BS!AS71,"",IF(OR(AS71="",NOT(ISNUMBER(AS71)),ISERROR(AS71),$B71=""),"",IF($I71=1,IFBLANK(_xldudf_CX_PUSH(AS71*fxVal_normal,CX_ENTITY,$B71,AS$11,AS$14,AS$60,),""),IF($I71=2,IFBLANK(_xldudf_CX_PUSH(AS71,CX_ENTITY,$B71,AS$11,AS$14,AS$60,),""),IF($I71=3,"",IFBLANK(_xldudf_CX_PUSH(AS71,CX_ENTITY,$B71,AS$11,AS$14,AS$60,),"")))))),"")</f>
        <v/>
      </c>
      <c r="DG71" s="1883" t="str" cm="1">
        <f t="array" ca="1" aca="1" ref="DG71">IFERROR(IF(AT71*fxVal_normal=_BS!AT71,"",IF(OR(AT71="",NOT(ISNUMBER(AT71)),ISERROR(AT71),$B71=""),"",IF($I71=1,IFBLANK(_xldudf_CX_PUSH(AT71*fxVal_normal,CX_ENTITY,$B71,AT$11,AT$14,AT$60,),""),IF($I71=2,IFBLANK(_xldudf_CX_PUSH(AT71,CX_ENTITY,$B71,AT$11,AT$14,AT$60,),""),IF($I71=3,"",IFBLANK(_xldudf_CX_PUSH(AT71,CX_ENTITY,$B71,AT$11,AT$14,AT$60,),"")))))),"")</f>
        <v/>
      </c>
      <c r="DH71" s="1883" t="str" cm="1">
        <f t="array" ca="1" aca="1" ref="DH71">IFERROR(IF(AU71*fxVal_normal=_BS!AU71,"",IF(OR(AU71="",NOT(ISNUMBER(AU71)),ISERROR(AU71),$B71=""),"",IF($I71=1,IFBLANK(_xldudf_CX_PUSH(AU71*fxVal_normal,CX_ENTITY,$B71,AU$11,AU$14,AU$60,),""),IF($I71=2,IFBLANK(_xldudf_CX_PUSH(AU71,CX_ENTITY,$B71,AU$11,AU$14,AU$60,),""),IF($I71=3,"",IFBLANK(_xldudf_CX_PUSH(AU71,CX_ENTITY,$B71,AU$11,AU$14,AU$60,),"")))))),"")</f>
        <v/>
      </c>
      <c r="DI71" s="1883" t="str" cm="1">
        <f t="array" ca="1" aca="1" ref="DI71">IFERROR(IF(AV71*fxVal_normal=_BS!AV71,"",IF(OR(AV71="",NOT(ISNUMBER(AV71)),ISERROR(AV71),$B71=""),"",IF($I71=1,IFBLANK(_xldudf_CX_PUSH(AV71*fxVal_normal,CX_ENTITY,$B71,AV$11,AV$14,AV$60,),""),IF($I71=2,IFBLANK(_xldudf_CX_PUSH(AV71,CX_ENTITY,$B71,AV$11,AV$14,AV$60,),""),IF($I71=3,"",IFBLANK(_xldudf_CX_PUSH(AV71,CX_ENTITY,$B71,AV$11,AV$14,AV$60,),"")))))),"")</f>
        <v/>
      </c>
      <c r="DJ71" s="1883" t="str" cm="1">
        <f t="array" ca="1" aca="1" ref="DJ71">IFERROR(IF(AW71*fxVal_normal=_BS!AW71,"",IF(OR(AW71="",NOT(ISNUMBER(AW71)),ISERROR(AW71),$B71=""),"",IF($I71=1,IFBLANK(_xldudf_CX_PUSH(AW71*fxVal_normal,CX_ENTITY,$B71,AW$11,AW$14,AW$60,),""),IF($I71=2,IFBLANK(_xldudf_CX_PUSH(AW71,CX_ENTITY,$B71,AW$11,AW$14,AW$60,),""),IF($I71=3,"",IFBLANK(_xldudf_CX_PUSH(AW71,CX_ENTITY,$B71,AW$11,AW$14,AW$60,),"")))))),"")</f>
        <v/>
      </c>
      <c r="DK71" s="1883" t="str" cm="1">
        <f t="array" ca="1" aca="1" ref="DK71">IFERROR(IF(AX71*fxVal_normal=_BS!AX71,"",IF(OR(AX71="",NOT(ISNUMBER(AX71)),ISERROR(AX71),$B71=""),"",IF($I71=1,IFBLANK(_xldudf_CX_PUSH(AX71*fxVal_normal,CX_ENTITY,$B71,AX$11,AX$14,AX$60,),""),IF($I71=2,IFBLANK(_xldudf_CX_PUSH(AX71,CX_ENTITY,$B71,AX$11,AX$14,AX$60,),""),IF($I71=3,"",IFBLANK(_xldudf_CX_PUSH(AX71,CX_ENTITY,$B71,AX$11,AX$14,AX$60,),"")))))),"")</f>
        <v/>
      </c>
      <c r="DL71" s="1883" t="str" cm="1">
        <f t="array" ca="1" aca="1" ref="DL71">IFERROR(IF(AY71*fxVal_normal=_BS!AY71,"",IF(OR(AY71="",NOT(ISNUMBER(AY71)),ISERROR(AY71),$B71=""),"",IF($I71=1,IFBLANK(_xldudf_CX_PUSH(AY71*fxVal_normal,CX_ENTITY,$B71,AY$11,AY$14,AY$60,),""),IF($I71=2,IFBLANK(_xldudf_CX_PUSH(AY71,CX_ENTITY,$B71,AY$11,AY$14,AY$60,),""),IF($I71=3,"",IFBLANK(_xldudf_CX_PUSH(AY71,CX_ENTITY,$B71,AY$11,AY$14,AY$60,),"")))))),"")</f>
        <v/>
      </c>
      <c r="DM71" s="1883" t="str" cm="1">
        <f t="array" ca="1" aca="1" ref="DM71">IFERROR(IF(AZ71*fxVal_normal=_BS!AZ71,"",IF(OR(AZ71="",NOT(ISNUMBER(AZ71)),ISERROR(AZ71),$B71=""),"",IF($I71=1,IFBLANK(_xldudf_CX_PUSH(AZ71*fxVal_normal,CX_ENTITY,$B71,AZ$11,AZ$14,AZ$60,),""),IF($I71=2,IFBLANK(_xldudf_CX_PUSH(AZ71,CX_ENTITY,$B71,AZ$11,AZ$14,AZ$60,),""),IF($I71=3,"",IFBLANK(_xldudf_CX_PUSH(AZ71,CX_ENTITY,$B71,AZ$11,AZ$14,AZ$60,),"")))))),"")</f>
        <v/>
      </c>
      <c r="DN71" s="1883" t="str" cm="1">
        <f t="array" ca="1" aca="1" ref="DN71">IFERROR(IF(BA71*fxVal_normal=_BS!BA71,"",IF(OR(BA71="",NOT(ISNUMBER(BA71)),ISERROR(BA71),$B71=""),"",IF($I71=1,IFBLANK(_xldudf_CX_PUSH(BA71*fxVal_normal,CX_ENTITY,$B71,BA$11,BA$14,BA$60,),""),IF($I71=2,IFBLANK(_xldudf_CX_PUSH(BA71,CX_ENTITY,$B71,BA$11,BA$14,BA$60,),""),IF($I71=3,"",IFBLANK(_xldudf_CX_PUSH(BA71,CX_ENTITY,$B71,BA$11,BA$14,BA$60,),"")))))),"")</f>
        <v/>
      </c>
      <c r="DO71" s="1883" t="str" cm="1">
        <f t="array" ca="1" aca="1" ref="DO71">IFERROR(IF(BB71*fxVal_normal=_BS!BB71,"",IF(OR(BB71="",NOT(ISNUMBER(BB71)),ISERROR(BB71),$B71=""),"",IF($I71=1,IFBLANK(_xldudf_CX_PUSH(BB71*fxVal_normal,CX_ENTITY,$B71,BB$11,BB$14,BB$60,),""),IF($I71=2,IFBLANK(_xldudf_CX_PUSH(BB71,CX_ENTITY,$B71,BB$11,BB$14,BB$60,),""),IF($I71=3,"",IFBLANK(_xldudf_CX_PUSH(BB71,CX_ENTITY,$B71,BB$11,BB$14,BB$60,),"")))))),"")</f>
        <v/>
      </c>
      <c r="DP71" s="1883" t="str" cm="1">
        <f t="array" ca="1" aca="1" ref="DP71">IFERROR(IF(BC71*fxVal_normal=_BS!BC71,"",IF(OR(BC71="",NOT(ISNUMBER(BC71)),ISERROR(BC71),$B71=""),"",IF($I71=1,IFBLANK(_xldudf_CX_PUSH(BC71*fxVal_normal,CX_ENTITY,$B71,BC$11,BC$14,BC$60,),""),IF($I71=2,IFBLANK(_xldudf_CX_PUSH(BC71,CX_ENTITY,$B71,BC$11,BC$14,BC$60,),""),IF($I71=3,"",IFBLANK(_xldudf_CX_PUSH(BC71,CX_ENTITY,$B71,BC$11,BC$14,BC$60,),"")))))),"")</f>
        <v/>
      </c>
      <c r="DQ71" s="1883" t="str" cm="1">
        <f t="array" ca="1" aca="1" ref="DQ71">IFERROR(IF(BD71*fxVal_normal=_BS!BD71,"",IF(OR(BD71="",NOT(ISNUMBER(BD71)),ISERROR(BD71),$B71=""),"",IF($I71=1,IFBLANK(_xldudf_CX_PUSH(BD71*fxVal_normal,CX_ENTITY,$B71,BD$11,BD$14,BD$60,),""),IF($I71=2,IFBLANK(_xldudf_CX_PUSH(BD71,CX_ENTITY,$B71,BD$11,BD$14,BD$60,),""),IF($I71=3,"",IFBLANK(_xldudf_CX_PUSH(BD71,CX_ENTITY,$B71,BD$11,BD$14,BD$60,),"")))))),"")</f>
        <v/>
      </c>
      <c r="DR71" s="1883" t="str" cm="1">
        <f t="array" ca="1" aca="1" ref="DR71">IFERROR(IF(BE71*fxVal_normal=_BS!BE71,"",IF(OR(BE71="",NOT(ISNUMBER(BE71)),ISERROR(BE71),$B71=""),"",IF($I71=1,IFBLANK(_xldudf_CX_PUSH(BE71*fxVal_normal,CX_ENTITY,$B71,BE$11,BE$14,BE$60,),""),IF($I71=2,IFBLANK(_xldudf_CX_PUSH(BE71,CX_ENTITY,$B71,BE$11,BE$14,BE$60,),""),IF($I71=3,"",IFBLANK(_xldudf_CX_PUSH(BE71,CX_ENTITY,$B71,BE$11,BE$14,BE$60,),"")))))),"")</f>
        <v/>
      </c>
      <c r="DS71" s="1883" t="str" cm="1">
        <f t="array" ca="1" aca="1" ref="DS71">IFERROR(IF(BF71*fxVal_normal=_BS!BF71,"",IF(OR(BF71="",NOT(ISNUMBER(BF71)),ISERROR(BF71),$B71=""),"",IF($I71=1,IFBLANK(_xldudf_CX_PUSH(BF71*fxVal_normal,CX_ENTITY,$B71,BF$11,BF$14,BF$60,),""),IF($I71=2,IFBLANK(_xldudf_CX_PUSH(BF71,CX_ENTITY,$B71,BF$11,BF$14,BF$60,),""),IF($I71=3,"",IFBLANK(_xldudf_CX_PUSH(BF71,CX_ENTITY,$B71,BF$11,BF$14,BF$60,),"")))))),"")</f>
        <v/>
      </c>
      <c r="DT71" s="1883" t="str" cm="1">
        <f t="array" ca="1" aca="1" ref="DT71">IFERROR(IF(BG71*fxVal_normal=_BS!BG71,"",IF(OR(BG71="",NOT(ISNUMBER(BG71)),ISERROR(BG71),$B71=""),"",IF($I71=1,IFBLANK(_xldudf_CX_PUSH(BG71*fxVal_normal,CX_ENTITY,$B71,BG$11,BG$14,BG$60,),""),IF($I71=2,IFBLANK(_xldudf_CX_PUSH(BG71,CX_ENTITY,$B71,BG$11,BG$14,BG$60,),""),IF($I71=3,"",IFBLANK(_xldudf_CX_PUSH(BG71,CX_ENTITY,$B71,BG$11,BG$14,BG$60,),"")))))),"")</f>
        <v/>
      </c>
      <c r="DU71" s="1883" t="str" cm="1">
        <f t="array" ca="1" aca="1" ref="DU71">IFERROR(IF(BH71*fxVal_normal=_BS!BH71,"",IF(OR(BH71="",NOT(ISNUMBER(BH71)),ISERROR(BH71),$B71=""),"",IF($I71=1,IFBLANK(_xldudf_CX_PUSH(BH71*fxVal_normal,CX_ENTITY,$B71,BH$11,BH$14,BH$60,),""),IF($I71=2,IFBLANK(_xldudf_CX_PUSH(BH71,CX_ENTITY,$B71,BH$11,BH$14,BH$60,),""),IF($I71=3,"",IFBLANK(_xldudf_CX_PUSH(BH71,CX_ENTITY,$B71,BH$11,BH$14,BH$60,),"")))))),"")</f>
        <v/>
      </c>
      <c r="DV71" s="1883" t="str" cm="1">
        <f t="array" ca="1" aca="1" ref="DV71">IFERROR(IF(BI71*fxVal_normal=_BS!BI71,"",IF(OR(BI71="",NOT(ISNUMBER(BI71)),ISERROR(BI71),$B71=""),"",IF($I71=1,IFBLANK(_xldudf_CX_PUSH(BI71*fxVal_normal,CX_ENTITY,$B71,BI$11,BI$14,BI$60,),""),IF($I71=2,IFBLANK(_xldudf_CX_PUSH(BI71,CX_ENTITY,$B71,BI$11,BI$14,BI$60,),""),IF($I71=3,"",IFBLANK(_xldudf_CX_PUSH(BI71,CX_ENTITY,$B71,BI$11,BI$14,BI$60,),"")))))),"")</f>
        <v/>
      </c>
      <c r="DW71" s="1883" t="str" cm="1">
        <f t="array" ca="1" aca="1" ref="DW71">IFERROR(IF(BJ71*fxVal_normal=_BS!BJ71,"",IF(OR(BJ71="",NOT(ISNUMBER(BJ71)),ISERROR(BJ71),$B71=""),"",IF($I71=1,IFBLANK(_xldudf_CX_PUSH(BJ71*fxVal_normal,CX_ENTITY,$B71,BJ$11,BJ$14,BJ$60,),""),IF($I71=2,IFBLANK(_xldudf_CX_PUSH(BJ71,CX_ENTITY,$B71,BJ$11,BJ$14,BJ$60,),""),IF($I71=3,"",IFBLANK(_xldudf_CX_PUSH(BJ71,CX_ENTITY,$B71,BJ$11,BJ$14,BJ$60,),"")))))),"")</f>
        <v/>
      </c>
      <c r="DX71" s="1883" t="str" cm="1">
        <f t="array" ca="1" aca="1" ref="DX71">IFERROR(IF(BK71*fxVal_normal=_BS!BK71,"",IF(OR(BK71="",NOT(ISNUMBER(BK71)),ISERROR(BK71),$B71=""),"",IF($I71=1,IFBLANK(_xldudf_CX_PUSH(BK71*fxVal_normal,CX_ENTITY,$B71,BK$11,BK$14,BK$60,),""),IF($I71=2,IFBLANK(_xldudf_CX_PUSH(BK71,CX_ENTITY,$B71,BK$11,BK$14,BK$60,),""),IF($I71=3,"",IFBLANK(_xldudf_CX_PUSH(BK71,CX_ENTITY,$B71,BK$11,BK$14,BK$60,),"")))))),"")</f>
        <v/>
      </c>
      <c r="DY71" s="1883" t="str" cm="1">
        <f t="array" ca="1" aca="1" ref="DY71">IFERROR(IF(BL71*fxVal_normal=_BS!BL71,"",IF(OR(BL71="",NOT(ISNUMBER(BL71)),ISERROR(BL71),$B71=""),"",IF($I71=1,IFBLANK(_xldudf_CX_PUSH(BL71*fxVal_normal,CX_ENTITY,$B71,BL$11,BL$14,BL$60,),""),IF($I71=2,IFBLANK(_xldudf_CX_PUSH(BL71,CX_ENTITY,$B71,BL$11,BL$14,BL$60,),""),IF($I71=3,"",IFBLANK(_xldudf_CX_PUSH(BL71,CX_ENTITY,$B71,BL$11,BL$14,BL$60,),"")))))),"")</f>
        <v/>
      </c>
      <c r="DZ71" s="1883" t="str" cm="1">
        <f t="array" ca="1" aca="1" ref="DZ71">IFERROR(IF(BM71*fxVal_normal=_BS!BM71,"",IF(OR(BM71="",NOT(ISNUMBER(BM71)),ISERROR(BM71),$B71=""),"",IF($I71=1,IFBLANK(_xldudf_CX_PUSH(BM71*fxVal_normal,CX_ENTITY,$B71,BM$11,BM$14,BM$60,),""),IF($I71=2,IFBLANK(_xldudf_CX_PUSH(BM71,CX_ENTITY,$B71,BM$11,BM$14,BM$60,),""),IF($I71=3,"",IFBLANK(_xldudf_CX_PUSH(BM71,CX_ENTITY,$B71,BM$11,BM$14,BM$60,),"")))))),"")</f>
        <v/>
      </c>
      <c r="EA71" s="1883" t="str" cm="1">
        <f t="array" ca="1" aca="1" ref="EA71">IFERROR(IF(BN71*fxVal_normal=_BS!BN71,"",IF(OR(BN71="",NOT(ISNUMBER(BN71)),ISERROR(BN71),$B71=""),"",IF($I71=1,IFBLANK(_xldudf_CX_PUSH(BN71*fxVal_normal,CX_ENTITY,$B71,BN$11,BN$14,BN$60,),""),IF($I71=2,IFBLANK(_xldudf_CX_PUSH(BN71,CX_ENTITY,$B71,BN$11,BN$14,BN$60,),""),IF($I71=3,"",IFBLANK(_xldudf_CX_PUSH(BN71,CX_ENTITY,$B71,BN$11,BN$14,BN$60,),"")))))),"")</f>
        <v/>
      </c>
    </row>
    <row r="72" spans="1:131" ht="21" customHeight="1">
      <c r="A72" s="1647"/>
      <c r="B72" s="811" t="str" cm="1">
        <f t="array" ref="B72">IFBLANK(_BS!F72,"")</f>
        <v>Senior Instrument(s) Amortising</v>
      </c>
      <c r="C72" s="811" t="str" cm="1">
        <f t="array" ref="C72">IFBLANK(_BS!C72,"")</f>
        <v>Senior Instrument(S) Amortising (Company View)</v>
      </c>
      <c r="D72" s="1639"/>
      <c r="E72" s="1902" t="e" cm="1">
        <f t="array" ca="1" aca="1" ref="E7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72:$CH72,Z72)</f>
        <v>#NAME?</v>
      </c>
      <c r="F72" s="1897"/>
      <c r="G72" s="1897"/>
      <c r="H72" s="3280">
        <v>1</v>
      </c>
      <c r="I72" s="3280">
        <v>1</v>
      </c>
      <c r="J72" s="401"/>
      <c r="N72" s="158"/>
      <c r="O72" s="101"/>
      <c r="P72" s="52"/>
      <c r="Q72" s="101"/>
      <c r="R72" s="126"/>
      <c r="S72" s="101"/>
      <c r="T72" s="101"/>
      <c r="U72" s="39"/>
      <c r="W72" s="930" t="str">
        <f t="shared" si="18"/>
        <v>Budget</v>
      </c>
      <c r="X72" s="857">
        <f>_BS!X72</f>
        <v>-1</v>
      </c>
      <c r="Y72" s="3230">
        <f t="shared" si="17"/>
        <v>2</v>
      </c>
      <c r="Z72" s="3291" cm="1">
        <f t="array" ref="Z72">_xlfn.SWITCH(TRUE,_BS!$L72=TRUE,1,_BS!$L72=FALSE,-1,_BS!$L72=-1,0,"n/a")</f>
        <v>1</v>
      </c>
      <c r="AA72" s="200"/>
      <c r="AB72" s="88" t="str">
        <f>_BS!AB72</f>
        <v>Senior instrument(s) amortising: e.g. Term Loan A</v>
      </c>
      <c r="AC72" s="88" t="str" cm="1">
        <f t="array" ca="1" aca="1" ref="AC72">_xlfn.LET(_xlpm._termname,$AB72,_xlpm._iconname,"find",_xlpm._icon,fx_getIcon(_xlpm._iconname),_xlpm._location,_xlfn.XLOOKUP(LOWER(_xlpm._termname),LOWER(tbl_acctDef[Term]),tbl_acctDef[Term]),_xlpm._hyperlink,HYPERLINK("#"&amp;CELL("address",_xlpm._location),_xlpm._icon),IFERROR(_xlpm._hyperlink,""))</f>
        <v/>
      </c>
      <c r="AD72" s="3229">
        <v>1</v>
      </c>
      <c r="AE72" s="3229">
        <v>1</v>
      </c>
      <c r="AF72" s="3229">
        <v>1</v>
      </c>
      <c r="AG72" s="3229">
        <v>1</v>
      </c>
      <c r="AH72" s="3229">
        <v>1</v>
      </c>
      <c r="AI72" s="3229">
        <v>1</v>
      </c>
      <c r="AJ72" s="3229">
        <v>1</v>
      </c>
      <c r="AK72" s="3229">
        <v>1</v>
      </c>
      <c r="AL72" s="3229">
        <v>1</v>
      </c>
      <c r="AM72" s="3229">
        <v>1</v>
      </c>
      <c r="AN72" s="3229">
        <v>1</v>
      </c>
      <c r="AO72" s="3229">
        <v>1</v>
      </c>
      <c r="AP72" s="3229">
        <v>1</v>
      </c>
      <c r="AQ72" s="3229">
        <v>1</v>
      </c>
      <c r="AR72" s="3229">
        <v>1</v>
      </c>
      <c r="AS72" s="3229">
        <v>1</v>
      </c>
      <c r="AT72" s="3229">
        <v>1</v>
      </c>
      <c r="AU72" s="3229">
        <v>1</v>
      </c>
      <c r="AV72" s="3229">
        <v>1</v>
      </c>
      <c r="AW72" s="3229">
        <v>1</v>
      </c>
      <c r="AX72" s="3229">
        <v>1</v>
      </c>
      <c r="AY72" s="3229">
        <v>1</v>
      </c>
      <c r="AZ72" s="3229">
        <v>1</v>
      </c>
      <c r="BA72" s="3229">
        <v>1</v>
      </c>
      <c r="BB72" s="3229">
        <v>1</v>
      </c>
      <c r="BC72" s="3229">
        <v>1</v>
      </c>
      <c r="BD72" s="3229">
        <v>1</v>
      </c>
      <c r="BE72" s="3229">
        <v>1</v>
      </c>
      <c r="BF72" s="3229">
        <v>1</v>
      </c>
      <c r="BG72" s="3229">
        <v>1</v>
      </c>
      <c r="BH72" s="3229">
        <v>1</v>
      </c>
      <c r="BI72" s="3229">
        <v>1</v>
      </c>
      <c r="BJ72" s="3229">
        <v>1</v>
      </c>
      <c r="BK72" s="3229">
        <v>1</v>
      </c>
      <c r="BL72" s="3229">
        <v>1</v>
      </c>
      <c r="BM72" s="3229">
        <v>1</v>
      </c>
      <c r="BN72" s="3229">
        <v>1</v>
      </c>
      <c r="BO72" s="2118"/>
      <c r="BP72" s="2118"/>
      <c r="BQ72" s="2118"/>
      <c r="BR72" s="2118"/>
      <c r="BS72" s="2118"/>
      <c r="BT72" s="2118"/>
      <c r="BU72" s="2118"/>
      <c r="BV72" s="2118"/>
      <c r="BW72" s="2118"/>
      <c r="BX72" s="2118"/>
      <c r="BY72" s="2118"/>
      <c r="BZ72" s="2118"/>
      <c r="CA72" s="929"/>
      <c r="CB72" s="921"/>
      <c r="CC72" s="988"/>
      <c r="CD72" s="928" t="e" cm="1">
        <f t="array" ca="1" aca="1" ref="CD72">_xlfn.XLOOKUP(BS!CD$11,array_timeline,BS!$AD72:$BN72)</f>
        <v>#NAME?</v>
      </c>
      <c r="CE72" s="928" t="e" cm="1">
        <f t="array" ca="1" aca="1" ref="CE72">_xlfn.XLOOKUP(BS!CE$11,array_timeline,BS!$AD72:$BN72)</f>
        <v>#NAME?</v>
      </c>
      <c r="CF72" s="925"/>
      <c r="CG72" s="2124" t="e">
        <f t="shared" ca="1" si="16"/>
        <v>#NAME?</v>
      </c>
      <c r="CH72" s="2124" t="e">
        <f t="shared" ca="1" si="16"/>
        <v>#NAME?</v>
      </c>
      <c r="CI72" s="787"/>
      <c r="CQ72" s="1883" t="str" cm="1">
        <f t="array" ca="1" aca="1" ref="CQ72">IFERROR(IF(AD72*fxVal_normal=_BS!AD72,"",IF(OR(AD72="",NOT(ISNUMBER(AD72)),ISERROR(AD72),$B72=""),"",IF($I72=1,IFBLANK(_xldudf_CX_PUSH(AD72*fxVal_normal,CX_ENTITY,$B72,AD$11,AD$14,AD$60,),""),IF($I72=2,IFBLANK(_xldudf_CX_PUSH(AD72,CX_ENTITY,$B72,AD$11,AD$14,AD$60,),""),IF($I72=3,"",IFBLANK(_xldudf_CX_PUSH(AD72,CX_ENTITY,$B72,AD$11,AD$14,AD$60,),"")))))),"")</f>
        <v/>
      </c>
      <c r="CR72" s="1883" t="str" cm="1">
        <f t="array" ca="1" aca="1" ref="CR72">IFERROR(IF(AE72*fxVal_normal=_BS!AE72,"",IF(OR(AE72="",NOT(ISNUMBER(AE72)),ISERROR(AE72),$B72=""),"",IF($I72=1,IFBLANK(_xldudf_CX_PUSH(AE72*fxVal_normal,CX_ENTITY,$B72,AE$11,AE$14,AE$60,),""),IF($I72=2,IFBLANK(_xldudf_CX_PUSH(AE72,CX_ENTITY,$B72,AE$11,AE$14,AE$60,),""),IF($I72=3,"",IFBLANK(_xldudf_CX_PUSH(AE72,CX_ENTITY,$B72,AE$11,AE$14,AE$60,),"")))))),"")</f>
        <v/>
      </c>
      <c r="CS72" s="1883" t="str" cm="1">
        <f t="array" ca="1" aca="1" ref="CS72">IFERROR(IF(AF72*fxVal_normal=_BS!AF72,"",IF(OR(AF72="",NOT(ISNUMBER(AF72)),ISERROR(AF72),$B72=""),"",IF($I72=1,IFBLANK(_xldudf_CX_PUSH(AF72*fxVal_normal,CX_ENTITY,$B72,AF$11,AF$14,AF$60,),""),IF($I72=2,IFBLANK(_xldudf_CX_PUSH(AF72,CX_ENTITY,$B72,AF$11,AF$14,AF$60,),""),IF($I72=3,"",IFBLANK(_xldudf_CX_PUSH(AF72,CX_ENTITY,$B72,AF$11,AF$14,AF$60,),"")))))),"")</f>
        <v/>
      </c>
      <c r="CT72" s="1883" t="str" cm="1">
        <f t="array" ca="1" aca="1" ref="CT72">IFERROR(IF(AG72*fxVal_normal=_BS!AG72,"",IF(OR(AG72="",NOT(ISNUMBER(AG72)),ISERROR(AG72),$B72=""),"",IF($I72=1,IFBLANK(_xldudf_CX_PUSH(AG72*fxVal_normal,CX_ENTITY,$B72,AG$11,AG$14,AG$60,),""),IF($I72=2,IFBLANK(_xldudf_CX_PUSH(AG72,CX_ENTITY,$B72,AG$11,AG$14,AG$60,),""),IF($I72=3,"",IFBLANK(_xldudf_CX_PUSH(AG72,CX_ENTITY,$B72,AG$11,AG$14,AG$60,),"")))))),"")</f>
        <v/>
      </c>
      <c r="CU72" s="1883" t="str" cm="1">
        <f t="array" ca="1" aca="1" ref="CU72">IFERROR(IF(AH72*fxVal_normal=_BS!AH72,"",IF(OR(AH72="",NOT(ISNUMBER(AH72)),ISERROR(AH72),$B72=""),"",IF($I72=1,IFBLANK(_xldudf_CX_PUSH(AH72*fxVal_normal,CX_ENTITY,$B72,AH$11,AH$14,AH$60,),""),IF($I72=2,IFBLANK(_xldudf_CX_PUSH(AH72,CX_ENTITY,$B72,AH$11,AH$14,AH$60,),""),IF($I72=3,"",IFBLANK(_xldudf_CX_PUSH(AH72,CX_ENTITY,$B72,AH$11,AH$14,AH$60,),"")))))),"")</f>
        <v/>
      </c>
      <c r="CV72" s="1883" t="str" cm="1">
        <f t="array" ca="1" aca="1" ref="CV72">IFERROR(IF(AI72*fxVal_normal=_BS!AI72,"",IF(OR(AI72="",NOT(ISNUMBER(AI72)),ISERROR(AI72),$B72=""),"",IF($I72=1,IFBLANK(_xldudf_CX_PUSH(AI72*fxVal_normal,CX_ENTITY,$B72,AI$11,AI$14,AI$60,),""),IF($I72=2,IFBLANK(_xldudf_CX_PUSH(AI72,CX_ENTITY,$B72,AI$11,AI$14,AI$60,),""),IF($I72=3,"",IFBLANK(_xldudf_CX_PUSH(AI72,CX_ENTITY,$B72,AI$11,AI$14,AI$60,),"")))))),"")</f>
        <v/>
      </c>
      <c r="CW72" s="1883" t="str" cm="1">
        <f t="array" ca="1" aca="1" ref="CW72">IFERROR(IF(AJ72*fxVal_normal=_BS!AJ72,"",IF(OR(AJ72="",NOT(ISNUMBER(AJ72)),ISERROR(AJ72),$B72=""),"",IF($I72=1,IFBLANK(_xldudf_CX_PUSH(AJ72*fxVal_normal,CX_ENTITY,$B72,AJ$11,AJ$14,AJ$60,),""),IF($I72=2,IFBLANK(_xldudf_CX_PUSH(AJ72,CX_ENTITY,$B72,AJ$11,AJ$14,AJ$60,),""),IF($I72=3,"",IFBLANK(_xldudf_CX_PUSH(AJ72,CX_ENTITY,$B72,AJ$11,AJ$14,AJ$60,),"")))))),"")</f>
        <v/>
      </c>
      <c r="CX72" s="1883" t="str" cm="1">
        <f t="array" ca="1" aca="1" ref="CX72">IFERROR(IF(AK72*fxVal_normal=_BS!AK72,"",IF(OR(AK72="",NOT(ISNUMBER(AK72)),ISERROR(AK72),$B72=""),"",IF($I72=1,IFBLANK(_xldudf_CX_PUSH(AK72*fxVal_normal,CX_ENTITY,$B72,AK$11,AK$14,AK$60,),""),IF($I72=2,IFBLANK(_xldudf_CX_PUSH(AK72,CX_ENTITY,$B72,AK$11,AK$14,AK$60,),""),IF($I72=3,"",IFBLANK(_xldudf_CX_PUSH(AK72,CX_ENTITY,$B72,AK$11,AK$14,AK$60,),"")))))),"")</f>
        <v/>
      </c>
      <c r="CY72" s="1883" t="str" cm="1">
        <f t="array" ca="1" aca="1" ref="CY72">IFERROR(IF(AL72*fxVal_normal=_BS!AL72,"",IF(OR(AL72="",NOT(ISNUMBER(AL72)),ISERROR(AL72),$B72=""),"",IF($I72=1,IFBLANK(_xldudf_CX_PUSH(AL72*fxVal_normal,CX_ENTITY,$B72,AL$11,AL$14,AL$60,),""),IF($I72=2,IFBLANK(_xldudf_CX_PUSH(AL72,CX_ENTITY,$B72,AL$11,AL$14,AL$60,),""),IF($I72=3,"",IFBLANK(_xldudf_CX_PUSH(AL72,CX_ENTITY,$B72,AL$11,AL$14,AL$60,),"")))))),"")</f>
        <v/>
      </c>
      <c r="CZ72" s="1883" t="str" cm="1">
        <f t="array" ca="1" aca="1" ref="CZ72">IFERROR(IF(AM72*fxVal_normal=_BS!AM72,"",IF(OR(AM72="",NOT(ISNUMBER(AM72)),ISERROR(AM72),$B72=""),"",IF($I72=1,IFBLANK(_xldudf_CX_PUSH(AM72*fxVal_normal,CX_ENTITY,$B72,AM$11,AM$14,AM$60,),""),IF($I72=2,IFBLANK(_xldudf_CX_PUSH(AM72,CX_ENTITY,$B72,AM$11,AM$14,AM$60,),""),IF($I72=3,"",IFBLANK(_xldudf_CX_PUSH(AM72,CX_ENTITY,$B72,AM$11,AM$14,AM$60,),"")))))),"")</f>
        <v/>
      </c>
      <c r="DA72" s="1883" t="str" cm="1">
        <f t="array" ca="1" aca="1" ref="DA72">IFERROR(IF(AN72*fxVal_normal=_BS!AN72,"",IF(OR(AN72="",NOT(ISNUMBER(AN72)),ISERROR(AN72),$B72=""),"",IF($I72=1,IFBLANK(_xldudf_CX_PUSH(AN72*fxVal_normal,CX_ENTITY,$B72,AN$11,AN$14,AN$60,),""),IF($I72=2,IFBLANK(_xldudf_CX_PUSH(AN72,CX_ENTITY,$B72,AN$11,AN$14,AN$60,),""),IF($I72=3,"",IFBLANK(_xldudf_CX_PUSH(AN72,CX_ENTITY,$B72,AN$11,AN$14,AN$60,),"")))))),"")</f>
        <v/>
      </c>
      <c r="DB72" s="1883" t="str" cm="1">
        <f t="array" ca="1" aca="1" ref="DB72">IFERROR(IF(AO72*fxVal_normal=_BS!AO72,"",IF(OR(AO72="",NOT(ISNUMBER(AO72)),ISERROR(AO72),$B72=""),"",IF($I72=1,IFBLANK(_xldudf_CX_PUSH(AO72*fxVal_normal,CX_ENTITY,$B72,AO$11,AO$14,AO$60,),""),IF($I72=2,IFBLANK(_xldudf_CX_PUSH(AO72,CX_ENTITY,$B72,AO$11,AO$14,AO$60,),""),IF($I72=3,"",IFBLANK(_xldudf_CX_PUSH(AO72,CX_ENTITY,$B72,AO$11,AO$14,AO$60,),"")))))),"")</f>
        <v/>
      </c>
      <c r="DC72" s="1883" t="str" cm="1">
        <f t="array" ca="1" aca="1" ref="DC72">IFERROR(IF(AP72*fxVal_normal=_BS!AP72,"",IF(OR(AP72="",NOT(ISNUMBER(AP72)),ISERROR(AP72),$B72=""),"",IF($I72=1,IFBLANK(_xldudf_CX_PUSH(AP72*fxVal_normal,CX_ENTITY,$B72,AP$11,AP$14,AP$60,),""),IF($I72=2,IFBLANK(_xldudf_CX_PUSH(AP72,CX_ENTITY,$B72,AP$11,AP$14,AP$60,),""),IF($I72=3,"",IFBLANK(_xldudf_CX_PUSH(AP72,CX_ENTITY,$B72,AP$11,AP$14,AP$60,),"")))))),"")</f>
        <v/>
      </c>
      <c r="DD72" s="1883" t="str" cm="1">
        <f t="array" ca="1" aca="1" ref="DD72">IFERROR(IF(AQ72*fxVal_normal=_BS!AQ72,"",IF(OR(AQ72="",NOT(ISNUMBER(AQ72)),ISERROR(AQ72),$B72=""),"",IF($I72=1,IFBLANK(_xldudf_CX_PUSH(AQ72*fxVal_normal,CX_ENTITY,$B72,AQ$11,AQ$14,AQ$60,),""),IF($I72=2,IFBLANK(_xldudf_CX_PUSH(AQ72,CX_ENTITY,$B72,AQ$11,AQ$14,AQ$60,),""),IF($I72=3,"",IFBLANK(_xldudf_CX_PUSH(AQ72,CX_ENTITY,$B72,AQ$11,AQ$14,AQ$60,),"")))))),"")</f>
        <v/>
      </c>
      <c r="DE72" s="1883" t="str" cm="1">
        <f t="array" ca="1" aca="1" ref="DE72">IFERROR(IF(AR72*fxVal_normal=_BS!AR72,"",IF(OR(AR72="",NOT(ISNUMBER(AR72)),ISERROR(AR72),$B72=""),"",IF($I72=1,IFBLANK(_xldudf_CX_PUSH(AR72*fxVal_normal,CX_ENTITY,$B72,AR$11,AR$14,AR$60,),""),IF($I72=2,IFBLANK(_xldudf_CX_PUSH(AR72,CX_ENTITY,$B72,AR$11,AR$14,AR$60,),""),IF($I72=3,"",IFBLANK(_xldudf_CX_PUSH(AR72,CX_ENTITY,$B72,AR$11,AR$14,AR$60,),"")))))),"")</f>
        <v/>
      </c>
      <c r="DF72" s="1883" t="str" cm="1">
        <f t="array" ca="1" aca="1" ref="DF72">IFERROR(IF(AS72*fxVal_normal=_BS!AS72,"",IF(OR(AS72="",NOT(ISNUMBER(AS72)),ISERROR(AS72),$B72=""),"",IF($I72=1,IFBLANK(_xldudf_CX_PUSH(AS72*fxVal_normal,CX_ENTITY,$B72,AS$11,AS$14,AS$60,),""),IF($I72=2,IFBLANK(_xldudf_CX_PUSH(AS72,CX_ENTITY,$B72,AS$11,AS$14,AS$60,),""),IF($I72=3,"",IFBLANK(_xldudf_CX_PUSH(AS72,CX_ENTITY,$B72,AS$11,AS$14,AS$60,),"")))))),"")</f>
        <v/>
      </c>
      <c r="DG72" s="1883" t="str" cm="1">
        <f t="array" ca="1" aca="1" ref="DG72">IFERROR(IF(AT72*fxVal_normal=_BS!AT72,"",IF(OR(AT72="",NOT(ISNUMBER(AT72)),ISERROR(AT72),$B72=""),"",IF($I72=1,IFBLANK(_xldudf_CX_PUSH(AT72*fxVal_normal,CX_ENTITY,$B72,AT$11,AT$14,AT$60,),""),IF($I72=2,IFBLANK(_xldudf_CX_PUSH(AT72,CX_ENTITY,$B72,AT$11,AT$14,AT$60,),""),IF($I72=3,"",IFBLANK(_xldudf_CX_PUSH(AT72,CX_ENTITY,$B72,AT$11,AT$14,AT$60,),"")))))),"")</f>
        <v/>
      </c>
      <c r="DH72" s="1883" t="str" cm="1">
        <f t="array" ca="1" aca="1" ref="DH72">IFERROR(IF(AU72*fxVal_normal=_BS!AU72,"",IF(OR(AU72="",NOT(ISNUMBER(AU72)),ISERROR(AU72),$B72=""),"",IF($I72=1,IFBLANK(_xldudf_CX_PUSH(AU72*fxVal_normal,CX_ENTITY,$B72,AU$11,AU$14,AU$60,),""),IF($I72=2,IFBLANK(_xldudf_CX_PUSH(AU72,CX_ENTITY,$B72,AU$11,AU$14,AU$60,),""),IF($I72=3,"",IFBLANK(_xldudf_CX_PUSH(AU72,CX_ENTITY,$B72,AU$11,AU$14,AU$60,),"")))))),"")</f>
        <v/>
      </c>
      <c r="DI72" s="1883" t="str" cm="1">
        <f t="array" ca="1" aca="1" ref="DI72">IFERROR(IF(AV72*fxVal_normal=_BS!AV72,"",IF(OR(AV72="",NOT(ISNUMBER(AV72)),ISERROR(AV72),$B72=""),"",IF($I72=1,IFBLANK(_xldudf_CX_PUSH(AV72*fxVal_normal,CX_ENTITY,$B72,AV$11,AV$14,AV$60,),""),IF($I72=2,IFBLANK(_xldudf_CX_PUSH(AV72,CX_ENTITY,$B72,AV$11,AV$14,AV$60,),""),IF($I72=3,"",IFBLANK(_xldudf_CX_PUSH(AV72,CX_ENTITY,$B72,AV$11,AV$14,AV$60,),"")))))),"")</f>
        <v/>
      </c>
      <c r="DJ72" s="1883" t="str" cm="1">
        <f t="array" ca="1" aca="1" ref="DJ72">IFERROR(IF(AW72*fxVal_normal=_BS!AW72,"",IF(OR(AW72="",NOT(ISNUMBER(AW72)),ISERROR(AW72),$B72=""),"",IF($I72=1,IFBLANK(_xldudf_CX_PUSH(AW72*fxVal_normal,CX_ENTITY,$B72,AW$11,AW$14,AW$60,),""),IF($I72=2,IFBLANK(_xldudf_CX_PUSH(AW72,CX_ENTITY,$B72,AW$11,AW$14,AW$60,),""),IF($I72=3,"",IFBLANK(_xldudf_CX_PUSH(AW72,CX_ENTITY,$B72,AW$11,AW$14,AW$60,),"")))))),"")</f>
        <v/>
      </c>
      <c r="DK72" s="1883" t="str" cm="1">
        <f t="array" ca="1" aca="1" ref="DK72">IFERROR(IF(AX72*fxVal_normal=_BS!AX72,"",IF(OR(AX72="",NOT(ISNUMBER(AX72)),ISERROR(AX72),$B72=""),"",IF($I72=1,IFBLANK(_xldudf_CX_PUSH(AX72*fxVal_normal,CX_ENTITY,$B72,AX$11,AX$14,AX$60,),""),IF($I72=2,IFBLANK(_xldudf_CX_PUSH(AX72,CX_ENTITY,$B72,AX$11,AX$14,AX$60,),""),IF($I72=3,"",IFBLANK(_xldudf_CX_PUSH(AX72,CX_ENTITY,$B72,AX$11,AX$14,AX$60,),"")))))),"")</f>
        <v/>
      </c>
      <c r="DL72" s="1883" t="str" cm="1">
        <f t="array" ca="1" aca="1" ref="DL72">IFERROR(IF(AY72*fxVal_normal=_BS!AY72,"",IF(OR(AY72="",NOT(ISNUMBER(AY72)),ISERROR(AY72),$B72=""),"",IF($I72=1,IFBLANK(_xldudf_CX_PUSH(AY72*fxVal_normal,CX_ENTITY,$B72,AY$11,AY$14,AY$60,),""),IF($I72=2,IFBLANK(_xldudf_CX_PUSH(AY72,CX_ENTITY,$B72,AY$11,AY$14,AY$60,),""),IF($I72=3,"",IFBLANK(_xldudf_CX_PUSH(AY72,CX_ENTITY,$B72,AY$11,AY$14,AY$60,),"")))))),"")</f>
        <v/>
      </c>
      <c r="DM72" s="1883" t="str" cm="1">
        <f t="array" ca="1" aca="1" ref="DM72">IFERROR(IF(AZ72*fxVal_normal=_BS!AZ72,"",IF(OR(AZ72="",NOT(ISNUMBER(AZ72)),ISERROR(AZ72),$B72=""),"",IF($I72=1,IFBLANK(_xldudf_CX_PUSH(AZ72*fxVal_normal,CX_ENTITY,$B72,AZ$11,AZ$14,AZ$60,),""),IF($I72=2,IFBLANK(_xldudf_CX_PUSH(AZ72,CX_ENTITY,$B72,AZ$11,AZ$14,AZ$60,),""),IF($I72=3,"",IFBLANK(_xldudf_CX_PUSH(AZ72,CX_ENTITY,$B72,AZ$11,AZ$14,AZ$60,),"")))))),"")</f>
        <v/>
      </c>
      <c r="DN72" s="1883" t="str" cm="1">
        <f t="array" ca="1" aca="1" ref="DN72">IFERROR(IF(BA72*fxVal_normal=_BS!BA72,"",IF(OR(BA72="",NOT(ISNUMBER(BA72)),ISERROR(BA72),$B72=""),"",IF($I72=1,IFBLANK(_xldudf_CX_PUSH(BA72*fxVal_normal,CX_ENTITY,$B72,BA$11,BA$14,BA$60,),""),IF($I72=2,IFBLANK(_xldudf_CX_PUSH(BA72,CX_ENTITY,$B72,BA$11,BA$14,BA$60,),""),IF($I72=3,"",IFBLANK(_xldudf_CX_PUSH(BA72,CX_ENTITY,$B72,BA$11,BA$14,BA$60,),"")))))),"")</f>
        <v/>
      </c>
      <c r="DO72" s="1883" t="str" cm="1">
        <f t="array" ca="1" aca="1" ref="DO72">IFERROR(IF(BB72*fxVal_normal=_BS!BB72,"",IF(OR(BB72="",NOT(ISNUMBER(BB72)),ISERROR(BB72),$B72=""),"",IF($I72=1,IFBLANK(_xldudf_CX_PUSH(BB72*fxVal_normal,CX_ENTITY,$B72,BB$11,BB$14,BB$60,),""),IF($I72=2,IFBLANK(_xldudf_CX_PUSH(BB72,CX_ENTITY,$B72,BB$11,BB$14,BB$60,),""),IF($I72=3,"",IFBLANK(_xldudf_CX_PUSH(BB72,CX_ENTITY,$B72,BB$11,BB$14,BB$60,),"")))))),"")</f>
        <v/>
      </c>
      <c r="DP72" s="1883" t="str" cm="1">
        <f t="array" ca="1" aca="1" ref="DP72">IFERROR(IF(BC72*fxVal_normal=_BS!BC72,"",IF(OR(BC72="",NOT(ISNUMBER(BC72)),ISERROR(BC72),$B72=""),"",IF($I72=1,IFBLANK(_xldudf_CX_PUSH(BC72*fxVal_normal,CX_ENTITY,$B72,BC$11,BC$14,BC$60,),""),IF($I72=2,IFBLANK(_xldudf_CX_PUSH(BC72,CX_ENTITY,$B72,BC$11,BC$14,BC$60,),""),IF($I72=3,"",IFBLANK(_xldudf_CX_PUSH(BC72,CX_ENTITY,$B72,BC$11,BC$14,BC$60,),"")))))),"")</f>
        <v/>
      </c>
      <c r="DQ72" s="1883" t="str" cm="1">
        <f t="array" ca="1" aca="1" ref="DQ72">IFERROR(IF(BD72*fxVal_normal=_BS!BD72,"",IF(OR(BD72="",NOT(ISNUMBER(BD72)),ISERROR(BD72),$B72=""),"",IF($I72=1,IFBLANK(_xldudf_CX_PUSH(BD72*fxVal_normal,CX_ENTITY,$B72,BD$11,BD$14,BD$60,),""),IF($I72=2,IFBLANK(_xldudf_CX_PUSH(BD72,CX_ENTITY,$B72,BD$11,BD$14,BD$60,),""),IF($I72=3,"",IFBLANK(_xldudf_CX_PUSH(BD72,CX_ENTITY,$B72,BD$11,BD$14,BD$60,),"")))))),"")</f>
        <v/>
      </c>
      <c r="DR72" s="1883" t="str" cm="1">
        <f t="array" ca="1" aca="1" ref="DR72">IFERROR(IF(BE72*fxVal_normal=_BS!BE72,"",IF(OR(BE72="",NOT(ISNUMBER(BE72)),ISERROR(BE72),$B72=""),"",IF($I72=1,IFBLANK(_xldudf_CX_PUSH(BE72*fxVal_normal,CX_ENTITY,$B72,BE$11,BE$14,BE$60,),""),IF($I72=2,IFBLANK(_xldudf_CX_PUSH(BE72,CX_ENTITY,$B72,BE$11,BE$14,BE$60,),""),IF($I72=3,"",IFBLANK(_xldudf_CX_PUSH(BE72,CX_ENTITY,$B72,BE$11,BE$14,BE$60,),"")))))),"")</f>
        <v/>
      </c>
      <c r="DS72" s="1883" t="str" cm="1">
        <f t="array" ca="1" aca="1" ref="DS72">IFERROR(IF(BF72*fxVal_normal=_BS!BF72,"",IF(OR(BF72="",NOT(ISNUMBER(BF72)),ISERROR(BF72),$B72=""),"",IF($I72=1,IFBLANK(_xldudf_CX_PUSH(BF72*fxVal_normal,CX_ENTITY,$B72,BF$11,BF$14,BF$60,),""),IF($I72=2,IFBLANK(_xldudf_CX_PUSH(BF72,CX_ENTITY,$B72,BF$11,BF$14,BF$60,),""),IF($I72=3,"",IFBLANK(_xldudf_CX_PUSH(BF72,CX_ENTITY,$B72,BF$11,BF$14,BF$60,),"")))))),"")</f>
        <v/>
      </c>
      <c r="DT72" s="1883" t="str" cm="1">
        <f t="array" ca="1" aca="1" ref="DT72">IFERROR(IF(BG72*fxVal_normal=_BS!BG72,"",IF(OR(BG72="",NOT(ISNUMBER(BG72)),ISERROR(BG72),$B72=""),"",IF($I72=1,IFBLANK(_xldudf_CX_PUSH(BG72*fxVal_normal,CX_ENTITY,$B72,BG$11,BG$14,BG$60,),""),IF($I72=2,IFBLANK(_xldudf_CX_PUSH(BG72,CX_ENTITY,$B72,BG$11,BG$14,BG$60,),""),IF($I72=3,"",IFBLANK(_xldudf_CX_PUSH(BG72,CX_ENTITY,$B72,BG$11,BG$14,BG$60,),"")))))),"")</f>
        <v/>
      </c>
      <c r="DU72" s="1883" t="str" cm="1">
        <f t="array" ca="1" aca="1" ref="DU72">IFERROR(IF(BH72*fxVal_normal=_BS!BH72,"",IF(OR(BH72="",NOT(ISNUMBER(BH72)),ISERROR(BH72),$B72=""),"",IF($I72=1,IFBLANK(_xldudf_CX_PUSH(BH72*fxVal_normal,CX_ENTITY,$B72,BH$11,BH$14,BH$60,),""),IF($I72=2,IFBLANK(_xldudf_CX_PUSH(BH72,CX_ENTITY,$B72,BH$11,BH$14,BH$60,),""),IF($I72=3,"",IFBLANK(_xldudf_CX_PUSH(BH72,CX_ENTITY,$B72,BH$11,BH$14,BH$60,),"")))))),"")</f>
        <v/>
      </c>
      <c r="DV72" s="1883" t="str" cm="1">
        <f t="array" ca="1" aca="1" ref="DV72">IFERROR(IF(BI72*fxVal_normal=_BS!BI72,"",IF(OR(BI72="",NOT(ISNUMBER(BI72)),ISERROR(BI72),$B72=""),"",IF($I72=1,IFBLANK(_xldudf_CX_PUSH(BI72*fxVal_normal,CX_ENTITY,$B72,BI$11,BI$14,BI$60,),""),IF($I72=2,IFBLANK(_xldudf_CX_PUSH(BI72,CX_ENTITY,$B72,BI$11,BI$14,BI$60,),""),IF($I72=3,"",IFBLANK(_xldudf_CX_PUSH(BI72,CX_ENTITY,$B72,BI$11,BI$14,BI$60,),"")))))),"")</f>
        <v/>
      </c>
      <c r="DW72" s="1883" t="str" cm="1">
        <f t="array" ca="1" aca="1" ref="DW72">IFERROR(IF(BJ72*fxVal_normal=_BS!BJ72,"",IF(OR(BJ72="",NOT(ISNUMBER(BJ72)),ISERROR(BJ72),$B72=""),"",IF($I72=1,IFBLANK(_xldudf_CX_PUSH(BJ72*fxVal_normal,CX_ENTITY,$B72,BJ$11,BJ$14,BJ$60,),""),IF($I72=2,IFBLANK(_xldudf_CX_PUSH(BJ72,CX_ENTITY,$B72,BJ$11,BJ$14,BJ$60,),""),IF($I72=3,"",IFBLANK(_xldudf_CX_PUSH(BJ72,CX_ENTITY,$B72,BJ$11,BJ$14,BJ$60,),"")))))),"")</f>
        <v/>
      </c>
      <c r="DX72" s="1883" t="str" cm="1">
        <f t="array" ca="1" aca="1" ref="DX72">IFERROR(IF(BK72*fxVal_normal=_BS!BK72,"",IF(OR(BK72="",NOT(ISNUMBER(BK72)),ISERROR(BK72),$B72=""),"",IF($I72=1,IFBLANK(_xldudf_CX_PUSH(BK72*fxVal_normal,CX_ENTITY,$B72,BK$11,BK$14,BK$60,),""),IF($I72=2,IFBLANK(_xldudf_CX_PUSH(BK72,CX_ENTITY,$B72,BK$11,BK$14,BK$60,),""),IF($I72=3,"",IFBLANK(_xldudf_CX_PUSH(BK72,CX_ENTITY,$B72,BK$11,BK$14,BK$60,),"")))))),"")</f>
        <v/>
      </c>
      <c r="DY72" s="1883" t="str" cm="1">
        <f t="array" ca="1" aca="1" ref="DY72">IFERROR(IF(BL72*fxVal_normal=_BS!BL72,"",IF(OR(BL72="",NOT(ISNUMBER(BL72)),ISERROR(BL72),$B72=""),"",IF($I72=1,IFBLANK(_xldudf_CX_PUSH(BL72*fxVal_normal,CX_ENTITY,$B72,BL$11,BL$14,BL$60,),""),IF($I72=2,IFBLANK(_xldudf_CX_PUSH(BL72,CX_ENTITY,$B72,BL$11,BL$14,BL$60,),""),IF($I72=3,"",IFBLANK(_xldudf_CX_PUSH(BL72,CX_ENTITY,$B72,BL$11,BL$14,BL$60,),"")))))),"")</f>
        <v/>
      </c>
      <c r="DZ72" s="1883" t="str" cm="1">
        <f t="array" ca="1" aca="1" ref="DZ72">IFERROR(IF(BM72*fxVal_normal=_BS!BM72,"",IF(OR(BM72="",NOT(ISNUMBER(BM72)),ISERROR(BM72),$B72=""),"",IF($I72=1,IFBLANK(_xldudf_CX_PUSH(BM72*fxVal_normal,CX_ENTITY,$B72,BM$11,BM$14,BM$60,),""),IF($I72=2,IFBLANK(_xldudf_CX_PUSH(BM72,CX_ENTITY,$B72,BM$11,BM$14,BM$60,),""),IF($I72=3,"",IFBLANK(_xldudf_CX_PUSH(BM72,CX_ENTITY,$B72,BM$11,BM$14,BM$60,),"")))))),"")</f>
        <v/>
      </c>
      <c r="EA72" s="1883" t="str" cm="1">
        <f t="array" ca="1" aca="1" ref="EA72">IFERROR(IF(BN72*fxVal_normal=_BS!BN72,"",IF(OR(BN72="",NOT(ISNUMBER(BN72)),ISERROR(BN72),$B72=""),"",IF($I72=1,IFBLANK(_xldudf_CX_PUSH(BN72*fxVal_normal,CX_ENTITY,$B72,BN$11,BN$14,BN$60,),""),IF($I72=2,IFBLANK(_xldudf_CX_PUSH(BN72,CX_ENTITY,$B72,BN$11,BN$14,BN$60,),""),IF($I72=3,"",IFBLANK(_xldudf_CX_PUSH(BN72,CX_ENTITY,$B72,BN$11,BN$14,BN$60,),"")))))),"")</f>
        <v/>
      </c>
    </row>
    <row r="73" spans="1:131" ht="21" customHeight="1">
      <c r="A73" s="1646"/>
      <c r="B73" s="811" t="str" cm="1">
        <f t="array" ref="B73">IFBLANK(_BS!F73,"")</f>
        <v>Senior Instrument(s) 1</v>
      </c>
      <c r="C73" s="811" t="str" cm="1">
        <f t="array" ref="C73">IFBLANK(_BS!C73,"")</f>
        <v>Senior Instrument(S) 1 (Company View)</v>
      </c>
      <c r="D73" s="1549"/>
      <c r="E73" s="1902" t="e" cm="1">
        <f t="array" ca="1" aca="1" ref="E7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73:$CH73,Z73)</f>
        <v>#NAME?</v>
      </c>
      <c r="F73" s="1897"/>
      <c r="G73" s="1897"/>
      <c r="H73" s="3280">
        <v>1</v>
      </c>
      <c r="I73" s="3280">
        <v>1</v>
      </c>
      <c r="J73" s="401"/>
      <c r="N73" s="158"/>
      <c r="O73" s="101"/>
      <c r="P73" s="52"/>
      <c r="Q73" s="101"/>
      <c r="R73" s="101"/>
      <c r="S73" s="101"/>
      <c r="T73" s="101"/>
      <c r="U73" s="39"/>
      <c r="W73" s="930" t="str">
        <f t="shared" si="18"/>
        <v>Budget</v>
      </c>
      <c r="X73" s="857">
        <f>_BS!X73</f>
        <v>-1</v>
      </c>
      <c r="Y73" s="3230">
        <f t="shared" si="17"/>
        <v>2</v>
      </c>
      <c r="Z73" s="3291" cm="1">
        <f t="array" ref="Z73">_xlfn.SWITCH(TRUE,_BS!$L73=TRUE,1,_BS!$L73=FALSE,-1,_BS!$L73=-1,0,"n/a")</f>
        <v>1</v>
      </c>
      <c r="AA73" s="200"/>
      <c r="AB73" s="88" t="str">
        <f>_BS!AB73</f>
        <v>Senior Instrument(s): e.g. Term Loan B or Senior Secured Notes</v>
      </c>
      <c r="AC73" s="88" t="str" cm="1">
        <f t="array" ca="1" aca="1" ref="AC73">_xlfn.LET(_xlpm._termname,$AB73,_xlpm._iconname,"find",_xlpm._icon,fx_getIcon(_xlpm._iconname),_xlpm._location,_xlfn.XLOOKUP(LOWER(_xlpm._termname),LOWER(tbl_acctDef[Term]),tbl_acctDef[Term]),_xlpm._hyperlink,HYPERLINK("#"&amp;CELL("address",_xlpm._location),_xlpm._icon),IFERROR(_xlpm._hyperlink,""))</f>
        <v/>
      </c>
      <c r="AD73" s="3229">
        <v>1</v>
      </c>
      <c r="AE73" s="3229">
        <v>1</v>
      </c>
      <c r="AF73" s="3229">
        <v>1</v>
      </c>
      <c r="AG73" s="3229">
        <v>1</v>
      </c>
      <c r="AH73" s="3229">
        <v>1</v>
      </c>
      <c r="AI73" s="3229">
        <v>1</v>
      </c>
      <c r="AJ73" s="3229">
        <v>1</v>
      </c>
      <c r="AK73" s="3229">
        <v>1</v>
      </c>
      <c r="AL73" s="3229">
        <v>1</v>
      </c>
      <c r="AM73" s="3229">
        <v>1</v>
      </c>
      <c r="AN73" s="3229">
        <v>1</v>
      </c>
      <c r="AO73" s="3229">
        <v>1</v>
      </c>
      <c r="AP73" s="3229">
        <v>1</v>
      </c>
      <c r="AQ73" s="3229">
        <v>1</v>
      </c>
      <c r="AR73" s="3229">
        <v>1</v>
      </c>
      <c r="AS73" s="3229">
        <v>1</v>
      </c>
      <c r="AT73" s="3229">
        <v>1</v>
      </c>
      <c r="AU73" s="3229">
        <v>1</v>
      </c>
      <c r="AV73" s="3229">
        <v>1</v>
      </c>
      <c r="AW73" s="3229">
        <v>1</v>
      </c>
      <c r="AX73" s="3229">
        <v>1</v>
      </c>
      <c r="AY73" s="3229">
        <v>1</v>
      </c>
      <c r="AZ73" s="3229">
        <v>1</v>
      </c>
      <c r="BA73" s="3229">
        <v>1</v>
      </c>
      <c r="BB73" s="3229">
        <v>1</v>
      </c>
      <c r="BC73" s="3229">
        <v>1</v>
      </c>
      <c r="BD73" s="3229">
        <v>1</v>
      </c>
      <c r="BE73" s="3229">
        <v>1</v>
      </c>
      <c r="BF73" s="3229">
        <v>1</v>
      </c>
      <c r="BG73" s="3229">
        <v>1</v>
      </c>
      <c r="BH73" s="3229">
        <v>1</v>
      </c>
      <c r="BI73" s="3229">
        <v>1</v>
      </c>
      <c r="BJ73" s="3229">
        <v>1</v>
      </c>
      <c r="BK73" s="3229">
        <v>1</v>
      </c>
      <c r="BL73" s="3229">
        <v>1</v>
      </c>
      <c r="BM73" s="3229">
        <v>1</v>
      </c>
      <c r="BN73" s="3229">
        <v>1</v>
      </c>
      <c r="BO73" s="2118"/>
      <c r="BP73" s="2118"/>
      <c r="BQ73" s="2118"/>
      <c r="BR73" s="2118"/>
      <c r="BS73" s="2118"/>
      <c r="BT73" s="2118"/>
      <c r="BU73" s="2118"/>
      <c r="BV73" s="2118"/>
      <c r="BW73" s="2118"/>
      <c r="BX73" s="2118"/>
      <c r="BY73" s="2118"/>
      <c r="BZ73" s="2118"/>
      <c r="CA73" s="929"/>
      <c r="CB73" s="921"/>
      <c r="CC73" s="988"/>
      <c r="CD73" s="928" t="e" cm="1">
        <f t="array" ca="1" aca="1" ref="CD73">_xlfn.XLOOKUP(BS!CD$11,array_timeline,BS!$AD73:$BN73)</f>
        <v>#NAME?</v>
      </c>
      <c r="CE73" s="928" t="e" cm="1">
        <f t="array" ca="1" aca="1" ref="CE73">_xlfn.XLOOKUP(BS!CE$11,array_timeline,BS!$AD73:$BN73)</f>
        <v>#NAME?</v>
      </c>
      <c r="CF73" s="925"/>
      <c r="CG73" s="2124" t="e">
        <f t="shared" ca="1" si="16"/>
        <v>#NAME?</v>
      </c>
      <c r="CH73" s="2124" t="e">
        <f t="shared" ca="1" si="16"/>
        <v>#NAME?</v>
      </c>
      <c r="CI73" s="787"/>
      <c r="CQ73" s="1883" t="str" cm="1">
        <f t="array" ca="1" aca="1" ref="CQ73">IFERROR(IF(AD73*fxVal_normal=_BS!AD73,"",IF(OR(AD73="",NOT(ISNUMBER(AD73)),ISERROR(AD73),$B73=""),"",IF($I73=1,IFBLANK(_xldudf_CX_PUSH(AD73*fxVal_normal,CX_ENTITY,$B73,AD$11,AD$14,AD$60,),""),IF($I73=2,IFBLANK(_xldudf_CX_PUSH(AD73,CX_ENTITY,$B73,AD$11,AD$14,AD$60,),""),IF($I73=3,"",IFBLANK(_xldudf_CX_PUSH(AD73,CX_ENTITY,$B73,AD$11,AD$14,AD$60,),"")))))),"")</f>
        <v/>
      </c>
      <c r="CR73" s="1883" t="str" cm="1">
        <f t="array" ca="1" aca="1" ref="CR73">IFERROR(IF(AE73*fxVal_normal=_BS!AE73,"",IF(OR(AE73="",NOT(ISNUMBER(AE73)),ISERROR(AE73),$B73=""),"",IF($I73=1,IFBLANK(_xldudf_CX_PUSH(AE73*fxVal_normal,CX_ENTITY,$B73,AE$11,AE$14,AE$60,),""),IF($I73=2,IFBLANK(_xldudf_CX_PUSH(AE73,CX_ENTITY,$B73,AE$11,AE$14,AE$60,),""),IF($I73=3,"",IFBLANK(_xldudf_CX_PUSH(AE73,CX_ENTITY,$B73,AE$11,AE$14,AE$60,),"")))))),"")</f>
        <v/>
      </c>
      <c r="CS73" s="1883" t="str" cm="1">
        <f t="array" ca="1" aca="1" ref="CS73">IFERROR(IF(AF73*fxVal_normal=_BS!AF73,"",IF(OR(AF73="",NOT(ISNUMBER(AF73)),ISERROR(AF73),$B73=""),"",IF($I73=1,IFBLANK(_xldudf_CX_PUSH(AF73*fxVal_normal,CX_ENTITY,$B73,AF$11,AF$14,AF$60,),""),IF($I73=2,IFBLANK(_xldudf_CX_PUSH(AF73,CX_ENTITY,$B73,AF$11,AF$14,AF$60,),""),IF($I73=3,"",IFBLANK(_xldudf_CX_PUSH(AF73,CX_ENTITY,$B73,AF$11,AF$14,AF$60,),"")))))),"")</f>
        <v/>
      </c>
      <c r="CT73" s="1883" t="str" cm="1">
        <f t="array" ca="1" aca="1" ref="CT73">IFERROR(IF(AG73*fxVal_normal=_BS!AG73,"",IF(OR(AG73="",NOT(ISNUMBER(AG73)),ISERROR(AG73),$B73=""),"",IF($I73=1,IFBLANK(_xldudf_CX_PUSH(AG73*fxVal_normal,CX_ENTITY,$B73,AG$11,AG$14,AG$60,),""),IF($I73=2,IFBLANK(_xldudf_CX_PUSH(AG73,CX_ENTITY,$B73,AG$11,AG$14,AG$60,),""),IF($I73=3,"",IFBLANK(_xldudf_CX_PUSH(AG73,CX_ENTITY,$B73,AG$11,AG$14,AG$60,),"")))))),"")</f>
        <v/>
      </c>
      <c r="CU73" s="1883" t="str" cm="1">
        <f t="array" ca="1" aca="1" ref="CU73">IFERROR(IF(AH73*fxVal_normal=_BS!AH73,"",IF(OR(AH73="",NOT(ISNUMBER(AH73)),ISERROR(AH73),$B73=""),"",IF($I73=1,IFBLANK(_xldudf_CX_PUSH(AH73*fxVal_normal,CX_ENTITY,$B73,AH$11,AH$14,AH$60,),""),IF($I73=2,IFBLANK(_xldudf_CX_PUSH(AH73,CX_ENTITY,$B73,AH$11,AH$14,AH$60,),""),IF($I73=3,"",IFBLANK(_xldudf_CX_PUSH(AH73,CX_ENTITY,$B73,AH$11,AH$14,AH$60,),"")))))),"")</f>
        <v/>
      </c>
      <c r="CV73" s="1883" t="str" cm="1">
        <f t="array" ca="1" aca="1" ref="CV73">IFERROR(IF(AI73*fxVal_normal=_BS!AI73,"",IF(OR(AI73="",NOT(ISNUMBER(AI73)),ISERROR(AI73),$B73=""),"",IF($I73=1,IFBLANK(_xldudf_CX_PUSH(AI73*fxVal_normal,CX_ENTITY,$B73,AI$11,AI$14,AI$60,),""),IF($I73=2,IFBLANK(_xldudf_CX_PUSH(AI73,CX_ENTITY,$B73,AI$11,AI$14,AI$60,),""),IF($I73=3,"",IFBLANK(_xldudf_CX_PUSH(AI73,CX_ENTITY,$B73,AI$11,AI$14,AI$60,),"")))))),"")</f>
        <v/>
      </c>
      <c r="CW73" s="1883" t="str" cm="1">
        <f t="array" ca="1" aca="1" ref="CW73">IFERROR(IF(AJ73*fxVal_normal=_BS!AJ73,"",IF(OR(AJ73="",NOT(ISNUMBER(AJ73)),ISERROR(AJ73),$B73=""),"",IF($I73=1,IFBLANK(_xldudf_CX_PUSH(AJ73*fxVal_normal,CX_ENTITY,$B73,AJ$11,AJ$14,AJ$60,),""),IF($I73=2,IFBLANK(_xldudf_CX_PUSH(AJ73,CX_ENTITY,$B73,AJ$11,AJ$14,AJ$60,),""),IF($I73=3,"",IFBLANK(_xldudf_CX_PUSH(AJ73,CX_ENTITY,$B73,AJ$11,AJ$14,AJ$60,),"")))))),"")</f>
        <v/>
      </c>
      <c r="CX73" s="1883" t="str" cm="1">
        <f t="array" ca="1" aca="1" ref="CX73">IFERROR(IF(AK73*fxVal_normal=_BS!AK73,"",IF(OR(AK73="",NOT(ISNUMBER(AK73)),ISERROR(AK73),$B73=""),"",IF($I73=1,IFBLANK(_xldudf_CX_PUSH(AK73*fxVal_normal,CX_ENTITY,$B73,AK$11,AK$14,AK$60,),""),IF($I73=2,IFBLANK(_xldudf_CX_PUSH(AK73,CX_ENTITY,$B73,AK$11,AK$14,AK$60,),""),IF($I73=3,"",IFBLANK(_xldudf_CX_PUSH(AK73,CX_ENTITY,$B73,AK$11,AK$14,AK$60,),"")))))),"")</f>
        <v/>
      </c>
      <c r="CY73" s="1883" t="str" cm="1">
        <f t="array" ca="1" aca="1" ref="CY73">IFERROR(IF(AL73*fxVal_normal=_BS!AL73,"",IF(OR(AL73="",NOT(ISNUMBER(AL73)),ISERROR(AL73),$B73=""),"",IF($I73=1,IFBLANK(_xldudf_CX_PUSH(AL73*fxVal_normal,CX_ENTITY,$B73,AL$11,AL$14,AL$60,),""),IF($I73=2,IFBLANK(_xldudf_CX_PUSH(AL73,CX_ENTITY,$B73,AL$11,AL$14,AL$60,),""),IF($I73=3,"",IFBLANK(_xldudf_CX_PUSH(AL73,CX_ENTITY,$B73,AL$11,AL$14,AL$60,),"")))))),"")</f>
        <v/>
      </c>
      <c r="CZ73" s="1883" t="str" cm="1">
        <f t="array" ca="1" aca="1" ref="CZ73">IFERROR(IF(AM73*fxVal_normal=_BS!AM73,"",IF(OR(AM73="",NOT(ISNUMBER(AM73)),ISERROR(AM73),$B73=""),"",IF($I73=1,IFBLANK(_xldudf_CX_PUSH(AM73*fxVal_normal,CX_ENTITY,$B73,AM$11,AM$14,AM$60,),""),IF($I73=2,IFBLANK(_xldudf_CX_PUSH(AM73,CX_ENTITY,$B73,AM$11,AM$14,AM$60,),""),IF($I73=3,"",IFBLANK(_xldudf_CX_PUSH(AM73,CX_ENTITY,$B73,AM$11,AM$14,AM$60,),"")))))),"")</f>
        <v/>
      </c>
      <c r="DA73" s="1883" t="str" cm="1">
        <f t="array" ca="1" aca="1" ref="DA73">IFERROR(IF(AN73*fxVal_normal=_BS!AN73,"",IF(OR(AN73="",NOT(ISNUMBER(AN73)),ISERROR(AN73),$B73=""),"",IF($I73=1,IFBLANK(_xldudf_CX_PUSH(AN73*fxVal_normal,CX_ENTITY,$B73,AN$11,AN$14,AN$60,),""),IF($I73=2,IFBLANK(_xldudf_CX_PUSH(AN73,CX_ENTITY,$B73,AN$11,AN$14,AN$60,),""),IF($I73=3,"",IFBLANK(_xldudf_CX_PUSH(AN73,CX_ENTITY,$B73,AN$11,AN$14,AN$60,),"")))))),"")</f>
        <v/>
      </c>
      <c r="DB73" s="1883" t="str" cm="1">
        <f t="array" ca="1" aca="1" ref="DB73">IFERROR(IF(AO73*fxVal_normal=_BS!AO73,"",IF(OR(AO73="",NOT(ISNUMBER(AO73)),ISERROR(AO73),$B73=""),"",IF($I73=1,IFBLANK(_xldudf_CX_PUSH(AO73*fxVal_normal,CX_ENTITY,$B73,AO$11,AO$14,AO$60,),""),IF($I73=2,IFBLANK(_xldudf_CX_PUSH(AO73,CX_ENTITY,$B73,AO$11,AO$14,AO$60,),""),IF($I73=3,"",IFBLANK(_xldudf_CX_PUSH(AO73,CX_ENTITY,$B73,AO$11,AO$14,AO$60,),"")))))),"")</f>
        <v/>
      </c>
      <c r="DC73" s="1883" t="str" cm="1">
        <f t="array" ca="1" aca="1" ref="DC73">IFERROR(IF(AP73*fxVal_normal=_BS!AP73,"",IF(OR(AP73="",NOT(ISNUMBER(AP73)),ISERROR(AP73),$B73=""),"",IF($I73=1,IFBLANK(_xldudf_CX_PUSH(AP73*fxVal_normal,CX_ENTITY,$B73,AP$11,AP$14,AP$60,),""),IF($I73=2,IFBLANK(_xldudf_CX_PUSH(AP73,CX_ENTITY,$B73,AP$11,AP$14,AP$60,),""),IF($I73=3,"",IFBLANK(_xldudf_CX_PUSH(AP73,CX_ENTITY,$B73,AP$11,AP$14,AP$60,),"")))))),"")</f>
        <v/>
      </c>
      <c r="DD73" s="1883" t="str" cm="1">
        <f t="array" ca="1" aca="1" ref="DD73">IFERROR(IF(AQ73*fxVal_normal=_BS!AQ73,"",IF(OR(AQ73="",NOT(ISNUMBER(AQ73)),ISERROR(AQ73),$B73=""),"",IF($I73=1,IFBLANK(_xldudf_CX_PUSH(AQ73*fxVal_normal,CX_ENTITY,$B73,AQ$11,AQ$14,AQ$60,),""),IF($I73=2,IFBLANK(_xldudf_CX_PUSH(AQ73,CX_ENTITY,$B73,AQ$11,AQ$14,AQ$60,),""),IF($I73=3,"",IFBLANK(_xldudf_CX_PUSH(AQ73,CX_ENTITY,$B73,AQ$11,AQ$14,AQ$60,),"")))))),"")</f>
        <v/>
      </c>
      <c r="DE73" s="1883" t="str" cm="1">
        <f t="array" ca="1" aca="1" ref="DE73">IFERROR(IF(AR73*fxVal_normal=_BS!AR73,"",IF(OR(AR73="",NOT(ISNUMBER(AR73)),ISERROR(AR73),$B73=""),"",IF($I73=1,IFBLANK(_xldudf_CX_PUSH(AR73*fxVal_normal,CX_ENTITY,$B73,AR$11,AR$14,AR$60,),""),IF($I73=2,IFBLANK(_xldudf_CX_PUSH(AR73,CX_ENTITY,$B73,AR$11,AR$14,AR$60,),""),IF($I73=3,"",IFBLANK(_xldudf_CX_PUSH(AR73,CX_ENTITY,$B73,AR$11,AR$14,AR$60,),"")))))),"")</f>
        <v/>
      </c>
      <c r="DF73" s="1883" t="str" cm="1">
        <f t="array" ca="1" aca="1" ref="DF73">IFERROR(IF(AS73*fxVal_normal=_BS!AS73,"",IF(OR(AS73="",NOT(ISNUMBER(AS73)),ISERROR(AS73),$B73=""),"",IF($I73=1,IFBLANK(_xldudf_CX_PUSH(AS73*fxVal_normal,CX_ENTITY,$B73,AS$11,AS$14,AS$60,),""),IF($I73=2,IFBLANK(_xldudf_CX_PUSH(AS73,CX_ENTITY,$B73,AS$11,AS$14,AS$60,),""),IF($I73=3,"",IFBLANK(_xldudf_CX_PUSH(AS73,CX_ENTITY,$B73,AS$11,AS$14,AS$60,),"")))))),"")</f>
        <v/>
      </c>
      <c r="DG73" s="1883" t="str" cm="1">
        <f t="array" ca="1" aca="1" ref="DG73">IFERROR(IF(AT73*fxVal_normal=_BS!AT73,"",IF(OR(AT73="",NOT(ISNUMBER(AT73)),ISERROR(AT73),$B73=""),"",IF($I73=1,IFBLANK(_xldudf_CX_PUSH(AT73*fxVal_normal,CX_ENTITY,$B73,AT$11,AT$14,AT$60,),""),IF($I73=2,IFBLANK(_xldudf_CX_PUSH(AT73,CX_ENTITY,$B73,AT$11,AT$14,AT$60,),""),IF($I73=3,"",IFBLANK(_xldudf_CX_PUSH(AT73,CX_ENTITY,$B73,AT$11,AT$14,AT$60,),"")))))),"")</f>
        <v/>
      </c>
      <c r="DH73" s="1883" t="str" cm="1">
        <f t="array" ca="1" aca="1" ref="DH73">IFERROR(IF(AU73*fxVal_normal=_BS!AU73,"",IF(OR(AU73="",NOT(ISNUMBER(AU73)),ISERROR(AU73),$B73=""),"",IF($I73=1,IFBLANK(_xldudf_CX_PUSH(AU73*fxVal_normal,CX_ENTITY,$B73,AU$11,AU$14,AU$60,),""),IF($I73=2,IFBLANK(_xldudf_CX_PUSH(AU73,CX_ENTITY,$B73,AU$11,AU$14,AU$60,),""),IF($I73=3,"",IFBLANK(_xldudf_CX_PUSH(AU73,CX_ENTITY,$B73,AU$11,AU$14,AU$60,),"")))))),"")</f>
        <v/>
      </c>
      <c r="DI73" s="1883" t="str" cm="1">
        <f t="array" ca="1" aca="1" ref="DI73">IFERROR(IF(AV73*fxVal_normal=_BS!AV73,"",IF(OR(AV73="",NOT(ISNUMBER(AV73)),ISERROR(AV73),$B73=""),"",IF($I73=1,IFBLANK(_xldudf_CX_PUSH(AV73*fxVal_normal,CX_ENTITY,$B73,AV$11,AV$14,AV$60,),""),IF($I73=2,IFBLANK(_xldudf_CX_PUSH(AV73,CX_ENTITY,$B73,AV$11,AV$14,AV$60,),""),IF($I73=3,"",IFBLANK(_xldudf_CX_PUSH(AV73,CX_ENTITY,$B73,AV$11,AV$14,AV$60,),"")))))),"")</f>
        <v/>
      </c>
      <c r="DJ73" s="1883" t="str" cm="1">
        <f t="array" ca="1" aca="1" ref="DJ73">IFERROR(IF(AW73*fxVal_normal=_BS!AW73,"",IF(OR(AW73="",NOT(ISNUMBER(AW73)),ISERROR(AW73),$B73=""),"",IF($I73=1,IFBLANK(_xldudf_CX_PUSH(AW73*fxVal_normal,CX_ENTITY,$B73,AW$11,AW$14,AW$60,),""),IF($I73=2,IFBLANK(_xldudf_CX_PUSH(AW73,CX_ENTITY,$B73,AW$11,AW$14,AW$60,),""),IF($I73=3,"",IFBLANK(_xldudf_CX_PUSH(AW73,CX_ENTITY,$B73,AW$11,AW$14,AW$60,),"")))))),"")</f>
        <v/>
      </c>
      <c r="DK73" s="1883" t="str" cm="1">
        <f t="array" ca="1" aca="1" ref="DK73">IFERROR(IF(AX73*fxVal_normal=_BS!AX73,"",IF(OR(AX73="",NOT(ISNUMBER(AX73)),ISERROR(AX73),$B73=""),"",IF($I73=1,IFBLANK(_xldudf_CX_PUSH(AX73*fxVal_normal,CX_ENTITY,$B73,AX$11,AX$14,AX$60,),""),IF($I73=2,IFBLANK(_xldudf_CX_PUSH(AX73,CX_ENTITY,$B73,AX$11,AX$14,AX$60,),""),IF($I73=3,"",IFBLANK(_xldudf_CX_PUSH(AX73,CX_ENTITY,$B73,AX$11,AX$14,AX$60,),"")))))),"")</f>
        <v/>
      </c>
      <c r="DL73" s="1883" t="str" cm="1">
        <f t="array" ca="1" aca="1" ref="DL73">IFERROR(IF(AY73*fxVal_normal=_BS!AY73,"",IF(OR(AY73="",NOT(ISNUMBER(AY73)),ISERROR(AY73),$B73=""),"",IF($I73=1,IFBLANK(_xldudf_CX_PUSH(AY73*fxVal_normal,CX_ENTITY,$B73,AY$11,AY$14,AY$60,),""),IF($I73=2,IFBLANK(_xldudf_CX_PUSH(AY73,CX_ENTITY,$B73,AY$11,AY$14,AY$60,),""),IF($I73=3,"",IFBLANK(_xldudf_CX_PUSH(AY73,CX_ENTITY,$B73,AY$11,AY$14,AY$60,),"")))))),"")</f>
        <v/>
      </c>
      <c r="DM73" s="1883" t="str" cm="1">
        <f t="array" ca="1" aca="1" ref="DM73">IFERROR(IF(AZ73*fxVal_normal=_BS!AZ73,"",IF(OR(AZ73="",NOT(ISNUMBER(AZ73)),ISERROR(AZ73),$B73=""),"",IF($I73=1,IFBLANK(_xldudf_CX_PUSH(AZ73*fxVal_normal,CX_ENTITY,$B73,AZ$11,AZ$14,AZ$60,),""),IF($I73=2,IFBLANK(_xldudf_CX_PUSH(AZ73,CX_ENTITY,$B73,AZ$11,AZ$14,AZ$60,),""),IF($I73=3,"",IFBLANK(_xldudf_CX_PUSH(AZ73,CX_ENTITY,$B73,AZ$11,AZ$14,AZ$60,),"")))))),"")</f>
        <v/>
      </c>
      <c r="DN73" s="1883" t="str" cm="1">
        <f t="array" ca="1" aca="1" ref="DN73">IFERROR(IF(BA73*fxVal_normal=_BS!BA73,"",IF(OR(BA73="",NOT(ISNUMBER(BA73)),ISERROR(BA73),$B73=""),"",IF($I73=1,IFBLANK(_xldudf_CX_PUSH(BA73*fxVal_normal,CX_ENTITY,$B73,BA$11,BA$14,BA$60,),""),IF($I73=2,IFBLANK(_xldudf_CX_PUSH(BA73,CX_ENTITY,$B73,BA$11,BA$14,BA$60,),""),IF($I73=3,"",IFBLANK(_xldudf_CX_PUSH(BA73,CX_ENTITY,$B73,BA$11,BA$14,BA$60,),"")))))),"")</f>
        <v/>
      </c>
      <c r="DO73" s="1883" t="str" cm="1">
        <f t="array" ca="1" aca="1" ref="DO73">IFERROR(IF(BB73*fxVal_normal=_BS!BB73,"",IF(OR(BB73="",NOT(ISNUMBER(BB73)),ISERROR(BB73),$B73=""),"",IF($I73=1,IFBLANK(_xldudf_CX_PUSH(BB73*fxVal_normal,CX_ENTITY,$B73,BB$11,BB$14,BB$60,),""),IF($I73=2,IFBLANK(_xldudf_CX_PUSH(BB73,CX_ENTITY,$B73,BB$11,BB$14,BB$60,),""),IF($I73=3,"",IFBLANK(_xldudf_CX_PUSH(BB73,CX_ENTITY,$B73,BB$11,BB$14,BB$60,),"")))))),"")</f>
        <v/>
      </c>
      <c r="DP73" s="1883" t="str" cm="1">
        <f t="array" ca="1" aca="1" ref="DP73">IFERROR(IF(BC73*fxVal_normal=_BS!BC73,"",IF(OR(BC73="",NOT(ISNUMBER(BC73)),ISERROR(BC73),$B73=""),"",IF($I73=1,IFBLANK(_xldudf_CX_PUSH(BC73*fxVal_normal,CX_ENTITY,$B73,BC$11,BC$14,BC$60,),""),IF($I73=2,IFBLANK(_xldudf_CX_PUSH(BC73,CX_ENTITY,$B73,BC$11,BC$14,BC$60,),""),IF($I73=3,"",IFBLANK(_xldudf_CX_PUSH(BC73,CX_ENTITY,$B73,BC$11,BC$14,BC$60,),"")))))),"")</f>
        <v/>
      </c>
      <c r="DQ73" s="1883" t="str" cm="1">
        <f t="array" ca="1" aca="1" ref="DQ73">IFERROR(IF(BD73*fxVal_normal=_BS!BD73,"",IF(OR(BD73="",NOT(ISNUMBER(BD73)),ISERROR(BD73),$B73=""),"",IF($I73=1,IFBLANK(_xldudf_CX_PUSH(BD73*fxVal_normal,CX_ENTITY,$B73,BD$11,BD$14,BD$60,),""),IF($I73=2,IFBLANK(_xldudf_CX_PUSH(BD73,CX_ENTITY,$B73,BD$11,BD$14,BD$60,),""),IF($I73=3,"",IFBLANK(_xldudf_CX_PUSH(BD73,CX_ENTITY,$B73,BD$11,BD$14,BD$60,),"")))))),"")</f>
        <v/>
      </c>
      <c r="DR73" s="1883" t="str" cm="1">
        <f t="array" ca="1" aca="1" ref="DR73">IFERROR(IF(BE73*fxVal_normal=_BS!BE73,"",IF(OR(BE73="",NOT(ISNUMBER(BE73)),ISERROR(BE73),$B73=""),"",IF($I73=1,IFBLANK(_xldudf_CX_PUSH(BE73*fxVal_normal,CX_ENTITY,$B73,BE$11,BE$14,BE$60,),""),IF($I73=2,IFBLANK(_xldudf_CX_PUSH(BE73,CX_ENTITY,$B73,BE$11,BE$14,BE$60,),""),IF($I73=3,"",IFBLANK(_xldudf_CX_PUSH(BE73,CX_ENTITY,$B73,BE$11,BE$14,BE$60,),"")))))),"")</f>
        <v/>
      </c>
      <c r="DS73" s="1883" t="str" cm="1">
        <f t="array" ca="1" aca="1" ref="DS73">IFERROR(IF(BF73*fxVal_normal=_BS!BF73,"",IF(OR(BF73="",NOT(ISNUMBER(BF73)),ISERROR(BF73),$B73=""),"",IF($I73=1,IFBLANK(_xldudf_CX_PUSH(BF73*fxVal_normal,CX_ENTITY,$B73,BF$11,BF$14,BF$60,),""),IF($I73=2,IFBLANK(_xldudf_CX_PUSH(BF73,CX_ENTITY,$B73,BF$11,BF$14,BF$60,),""),IF($I73=3,"",IFBLANK(_xldudf_CX_PUSH(BF73,CX_ENTITY,$B73,BF$11,BF$14,BF$60,),"")))))),"")</f>
        <v/>
      </c>
      <c r="DT73" s="1883" t="str" cm="1">
        <f t="array" ca="1" aca="1" ref="DT73">IFERROR(IF(BG73*fxVal_normal=_BS!BG73,"",IF(OR(BG73="",NOT(ISNUMBER(BG73)),ISERROR(BG73),$B73=""),"",IF($I73=1,IFBLANK(_xldudf_CX_PUSH(BG73*fxVal_normal,CX_ENTITY,$B73,BG$11,BG$14,BG$60,),""),IF($I73=2,IFBLANK(_xldudf_CX_PUSH(BG73,CX_ENTITY,$B73,BG$11,BG$14,BG$60,),""),IF($I73=3,"",IFBLANK(_xldudf_CX_PUSH(BG73,CX_ENTITY,$B73,BG$11,BG$14,BG$60,),"")))))),"")</f>
        <v/>
      </c>
      <c r="DU73" s="1883" t="str" cm="1">
        <f t="array" ca="1" aca="1" ref="DU73">IFERROR(IF(BH73*fxVal_normal=_BS!BH73,"",IF(OR(BH73="",NOT(ISNUMBER(BH73)),ISERROR(BH73),$B73=""),"",IF($I73=1,IFBLANK(_xldudf_CX_PUSH(BH73*fxVal_normal,CX_ENTITY,$B73,BH$11,BH$14,BH$60,),""),IF($I73=2,IFBLANK(_xldudf_CX_PUSH(BH73,CX_ENTITY,$B73,BH$11,BH$14,BH$60,),""),IF($I73=3,"",IFBLANK(_xldudf_CX_PUSH(BH73,CX_ENTITY,$B73,BH$11,BH$14,BH$60,),"")))))),"")</f>
        <v/>
      </c>
      <c r="DV73" s="1883" t="str" cm="1">
        <f t="array" ca="1" aca="1" ref="DV73">IFERROR(IF(BI73*fxVal_normal=_BS!BI73,"",IF(OR(BI73="",NOT(ISNUMBER(BI73)),ISERROR(BI73),$B73=""),"",IF($I73=1,IFBLANK(_xldudf_CX_PUSH(BI73*fxVal_normal,CX_ENTITY,$B73,BI$11,BI$14,BI$60,),""),IF($I73=2,IFBLANK(_xldudf_CX_PUSH(BI73,CX_ENTITY,$B73,BI$11,BI$14,BI$60,),""),IF($I73=3,"",IFBLANK(_xldudf_CX_PUSH(BI73,CX_ENTITY,$B73,BI$11,BI$14,BI$60,),"")))))),"")</f>
        <v/>
      </c>
      <c r="DW73" s="1883" t="str" cm="1">
        <f t="array" ca="1" aca="1" ref="DW73">IFERROR(IF(BJ73*fxVal_normal=_BS!BJ73,"",IF(OR(BJ73="",NOT(ISNUMBER(BJ73)),ISERROR(BJ73),$B73=""),"",IF($I73=1,IFBLANK(_xldudf_CX_PUSH(BJ73*fxVal_normal,CX_ENTITY,$B73,BJ$11,BJ$14,BJ$60,),""),IF($I73=2,IFBLANK(_xldudf_CX_PUSH(BJ73,CX_ENTITY,$B73,BJ$11,BJ$14,BJ$60,),""),IF($I73=3,"",IFBLANK(_xldudf_CX_PUSH(BJ73,CX_ENTITY,$B73,BJ$11,BJ$14,BJ$60,),"")))))),"")</f>
        <v/>
      </c>
      <c r="DX73" s="1883" t="str" cm="1">
        <f t="array" ca="1" aca="1" ref="DX73">IFERROR(IF(BK73*fxVal_normal=_BS!BK73,"",IF(OR(BK73="",NOT(ISNUMBER(BK73)),ISERROR(BK73),$B73=""),"",IF($I73=1,IFBLANK(_xldudf_CX_PUSH(BK73*fxVal_normal,CX_ENTITY,$B73,BK$11,BK$14,BK$60,),""),IF($I73=2,IFBLANK(_xldudf_CX_PUSH(BK73,CX_ENTITY,$B73,BK$11,BK$14,BK$60,),""),IF($I73=3,"",IFBLANK(_xldudf_CX_PUSH(BK73,CX_ENTITY,$B73,BK$11,BK$14,BK$60,),"")))))),"")</f>
        <v/>
      </c>
      <c r="DY73" s="1883" t="str" cm="1">
        <f t="array" ca="1" aca="1" ref="DY73">IFERROR(IF(BL73*fxVal_normal=_BS!BL73,"",IF(OR(BL73="",NOT(ISNUMBER(BL73)),ISERROR(BL73),$B73=""),"",IF($I73=1,IFBLANK(_xldudf_CX_PUSH(BL73*fxVal_normal,CX_ENTITY,$B73,BL$11,BL$14,BL$60,),""),IF($I73=2,IFBLANK(_xldudf_CX_PUSH(BL73,CX_ENTITY,$B73,BL$11,BL$14,BL$60,),""),IF($I73=3,"",IFBLANK(_xldudf_CX_PUSH(BL73,CX_ENTITY,$B73,BL$11,BL$14,BL$60,),"")))))),"")</f>
        <v/>
      </c>
      <c r="DZ73" s="1883" t="str" cm="1">
        <f t="array" ca="1" aca="1" ref="DZ73">IFERROR(IF(BM73*fxVal_normal=_BS!BM73,"",IF(OR(BM73="",NOT(ISNUMBER(BM73)),ISERROR(BM73),$B73=""),"",IF($I73=1,IFBLANK(_xldudf_CX_PUSH(BM73*fxVal_normal,CX_ENTITY,$B73,BM$11,BM$14,BM$60,),""),IF($I73=2,IFBLANK(_xldudf_CX_PUSH(BM73,CX_ENTITY,$B73,BM$11,BM$14,BM$60,),""),IF($I73=3,"",IFBLANK(_xldudf_CX_PUSH(BM73,CX_ENTITY,$B73,BM$11,BM$14,BM$60,),"")))))),"")</f>
        <v/>
      </c>
      <c r="EA73" s="1883" t="str" cm="1">
        <f t="array" ca="1" aca="1" ref="EA73">IFERROR(IF(BN73*fxVal_normal=_BS!BN73,"",IF(OR(BN73="",NOT(ISNUMBER(BN73)),ISERROR(BN73),$B73=""),"",IF($I73=1,IFBLANK(_xldudf_CX_PUSH(BN73*fxVal_normal,CX_ENTITY,$B73,BN$11,BN$14,BN$60,),""),IF($I73=2,IFBLANK(_xldudf_CX_PUSH(BN73,CX_ENTITY,$B73,BN$11,BN$14,BN$60,),""),IF($I73=3,"",IFBLANK(_xldudf_CX_PUSH(BN73,CX_ENTITY,$B73,BN$11,BN$14,BN$60,),"")))))),"")</f>
        <v/>
      </c>
    </row>
    <row r="74" spans="1:131" ht="21" customHeight="1">
      <c r="A74" s="1646"/>
      <c r="B74" s="811" t="str" cm="1">
        <f t="array" ref="B74">IFBLANK(_BS!F74,"")</f>
        <v>Junior Instrument(s)</v>
      </c>
      <c r="C74" s="811" t="str" cm="1">
        <f t="array" ref="C74">IFBLANK(_BS!C74,"")</f>
        <v>Junior Instrument(S) (Company View)</v>
      </c>
      <c r="D74" s="1549"/>
      <c r="E74" s="1902" t="e" cm="1">
        <f t="array" ca="1" aca="1" ref="E7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74:$CH74,Z74)</f>
        <v>#NAME?</v>
      </c>
      <c r="F74" s="1897"/>
      <c r="G74" s="1897"/>
      <c r="H74" s="3280">
        <v>1</v>
      </c>
      <c r="I74" s="3280">
        <v>1</v>
      </c>
      <c r="J74" s="401"/>
      <c r="N74" s="158"/>
      <c r="O74" s="101"/>
      <c r="P74" s="52"/>
      <c r="Q74" s="101"/>
      <c r="R74" s="126"/>
      <c r="S74" s="101"/>
      <c r="T74" s="101"/>
      <c r="U74" s="39"/>
      <c r="W74" s="930" t="str">
        <f t="shared" si="18"/>
        <v>Budget</v>
      </c>
      <c r="X74" s="857">
        <f>_BS!X74</f>
        <v>-1</v>
      </c>
      <c r="Y74" s="3230">
        <f t="shared" si="17"/>
        <v>2</v>
      </c>
      <c r="Z74" s="3291" cm="1">
        <f t="array" ref="Z74">_xlfn.SWITCH(TRUE,_BS!$L74=TRUE,1,_BS!$L74=FALSE,-1,_BS!$L74=-1,0,"n/a")</f>
        <v>1</v>
      </c>
      <c r="AA74" s="200"/>
      <c r="AB74" s="88" t="str">
        <f>_BS!AB74</f>
        <v>Junior Instrument(s): e.g. Second Lien (Junior) or Unsecured Notes</v>
      </c>
      <c r="AC74" s="88" t="str" cm="1">
        <f t="array" ca="1" aca="1" ref="AC74">_xlfn.LET(_xlpm._termname,$AB74,_xlpm._iconname,"find",_xlpm._icon,fx_getIcon(_xlpm._iconname),_xlpm._location,_xlfn.XLOOKUP(LOWER(_xlpm._termname),LOWER(tbl_acctDef[Term]),tbl_acctDef[Term]),_xlpm._hyperlink,HYPERLINK("#"&amp;CELL("address",_xlpm._location),_xlpm._icon),IFERROR(_xlpm._hyperlink,""))</f>
        <v/>
      </c>
      <c r="AD74" s="3229">
        <v>1</v>
      </c>
      <c r="AE74" s="3229">
        <v>1</v>
      </c>
      <c r="AF74" s="3229">
        <v>1</v>
      </c>
      <c r="AG74" s="3229">
        <v>1</v>
      </c>
      <c r="AH74" s="3229">
        <v>1</v>
      </c>
      <c r="AI74" s="3229">
        <v>1</v>
      </c>
      <c r="AJ74" s="3229">
        <v>1</v>
      </c>
      <c r="AK74" s="3229">
        <v>1</v>
      </c>
      <c r="AL74" s="3229">
        <v>1</v>
      </c>
      <c r="AM74" s="3229">
        <v>1</v>
      </c>
      <c r="AN74" s="3229">
        <v>1</v>
      </c>
      <c r="AO74" s="3229">
        <v>1</v>
      </c>
      <c r="AP74" s="3229">
        <v>1</v>
      </c>
      <c r="AQ74" s="3229">
        <v>1</v>
      </c>
      <c r="AR74" s="3229">
        <v>1</v>
      </c>
      <c r="AS74" s="3229">
        <v>1</v>
      </c>
      <c r="AT74" s="3229">
        <v>1</v>
      </c>
      <c r="AU74" s="3229">
        <v>1</v>
      </c>
      <c r="AV74" s="3229">
        <v>1</v>
      </c>
      <c r="AW74" s="3229">
        <v>1</v>
      </c>
      <c r="AX74" s="3229">
        <v>1</v>
      </c>
      <c r="AY74" s="3229">
        <v>1</v>
      </c>
      <c r="AZ74" s="3229">
        <v>1</v>
      </c>
      <c r="BA74" s="3229">
        <v>1</v>
      </c>
      <c r="BB74" s="3229">
        <v>1</v>
      </c>
      <c r="BC74" s="3229">
        <v>1</v>
      </c>
      <c r="BD74" s="3229">
        <v>1</v>
      </c>
      <c r="BE74" s="3229">
        <v>1</v>
      </c>
      <c r="BF74" s="3229">
        <v>1</v>
      </c>
      <c r="BG74" s="3229">
        <v>1</v>
      </c>
      <c r="BH74" s="3229">
        <v>1</v>
      </c>
      <c r="BI74" s="3229">
        <v>1</v>
      </c>
      <c r="BJ74" s="3229">
        <v>1</v>
      </c>
      <c r="BK74" s="3229">
        <v>1</v>
      </c>
      <c r="BL74" s="3229">
        <v>1</v>
      </c>
      <c r="BM74" s="3229">
        <v>1</v>
      </c>
      <c r="BN74" s="3229">
        <v>1</v>
      </c>
      <c r="BO74" s="2118"/>
      <c r="BP74" s="2118"/>
      <c r="BQ74" s="2118"/>
      <c r="BR74" s="2118"/>
      <c r="BS74" s="2118"/>
      <c r="BT74" s="2118"/>
      <c r="BU74" s="2118"/>
      <c r="BV74" s="2118"/>
      <c r="BW74" s="2118"/>
      <c r="BX74" s="2118"/>
      <c r="BY74" s="2118"/>
      <c r="BZ74" s="2118"/>
      <c r="CA74" s="929"/>
      <c r="CB74" s="921"/>
      <c r="CC74" s="988"/>
      <c r="CD74" s="928" t="e" cm="1">
        <f t="array" ca="1" aca="1" ref="CD74">_xlfn.XLOOKUP(BS!CD$11,array_timeline,BS!$AD74:$BN74)</f>
        <v>#NAME?</v>
      </c>
      <c r="CE74" s="928" t="e" cm="1">
        <f t="array" ca="1" aca="1" ref="CE74">_xlfn.XLOOKUP(BS!CE$11,array_timeline,BS!$AD74:$BN74)</f>
        <v>#NAME?</v>
      </c>
      <c r="CF74" s="925"/>
      <c r="CG74" s="2124" t="e">
        <f t="shared" ca="1" si="16"/>
        <v>#NAME?</v>
      </c>
      <c r="CH74" s="2124" t="e">
        <f t="shared" ca="1" si="16"/>
        <v>#NAME?</v>
      </c>
      <c r="CI74" s="787"/>
      <c r="CQ74" s="1883" t="str" cm="1">
        <f t="array" ca="1" aca="1" ref="CQ74">IFERROR(IF(AD74*fxVal_normal=_BS!AD74,"",IF(OR(AD74="",NOT(ISNUMBER(AD74)),ISERROR(AD74),$B74=""),"",IF($I74=1,IFBLANK(_xldudf_CX_PUSH(AD74*fxVal_normal,CX_ENTITY,$B74,AD$11,AD$14,AD$60,),""),IF($I74=2,IFBLANK(_xldudf_CX_PUSH(AD74,CX_ENTITY,$B74,AD$11,AD$14,AD$60,),""),IF($I74=3,"",IFBLANK(_xldudf_CX_PUSH(AD74,CX_ENTITY,$B74,AD$11,AD$14,AD$60,),"")))))),"")</f>
        <v/>
      </c>
      <c r="CR74" s="1883" t="str" cm="1">
        <f t="array" ca="1" aca="1" ref="CR74">IFERROR(IF(AE74*fxVal_normal=_BS!AE74,"",IF(OR(AE74="",NOT(ISNUMBER(AE74)),ISERROR(AE74),$B74=""),"",IF($I74=1,IFBLANK(_xldudf_CX_PUSH(AE74*fxVal_normal,CX_ENTITY,$B74,AE$11,AE$14,AE$60,),""),IF($I74=2,IFBLANK(_xldudf_CX_PUSH(AE74,CX_ENTITY,$B74,AE$11,AE$14,AE$60,),""),IF($I74=3,"",IFBLANK(_xldudf_CX_PUSH(AE74,CX_ENTITY,$B74,AE$11,AE$14,AE$60,),"")))))),"")</f>
        <v/>
      </c>
      <c r="CS74" s="1883" t="str" cm="1">
        <f t="array" ca="1" aca="1" ref="CS74">IFERROR(IF(AF74*fxVal_normal=_BS!AF74,"",IF(OR(AF74="",NOT(ISNUMBER(AF74)),ISERROR(AF74),$B74=""),"",IF($I74=1,IFBLANK(_xldudf_CX_PUSH(AF74*fxVal_normal,CX_ENTITY,$B74,AF$11,AF$14,AF$60,),""),IF($I74=2,IFBLANK(_xldudf_CX_PUSH(AF74,CX_ENTITY,$B74,AF$11,AF$14,AF$60,),""),IF($I74=3,"",IFBLANK(_xldudf_CX_PUSH(AF74,CX_ENTITY,$B74,AF$11,AF$14,AF$60,),"")))))),"")</f>
        <v/>
      </c>
      <c r="CT74" s="1883" t="str" cm="1">
        <f t="array" ca="1" aca="1" ref="CT74">IFERROR(IF(AG74*fxVal_normal=_BS!AG74,"",IF(OR(AG74="",NOT(ISNUMBER(AG74)),ISERROR(AG74),$B74=""),"",IF($I74=1,IFBLANK(_xldudf_CX_PUSH(AG74*fxVal_normal,CX_ENTITY,$B74,AG$11,AG$14,AG$60,),""),IF($I74=2,IFBLANK(_xldudf_CX_PUSH(AG74,CX_ENTITY,$B74,AG$11,AG$14,AG$60,),""),IF($I74=3,"",IFBLANK(_xldudf_CX_PUSH(AG74,CX_ENTITY,$B74,AG$11,AG$14,AG$60,),"")))))),"")</f>
        <v/>
      </c>
      <c r="CU74" s="1883" t="str" cm="1">
        <f t="array" ca="1" aca="1" ref="CU74">IFERROR(IF(AH74*fxVal_normal=_BS!AH74,"",IF(OR(AH74="",NOT(ISNUMBER(AH74)),ISERROR(AH74),$B74=""),"",IF($I74=1,IFBLANK(_xldudf_CX_PUSH(AH74*fxVal_normal,CX_ENTITY,$B74,AH$11,AH$14,AH$60,),""),IF($I74=2,IFBLANK(_xldudf_CX_PUSH(AH74,CX_ENTITY,$B74,AH$11,AH$14,AH$60,),""),IF($I74=3,"",IFBLANK(_xldudf_CX_PUSH(AH74,CX_ENTITY,$B74,AH$11,AH$14,AH$60,),"")))))),"")</f>
        <v/>
      </c>
      <c r="CV74" s="1883" t="str" cm="1">
        <f t="array" ca="1" aca="1" ref="CV74">IFERROR(IF(AI74*fxVal_normal=_BS!AI74,"",IF(OR(AI74="",NOT(ISNUMBER(AI74)),ISERROR(AI74),$B74=""),"",IF($I74=1,IFBLANK(_xldudf_CX_PUSH(AI74*fxVal_normal,CX_ENTITY,$B74,AI$11,AI$14,AI$60,),""),IF($I74=2,IFBLANK(_xldudf_CX_PUSH(AI74,CX_ENTITY,$B74,AI$11,AI$14,AI$60,),""),IF($I74=3,"",IFBLANK(_xldudf_CX_PUSH(AI74,CX_ENTITY,$B74,AI$11,AI$14,AI$60,),"")))))),"")</f>
        <v/>
      </c>
      <c r="CW74" s="1883" t="str" cm="1">
        <f t="array" ca="1" aca="1" ref="CW74">IFERROR(IF(AJ74*fxVal_normal=_BS!AJ74,"",IF(OR(AJ74="",NOT(ISNUMBER(AJ74)),ISERROR(AJ74),$B74=""),"",IF($I74=1,IFBLANK(_xldudf_CX_PUSH(AJ74*fxVal_normal,CX_ENTITY,$B74,AJ$11,AJ$14,AJ$60,),""),IF($I74=2,IFBLANK(_xldudf_CX_PUSH(AJ74,CX_ENTITY,$B74,AJ$11,AJ$14,AJ$60,),""),IF($I74=3,"",IFBLANK(_xldudf_CX_PUSH(AJ74,CX_ENTITY,$B74,AJ$11,AJ$14,AJ$60,),"")))))),"")</f>
        <v/>
      </c>
      <c r="CX74" s="1883" t="str" cm="1">
        <f t="array" ca="1" aca="1" ref="CX74">IFERROR(IF(AK74*fxVal_normal=_BS!AK74,"",IF(OR(AK74="",NOT(ISNUMBER(AK74)),ISERROR(AK74),$B74=""),"",IF($I74=1,IFBLANK(_xldudf_CX_PUSH(AK74*fxVal_normal,CX_ENTITY,$B74,AK$11,AK$14,AK$60,),""),IF($I74=2,IFBLANK(_xldudf_CX_PUSH(AK74,CX_ENTITY,$B74,AK$11,AK$14,AK$60,),""),IF($I74=3,"",IFBLANK(_xldudf_CX_PUSH(AK74,CX_ENTITY,$B74,AK$11,AK$14,AK$60,),"")))))),"")</f>
        <v/>
      </c>
      <c r="CY74" s="1883" t="str" cm="1">
        <f t="array" ca="1" aca="1" ref="CY74">IFERROR(IF(AL74*fxVal_normal=_BS!AL74,"",IF(OR(AL74="",NOT(ISNUMBER(AL74)),ISERROR(AL74),$B74=""),"",IF($I74=1,IFBLANK(_xldudf_CX_PUSH(AL74*fxVal_normal,CX_ENTITY,$B74,AL$11,AL$14,AL$60,),""),IF($I74=2,IFBLANK(_xldudf_CX_PUSH(AL74,CX_ENTITY,$B74,AL$11,AL$14,AL$60,),""),IF($I74=3,"",IFBLANK(_xldudf_CX_PUSH(AL74,CX_ENTITY,$B74,AL$11,AL$14,AL$60,),"")))))),"")</f>
        <v/>
      </c>
      <c r="CZ74" s="1883" t="str" cm="1">
        <f t="array" ca="1" aca="1" ref="CZ74">IFERROR(IF(AM74*fxVal_normal=_BS!AM74,"",IF(OR(AM74="",NOT(ISNUMBER(AM74)),ISERROR(AM74),$B74=""),"",IF($I74=1,IFBLANK(_xldudf_CX_PUSH(AM74*fxVal_normal,CX_ENTITY,$B74,AM$11,AM$14,AM$60,),""),IF($I74=2,IFBLANK(_xldudf_CX_PUSH(AM74,CX_ENTITY,$B74,AM$11,AM$14,AM$60,),""),IF($I74=3,"",IFBLANK(_xldudf_CX_PUSH(AM74,CX_ENTITY,$B74,AM$11,AM$14,AM$60,),"")))))),"")</f>
        <v/>
      </c>
      <c r="DA74" s="1883" t="str" cm="1">
        <f t="array" ca="1" aca="1" ref="DA74">IFERROR(IF(AN74*fxVal_normal=_BS!AN74,"",IF(OR(AN74="",NOT(ISNUMBER(AN74)),ISERROR(AN74),$B74=""),"",IF($I74=1,IFBLANK(_xldudf_CX_PUSH(AN74*fxVal_normal,CX_ENTITY,$B74,AN$11,AN$14,AN$60,),""),IF($I74=2,IFBLANK(_xldudf_CX_PUSH(AN74,CX_ENTITY,$B74,AN$11,AN$14,AN$60,),""),IF($I74=3,"",IFBLANK(_xldudf_CX_PUSH(AN74,CX_ENTITY,$B74,AN$11,AN$14,AN$60,),"")))))),"")</f>
        <v/>
      </c>
      <c r="DB74" s="1883" t="str" cm="1">
        <f t="array" ca="1" aca="1" ref="DB74">IFERROR(IF(AO74*fxVal_normal=_BS!AO74,"",IF(OR(AO74="",NOT(ISNUMBER(AO74)),ISERROR(AO74),$B74=""),"",IF($I74=1,IFBLANK(_xldudf_CX_PUSH(AO74*fxVal_normal,CX_ENTITY,$B74,AO$11,AO$14,AO$60,),""),IF($I74=2,IFBLANK(_xldudf_CX_PUSH(AO74,CX_ENTITY,$B74,AO$11,AO$14,AO$60,),""),IF($I74=3,"",IFBLANK(_xldudf_CX_PUSH(AO74,CX_ENTITY,$B74,AO$11,AO$14,AO$60,),"")))))),"")</f>
        <v/>
      </c>
      <c r="DC74" s="1883" t="str" cm="1">
        <f t="array" ca="1" aca="1" ref="DC74">IFERROR(IF(AP74*fxVal_normal=_BS!AP74,"",IF(OR(AP74="",NOT(ISNUMBER(AP74)),ISERROR(AP74),$B74=""),"",IF($I74=1,IFBLANK(_xldudf_CX_PUSH(AP74*fxVal_normal,CX_ENTITY,$B74,AP$11,AP$14,AP$60,),""),IF($I74=2,IFBLANK(_xldudf_CX_PUSH(AP74,CX_ENTITY,$B74,AP$11,AP$14,AP$60,),""),IF($I74=3,"",IFBLANK(_xldudf_CX_PUSH(AP74,CX_ENTITY,$B74,AP$11,AP$14,AP$60,),"")))))),"")</f>
        <v/>
      </c>
      <c r="DD74" s="1883" t="str" cm="1">
        <f t="array" ca="1" aca="1" ref="DD74">IFERROR(IF(AQ74*fxVal_normal=_BS!AQ74,"",IF(OR(AQ74="",NOT(ISNUMBER(AQ74)),ISERROR(AQ74),$B74=""),"",IF($I74=1,IFBLANK(_xldudf_CX_PUSH(AQ74*fxVal_normal,CX_ENTITY,$B74,AQ$11,AQ$14,AQ$60,),""),IF($I74=2,IFBLANK(_xldudf_CX_PUSH(AQ74,CX_ENTITY,$B74,AQ$11,AQ$14,AQ$60,),""),IF($I74=3,"",IFBLANK(_xldudf_CX_PUSH(AQ74,CX_ENTITY,$B74,AQ$11,AQ$14,AQ$60,),"")))))),"")</f>
        <v/>
      </c>
      <c r="DE74" s="1883" t="str" cm="1">
        <f t="array" ca="1" aca="1" ref="DE74">IFERROR(IF(AR74*fxVal_normal=_BS!AR74,"",IF(OR(AR74="",NOT(ISNUMBER(AR74)),ISERROR(AR74),$B74=""),"",IF($I74=1,IFBLANK(_xldudf_CX_PUSH(AR74*fxVal_normal,CX_ENTITY,$B74,AR$11,AR$14,AR$60,),""),IF($I74=2,IFBLANK(_xldudf_CX_PUSH(AR74,CX_ENTITY,$B74,AR$11,AR$14,AR$60,),""),IF($I74=3,"",IFBLANK(_xldudf_CX_PUSH(AR74,CX_ENTITY,$B74,AR$11,AR$14,AR$60,),"")))))),"")</f>
        <v/>
      </c>
      <c r="DF74" s="1883" t="str" cm="1">
        <f t="array" ca="1" aca="1" ref="DF74">IFERROR(IF(AS74*fxVal_normal=_BS!AS74,"",IF(OR(AS74="",NOT(ISNUMBER(AS74)),ISERROR(AS74),$B74=""),"",IF($I74=1,IFBLANK(_xldudf_CX_PUSH(AS74*fxVal_normal,CX_ENTITY,$B74,AS$11,AS$14,AS$60,),""),IF($I74=2,IFBLANK(_xldudf_CX_PUSH(AS74,CX_ENTITY,$B74,AS$11,AS$14,AS$60,),""),IF($I74=3,"",IFBLANK(_xldudf_CX_PUSH(AS74,CX_ENTITY,$B74,AS$11,AS$14,AS$60,),"")))))),"")</f>
        <v/>
      </c>
      <c r="DG74" s="1883" t="str" cm="1">
        <f t="array" ca="1" aca="1" ref="DG74">IFERROR(IF(AT74*fxVal_normal=_BS!AT74,"",IF(OR(AT74="",NOT(ISNUMBER(AT74)),ISERROR(AT74),$B74=""),"",IF($I74=1,IFBLANK(_xldudf_CX_PUSH(AT74*fxVal_normal,CX_ENTITY,$B74,AT$11,AT$14,AT$60,),""),IF($I74=2,IFBLANK(_xldudf_CX_PUSH(AT74,CX_ENTITY,$B74,AT$11,AT$14,AT$60,),""),IF($I74=3,"",IFBLANK(_xldudf_CX_PUSH(AT74,CX_ENTITY,$B74,AT$11,AT$14,AT$60,),"")))))),"")</f>
        <v/>
      </c>
      <c r="DH74" s="1883" t="str" cm="1">
        <f t="array" ca="1" aca="1" ref="DH74">IFERROR(IF(AU74*fxVal_normal=_BS!AU74,"",IF(OR(AU74="",NOT(ISNUMBER(AU74)),ISERROR(AU74),$B74=""),"",IF($I74=1,IFBLANK(_xldudf_CX_PUSH(AU74*fxVal_normal,CX_ENTITY,$B74,AU$11,AU$14,AU$60,),""),IF($I74=2,IFBLANK(_xldudf_CX_PUSH(AU74,CX_ENTITY,$B74,AU$11,AU$14,AU$60,),""),IF($I74=3,"",IFBLANK(_xldudf_CX_PUSH(AU74,CX_ENTITY,$B74,AU$11,AU$14,AU$60,),"")))))),"")</f>
        <v/>
      </c>
      <c r="DI74" s="1883" t="str" cm="1">
        <f t="array" ca="1" aca="1" ref="DI74">IFERROR(IF(AV74*fxVal_normal=_BS!AV74,"",IF(OR(AV74="",NOT(ISNUMBER(AV74)),ISERROR(AV74),$B74=""),"",IF($I74=1,IFBLANK(_xldudf_CX_PUSH(AV74*fxVal_normal,CX_ENTITY,$B74,AV$11,AV$14,AV$60,),""),IF($I74=2,IFBLANK(_xldudf_CX_PUSH(AV74,CX_ENTITY,$B74,AV$11,AV$14,AV$60,),""),IF($I74=3,"",IFBLANK(_xldudf_CX_PUSH(AV74,CX_ENTITY,$B74,AV$11,AV$14,AV$60,),"")))))),"")</f>
        <v/>
      </c>
      <c r="DJ74" s="1883" t="str" cm="1">
        <f t="array" ca="1" aca="1" ref="DJ74">IFERROR(IF(AW74*fxVal_normal=_BS!AW74,"",IF(OR(AW74="",NOT(ISNUMBER(AW74)),ISERROR(AW74),$B74=""),"",IF($I74=1,IFBLANK(_xldudf_CX_PUSH(AW74*fxVal_normal,CX_ENTITY,$B74,AW$11,AW$14,AW$60,),""),IF($I74=2,IFBLANK(_xldudf_CX_PUSH(AW74,CX_ENTITY,$B74,AW$11,AW$14,AW$60,),""),IF($I74=3,"",IFBLANK(_xldudf_CX_PUSH(AW74,CX_ENTITY,$B74,AW$11,AW$14,AW$60,),"")))))),"")</f>
        <v/>
      </c>
      <c r="DK74" s="1883" t="str" cm="1">
        <f t="array" ca="1" aca="1" ref="DK74">IFERROR(IF(AX74*fxVal_normal=_BS!AX74,"",IF(OR(AX74="",NOT(ISNUMBER(AX74)),ISERROR(AX74),$B74=""),"",IF($I74=1,IFBLANK(_xldudf_CX_PUSH(AX74*fxVal_normal,CX_ENTITY,$B74,AX$11,AX$14,AX$60,),""),IF($I74=2,IFBLANK(_xldudf_CX_PUSH(AX74,CX_ENTITY,$B74,AX$11,AX$14,AX$60,),""),IF($I74=3,"",IFBLANK(_xldudf_CX_PUSH(AX74,CX_ENTITY,$B74,AX$11,AX$14,AX$60,),"")))))),"")</f>
        <v/>
      </c>
      <c r="DL74" s="1883" t="str" cm="1">
        <f t="array" ca="1" aca="1" ref="DL74">IFERROR(IF(AY74*fxVal_normal=_BS!AY74,"",IF(OR(AY74="",NOT(ISNUMBER(AY74)),ISERROR(AY74),$B74=""),"",IF($I74=1,IFBLANK(_xldudf_CX_PUSH(AY74*fxVal_normal,CX_ENTITY,$B74,AY$11,AY$14,AY$60,),""),IF($I74=2,IFBLANK(_xldudf_CX_PUSH(AY74,CX_ENTITY,$B74,AY$11,AY$14,AY$60,),""),IF($I74=3,"",IFBLANK(_xldudf_CX_PUSH(AY74,CX_ENTITY,$B74,AY$11,AY$14,AY$60,),"")))))),"")</f>
        <v/>
      </c>
      <c r="DM74" s="1883" t="str" cm="1">
        <f t="array" ca="1" aca="1" ref="DM74">IFERROR(IF(AZ74*fxVal_normal=_BS!AZ74,"",IF(OR(AZ74="",NOT(ISNUMBER(AZ74)),ISERROR(AZ74),$B74=""),"",IF($I74=1,IFBLANK(_xldudf_CX_PUSH(AZ74*fxVal_normal,CX_ENTITY,$B74,AZ$11,AZ$14,AZ$60,),""),IF($I74=2,IFBLANK(_xldudf_CX_PUSH(AZ74,CX_ENTITY,$B74,AZ$11,AZ$14,AZ$60,),""),IF($I74=3,"",IFBLANK(_xldudf_CX_PUSH(AZ74,CX_ENTITY,$B74,AZ$11,AZ$14,AZ$60,),"")))))),"")</f>
        <v/>
      </c>
      <c r="DN74" s="1883" t="str" cm="1">
        <f t="array" ca="1" aca="1" ref="DN74">IFERROR(IF(BA74*fxVal_normal=_BS!BA74,"",IF(OR(BA74="",NOT(ISNUMBER(BA74)),ISERROR(BA74),$B74=""),"",IF($I74=1,IFBLANK(_xldudf_CX_PUSH(BA74*fxVal_normal,CX_ENTITY,$B74,BA$11,BA$14,BA$60,),""),IF($I74=2,IFBLANK(_xldudf_CX_PUSH(BA74,CX_ENTITY,$B74,BA$11,BA$14,BA$60,),""),IF($I74=3,"",IFBLANK(_xldudf_CX_PUSH(BA74,CX_ENTITY,$B74,BA$11,BA$14,BA$60,),"")))))),"")</f>
        <v/>
      </c>
      <c r="DO74" s="1883" t="str" cm="1">
        <f t="array" ca="1" aca="1" ref="DO74">IFERROR(IF(BB74*fxVal_normal=_BS!BB74,"",IF(OR(BB74="",NOT(ISNUMBER(BB74)),ISERROR(BB74),$B74=""),"",IF($I74=1,IFBLANK(_xldudf_CX_PUSH(BB74*fxVal_normal,CX_ENTITY,$B74,BB$11,BB$14,BB$60,),""),IF($I74=2,IFBLANK(_xldudf_CX_PUSH(BB74,CX_ENTITY,$B74,BB$11,BB$14,BB$60,),""),IF($I74=3,"",IFBLANK(_xldudf_CX_PUSH(BB74,CX_ENTITY,$B74,BB$11,BB$14,BB$60,),"")))))),"")</f>
        <v/>
      </c>
      <c r="DP74" s="1883" t="str" cm="1">
        <f t="array" ca="1" aca="1" ref="DP74">IFERROR(IF(BC74*fxVal_normal=_BS!BC74,"",IF(OR(BC74="",NOT(ISNUMBER(BC74)),ISERROR(BC74),$B74=""),"",IF($I74=1,IFBLANK(_xldudf_CX_PUSH(BC74*fxVal_normal,CX_ENTITY,$B74,BC$11,BC$14,BC$60,),""),IF($I74=2,IFBLANK(_xldudf_CX_PUSH(BC74,CX_ENTITY,$B74,BC$11,BC$14,BC$60,),""),IF($I74=3,"",IFBLANK(_xldudf_CX_PUSH(BC74,CX_ENTITY,$B74,BC$11,BC$14,BC$60,),"")))))),"")</f>
        <v/>
      </c>
      <c r="DQ74" s="1883" t="str" cm="1">
        <f t="array" ca="1" aca="1" ref="DQ74">IFERROR(IF(BD74*fxVal_normal=_BS!BD74,"",IF(OR(BD74="",NOT(ISNUMBER(BD74)),ISERROR(BD74),$B74=""),"",IF($I74=1,IFBLANK(_xldudf_CX_PUSH(BD74*fxVal_normal,CX_ENTITY,$B74,BD$11,BD$14,BD$60,),""),IF($I74=2,IFBLANK(_xldudf_CX_PUSH(BD74,CX_ENTITY,$B74,BD$11,BD$14,BD$60,),""),IF($I74=3,"",IFBLANK(_xldudf_CX_PUSH(BD74,CX_ENTITY,$B74,BD$11,BD$14,BD$60,),"")))))),"")</f>
        <v/>
      </c>
      <c r="DR74" s="1883" t="str" cm="1">
        <f t="array" ca="1" aca="1" ref="DR74">IFERROR(IF(BE74*fxVal_normal=_BS!BE74,"",IF(OR(BE74="",NOT(ISNUMBER(BE74)),ISERROR(BE74),$B74=""),"",IF($I74=1,IFBLANK(_xldudf_CX_PUSH(BE74*fxVal_normal,CX_ENTITY,$B74,BE$11,BE$14,BE$60,),""),IF($I74=2,IFBLANK(_xldudf_CX_PUSH(BE74,CX_ENTITY,$B74,BE$11,BE$14,BE$60,),""),IF($I74=3,"",IFBLANK(_xldudf_CX_PUSH(BE74,CX_ENTITY,$B74,BE$11,BE$14,BE$60,),"")))))),"")</f>
        <v/>
      </c>
      <c r="DS74" s="1883" t="str" cm="1">
        <f t="array" ca="1" aca="1" ref="DS74">IFERROR(IF(BF74*fxVal_normal=_BS!BF74,"",IF(OR(BF74="",NOT(ISNUMBER(BF74)),ISERROR(BF74),$B74=""),"",IF($I74=1,IFBLANK(_xldudf_CX_PUSH(BF74*fxVal_normal,CX_ENTITY,$B74,BF$11,BF$14,BF$60,),""),IF($I74=2,IFBLANK(_xldudf_CX_PUSH(BF74,CX_ENTITY,$B74,BF$11,BF$14,BF$60,),""),IF($I74=3,"",IFBLANK(_xldudf_CX_PUSH(BF74,CX_ENTITY,$B74,BF$11,BF$14,BF$60,),"")))))),"")</f>
        <v/>
      </c>
      <c r="DT74" s="1883" t="str" cm="1">
        <f t="array" ca="1" aca="1" ref="DT74">IFERROR(IF(BG74*fxVal_normal=_BS!BG74,"",IF(OR(BG74="",NOT(ISNUMBER(BG74)),ISERROR(BG74),$B74=""),"",IF($I74=1,IFBLANK(_xldudf_CX_PUSH(BG74*fxVal_normal,CX_ENTITY,$B74,BG$11,BG$14,BG$60,),""),IF($I74=2,IFBLANK(_xldudf_CX_PUSH(BG74,CX_ENTITY,$B74,BG$11,BG$14,BG$60,),""),IF($I74=3,"",IFBLANK(_xldudf_CX_PUSH(BG74,CX_ENTITY,$B74,BG$11,BG$14,BG$60,),"")))))),"")</f>
        <v/>
      </c>
      <c r="DU74" s="1883" t="str" cm="1">
        <f t="array" ca="1" aca="1" ref="DU74">IFERROR(IF(BH74*fxVal_normal=_BS!BH74,"",IF(OR(BH74="",NOT(ISNUMBER(BH74)),ISERROR(BH74),$B74=""),"",IF($I74=1,IFBLANK(_xldudf_CX_PUSH(BH74*fxVal_normal,CX_ENTITY,$B74,BH$11,BH$14,BH$60,),""),IF($I74=2,IFBLANK(_xldudf_CX_PUSH(BH74,CX_ENTITY,$B74,BH$11,BH$14,BH$60,),""),IF($I74=3,"",IFBLANK(_xldudf_CX_PUSH(BH74,CX_ENTITY,$B74,BH$11,BH$14,BH$60,),"")))))),"")</f>
        <v/>
      </c>
      <c r="DV74" s="1883" t="str" cm="1">
        <f t="array" ca="1" aca="1" ref="DV74">IFERROR(IF(BI74*fxVal_normal=_BS!BI74,"",IF(OR(BI74="",NOT(ISNUMBER(BI74)),ISERROR(BI74),$B74=""),"",IF($I74=1,IFBLANK(_xldudf_CX_PUSH(BI74*fxVal_normal,CX_ENTITY,$B74,BI$11,BI$14,BI$60,),""),IF($I74=2,IFBLANK(_xldudf_CX_PUSH(BI74,CX_ENTITY,$B74,BI$11,BI$14,BI$60,),""),IF($I74=3,"",IFBLANK(_xldudf_CX_PUSH(BI74,CX_ENTITY,$B74,BI$11,BI$14,BI$60,),"")))))),"")</f>
        <v/>
      </c>
      <c r="DW74" s="1883" t="str" cm="1">
        <f t="array" ca="1" aca="1" ref="DW74">IFERROR(IF(BJ74*fxVal_normal=_BS!BJ74,"",IF(OR(BJ74="",NOT(ISNUMBER(BJ74)),ISERROR(BJ74),$B74=""),"",IF($I74=1,IFBLANK(_xldudf_CX_PUSH(BJ74*fxVal_normal,CX_ENTITY,$B74,BJ$11,BJ$14,BJ$60,),""),IF($I74=2,IFBLANK(_xldudf_CX_PUSH(BJ74,CX_ENTITY,$B74,BJ$11,BJ$14,BJ$60,),""),IF($I74=3,"",IFBLANK(_xldudf_CX_PUSH(BJ74,CX_ENTITY,$B74,BJ$11,BJ$14,BJ$60,),"")))))),"")</f>
        <v/>
      </c>
      <c r="DX74" s="1883" t="str" cm="1">
        <f t="array" ca="1" aca="1" ref="DX74">IFERROR(IF(BK74*fxVal_normal=_BS!BK74,"",IF(OR(BK74="",NOT(ISNUMBER(BK74)),ISERROR(BK74),$B74=""),"",IF($I74=1,IFBLANK(_xldudf_CX_PUSH(BK74*fxVal_normal,CX_ENTITY,$B74,BK$11,BK$14,BK$60,),""),IF($I74=2,IFBLANK(_xldudf_CX_PUSH(BK74,CX_ENTITY,$B74,BK$11,BK$14,BK$60,),""),IF($I74=3,"",IFBLANK(_xldudf_CX_PUSH(BK74,CX_ENTITY,$B74,BK$11,BK$14,BK$60,),"")))))),"")</f>
        <v/>
      </c>
      <c r="DY74" s="1883" t="str" cm="1">
        <f t="array" ca="1" aca="1" ref="DY74">IFERROR(IF(BL74*fxVal_normal=_BS!BL74,"",IF(OR(BL74="",NOT(ISNUMBER(BL74)),ISERROR(BL74),$B74=""),"",IF($I74=1,IFBLANK(_xldudf_CX_PUSH(BL74*fxVal_normal,CX_ENTITY,$B74,BL$11,BL$14,BL$60,),""),IF($I74=2,IFBLANK(_xldudf_CX_PUSH(BL74,CX_ENTITY,$B74,BL$11,BL$14,BL$60,),""),IF($I74=3,"",IFBLANK(_xldudf_CX_PUSH(BL74,CX_ENTITY,$B74,BL$11,BL$14,BL$60,),"")))))),"")</f>
        <v/>
      </c>
      <c r="DZ74" s="1883" t="str" cm="1">
        <f t="array" ca="1" aca="1" ref="DZ74">IFERROR(IF(BM74*fxVal_normal=_BS!BM74,"",IF(OR(BM74="",NOT(ISNUMBER(BM74)),ISERROR(BM74),$B74=""),"",IF($I74=1,IFBLANK(_xldudf_CX_PUSH(BM74*fxVal_normal,CX_ENTITY,$B74,BM$11,BM$14,BM$60,),""),IF($I74=2,IFBLANK(_xldudf_CX_PUSH(BM74,CX_ENTITY,$B74,BM$11,BM$14,BM$60,),""),IF($I74=3,"",IFBLANK(_xldudf_CX_PUSH(BM74,CX_ENTITY,$B74,BM$11,BM$14,BM$60,),"")))))),"")</f>
        <v/>
      </c>
      <c r="EA74" s="1883" t="str" cm="1">
        <f t="array" ca="1" aca="1" ref="EA74">IFERROR(IF(BN74*fxVal_normal=_BS!BN74,"",IF(OR(BN74="",NOT(ISNUMBER(BN74)),ISERROR(BN74),$B74=""),"",IF($I74=1,IFBLANK(_xldudf_CX_PUSH(BN74*fxVal_normal,CX_ENTITY,$B74,BN$11,BN$14,BN$60,),""),IF($I74=2,IFBLANK(_xldudf_CX_PUSH(BN74,CX_ENTITY,$B74,BN$11,BN$14,BN$60,),""),IF($I74=3,"",IFBLANK(_xldudf_CX_PUSH(BN74,CX_ENTITY,$B74,BN$11,BN$14,BN$60,),"")))))),"")</f>
        <v/>
      </c>
    </row>
    <row r="75" spans="1:131" ht="21" customHeight="1">
      <c r="A75" s="1646"/>
      <c r="B75" s="811" t="str" cm="1">
        <f t="array" ref="B75">IFBLANK(_BS!F75,"")</f>
        <v>Others Instrument(s)</v>
      </c>
      <c r="C75" s="811" t="str" cm="1">
        <f t="array" ref="C75">IFBLANK(_BS!C75,"")</f>
        <v>Others Instrument(s) (Company View)</v>
      </c>
      <c r="D75" s="1640"/>
      <c r="E75" s="1902" t="e" cm="1">
        <f t="array" ca="1" aca="1" ref="E7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75:$CH75,Z75)</f>
        <v>#NAME?</v>
      </c>
      <c r="F75" s="1897"/>
      <c r="G75" s="1897"/>
      <c r="H75" s="3280">
        <v>1</v>
      </c>
      <c r="I75" s="3280">
        <v>1</v>
      </c>
      <c r="J75" s="401"/>
      <c r="N75" s="158"/>
      <c r="O75" s="101"/>
      <c r="P75" s="52"/>
      <c r="Q75" s="101"/>
      <c r="R75" s="101"/>
      <c r="S75" s="101"/>
      <c r="T75" s="101"/>
      <c r="U75" s="39"/>
      <c r="W75" s="930" t="str">
        <f t="shared" si="18"/>
        <v>Budget</v>
      </c>
      <c r="X75" s="857">
        <f>_BS!X75</f>
        <v>-1</v>
      </c>
      <c r="Y75" s="3230">
        <f t="shared" si="17"/>
        <v>2</v>
      </c>
      <c r="Z75" s="3291" cm="1">
        <f t="array" ref="Z75">_xlfn.SWITCH(TRUE,_BS!$L75=TRUE,1,_BS!$L75=FALSE,-1,_BS!$L75=-1,0,"n/a")</f>
        <v>1</v>
      </c>
      <c r="AA75" s="200"/>
      <c r="AB75" s="88" t="str">
        <f>_BS!AB75</f>
        <v>Others Instrument(s)</v>
      </c>
      <c r="AC75" s="88" t="str" cm="1">
        <f t="array" ca="1" aca="1" ref="AC75">_xlfn.LET(_xlpm._termname,$AB75,_xlpm._iconname,"find",_xlpm._icon,fx_getIcon(_xlpm._iconname),_xlpm._location,_xlfn.XLOOKUP(LOWER(_xlpm._termname),LOWER(tbl_acctDef[Term]),tbl_acctDef[Term]),_xlpm._hyperlink,HYPERLINK("#"&amp;CELL("address",_xlpm._location),_xlpm._icon),IFERROR(_xlpm._hyperlink,""))</f>
        <v/>
      </c>
      <c r="AD75" s="3229">
        <v>1</v>
      </c>
      <c r="AE75" s="3229">
        <v>1</v>
      </c>
      <c r="AF75" s="3229">
        <v>1</v>
      </c>
      <c r="AG75" s="3229">
        <v>1</v>
      </c>
      <c r="AH75" s="3229">
        <v>1</v>
      </c>
      <c r="AI75" s="3229">
        <v>1</v>
      </c>
      <c r="AJ75" s="3229">
        <v>1</v>
      </c>
      <c r="AK75" s="3229">
        <v>1</v>
      </c>
      <c r="AL75" s="3229">
        <v>1</v>
      </c>
      <c r="AM75" s="3229">
        <v>1</v>
      </c>
      <c r="AN75" s="3229">
        <v>1</v>
      </c>
      <c r="AO75" s="3229">
        <v>1</v>
      </c>
      <c r="AP75" s="3229">
        <v>1</v>
      </c>
      <c r="AQ75" s="3229">
        <v>1</v>
      </c>
      <c r="AR75" s="3229">
        <v>1</v>
      </c>
      <c r="AS75" s="3229">
        <v>1</v>
      </c>
      <c r="AT75" s="3229">
        <v>1</v>
      </c>
      <c r="AU75" s="3229">
        <v>1</v>
      </c>
      <c r="AV75" s="3229">
        <v>1</v>
      </c>
      <c r="AW75" s="3229">
        <v>1</v>
      </c>
      <c r="AX75" s="3229">
        <v>1</v>
      </c>
      <c r="AY75" s="3229">
        <v>1</v>
      </c>
      <c r="AZ75" s="3229">
        <v>1</v>
      </c>
      <c r="BA75" s="3229">
        <v>1</v>
      </c>
      <c r="BB75" s="3229">
        <v>1</v>
      </c>
      <c r="BC75" s="3229">
        <v>1</v>
      </c>
      <c r="BD75" s="3229">
        <v>1</v>
      </c>
      <c r="BE75" s="3229">
        <v>1</v>
      </c>
      <c r="BF75" s="3229">
        <v>1</v>
      </c>
      <c r="BG75" s="3229">
        <v>1</v>
      </c>
      <c r="BH75" s="3229">
        <v>1</v>
      </c>
      <c r="BI75" s="3229">
        <v>1</v>
      </c>
      <c r="BJ75" s="3229">
        <v>1</v>
      </c>
      <c r="BK75" s="3229">
        <v>1</v>
      </c>
      <c r="BL75" s="3229">
        <v>1</v>
      </c>
      <c r="BM75" s="3229">
        <v>1</v>
      </c>
      <c r="BN75" s="3229">
        <v>1</v>
      </c>
      <c r="BO75" s="2118"/>
      <c r="BP75" s="2118"/>
      <c r="BQ75" s="2118"/>
      <c r="BR75" s="2118"/>
      <c r="BS75" s="2118"/>
      <c r="BT75" s="2118"/>
      <c r="BU75" s="2118"/>
      <c r="BV75" s="2118"/>
      <c r="BW75" s="2118"/>
      <c r="BX75" s="2118"/>
      <c r="BY75" s="2118"/>
      <c r="BZ75" s="2118"/>
      <c r="CA75" s="929"/>
      <c r="CB75" s="921"/>
      <c r="CC75" s="988"/>
      <c r="CD75" s="928" t="e" cm="1">
        <f t="array" ca="1" aca="1" ref="CD75">_xlfn.XLOOKUP(BS!CD$11,array_timeline,BS!$AD75:$BN75)</f>
        <v>#NAME?</v>
      </c>
      <c r="CE75" s="928" t="e" cm="1">
        <f t="array" ca="1" aca="1" ref="CE75">_xlfn.XLOOKUP(BS!CE$11,array_timeline,BS!$AD75:$BN75)</f>
        <v>#NAME?</v>
      </c>
      <c r="CF75" s="925"/>
      <c r="CG75" s="2124" t="e">
        <f t="shared" ca="1" si="16"/>
        <v>#NAME?</v>
      </c>
      <c r="CH75" s="2124" t="e">
        <f t="shared" ca="1" si="16"/>
        <v>#NAME?</v>
      </c>
      <c r="CI75" s="787"/>
      <c r="CQ75" s="1883" t="str" cm="1">
        <f t="array" ca="1" aca="1" ref="CQ75">IFERROR(IF(AD75*fxVal_normal=_BS!AD75,"",IF(OR(AD75="",NOT(ISNUMBER(AD75)),ISERROR(AD75),$B75=""),"",IF($I75=1,IFBLANK(_xldudf_CX_PUSH(AD75*fxVal_normal,CX_ENTITY,$B75,AD$11,AD$14,AD$60,),""),IF($I75=2,IFBLANK(_xldudf_CX_PUSH(AD75,CX_ENTITY,$B75,AD$11,AD$14,AD$60,),""),IF($I75=3,"",IFBLANK(_xldudf_CX_PUSH(AD75,CX_ENTITY,$B75,AD$11,AD$14,AD$60,),"")))))),"")</f>
        <v/>
      </c>
      <c r="CR75" s="1883" t="str" cm="1">
        <f t="array" ca="1" aca="1" ref="CR75">IFERROR(IF(AE75*fxVal_normal=_BS!AE75,"",IF(OR(AE75="",NOT(ISNUMBER(AE75)),ISERROR(AE75),$B75=""),"",IF($I75=1,IFBLANK(_xldudf_CX_PUSH(AE75*fxVal_normal,CX_ENTITY,$B75,AE$11,AE$14,AE$60,),""),IF($I75=2,IFBLANK(_xldudf_CX_PUSH(AE75,CX_ENTITY,$B75,AE$11,AE$14,AE$60,),""),IF($I75=3,"",IFBLANK(_xldudf_CX_PUSH(AE75,CX_ENTITY,$B75,AE$11,AE$14,AE$60,),"")))))),"")</f>
        <v/>
      </c>
      <c r="CS75" s="1883" t="str" cm="1">
        <f t="array" ca="1" aca="1" ref="CS75">IFERROR(IF(AF75*fxVal_normal=_BS!AF75,"",IF(OR(AF75="",NOT(ISNUMBER(AF75)),ISERROR(AF75),$B75=""),"",IF($I75=1,IFBLANK(_xldudf_CX_PUSH(AF75*fxVal_normal,CX_ENTITY,$B75,AF$11,AF$14,AF$60,),""),IF($I75=2,IFBLANK(_xldudf_CX_PUSH(AF75,CX_ENTITY,$B75,AF$11,AF$14,AF$60,),""),IF($I75=3,"",IFBLANK(_xldudf_CX_PUSH(AF75,CX_ENTITY,$B75,AF$11,AF$14,AF$60,),"")))))),"")</f>
        <v/>
      </c>
      <c r="CT75" s="1883" t="str" cm="1">
        <f t="array" ca="1" aca="1" ref="CT75">IFERROR(IF(AG75*fxVal_normal=_BS!AG75,"",IF(OR(AG75="",NOT(ISNUMBER(AG75)),ISERROR(AG75),$B75=""),"",IF($I75=1,IFBLANK(_xldudf_CX_PUSH(AG75*fxVal_normal,CX_ENTITY,$B75,AG$11,AG$14,AG$60,),""),IF($I75=2,IFBLANK(_xldudf_CX_PUSH(AG75,CX_ENTITY,$B75,AG$11,AG$14,AG$60,),""),IF($I75=3,"",IFBLANK(_xldudf_CX_PUSH(AG75,CX_ENTITY,$B75,AG$11,AG$14,AG$60,),"")))))),"")</f>
        <v/>
      </c>
      <c r="CU75" s="1883" t="str" cm="1">
        <f t="array" ca="1" aca="1" ref="CU75">IFERROR(IF(AH75*fxVal_normal=_BS!AH75,"",IF(OR(AH75="",NOT(ISNUMBER(AH75)),ISERROR(AH75),$B75=""),"",IF($I75=1,IFBLANK(_xldudf_CX_PUSH(AH75*fxVal_normal,CX_ENTITY,$B75,AH$11,AH$14,AH$60,),""),IF($I75=2,IFBLANK(_xldudf_CX_PUSH(AH75,CX_ENTITY,$B75,AH$11,AH$14,AH$60,),""),IF($I75=3,"",IFBLANK(_xldudf_CX_PUSH(AH75,CX_ENTITY,$B75,AH$11,AH$14,AH$60,),"")))))),"")</f>
        <v/>
      </c>
      <c r="CV75" s="1883" t="str" cm="1">
        <f t="array" ca="1" aca="1" ref="CV75">IFERROR(IF(AI75*fxVal_normal=_BS!AI75,"",IF(OR(AI75="",NOT(ISNUMBER(AI75)),ISERROR(AI75),$B75=""),"",IF($I75=1,IFBLANK(_xldudf_CX_PUSH(AI75*fxVal_normal,CX_ENTITY,$B75,AI$11,AI$14,AI$60,),""),IF($I75=2,IFBLANK(_xldudf_CX_PUSH(AI75,CX_ENTITY,$B75,AI$11,AI$14,AI$60,),""),IF($I75=3,"",IFBLANK(_xldudf_CX_PUSH(AI75,CX_ENTITY,$B75,AI$11,AI$14,AI$60,),"")))))),"")</f>
        <v/>
      </c>
      <c r="CW75" s="1883" t="str" cm="1">
        <f t="array" ca="1" aca="1" ref="CW75">IFERROR(IF(AJ75*fxVal_normal=_BS!AJ75,"",IF(OR(AJ75="",NOT(ISNUMBER(AJ75)),ISERROR(AJ75),$B75=""),"",IF($I75=1,IFBLANK(_xldudf_CX_PUSH(AJ75*fxVal_normal,CX_ENTITY,$B75,AJ$11,AJ$14,AJ$60,),""),IF($I75=2,IFBLANK(_xldudf_CX_PUSH(AJ75,CX_ENTITY,$B75,AJ$11,AJ$14,AJ$60,),""),IF($I75=3,"",IFBLANK(_xldudf_CX_PUSH(AJ75,CX_ENTITY,$B75,AJ$11,AJ$14,AJ$60,),"")))))),"")</f>
        <v/>
      </c>
      <c r="CX75" s="1883" t="str" cm="1">
        <f t="array" ca="1" aca="1" ref="CX75">IFERROR(IF(AK75*fxVal_normal=_BS!AK75,"",IF(OR(AK75="",NOT(ISNUMBER(AK75)),ISERROR(AK75),$B75=""),"",IF($I75=1,IFBLANK(_xldudf_CX_PUSH(AK75*fxVal_normal,CX_ENTITY,$B75,AK$11,AK$14,AK$60,),""),IF($I75=2,IFBLANK(_xldudf_CX_PUSH(AK75,CX_ENTITY,$B75,AK$11,AK$14,AK$60,),""),IF($I75=3,"",IFBLANK(_xldudf_CX_PUSH(AK75,CX_ENTITY,$B75,AK$11,AK$14,AK$60,),"")))))),"")</f>
        <v/>
      </c>
      <c r="CY75" s="1883" t="str" cm="1">
        <f t="array" ca="1" aca="1" ref="CY75">IFERROR(IF(AL75*fxVal_normal=_BS!AL75,"",IF(OR(AL75="",NOT(ISNUMBER(AL75)),ISERROR(AL75),$B75=""),"",IF($I75=1,IFBLANK(_xldudf_CX_PUSH(AL75*fxVal_normal,CX_ENTITY,$B75,AL$11,AL$14,AL$60,),""),IF($I75=2,IFBLANK(_xldudf_CX_PUSH(AL75,CX_ENTITY,$B75,AL$11,AL$14,AL$60,),""),IF($I75=3,"",IFBLANK(_xldudf_CX_PUSH(AL75,CX_ENTITY,$B75,AL$11,AL$14,AL$60,),"")))))),"")</f>
        <v/>
      </c>
      <c r="CZ75" s="1883" t="str" cm="1">
        <f t="array" ca="1" aca="1" ref="CZ75">IFERROR(IF(AM75*fxVal_normal=_BS!AM75,"",IF(OR(AM75="",NOT(ISNUMBER(AM75)),ISERROR(AM75),$B75=""),"",IF($I75=1,IFBLANK(_xldudf_CX_PUSH(AM75*fxVal_normal,CX_ENTITY,$B75,AM$11,AM$14,AM$60,),""),IF($I75=2,IFBLANK(_xldudf_CX_PUSH(AM75,CX_ENTITY,$B75,AM$11,AM$14,AM$60,),""),IF($I75=3,"",IFBLANK(_xldudf_CX_PUSH(AM75,CX_ENTITY,$B75,AM$11,AM$14,AM$60,),"")))))),"")</f>
        <v/>
      </c>
      <c r="DA75" s="1883" t="str" cm="1">
        <f t="array" ca="1" aca="1" ref="DA75">IFERROR(IF(AN75*fxVal_normal=_BS!AN75,"",IF(OR(AN75="",NOT(ISNUMBER(AN75)),ISERROR(AN75),$B75=""),"",IF($I75=1,IFBLANK(_xldudf_CX_PUSH(AN75*fxVal_normal,CX_ENTITY,$B75,AN$11,AN$14,AN$60,),""),IF($I75=2,IFBLANK(_xldudf_CX_PUSH(AN75,CX_ENTITY,$B75,AN$11,AN$14,AN$60,),""),IF($I75=3,"",IFBLANK(_xldudf_CX_PUSH(AN75,CX_ENTITY,$B75,AN$11,AN$14,AN$60,),"")))))),"")</f>
        <v/>
      </c>
      <c r="DB75" s="1883" t="str" cm="1">
        <f t="array" ca="1" aca="1" ref="DB75">IFERROR(IF(AO75*fxVal_normal=_BS!AO75,"",IF(OR(AO75="",NOT(ISNUMBER(AO75)),ISERROR(AO75),$B75=""),"",IF($I75=1,IFBLANK(_xldudf_CX_PUSH(AO75*fxVal_normal,CX_ENTITY,$B75,AO$11,AO$14,AO$60,),""),IF($I75=2,IFBLANK(_xldudf_CX_PUSH(AO75,CX_ENTITY,$B75,AO$11,AO$14,AO$60,),""),IF($I75=3,"",IFBLANK(_xldudf_CX_PUSH(AO75,CX_ENTITY,$B75,AO$11,AO$14,AO$60,),"")))))),"")</f>
        <v/>
      </c>
      <c r="DC75" s="1883" t="str" cm="1">
        <f t="array" ca="1" aca="1" ref="DC75">IFERROR(IF(AP75*fxVal_normal=_BS!AP75,"",IF(OR(AP75="",NOT(ISNUMBER(AP75)),ISERROR(AP75),$B75=""),"",IF($I75=1,IFBLANK(_xldudf_CX_PUSH(AP75*fxVal_normal,CX_ENTITY,$B75,AP$11,AP$14,AP$60,),""),IF($I75=2,IFBLANK(_xldudf_CX_PUSH(AP75,CX_ENTITY,$B75,AP$11,AP$14,AP$60,),""),IF($I75=3,"",IFBLANK(_xldudf_CX_PUSH(AP75,CX_ENTITY,$B75,AP$11,AP$14,AP$60,),"")))))),"")</f>
        <v/>
      </c>
      <c r="DD75" s="1883" t="str" cm="1">
        <f t="array" ca="1" aca="1" ref="DD75">IFERROR(IF(AQ75*fxVal_normal=_BS!AQ75,"",IF(OR(AQ75="",NOT(ISNUMBER(AQ75)),ISERROR(AQ75),$B75=""),"",IF($I75=1,IFBLANK(_xldudf_CX_PUSH(AQ75*fxVal_normal,CX_ENTITY,$B75,AQ$11,AQ$14,AQ$60,),""),IF($I75=2,IFBLANK(_xldudf_CX_PUSH(AQ75,CX_ENTITY,$B75,AQ$11,AQ$14,AQ$60,),""),IF($I75=3,"",IFBLANK(_xldudf_CX_PUSH(AQ75,CX_ENTITY,$B75,AQ$11,AQ$14,AQ$60,),"")))))),"")</f>
        <v/>
      </c>
      <c r="DE75" s="1883" t="str" cm="1">
        <f t="array" ca="1" aca="1" ref="DE75">IFERROR(IF(AR75*fxVal_normal=_BS!AR75,"",IF(OR(AR75="",NOT(ISNUMBER(AR75)),ISERROR(AR75),$B75=""),"",IF($I75=1,IFBLANK(_xldudf_CX_PUSH(AR75*fxVal_normal,CX_ENTITY,$B75,AR$11,AR$14,AR$60,),""),IF($I75=2,IFBLANK(_xldudf_CX_PUSH(AR75,CX_ENTITY,$B75,AR$11,AR$14,AR$60,),""),IF($I75=3,"",IFBLANK(_xldudf_CX_PUSH(AR75,CX_ENTITY,$B75,AR$11,AR$14,AR$60,),"")))))),"")</f>
        <v/>
      </c>
      <c r="DF75" s="1883" t="str" cm="1">
        <f t="array" ca="1" aca="1" ref="DF75">IFERROR(IF(AS75*fxVal_normal=_BS!AS75,"",IF(OR(AS75="",NOT(ISNUMBER(AS75)),ISERROR(AS75),$B75=""),"",IF($I75=1,IFBLANK(_xldudf_CX_PUSH(AS75*fxVal_normal,CX_ENTITY,$B75,AS$11,AS$14,AS$60,),""),IF($I75=2,IFBLANK(_xldudf_CX_PUSH(AS75,CX_ENTITY,$B75,AS$11,AS$14,AS$60,),""),IF($I75=3,"",IFBLANK(_xldudf_CX_PUSH(AS75,CX_ENTITY,$B75,AS$11,AS$14,AS$60,),"")))))),"")</f>
        <v/>
      </c>
      <c r="DG75" s="1883" t="str" cm="1">
        <f t="array" ca="1" aca="1" ref="DG75">IFERROR(IF(AT75*fxVal_normal=_BS!AT75,"",IF(OR(AT75="",NOT(ISNUMBER(AT75)),ISERROR(AT75),$B75=""),"",IF($I75=1,IFBLANK(_xldudf_CX_PUSH(AT75*fxVal_normal,CX_ENTITY,$B75,AT$11,AT$14,AT$60,),""),IF($I75=2,IFBLANK(_xldudf_CX_PUSH(AT75,CX_ENTITY,$B75,AT$11,AT$14,AT$60,),""),IF($I75=3,"",IFBLANK(_xldudf_CX_PUSH(AT75,CX_ENTITY,$B75,AT$11,AT$14,AT$60,),"")))))),"")</f>
        <v/>
      </c>
      <c r="DH75" s="1883" t="str" cm="1">
        <f t="array" ca="1" aca="1" ref="DH75">IFERROR(IF(AU75*fxVal_normal=_BS!AU75,"",IF(OR(AU75="",NOT(ISNUMBER(AU75)),ISERROR(AU75),$B75=""),"",IF($I75=1,IFBLANK(_xldudf_CX_PUSH(AU75*fxVal_normal,CX_ENTITY,$B75,AU$11,AU$14,AU$60,),""),IF($I75=2,IFBLANK(_xldudf_CX_PUSH(AU75,CX_ENTITY,$B75,AU$11,AU$14,AU$60,),""),IF($I75=3,"",IFBLANK(_xldudf_CX_PUSH(AU75,CX_ENTITY,$B75,AU$11,AU$14,AU$60,),"")))))),"")</f>
        <v/>
      </c>
      <c r="DI75" s="1883" t="str" cm="1">
        <f t="array" ca="1" aca="1" ref="DI75">IFERROR(IF(AV75*fxVal_normal=_BS!AV75,"",IF(OR(AV75="",NOT(ISNUMBER(AV75)),ISERROR(AV75),$B75=""),"",IF($I75=1,IFBLANK(_xldudf_CX_PUSH(AV75*fxVal_normal,CX_ENTITY,$B75,AV$11,AV$14,AV$60,),""),IF($I75=2,IFBLANK(_xldudf_CX_PUSH(AV75,CX_ENTITY,$B75,AV$11,AV$14,AV$60,),""),IF($I75=3,"",IFBLANK(_xldudf_CX_PUSH(AV75,CX_ENTITY,$B75,AV$11,AV$14,AV$60,),"")))))),"")</f>
        <v/>
      </c>
      <c r="DJ75" s="1883" t="str" cm="1">
        <f t="array" ca="1" aca="1" ref="DJ75">IFERROR(IF(AW75*fxVal_normal=_BS!AW75,"",IF(OR(AW75="",NOT(ISNUMBER(AW75)),ISERROR(AW75),$B75=""),"",IF($I75=1,IFBLANK(_xldudf_CX_PUSH(AW75*fxVal_normal,CX_ENTITY,$B75,AW$11,AW$14,AW$60,),""),IF($I75=2,IFBLANK(_xldudf_CX_PUSH(AW75,CX_ENTITY,$B75,AW$11,AW$14,AW$60,),""),IF($I75=3,"",IFBLANK(_xldudf_CX_PUSH(AW75,CX_ENTITY,$B75,AW$11,AW$14,AW$60,),"")))))),"")</f>
        <v/>
      </c>
      <c r="DK75" s="1883" t="str" cm="1">
        <f t="array" ca="1" aca="1" ref="DK75">IFERROR(IF(AX75*fxVal_normal=_BS!AX75,"",IF(OR(AX75="",NOT(ISNUMBER(AX75)),ISERROR(AX75),$B75=""),"",IF($I75=1,IFBLANK(_xldudf_CX_PUSH(AX75*fxVal_normal,CX_ENTITY,$B75,AX$11,AX$14,AX$60,),""),IF($I75=2,IFBLANK(_xldudf_CX_PUSH(AX75,CX_ENTITY,$B75,AX$11,AX$14,AX$60,),""),IF($I75=3,"",IFBLANK(_xldudf_CX_PUSH(AX75,CX_ENTITY,$B75,AX$11,AX$14,AX$60,),"")))))),"")</f>
        <v/>
      </c>
      <c r="DL75" s="1883" t="str" cm="1">
        <f t="array" ca="1" aca="1" ref="DL75">IFERROR(IF(AY75*fxVal_normal=_BS!AY75,"",IF(OR(AY75="",NOT(ISNUMBER(AY75)),ISERROR(AY75),$B75=""),"",IF($I75=1,IFBLANK(_xldudf_CX_PUSH(AY75*fxVal_normal,CX_ENTITY,$B75,AY$11,AY$14,AY$60,),""),IF($I75=2,IFBLANK(_xldudf_CX_PUSH(AY75,CX_ENTITY,$B75,AY$11,AY$14,AY$60,),""),IF($I75=3,"",IFBLANK(_xldudf_CX_PUSH(AY75,CX_ENTITY,$B75,AY$11,AY$14,AY$60,),"")))))),"")</f>
        <v/>
      </c>
      <c r="DM75" s="1883" t="str" cm="1">
        <f t="array" ca="1" aca="1" ref="DM75">IFERROR(IF(AZ75*fxVal_normal=_BS!AZ75,"",IF(OR(AZ75="",NOT(ISNUMBER(AZ75)),ISERROR(AZ75),$B75=""),"",IF($I75=1,IFBLANK(_xldudf_CX_PUSH(AZ75*fxVal_normal,CX_ENTITY,$B75,AZ$11,AZ$14,AZ$60,),""),IF($I75=2,IFBLANK(_xldudf_CX_PUSH(AZ75,CX_ENTITY,$B75,AZ$11,AZ$14,AZ$60,),""),IF($I75=3,"",IFBLANK(_xldudf_CX_PUSH(AZ75,CX_ENTITY,$B75,AZ$11,AZ$14,AZ$60,),"")))))),"")</f>
        <v/>
      </c>
      <c r="DN75" s="1883" t="str" cm="1">
        <f t="array" ca="1" aca="1" ref="DN75">IFERROR(IF(BA75*fxVal_normal=_BS!BA75,"",IF(OR(BA75="",NOT(ISNUMBER(BA75)),ISERROR(BA75),$B75=""),"",IF($I75=1,IFBLANK(_xldudf_CX_PUSH(BA75*fxVal_normal,CX_ENTITY,$B75,BA$11,BA$14,BA$60,),""),IF($I75=2,IFBLANK(_xldudf_CX_PUSH(BA75,CX_ENTITY,$B75,BA$11,BA$14,BA$60,),""),IF($I75=3,"",IFBLANK(_xldudf_CX_PUSH(BA75,CX_ENTITY,$B75,BA$11,BA$14,BA$60,),"")))))),"")</f>
        <v/>
      </c>
      <c r="DO75" s="1883" t="str" cm="1">
        <f t="array" ca="1" aca="1" ref="DO75">IFERROR(IF(BB75*fxVal_normal=_BS!BB75,"",IF(OR(BB75="",NOT(ISNUMBER(BB75)),ISERROR(BB75),$B75=""),"",IF($I75=1,IFBLANK(_xldudf_CX_PUSH(BB75*fxVal_normal,CX_ENTITY,$B75,BB$11,BB$14,BB$60,),""),IF($I75=2,IFBLANK(_xldudf_CX_PUSH(BB75,CX_ENTITY,$B75,BB$11,BB$14,BB$60,),""),IF($I75=3,"",IFBLANK(_xldudf_CX_PUSH(BB75,CX_ENTITY,$B75,BB$11,BB$14,BB$60,),"")))))),"")</f>
        <v/>
      </c>
      <c r="DP75" s="1883" t="str" cm="1">
        <f t="array" ca="1" aca="1" ref="DP75">IFERROR(IF(BC75*fxVal_normal=_BS!BC75,"",IF(OR(BC75="",NOT(ISNUMBER(BC75)),ISERROR(BC75),$B75=""),"",IF($I75=1,IFBLANK(_xldudf_CX_PUSH(BC75*fxVal_normal,CX_ENTITY,$B75,BC$11,BC$14,BC$60,),""),IF($I75=2,IFBLANK(_xldudf_CX_PUSH(BC75,CX_ENTITY,$B75,BC$11,BC$14,BC$60,),""),IF($I75=3,"",IFBLANK(_xldudf_CX_PUSH(BC75,CX_ENTITY,$B75,BC$11,BC$14,BC$60,),"")))))),"")</f>
        <v/>
      </c>
      <c r="DQ75" s="1883" t="str" cm="1">
        <f t="array" ca="1" aca="1" ref="DQ75">IFERROR(IF(BD75*fxVal_normal=_BS!BD75,"",IF(OR(BD75="",NOT(ISNUMBER(BD75)),ISERROR(BD75),$B75=""),"",IF($I75=1,IFBLANK(_xldudf_CX_PUSH(BD75*fxVal_normal,CX_ENTITY,$B75,BD$11,BD$14,BD$60,),""),IF($I75=2,IFBLANK(_xldudf_CX_PUSH(BD75,CX_ENTITY,$B75,BD$11,BD$14,BD$60,),""),IF($I75=3,"",IFBLANK(_xldudf_CX_PUSH(BD75,CX_ENTITY,$B75,BD$11,BD$14,BD$60,),"")))))),"")</f>
        <v/>
      </c>
      <c r="DR75" s="1883" t="str" cm="1">
        <f t="array" ca="1" aca="1" ref="DR75">IFERROR(IF(BE75*fxVal_normal=_BS!BE75,"",IF(OR(BE75="",NOT(ISNUMBER(BE75)),ISERROR(BE75),$B75=""),"",IF($I75=1,IFBLANK(_xldudf_CX_PUSH(BE75*fxVal_normal,CX_ENTITY,$B75,BE$11,BE$14,BE$60,),""),IF($I75=2,IFBLANK(_xldudf_CX_PUSH(BE75,CX_ENTITY,$B75,BE$11,BE$14,BE$60,),""),IF($I75=3,"",IFBLANK(_xldudf_CX_PUSH(BE75,CX_ENTITY,$B75,BE$11,BE$14,BE$60,),"")))))),"")</f>
        <v/>
      </c>
      <c r="DS75" s="1883" t="str" cm="1">
        <f t="array" ca="1" aca="1" ref="DS75">IFERROR(IF(BF75*fxVal_normal=_BS!BF75,"",IF(OR(BF75="",NOT(ISNUMBER(BF75)),ISERROR(BF75),$B75=""),"",IF($I75=1,IFBLANK(_xldudf_CX_PUSH(BF75*fxVal_normal,CX_ENTITY,$B75,BF$11,BF$14,BF$60,),""),IF($I75=2,IFBLANK(_xldudf_CX_PUSH(BF75,CX_ENTITY,$B75,BF$11,BF$14,BF$60,),""),IF($I75=3,"",IFBLANK(_xldudf_CX_PUSH(BF75,CX_ENTITY,$B75,BF$11,BF$14,BF$60,),"")))))),"")</f>
        <v/>
      </c>
      <c r="DT75" s="1883" t="str" cm="1">
        <f t="array" ca="1" aca="1" ref="DT75">IFERROR(IF(BG75*fxVal_normal=_BS!BG75,"",IF(OR(BG75="",NOT(ISNUMBER(BG75)),ISERROR(BG75),$B75=""),"",IF($I75=1,IFBLANK(_xldudf_CX_PUSH(BG75*fxVal_normal,CX_ENTITY,$B75,BG$11,BG$14,BG$60,),""),IF($I75=2,IFBLANK(_xldudf_CX_PUSH(BG75,CX_ENTITY,$B75,BG$11,BG$14,BG$60,),""),IF($I75=3,"",IFBLANK(_xldudf_CX_PUSH(BG75,CX_ENTITY,$B75,BG$11,BG$14,BG$60,),"")))))),"")</f>
        <v/>
      </c>
      <c r="DU75" s="1883" t="str" cm="1">
        <f t="array" ca="1" aca="1" ref="DU75">IFERROR(IF(BH75*fxVal_normal=_BS!BH75,"",IF(OR(BH75="",NOT(ISNUMBER(BH75)),ISERROR(BH75),$B75=""),"",IF($I75=1,IFBLANK(_xldudf_CX_PUSH(BH75*fxVal_normal,CX_ENTITY,$B75,BH$11,BH$14,BH$60,),""),IF($I75=2,IFBLANK(_xldudf_CX_PUSH(BH75,CX_ENTITY,$B75,BH$11,BH$14,BH$60,),""),IF($I75=3,"",IFBLANK(_xldudf_CX_PUSH(BH75,CX_ENTITY,$B75,BH$11,BH$14,BH$60,),"")))))),"")</f>
        <v/>
      </c>
      <c r="DV75" s="1883" t="str" cm="1">
        <f t="array" ca="1" aca="1" ref="DV75">IFERROR(IF(BI75*fxVal_normal=_BS!BI75,"",IF(OR(BI75="",NOT(ISNUMBER(BI75)),ISERROR(BI75),$B75=""),"",IF($I75=1,IFBLANK(_xldudf_CX_PUSH(BI75*fxVal_normal,CX_ENTITY,$B75,BI$11,BI$14,BI$60,),""),IF($I75=2,IFBLANK(_xldudf_CX_PUSH(BI75,CX_ENTITY,$B75,BI$11,BI$14,BI$60,),""),IF($I75=3,"",IFBLANK(_xldudf_CX_PUSH(BI75,CX_ENTITY,$B75,BI$11,BI$14,BI$60,),"")))))),"")</f>
        <v/>
      </c>
      <c r="DW75" s="1883" t="str" cm="1">
        <f t="array" ca="1" aca="1" ref="DW75">IFERROR(IF(BJ75*fxVal_normal=_BS!BJ75,"",IF(OR(BJ75="",NOT(ISNUMBER(BJ75)),ISERROR(BJ75),$B75=""),"",IF($I75=1,IFBLANK(_xldudf_CX_PUSH(BJ75*fxVal_normal,CX_ENTITY,$B75,BJ$11,BJ$14,BJ$60,),""),IF($I75=2,IFBLANK(_xldudf_CX_PUSH(BJ75,CX_ENTITY,$B75,BJ$11,BJ$14,BJ$60,),""),IF($I75=3,"",IFBLANK(_xldudf_CX_PUSH(BJ75,CX_ENTITY,$B75,BJ$11,BJ$14,BJ$60,),"")))))),"")</f>
        <v/>
      </c>
      <c r="DX75" s="1883" t="str" cm="1">
        <f t="array" ca="1" aca="1" ref="DX75">IFERROR(IF(BK75*fxVal_normal=_BS!BK75,"",IF(OR(BK75="",NOT(ISNUMBER(BK75)),ISERROR(BK75),$B75=""),"",IF($I75=1,IFBLANK(_xldudf_CX_PUSH(BK75*fxVal_normal,CX_ENTITY,$B75,BK$11,BK$14,BK$60,),""),IF($I75=2,IFBLANK(_xldudf_CX_PUSH(BK75,CX_ENTITY,$B75,BK$11,BK$14,BK$60,),""),IF($I75=3,"",IFBLANK(_xldudf_CX_PUSH(BK75,CX_ENTITY,$B75,BK$11,BK$14,BK$60,),"")))))),"")</f>
        <v/>
      </c>
      <c r="DY75" s="1883" t="str" cm="1">
        <f t="array" ca="1" aca="1" ref="DY75">IFERROR(IF(BL75*fxVal_normal=_BS!BL75,"",IF(OR(BL75="",NOT(ISNUMBER(BL75)),ISERROR(BL75),$B75=""),"",IF($I75=1,IFBLANK(_xldudf_CX_PUSH(BL75*fxVal_normal,CX_ENTITY,$B75,BL$11,BL$14,BL$60,),""),IF($I75=2,IFBLANK(_xldudf_CX_PUSH(BL75,CX_ENTITY,$B75,BL$11,BL$14,BL$60,),""),IF($I75=3,"",IFBLANK(_xldudf_CX_PUSH(BL75,CX_ENTITY,$B75,BL$11,BL$14,BL$60,),"")))))),"")</f>
        <v/>
      </c>
      <c r="DZ75" s="1883" t="str" cm="1">
        <f t="array" ca="1" aca="1" ref="DZ75">IFERROR(IF(BM75*fxVal_normal=_BS!BM75,"",IF(OR(BM75="",NOT(ISNUMBER(BM75)),ISERROR(BM75),$B75=""),"",IF($I75=1,IFBLANK(_xldudf_CX_PUSH(BM75*fxVal_normal,CX_ENTITY,$B75,BM$11,BM$14,BM$60,),""),IF($I75=2,IFBLANK(_xldudf_CX_PUSH(BM75,CX_ENTITY,$B75,BM$11,BM$14,BM$60,),""),IF($I75=3,"",IFBLANK(_xldudf_CX_PUSH(BM75,CX_ENTITY,$B75,BM$11,BM$14,BM$60,),"")))))),"")</f>
        <v/>
      </c>
      <c r="EA75" s="1883" t="str" cm="1">
        <f t="array" ca="1" aca="1" ref="EA75">IFERROR(IF(BN75*fxVal_normal=_BS!BN75,"",IF(OR(BN75="",NOT(ISNUMBER(BN75)),ISERROR(BN75),$B75=""),"",IF($I75=1,IFBLANK(_xldudf_CX_PUSH(BN75*fxVal_normal,CX_ENTITY,$B75,BN$11,BN$14,BN$60,),""),IF($I75=2,IFBLANK(_xldudf_CX_PUSH(BN75,CX_ENTITY,$B75,BN$11,BN$14,BN$60,),""),IF($I75=3,"",IFBLANK(_xldudf_CX_PUSH(BN75,CX_ENTITY,$B75,BN$11,BN$14,BN$60,),"")))))),"")</f>
        <v/>
      </c>
    </row>
    <row r="76" spans="1:131" ht="21" customHeight="1">
      <c r="A76" s="1646"/>
      <c r="B76" s="811" t="str" cm="1">
        <f t="array" ref="B76">IFBLANK(_BS!F76,"")</f>
        <v>Gross External Acquisition / Refi Debt</v>
      </c>
      <c r="C76" s="811" t="str" cm="1">
        <f t="array" ref="C76">IFBLANK(_BS!C76,"")</f>
        <v>Gross External Acquisition / Refi Debt (Company View)</v>
      </c>
      <c r="D76" s="1640"/>
      <c r="E76" s="1902" t="e" cm="1">
        <f t="array" ca="1" aca="1" ref="E7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76:$CH76,Z76)</f>
        <v>#NAME?</v>
      </c>
      <c r="F76" s="1897"/>
      <c r="G76" s="1897"/>
      <c r="H76" s="3280">
        <v>2</v>
      </c>
      <c r="I76" s="3280">
        <v>1</v>
      </c>
      <c r="J76" s="401"/>
      <c r="L76" s="921"/>
      <c r="M76" s="921"/>
      <c r="N76" s="158"/>
      <c r="O76" s="101"/>
      <c r="P76" s="52"/>
      <c r="Q76" s="101"/>
      <c r="R76" s="101"/>
      <c r="S76" s="101"/>
      <c r="T76" s="101"/>
      <c r="U76" s="39"/>
      <c r="V76" s="921"/>
      <c r="W76" s="1291" t="str">
        <f t="shared" si="18"/>
        <v>Budget</v>
      </c>
      <c r="X76" s="1294">
        <f>_BS!X76</f>
        <v>0</v>
      </c>
      <c r="Y76" s="1593" t="str">
        <f t="shared" si="17"/>
        <v>Gross External Acquisition / Refi Debt</v>
      </c>
      <c r="Z76" s="198" cm="1">
        <f t="array" ref="Z76">_xlfn.SWITCH(TRUE,_BS!$L76=TRUE,1,_BS!$L76=FALSE,-1,_BS!$L76=-1,0,"n/a")</f>
        <v>0</v>
      </c>
      <c r="AA76" s="924"/>
      <c r="AB76" s="925" t="str">
        <f>_BS!AB76</f>
        <v>Gross External Acquisition / Refi Debt</v>
      </c>
      <c r="AC76" s="88" t="str" cm="1">
        <f t="array" ca="1" aca="1" ref="AC76">_xlfn.LET(_xlpm._termname,$AB76,_xlpm._iconname,"find",_xlpm._icon,fx_getIcon(_xlpm._iconname),_xlpm._location,_xlfn.XLOOKUP(LOWER(_xlpm._termname),LOWER(tbl_acctDef[Term]),tbl_acctDef[Term]),_xlpm._hyperlink,HYPERLINK("#"&amp;CELL("address",_xlpm._location),_xlpm._icon),IFERROR(_xlpm._hyperlink,""))</f>
        <v/>
      </c>
      <c r="AD76" s="919">
        <f t="shared" si="22" ref="AD76:BN76">SUBTOTAL(9,AD72:AD75)</f>
        <v>4</v>
      </c>
      <c r="AE76" s="919">
        <f t="shared" si="22"/>
        <v>4</v>
      </c>
      <c r="AF76" s="919">
        <f t="shared" si="22"/>
        <v>4</v>
      </c>
      <c r="AG76" s="919">
        <f t="shared" si="22"/>
        <v>4</v>
      </c>
      <c r="AH76" s="919">
        <f t="shared" si="22"/>
        <v>4</v>
      </c>
      <c r="AI76" s="919">
        <f t="shared" si="22"/>
        <v>4</v>
      </c>
      <c r="AJ76" s="919">
        <f t="shared" si="22"/>
        <v>4</v>
      </c>
      <c r="AK76" s="919">
        <f t="shared" si="22"/>
        <v>4</v>
      </c>
      <c r="AL76" s="919">
        <f t="shared" si="22"/>
        <v>4</v>
      </c>
      <c r="AM76" s="919">
        <f t="shared" si="22"/>
        <v>4</v>
      </c>
      <c r="AN76" s="919">
        <f t="shared" si="22"/>
        <v>4</v>
      </c>
      <c r="AO76" s="919">
        <f t="shared" si="22"/>
        <v>4</v>
      </c>
      <c r="AP76" s="919">
        <f t="shared" si="22"/>
        <v>4</v>
      </c>
      <c r="AQ76" s="919">
        <f t="shared" si="22"/>
        <v>4</v>
      </c>
      <c r="AR76" s="919">
        <f t="shared" si="22"/>
        <v>4</v>
      </c>
      <c r="AS76" s="919">
        <f t="shared" si="22"/>
        <v>4</v>
      </c>
      <c r="AT76" s="919">
        <f t="shared" si="22"/>
        <v>4</v>
      </c>
      <c r="AU76" s="919">
        <f t="shared" si="22"/>
        <v>4</v>
      </c>
      <c r="AV76" s="919">
        <f t="shared" si="22"/>
        <v>4</v>
      </c>
      <c r="AW76" s="919">
        <f t="shared" si="22"/>
        <v>4</v>
      </c>
      <c r="AX76" s="919">
        <f t="shared" si="22"/>
        <v>4</v>
      </c>
      <c r="AY76" s="919">
        <f t="shared" si="22"/>
        <v>4</v>
      </c>
      <c r="AZ76" s="919">
        <f t="shared" si="22"/>
        <v>4</v>
      </c>
      <c r="BA76" s="919">
        <f t="shared" si="22"/>
        <v>4</v>
      </c>
      <c r="BB76" s="919">
        <f t="shared" si="22"/>
        <v>4</v>
      </c>
      <c r="BC76" s="919">
        <f t="shared" si="22"/>
        <v>4</v>
      </c>
      <c r="BD76" s="919">
        <f t="shared" si="22"/>
        <v>4</v>
      </c>
      <c r="BE76" s="919">
        <f t="shared" si="22"/>
        <v>4</v>
      </c>
      <c r="BF76" s="919">
        <f t="shared" si="22"/>
        <v>4</v>
      </c>
      <c r="BG76" s="919">
        <f t="shared" si="22"/>
        <v>4</v>
      </c>
      <c r="BH76" s="919">
        <f t="shared" si="22"/>
        <v>4</v>
      </c>
      <c r="BI76" s="919">
        <f t="shared" si="22"/>
        <v>4</v>
      </c>
      <c r="BJ76" s="919">
        <f t="shared" si="22"/>
        <v>4</v>
      </c>
      <c r="BK76" s="919">
        <f t="shared" si="22"/>
        <v>4</v>
      </c>
      <c r="BL76" s="919">
        <f t="shared" si="22"/>
        <v>4</v>
      </c>
      <c r="BM76" s="919">
        <f t="shared" si="22"/>
        <v>4</v>
      </c>
      <c r="BN76" s="919">
        <f t="shared" si="22"/>
        <v>4</v>
      </c>
      <c r="BO76" s="2117"/>
      <c r="BP76" s="2117"/>
      <c r="BQ76" s="2117"/>
      <c r="BR76" s="2117"/>
      <c r="BS76" s="2117"/>
      <c r="BT76" s="2117"/>
      <c r="BU76" s="2117"/>
      <c r="BV76" s="2117"/>
      <c r="BW76" s="2117"/>
      <c r="BX76" s="2117"/>
      <c r="BY76" s="2117"/>
      <c r="BZ76" s="2117"/>
      <c r="CA76" s="926"/>
      <c r="CB76" s="921"/>
      <c r="CC76" s="927"/>
      <c r="CD76" s="928" t="e" cm="1">
        <f t="array" ca="1" aca="1" ref="CD76">_xlfn.XLOOKUP(BS!CD$11,array_timeline,BS!$AD76:$BN76)</f>
        <v>#NAME?</v>
      </c>
      <c r="CE76" s="928" t="e" cm="1">
        <f t="array" ca="1" aca="1" ref="CE76">_xlfn.XLOOKUP(BS!CE$11,array_timeline,BS!$AD76:$BN76)</f>
        <v>#NAME?</v>
      </c>
      <c r="CF76" s="925"/>
      <c r="CG76" s="541" t="e">
        <f t="shared" ca="1" si="16"/>
        <v>#NAME?</v>
      </c>
      <c r="CH76" s="541" t="e">
        <f t="shared" ca="1" si="16"/>
        <v>#NAME?</v>
      </c>
      <c r="CI76" s="924"/>
      <c r="CQ76" s="1883" t="str" cm="1">
        <f t="array" ca="1" aca="1" ref="CQ76">IFERROR(IF(AD76*fxVal_normal=_BS!AD76,"",IF(OR(AD76="",NOT(ISNUMBER(AD76)),ISERROR(AD76),$B76=""),"",IF($I76=1,IFBLANK(_xldudf_CX_PUSH(AD76*fxVal_normal,CX_ENTITY,$B76,AD$11,AD$14,AD$60,),""),IF($I76=2,IFBLANK(_xldudf_CX_PUSH(AD76,CX_ENTITY,$B76,AD$11,AD$14,AD$60,),""),IF($I76=3,"",IFBLANK(_xldudf_CX_PUSH(AD76,CX_ENTITY,$B76,AD$11,AD$14,AD$60,),"")))))),"")</f>
        <v/>
      </c>
      <c r="CR76" s="1883" t="str" cm="1">
        <f t="array" ca="1" aca="1" ref="CR76">IFERROR(IF(AE76*fxVal_normal=_BS!AE76,"",IF(OR(AE76="",NOT(ISNUMBER(AE76)),ISERROR(AE76),$B76=""),"",IF($I76=1,IFBLANK(_xldudf_CX_PUSH(AE76*fxVal_normal,CX_ENTITY,$B76,AE$11,AE$14,AE$60,),""),IF($I76=2,IFBLANK(_xldudf_CX_PUSH(AE76,CX_ENTITY,$B76,AE$11,AE$14,AE$60,),""),IF($I76=3,"",IFBLANK(_xldudf_CX_PUSH(AE76,CX_ENTITY,$B76,AE$11,AE$14,AE$60,),"")))))),"")</f>
        <v/>
      </c>
      <c r="CS76" s="1883" t="str" cm="1">
        <f t="array" ca="1" aca="1" ref="CS76">IFERROR(IF(AF76*fxVal_normal=_BS!AF76,"",IF(OR(AF76="",NOT(ISNUMBER(AF76)),ISERROR(AF76),$B76=""),"",IF($I76=1,IFBLANK(_xldudf_CX_PUSH(AF76*fxVal_normal,CX_ENTITY,$B76,AF$11,AF$14,AF$60,),""),IF($I76=2,IFBLANK(_xldudf_CX_PUSH(AF76,CX_ENTITY,$B76,AF$11,AF$14,AF$60,),""),IF($I76=3,"",IFBLANK(_xldudf_CX_PUSH(AF76,CX_ENTITY,$B76,AF$11,AF$14,AF$60,),"")))))),"")</f>
        <v/>
      </c>
      <c r="CT76" s="1883" t="str" cm="1">
        <f t="array" ca="1" aca="1" ref="CT76">IFERROR(IF(AG76*fxVal_normal=_BS!AG76,"",IF(OR(AG76="",NOT(ISNUMBER(AG76)),ISERROR(AG76),$B76=""),"",IF($I76=1,IFBLANK(_xldudf_CX_PUSH(AG76*fxVal_normal,CX_ENTITY,$B76,AG$11,AG$14,AG$60,),""),IF($I76=2,IFBLANK(_xldudf_CX_PUSH(AG76,CX_ENTITY,$B76,AG$11,AG$14,AG$60,),""),IF($I76=3,"",IFBLANK(_xldudf_CX_PUSH(AG76,CX_ENTITY,$B76,AG$11,AG$14,AG$60,),"")))))),"")</f>
        <v/>
      </c>
      <c r="CU76" s="1883" t="str" cm="1">
        <f t="array" ca="1" aca="1" ref="CU76">IFERROR(IF(AH76*fxVal_normal=_BS!AH76,"",IF(OR(AH76="",NOT(ISNUMBER(AH76)),ISERROR(AH76),$B76=""),"",IF($I76=1,IFBLANK(_xldudf_CX_PUSH(AH76*fxVal_normal,CX_ENTITY,$B76,AH$11,AH$14,AH$60,),""),IF($I76=2,IFBLANK(_xldudf_CX_PUSH(AH76,CX_ENTITY,$B76,AH$11,AH$14,AH$60,),""),IF($I76=3,"",IFBLANK(_xldudf_CX_PUSH(AH76,CX_ENTITY,$B76,AH$11,AH$14,AH$60,),"")))))),"")</f>
        <v/>
      </c>
      <c r="CV76" s="1883" t="str" cm="1">
        <f t="array" ca="1" aca="1" ref="CV76">IFERROR(IF(AI76*fxVal_normal=_BS!AI76,"",IF(OR(AI76="",NOT(ISNUMBER(AI76)),ISERROR(AI76),$B76=""),"",IF($I76=1,IFBLANK(_xldudf_CX_PUSH(AI76*fxVal_normal,CX_ENTITY,$B76,AI$11,AI$14,AI$60,),""),IF($I76=2,IFBLANK(_xldudf_CX_PUSH(AI76,CX_ENTITY,$B76,AI$11,AI$14,AI$60,),""),IF($I76=3,"",IFBLANK(_xldudf_CX_PUSH(AI76,CX_ENTITY,$B76,AI$11,AI$14,AI$60,),"")))))),"")</f>
        <v/>
      </c>
      <c r="CW76" s="1883" t="str" cm="1">
        <f t="array" ca="1" aca="1" ref="CW76">IFERROR(IF(AJ76*fxVal_normal=_BS!AJ76,"",IF(OR(AJ76="",NOT(ISNUMBER(AJ76)),ISERROR(AJ76),$B76=""),"",IF($I76=1,IFBLANK(_xldudf_CX_PUSH(AJ76*fxVal_normal,CX_ENTITY,$B76,AJ$11,AJ$14,AJ$60,),""),IF($I76=2,IFBLANK(_xldudf_CX_PUSH(AJ76,CX_ENTITY,$B76,AJ$11,AJ$14,AJ$60,),""),IF($I76=3,"",IFBLANK(_xldudf_CX_PUSH(AJ76,CX_ENTITY,$B76,AJ$11,AJ$14,AJ$60,),"")))))),"")</f>
        <v/>
      </c>
      <c r="CX76" s="1883" t="str" cm="1">
        <f t="array" ca="1" aca="1" ref="CX76">IFERROR(IF(AK76*fxVal_normal=_BS!AK76,"",IF(OR(AK76="",NOT(ISNUMBER(AK76)),ISERROR(AK76),$B76=""),"",IF($I76=1,IFBLANK(_xldudf_CX_PUSH(AK76*fxVal_normal,CX_ENTITY,$B76,AK$11,AK$14,AK$60,),""),IF($I76=2,IFBLANK(_xldudf_CX_PUSH(AK76,CX_ENTITY,$B76,AK$11,AK$14,AK$60,),""),IF($I76=3,"",IFBLANK(_xldudf_CX_PUSH(AK76,CX_ENTITY,$B76,AK$11,AK$14,AK$60,),"")))))),"")</f>
        <v/>
      </c>
      <c r="CY76" s="1883" t="str" cm="1">
        <f t="array" ca="1" aca="1" ref="CY76">IFERROR(IF(AL76*fxVal_normal=_BS!AL76,"",IF(OR(AL76="",NOT(ISNUMBER(AL76)),ISERROR(AL76),$B76=""),"",IF($I76=1,IFBLANK(_xldudf_CX_PUSH(AL76*fxVal_normal,CX_ENTITY,$B76,AL$11,AL$14,AL$60,),""),IF($I76=2,IFBLANK(_xldudf_CX_PUSH(AL76,CX_ENTITY,$B76,AL$11,AL$14,AL$60,),""),IF($I76=3,"",IFBLANK(_xldudf_CX_PUSH(AL76,CX_ENTITY,$B76,AL$11,AL$14,AL$60,),"")))))),"")</f>
        <v/>
      </c>
      <c r="CZ76" s="1883" t="str" cm="1">
        <f t="array" ca="1" aca="1" ref="CZ76">IFERROR(IF(AM76*fxVal_normal=_BS!AM76,"",IF(OR(AM76="",NOT(ISNUMBER(AM76)),ISERROR(AM76),$B76=""),"",IF($I76=1,IFBLANK(_xldudf_CX_PUSH(AM76*fxVal_normal,CX_ENTITY,$B76,AM$11,AM$14,AM$60,),""),IF($I76=2,IFBLANK(_xldudf_CX_PUSH(AM76,CX_ENTITY,$B76,AM$11,AM$14,AM$60,),""),IF($I76=3,"",IFBLANK(_xldudf_CX_PUSH(AM76,CX_ENTITY,$B76,AM$11,AM$14,AM$60,),"")))))),"")</f>
        <v/>
      </c>
      <c r="DA76" s="1883" t="str" cm="1">
        <f t="array" ca="1" aca="1" ref="DA76">IFERROR(IF(AN76*fxVal_normal=_BS!AN76,"",IF(OR(AN76="",NOT(ISNUMBER(AN76)),ISERROR(AN76),$B76=""),"",IF($I76=1,IFBLANK(_xldudf_CX_PUSH(AN76*fxVal_normal,CX_ENTITY,$B76,AN$11,AN$14,AN$60,),""),IF($I76=2,IFBLANK(_xldudf_CX_PUSH(AN76,CX_ENTITY,$B76,AN$11,AN$14,AN$60,),""),IF($I76=3,"",IFBLANK(_xldudf_CX_PUSH(AN76,CX_ENTITY,$B76,AN$11,AN$14,AN$60,),"")))))),"")</f>
        <v/>
      </c>
      <c r="DB76" s="1883" t="str" cm="1">
        <f t="array" ca="1" aca="1" ref="DB76">IFERROR(IF(AO76*fxVal_normal=_BS!AO76,"",IF(OR(AO76="",NOT(ISNUMBER(AO76)),ISERROR(AO76),$B76=""),"",IF($I76=1,IFBLANK(_xldudf_CX_PUSH(AO76*fxVal_normal,CX_ENTITY,$B76,AO$11,AO$14,AO$60,),""),IF($I76=2,IFBLANK(_xldudf_CX_PUSH(AO76,CX_ENTITY,$B76,AO$11,AO$14,AO$60,),""),IF($I76=3,"",IFBLANK(_xldudf_CX_PUSH(AO76,CX_ENTITY,$B76,AO$11,AO$14,AO$60,),"")))))),"")</f>
        <v/>
      </c>
      <c r="DC76" s="1883" t="str" cm="1">
        <f t="array" ca="1" aca="1" ref="DC76">IFERROR(IF(AP76*fxVal_normal=_BS!AP76,"",IF(OR(AP76="",NOT(ISNUMBER(AP76)),ISERROR(AP76),$B76=""),"",IF($I76=1,IFBLANK(_xldudf_CX_PUSH(AP76*fxVal_normal,CX_ENTITY,$B76,AP$11,AP$14,AP$60,),""),IF($I76=2,IFBLANK(_xldudf_CX_PUSH(AP76,CX_ENTITY,$B76,AP$11,AP$14,AP$60,),""),IF($I76=3,"",IFBLANK(_xldudf_CX_PUSH(AP76,CX_ENTITY,$B76,AP$11,AP$14,AP$60,),"")))))),"")</f>
        <v/>
      </c>
      <c r="DD76" s="1883" t="str" cm="1">
        <f t="array" ca="1" aca="1" ref="DD76">IFERROR(IF(AQ76*fxVal_normal=_BS!AQ76,"",IF(OR(AQ76="",NOT(ISNUMBER(AQ76)),ISERROR(AQ76),$B76=""),"",IF($I76=1,IFBLANK(_xldudf_CX_PUSH(AQ76*fxVal_normal,CX_ENTITY,$B76,AQ$11,AQ$14,AQ$60,),""),IF($I76=2,IFBLANK(_xldudf_CX_PUSH(AQ76,CX_ENTITY,$B76,AQ$11,AQ$14,AQ$60,),""),IF($I76=3,"",IFBLANK(_xldudf_CX_PUSH(AQ76,CX_ENTITY,$B76,AQ$11,AQ$14,AQ$60,),"")))))),"")</f>
        <v/>
      </c>
      <c r="DE76" s="1883" t="str" cm="1">
        <f t="array" ca="1" aca="1" ref="DE76">IFERROR(IF(AR76*fxVal_normal=_BS!AR76,"",IF(OR(AR76="",NOT(ISNUMBER(AR76)),ISERROR(AR76),$B76=""),"",IF($I76=1,IFBLANK(_xldudf_CX_PUSH(AR76*fxVal_normal,CX_ENTITY,$B76,AR$11,AR$14,AR$60,),""),IF($I76=2,IFBLANK(_xldudf_CX_PUSH(AR76,CX_ENTITY,$B76,AR$11,AR$14,AR$60,),""),IF($I76=3,"",IFBLANK(_xldudf_CX_PUSH(AR76,CX_ENTITY,$B76,AR$11,AR$14,AR$60,),"")))))),"")</f>
        <v/>
      </c>
      <c r="DF76" s="1883" t="str" cm="1">
        <f t="array" ca="1" aca="1" ref="DF76">IFERROR(IF(AS76*fxVal_normal=_BS!AS76,"",IF(OR(AS76="",NOT(ISNUMBER(AS76)),ISERROR(AS76),$B76=""),"",IF($I76=1,IFBLANK(_xldudf_CX_PUSH(AS76*fxVal_normal,CX_ENTITY,$B76,AS$11,AS$14,AS$60,),""),IF($I76=2,IFBLANK(_xldudf_CX_PUSH(AS76,CX_ENTITY,$B76,AS$11,AS$14,AS$60,),""),IF($I76=3,"",IFBLANK(_xldudf_CX_PUSH(AS76,CX_ENTITY,$B76,AS$11,AS$14,AS$60,),"")))))),"")</f>
        <v/>
      </c>
      <c r="DG76" s="1883" t="str" cm="1">
        <f t="array" ca="1" aca="1" ref="DG76">IFERROR(IF(AT76*fxVal_normal=_BS!AT76,"",IF(OR(AT76="",NOT(ISNUMBER(AT76)),ISERROR(AT76),$B76=""),"",IF($I76=1,IFBLANK(_xldudf_CX_PUSH(AT76*fxVal_normal,CX_ENTITY,$B76,AT$11,AT$14,AT$60,),""),IF($I76=2,IFBLANK(_xldudf_CX_PUSH(AT76,CX_ENTITY,$B76,AT$11,AT$14,AT$60,),""),IF($I76=3,"",IFBLANK(_xldudf_CX_PUSH(AT76,CX_ENTITY,$B76,AT$11,AT$14,AT$60,),"")))))),"")</f>
        <v/>
      </c>
      <c r="DH76" s="1883" t="str" cm="1">
        <f t="array" ca="1" aca="1" ref="DH76">IFERROR(IF(AU76*fxVal_normal=_BS!AU76,"",IF(OR(AU76="",NOT(ISNUMBER(AU76)),ISERROR(AU76),$B76=""),"",IF($I76=1,IFBLANK(_xldudf_CX_PUSH(AU76*fxVal_normal,CX_ENTITY,$B76,AU$11,AU$14,AU$60,),""),IF($I76=2,IFBLANK(_xldudf_CX_PUSH(AU76,CX_ENTITY,$B76,AU$11,AU$14,AU$60,),""),IF($I76=3,"",IFBLANK(_xldudf_CX_PUSH(AU76,CX_ENTITY,$B76,AU$11,AU$14,AU$60,),"")))))),"")</f>
        <v/>
      </c>
      <c r="DI76" s="1883" t="str" cm="1">
        <f t="array" ca="1" aca="1" ref="DI76">IFERROR(IF(AV76*fxVal_normal=_BS!AV76,"",IF(OR(AV76="",NOT(ISNUMBER(AV76)),ISERROR(AV76),$B76=""),"",IF($I76=1,IFBLANK(_xldudf_CX_PUSH(AV76*fxVal_normal,CX_ENTITY,$B76,AV$11,AV$14,AV$60,),""),IF($I76=2,IFBLANK(_xldudf_CX_PUSH(AV76,CX_ENTITY,$B76,AV$11,AV$14,AV$60,),""),IF($I76=3,"",IFBLANK(_xldudf_CX_PUSH(AV76,CX_ENTITY,$B76,AV$11,AV$14,AV$60,),"")))))),"")</f>
        <v/>
      </c>
      <c r="DJ76" s="1883" t="str" cm="1">
        <f t="array" ca="1" aca="1" ref="DJ76">IFERROR(IF(AW76*fxVal_normal=_BS!AW76,"",IF(OR(AW76="",NOT(ISNUMBER(AW76)),ISERROR(AW76),$B76=""),"",IF($I76=1,IFBLANK(_xldudf_CX_PUSH(AW76*fxVal_normal,CX_ENTITY,$B76,AW$11,AW$14,AW$60,),""),IF($I76=2,IFBLANK(_xldudf_CX_PUSH(AW76,CX_ENTITY,$B76,AW$11,AW$14,AW$60,),""),IF($I76=3,"",IFBLANK(_xldudf_CX_PUSH(AW76,CX_ENTITY,$B76,AW$11,AW$14,AW$60,),"")))))),"")</f>
        <v/>
      </c>
      <c r="DK76" s="1883" t="str" cm="1">
        <f t="array" ca="1" aca="1" ref="DK76">IFERROR(IF(AX76*fxVal_normal=_BS!AX76,"",IF(OR(AX76="",NOT(ISNUMBER(AX76)),ISERROR(AX76),$B76=""),"",IF($I76=1,IFBLANK(_xldudf_CX_PUSH(AX76*fxVal_normal,CX_ENTITY,$B76,AX$11,AX$14,AX$60,),""),IF($I76=2,IFBLANK(_xldudf_CX_PUSH(AX76,CX_ENTITY,$B76,AX$11,AX$14,AX$60,),""),IF($I76=3,"",IFBLANK(_xldudf_CX_PUSH(AX76,CX_ENTITY,$B76,AX$11,AX$14,AX$60,),"")))))),"")</f>
        <v/>
      </c>
      <c r="DL76" s="1883" t="str" cm="1">
        <f t="array" ca="1" aca="1" ref="DL76">IFERROR(IF(AY76*fxVal_normal=_BS!AY76,"",IF(OR(AY76="",NOT(ISNUMBER(AY76)),ISERROR(AY76),$B76=""),"",IF($I76=1,IFBLANK(_xldudf_CX_PUSH(AY76*fxVal_normal,CX_ENTITY,$B76,AY$11,AY$14,AY$60,),""),IF($I76=2,IFBLANK(_xldudf_CX_PUSH(AY76,CX_ENTITY,$B76,AY$11,AY$14,AY$60,),""),IF($I76=3,"",IFBLANK(_xldudf_CX_PUSH(AY76,CX_ENTITY,$B76,AY$11,AY$14,AY$60,),"")))))),"")</f>
        <v/>
      </c>
      <c r="DM76" s="1883" t="str" cm="1">
        <f t="array" ca="1" aca="1" ref="DM76">IFERROR(IF(AZ76*fxVal_normal=_BS!AZ76,"",IF(OR(AZ76="",NOT(ISNUMBER(AZ76)),ISERROR(AZ76),$B76=""),"",IF($I76=1,IFBLANK(_xldudf_CX_PUSH(AZ76*fxVal_normal,CX_ENTITY,$B76,AZ$11,AZ$14,AZ$60,),""),IF($I76=2,IFBLANK(_xldudf_CX_PUSH(AZ76,CX_ENTITY,$B76,AZ$11,AZ$14,AZ$60,),""),IF($I76=3,"",IFBLANK(_xldudf_CX_PUSH(AZ76,CX_ENTITY,$B76,AZ$11,AZ$14,AZ$60,),"")))))),"")</f>
        <v/>
      </c>
      <c r="DN76" s="1883" t="str" cm="1">
        <f t="array" ca="1" aca="1" ref="DN76">IFERROR(IF(BA76*fxVal_normal=_BS!BA76,"",IF(OR(BA76="",NOT(ISNUMBER(BA76)),ISERROR(BA76),$B76=""),"",IF($I76=1,IFBLANK(_xldudf_CX_PUSH(BA76*fxVal_normal,CX_ENTITY,$B76,BA$11,BA$14,BA$60,),""),IF($I76=2,IFBLANK(_xldudf_CX_PUSH(BA76,CX_ENTITY,$B76,BA$11,BA$14,BA$60,),""),IF($I76=3,"",IFBLANK(_xldudf_CX_PUSH(BA76,CX_ENTITY,$B76,BA$11,BA$14,BA$60,),"")))))),"")</f>
        <v/>
      </c>
      <c r="DO76" s="1883" t="str" cm="1">
        <f t="array" ca="1" aca="1" ref="DO76">IFERROR(IF(BB76*fxVal_normal=_BS!BB76,"",IF(OR(BB76="",NOT(ISNUMBER(BB76)),ISERROR(BB76),$B76=""),"",IF($I76=1,IFBLANK(_xldudf_CX_PUSH(BB76*fxVal_normal,CX_ENTITY,$B76,BB$11,BB$14,BB$60,),""),IF($I76=2,IFBLANK(_xldudf_CX_PUSH(BB76,CX_ENTITY,$B76,BB$11,BB$14,BB$60,),""),IF($I76=3,"",IFBLANK(_xldudf_CX_PUSH(BB76,CX_ENTITY,$B76,BB$11,BB$14,BB$60,),"")))))),"")</f>
        <v/>
      </c>
      <c r="DP76" s="1883" t="str" cm="1">
        <f t="array" ca="1" aca="1" ref="DP76">IFERROR(IF(BC76*fxVal_normal=_BS!BC76,"",IF(OR(BC76="",NOT(ISNUMBER(BC76)),ISERROR(BC76),$B76=""),"",IF($I76=1,IFBLANK(_xldudf_CX_PUSH(BC76*fxVal_normal,CX_ENTITY,$B76,BC$11,BC$14,BC$60,),""),IF($I76=2,IFBLANK(_xldudf_CX_PUSH(BC76,CX_ENTITY,$B76,BC$11,BC$14,BC$60,),""),IF($I76=3,"",IFBLANK(_xldudf_CX_PUSH(BC76,CX_ENTITY,$B76,BC$11,BC$14,BC$60,),"")))))),"")</f>
        <v/>
      </c>
      <c r="DQ76" s="1883" t="str" cm="1">
        <f t="array" ca="1" aca="1" ref="DQ76">IFERROR(IF(BD76*fxVal_normal=_BS!BD76,"",IF(OR(BD76="",NOT(ISNUMBER(BD76)),ISERROR(BD76),$B76=""),"",IF($I76=1,IFBLANK(_xldudf_CX_PUSH(BD76*fxVal_normal,CX_ENTITY,$B76,BD$11,BD$14,BD$60,),""),IF($I76=2,IFBLANK(_xldudf_CX_PUSH(BD76,CX_ENTITY,$B76,BD$11,BD$14,BD$60,),""),IF($I76=3,"",IFBLANK(_xldudf_CX_PUSH(BD76,CX_ENTITY,$B76,BD$11,BD$14,BD$60,),"")))))),"")</f>
        <v/>
      </c>
      <c r="DR76" s="1883" t="str" cm="1">
        <f t="array" ca="1" aca="1" ref="DR76">IFERROR(IF(BE76*fxVal_normal=_BS!BE76,"",IF(OR(BE76="",NOT(ISNUMBER(BE76)),ISERROR(BE76),$B76=""),"",IF($I76=1,IFBLANK(_xldudf_CX_PUSH(BE76*fxVal_normal,CX_ENTITY,$B76,BE$11,BE$14,BE$60,),""),IF($I76=2,IFBLANK(_xldudf_CX_PUSH(BE76,CX_ENTITY,$B76,BE$11,BE$14,BE$60,),""),IF($I76=3,"",IFBLANK(_xldudf_CX_PUSH(BE76,CX_ENTITY,$B76,BE$11,BE$14,BE$60,),"")))))),"")</f>
        <v/>
      </c>
      <c r="DS76" s="1883" t="str" cm="1">
        <f t="array" ca="1" aca="1" ref="DS76">IFERROR(IF(BF76*fxVal_normal=_BS!BF76,"",IF(OR(BF76="",NOT(ISNUMBER(BF76)),ISERROR(BF76),$B76=""),"",IF($I76=1,IFBLANK(_xldudf_CX_PUSH(BF76*fxVal_normal,CX_ENTITY,$B76,BF$11,BF$14,BF$60,),""),IF($I76=2,IFBLANK(_xldudf_CX_PUSH(BF76,CX_ENTITY,$B76,BF$11,BF$14,BF$60,),""),IF($I76=3,"",IFBLANK(_xldudf_CX_PUSH(BF76,CX_ENTITY,$B76,BF$11,BF$14,BF$60,),"")))))),"")</f>
        <v/>
      </c>
      <c r="DT76" s="1883" t="str" cm="1">
        <f t="array" ca="1" aca="1" ref="DT76">IFERROR(IF(BG76*fxVal_normal=_BS!BG76,"",IF(OR(BG76="",NOT(ISNUMBER(BG76)),ISERROR(BG76),$B76=""),"",IF($I76=1,IFBLANK(_xldudf_CX_PUSH(BG76*fxVal_normal,CX_ENTITY,$B76,BG$11,BG$14,BG$60,),""),IF($I76=2,IFBLANK(_xldudf_CX_PUSH(BG76,CX_ENTITY,$B76,BG$11,BG$14,BG$60,),""),IF($I76=3,"",IFBLANK(_xldudf_CX_PUSH(BG76,CX_ENTITY,$B76,BG$11,BG$14,BG$60,),"")))))),"")</f>
        <v/>
      </c>
      <c r="DU76" s="1883" t="str" cm="1">
        <f t="array" ca="1" aca="1" ref="DU76">IFERROR(IF(BH76*fxVal_normal=_BS!BH76,"",IF(OR(BH76="",NOT(ISNUMBER(BH76)),ISERROR(BH76),$B76=""),"",IF($I76=1,IFBLANK(_xldudf_CX_PUSH(BH76*fxVal_normal,CX_ENTITY,$B76,BH$11,BH$14,BH$60,),""),IF($I76=2,IFBLANK(_xldudf_CX_PUSH(BH76,CX_ENTITY,$B76,BH$11,BH$14,BH$60,),""),IF($I76=3,"",IFBLANK(_xldudf_CX_PUSH(BH76,CX_ENTITY,$B76,BH$11,BH$14,BH$60,),"")))))),"")</f>
        <v/>
      </c>
      <c r="DV76" s="1883" t="str" cm="1">
        <f t="array" ca="1" aca="1" ref="DV76">IFERROR(IF(BI76*fxVal_normal=_BS!BI76,"",IF(OR(BI76="",NOT(ISNUMBER(BI76)),ISERROR(BI76),$B76=""),"",IF($I76=1,IFBLANK(_xldudf_CX_PUSH(BI76*fxVal_normal,CX_ENTITY,$B76,BI$11,BI$14,BI$60,),""),IF($I76=2,IFBLANK(_xldudf_CX_PUSH(BI76,CX_ENTITY,$B76,BI$11,BI$14,BI$60,),""),IF($I76=3,"",IFBLANK(_xldudf_CX_PUSH(BI76,CX_ENTITY,$B76,BI$11,BI$14,BI$60,),"")))))),"")</f>
        <v/>
      </c>
      <c r="DW76" s="1883" t="str" cm="1">
        <f t="array" ca="1" aca="1" ref="DW76">IFERROR(IF(BJ76*fxVal_normal=_BS!BJ76,"",IF(OR(BJ76="",NOT(ISNUMBER(BJ76)),ISERROR(BJ76),$B76=""),"",IF($I76=1,IFBLANK(_xldudf_CX_PUSH(BJ76*fxVal_normal,CX_ENTITY,$B76,BJ$11,BJ$14,BJ$60,),""),IF($I76=2,IFBLANK(_xldudf_CX_PUSH(BJ76,CX_ENTITY,$B76,BJ$11,BJ$14,BJ$60,),""),IF($I76=3,"",IFBLANK(_xldudf_CX_PUSH(BJ76,CX_ENTITY,$B76,BJ$11,BJ$14,BJ$60,),"")))))),"")</f>
        <v/>
      </c>
      <c r="DX76" s="1883" t="str" cm="1">
        <f t="array" ca="1" aca="1" ref="DX76">IFERROR(IF(BK76*fxVal_normal=_BS!BK76,"",IF(OR(BK76="",NOT(ISNUMBER(BK76)),ISERROR(BK76),$B76=""),"",IF($I76=1,IFBLANK(_xldudf_CX_PUSH(BK76*fxVal_normal,CX_ENTITY,$B76,BK$11,BK$14,BK$60,),""),IF($I76=2,IFBLANK(_xldudf_CX_PUSH(BK76,CX_ENTITY,$B76,BK$11,BK$14,BK$60,),""),IF($I76=3,"",IFBLANK(_xldudf_CX_PUSH(BK76,CX_ENTITY,$B76,BK$11,BK$14,BK$60,),"")))))),"")</f>
        <v/>
      </c>
      <c r="DY76" s="1883" t="str" cm="1">
        <f t="array" ca="1" aca="1" ref="DY76">IFERROR(IF(BL76*fxVal_normal=_BS!BL76,"",IF(OR(BL76="",NOT(ISNUMBER(BL76)),ISERROR(BL76),$B76=""),"",IF($I76=1,IFBLANK(_xldudf_CX_PUSH(BL76*fxVal_normal,CX_ENTITY,$B76,BL$11,BL$14,BL$60,),""),IF($I76=2,IFBLANK(_xldudf_CX_PUSH(BL76,CX_ENTITY,$B76,BL$11,BL$14,BL$60,),""),IF($I76=3,"",IFBLANK(_xldudf_CX_PUSH(BL76,CX_ENTITY,$B76,BL$11,BL$14,BL$60,),"")))))),"")</f>
        <v/>
      </c>
      <c r="DZ76" s="1883" t="str" cm="1">
        <f t="array" ca="1" aca="1" ref="DZ76">IFERROR(IF(BM76*fxVal_normal=_BS!BM76,"",IF(OR(BM76="",NOT(ISNUMBER(BM76)),ISERROR(BM76),$B76=""),"",IF($I76=1,IFBLANK(_xldudf_CX_PUSH(BM76*fxVal_normal,CX_ENTITY,$B76,BM$11,BM$14,BM$60,),""),IF($I76=2,IFBLANK(_xldudf_CX_PUSH(BM76,CX_ENTITY,$B76,BM$11,BM$14,BM$60,),""),IF($I76=3,"",IFBLANK(_xldudf_CX_PUSH(BM76,CX_ENTITY,$B76,BM$11,BM$14,BM$60,),"")))))),"")</f>
        <v/>
      </c>
      <c r="EA76" s="1883" t="str" cm="1">
        <f t="array" ca="1" aca="1" ref="EA76">IFERROR(IF(BN76*fxVal_normal=_BS!BN76,"",IF(OR(BN76="",NOT(ISNUMBER(BN76)),ISERROR(BN76),$B76=""),"",IF($I76=1,IFBLANK(_xldudf_CX_PUSH(BN76*fxVal_normal,CX_ENTITY,$B76,BN$11,BN$14,BN$60,),""),IF($I76=2,IFBLANK(_xldudf_CX_PUSH(BN76,CX_ENTITY,$B76,BN$11,BN$14,BN$60,),""),IF($I76=3,"",IFBLANK(_xldudf_CX_PUSH(BN76,CX_ENTITY,$B76,BN$11,BN$14,BN$60,),"")))))),"")</f>
        <v/>
      </c>
    </row>
    <row r="77" spans="1:131" ht="21" customHeight="1">
      <c r="A77" s="1646"/>
      <c r="B77" s="811" t="str" cm="1">
        <f t="array" ref="B77">IFBLANK(_BS!F77,"")</f>
        <v>Accrued Interest</v>
      </c>
      <c r="C77" s="811" t="str" cm="1">
        <f t="array" ref="C77">IFBLANK(_BS!C77,"")</f>
        <v>Accrued Interest (Company View)</v>
      </c>
      <c r="D77" s="1640"/>
      <c r="E77" s="1902" t="e" cm="1">
        <f t="array" ca="1" aca="1" ref="E7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77:$CH77,Z77)</f>
        <v>#NAME?</v>
      </c>
      <c r="F77" s="1897"/>
      <c r="G77" s="1897"/>
      <c r="H77" s="3280">
        <v>1</v>
      </c>
      <c r="I77" s="3280">
        <v>1</v>
      </c>
      <c r="J77" s="401"/>
      <c r="N77" s="158"/>
      <c r="O77" s="101"/>
      <c r="P77" s="52"/>
      <c r="Q77" s="101"/>
      <c r="R77" s="101"/>
      <c r="S77" s="101"/>
      <c r="T77" s="101"/>
      <c r="U77" s="39"/>
      <c r="W77" s="930" t="str">
        <f t="shared" si="18"/>
        <v>Budget</v>
      </c>
      <c r="X77" s="857">
        <f>_BS!X77</f>
        <v>-1</v>
      </c>
      <c r="Y77" s="3230">
        <f t="shared" si="17"/>
        <v>2</v>
      </c>
      <c r="Z77" s="3291" cm="1">
        <f t="array" ref="Z77">_xlfn.SWITCH(TRUE,_BS!$L77=TRUE,1,_BS!$L77=FALSE,-1,_BS!$L77=-1,0,"n/a")</f>
        <v>1</v>
      </c>
      <c r="AA77" s="200"/>
      <c r="AB77" s="88" t="str">
        <f>_BS!AB77</f>
        <v>Accrued Interest</v>
      </c>
      <c r="AC77" s="88" t="e" vm="5" cm="1">
        <f t="array" ca="1" aca="1" ref="AC77">_xlfn.LET(_xlpm._termname,$AB77,_xlpm._iconname,"find",_xlpm._icon,fx_getIcon(_xlpm._iconname),_xlpm._location,_xlfn.XLOOKUP(LOWER(_xlpm._termname),LOWER(tbl_acctDef[Term]),tbl_acctDef[Term]),_xlpm._hyperlink,HYPERLINK("#"&amp;CELL("address",_xlpm._location),_xlpm._icon),IFERROR(_xlpm._hyperlink,""))</f>
        <v>#VALUE!</v>
      </c>
      <c r="AD77" s="3229">
        <v>1</v>
      </c>
      <c r="AE77" s="3229">
        <v>1</v>
      </c>
      <c r="AF77" s="3229">
        <v>1</v>
      </c>
      <c r="AG77" s="3229">
        <v>1</v>
      </c>
      <c r="AH77" s="3229">
        <v>1</v>
      </c>
      <c r="AI77" s="3229">
        <v>1</v>
      </c>
      <c r="AJ77" s="3229">
        <v>1</v>
      </c>
      <c r="AK77" s="3229">
        <v>1</v>
      </c>
      <c r="AL77" s="3229">
        <v>1</v>
      </c>
      <c r="AM77" s="3229">
        <v>1</v>
      </c>
      <c r="AN77" s="3229">
        <v>1</v>
      </c>
      <c r="AO77" s="3229">
        <v>1</v>
      </c>
      <c r="AP77" s="3229">
        <v>1</v>
      </c>
      <c r="AQ77" s="3229">
        <v>1</v>
      </c>
      <c r="AR77" s="3229">
        <v>1</v>
      </c>
      <c r="AS77" s="3229">
        <v>1</v>
      </c>
      <c r="AT77" s="3229">
        <v>1</v>
      </c>
      <c r="AU77" s="3229">
        <v>1</v>
      </c>
      <c r="AV77" s="3229">
        <v>1</v>
      </c>
      <c r="AW77" s="3229">
        <v>1</v>
      </c>
      <c r="AX77" s="3229">
        <v>1</v>
      </c>
      <c r="AY77" s="3229">
        <v>1</v>
      </c>
      <c r="AZ77" s="3229">
        <v>1</v>
      </c>
      <c r="BA77" s="3229">
        <v>1</v>
      </c>
      <c r="BB77" s="3229">
        <v>1</v>
      </c>
      <c r="BC77" s="3229">
        <v>1</v>
      </c>
      <c r="BD77" s="3229">
        <v>1</v>
      </c>
      <c r="BE77" s="3229">
        <v>1</v>
      </c>
      <c r="BF77" s="3229">
        <v>1</v>
      </c>
      <c r="BG77" s="3229">
        <v>1</v>
      </c>
      <c r="BH77" s="3229">
        <v>1</v>
      </c>
      <c r="BI77" s="3229">
        <v>1</v>
      </c>
      <c r="BJ77" s="3229">
        <v>1</v>
      </c>
      <c r="BK77" s="3229">
        <v>1</v>
      </c>
      <c r="BL77" s="3229">
        <v>1</v>
      </c>
      <c r="BM77" s="3229">
        <v>1</v>
      </c>
      <c r="BN77" s="3229">
        <v>1</v>
      </c>
      <c r="BO77" s="2095"/>
      <c r="BP77" s="2095"/>
      <c r="BQ77" s="2095"/>
      <c r="BR77" s="2095"/>
      <c r="BS77" s="2095"/>
      <c r="BT77" s="2095"/>
      <c r="BU77" s="2095"/>
      <c r="BV77" s="2095"/>
      <c r="BW77" s="2095"/>
      <c r="BX77" s="2095"/>
      <c r="BY77" s="2095"/>
      <c r="BZ77" s="2095"/>
      <c r="CA77" s="926"/>
      <c r="CB77" s="921"/>
      <c r="CC77" s="927"/>
      <c r="CD77" s="928" t="e" cm="1">
        <f t="array" ca="1" aca="1" ref="CD77">_xlfn.XLOOKUP(BS!CD$11,array_timeline,BS!$AD77:$BN77)</f>
        <v>#NAME?</v>
      </c>
      <c r="CE77" s="928" t="e" cm="1">
        <f t="array" ca="1" aca="1" ref="CE77">_xlfn.XLOOKUP(BS!CE$11,array_timeline,BS!$AD77:$BN77)</f>
        <v>#NAME?</v>
      </c>
      <c r="CF77" s="925"/>
      <c r="CG77" s="2124" t="e">
        <f t="shared" ca="1" si="16"/>
        <v>#NAME?</v>
      </c>
      <c r="CH77" s="2124" t="e">
        <f t="shared" ca="1" si="16"/>
        <v>#NAME?</v>
      </c>
      <c r="CI77" s="200"/>
      <c r="CQ77" s="1883" t="str" cm="1">
        <f t="array" ca="1" aca="1" ref="CQ77">IFERROR(IF(AD77*fxVal_normal=_BS!AD77,"",IF(OR(AD77="",NOT(ISNUMBER(AD77)),ISERROR(AD77),$B77=""),"",IF($I77=1,IFBLANK(_xldudf_CX_PUSH(AD77*fxVal_normal,CX_ENTITY,$B77,AD$11,AD$14,AD$60,),""),IF($I77=2,IFBLANK(_xldudf_CX_PUSH(AD77,CX_ENTITY,$B77,AD$11,AD$14,AD$60,),""),IF($I77=3,"",IFBLANK(_xldudf_CX_PUSH(AD77,CX_ENTITY,$B77,AD$11,AD$14,AD$60,),"")))))),"")</f>
        <v/>
      </c>
      <c r="CR77" s="1883" t="str" cm="1">
        <f t="array" ca="1" aca="1" ref="CR77">IFERROR(IF(AE77*fxVal_normal=_BS!AE77,"",IF(OR(AE77="",NOT(ISNUMBER(AE77)),ISERROR(AE77),$B77=""),"",IF($I77=1,IFBLANK(_xldudf_CX_PUSH(AE77*fxVal_normal,CX_ENTITY,$B77,AE$11,AE$14,AE$60,),""),IF($I77=2,IFBLANK(_xldudf_CX_PUSH(AE77,CX_ENTITY,$B77,AE$11,AE$14,AE$60,),""),IF($I77=3,"",IFBLANK(_xldudf_CX_PUSH(AE77,CX_ENTITY,$B77,AE$11,AE$14,AE$60,),"")))))),"")</f>
        <v/>
      </c>
      <c r="CS77" s="1883" t="str" cm="1">
        <f t="array" ca="1" aca="1" ref="CS77">IFERROR(IF(AF77*fxVal_normal=_BS!AF77,"",IF(OR(AF77="",NOT(ISNUMBER(AF77)),ISERROR(AF77),$B77=""),"",IF($I77=1,IFBLANK(_xldudf_CX_PUSH(AF77*fxVal_normal,CX_ENTITY,$B77,AF$11,AF$14,AF$60,),""),IF($I77=2,IFBLANK(_xldudf_CX_PUSH(AF77,CX_ENTITY,$B77,AF$11,AF$14,AF$60,),""),IF($I77=3,"",IFBLANK(_xldudf_CX_PUSH(AF77,CX_ENTITY,$B77,AF$11,AF$14,AF$60,),"")))))),"")</f>
        <v/>
      </c>
      <c r="CT77" s="1883" t="str" cm="1">
        <f t="array" ca="1" aca="1" ref="CT77">IFERROR(IF(AG77*fxVal_normal=_BS!AG77,"",IF(OR(AG77="",NOT(ISNUMBER(AG77)),ISERROR(AG77),$B77=""),"",IF($I77=1,IFBLANK(_xldudf_CX_PUSH(AG77*fxVal_normal,CX_ENTITY,$B77,AG$11,AG$14,AG$60,),""),IF($I77=2,IFBLANK(_xldudf_CX_PUSH(AG77,CX_ENTITY,$B77,AG$11,AG$14,AG$60,),""),IF($I77=3,"",IFBLANK(_xldudf_CX_PUSH(AG77,CX_ENTITY,$B77,AG$11,AG$14,AG$60,),"")))))),"")</f>
        <v/>
      </c>
      <c r="CU77" s="1883" t="str" cm="1">
        <f t="array" ca="1" aca="1" ref="CU77">IFERROR(IF(AH77*fxVal_normal=_BS!AH77,"",IF(OR(AH77="",NOT(ISNUMBER(AH77)),ISERROR(AH77),$B77=""),"",IF($I77=1,IFBLANK(_xldudf_CX_PUSH(AH77*fxVal_normal,CX_ENTITY,$B77,AH$11,AH$14,AH$60,),""),IF($I77=2,IFBLANK(_xldudf_CX_PUSH(AH77,CX_ENTITY,$B77,AH$11,AH$14,AH$60,),""),IF($I77=3,"",IFBLANK(_xldudf_CX_PUSH(AH77,CX_ENTITY,$B77,AH$11,AH$14,AH$60,),"")))))),"")</f>
        <v/>
      </c>
      <c r="CV77" s="1883" t="str" cm="1">
        <f t="array" ca="1" aca="1" ref="CV77">IFERROR(IF(AI77*fxVal_normal=_BS!AI77,"",IF(OR(AI77="",NOT(ISNUMBER(AI77)),ISERROR(AI77),$B77=""),"",IF($I77=1,IFBLANK(_xldudf_CX_PUSH(AI77*fxVal_normal,CX_ENTITY,$B77,AI$11,AI$14,AI$60,),""),IF($I77=2,IFBLANK(_xldudf_CX_PUSH(AI77,CX_ENTITY,$B77,AI$11,AI$14,AI$60,),""),IF($I77=3,"",IFBLANK(_xldudf_CX_PUSH(AI77,CX_ENTITY,$B77,AI$11,AI$14,AI$60,),"")))))),"")</f>
        <v/>
      </c>
      <c r="CW77" s="1883" t="str" cm="1">
        <f t="array" ca="1" aca="1" ref="CW77">IFERROR(IF(AJ77*fxVal_normal=_BS!AJ77,"",IF(OR(AJ77="",NOT(ISNUMBER(AJ77)),ISERROR(AJ77),$B77=""),"",IF($I77=1,IFBLANK(_xldudf_CX_PUSH(AJ77*fxVal_normal,CX_ENTITY,$B77,AJ$11,AJ$14,AJ$60,),""),IF($I77=2,IFBLANK(_xldudf_CX_PUSH(AJ77,CX_ENTITY,$B77,AJ$11,AJ$14,AJ$60,),""),IF($I77=3,"",IFBLANK(_xldudf_CX_PUSH(AJ77,CX_ENTITY,$B77,AJ$11,AJ$14,AJ$60,),"")))))),"")</f>
        <v/>
      </c>
      <c r="CX77" s="1883" t="str" cm="1">
        <f t="array" ca="1" aca="1" ref="CX77">IFERROR(IF(AK77*fxVal_normal=_BS!AK77,"",IF(OR(AK77="",NOT(ISNUMBER(AK77)),ISERROR(AK77),$B77=""),"",IF($I77=1,IFBLANK(_xldudf_CX_PUSH(AK77*fxVal_normal,CX_ENTITY,$B77,AK$11,AK$14,AK$60,),""),IF($I77=2,IFBLANK(_xldudf_CX_PUSH(AK77,CX_ENTITY,$B77,AK$11,AK$14,AK$60,),""),IF($I77=3,"",IFBLANK(_xldudf_CX_PUSH(AK77,CX_ENTITY,$B77,AK$11,AK$14,AK$60,),"")))))),"")</f>
        <v/>
      </c>
      <c r="CY77" s="1883" t="str" cm="1">
        <f t="array" ca="1" aca="1" ref="CY77">IFERROR(IF(AL77*fxVal_normal=_BS!AL77,"",IF(OR(AL77="",NOT(ISNUMBER(AL77)),ISERROR(AL77),$B77=""),"",IF($I77=1,IFBLANK(_xldudf_CX_PUSH(AL77*fxVal_normal,CX_ENTITY,$B77,AL$11,AL$14,AL$60,),""),IF($I77=2,IFBLANK(_xldudf_CX_PUSH(AL77,CX_ENTITY,$B77,AL$11,AL$14,AL$60,),""),IF($I77=3,"",IFBLANK(_xldudf_CX_PUSH(AL77,CX_ENTITY,$B77,AL$11,AL$14,AL$60,),"")))))),"")</f>
        <v/>
      </c>
      <c r="CZ77" s="1883" t="str" cm="1">
        <f t="array" ca="1" aca="1" ref="CZ77">IFERROR(IF(AM77*fxVal_normal=_BS!AM77,"",IF(OR(AM77="",NOT(ISNUMBER(AM77)),ISERROR(AM77),$B77=""),"",IF($I77=1,IFBLANK(_xldudf_CX_PUSH(AM77*fxVal_normal,CX_ENTITY,$B77,AM$11,AM$14,AM$60,),""),IF($I77=2,IFBLANK(_xldudf_CX_PUSH(AM77,CX_ENTITY,$B77,AM$11,AM$14,AM$60,),""),IF($I77=3,"",IFBLANK(_xldudf_CX_PUSH(AM77,CX_ENTITY,$B77,AM$11,AM$14,AM$60,),"")))))),"")</f>
        <v/>
      </c>
      <c r="DA77" s="1883" t="str" cm="1">
        <f t="array" ca="1" aca="1" ref="DA77">IFERROR(IF(AN77*fxVal_normal=_BS!AN77,"",IF(OR(AN77="",NOT(ISNUMBER(AN77)),ISERROR(AN77),$B77=""),"",IF($I77=1,IFBLANK(_xldudf_CX_PUSH(AN77*fxVal_normal,CX_ENTITY,$B77,AN$11,AN$14,AN$60,),""),IF($I77=2,IFBLANK(_xldudf_CX_PUSH(AN77,CX_ENTITY,$B77,AN$11,AN$14,AN$60,),""),IF($I77=3,"",IFBLANK(_xldudf_CX_PUSH(AN77,CX_ENTITY,$B77,AN$11,AN$14,AN$60,),"")))))),"")</f>
        <v/>
      </c>
      <c r="DB77" s="1883" t="str" cm="1">
        <f t="array" ca="1" aca="1" ref="DB77">IFERROR(IF(AO77*fxVal_normal=_BS!AO77,"",IF(OR(AO77="",NOT(ISNUMBER(AO77)),ISERROR(AO77),$B77=""),"",IF($I77=1,IFBLANK(_xldudf_CX_PUSH(AO77*fxVal_normal,CX_ENTITY,$B77,AO$11,AO$14,AO$60,),""),IF($I77=2,IFBLANK(_xldudf_CX_PUSH(AO77,CX_ENTITY,$B77,AO$11,AO$14,AO$60,),""),IF($I77=3,"",IFBLANK(_xldudf_CX_PUSH(AO77,CX_ENTITY,$B77,AO$11,AO$14,AO$60,),"")))))),"")</f>
        <v/>
      </c>
      <c r="DC77" s="1883" t="str" cm="1">
        <f t="array" ca="1" aca="1" ref="DC77">IFERROR(IF(AP77*fxVal_normal=_BS!AP77,"",IF(OR(AP77="",NOT(ISNUMBER(AP77)),ISERROR(AP77),$B77=""),"",IF($I77=1,IFBLANK(_xldudf_CX_PUSH(AP77*fxVal_normal,CX_ENTITY,$B77,AP$11,AP$14,AP$60,),""),IF($I77=2,IFBLANK(_xldudf_CX_PUSH(AP77,CX_ENTITY,$B77,AP$11,AP$14,AP$60,),""),IF($I77=3,"",IFBLANK(_xldudf_CX_PUSH(AP77,CX_ENTITY,$B77,AP$11,AP$14,AP$60,),"")))))),"")</f>
        <v/>
      </c>
      <c r="DD77" s="1883" t="str" cm="1">
        <f t="array" ca="1" aca="1" ref="DD77">IFERROR(IF(AQ77*fxVal_normal=_BS!AQ77,"",IF(OR(AQ77="",NOT(ISNUMBER(AQ77)),ISERROR(AQ77),$B77=""),"",IF($I77=1,IFBLANK(_xldudf_CX_PUSH(AQ77*fxVal_normal,CX_ENTITY,$B77,AQ$11,AQ$14,AQ$60,),""),IF($I77=2,IFBLANK(_xldudf_CX_PUSH(AQ77,CX_ENTITY,$B77,AQ$11,AQ$14,AQ$60,),""),IF($I77=3,"",IFBLANK(_xldudf_CX_PUSH(AQ77,CX_ENTITY,$B77,AQ$11,AQ$14,AQ$60,),"")))))),"")</f>
        <v/>
      </c>
      <c r="DE77" s="1883" t="str" cm="1">
        <f t="array" ca="1" aca="1" ref="DE77">IFERROR(IF(AR77*fxVal_normal=_BS!AR77,"",IF(OR(AR77="",NOT(ISNUMBER(AR77)),ISERROR(AR77),$B77=""),"",IF($I77=1,IFBLANK(_xldudf_CX_PUSH(AR77*fxVal_normal,CX_ENTITY,$B77,AR$11,AR$14,AR$60,),""),IF($I77=2,IFBLANK(_xldudf_CX_PUSH(AR77,CX_ENTITY,$B77,AR$11,AR$14,AR$60,),""),IF($I77=3,"",IFBLANK(_xldudf_CX_PUSH(AR77,CX_ENTITY,$B77,AR$11,AR$14,AR$60,),"")))))),"")</f>
        <v/>
      </c>
      <c r="DF77" s="1883" t="str" cm="1">
        <f t="array" ca="1" aca="1" ref="DF77">IFERROR(IF(AS77*fxVal_normal=_BS!AS77,"",IF(OR(AS77="",NOT(ISNUMBER(AS77)),ISERROR(AS77),$B77=""),"",IF($I77=1,IFBLANK(_xldudf_CX_PUSH(AS77*fxVal_normal,CX_ENTITY,$B77,AS$11,AS$14,AS$60,),""),IF($I77=2,IFBLANK(_xldudf_CX_PUSH(AS77,CX_ENTITY,$B77,AS$11,AS$14,AS$60,),""),IF($I77=3,"",IFBLANK(_xldudf_CX_PUSH(AS77,CX_ENTITY,$B77,AS$11,AS$14,AS$60,),"")))))),"")</f>
        <v/>
      </c>
      <c r="DG77" s="1883" t="str" cm="1">
        <f t="array" ca="1" aca="1" ref="DG77">IFERROR(IF(AT77*fxVal_normal=_BS!AT77,"",IF(OR(AT77="",NOT(ISNUMBER(AT77)),ISERROR(AT77),$B77=""),"",IF($I77=1,IFBLANK(_xldudf_CX_PUSH(AT77*fxVal_normal,CX_ENTITY,$B77,AT$11,AT$14,AT$60,),""),IF($I77=2,IFBLANK(_xldudf_CX_PUSH(AT77,CX_ENTITY,$B77,AT$11,AT$14,AT$60,),""),IF($I77=3,"",IFBLANK(_xldudf_CX_PUSH(AT77,CX_ENTITY,$B77,AT$11,AT$14,AT$60,),"")))))),"")</f>
        <v/>
      </c>
      <c r="DH77" s="1883" t="str" cm="1">
        <f t="array" ca="1" aca="1" ref="DH77">IFERROR(IF(AU77*fxVal_normal=_BS!AU77,"",IF(OR(AU77="",NOT(ISNUMBER(AU77)),ISERROR(AU77),$B77=""),"",IF($I77=1,IFBLANK(_xldudf_CX_PUSH(AU77*fxVal_normal,CX_ENTITY,$B77,AU$11,AU$14,AU$60,),""),IF($I77=2,IFBLANK(_xldudf_CX_PUSH(AU77,CX_ENTITY,$B77,AU$11,AU$14,AU$60,),""),IF($I77=3,"",IFBLANK(_xldudf_CX_PUSH(AU77,CX_ENTITY,$B77,AU$11,AU$14,AU$60,),"")))))),"")</f>
        <v/>
      </c>
      <c r="DI77" s="1883" t="str" cm="1">
        <f t="array" ca="1" aca="1" ref="DI77">IFERROR(IF(AV77*fxVal_normal=_BS!AV77,"",IF(OR(AV77="",NOT(ISNUMBER(AV77)),ISERROR(AV77),$B77=""),"",IF($I77=1,IFBLANK(_xldudf_CX_PUSH(AV77*fxVal_normal,CX_ENTITY,$B77,AV$11,AV$14,AV$60,),""),IF($I77=2,IFBLANK(_xldudf_CX_PUSH(AV77,CX_ENTITY,$B77,AV$11,AV$14,AV$60,),""),IF($I77=3,"",IFBLANK(_xldudf_CX_PUSH(AV77,CX_ENTITY,$B77,AV$11,AV$14,AV$60,),"")))))),"")</f>
        <v/>
      </c>
      <c r="DJ77" s="1883" t="str" cm="1">
        <f t="array" ca="1" aca="1" ref="DJ77">IFERROR(IF(AW77*fxVal_normal=_BS!AW77,"",IF(OR(AW77="",NOT(ISNUMBER(AW77)),ISERROR(AW77),$B77=""),"",IF($I77=1,IFBLANK(_xldudf_CX_PUSH(AW77*fxVal_normal,CX_ENTITY,$B77,AW$11,AW$14,AW$60,),""),IF($I77=2,IFBLANK(_xldudf_CX_PUSH(AW77,CX_ENTITY,$B77,AW$11,AW$14,AW$60,),""),IF($I77=3,"",IFBLANK(_xldudf_CX_PUSH(AW77,CX_ENTITY,$B77,AW$11,AW$14,AW$60,),"")))))),"")</f>
        <v/>
      </c>
      <c r="DK77" s="1883" t="str" cm="1">
        <f t="array" ca="1" aca="1" ref="DK77">IFERROR(IF(AX77*fxVal_normal=_BS!AX77,"",IF(OR(AX77="",NOT(ISNUMBER(AX77)),ISERROR(AX77),$B77=""),"",IF($I77=1,IFBLANK(_xldudf_CX_PUSH(AX77*fxVal_normal,CX_ENTITY,$B77,AX$11,AX$14,AX$60,),""),IF($I77=2,IFBLANK(_xldudf_CX_PUSH(AX77,CX_ENTITY,$B77,AX$11,AX$14,AX$60,),""),IF($I77=3,"",IFBLANK(_xldudf_CX_PUSH(AX77,CX_ENTITY,$B77,AX$11,AX$14,AX$60,),"")))))),"")</f>
        <v/>
      </c>
      <c r="DL77" s="1883" t="str" cm="1">
        <f t="array" ca="1" aca="1" ref="DL77">IFERROR(IF(AY77*fxVal_normal=_BS!AY77,"",IF(OR(AY77="",NOT(ISNUMBER(AY77)),ISERROR(AY77),$B77=""),"",IF($I77=1,IFBLANK(_xldudf_CX_PUSH(AY77*fxVal_normal,CX_ENTITY,$B77,AY$11,AY$14,AY$60,),""),IF($I77=2,IFBLANK(_xldudf_CX_PUSH(AY77,CX_ENTITY,$B77,AY$11,AY$14,AY$60,),""),IF($I77=3,"",IFBLANK(_xldudf_CX_PUSH(AY77,CX_ENTITY,$B77,AY$11,AY$14,AY$60,),"")))))),"")</f>
        <v/>
      </c>
      <c r="DM77" s="1883" t="str" cm="1">
        <f t="array" ca="1" aca="1" ref="DM77">IFERROR(IF(AZ77*fxVal_normal=_BS!AZ77,"",IF(OR(AZ77="",NOT(ISNUMBER(AZ77)),ISERROR(AZ77),$B77=""),"",IF($I77=1,IFBLANK(_xldudf_CX_PUSH(AZ77*fxVal_normal,CX_ENTITY,$B77,AZ$11,AZ$14,AZ$60,),""),IF($I77=2,IFBLANK(_xldudf_CX_PUSH(AZ77,CX_ENTITY,$B77,AZ$11,AZ$14,AZ$60,),""),IF($I77=3,"",IFBLANK(_xldudf_CX_PUSH(AZ77,CX_ENTITY,$B77,AZ$11,AZ$14,AZ$60,),"")))))),"")</f>
        <v/>
      </c>
      <c r="DN77" s="1883" t="str" cm="1">
        <f t="array" ca="1" aca="1" ref="DN77">IFERROR(IF(BA77*fxVal_normal=_BS!BA77,"",IF(OR(BA77="",NOT(ISNUMBER(BA77)),ISERROR(BA77),$B77=""),"",IF($I77=1,IFBLANK(_xldudf_CX_PUSH(BA77*fxVal_normal,CX_ENTITY,$B77,BA$11,BA$14,BA$60,),""),IF($I77=2,IFBLANK(_xldudf_CX_PUSH(BA77,CX_ENTITY,$B77,BA$11,BA$14,BA$60,),""),IF($I77=3,"",IFBLANK(_xldudf_CX_PUSH(BA77,CX_ENTITY,$B77,BA$11,BA$14,BA$60,),"")))))),"")</f>
        <v/>
      </c>
      <c r="DO77" s="1883" t="str" cm="1">
        <f t="array" ca="1" aca="1" ref="DO77">IFERROR(IF(BB77*fxVal_normal=_BS!BB77,"",IF(OR(BB77="",NOT(ISNUMBER(BB77)),ISERROR(BB77),$B77=""),"",IF($I77=1,IFBLANK(_xldudf_CX_PUSH(BB77*fxVal_normal,CX_ENTITY,$B77,BB$11,BB$14,BB$60,),""),IF($I77=2,IFBLANK(_xldudf_CX_PUSH(BB77,CX_ENTITY,$B77,BB$11,BB$14,BB$60,),""),IF($I77=3,"",IFBLANK(_xldudf_CX_PUSH(BB77,CX_ENTITY,$B77,BB$11,BB$14,BB$60,),"")))))),"")</f>
        <v/>
      </c>
      <c r="DP77" s="1883" t="str" cm="1">
        <f t="array" ca="1" aca="1" ref="DP77">IFERROR(IF(BC77*fxVal_normal=_BS!BC77,"",IF(OR(BC77="",NOT(ISNUMBER(BC77)),ISERROR(BC77),$B77=""),"",IF($I77=1,IFBLANK(_xldudf_CX_PUSH(BC77*fxVal_normal,CX_ENTITY,$B77,BC$11,BC$14,BC$60,),""),IF($I77=2,IFBLANK(_xldudf_CX_PUSH(BC77,CX_ENTITY,$B77,BC$11,BC$14,BC$60,),""),IF($I77=3,"",IFBLANK(_xldudf_CX_PUSH(BC77,CX_ENTITY,$B77,BC$11,BC$14,BC$60,),"")))))),"")</f>
        <v/>
      </c>
      <c r="DQ77" s="1883" t="str" cm="1">
        <f t="array" ca="1" aca="1" ref="DQ77">IFERROR(IF(BD77*fxVal_normal=_BS!BD77,"",IF(OR(BD77="",NOT(ISNUMBER(BD77)),ISERROR(BD77),$B77=""),"",IF($I77=1,IFBLANK(_xldudf_CX_PUSH(BD77*fxVal_normal,CX_ENTITY,$B77,BD$11,BD$14,BD$60,),""),IF($I77=2,IFBLANK(_xldudf_CX_PUSH(BD77,CX_ENTITY,$B77,BD$11,BD$14,BD$60,),""),IF($I77=3,"",IFBLANK(_xldudf_CX_PUSH(BD77,CX_ENTITY,$B77,BD$11,BD$14,BD$60,),"")))))),"")</f>
        <v/>
      </c>
      <c r="DR77" s="1883" t="str" cm="1">
        <f t="array" ca="1" aca="1" ref="DR77">IFERROR(IF(BE77*fxVal_normal=_BS!BE77,"",IF(OR(BE77="",NOT(ISNUMBER(BE77)),ISERROR(BE77),$B77=""),"",IF($I77=1,IFBLANK(_xldudf_CX_PUSH(BE77*fxVal_normal,CX_ENTITY,$B77,BE$11,BE$14,BE$60,),""),IF($I77=2,IFBLANK(_xldudf_CX_PUSH(BE77,CX_ENTITY,$B77,BE$11,BE$14,BE$60,),""),IF($I77=3,"",IFBLANK(_xldudf_CX_PUSH(BE77,CX_ENTITY,$B77,BE$11,BE$14,BE$60,),"")))))),"")</f>
        <v/>
      </c>
      <c r="DS77" s="1883" t="str" cm="1">
        <f t="array" ca="1" aca="1" ref="DS77">IFERROR(IF(BF77*fxVal_normal=_BS!BF77,"",IF(OR(BF77="",NOT(ISNUMBER(BF77)),ISERROR(BF77),$B77=""),"",IF($I77=1,IFBLANK(_xldudf_CX_PUSH(BF77*fxVal_normal,CX_ENTITY,$B77,BF$11,BF$14,BF$60,),""),IF($I77=2,IFBLANK(_xldudf_CX_PUSH(BF77,CX_ENTITY,$B77,BF$11,BF$14,BF$60,),""),IF($I77=3,"",IFBLANK(_xldudf_CX_PUSH(BF77,CX_ENTITY,$B77,BF$11,BF$14,BF$60,),"")))))),"")</f>
        <v/>
      </c>
      <c r="DT77" s="1883" t="str" cm="1">
        <f t="array" ca="1" aca="1" ref="DT77">IFERROR(IF(BG77*fxVal_normal=_BS!BG77,"",IF(OR(BG77="",NOT(ISNUMBER(BG77)),ISERROR(BG77),$B77=""),"",IF($I77=1,IFBLANK(_xldudf_CX_PUSH(BG77*fxVal_normal,CX_ENTITY,$B77,BG$11,BG$14,BG$60,),""),IF($I77=2,IFBLANK(_xldudf_CX_PUSH(BG77,CX_ENTITY,$B77,BG$11,BG$14,BG$60,),""),IF($I77=3,"",IFBLANK(_xldudf_CX_PUSH(BG77,CX_ENTITY,$B77,BG$11,BG$14,BG$60,),"")))))),"")</f>
        <v/>
      </c>
      <c r="DU77" s="1883" t="str" cm="1">
        <f t="array" ca="1" aca="1" ref="DU77">IFERROR(IF(BH77*fxVal_normal=_BS!BH77,"",IF(OR(BH77="",NOT(ISNUMBER(BH77)),ISERROR(BH77),$B77=""),"",IF($I77=1,IFBLANK(_xldudf_CX_PUSH(BH77*fxVal_normal,CX_ENTITY,$B77,BH$11,BH$14,BH$60,),""),IF($I77=2,IFBLANK(_xldudf_CX_PUSH(BH77,CX_ENTITY,$B77,BH$11,BH$14,BH$60,),""),IF($I77=3,"",IFBLANK(_xldudf_CX_PUSH(BH77,CX_ENTITY,$B77,BH$11,BH$14,BH$60,),"")))))),"")</f>
        <v/>
      </c>
      <c r="DV77" s="1883" t="str" cm="1">
        <f t="array" ca="1" aca="1" ref="DV77">IFERROR(IF(BI77*fxVal_normal=_BS!BI77,"",IF(OR(BI77="",NOT(ISNUMBER(BI77)),ISERROR(BI77),$B77=""),"",IF($I77=1,IFBLANK(_xldudf_CX_PUSH(BI77*fxVal_normal,CX_ENTITY,$B77,BI$11,BI$14,BI$60,),""),IF($I77=2,IFBLANK(_xldudf_CX_PUSH(BI77,CX_ENTITY,$B77,BI$11,BI$14,BI$60,),""),IF($I77=3,"",IFBLANK(_xldudf_CX_PUSH(BI77,CX_ENTITY,$B77,BI$11,BI$14,BI$60,),"")))))),"")</f>
        <v/>
      </c>
      <c r="DW77" s="1883" t="str" cm="1">
        <f t="array" ca="1" aca="1" ref="DW77">IFERROR(IF(BJ77*fxVal_normal=_BS!BJ77,"",IF(OR(BJ77="",NOT(ISNUMBER(BJ77)),ISERROR(BJ77),$B77=""),"",IF($I77=1,IFBLANK(_xldudf_CX_PUSH(BJ77*fxVal_normal,CX_ENTITY,$B77,BJ$11,BJ$14,BJ$60,),""),IF($I77=2,IFBLANK(_xldudf_CX_PUSH(BJ77,CX_ENTITY,$B77,BJ$11,BJ$14,BJ$60,),""),IF($I77=3,"",IFBLANK(_xldudf_CX_PUSH(BJ77,CX_ENTITY,$B77,BJ$11,BJ$14,BJ$60,),"")))))),"")</f>
        <v/>
      </c>
      <c r="DX77" s="1883" t="str" cm="1">
        <f t="array" ca="1" aca="1" ref="DX77">IFERROR(IF(BK77*fxVal_normal=_BS!BK77,"",IF(OR(BK77="",NOT(ISNUMBER(BK77)),ISERROR(BK77),$B77=""),"",IF($I77=1,IFBLANK(_xldudf_CX_PUSH(BK77*fxVal_normal,CX_ENTITY,$B77,BK$11,BK$14,BK$60,),""),IF($I77=2,IFBLANK(_xldudf_CX_PUSH(BK77,CX_ENTITY,$B77,BK$11,BK$14,BK$60,),""),IF($I77=3,"",IFBLANK(_xldudf_CX_PUSH(BK77,CX_ENTITY,$B77,BK$11,BK$14,BK$60,),"")))))),"")</f>
        <v/>
      </c>
      <c r="DY77" s="1883" t="str" cm="1">
        <f t="array" ca="1" aca="1" ref="DY77">IFERROR(IF(BL77*fxVal_normal=_BS!BL77,"",IF(OR(BL77="",NOT(ISNUMBER(BL77)),ISERROR(BL77),$B77=""),"",IF($I77=1,IFBLANK(_xldudf_CX_PUSH(BL77*fxVal_normal,CX_ENTITY,$B77,BL$11,BL$14,BL$60,),""),IF($I77=2,IFBLANK(_xldudf_CX_PUSH(BL77,CX_ENTITY,$B77,BL$11,BL$14,BL$60,),""),IF($I77=3,"",IFBLANK(_xldudf_CX_PUSH(BL77,CX_ENTITY,$B77,BL$11,BL$14,BL$60,),"")))))),"")</f>
        <v/>
      </c>
      <c r="DZ77" s="1883" t="str" cm="1">
        <f t="array" ca="1" aca="1" ref="DZ77">IFERROR(IF(BM77*fxVal_normal=_BS!BM77,"",IF(OR(BM77="",NOT(ISNUMBER(BM77)),ISERROR(BM77),$B77=""),"",IF($I77=1,IFBLANK(_xldudf_CX_PUSH(BM77*fxVal_normal,CX_ENTITY,$B77,BM$11,BM$14,BM$60,),""),IF($I77=2,IFBLANK(_xldudf_CX_PUSH(BM77,CX_ENTITY,$B77,BM$11,BM$14,BM$60,),""),IF($I77=3,"",IFBLANK(_xldudf_CX_PUSH(BM77,CX_ENTITY,$B77,BM$11,BM$14,BM$60,),"")))))),"")</f>
        <v/>
      </c>
      <c r="EA77" s="1883" t="str" cm="1">
        <f t="array" ca="1" aca="1" ref="EA77">IFERROR(IF(BN77*fxVal_normal=_BS!BN77,"",IF(OR(BN77="",NOT(ISNUMBER(BN77)),ISERROR(BN77),$B77=""),"",IF($I77=1,IFBLANK(_xldudf_CX_PUSH(BN77*fxVal_normal,CX_ENTITY,$B77,BN$11,BN$14,BN$60,),""),IF($I77=2,IFBLANK(_xldudf_CX_PUSH(BN77,CX_ENTITY,$B77,BN$11,BN$14,BN$60,),""),IF($I77=3,"",IFBLANK(_xldudf_CX_PUSH(BN77,CX_ENTITY,$B77,BN$11,BN$14,BN$60,),"")))))),"")</f>
        <v/>
      </c>
    </row>
    <row r="78" spans="1:131" ht="21" customHeight="1">
      <c r="A78" s="1646"/>
      <c r="B78" s="811" t="str" cm="1">
        <f t="array" ref="B78">IFBLANK(_BS!F78,"")</f>
        <v>Drawn RCF</v>
      </c>
      <c r="C78" s="811" t="str" cm="1">
        <f t="array" ref="C78">IFBLANK(_BS!C78,"")</f>
        <v>Drawn RCF (Company View)</v>
      </c>
      <c r="D78" s="1640"/>
      <c r="E78" s="1902" t="e" cm="1">
        <f t="array" ca="1" aca="1" ref="E7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78:$CH78,Z78)</f>
        <v>#NAME?</v>
      </c>
      <c r="F78" s="1897"/>
      <c r="G78" s="1897"/>
      <c r="H78" s="3280">
        <v>1</v>
      </c>
      <c r="I78" s="3280">
        <v>1</v>
      </c>
      <c r="J78" s="401"/>
      <c r="N78" s="158"/>
      <c r="O78" s="101"/>
      <c r="P78" s="52"/>
      <c r="Q78" s="101"/>
      <c r="R78" s="126"/>
      <c r="S78" s="101"/>
      <c r="T78" s="101"/>
      <c r="U78" s="39"/>
      <c r="W78" s="930" t="str">
        <f t="shared" si="18"/>
        <v>Budget</v>
      </c>
      <c r="X78" s="857">
        <f>_BS!X78</f>
        <v>-1</v>
      </c>
      <c r="Y78" s="3230">
        <f t="shared" si="17"/>
        <v>2</v>
      </c>
      <c r="Z78" s="3291" cm="1">
        <f t="array" ref="Z78">_xlfn.SWITCH(TRUE,_BS!$L78=TRUE,1,_BS!$L78=FALSE,-1,_BS!$L78=-1,0,"n/a")</f>
        <v>1</v>
      </c>
      <c r="AA78" s="200"/>
      <c r="AB78" s="88" t="str">
        <f>_BS!AB78</f>
        <v>Drawn RCF</v>
      </c>
      <c r="AC78" s="88" t="e" vm="5" cm="1">
        <f t="array" ca="1" aca="1" ref="AC78">_xlfn.LET(_xlpm._termname,$AB78,_xlpm._iconname,"find",_xlpm._icon,fx_getIcon(_xlpm._iconname),_xlpm._location,_xlfn.XLOOKUP(LOWER(_xlpm._termname),LOWER(tbl_acctDef[Term]),tbl_acctDef[Term]),_xlpm._hyperlink,HYPERLINK("#"&amp;CELL("address",_xlpm._location),_xlpm._icon),IFERROR(_xlpm._hyperlink,""))</f>
        <v>#VALUE!</v>
      </c>
      <c r="AD78" s="3229">
        <v>1</v>
      </c>
      <c r="AE78" s="3229">
        <v>1</v>
      </c>
      <c r="AF78" s="3229">
        <v>1</v>
      </c>
      <c r="AG78" s="3229">
        <v>1</v>
      </c>
      <c r="AH78" s="3229">
        <v>1</v>
      </c>
      <c r="AI78" s="3229">
        <v>1</v>
      </c>
      <c r="AJ78" s="3229">
        <v>1</v>
      </c>
      <c r="AK78" s="3229">
        <v>1</v>
      </c>
      <c r="AL78" s="3229">
        <v>1</v>
      </c>
      <c r="AM78" s="3229">
        <v>1</v>
      </c>
      <c r="AN78" s="3229">
        <v>1</v>
      </c>
      <c r="AO78" s="3229">
        <v>1</v>
      </c>
      <c r="AP78" s="3229">
        <v>1</v>
      </c>
      <c r="AQ78" s="3229">
        <v>1</v>
      </c>
      <c r="AR78" s="3229">
        <v>1</v>
      </c>
      <c r="AS78" s="3229">
        <v>1</v>
      </c>
      <c r="AT78" s="3229">
        <v>1</v>
      </c>
      <c r="AU78" s="3229">
        <v>1</v>
      </c>
      <c r="AV78" s="3229">
        <v>1</v>
      </c>
      <c r="AW78" s="3229">
        <v>1</v>
      </c>
      <c r="AX78" s="3229">
        <v>1</v>
      </c>
      <c r="AY78" s="3229">
        <v>1</v>
      </c>
      <c r="AZ78" s="3229">
        <v>1</v>
      </c>
      <c r="BA78" s="3229">
        <v>1</v>
      </c>
      <c r="BB78" s="3229">
        <v>1</v>
      </c>
      <c r="BC78" s="3229">
        <v>1</v>
      </c>
      <c r="BD78" s="3229">
        <v>1</v>
      </c>
      <c r="BE78" s="3229">
        <v>1</v>
      </c>
      <c r="BF78" s="3229">
        <v>1</v>
      </c>
      <c r="BG78" s="3229">
        <v>1</v>
      </c>
      <c r="BH78" s="3229">
        <v>1</v>
      </c>
      <c r="BI78" s="3229">
        <v>1</v>
      </c>
      <c r="BJ78" s="3229">
        <v>1</v>
      </c>
      <c r="BK78" s="3229">
        <v>1</v>
      </c>
      <c r="BL78" s="3229">
        <v>1</v>
      </c>
      <c r="BM78" s="3229">
        <v>1</v>
      </c>
      <c r="BN78" s="3229">
        <v>1</v>
      </c>
      <c r="BO78" s="2095"/>
      <c r="BP78" s="2095"/>
      <c r="BQ78" s="2095"/>
      <c r="BR78" s="2095"/>
      <c r="BS78" s="2095"/>
      <c r="BT78" s="2095"/>
      <c r="BU78" s="2095"/>
      <c r="BV78" s="2095"/>
      <c r="BW78" s="2095"/>
      <c r="BX78" s="2095"/>
      <c r="BY78" s="2095"/>
      <c r="BZ78" s="2095"/>
      <c r="CA78" s="926"/>
      <c r="CB78" s="921"/>
      <c r="CC78" s="927"/>
      <c r="CD78" s="928" t="e" cm="1">
        <f t="array" ca="1" aca="1" ref="CD78">_xlfn.XLOOKUP(BS!CD$11,array_timeline,BS!$AD78:$BN78)</f>
        <v>#NAME?</v>
      </c>
      <c r="CE78" s="928" t="e" cm="1">
        <f t="array" ca="1" aca="1" ref="CE78">_xlfn.XLOOKUP(BS!CE$11,array_timeline,BS!$AD78:$BN78)</f>
        <v>#NAME?</v>
      </c>
      <c r="CF78" s="925"/>
      <c r="CG78" s="2124" t="e">
        <f t="shared" ca="1" si="16"/>
        <v>#NAME?</v>
      </c>
      <c r="CH78" s="2124" t="e">
        <f t="shared" ca="1" si="16"/>
        <v>#NAME?</v>
      </c>
      <c r="CI78" s="200"/>
      <c r="CQ78" s="1883" t="str" cm="1">
        <f t="array" ca="1" aca="1" ref="CQ78">IFERROR(IF(AD78*fxVal_normal=_BS!AD78,"",IF(OR(AD78="",NOT(ISNUMBER(AD78)),ISERROR(AD78),$B78=""),"",IF($I78=1,IFBLANK(_xldudf_CX_PUSH(AD78*fxVal_normal,CX_ENTITY,$B78,AD$11,AD$14,AD$60,),""),IF($I78=2,IFBLANK(_xldudf_CX_PUSH(AD78,CX_ENTITY,$B78,AD$11,AD$14,AD$60,),""),IF($I78=3,"",IFBLANK(_xldudf_CX_PUSH(AD78,CX_ENTITY,$B78,AD$11,AD$14,AD$60,),"")))))),"")</f>
        <v/>
      </c>
      <c r="CR78" s="1883" t="str" cm="1">
        <f t="array" ca="1" aca="1" ref="CR78">IFERROR(IF(AE78*fxVal_normal=_BS!AE78,"",IF(OR(AE78="",NOT(ISNUMBER(AE78)),ISERROR(AE78),$B78=""),"",IF($I78=1,IFBLANK(_xldudf_CX_PUSH(AE78*fxVal_normal,CX_ENTITY,$B78,AE$11,AE$14,AE$60,),""),IF($I78=2,IFBLANK(_xldudf_CX_PUSH(AE78,CX_ENTITY,$B78,AE$11,AE$14,AE$60,),""),IF($I78=3,"",IFBLANK(_xldudf_CX_PUSH(AE78,CX_ENTITY,$B78,AE$11,AE$14,AE$60,),"")))))),"")</f>
        <v/>
      </c>
      <c r="CS78" s="1883" t="str" cm="1">
        <f t="array" ca="1" aca="1" ref="CS78">IFERROR(IF(AF78*fxVal_normal=_BS!AF78,"",IF(OR(AF78="",NOT(ISNUMBER(AF78)),ISERROR(AF78),$B78=""),"",IF($I78=1,IFBLANK(_xldudf_CX_PUSH(AF78*fxVal_normal,CX_ENTITY,$B78,AF$11,AF$14,AF$60,),""),IF($I78=2,IFBLANK(_xldudf_CX_PUSH(AF78,CX_ENTITY,$B78,AF$11,AF$14,AF$60,),""),IF($I78=3,"",IFBLANK(_xldudf_CX_PUSH(AF78,CX_ENTITY,$B78,AF$11,AF$14,AF$60,),"")))))),"")</f>
        <v/>
      </c>
      <c r="CT78" s="1883" t="str" cm="1">
        <f t="array" ca="1" aca="1" ref="CT78">IFERROR(IF(AG78*fxVal_normal=_BS!AG78,"",IF(OR(AG78="",NOT(ISNUMBER(AG78)),ISERROR(AG78),$B78=""),"",IF($I78=1,IFBLANK(_xldudf_CX_PUSH(AG78*fxVal_normal,CX_ENTITY,$B78,AG$11,AG$14,AG$60,),""),IF($I78=2,IFBLANK(_xldudf_CX_PUSH(AG78,CX_ENTITY,$B78,AG$11,AG$14,AG$60,),""),IF($I78=3,"",IFBLANK(_xldudf_CX_PUSH(AG78,CX_ENTITY,$B78,AG$11,AG$14,AG$60,),"")))))),"")</f>
        <v/>
      </c>
      <c r="CU78" s="1883" t="str" cm="1">
        <f t="array" ca="1" aca="1" ref="CU78">IFERROR(IF(AH78*fxVal_normal=_BS!AH78,"",IF(OR(AH78="",NOT(ISNUMBER(AH78)),ISERROR(AH78),$B78=""),"",IF($I78=1,IFBLANK(_xldudf_CX_PUSH(AH78*fxVal_normal,CX_ENTITY,$B78,AH$11,AH$14,AH$60,),""),IF($I78=2,IFBLANK(_xldudf_CX_PUSH(AH78,CX_ENTITY,$B78,AH$11,AH$14,AH$60,),""),IF($I78=3,"",IFBLANK(_xldudf_CX_PUSH(AH78,CX_ENTITY,$B78,AH$11,AH$14,AH$60,),"")))))),"")</f>
        <v/>
      </c>
      <c r="CV78" s="1883" t="str" cm="1">
        <f t="array" ca="1" aca="1" ref="CV78">IFERROR(IF(AI78*fxVal_normal=_BS!AI78,"",IF(OR(AI78="",NOT(ISNUMBER(AI78)),ISERROR(AI78),$B78=""),"",IF($I78=1,IFBLANK(_xldudf_CX_PUSH(AI78*fxVal_normal,CX_ENTITY,$B78,AI$11,AI$14,AI$60,),""),IF($I78=2,IFBLANK(_xldudf_CX_PUSH(AI78,CX_ENTITY,$B78,AI$11,AI$14,AI$60,),""),IF($I78=3,"",IFBLANK(_xldudf_CX_PUSH(AI78,CX_ENTITY,$B78,AI$11,AI$14,AI$60,),"")))))),"")</f>
        <v/>
      </c>
      <c r="CW78" s="1883" t="str" cm="1">
        <f t="array" ca="1" aca="1" ref="CW78">IFERROR(IF(AJ78*fxVal_normal=_BS!AJ78,"",IF(OR(AJ78="",NOT(ISNUMBER(AJ78)),ISERROR(AJ78),$B78=""),"",IF($I78=1,IFBLANK(_xldudf_CX_PUSH(AJ78*fxVal_normal,CX_ENTITY,$B78,AJ$11,AJ$14,AJ$60,),""),IF($I78=2,IFBLANK(_xldudf_CX_PUSH(AJ78,CX_ENTITY,$B78,AJ$11,AJ$14,AJ$60,),""),IF($I78=3,"",IFBLANK(_xldudf_CX_PUSH(AJ78,CX_ENTITY,$B78,AJ$11,AJ$14,AJ$60,),"")))))),"")</f>
        <v/>
      </c>
      <c r="CX78" s="1883" t="str" cm="1">
        <f t="array" ca="1" aca="1" ref="CX78">IFERROR(IF(AK78*fxVal_normal=_BS!AK78,"",IF(OR(AK78="",NOT(ISNUMBER(AK78)),ISERROR(AK78),$B78=""),"",IF($I78=1,IFBLANK(_xldudf_CX_PUSH(AK78*fxVal_normal,CX_ENTITY,$B78,AK$11,AK$14,AK$60,),""),IF($I78=2,IFBLANK(_xldudf_CX_PUSH(AK78,CX_ENTITY,$B78,AK$11,AK$14,AK$60,),""),IF($I78=3,"",IFBLANK(_xldudf_CX_PUSH(AK78,CX_ENTITY,$B78,AK$11,AK$14,AK$60,),"")))))),"")</f>
        <v/>
      </c>
      <c r="CY78" s="1883" t="str" cm="1">
        <f t="array" ca="1" aca="1" ref="CY78">IFERROR(IF(AL78*fxVal_normal=_BS!AL78,"",IF(OR(AL78="",NOT(ISNUMBER(AL78)),ISERROR(AL78),$B78=""),"",IF($I78=1,IFBLANK(_xldudf_CX_PUSH(AL78*fxVal_normal,CX_ENTITY,$B78,AL$11,AL$14,AL$60,),""),IF($I78=2,IFBLANK(_xldudf_CX_PUSH(AL78,CX_ENTITY,$B78,AL$11,AL$14,AL$60,),""),IF($I78=3,"",IFBLANK(_xldudf_CX_PUSH(AL78,CX_ENTITY,$B78,AL$11,AL$14,AL$60,),"")))))),"")</f>
        <v/>
      </c>
      <c r="CZ78" s="1883" t="str" cm="1">
        <f t="array" ca="1" aca="1" ref="CZ78">IFERROR(IF(AM78*fxVal_normal=_BS!AM78,"",IF(OR(AM78="",NOT(ISNUMBER(AM78)),ISERROR(AM78),$B78=""),"",IF($I78=1,IFBLANK(_xldudf_CX_PUSH(AM78*fxVal_normal,CX_ENTITY,$B78,AM$11,AM$14,AM$60,),""),IF($I78=2,IFBLANK(_xldudf_CX_PUSH(AM78,CX_ENTITY,$B78,AM$11,AM$14,AM$60,),""),IF($I78=3,"",IFBLANK(_xldudf_CX_PUSH(AM78,CX_ENTITY,$B78,AM$11,AM$14,AM$60,),"")))))),"")</f>
        <v/>
      </c>
      <c r="DA78" s="1883" t="str" cm="1">
        <f t="array" ca="1" aca="1" ref="DA78">IFERROR(IF(AN78*fxVal_normal=_BS!AN78,"",IF(OR(AN78="",NOT(ISNUMBER(AN78)),ISERROR(AN78),$B78=""),"",IF($I78=1,IFBLANK(_xldudf_CX_PUSH(AN78*fxVal_normal,CX_ENTITY,$B78,AN$11,AN$14,AN$60,),""),IF($I78=2,IFBLANK(_xldudf_CX_PUSH(AN78,CX_ENTITY,$B78,AN$11,AN$14,AN$60,),""),IF($I78=3,"",IFBLANK(_xldudf_CX_PUSH(AN78,CX_ENTITY,$B78,AN$11,AN$14,AN$60,),"")))))),"")</f>
        <v/>
      </c>
      <c r="DB78" s="1883" t="str" cm="1">
        <f t="array" ca="1" aca="1" ref="DB78">IFERROR(IF(AO78*fxVal_normal=_BS!AO78,"",IF(OR(AO78="",NOT(ISNUMBER(AO78)),ISERROR(AO78),$B78=""),"",IF($I78=1,IFBLANK(_xldudf_CX_PUSH(AO78*fxVal_normal,CX_ENTITY,$B78,AO$11,AO$14,AO$60,),""),IF($I78=2,IFBLANK(_xldudf_CX_PUSH(AO78,CX_ENTITY,$B78,AO$11,AO$14,AO$60,),""),IF($I78=3,"",IFBLANK(_xldudf_CX_PUSH(AO78,CX_ENTITY,$B78,AO$11,AO$14,AO$60,),"")))))),"")</f>
        <v/>
      </c>
      <c r="DC78" s="1883" t="str" cm="1">
        <f t="array" ca="1" aca="1" ref="DC78">IFERROR(IF(AP78*fxVal_normal=_BS!AP78,"",IF(OR(AP78="",NOT(ISNUMBER(AP78)),ISERROR(AP78),$B78=""),"",IF($I78=1,IFBLANK(_xldudf_CX_PUSH(AP78*fxVal_normal,CX_ENTITY,$B78,AP$11,AP$14,AP$60,),""),IF($I78=2,IFBLANK(_xldudf_CX_PUSH(AP78,CX_ENTITY,$B78,AP$11,AP$14,AP$60,),""),IF($I78=3,"",IFBLANK(_xldudf_CX_PUSH(AP78,CX_ENTITY,$B78,AP$11,AP$14,AP$60,),"")))))),"")</f>
        <v/>
      </c>
      <c r="DD78" s="1883" t="str" cm="1">
        <f t="array" ca="1" aca="1" ref="DD78">IFERROR(IF(AQ78*fxVal_normal=_BS!AQ78,"",IF(OR(AQ78="",NOT(ISNUMBER(AQ78)),ISERROR(AQ78),$B78=""),"",IF($I78=1,IFBLANK(_xldudf_CX_PUSH(AQ78*fxVal_normal,CX_ENTITY,$B78,AQ$11,AQ$14,AQ$60,),""),IF($I78=2,IFBLANK(_xldudf_CX_PUSH(AQ78,CX_ENTITY,$B78,AQ$11,AQ$14,AQ$60,),""),IF($I78=3,"",IFBLANK(_xldudf_CX_PUSH(AQ78,CX_ENTITY,$B78,AQ$11,AQ$14,AQ$60,),"")))))),"")</f>
        <v/>
      </c>
      <c r="DE78" s="1883" t="str" cm="1">
        <f t="array" ca="1" aca="1" ref="DE78">IFERROR(IF(AR78*fxVal_normal=_BS!AR78,"",IF(OR(AR78="",NOT(ISNUMBER(AR78)),ISERROR(AR78),$B78=""),"",IF($I78=1,IFBLANK(_xldudf_CX_PUSH(AR78*fxVal_normal,CX_ENTITY,$B78,AR$11,AR$14,AR$60,),""),IF($I78=2,IFBLANK(_xldudf_CX_PUSH(AR78,CX_ENTITY,$B78,AR$11,AR$14,AR$60,),""),IF($I78=3,"",IFBLANK(_xldudf_CX_PUSH(AR78,CX_ENTITY,$B78,AR$11,AR$14,AR$60,),"")))))),"")</f>
        <v/>
      </c>
      <c r="DF78" s="1883" t="str" cm="1">
        <f t="array" ca="1" aca="1" ref="DF78">IFERROR(IF(AS78*fxVal_normal=_BS!AS78,"",IF(OR(AS78="",NOT(ISNUMBER(AS78)),ISERROR(AS78),$B78=""),"",IF($I78=1,IFBLANK(_xldudf_CX_PUSH(AS78*fxVal_normal,CX_ENTITY,$B78,AS$11,AS$14,AS$60,),""),IF($I78=2,IFBLANK(_xldudf_CX_PUSH(AS78,CX_ENTITY,$B78,AS$11,AS$14,AS$60,),""),IF($I78=3,"",IFBLANK(_xldudf_CX_PUSH(AS78,CX_ENTITY,$B78,AS$11,AS$14,AS$60,),"")))))),"")</f>
        <v/>
      </c>
      <c r="DG78" s="1883" t="str" cm="1">
        <f t="array" ca="1" aca="1" ref="DG78">IFERROR(IF(AT78*fxVal_normal=_BS!AT78,"",IF(OR(AT78="",NOT(ISNUMBER(AT78)),ISERROR(AT78),$B78=""),"",IF($I78=1,IFBLANK(_xldudf_CX_PUSH(AT78*fxVal_normal,CX_ENTITY,$B78,AT$11,AT$14,AT$60,),""),IF($I78=2,IFBLANK(_xldudf_CX_PUSH(AT78,CX_ENTITY,$B78,AT$11,AT$14,AT$60,),""),IF($I78=3,"",IFBLANK(_xldudf_CX_PUSH(AT78,CX_ENTITY,$B78,AT$11,AT$14,AT$60,),"")))))),"")</f>
        <v/>
      </c>
      <c r="DH78" s="1883" t="str" cm="1">
        <f t="array" ca="1" aca="1" ref="DH78">IFERROR(IF(AU78*fxVal_normal=_BS!AU78,"",IF(OR(AU78="",NOT(ISNUMBER(AU78)),ISERROR(AU78),$B78=""),"",IF($I78=1,IFBLANK(_xldudf_CX_PUSH(AU78*fxVal_normal,CX_ENTITY,$B78,AU$11,AU$14,AU$60,),""),IF($I78=2,IFBLANK(_xldudf_CX_PUSH(AU78,CX_ENTITY,$B78,AU$11,AU$14,AU$60,),""),IF($I78=3,"",IFBLANK(_xldudf_CX_PUSH(AU78,CX_ENTITY,$B78,AU$11,AU$14,AU$60,),"")))))),"")</f>
        <v/>
      </c>
      <c r="DI78" s="1883" t="str" cm="1">
        <f t="array" ca="1" aca="1" ref="DI78">IFERROR(IF(AV78*fxVal_normal=_BS!AV78,"",IF(OR(AV78="",NOT(ISNUMBER(AV78)),ISERROR(AV78),$B78=""),"",IF($I78=1,IFBLANK(_xldudf_CX_PUSH(AV78*fxVal_normal,CX_ENTITY,$B78,AV$11,AV$14,AV$60,),""),IF($I78=2,IFBLANK(_xldudf_CX_PUSH(AV78,CX_ENTITY,$B78,AV$11,AV$14,AV$60,),""),IF($I78=3,"",IFBLANK(_xldudf_CX_PUSH(AV78,CX_ENTITY,$B78,AV$11,AV$14,AV$60,),"")))))),"")</f>
        <v/>
      </c>
      <c r="DJ78" s="1883" t="str" cm="1">
        <f t="array" ca="1" aca="1" ref="DJ78">IFERROR(IF(AW78*fxVal_normal=_BS!AW78,"",IF(OR(AW78="",NOT(ISNUMBER(AW78)),ISERROR(AW78),$B78=""),"",IF($I78=1,IFBLANK(_xldudf_CX_PUSH(AW78*fxVal_normal,CX_ENTITY,$B78,AW$11,AW$14,AW$60,),""),IF($I78=2,IFBLANK(_xldudf_CX_PUSH(AW78,CX_ENTITY,$B78,AW$11,AW$14,AW$60,),""),IF($I78=3,"",IFBLANK(_xldudf_CX_PUSH(AW78,CX_ENTITY,$B78,AW$11,AW$14,AW$60,),"")))))),"")</f>
        <v/>
      </c>
      <c r="DK78" s="1883" t="str" cm="1">
        <f t="array" ca="1" aca="1" ref="DK78">IFERROR(IF(AX78*fxVal_normal=_BS!AX78,"",IF(OR(AX78="",NOT(ISNUMBER(AX78)),ISERROR(AX78),$B78=""),"",IF($I78=1,IFBLANK(_xldudf_CX_PUSH(AX78*fxVal_normal,CX_ENTITY,$B78,AX$11,AX$14,AX$60,),""),IF($I78=2,IFBLANK(_xldudf_CX_PUSH(AX78,CX_ENTITY,$B78,AX$11,AX$14,AX$60,),""),IF($I78=3,"",IFBLANK(_xldudf_CX_PUSH(AX78,CX_ENTITY,$B78,AX$11,AX$14,AX$60,),"")))))),"")</f>
        <v/>
      </c>
      <c r="DL78" s="1883" t="str" cm="1">
        <f t="array" ca="1" aca="1" ref="DL78">IFERROR(IF(AY78*fxVal_normal=_BS!AY78,"",IF(OR(AY78="",NOT(ISNUMBER(AY78)),ISERROR(AY78),$B78=""),"",IF($I78=1,IFBLANK(_xldudf_CX_PUSH(AY78*fxVal_normal,CX_ENTITY,$B78,AY$11,AY$14,AY$60,),""),IF($I78=2,IFBLANK(_xldudf_CX_PUSH(AY78,CX_ENTITY,$B78,AY$11,AY$14,AY$60,),""),IF($I78=3,"",IFBLANK(_xldudf_CX_PUSH(AY78,CX_ENTITY,$B78,AY$11,AY$14,AY$60,),"")))))),"")</f>
        <v/>
      </c>
      <c r="DM78" s="1883" t="str" cm="1">
        <f t="array" ca="1" aca="1" ref="DM78">IFERROR(IF(AZ78*fxVal_normal=_BS!AZ78,"",IF(OR(AZ78="",NOT(ISNUMBER(AZ78)),ISERROR(AZ78),$B78=""),"",IF($I78=1,IFBLANK(_xldudf_CX_PUSH(AZ78*fxVal_normal,CX_ENTITY,$B78,AZ$11,AZ$14,AZ$60,),""),IF($I78=2,IFBLANK(_xldudf_CX_PUSH(AZ78,CX_ENTITY,$B78,AZ$11,AZ$14,AZ$60,),""),IF($I78=3,"",IFBLANK(_xldudf_CX_PUSH(AZ78,CX_ENTITY,$B78,AZ$11,AZ$14,AZ$60,),"")))))),"")</f>
        <v/>
      </c>
      <c r="DN78" s="1883" t="str" cm="1">
        <f t="array" ca="1" aca="1" ref="DN78">IFERROR(IF(BA78*fxVal_normal=_BS!BA78,"",IF(OR(BA78="",NOT(ISNUMBER(BA78)),ISERROR(BA78),$B78=""),"",IF($I78=1,IFBLANK(_xldudf_CX_PUSH(BA78*fxVal_normal,CX_ENTITY,$B78,BA$11,BA$14,BA$60,),""),IF($I78=2,IFBLANK(_xldudf_CX_PUSH(BA78,CX_ENTITY,$B78,BA$11,BA$14,BA$60,),""),IF($I78=3,"",IFBLANK(_xldudf_CX_PUSH(BA78,CX_ENTITY,$B78,BA$11,BA$14,BA$60,),"")))))),"")</f>
        <v/>
      </c>
      <c r="DO78" s="1883" t="str" cm="1">
        <f t="array" ca="1" aca="1" ref="DO78">IFERROR(IF(BB78*fxVal_normal=_BS!BB78,"",IF(OR(BB78="",NOT(ISNUMBER(BB78)),ISERROR(BB78),$B78=""),"",IF($I78=1,IFBLANK(_xldudf_CX_PUSH(BB78*fxVal_normal,CX_ENTITY,$B78,BB$11,BB$14,BB$60,),""),IF($I78=2,IFBLANK(_xldudf_CX_PUSH(BB78,CX_ENTITY,$B78,BB$11,BB$14,BB$60,),""),IF($I78=3,"",IFBLANK(_xldudf_CX_PUSH(BB78,CX_ENTITY,$B78,BB$11,BB$14,BB$60,),"")))))),"")</f>
        <v/>
      </c>
      <c r="DP78" s="1883" t="str" cm="1">
        <f t="array" ca="1" aca="1" ref="DP78">IFERROR(IF(BC78*fxVal_normal=_BS!BC78,"",IF(OR(BC78="",NOT(ISNUMBER(BC78)),ISERROR(BC78),$B78=""),"",IF($I78=1,IFBLANK(_xldudf_CX_PUSH(BC78*fxVal_normal,CX_ENTITY,$B78,BC$11,BC$14,BC$60,),""),IF($I78=2,IFBLANK(_xldudf_CX_PUSH(BC78,CX_ENTITY,$B78,BC$11,BC$14,BC$60,),""),IF($I78=3,"",IFBLANK(_xldudf_CX_PUSH(BC78,CX_ENTITY,$B78,BC$11,BC$14,BC$60,),"")))))),"")</f>
        <v/>
      </c>
      <c r="DQ78" s="1883" t="str" cm="1">
        <f t="array" ca="1" aca="1" ref="DQ78">IFERROR(IF(BD78*fxVal_normal=_BS!BD78,"",IF(OR(BD78="",NOT(ISNUMBER(BD78)),ISERROR(BD78),$B78=""),"",IF($I78=1,IFBLANK(_xldudf_CX_PUSH(BD78*fxVal_normal,CX_ENTITY,$B78,BD$11,BD$14,BD$60,),""),IF($I78=2,IFBLANK(_xldudf_CX_PUSH(BD78,CX_ENTITY,$B78,BD$11,BD$14,BD$60,),""),IF($I78=3,"",IFBLANK(_xldudf_CX_PUSH(BD78,CX_ENTITY,$B78,BD$11,BD$14,BD$60,),"")))))),"")</f>
        <v/>
      </c>
      <c r="DR78" s="1883" t="str" cm="1">
        <f t="array" ca="1" aca="1" ref="DR78">IFERROR(IF(BE78*fxVal_normal=_BS!BE78,"",IF(OR(BE78="",NOT(ISNUMBER(BE78)),ISERROR(BE78),$B78=""),"",IF($I78=1,IFBLANK(_xldudf_CX_PUSH(BE78*fxVal_normal,CX_ENTITY,$B78,BE$11,BE$14,BE$60,),""),IF($I78=2,IFBLANK(_xldudf_CX_PUSH(BE78,CX_ENTITY,$B78,BE$11,BE$14,BE$60,),""),IF($I78=3,"",IFBLANK(_xldudf_CX_PUSH(BE78,CX_ENTITY,$B78,BE$11,BE$14,BE$60,),"")))))),"")</f>
        <v/>
      </c>
      <c r="DS78" s="1883" t="str" cm="1">
        <f t="array" ca="1" aca="1" ref="DS78">IFERROR(IF(BF78*fxVal_normal=_BS!BF78,"",IF(OR(BF78="",NOT(ISNUMBER(BF78)),ISERROR(BF78),$B78=""),"",IF($I78=1,IFBLANK(_xldudf_CX_PUSH(BF78*fxVal_normal,CX_ENTITY,$B78,BF$11,BF$14,BF$60,),""),IF($I78=2,IFBLANK(_xldudf_CX_PUSH(BF78,CX_ENTITY,$B78,BF$11,BF$14,BF$60,),""),IF($I78=3,"",IFBLANK(_xldudf_CX_PUSH(BF78,CX_ENTITY,$B78,BF$11,BF$14,BF$60,),"")))))),"")</f>
        <v/>
      </c>
      <c r="DT78" s="1883" t="str" cm="1">
        <f t="array" ca="1" aca="1" ref="DT78">IFERROR(IF(BG78*fxVal_normal=_BS!BG78,"",IF(OR(BG78="",NOT(ISNUMBER(BG78)),ISERROR(BG78),$B78=""),"",IF($I78=1,IFBLANK(_xldudf_CX_PUSH(BG78*fxVal_normal,CX_ENTITY,$B78,BG$11,BG$14,BG$60,),""),IF($I78=2,IFBLANK(_xldudf_CX_PUSH(BG78,CX_ENTITY,$B78,BG$11,BG$14,BG$60,),""),IF($I78=3,"",IFBLANK(_xldudf_CX_PUSH(BG78,CX_ENTITY,$B78,BG$11,BG$14,BG$60,),"")))))),"")</f>
        <v/>
      </c>
      <c r="DU78" s="1883" t="str" cm="1">
        <f t="array" ca="1" aca="1" ref="DU78">IFERROR(IF(BH78*fxVal_normal=_BS!BH78,"",IF(OR(BH78="",NOT(ISNUMBER(BH78)),ISERROR(BH78),$B78=""),"",IF($I78=1,IFBLANK(_xldudf_CX_PUSH(BH78*fxVal_normal,CX_ENTITY,$B78,BH$11,BH$14,BH$60,),""),IF($I78=2,IFBLANK(_xldudf_CX_PUSH(BH78,CX_ENTITY,$B78,BH$11,BH$14,BH$60,),""),IF($I78=3,"",IFBLANK(_xldudf_CX_PUSH(BH78,CX_ENTITY,$B78,BH$11,BH$14,BH$60,),"")))))),"")</f>
        <v/>
      </c>
      <c r="DV78" s="1883" t="str" cm="1">
        <f t="array" ca="1" aca="1" ref="DV78">IFERROR(IF(BI78*fxVal_normal=_BS!BI78,"",IF(OR(BI78="",NOT(ISNUMBER(BI78)),ISERROR(BI78),$B78=""),"",IF($I78=1,IFBLANK(_xldudf_CX_PUSH(BI78*fxVal_normal,CX_ENTITY,$B78,BI$11,BI$14,BI$60,),""),IF($I78=2,IFBLANK(_xldudf_CX_PUSH(BI78,CX_ENTITY,$B78,BI$11,BI$14,BI$60,),""),IF($I78=3,"",IFBLANK(_xldudf_CX_PUSH(BI78,CX_ENTITY,$B78,BI$11,BI$14,BI$60,),"")))))),"")</f>
        <v/>
      </c>
      <c r="DW78" s="1883" t="str" cm="1">
        <f t="array" ca="1" aca="1" ref="DW78">IFERROR(IF(BJ78*fxVal_normal=_BS!BJ78,"",IF(OR(BJ78="",NOT(ISNUMBER(BJ78)),ISERROR(BJ78),$B78=""),"",IF($I78=1,IFBLANK(_xldudf_CX_PUSH(BJ78*fxVal_normal,CX_ENTITY,$B78,BJ$11,BJ$14,BJ$60,),""),IF($I78=2,IFBLANK(_xldudf_CX_PUSH(BJ78,CX_ENTITY,$B78,BJ$11,BJ$14,BJ$60,),""),IF($I78=3,"",IFBLANK(_xldudf_CX_PUSH(BJ78,CX_ENTITY,$B78,BJ$11,BJ$14,BJ$60,),"")))))),"")</f>
        <v/>
      </c>
      <c r="DX78" s="1883" t="str" cm="1">
        <f t="array" ca="1" aca="1" ref="DX78">IFERROR(IF(BK78*fxVal_normal=_BS!BK78,"",IF(OR(BK78="",NOT(ISNUMBER(BK78)),ISERROR(BK78),$B78=""),"",IF($I78=1,IFBLANK(_xldudf_CX_PUSH(BK78*fxVal_normal,CX_ENTITY,$B78,BK$11,BK$14,BK$60,),""),IF($I78=2,IFBLANK(_xldudf_CX_PUSH(BK78,CX_ENTITY,$B78,BK$11,BK$14,BK$60,),""),IF($I78=3,"",IFBLANK(_xldudf_CX_PUSH(BK78,CX_ENTITY,$B78,BK$11,BK$14,BK$60,),"")))))),"")</f>
        <v/>
      </c>
      <c r="DY78" s="1883" t="str" cm="1">
        <f t="array" ca="1" aca="1" ref="DY78">IFERROR(IF(BL78*fxVal_normal=_BS!BL78,"",IF(OR(BL78="",NOT(ISNUMBER(BL78)),ISERROR(BL78),$B78=""),"",IF($I78=1,IFBLANK(_xldudf_CX_PUSH(BL78*fxVal_normal,CX_ENTITY,$B78,BL$11,BL$14,BL$60,),""),IF($I78=2,IFBLANK(_xldudf_CX_PUSH(BL78,CX_ENTITY,$B78,BL$11,BL$14,BL$60,),""),IF($I78=3,"",IFBLANK(_xldudf_CX_PUSH(BL78,CX_ENTITY,$B78,BL$11,BL$14,BL$60,),"")))))),"")</f>
        <v/>
      </c>
      <c r="DZ78" s="1883" t="str" cm="1">
        <f t="array" ca="1" aca="1" ref="DZ78">IFERROR(IF(BM78*fxVal_normal=_BS!BM78,"",IF(OR(BM78="",NOT(ISNUMBER(BM78)),ISERROR(BM78),$B78=""),"",IF($I78=1,IFBLANK(_xldudf_CX_PUSH(BM78*fxVal_normal,CX_ENTITY,$B78,BM$11,BM$14,BM$60,),""),IF($I78=2,IFBLANK(_xldudf_CX_PUSH(BM78,CX_ENTITY,$B78,BM$11,BM$14,BM$60,),""),IF($I78=3,"",IFBLANK(_xldudf_CX_PUSH(BM78,CX_ENTITY,$B78,BM$11,BM$14,BM$60,),"")))))),"")</f>
        <v/>
      </c>
      <c r="EA78" s="1883" t="str" cm="1">
        <f t="array" ca="1" aca="1" ref="EA78">IFERROR(IF(BN78*fxVal_normal=_BS!BN78,"",IF(OR(BN78="",NOT(ISNUMBER(BN78)),ISERROR(BN78),$B78=""),"",IF($I78=1,IFBLANK(_xldudf_CX_PUSH(BN78*fxVal_normal,CX_ENTITY,$B78,BN$11,BN$14,BN$60,),""),IF($I78=2,IFBLANK(_xldudf_CX_PUSH(BN78,CX_ENTITY,$B78,BN$11,BN$14,BN$60,),""),IF($I78=3,"",IFBLANK(_xldudf_CX_PUSH(BN78,CX_ENTITY,$B78,BN$11,BN$14,BN$60,),"")))))),"")</f>
        <v/>
      </c>
    </row>
    <row r="79" spans="1:131" ht="21" customHeight="1">
      <c r="A79" s="1646"/>
      <c r="B79" s="811" t="str" cm="1">
        <f t="array" ref="B79">IFBLANK(_BS!F79,"")</f>
        <v>Gross External Debt</v>
      </c>
      <c r="C79" s="811" t="str" cm="1">
        <f t="array" ref="C79">IFBLANK(_BS!C79,"")</f>
        <v>Gross External Debt (Company View)</v>
      </c>
      <c r="D79" s="1640"/>
      <c r="E79" s="1902" t="e" cm="1">
        <f t="array" ca="1" aca="1" ref="E7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79:$CH79,Z79)</f>
        <v>#NAME?</v>
      </c>
      <c r="F79" s="1897"/>
      <c r="G79" s="1897"/>
      <c r="H79" s="3280">
        <v>2</v>
      </c>
      <c r="I79" s="3280">
        <v>1</v>
      </c>
      <c r="J79" s="401"/>
      <c r="L79" s="921"/>
      <c r="M79" s="921"/>
      <c r="N79" s="158"/>
      <c r="O79" s="101"/>
      <c r="P79" s="52"/>
      <c r="Q79" s="101"/>
      <c r="R79" s="101"/>
      <c r="S79" s="101"/>
      <c r="T79" s="101"/>
      <c r="U79" s="39"/>
      <c r="V79" s="921"/>
      <c r="W79" s="1291" t="str">
        <f t="shared" si="18"/>
        <v>Budget</v>
      </c>
      <c r="X79" s="1294">
        <f>_BS!X79</f>
        <v>0</v>
      </c>
      <c r="Y79" s="1593" t="str">
        <f t="shared" si="17"/>
        <v>Gross External Debt</v>
      </c>
      <c r="Z79" s="198" cm="1">
        <f t="array" ref="Z79">_xlfn.SWITCH(TRUE,_BS!$L79=TRUE,1,_BS!$L79=FALSE,-1,_BS!$L79=-1,0,"n/a")</f>
        <v>0</v>
      </c>
      <c r="AA79" s="924"/>
      <c r="AB79" s="88" t="str">
        <f>_BS!AB79</f>
        <v>Gross External Debt</v>
      </c>
      <c r="AC79" s="88" t="e" vm="5" cm="1">
        <f t="array" ca="1" aca="1" ref="AC79">_xlfn.LET(_xlpm._termname,$AB79,_xlpm._iconname,"find",_xlpm._icon,fx_getIcon(_xlpm._iconname),_xlpm._location,_xlfn.XLOOKUP(LOWER(_xlpm._termname),LOWER(tbl_acctDef[Term]),tbl_acctDef[Term]),_xlpm._hyperlink,HYPERLINK("#"&amp;CELL("address",_xlpm._location),_xlpm._icon),IFERROR(_xlpm._hyperlink,""))</f>
        <v>#VALUE!</v>
      </c>
      <c r="AD79" s="919">
        <f t="shared" si="23" ref="AD79:BN79">SUBTOTAL(9,AD72:AD78)</f>
        <v>6</v>
      </c>
      <c r="AE79" s="919">
        <f t="shared" si="23"/>
        <v>6</v>
      </c>
      <c r="AF79" s="919">
        <f t="shared" si="23"/>
        <v>6</v>
      </c>
      <c r="AG79" s="919">
        <f t="shared" si="23"/>
        <v>6</v>
      </c>
      <c r="AH79" s="919">
        <f t="shared" si="23"/>
        <v>6</v>
      </c>
      <c r="AI79" s="919">
        <f t="shared" si="23"/>
        <v>6</v>
      </c>
      <c r="AJ79" s="919">
        <f t="shared" si="23"/>
        <v>6</v>
      </c>
      <c r="AK79" s="919">
        <f t="shared" si="23"/>
        <v>6</v>
      </c>
      <c r="AL79" s="919">
        <f t="shared" si="23"/>
        <v>6</v>
      </c>
      <c r="AM79" s="919">
        <f t="shared" si="23"/>
        <v>6</v>
      </c>
      <c r="AN79" s="919">
        <f t="shared" si="23"/>
        <v>6</v>
      </c>
      <c r="AO79" s="919">
        <f t="shared" si="23"/>
        <v>6</v>
      </c>
      <c r="AP79" s="919">
        <f t="shared" si="23"/>
        <v>6</v>
      </c>
      <c r="AQ79" s="919">
        <f t="shared" si="23"/>
        <v>6</v>
      </c>
      <c r="AR79" s="919">
        <f t="shared" si="23"/>
        <v>6</v>
      </c>
      <c r="AS79" s="919">
        <f t="shared" si="23"/>
        <v>6</v>
      </c>
      <c r="AT79" s="919">
        <f t="shared" si="23"/>
        <v>6</v>
      </c>
      <c r="AU79" s="919">
        <f t="shared" si="23"/>
        <v>6</v>
      </c>
      <c r="AV79" s="919">
        <f t="shared" si="23"/>
        <v>6</v>
      </c>
      <c r="AW79" s="919">
        <f t="shared" si="23"/>
        <v>6</v>
      </c>
      <c r="AX79" s="919">
        <f t="shared" si="23"/>
        <v>6</v>
      </c>
      <c r="AY79" s="919">
        <f t="shared" si="23"/>
        <v>6</v>
      </c>
      <c r="AZ79" s="919">
        <f t="shared" si="23"/>
        <v>6</v>
      </c>
      <c r="BA79" s="919">
        <f t="shared" si="23"/>
        <v>6</v>
      </c>
      <c r="BB79" s="919">
        <f t="shared" si="23"/>
        <v>6</v>
      </c>
      <c r="BC79" s="919">
        <f t="shared" si="23"/>
        <v>6</v>
      </c>
      <c r="BD79" s="919">
        <f t="shared" si="23"/>
        <v>6</v>
      </c>
      <c r="BE79" s="919">
        <f t="shared" si="23"/>
        <v>6</v>
      </c>
      <c r="BF79" s="919">
        <f t="shared" si="23"/>
        <v>6</v>
      </c>
      <c r="BG79" s="919">
        <f t="shared" si="23"/>
        <v>6</v>
      </c>
      <c r="BH79" s="919">
        <f t="shared" si="23"/>
        <v>6</v>
      </c>
      <c r="BI79" s="919">
        <f t="shared" si="23"/>
        <v>6</v>
      </c>
      <c r="BJ79" s="919">
        <f t="shared" si="23"/>
        <v>6</v>
      </c>
      <c r="BK79" s="919">
        <f t="shared" si="23"/>
        <v>6</v>
      </c>
      <c r="BL79" s="919">
        <f t="shared" si="23"/>
        <v>6</v>
      </c>
      <c r="BM79" s="919">
        <f t="shared" si="23"/>
        <v>6</v>
      </c>
      <c r="BN79" s="919">
        <f t="shared" si="23"/>
        <v>6</v>
      </c>
      <c r="BO79" s="2117"/>
      <c r="BP79" s="2117"/>
      <c r="BQ79" s="2117"/>
      <c r="BR79" s="2117"/>
      <c r="BS79" s="2117"/>
      <c r="BT79" s="2117"/>
      <c r="BU79" s="2117"/>
      <c r="BV79" s="2117"/>
      <c r="BW79" s="2117"/>
      <c r="BX79" s="2117"/>
      <c r="BY79" s="2117"/>
      <c r="BZ79" s="2117"/>
      <c r="CA79" s="926"/>
      <c r="CB79" s="921"/>
      <c r="CC79" s="927"/>
      <c r="CD79" s="928" t="e" cm="1">
        <f t="array" ca="1" aca="1" ref="CD79">_xlfn.XLOOKUP(BS!CD$11,array_timeline,BS!$AD79:$BN79)</f>
        <v>#NAME?</v>
      </c>
      <c r="CE79" s="928" t="e" cm="1">
        <f t="array" ca="1" aca="1" ref="CE79">_xlfn.XLOOKUP(BS!CE$11,array_timeline,BS!$AD79:$BN79)</f>
        <v>#NAME?</v>
      </c>
      <c r="CF79" s="925"/>
      <c r="CG79" s="541" t="e">
        <f t="shared" ca="1" si="16"/>
        <v>#NAME?</v>
      </c>
      <c r="CH79" s="541" t="e">
        <f t="shared" ca="1" si="16"/>
        <v>#NAME?</v>
      </c>
      <c r="CI79" s="924"/>
      <c r="CQ79" s="1883" t="str" cm="1">
        <f t="array" ca="1" aca="1" ref="CQ79">IFERROR(IF(AD79*fxVal_normal=_BS!AD79,"",IF(OR(AD79="",NOT(ISNUMBER(AD79)),ISERROR(AD79),$B79=""),"",IF($I79=1,IFBLANK(_xldudf_CX_PUSH(AD79*fxVal_normal,CX_ENTITY,$B79,AD$11,AD$14,AD$60,),""),IF($I79=2,IFBLANK(_xldudf_CX_PUSH(AD79,CX_ENTITY,$B79,AD$11,AD$14,AD$60,),""),IF($I79=3,"",IFBLANK(_xldudf_CX_PUSH(AD79,CX_ENTITY,$B79,AD$11,AD$14,AD$60,),"")))))),"")</f>
        <v/>
      </c>
      <c r="CR79" s="1883" t="str" cm="1">
        <f t="array" ca="1" aca="1" ref="CR79">IFERROR(IF(AE79*fxVal_normal=_BS!AE79,"",IF(OR(AE79="",NOT(ISNUMBER(AE79)),ISERROR(AE79),$B79=""),"",IF($I79=1,IFBLANK(_xldudf_CX_PUSH(AE79*fxVal_normal,CX_ENTITY,$B79,AE$11,AE$14,AE$60,),""),IF($I79=2,IFBLANK(_xldudf_CX_PUSH(AE79,CX_ENTITY,$B79,AE$11,AE$14,AE$60,),""),IF($I79=3,"",IFBLANK(_xldudf_CX_PUSH(AE79,CX_ENTITY,$B79,AE$11,AE$14,AE$60,),"")))))),"")</f>
        <v/>
      </c>
      <c r="CS79" s="1883" t="str" cm="1">
        <f t="array" ca="1" aca="1" ref="CS79">IFERROR(IF(AF79*fxVal_normal=_BS!AF79,"",IF(OR(AF79="",NOT(ISNUMBER(AF79)),ISERROR(AF79),$B79=""),"",IF($I79=1,IFBLANK(_xldudf_CX_PUSH(AF79*fxVal_normal,CX_ENTITY,$B79,AF$11,AF$14,AF$60,),""),IF($I79=2,IFBLANK(_xldudf_CX_PUSH(AF79,CX_ENTITY,$B79,AF$11,AF$14,AF$60,),""),IF($I79=3,"",IFBLANK(_xldudf_CX_PUSH(AF79,CX_ENTITY,$B79,AF$11,AF$14,AF$60,),"")))))),"")</f>
        <v/>
      </c>
      <c r="CT79" s="1883" t="str" cm="1">
        <f t="array" ca="1" aca="1" ref="CT79">IFERROR(IF(AG79*fxVal_normal=_BS!AG79,"",IF(OR(AG79="",NOT(ISNUMBER(AG79)),ISERROR(AG79),$B79=""),"",IF($I79=1,IFBLANK(_xldudf_CX_PUSH(AG79*fxVal_normal,CX_ENTITY,$B79,AG$11,AG$14,AG$60,),""),IF($I79=2,IFBLANK(_xldudf_CX_PUSH(AG79,CX_ENTITY,$B79,AG$11,AG$14,AG$60,),""),IF($I79=3,"",IFBLANK(_xldudf_CX_PUSH(AG79,CX_ENTITY,$B79,AG$11,AG$14,AG$60,),"")))))),"")</f>
        <v/>
      </c>
      <c r="CU79" s="1883" t="str" cm="1">
        <f t="array" ca="1" aca="1" ref="CU79">IFERROR(IF(AH79*fxVal_normal=_BS!AH79,"",IF(OR(AH79="",NOT(ISNUMBER(AH79)),ISERROR(AH79),$B79=""),"",IF($I79=1,IFBLANK(_xldudf_CX_PUSH(AH79*fxVal_normal,CX_ENTITY,$B79,AH$11,AH$14,AH$60,),""),IF($I79=2,IFBLANK(_xldudf_CX_PUSH(AH79,CX_ENTITY,$B79,AH$11,AH$14,AH$60,),""),IF($I79=3,"",IFBLANK(_xldudf_CX_PUSH(AH79,CX_ENTITY,$B79,AH$11,AH$14,AH$60,),"")))))),"")</f>
        <v/>
      </c>
      <c r="CV79" s="1883" t="str" cm="1">
        <f t="array" ca="1" aca="1" ref="CV79">IFERROR(IF(AI79*fxVal_normal=_BS!AI79,"",IF(OR(AI79="",NOT(ISNUMBER(AI79)),ISERROR(AI79),$B79=""),"",IF($I79=1,IFBLANK(_xldudf_CX_PUSH(AI79*fxVal_normal,CX_ENTITY,$B79,AI$11,AI$14,AI$60,),""),IF($I79=2,IFBLANK(_xldudf_CX_PUSH(AI79,CX_ENTITY,$B79,AI$11,AI$14,AI$60,),""),IF($I79=3,"",IFBLANK(_xldudf_CX_PUSH(AI79,CX_ENTITY,$B79,AI$11,AI$14,AI$60,),"")))))),"")</f>
        <v/>
      </c>
      <c r="CW79" s="1883" t="str" cm="1">
        <f t="array" ca="1" aca="1" ref="CW79">IFERROR(IF(AJ79*fxVal_normal=_BS!AJ79,"",IF(OR(AJ79="",NOT(ISNUMBER(AJ79)),ISERROR(AJ79),$B79=""),"",IF($I79=1,IFBLANK(_xldudf_CX_PUSH(AJ79*fxVal_normal,CX_ENTITY,$B79,AJ$11,AJ$14,AJ$60,),""),IF($I79=2,IFBLANK(_xldudf_CX_PUSH(AJ79,CX_ENTITY,$B79,AJ$11,AJ$14,AJ$60,),""),IF($I79=3,"",IFBLANK(_xldudf_CX_PUSH(AJ79,CX_ENTITY,$B79,AJ$11,AJ$14,AJ$60,),"")))))),"")</f>
        <v/>
      </c>
      <c r="CX79" s="1883" t="str" cm="1">
        <f t="array" ca="1" aca="1" ref="CX79">IFERROR(IF(AK79*fxVal_normal=_BS!AK79,"",IF(OR(AK79="",NOT(ISNUMBER(AK79)),ISERROR(AK79),$B79=""),"",IF($I79=1,IFBLANK(_xldudf_CX_PUSH(AK79*fxVal_normal,CX_ENTITY,$B79,AK$11,AK$14,AK$60,),""),IF($I79=2,IFBLANK(_xldudf_CX_PUSH(AK79,CX_ENTITY,$B79,AK$11,AK$14,AK$60,),""),IF($I79=3,"",IFBLANK(_xldudf_CX_PUSH(AK79,CX_ENTITY,$B79,AK$11,AK$14,AK$60,),"")))))),"")</f>
        <v/>
      </c>
      <c r="CY79" s="1883" t="str" cm="1">
        <f t="array" ca="1" aca="1" ref="CY79">IFERROR(IF(AL79*fxVal_normal=_BS!AL79,"",IF(OR(AL79="",NOT(ISNUMBER(AL79)),ISERROR(AL79),$B79=""),"",IF($I79=1,IFBLANK(_xldudf_CX_PUSH(AL79*fxVal_normal,CX_ENTITY,$B79,AL$11,AL$14,AL$60,),""),IF($I79=2,IFBLANK(_xldudf_CX_PUSH(AL79,CX_ENTITY,$B79,AL$11,AL$14,AL$60,),""),IF($I79=3,"",IFBLANK(_xldudf_CX_PUSH(AL79,CX_ENTITY,$B79,AL$11,AL$14,AL$60,),"")))))),"")</f>
        <v/>
      </c>
      <c r="CZ79" s="1883" t="str" cm="1">
        <f t="array" ca="1" aca="1" ref="CZ79">IFERROR(IF(AM79*fxVal_normal=_BS!AM79,"",IF(OR(AM79="",NOT(ISNUMBER(AM79)),ISERROR(AM79),$B79=""),"",IF($I79=1,IFBLANK(_xldudf_CX_PUSH(AM79*fxVal_normal,CX_ENTITY,$B79,AM$11,AM$14,AM$60,),""),IF($I79=2,IFBLANK(_xldudf_CX_PUSH(AM79,CX_ENTITY,$B79,AM$11,AM$14,AM$60,),""),IF($I79=3,"",IFBLANK(_xldudf_CX_PUSH(AM79,CX_ENTITY,$B79,AM$11,AM$14,AM$60,),"")))))),"")</f>
        <v/>
      </c>
      <c r="DA79" s="1883" t="str" cm="1">
        <f t="array" ca="1" aca="1" ref="DA79">IFERROR(IF(AN79*fxVal_normal=_BS!AN79,"",IF(OR(AN79="",NOT(ISNUMBER(AN79)),ISERROR(AN79),$B79=""),"",IF($I79=1,IFBLANK(_xldudf_CX_PUSH(AN79*fxVal_normal,CX_ENTITY,$B79,AN$11,AN$14,AN$60,),""),IF($I79=2,IFBLANK(_xldudf_CX_PUSH(AN79,CX_ENTITY,$B79,AN$11,AN$14,AN$60,),""),IF($I79=3,"",IFBLANK(_xldudf_CX_PUSH(AN79,CX_ENTITY,$B79,AN$11,AN$14,AN$60,),"")))))),"")</f>
        <v/>
      </c>
      <c r="DB79" s="1883" t="str" cm="1">
        <f t="array" ca="1" aca="1" ref="DB79">IFERROR(IF(AO79*fxVal_normal=_BS!AO79,"",IF(OR(AO79="",NOT(ISNUMBER(AO79)),ISERROR(AO79),$B79=""),"",IF($I79=1,IFBLANK(_xldudf_CX_PUSH(AO79*fxVal_normal,CX_ENTITY,$B79,AO$11,AO$14,AO$60,),""),IF($I79=2,IFBLANK(_xldudf_CX_PUSH(AO79,CX_ENTITY,$B79,AO$11,AO$14,AO$60,),""),IF($I79=3,"",IFBLANK(_xldudf_CX_PUSH(AO79,CX_ENTITY,$B79,AO$11,AO$14,AO$60,),"")))))),"")</f>
        <v/>
      </c>
      <c r="DC79" s="1883" t="str" cm="1">
        <f t="array" ca="1" aca="1" ref="DC79">IFERROR(IF(AP79*fxVal_normal=_BS!AP79,"",IF(OR(AP79="",NOT(ISNUMBER(AP79)),ISERROR(AP79),$B79=""),"",IF($I79=1,IFBLANK(_xldudf_CX_PUSH(AP79*fxVal_normal,CX_ENTITY,$B79,AP$11,AP$14,AP$60,),""),IF($I79=2,IFBLANK(_xldudf_CX_PUSH(AP79,CX_ENTITY,$B79,AP$11,AP$14,AP$60,),""),IF($I79=3,"",IFBLANK(_xldudf_CX_PUSH(AP79,CX_ENTITY,$B79,AP$11,AP$14,AP$60,),"")))))),"")</f>
        <v/>
      </c>
      <c r="DD79" s="1883" t="str" cm="1">
        <f t="array" ca="1" aca="1" ref="DD79">IFERROR(IF(AQ79*fxVal_normal=_BS!AQ79,"",IF(OR(AQ79="",NOT(ISNUMBER(AQ79)),ISERROR(AQ79),$B79=""),"",IF($I79=1,IFBLANK(_xldudf_CX_PUSH(AQ79*fxVal_normal,CX_ENTITY,$B79,AQ$11,AQ$14,AQ$60,),""),IF($I79=2,IFBLANK(_xldudf_CX_PUSH(AQ79,CX_ENTITY,$B79,AQ$11,AQ$14,AQ$60,),""),IF($I79=3,"",IFBLANK(_xldudf_CX_PUSH(AQ79,CX_ENTITY,$B79,AQ$11,AQ$14,AQ$60,),"")))))),"")</f>
        <v/>
      </c>
      <c r="DE79" s="1883" t="str" cm="1">
        <f t="array" ca="1" aca="1" ref="DE79">IFERROR(IF(AR79*fxVal_normal=_BS!AR79,"",IF(OR(AR79="",NOT(ISNUMBER(AR79)),ISERROR(AR79),$B79=""),"",IF($I79=1,IFBLANK(_xldudf_CX_PUSH(AR79*fxVal_normal,CX_ENTITY,$B79,AR$11,AR$14,AR$60,),""),IF($I79=2,IFBLANK(_xldudf_CX_PUSH(AR79,CX_ENTITY,$B79,AR$11,AR$14,AR$60,),""),IF($I79=3,"",IFBLANK(_xldudf_CX_PUSH(AR79,CX_ENTITY,$B79,AR$11,AR$14,AR$60,),"")))))),"")</f>
        <v/>
      </c>
      <c r="DF79" s="1883" t="str" cm="1">
        <f t="array" ca="1" aca="1" ref="DF79">IFERROR(IF(AS79*fxVal_normal=_BS!AS79,"",IF(OR(AS79="",NOT(ISNUMBER(AS79)),ISERROR(AS79),$B79=""),"",IF($I79=1,IFBLANK(_xldudf_CX_PUSH(AS79*fxVal_normal,CX_ENTITY,$B79,AS$11,AS$14,AS$60,),""),IF($I79=2,IFBLANK(_xldudf_CX_PUSH(AS79,CX_ENTITY,$B79,AS$11,AS$14,AS$60,),""),IF($I79=3,"",IFBLANK(_xldudf_CX_PUSH(AS79,CX_ENTITY,$B79,AS$11,AS$14,AS$60,),"")))))),"")</f>
        <v/>
      </c>
      <c r="DG79" s="1883" t="str" cm="1">
        <f t="array" ca="1" aca="1" ref="DG79">IFERROR(IF(AT79*fxVal_normal=_BS!AT79,"",IF(OR(AT79="",NOT(ISNUMBER(AT79)),ISERROR(AT79),$B79=""),"",IF($I79=1,IFBLANK(_xldudf_CX_PUSH(AT79*fxVal_normal,CX_ENTITY,$B79,AT$11,AT$14,AT$60,),""),IF($I79=2,IFBLANK(_xldudf_CX_PUSH(AT79,CX_ENTITY,$B79,AT$11,AT$14,AT$60,),""),IF($I79=3,"",IFBLANK(_xldudf_CX_PUSH(AT79,CX_ENTITY,$B79,AT$11,AT$14,AT$60,),"")))))),"")</f>
        <v/>
      </c>
      <c r="DH79" s="1883" t="str" cm="1">
        <f t="array" ca="1" aca="1" ref="DH79">IFERROR(IF(AU79*fxVal_normal=_BS!AU79,"",IF(OR(AU79="",NOT(ISNUMBER(AU79)),ISERROR(AU79),$B79=""),"",IF($I79=1,IFBLANK(_xldudf_CX_PUSH(AU79*fxVal_normal,CX_ENTITY,$B79,AU$11,AU$14,AU$60,),""),IF($I79=2,IFBLANK(_xldudf_CX_PUSH(AU79,CX_ENTITY,$B79,AU$11,AU$14,AU$60,),""),IF($I79=3,"",IFBLANK(_xldudf_CX_PUSH(AU79,CX_ENTITY,$B79,AU$11,AU$14,AU$60,),"")))))),"")</f>
        <v/>
      </c>
      <c r="DI79" s="1883" t="str" cm="1">
        <f t="array" ca="1" aca="1" ref="DI79">IFERROR(IF(AV79*fxVal_normal=_BS!AV79,"",IF(OR(AV79="",NOT(ISNUMBER(AV79)),ISERROR(AV79),$B79=""),"",IF($I79=1,IFBLANK(_xldudf_CX_PUSH(AV79*fxVal_normal,CX_ENTITY,$B79,AV$11,AV$14,AV$60,),""),IF($I79=2,IFBLANK(_xldudf_CX_PUSH(AV79,CX_ENTITY,$B79,AV$11,AV$14,AV$60,),""),IF($I79=3,"",IFBLANK(_xldudf_CX_PUSH(AV79,CX_ENTITY,$B79,AV$11,AV$14,AV$60,),"")))))),"")</f>
        <v/>
      </c>
      <c r="DJ79" s="1883" t="str" cm="1">
        <f t="array" ca="1" aca="1" ref="DJ79">IFERROR(IF(AW79*fxVal_normal=_BS!AW79,"",IF(OR(AW79="",NOT(ISNUMBER(AW79)),ISERROR(AW79),$B79=""),"",IF($I79=1,IFBLANK(_xldudf_CX_PUSH(AW79*fxVal_normal,CX_ENTITY,$B79,AW$11,AW$14,AW$60,),""),IF($I79=2,IFBLANK(_xldudf_CX_PUSH(AW79,CX_ENTITY,$B79,AW$11,AW$14,AW$60,),""),IF($I79=3,"",IFBLANK(_xldudf_CX_PUSH(AW79,CX_ENTITY,$B79,AW$11,AW$14,AW$60,),"")))))),"")</f>
        <v/>
      </c>
      <c r="DK79" s="1883" t="str" cm="1">
        <f t="array" ca="1" aca="1" ref="DK79">IFERROR(IF(AX79*fxVal_normal=_BS!AX79,"",IF(OR(AX79="",NOT(ISNUMBER(AX79)),ISERROR(AX79),$B79=""),"",IF($I79=1,IFBLANK(_xldudf_CX_PUSH(AX79*fxVal_normal,CX_ENTITY,$B79,AX$11,AX$14,AX$60,),""),IF($I79=2,IFBLANK(_xldudf_CX_PUSH(AX79,CX_ENTITY,$B79,AX$11,AX$14,AX$60,),""),IF($I79=3,"",IFBLANK(_xldudf_CX_PUSH(AX79,CX_ENTITY,$B79,AX$11,AX$14,AX$60,),"")))))),"")</f>
        <v/>
      </c>
      <c r="DL79" s="1883" t="str" cm="1">
        <f t="array" ca="1" aca="1" ref="DL79">IFERROR(IF(AY79*fxVal_normal=_BS!AY79,"",IF(OR(AY79="",NOT(ISNUMBER(AY79)),ISERROR(AY79),$B79=""),"",IF($I79=1,IFBLANK(_xldudf_CX_PUSH(AY79*fxVal_normal,CX_ENTITY,$B79,AY$11,AY$14,AY$60,),""),IF($I79=2,IFBLANK(_xldudf_CX_PUSH(AY79,CX_ENTITY,$B79,AY$11,AY$14,AY$60,),""),IF($I79=3,"",IFBLANK(_xldudf_CX_PUSH(AY79,CX_ENTITY,$B79,AY$11,AY$14,AY$60,),"")))))),"")</f>
        <v/>
      </c>
      <c r="DM79" s="1883" t="str" cm="1">
        <f t="array" ca="1" aca="1" ref="DM79">IFERROR(IF(AZ79*fxVal_normal=_BS!AZ79,"",IF(OR(AZ79="",NOT(ISNUMBER(AZ79)),ISERROR(AZ79),$B79=""),"",IF($I79=1,IFBLANK(_xldudf_CX_PUSH(AZ79*fxVal_normal,CX_ENTITY,$B79,AZ$11,AZ$14,AZ$60,),""),IF($I79=2,IFBLANK(_xldudf_CX_PUSH(AZ79,CX_ENTITY,$B79,AZ$11,AZ$14,AZ$60,),""),IF($I79=3,"",IFBLANK(_xldudf_CX_PUSH(AZ79,CX_ENTITY,$B79,AZ$11,AZ$14,AZ$60,),"")))))),"")</f>
        <v/>
      </c>
      <c r="DN79" s="1883" t="str" cm="1">
        <f t="array" ca="1" aca="1" ref="DN79">IFERROR(IF(BA79*fxVal_normal=_BS!BA79,"",IF(OR(BA79="",NOT(ISNUMBER(BA79)),ISERROR(BA79),$B79=""),"",IF($I79=1,IFBLANK(_xldudf_CX_PUSH(BA79*fxVal_normal,CX_ENTITY,$B79,BA$11,BA$14,BA$60,),""),IF($I79=2,IFBLANK(_xldudf_CX_PUSH(BA79,CX_ENTITY,$B79,BA$11,BA$14,BA$60,),""),IF($I79=3,"",IFBLANK(_xldudf_CX_PUSH(BA79,CX_ENTITY,$B79,BA$11,BA$14,BA$60,),"")))))),"")</f>
        <v/>
      </c>
      <c r="DO79" s="1883" t="str" cm="1">
        <f t="array" ca="1" aca="1" ref="DO79">IFERROR(IF(BB79*fxVal_normal=_BS!BB79,"",IF(OR(BB79="",NOT(ISNUMBER(BB79)),ISERROR(BB79),$B79=""),"",IF($I79=1,IFBLANK(_xldudf_CX_PUSH(BB79*fxVal_normal,CX_ENTITY,$B79,BB$11,BB$14,BB$60,),""),IF($I79=2,IFBLANK(_xldudf_CX_PUSH(BB79,CX_ENTITY,$B79,BB$11,BB$14,BB$60,),""),IF($I79=3,"",IFBLANK(_xldudf_CX_PUSH(BB79,CX_ENTITY,$B79,BB$11,BB$14,BB$60,),"")))))),"")</f>
        <v/>
      </c>
      <c r="DP79" s="1883" t="str" cm="1">
        <f t="array" ca="1" aca="1" ref="DP79">IFERROR(IF(BC79*fxVal_normal=_BS!BC79,"",IF(OR(BC79="",NOT(ISNUMBER(BC79)),ISERROR(BC79),$B79=""),"",IF($I79=1,IFBLANK(_xldudf_CX_PUSH(BC79*fxVal_normal,CX_ENTITY,$B79,BC$11,BC$14,BC$60,),""),IF($I79=2,IFBLANK(_xldudf_CX_PUSH(BC79,CX_ENTITY,$B79,BC$11,BC$14,BC$60,),""),IF($I79=3,"",IFBLANK(_xldudf_CX_PUSH(BC79,CX_ENTITY,$B79,BC$11,BC$14,BC$60,),"")))))),"")</f>
        <v/>
      </c>
      <c r="DQ79" s="1883" t="str" cm="1">
        <f t="array" ca="1" aca="1" ref="DQ79">IFERROR(IF(BD79*fxVal_normal=_BS!BD79,"",IF(OR(BD79="",NOT(ISNUMBER(BD79)),ISERROR(BD79),$B79=""),"",IF($I79=1,IFBLANK(_xldudf_CX_PUSH(BD79*fxVal_normal,CX_ENTITY,$B79,BD$11,BD$14,BD$60,),""),IF($I79=2,IFBLANK(_xldudf_CX_PUSH(BD79,CX_ENTITY,$B79,BD$11,BD$14,BD$60,),""),IF($I79=3,"",IFBLANK(_xldudf_CX_PUSH(BD79,CX_ENTITY,$B79,BD$11,BD$14,BD$60,),"")))))),"")</f>
        <v/>
      </c>
      <c r="DR79" s="1883" t="str" cm="1">
        <f t="array" ca="1" aca="1" ref="DR79">IFERROR(IF(BE79*fxVal_normal=_BS!BE79,"",IF(OR(BE79="",NOT(ISNUMBER(BE79)),ISERROR(BE79),$B79=""),"",IF($I79=1,IFBLANK(_xldudf_CX_PUSH(BE79*fxVal_normal,CX_ENTITY,$B79,BE$11,BE$14,BE$60,),""),IF($I79=2,IFBLANK(_xldudf_CX_PUSH(BE79,CX_ENTITY,$B79,BE$11,BE$14,BE$60,),""),IF($I79=3,"",IFBLANK(_xldudf_CX_PUSH(BE79,CX_ENTITY,$B79,BE$11,BE$14,BE$60,),"")))))),"")</f>
        <v/>
      </c>
      <c r="DS79" s="1883" t="str" cm="1">
        <f t="array" ca="1" aca="1" ref="DS79">IFERROR(IF(BF79*fxVal_normal=_BS!BF79,"",IF(OR(BF79="",NOT(ISNUMBER(BF79)),ISERROR(BF79),$B79=""),"",IF($I79=1,IFBLANK(_xldudf_CX_PUSH(BF79*fxVal_normal,CX_ENTITY,$B79,BF$11,BF$14,BF$60,),""),IF($I79=2,IFBLANK(_xldudf_CX_PUSH(BF79,CX_ENTITY,$B79,BF$11,BF$14,BF$60,),""),IF($I79=3,"",IFBLANK(_xldudf_CX_PUSH(BF79,CX_ENTITY,$B79,BF$11,BF$14,BF$60,),"")))))),"")</f>
        <v/>
      </c>
      <c r="DT79" s="1883" t="str" cm="1">
        <f t="array" ca="1" aca="1" ref="DT79">IFERROR(IF(BG79*fxVal_normal=_BS!BG79,"",IF(OR(BG79="",NOT(ISNUMBER(BG79)),ISERROR(BG79),$B79=""),"",IF($I79=1,IFBLANK(_xldudf_CX_PUSH(BG79*fxVal_normal,CX_ENTITY,$B79,BG$11,BG$14,BG$60,),""),IF($I79=2,IFBLANK(_xldudf_CX_PUSH(BG79,CX_ENTITY,$B79,BG$11,BG$14,BG$60,),""),IF($I79=3,"",IFBLANK(_xldudf_CX_PUSH(BG79,CX_ENTITY,$B79,BG$11,BG$14,BG$60,),"")))))),"")</f>
        <v/>
      </c>
      <c r="DU79" s="1883" t="str" cm="1">
        <f t="array" ca="1" aca="1" ref="DU79">IFERROR(IF(BH79*fxVal_normal=_BS!BH79,"",IF(OR(BH79="",NOT(ISNUMBER(BH79)),ISERROR(BH79),$B79=""),"",IF($I79=1,IFBLANK(_xldudf_CX_PUSH(BH79*fxVal_normal,CX_ENTITY,$B79,BH$11,BH$14,BH$60,),""),IF($I79=2,IFBLANK(_xldudf_CX_PUSH(BH79,CX_ENTITY,$B79,BH$11,BH$14,BH$60,),""),IF($I79=3,"",IFBLANK(_xldudf_CX_PUSH(BH79,CX_ENTITY,$B79,BH$11,BH$14,BH$60,),"")))))),"")</f>
        <v/>
      </c>
      <c r="DV79" s="1883" t="str" cm="1">
        <f t="array" ca="1" aca="1" ref="DV79">IFERROR(IF(BI79*fxVal_normal=_BS!BI79,"",IF(OR(BI79="",NOT(ISNUMBER(BI79)),ISERROR(BI79),$B79=""),"",IF($I79=1,IFBLANK(_xldudf_CX_PUSH(BI79*fxVal_normal,CX_ENTITY,$B79,BI$11,BI$14,BI$60,),""),IF($I79=2,IFBLANK(_xldudf_CX_PUSH(BI79,CX_ENTITY,$B79,BI$11,BI$14,BI$60,),""),IF($I79=3,"",IFBLANK(_xldudf_CX_PUSH(BI79,CX_ENTITY,$B79,BI$11,BI$14,BI$60,),"")))))),"")</f>
        <v/>
      </c>
      <c r="DW79" s="1883" t="str" cm="1">
        <f t="array" ca="1" aca="1" ref="DW79">IFERROR(IF(BJ79*fxVal_normal=_BS!BJ79,"",IF(OR(BJ79="",NOT(ISNUMBER(BJ79)),ISERROR(BJ79),$B79=""),"",IF($I79=1,IFBLANK(_xldudf_CX_PUSH(BJ79*fxVal_normal,CX_ENTITY,$B79,BJ$11,BJ$14,BJ$60,),""),IF($I79=2,IFBLANK(_xldudf_CX_PUSH(BJ79,CX_ENTITY,$B79,BJ$11,BJ$14,BJ$60,),""),IF($I79=3,"",IFBLANK(_xldudf_CX_PUSH(BJ79,CX_ENTITY,$B79,BJ$11,BJ$14,BJ$60,),"")))))),"")</f>
        <v/>
      </c>
      <c r="DX79" s="1883" t="str" cm="1">
        <f t="array" ca="1" aca="1" ref="DX79">IFERROR(IF(BK79*fxVal_normal=_BS!BK79,"",IF(OR(BK79="",NOT(ISNUMBER(BK79)),ISERROR(BK79),$B79=""),"",IF($I79=1,IFBLANK(_xldudf_CX_PUSH(BK79*fxVal_normal,CX_ENTITY,$B79,BK$11,BK$14,BK$60,),""),IF($I79=2,IFBLANK(_xldudf_CX_PUSH(BK79,CX_ENTITY,$B79,BK$11,BK$14,BK$60,),""),IF($I79=3,"",IFBLANK(_xldudf_CX_PUSH(BK79,CX_ENTITY,$B79,BK$11,BK$14,BK$60,),"")))))),"")</f>
        <v/>
      </c>
      <c r="DY79" s="1883" t="str" cm="1">
        <f t="array" ca="1" aca="1" ref="DY79">IFERROR(IF(BL79*fxVal_normal=_BS!BL79,"",IF(OR(BL79="",NOT(ISNUMBER(BL79)),ISERROR(BL79),$B79=""),"",IF($I79=1,IFBLANK(_xldudf_CX_PUSH(BL79*fxVal_normal,CX_ENTITY,$B79,BL$11,BL$14,BL$60,),""),IF($I79=2,IFBLANK(_xldudf_CX_PUSH(BL79,CX_ENTITY,$B79,BL$11,BL$14,BL$60,),""),IF($I79=3,"",IFBLANK(_xldudf_CX_PUSH(BL79,CX_ENTITY,$B79,BL$11,BL$14,BL$60,),"")))))),"")</f>
        <v/>
      </c>
      <c r="DZ79" s="1883" t="str" cm="1">
        <f t="array" ca="1" aca="1" ref="DZ79">IFERROR(IF(BM79*fxVal_normal=_BS!BM79,"",IF(OR(BM79="",NOT(ISNUMBER(BM79)),ISERROR(BM79),$B79=""),"",IF($I79=1,IFBLANK(_xldudf_CX_PUSH(BM79*fxVal_normal,CX_ENTITY,$B79,BM$11,BM$14,BM$60,),""),IF($I79=2,IFBLANK(_xldudf_CX_PUSH(BM79,CX_ENTITY,$B79,BM$11,BM$14,BM$60,),""),IF($I79=3,"",IFBLANK(_xldudf_CX_PUSH(BM79,CX_ENTITY,$B79,BM$11,BM$14,BM$60,),"")))))),"")</f>
        <v/>
      </c>
      <c r="EA79" s="1883" t="str" cm="1">
        <f t="array" ca="1" aca="1" ref="EA79">IFERROR(IF(BN79*fxVal_normal=_BS!BN79,"",IF(OR(BN79="",NOT(ISNUMBER(BN79)),ISERROR(BN79),$B79=""),"",IF($I79=1,IFBLANK(_xldudf_CX_PUSH(BN79*fxVal_normal,CX_ENTITY,$B79,BN$11,BN$14,BN$60,),""),IF($I79=2,IFBLANK(_xldudf_CX_PUSH(BN79,CX_ENTITY,$B79,BN$11,BN$14,BN$60,),""),IF($I79=3,"",IFBLANK(_xldudf_CX_PUSH(BN79,CX_ENTITY,$B79,BN$11,BN$14,BN$60,),"")))))),"")</f>
        <v/>
      </c>
    </row>
    <row r="80" spans="1:131" ht="21" customHeight="1">
      <c r="A80" s="1646"/>
      <c r="B80" s="811" t="str" cm="1">
        <f t="array" ref="B80">IFBLANK(_BS!F80,"")</f>
        <v>Cash &amp; Equivalents</v>
      </c>
      <c r="C80" s="811" t="str" cm="1">
        <f t="array" ref="C80">IFBLANK(_BS!C80,"")</f>
        <v>Cash &amp; Equivalents (Company View)</v>
      </c>
      <c r="D80" s="1640"/>
      <c r="E80" s="1902" t="e" cm="1">
        <f t="array" ca="1" aca="1" ref="E8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80:$CH80,Z80)</f>
        <v>#NAME?</v>
      </c>
      <c r="F80" s="1897"/>
      <c r="G80" s="1897"/>
      <c r="H80" s="3280">
        <v>1</v>
      </c>
      <c r="I80" s="3280">
        <v>1</v>
      </c>
      <c r="J80" s="401"/>
      <c r="N80" s="158"/>
      <c r="O80" s="101"/>
      <c r="P80" s="52"/>
      <c r="Q80" s="101"/>
      <c r="R80" s="126"/>
      <c r="S80" s="101"/>
      <c r="T80" s="101"/>
      <c r="U80" s="39"/>
      <c r="W80" s="930" t="str">
        <f t="shared" si="18"/>
        <v>Budget</v>
      </c>
      <c r="X80" s="3292">
        <f>_BS!X80</f>
        <v>1</v>
      </c>
      <c r="Y80" s="3230">
        <f t="shared" si="17"/>
        <v>2</v>
      </c>
      <c r="Z80" s="3291" cm="1">
        <f t="array" ref="Z80">_xlfn.SWITCH(TRUE,_BS!$L80=TRUE,1,_BS!$L80=FALSE,-1,_BS!$L80=-1,0,"n/a")</f>
        <v>1</v>
      </c>
      <c r="AA80" s="200"/>
      <c r="AB80" s="88" t="str">
        <f>_BS!AB80</f>
        <v>Cash &amp; Equivalents</v>
      </c>
      <c r="AC80" s="88" t="str" cm="1">
        <f t="array" ca="1" aca="1" ref="AC80">_xlfn.LET(_xlpm._termname,$AB80,_xlpm._iconname,"find",_xlpm._icon,fx_getIcon(_xlpm._iconname),_xlpm._location,_xlfn.XLOOKUP(LOWER(_xlpm._termname),LOWER(tbl_acctDef[Term]),tbl_acctDef[Term]),_xlpm._hyperlink,HYPERLINK("#"&amp;CELL("address",_xlpm._location),_xlpm._icon),IFERROR(_xlpm._hyperlink,""))</f>
        <v/>
      </c>
      <c r="AD80" s="3229">
        <v>1</v>
      </c>
      <c r="AE80" s="3229">
        <v>1</v>
      </c>
      <c r="AF80" s="3229">
        <v>1</v>
      </c>
      <c r="AG80" s="3229">
        <v>1</v>
      </c>
      <c r="AH80" s="3229">
        <v>1</v>
      </c>
      <c r="AI80" s="3229">
        <v>1</v>
      </c>
      <c r="AJ80" s="3229">
        <v>1</v>
      </c>
      <c r="AK80" s="3229">
        <v>1</v>
      </c>
      <c r="AL80" s="3229">
        <v>1</v>
      </c>
      <c r="AM80" s="3229">
        <v>1</v>
      </c>
      <c r="AN80" s="3229">
        <v>1</v>
      </c>
      <c r="AO80" s="3229">
        <v>1</v>
      </c>
      <c r="AP80" s="3229">
        <v>1</v>
      </c>
      <c r="AQ80" s="3229">
        <v>1</v>
      </c>
      <c r="AR80" s="3229">
        <v>1</v>
      </c>
      <c r="AS80" s="3229">
        <v>1</v>
      </c>
      <c r="AT80" s="3229">
        <v>1</v>
      </c>
      <c r="AU80" s="3229">
        <v>1</v>
      </c>
      <c r="AV80" s="3229">
        <v>1</v>
      </c>
      <c r="AW80" s="3229">
        <v>1</v>
      </c>
      <c r="AX80" s="3229">
        <v>1</v>
      </c>
      <c r="AY80" s="3229">
        <v>1</v>
      </c>
      <c r="AZ80" s="3229">
        <v>1</v>
      </c>
      <c r="BA80" s="3229">
        <v>1</v>
      </c>
      <c r="BB80" s="3229">
        <v>1</v>
      </c>
      <c r="BC80" s="3229">
        <v>1</v>
      </c>
      <c r="BD80" s="3229">
        <v>1</v>
      </c>
      <c r="BE80" s="3229">
        <v>1</v>
      </c>
      <c r="BF80" s="3229">
        <v>1</v>
      </c>
      <c r="BG80" s="3229">
        <v>1</v>
      </c>
      <c r="BH80" s="3229">
        <v>1</v>
      </c>
      <c r="BI80" s="3229">
        <v>1</v>
      </c>
      <c r="BJ80" s="3229">
        <v>1</v>
      </c>
      <c r="BK80" s="3229">
        <v>1</v>
      </c>
      <c r="BL80" s="3229">
        <v>1</v>
      </c>
      <c r="BM80" s="3229">
        <v>1</v>
      </c>
      <c r="BN80" s="3229">
        <v>1</v>
      </c>
      <c r="BO80" s="2095"/>
      <c r="BP80" s="2095"/>
      <c r="BQ80" s="2095"/>
      <c r="BR80" s="2095"/>
      <c r="BS80" s="2095"/>
      <c r="BT80" s="2095"/>
      <c r="BU80" s="2095"/>
      <c r="BV80" s="2095"/>
      <c r="BW80" s="2095"/>
      <c r="BX80" s="2095"/>
      <c r="BY80" s="2095"/>
      <c r="BZ80" s="2095"/>
      <c r="CA80" s="926"/>
      <c r="CB80" s="921"/>
      <c r="CC80" s="927"/>
      <c r="CD80" s="928" t="e" cm="1">
        <f t="array" ca="1" aca="1" ref="CD80">_xlfn.XLOOKUP(BS!CD$11,array_timeline,BS!$AD80:$BN80)</f>
        <v>#NAME?</v>
      </c>
      <c r="CE80" s="928" t="e" cm="1">
        <f t="array" ca="1" aca="1" ref="CE80">_xlfn.XLOOKUP(BS!CE$11,array_timeline,BS!$AD80:$BN80)</f>
        <v>#NAME?</v>
      </c>
      <c r="CF80" s="925"/>
      <c r="CG80" s="2124" t="e">
        <f t="shared" ca="1" si="16"/>
        <v>#NAME?</v>
      </c>
      <c r="CH80" s="2124" t="e">
        <f t="shared" ca="1" si="16"/>
        <v>#NAME?</v>
      </c>
      <c r="CI80" s="200"/>
      <c r="CQ80" s="1883" t="str" cm="1">
        <f t="array" ca="1" aca="1" ref="CQ80">IFERROR(IF(AD80*fxVal_normal=_BS!AD80,"",IF(OR(AD80="",NOT(ISNUMBER(AD80)),ISERROR(AD80),$B80=""),"",IF($I80=1,IFBLANK(_xldudf_CX_PUSH(AD80*fxVal_normal,CX_ENTITY,$B80,AD$11,AD$14,AD$60,),""),IF($I80=2,IFBLANK(_xldudf_CX_PUSH(AD80,CX_ENTITY,$B80,AD$11,AD$14,AD$60,),""),IF($I80=3,"",IFBLANK(_xldudf_CX_PUSH(AD80,CX_ENTITY,$B80,AD$11,AD$14,AD$60,),"")))))),"")</f>
        <v/>
      </c>
      <c r="CR80" s="1883" t="str" cm="1">
        <f t="array" ca="1" aca="1" ref="CR80">IFERROR(IF(AE80*fxVal_normal=_BS!AE80,"",IF(OR(AE80="",NOT(ISNUMBER(AE80)),ISERROR(AE80),$B80=""),"",IF($I80=1,IFBLANK(_xldudf_CX_PUSH(AE80*fxVal_normal,CX_ENTITY,$B80,AE$11,AE$14,AE$60,),""),IF($I80=2,IFBLANK(_xldudf_CX_PUSH(AE80,CX_ENTITY,$B80,AE$11,AE$14,AE$60,),""),IF($I80=3,"",IFBLANK(_xldudf_CX_PUSH(AE80,CX_ENTITY,$B80,AE$11,AE$14,AE$60,),"")))))),"")</f>
        <v/>
      </c>
      <c r="CS80" s="1883" t="str" cm="1">
        <f t="array" ca="1" aca="1" ref="CS80">IFERROR(IF(AF80*fxVal_normal=_BS!AF80,"",IF(OR(AF80="",NOT(ISNUMBER(AF80)),ISERROR(AF80),$B80=""),"",IF($I80=1,IFBLANK(_xldudf_CX_PUSH(AF80*fxVal_normal,CX_ENTITY,$B80,AF$11,AF$14,AF$60,),""),IF($I80=2,IFBLANK(_xldudf_CX_PUSH(AF80,CX_ENTITY,$B80,AF$11,AF$14,AF$60,),""),IF($I80=3,"",IFBLANK(_xldudf_CX_PUSH(AF80,CX_ENTITY,$B80,AF$11,AF$14,AF$60,),"")))))),"")</f>
        <v/>
      </c>
      <c r="CT80" s="1883" t="str" cm="1">
        <f t="array" ca="1" aca="1" ref="CT80">IFERROR(IF(AG80*fxVal_normal=_BS!AG80,"",IF(OR(AG80="",NOT(ISNUMBER(AG80)),ISERROR(AG80),$B80=""),"",IF($I80=1,IFBLANK(_xldudf_CX_PUSH(AG80*fxVal_normal,CX_ENTITY,$B80,AG$11,AG$14,AG$60,),""),IF($I80=2,IFBLANK(_xldudf_CX_PUSH(AG80,CX_ENTITY,$B80,AG$11,AG$14,AG$60,),""),IF($I80=3,"",IFBLANK(_xldudf_CX_PUSH(AG80,CX_ENTITY,$B80,AG$11,AG$14,AG$60,),"")))))),"")</f>
        <v/>
      </c>
      <c r="CU80" s="1883" t="str" cm="1">
        <f t="array" ca="1" aca="1" ref="CU80">IFERROR(IF(AH80*fxVal_normal=_BS!AH80,"",IF(OR(AH80="",NOT(ISNUMBER(AH80)),ISERROR(AH80),$B80=""),"",IF($I80=1,IFBLANK(_xldudf_CX_PUSH(AH80*fxVal_normal,CX_ENTITY,$B80,AH$11,AH$14,AH$60,),""),IF($I80=2,IFBLANK(_xldudf_CX_PUSH(AH80,CX_ENTITY,$B80,AH$11,AH$14,AH$60,),""),IF($I80=3,"",IFBLANK(_xldudf_CX_PUSH(AH80,CX_ENTITY,$B80,AH$11,AH$14,AH$60,),"")))))),"")</f>
        <v/>
      </c>
      <c r="CV80" s="1883" t="str" cm="1">
        <f t="array" ca="1" aca="1" ref="CV80">IFERROR(IF(AI80*fxVal_normal=_BS!AI80,"",IF(OR(AI80="",NOT(ISNUMBER(AI80)),ISERROR(AI80),$B80=""),"",IF($I80=1,IFBLANK(_xldudf_CX_PUSH(AI80*fxVal_normal,CX_ENTITY,$B80,AI$11,AI$14,AI$60,),""),IF($I80=2,IFBLANK(_xldudf_CX_PUSH(AI80,CX_ENTITY,$B80,AI$11,AI$14,AI$60,),""),IF($I80=3,"",IFBLANK(_xldudf_CX_PUSH(AI80,CX_ENTITY,$B80,AI$11,AI$14,AI$60,),"")))))),"")</f>
        <v/>
      </c>
      <c r="CW80" s="1883" t="str" cm="1">
        <f t="array" ca="1" aca="1" ref="CW80">IFERROR(IF(AJ80*fxVal_normal=_BS!AJ80,"",IF(OR(AJ80="",NOT(ISNUMBER(AJ80)),ISERROR(AJ80),$B80=""),"",IF($I80=1,IFBLANK(_xldudf_CX_PUSH(AJ80*fxVal_normal,CX_ENTITY,$B80,AJ$11,AJ$14,AJ$60,),""),IF($I80=2,IFBLANK(_xldudf_CX_PUSH(AJ80,CX_ENTITY,$B80,AJ$11,AJ$14,AJ$60,),""),IF($I80=3,"",IFBLANK(_xldudf_CX_PUSH(AJ80,CX_ENTITY,$B80,AJ$11,AJ$14,AJ$60,),"")))))),"")</f>
        <v/>
      </c>
      <c r="CX80" s="1883" t="str" cm="1">
        <f t="array" ca="1" aca="1" ref="CX80">IFERROR(IF(AK80*fxVal_normal=_BS!AK80,"",IF(OR(AK80="",NOT(ISNUMBER(AK80)),ISERROR(AK80),$B80=""),"",IF($I80=1,IFBLANK(_xldudf_CX_PUSH(AK80*fxVal_normal,CX_ENTITY,$B80,AK$11,AK$14,AK$60,),""),IF($I80=2,IFBLANK(_xldudf_CX_PUSH(AK80,CX_ENTITY,$B80,AK$11,AK$14,AK$60,),""),IF($I80=3,"",IFBLANK(_xldudf_CX_PUSH(AK80,CX_ENTITY,$B80,AK$11,AK$14,AK$60,),"")))))),"")</f>
        <v/>
      </c>
      <c r="CY80" s="1883" t="str" cm="1">
        <f t="array" ca="1" aca="1" ref="CY80">IFERROR(IF(AL80*fxVal_normal=_BS!AL80,"",IF(OR(AL80="",NOT(ISNUMBER(AL80)),ISERROR(AL80),$B80=""),"",IF($I80=1,IFBLANK(_xldudf_CX_PUSH(AL80*fxVal_normal,CX_ENTITY,$B80,AL$11,AL$14,AL$60,),""),IF($I80=2,IFBLANK(_xldudf_CX_PUSH(AL80,CX_ENTITY,$B80,AL$11,AL$14,AL$60,),""),IF($I80=3,"",IFBLANK(_xldudf_CX_PUSH(AL80,CX_ENTITY,$B80,AL$11,AL$14,AL$60,),"")))))),"")</f>
        <v/>
      </c>
      <c r="CZ80" s="1883" t="str" cm="1">
        <f t="array" ca="1" aca="1" ref="CZ80">IFERROR(IF(AM80*fxVal_normal=_BS!AM80,"",IF(OR(AM80="",NOT(ISNUMBER(AM80)),ISERROR(AM80),$B80=""),"",IF($I80=1,IFBLANK(_xldudf_CX_PUSH(AM80*fxVal_normal,CX_ENTITY,$B80,AM$11,AM$14,AM$60,),""),IF($I80=2,IFBLANK(_xldudf_CX_PUSH(AM80,CX_ENTITY,$B80,AM$11,AM$14,AM$60,),""),IF($I80=3,"",IFBLANK(_xldudf_CX_PUSH(AM80,CX_ENTITY,$B80,AM$11,AM$14,AM$60,),"")))))),"")</f>
        <v/>
      </c>
      <c r="DA80" s="1883" t="str" cm="1">
        <f t="array" ca="1" aca="1" ref="DA80">IFERROR(IF(AN80*fxVal_normal=_BS!AN80,"",IF(OR(AN80="",NOT(ISNUMBER(AN80)),ISERROR(AN80),$B80=""),"",IF($I80=1,IFBLANK(_xldudf_CX_PUSH(AN80*fxVal_normal,CX_ENTITY,$B80,AN$11,AN$14,AN$60,),""),IF($I80=2,IFBLANK(_xldudf_CX_PUSH(AN80,CX_ENTITY,$B80,AN$11,AN$14,AN$60,),""),IF($I80=3,"",IFBLANK(_xldudf_CX_PUSH(AN80,CX_ENTITY,$B80,AN$11,AN$14,AN$60,),"")))))),"")</f>
        <v/>
      </c>
      <c r="DB80" s="1883" t="str" cm="1">
        <f t="array" ca="1" aca="1" ref="DB80">IFERROR(IF(AO80*fxVal_normal=_BS!AO80,"",IF(OR(AO80="",NOT(ISNUMBER(AO80)),ISERROR(AO80),$B80=""),"",IF($I80=1,IFBLANK(_xldudf_CX_PUSH(AO80*fxVal_normal,CX_ENTITY,$B80,AO$11,AO$14,AO$60,),""),IF($I80=2,IFBLANK(_xldudf_CX_PUSH(AO80,CX_ENTITY,$B80,AO$11,AO$14,AO$60,),""),IF($I80=3,"",IFBLANK(_xldudf_CX_PUSH(AO80,CX_ENTITY,$B80,AO$11,AO$14,AO$60,),"")))))),"")</f>
        <v/>
      </c>
      <c r="DC80" s="1883" t="str" cm="1">
        <f t="array" ca="1" aca="1" ref="DC80">IFERROR(IF(AP80*fxVal_normal=_BS!AP80,"",IF(OR(AP80="",NOT(ISNUMBER(AP80)),ISERROR(AP80),$B80=""),"",IF($I80=1,IFBLANK(_xldudf_CX_PUSH(AP80*fxVal_normal,CX_ENTITY,$B80,AP$11,AP$14,AP$60,),""),IF($I80=2,IFBLANK(_xldudf_CX_PUSH(AP80,CX_ENTITY,$B80,AP$11,AP$14,AP$60,),""),IF($I80=3,"",IFBLANK(_xldudf_CX_PUSH(AP80,CX_ENTITY,$B80,AP$11,AP$14,AP$60,),"")))))),"")</f>
        <v/>
      </c>
      <c r="DD80" s="1883" t="str" cm="1">
        <f t="array" ca="1" aca="1" ref="DD80">IFERROR(IF(AQ80*fxVal_normal=_BS!AQ80,"",IF(OR(AQ80="",NOT(ISNUMBER(AQ80)),ISERROR(AQ80),$B80=""),"",IF($I80=1,IFBLANK(_xldudf_CX_PUSH(AQ80*fxVal_normal,CX_ENTITY,$B80,AQ$11,AQ$14,AQ$60,),""),IF($I80=2,IFBLANK(_xldudf_CX_PUSH(AQ80,CX_ENTITY,$B80,AQ$11,AQ$14,AQ$60,),""),IF($I80=3,"",IFBLANK(_xldudf_CX_PUSH(AQ80,CX_ENTITY,$B80,AQ$11,AQ$14,AQ$60,),"")))))),"")</f>
        <v/>
      </c>
      <c r="DE80" s="1883" t="str" cm="1">
        <f t="array" ca="1" aca="1" ref="DE80">IFERROR(IF(AR80*fxVal_normal=_BS!AR80,"",IF(OR(AR80="",NOT(ISNUMBER(AR80)),ISERROR(AR80),$B80=""),"",IF($I80=1,IFBLANK(_xldudf_CX_PUSH(AR80*fxVal_normal,CX_ENTITY,$B80,AR$11,AR$14,AR$60,),""),IF($I80=2,IFBLANK(_xldudf_CX_PUSH(AR80,CX_ENTITY,$B80,AR$11,AR$14,AR$60,),""),IF($I80=3,"",IFBLANK(_xldudf_CX_PUSH(AR80,CX_ENTITY,$B80,AR$11,AR$14,AR$60,),"")))))),"")</f>
        <v/>
      </c>
      <c r="DF80" s="1883" t="str" cm="1">
        <f t="array" ca="1" aca="1" ref="DF80">IFERROR(IF(AS80*fxVal_normal=_BS!AS80,"",IF(OR(AS80="",NOT(ISNUMBER(AS80)),ISERROR(AS80),$B80=""),"",IF($I80=1,IFBLANK(_xldudf_CX_PUSH(AS80*fxVal_normal,CX_ENTITY,$B80,AS$11,AS$14,AS$60,),""),IF($I80=2,IFBLANK(_xldudf_CX_PUSH(AS80,CX_ENTITY,$B80,AS$11,AS$14,AS$60,),""),IF($I80=3,"",IFBLANK(_xldudf_CX_PUSH(AS80,CX_ENTITY,$B80,AS$11,AS$14,AS$60,),"")))))),"")</f>
        <v/>
      </c>
      <c r="DG80" s="1883" t="str" cm="1">
        <f t="array" ca="1" aca="1" ref="DG80">IFERROR(IF(AT80*fxVal_normal=_BS!AT80,"",IF(OR(AT80="",NOT(ISNUMBER(AT80)),ISERROR(AT80),$B80=""),"",IF($I80=1,IFBLANK(_xldudf_CX_PUSH(AT80*fxVal_normal,CX_ENTITY,$B80,AT$11,AT$14,AT$60,),""),IF($I80=2,IFBLANK(_xldudf_CX_PUSH(AT80,CX_ENTITY,$B80,AT$11,AT$14,AT$60,),""),IF($I80=3,"",IFBLANK(_xldudf_CX_PUSH(AT80,CX_ENTITY,$B80,AT$11,AT$14,AT$60,),"")))))),"")</f>
        <v/>
      </c>
      <c r="DH80" s="1883" t="str" cm="1">
        <f t="array" ca="1" aca="1" ref="DH80">IFERROR(IF(AU80*fxVal_normal=_BS!AU80,"",IF(OR(AU80="",NOT(ISNUMBER(AU80)),ISERROR(AU80),$B80=""),"",IF($I80=1,IFBLANK(_xldudf_CX_PUSH(AU80*fxVal_normal,CX_ENTITY,$B80,AU$11,AU$14,AU$60,),""),IF($I80=2,IFBLANK(_xldudf_CX_PUSH(AU80,CX_ENTITY,$B80,AU$11,AU$14,AU$60,),""),IF($I80=3,"",IFBLANK(_xldudf_CX_PUSH(AU80,CX_ENTITY,$B80,AU$11,AU$14,AU$60,),"")))))),"")</f>
        <v/>
      </c>
      <c r="DI80" s="1883" t="str" cm="1">
        <f t="array" ca="1" aca="1" ref="DI80">IFERROR(IF(AV80*fxVal_normal=_BS!AV80,"",IF(OR(AV80="",NOT(ISNUMBER(AV80)),ISERROR(AV80),$B80=""),"",IF($I80=1,IFBLANK(_xldudf_CX_PUSH(AV80*fxVal_normal,CX_ENTITY,$B80,AV$11,AV$14,AV$60,),""),IF($I80=2,IFBLANK(_xldudf_CX_PUSH(AV80,CX_ENTITY,$B80,AV$11,AV$14,AV$60,),""),IF($I80=3,"",IFBLANK(_xldudf_CX_PUSH(AV80,CX_ENTITY,$B80,AV$11,AV$14,AV$60,),"")))))),"")</f>
        <v/>
      </c>
      <c r="DJ80" s="1883" t="str" cm="1">
        <f t="array" ca="1" aca="1" ref="DJ80">IFERROR(IF(AW80*fxVal_normal=_BS!AW80,"",IF(OR(AW80="",NOT(ISNUMBER(AW80)),ISERROR(AW80),$B80=""),"",IF($I80=1,IFBLANK(_xldudf_CX_PUSH(AW80*fxVal_normal,CX_ENTITY,$B80,AW$11,AW$14,AW$60,),""),IF($I80=2,IFBLANK(_xldudf_CX_PUSH(AW80,CX_ENTITY,$B80,AW$11,AW$14,AW$60,),""),IF($I80=3,"",IFBLANK(_xldudf_CX_PUSH(AW80,CX_ENTITY,$B80,AW$11,AW$14,AW$60,),"")))))),"")</f>
        <v/>
      </c>
      <c r="DK80" s="1883" t="str" cm="1">
        <f t="array" ca="1" aca="1" ref="DK80">IFERROR(IF(AX80*fxVal_normal=_BS!AX80,"",IF(OR(AX80="",NOT(ISNUMBER(AX80)),ISERROR(AX80),$B80=""),"",IF($I80=1,IFBLANK(_xldudf_CX_PUSH(AX80*fxVal_normal,CX_ENTITY,$B80,AX$11,AX$14,AX$60,),""),IF($I80=2,IFBLANK(_xldudf_CX_PUSH(AX80,CX_ENTITY,$B80,AX$11,AX$14,AX$60,),""),IF($I80=3,"",IFBLANK(_xldudf_CX_PUSH(AX80,CX_ENTITY,$B80,AX$11,AX$14,AX$60,),"")))))),"")</f>
        <v/>
      </c>
      <c r="DL80" s="1883" t="str" cm="1">
        <f t="array" ca="1" aca="1" ref="DL80">IFERROR(IF(AY80*fxVal_normal=_BS!AY80,"",IF(OR(AY80="",NOT(ISNUMBER(AY80)),ISERROR(AY80),$B80=""),"",IF($I80=1,IFBLANK(_xldudf_CX_PUSH(AY80*fxVal_normal,CX_ENTITY,$B80,AY$11,AY$14,AY$60,),""),IF($I80=2,IFBLANK(_xldudf_CX_PUSH(AY80,CX_ENTITY,$B80,AY$11,AY$14,AY$60,),""),IF($I80=3,"",IFBLANK(_xldudf_CX_PUSH(AY80,CX_ENTITY,$B80,AY$11,AY$14,AY$60,),"")))))),"")</f>
        <v/>
      </c>
      <c r="DM80" s="1883" t="str" cm="1">
        <f t="array" ca="1" aca="1" ref="DM80">IFERROR(IF(AZ80*fxVal_normal=_BS!AZ80,"",IF(OR(AZ80="",NOT(ISNUMBER(AZ80)),ISERROR(AZ80),$B80=""),"",IF($I80=1,IFBLANK(_xldudf_CX_PUSH(AZ80*fxVal_normal,CX_ENTITY,$B80,AZ$11,AZ$14,AZ$60,),""),IF($I80=2,IFBLANK(_xldudf_CX_PUSH(AZ80,CX_ENTITY,$B80,AZ$11,AZ$14,AZ$60,),""),IF($I80=3,"",IFBLANK(_xldudf_CX_PUSH(AZ80,CX_ENTITY,$B80,AZ$11,AZ$14,AZ$60,),"")))))),"")</f>
        <v/>
      </c>
      <c r="DN80" s="1883" t="str" cm="1">
        <f t="array" ca="1" aca="1" ref="DN80">IFERROR(IF(BA80*fxVal_normal=_BS!BA80,"",IF(OR(BA80="",NOT(ISNUMBER(BA80)),ISERROR(BA80),$B80=""),"",IF($I80=1,IFBLANK(_xldudf_CX_PUSH(BA80*fxVal_normal,CX_ENTITY,$B80,BA$11,BA$14,BA$60,),""),IF($I80=2,IFBLANK(_xldudf_CX_PUSH(BA80,CX_ENTITY,$B80,BA$11,BA$14,BA$60,),""),IF($I80=3,"",IFBLANK(_xldudf_CX_PUSH(BA80,CX_ENTITY,$B80,BA$11,BA$14,BA$60,),"")))))),"")</f>
        <v/>
      </c>
      <c r="DO80" s="1883" t="str" cm="1">
        <f t="array" ca="1" aca="1" ref="DO80">IFERROR(IF(BB80*fxVal_normal=_BS!BB80,"",IF(OR(BB80="",NOT(ISNUMBER(BB80)),ISERROR(BB80),$B80=""),"",IF($I80=1,IFBLANK(_xldudf_CX_PUSH(BB80*fxVal_normal,CX_ENTITY,$B80,BB$11,BB$14,BB$60,),""),IF($I80=2,IFBLANK(_xldudf_CX_PUSH(BB80,CX_ENTITY,$B80,BB$11,BB$14,BB$60,),""),IF($I80=3,"",IFBLANK(_xldudf_CX_PUSH(BB80,CX_ENTITY,$B80,BB$11,BB$14,BB$60,),"")))))),"")</f>
        <v/>
      </c>
      <c r="DP80" s="1883" t="str" cm="1">
        <f t="array" ca="1" aca="1" ref="DP80">IFERROR(IF(BC80*fxVal_normal=_BS!BC80,"",IF(OR(BC80="",NOT(ISNUMBER(BC80)),ISERROR(BC80),$B80=""),"",IF($I80=1,IFBLANK(_xldudf_CX_PUSH(BC80*fxVal_normal,CX_ENTITY,$B80,BC$11,BC$14,BC$60,),""),IF($I80=2,IFBLANK(_xldudf_CX_PUSH(BC80,CX_ENTITY,$B80,BC$11,BC$14,BC$60,),""),IF($I80=3,"",IFBLANK(_xldudf_CX_PUSH(BC80,CX_ENTITY,$B80,BC$11,BC$14,BC$60,),"")))))),"")</f>
        <v/>
      </c>
      <c r="DQ80" s="1883" t="str" cm="1">
        <f t="array" ca="1" aca="1" ref="DQ80">IFERROR(IF(BD80*fxVal_normal=_BS!BD80,"",IF(OR(BD80="",NOT(ISNUMBER(BD80)),ISERROR(BD80),$B80=""),"",IF($I80=1,IFBLANK(_xldudf_CX_PUSH(BD80*fxVal_normal,CX_ENTITY,$B80,BD$11,BD$14,BD$60,),""),IF($I80=2,IFBLANK(_xldudf_CX_PUSH(BD80,CX_ENTITY,$B80,BD$11,BD$14,BD$60,),""),IF($I80=3,"",IFBLANK(_xldudf_CX_PUSH(BD80,CX_ENTITY,$B80,BD$11,BD$14,BD$60,),"")))))),"")</f>
        <v/>
      </c>
      <c r="DR80" s="1883" t="str" cm="1">
        <f t="array" ca="1" aca="1" ref="DR80">IFERROR(IF(BE80*fxVal_normal=_BS!BE80,"",IF(OR(BE80="",NOT(ISNUMBER(BE80)),ISERROR(BE80),$B80=""),"",IF($I80=1,IFBLANK(_xldudf_CX_PUSH(BE80*fxVal_normal,CX_ENTITY,$B80,BE$11,BE$14,BE$60,),""),IF($I80=2,IFBLANK(_xldudf_CX_PUSH(BE80,CX_ENTITY,$B80,BE$11,BE$14,BE$60,),""),IF($I80=3,"",IFBLANK(_xldudf_CX_PUSH(BE80,CX_ENTITY,$B80,BE$11,BE$14,BE$60,),"")))))),"")</f>
        <v/>
      </c>
      <c r="DS80" s="1883" t="str" cm="1">
        <f t="array" ca="1" aca="1" ref="DS80">IFERROR(IF(BF80*fxVal_normal=_BS!BF80,"",IF(OR(BF80="",NOT(ISNUMBER(BF80)),ISERROR(BF80),$B80=""),"",IF($I80=1,IFBLANK(_xldudf_CX_PUSH(BF80*fxVal_normal,CX_ENTITY,$B80,BF$11,BF$14,BF$60,),""),IF($I80=2,IFBLANK(_xldudf_CX_PUSH(BF80,CX_ENTITY,$B80,BF$11,BF$14,BF$60,),""),IF($I80=3,"",IFBLANK(_xldudf_CX_PUSH(BF80,CX_ENTITY,$B80,BF$11,BF$14,BF$60,),"")))))),"")</f>
        <v/>
      </c>
      <c r="DT80" s="1883" t="str" cm="1">
        <f t="array" ca="1" aca="1" ref="DT80">IFERROR(IF(BG80*fxVal_normal=_BS!BG80,"",IF(OR(BG80="",NOT(ISNUMBER(BG80)),ISERROR(BG80),$B80=""),"",IF($I80=1,IFBLANK(_xldudf_CX_PUSH(BG80*fxVal_normal,CX_ENTITY,$B80,BG$11,BG$14,BG$60,),""),IF($I80=2,IFBLANK(_xldudf_CX_PUSH(BG80,CX_ENTITY,$B80,BG$11,BG$14,BG$60,),""),IF($I80=3,"",IFBLANK(_xldudf_CX_PUSH(BG80,CX_ENTITY,$B80,BG$11,BG$14,BG$60,),"")))))),"")</f>
        <v/>
      </c>
      <c r="DU80" s="1883" t="str" cm="1">
        <f t="array" ca="1" aca="1" ref="DU80">IFERROR(IF(BH80*fxVal_normal=_BS!BH80,"",IF(OR(BH80="",NOT(ISNUMBER(BH80)),ISERROR(BH80),$B80=""),"",IF($I80=1,IFBLANK(_xldudf_CX_PUSH(BH80*fxVal_normal,CX_ENTITY,$B80,BH$11,BH$14,BH$60,),""),IF($I80=2,IFBLANK(_xldudf_CX_PUSH(BH80,CX_ENTITY,$B80,BH$11,BH$14,BH$60,),""),IF($I80=3,"",IFBLANK(_xldudf_CX_PUSH(BH80,CX_ENTITY,$B80,BH$11,BH$14,BH$60,),"")))))),"")</f>
        <v/>
      </c>
      <c r="DV80" s="1883" t="str" cm="1">
        <f t="array" ca="1" aca="1" ref="DV80">IFERROR(IF(BI80*fxVal_normal=_BS!BI80,"",IF(OR(BI80="",NOT(ISNUMBER(BI80)),ISERROR(BI80),$B80=""),"",IF($I80=1,IFBLANK(_xldudf_CX_PUSH(BI80*fxVal_normal,CX_ENTITY,$B80,BI$11,BI$14,BI$60,),""),IF($I80=2,IFBLANK(_xldudf_CX_PUSH(BI80,CX_ENTITY,$B80,BI$11,BI$14,BI$60,),""),IF($I80=3,"",IFBLANK(_xldudf_CX_PUSH(BI80,CX_ENTITY,$B80,BI$11,BI$14,BI$60,),"")))))),"")</f>
        <v/>
      </c>
      <c r="DW80" s="1883" t="str" cm="1">
        <f t="array" ca="1" aca="1" ref="DW80">IFERROR(IF(BJ80*fxVal_normal=_BS!BJ80,"",IF(OR(BJ80="",NOT(ISNUMBER(BJ80)),ISERROR(BJ80),$B80=""),"",IF($I80=1,IFBLANK(_xldudf_CX_PUSH(BJ80*fxVal_normal,CX_ENTITY,$B80,BJ$11,BJ$14,BJ$60,),""),IF($I80=2,IFBLANK(_xldudf_CX_PUSH(BJ80,CX_ENTITY,$B80,BJ$11,BJ$14,BJ$60,),""),IF($I80=3,"",IFBLANK(_xldudf_CX_PUSH(BJ80,CX_ENTITY,$B80,BJ$11,BJ$14,BJ$60,),"")))))),"")</f>
        <v/>
      </c>
      <c r="DX80" s="1883" t="str" cm="1">
        <f t="array" ca="1" aca="1" ref="DX80">IFERROR(IF(BK80*fxVal_normal=_BS!BK80,"",IF(OR(BK80="",NOT(ISNUMBER(BK80)),ISERROR(BK80),$B80=""),"",IF($I80=1,IFBLANK(_xldudf_CX_PUSH(BK80*fxVal_normal,CX_ENTITY,$B80,BK$11,BK$14,BK$60,),""),IF($I80=2,IFBLANK(_xldudf_CX_PUSH(BK80,CX_ENTITY,$B80,BK$11,BK$14,BK$60,),""),IF($I80=3,"",IFBLANK(_xldudf_CX_PUSH(BK80,CX_ENTITY,$B80,BK$11,BK$14,BK$60,),"")))))),"")</f>
        <v/>
      </c>
      <c r="DY80" s="1883" t="str" cm="1">
        <f t="array" ca="1" aca="1" ref="DY80">IFERROR(IF(BL80*fxVal_normal=_BS!BL80,"",IF(OR(BL80="",NOT(ISNUMBER(BL80)),ISERROR(BL80),$B80=""),"",IF($I80=1,IFBLANK(_xldudf_CX_PUSH(BL80*fxVal_normal,CX_ENTITY,$B80,BL$11,BL$14,BL$60,),""),IF($I80=2,IFBLANK(_xldudf_CX_PUSH(BL80,CX_ENTITY,$B80,BL$11,BL$14,BL$60,),""),IF($I80=3,"",IFBLANK(_xldudf_CX_PUSH(BL80,CX_ENTITY,$B80,BL$11,BL$14,BL$60,),"")))))),"")</f>
        <v/>
      </c>
      <c r="DZ80" s="1883" t="str" cm="1">
        <f t="array" ca="1" aca="1" ref="DZ80">IFERROR(IF(BM80*fxVal_normal=_BS!BM80,"",IF(OR(BM80="",NOT(ISNUMBER(BM80)),ISERROR(BM80),$B80=""),"",IF($I80=1,IFBLANK(_xldudf_CX_PUSH(BM80*fxVal_normal,CX_ENTITY,$B80,BM$11,BM$14,BM$60,),""),IF($I80=2,IFBLANK(_xldudf_CX_PUSH(BM80,CX_ENTITY,$B80,BM$11,BM$14,BM$60,),""),IF($I80=3,"",IFBLANK(_xldudf_CX_PUSH(BM80,CX_ENTITY,$B80,BM$11,BM$14,BM$60,),"")))))),"")</f>
        <v/>
      </c>
      <c r="EA80" s="1883" t="str" cm="1">
        <f t="array" ca="1" aca="1" ref="EA80">IFERROR(IF(BN80*fxVal_normal=_BS!BN80,"",IF(OR(BN80="",NOT(ISNUMBER(BN80)),ISERROR(BN80),$B80=""),"",IF($I80=1,IFBLANK(_xldudf_CX_PUSH(BN80*fxVal_normal,CX_ENTITY,$B80,BN$11,BN$14,BN$60,),""),IF($I80=2,IFBLANK(_xldudf_CX_PUSH(BN80,CX_ENTITY,$B80,BN$11,BN$14,BN$60,),""),IF($I80=3,"",IFBLANK(_xldudf_CX_PUSH(BN80,CX_ENTITY,$B80,BN$11,BN$14,BN$60,),"")))))),"")</f>
        <v/>
      </c>
    </row>
    <row r="81" spans="1:131" ht="21" customHeight="1">
      <c r="A81" s="1646"/>
      <c r="B81" s="811" t="str" cm="1">
        <f t="array" ref="B81">IFBLANK(_BS!F81,"")</f>
        <v>Net External Debt</v>
      </c>
      <c r="C81" s="811" t="str" cm="1">
        <f t="array" ref="C81">IFBLANK(_BS!C81,"")</f>
        <v>Net External Debt (Company View)</v>
      </c>
      <c r="D81" s="1549"/>
      <c r="E81" s="1902" t="e" cm="1">
        <f t="array" ca="1" aca="1" ref="E8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81:$CH81,Z81)</f>
        <v>#NAME?</v>
      </c>
      <c r="F81" s="1897"/>
      <c r="G81" s="1897"/>
      <c r="H81" s="3280">
        <v>2</v>
      </c>
      <c r="I81" s="3280">
        <v>1</v>
      </c>
      <c r="J81" s="401"/>
      <c r="L81" s="921"/>
      <c r="M81" s="921"/>
      <c r="N81" s="158"/>
      <c r="O81" s="101"/>
      <c r="P81" s="52"/>
      <c r="Q81" s="101"/>
      <c r="R81" s="101"/>
      <c r="S81" s="101"/>
      <c r="T81" s="101"/>
      <c r="U81" s="39"/>
      <c r="V81" s="921"/>
      <c r="W81" s="1291" t="str">
        <f t="shared" si="18"/>
        <v>Budget</v>
      </c>
      <c r="X81" s="1294">
        <f>_BS!X81</f>
        <v>0</v>
      </c>
      <c r="Y81" s="1593" t="str">
        <f t="shared" si="17"/>
        <v>Net External Debt</v>
      </c>
      <c r="Z81" s="198" cm="1">
        <f t="array" ref="Z81">_xlfn.SWITCH(TRUE,_BS!$L81=TRUE,1,_BS!$L81=FALSE,-1,_BS!$L81=-1,0,"n/a")</f>
        <v>0</v>
      </c>
      <c r="AA81" s="924"/>
      <c r="AB81" s="88" t="str">
        <f>_BS!AB81</f>
        <v>Net External Debt</v>
      </c>
      <c r="AC81" s="88" t="e" vm="5" cm="1">
        <f t="array" ca="1" aca="1" ref="AC81">_xlfn.LET(_xlpm._termname,$AB81,_xlpm._iconname,"find",_xlpm._icon,fx_getIcon(_xlpm._iconname),_xlpm._location,_xlfn.XLOOKUP(LOWER(_xlpm._termname),LOWER(tbl_acctDef[Term]),tbl_acctDef[Term]),_xlpm._hyperlink,HYPERLINK("#"&amp;CELL("address",_xlpm._location),_xlpm._icon),IFERROR(_xlpm._hyperlink,""))</f>
        <v>#VALUE!</v>
      </c>
      <c r="AD81" s="919">
        <f t="shared" si="24" ref="AD81:BN81">SUBTOTAL(9,AD72:AD80)</f>
        <v>7</v>
      </c>
      <c r="AE81" s="919">
        <f t="shared" si="24"/>
        <v>7</v>
      </c>
      <c r="AF81" s="919">
        <f t="shared" si="24"/>
        <v>7</v>
      </c>
      <c r="AG81" s="919">
        <f t="shared" si="24"/>
        <v>7</v>
      </c>
      <c r="AH81" s="919">
        <f t="shared" si="24"/>
        <v>7</v>
      </c>
      <c r="AI81" s="919">
        <f t="shared" si="24"/>
        <v>7</v>
      </c>
      <c r="AJ81" s="919">
        <f t="shared" si="24"/>
        <v>7</v>
      </c>
      <c r="AK81" s="919">
        <f t="shared" si="24"/>
        <v>7</v>
      </c>
      <c r="AL81" s="919">
        <f t="shared" si="24"/>
        <v>7</v>
      </c>
      <c r="AM81" s="919">
        <f t="shared" si="24"/>
        <v>7</v>
      </c>
      <c r="AN81" s="919">
        <f t="shared" si="24"/>
        <v>7</v>
      </c>
      <c r="AO81" s="919">
        <f t="shared" si="24"/>
        <v>7</v>
      </c>
      <c r="AP81" s="919">
        <f t="shared" si="24"/>
        <v>7</v>
      </c>
      <c r="AQ81" s="919">
        <f t="shared" si="24"/>
        <v>7</v>
      </c>
      <c r="AR81" s="919">
        <f t="shared" si="24"/>
        <v>7</v>
      </c>
      <c r="AS81" s="919">
        <f t="shared" si="24"/>
        <v>7</v>
      </c>
      <c r="AT81" s="919">
        <f t="shared" si="24"/>
        <v>7</v>
      </c>
      <c r="AU81" s="919">
        <f t="shared" si="24"/>
        <v>7</v>
      </c>
      <c r="AV81" s="919">
        <f t="shared" si="24"/>
        <v>7</v>
      </c>
      <c r="AW81" s="919">
        <f t="shared" si="24"/>
        <v>7</v>
      </c>
      <c r="AX81" s="919">
        <f t="shared" si="24"/>
        <v>7</v>
      </c>
      <c r="AY81" s="919">
        <f t="shared" si="24"/>
        <v>7</v>
      </c>
      <c r="AZ81" s="919">
        <f t="shared" si="24"/>
        <v>7</v>
      </c>
      <c r="BA81" s="919">
        <f t="shared" si="24"/>
        <v>7</v>
      </c>
      <c r="BB81" s="919">
        <f t="shared" si="24"/>
        <v>7</v>
      </c>
      <c r="BC81" s="919">
        <f t="shared" si="24"/>
        <v>7</v>
      </c>
      <c r="BD81" s="919">
        <f t="shared" si="24"/>
        <v>7</v>
      </c>
      <c r="BE81" s="919">
        <f t="shared" si="24"/>
        <v>7</v>
      </c>
      <c r="BF81" s="919">
        <f t="shared" si="24"/>
        <v>7</v>
      </c>
      <c r="BG81" s="919">
        <f t="shared" si="24"/>
        <v>7</v>
      </c>
      <c r="BH81" s="919">
        <f t="shared" si="24"/>
        <v>7</v>
      </c>
      <c r="BI81" s="919">
        <f t="shared" si="24"/>
        <v>7</v>
      </c>
      <c r="BJ81" s="919">
        <f t="shared" si="24"/>
        <v>7</v>
      </c>
      <c r="BK81" s="919">
        <f t="shared" si="24"/>
        <v>7</v>
      </c>
      <c r="BL81" s="919">
        <f t="shared" si="24"/>
        <v>7</v>
      </c>
      <c r="BM81" s="919">
        <f t="shared" si="24"/>
        <v>7</v>
      </c>
      <c r="BN81" s="919">
        <f t="shared" si="24"/>
        <v>7</v>
      </c>
      <c r="BO81" s="2117"/>
      <c r="BP81" s="2117"/>
      <c r="BQ81" s="2117"/>
      <c r="BR81" s="2117"/>
      <c r="BS81" s="2117"/>
      <c r="BT81" s="2117"/>
      <c r="BU81" s="2117"/>
      <c r="BV81" s="2117"/>
      <c r="BW81" s="2117"/>
      <c r="BX81" s="2117"/>
      <c r="BY81" s="2117"/>
      <c r="BZ81" s="2117"/>
      <c r="CA81" s="926"/>
      <c r="CB81" s="921"/>
      <c r="CC81" s="927"/>
      <c r="CD81" s="928" t="e" cm="1">
        <f t="array" ca="1" aca="1" ref="CD81">_xlfn.XLOOKUP(BS!CD$11,array_timeline,BS!$AD81:$BN81)</f>
        <v>#NAME?</v>
      </c>
      <c r="CE81" s="928" t="e" cm="1">
        <f t="array" ca="1" aca="1" ref="CE81">_xlfn.XLOOKUP(BS!CE$11,array_timeline,BS!$AD81:$BN81)</f>
        <v>#NAME?</v>
      </c>
      <c r="CF81" s="925"/>
      <c r="CG81" s="541" t="e">
        <f t="shared" ca="1" si="16"/>
        <v>#NAME?</v>
      </c>
      <c r="CH81" s="541" t="e">
        <f t="shared" ca="1" si="16"/>
        <v>#NAME?</v>
      </c>
      <c r="CI81" s="924"/>
      <c r="CQ81" s="1883" t="str" cm="1">
        <f t="array" ca="1" aca="1" ref="CQ81">IFERROR(IF(AD81*fxVal_normal=_BS!AD81,"",IF(OR(AD81="",NOT(ISNUMBER(AD81)),ISERROR(AD81),$B81=""),"",IF($I81=1,IFBLANK(_xldudf_CX_PUSH(AD81*fxVal_normal,CX_ENTITY,$B81,AD$11,AD$14,AD$60,),""),IF($I81=2,IFBLANK(_xldudf_CX_PUSH(AD81,CX_ENTITY,$B81,AD$11,AD$14,AD$60,),""),IF($I81=3,"",IFBLANK(_xldudf_CX_PUSH(AD81,CX_ENTITY,$B81,AD$11,AD$14,AD$60,),"")))))),"")</f>
        <v/>
      </c>
      <c r="CR81" s="1883" t="str" cm="1">
        <f t="array" ca="1" aca="1" ref="CR81">IFERROR(IF(AE81*fxVal_normal=_BS!AE81,"",IF(OR(AE81="",NOT(ISNUMBER(AE81)),ISERROR(AE81),$B81=""),"",IF($I81=1,IFBLANK(_xldudf_CX_PUSH(AE81*fxVal_normal,CX_ENTITY,$B81,AE$11,AE$14,AE$60,),""),IF($I81=2,IFBLANK(_xldudf_CX_PUSH(AE81,CX_ENTITY,$B81,AE$11,AE$14,AE$60,),""),IF($I81=3,"",IFBLANK(_xldudf_CX_PUSH(AE81,CX_ENTITY,$B81,AE$11,AE$14,AE$60,),"")))))),"")</f>
        <v/>
      </c>
      <c r="CS81" s="1883" t="str" cm="1">
        <f t="array" ca="1" aca="1" ref="CS81">IFERROR(IF(AF81*fxVal_normal=_BS!AF81,"",IF(OR(AF81="",NOT(ISNUMBER(AF81)),ISERROR(AF81),$B81=""),"",IF($I81=1,IFBLANK(_xldudf_CX_PUSH(AF81*fxVal_normal,CX_ENTITY,$B81,AF$11,AF$14,AF$60,),""),IF($I81=2,IFBLANK(_xldudf_CX_PUSH(AF81,CX_ENTITY,$B81,AF$11,AF$14,AF$60,),""),IF($I81=3,"",IFBLANK(_xldudf_CX_PUSH(AF81,CX_ENTITY,$B81,AF$11,AF$14,AF$60,),"")))))),"")</f>
        <v/>
      </c>
      <c r="CT81" s="1883" t="str" cm="1">
        <f t="array" ca="1" aca="1" ref="CT81">IFERROR(IF(AG81*fxVal_normal=_BS!AG81,"",IF(OR(AG81="",NOT(ISNUMBER(AG81)),ISERROR(AG81),$B81=""),"",IF($I81=1,IFBLANK(_xldudf_CX_PUSH(AG81*fxVal_normal,CX_ENTITY,$B81,AG$11,AG$14,AG$60,),""),IF($I81=2,IFBLANK(_xldudf_CX_PUSH(AG81,CX_ENTITY,$B81,AG$11,AG$14,AG$60,),""),IF($I81=3,"",IFBLANK(_xldudf_CX_PUSH(AG81,CX_ENTITY,$B81,AG$11,AG$14,AG$60,),"")))))),"")</f>
        <v/>
      </c>
      <c r="CU81" s="1883" t="str" cm="1">
        <f t="array" ca="1" aca="1" ref="CU81">IFERROR(IF(AH81*fxVal_normal=_BS!AH81,"",IF(OR(AH81="",NOT(ISNUMBER(AH81)),ISERROR(AH81),$B81=""),"",IF($I81=1,IFBLANK(_xldudf_CX_PUSH(AH81*fxVal_normal,CX_ENTITY,$B81,AH$11,AH$14,AH$60,),""),IF($I81=2,IFBLANK(_xldudf_CX_PUSH(AH81,CX_ENTITY,$B81,AH$11,AH$14,AH$60,),""),IF($I81=3,"",IFBLANK(_xldudf_CX_PUSH(AH81,CX_ENTITY,$B81,AH$11,AH$14,AH$60,),"")))))),"")</f>
        <v/>
      </c>
      <c r="CV81" s="1883" t="str" cm="1">
        <f t="array" ca="1" aca="1" ref="CV81">IFERROR(IF(AI81*fxVal_normal=_BS!AI81,"",IF(OR(AI81="",NOT(ISNUMBER(AI81)),ISERROR(AI81),$B81=""),"",IF($I81=1,IFBLANK(_xldudf_CX_PUSH(AI81*fxVal_normal,CX_ENTITY,$B81,AI$11,AI$14,AI$60,),""),IF($I81=2,IFBLANK(_xldudf_CX_PUSH(AI81,CX_ENTITY,$B81,AI$11,AI$14,AI$60,),""),IF($I81=3,"",IFBLANK(_xldudf_CX_PUSH(AI81,CX_ENTITY,$B81,AI$11,AI$14,AI$60,),"")))))),"")</f>
        <v/>
      </c>
      <c r="CW81" s="1883" t="str" cm="1">
        <f t="array" ca="1" aca="1" ref="CW81">IFERROR(IF(AJ81*fxVal_normal=_BS!AJ81,"",IF(OR(AJ81="",NOT(ISNUMBER(AJ81)),ISERROR(AJ81),$B81=""),"",IF($I81=1,IFBLANK(_xldudf_CX_PUSH(AJ81*fxVal_normal,CX_ENTITY,$B81,AJ$11,AJ$14,AJ$60,),""),IF($I81=2,IFBLANK(_xldudf_CX_PUSH(AJ81,CX_ENTITY,$B81,AJ$11,AJ$14,AJ$60,),""),IF($I81=3,"",IFBLANK(_xldudf_CX_PUSH(AJ81,CX_ENTITY,$B81,AJ$11,AJ$14,AJ$60,),"")))))),"")</f>
        <v/>
      </c>
      <c r="CX81" s="1883" t="str" cm="1">
        <f t="array" ca="1" aca="1" ref="CX81">IFERROR(IF(AK81*fxVal_normal=_BS!AK81,"",IF(OR(AK81="",NOT(ISNUMBER(AK81)),ISERROR(AK81),$B81=""),"",IF($I81=1,IFBLANK(_xldudf_CX_PUSH(AK81*fxVal_normal,CX_ENTITY,$B81,AK$11,AK$14,AK$60,),""),IF($I81=2,IFBLANK(_xldudf_CX_PUSH(AK81,CX_ENTITY,$B81,AK$11,AK$14,AK$60,),""),IF($I81=3,"",IFBLANK(_xldudf_CX_PUSH(AK81,CX_ENTITY,$B81,AK$11,AK$14,AK$60,),"")))))),"")</f>
        <v/>
      </c>
      <c r="CY81" s="1883" t="str" cm="1">
        <f t="array" ca="1" aca="1" ref="CY81">IFERROR(IF(AL81*fxVal_normal=_BS!AL81,"",IF(OR(AL81="",NOT(ISNUMBER(AL81)),ISERROR(AL81),$B81=""),"",IF($I81=1,IFBLANK(_xldudf_CX_PUSH(AL81*fxVal_normal,CX_ENTITY,$B81,AL$11,AL$14,AL$60,),""),IF($I81=2,IFBLANK(_xldudf_CX_PUSH(AL81,CX_ENTITY,$B81,AL$11,AL$14,AL$60,),""),IF($I81=3,"",IFBLANK(_xldudf_CX_PUSH(AL81,CX_ENTITY,$B81,AL$11,AL$14,AL$60,),"")))))),"")</f>
        <v/>
      </c>
      <c r="CZ81" s="1883" t="str" cm="1">
        <f t="array" ca="1" aca="1" ref="CZ81">IFERROR(IF(AM81*fxVal_normal=_BS!AM81,"",IF(OR(AM81="",NOT(ISNUMBER(AM81)),ISERROR(AM81),$B81=""),"",IF($I81=1,IFBLANK(_xldudf_CX_PUSH(AM81*fxVal_normal,CX_ENTITY,$B81,AM$11,AM$14,AM$60,),""),IF($I81=2,IFBLANK(_xldudf_CX_PUSH(AM81,CX_ENTITY,$B81,AM$11,AM$14,AM$60,),""),IF($I81=3,"",IFBLANK(_xldudf_CX_PUSH(AM81,CX_ENTITY,$B81,AM$11,AM$14,AM$60,),"")))))),"")</f>
        <v/>
      </c>
      <c r="DA81" s="1883" t="str" cm="1">
        <f t="array" ca="1" aca="1" ref="DA81">IFERROR(IF(AN81*fxVal_normal=_BS!AN81,"",IF(OR(AN81="",NOT(ISNUMBER(AN81)),ISERROR(AN81),$B81=""),"",IF($I81=1,IFBLANK(_xldudf_CX_PUSH(AN81*fxVal_normal,CX_ENTITY,$B81,AN$11,AN$14,AN$60,),""),IF($I81=2,IFBLANK(_xldudf_CX_PUSH(AN81,CX_ENTITY,$B81,AN$11,AN$14,AN$60,),""),IF($I81=3,"",IFBLANK(_xldudf_CX_PUSH(AN81,CX_ENTITY,$B81,AN$11,AN$14,AN$60,),"")))))),"")</f>
        <v/>
      </c>
      <c r="DB81" s="1883" t="str" cm="1">
        <f t="array" ca="1" aca="1" ref="DB81">IFERROR(IF(AO81*fxVal_normal=_BS!AO81,"",IF(OR(AO81="",NOT(ISNUMBER(AO81)),ISERROR(AO81),$B81=""),"",IF($I81=1,IFBLANK(_xldudf_CX_PUSH(AO81*fxVal_normal,CX_ENTITY,$B81,AO$11,AO$14,AO$60,),""),IF($I81=2,IFBLANK(_xldudf_CX_PUSH(AO81,CX_ENTITY,$B81,AO$11,AO$14,AO$60,),""),IF($I81=3,"",IFBLANK(_xldudf_CX_PUSH(AO81,CX_ENTITY,$B81,AO$11,AO$14,AO$60,),"")))))),"")</f>
        <v/>
      </c>
      <c r="DC81" s="1883" t="str" cm="1">
        <f t="array" ca="1" aca="1" ref="DC81">IFERROR(IF(AP81*fxVal_normal=_BS!AP81,"",IF(OR(AP81="",NOT(ISNUMBER(AP81)),ISERROR(AP81),$B81=""),"",IF($I81=1,IFBLANK(_xldudf_CX_PUSH(AP81*fxVal_normal,CX_ENTITY,$B81,AP$11,AP$14,AP$60,),""),IF($I81=2,IFBLANK(_xldudf_CX_PUSH(AP81,CX_ENTITY,$B81,AP$11,AP$14,AP$60,),""),IF($I81=3,"",IFBLANK(_xldudf_CX_PUSH(AP81,CX_ENTITY,$B81,AP$11,AP$14,AP$60,),"")))))),"")</f>
        <v/>
      </c>
      <c r="DD81" s="1883" t="str" cm="1">
        <f t="array" ca="1" aca="1" ref="DD81">IFERROR(IF(AQ81*fxVal_normal=_BS!AQ81,"",IF(OR(AQ81="",NOT(ISNUMBER(AQ81)),ISERROR(AQ81),$B81=""),"",IF($I81=1,IFBLANK(_xldudf_CX_PUSH(AQ81*fxVal_normal,CX_ENTITY,$B81,AQ$11,AQ$14,AQ$60,),""),IF($I81=2,IFBLANK(_xldudf_CX_PUSH(AQ81,CX_ENTITY,$B81,AQ$11,AQ$14,AQ$60,),""),IF($I81=3,"",IFBLANK(_xldudf_CX_PUSH(AQ81,CX_ENTITY,$B81,AQ$11,AQ$14,AQ$60,),"")))))),"")</f>
        <v/>
      </c>
      <c r="DE81" s="1883" t="str" cm="1">
        <f t="array" ca="1" aca="1" ref="DE81">IFERROR(IF(AR81*fxVal_normal=_BS!AR81,"",IF(OR(AR81="",NOT(ISNUMBER(AR81)),ISERROR(AR81),$B81=""),"",IF($I81=1,IFBLANK(_xldudf_CX_PUSH(AR81*fxVal_normal,CX_ENTITY,$B81,AR$11,AR$14,AR$60,),""),IF($I81=2,IFBLANK(_xldudf_CX_PUSH(AR81,CX_ENTITY,$B81,AR$11,AR$14,AR$60,),""),IF($I81=3,"",IFBLANK(_xldudf_CX_PUSH(AR81,CX_ENTITY,$B81,AR$11,AR$14,AR$60,),"")))))),"")</f>
        <v/>
      </c>
      <c r="DF81" s="1883" t="str" cm="1">
        <f t="array" ca="1" aca="1" ref="DF81">IFERROR(IF(AS81*fxVal_normal=_BS!AS81,"",IF(OR(AS81="",NOT(ISNUMBER(AS81)),ISERROR(AS81),$B81=""),"",IF($I81=1,IFBLANK(_xldudf_CX_PUSH(AS81*fxVal_normal,CX_ENTITY,$B81,AS$11,AS$14,AS$60,),""),IF($I81=2,IFBLANK(_xldudf_CX_PUSH(AS81,CX_ENTITY,$B81,AS$11,AS$14,AS$60,),""),IF($I81=3,"",IFBLANK(_xldudf_CX_PUSH(AS81,CX_ENTITY,$B81,AS$11,AS$14,AS$60,),"")))))),"")</f>
        <v/>
      </c>
      <c r="DG81" s="1883" t="str" cm="1">
        <f t="array" ca="1" aca="1" ref="DG81">IFERROR(IF(AT81*fxVal_normal=_BS!AT81,"",IF(OR(AT81="",NOT(ISNUMBER(AT81)),ISERROR(AT81),$B81=""),"",IF($I81=1,IFBLANK(_xldudf_CX_PUSH(AT81*fxVal_normal,CX_ENTITY,$B81,AT$11,AT$14,AT$60,),""),IF($I81=2,IFBLANK(_xldudf_CX_PUSH(AT81,CX_ENTITY,$B81,AT$11,AT$14,AT$60,),""),IF($I81=3,"",IFBLANK(_xldudf_CX_PUSH(AT81,CX_ENTITY,$B81,AT$11,AT$14,AT$60,),"")))))),"")</f>
        <v/>
      </c>
      <c r="DH81" s="1883" t="str" cm="1">
        <f t="array" ca="1" aca="1" ref="DH81">IFERROR(IF(AU81*fxVal_normal=_BS!AU81,"",IF(OR(AU81="",NOT(ISNUMBER(AU81)),ISERROR(AU81),$B81=""),"",IF($I81=1,IFBLANK(_xldudf_CX_PUSH(AU81*fxVal_normal,CX_ENTITY,$B81,AU$11,AU$14,AU$60,),""),IF($I81=2,IFBLANK(_xldudf_CX_PUSH(AU81,CX_ENTITY,$B81,AU$11,AU$14,AU$60,),""),IF($I81=3,"",IFBLANK(_xldudf_CX_PUSH(AU81,CX_ENTITY,$B81,AU$11,AU$14,AU$60,),"")))))),"")</f>
        <v/>
      </c>
      <c r="DI81" s="1883" t="str" cm="1">
        <f t="array" ca="1" aca="1" ref="DI81">IFERROR(IF(AV81*fxVal_normal=_BS!AV81,"",IF(OR(AV81="",NOT(ISNUMBER(AV81)),ISERROR(AV81),$B81=""),"",IF($I81=1,IFBLANK(_xldudf_CX_PUSH(AV81*fxVal_normal,CX_ENTITY,$B81,AV$11,AV$14,AV$60,),""),IF($I81=2,IFBLANK(_xldudf_CX_PUSH(AV81,CX_ENTITY,$B81,AV$11,AV$14,AV$60,),""),IF($I81=3,"",IFBLANK(_xldudf_CX_PUSH(AV81,CX_ENTITY,$B81,AV$11,AV$14,AV$60,),"")))))),"")</f>
        <v/>
      </c>
      <c r="DJ81" s="1883" t="str" cm="1">
        <f t="array" ca="1" aca="1" ref="DJ81">IFERROR(IF(AW81*fxVal_normal=_BS!AW81,"",IF(OR(AW81="",NOT(ISNUMBER(AW81)),ISERROR(AW81),$B81=""),"",IF($I81=1,IFBLANK(_xldudf_CX_PUSH(AW81*fxVal_normal,CX_ENTITY,$B81,AW$11,AW$14,AW$60,),""),IF($I81=2,IFBLANK(_xldudf_CX_PUSH(AW81,CX_ENTITY,$B81,AW$11,AW$14,AW$60,),""),IF($I81=3,"",IFBLANK(_xldudf_CX_PUSH(AW81,CX_ENTITY,$B81,AW$11,AW$14,AW$60,),"")))))),"")</f>
        <v/>
      </c>
      <c r="DK81" s="1883" t="str" cm="1">
        <f t="array" ca="1" aca="1" ref="DK81">IFERROR(IF(AX81*fxVal_normal=_BS!AX81,"",IF(OR(AX81="",NOT(ISNUMBER(AX81)),ISERROR(AX81),$B81=""),"",IF($I81=1,IFBLANK(_xldudf_CX_PUSH(AX81*fxVal_normal,CX_ENTITY,$B81,AX$11,AX$14,AX$60,),""),IF($I81=2,IFBLANK(_xldudf_CX_PUSH(AX81,CX_ENTITY,$B81,AX$11,AX$14,AX$60,),""),IF($I81=3,"",IFBLANK(_xldudf_CX_PUSH(AX81,CX_ENTITY,$B81,AX$11,AX$14,AX$60,),"")))))),"")</f>
        <v/>
      </c>
      <c r="DL81" s="1883" t="str" cm="1">
        <f t="array" ca="1" aca="1" ref="DL81">IFERROR(IF(AY81*fxVal_normal=_BS!AY81,"",IF(OR(AY81="",NOT(ISNUMBER(AY81)),ISERROR(AY81),$B81=""),"",IF($I81=1,IFBLANK(_xldudf_CX_PUSH(AY81*fxVal_normal,CX_ENTITY,$B81,AY$11,AY$14,AY$60,),""),IF($I81=2,IFBLANK(_xldudf_CX_PUSH(AY81,CX_ENTITY,$B81,AY$11,AY$14,AY$60,),""),IF($I81=3,"",IFBLANK(_xldudf_CX_PUSH(AY81,CX_ENTITY,$B81,AY$11,AY$14,AY$60,),"")))))),"")</f>
        <v/>
      </c>
      <c r="DM81" s="1883" t="str" cm="1">
        <f t="array" ca="1" aca="1" ref="DM81">IFERROR(IF(AZ81*fxVal_normal=_BS!AZ81,"",IF(OR(AZ81="",NOT(ISNUMBER(AZ81)),ISERROR(AZ81),$B81=""),"",IF($I81=1,IFBLANK(_xldudf_CX_PUSH(AZ81*fxVal_normal,CX_ENTITY,$B81,AZ$11,AZ$14,AZ$60,),""),IF($I81=2,IFBLANK(_xldudf_CX_PUSH(AZ81,CX_ENTITY,$B81,AZ$11,AZ$14,AZ$60,),""),IF($I81=3,"",IFBLANK(_xldudf_CX_PUSH(AZ81,CX_ENTITY,$B81,AZ$11,AZ$14,AZ$60,),"")))))),"")</f>
        <v/>
      </c>
      <c r="DN81" s="1883" t="str" cm="1">
        <f t="array" ca="1" aca="1" ref="DN81">IFERROR(IF(BA81*fxVal_normal=_BS!BA81,"",IF(OR(BA81="",NOT(ISNUMBER(BA81)),ISERROR(BA81),$B81=""),"",IF($I81=1,IFBLANK(_xldudf_CX_PUSH(BA81*fxVal_normal,CX_ENTITY,$B81,BA$11,BA$14,BA$60,),""),IF($I81=2,IFBLANK(_xldudf_CX_PUSH(BA81,CX_ENTITY,$B81,BA$11,BA$14,BA$60,),""),IF($I81=3,"",IFBLANK(_xldudf_CX_PUSH(BA81,CX_ENTITY,$B81,BA$11,BA$14,BA$60,),"")))))),"")</f>
        <v/>
      </c>
      <c r="DO81" s="1883" t="str" cm="1">
        <f t="array" ca="1" aca="1" ref="DO81">IFERROR(IF(BB81*fxVal_normal=_BS!BB81,"",IF(OR(BB81="",NOT(ISNUMBER(BB81)),ISERROR(BB81),$B81=""),"",IF($I81=1,IFBLANK(_xldudf_CX_PUSH(BB81*fxVal_normal,CX_ENTITY,$B81,BB$11,BB$14,BB$60,),""),IF($I81=2,IFBLANK(_xldudf_CX_PUSH(BB81,CX_ENTITY,$B81,BB$11,BB$14,BB$60,),""),IF($I81=3,"",IFBLANK(_xldudf_CX_PUSH(BB81,CX_ENTITY,$B81,BB$11,BB$14,BB$60,),"")))))),"")</f>
        <v/>
      </c>
      <c r="DP81" s="1883" t="str" cm="1">
        <f t="array" ca="1" aca="1" ref="DP81">IFERROR(IF(BC81*fxVal_normal=_BS!BC81,"",IF(OR(BC81="",NOT(ISNUMBER(BC81)),ISERROR(BC81),$B81=""),"",IF($I81=1,IFBLANK(_xldudf_CX_PUSH(BC81*fxVal_normal,CX_ENTITY,$B81,BC$11,BC$14,BC$60,),""),IF($I81=2,IFBLANK(_xldudf_CX_PUSH(BC81,CX_ENTITY,$B81,BC$11,BC$14,BC$60,),""),IF($I81=3,"",IFBLANK(_xldudf_CX_PUSH(BC81,CX_ENTITY,$B81,BC$11,BC$14,BC$60,),"")))))),"")</f>
        <v/>
      </c>
      <c r="DQ81" s="1883" t="str" cm="1">
        <f t="array" ca="1" aca="1" ref="DQ81">IFERROR(IF(BD81*fxVal_normal=_BS!BD81,"",IF(OR(BD81="",NOT(ISNUMBER(BD81)),ISERROR(BD81),$B81=""),"",IF($I81=1,IFBLANK(_xldudf_CX_PUSH(BD81*fxVal_normal,CX_ENTITY,$B81,BD$11,BD$14,BD$60,),""),IF($I81=2,IFBLANK(_xldudf_CX_PUSH(BD81,CX_ENTITY,$B81,BD$11,BD$14,BD$60,),""),IF($I81=3,"",IFBLANK(_xldudf_CX_PUSH(BD81,CX_ENTITY,$B81,BD$11,BD$14,BD$60,),"")))))),"")</f>
        <v/>
      </c>
      <c r="DR81" s="1883" t="str" cm="1">
        <f t="array" ca="1" aca="1" ref="DR81">IFERROR(IF(BE81*fxVal_normal=_BS!BE81,"",IF(OR(BE81="",NOT(ISNUMBER(BE81)),ISERROR(BE81),$B81=""),"",IF($I81=1,IFBLANK(_xldudf_CX_PUSH(BE81*fxVal_normal,CX_ENTITY,$B81,BE$11,BE$14,BE$60,),""),IF($I81=2,IFBLANK(_xldudf_CX_PUSH(BE81,CX_ENTITY,$B81,BE$11,BE$14,BE$60,),""),IF($I81=3,"",IFBLANK(_xldudf_CX_PUSH(BE81,CX_ENTITY,$B81,BE$11,BE$14,BE$60,),"")))))),"")</f>
        <v/>
      </c>
      <c r="DS81" s="1883" t="str" cm="1">
        <f t="array" ca="1" aca="1" ref="DS81">IFERROR(IF(BF81*fxVal_normal=_BS!BF81,"",IF(OR(BF81="",NOT(ISNUMBER(BF81)),ISERROR(BF81),$B81=""),"",IF($I81=1,IFBLANK(_xldudf_CX_PUSH(BF81*fxVal_normal,CX_ENTITY,$B81,BF$11,BF$14,BF$60,),""),IF($I81=2,IFBLANK(_xldudf_CX_PUSH(BF81,CX_ENTITY,$B81,BF$11,BF$14,BF$60,),""),IF($I81=3,"",IFBLANK(_xldudf_CX_PUSH(BF81,CX_ENTITY,$B81,BF$11,BF$14,BF$60,),"")))))),"")</f>
        <v/>
      </c>
      <c r="DT81" s="1883" t="str" cm="1">
        <f t="array" ca="1" aca="1" ref="DT81">IFERROR(IF(BG81*fxVal_normal=_BS!BG81,"",IF(OR(BG81="",NOT(ISNUMBER(BG81)),ISERROR(BG81),$B81=""),"",IF($I81=1,IFBLANK(_xldudf_CX_PUSH(BG81*fxVal_normal,CX_ENTITY,$B81,BG$11,BG$14,BG$60,),""),IF($I81=2,IFBLANK(_xldudf_CX_PUSH(BG81,CX_ENTITY,$B81,BG$11,BG$14,BG$60,),""),IF($I81=3,"",IFBLANK(_xldudf_CX_PUSH(BG81,CX_ENTITY,$B81,BG$11,BG$14,BG$60,),"")))))),"")</f>
        <v/>
      </c>
      <c r="DU81" s="1883" t="str" cm="1">
        <f t="array" ca="1" aca="1" ref="DU81">IFERROR(IF(BH81*fxVal_normal=_BS!BH81,"",IF(OR(BH81="",NOT(ISNUMBER(BH81)),ISERROR(BH81),$B81=""),"",IF($I81=1,IFBLANK(_xldudf_CX_PUSH(BH81*fxVal_normal,CX_ENTITY,$B81,BH$11,BH$14,BH$60,),""),IF($I81=2,IFBLANK(_xldudf_CX_PUSH(BH81,CX_ENTITY,$B81,BH$11,BH$14,BH$60,),""),IF($I81=3,"",IFBLANK(_xldudf_CX_PUSH(BH81,CX_ENTITY,$B81,BH$11,BH$14,BH$60,),"")))))),"")</f>
        <v/>
      </c>
      <c r="DV81" s="1883" t="str" cm="1">
        <f t="array" ca="1" aca="1" ref="DV81">IFERROR(IF(BI81*fxVal_normal=_BS!BI81,"",IF(OR(BI81="",NOT(ISNUMBER(BI81)),ISERROR(BI81),$B81=""),"",IF($I81=1,IFBLANK(_xldudf_CX_PUSH(BI81*fxVal_normal,CX_ENTITY,$B81,BI$11,BI$14,BI$60,),""),IF($I81=2,IFBLANK(_xldudf_CX_PUSH(BI81,CX_ENTITY,$B81,BI$11,BI$14,BI$60,),""),IF($I81=3,"",IFBLANK(_xldudf_CX_PUSH(BI81,CX_ENTITY,$B81,BI$11,BI$14,BI$60,),"")))))),"")</f>
        <v/>
      </c>
      <c r="DW81" s="1883" t="str" cm="1">
        <f t="array" ca="1" aca="1" ref="DW81">IFERROR(IF(BJ81*fxVal_normal=_BS!BJ81,"",IF(OR(BJ81="",NOT(ISNUMBER(BJ81)),ISERROR(BJ81),$B81=""),"",IF($I81=1,IFBLANK(_xldudf_CX_PUSH(BJ81*fxVal_normal,CX_ENTITY,$B81,BJ$11,BJ$14,BJ$60,),""),IF($I81=2,IFBLANK(_xldudf_CX_PUSH(BJ81,CX_ENTITY,$B81,BJ$11,BJ$14,BJ$60,),""),IF($I81=3,"",IFBLANK(_xldudf_CX_PUSH(BJ81,CX_ENTITY,$B81,BJ$11,BJ$14,BJ$60,),"")))))),"")</f>
        <v/>
      </c>
      <c r="DX81" s="1883" t="str" cm="1">
        <f t="array" ca="1" aca="1" ref="DX81">IFERROR(IF(BK81*fxVal_normal=_BS!BK81,"",IF(OR(BK81="",NOT(ISNUMBER(BK81)),ISERROR(BK81),$B81=""),"",IF($I81=1,IFBLANK(_xldudf_CX_PUSH(BK81*fxVal_normal,CX_ENTITY,$B81,BK$11,BK$14,BK$60,),""),IF($I81=2,IFBLANK(_xldudf_CX_PUSH(BK81,CX_ENTITY,$B81,BK$11,BK$14,BK$60,),""),IF($I81=3,"",IFBLANK(_xldudf_CX_PUSH(BK81,CX_ENTITY,$B81,BK$11,BK$14,BK$60,),"")))))),"")</f>
        <v/>
      </c>
      <c r="DY81" s="1883" t="str" cm="1">
        <f t="array" ca="1" aca="1" ref="DY81">IFERROR(IF(BL81*fxVal_normal=_BS!BL81,"",IF(OR(BL81="",NOT(ISNUMBER(BL81)),ISERROR(BL81),$B81=""),"",IF($I81=1,IFBLANK(_xldudf_CX_PUSH(BL81*fxVal_normal,CX_ENTITY,$B81,BL$11,BL$14,BL$60,),""),IF($I81=2,IFBLANK(_xldudf_CX_PUSH(BL81,CX_ENTITY,$B81,BL$11,BL$14,BL$60,),""),IF($I81=3,"",IFBLANK(_xldudf_CX_PUSH(BL81,CX_ENTITY,$B81,BL$11,BL$14,BL$60,),"")))))),"")</f>
        <v/>
      </c>
      <c r="DZ81" s="1883" t="str" cm="1">
        <f t="array" ca="1" aca="1" ref="DZ81">IFERROR(IF(BM81*fxVal_normal=_BS!BM81,"",IF(OR(BM81="",NOT(ISNUMBER(BM81)),ISERROR(BM81),$B81=""),"",IF($I81=1,IFBLANK(_xldudf_CX_PUSH(BM81*fxVal_normal,CX_ENTITY,$B81,BM$11,BM$14,BM$60,),""),IF($I81=2,IFBLANK(_xldudf_CX_PUSH(BM81,CX_ENTITY,$B81,BM$11,BM$14,BM$60,),""),IF($I81=3,"",IFBLANK(_xldudf_CX_PUSH(BM81,CX_ENTITY,$B81,BM$11,BM$14,BM$60,),"")))))),"")</f>
        <v/>
      </c>
      <c r="EA81" s="1883" t="str" cm="1">
        <f t="array" ca="1" aca="1" ref="EA81">IFERROR(IF(BN81*fxVal_normal=_BS!BN81,"",IF(OR(BN81="",NOT(ISNUMBER(BN81)),ISERROR(BN81),$B81=""),"",IF($I81=1,IFBLANK(_xldudf_CX_PUSH(BN81*fxVal_normal,CX_ENTITY,$B81,BN$11,BN$14,BN$60,),""),IF($I81=2,IFBLANK(_xldudf_CX_PUSH(BN81,CX_ENTITY,$B81,BN$11,BN$14,BN$60,),""),IF($I81=3,"",IFBLANK(_xldudf_CX_PUSH(BN81,CX_ENTITY,$B81,BN$11,BN$14,BN$60,),"")))))),"")</f>
        <v/>
      </c>
    </row>
    <row r="82" spans="1:131" ht="21" customHeight="1">
      <c r="A82" s="1646"/>
      <c r="B82" s="811" t="str" cm="1">
        <f t="array" ref="B82">IFBLANK(_BS!F82,"")</f>
        <v>Pension Liabilities (on BS)</v>
      </c>
      <c r="C82" s="811" t="str" cm="1">
        <f t="array" ref="C82">IFBLANK(_BS!C82,"")</f>
        <v>Pension Liabilities (on BS) (Company View)</v>
      </c>
      <c r="D82" s="1549"/>
      <c r="E82" s="1902" t="e" cm="1">
        <f t="array" ca="1" aca="1" ref="E8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82:$CH82,Z82)</f>
        <v>#NAME?</v>
      </c>
      <c r="F82" s="1897"/>
      <c r="G82" s="1897"/>
      <c r="H82" s="3280">
        <v>1</v>
      </c>
      <c r="I82" s="3280">
        <v>1</v>
      </c>
      <c r="J82" s="401"/>
      <c r="N82" s="158"/>
      <c r="O82" s="101"/>
      <c r="P82" s="52"/>
      <c r="Q82" s="101"/>
      <c r="R82" s="126"/>
      <c r="S82" s="101"/>
      <c r="T82" s="101"/>
      <c r="U82" s="39"/>
      <c r="W82" s="930" t="str">
        <f t="shared" si="18"/>
        <v>Budget</v>
      </c>
      <c r="X82" s="857">
        <f>_BS!X82</f>
        <v>-1</v>
      </c>
      <c r="Y82" s="3230">
        <f t="shared" si="17"/>
        <v>2</v>
      </c>
      <c r="Z82" s="3291" cm="1">
        <f t="array" ref="Z82">_xlfn.SWITCH(TRUE,_BS!$L82=TRUE,1,_BS!$L82=FALSE,-1,_BS!$L82=-1,0,"n/a")</f>
        <v>1</v>
      </c>
      <c r="AA82" s="200"/>
      <c r="AB82" s="88" t="str">
        <f>_BS!AB82</f>
        <v>Pension Liabilities (on BS)</v>
      </c>
      <c r="AC82" s="88" t="e" vm="5" cm="1">
        <f t="array" ca="1" aca="1" ref="AC82">_xlfn.LET(_xlpm._termname,$AB82,_xlpm._iconname,"find",_xlpm._icon,fx_getIcon(_xlpm._iconname),_xlpm._location,_xlfn.XLOOKUP(LOWER(_xlpm._termname),LOWER(tbl_acctDef[Term]),tbl_acctDef[Term]),_xlpm._hyperlink,HYPERLINK("#"&amp;CELL("address",_xlpm._location),_xlpm._icon),IFERROR(_xlpm._hyperlink,""))</f>
        <v>#VALUE!</v>
      </c>
      <c r="AD82" s="3229">
        <v>1</v>
      </c>
      <c r="AE82" s="3229">
        <v>1</v>
      </c>
      <c r="AF82" s="3229">
        <v>1</v>
      </c>
      <c r="AG82" s="3229">
        <v>1</v>
      </c>
      <c r="AH82" s="3229">
        <v>1</v>
      </c>
      <c r="AI82" s="3229">
        <v>1</v>
      </c>
      <c r="AJ82" s="3229">
        <v>1</v>
      </c>
      <c r="AK82" s="3229">
        <v>1</v>
      </c>
      <c r="AL82" s="3229">
        <v>1</v>
      </c>
      <c r="AM82" s="3229">
        <v>1</v>
      </c>
      <c r="AN82" s="3229">
        <v>1</v>
      </c>
      <c r="AO82" s="3229">
        <v>1</v>
      </c>
      <c r="AP82" s="3229">
        <v>1</v>
      </c>
      <c r="AQ82" s="3229">
        <v>1</v>
      </c>
      <c r="AR82" s="3229">
        <v>1</v>
      </c>
      <c r="AS82" s="3229">
        <v>1</v>
      </c>
      <c r="AT82" s="3229">
        <v>1</v>
      </c>
      <c r="AU82" s="3229">
        <v>1</v>
      </c>
      <c r="AV82" s="3229">
        <v>1</v>
      </c>
      <c r="AW82" s="3229">
        <v>1</v>
      </c>
      <c r="AX82" s="3229">
        <v>1</v>
      </c>
      <c r="AY82" s="3229">
        <v>1</v>
      </c>
      <c r="AZ82" s="3229">
        <v>1</v>
      </c>
      <c r="BA82" s="3229">
        <v>1</v>
      </c>
      <c r="BB82" s="3229">
        <v>1</v>
      </c>
      <c r="BC82" s="3229">
        <v>1</v>
      </c>
      <c r="BD82" s="3229">
        <v>1</v>
      </c>
      <c r="BE82" s="3229">
        <v>1</v>
      </c>
      <c r="BF82" s="3229">
        <v>1</v>
      </c>
      <c r="BG82" s="3229">
        <v>1</v>
      </c>
      <c r="BH82" s="3229">
        <v>1</v>
      </c>
      <c r="BI82" s="3229">
        <v>1</v>
      </c>
      <c r="BJ82" s="3229">
        <v>1</v>
      </c>
      <c r="BK82" s="3229">
        <v>1</v>
      </c>
      <c r="BL82" s="3229">
        <v>1</v>
      </c>
      <c r="BM82" s="3229">
        <v>1</v>
      </c>
      <c r="BN82" s="3229">
        <v>1</v>
      </c>
      <c r="BO82" s="2095"/>
      <c r="BP82" s="2095"/>
      <c r="BQ82" s="2095"/>
      <c r="BR82" s="2095"/>
      <c r="BS82" s="2095"/>
      <c r="BT82" s="2095"/>
      <c r="BU82" s="2095"/>
      <c r="BV82" s="2095"/>
      <c r="BW82" s="2095"/>
      <c r="BX82" s="2095"/>
      <c r="BY82" s="2095"/>
      <c r="BZ82" s="2095"/>
      <c r="CA82" s="926"/>
      <c r="CB82" s="921"/>
      <c r="CC82" s="927"/>
      <c r="CD82" s="928" t="e" cm="1">
        <f t="array" ca="1" aca="1" ref="CD82">_xlfn.XLOOKUP(BS!CD$11,array_timeline,BS!$AD82:$BN82)</f>
        <v>#NAME?</v>
      </c>
      <c r="CE82" s="928" t="e" cm="1">
        <f t="array" ca="1" aca="1" ref="CE82">_xlfn.XLOOKUP(BS!CE$11,array_timeline,BS!$AD82:$BN82)</f>
        <v>#NAME?</v>
      </c>
      <c r="CF82" s="925"/>
      <c r="CG82" s="2124" t="e">
        <f t="shared" ca="1" si="16"/>
        <v>#NAME?</v>
      </c>
      <c r="CH82" s="2124" t="e">
        <f t="shared" ca="1" si="16"/>
        <v>#NAME?</v>
      </c>
      <c r="CI82" s="200"/>
      <c r="CQ82" s="1883" t="str" cm="1">
        <f t="array" ca="1" aca="1" ref="CQ82">IFERROR(IF(AD82*fxVal_normal=_BS!AD82,"",IF(OR(AD82="",NOT(ISNUMBER(AD82)),ISERROR(AD82),$B82=""),"",IF($I82=1,IFBLANK(_xldudf_CX_PUSH(AD82*fxVal_normal,CX_ENTITY,$B82,AD$11,AD$14,AD$60,),""),IF($I82=2,IFBLANK(_xldudf_CX_PUSH(AD82,CX_ENTITY,$B82,AD$11,AD$14,AD$60,),""),IF($I82=3,"",IFBLANK(_xldudf_CX_PUSH(AD82,CX_ENTITY,$B82,AD$11,AD$14,AD$60,),"")))))),"")</f>
        <v/>
      </c>
      <c r="CR82" s="1883" t="str" cm="1">
        <f t="array" ca="1" aca="1" ref="CR82">IFERROR(IF(AE82*fxVal_normal=_BS!AE82,"",IF(OR(AE82="",NOT(ISNUMBER(AE82)),ISERROR(AE82),$B82=""),"",IF($I82=1,IFBLANK(_xldudf_CX_PUSH(AE82*fxVal_normal,CX_ENTITY,$B82,AE$11,AE$14,AE$60,),""),IF($I82=2,IFBLANK(_xldudf_CX_PUSH(AE82,CX_ENTITY,$B82,AE$11,AE$14,AE$60,),""),IF($I82=3,"",IFBLANK(_xldudf_CX_PUSH(AE82,CX_ENTITY,$B82,AE$11,AE$14,AE$60,),"")))))),"")</f>
        <v/>
      </c>
      <c r="CS82" s="1883" t="str" cm="1">
        <f t="array" ca="1" aca="1" ref="CS82">IFERROR(IF(AF82*fxVal_normal=_BS!AF82,"",IF(OR(AF82="",NOT(ISNUMBER(AF82)),ISERROR(AF82),$B82=""),"",IF($I82=1,IFBLANK(_xldudf_CX_PUSH(AF82*fxVal_normal,CX_ENTITY,$B82,AF$11,AF$14,AF$60,),""),IF($I82=2,IFBLANK(_xldudf_CX_PUSH(AF82,CX_ENTITY,$B82,AF$11,AF$14,AF$60,),""),IF($I82=3,"",IFBLANK(_xldudf_CX_PUSH(AF82,CX_ENTITY,$B82,AF$11,AF$14,AF$60,),"")))))),"")</f>
        <v/>
      </c>
      <c r="CT82" s="1883" t="str" cm="1">
        <f t="array" ca="1" aca="1" ref="CT82">IFERROR(IF(AG82*fxVal_normal=_BS!AG82,"",IF(OR(AG82="",NOT(ISNUMBER(AG82)),ISERROR(AG82),$B82=""),"",IF($I82=1,IFBLANK(_xldudf_CX_PUSH(AG82*fxVal_normal,CX_ENTITY,$B82,AG$11,AG$14,AG$60,),""),IF($I82=2,IFBLANK(_xldudf_CX_PUSH(AG82,CX_ENTITY,$B82,AG$11,AG$14,AG$60,),""),IF($I82=3,"",IFBLANK(_xldudf_CX_PUSH(AG82,CX_ENTITY,$B82,AG$11,AG$14,AG$60,),"")))))),"")</f>
        <v/>
      </c>
      <c r="CU82" s="1883" t="str" cm="1">
        <f t="array" ca="1" aca="1" ref="CU82">IFERROR(IF(AH82*fxVal_normal=_BS!AH82,"",IF(OR(AH82="",NOT(ISNUMBER(AH82)),ISERROR(AH82),$B82=""),"",IF($I82=1,IFBLANK(_xldudf_CX_PUSH(AH82*fxVal_normal,CX_ENTITY,$B82,AH$11,AH$14,AH$60,),""),IF($I82=2,IFBLANK(_xldudf_CX_PUSH(AH82,CX_ENTITY,$B82,AH$11,AH$14,AH$60,),""),IF($I82=3,"",IFBLANK(_xldudf_CX_PUSH(AH82,CX_ENTITY,$B82,AH$11,AH$14,AH$60,),"")))))),"")</f>
        <v/>
      </c>
      <c r="CV82" s="1883" t="str" cm="1">
        <f t="array" ca="1" aca="1" ref="CV82">IFERROR(IF(AI82*fxVal_normal=_BS!AI82,"",IF(OR(AI82="",NOT(ISNUMBER(AI82)),ISERROR(AI82),$B82=""),"",IF($I82=1,IFBLANK(_xldudf_CX_PUSH(AI82*fxVal_normal,CX_ENTITY,$B82,AI$11,AI$14,AI$60,),""),IF($I82=2,IFBLANK(_xldudf_CX_PUSH(AI82,CX_ENTITY,$B82,AI$11,AI$14,AI$60,),""),IF($I82=3,"",IFBLANK(_xldudf_CX_PUSH(AI82,CX_ENTITY,$B82,AI$11,AI$14,AI$60,),"")))))),"")</f>
        <v/>
      </c>
      <c r="CW82" s="1883" t="str" cm="1">
        <f t="array" ca="1" aca="1" ref="CW82">IFERROR(IF(AJ82*fxVal_normal=_BS!AJ82,"",IF(OR(AJ82="",NOT(ISNUMBER(AJ82)),ISERROR(AJ82),$B82=""),"",IF($I82=1,IFBLANK(_xldudf_CX_PUSH(AJ82*fxVal_normal,CX_ENTITY,$B82,AJ$11,AJ$14,AJ$60,),""),IF($I82=2,IFBLANK(_xldudf_CX_PUSH(AJ82,CX_ENTITY,$B82,AJ$11,AJ$14,AJ$60,),""),IF($I82=3,"",IFBLANK(_xldudf_CX_PUSH(AJ82,CX_ENTITY,$B82,AJ$11,AJ$14,AJ$60,),"")))))),"")</f>
        <v/>
      </c>
      <c r="CX82" s="1883" t="str" cm="1">
        <f t="array" ca="1" aca="1" ref="CX82">IFERROR(IF(AK82*fxVal_normal=_BS!AK82,"",IF(OR(AK82="",NOT(ISNUMBER(AK82)),ISERROR(AK82),$B82=""),"",IF($I82=1,IFBLANK(_xldudf_CX_PUSH(AK82*fxVal_normal,CX_ENTITY,$B82,AK$11,AK$14,AK$60,),""),IF($I82=2,IFBLANK(_xldudf_CX_PUSH(AK82,CX_ENTITY,$B82,AK$11,AK$14,AK$60,),""),IF($I82=3,"",IFBLANK(_xldudf_CX_PUSH(AK82,CX_ENTITY,$B82,AK$11,AK$14,AK$60,),"")))))),"")</f>
        <v/>
      </c>
      <c r="CY82" s="1883" t="str" cm="1">
        <f t="array" ca="1" aca="1" ref="CY82">IFERROR(IF(AL82*fxVal_normal=_BS!AL82,"",IF(OR(AL82="",NOT(ISNUMBER(AL82)),ISERROR(AL82),$B82=""),"",IF($I82=1,IFBLANK(_xldudf_CX_PUSH(AL82*fxVal_normal,CX_ENTITY,$B82,AL$11,AL$14,AL$60,),""),IF($I82=2,IFBLANK(_xldudf_CX_PUSH(AL82,CX_ENTITY,$B82,AL$11,AL$14,AL$60,),""),IF($I82=3,"",IFBLANK(_xldudf_CX_PUSH(AL82,CX_ENTITY,$B82,AL$11,AL$14,AL$60,),"")))))),"")</f>
        <v/>
      </c>
      <c r="CZ82" s="1883" t="str" cm="1">
        <f t="array" ca="1" aca="1" ref="CZ82">IFERROR(IF(AM82*fxVal_normal=_BS!AM82,"",IF(OR(AM82="",NOT(ISNUMBER(AM82)),ISERROR(AM82),$B82=""),"",IF($I82=1,IFBLANK(_xldudf_CX_PUSH(AM82*fxVal_normal,CX_ENTITY,$B82,AM$11,AM$14,AM$60,),""),IF($I82=2,IFBLANK(_xldudf_CX_PUSH(AM82,CX_ENTITY,$B82,AM$11,AM$14,AM$60,),""),IF($I82=3,"",IFBLANK(_xldudf_CX_PUSH(AM82,CX_ENTITY,$B82,AM$11,AM$14,AM$60,),"")))))),"")</f>
        <v/>
      </c>
      <c r="DA82" s="1883" t="str" cm="1">
        <f t="array" ca="1" aca="1" ref="DA82">IFERROR(IF(AN82*fxVal_normal=_BS!AN82,"",IF(OR(AN82="",NOT(ISNUMBER(AN82)),ISERROR(AN82),$B82=""),"",IF($I82=1,IFBLANK(_xldudf_CX_PUSH(AN82*fxVal_normal,CX_ENTITY,$B82,AN$11,AN$14,AN$60,),""),IF($I82=2,IFBLANK(_xldudf_CX_PUSH(AN82,CX_ENTITY,$B82,AN$11,AN$14,AN$60,),""),IF($I82=3,"",IFBLANK(_xldudf_CX_PUSH(AN82,CX_ENTITY,$B82,AN$11,AN$14,AN$60,),"")))))),"")</f>
        <v/>
      </c>
      <c r="DB82" s="1883" t="str" cm="1">
        <f t="array" ca="1" aca="1" ref="DB82">IFERROR(IF(AO82*fxVal_normal=_BS!AO82,"",IF(OR(AO82="",NOT(ISNUMBER(AO82)),ISERROR(AO82),$B82=""),"",IF($I82=1,IFBLANK(_xldudf_CX_PUSH(AO82*fxVal_normal,CX_ENTITY,$B82,AO$11,AO$14,AO$60,),""),IF($I82=2,IFBLANK(_xldudf_CX_PUSH(AO82,CX_ENTITY,$B82,AO$11,AO$14,AO$60,),""),IF($I82=3,"",IFBLANK(_xldudf_CX_PUSH(AO82,CX_ENTITY,$B82,AO$11,AO$14,AO$60,),"")))))),"")</f>
        <v/>
      </c>
      <c r="DC82" s="1883" t="str" cm="1">
        <f t="array" ca="1" aca="1" ref="DC82">IFERROR(IF(AP82*fxVal_normal=_BS!AP82,"",IF(OR(AP82="",NOT(ISNUMBER(AP82)),ISERROR(AP82),$B82=""),"",IF($I82=1,IFBLANK(_xldudf_CX_PUSH(AP82*fxVal_normal,CX_ENTITY,$B82,AP$11,AP$14,AP$60,),""),IF($I82=2,IFBLANK(_xldudf_CX_PUSH(AP82,CX_ENTITY,$B82,AP$11,AP$14,AP$60,),""),IF($I82=3,"",IFBLANK(_xldudf_CX_PUSH(AP82,CX_ENTITY,$B82,AP$11,AP$14,AP$60,),"")))))),"")</f>
        <v/>
      </c>
      <c r="DD82" s="1883" t="str" cm="1">
        <f t="array" ca="1" aca="1" ref="DD82">IFERROR(IF(AQ82*fxVal_normal=_BS!AQ82,"",IF(OR(AQ82="",NOT(ISNUMBER(AQ82)),ISERROR(AQ82),$B82=""),"",IF($I82=1,IFBLANK(_xldudf_CX_PUSH(AQ82*fxVal_normal,CX_ENTITY,$B82,AQ$11,AQ$14,AQ$60,),""),IF($I82=2,IFBLANK(_xldudf_CX_PUSH(AQ82,CX_ENTITY,$B82,AQ$11,AQ$14,AQ$60,),""),IF($I82=3,"",IFBLANK(_xldudf_CX_PUSH(AQ82,CX_ENTITY,$B82,AQ$11,AQ$14,AQ$60,),"")))))),"")</f>
        <v/>
      </c>
      <c r="DE82" s="1883" t="str" cm="1">
        <f t="array" ca="1" aca="1" ref="DE82">IFERROR(IF(AR82*fxVal_normal=_BS!AR82,"",IF(OR(AR82="",NOT(ISNUMBER(AR82)),ISERROR(AR82),$B82=""),"",IF($I82=1,IFBLANK(_xldudf_CX_PUSH(AR82*fxVal_normal,CX_ENTITY,$B82,AR$11,AR$14,AR$60,),""),IF($I82=2,IFBLANK(_xldudf_CX_PUSH(AR82,CX_ENTITY,$B82,AR$11,AR$14,AR$60,),""),IF($I82=3,"",IFBLANK(_xldudf_CX_PUSH(AR82,CX_ENTITY,$B82,AR$11,AR$14,AR$60,),"")))))),"")</f>
        <v/>
      </c>
      <c r="DF82" s="1883" t="str" cm="1">
        <f t="array" ca="1" aca="1" ref="DF82">IFERROR(IF(AS82*fxVal_normal=_BS!AS82,"",IF(OR(AS82="",NOT(ISNUMBER(AS82)),ISERROR(AS82),$B82=""),"",IF($I82=1,IFBLANK(_xldudf_CX_PUSH(AS82*fxVal_normal,CX_ENTITY,$B82,AS$11,AS$14,AS$60,),""),IF($I82=2,IFBLANK(_xldudf_CX_PUSH(AS82,CX_ENTITY,$B82,AS$11,AS$14,AS$60,),""),IF($I82=3,"",IFBLANK(_xldudf_CX_PUSH(AS82,CX_ENTITY,$B82,AS$11,AS$14,AS$60,),"")))))),"")</f>
        <v/>
      </c>
      <c r="DG82" s="1883" t="str" cm="1">
        <f t="array" ca="1" aca="1" ref="DG82">IFERROR(IF(AT82*fxVal_normal=_BS!AT82,"",IF(OR(AT82="",NOT(ISNUMBER(AT82)),ISERROR(AT82),$B82=""),"",IF($I82=1,IFBLANK(_xldudf_CX_PUSH(AT82*fxVal_normal,CX_ENTITY,$B82,AT$11,AT$14,AT$60,),""),IF($I82=2,IFBLANK(_xldudf_CX_PUSH(AT82,CX_ENTITY,$B82,AT$11,AT$14,AT$60,),""),IF($I82=3,"",IFBLANK(_xldudf_CX_PUSH(AT82,CX_ENTITY,$B82,AT$11,AT$14,AT$60,),"")))))),"")</f>
        <v/>
      </c>
      <c r="DH82" s="1883" t="str" cm="1">
        <f t="array" ca="1" aca="1" ref="DH82">IFERROR(IF(AU82*fxVal_normal=_BS!AU82,"",IF(OR(AU82="",NOT(ISNUMBER(AU82)),ISERROR(AU82),$B82=""),"",IF($I82=1,IFBLANK(_xldudf_CX_PUSH(AU82*fxVal_normal,CX_ENTITY,$B82,AU$11,AU$14,AU$60,),""),IF($I82=2,IFBLANK(_xldudf_CX_PUSH(AU82,CX_ENTITY,$B82,AU$11,AU$14,AU$60,),""),IF($I82=3,"",IFBLANK(_xldudf_CX_PUSH(AU82,CX_ENTITY,$B82,AU$11,AU$14,AU$60,),"")))))),"")</f>
        <v/>
      </c>
      <c r="DI82" s="1883" t="str" cm="1">
        <f t="array" ca="1" aca="1" ref="DI82">IFERROR(IF(AV82*fxVal_normal=_BS!AV82,"",IF(OR(AV82="",NOT(ISNUMBER(AV82)),ISERROR(AV82),$B82=""),"",IF($I82=1,IFBLANK(_xldudf_CX_PUSH(AV82*fxVal_normal,CX_ENTITY,$B82,AV$11,AV$14,AV$60,),""),IF($I82=2,IFBLANK(_xldudf_CX_PUSH(AV82,CX_ENTITY,$B82,AV$11,AV$14,AV$60,),""),IF($I82=3,"",IFBLANK(_xldudf_CX_PUSH(AV82,CX_ENTITY,$B82,AV$11,AV$14,AV$60,),"")))))),"")</f>
        <v/>
      </c>
      <c r="DJ82" s="1883" t="str" cm="1">
        <f t="array" ca="1" aca="1" ref="DJ82">IFERROR(IF(AW82*fxVal_normal=_BS!AW82,"",IF(OR(AW82="",NOT(ISNUMBER(AW82)),ISERROR(AW82),$B82=""),"",IF($I82=1,IFBLANK(_xldudf_CX_PUSH(AW82*fxVal_normal,CX_ENTITY,$B82,AW$11,AW$14,AW$60,),""),IF($I82=2,IFBLANK(_xldudf_CX_PUSH(AW82,CX_ENTITY,$B82,AW$11,AW$14,AW$60,),""),IF($I82=3,"",IFBLANK(_xldudf_CX_PUSH(AW82,CX_ENTITY,$B82,AW$11,AW$14,AW$60,),"")))))),"")</f>
        <v/>
      </c>
      <c r="DK82" s="1883" t="str" cm="1">
        <f t="array" ca="1" aca="1" ref="DK82">IFERROR(IF(AX82*fxVal_normal=_BS!AX82,"",IF(OR(AX82="",NOT(ISNUMBER(AX82)),ISERROR(AX82),$B82=""),"",IF($I82=1,IFBLANK(_xldudf_CX_PUSH(AX82*fxVal_normal,CX_ENTITY,$B82,AX$11,AX$14,AX$60,),""),IF($I82=2,IFBLANK(_xldudf_CX_PUSH(AX82,CX_ENTITY,$B82,AX$11,AX$14,AX$60,),""),IF($I82=3,"",IFBLANK(_xldudf_CX_PUSH(AX82,CX_ENTITY,$B82,AX$11,AX$14,AX$60,),"")))))),"")</f>
        <v/>
      </c>
      <c r="DL82" s="1883" t="str" cm="1">
        <f t="array" ca="1" aca="1" ref="DL82">IFERROR(IF(AY82*fxVal_normal=_BS!AY82,"",IF(OR(AY82="",NOT(ISNUMBER(AY82)),ISERROR(AY82),$B82=""),"",IF($I82=1,IFBLANK(_xldudf_CX_PUSH(AY82*fxVal_normal,CX_ENTITY,$B82,AY$11,AY$14,AY$60,),""),IF($I82=2,IFBLANK(_xldudf_CX_PUSH(AY82,CX_ENTITY,$B82,AY$11,AY$14,AY$60,),""),IF($I82=3,"",IFBLANK(_xldudf_CX_PUSH(AY82,CX_ENTITY,$B82,AY$11,AY$14,AY$60,),"")))))),"")</f>
        <v/>
      </c>
      <c r="DM82" s="1883" t="str" cm="1">
        <f t="array" ca="1" aca="1" ref="DM82">IFERROR(IF(AZ82*fxVal_normal=_BS!AZ82,"",IF(OR(AZ82="",NOT(ISNUMBER(AZ82)),ISERROR(AZ82),$B82=""),"",IF($I82=1,IFBLANK(_xldudf_CX_PUSH(AZ82*fxVal_normal,CX_ENTITY,$B82,AZ$11,AZ$14,AZ$60,),""),IF($I82=2,IFBLANK(_xldudf_CX_PUSH(AZ82,CX_ENTITY,$B82,AZ$11,AZ$14,AZ$60,),""),IF($I82=3,"",IFBLANK(_xldudf_CX_PUSH(AZ82,CX_ENTITY,$B82,AZ$11,AZ$14,AZ$60,),"")))))),"")</f>
        <v/>
      </c>
      <c r="DN82" s="1883" t="str" cm="1">
        <f t="array" ca="1" aca="1" ref="DN82">IFERROR(IF(BA82*fxVal_normal=_BS!BA82,"",IF(OR(BA82="",NOT(ISNUMBER(BA82)),ISERROR(BA82),$B82=""),"",IF($I82=1,IFBLANK(_xldudf_CX_PUSH(BA82*fxVal_normal,CX_ENTITY,$B82,BA$11,BA$14,BA$60,),""),IF($I82=2,IFBLANK(_xldudf_CX_PUSH(BA82,CX_ENTITY,$B82,BA$11,BA$14,BA$60,),""),IF($I82=3,"",IFBLANK(_xldudf_CX_PUSH(BA82,CX_ENTITY,$B82,BA$11,BA$14,BA$60,),"")))))),"")</f>
        <v/>
      </c>
      <c r="DO82" s="1883" t="str" cm="1">
        <f t="array" ca="1" aca="1" ref="DO82">IFERROR(IF(BB82*fxVal_normal=_BS!BB82,"",IF(OR(BB82="",NOT(ISNUMBER(BB82)),ISERROR(BB82),$B82=""),"",IF($I82=1,IFBLANK(_xldudf_CX_PUSH(BB82*fxVal_normal,CX_ENTITY,$B82,BB$11,BB$14,BB$60,),""),IF($I82=2,IFBLANK(_xldudf_CX_PUSH(BB82,CX_ENTITY,$B82,BB$11,BB$14,BB$60,),""),IF($I82=3,"",IFBLANK(_xldudf_CX_PUSH(BB82,CX_ENTITY,$B82,BB$11,BB$14,BB$60,),"")))))),"")</f>
        <v/>
      </c>
      <c r="DP82" s="1883" t="str" cm="1">
        <f t="array" ca="1" aca="1" ref="DP82">IFERROR(IF(BC82*fxVal_normal=_BS!BC82,"",IF(OR(BC82="",NOT(ISNUMBER(BC82)),ISERROR(BC82),$B82=""),"",IF($I82=1,IFBLANK(_xldudf_CX_PUSH(BC82*fxVal_normal,CX_ENTITY,$B82,BC$11,BC$14,BC$60,),""),IF($I82=2,IFBLANK(_xldudf_CX_PUSH(BC82,CX_ENTITY,$B82,BC$11,BC$14,BC$60,),""),IF($I82=3,"",IFBLANK(_xldudf_CX_PUSH(BC82,CX_ENTITY,$B82,BC$11,BC$14,BC$60,),"")))))),"")</f>
        <v/>
      </c>
      <c r="DQ82" s="1883" t="str" cm="1">
        <f t="array" ca="1" aca="1" ref="DQ82">IFERROR(IF(BD82*fxVal_normal=_BS!BD82,"",IF(OR(BD82="",NOT(ISNUMBER(BD82)),ISERROR(BD82),$B82=""),"",IF($I82=1,IFBLANK(_xldudf_CX_PUSH(BD82*fxVal_normal,CX_ENTITY,$B82,BD$11,BD$14,BD$60,),""),IF($I82=2,IFBLANK(_xldudf_CX_PUSH(BD82,CX_ENTITY,$B82,BD$11,BD$14,BD$60,),""),IF($I82=3,"",IFBLANK(_xldudf_CX_PUSH(BD82,CX_ENTITY,$B82,BD$11,BD$14,BD$60,),"")))))),"")</f>
        <v/>
      </c>
      <c r="DR82" s="1883" t="str" cm="1">
        <f t="array" ca="1" aca="1" ref="DR82">IFERROR(IF(BE82*fxVal_normal=_BS!BE82,"",IF(OR(BE82="",NOT(ISNUMBER(BE82)),ISERROR(BE82),$B82=""),"",IF($I82=1,IFBLANK(_xldudf_CX_PUSH(BE82*fxVal_normal,CX_ENTITY,$B82,BE$11,BE$14,BE$60,),""),IF($I82=2,IFBLANK(_xldudf_CX_PUSH(BE82,CX_ENTITY,$B82,BE$11,BE$14,BE$60,),""),IF($I82=3,"",IFBLANK(_xldudf_CX_PUSH(BE82,CX_ENTITY,$B82,BE$11,BE$14,BE$60,),"")))))),"")</f>
        <v/>
      </c>
      <c r="DS82" s="1883" t="str" cm="1">
        <f t="array" ca="1" aca="1" ref="DS82">IFERROR(IF(BF82*fxVal_normal=_BS!BF82,"",IF(OR(BF82="",NOT(ISNUMBER(BF82)),ISERROR(BF82),$B82=""),"",IF($I82=1,IFBLANK(_xldudf_CX_PUSH(BF82*fxVal_normal,CX_ENTITY,$B82,BF$11,BF$14,BF$60,),""),IF($I82=2,IFBLANK(_xldudf_CX_PUSH(BF82,CX_ENTITY,$B82,BF$11,BF$14,BF$60,),""),IF($I82=3,"",IFBLANK(_xldudf_CX_PUSH(BF82,CX_ENTITY,$B82,BF$11,BF$14,BF$60,),"")))))),"")</f>
        <v/>
      </c>
      <c r="DT82" s="1883" t="str" cm="1">
        <f t="array" ca="1" aca="1" ref="DT82">IFERROR(IF(BG82*fxVal_normal=_BS!BG82,"",IF(OR(BG82="",NOT(ISNUMBER(BG82)),ISERROR(BG82),$B82=""),"",IF($I82=1,IFBLANK(_xldudf_CX_PUSH(BG82*fxVal_normal,CX_ENTITY,$B82,BG$11,BG$14,BG$60,),""),IF($I82=2,IFBLANK(_xldudf_CX_PUSH(BG82,CX_ENTITY,$B82,BG$11,BG$14,BG$60,),""),IF($I82=3,"",IFBLANK(_xldudf_CX_PUSH(BG82,CX_ENTITY,$B82,BG$11,BG$14,BG$60,),"")))))),"")</f>
        <v/>
      </c>
      <c r="DU82" s="1883" t="str" cm="1">
        <f t="array" ca="1" aca="1" ref="DU82">IFERROR(IF(BH82*fxVal_normal=_BS!BH82,"",IF(OR(BH82="",NOT(ISNUMBER(BH82)),ISERROR(BH82),$B82=""),"",IF($I82=1,IFBLANK(_xldudf_CX_PUSH(BH82*fxVal_normal,CX_ENTITY,$B82,BH$11,BH$14,BH$60,),""),IF($I82=2,IFBLANK(_xldudf_CX_PUSH(BH82,CX_ENTITY,$B82,BH$11,BH$14,BH$60,),""),IF($I82=3,"",IFBLANK(_xldudf_CX_PUSH(BH82,CX_ENTITY,$B82,BH$11,BH$14,BH$60,),"")))))),"")</f>
        <v/>
      </c>
      <c r="DV82" s="1883" t="str" cm="1">
        <f t="array" ca="1" aca="1" ref="DV82">IFERROR(IF(BI82*fxVal_normal=_BS!BI82,"",IF(OR(BI82="",NOT(ISNUMBER(BI82)),ISERROR(BI82),$B82=""),"",IF($I82=1,IFBLANK(_xldudf_CX_PUSH(BI82*fxVal_normal,CX_ENTITY,$B82,BI$11,BI$14,BI$60,),""),IF($I82=2,IFBLANK(_xldudf_CX_PUSH(BI82,CX_ENTITY,$B82,BI$11,BI$14,BI$60,),""),IF($I82=3,"",IFBLANK(_xldudf_CX_PUSH(BI82,CX_ENTITY,$B82,BI$11,BI$14,BI$60,),"")))))),"")</f>
        <v/>
      </c>
      <c r="DW82" s="1883" t="str" cm="1">
        <f t="array" ca="1" aca="1" ref="DW82">IFERROR(IF(BJ82*fxVal_normal=_BS!BJ82,"",IF(OR(BJ82="",NOT(ISNUMBER(BJ82)),ISERROR(BJ82),$B82=""),"",IF($I82=1,IFBLANK(_xldudf_CX_PUSH(BJ82*fxVal_normal,CX_ENTITY,$B82,BJ$11,BJ$14,BJ$60,),""),IF($I82=2,IFBLANK(_xldudf_CX_PUSH(BJ82,CX_ENTITY,$B82,BJ$11,BJ$14,BJ$60,),""),IF($I82=3,"",IFBLANK(_xldudf_CX_PUSH(BJ82,CX_ENTITY,$B82,BJ$11,BJ$14,BJ$60,),"")))))),"")</f>
        <v/>
      </c>
      <c r="DX82" s="1883" t="str" cm="1">
        <f t="array" ca="1" aca="1" ref="DX82">IFERROR(IF(BK82*fxVal_normal=_BS!BK82,"",IF(OR(BK82="",NOT(ISNUMBER(BK82)),ISERROR(BK82),$B82=""),"",IF($I82=1,IFBLANK(_xldudf_CX_PUSH(BK82*fxVal_normal,CX_ENTITY,$B82,BK$11,BK$14,BK$60,),""),IF($I82=2,IFBLANK(_xldudf_CX_PUSH(BK82,CX_ENTITY,$B82,BK$11,BK$14,BK$60,),""),IF($I82=3,"",IFBLANK(_xldudf_CX_PUSH(BK82,CX_ENTITY,$B82,BK$11,BK$14,BK$60,),"")))))),"")</f>
        <v/>
      </c>
      <c r="DY82" s="1883" t="str" cm="1">
        <f t="array" ca="1" aca="1" ref="DY82">IFERROR(IF(BL82*fxVal_normal=_BS!BL82,"",IF(OR(BL82="",NOT(ISNUMBER(BL82)),ISERROR(BL82),$B82=""),"",IF($I82=1,IFBLANK(_xldudf_CX_PUSH(BL82*fxVal_normal,CX_ENTITY,$B82,BL$11,BL$14,BL$60,),""),IF($I82=2,IFBLANK(_xldudf_CX_PUSH(BL82,CX_ENTITY,$B82,BL$11,BL$14,BL$60,),""),IF($I82=3,"",IFBLANK(_xldudf_CX_PUSH(BL82,CX_ENTITY,$B82,BL$11,BL$14,BL$60,),"")))))),"")</f>
        <v/>
      </c>
      <c r="DZ82" s="1883" t="str" cm="1">
        <f t="array" ca="1" aca="1" ref="DZ82">IFERROR(IF(BM82*fxVal_normal=_BS!BM82,"",IF(OR(BM82="",NOT(ISNUMBER(BM82)),ISERROR(BM82),$B82=""),"",IF($I82=1,IFBLANK(_xldudf_CX_PUSH(BM82*fxVal_normal,CX_ENTITY,$B82,BM$11,BM$14,BM$60,),""),IF($I82=2,IFBLANK(_xldudf_CX_PUSH(BM82,CX_ENTITY,$B82,BM$11,BM$14,BM$60,),""),IF($I82=3,"",IFBLANK(_xldudf_CX_PUSH(BM82,CX_ENTITY,$B82,BM$11,BM$14,BM$60,),"")))))),"")</f>
        <v/>
      </c>
      <c r="EA82" s="1883" t="str" cm="1">
        <f t="array" ca="1" aca="1" ref="EA82">IFERROR(IF(BN82*fxVal_normal=_BS!BN82,"",IF(OR(BN82="",NOT(ISNUMBER(BN82)),ISERROR(BN82),$B82=""),"",IF($I82=1,IFBLANK(_xldudf_CX_PUSH(BN82*fxVal_normal,CX_ENTITY,$B82,BN$11,BN$14,BN$60,),""),IF($I82=2,IFBLANK(_xldudf_CX_PUSH(BN82,CX_ENTITY,$B82,BN$11,BN$14,BN$60,),""),IF($I82=3,"",IFBLANK(_xldudf_CX_PUSH(BN82,CX_ENTITY,$B82,BN$11,BN$14,BN$60,),"")))))),"")</f>
        <v/>
      </c>
    </row>
    <row r="83" spans="1:131" ht="21" customHeight="1">
      <c r="A83" s="1646"/>
      <c r="B83" s="811" t="str" cm="1">
        <f t="array" ref="B83">IFBLANK(_BS!F83,"")</f>
        <v>IFRS-16 Lease Liabilities (on BS)</v>
      </c>
      <c r="C83" s="811" t="str" cm="1">
        <f t="array" ref="C83">IFBLANK(_BS!C83,"")</f>
        <v>IFRS-16 Lease Liabilities (on BS) (Company View)</v>
      </c>
      <c r="D83" s="1549"/>
      <c r="E83" s="1902" t="e" cm="1">
        <f t="array" ca="1" aca="1" ref="E8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83:$CH83,Z83)</f>
        <v>#NAME?</v>
      </c>
      <c r="F83" s="1897"/>
      <c r="G83" s="1897"/>
      <c r="H83" s="3280">
        <v>1</v>
      </c>
      <c r="I83" s="3280">
        <v>1</v>
      </c>
      <c r="J83" s="401"/>
      <c r="N83" s="158"/>
      <c r="O83" s="101"/>
      <c r="P83" s="52"/>
      <c r="Q83" s="101"/>
      <c r="R83" s="101"/>
      <c r="S83" s="101"/>
      <c r="T83" s="101"/>
      <c r="U83" s="39"/>
      <c r="W83" s="930" t="str">
        <f t="shared" si="18"/>
        <v>Budget</v>
      </c>
      <c r="X83" s="857">
        <f>_BS!X83</f>
        <v>-1</v>
      </c>
      <c r="Y83" s="3230">
        <f t="shared" si="17"/>
        <v>2</v>
      </c>
      <c r="Z83" s="3291" cm="1">
        <f t="array" ref="Z83">_xlfn.SWITCH(TRUE,_BS!$L83=TRUE,1,_BS!$L83=FALSE,-1,_BS!$L83=-1,0,"n/a")</f>
        <v>1</v>
      </c>
      <c r="AA83" s="200"/>
      <c r="AB83" s="88" t="str">
        <f>_BS!AB83</f>
        <v>IFRS-16 Lease Liabilities (on BS)</v>
      </c>
      <c r="AC83" s="88" t="e" vm="5" cm="1">
        <f t="array" ca="1" aca="1" ref="AC83">_xlfn.LET(_xlpm._termname,$AB83,_xlpm._iconname,"find",_xlpm._icon,fx_getIcon(_xlpm._iconname),_xlpm._location,_xlfn.XLOOKUP(LOWER(_xlpm._termname),LOWER(tbl_acctDef[Term]),tbl_acctDef[Term]),_xlpm._hyperlink,HYPERLINK("#"&amp;CELL("address",_xlpm._location),_xlpm._icon),IFERROR(_xlpm._hyperlink,""))</f>
        <v>#VALUE!</v>
      </c>
      <c r="AD83" s="3229">
        <v>1</v>
      </c>
      <c r="AE83" s="3229">
        <v>1</v>
      </c>
      <c r="AF83" s="3229">
        <v>1</v>
      </c>
      <c r="AG83" s="3229">
        <v>1</v>
      </c>
      <c r="AH83" s="3229">
        <v>1</v>
      </c>
      <c r="AI83" s="3229">
        <v>1</v>
      </c>
      <c r="AJ83" s="3229">
        <v>1</v>
      </c>
      <c r="AK83" s="3229">
        <v>1</v>
      </c>
      <c r="AL83" s="3229">
        <v>1</v>
      </c>
      <c r="AM83" s="3229">
        <v>1</v>
      </c>
      <c r="AN83" s="3229">
        <v>1</v>
      </c>
      <c r="AO83" s="3229">
        <v>1</v>
      </c>
      <c r="AP83" s="3229">
        <v>1</v>
      </c>
      <c r="AQ83" s="3229">
        <v>1</v>
      </c>
      <c r="AR83" s="3229">
        <v>1</v>
      </c>
      <c r="AS83" s="3229">
        <v>1</v>
      </c>
      <c r="AT83" s="3229">
        <v>1</v>
      </c>
      <c r="AU83" s="3229">
        <v>1</v>
      </c>
      <c r="AV83" s="3229">
        <v>1</v>
      </c>
      <c r="AW83" s="3229">
        <v>1</v>
      </c>
      <c r="AX83" s="3229">
        <v>1</v>
      </c>
      <c r="AY83" s="3229">
        <v>1</v>
      </c>
      <c r="AZ83" s="3229">
        <v>1</v>
      </c>
      <c r="BA83" s="3229">
        <v>1</v>
      </c>
      <c r="BB83" s="3229">
        <v>1</v>
      </c>
      <c r="BC83" s="3229">
        <v>1</v>
      </c>
      <c r="BD83" s="3229">
        <v>1</v>
      </c>
      <c r="BE83" s="3229">
        <v>1</v>
      </c>
      <c r="BF83" s="3229">
        <v>1</v>
      </c>
      <c r="BG83" s="3229">
        <v>1</v>
      </c>
      <c r="BH83" s="3229">
        <v>1</v>
      </c>
      <c r="BI83" s="3229">
        <v>1</v>
      </c>
      <c r="BJ83" s="3229">
        <v>1</v>
      </c>
      <c r="BK83" s="3229">
        <v>1</v>
      </c>
      <c r="BL83" s="3229">
        <v>1</v>
      </c>
      <c r="BM83" s="3229">
        <v>1</v>
      </c>
      <c r="BN83" s="3229">
        <v>1</v>
      </c>
      <c r="BO83" s="2095"/>
      <c r="BP83" s="2095"/>
      <c r="BQ83" s="2095"/>
      <c r="BR83" s="2095"/>
      <c r="BS83" s="2095"/>
      <c r="BT83" s="2095"/>
      <c r="BU83" s="2095"/>
      <c r="BV83" s="2095"/>
      <c r="BW83" s="2095"/>
      <c r="BX83" s="2095"/>
      <c r="BY83" s="2095"/>
      <c r="BZ83" s="2095"/>
      <c r="CA83" s="926"/>
      <c r="CB83" s="921"/>
      <c r="CC83" s="927"/>
      <c r="CD83" s="928" t="e" cm="1">
        <f t="array" ca="1" aca="1" ref="CD83">_xlfn.XLOOKUP(BS!CD$11,array_timeline,BS!$AD83:$BN83)</f>
        <v>#NAME?</v>
      </c>
      <c r="CE83" s="928" t="e" cm="1">
        <f t="array" ca="1" aca="1" ref="CE83">_xlfn.XLOOKUP(BS!CE$11,array_timeline,BS!$AD83:$BN83)</f>
        <v>#NAME?</v>
      </c>
      <c r="CF83" s="925"/>
      <c r="CG83" s="2124" t="e">
        <f t="shared" ca="1" si="16"/>
        <v>#NAME?</v>
      </c>
      <c r="CH83" s="2124" t="e">
        <f t="shared" ca="1" si="16"/>
        <v>#NAME?</v>
      </c>
      <c r="CI83" s="200"/>
      <c r="CQ83" s="1883" t="str" cm="1">
        <f t="array" ca="1" aca="1" ref="CQ83">IFERROR(IF(AD83*fxVal_normal=_BS!AD83,"",IF(OR(AD83="",NOT(ISNUMBER(AD83)),ISERROR(AD83),$B83=""),"",IF($I83=1,IFBLANK(_xldudf_CX_PUSH(AD83*fxVal_normal,CX_ENTITY,$B83,AD$11,AD$14,AD$60,),""),IF($I83=2,IFBLANK(_xldudf_CX_PUSH(AD83,CX_ENTITY,$B83,AD$11,AD$14,AD$60,),""),IF($I83=3,"",IFBLANK(_xldudf_CX_PUSH(AD83,CX_ENTITY,$B83,AD$11,AD$14,AD$60,),"")))))),"")</f>
        <v/>
      </c>
      <c r="CR83" s="1883" t="str" cm="1">
        <f t="array" ca="1" aca="1" ref="CR83">IFERROR(IF(AE83*fxVal_normal=_BS!AE83,"",IF(OR(AE83="",NOT(ISNUMBER(AE83)),ISERROR(AE83),$B83=""),"",IF($I83=1,IFBLANK(_xldudf_CX_PUSH(AE83*fxVal_normal,CX_ENTITY,$B83,AE$11,AE$14,AE$60,),""),IF($I83=2,IFBLANK(_xldudf_CX_PUSH(AE83,CX_ENTITY,$B83,AE$11,AE$14,AE$60,),""),IF($I83=3,"",IFBLANK(_xldudf_CX_PUSH(AE83,CX_ENTITY,$B83,AE$11,AE$14,AE$60,),"")))))),"")</f>
        <v/>
      </c>
      <c r="CS83" s="1883" t="str" cm="1">
        <f t="array" ca="1" aca="1" ref="CS83">IFERROR(IF(AF83*fxVal_normal=_BS!AF83,"",IF(OR(AF83="",NOT(ISNUMBER(AF83)),ISERROR(AF83),$B83=""),"",IF($I83=1,IFBLANK(_xldudf_CX_PUSH(AF83*fxVal_normal,CX_ENTITY,$B83,AF$11,AF$14,AF$60,),""),IF($I83=2,IFBLANK(_xldudf_CX_PUSH(AF83,CX_ENTITY,$B83,AF$11,AF$14,AF$60,),""),IF($I83=3,"",IFBLANK(_xldudf_CX_PUSH(AF83,CX_ENTITY,$B83,AF$11,AF$14,AF$60,),"")))))),"")</f>
        <v/>
      </c>
      <c r="CT83" s="1883" t="str" cm="1">
        <f t="array" ca="1" aca="1" ref="CT83">IFERROR(IF(AG83*fxVal_normal=_BS!AG83,"",IF(OR(AG83="",NOT(ISNUMBER(AG83)),ISERROR(AG83),$B83=""),"",IF($I83=1,IFBLANK(_xldudf_CX_PUSH(AG83*fxVal_normal,CX_ENTITY,$B83,AG$11,AG$14,AG$60,),""),IF($I83=2,IFBLANK(_xldudf_CX_PUSH(AG83,CX_ENTITY,$B83,AG$11,AG$14,AG$60,),""),IF($I83=3,"",IFBLANK(_xldudf_CX_PUSH(AG83,CX_ENTITY,$B83,AG$11,AG$14,AG$60,),"")))))),"")</f>
        <v/>
      </c>
      <c r="CU83" s="1883" t="str" cm="1">
        <f t="array" ca="1" aca="1" ref="CU83">IFERROR(IF(AH83*fxVal_normal=_BS!AH83,"",IF(OR(AH83="",NOT(ISNUMBER(AH83)),ISERROR(AH83),$B83=""),"",IF($I83=1,IFBLANK(_xldudf_CX_PUSH(AH83*fxVal_normal,CX_ENTITY,$B83,AH$11,AH$14,AH$60,),""),IF($I83=2,IFBLANK(_xldudf_CX_PUSH(AH83,CX_ENTITY,$B83,AH$11,AH$14,AH$60,),""),IF($I83=3,"",IFBLANK(_xldudf_CX_PUSH(AH83,CX_ENTITY,$B83,AH$11,AH$14,AH$60,),"")))))),"")</f>
        <v/>
      </c>
      <c r="CV83" s="1883" t="str" cm="1">
        <f t="array" ca="1" aca="1" ref="CV83">IFERROR(IF(AI83*fxVal_normal=_BS!AI83,"",IF(OR(AI83="",NOT(ISNUMBER(AI83)),ISERROR(AI83),$B83=""),"",IF($I83=1,IFBLANK(_xldudf_CX_PUSH(AI83*fxVal_normal,CX_ENTITY,$B83,AI$11,AI$14,AI$60,),""),IF($I83=2,IFBLANK(_xldudf_CX_PUSH(AI83,CX_ENTITY,$B83,AI$11,AI$14,AI$60,),""),IF($I83=3,"",IFBLANK(_xldudf_CX_PUSH(AI83,CX_ENTITY,$B83,AI$11,AI$14,AI$60,),"")))))),"")</f>
        <v/>
      </c>
      <c r="CW83" s="1883" t="str" cm="1">
        <f t="array" ca="1" aca="1" ref="CW83">IFERROR(IF(AJ83*fxVal_normal=_BS!AJ83,"",IF(OR(AJ83="",NOT(ISNUMBER(AJ83)),ISERROR(AJ83),$B83=""),"",IF($I83=1,IFBLANK(_xldudf_CX_PUSH(AJ83*fxVal_normal,CX_ENTITY,$B83,AJ$11,AJ$14,AJ$60,),""),IF($I83=2,IFBLANK(_xldudf_CX_PUSH(AJ83,CX_ENTITY,$B83,AJ$11,AJ$14,AJ$60,),""),IF($I83=3,"",IFBLANK(_xldudf_CX_PUSH(AJ83,CX_ENTITY,$B83,AJ$11,AJ$14,AJ$60,),"")))))),"")</f>
        <v/>
      </c>
      <c r="CX83" s="1883" t="str" cm="1">
        <f t="array" ca="1" aca="1" ref="CX83">IFERROR(IF(AK83*fxVal_normal=_BS!AK83,"",IF(OR(AK83="",NOT(ISNUMBER(AK83)),ISERROR(AK83),$B83=""),"",IF($I83=1,IFBLANK(_xldudf_CX_PUSH(AK83*fxVal_normal,CX_ENTITY,$B83,AK$11,AK$14,AK$60,),""),IF($I83=2,IFBLANK(_xldudf_CX_PUSH(AK83,CX_ENTITY,$B83,AK$11,AK$14,AK$60,),""),IF($I83=3,"",IFBLANK(_xldudf_CX_PUSH(AK83,CX_ENTITY,$B83,AK$11,AK$14,AK$60,),"")))))),"")</f>
        <v/>
      </c>
      <c r="CY83" s="1883" t="str" cm="1">
        <f t="array" ca="1" aca="1" ref="CY83">IFERROR(IF(AL83*fxVal_normal=_BS!AL83,"",IF(OR(AL83="",NOT(ISNUMBER(AL83)),ISERROR(AL83),$B83=""),"",IF($I83=1,IFBLANK(_xldudf_CX_PUSH(AL83*fxVal_normal,CX_ENTITY,$B83,AL$11,AL$14,AL$60,),""),IF($I83=2,IFBLANK(_xldudf_CX_PUSH(AL83,CX_ENTITY,$B83,AL$11,AL$14,AL$60,),""),IF($I83=3,"",IFBLANK(_xldudf_CX_PUSH(AL83,CX_ENTITY,$B83,AL$11,AL$14,AL$60,),"")))))),"")</f>
        <v/>
      </c>
      <c r="CZ83" s="1883" t="str" cm="1">
        <f t="array" ca="1" aca="1" ref="CZ83">IFERROR(IF(AM83*fxVal_normal=_BS!AM83,"",IF(OR(AM83="",NOT(ISNUMBER(AM83)),ISERROR(AM83),$B83=""),"",IF($I83=1,IFBLANK(_xldudf_CX_PUSH(AM83*fxVal_normal,CX_ENTITY,$B83,AM$11,AM$14,AM$60,),""),IF($I83=2,IFBLANK(_xldudf_CX_PUSH(AM83,CX_ENTITY,$B83,AM$11,AM$14,AM$60,),""),IF($I83=3,"",IFBLANK(_xldudf_CX_PUSH(AM83,CX_ENTITY,$B83,AM$11,AM$14,AM$60,),"")))))),"")</f>
        <v/>
      </c>
      <c r="DA83" s="1883" t="str" cm="1">
        <f t="array" ca="1" aca="1" ref="DA83">IFERROR(IF(AN83*fxVal_normal=_BS!AN83,"",IF(OR(AN83="",NOT(ISNUMBER(AN83)),ISERROR(AN83),$B83=""),"",IF($I83=1,IFBLANK(_xldudf_CX_PUSH(AN83*fxVal_normal,CX_ENTITY,$B83,AN$11,AN$14,AN$60,),""),IF($I83=2,IFBLANK(_xldudf_CX_PUSH(AN83,CX_ENTITY,$B83,AN$11,AN$14,AN$60,),""),IF($I83=3,"",IFBLANK(_xldudf_CX_PUSH(AN83,CX_ENTITY,$B83,AN$11,AN$14,AN$60,),"")))))),"")</f>
        <v/>
      </c>
      <c r="DB83" s="1883" t="str" cm="1">
        <f t="array" ca="1" aca="1" ref="DB83">IFERROR(IF(AO83*fxVal_normal=_BS!AO83,"",IF(OR(AO83="",NOT(ISNUMBER(AO83)),ISERROR(AO83),$B83=""),"",IF($I83=1,IFBLANK(_xldudf_CX_PUSH(AO83*fxVal_normal,CX_ENTITY,$B83,AO$11,AO$14,AO$60,),""),IF($I83=2,IFBLANK(_xldudf_CX_PUSH(AO83,CX_ENTITY,$B83,AO$11,AO$14,AO$60,),""),IF($I83=3,"",IFBLANK(_xldudf_CX_PUSH(AO83,CX_ENTITY,$B83,AO$11,AO$14,AO$60,),"")))))),"")</f>
        <v/>
      </c>
      <c r="DC83" s="1883" t="str" cm="1">
        <f t="array" ca="1" aca="1" ref="DC83">IFERROR(IF(AP83*fxVal_normal=_BS!AP83,"",IF(OR(AP83="",NOT(ISNUMBER(AP83)),ISERROR(AP83),$B83=""),"",IF($I83=1,IFBLANK(_xldudf_CX_PUSH(AP83*fxVal_normal,CX_ENTITY,$B83,AP$11,AP$14,AP$60,),""),IF($I83=2,IFBLANK(_xldudf_CX_PUSH(AP83,CX_ENTITY,$B83,AP$11,AP$14,AP$60,),""),IF($I83=3,"",IFBLANK(_xldudf_CX_PUSH(AP83,CX_ENTITY,$B83,AP$11,AP$14,AP$60,),"")))))),"")</f>
        <v/>
      </c>
      <c r="DD83" s="1883" t="str" cm="1">
        <f t="array" ca="1" aca="1" ref="DD83">IFERROR(IF(AQ83*fxVal_normal=_BS!AQ83,"",IF(OR(AQ83="",NOT(ISNUMBER(AQ83)),ISERROR(AQ83),$B83=""),"",IF($I83=1,IFBLANK(_xldudf_CX_PUSH(AQ83*fxVal_normal,CX_ENTITY,$B83,AQ$11,AQ$14,AQ$60,),""),IF($I83=2,IFBLANK(_xldudf_CX_PUSH(AQ83,CX_ENTITY,$B83,AQ$11,AQ$14,AQ$60,),""),IF($I83=3,"",IFBLANK(_xldudf_CX_PUSH(AQ83,CX_ENTITY,$B83,AQ$11,AQ$14,AQ$60,),"")))))),"")</f>
        <v/>
      </c>
      <c r="DE83" s="1883" t="str" cm="1">
        <f t="array" ca="1" aca="1" ref="DE83">IFERROR(IF(AR83*fxVal_normal=_BS!AR83,"",IF(OR(AR83="",NOT(ISNUMBER(AR83)),ISERROR(AR83),$B83=""),"",IF($I83=1,IFBLANK(_xldudf_CX_PUSH(AR83*fxVal_normal,CX_ENTITY,$B83,AR$11,AR$14,AR$60,),""),IF($I83=2,IFBLANK(_xldudf_CX_PUSH(AR83,CX_ENTITY,$B83,AR$11,AR$14,AR$60,),""),IF($I83=3,"",IFBLANK(_xldudf_CX_PUSH(AR83,CX_ENTITY,$B83,AR$11,AR$14,AR$60,),"")))))),"")</f>
        <v/>
      </c>
      <c r="DF83" s="1883" t="str" cm="1">
        <f t="array" ca="1" aca="1" ref="DF83">IFERROR(IF(AS83*fxVal_normal=_BS!AS83,"",IF(OR(AS83="",NOT(ISNUMBER(AS83)),ISERROR(AS83),$B83=""),"",IF($I83=1,IFBLANK(_xldudf_CX_PUSH(AS83*fxVal_normal,CX_ENTITY,$B83,AS$11,AS$14,AS$60,),""),IF($I83=2,IFBLANK(_xldudf_CX_PUSH(AS83,CX_ENTITY,$B83,AS$11,AS$14,AS$60,),""),IF($I83=3,"",IFBLANK(_xldudf_CX_PUSH(AS83,CX_ENTITY,$B83,AS$11,AS$14,AS$60,),"")))))),"")</f>
        <v/>
      </c>
      <c r="DG83" s="1883" t="str" cm="1">
        <f t="array" ca="1" aca="1" ref="DG83">IFERROR(IF(AT83*fxVal_normal=_BS!AT83,"",IF(OR(AT83="",NOT(ISNUMBER(AT83)),ISERROR(AT83),$B83=""),"",IF($I83=1,IFBLANK(_xldudf_CX_PUSH(AT83*fxVal_normal,CX_ENTITY,$B83,AT$11,AT$14,AT$60,),""),IF($I83=2,IFBLANK(_xldudf_CX_PUSH(AT83,CX_ENTITY,$B83,AT$11,AT$14,AT$60,),""),IF($I83=3,"",IFBLANK(_xldudf_CX_PUSH(AT83,CX_ENTITY,$B83,AT$11,AT$14,AT$60,),"")))))),"")</f>
        <v/>
      </c>
      <c r="DH83" s="1883" t="str" cm="1">
        <f t="array" ca="1" aca="1" ref="DH83">IFERROR(IF(AU83*fxVal_normal=_BS!AU83,"",IF(OR(AU83="",NOT(ISNUMBER(AU83)),ISERROR(AU83),$B83=""),"",IF($I83=1,IFBLANK(_xldudf_CX_PUSH(AU83*fxVal_normal,CX_ENTITY,$B83,AU$11,AU$14,AU$60,),""),IF($I83=2,IFBLANK(_xldudf_CX_PUSH(AU83,CX_ENTITY,$B83,AU$11,AU$14,AU$60,),""),IF($I83=3,"",IFBLANK(_xldudf_CX_PUSH(AU83,CX_ENTITY,$B83,AU$11,AU$14,AU$60,),"")))))),"")</f>
        <v/>
      </c>
      <c r="DI83" s="1883" t="str" cm="1">
        <f t="array" ca="1" aca="1" ref="DI83">IFERROR(IF(AV83*fxVal_normal=_BS!AV83,"",IF(OR(AV83="",NOT(ISNUMBER(AV83)),ISERROR(AV83),$B83=""),"",IF($I83=1,IFBLANK(_xldudf_CX_PUSH(AV83*fxVal_normal,CX_ENTITY,$B83,AV$11,AV$14,AV$60,),""),IF($I83=2,IFBLANK(_xldudf_CX_PUSH(AV83,CX_ENTITY,$B83,AV$11,AV$14,AV$60,),""),IF($I83=3,"",IFBLANK(_xldudf_CX_PUSH(AV83,CX_ENTITY,$B83,AV$11,AV$14,AV$60,),"")))))),"")</f>
        <v/>
      </c>
      <c r="DJ83" s="1883" t="str" cm="1">
        <f t="array" ca="1" aca="1" ref="DJ83">IFERROR(IF(AW83*fxVal_normal=_BS!AW83,"",IF(OR(AW83="",NOT(ISNUMBER(AW83)),ISERROR(AW83),$B83=""),"",IF($I83=1,IFBLANK(_xldudf_CX_PUSH(AW83*fxVal_normal,CX_ENTITY,$B83,AW$11,AW$14,AW$60,),""),IF($I83=2,IFBLANK(_xldudf_CX_PUSH(AW83,CX_ENTITY,$B83,AW$11,AW$14,AW$60,),""),IF($I83=3,"",IFBLANK(_xldudf_CX_PUSH(AW83,CX_ENTITY,$B83,AW$11,AW$14,AW$60,),"")))))),"")</f>
        <v/>
      </c>
      <c r="DK83" s="1883" t="str" cm="1">
        <f t="array" ca="1" aca="1" ref="DK83">IFERROR(IF(AX83*fxVal_normal=_BS!AX83,"",IF(OR(AX83="",NOT(ISNUMBER(AX83)),ISERROR(AX83),$B83=""),"",IF($I83=1,IFBLANK(_xldudf_CX_PUSH(AX83*fxVal_normal,CX_ENTITY,$B83,AX$11,AX$14,AX$60,),""),IF($I83=2,IFBLANK(_xldudf_CX_PUSH(AX83,CX_ENTITY,$B83,AX$11,AX$14,AX$60,),""),IF($I83=3,"",IFBLANK(_xldudf_CX_PUSH(AX83,CX_ENTITY,$B83,AX$11,AX$14,AX$60,),"")))))),"")</f>
        <v/>
      </c>
      <c r="DL83" s="1883" t="str" cm="1">
        <f t="array" ca="1" aca="1" ref="DL83">IFERROR(IF(AY83*fxVal_normal=_BS!AY83,"",IF(OR(AY83="",NOT(ISNUMBER(AY83)),ISERROR(AY83),$B83=""),"",IF($I83=1,IFBLANK(_xldudf_CX_PUSH(AY83*fxVal_normal,CX_ENTITY,$B83,AY$11,AY$14,AY$60,),""),IF($I83=2,IFBLANK(_xldudf_CX_PUSH(AY83,CX_ENTITY,$B83,AY$11,AY$14,AY$60,),""),IF($I83=3,"",IFBLANK(_xldudf_CX_PUSH(AY83,CX_ENTITY,$B83,AY$11,AY$14,AY$60,),"")))))),"")</f>
        <v/>
      </c>
      <c r="DM83" s="1883" t="str" cm="1">
        <f t="array" ca="1" aca="1" ref="DM83">IFERROR(IF(AZ83*fxVal_normal=_BS!AZ83,"",IF(OR(AZ83="",NOT(ISNUMBER(AZ83)),ISERROR(AZ83),$B83=""),"",IF($I83=1,IFBLANK(_xldudf_CX_PUSH(AZ83*fxVal_normal,CX_ENTITY,$B83,AZ$11,AZ$14,AZ$60,),""),IF($I83=2,IFBLANK(_xldudf_CX_PUSH(AZ83,CX_ENTITY,$B83,AZ$11,AZ$14,AZ$60,),""),IF($I83=3,"",IFBLANK(_xldudf_CX_PUSH(AZ83,CX_ENTITY,$B83,AZ$11,AZ$14,AZ$60,),"")))))),"")</f>
        <v/>
      </c>
      <c r="DN83" s="1883" t="str" cm="1">
        <f t="array" ca="1" aca="1" ref="DN83">IFERROR(IF(BA83*fxVal_normal=_BS!BA83,"",IF(OR(BA83="",NOT(ISNUMBER(BA83)),ISERROR(BA83),$B83=""),"",IF($I83=1,IFBLANK(_xldudf_CX_PUSH(BA83*fxVal_normal,CX_ENTITY,$B83,BA$11,BA$14,BA$60,),""),IF($I83=2,IFBLANK(_xldudf_CX_PUSH(BA83,CX_ENTITY,$B83,BA$11,BA$14,BA$60,),""),IF($I83=3,"",IFBLANK(_xldudf_CX_PUSH(BA83,CX_ENTITY,$B83,BA$11,BA$14,BA$60,),"")))))),"")</f>
        <v/>
      </c>
      <c r="DO83" s="1883" t="str" cm="1">
        <f t="array" ca="1" aca="1" ref="DO83">IFERROR(IF(BB83*fxVal_normal=_BS!BB83,"",IF(OR(BB83="",NOT(ISNUMBER(BB83)),ISERROR(BB83),$B83=""),"",IF($I83=1,IFBLANK(_xldudf_CX_PUSH(BB83*fxVal_normal,CX_ENTITY,$B83,BB$11,BB$14,BB$60,),""),IF($I83=2,IFBLANK(_xldudf_CX_PUSH(BB83,CX_ENTITY,$B83,BB$11,BB$14,BB$60,),""),IF($I83=3,"",IFBLANK(_xldudf_CX_PUSH(BB83,CX_ENTITY,$B83,BB$11,BB$14,BB$60,),"")))))),"")</f>
        <v/>
      </c>
      <c r="DP83" s="1883" t="str" cm="1">
        <f t="array" ca="1" aca="1" ref="DP83">IFERROR(IF(BC83*fxVal_normal=_BS!BC83,"",IF(OR(BC83="",NOT(ISNUMBER(BC83)),ISERROR(BC83),$B83=""),"",IF($I83=1,IFBLANK(_xldudf_CX_PUSH(BC83*fxVal_normal,CX_ENTITY,$B83,BC$11,BC$14,BC$60,),""),IF($I83=2,IFBLANK(_xldudf_CX_PUSH(BC83,CX_ENTITY,$B83,BC$11,BC$14,BC$60,),""),IF($I83=3,"",IFBLANK(_xldudf_CX_PUSH(BC83,CX_ENTITY,$B83,BC$11,BC$14,BC$60,),"")))))),"")</f>
        <v/>
      </c>
      <c r="DQ83" s="1883" t="str" cm="1">
        <f t="array" ca="1" aca="1" ref="DQ83">IFERROR(IF(BD83*fxVal_normal=_BS!BD83,"",IF(OR(BD83="",NOT(ISNUMBER(BD83)),ISERROR(BD83),$B83=""),"",IF($I83=1,IFBLANK(_xldudf_CX_PUSH(BD83*fxVal_normal,CX_ENTITY,$B83,BD$11,BD$14,BD$60,),""),IF($I83=2,IFBLANK(_xldudf_CX_PUSH(BD83,CX_ENTITY,$B83,BD$11,BD$14,BD$60,),""),IF($I83=3,"",IFBLANK(_xldudf_CX_PUSH(BD83,CX_ENTITY,$B83,BD$11,BD$14,BD$60,),"")))))),"")</f>
        <v/>
      </c>
      <c r="DR83" s="1883" t="str" cm="1">
        <f t="array" ca="1" aca="1" ref="DR83">IFERROR(IF(BE83*fxVal_normal=_BS!BE83,"",IF(OR(BE83="",NOT(ISNUMBER(BE83)),ISERROR(BE83),$B83=""),"",IF($I83=1,IFBLANK(_xldudf_CX_PUSH(BE83*fxVal_normal,CX_ENTITY,$B83,BE$11,BE$14,BE$60,),""),IF($I83=2,IFBLANK(_xldudf_CX_PUSH(BE83,CX_ENTITY,$B83,BE$11,BE$14,BE$60,),""),IF($I83=3,"",IFBLANK(_xldudf_CX_PUSH(BE83,CX_ENTITY,$B83,BE$11,BE$14,BE$60,),"")))))),"")</f>
        <v/>
      </c>
      <c r="DS83" s="1883" t="str" cm="1">
        <f t="array" ca="1" aca="1" ref="DS83">IFERROR(IF(BF83*fxVal_normal=_BS!BF83,"",IF(OR(BF83="",NOT(ISNUMBER(BF83)),ISERROR(BF83),$B83=""),"",IF($I83=1,IFBLANK(_xldudf_CX_PUSH(BF83*fxVal_normal,CX_ENTITY,$B83,BF$11,BF$14,BF$60,),""),IF($I83=2,IFBLANK(_xldudf_CX_PUSH(BF83,CX_ENTITY,$B83,BF$11,BF$14,BF$60,),""),IF($I83=3,"",IFBLANK(_xldudf_CX_PUSH(BF83,CX_ENTITY,$B83,BF$11,BF$14,BF$60,),"")))))),"")</f>
        <v/>
      </c>
      <c r="DT83" s="1883" t="str" cm="1">
        <f t="array" ca="1" aca="1" ref="DT83">IFERROR(IF(BG83*fxVal_normal=_BS!BG83,"",IF(OR(BG83="",NOT(ISNUMBER(BG83)),ISERROR(BG83),$B83=""),"",IF($I83=1,IFBLANK(_xldudf_CX_PUSH(BG83*fxVal_normal,CX_ENTITY,$B83,BG$11,BG$14,BG$60,),""),IF($I83=2,IFBLANK(_xldudf_CX_PUSH(BG83,CX_ENTITY,$B83,BG$11,BG$14,BG$60,),""),IF($I83=3,"",IFBLANK(_xldudf_CX_PUSH(BG83,CX_ENTITY,$B83,BG$11,BG$14,BG$60,),"")))))),"")</f>
        <v/>
      </c>
      <c r="DU83" s="1883" t="str" cm="1">
        <f t="array" ca="1" aca="1" ref="DU83">IFERROR(IF(BH83*fxVal_normal=_BS!BH83,"",IF(OR(BH83="",NOT(ISNUMBER(BH83)),ISERROR(BH83),$B83=""),"",IF($I83=1,IFBLANK(_xldudf_CX_PUSH(BH83*fxVal_normal,CX_ENTITY,$B83,BH$11,BH$14,BH$60,),""),IF($I83=2,IFBLANK(_xldudf_CX_PUSH(BH83,CX_ENTITY,$B83,BH$11,BH$14,BH$60,),""),IF($I83=3,"",IFBLANK(_xldudf_CX_PUSH(BH83,CX_ENTITY,$B83,BH$11,BH$14,BH$60,),"")))))),"")</f>
        <v/>
      </c>
      <c r="DV83" s="1883" t="str" cm="1">
        <f t="array" ca="1" aca="1" ref="DV83">IFERROR(IF(BI83*fxVal_normal=_BS!BI83,"",IF(OR(BI83="",NOT(ISNUMBER(BI83)),ISERROR(BI83),$B83=""),"",IF($I83=1,IFBLANK(_xldudf_CX_PUSH(BI83*fxVal_normal,CX_ENTITY,$B83,BI$11,BI$14,BI$60,),""),IF($I83=2,IFBLANK(_xldudf_CX_PUSH(BI83,CX_ENTITY,$B83,BI$11,BI$14,BI$60,),""),IF($I83=3,"",IFBLANK(_xldudf_CX_PUSH(BI83,CX_ENTITY,$B83,BI$11,BI$14,BI$60,),"")))))),"")</f>
        <v/>
      </c>
      <c r="DW83" s="1883" t="str" cm="1">
        <f t="array" ca="1" aca="1" ref="DW83">IFERROR(IF(BJ83*fxVal_normal=_BS!BJ83,"",IF(OR(BJ83="",NOT(ISNUMBER(BJ83)),ISERROR(BJ83),$B83=""),"",IF($I83=1,IFBLANK(_xldudf_CX_PUSH(BJ83*fxVal_normal,CX_ENTITY,$B83,BJ$11,BJ$14,BJ$60,),""),IF($I83=2,IFBLANK(_xldudf_CX_PUSH(BJ83,CX_ENTITY,$B83,BJ$11,BJ$14,BJ$60,),""),IF($I83=3,"",IFBLANK(_xldudf_CX_PUSH(BJ83,CX_ENTITY,$B83,BJ$11,BJ$14,BJ$60,),"")))))),"")</f>
        <v/>
      </c>
      <c r="DX83" s="1883" t="str" cm="1">
        <f t="array" ca="1" aca="1" ref="DX83">IFERROR(IF(BK83*fxVal_normal=_BS!BK83,"",IF(OR(BK83="",NOT(ISNUMBER(BK83)),ISERROR(BK83),$B83=""),"",IF($I83=1,IFBLANK(_xldudf_CX_PUSH(BK83*fxVal_normal,CX_ENTITY,$B83,BK$11,BK$14,BK$60,),""),IF($I83=2,IFBLANK(_xldudf_CX_PUSH(BK83,CX_ENTITY,$B83,BK$11,BK$14,BK$60,),""),IF($I83=3,"",IFBLANK(_xldudf_CX_PUSH(BK83,CX_ENTITY,$B83,BK$11,BK$14,BK$60,),"")))))),"")</f>
        <v/>
      </c>
      <c r="DY83" s="1883" t="str" cm="1">
        <f t="array" ca="1" aca="1" ref="DY83">IFERROR(IF(BL83*fxVal_normal=_BS!BL83,"",IF(OR(BL83="",NOT(ISNUMBER(BL83)),ISERROR(BL83),$B83=""),"",IF($I83=1,IFBLANK(_xldudf_CX_PUSH(BL83*fxVal_normal,CX_ENTITY,$B83,BL$11,BL$14,BL$60,),""),IF($I83=2,IFBLANK(_xldudf_CX_PUSH(BL83,CX_ENTITY,$B83,BL$11,BL$14,BL$60,),""),IF($I83=3,"",IFBLANK(_xldudf_CX_PUSH(BL83,CX_ENTITY,$B83,BL$11,BL$14,BL$60,),"")))))),"")</f>
        <v/>
      </c>
      <c r="DZ83" s="1883" t="str" cm="1">
        <f t="array" ca="1" aca="1" ref="DZ83">IFERROR(IF(BM83*fxVal_normal=_BS!BM83,"",IF(OR(BM83="",NOT(ISNUMBER(BM83)),ISERROR(BM83),$B83=""),"",IF($I83=1,IFBLANK(_xldudf_CX_PUSH(BM83*fxVal_normal,CX_ENTITY,$B83,BM$11,BM$14,BM$60,),""),IF($I83=2,IFBLANK(_xldudf_CX_PUSH(BM83,CX_ENTITY,$B83,BM$11,BM$14,BM$60,),""),IF($I83=3,"",IFBLANK(_xldudf_CX_PUSH(BM83,CX_ENTITY,$B83,BM$11,BM$14,BM$60,),"")))))),"")</f>
        <v/>
      </c>
      <c r="EA83" s="1883" t="str" cm="1">
        <f t="array" ca="1" aca="1" ref="EA83">IFERROR(IF(BN83*fxVal_normal=_BS!BN83,"",IF(OR(BN83="",NOT(ISNUMBER(BN83)),ISERROR(BN83),$B83=""),"",IF($I83=1,IFBLANK(_xldudf_CX_PUSH(BN83*fxVal_normal,CX_ENTITY,$B83,BN$11,BN$14,BN$60,),""),IF($I83=2,IFBLANK(_xldudf_CX_PUSH(BN83,CX_ENTITY,$B83,BN$11,BN$14,BN$60,),""),IF($I83=3,"",IFBLANK(_xldudf_CX_PUSH(BN83,CX_ENTITY,$B83,BN$11,BN$14,BN$60,),"")))))),"")</f>
        <v/>
      </c>
    </row>
    <row r="84" spans="1:131" ht="21" customHeight="1">
      <c r="A84" s="1646"/>
      <c r="B84" s="811" t="str" cm="1">
        <f t="array" ref="B84">IFBLANK(_BS!F84,"")</f>
        <v>Deferred Tax Assets / Liabilities (on BS)</v>
      </c>
      <c r="C84" s="811" t="str" cm="1">
        <f t="array" ref="C84">IFBLANK(_BS!C84,"")</f>
        <v>Deferred Tax Assets / Liabilities (Company View)</v>
      </c>
      <c r="D84" s="1549"/>
      <c r="E84" s="1902" t="e" cm="1">
        <f t="array" ca="1" aca="1" ref="E8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84:$CH84,Z84)</f>
        <v>#NAME?</v>
      </c>
      <c r="F84" s="1897"/>
      <c r="G84" s="1897"/>
      <c r="H84" s="3280">
        <v>1</v>
      </c>
      <c r="I84" s="3280">
        <v>1</v>
      </c>
      <c r="J84" s="401"/>
      <c r="N84" s="158"/>
      <c r="O84" s="101"/>
      <c r="P84" s="52"/>
      <c r="Q84" s="101"/>
      <c r="R84" s="126"/>
      <c r="S84" s="101"/>
      <c r="T84" s="101"/>
      <c r="U84" s="39"/>
      <c r="W84" s="930" t="str">
        <f t="shared" si="18"/>
        <v>Budget</v>
      </c>
      <c r="X84" s="857" t="str">
        <f>_BS!X84</f>
        <v>a</v>
      </c>
      <c r="Y84" s="3230">
        <f t="shared" si="17"/>
        <v>2</v>
      </c>
      <c r="Z84" s="3291" cm="1">
        <f t="array" ref="Z84">_xlfn.SWITCH(TRUE,_BS!$L84=TRUE,1,_BS!$L84=FALSE,-1,_BS!$L84=-1,0,"n/a")</f>
        <v>1</v>
      </c>
      <c r="AA84" s="200"/>
      <c r="AB84" s="88" t="str">
        <f>_BS!AB84</f>
        <v>Deferred Tax Assets / Liabilities</v>
      </c>
      <c r="AC84" s="88" t="e" vm="5" cm="1">
        <f t="array" ca="1" aca="1" ref="AC84">_xlfn.LET(_xlpm._termname,$AB84,_xlpm._iconname,"find",_xlpm._icon,fx_getIcon(_xlpm._iconname),_xlpm._location,_xlfn.XLOOKUP(LOWER(_xlpm._termname),LOWER(tbl_acctDef[Term]),tbl_acctDef[Term]),_xlpm._hyperlink,HYPERLINK("#"&amp;CELL("address",_xlpm._location),_xlpm._icon),IFERROR(_xlpm._hyperlink,""))</f>
        <v>#VALUE!</v>
      </c>
      <c r="AD84" s="3229">
        <v>1</v>
      </c>
      <c r="AE84" s="3229">
        <v>1</v>
      </c>
      <c r="AF84" s="3229">
        <v>1</v>
      </c>
      <c r="AG84" s="3229">
        <v>1</v>
      </c>
      <c r="AH84" s="3229">
        <v>1</v>
      </c>
      <c r="AI84" s="3229">
        <v>1</v>
      </c>
      <c r="AJ84" s="3229">
        <v>1</v>
      </c>
      <c r="AK84" s="3229">
        <v>1</v>
      </c>
      <c r="AL84" s="3229">
        <v>1</v>
      </c>
      <c r="AM84" s="3229">
        <v>1</v>
      </c>
      <c r="AN84" s="3229">
        <v>1</v>
      </c>
      <c r="AO84" s="3229">
        <v>1</v>
      </c>
      <c r="AP84" s="3229">
        <v>1</v>
      </c>
      <c r="AQ84" s="3229">
        <v>1</v>
      </c>
      <c r="AR84" s="3229">
        <v>1</v>
      </c>
      <c r="AS84" s="3229">
        <v>1</v>
      </c>
      <c r="AT84" s="3229">
        <v>1</v>
      </c>
      <c r="AU84" s="3229">
        <v>1</v>
      </c>
      <c r="AV84" s="3229">
        <v>1</v>
      </c>
      <c r="AW84" s="3229">
        <v>1</v>
      </c>
      <c r="AX84" s="3229">
        <v>1</v>
      </c>
      <c r="AY84" s="3229">
        <v>1</v>
      </c>
      <c r="AZ84" s="3229">
        <v>1</v>
      </c>
      <c r="BA84" s="3229">
        <v>1</v>
      </c>
      <c r="BB84" s="3229">
        <v>1</v>
      </c>
      <c r="BC84" s="3229">
        <v>1</v>
      </c>
      <c r="BD84" s="3229">
        <v>1</v>
      </c>
      <c r="BE84" s="3229">
        <v>1</v>
      </c>
      <c r="BF84" s="3229">
        <v>1</v>
      </c>
      <c r="BG84" s="3229">
        <v>1</v>
      </c>
      <c r="BH84" s="3229">
        <v>1</v>
      </c>
      <c r="BI84" s="3229">
        <v>1</v>
      </c>
      <c r="BJ84" s="3229">
        <v>1</v>
      </c>
      <c r="BK84" s="3229">
        <v>1</v>
      </c>
      <c r="BL84" s="3229">
        <v>1</v>
      </c>
      <c r="BM84" s="3229">
        <v>1</v>
      </c>
      <c r="BN84" s="3229">
        <v>1</v>
      </c>
      <c r="BO84" s="2095"/>
      <c r="BP84" s="2095"/>
      <c r="BQ84" s="2095"/>
      <c r="BR84" s="2095"/>
      <c r="BS84" s="2095"/>
      <c r="BT84" s="2095"/>
      <c r="BU84" s="2095"/>
      <c r="BV84" s="2095"/>
      <c r="BW84" s="2095"/>
      <c r="BX84" s="2095"/>
      <c r="BY84" s="2095"/>
      <c r="BZ84" s="2095"/>
      <c r="CA84" s="926"/>
      <c r="CB84" s="921"/>
      <c r="CC84" s="927"/>
      <c r="CD84" s="928" t="e" cm="1">
        <f t="array" ca="1" aca="1" ref="CD84">_xlfn.XLOOKUP(BS!CD$11,array_timeline,BS!$AD84:$BN84)</f>
        <v>#NAME?</v>
      </c>
      <c r="CE84" s="928" t="e" cm="1">
        <f t="array" ca="1" aca="1" ref="CE84">_xlfn.XLOOKUP(BS!CE$11,array_timeline,BS!$AD84:$BN84)</f>
        <v>#NAME?</v>
      </c>
      <c r="CF84" s="925"/>
      <c r="CG84" s="2124" t="e">
        <f t="shared" ca="1" si="16"/>
        <v>#NAME?</v>
      </c>
      <c r="CH84" s="2124" t="e">
        <f t="shared" ca="1" si="16"/>
        <v>#NAME?</v>
      </c>
      <c r="CI84" s="200"/>
      <c r="CQ84" s="1883" t="str" cm="1">
        <f t="array" ca="1" aca="1" ref="CQ84">IFERROR(IF(AD84*fxVal_normal=_BS!AD84,"",IF(OR(AD84="",NOT(ISNUMBER(AD84)),ISERROR(AD84),$B84=""),"",IF($I84=1,IFBLANK(_xldudf_CX_PUSH(AD84*fxVal_normal,CX_ENTITY,$B84,AD$11,AD$14,AD$60,),""),IF($I84=2,IFBLANK(_xldudf_CX_PUSH(AD84,CX_ENTITY,$B84,AD$11,AD$14,AD$60,),""),IF($I84=3,"",IFBLANK(_xldudf_CX_PUSH(AD84,CX_ENTITY,$B84,AD$11,AD$14,AD$60,),"")))))),"")</f>
        <v/>
      </c>
      <c r="CR84" s="1883" t="str" cm="1">
        <f t="array" ca="1" aca="1" ref="CR84">IFERROR(IF(AE84*fxVal_normal=_BS!AE84,"",IF(OR(AE84="",NOT(ISNUMBER(AE84)),ISERROR(AE84),$B84=""),"",IF($I84=1,IFBLANK(_xldudf_CX_PUSH(AE84*fxVal_normal,CX_ENTITY,$B84,AE$11,AE$14,AE$60,),""),IF($I84=2,IFBLANK(_xldudf_CX_PUSH(AE84,CX_ENTITY,$B84,AE$11,AE$14,AE$60,),""),IF($I84=3,"",IFBLANK(_xldudf_CX_PUSH(AE84,CX_ENTITY,$B84,AE$11,AE$14,AE$60,),"")))))),"")</f>
        <v/>
      </c>
      <c r="CS84" s="1883" t="str" cm="1">
        <f t="array" ca="1" aca="1" ref="CS84">IFERROR(IF(AF84*fxVal_normal=_BS!AF84,"",IF(OR(AF84="",NOT(ISNUMBER(AF84)),ISERROR(AF84),$B84=""),"",IF($I84=1,IFBLANK(_xldudf_CX_PUSH(AF84*fxVal_normal,CX_ENTITY,$B84,AF$11,AF$14,AF$60,),""),IF($I84=2,IFBLANK(_xldudf_CX_PUSH(AF84,CX_ENTITY,$B84,AF$11,AF$14,AF$60,),""),IF($I84=3,"",IFBLANK(_xldudf_CX_PUSH(AF84,CX_ENTITY,$B84,AF$11,AF$14,AF$60,),"")))))),"")</f>
        <v/>
      </c>
      <c r="CT84" s="1883" t="str" cm="1">
        <f t="array" ca="1" aca="1" ref="CT84">IFERROR(IF(AG84*fxVal_normal=_BS!AG84,"",IF(OR(AG84="",NOT(ISNUMBER(AG84)),ISERROR(AG84),$B84=""),"",IF($I84=1,IFBLANK(_xldudf_CX_PUSH(AG84*fxVal_normal,CX_ENTITY,$B84,AG$11,AG$14,AG$60,),""),IF($I84=2,IFBLANK(_xldudf_CX_PUSH(AG84,CX_ENTITY,$B84,AG$11,AG$14,AG$60,),""),IF($I84=3,"",IFBLANK(_xldudf_CX_PUSH(AG84,CX_ENTITY,$B84,AG$11,AG$14,AG$60,),"")))))),"")</f>
        <v/>
      </c>
      <c r="CU84" s="1883" t="str" cm="1">
        <f t="array" ca="1" aca="1" ref="CU84">IFERROR(IF(AH84*fxVal_normal=_BS!AH84,"",IF(OR(AH84="",NOT(ISNUMBER(AH84)),ISERROR(AH84),$B84=""),"",IF($I84=1,IFBLANK(_xldudf_CX_PUSH(AH84*fxVal_normal,CX_ENTITY,$B84,AH$11,AH$14,AH$60,),""),IF($I84=2,IFBLANK(_xldudf_CX_PUSH(AH84,CX_ENTITY,$B84,AH$11,AH$14,AH$60,),""),IF($I84=3,"",IFBLANK(_xldudf_CX_PUSH(AH84,CX_ENTITY,$B84,AH$11,AH$14,AH$60,),"")))))),"")</f>
        <v/>
      </c>
      <c r="CV84" s="1883" t="str" cm="1">
        <f t="array" ca="1" aca="1" ref="CV84">IFERROR(IF(AI84*fxVal_normal=_BS!AI84,"",IF(OR(AI84="",NOT(ISNUMBER(AI84)),ISERROR(AI84),$B84=""),"",IF($I84=1,IFBLANK(_xldudf_CX_PUSH(AI84*fxVal_normal,CX_ENTITY,$B84,AI$11,AI$14,AI$60,),""),IF($I84=2,IFBLANK(_xldudf_CX_PUSH(AI84,CX_ENTITY,$B84,AI$11,AI$14,AI$60,),""),IF($I84=3,"",IFBLANK(_xldudf_CX_PUSH(AI84,CX_ENTITY,$B84,AI$11,AI$14,AI$60,),"")))))),"")</f>
        <v/>
      </c>
      <c r="CW84" s="1883" t="str" cm="1">
        <f t="array" ca="1" aca="1" ref="CW84">IFERROR(IF(AJ84*fxVal_normal=_BS!AJ84,"",IF(OR(AJ84="",NOT(ISNUMBER(AJ84)),ISERROR(AJ84),$B84=""),"",IF($I84=1,IFBLANK(_xldudf_CX_PUSH(AJ84*fxVal_normal,CX_ENTITY,$B84,AJ$11,AJ$14,AJ$60,),""),IF($I84=2,IFBLANK(_xldudf_CX_PUSH(AJ84,CX_ENTITY,$B84,AJ$11,AJ$14,AJ$60,),""),IF($I84=3,"",IFBLANK(_xldudf_CX_PUSH(AJ84,CX_ENTITY,$B84,AJ$11,AJ$14,AJ$60,),"")))))),"")</f>
        <v/>
      </c>
      <c r="CX84" s="1883" t="str" cm="1">
        <f t="array" ca="1" aca="1" ref="CX84">IFERROR(IF(AK84*fxVal_normal=_BS!AK84,"",IF(OR(AK84="",NOT(ISNUMBER(AK84)),ISERROR(AK84),$B84=""),"",IF($I84=1,IFBLANK(_xldudf_CX_PUSH(AK84*fxVal_normal,CX_ENTITY,$B84,AK$11,AK$14,AK$60,),""),IF($I84=2,IFBLANK(_xldudf_CX_PUSH(AK84,CX_ENTITY,$B84,AK$11,AK$14,AK$60,),""),IF($I84=3,"",IFBLANK(_xldudf_CX_PUSH(AK84,CX_ENTITY,$B84,AK$11,AK$14,AK$60,),"")))))),"")</f>
        <v/>
      </c>
      <c r="CY84" s="1883" t="str" cm="1">
        <f t="array" ca="1" aca="1" ref="CY84">IFERROR(IF(AL84*fxVal_normal=_BS!AL84,"",IF(OR(AL84="",NOT(ISNUMBER(AL84)),ISERROR(AL84),$B84=""),"",IF($I84=1,IFBLANK(_xldudf_CX_PUSH(AL84*fxVal_normal,CX_ENTITY,$B84,AL$11,AL$14,AL$60,),""),IF($I84=2,IFBLANK(_xldudf_CX_PUSH(AL84,CX_ENTITY,$B84,AL$11,AL$14,AL$60,),""),IF($I84=3,"",IFBLANK(_xldudf_CX_PUSH(AL84,CX_ENTITY,$B84,AL$11,AL$14,AL$60,),"")))))),"")</f>
        <v/>
      </c>
      <c r="CZ84" s="1883" t="str" cm="1">
        <f t="array" ca="1" aca="1" ref="CZ84">IFERROR(IF(AM84*fxVal_normal=_BS!AM84,"",IF(OR(AM84="",NOT(ISNUMBER(AM84)),ISERROR(AM84),$B84=""),"",IF($I84=1,IFBLANK(_xldudf_CX_PUSH(AM84*fxVal_normal,CX_ENTITY,$B84,AM$11,AM$14,AM$60,),""),IF($I84=2,IFBLANK(_xldudf_CX_PUSH(AM84,CX_ENTITY,$B84,AM$11,AM$14,AM$60,),""),IF($I84=3,"",IFBLANK(_xldudf_CX_PUSH(AM84,CX_ENTITY,$B84,AM$11,AM$14,AM$60,),"")))))),"")</f>
        <v/>
      </c>
      <c r="DA84" s="1883" t="str" cm="1">
        <f t="array" ca="1" aca="1" ref="DA84">IFERROR(IF(AN84*fxVal_normal=_BS!AN84,"",IF(OR(AN84="",NOT(ISNUMBER(AN84)),ISERROR(AN84),$B84=""),"",IF($I84=1,IFBLANK(_xldudf_CX_PUSH(AN84*fxVal_normal,CX_ENTITY,$B84,AN$11,AN$14,AN$60,),""),IF($I84=2,IFBLANK(_xldudf_CX_PUSH(AN84,CX_ENTITY,$B84,AN$11,AN$14,AN$60,),""),IF($I84=3,"",IFBLANK(_xldudf_CX_PUSH(AN84,CX_ENTITY,$B84,AN$11,AN$14,AN$60,),"")))))),"")</f>
        <v/>
      </c>
      <c r="DB84" s="1883" t="str" cm="1">
        <f t="array" ca="1" aca="1" ref="DB84">IFERROR(IF(AO84*fxVal_normal=_BS!AO84,"",IF(OR(AO84="",NOT(ISNUMBER(AO84)),ISERROR(AO84),$B84=""),"",IF($I84=1,IFBLANK(_xldudf_CX_PUSH(AO84*fxVal_normal,CX_ENTITY,$B84,AO$11,AO$14,AO$60,),""),IF($I84=2,IFBLANK(_xldudf_CX_PUSH(AO84,CX_ENTITY,$B84,AO$11,AO$14,AO$60,),""),IF($I84=3,"",IFBLANK(_xldudf_CX_PUSH(AO84,CX_ENTITY,$B84,AO$11,AO$14,AO$60,),"")))))),"")</f>
        <v/>
      </c>
      <c r="DC84" s="1883" t="str" cm="1">
        <f t="array" ca="1" aca="1" ref="DC84">IFERROR(IF(AP84*fxVal_normal=_BS!AP84,"",IF(OR(AP84="",NOT(ISNUMBER(AP84)),ISERROR(AP84),$B84=""),"",IF($I84=1,IFBLANK(_xldudf_CX_PUSH(AP84*fxVal_normal,CX_ENTITY,$B84,AP$11,AP$14,AP$60,),""),IF($I84=2,IFBLANK(_xldudf_CX_PUSH(AP84,CX_ENTITY,$B84,AP$11,AP$14,AP$60,),""),IF($I84=3,"",IFBLANK(_xldudf_CX_PUSH(AP84,CX_ENTITY,$B84,AP$11,AP$14,AP$60,),"")))))),"")</f>
        <v/>
      </c>
      <c r="DD84" s="1883" t="str" cm="1">
        <f t="array" ca="1" aca="1" ref="DD84">IFERROR(IF(AQ84*fxVal_normal=_BS!AQ84,"",IF(OR(AQ84="",NOT(ISNUMBER(AQ84)),ISERROR(AQ84),$B84=""),"",IF($I84=1,IFBLANK(_xldudf_CX_PUSH(AQ84*fxVal_normal,CX_ENTITY,$B84,AQ$11,AQ$14,AQ$60,),""),IF($I84=2,IFBLANK(_xldudf_CX_PUSH(AQ84,CX_ENTITY,$B84,AQ$11,AQ$14,AQ$60,),""),IF($I84=3,"",IFBLANK(_xldudf_CX_PUSH(AQ84,CX_ENTITY,$B84,AQ$11,AQ$14,AQ$60,),"")))))),"")</f>
        <v/>
      </c>
      <c r="DE84" s="1883" t="str" cm="1">
        <f t="array" ca="1" aca="1" ref="DE84">IFERROR(IF(AR84*fxVal_normal=_BS!AR84,"",IF(OR(AR84="",NOT(ISNUMBER(AR84)),ISERROR(AR84),$B84=""),"",IF($I84=1,IFBLANK(_xldudf_CX_PUSH(AR84*fxVal_normal,CX_ENTITY,$B84,AR$11,AR$14,AR$60,),""),IF($I84=2,IFBLANK(_xldudf_CX_PUSH(AR84,CX_ENTITY,$B84,AR$11,AR$14,AR$60,),""),IF($I84=3,"",IFBLANK(_xldudf_CX_PUSH(AR84,CX_ENTITY,$B84,AR$11,AR$14,AR$60,),"")))))),"")</f>
        <v/>
      </c>
      <c r="DF84" s="1883" t="str" cm="1">
        <f t="array" ca="1" aca="1" ref="DF84">IFERROR(IF(AS84*fxVal_normal=_BS!AS84,"",IF(OR(AS84="",NOT(ISNUMBER(AS84)),ISERROR(AS84),$B84=""),"",IF($I84=1,IFBLANK(_xldudf_CX_PUSH(AS84*fxVal_normal,CX_ENTITY,$B84,AS$11,AS$14,AS$60,),""),IF($I84=2,IFBLANK(_xldudf_CX_PUSH(AS84,CX_ENTITY,$B84,AS$11,AS$14,AS$60,),""),IF($I84=3,"",IFBLANK(_xldudf_CX_PUSH(AS84,CX_ENTITY,$B84,AS$11,AS$14,AS$60,),"")))))),"")</f>
        <v/>
      </c>
      <c r="DG84" s="1883" t="str" cm="1">
        <f t="array" ca="1" aca="1" ref="DG84">IFERROR(IF(AT84*fxVal_normal=_BS!AT84,"",IF(OR(AT84="",NOT(ISNUMBER(AT84)),ISERROR(AT84),$B84=""),"",IF($I84=1,IFBLANK(_xldudf_CX_PUSH(AT84*fxVal_normal,CX_ENTITY,$B84,AT$11,AT$14,AT$60,),""),IF($I84=2,IFBLANK(_xldudf_CX_PUSH(AT84,CX_ENTITY,$B84,AT$11,AT$14,AT$60,),""),IF($I84=3,"",IFBLANK(_xldudf_CX_PUSH(AT84,CX_ENTITY,$B84,AT$11,AT$14,AT$60,),"")))))),"")</f>
        <v/>
      </c>
      <c r="DH84" s="1883" t="str" cm="1">
        <f t="array" ca="1" aca="1" ref="DH84">IFERROR(IF(AU84*fxVal_normal=_BS!AU84,"",IF(OR(AU84="",NOT(ISNUMBER(AU84)),ISERROR(AU84),$B84=""),"",IF($I84=1,IFBLANK(_xldudf_CX_PUSH(AU84*fxVal_normal,CX_ENTITY,$B84,AU$11,AU$14,AU$60,),""),IF($I84=2,IFBLANK(_xldudf_CX_PUSH(AU84,CX_ENTITY,$B84,AU$11,AU$14,AU$60,),""),IF($I84=3,"",IFBLANK(_xldudf_CX_PUSH(AU84,CX_ENTITY,$B84,AU$11,AU$14,AU$60,),"")))))),"")</f>
        <v/>
      </c>
      <c r="DI84" s="1883" t="str" cm="1">
        <f t="array" ca="1" aca="1" ref="DI84">IFERROR(IF(AV84*fxVal_normal=_BS!AV84,"",IF(OR(AV84="",NOT(ISNUMBER(AV84)),ISERROR(AV84),$B84=""),"",IF($I84=1,IFBLANK(_xldudf_CX_PUSH(AV84*fxVal_normal,CX_ENTITY,$B84,AV$11,AV$14,AV$60,),""),IF($I84=2,IFBLANK(_xldudf_CX_PUSH(AV84,CX_ENTITY,$B84,AV$11,AV$14,AV$60,),""),IF($I84=3,"",IFBLANK(_xldudf_CX_PUSH(AV84,CX_ENTITY,$B84,AV$11,AV$14,AV$60,),"")))))),"")</f>
        <v/>
      </c>
      <c r="DJ84" s="1883" t="str" cm="1">
        <f t="array" ca="1" aca="1" ref="DJ84">IFERROR(IF(AW84*fxVal_normal=_BS!AW84,"",IF(OR(AW84="",NOT(ISNUMBER(AW84)),ISERROR(AW84),$B84=""),"",IF($I84=1,IFBLANK(_xldudf_CX_PUSH(AW84*fxVal_normal,CX_ENTITY,$B84,AW$11,AW$14,AW$60,),""),IF($I84=2,IFBLANK(_xldudf_CX_PUSH(AW84,CX_ENTITY,$B84,AW$11,AW$14,AW$60,),""),IF($I84=3,"",IFBLANK(_xldudf_CX_PUSH(AW84,CX_ENTITY,$B84,AW$11,AW$14,AW$60,),"")))))),"")</f>
        <v/>
      </c>
      <c r="DK84" s="1883" t="str" cm="1">
        <f t="array" ca="1" aca="1" ref="DK84">IFERROR(IF(AX84*fxVal_normal=_BS!AX84,"",IF(OR(AX84="",NOT(ISNUMBER(AX84)),ISERROR(AX84),$B84=""),"",IF($I84=1,IFBLANK(_xldudf_CX_PUSH(AX84*fxVal_normal,CX_ENTITY,$B84,AX$11,AX$14,AX$60,),""),IF($I84=2,IFBLANK(_xldudf_CX_PUSH(AX84,CX_ENTITY,$B84,AX$11,AX$14,AX$60,),""),IF($I84=3,"",IFBLANK(_xldudf_CX_PUSH(AX84,CX_ENTITY,$B84,AX$11,AX$14,AX$60,),"")))))),"")</f>
        <v/>
      </c>
      <c r="DL84" s="1883" t="str" cm="1">
        <f t="array" ca="1" aca="1" ref="DL84">IFERROR(IF(AY84*fxVal_normal=_BS!AY84,"",IF(OR(AY84="",NOT(ISNUMBER(AY84)),ISERROR(AY84),$B84=""),"",IF($I84=1,IFBLANK(_xldudf_CX_PUSH(AY84*fxVal_normal,CX_ENTITY,$B84,AY$11,AY$14,AY$60,),""),IF($I84=2,IFBLANK(_xldudf_CX_PUSH(AY84,CX_ENTITY,$B84,AY$11,AY$14,AY$60,),""),IF($I84=3,"",IFBLANK(_xldudf_CX_PUSH(AY84,CX_ENTITY,$B84,AY$11,AY$14,AY$60,),"")))))),"")</f>
        <v/>
      </c>
      <c r="DM84" s="1883" t="str" cm="1">
        <f t="array" ca="1" aca="1" ref="DM84">IFERROR(IF(AZ84*fxVal_normal=_BS!AZ84,"",IF(OR(AZ84="",NOT(ISNUMBER(AZ84)),ISERROR(AZ84),$B84=""),"",IF($I84=1,IFBLANK(_xldudf_CX_PUSH(AZ84*fxVal_normal,CX_ENTITY,$B84,AZ$11,AZ$14,AZ$60,),""),IF($I84=2,IFBLANK(_xldudf_CX_PUSH(AZ84,CX_ENTITY,$B84,AZ$11,AZ$14,AZ$60,),""),IF($I84=3,"",IFBLANK(_xldudf_CX_PUSH(AZ84,CX_ENTITY,$B84,AZ$11,AZ$14,AZ$60,),"")))))),"")</f>
        <v/>
      </c>
      <c r="DN84" s="1883" t="str" cm="1">
        <f t="array" ca="1" aca="1" ref="DN84">IFERROR(IF(BA84*fxVal_normal=_BS!BA84,"",IF(OR(BA84="",NOT(ISNUMBER(BA84)),ISERROR(BA84),$B84=""),"",IF($I84=1,IFBLANK(_xldudf_CX_PUSH(BA84*fxVal_normal,CX_ENTITY,$B84,BA$11,BA$14,BA$60,),""),IF($I84=2,IFBLANK(_xldudf_CX_PUSH(BA84,CX_ENTITY,$B84,BA$11,BA$14,BA$60,),""),IF($I84=3,"",IFBLANK(_xldudf_CX_PUSH(BA84,CX_ENTITY,$B84,BA$11,BA$14,BA$60,),"")))))),"")</f>
        <v/>
      </c>
      <c r="DO84" s="1883" t="str" cm="1">
        <f t="array" ca="1" aca="1" ref="DO84">IFERROR(IF(BB84*fxVal_normal=_BS!BB84,"",IF(OR(BB84="",NOT(ISNUMBER(BB84)),ISERROR(BB84),$B84=""),"",IF($I84=1,IFBLANK(_xldudf_CX_PUSH(BB84*fxVal_normal,CX_ENTITY,$B84,BB$11,BB$14,BB$60,),""),IF($I84=2,IFBLANK(_xldudf_CX_PUSH(BB84,CX_ENTITY,$B84,BB$11,BB$14,BB$60,),""),IF($I84=3,"",IFBLANK(_xldudf_CX_PUSH(BB84,CX_ENTITY,$B84,BB$11,BB$14,BB$60,),"")))))),"")</f>
        <v/>
      </c>
      <c r="DP84" s="1883" t="str" cm="1">
        <f t="array" ca="1" aca="1" ref="DP84">IFERROR(IF(BC84*fxVal_normal=_BS!BC84,"",IF(OR(BC84="",NOT(ISNUMBER(BC84)),ISERROR(BC84),$B84=""),"",IF($I84=1,IFBLANK(_xldudf_CX_PUSH(BC84*fxVal_normal,CX_ENTITY,$B84,BC$11,BC$14,BC$60,),""),IF($I84=2,IFBLANK(_xldudf_CX_PUSH(BC84,CX_ENTITY,$B84,BC$11,BC$14,BC$60,),""),IF($I84=3,"",IFBLANK(_xldudf_CX_PUSH(BC84,CX_ENTITY,$B84,BC$11,BC$14,BC$60,),"")))))),"")</f>
        <v/>
      </c>
      <c r="DQ84" s="1883" t="str" cm="1">
        <f t="array" ca="1" aca="1" ref="DQ84">IFERROR(IF(BD84*fxVal_normal=_BS!BD84,"",IF(OR(BD84="",NOT(ISNUMBER(BD84)),ISERROR(BD84),$B84=""),"",IF($I84=1,IFBLANK(_xldudf_CX_PUSH(BD84*fxVal_normal,CX_ENTITY,$B84,BD$11,BD$14,BD$60,),""),IF($I84=2,IFBLANK(_xldudf_CX_PUSH(BD84,CX_ENTITY,$B84,BD$11,BD$14,BD$60,),""),IF($I84=3,"",IFBLANK(_xldudf_CX_PUSH(BD84,CX_ENTITY,$B84,BD$11,BD$14,BD$60,),"")))))),"")</f>
        <v/>
      </c>
      <c r="DR84" s="1883" t="str" cm="1">
        <f t="array" ca="1" aca="1" ref="DR84">IFERROR(IF(BE84*fxVal_normal=_BS!BE84,"",IF(OR(BE84="",NOT(ISNUMBER(BE84)),ISERROR(BE84),$B84=""),"",IF($I84=1,IFBLANK(_xldudf_CX_PUSH(BE84*fxVal_normal,CX_ENTITY,$B84,BE$11,BE$14,BE$60,),""),IF($I84=2,IFBLANK(_xldudf_CX_PUSH(BE84,CX_ENTITY,$B84,BE$11,BE$14,BE$60,),""),IF($I84=3,"",IFBLANK(_xldudf_CX_PUSH(BE84,CX_ENTITY,$B84,BE$11,BE$14,BE$60,),"")))))),"")</f>
        <v/>
      </c>
      <c r="DS84" s="1883" t="str" cm="1">
        <f t="array" ca="1" aca="1" ref="DS84">IFERROR(IF(BF84*fxVal_normal=_BS!BF84,"",IF(OR(BF84="",NOT(ISNUMBER(BF84)),ISERROR(BF84),$B84=""),"",IF($I84=1,IFBLANK(_xldudf_CX_PUSH(BF84*fxVal_normal,CX_ENTITY,$B84,BF$11,BF$14,BF$60,),""),IF($I84=2,IFBLANK(_xldudf_CX_PUSH(BF84,CX_ENTITY,$B84,BF$11,BF$14,BF$60,),""),IF($I84=3,"",IFBLANK(_xldudf_CX_PUSH(BF84,CX_ENTITY,$B84,BF$11,BF$14,BF$60,),"")))))),"")</f>
        <v/>
      </c>
      <c r="DT84" s="1883" t="str" cm="1">
        <f t="array" ca="1" aca="1" ref="DT84">IFERROR(IF(BG84*fxVal_normal=_BS!BG84,"",IF(OR(BG84="",NOT(ISNUMBER(BG84)),ISERROR(BG84),$B84=""),"",IF($I84=1,IFBLANK(_xldudf_CX_PUSH(BG84*fxVal_normal,CX_ENTITY,$B84,BG$11,BG$14,BG$60,),""),IF($I84=2,IFBLANK(_xldudf_CX_PUSH(BG84,CX_ENTITY,$B84,BG$11,BG$14,BG$60,),""),IF($I84=3,"",IFBLANK(_xldudf_CX_PUSH(BG84,CX_ENTITY,$B84,BG$11,BG$14,BG$60,),"")))))),"")</f>
        <v/>
      </c>
      <c r="DU84" s="1883" t="str" cm="1">
        <f t="array" ca="1" aca="1" ref="DU84">IFERROR(IF(BH84*fxVal_normal=_BS!BH84,"",IF(OR(BH84="",NOT(ISNUMBER(BH84)),ISERROR(BH84),$B84=""),"",IF($I84=1,IFBLANK(_xldudf_CX_PUSH(BH84*fxVal_normal,CX_ENTITY,$B84,BH$11,BH$14,BH$60,),""),IF($I84=2,IFBLANK(_xldudf_CX_PUSH(BH84,CX_ENTITY,$B84,BH$11,BH$14,BH$60,),""),IF($I84=3,"",IFBLANK(_xldudf_CX_PUSH(BH84,CX_ENTITY,$B84,BH$11,BH$14,BH$60,),"")))))),"")</f>
        <v/>
      </c>
      <c r="DV84" s="1883" t="str" cm="1">
        <f t="array" ca="1" aca="1" ref="DV84">IFERROR(IF(BI84*fxVal_normal=_BS!BI84,"",IF(OR(BI84="",NOT(ISNUMBER(BI84)),ISERROR(BI84),$B84=""),"",IF($I84=1,IFBLANK(_xldudf_CX_PUSH(BI84*fxVal_normal,CX_ENTITY,$B84,BI$11,BI$14,BI$60,),""),IF($I84=2,IFBLANK(_xldudf_CX_PUSH(BI84,CX_ENTITY,$B84,BI$11,BI$14,BI$60,),""),IF($I84=3,"",IFBLANK(_xldudf_CX_PUSH(BI84,CX_ENTITY,$B84,BI$11,BI$14,BI$60,),"")))))),"")</f>
        <v/>
      </c>
      <c r="DW84" s="1883" t="str" cm="1">
        <f t="array" ca="1" aca="1" ref="DW84">IFERROR(IF(BJ84*fxVal_normal=_BS!BJ84,"",IF(OR(BJ84="",NOT(ISNUMBER(BJ84)),ISERROR(BJ84),$B84=""),"",IF($I84=1,IFBLANK(_xldudf_CX_PUSH(BJ84*fxVal_normal,CX_ENTITY,$B84,BJ$11,BJ$14,BJ$60,),""),IF($I84=2,IFBLANK(_xldudf_CX_PUSH(BJ84,CX_ENTITY,$B84,BJ$11,BJ$14,BJ$60,),""),IF($I84=3,"",IFBLANK(_xldudf_CX_PUSH(BJ84,CX_ENTITY,$B84,BJ$11,BJ$14,BJ$60,),"")))))),"")</f>
        <v/>
      </c>
      <c r="DX84" s="1883" t="str" cm="1">
        <f t="array" ca="1" aca="1" ref="DX84">IFERROR(IF(BK84*fxVal_normal=_BS!BK84,"",IF(OR(BK84="",NOT(ISNUMBER(BK84)),ISERROR(BK84),$B84=""),"",IF($I84=1,IFBLANK(_xldudf_CX_PUSH(BK84*fxVal_normal,CX_ENTITY,$B84,BK$11,BK$14,BK$60,),""),IF($I84=2,IFBLANK(_xldudf_CX_PUSH(BK84,CX_ENTITY,$B84,BK$11,BK$14,BK$60,),""),IF($I84=3,"",IFBLANK(_xldudf_CX_PUSH(BK84,CX_ENTITY,$B84,BK$11,BK$14,BK$60,),"")))))),"")</f>
        <v/>
      </c>
      <c r="DY84" s="1883" t="str" cm="1">
        <f t="array" ca="1" aca="1" ref="DY84">IFERROR(IF(BL84*fxVal_normal=_BS!BL84,"",IF(OR(BL84="",NOT(ISNUMBER(BL84)),ISERROR(BL84),$B84=""),"",IF($I84=1,IFBLANK(_xldudf_CX_PUSH(BL84*fxVal_normal,CX_ENTITY,$B84,BL$11,BL$14,BL$60,),""),IF($I84=2,IFBLANK(_xldudf_CX_PUSH(BL84,CX_ENTITY,$B84,BL$11,BL$14,BL$60,),""),IF($I84=3,"",IFBLANK(_xldudf_CX_PUSH(BL84,CX_ENTITY,$B84,BL$11,BL$14,BL$60,),"")))))),"")</f>
        <v/>
      </c>
      <c r="DZ84" s="1883" t="str" cm="1">
        <f t="array" ca="1" aca="1" ref="DZ84">IFERROR(IF(BM84*fxVal_normal=_BS!BM84,"",IF(OR(BM84="",NOT(ISNUMBER(BM84)),ISERROR(BM84),$B84=""),"",IF($I84=1,IFBLANK(_xldudf_CX_PUSH(BM84*fxVal_normal,CX_ENTITY,$B84,BM$11,BM$14,BM$60,),""),IF($I84=2,IFBLANK(_xldudf_CX_PUSH(BM84,CX_ENTITY,$B84,BM$11,BM$14,BM$60,),""),IF($I84=3,"",IFBLANK(_xldudf_CX_PUSH(BM84,CX_ENTITY,$B84,BM$11,BM$14,BM$60,),"")))))),"")</f>
        <v/>
      </c>
      <c r="EA84" s="1883" t="str" cm="1">
        <f t="array" ca="1" aca="1" ref="EA84">IFERROR(IF(BN84*fxVal_normal=_BS!BN84,"",IF(OR(BN84="",NOT(ISNUMBER(BN84)),ISERROR(BN84),$B84=""),"",IF($I84=1,IFBLANK(_xldudf_CX_PUSH(BN84*fxVal_normal,CX_ENTITY,$B84,BN$11,BN$14,BN$60,),""),IF($I84=2,IFBLANK(_xldudf_CX_PUSH(BN84,CX_ENTITY,$B84,BN$11,BN$14,BN$60,),""),IF($I84=3,"",IFBLANK(_xldudf_CX_PUSH(BN84,CX_ENTITY,$B84,BN$11,BN$14,BN$60,),"")))))),"")</f>
        <v/>
      </c>
    </row>
    <row r="85" spans="1:131" ht="21" customHeight="1">
      <c r="A85" s="1646"/>
      <c r="B85" s="811" t="str" cm="1">
        <f t="array" ref="B85">IFBLANK(_BS!F85,"")</f>
        <v>Other debt Like items (on BS)</v>
      </c>
      <c r="C85" s="811" t="str" cm="1">
        <f t="array" ref="C85">IFBLANK(_BS!C85,"")</f>
        <v>Other debt Like items (on BS) (Company View)</v>
      </c>
      <c r="D85" s="1549"/>
      <c r="E85" s="1902" t="e" cm="1">
        <f t="array" ca="1" aca="1" ref="E8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85:$CH85,Z85)</f>
        <v>#NAME?</v>
      </c>
      <c r="F85" s="1897"/>
      <c r="G85" s="1897"/>
      <c r="H85" s="3280">
        <v>1</v>
      </c>
      <c r="I85" s="3280">
        <v>1</v>
      </c>
      <c r="J85" s="401"/>
      <c r="N85" s="158"/>
      <c r="O85" s="101"/>
      <c r="P85" s="52"/>
      <c r="Q85" s="101"/>
      <c r="R85" s="101"/>
      <c r="S85" s="101"/>
      <c r="T85" s="101"/>
      <c r="U85" s="39"/>
      <c r="W85" s="930" t="str">
        <f t="shared" si="18"/>
        <v>Budget</v>
      </c>
      <c r="X85" s="857">
        <f>_BS!X85</f>
        <v>-1</v>
      </c>
      <c r="Y85" s="3230">
        <f t="shared" si="17"/>
        <v>2</v>
      </c>
      <c r="Z85" s="3291" cm="1">
        <f t="array" ref="Z85">_xlfn.SWITCH(TRUE,_BS!$L85=TRUE,1,_BS!$L85=FALSE,-1,_BS!$L85=-1,0,"n/a")</f>
        <v>1</v>
      </c>
      <c r="AA85" s="200"/>
      <c r="AB85" s="88" t="str">
        <f>_BS!AB85</f>
        <v>Other debt Like items (on BS)</v>
      </c>
      <c r="AC85" s="88" t="e" vm="5" cm="1">
        <f t="array" ca="1" aca="1" ref="AC85">_xlfn.LET(_xlpm._termname,$AB85,_xlpm._iconname,"find",_xlpm._icon,fx_getIcon(_xlpm._iconname),_xlpm._location,_xlfn.XLOOKUP(LOWER(_xlpm._termname),LOWER(tbl_acctDef[Term]),tbl_acctDef[Term]),_xlpm._hyperlink,HYPERLINK("#"&amp;CELL("address",_xlpm._location),_xlpm._icon),IFERROR(_xlpm._hyperlink,""))</f>
        <v>#VALUE!</v>
      </c>
      <c r="AD85" s="3229">
        <v>1</v>
      </c>
      <c r="AE85" s="3229">
        <v>1</v>
      </c>
      <c r="AF85" s="3229">
        <v>1</v>
      </c>
      <c r="AG85" s="3229">
        <v>1</v>
      </c>
      <c r="AH85" s="3229">
        <v>1</v>
      </c>
      <c r="AI85" s="3229">
        <v>1</v>
      </c>
      <c r="AJ85" s="3229">
        <v>1</v>
      </c>
      <c r="AK85" s="3229">
        <v>1</v>
      </c>
      <c r="AL85" s="3229">
        <v>1</v>
      </c>
      <c r="AM85" s="3229">
        <v>1</v>
      </c>
      <c r="AN85" s="3229">
        <v>1</v>
      </c>
      <c r="AO85" s="3229">
        <v>1</v>
      </c>
      <c r="AP85" s="3229">
        <v>1</v>
      </c>
      <c r="AQ85" s="3229">
        <v>1</v>
      </c>
      <c r="AR85" s="3229">
        <v>1</v>
      </c>
      <c r="AS85" s="3229">
        <v>1</v>
      </c>
      <c r="AT85" s="3229">
        <v>1</v>
      </c>
      <c r="AU85" s="3229">
        <v>1</v>
      </c>
      <c r="AV85" s="3229">
        <v>1</v>
      </c>
      <c r="AW85" s="3229">
        <v>1</v>
      </c>
      <c r="AX85" s="3229">
        <v>1</v>
      </c>
      <c r="AY85" s="3229">
        <v>1</v>
      </c>
      <c r="AZ85" s="3229">
        <v>1</v>
      </c>
      <c r="BA85" s="3229">
        <v>1</v>
      </c>
      <c r="BB85" s="3229">
        <v>1</v>
      </c>
      <c r="BC85" s="3229">
        <v>1</v>
      </c>
      <c r="BD85" s="3229">
        <v>1</v>
      </c>
      <c r="BE85" s="3229">
        <v>1</v>
      </c>
      <c r="BF85" s="3229">
        <v>1</v>
      </c>
      <c r="BG85" s="3229">
        <v>1</v>
      </c>
      <c r="BH85" s="3229">
        <v>1</v>
      </c>
      <c r="BI85" s="3229">
        <v>1</v>
      </c>
      <c r="BJ85" s="3229">
        <v>1</v>
      </c>
      <c r="BK85" s="3229">
        <v>1</v>
      </c>
      <c r="BL85" s="3229">
        <v>1</v>
      </c>
      <c r="BM85" s="3229">
        <v>1</v>
      </c>
      <c r="BN85" s="3229">
        <v>1</v>
      </c>
      <c r="BO85" s="2095"/>
      <c r="BP85" s="2095"/>
      <c r="BQ85" s="2095"/>
      <c r="BR85" s="2095"/>
      <c r="BS85" s="2095"/>
      <c r="BT85" s="2095"/>
      <c r="BU85" s="2095"/>
      <c r="BV85" s="2095"/>
      <c r="BW85" s="2095"/>
      <c r="BX85" s="2095"/>
      <c r="BY85" s="2095"/>
      <c r="BZ85" s="2095"/>
      <c r="CA85" s="926"/>
      <c r="CB85" s="921"/>
      <c r="CC85" s="927"/>
      <c r="CD85" s="928" t="e" cm="1">
        <f t="array" ca="1" aca="1" ref="CD85">_xlfn.XLOOKUP(BS!CD$11,array_timeline,BS!$AD85:$BN85)</f>
        <v>#NAME?</v>
      </c>
      <c r="CE85" s="928" t="e" cm="1">
        <f t="array" ca="1" aca="1" ref="CE85">_xlfn.XLOOKUP(BS!CE$11,array_timeline,BS!$AD85:$BN85)</f>
        <v>#NAME?</v>
      </c>
      <c r="CF85" s="925"/>
      <c r="CG85" s="2124" t="e">
        <f t="shared" ca="1" si="16"/>
        <v>#NAME?</v>
      </c>
      <c r="CH85" s="2124" t="e">
        <f t="shared" ca="1" si="16"/>
        <v>#NAME?</v>
      </c>
      <c r="CI85" s="200"/>
      <c r="CQ85" s="1883" t="str" cm="1">
        <f t="array" ca="1" aca="1" ref="CQ85">IFERROR(IF(AD85*fxVal_normal=_BS!AD85,"",IF(OR(AD85="",NOT(ISNUMBER(AD85)),ISERROR(AD85),$B85=""),"",IF($I85=1,IFBLANK(_xldudf_CX_PUSH(AD85*fxVal_normal,CX_ENTITY,$B85,AD$11,AD$14,AD$60,),""),IF($I85=2,IFBLANK(_xldudf_CX_PUSH(AD85,CX_ENTITY,$B85,AD$11,AD$14,AD$60,),""),IF($I85=3,"",IFBLANK(_xldudf_CX_PUSH(AD85,CX_ENTITY,$B85,AD$11,AD$14,AD$60,),"")))))),"")</f>
        <v/>
      </c>
      <c r="CR85" s="1883" t="str" cm="1">
        <f t="array" ca="1" aca="1" ref="CR85">IFERROR(IF(AE85*fxVal_normal=_BS!AE85,"",IF(OR(AE85="",NOT(ISNUMBER(AE85)),ISERROR(AE85),$B85=""),"",IF($I85=1,IFBLANK(_xldudf_CX_PUSH(AE85*fxVal_normal,CX_ENTITY,$B85,AE$11,AE$14,AE$60,),""),IF($I85=2,IFBLANK(_xldudf_CX_PUSH(AE85,CX_ENTITY,$B85,AE$11,AE$14,AE$60,),""),IF($I85=3,"",IFBLANK(_xldudf_CX_PUSH(AE85,CX_ENTITY,$B85,AE$11,AE$14,AE$60,),"")))))),"")</f>
        <v/>
      </c>
      <c r="CS85" s="1883" t="str" cm="1">
        <f t="array" ca="1" aca="1" ref="CS85">IFERROR(IF(AF85*fxVal_normal=_BS!AF85,"",IF(OR(AF85="",NOT(ISNUMBER(AF85)),ISERROR(AF85),$B85=""),"",IF($I85=1,IFBLANK(_xldudf_CX_PUSH(AF85*fxVal_normal,CX_ENTITY,$B85,AF$11,AF$14,AF$60,),""),IF($I85=2,IFBLANK(_xldudf_CX_PUSH(AF85,CX_ENTITY,$B85,AF$11,AF$14,AF$60,),""),IF($I85=3,"",IFBLANK(_xldudf_CX_PUSH(AF85,CX_ENTITY,$B85,AF$11,AF$14,AF$60,),"")))))),"")</f>
        <v/>
      </c>
      <c r="CT85" s="1883" t="str" cm="1">
        <f t="array" ca="1" aca="1" ref="CT85">IFERROR(IF(AG85*fxVal_normal=_BS!AG85,"",IF(OR(AG85="",NOT(ISNUMBER(AG85)),ISERROR(AG85),$B85=""),"",IF($I85=1,IFBLANK(_xldudf_CX_PUSH(AG85*fxVal_normal,CX_ENTITY,$B85,AG$11,AG$14,AG$60,),""),IF($I85=2,IFBLANK(_xldudf_CX_PUSH(AG85,CX_ENTITY,$B85,AG$11,AG$14,AG$60,),""),IF($I85=3,"",IFBLANK(_xldudf_CX_PUSH(AG85,CX_ENTITY,$B85,AG$11,AG$14,AG$60,),"")))))),"")</f>
        <v/>
      </c>
      <c r="CU85" s="1883" t="str" cm="1">
        <f t="array" ca="1" aca="1" ref="CU85">IFERROR(IF(AH85*fxVal_normal=_BS!AH85,"",IF(OR(AH85="",NOT(ISNUMBER(AH85)),ISERROR(AH85),$B85=""),"",IF($I85=1,IFBLANK(_xldudf_CX_PUSH(AH85*fxVal_normal,CX_ENTITY,$B85,AH$11,AH$14,AH$60,),""),IF($I85=2,IFBLANK(_xldudf_CX_PUSH(AH85,CX_ENTITY,$B85,AH$11,AH$14,AH$60,),""),IF($I85=3,"",IFBLANK(_xldudf_CX_PUSH(AH85,CX_ENTITY,$B85,AH$11,AH$14,AH$60,),"")))))),"")</f>
        <v/>
      </c>
      <c r="CV85" s="1883" t="str" cm="1">
        <f t="array" ca="1" aca="1" ref="CV85">IFERROR(IF(AI85*fxVal_normal=_BS!AI85,"",IF(OR(AI85="",NOT(ISNUMBER(AI85)),ISERROR(AI85),$B85=""),"",IF($I85=1,IFBLANK(_xldudf_CX_PUSH(AI85*fxVal_normal,CX_ENTITY,$B85,AI$11,AI$14,AI$60,),""),IF($I85=2,IFBLANK(_xldudf_CX_PUSH(AI85,CX_ENTITY,$B85,AI$11,AI$14,AI$60,),""),IF($I85=3,"",IFBLANK(_xldudf_CX_PUSH(AI85,CX_ENTITY,$B85,AI$11,AI$14,AI$60,),"")))))),"")</f>
        <v/>
      </c>
      <c r="CW85" s="1883" t="str" cm="1">
        <f t="array" ca="1" aca="1" ref="CW85">IFERROR(IF(AJ85*fxVal_normal=_BS!AJ85,"",IF(OR(AJ85="",NOT(ISNUMBER(AJ85)),ISERROR(AJ85),$B85=""),"",IF($I85=1,IFBLANK(_xldudf_CX_PUSH(AJ85*fxVal_normal,CX_ENTITY,$B85,AJ$11,AJ$14,AJ$60,),""),IF($I85=2,IFBLANK(_xldudf_CX_PUSH(AJ85,CX_ENTITY,$B85,AJ$11,AJ$14,AJ$60,),""),IF($I85=3,"",IFBLANK(_xldudf_CX_PUSH(AJ85,CX_ENTITY,$B85,AJ$11,AJ$14,AJ$60,),"")))))),"")</f>
        <v/>
      </c>
      <c r="CX85" s="1883" t="str" cm="1">
        <f t="array" ca="1" aca="1" ref="CX85">IFERROR(IF(AK85*fxVal_normal=_BS!AK85,"",IF(OR(AK85="",NOT(ISNUMBER(AK85)),ISERROR(AK85),$B85=""),"",IF($I85=1,IFBLANK(_xldudf_CX_PUSH(AK85*fxVal_normal,CX_ENTITY,$B85,AK$11,AK$14,AK$60,),""),IF($I85=2,IFBLANK(_xldudf_CX_PUSH(AK85,CX_ENTITY,$B85,AK$11,AK$14,AK$60,),""),IF($I85=3,"",IFBLANK(_xldudf_CX_PUSH(AK85,CX_ENTITY,$B85,AK$11,AK$14,AK$60,),"")))))),"")</f>
        <v/>
      </c>
      <c r="CY85" s="1883" t="str" cm="1">
        <f t="array" ca="1" aca="1" ref="CY85">IFERROR(IF(AL85*fxVal_normal=_BS!AL85,"",IF(OR(AL85="",NOT(ISNUMBER(AL85)),ISERROR(AL85),$B85=""),"",IF($I85=1,IFBLANK(_xldudf_CX_PUSH(AL85*fxVal_normal,CX_ENTITY,$B85,AL$11,AL$14,AL$60,),""),IF($I85=2,IFBLANK(_xldudf_CX_PUSH(AL85,CX_ENTITY,$B85,AL$11,AL$14,AL$60,),""),IF($I85=3,"",IFBLANK(_xldudf_CX_PUSH(AL85,CX_ENTITY,$B85,AL$11,AL$14,AL$60,),"")))))),"")</f>
        <v/>
      </c>
      <c r="CZ85" s="1883" t="str" cm="1">
        <f t="array" ca="1" aca="1" ref="CZ85">IFERROR(IF(AM85*fxVal_normal=_BS!AM85,"",IF(OR(AM85="",NOT(ISNUMBER(AM85)),ISERROR(AM85),$B85=""),"",IF($I85=1,IFBLANK(_xldudf_CX_PUSH(AM85*fxVal_normal,CX_ENTITY,$B85,AM$11,AM$14,AM$60,),""),IF($I85=2,IFBLANK(_xldudf_CX_PUSH(AM85,CX_ENTITY,$B85,AM$11,AM$14,AM$60,),""),IF($I85=3,"",IFBLANK(_xldudf_CX_PUSH(AM85,CX_ENTITY,$B85,AM$11,AM$14,AM$60,),"")))))),"")</f>
        <v/>
      </c>
      <c r="DA85" s="1883" t="str" cm="1">
        <f t="array" ca="1" aca="1" ref="DA85">IFERROR(IF(AN85*fxVal_normal=_BS!AN85,"",IF(OR(AN85="",NOT(ISNUMBER(AN85)),ISERROR(AN85),$B85=""),"",IF($I85=1,IFBLANK(_xldudf_CX_PUSH(AN85*fxVal_normal,CX_ENTITY,$B85,AN$11,AN$14,AN$60,),""),IF($I85=2,IFBLANK(_xldudf_CX_PUSH(AN85,CX_ENTITY,$B85,AN$11,AN$14,AN$60,),""),IF($I85=3,"",IFBLANK(_xldudf_CX_PUSH(AN85,CX_ENTITY,$B85,AN$11,AN$14,AN$60,),"")))))),"")</f>
        <v/>
      </c>
      <c r="DB85" s="1883" t="str" cm="1">
        <f t="array" ca="1" aca="1" ref="DB85">IFERROR(IF(AO85*fxVal_normal=_BS!AO85,"",IF(OR(AO85="",NOT(ISNUMBER(AO85)),ISERROR(AO85),$B85=""),"",IF($I85=1,IFBLANK(_xldudf_CX_PUSH(AO85*fxVal_normal,CX_ENTITY,$B85,AO$11,AO$14,AO$60,),""),IF($I85=2,IFBLANK(_xldudf_CX_PUSH(AO85,CX_ENTITY,$B85,AO$11,AO$14,AO$60,),""),IF($I85=3,"",IFBLANK(_xldudf_CX_PUSH(AO85,CX_ENTITY,$B85,AO$11,AO$14,AO$60,),"")))))),"")</f>
        <v/>
      </c>
      <c r="DC85" s="1883" t="str" cm="1">
        <f t="array" ca="1" aca="1" ref="DC85">IFERROR(IF(AP85*fxVal_normal=_BS!AP85,"",IF(OR(AP85="",NOT(ISNUMBER(AP85)),ISERROR(AP85),$B85=""),"",IF($I85=1,IFBLANK(_xldudf_CX_PUSH(AP85*fxVal_normal,CX_ENTITY,$B85,AP$11,AP$14,AP$60,),""),IF($I85=2,IFBLANK(_xldudf_CX_PUSH(AP85,CX_ENTITY,$B85,AP$11,AP$14,AP$60,),""),IF($I85=3,"",IFBLANK(_xldudf_CX_PUSH(AP85,CX_ENTITY,$B85,AP$11,AP$14,AP$60,),"")))))),"")</f>
        <v/>
      </c>
      <c r="DD85" s="1883" t="str" cm="1">
        <f t="array" ca="1" aca="1" ref="DD85">IFERROR(IF(AQ85*fxVal_normal=_BS!AQ85,"",IF(OR(AQ85="",NOT(ISNUMBER(AQ85)),ISERROR(AQ85),$B85=""),"",IF($I85=1,IFBLANK(_xldudf_CX_PUSH(AQ85*fxVal_normal,CX_ENTITY,$B85,AQ$11,AQ$14,AQ$60,),""),IF($I85=2,IFBLANK(_xldudf_CX_PUSH(AQ85,CX_ENTITY,$B85,AQ$11,AQ$14,AQ$60,),""),IF($I85=3,"",IFBLANK(_xldudf_CX_PUSH(AQ85,CX_ENTITY,$B85,AQ$11,AQ$14,AQ$60,),"")))))),"")</f>
        <v/>
      </c>
      <c r="DE85" s="1883" t="str" cm="1">
        <f t="array" ca="1" aca="1" ref="DE85">IFERROR(IF(AR85*fxVal_normal=_BS!AR85,"",IF(OR(AR85="",NOT(ISNUMBER(AR85)),ISERROR(AR85),$B85=""),"",IF($I85=1,IFBLANK(_xldudf_CX_PUSH(AR85*fxVal_normal,CX_ENTITY,$B85,AR$11,AR$14,AR$60,),""),IF($I85=2,IFBLANK(_xldudf_CX_PUSH(AR85,CX_ENTITY,$B85,AR$11,AR$14,AR$60,),""),IF($I85=3,"",IFBLANK(_xldudf_CX_PUSH(AR85,CX_ENTITY,$B85,AR$11,AR$14,AR$60,),"")))))),"")</f>
        <v/>
      </c>
      <c r="DF85" s="1883" t="str" cm="1">
        <f t="array" ca="1" aca="1" ref="DF85">IFERROR(IF(AS85*fxVal_normal=_BS!AS85,"",IF(OR(AS85="",NOT(ISNUMBER(AS85)),ISERROR(AS85),$B85=""),"",IF($I85=1,IFBLANK(_xldudf_CX_PUSH(AS85*fxVal_normal,CX_ENTITY,$B85,AS$11,AS$14,AS$60,),""),IF($I85=2,IFBLANK(_xldudf_CX_PUSH(AS85,CX_ENTITY,$B85,AS$11,AS$14,AS$60,),""),IF($I85=3,"",IFBLANK(_xldudf_CX_PUSH(AS85,CX_ENTITY,$B85,AS$11,AS$14,AS$60,),"")))))),"")</f>
        <v/>
      </c>
      <c r="DG85" s="1883" t="str" cm="1">
        <f t="array" ca="1" aca="1" ref="DG85">IFERROR(IF(AT85*fxVal_normal=_BS!AT85,"",IF(OR(AT85="",NOT(ISNUMBER(AT85)),ISERROR(AT85),$B85=""),"",IF($I85=1,IFBLANK(_xldudf_CX_PUSH(AT85*fxVal_normal,CX_ENTITY,$B85,AT$11,AT$14,AT$60,),""),IF($I85=2,IFBLANK(_xldudf_CX_PUSH(AT85,CX_ENTITY,$B85,AT$11,AT$14,AT$60,),""),IF($I85=3,"",IFBLANK(_xldudf_CX_PUSH(AT85,CX_ENTITY,$B85,AT$11,AT$14,AT$60,),"")))))),"")</f>
        <v/>
      </c>
      <c r="DH85" s="1883" t="str" cm="1">
        <f t="array" ca="1" aca="1" ref="DH85">IFERROR(IF(AU85*fxVal_normal=_BS!AU85,"",IF(OR(AU85="",NOT(ISNUMBER(AU85)),ISERROR(AU85),$B85=""),"",IF($I85=1,IFBLANK(_xldudf_CX_PUSH(AU85*fxVal_normal,CX_ENTITY,$B85,AU$11,AU$14,AU$60,),""),IF($I85=2,IFBLANK(_xldudf_CX_PUSH(AU85,CX_ENTITY,$B85,AU$11,AU$14,AU$60,),""),IF($I85=3,"",IFBLANK(_xldudf_CX_PUSH(AU85,CX_ENTITY,$B85,AU$11,AU$14,AU$60,),"")))))),"")</f>
        <v/>
      </c>
      <c r="DI85" s="1883" t="str" cm="1">
        <f t="array" ca="1" aca="1" ref="DI85">IFERROR(IF(AV85*fxVal_normal=_BS!AV85,"",IF(OR(AV85="",NOT(ISNUMBER(AV85)),ISERROR(AV85),$B85=""),"",IF($I85=1,IFBLANK(_xldudf_CX_PUSH(AV85*fxVal_normal,CX_ENTITY,$B85,AV$11,AV$14,AV$60,),""),IF($I85=2,IFBLANK(_xldudf_CX_PUSH(AV85,CX_ENTITY,$B85,AV$11,AV$14,AV$60,),""),IF($I85=3,"",IFBLANK(_xldudf_CX_PUSH(AV85,CX_ENTITY,$B85,AV$11,AV$14,AV$60,),"")))))),"")</f>
        <v/>
      </c>
      <c r="DJ85" s="1883" t="str" cm="1">
        <f t="array" ca="1" aca="1" ref="DJ85">IFERROR(IF(AW85*fxVal_normal=_BS!AW85,"",IF(OR(AW85="",NOT(ISNUMBER(AW85)),ISERROR(AW85),$B85=""),"",IF($I85=1,IFBLANK(_xldudf_CX_PUSH(AW85*fxVal_normal,CX_ENTITY,$B85,AW$11,AW$14,AW$60,),""),IF($I85=2,IFBLANK(_xldudf_CX_PUSH(AW85,CX_ENTITY,$B85,AW$11,AW$14,AW$60,),""),IF($I85=3,"",IFBLANK(_xldudf_CX_PUSH(AW85,CX_ENTITY,$B85,AW$11,AW$14,AW$60,),"")))))),"")</f>
        <v/>
      </c>
      <c r="DK85" s="1883" t="str" cm="1">
        <f t="array" ca="1" aca="1" ref="DK85">IFERROR(IF(AX85*fxVal_normal=_BS!AX85,"",IF(OR(AX85="",NOT(ISNUMBER(AX85)),ISERROR(AX85),$B85=""),"",IF($I85=1,IFBLANK(_xldudf_CX_PUSH(AX85*fxVal_normal,CX_ENTITY,$B85,AX$11,AX$14,AX$60,),""),IF($I85=2,IFBLANK(_xldudf_CX_PUSH(AX85,CX_ENTITY,$B85,AX$11,AX$14,AX$60,),""),IF($I85=3,"",IFBLANK(_xldudf_CX_PUSH(AX85,CX_ENTITY,$B85,AX$11,AX$14,AX$60,),"")))))),"")</f>
        <v/>
      </c>
      <c r="DL85" s="1883" t="str" cm="1">
        <f t="array" ca="1" aca="1" ref="DL85">IFERROR(IF(AY85*fxVal_normal=_BS!AY85,"",IF(OR(AY85="",NOT(ISNUMBER(AY85)),ISERROR(AY85),$B85=""),"",IF($I85=1,IFBLANK(_xldudf_CX_PUSH(AY85*fxVal_normal,CX_ENTITY,$B85,AY$11,AY$14,AY$60,),""),IF($I85=2,IFBLANK(_xldudf_CX_PUSH(AY85,CX_ENTITY,$B85,AY$11,AY$14,AY$60,),""),IF($I85=3,"",IFBLANK(_xldudf_CX_PUSH(AY85,CX_ENTITY,$B85,AY$11,AY$14,AY$60,),"")))))),"")</f>
        <v/>
      </c>
      <c r="DM85" s="1883" t="str" cm="1">
        <f t="array" ca="1" aca="1" ref="DM85">IFERROR(IF(AZ85*fxVal_normal=_BS!AZ85,"",IF(OR(AZ85="",NOT(ISNUMBER(AZ85)),ISERROR(AZ85),$B85=""),"",IF($I85=1,IFBLANK(_xldudf_CX_PUSH(AZ85*fxVal_normal,CX_ENTITY,$B85,AZ$11,AZ$14,AZ$60,),""),IF($I85=2,IFBLANK(_xldudf_CX_PUSH(AZ85,CX_ENTITY,$B85,AZ$11,AZ$14,AZ$60,),""),IF($I85=3,"",IFBLANK(_xldudf_CX_PUSH(AZ85,CX_ENTITY,$B85,AZ$11,AZ$14,AZ$60,),"")))))),"")</f>
        <v/>
      </c>
      <c r="DN85" s="1883" t="str" cm="1">
        <f t="array" ca="1" aca="1" ref="DN85">IFERROR(IF(BA85*fxVal_normal=_BS!BA85,"",IF(OR(BA85="",NOT(ISNUMBER(BA85)),ISERROR(BA85),$B85=""),"",IF($I85=1,IFBLANK(_xldudf_CX_PUSH(BA85*fxVal_normal,CX_ENTITY,$B85,BA$11,BA$14,BA$60,),""),IF($I85=2,IFBLANK(_xldudf_CX_PUSH(BA85,CX_ENTITY,$B85,BA$11,BA$14,BA$60,),""),IF($I85=3,"",IFBLANK(_xldudf_CX_PUSH(BA85,CX_ENTITY,$B85,BA$11,BA$14,BA$60,),"")))))),"")</f>
        <v/>
      </c>
      <c r="DO85" s="1883" t="str" cm="1">
        <f t="array" ca="1" aca="1" ref="DO85">IFERROR(IF(BB85*fxVal_normal=_BS!BB85,"",IF(OR(BB85="",NOT(ISNUMBER(BB85)),ISERROR(BB85),$B85=""),"",IF($I85=1,IFBLANK(_xldudf_CX_PUSH(BB85*fxVal_normal,CX_ENTITY,$B85,BB$11,BB$14,BB$60,),""),IF($I85=2,IFBLANK(_xldudf_CX_PUSH(BB85,CX_ENTITY,$B85,BB$11,BB$14,BB$60,),""),IF($I85=3,"",IFBLANK(_xldudf_CX_PUSH(BB85,CX_ENTITY,$B85,BB$11,BB$14,BB$60,),"")))))),"")</f>
        <v/>
      </c>
      <c r="DP85" s="1883" t="str" cm="1">
        <f t="array" ca="1" aca="1" ref="DP85">IFERROR(IF(BC85*fxVal_normal=_BS!BC85,"",IF(OR(BC85="",NOT(ISNUMBER(BC85)),ISERROR(BC85),$B85=""),"",IF($I85=1,IFBLANK(_xldudf_CX_PUSH(BC85*fxVal_normal,CX_ENTITY,$B85,BC$11,BC$14,BC$60,),""),IF($I85=2,IFBLANK(_xldudf_CX_PUSH(BC85,CX_ENTITY,$B85,BC$11,BC$14,BC$60,),""),IF($I85=3,"",IFBLANK(_xldudf_CX_PUSH(BC85,CX_ENTITY,$B85,BC$11,BC$14,BC$60,),"")))))),"")</f>
        <v/>
      </c>
      <c r="DQ85" s="1883" t="str" cm="1">
        <f t="array" ca="1" aca="1" ref="DQ85">IFERROR(IF(BD85*fxVal_normal=_BS!BD85,"",IF(OR(BD85="",NOT(ISNUMBER(BD85)),ISERROR(BD85),$B85=""),"",IF($I85=1,IFBLANK(_xldudf_CX_PUSH(BD85*fxVal_normal,CX_ENTITY,$B85,BD$11,BD$14,BD$60,),""),IF($I85=2,IFBLANK(_xldudf_CX_PUSH(BD85,CX_ENTITY,$B85,BD$11,BD$14,BD$60,),""),IF($I85=3,"",IFBLANK(_xldudf_CX_PUSH(BD85,CX_ENTITY,$B85,BD$11,BD$14,BD$60,),"")))))),"")</f>
        <v/>
      </c>
      <c r="DR85" s="1883" t="str" cm="1">
        <f t="array" ca="1" aca="1" ref="DR85">IFERROR(IF(BE85*fxVal_normal=_BS!BE85,"",IF(OR(BE85="",NOT(ISNUMBER(BE85)),ISERROR(BE85),$B85=""),"",IF($I85=1,IFBLANK(_xldudf_CX_PUSH(BE85*fxVal_normal,CX_ENTITY,$B85,BE$11,BE$14,BE$60,),""),IF($I85=2,IFBLANK(_xldudf_CX_PUSH(BE85,CX_ENTITY,$B85,BE$11,BE$14,BE$60,),""),IF($I85=3,"",IFBLANK(_xldudf_CX_PUSH(BE85,CX_ENTITY,$B85,BE$11,BE$14,BE$60,),"")))))),"")</f>
        <v/>
      </c>
      <c r="DS85" s="1883" t="str" cm="1">
        <f t="array" ca="1" aca="1" ref="DS85">IFERROR(IF(BF85*fxVal_normal=_BS!BF85,"",IF(OR(BF85="",NOT(ISNUMBER(BF85)),ISERROR(BF85),$B85=""),"",IF($I85=1,IFBLANK(_xldudf_CX_PUSH(BF85*fxVal_normal,CX_ENTITY,$B85,BF$11,BF$14,BF$60,),""),IF($I85=2,IFBLANK(_xldudf_CX_PUSH(BF85,CX_ENTITY,$B85,BF$11,BF$14,BF$60,),""),IF($I85=3,"",IFBLANK(_xldudf_CX_PUSH(BF85,CX_ENTITY,$B85,BF$11,BF$14,BF$60,),"")))))),"")</f>
        <v/>
      </c>
      <c r="DT85" s="1883" t="str" cm="1">
        <f t="array" ca="1" aca="1" ref="DT85">IFERROR(IF(BG85*fxVal_normal=_BS!BG85,"",IF(OR(BG85="",NOT(ISNUMBER(BG85)),ISERROR(BG85),$B85=""),"",IF($I85=1,IFBLANK(_xldudf_CX_PUSH(BG85*fxVal_normal,CX_ENTITY,$B85,BG$11,BG$14,BG$60,),""),IF($I85=2,IFBLANK(_xldudf_CX_PUSH(BG85,CX_ENTITY,$B85,BG$11,BG$14,BG$60,),""),IF($I85=3,"",IFBLANK(_xldudf_CX_PUSH(BG85,CX_ENTITY,$B85,BG$11,BG$14,BG$60,),"")))))),"")</f>
        <v/>
      </c>
      <c r="DU85" s="1883" t="str" cm="1">
        <f t="array" ca="1" aca="1" ref="DU85">IFERROR(IF(BH85*fxVal_normal=_BS!BH85,"",IF(OR(BH85="",NOT(ISNUMBER(BH85)),ISERROR(BH85),$B85=""),"",IF($I85=1,IFBLANK(_xldudf_CX_PUSH(BH85*fxVal_normal,CX_ENTITY,$B85,BH$11,BH$14,BH$60,),""),IF($I85=2,IFBLANK(_xldudf_CX_PUSH(BH85,CX_ENTITY,$B85,BH$11,BH$14,BH$60,),""),IF($I85=3,"",IFBLANK(_xldudf_CX_PUSH(BH85,CX_ENTITY,$B85,BH$11,BH$14,BH$60,),"")))))),"")</f>
        <v/>
      </c>
      <c r="DV85" s="1883" t="str" cm="1">
        <f t="array" ca="1" aca="1" ref="DV85">IFERROR(IF(BI85*fxVal_normal=_BS!BI85,"",IF(OR(BI85="",NOT(ISNUMBER(BI85)),ISERROR(BI85),$B85=""),"",IF($I85=1,IFBLANK(_xldudf_CX_PUSH(BI85*fxVal_normal,CX_ENTITY,$B85,BI$11,BI$14,BI$60,),""),IF($I85=2,IFBLANK(_xldudf_CX_PUSH(BI85,CX_ENTITY,$B85,BI$11,BI$14,BI$60,),""),IF($I85=3,"",IFBLANK(_xldudf_CX_PUSH(BI85,CX_ENTITY,$B85,BI$11,BI$14,BI$60,),"")))))),"")</f>
        <v/>
      </c>
      <c r="DW85" s="1883" t="str" cm="1">
        <f t="array" ca="1" aca="1" ref="DW85">IFERROR(IF(BJ85*fxVal_normal=_BS!BJ85,"",IF(OR(BJ85="",NOT(ISNUMBER(BJ85)),ISERROR(BJ85),$B85=""),"",IF($I85=1,IFBLANK(_xldudf_CX_PUSH(BJ85*fxVal_normal,CX_ENTITY,$B85,BJ$11,BJ$14,BJ$60,),""),IF($I85=2,IFBLANK(_xldudf_CX_PUSH(BJ85,CX_ENTITY,$B85,BJ$11,BJ$14,BJ$60,),""),IF($I85=3,"",IFBLANK(_xldudf_CX_PUSH(BJ85,CX_ENTITY,$B85,BJ$11,BJ$14,BJ$60,),"")))))),"")</f>
        <v/>
      </c>
      <c r="DX85" s="1883" t="str" cm="1">
        <f t="array" ca="1" aca="1" ref="DX85">IFERROR(IF(BK85*fxVal_normal=_BS!BK85,"",IF(OR(BK85="",NOT(ISNUMBER(BK85)),ISERROR(BK85),$B85=""),"",IF($I85=1,IFBLANK(_xldudf_CX_PUSH(BK85*fxVal_normal,CX_ENTITY,$B85,BK$11,BK$14,BK$60,),""),IF($I85=2,IFBLANK(_xldudf_CX_PUSH(BK85,CX_ENTITY,$B85,BK$11,BK$14,BK$60,),""),IF($I85=3,"",IFBLANK(_xldudf_CX_PUSH(BK85,CX_ENTITY,$B85,BK$11,BK$14,BK$60,),"")))))),"")</f>
        <v/>
      </c>
      <c r="DY85" s="1883" t="str" cm="1">
        <f t="array" ca="1" aca="1" ref="DY85">IFERROR(IF(BL85*fxVal_normal=_BS!BL85,"",IF(OR(BL85="",NOT(ISNUMBER(BL85)),ISERROR(BL85),$B85=""),"",IF($I85=1,IFBLANK(_xldudf_CX_PUSH(BL85*fxVal_normal,CX_ENTITY,$B85,BL$11,BL$14,BL$60,),""),IF($I85=2,IFBLANK(_xldudf_CX_PUSH(BL85,CX_ENTITY,$B85,BL$11,BL$14,BL$60,),""),IF($I85=3,"",IFBLANK(_xldudf_CX_PUSH(BL85,CX_ENTITY,$B85,BL$11,BL$14,BL$60,),"")))))),"")</f>
        <v/>
      </c>
      <c r="DZ85" s="1883" t="str" cm="1">
        <f t="array" ca="1" aca="1" ref="DZ85">IFERROR(IF(BM85*fxVal_normal=_BS!BM85,"",IF(OR(BM85="",NOT(ISNUMBER(BM85)),ISERROR(BM85),$B85=""),"",IF($I85=1,IFBLANK(_xldudf_CX_PUSH(BM85*fxVal_normal,CX_ENTITY,$B85,BM$11,BM$14,BM$60,),""),IF($I85=2,IFBLANK(_xldudf_CX_PUSH(BM85,CX_ENTITY,$B85,BM$11,BM$14,BM$60,),""),IF($I85=3,"",IFBLANK(_xldudf_CX_PUSH(BM85,CX_ENTITY,$B85,BM$11,BM$14,BM$60,),"")))))),"")</f>
        <v/>
      </c>
      <c r="EA85" s="1883" t="str" cm="1">
        <f t="array" ca="1" aca="1" ref="EA85">IFERROR(IF(BN85*fxVal_normal=_BS!BN85,"",IF(OR(BN85="",NOT(ISNUMBER(BN85)),ISERROR(BN85),$B85=""),"",IF($I85=1,IFBLANK(_xldudf_CX_PUSH(BN85*fxVal_normal,CX_ENTITY,$B85,BN$11,BN$14,BN$60,),""),IF($I85=2,IFBLANK(_xldudf_CX_PUSH(BN85,CX_ENTITY,$B85,BN$11,BN$14,BN$60,),""),IF($I85=3,"",IFBLANK(_xldudf_CX_PUSH(BN85,CX_ENTITY,$B85,BN$11,BN$14,BN$60,),"")))))),"")</f>
        <v/>
      </c>
    </row>
    <row r="86" spans="1:131" ht="21" customHeight="1">
      <c r="A86" s="1646"/>
      <c r="B86" s="811" t="str" cm="1">
        <f t="array" ref="B86">IFBLANK(_BS!F86,"")</f>
        <v>Potential Debt Like Items (on BS)</v>
      </c>
      <c r="C86" s="811" t="str" cm="1">
        <f t="array" ref="C86">IFBLANK(_BS!C86,"")</f>
        <v>Potential Debt Like Items (Company View)</v>
      </c>
      <c r="D86" s="1549"/>
      <c r="E86" s="1902" t="e" cm="1">
        <f t="array" ca="1" aca="1" ref="E8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86:$CH86,Z86)</f>
        <v>#NAME?</v>
      </c>
      <c r="F86" s="1897"/>
      <c r="G86" s="1897"/>
      <c r="H86" s="3280">
        <v>2</v>
      </c>
      <c r="I86" s="3280">
        <v>1</v>
      </c>
      <c r="J86" s="401"/>
      <c r="L86" s="921"/>
      <c r="M86" s="921"/>
      <c r="N86" s="158"/>
      <c r="O86" s="101"/>
      <c r="P86" s="52"/>
      <c r="Q86" s="101"/>
      <c r="R86" s="101"/>
      <c r="S86" s="101"/>
      <c r="T86" s="101"/>
      <c r="U86" s="39"/>
      <c r="V86" s="921"/>
      <c r="W86" s="1291" t="str">
        <f t="shared" si="18"/>
        <v>Budget</v>
      </c>
      <c r="X86" s="1294">
        <f>_BS!X86</f>
        <v>0</v>
      </c>
      <c r="Y86" s="1593" t="str">
        <f t="shared" si="17"/>
        <v>Potential Debt Like Items</v>
      </c>
      <c r="Z86" s="198" cm="1">
        <f t="array" ref="Z86">_xlfn.SWITCH(TRUE,_BS!$L86=TRUE,1,_BS!$L86=FALSE,-1,_BS!$L86=-1,0,"n/a")</f>
        <v>0</v>
      </c>
      <c r="AA86" s="924"/>
      <c r="AB86" s="925" t="str">
        <f>_BS!AB86</f>
        <v>Potential Debt Like Items</v>
      </c>
      <c r="AC86" s="88" t="str" cm="1">
        <f t="array" ca="1" aca="1" ref="AC86">_xlfn.LET(_xlpm._termname,$AB86,_xlpm._iconname,"find",_xlpm._icon,fx_getIcon(_xlpm._iconname),_xlpm._location,_xlfn.XLOOKUP(LOWER(_xlpm._termname),LOWER(tbl_acctDef[Term]),tbl_acctDef[Term]),_xlpm._hyperlink,HYPERLINK("#"&amp;CELL("address",_xlpm._location),_xlpm._icon),IFERROR(_xlpm._hyperlink,""))</f>
        <v/>
      </c>
      <c r="AD86" s="919">
        <f t="shared" si="25" ref="AD86:BN86">SUBTOTAL(9,AD82:AD85)</f>
        <v>4</v>
      </c>
      <c r="AE86" s="919">
        <f t="shared" si="25"/>
        <v>4</v>
      </c>
      <c r="AF86" s="919">
        <f t="shared" si="25"/>
        <v>4</v>
      </c>
      <c r="AG86" s="919">
        <f t="shared" si="25"/>
        <v>4</v>
      </c>
      <c r="AH86" s="919">
        <f t="shared" si="25"/>
        <v>4</v>
      </c>
      <c r="AI86" s="919">
        <f t="shared" si="25"/>
        <v>4</v>
      </c>
      <c r="AJ86" s="919">
        <f t="shared" si="25"/>
        <v>4</v>
      </c>
      <c r="AK86" s="919">
        <f t="shared" si="25"/>
        <v>4</v>
      </c>
      <c r="AL86" s="919">
        <f t="shared" si="25"/>
        <v>4</v>
      </c>
      <c r="AM86" s="919">
        <f t="shared" si="25"/>
        <v>4</v>
      </c>
      <c r="AN86" s="919">
        <f t="shared" si="25"/>
        <v>4</v>
      </c>
      <c r="AO86" s="919">
        <f t="shared" si="25"/>
        <v>4</v>
      </c>
      <c r="AP86" s="919">
        <f t="shared" si="25"/>
        <v>4</v>
      </c>
      <c r="AQ86" s="919">
        <f t="shared" si="25"/>
        <v>4</v>
      </c>
      <c r="AR86" s="919">
        <f t="shared" si="25"/>
        <v>4</v>
      </c>
      <c r="AS86" s="919">
        <f t="shared" si="25"/>
        <v>4</v>
      </c>
      <c r="AT86" s="919">
        <f t="shared" si="25"/>
        <v>4</v>
      </c>
      <c r="AU86" s="919">
        <f t="shared" si="25"/>
        <v>4</v>
      </c>
      <c r="AV86" s="919">
        <f t="shared" si="25"/>
        <v>4</v>
      </c>
      <c r="AW86" s="919">
        <f t="shared" si="25"/>
        <v>4</v>
      </c>
      <c r="AX86" s="919">
        <f t="shared" si="25"/>
        <v>4</v>
      </c>
      <c r="AY86" s="919">
        <f t="shared" si="25"/>
        <v>4</v>
      </c>
      <c r="AZ86" s="919">
        <f t="shared" si="25"/>
        <v>4</v>
      </c>
      <c r="BA86" s="919">
        <f t="shared" si="25"/>
        <v>4</v>
      </c>
      <c r="BB86" s="919">
        <f t="shared" si="25"/>
        <v>4</v>
      </c>
      <c r="BC86" s="919">
        <f t="shared" si="25"/>
        <v>4</v>
      </c>
      <c r="BD86" s="919">
        <f t="shared" si="25"/>
        <v>4</v>
      </c>
      <c r="BE86" s="919">
        <f t="shared" si="25"/>
        <v>4</v>
      </c>
      <c r="BF86" s="919">
        <f t="shared" si="25"/>
        <v>4</v>
      </c>
      <c r="BG86" s="919">
        <f t="shared" si="25"/>
        <v>4</v>
      </c>
      <c r="BH86" s="919">
        <f t="shared" si="25"/>
        <v>4</v>
      </c>
      <c r="BI86" s="919">
        <f t="shared" si="25"/>
        <v>4</v>
      </c>
      <c r="BJ86" s="919">
        <f t="shared" si="25"/>
        <v>4</v>
      </c>
      <c r="BK86" s="919">
        <f t="shared" si="25"/>
        <v>4</v>
      </c>
      <c r="BL86" s="919">
        <f t="shared" si="25"/>
        <v>4</v>
      </c>
      <c r="BM86" s="919">
        <f t="shared" si="25"/>
        <v>4</v>
      </c>
      <c r="BN86" s="919">
        <f t="shared" si="25"/>
        <v>4</v>
      </c>
      <c r="BO86" s="2117"/>
      <c r="BP86" s="2117"/>
      <c r="BQ86" s="2117"/>
      <c r="BR86" s="2117"/>
      <c r="BS86" s="2117"/>
      <c r="BT86" s="2117"/>
      <c r="BU86" s="2117"/>
      <c r="BV86" s="2117"/>
      <c r="BW86" s="2117"/>
      <c r="BX86" s="2117"/>
      <c r="BY86" s="2117"/>
      <c r="BZ86" s="2117"/>
      <c r="CA86" s="926"/>
      <c r="CB86" s="921"/>
      <c r="CC86" s="927"/>
      <c r="CD86" s="928" t="e" cm="1">
        <f t="array" ca="1" aca="1" ref="CD86">_xlfn.XLOOKUP(BS!CD$11,array_timeline,BS!$AD86:$BN86)</f>
        <v>#NAME?</v>
      </c>
      <c r="CE86" s="928" t="e" cm="1">
        <f t="array" ca="1" aca="1" ref="CE86">_xlfn.XLOOKUP(BS!CE$11,array_timeline,BS!$AD86:$BN86)</f>
        <v>#NAME?</v>
      </c>
      <c r="CF86" s="925"/>
      <c r="CG86" s="541" t="e">
        <f t="shared" ca="1" si="16"/>
        <v>#NAME?</v>
      </c>
      <c r="CH86" s="541" t="e">
        <f t="shared" ca="1" si="16"/>
        <v>#NAME?</v>
      </c>
      <c r="CI86" s="924"/>
      <c r="CQ86" s="1883" t="str" cm="1">
        <f t="array" ca="1" aca="1" ref="CQ86">IFERROR(IF(AD86*fxVal_normal=_BS!AD86,"",IF(OR(AD86="",NOT(ISNUMBER(AD86)),ISERROR(AD86),$B86=""),"",IF($I86=1,IFBLANK(_xldudf_CX_PUSH(AD86*fxVal_normal,CX_ENTITY,$B86,AD$11,AD$14,AD$60,),""),IF($I86=2,IFBLANK(_xldudf_CX_PUSH(AD86,CX_ENTITY,$B86,AD$11,AD$14,AD$60,),""),IF($I86=3,"",IFBLANK(_xldudf_CX_PUSH(AD86,CX_ENTITY,$B86,AD$11,AD$14,AD$60,),"")))))),"")</f>
        <v/>
      </c>
      <c r="CR86" s="1883" t="str" cm="1">
        <f t="array" ca="1" aca="1" ref="CR86">IFERROR(IF(AE86*fxVal_normal=_BS!AE86,"",IF(OR(AE86="",NOT(ISNUMBER(AE86)),ISERROR(AE86),$B86=""),"",IF($I86=1,IFBLANK(_xldudf_CX_PUSH(AE86*fxVal_normal,CX_ENTITY,$B86,AE$11,AE$14,AE$60,),""),IF($I86=2,IFBLANK(_xldudf_CX_PUSH(AE86,CX_ENTITY,$B86,AE$11,AE$14,AE$60,),""),IF($I86=3,"",IFBLANK(_xldudf_CX_PUSH(AE86,CX_ENTITY,$B86,AE$11,AE$14,AE$60,),"")))))),"")</f>
        <v/>
      </c>
      <c r="CS86" s="1883" t="str" cm="1">
        <f t="array" ca="1" aca="1" ref="CS86">IFERROR(IF(AF86*fxVal_normal=_BS!AF86,"",IF(OR(AF86="",NOT(ISNUMBER(AF86)),ISERROR(AF86),$B86=""),"",IF($I86=1,IFBLANK(_xldudf_CX_PUSH(AF86*fxVal_normal,CX_ENTITY,$B86,AF$11,AF$14,AF$60,),""),IF($I86=2,IFBLANK(_xldudf_CX_PUSH(AF86,CX_ENTITY,$B86,AF$11,AF$14,AF$60,),""),IF($I86=3,"",IFBLANK(_xldudf_CX_PUSH(AF86,CX_ENTITY,$B86,AF$11,AF$14,AF$60,),"")))))),"")</f>
        <v/>
      </c>
      <c r="CT86" s="1883" t="str" cm="1">
        <f t="array" ca="1" aca="1" ref="CT86">IFERROR(IF(AG86*fxVal_normal=_BS!AG86,"",IF(OR(AG86="",NOT(ISNUMBER(AG86)),ISERROR(AG86),$B86=""),"",IF($I86=1,IFBLANK(_xldudf_CX_PUSH(AG86*fxVal_normal,CX_ENTITY,$B86,AG$11,AG$14,AG$60,),""),IF($I86=2,IFBLANK(_xldudf_CX_PUSH(AG86,CX_ENTITY,$B86,AG$11,AG$14,AG$60,),""),IF($I86=3,"",IFBLANK(_xldudf_CX_PUSH(AG86,CX_ENTITY,$B86,AG$11,AG$14,AG$60,),"")))))),"")</f>
        <v/>
      </c>
      <c r="CU86" s="1883" t="str" cm="1">
        <f t="array" ca="1" aca="1" ref="CU86">IFERROR(IF(AH86*fxVal_normal=_BS!AH86,"",IF(OR(AH86="",NOT(ISNUMBER(AH86)),ISERROR(AH86),$B86=""),"",IF($I86=1,IFBLANK(_xldudf_CX_PUSH(AH86*fxVal_normal,CX_ENTITY,$B86,AH$11,AH$14,AH$60,),""),IF($I86=2,IFBLANK(_xldudf_CX_PUSH(AH86,CX_ENTITY,$B86,AH$11,AH$14,AH$60,),""),IF($I86=3,"",IFBLANK(_xldudf_CX_PUSH(AH86,CX_ENTITY,$B86,AH$11,AH$14,AH$60,),"")))))),"")</f>
        <v/>
      </c>
      <c r="CV86" s="1883" t="str" cm="1">
        <f t="array" ca="1" aca="1" ref="CV86">IFERROR(IF(AI86*fxVal_normal=_BS!AI86,"",IF(OR(AI86="",NOT(ISNUMBER(AI86)),ISERROR(AI86),$B86=""),"",IF($I86=1,IFBLANK(_xldudf_CX_PUSH(AI86*fxVal_normal,CX_ENTITY,$B86,AI$11,AI$14,AI$60,),""),IF($I86=2,IFBLANK(_xldudf_CX_PUSH(AI86,CX_ENTITY,$B86,AI$11,AI$14,AI$60,),""),IF($I86=3,"",IFBLANK(_xldudf_CX_PUSH(AI86,CX_ENTITY,$B86,AI$11,AI$14,AI$60,),"")))))),"")</f>
        <v/>
      </c>
      <c r="CW86" s="1883" t="str" cm="1">
        <f t="array" ca="1" aca="1" ref="CW86">IFERROR(IF(AJ86*fxVal_normal=_BS!AJ86,"",IF(OR(AJ86="",NOT(ISNUMBER(AJ86)),ISERROR(AJ86),$B86=""),"",IF($I86=1,IFBLANK(_xldudf_CX_PUSH(AJ86*fxVal_normal,CX_ENTITY,$B86,AJ$11,AJ$14,AJ$60,),""),IF($I86=2,IFBLANK(_xldudf_CX_PUSH(AJ86,CX_ENTITY,$B86,AJ$11,AJ$14,AJ$60,),""),IF($I86=3,"",IFBLANK(_xldudf_CX_PUSH(AJ86,CX_ENTITY,$B86,AJ$11,AJ$14,AJ$60,),"")))))),"")</f>
        <v/>
      </c>
      <c r="CX86" s="1883" t="str" cm="1">
        <f t="array" ca="1" aca="1" ref="CX86">IFERROR(IF(AK86*fxVal_normal=_BS!AK86,"",IF(OR(AK86="",NOT(ISNUMBER(AK86)),ISERROR(AK86),$B86=""),"",IF($I86=1,IFBLANK(_xldudf_CX_PUSH(AK86*fxVal_normal,CX_ENTITY,$B86,AK$11,AK$14,AK$60,),""),IF($I86=2,IFBLANK(_xldudf_CX_PUSH(AK86,CX_ENTITY,$B86,AK$11,AK$14,AK$60,),""),IF($I86=3,"",IFBLANK(_xldudf_CX_PUSH(AK86,CX_ENTITY,$B86,AK$11,AK$14,AK$60,),"")))))),"")</f>
        <v/>
      </c>
      <c r="CY86" s="1883" t="str" cm="1">
        <f t="array" ca="1" aca="1" ref="CY86">IFERROR(IF(AL86*fxVal_normal=_BS!AL86,"",IF(OR(AL86="",NOT(ISNUMBER(AL86)),ISERROR(AL86),$B86=""),"",IF($I86=1,IFBLANK(_xldudf_CX_PUSH(AL86*fxVal_normal,CX_ENTITY,$B86,AL$11,AL$14,AL$60,),""),IF($I86=2,IFBLANK(_xldudf_CX_PUSH(AL86,CX_ENTITY,$B86,AL$11,AL$14,AL$60,),""),IF($I86=3,"",IFBLANK(_xldudf_CX_PUSH(AL86,CX_ENTITY,$B86,AL$11,AL$14,AL$60,),"")))))),"")</f>
        <v/>
      </c>
      <c r="CZ86" s="1883" t="str" cm="1">
        <f t="array" ca="1" aca="1" ref="CZ86">IFERROR(IF(AM86*fxVal_normal=_BS!AM86,"",IF(OR(AM86="",NOT(ISNUMBER(AM86)),ISERROR(AM86),$B86=""),"",IF($I86=1,IFBLANK(_xldudf_CX_PUSH(AM86*fxVal_normal,CX_ENTITY,$B86,AM$11,AM$14,AM$60,),""),IF($I86=2,IFBLANK(_xldudf_CX_PUSH(AM86,CX_ENTITY,$B86,AM$11,AM$14,AM$60,),""),IF($I86=3,"",IFBLANK(_xldudf_CX_PUSH(AM86,CX_ENTITY,$B86,AM$11,AM$14,AM$60,),"")))))),"")</f>
        <v/>
      </c>
      <c r="DA86" s="1883" t="str" cm="1">
        <f t="array" ca="1" aca="1" ref="DA86">IFERROR(IF(AN86*fxVal_normal=_BS!AN86,"",IF(OR(AN86="",NOT(ISNUMBER(AN86)),ISERROR(AN86),$B86=""),"",IF($I86=1,IFBLANK(_xldudf_CX_PUSH(AN86*fxVal_normal,CX_ENTITY,$B86,AN$11,AN$14,AN$60,),""),IF($I86=2,IFBLANK(_xldudf_CX_PUSH(AN86,CX_ENTITY,$B86,AN$11,AN$14,AN$60,),""),IF($I86=3,"",IFBLANK(_xldudf_CX_PUSH(AN86,CX_ENTITY,$B86,AN$11,AN$14,AN$60,),"")))))),"")</f>
        <v/>
      </c>
      <c r="DB86" s="1883" t="str" cm="1">
        <f t="array" ca="1" aca="1" ref="DB86">IFERROR(IF(AO86*fxVal_normal=_BS!AO86,"",IF(OR(AO86="",NOT(ISNUMBER(AO86)),ISERROR(AO86),$B86=""),"",IF($I86=1,IFBLANK(_xldudf_CX_PUSH(AO86*fxVal_normal,CX_ENTITY,$B86,AO$11,AO$14,AO$60,),""),IF($I86=2,IFBLANK(_xldudf_CX_PUSH(AO86,CX_ENTITY,$B86,AO$11,AO$14,AO$60,),""),IF($I86=3,"",IFBLANK(_xldudf_CX_PUSH(AO86,CX_ENTITY,$B86,AO$11,AO$14,AO$60,),"")))))),"")</f>
        <v/>
      </c>
      <c r="DC86" s="1883" t="str" cm="1">
        <f t="array" ca="1" aca="1" ref="DC86">IFERROR(IF(AP86*fxVal_normal=_BS!AP86,"",IF(OR(AP86="",NOT(ISNUMBER(AP86)),ISERROR(AP86),$B86=""),"",IF($I86=1,IFBLANK(_xldudf_CX_PUSH(AP86*fxVal_normal,CX_ENTITY,$B86,AP$11,AP$14,AP$60,),""),IF($I86=2,IFBLANK(_xldudf_CX_PUSH(AP86,CX_ENTITY,$B86,AP$11,AP$14,AP$60,),""),IF($I86=3,"",IFBLANK(_xldudf_CX_PUSH(AP86,CX_ENTITY,$B86,AP$11,AP$14,AP$60,),"")))))),"")</f>
        <v/>
      </c>
      <c r="DD86" s="1883" t="str" cm="1">
        <f t="array" ca="1" aca="1" ref="DD86">IFERROR(IF(AQ86*fxVal_normal=_BS!AQ86,"",IF(OR(AQ86="",NOT(ISNUMBER(AQ86)),ISERROR(AQ86),$B86=""),"",IF($I86=1,IFBLANK(_xldudf_CX_PUSH(AQ86*fxVal_normal,CX_ENTITY,$B86,AQ$11,AQ$14,AQ$60,),""),IF($I86=2,IFBLANK(_xldudf_CX_PUSH(AQ86,CX_ENTITY,$B86,AQ$11,AQ$14,AQ$60,),""),IF($I86=3,"",IFBLANK(_xldudf_CX_PUSH(AQ86,CX_ENTITY,$B86,AQ$11,AQ$14,AQ$60,),"")))))),"")</f>
        <v/>
      </c>
      <c r="DE86" s="1883" t="str" cm="1">
        <f t="array" ca="1" aca="1" ref="DE86">IFERROR(IF(AR86*fxVal_normal=_BS!AR86,"",IF(OR(AR86="",NOT(ISNUMBER(AR86)),ISERROR(AR86),$B86=""),"",IF($I86=1,IFBLANK(_xldudf_CX_PUSH(AR86*fxVal_normal,CX_ENTITY,$B86,AR$11,AR$14,AR$60,),""),IF($I86=2,IFBLANK(_xldudf_CX_PUSH(AR86,CX_ENTITY,$B86,AR$11,AR$14,AR$60,),""),IF($I86=3,"",IFBLANK(_xldudf_CX_PUSH(AR86,CX_ENTITY,$B86,AR$11,AR$14,AR$60,),"")))))),"")</f>
        <v/>
      </c>
      <c r="DF86" s="1883" t="str" cm="1">
        <f t="array" ca="1" aca="1" ref="DF86">IFERROR(IF(AS86*fxVal_normal=_BS!AS86,"",IF(OR(AS86="",NOT(ISNUMBER(AS86)),ISERROR(AS86),$B86=""),"",IF($I86=1,IFBLANK(_xldudf_CX_PUSH(AS86*fxVal_normal,CX_ENTITY,$B86,AS$11,AS$14,AS$60,),""),IF($I86=2,IFBLANK(_xldudf_CX_PUSH(AS86,CX_ENTITY,$B86,AS$11,AS$14,AS$60,),""),IF($I86=3,"",IFBLANK(_xldudf_CX_PUSH(AS86,CX_ENTITY,$B86,AS$11,AS$14,AS$60,),"")))))),"")</f>
        <v/>
      </c>
      <c r="DG86" s="1883" t="str" cm="1">
        <f t="array" ca="1" aca="1" ref="DG86">IFERROR(IF(AT86*fxVal_normal=_BS!AT86,"",IF(OR(AT86="",NOT(ISNUMBER(AT86)),ISERROR(AT86),$B86=""),"",IF($I86=1,IFBLANK(_xldudf_CX_PUSH(AT86*fxVal_normal,CX_ENTITY,$B86,AT$11,AT$14,AT$60,),""),IF($I86=2,IFBLANK(_xldudf_CX_PUSH(AT86,CX_ENTITY,$B86,AT$11,AT$14,AT$60,),""),IF($I86=3,"",IFBLANK(_xldudf_CX_PUSH(AT86,CX_ENTITY,$B86,AT$11,AT$14,AT$60,),"")))))),"")</f>
        <v/>
      </c>
      <c r="DH86" s="1883" t="str" cm="1">
        <f t="array" ca="1" aca="1" ref="DH86">IFERROR(IF(AU86*fxVal_normal=_BS!AU86,"",IF(OR(AU86="",NOT(ISNUMBER(AU86)),ISERROR(AU86),$B86=""),"",IF($I86=1,IFBLANK(_xldudf_CX_PUSH(AU86*fxVal_normal,CX_ENTITY,$B86,AU$11,AU$14,AU$60,),""),IF($I86=2,IFBLANK(_xldudf_CX_PUSH(AU86,CX_ENTITY,$B86,AU$11,AU$14,AU$60,),""),IF($I86=3,"",IFBLANK(_xldudf_CX_PUSH(AU86,CX_ENTITY,$B86,AU$11,AU$14,AU$60,),"")))))),"")</f>
        <v/>
      </c>
      <c r="DI86" s="1883" t="str" cm="1">
        <f t="array" ca="1" aca="1" ref="DI86">IFERROR(IF(AV86*fxVal_normal=_BS!AV86,"",IF(OR(AV86="",NOT(ISNUMBER(AV86)),ISERROR(AV86),$B86=""),"",IF($I86=1,IFBLANK(_xldudf_CX_PUSH(AV86*fxVal_normal,CX_ENTITY,$B86,AV$11,AV$14,AV$60,),""),IF($I86=2,IFBLANK(_xldudf_CX_PUSH(AV86,CX_ENTITY,$B86,AV$11,AV$14,AV$60,),""),IF($I86=3,"",IFBLANK(_xldudf_CX_PUSH(AV86,CX_ENTITY,$B86,AV$11,AV$14,AV$60,),"")))))),"")</f>
        <v/>
      </c>
      <c r="DJ86" s="1883" t="str" cm="1">
        <f t="array" ca="1" aca="1" ref="DJ86">IFERROR(IF(AW86*fxVal_normal=_BS!AW86,"",IF(OR(AW86="",NOT(ISNUMBER(AW86)),ISERROR(AW86),$B86=""),"",IF($I86=1,IFBLANK(_xldudf_CX_PUSH(AW86*fxVal_normal,CX_ENTITY,$B86,AW$11,AW$14,AW$60,),""),IF($I86=2,IFBLANK(_xldudf_CX_PUSH(AW86,CX_ENTITY,$B86,AW$11,AW$14,AW$60,),""),IF($I86=3,"",IFBLANK(_xldudf_CX_PUSH(AW86,CX_ENTITY,$B86,AW$11,AW$14,AW$60,),"")))))),"")</f>
        <v/>
      </c>
      <c r="DK86" s="1883" t="str" cm="1">
        <f t="array" ca="1" aca="1" ref="DK86">IFERROR(IF(AX86*fxVal_normal=_BS!AX86,"",IF(OR(AX86="",NOT(ISNUMBER(AX86)),ISERROR(AX86),$B86=""),"",IF($I86=1,IFBLANK(_xldudf_CX_PUSH(AX86*fxVal_normal,CX_ENTITY,$B86,AX$11,AX$14,AX$60,),""),IF($I86=2,IFBLANK(_xldudf_CX_PUSH(AX86,CX_ENTITY,$B86,AX$11,AX$14,AX$60,),""),IF($I86=3,"",IFBLANK(_xldudf_CX_PUSH(AX86,CX_ENTITY,$B86,AX$11,AX$14,AX$60,),"")))))),"")</f>
        <v/>
      </c>
      <c r="DL86" s="1883" t="str" cm="1">
        <f t="array" ca="1" aca="1" ref="DL86">IFERROR(IF(AY86*fxVal_normal=_BS!AY86,"",IF(OR(AY86="",NOT(ISNUMBER(AY86)),ISERROR(AY86),$B86=""),"",IF($I86=1,IFBLANK(_xldudf_CX_PUSH(AY86*fxVal_normal,CX_ENTITY,$B86,AY$11,AY$14,AY$60,),""),IF($I86=2,IFBLANK(_xldudf_CX_PUSH(AY86,CX_ENTITY,$B86,AY$11,AY$14,AY$60,),""),IF($I86=3,"",IFBLANK(_xldudf_CX_PUSH(AY86,CX_ENTITY,$B86,AY$11,AY$14,AY$60,),"")))))),"")</f>
        <v/>
      </c>
      <c r="DM86" s="1883" t="str" cm="1">
        <f t="array" ca="1" aca="1" ref="DM86">IFERROR(IF(AZ86*fxVal_normal=_BS!AZ86,"",IF(OR(AZ86="",NOT(ISNUMBER(AZ86)),ISERROR(AZ86),$B86=""),"",IF($I86=1,IFBLANK(_xldudf_CX_PUSH(AZ86*fxVal_normal,CX_ENTITY,$B86,AZ$11,AZ$14,AZ$60,),""),IF($I86=2,IFBLANK(_xldudf_CX_PUSH(AZ86,CX_ENTITY,$B86,AZ$11,AZ$14,AZ$60,),""),IF($I86=3,"",IFBLANK(_xldudf_CX_PUSH(AZ86,CX_ENTITY,$B86,AZ$11,AZ$14,AZ$60,),"")))))),"")</f>
        <v/>
      </c>
      <c r="DN86" s="1883" t="str" cm="1">
        <f t="array" ca="1" aca="1" ref="DN86">IFERROR(IF(BA86*fxVal_normal=_BS!BA86,"",IF(OR(BA86="",NOT(ISNUMBER(BA86)),ISERROR(BA86),$B86=""),"",IF($I86=1,IFBLANK(_xldudf_CX_PUSH(BA86*fxVal_normal,CX_ENTITY,$B86,BA$11,BA$14,BA$60,),""),IF($I86=2,IFBLANK(_xldudf_CX_PUSH(BA86,CX_ENTITY,$B86,BA$11,BA$14,BA$60,),""),IF($I86=3,"",IFBLANK(_xldudf_CX_PUSH(BA86,CX_ENTITY,$B86,BA$11,BA$14,BA$60,),"")))))),"")</f>
        <v/>
      </c>
      <c r="DO86" s="1883" t="str" cm="1">
        <f t="array" ca="1" aca="1" ref="DO86">IFERROR(IF(BB86*fxVal_normal=_BS!BB86,"",IF(OR(BB86="",NOT(ISNUMBER(BB86)),ISERROR(BB86),$B86=""),"",IF($I86=1,IFBLANK(_xldudf_CX_PUSH(BB86*fxVal_normal,CX_ENTITY,$B86,BB$11,BB$14,BB$60,),""),IF($I86=2,IFBLANK(_xldudf_CX_PUSH(BB86,CX_ENTITY,$B86,BB$11,BB$14,BB$60,),""),IF($I86=3,"",IFBLANK(_xldudf_CX_PUSH(BB86,CX_ENTITY,$B86,BB$11,BB$14,BB$60,),"")))))),"")</f>
        <v/>
      </c>
      <c r="DP86" s="1883" t="str" cm="1">
        <f t="array" ca="1" aca="1" ref="DP86">IFERROR(IF(BC86*fxVal_normal=_BS!BC86,"",IF(OR(BC86="",NOT(ISNUMBER(BC86)),ISERROR(BC86),$B86=""),"",IF($I86=1,IFBLANK(_xldudf_CX_PUSH(BC86*fxVal_normal,CX_ENTITY,$B86,BC$11,BC$14,BC$60,),""),IF($I86=2,IFBLANK(_xldudf_CX_PUSH(BC86,CX_ENTITY,$B86,BC$11,BC$14,BC$60,),""),IF($I86=3,"",IFBLANK(_xldudf_CX_PUSH(BC86,CX_ENTITY,$B86,BC$11,BC$14,BC$60,),"")))))),"")</f>
        <v/>
      </c>
      <c r="DQ86" s="1883" t="str" cm="1">
        <f t="array" ca="1" aca="1" ref="DQ86">IFERROR(IF(BD86*fxVal_normal=_BS!BD86,"",IF(OR(BD86="",NOT(ISNUMBER(BD86)),ISERROR(BD86),$B86=""),"",IF($I86=1,IFBLANK(_xldudf_CX_PUSH(BD86*fxVal_normal,CX_ENTITY,$B86,BD$11,BD$14,BD$60,),""),IF($I86=2,IFBLANK(_xldudf_CX_PUSH(BD86,CX_ENTITY,$B86,BD$11,BD$14,BD$60,),""),IF($I86=3,"",IFBLANK(_xldudf_CX_PUSH(BD86,CX_ENTITY,$B86,BD$11,BD$14,BD$60,),"")))))),"")</f>
        <v/>
      </c>
      <c r="DR86" s="1883" t="str" cm="1">
        <f t="array" ca="1" aca="1" ref="DR86">IFERROR(IF(BE86*fxVal_normal=_BS!BE86,"",IF(OR(BE86="",NOT(ISNUMBER(BE86)),ISERROR(BE86),$B86=""),"",IF($I86=1,IFBLANK(_xldudf_CX_PUSH(BE86*fxVal_normal,CX_ENTITY,$B86,BE$11,BE$14,BE$60,),""),IF($I86=2,IFBLANK(_xldudf_CX_PUSH(BE86,CX_ENTITY,$B86,BE$11,BE$14,BE$60,),""),IF($I86=3,"",IFBLANK(_xldudf_CX_PUSH(BE86,CX_ENTITY,$B86,BE$11,BE$14,BE$60,),"")))))),"")</f>
        <v/>
      </c>
      <c r="DS86" s="1883" t="str" cm="1">
        <f t="array" ca="1" aca="1" ref="DS86">IFERROR(IF(BF86*fxVal_normal=_BS!BF86,"",IF(OR(BF86="",NOT(ISNUMBER(BF86)),ISERROR(BF86),$B86=""),"",IF($I86=1,IFBLANK(_xldudf_CX_PUSH(BF86*fxVal_normal,CX_ENTITY,$B86,BF$11,BF$14,BF$60,),""),IF($I86=2,IFBLANK(_xldudf_CX_PUSH(BF86,CX_ENTITY,$B86,BF$11,BF$14,BF$60,),""),IF($I86=3,"",IFBLANK(_xldudf_CX_PUSH(BF86,CX_ENTITY,$B86,BF$11,BF$14,BF$60,),"")))))),"")</f>
        <v/>
      </c>
      <c r="DT86" s="1883" t="str" cm="1">
        <f t="array" ca="1" aca="1" ref="DT86">IFERROR(IF(BG86*fxVal_normal=_BS!BG86,"",IF(OR(BG86="",NOT(ISNUMBER(BG86)),ISERROR(BG86),$B86=""),"",IF($I86=1,IFBLANK(_xldudf_CX_PUSH(BG86*fxVal_normal,CX_ENTITY,$B86,BG$11,BG$14,BG$60,),""),IF($I86=2,IFBLANK(_xldudf_CX_PUSH(BG86,CX_ENTITY,$B86,BG$11,BG$14,BG$60,),""),IF($I86=3,"",IFBLANK(_xldudf_CX_PUSH(BG86,CX_ENTITY,$B86,BG$11,BG$14,BG$60,),"")))))),"")</f>
        <v/>
      </c>
      <c r="DU86" s="1883" t="str" cm="1">
        <f t="array" ca="1" aca="1" ref="DU86">IFERROR(IF(BH86*fxVal_normal=_BS!BH86,"",IF(OR(BH86="",NOT(ISNUMBER(BH86)),ISERROR(BH86),$B86=""),"",IF($I86=1,IFBLANK(_xldudf_CX_PUSH(BH86*fxVal_normal,CX_ENTITY,$B86,BH$11,BH$14,BH$60,),""),IF($I86=2,IFBLANK(_xldudf_CX_PUSH(BH86,CX_ENTITY,$B86,BH$11,BH$14,BH$60,),""),IF($I86=3,"",IFBLANK(_xldudf_CX_PUSH(BH86,CX_ENTITY,$B86,BH$11,BH$14,BH$60,),"")))))),"")</f>
        <v/>
      </c>
      <c r="DV86" s="1883" t="str" cm="1">
        <f t="array" ca="1" aca="1" ref="DV86">IFERROR(IF(BI86*fxVal_normal=_BS!BI86,"",IF(OR(BI86="",NOT(ISNUMBER(BI86)),ISERROR(BI86),$B86=""),"",IF($I86=1,IFBLANK(_xldudf_CX_PUSH(BI86*fxVal_normal,CX_ENTITY,$B86,BI$11,BI$14,BI$60,),""),IF($I86=2,IFBLANK(_xldudf_CX_PUSH(BI86,CX_ENTITY,$B86,BI$11,BI$14,BI$60,),""),IF($I86=3,"",IFBLANK(_xldudf_CX_PUSH(BI86,CX_ENTITY,$B86,BI$11,BI$14,BI$60,),"")))))),"")</f>
        <v/>
      </c>
      <c r="DW86" s="1883" t="str" cm="1">
        <f t="array" ca="1" aca="1" ref="DW86">IFERROR(IF(BJ86*fxVal_normal=_BS!BJ86,"",IF(OR(BJ86="",NOT(ISNUMBER(BJ86)),ISERROR(BJ86),$B86=""),"",IF($I86=1,IFBLANK(_xldudf_CX_PUSH(BJ86*fxVal_normal,CX_ENTITY,$B86,BJ$11,BJ$14,BJ$60,),""),IF($I86=2,IFBLANK(_xldudf_CX_PUSH(BJ86,CX_ENTITY,$B86,BJ$11,BJ$14,BJ$60,),""),IF($I86=3,"",IFBLANK(_xldudf_CX_PUSH(BJ86,CX_ENTITY,$B86,BJ$11,BJ$14,BJ$60,),"")))))),"")</f>
        <v/>
      </c>
      <c r="DX86" s="1883" t="str" cm="1">
        <f t="array" ca="1" aca="1" ref="DX86">IFERROR(IF(BK86*fxVal_normal=_BS!BK86,"",IF(OR(BK86="",NOT(ISNUMBER(BK86)),ISERROR(BK86),$B86=""),"",IF($I86=1,IFBLANK(_xldudf_CX_PUSH(BK86*fxVal_normal,CX_ENTITY,$B86,BK$11,BK$14,BK$60,),""),IF($I86=2,IFBLANK(_xldudf_CX_PUSH(BK86,CX_ENTITY,$B86,BK$11,BK$14,BK$60,),""),IF($I86=3,"",IFBLANK(_xldudf_CX_PUSH(BK86,CX_ENTITY,$B86,BK$11,BK$14,BK$60,),"")))))),"")</f>
        <v/>
      </c>
      <c r="DY86" s="1883" t="str" cm="1">
        <f t="array" ca="1" aca="1" ref="DY86">IFERROR(IF(BL86*fxVal_normal=_BS!BL86,"",IF(OR(BL86="",NOT(ISNUMBER(BL86)),ISERROR(BL86),$B86=""),"",IF($I86=1,IFBLANK(_xldudf_CX_PUSH(BL86*fxVal_normal,CX_ENTITY,$B86,BL$11,BL$14,BL$60,),""),IF($I86=2,IFBLANK(_xldudf_CX_PUSH(BL86,CX_ENTITY,$B86,BL$11,BL$14,BL$60,),""),IF($I86=3,"",IFBLANK(_xldudf_CX_PUSH(BL86,CX_ENTITY,$B86,BL$11,BL$14,BL$60,),"")))))),"")</f>
        <v/>
      </c>
      <c r="DZ86" s="1883" t="str" cm="1">
        <f t="array" ca="1" aca="1" ref="DZ86">IFERROR(IF(BM86*fxVal_normal=_BS!BM86,"",IF(OR(BM86="",NOT(ISNUMBER(BM86)),ISERROR(BM86),$B86=""),"",IF($I86=1,IFBLANK(_xldudf_CX_PUSH(BM86*fxVal_normal,CX_ENTITY,$B86,BM$11,BM$14,BM$60,),""),IF($I86=2,IFBLANK(_xldudf_CX_PUSH(BM86,CX_ENTITY,$B86,BM$11,BM$14,BM$60,),""),IF($I86=3,"",IFBLANK(_xldudf_CX_PUSH(BM86,CX_ENTITY,$B86,BM$11,BM$14,BM$60,),"")))))),"")</f>
        <v/>
      </c>
      <c r="EA86" s="1883" t="str" cm="1">
        <f t="array" ca="1" aca="1" ref="EA86">IFERROR(IF(BN86*fxVal_normal=_BS!BN86,"",IF(OR(BN86="",NOT(ISNUMBER(BN86)),ISERROR(BN86),$B86=""),"",IF($I86=1,IFBLANK(_xldudf_CX_PUSH(BN86*fxVal_normal,CX_ENTITY,$B86,BN$11,BN$14,BN$60,),""),IF($I86=2,IFBLANK(_xldudf_CX_PUSH(BN86,CX_ENTITY,$B86,BN$11,BN$14,BN$60,),""),IF($I86=3,"",IFBLANK(_xldudf_CX_PUSH(BN86,CX_ENTITY,$B86,BN$11,BN$14,BN$60,),"")))))),"")</f>
        <v/>
      </c>
    </row>
    <row r="87" spans="1:131" ht="21" customHeight="1">
      <c r="A87" s="1646"/>
      <c r="B87" s="811" t="str" cm="1">
        <f t="array" ref="B87">IFBLANK(_BS!F87,"")</f>
        <v>Net (Debt) / Cash</v>
      </c>
      <c r="C87" s="811" t="str" cm="1">
        <f t="array" ref="C87">IFBLANK(_BS!C87,"")</f>
        <v>Net (Debt) / Cash (Company View)</v>
      </c>
      <c r="D87" s="1549"/>
      <c r="E87" s="1902" t="e" cm="1">
        <f t="array" ca="1" aca="1" ref="E8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87:$CH87,Z87)</f>
        <v>#NAME?</v>
      </c>
      <c r="F87" s="1897"/>
      <c r="G87" s="1897"/>
      <c r="H87" s="3280">
        <v>2</v>
      </c>
      <c r="I87" s="3280">
        <v>1</v>
      </c>
      <c r="J87" s="401"/>
      <c r="L87" s="921"/>
      <c r="M87" s="921"/>
      <c r="N87" s="158"/>
      <c r="O87" s="101"/>
      <c r="P87" s="52"/>
      <c r="Q87" s="101"/>
      <c r="R87" s="101"/>
      <c r="S87" s="101"/>
      <c r="T87" s="101"/>
      <c r="U87" s="39"/>
      <c r="V87" s="921"/>
      <c r="W87" s="1291" t="str">
        <f t="shared" si="18"/>
        <v>Budget</v>
      </c>
      <c r="X87" s="1294">
        <f>_BS!X87</f>
        <v>0</v>
      </c>
      <c r="Y87" s="1593" t="str">
        <f t="shared" si="17"/>
        <v>Net Debt / (Cash)</v>
      </c>
      <c r="Z87" s="198" cm="1">
        <f t="array" ref="Z87">_xlfn.SWITCH(TRUE,_BS!$L87=TRUE,1,_BS!$L87=FALSE,-1,_BS!$L87=-1,0,"n/a")</f>
        <v>0</v>
      </c>
      <c r="AA87" s="924"/>
      <c r="AB87" s="925" t="str">
        <f>_BS!AB87</f>
        <v>Net Debt / (Cash)</v>
      </c>
      <c r="AC87" s="88" t="str" cm="1">
        <f t="array" ca="1" aca="1" ref="AC87">_xlfn.LET(_xlpm._termname,$AB87,_xlpm._iconname,"find",_xlpm._icon,fx_getIcon(_xlpm._iconname),_xlpm._location,_xlfn.XLOOKUP(LOWER(_xlpm._termname),LOWER(tbl_acctDef[Term]),tbl_acctDef[Term]),_xlpm._hyperlink,HYPERLINK("#"&amp;CELL("address",_xlpm._location),_xlpm._icon),IFERROR(_xlpm._hyperlink,""))</f>
        <v/>
      </c>
      <c r="AD87" s="919">
        <f t="shared" si="26" ref="AD87:BN87">SUBTOTAL(9,AD72:AD86)</f>
        <v>11</v>
      </c>
      <c r="AE87" s="919">
        <f t="shared" si="26"/>
        <v>11</v>
      </c>
      <c r="AF87" s="919">
        <f t="shared" si="26"/>
        <v>11</v>
      </c>
      <c r="AG87" s="919">
        <f t="shared" si="26"/>
        <v>11</v>
      </c>
      <c r="AH87" s="919">
        <f t="shared" si="26"/>
        <v>11</v>
      </c>
      <c r="AI87" s="919">
        <f t="shared" si="26"/>
        <v>11</v>
      </c>
      <c r="AJ87" s="919">
        <f t="shared" si="26"/>
        <v>11</v>
      </c>
      <c r="AK87" s="919">
        <f t="shared" si="26"/>
        <v>11</v>
      </c>
      <c r="AL87" s="919">
        <f t="shared" si="26"/>
        <v>11</v>
      </c>
      <c r="AM87" s="919">
        <f t="shared" si="26"/>
        <v>11</v>
      </c>
      <c r="AN87" s="919">
        <f t="shared" si="26"/>
        <v>11</v>
      </c>
      <c r="AO87" s="919">
        <f t="shared" si="26"/>
        <v>11</v>
      </c>
      <c r="AP87" s="919">
        <f t="shared" si="26"/>
        <v>11</v>
      </c>
      <c r="AQ87" s="919">
        <f t="shared" si="26"/>
        <v>11</v>
      </c>
      <c r="AR87" s="919">
        <f t="shared" si="26"/>
        <v>11</v>
      </c>
      <c r="AS87" s="919">
        <f t="shared" si="26"/>
        <v>11</v>
      </c>
      <c r="AT87" s="919">
        <f t="shared" si="26"/>
        <v>11</v>
      </c>
      <c r="AU87" s="919">
        <f t="shared" si="26"/>
        <v>11</v>
      </c>
      <c r="AV87" s="919">
        <f t="shared" si="26"/>
        <v>11</v>
      </c>
      <c r="AW87" s="919">
        <f t="shared" si="26"/>
        <v>11</v>
      </c>
      <c r="AX87" s="919">
        <f t="shared" si="26"/>
        <v>11</v>
      </c>
      <c r="AY87" s="919">
        <f t="shared" si="26"/>
        <v>11</v>
      </c>
      <c r="AZ87" s="919">
        <f t="shared" si="26"/>
        <v>11</v>
      </c>
      <c r="BA87" s="919">
        <f t="shared" si="26"/>
        <v>11</v>
      </c>
      <c r="BB87" s="919">
        <f t="shared" si="26"/>
        <v>11</v>
      </c>
      <c r="BC87" s="919">
        <f t="shared" si="26"/>
        <v>11</v>
      </c>
      <c r="BD87" s="919">
        <f t="shared" si="26"/>
        <v>11</v>
      </c>
      <c r="BE87" s="919">
        <f t="shared" si="26"/>
        <v>11</v>
      </c>
      <c r="BF87" s="919">
        <f t="shared" si="26"/>
        <v>11</v>
      </c>
      <c r="BG87" s="919">
        <f t="shared" si="26"/>
        <v>11</v>
      </c>
      <c r="BH87" s="919">
        <f t="shared" si="26"/>
        <v>11</v>
      </c>
      <c r="BI87" s="919">
        <f t="shared" si="26"/>
        <v>11</v>
      </c>
      <c r="BJ87" s="919">
        <f t="shared" si="26"/>
        <v>11</v>
      </c>
      <c r="BK87" s="919">
        <f t="shared" si="26"/>
        <v>11</v>
      </c>
      <c r="BL87" s="919">
        <f t="shared" si="26"/>
        <v>11</v>
      </c>
      <c r="BM87" s="919">
        <f t="shared" si="26"/>
        <v>11</v>
      </c>
      <c r="BN87" s="919">
        <f t="shared" si="26"/>
        <v>11</v>
      </c>
      <c r="BO87" s="2117"/>
      <c r="BP87" s="2117"/>
      <c r="BQ87" s="2117"/>
      <c r="BR87" s="2117"/>
      <c r="BS87" s="2117"/>
      <c r="BT87" s="2117"/>
      <c r="BU87" s="2117"/>
      <c r="BV87" s="2117"/>
      <c r="BW87" s="2117"/>
      <c r="BX87" s="2117"/>
      <c r="BY87" s="2117"/>
      <c r="BZ87" s="2117"/>
      <c r="CA87" s="926"/>
      <c r="CB87" s="921"/>
      <c r="CC87" s="927"/>
      <c r="CD87" s="928" t="e" cm="1">
        <f t="array" ca="1" aca="1" ref="CD87">_xlfn.XLOOKUP(BS!CD$11,array_timeline,BS!$AD87:$BN87)</f>
        <v>#NAME?</v>
      </c>
      <c r="CE87" s="928" t="e" cm="1">
        <f t="array" ca="1" aca="1" ref="CE87">_xlfn.XLOOKUP(BS!CE$11,array_timeline,BS!$AD87:$BN87)</f>
        <v>#NAME?</v>
      </c>
      <c r="CF87" s="925"/>
      <c r="CG87" s="541" t="e">
        <f t="shared" ca="1" si="16"/>
        <v>#NAME?</v>
      </c>
      <c r="CH87" s="541" t="e">
        <f t="shared" ca="1" si="16"/>
        <v>#NAME?</v>
      </c>
      <c r="CI87" s="924"/>
      <c r="CQ87" s="1883" t="str" cm="1">
        <f t="array" ca="1" aca="1" ref="CQ87">IFERROR(IF(AD87*fxVal_normal=_BS!AD87,"",IF(OR(AD87="",NOT(ISNUMBER(AD87)),ISERROR(AD87),$B87=""),"",IF($I87=1,IFBLANK(_xldudf_CX_PUSH(AD87*fxVal_normal,CX_ENTITY,$B87,AD$11,AD$14,AD$60,),""),IF($I87=2,IFBLANK(_xldudf_CX_PUSH(AD87,CX_ENTITY,$B87,AD$11,AD$14,AD$60,),""),IF($I87=3,"",IFBLANK(_xldudf_CX_PUSH(AD87,CX_ENTITY,$B87,AD$11,AD$14,AD$60,),"")))))),"")</f>
        <v/>
      </c>
      <c r="CR87" s="1883" t="str" cm="1">
        <f t="array" ca="1" aca="1" ref="CR87">IFERROR(IF(AE87*fxVal_normal=_BS!AE87,"",IF(OR(AE87="",NOT(ISNUMBER(AE87)),ISERROR(AE87),$B87=""),"",IF($I87=1,IFBLANK(_xldudf_CX_PUSH(AE87*fxVal_normal,CX_ENTITY,$B87,AE$11,AE$14,AE$60,),""),IF($I87=2,IFBLANK(_xldudf_CX_PUSH(AE87,CX_ENTITY,$B87,AE$11,AE$14,AE$60,),""),IF($I87=3,"",IFBLANK(_xldudf_CX_PUSH(AE87,CX_ENTITY,$B87,AE$11,AE$14,AE$60,),"")))))),"")</f>
        <v/>
      </c>
      <c r="CS87" s="1883" t="str" cm="1">
        <f t="array" ca="1" aca="1" ref="CS87">IFERROR(IF(AF87*fxVal_normal=_BS!AF87,"",IF(OR(AF87="",NOT(ISNUMBER(AF87)),ISERROR(AF87),$B87=""),"",IF($I87=1,IFBLANK(_xldudf_CX_PUSH(AF87*fxVal_normal,CX_ENTITY,$B87,AF$11,AF$14,AF$60,),""),IF($I87=2,IFBLANK(_xldudf_CX_PUSH(AF87,CX_ENTITY,$B87,AF$11,AF$14,AF$60,),""),IF($I87=3,"",IFBLANK(_xldudf_CX_PUSH(AF87,CX_ENTITY,$B87,AF$11,AF$14,AF$60,),"")))))),"")</f>
        <v/>
      </c>
      <c r="CT87" s="1883" t="str" cm="1">
        <f t="array" ca="1" aca="1" ref="CT87">IFERROR(IF(AG87*fxVal_normal=_BS!AG87,"",IF(OR(AG87="",NOT(ISNUMBER(AG87)),ISERROR(AG87),$B87=""),"",IF($I87=1,IFBLANK(_xldudf_CX_PUSH(AG87*fxVal_normal,CX_ENTITY,$B87,AG$11,AG$14,AG$60,),""),IF($I87=2,IFBLANK(_xldudf_CX_PUSH(AG87,CX_ENTITY,$B87,AG$11,AG$14,AG$60,),""),IF($I87=3,"",IFBLANK(_xldudf_CX_PUSH(AG87,CX_ENTITY,$B87,AG$11,AG$14,AG$60,),"")))))),"")</f>
        <v/>
      </c>
      <c r="CU87" s="1883" t="str" cm="1">
        <f t="array" ca="1" aca="1" ref="CU87">IFERROR(IF(AH87*fxVal_normal=_BS!AH87,"",IF(OR(AH87="",NOT(ISNUMBER(AH87)),ISERROR(AH87),$B87=""),"",IF($I87=1,IFBLANK(_xldudf_CX_PUSH(AH87*fxVal_normal,CX_ENTITY,$B87,AH$11,AH$14,AH$60,),""),IF($I87=2,IFBLANK(_xldudf_CX_PUSH(AH87,CX_ENTITY,$B87,AH$11,AH$14,AH$60,),""),IF($I87=3,"",IFBLANK(_xldudf_CX_PUSH(AH87,CX_ENTITY,$B87,AH$11,AH$14,AH$60,),"")))))),"")</f>
        <v/>
      </c>
      <c r="CV87" s="1883" t="str" cm="1">
        <f t="array" ca="1" aca="1" ref="CV87">IFERROR(IF(AI87*fxVal_normal=_BS!AI87,"",IF(OR(AI87="",NOT(ISNUMBER(AI87)),ISERROR(AI87),$B87=""),"",IF($I87=1,IFBLANK(_xldudf_CX_PUSH(AI87*fxVal_normal,CX_ENTITY,$B87,AI$11,AI$14,AI$60,),""),IF($I87=2,IFBLANK(_xldudf_CX_PUSH(AI87,CX_ENTITY,$B87,AI$11,AI$14,AI$60,),""),IF($I87=3,"",IFBLANK(_xldudf_CX_PUSH(AI87,CX_ENTITY,$B87,AI$11,AI$14,AI$60,),"")))))),"")</f>
        <v/>
      </c>
      <c r="CW87" s="1883" t="str" cm="1">
        <f t="array" ca="1" aca="1" ref="CW87">IFERROR(IF(AJ87*fxVal_normal=_BS!AJ87,"",IF(OR(AJ87="",NOT(ISNUMBER(AJ87)),ISERROR(AJ87),$B87=""),"",IF($I87=1,IFBLANK(_xldudf_CX_PUSH(AJ87*fxVal_normal,CX_ENTITY,$B87,AJ$11,AJ$14,AJ$60,),""),IF($I87=2,IFBLANK(_xldudf_CX_PUSH(AJ87,CX_ENTITY,$B87,AJ$11,AJ$14,AJ$60,),""),IF($I87=3,"",IFBLANK(_xldudf_CX_PUSH(AJ87,CX_ENTITY,$B87,AJ$11,AJ$14,AJ$60,),"")))))),"")</f>
        <v/>
      </c>
      <c r="CX87" s="1883" t="str" cm="1">
        <f t="array" ca="1" aca="1" ref="CX87">IFERROR(IF(AK87*fxVal_normal=_BS!AK87,"",IF(OR(AK87="",NOT(ISNUMBER(AK87)),ISERROR(AK87),$B87=""),"",IF($I87=1,IFBLANK(_xldudf_CX_PUSH(AK87*fxVal_normal,CX_ENTITY,$B87,AK$11,AK$14,AK$60,),""),IF($I87=2,IFBLANK(_xldudf_CX_PUSH(AK87,CX_ENTITY,$B87,AK$11,AK$14,AK$60,),""),IF($I87=3,"",IFBLANK(_xldudf_CX_PUSH(AK87,CX_ENTITY,$B87,AK$11,AK$14,AK$60,),"")))))),"")</f>
        <v/>
      </c>
      <c r="CY87" s="1883" t="str" cm="1">
        <f t="array" ca="1" aca="1" ref="CY87">IFERROR(IF(AL87*fxVal_normal=_BS!AL87,"",IF(OR(AL87="",NOT(ISNUMBER(AL87)),ISERROR(AL87),$B87=""),"",IF($I87=1,IFBLANK(_xldudf_CX_PUSH(AL87*fxVal_normal,CX_ENTITY,$B87,AL$11,AL$14,AL$60,),""),IF($I87=2,IFBLANK(_xldudf_CX_PUSH(AL87,CX_ENTITY,$B87,AL$11,AL$14,AL$60,),""),IF($I87=3,"",IFBLANK(_xldudf_CX_PUSH(AL87,CX_ENTITY,$B87,AL$11,AL$14,AL$60,),"")))))),"")</f>
        <v/>
      </c>
      <c r="CZ87" s="1883" t="str" cm="1">
        <f t="array" ca="1" aca="1" ref="CZ87">IFERROR(IF(AM87*fxVal_normal=_BS!AM87,"",IF(OR(AM87="",NOT(ISNUMBER(AM87)),ISERROR(AM87),$B87=""),"",IF($I87=1,IFBLANK(_xldudf_CX_PUSH(AM87*fxVal_normal,CX_ENTITY,$B87,AM$11,AM$14,AM$60,),""),IF($I87=2,IFBLANK(_xldudf_CX_PUSH(AM87,CX_ENTITY,$B87,AM$11,AM$14,AM$60,),""),IF($I87=3,"",IFBLANK(_xldudf_CX_PUSH(AM87,CX_ENTITY,$B87,AM$11,AM$14,AM$60,),"")))))),"")</f>
        <v/>
      </c>
      <c r="DA87" s="1883" t="str" cm="1">
        <f t="array" ca="1" aca="1" ref="DA87">IFERROR(IF(AN87*fxVal_normal=_BS!AN87,"",IF(OR(AN87="",NOT(ISNUMBER(AN87)),ISERROR(AN87),$B87=""),"",IF($I87=1,IFBLANK(_xldudf_CX_PUSH(AN87*fxVal_normal,CX_ENTITY,$B87,AN$11,AN$14,AN$60,),""),IF($I87=2,IFBLANK(_xldudf_CX_PUSH(AN87,CX_ENTITY,$B87,AN$11,AN$14,AN$60,),""),IF($I87=3,"",IFBLANK(_xldudf_CX_PUSH(AN87,CX_ENTITY,$B87,AN$11,AN$14,AN$60,),"")))))),"")</f>
        <v/>
      </c>
      <c r="DB87" s="1883" t="str" cm="1">
        <f t="array" ca="1" aca="1" ref="DB87">IFERROR(IF(AO87*fxVal_normal=_BS!AO87,"",IF(OR(AO87="",NOT(ISNUMBER(AO87)),ISERROR(AO87),$B87=""),"",IF($I87=1,IFBLANK(_xldudf_CX_PUSH(AO87*fxVal_normal,CX_ENTITY,$B87,AO$11,AO$14,AO$60,),""),IF($I87=2,IFBLANK(_xldudf_CX_PUSH(AO87,CX_ENTITY,$B87,AO$11,AO$14,AO$60,),""),IF($I87=3,"",IFBLANK(_xldudf_CX_PUSH(AO87,CX_ENTITY,$B87,AO$11,AO$14,AO$60,),"")))))),"")</f>
        <v/>
      </c>
      <c r="DC87" s="1883" t="str" cm="1">
        <f t="array" ca="1" aca="1" ref="DC87">IFERROR(IF(AP87*fxVal_normal=_BS!AP87,"",IF(OR(AP87="",NOT(ISNUMBER(AP87)),ISERROR(AP87),$B87=""),"",IF($I87=1,IFBLANK(_xldudf_CX_PUSH(AP87*fxVal_normal,CX_ENTITY,$B87,AP$11,AP$14,AP$60,),""),IF($I87=2,IFBLANK(_xldudf_CX_PUSH(AP87,CX_ENTITY,$B87,AP$11,AP$14,AP$60,),""),IF($I87=3,"",IFBLANK(_xldudf_CX_PUSH(AP87,CX_ENTITY,$B87,AP$11,AP$14,AP$60,),"")))))),"")</f>
        <v/>
      </c>
      <c r="DD87" s="1883" t="str" cm="1">
        <f t="array" ca="1" aca="1" ref="DD87">IFERROR(IF(AQ87*fxVal_normal=_BS!AQ87,"",IF(OR(AQ87="",NOT(ISNUMBER(AQ87)),ISERROR(AQ87),$B87=""),"",IF($I87=1,IFBLANK(_xldudf_CX_PUSH(AQ87*fxVal_normal,CX_ENTITY,$B87,AQ$11,AQ$14,AQ$60,),""),IF($I87=2,IFBLANK(_xldudf_CX_PUSH(AQ87,CX_ENTITY,$B87,AQ$11,AQ$14,AQ$60,),""),IF($I87=3,"",IFBLANK(_xldudf_CX_PUSH(AQ87,CX_ENTITY,$B87,AQ$11,AQ$14,AQ$60,),"")))))),"")</f>
        <v/>
      </c>
      <c r="DE87" s="1883" t="str" cm="1">
        <f t="array" ca="1" aca="1" ref="DE87">IFERROR(IF(AR87*fxVal_normal=_BS!AR87,"",IF(OR(AR87="",NOT(ISNUMBER(AR87)),ISERROR(AR87),$B87=""),"",IF($I87=1,IFBLANK(_xldudf_CX_PUSH(AR87*fxVal_normal,CX_ENTITY,$B87,AR$11,AR$14,AR$60,),""),IF($I87=2,IFBLANK(_xldudf_CX_PUSH(AR87,CX_ENTITY,$B87,AR$11,AR$14,AR$60,),""),IF($I87=3,"",IFBLANK(_xldudf_CX_PUSH(AR87,CX_ENTITY,$B87,AR$11,AR$14,AR$60,),"")))))),"")</f>
        <v/>
      </c>
      <c r="DF87" s="1883" t="str" cm="1">
        <f t="array" ca="1" aca="1" ref="DF87">IFERROR(IF(AS87*fxVal_normal=_BS!AS87,"",IF(OR(AS87="",NOT(ISNUMBER(AS87)),ISERROR(AS87),$B87=""),"",IF($I87=1,IFBLANK(_xldudf_CX_PUSH(AS87*fxVal_normal,CX_ENTITY,$B87,AS$11,AS$14,AS$60,),""),IF($I87=2,IFBLANK(_xldudf_CX_PUSH(AS87,CX_ENTITY,$B87,AS$11,AS$14,AS$60,),""),IF($I87=3,"",IFBLANK(_xldudf_CX_PUSH(AS87,CX_ENTITY,$B87,AS$11,AS$14,AS$60,),"")))))),"")</f>
        <v/>
      </c>
      <c r="DG87" s="1883" t="str" cm="1">
        <f t="array" ca="1" aca="1" ref="DG87">IFERROR(IF(AT87*fxVal_normal=_BS!AT87,"",IF(OR(AT87="",NOT(ISNUMBER(AT87)),ISERROR(AT87),$B87=""),"",IF($I87=1,IFBLANK(_xldudf_CX_PUSH(AT87*fxVal_normal,CX_ENTITY,$B87,AT$11,AT$14,AT$60,),""),IF($I87=2,IFBLANK(_xldudf_CX_PUSH(AT87,CX_ENTITY,$B87,AT$11,AT$14,AT$60,),""),IF($I87=3,"",IFBLANK(_xldudf_CX_PUSH(AT87,CX_ENTITY,$B87,AT$11,AT$14,AT$60,),"")))))),"")</f>
        <v/>
      </c>
      <c r="DH87" s="1883" t="str" cm="1">
        <f t="array" ca="1" aca="1" ref="DH87">IFERROR(IF(AU87*fxVal_normal=_BS!AU87,"",IF(OR(AU87="",NOT(ISNUMBER(AU87)),ISERROR(AU87),$B87=""),"",IF($I87=1,IFBLANK(_xldudf_CX_PUSH(AU87*fxVal_normal,CX_ENTITY,$B87,AU$11,AU$14,AU$60,),""),IF($I87=2,IFBLANK(_xldudf_CX_PUSH(AU87,CX_ENTITY,$B87,AU$11,AU$14,AU$60,),""),IF($I87=3,"",IFBLANK(_xldudf_CX_PUSH(AU87,CX_ENTITY,$B87,AU$11,AU$14,AU$60,),"")))))),"")</f>
        <v/>
      </c>
      <c r="DI87" s="1883" t="str" cm="1">
        <f t="array" ca="1" aca="1" ref="DI87">IFERROR(IF(AV87*fxVal_normal=_BS!AV87,"",IF(OR(AV87="",NOT(ISNUMBER(AV87)),ISERROR(AV87),$B87=""),"",IF($I87=1,IFBLANK(_xldudf_CX_PUSH(AV87*fxVal_normal,CX_ENTITY,$B87,AV$11,AV$14,AV$60,),""),IF($I87=2,IFBLANK(_xldudf_CX_PUSH(AV87,CX_ENTITY,$B87,AV$11,AV$14,AV$60,),""),IF($I87=3,"",IFBLANK(_xldudf_CX_PUSH(AV87,CX_ENTITY,$B87,AV$11,AV$14,AV$60,),"")))))),"")</f>
        <v/>
      </c>
      <c r="DJ87" s="1883" t="str" cm="1">
        <f t="array" ca="1" aca="1" ref="DJ87">IFERROR(IF(AW87*fxVal_normal=_BS!AW87,"",IF(OR(AW87="",NOT(ISNUMBER(AW87)),ISERROR(AW87),$B87=""),"",IF($I87=1,IFBLANK(_xldudf_CX_PUSH(AW87*fxVal_normal,CX_ENTITY,$B87,AW$11,AW$14,AW$60,),""),IF($I87=2,IFBLANK(_xldudf_CX_PUSH(AW87,CX_ENTITY,$B87,AW$11,AW$14,AW$60,),""),IF($I87=3,"",IFBLANK(_xldudf_CX_PUSH(AW87,CX_ENTITY,$B87,AW$11,AW$14,AW$60,),"")))))),"")</f>
        <v/>
      </c>
      <c r="DK87" s="1883" t="str" cm="1">
        <f t="array" ca="1" aca="1" ref="DK87">IFERROR(IF(AX87*fxVal_normal=_BS!AX87,"",IF(OR(AX87="",NOT(ISNUMBER(AX87)),ISERROR(AX87),$B87=""),"",IF($I87=1,IFBLANK(_xldudf_CX_PUSH(AX87*fxVal_normal,CX_ENTITY,$B87,AX$11,AX$14,AX$60,),""),IF($I87=2,IFBLANK(_xldudf_CX_PUSH(AX87,CX_ENTITY,$B87,AX$11,AX$14,AX$60,),""),IF($I87=3,"",IFBLANK(_xldudf_CX_PUSH(AX87,CX_ENTITY,$B87,AX$11,AX$14,AX$60,),"")))))),"")</f>
        <v/>
      </c>
      <c r="DL87" s="1883" t="str" cm="1">
        <f t="array" ca="1" aca="1" ref="DL87">IFERROR(IF(AY87*fxVal_normal=_BS!AY87,"",IF(OR(AY87="",NOT(ISNUMBER(AY87)),ISERROR(AY87),$B87=""),"",IF($I87=1,IFBLANK(_xldudf_CX_PUSH(AY87*fxVal_normal,CX_ENTITY,$B87,AY$11,AY$14,AY$60,),""),IF($I87=2,IFBLANK(_xldudf_CX_PUSH(AY87,CX_ENTITY,$B87,AY$11,AY$14,AY$60,),""),IF($I87=3,"",IFBLANK(_xldudf_CX_PUSH(AY87,CX_ENTITY,$B87,AY$11,AY$14,AY$60,),"")))))),"")</f>
        <v/>
      </c>
      <c r="DM87" s="1883" t="str" cm="1">
        <f t="array" ca="1" aca="1" ref="DM87">IFERROR(IF(AZ87*fxVal_normal=_BS!AZ87,"",IF(OR(AZ87="",NOT(ISNUMBER(AZ87)),ISERROR(AZ87),$B87=""),"",IF($I87=1,IFBLANK(_xldudf_CX_PUSH(AZ87*fxVal_normal,CX_ENTITY,$B87,AZ$11,AZ$14,AZ$60,),""),IF($I87=2,IFBLANK(_xldudf_CX_PUSH(AZ87,CX_ENTITY,$B87,AZ$11,AZ$14,AZ$60,),""),IF($I87=3,"",IFBLANK(_xldudf_CX_PUSH(AZ87,CX_ENTITY,$B87,AZ$11,AZ$14,AZ$60,),"")))))),"")</f>
        <v/>
      </c>
      <c r="DN87" s="1883" t="str" cm="1">
        <f t="array" ca="1" aca="1" ref="DN87">IFERROR(IF(BA87*fxVal_normal=_BS!BA87,"",IF(OR(BA87="",NOT(ISNUMBER(BA87)),ISERROR(BA87),$B87=""),"",IF($I87=1,IFBLANK(_xldudf_CX_PUSH(BA87*fxVal_normal,CX_ENTITY,$B87,BA$11,BA$14,BA$60,),""),IF($I87=2,IFBLANK(_xldudf_CX_PUSH(BA87,CX_ENTITY,$B87,BA$11,BA$14,BA$60,),""),IF($I87=3,"",IFBLANK(_xldudf_CX_PUSH(BA87,CX_ENTITY,$B87,BA$11,BA$14,BA$60,),"")))))),"")</f>
        <v/>
      </c>
      <c r="DO87" s="1883" t="str" cm="1">
        <f t="array" ca="1" aca="1" ref="DO87">IFERROR(IF(BB87*fxVal_normal=_BS!BB87,"",IF(OR(BB87="",NOT(ISNUMBER(BB87)),ISERROR(BB87),$B87=""),"",IF($I87=1,IFBLANK(_xldudf_CX_PUSH(BB87*fxVal_normal,CX_ENTITY,$B87,BB$11,BB$14,BB$60,),""),IF($I87=2,IFBLANK(_xldudf_CX_PUSH(BB87,CX_ENTITY,$B87,BB$11,BB$14,BB$60,),""),IF($I87=3,"",IFBLANK(_xldudf_CX_PUSH(BB87,CX_ENTITY,$B87,BB$11,BB$14,BB$60,),"")))))),"")</f>
        <v/>
      </c>
      <c r="DP87" s="1883" t="str" cm="1">
        <f t="array" ca="1" aca="1" ref="DP87">IFERROR(IF(BC87*fxVal_normal=_BS!BC87,"",IF(OR(BC87="",NOT(ISNUMBER(BC87)),ISERROR(BC87),$B87=""),"",IF($I87=1,IFBLANK(_xldudf_CX_PUSH(BC87*fxVal_normal,CX_ENTITY,$B87,BC$11,BC$14,BC$60,),""),IF($I87=2,IFBLANK(_xldudf_CX_PUSH(BC87,CX_ENTITY,$B87,BC$11,BC$14,BC$60,),""),IF($I87=3,"",IFBLANK(_xldudf_CX_PUSH(BC87,CX_ENTITY,$B87,BC$11,BC$14,BC$60,),"")))))),"")</f>
        <v/>
      </c>
      <c r="DQ87" s="1883" t="str" cm="1">
        <f t="array" ca="1" aca="1" ref="DQ87">IFERROR(IF(BD87*fxVal_normal=_BS!BD87,"",IF(OR(BD87="",NOT(ISNUMBER(BD87)),ISERROR(BD87),$B87=""),"",IF($I87=1,IFBLANK(_xldudf_CX_PUSH(BD87*fxVal_normal,CX_ENTITY,$B87,BD$11,BD$14,BD$60,),""),IF($I87=2,IFBLANK(_xldudf_CX_PUSH(BD87,CX_ENTITY,$B87,BD$11,BD$14,BD$60,),""),IF($I87=3,"",IFBLANK(_xldudf_CX_PUSH(BD87,CX_ENTITY,$B87,BD$11,BD$14,BD$60,),"")))))),"")</f>
        <v/>
      </c>
      <c r="DR87" s="1883" t="str" cm="1">
        <f t="array" ca="1" aca="1" ref="DR87">IFERROR(IF(BE87*fxVal_normal=_BS!BE87,"",IF(OR(BE87="",NOT(ISNUMBER(BE87)),ISERROR(BE87),$B87=""),"",IF($I87=1,IFBLANK(_xldudf_CX_PUSH(BE87*fxVal_normal,CX_ENTITY,$B87,BE$11,BE$14,BE$60,),""),IF($I87=2,IFBLANK(_xldudf_CX_PUSH(BE87,CX_ENTITY,$B87,BE$11,BE$14,BE$60,),""),IF($I87=3,"",IFBLANK(_xldudf_CX_PUSH(BE87,CX_ENTITY,$B87,BE$11,BE$14,BE$60,),"")))))),"")</f>
        <v/>
      </c>
      <c r="DS87" s="1883" t="str" cm="1">
        <f t="array" ca="1" aca="1" ref="DS87">IFERROR(IF(BF87*fxVal_normal=_BS!BF87,"",IF(OR(BF87="",NOT(ISNUMBER(BF87)),ISERROR(BF87),$B87=""),"",IF($I87=1,IFBLANK(_xldudf_CX_PUSH(BF87*fxVal_normal,CX_ENTITY,$B87,BF$11,BF$14,BF$60,),""),IF($I87=2,IFBLANK(_xldudf_CX_PUSH(BF87,CX_ENTITY,$B87,BF$11,BF$14,BF$60,),""),IF($I87=3,"",IFBLANK(_xldudf_CX_PUSH(BF87,CX_ENTITY,$B87,BF$11,BF$14,BF$60,),"")))))),"")</f>
        <v/>
      </c>
      <c r="DT87" s="1883" t="str" cm="1">
        <f t="array" ca="1" aca="1" ref="DT87">IFERROR(IF(BG87*fxVal_normal=_BS!BG87,"",IF(OR(BG87="",NOT(ISNUMBER(BG87)),ISERROR(BG87),$B87=""),"",IF($I87=1,IFBLANK(_xldudf_CX_PUSH(BG87*fxVal_normal,CX_ENTITY,$B87,BG$11,BG$14,BG$60,),""),IF($I87=2,IFBLANK(_xldudf_CX_PUSH(BG87,CX_ENTITY,$B87,BG$11,BG$14,BG$60,),""),IF($I87=3,"",IFBLANK(_xldudf_CX_PUSH(BG87,CX_ENTITY,$B87,BG$11,BG$14,BG$60,),"")))))),"")</f>
        <v/>
      </c>
      <c r="DU87" s="1883" t="str" cm="1">
        <f t="array" ca="1" aca="1" ref="DU87">IFERROR(IF(BH87*fxVal_normal=_BS!BH87,"",IF(OR(BH87="",NOT(ISNUMBER(BH87)),ISERROR(BH87),$B87=""),"",IF($I87=1,IFBLANK(_xldudf_CX_PUSH(BH87*fxVal_normal,CX_ENTITY,$B87,BH$11,BH$14,BH$60,),""),IF($I87=2,IFBLANK(_xldudf_CX_PUSH(BH87,CX_ENTITY,$B87,BH$11,BH$14,BH$60,),""),IF($I87=3,"",IFBLANK(_xldudf_CX_PUSH(BH87,CX_ENTITY,$B87,BH$11,BH$14,BH$60,),"")))))),"")</f>
        <v/>
      </c>
      <c r="DV87" s="1883" t="str" cm="1">
        <f t="array" ca="1" aca="1" ref="DV87">IFERROR(IF(BI87*fxVal_normal=_BS!BI87,"",IF(OR(BI87="",NOT(ISNUMBER(BI87)),ISERROR(BI87),$B87=""),"",IF($I87=1,IFBLANK(_xldudf_CX_PUSH(BI87*fxVal_normal,CX_ENTITY,$B87,BI$11,BI$14,BI$60,),""),IF($I87=2,IFBLANK(_xldudf_CX_PUSH(BI87,CX_ENTITY,$B87,BI$11,BI$14,BI$60,),""),IF($I87=3,"",IFBLANK(_xldudf_CX_PUSH(BI87,CX_ENTITY,$B87,BI$11,BI$14,BI$60,),"")))))),"")</f>
        <v/>
      </c>
      <c r="DW87" s="1883" t="str" cm="1">
        <f t="array" ca="1" aca="1" ref="DW87">IFERROR(IF(BJ87*fxVal_normal=_BS!BJ87,"",IF(OR(BJ87="",NOT(ISNUMBER(BJ87)),ISERROR(BJ87),$B87=""),"",IF($I87=1,IFBLANK(_xldudf_CX_PUSH(BJ87*fxVal_normal,CX_ENTITY,$B87,BJ$11,BJ$14,BJ$60,),""),IF($I87=2,IFBLANK(_xldudf_CX_PUSH(BJ87,CX_ENTITY,$B87,BJ$11,BJ$14,BJ$60,),""),IF($I87=3,"",IFBLANK(_xldudf_CX_PUSH(BJ87,CX_ENTITY,$B87,BJ$11,BJ$14,BJ$60,),"")))))),"")</f>
        <v/>
      </c>
      <c r="DX87" s="1883" t="str" cm="1">
        <f t="array" ca="1" aca="1" ref="DX87">IFERROR(IF(BK87*fxVal_normal=_BS!BK87,"",IF(OR(BK87="",NOT(ISNUMBER(BK87)),ISERROR(BK87),$B87=""),"",IF($I87=1,IFBLANK(_xldudf_CX_PUSH(BK87*fxVal_normal,CX_ENTITY,$B87,BK$11,BK$14,BK$60,),""),IF($I87=2,IFBLANK(_xldudf_CX_PUSH(BK87,CX_ENTITY,$B87,BK$11,BK$14,BK$60,),""),IF($I87=3,"",IFBLANK(_xldudf_CX_PUSH(BK87,CX_ENTITY,$B87,BK$11,BK$14,BK$60,),"")))))),"")</f>
        <v/>
      </c>
      <c r="DY87" s="1883" t="str" cm="1">
        <f t="array" ca="1" aca="1" ref="DY87">IFERROR(IF(BL87*fxVal_normal=_BS!BL87,"",IF(OR(BL87="",NOT(ISNUMBER(BL87)),ISERROR(BL87),$B87=""),"",IF($I87=1,IFBLANK(_xldudf_CX_PUSH(BL87*fxVal_normal,CX_ENTITY,$B87,BL$11,BL$14,BL$60,),""),IF($I87=2,IFBLANK(_xldudf_CX_PUSH(BL87,CX_ENTITY,$B87,BL$11,BL$14,BL$60,),""),IF($I87=3,"",IFBLANK(_xldudf_CX_PUSH(BL87,CX_ENTITY,$B87,BL$11,BL$14,BL$60,),"")))))),"")</f>
        <v/>
      </c>
      <c r="DZ87" s="1883" t="str" cm="1">
        <f t="array" ca="1" aca="1" ref="DZ87">IFERROR(IF(BM87*fxVal_normal=_BS!BM87,"",IF(OR(BM87="",NOT(ISNUMBER(BM87)),ISERROR(BM87),$B87=""),"",IF($I87=1,IFBLANK(_xldudf_CX_PUSH(BM87*fxVal_normal,CX_ENTITY,$B87,BM$11,BM$14,BM$60,),""),IF($I87=2,IFBLANK(_xldudf_CX_PUSH(BM87,CX_ENTITY,$B87,BM$11,BM$14,BM$60,),""),IF($I87=3,"",IFBLANK(_xldudf_CX_PUSH(BM87,CX_ENTITY,$B87,BM$11,BM$14,BM$60,),"")))))),"")</f>
        <v/>
      </c>
      <c r="EA87" s="1883" t="str" cm="1">
        <f t="array" ca="1" aca="1" ref="EA87">IFERROR(IF(BN87*fxVal_normal=_BS!BN87,"",IF(OR(BN87="",NOT(ISNUMBER(BN87)),ISERROR(BN87),$B87=""),"",IF($I87=1,IFBLANK(_xldudf_CX_PUSH(BN87*fxVal_normal,CX_ENTITY,$B87,BN$11,BN$14,BN$60,),""),IF($I87=2,IFBLANK(_xldudf_CX_PUSH(BN87,CX_ENTITY,$B87,BN$11,BN$14,BN$60,),""),IF($I87=3,"",IFBLANK(_xldudf_CX_PUSH(BN87,CX_ENTITY,$B87,BN$11,BN$14,BN$60,),"")))))),"")</f>
        <v/>
      </c>
    </row>
    <row r="88" spans="1:131" ht="21" customHeight="1">
      <c r="A88" s="1646"/>
      <c r="B88" s="811" t="str" cm="1">
        <f t="array" ref="B88">IFBLANK(_BS!F88,"")</f>
        <v>Capitalised Fees</v>
      </c>
      <c r="C88" s="811" t="str" cm="1">
        <f t="array" ref="C88">IFBLANK(_BS!C88,"")</f>
        <v>Capitalised Fees (Company View)</v>
      </c>
      <c r="D88" s="1549"/>
      <c r="E88" s="1902" t="e" cm="1">
        <f t="array" ca="1" aca="1" ref="E8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88:$CH88,Z88)</f>
        <v>#NAME?</v>
      </c>
      <c r="F88" s="1897"/>
      <c r="G88" s="1897"/>
      <c r="H88" s="3280">
        <v>1</v>
      </c>
      <c r="I88" s="3280">
        <v>1</v>
      </c>
      <c r="J88" s="401"/>
      <c r="N88" s="158"/>
      <c r="O88" s="101"/>
      <c r="P88" s="52"/>
      <c r="Q88" s="101"/>
      <c r="R88" s="126"/>
      <c r="S88" s="101"/>
      <c r="T88" s="101"/>
      <c r="U88" s="39"/>
      <c r="W88" s="930" t="str">
        <f t="shared" si="18"/>
        <v>Budget</v>
      </c>
      <c r="X88" s="3292">
        <f>_BS!X88</f>
        <v>1</v>
      </c>
      <c r="Y88" s="3230">
        <f t="shared" si="17"/>
        <v>2</v>
      </c>
      <c r="Z88" s="198" cm="1">
        <f t="array" ref="Z88">_xlfn.SWITCH(TRUE,_BS!$L88=TRUE,1,_BS!$L88=FALSE,-1,_BS!$L88=-1,0,"n/a")</f>
        <v>0</v>
      </c>
      <c r="AA88" s="200"/>
      <c r="AB88" s="88" t="str">
        <f>_BS!AB88</f>
        <v>Capitalised Fees</v>
      </c>
      <c r="AC88" s="88" t="e" vm="5" cm="1">
        <f t="array" ca="1" aca="1" ref="AC88">_xlfn.LET(_xlpm._termname,$AB88,_xlpm._iconname,"find",_xlpm._icon,fx_getIcon(_xlpm._iconname),_xlpm._location,_xlfn.XLOOKUP(LOWER(_xlpm._termname),LOWER(tbl_acctDef[Term]),tbl_acctDef[Term]),_xlpm._hyperlink,HYPERLINK("#"&amp;CELL("address",_xlpm._location),_xlpm._icon),IFERROR(_xlpm._hyperlink,""))</f>
        <v>#VALUE!</v>
      </c>
      <c r="AD88" s="3229">
        <v>1</v>
      </c>
      <c r="AE88" s="3229">
        <v>1</v>
      </c>
      <c r="AF88" s="3229">
        <v>1</v>
      </c>
      <c r="AG88" s="3229">
        <v>1</v>
      </c>
      <c r="AH88" s="3229">
        <v>1</v>
      </c>
      <c r="AI88" s="3229">
        <v>1</v>
      </c>
      <c r="AJ88" s="3229">
        <v>1</v>
      </c>
      <c r="AK88" s="3229">
        <v>1</v>
      </c>
      <c r="AL88" s="3229">
        <v>1</v>
      </c>
      <c r="AM88" s="3229">
        <v>1</v>
      </c>
      <c r="AN88" s="3229">
        <v>1</v>
      </c>
      <c r="AO88" s="3229">
        <v>1</v>
      </c>
      <c r="AP88" s="3229">
        <v>1</v>
      </c>
      <c r="AQ88" s="3229">
        <v>1</v>
      </c>
      <c r="AR88" s="3229">
        <v>1</v>
      </c>
      <c r="AS88" s="3229">
        <v>1</v>
      </c>
      <c r="AT88" s="3229">
        <v>1</v>
      </c>
      <c r="AU88" s="3229">
        <v>1</v>
      </c>
      <c r="AV88" s="3229">
        <v>1</v>
      </c>
      <c r="AW88" s="3229">
        <v>1</v>
      </c>
      <c r="AX88" s="3229">
        <v>1</v>
      </c>
      <c r="AY88" s="3229">
        <v>1</v>
      </c>
      <c r="AZ88" s="3229">
        <v>1</v>
      </c>
      <c r="BA88" s="3229">
        <v>1</v>
      </c>
      <c r="BB88" s="3229">
        <v>1</v>
      </c>
      <c r="BC88" s="3229">
        <v>1</v>
      </c>
      <c r="BD88" s="3229">
        <v>1</v>
      </c>
      <c r="BE88" s="3229">
        <v>1</v>
      </c>
      <c r="BF88" s="3229">
        <v>1</v>
      </c>
      <c r="BG88" s="3229">
        <v>1</v>
      </c>
      <c r="BH88" s="3229">
        <v>1</v>
      </c>
      <c r="BI88" s="3229">
        <v>1</v>
      </c>
      <c r="BJ88" s="3229">
        <v>1</v>
      </c>
      <c r="BK88" s="3229">
        <v>1</v>
      </c>
      <c r="BL88" s="3229">
        <v>1</v>
      </c>
      <c r="BM88" s="3229">
        <v>1</v>
      </c>
      <c r="BN88" s="3229">
        <v>1</v>
      </c>
      <c r="BO88" s="2095"/>
      <c r="BP88" s="2095"/>
      <c r="BQ88" s="2095"/>
      <c r="BR88" s="2095"/>
      <c r="BS88" s="2095"/>
      <c r="BT88" s="2095"/>
      <c r="BU88" s="2095"/>
      <c r="BV88" s="2095"/>
      <c r="BW88" s="2095"/>
      <c r="BX88" s="2095"/>
      <c r="BY88" s="2095"/>
      <c r="BZ88" s="2095"/>
      <c r="CA88" s="926"/>
      <c r="CB88" s="921"/>
      <c r="CC88" s="927"/>
      <c r="CD88" s="928" t="e" cm="1">
        <f t="array" ca="1" aca="1" ref="CD88">_xlfn.XLOOKUP(BS!CD$11,array_timeline,BS!$AD88:$BN88)</f>
        <v>#NAME?</v>
      </c>
      <c r="CE88" s="928" t="e" cm="1">
        <f t="array" ca="1" aca="1" ref="CE88">_xlfn.XLOOKUP(BS!CE$11,array_timeline,BS!$AD88:$BN88)</f>
        <v>#NAME?</v>
      </c>
      <c r="CF88" s="925"/>
      <c r="CG88" s="2124" t="e">
        <f t="shared" ca="1" si="16"/>
        <v>#NAME?</v>
      </c>
      <c r="CH88" s="2124" t="e">
        <f t="shared" ca="1" si="16"/>
        <v>#NAME?</v>
      </c>
      <c r="CI88" s="200"/>
      <c r="CQ88" s="1883" t="str" cm="1">
        <f t="array" ca="1" aca="1" ref="CQ88">IFERROR(IF(AD88*fxVal_normal=_BS!AD88,"",IF(OR(AD88="",NOT(ISNUMBER(AD88)),ISERROR(AD88),$B88=""),"",IF($I88=1,IFBLANK(_xldudf_CX_PUSH(AD88*fxVal_normal,CX_ENTITY,$B88,AD$11,AD$14,AD$60,),""),IF($I88=2,IFBLANK(_xldudf_CX_PUSH(AD88,CX_ENTITY,$B88,AD$11,AD$14,AD$60,),""),IF($I88=3,"",IFBLANK(_xldudf_CX_PUSH(AD88,CX_ENTITY,$B88,AD$11,AD$14,AD$60,),"")))))),"")</f>
        <v/>
      </c>
      <c r="CR88" s="1883" t="str" cm="1">
        <f t="array" ca="1" aca="1" ref="CR88">IFERROR(IF(AE88*fxVal_normal=_BS!AE88,"",IF(OR(AE88="",NOT(ISNUMBER(AE88)),ISERROR(AE88),$B88=""),"",IF($I88=1,IFBLANK(_xldudf_CX_PUSH(AE88*fxVal_normal,CX_ENTITY,$B88,AE$11,AE$14,AE$60,),""),IF($I88=2,IFBLANK(_xldudf_CX_PUSH(AE88,CX_ENTITY,$B88,AE$11,AE$14,AE$60,),""),IF($I88=3,"",IFBLANK(_xldudf_CX_PUSH(AE88,CX_ENTITY,$B88,AE$11,AE$14,AE$60,),"")))))),"")</f>
        <v/>
      </c>
      <c r="CS88" s="1883" t="str" cm="1">
        <f t="array" ca="1" aca="1" ref="CS88">IFERROR(IF(AF88*fxVal_normal=_BS!AF88,"",IF(OR(AF88="",NOT(ISNUMBER(AF88)),ISERROR(AF88),$B88=""),"",IF($I88=1,IFBLANK(_xldudf_CX_PUSH(AF88*fxVal_normal,CX_ENTITY,$B88,AF$11,AF$14,AF$60,),""),IF($I88=2,IFBLANK(_xldudf_CX_PUSH(AF88,CX_ENTITY,$B88,AF$11,AF$14,AF$60,),""),IF($I88=3,"",IFBLANK(_xldudf_CX_PUSH(AF88,CX_ENTITY,$B88,AF$11,AF$14,AF$60,),"")))))),"")</f>
        <v/>
      </c>
      <c r="CT88" s="1883" t="str" cm="1">
        <f t="array" ca="1" aca="1" ref="CT88">IFERROR(IF(AG88*fxVal_normal=_BS!AG88,"",IF(OR(AG88="",NOT(ISNUMBER(AG88)),ISERROR(AG88),$B88=""),"",IF($I88=1,IFBLANK(_xldudf_CX_PUSH(AG88*fxVal_normal,CX_ENTITY,$B88,AG$11,AG$14,AG$60,),""),IF($I88=2,IFBLANK(_xldudf_CX_PUSH(AG88,CX_ENTITY,$B88,AG$11,AG$14,AG$60,),""),IF($I88=3,"",IFBLANK(_xldudf_CX_PUSH(AG88,CX_ENTITY,$B88,AG$11,AG$14,AG$60,),"")))))),"")</f>
        <v/>
      </c>
      <c r="CU88" s="1883" t="str" cm="1">
        <f t="array" ca="1" aca="1" ref="CU88">IFERROR(IF(AH88*fxVal_normal=_BS!AH88,"",IF(OR(AH88="",NOT(ISNUMBER(AH88)),ISERROR(AH88),$B88=""),"",IF($I88=1,IFBLANK(_xldudf_CX_PUSH(AH88*fxVal_normal,CX_ENTITY,$B88,AH$11,AH$14,AH$60,),""),IF($I88=2,IFBLANK(_xldudf_CX_PUSH(AH88,CX_ENTITY,$B88,AH$11,AH$14,AH$60,),""),IF($I88=3,"",IFBLANK(_xldudf_CX_PUSH(AH88,CX_ENTITY,$B88,AH$11,AH$14,AH$60,),"")))))),"")</f>
        <v/>
      </c>
      <c r="CV88" s="1883" t="str" cm="1">
        <f t="array" ca="1" aca="1" ref="CV88">IFERROR(IF(AI88*fxVal_normal=_BS!AI88,"",IF(OR(AI88="",NOT(ISNUMBER(AI88)),ISERROR(AI88),$B88=""),"",IF($I88=1,IFBLANK(_xldudf_CX_PUSH(AI88*fxVal_normal,CX_ENTITY,$B88,AI$11,AI$14,AI$60,),""),IF($I88=2,IFBLANK(_xldudf_CX_PUSH(AI88,CX_ENTITY,$B88,AI$11,AI$14,AI$60,),""),IF($I88=3,"",IFBLANK(_xldudf_CX_PUSH(AI88,CX_ENTITY,$B88,AI$11,AI$14,AI$60,),"")))))),"")</f>
        <v/>
      </c>
      <c r="CW88" s="1883" t="str" cm="1">
        <f t="array" ca="1" aca="1" ref="CW88">IFERROR(IF(AJ88*fxVal_normal=_BS!AJ88,"",IF(OR(AJ88="",NOT(ISNUMBER(AJ88)),ISERROR(AJ88),$B88=""),"",IF($I88=1,IFBLANK(_xldudf_CX_PUSH(AJ88*fxVal_normal,CX_ENTITY,$B88,AJ$11,AJ$14,AJ$60,),""),IF($I88=2,IFBLANK(_xldudf_CX_PUSH(AJ88,CX_ENTITY,$B88,AJ$11,AJ$14,AJ$60,),""),IF($I88=3,"",IFBLANK(_xldudf_CX_PUSH(AJ88,CX_ENTITY,$B88,AJ$11,AJ$14,AJ$60,),"")))))),"")</f>
        <v/>
      </c>
      <c r="CX88" s="1883" t="str" cm="1">
        <f t="array" ca="1" aca="1" ref="CX88">IFERROR(IF(AK88*fxVal_normal=_BS!AK88,"",IF(OR(AK88="",NOT(ISNUMBER(AK88)),ISERROR(AK88),$B88=""),"",IF($I88=1,IFBLANK(_xldudf_CX_PUSH(AK88*fxVal_normal,CX_ENTITY,$B88,AK$11,AK$14,AK$60,),""),IF($I88=2,IFBLANK(_xldudf_CX_PUSH(AK88,CX_ENTITY,$B88,AK$11,AK$14,AK$60,),""),IF($I88=3,"",IFBLANK(_xldudf_CX_PUSH(AK88,CX_ENTITY,$B88,AK$11,AK$14,AK$60,),"")))))),"")</f>
        <v/>
      </c>
      <c r="CY88" s="1883" t="str" cm="1">
        <f t="array" ca="1" aca="1" ref="CY88">IFERROR(IF(AL88*fxVal_normal=_BS!AL88,"",IF(OR(AL88="",NOT(ISNUMBER(AL88)),ISERROR(AL88),$B88=""),"",IF($I88=1,IFBLANK(_xldudf_CX_PUSH(AL88*fxVal_normal,CX_ENTITY,$B88,AL$11,AL$14,AL$60,),""),IF($I88=2,IFBLANK(_xldudf_CX_PUSH(AL88,CX_ENTITY,$B88,AL$11,AL$14,AL$60,),""),IF($I88=3,"",IFBLANK(_xldudf_CX_PUSH(AL88,CX_ENTITY,$B88,AL$11,AL$14,AL$60,),"")))))),"")</f>
        <v/>
      </c>
      <c r="CZ88" s="1883" t="str" cm="1">
        <f t="array" ca="1" aca="1" ref="CZ88">IFERROR(IF(AM88*fxVal_normal=_BS!AM88,"",IF(OR(AM88="",NOT(ISNUMBER(AM88)),ISERROR(AM88),$B88=""),"",IF($I88=1,IFBLANK(_xldudf_CX_PUSH(AM88*fxVal_normal,CX_ENTITY,$B88,AM$11,AM$14,AM$60,),""),IF($I88=2,IFBLANK(_xldudf_CX_PUSH(AM88,CX_ENTITY,$B88,AM$11,AM$14,AM$60,),""),IF($I88=3,"",IFBLANK(_xldudf_CX_PUSH(AM88,CX_ENTITY,$B88,AM$11,AM$14,AM$60,),"")))))),"")</f>
        <v/>
      </c>
      <c r="DA88" s="1883" t="str" cm="1">
        <f t="array" ca="1" aca="1" ref="DA88">IFERROR(IF(AN88*fxVal_normal=_BS!AN88,"",IF(OR(AN88="",NOT(ISNUMBER(AN88)),ISERROR(AN88),$B88=""),"",IF($I88=1,IFBLANK(_xldudf_CX_PUSH(AN88*fxVal_normal,CX_ENTITY,$B88,AN$11,AN$14,AN$60,),""),IF($I88=2,IFBLANK(_xldudf_CX_PUSH(AN88,CX_ENTITY,$B88,AN$11,AN$14,AN$60,),""),IF($I88=3,"",IFBLANK(_xldudf_CX_PUSH(AN88,CX_ENTITY,$B88,AN$11,AN$14,AN$60,),"")))))),"")</f>
        <v/>
      </c>
      <c r="DB88" s="1883" t="str" cm="1">
        <f t="array" ca="1" aca="1" ref="DB88">IFERROR(IF(AO88*fxVal_normal=_BS!AO88,"",IF(OR(AO88="",NOT(ISNUMBER(AO88)),ISERROR(AO88),$B88=""),"",IF($I88=1,IFBLANK(_xldudf_CX_PUSH(AO88*fxVal_normal,CX_ENTITY,$B88,AO$11,AO$14,AO$60,),""),IF($I88=2,IFBLANK(_xldudf_CX_PUSH(AO88,CX_ENTITY,$B88,AO$11,AO$14,AO$60,),""),IF($I88=3,"",IFBLANK(_xldudf_CX_PUSH(AO88,CX_ENTITY,$B88,AO$11,AO$14,AO$60,),"")))))),"")</f>
        <v/>
      </c>
      <c r="DC88" s="1883" t="str" cm="1">
        <f t="array" ca="1" aca="1" ref="DC88">IFERROR(IF(AP88*fxVal_normal=_BS!AP88,"",IF(OR(AP88="",NOT(ISNUMBER(AP88)),ISERROR(AP88),$B88=""),"",IF($I88=1,IFBLANK(_xldudf_CX_PUSH(AP88*fxVal_normal,CX_ENTITY,$B88,AP$11,AP$14,AP$60,),""),IF($I88=2,IFBLANK(_xldudf_CX_PUSH(AP88,CX_ENTITY,$B88,AP$11,AP$14,AP$60,),""),IF($I88=3,"",IFBLANK(_xldudf_CX_PUSH(AP88,CX_ENTITY,$B88,AP$11,AP$14,AP$60,),"")))))),"")</f>
        <v/>
      </c>
      <c r="DD88" s="1883" t="str" cm="1">
        <f t="array" ca="1" aca="1" ref="DD88">IFERROR(IF(AQ88*fxVal_normal=_BS!AQ88,"",IF(OR(AQ88="",NOT(ISNUMBER(AQ88)),ISERROR(AQ88),$B88=""),"",IF($I88=1,IFBLANK(_xldudf_CX_PUSH(AQ88*fxVal_normal,CX_ENTITY,$B88,AQ$11,AQ$14,AQ$60,),""),IF($I88=2,IFBLANK(_xldudf_CX_PUSH(AQ88,CX_ENTITY,$B88,AQ$11,AQ$14,AQ$60,),""),IF($I88=3,"",IFBLANK(_xldudf_CX_PUSH(AQ88,CX_ENTITY,$B88,AQ$11,AQ$14,AQ$60,),"")))))),"")</f>
        <v/>
      </c>
      <c r="DE88" s="1883" t="str" cm="1">
        <f t="array" ca="1" aca="1" ref="DE88">IFERROR(IF(AR88*fxVal_normal=_BS!AR88,"",IF(OR(AR88="",NOT(ISNUMBER(AR88)),ISERROR(AR88),$B88=""),"",IF($I88=1,IFBLANK(_xldudf_CX_PUSH(AR88*fxVal_normal,CX_ENTITY,$B88,AR$11,AR$14,AR$60,),""),IF($I88=2,IFBLANK(_xldudf_CX_PUSH(AR88,CX_ENTITY,$B88,AR$11,AR$14,AR$60,),""),IF($I88=3,"",IFBLANK(_xldudf_CX_PUSH(AR88,CX_ENTITY,$B88,AR$11,AR$14,AR$60,),"")))))),"")</f>
        <v/>
      </c>
      <c r="DF88" s="1883" t="str" cm="1">
        <f t="array" ca="1" aca="1" ref="DF88">IFERROR(IF(AS88*fxVal_normal=_BS!AS88,"",IF(OR(AS88="",NOT(ISNUMBER(AS88)),ISERROR(AS88),$B88=""),"",IF($I88=1,IFBLANK(_xldudf_CX_PUSH(AS88*fxVal_normal,CX_ENTITY,$B88,AS$11,AS$14,AS$60,),""),IF($I88=2,IFBLANK(_xldudf_CX_PUSH(AS88,CX_ENTITY,$B88,AS$11,AS$14,AS$60,),""),IF($I88=3,"",IFBLANK(_xldudf_CX_PUSH(AS88,CX_ENTITY,$B88,AS$11,AS$14,AS$60,),"")))))),"")</f>
        <v/>
      </c>
      <c r="DG88" s="1883" t="str" cm="1">
        <f t="array" ca="1" aca="1" ref="DG88">IFERROR(IF(AT88*fxVal_normal=_BS!AT88,"",IF(OR(AT88="",NOT(ISNUMBER(AT88)),ISERROR(AT88),$B88=""),"",IF($I88=1,IFBLANK(_xldudf_CX_PUSH(AT88*fxVal_normal,CX_ENTITY,$B88,AT$11,AT$14,AT$60,),""),IF($I88=2,IFBLANK(_xldudf_CX_PUSH(AT88,CX_ENTITY,$B88,AT$11,AT$14,AT$60,),""),IF($I88=3,"",IFBLANK(_xldudf_CX_PUSH(AT88,CX_ENTITY,$B88,AT$11,AT$14,AT$60,),"")))))),"")</f>
        <v/>
      </c>
      <c r="DH88" s="1883" t="str" cm="1">
        <f t="array" ca="1" aca="1" ref="DH88">IFERROR(IF(AU88*fxVal_normal=_BS!AU88,"",IF(OR(AU88="",NOT(ISNUMBER(AU88)),ISERROR(AU88),$B88=""),"",IF($I88=1,IFBLANK(_xldudf_CX_PUSH(AU88*fxVal_normal,CX_ENTITY,$B88,AU$11,AU$14,AU$60,),""),IF($I88=2,IFBLANK(_xldudf_CX_PUSH(AU88,CX_ENTITY,$B88,AU$11,AU$14,AU$60,),""),IF($I88=3,"",IFBLANK(_xldudf_CX_PUSH(AU88,CX_ENTITY,$B88,AU$11,AU$14,AU$60,),"")))))),"")</f>
        <v/>
      </c>
      <c r="DI88" s="1883" t="str" cm="1">
        <f t="array" ca="1" aca="1" ref="DI88">IFERROR(IF(AV88*fxVal_normal=_BS!AV88,"",IF(OR(AV88="",NOT(ISNUMBER(AV88)),ISERROR(AV88),$B88=""),"",IF($I88=1,IFBLANK(_xldudf_CX_PUSH(AV88*fxVal_normal,CX_ENTITY,$B88,AV$11,AV$14,AV$60,),""),IF($I88=2,IFBLANK(_xldudf_CX_PUSH(AV88,CX_ENTITY,$B88,AV$11,AV$14,AV$60,),""),IF($I88=3,"",IFBLANK(_xldudf_CX_PUSH(AV88,CX_ENTITY,$B88,AV$11,AV$14,AV$60,),"")))))),"")</f>
        <v/>
      </c>
      <c r="DJ88" s="1883" t="str" cm="1">
        <f t="array" ca="1" aca="1" ref="DJ88">IFERROR(IF(AW88*fxVal_normal=_BS!AW88,"",IF(OR(AW88="",NOT(ISNUMBER(AW88)),ISERROR(AW88),$B88=""),"",IF($I88=1,IFBLANK(_xldudf_CX_PUSH(AW88*fxVal_normal,CX_ENTITY,$B88,AW$11,AW$14,AW$60,),""),IF($I88=2,IFBLANK(_xldudf_CX_PUSH(AW88,CX_ENTITY,$B88,AW$11,AW$14,AW$60,),""),IF($I88=3,"",IFBLANK(_xldudf_CX_PUSH(AW88,CX_ENTITY,$B88,AW$11,AW$14,AW$60,),"")))))),"")</f>
        <v/>
      </c>
      <c r="DK88" s="1883" t="str" cm="1">
        <f t="array" ca="1" aca="1" ref="DK88">IFERROR(IF(AX88*fxVal_normal=_BS!AX88,"",IF(OR(AX88="",NOT(ISNUMBER(AX88)),ISERROR(AX88),$B88=""),"",IF($I88=1,IFBLANK(_xldudf_CX_PUSH(AX88*fxVal_normal,CX_ENTITY,$B88,AX$11,AX$14,AX$60,),""),IF($I88=2,IFBLANK(_xldudf_CX_PUSH(AX88,CX_ENTITY,$B88,AX$11,AX$14,AX$60,),""),IF($I88=3,"",IFBLANK(_xldudf_CX_PUSH(AX88,CX_ENTITY,$B88,AX$11,AX$14,AX$60,),"")))))),"")</f>
        <v/>
      </c>
      <c r="DL88" s="1883" t="str" cm="1">
        <f t="array" ca="1" aca="1" ref="DL88">IFERROR(IF(AY88*fxVal_normal=_BS!AY88,"",IF(OR(AY88="",NOT(ISNUMBER(AY88)),ISERROR(AY88),$B88=""),"",IF($I88=1,IFBLANK(_xldudf_CX_PUSH(AY88*fxVal_normal,CX_ENTITY,$B88,AY$11,AY$14,AY$60,),""),IF($I88=2,IFBLANK(_xldudf_CX_PUSH(AY88,CX_ENTITY,$B88,AY$11,AY$14,AY$60,),""),IF($I88=3,"",IFBLANK(_xldudf_CX_PUSH(AY88,CX_ENTITY,$B88,AY$11,AY$14,AY$60,),"")))))),"")</f>
        <v/>
      </c>
      <c r="DM88" s="1883" t="str" cm="1">
        <f t="array" ca="1" aca="1" ref="DM88">IFERROR(IF(AZ88*fxVal_normal=_BS!AZ88,"",IF(OR(AZ88="",NOT(ISNUMBER(AZ88)),ISERROR(AZ88),$B88=""),"",IF($I88=1,IFBLANK(_xldudf_CX_PUSH(AZ88*fxVal_normal,CX_ENTITY,$B88,AZ$11,AZ$14,AZ$60,),""),IF($I88=2,IFBLANK(_xldudf_CX_PUSH(AZ88,CX_ENTITY,$B88,AZ$11,AZ$14,AZ$60,),""),IF($I88=3,"",IFBLANK(_xldudf_CX_PUSH(AZ88,CX_ENTITY,$B88,AZ$11,AZ$14,AZ$60,),"")))))),"")</f>
        <v/>
      </c>
      <c r="DN88" s="1883" t="str" cm="1">
        <f t="array" ca="1" aca="1" ref="DN88">IFERROR(IF(BA88*fxVal_normal=_BS!BA88,"",IF(OR(BA88="",NOT(ISNUMBER(BA88)),ISERROR(BA88),$B88=""),"",IF($I88=1,IFBLANK(_xldudf_CX_PUSH(BA88*fxVal_normal,CX_ENTITY,$B88,BA$11,BA$14,BA$60,),""),IF($I88=2,IFBLANK(_xldudf_CX_PUSH(BA88,CX_ENTITY,$B88,BA$11,BA$14,BA$60,),""),IF($I88=3,"",IFBLANK(_xldudf_CX_PUSH(BA88,CX_ENTITY,$B88,BA$11,BA$14,BA$60,),"")))))),"")</f>
        <v/>
      </c>
      <c r="DO88" s="1883" t="str" cm="1">
        <f t="array" ca="1" aca="1" ref="DO88">IFERROR(IF(BB88*fxVal_normal=_BS!BB88,"",IF(OR(BB88="",NOT(ISNUMBER(BB88)),ISERROR(BB88),$B88=""),"",IF($I88=1,IFBLANK(_xldudf_CX_PUSH(BB88*fxVal_normal,CX_ENTITY,$B88,BB$11,BB$14,BB$60,),""),IF($I88=2,IFBLANK(_xldudf_CX_PUSH(BB88,CX_ENTITY,$B88,BB$11,BB$14,BB$60,),""),IF($I88=3,"",IFBLANK(_xldudf_CX_PUSH(BB88,CX_ENTITY,$B88,BB$11,BB$14,BB$60,),"")))))),"")</f>
        <v/>
      </c>
      <c r="DP88" s="1883" t="str" cm="1">
        <f t="array" ca="1" aca="1" ref="DP88">IFERROR(IF(BC88*fxVal_normal=_BS!BC88,"",IF(OR(BC88="",NOT(ISNUMBER(BC88)),ISERROR(BC88),$B88=""),"",IF($I88=1,IFBLANK(_xldudf_CX_PUSH(BC88*fxVal_normal,CX_ENTITY,$B88,BC$11,BC$14,BC$60,),""),IF($I88=2,IFBLANK(_xldudf_CX_PUSH(BC88,CX_ENTITY,$B88,BC$11,BC$14,BC$60,),""),IF($I88=3,"",IFBLANK(_xldudf_CX_PUSH(BC88,CX_ENTITY,$B88,BC$11,BC$14,BC$60,),"")))))),"")</f>
        <v/>
      </c>
      <c r="DQ88" s="1883" t="str" cm="1">
        <f t="array" ca="1" aca="1" ref="DQ88">IFERROR(IF(BD88*fxVal_normal=_BS!BD88,"",IF(OR(BD88="",NOT(ISNUMBER(BD88)),ISERROR(BD88),$B88=""),"",IF($I88=1,IFBLANK(_xldudf_CX_PUSH(BD88*fxVal_normal,CX_ENTITY,$B88,BD$11,BD$14,BD$60,),""),IF($I88=2,IFBLANK(_xldudf_CX_PUSH(BD88,CX_ENTITY,$B88,BD$11,BD$14,BD$60,),""),IF($I88=3,"",IFBLANK(_xldudf_CX_PUSH(BD88,CX_ENTITY,$B88,BD$11,BD$14,BD$60,),"")))))),"")</f>
        <v/>
      </c>
      <c r="DR88" s="1883" t="str" cm="1">
        <f t="array" ca="1" aca="1" ref="DR88">IFERROR(IF(BE88*fxVal_normal=_BS!BE88,"",IF(OR(BE88="",NOT(ISNUMBER(BE88)),ISERROR(BE88),$B88=""),"",IF($I88=1,IFBLANK(_xldudf_CX_PUSH(BE88*fxVal_normal,CX_ENTITY,$B88,BE$11,BE$14,BE$60,),""),IF($I88=2,IFBLANK(_xldudf_CX_PUSH(BE88,CX_ENTITY,$B88,BE$11,BE$14,BE$60,),""),IF($I88=3,"",IFBLANK(_xldudf_CX_PUSH(BE88,CX_ENTITY,$B88,BE$11,BE$14,BE$60,),"")))))),"")</f>
        <v/>
      </c>
      <c r="DS88" s="1883" t="str" cm="1">
        <f t="array" ca="1" aca="1" ref="DS88">IFERROR(IF(BF88*fxVal_normal=_BS!BF88,"",IF(OR(BF88="",NOT(ISNUMBER(BF88)),ISERROR(BF88),$B88=""),"",IF($I88=1,IFBLANK(_xldudf_CX_PUSH(BF88*fxVal_normal,CX_ENTITY,$B88,BF$11,BF$14,BF$60,),""),IF($I88=2,IFBLANK(_xldudf_CX_PUSH(BF88,CX_ENTITY,$B88,BF$11,BF$14,BF$60,),""),IF($I88=3,"",IFBLANK(_xldudf_CX_PUSH(BF88,CX_ENTITY,$B88,BF$11,BF$14,BF$60,),"")))))),"")</f>
        <v/>
      </c>
      <c r="DT88" s="1883" t="str" cm="1">
        <f t="array" ca="1" aca="1" ref="DT88">IFERROR(IF(BG88*fxVal_normal=_BS!BG88,"",IF(OR(BG88="",NOT(ISNUMBER(BG88)),ISERROR(BG88),$B88=""),"",IF($I88=1,IFBLANK(_xldudf_CX_PUSH(BG88*fxVal_normal,CX_ENTITY,$B88,BG$11,BG$14,BG$60,),""),IF($I88=2,IFBLANK(_xldudf_CX_PUSH(BG88,CX_ENTITY,$B88,BG$11,BG$14,BG$60,),""),IF($I88=3,"",IFBLANK(_xldudf_CX_PUSH(BG88,CX_ENTITY,$B88,BG$11,BG$14,BG$60,),"")))))),"")</f>
        <v/>
      </c>
      <c r="DU88" s="1883" t="str" cm="1">
        <f t="array" ca="1" aca="1" ref="DU88">IFERROR(IF(BH88*fxVal_normal=_BS!BH88,"",IF(OR(BH88="",NOT(ISNUMBER(BH88)),ISERROR(BH88),$B88=""),"",IF($I88=1,IFBLANK(_xldudf_CX_PUSH(BH88*fxVal_normal,CX_ENTITY,$B88,BH$11,BH$14,BH$60,),""),IF($I88=2,IFBLANK(_xldudf_CX_PUSH(BH88,CX_ENTITY,$B88,BH$11,BH$14,BH$60,),""),IF($I88=3,"",IFBLANK(_xldudf_CX_PUSH(BH88,CX_ENTITY,$B88,BH$11,BH$14,BH$60,),"")))))),"")</f>
        <v/>
      </c>
      <c r="DV88" s="1883" t="str" cm="1">
        <f t="array" ca="1" aca="1" ref="DV88">IFERROR(IF(BI88*fxVal_normal=_BS!BI88,"",IF(OR(BI88="",NOT(ISNUMBER(BI88)),ISERROR(BI88),$B88=""),"",IF($I88=1,IFBLANK(_xldudf_CX_PUSH(BI88*fxVal_normal,CX_ENTITY,$B88,BI$11,BI$14,BI$60,),""),IF($I88=2,IFBLANK(_xldudf_CX_PUSH(BI88,CX_ENTITY,$B88,BI$11,BI$14,BI$60,),""),IF($I88=3,"",IFBLANK(_xldudf_CX_PUSH(BI88,CX_ENTITY,$B88,BI$11,BI$14,BI$60,),"")))))),"")</f>
        <v/>
      </c>
      <c r="DW88" s="1883" t="str" cm="1">
        <f t="array" ca="1" aca="1" ref="DW88">IFERROR(IF(BJ88*fxVal_normal=_BS!BJ88,"",IF(OR(BJ88="",NOT(ISNUMBER(BJ88)),ISERROR(BJ88),$B88=""),"",IF($I88=1,IFBLANK(_xldudf_CX_PUSH(BJ88*fxVal_normal,CX_ENTITY,$B88,BJ$11,BJ$14,BJ$60,),""),IF($I88=2,IFBLANK(_xldudf_CX_PUSH(BJ88,CX_ENTITY,$B88,BJ$11,BJ$14,BJ$60,),""),IF($I88=3,"",IFBLANK(_xldudf_CX_PUSH(BJ88,CX_ENTITY,$B88,BJ$11,BJ$14,BJ$60,),"")))))),"")</f>
        <v/>
      </c>
      <c r="DX88" s="1883" t="str" cm="1">
        <f t="array" ca="1" aca="1" ref="DX88">IFERROR(IF(BK88*fxVal_normal=_BS!BK88,"",IF(OR(BK88="",NOT(ISNUMBER(BK88)),ISERROR(BK88),$B88=""),"",IF($I88=1,IFBLANK(_xldudf_CX_PUSH(BK88*fxVal_normal,CX_ENTITY,$B88,BK$11,BK$14,BK$60,),""),IF($I88=2,IFBLANK(_xldudf_CX_PUSH(BK88,CX_ENTITY,$B88,BK$11,BK$14,BK$60,),""),IF($I88=3,"",IFBLANK(_xldudf_CX_PUSH(BK88,CX_ENTITY,$B88,BK$11,BK$14,BK$60,),"")))))),"")</f>
        <v/>
      </c>
      <c r="DY88" s="1883" t="str" cm="1">
        <f t="array" ca="1" aca="1" ref="DY88">IFERROR(IF(BL88*fxVal_normal=_BS!BL88,"",IF(OR(BL88="",NOT(ISNUMBER(BL88)),ISERROR(BL88),$B88=""),"",IF($I88=1,IFBLANK(_xldudf_CX_PUSH(BL88*fxVal_normal,CX_ENTITY,$B88,BL$11,BL$14,BL$60,),""),IF($I88=2,IFBLANK(_xldudf_CX_PUSH(BL88,CX_ENTITY,$B88,BL$11,BL$14,BL$60,),""),IF($I88=3,"",IFBLANK(_xldudf_CX_PUSH(BL88,CX_ENTITY,$B88,BL$11,BL$14,BL$60,),"")))))),"")</f>
        <v/>
      </c>
      <c r="DZ88" s="1883" t="str" cm="1">
        <f t="array" ca="1" aca="1" ref="DZ88">IFERROR(IF(BM88*fxVal_normal=_BS!BM88,"",IF(OR(BM88="",NOT(ISNUMBER(BM88)),ISERROR(BM88),$B88=""),"",IF($I88=1,IFBLANK(_xldudf_CX_PUSH(BM88*fxVal_normal,CX_ENTITY,$B88,BM$11,BM$14,BM$60,),""),IF($I88=2,IFBLANK(_xldudf_CX_PUSH(BM88,CX_ENTITY,$B88,BM$11,BM$14,BM$60,),""),IF($I88=3,"",IFBLANK(_xldudf_CX_PUSH(BM88,CX_ENTITY,$B88,BM$11,BM$14,BM$60,),"")))))),"")</f>
        <v/>
      </c>
      <c r="EA88" s="1883" t="str" cm="1">
        <f t="array" ca="1" aca="1" ref="EA88">IFERROR(IF(BN88*fxVal_normal=_BS!BN88,"",IF(OR(BN88="",NOT(ISNUMBER(BN88)),ISERROR(BN88),$B88=""),"",IF($I88=1,IFBLANK(_xldudf_CX_PUSH(BN88*fxVal_normal,CX_ENTITY,$B88,BN$11,BN$14,BN$60,),""),IF($I88=2,IFBLANK(_xldudf_CX_PUSH(BN88,CX_ENTITY,$B88,BN$11,BN$14,BN$60,),""),IF($I88=3,"",IFBLANK(_xldudf_CX_PUSH(BN88,CX_ENTITY,$B88,BN$11,BN$14,BN$60,),"")))))),"")</f>
        <v/>
      </c>
    </row>
    <row r="89" spans="1:131" ht="21" customHeight="1">
      <c r="A89" s="1646"/>
      <c r="B89" s="811" t="str" cm="1">
        <f t="array" ref="B89">IFBLANK(_BS!F89,"")</f>
        <v>Other Liabilities</v>
      </c>
      <c r="C89" s="811" t="str" cm="1">
        <f t="array" ref="C89">IFBLANK(_BS!C89,"")</f>
        <v>Other Liabilities (Company View)</v>
      </c>
      <c r="D89" s="1549"/>
      <c r="E89" s="1902" t="e" cm="1">
        <f t="array" ca="1" aca="1" ref="E8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89:$CH89,Z89)</f>
        <v>#NAME?</v>
      </c>
      <c r="F89" s="1897"/>
      <c r="G89" s="1897"/>
      <c r="H89" s="3280">
        <v>1</v>
      </c>
      <c r="I89" s="3280">
        <v>1</v>
      </c>
      <c r="J89" s="401"/>
      <c r="N89" s="158"/>
      <c r="O89" s="101"/>
      <c r="P89" s="52"/>
      <c r="Q89" s="101"/>
      <c r="R89" s="101"/>
      <c r="S89" s="101"/>
      <c r="T89" s="101"/>
      <c r="U89" s="39"/>
      <c r="W89" s="930" t="str">
        <f t="shared" si="18"/>
        <v>Budget</v>
      </c>
      <c r="X89" s="857">
        <f>_BS!X89</f>
        <v>-1</v>
      </c>
      <c r="Y89" s="3230">
        <f t="shared" si="17"/>
        <v>2</v>
      </c>
      <c r="Z89" s="198" cm="1">
        <f t="array" ref="Z89">_xlfn.SWITCH(TRUE,_BS!$L89=TRUE,1,_BS!$L89=FALSE,-1,_BS!$L89=-1,0,"n/a")</f>
        <v>0</v>
      </c>
      <c r="AA89" s="200"/>
      <c r="AB89" s="88" t="str">
        <f>_BS!AB89</f>
        <v>Other Liabilities</v>
      </c>
      <c r="AC89" s="88" t="e" vm="5" cm="1">
        <f t="array" ca="1" aca="1" ref="AC89">_xlfn.LET(_xlpm._termname,$AB89,_xlpm._iconname,"find",_xlpm._icon,fx_getIcon(_xlpm._iconname),_xlpm._location,_xlfn.XLOOKUP(LOWER(_xlpm._termname),LOWER(tbl_acctDef[Term]),tbl_acctDef[Term]),_xlpm._hyperlink,HYPERLINK("#"&amp;CELL("address",_xlpm._location),_xlpm._icon),IFERROR(_xlpm._hyperlink,""))</f>
        <v>#VALUE!</v>
      </c>
      <c r="AD89" s="3229">
        <v>1</v>
      </c>
      <c r="AE89" s="3229">
        <v>1</v>
      </c>
      <c r="AF89" s="3229">
        <v>1</v>
      </c>
      <c r="AG89" s="3229">
        <v>1</v>
      </c>
      <c r="AH89" s="3229">
        <v>1</v>
      </c>
      <c r="AI89" s="3229">
        <v>1</v>
      </c>
      <c r="AJ89" s="3229">
        <v>1</v>
      </c>
      <c r="AK89" s="3229">
        <v>1</v>
      </c>
      <c r="AL89" s="3229">
        <v>1</v>
      </c>
      <c r="AM89" s="3229">
        <v>1</v>
      </c>
      <c r="AN89" s="3229">
        <v>1</v>
      </c>
      <c r="AO89" s="3229">
        <v>1</v>
      </c>
      <c r="AP89" s="3229">
        <v>1</v>
      </c>
      <c r="AQ89" s="3229">
        <v>1</v>
      </c>
      <c r="AR89" s="3229">
        <v>1</v>
      </c>
      <c r="AS89" s="3229">
        <v>1</v>
      </c>
      <c r="AT89" s="3229">
        <v>1</v>
      </c>
      <c r="AU89" s="3229">
        <v>1</v>
      </c>
      <c r="AV89" s="3229">
        <v>1</v>
      </c>
      <c r="AW89" s="3229">
        <v>1</v>
      </c>
      <c r="AX89" s="3229">
        <v>1</v>
      </c>
      <c r="AY89" s="3229">
        <v>1</v>
      </c>
      <c r="AZ89" s="3229">
        <v>1</v>
      </c>
      <c r="BA89" s="3229">
        <v>1</v>
      </c>
      <c r="BB89" s="3229">
        <v>1</v>
      </c>
      <c r="BC89" s="3229">
        <v>1</v>
      </c>
      <c r="BD89" s="3229">
        <v>1</v>
      </c>
      <c r="BE89" s="3229">
        <v>1</v>
      </c>
      <c r="BF89" s="3229">
        <v>1</v>
      </c>
      <c r="BG89" s="3229">
        <v>1</v>
      </c>
      <c r="BH89" s="3229">
        <v>1</v>
      </c>
      <c r="BI89" s="3229">
        <v>1</v>
      </c>
      <c r="BJ89" s="3229">
        <v>1</v>
      </c>
      <c r="BK89" s="3229">
        <v>1</v>
      </c>
      <c r="BL89" s="3229">
        <v>1</v>
      </c>
      <c r="BM89" s="3229">
        <v>1</v>
      </c>
      <c r="BN89" s="3229">
        <v>1</v>
      </c>
      <c r="BO89" s="2095"/>
      <c r="BP89" s="2095"/>
      <c r="BQ89" s="2095"/>
      <c r="BR89" s="2095"/>
      <c r="BS89" s="2095"/>
      <c r="BT89" s="2095"/>
      <c r="BU89" s="2095"/>
      <c r="BV89" s="2095"/>
      <c r="BW89" s="2095"/>
      <c r="BX89" s="2095"/>
      <c r="BY89" s="2095"/>
      <c r="BZ89" s="2095"/>
      <c r="CA89" s="926"/>
      <c r="CB89" s="921"/>
      <c r="CC89" s="927"/>
      <c r="CD89" s="928" t="e" cm="1">
        <f t="array" ca="1" aca="1" ref="CD89">_xlfn.XLOOKUP(BS!CD$11,array_timeline,BS!$AD89:$BN89)</f>
        <v>#NAME?</v>
      </c>
      <c r="CE89" s="928" t="e" cm="1">
        <f t="array" ca="1" aca="1" ref="CE89">_xlfn.XLOOKUP(BS!CE$11,array_timeline,BS!$AD89:$BN89)</f>
        <v>#NAME?</v>
      </c>
      <c r="CF89" s="925"/>
      <c r="CG89" s="2124" t="e">
        <f t="shared" ca="1" si="16"/>
        <v>#NAME?</v>
      </c>
      <c r="CH89" s="2124" t="e">
        <f t="shared" ca="1" si="16"/>
        <v>#NAME?</v>
      </c>
      <c r="CI89" s="200"/>
      <c r="CQ89" s="1883" t="str" cm="1">
        <f t="array" ca="1" aca="1" ref="CQ89">IFERROR(IF(AD89*fxVal_normal=_BS!AD89,"",IF(OR(AD89="",NOT(ISNUMBER(AD89)),ISERROR(AD89),$B89=""),"",IF($I89=1,IFBLANK(_xldudf_CX_PUSH(AD89*fxVal_normal,CX_ENTITY,$B89,AD$11,AD$14,AD$60,),""),IF($I89=2,IFBLANK(_xldudf_CX_PUSH(AD89,CX_ENTITY,$B89,AD$11,AD$14,AD$60,),""),IF($I89=3,"",IFBLANK(_xldudf_CX_PUSH(AD89,CX_ENTITY,$B89,AD$11,AD$14,AD$60,),"")))))),"")</f>
        <v/>
      </c>
      <c r="CR89" s="1883" t="str" cm="1">
        <f t="array" ca="1" aca="1" ref="CR89">IFERROR(IF(AE89*fxVal_normal=_BS!AE89,"",IF(OR(AE89="",NOT(ISNUMBER(AE89)),ISERROR(AE89),$B89=""),"",IF($I89=1,IFBLANK(_xldudf_CX_PUSH(AE89*fxVal_normal,CX_ENTITY,$B89,AE$11,AE$14,AE$60,),""),IF($I89=2,IFBLANK(_xldudf_CX_PUSH(AE89,CX_ENTITY,$B89,AE$11,AE$14,AE$60,),""),IF($I89=3,"",IFBLANK(_xldudf_CX_PUSH(AE89,CX_ENTITY,$B89,AE$11,AE$14,AE$60,),"")))))),"")</f>
        <v/>
      </c>
      <c r="CS89" s="1883" t="str" cm="1">
        <f t="array" ca="1" aca="1" ref="CS89">IFERROR(IF(AF89*fxVal_normal=_BS!AF89,"",IF(OR(AF89="",NOT(ISNUMBER(AF89)),ISERROR(AF89),$B89=""),"",IF($I89=1,IFBLANK(_xldudf_CX_PUSH(AF89*fxVal_normal,CX_ENTITY,$B89,AF$11,AF$14,AF$60,),""),IF($I89=2,IFBLANK(_xldudf_CX_PUSH(AF89,CX_ENTITY,$B89,AF$11,AF$14,AF$60,),""),IF($I89=3,"",IFBLANK(_xldudf_CX_PUSH(AF89,CX_ENTITY,$B89,AF$11,AF$14,AF$60,),"")))))),"")</f>
        <v/>
      </c>
      <c r="CT89" s="1883" t="str" cm="1">
        <f t="array" ca="1" aca="1" ref="CT89">IFERROR(IF(AG89*fxVal_normal=_BS!AG89,"",IF(OR(AG89="",NOT(ISNUMBER(AG89)),ISERROR(AG89),$B89=""),"",IF($I89=1,IFBLANK(_xldudf_CX_PUSH(AG89*fxVal_normal,CX_ENTITY,$B89,AG$11,AG$14,AG$60,),""),IF($I89=2,IFBLANK(_xldudf_CX_PUSH(AG89,CX_ENTITY,$B89,AG$11,AG$14,AG$60,),""),IF($I89=3,"",IFBLANK(_xldudf_CX_PUSH(AG89,CX_ENTITY,$B89,AG$11,AG$14,AG$60,),"")))))),"")</f>
        <v/>
      </c>
      <c r="CU89" s="1883" t="str" cm="1">
        <f t="array" ca="1" aca="1" ref="CU89">IFERROR(IF(AH89*fxVal_normal=_BS!AH89,"",IF(OR(AH89="",NOT(ISNUMBER(AH89)),ISERROR(AH89),$B89=""),"",IF($I89=1,IFBLANK(_xldudf_CX_PUSH(AH89*fxVal_normal,CX_ENTITY,$B89,AH$11,AH$14,AH$60,),""),IF($I89=2,IFBLANK(_xldudf_CX_PUSH(AH89,CX_ENTITY,$B89,AH$11,AH$14,AH$60,),""),IF($I89=3,"",IFBLANK(_xldudf_CX_PUSH(AH89,CX_ENTITY,$B89,AH$11,AH$14,AH$60,),"")))))),"")</f>
        <v/>
      </c>
      <c r="CV89" s="1883" t="str" cm="1">
        <f t="array" ca="1" aca="1" ref="CV89">IFERROR(IF(AI89*fxVal_normal=_BS!AI89,"",IF(OR(AI89="",NOT(ISNUMBER(AI89)),ISERROR(AI89),$B89=""),"",IF($I89=1,IFBLANK(_xldudf_CX_PUSH(AI89*fxVal_normal,CX_ENTITY,$B89,AI$11,AI$14,AI$60,),""),IF($I89=2,IFBLANK(_xldudf_CX_PUSH(AI89,CX_ENTITY,$B89,AI$11,AI$14,AI$60,),""),IF($I89=3,"",IFBLANK(_xldudf_CX_PUSH(AI89,CX_ENTITY,$B89,AI$11,AI$14,AI$60,),"")))))),"")</f>
        <v/>
      </c>
      <c r="CW89" s="1883" t="str" cm="1">
        <f t="array" ca="1" aca="1" ref="CW89">IFERROR(IF(AJ89*fxVal_normal=_BS!AJ89,"",IF(OR(AJ89="",NOT(ISNUMBER(AJ89)),ISERROR(AJ89),$B89=""),"",IF($I89=1,IFBLANK(_xldudf_CX_PUSH(AJ89*fxVal_normal,CX_ENTITY,$B89,AJ$11,AJ$14,AJ$60,),""),IF($I89=2,IFBLANK(_xldudf_CX_PUSH(AJ89,CX_ENTITY,$B89,AJ$11,AJ$14,AJ$60,),""),IF($I89=3,"",IFBLANK(_xldudf_CX_PUSH(AJ89,CX_ENTITY,$B89,AJ$11,AJ$14,AJ$60,),"")))))),"")</f>
        <v/>
      </c>
      <c r="CX89" s="1883" t="str" cm="1">
        <f t="array" ca="1" aca="1" ref="CX89">IFERROR(IF(AK89*fxVal_normal=_BS!AK89,"",IF(OR(AK89="",NOT(ISNUMBER(AK89)),ISERROR(AK89),$B89=""),"",IF($I89=1,IFBLANK(_xldudf_CX_PUSH(AK89*fxVal_normal,CX_ENTITY,$B89,AK$11,AK$14,AK$60,),""),IF($I89=2,IFBLANK(_xldudf_CX_PUSH(AK89,CX_ENTITY,$B89,AK$11,AK$14,AK$60,),""),IF($I89=3,"",IFBLANK(_xldudf_CX_PUSH(AK89,CX_ENTITY,$B89,AK$11,AK$14,AK$60,),"")))))),"")</f>
        <v/>
      </c>
      <c r="CY89" s="1883" t="str" cm="1">
        <f t="array" ca="1" aca="1" ref="CY89">IFERROR(IF(AL89*fxVal_normal=_BS!AL89,"",IF(OR(AL89="",NOT(ISNUMBER(AL89)),ISERROR(AL89),$B89=""),"",IF($I89=1,IFBLANK(_xldudf_CX_PUSH(AL89*fxVal_normal,CX_ENTITY,$B89,AL$11,AL$14,AL$60,),""),IF($I89=2,IFBLANK(_xldudf_CX_PUSH(AL89,CX_ENTITY,$B89,AL$11,AL$14,AL$60,),""),IF($I89=3,"",IFBLANK(_xldudf_CX_PUSH(AL89,CX_ENTITY,$B89,AL$11,AL$14,AL$60,),"")))))),"")</f>
        <v/>
      </c>
      <c r="CZ89" s="1883" t="str" cm="1">
        <f t="array" ca="1" aca="1" ref="CZ89">IFERROR(IF(AM89*fxVal_normal=_BS!AM89,"",IF(OR(AM89="",NOT(ISNUMBER(AM89)),ISERROR(AM89),$B89=""),"",IF($I89=1,IFBLANK(_xldudf_CX_PUSH(AM89*fxVal_normal,CX_ENTITY,$B89,AM$11,AM$14,AM$60,),""),IF($I89=2,IFBLANK(_xldudf_CX_PUSH(AM89,CX_ENTITY,$B89,AM$11,AM$14,AM$60,),""),IF($I89=3,"",IFBLANK(_xldudf_CX_PUSH(AM89,CX_ENTITY,$B89,AM$11,AM$14,AM$60,),"")))))),"")</f>
        <v/>
      </c>
      <c r="DA89" s="1883" t="str" cm="1">
        <f t="array" ca="1" aca="1" ref="DA89">IFERROR(IF(AN89*fxVal_normal=_BS!AN89,"",IF(OR(AN89="",NOT(ISNUMBER(AN89)),ISERROR(AN89),$B89=""),"",IF($I89=1,IFBLANK(_xldudf_CX_PUSH(AN89*fxVal_normal,CX_ENTITY,$B89,AN$11,AN$14,AN$60,),""),IF($I89=2,IFBLANK(_xldudf_CX_PUSH(AN89,CX_ENTITY,$B89,AN$11,AN$14,AN$60,),""),IF($I89=3,"",IFBLANK(_xldudf_CX_PUSH(AN89,CX_ENTITY,$B89,AN$11,AN$14,AN$60,),"")))))),"")</f>
        <v/>
      </c>
      <c r="DB89" s="1883" t="str" cm="1">
        <f t="array" ca="1" aca="1" ref="DB89">IFERROR(IF(AO89*fxVal_normal=_BS!AO89,"",IF(OR(AO89="",NOT(ISNUMBER(AO89)),ISERROR(AO89),$B89=""),"",IF($I89=1,IFBLANK(_xldudf_CX_PUSH(AO89*fxVal_normal,CX_ENTITY,$B89,AO$11,AO$14,AO$60,),""),IF($I89=2,IFBLANK(_xldudf_CX_PUSH(AO89,CX_ENTITY,$B89,AO$11,AO$14,AO$60,),""),IF($I89=3,"",IFBLANK(_xldudf_CX_PUSH(AO89,CX_ENTITY,$B89,AO$11,AO$14,AO$60,),"")))))),"")</f>
        <v/>
      </c>
      <c r="DC89" s="1883" t="str" cm="1">
        <f t="array" ca="1" aca="1" ref="DC89">IFERROR(IF(AP89*fxVal_normal=_BS!AP89,"",IF(OR(AP89="",NOT(ISNUMBER(AP89)),ISERROR(AP89),$B89=""),"",IF($I89=1,IFBLANK(_xldudf_CX_PUSH(AP89*fxVal_normal,CX_ENTITY,$B89,AP$11,AP$14,AP$60,),""),IF($I89=2,IFBLANK(_xldudf_CX_PUSH(AP89,CX_ENTITY,$B89,AP$11,AP$14,AP$60,),""),IF($I89=3,"",IFBLANK(_xldudf_CX_PUSH(AP89,CX_ENTITY,$B89,AP$11,AP$14,AP$60,),"")))))),"")</f>
        <v/>
      </c>
      <c r="DD89" s="1883" t="str" cm="1">
        <f t="array" ca="1" aca="1" ref="DD89">IFERROR(IF(AQ89*fxVal_normal=_BS!AQ89,"",IF(OR(AQ89="",NOT(ISNUMBER(AQ89)),ISERROR(AQ89),$B89=""),"",IF($I89=1,IFBLANK(_xldudf_CX_PUSH(AQ89*fxVal_normal,CX_ENTITY,$B89,AQ$11,AQ$14,AQ$60,),""),IF($I89=2,IFBLANK(_xldudf_CX_PUSH(AQ89,CX_ENTITY,$B89,AQ$11,AQ$14,AQ$60,),""),IF($I89=3,"",IFBLANK(_xldudf_CX_PUSH(AQ89,CX_ENTITY,$B89,AQ$11,AQ$14,AQ$60,),"")))))),"")</f>
        <v/>
      </c>
      <c r="DE89" s="1883" t="str" cm="1">
        <f t="array" ca="1" aca="1" ref="DE89">IFERROR(IF(AR89*fxVal_normal=_BS!AR89,"",IF(OR(AR89="",NOT(ISNUMBER(AR89)),ISERROR(AR89),$B89=""),"",IF($I89=1,IFBLANK(_xldudf_CX_PUSH(AR89*fxVal_normal,CX_ENTITY,$B89,AR$11,AR$14,AR$60,),""),IF($I89=2,IFBLANK(_xldudf_CX_PUSH(AR89,CX_ENTITY,$B89,AR$11,AR$14,AR$60,),""),IF($I89=3,"",IFBLANK(_xldudf_CX_PUSH(AR89,CX_ENTITY,$B89,AR$11,AR$14,AR$60,),"")))))),"")</f>
        <v/>
      </c>
      <c r="DF89" s="1883" t="str" cm="1">
        <f t="array" ca="1" aca="1" ref="DF89">IFERROR(IF(AS89*fxVal_normal=_BS!AS89,"",IF(OR(AS89="",NOT(ISNUMBER(AS89)),ISERROR(AS89),$B89=""),"",IF($I89=1,IFBLANK(_xldudf_CX_PUSH(AS89*fxVal_normal,CX_ENTITY,$B89,AS$11,AS$14,AS$60,),""),IF($I89=2,IFBLANK(_xldudf_CX_PUSH(AS89,CX_ENTITY,$B89,AS$11,AS$14,AS$60,),""),IF($I89=3,"",IFBLANK(_xldudf_CX_PUSH(AS89,CX_ENTITY,$B89,AS$11,AS$14,AS$60,),"")))))),"")</f>
        <v/>
      </c>
      <c r="DG89" s="1883" t="str" cm="1">
        <f t="array" ca="1" aca="1" ref="DG89">IFERROR(IF(AT89*fxVal_normal=_BS!AT89,"",IF(OR(AT89="",NOT(ISNUMBER(AT89)),ISERROR(AT89),$B89=""),"",IF($I89=1,IFBLANK(_xldudf_CX_PUSH(AT89*fxVal_normal,CX_ENTITY,$B89,AT$11,AT$14,AT$60,),""),IF($I89=2,IFBLANK(_xldudf_CX_PUSH(AT89,CX_ENTITY,$B89,AT$11,AT$14,AT$60,),""),IF($I89=3,"",IFBLANK(_xldudf_CX_PUSH(AT89,CX_ENTITY,$B89,AT$11,AT$14,AT$60,),"")))))),"")</f>
        <v/>
      </c>
      <c r="DH89" s="1883" t="str" cm="1">
        <f t="array" ca="1" aca="1" ref="DH89">IFERROR(IF(AU89*fxVal_normal=_BS!AU89,"",IF(OR(AU89="",NOT(ISNUMBER(AU89)),ISERROR(AU89),$B89=""),"",IF($I89=1,IFBLANK(_xldudf_CX_PUSH(AU89*fxVal_normal,CX_ENTITY,$B89,AU$11,AU$14,AU$60,),""),IF($I89=2,IFBLANK(_xldudf_CX_PUSH(AU89,CX_ENTITY,$B89,AU$11,AU$14,AU$60,),""),IF($I89=3,"",IFBLANK(_xldudf_CX_PUSH(AU89,CX_ENTITY,$B89,AU$11,AU$14,AU$60,),"")))))),"")</f>
        <v/>
      </c>
      <c r="DI89" s="1883" t="str" cm="1">
        <f t="array" ca="1" aca="1" ref="DI89">IFERROR(IF(AV89*fxVal_normal=_BS!AV89,"",IF(OR(AV89="",NOT(ISNUMBER(AV89)),ISERROR(AV89),$B89=""),"",IF($I89=1,IFBLANK(_xldudf_CX_PUSH(AV89*fxVal_normal,CX_ENTITY,$B89,AV$11,AV$14,AV$60,),""),IF($I89=2,IFBLANK(_xldudf_CX_PUSH(AV89,CX_ENTITY,$B89,AV$11,AV$14,AV$60,),""),IF($I89=3,"",IFBLANK(_xldudf_CX_PUSH(AV89,CX_ENTITY,$B89,AV$11,AV$14,AV$60,),"")))))),"")</f>
        <v/>
      </c>
      <c r="DJ89" s="1883" t="str" cm="1">
        <f t="array" ca="1" aca="1" ref="DJ89">IFERROR(IF(AW89*fxVal_normal=_BS!AW89,"",IF(OR(AW89="",NOT(ISNUMBER(AW89)),ISERROR(AW89),$B89=""),"",IF($I89=1,IFBLANK(_xldudf_CX_PUSH(AW89*fxVal_normal,CX_ENTITY,$B89,AW$11,AW$14,AW$60,),""),IF($I89=2,IFBLANK(_xldudf_CX_PUSH(AW89,CX_ENTITY,$B89,AW$11,AW$14,AW$60,),""),IF($I89=3,"",IFBLANK(_xldudf_CX_PUSH(AW89,CX_ENTITY,$B89,AW$11,AW$14,AW$60,),"")))))),"")</f>
        <v/>
      </c>
      <c r="DK89" s="1883" t="str" cm="1">
        <f t="array" ca="1" aca="1" ref="DK89">IFERROR(IF(AX89*fxVal_normal=_BS!AX89,"",IF(OR(AX89="",NOT(ISNUMBER(AX89)),ISERROR(AX89),$B89=""),"",IF($I89=1,IFBLANK(_xldudf_CX_PUSH(AX89*fxVal_normal,CX_ENTITY,$B89,AX$11,AX$14,AX$60,),""),IF($I89=2,IFBLANK(_xldudf_CX_PUSH(AX89,CX_ENTITY,$B89,AX$11,AX$14,AX$60,),""),IF($I89=3,"",IFBLANK(_xldudf_CX_PUSH(AX89,CX_ENTITY,$B89,AX$11,AX$14,AX$60,),"")))))),"")</f>
        <v/>
      </c>
      <c r="DL89" s="1883" t="str" cm="1">
        <f t="array" ca="1" aca="1" ref="DL89">IFERROR(IF(AY89*fxVal_normal=_BS!AY89,"",IF(OR(AY89="",NOT(ISNUMBER(AY89)),ISERROR(AY89),$B89=""),"",IF($I89=1,IFBLANK(_xldudf_CX_PUSH(AY89*fxVal_normal,CX_ENTITY,$B89,AY$11,AY$14,AY$60,),""),IF($I89=2,IFBLANK(_xldudf_CX_PUSH(AY89,CX_ENTITY,$B89,AY$11,AY$14,AY$60,),""),IF($I89=3,"",IFBLANK(_xldudf_CX_PUSH(AY89,CX_ENTITY,$B89,AY$11,AY$14,AY$60,),"")))))),"")</f>
        <v/>
      </c>
      <c r="DM89" s="1883" t="str" cm="1">
        <f t="array" ca="1" aca="1" ref="DM89">IFERROR(IF(AZ89*fxVal_normal=_BS!AZ89,"",IF(OR(AZ89="",NOT(ISNUMBER(AZ89)),ISERROR(AZ89),$B89=""),"",IF($I89=1,IFBLANK(_xldudf_CX_PUSH(AZ89*fxVal_normal,CX_ENTITY,$B89,AZ$11,AZ$14,AZ$60,),""),IF($I89=2,IFBLANK(_xldudf_CX_PUSH(AZ89,CX_ENTITY,$B89,AZ$11,AZ$14,AZ$60,),""),IF($I89=3,"",IFBLANK(_xldudf_CX_PUSH(AZ89,CX_ENTITY,$B89,AZ$11,AZ$14,AZ$60,),"")))))),"")</f>
        <v/>
      </c>
      <c r="DN89" s="1883" t="str" cm="1">
        <f t="array" ca="1" aca="1" ref="DN89">IFERROR(IF(BA89*fxVal_normal=_BS!BA89,"",IF(OR(BA89="",NOT(ISNUMBER(BA89)),ISERROR(BA89),$B89=""),"",IF($I89=1,IFBLANK(_xldudf_CX_PUSH(BA89*fxVal_normal,CX_ENTITY,$B89,BA$11,BA$14,BA$60,),""),IF($I89=2,IFBLANK(_xldudf_CX_PUSH(BA89,CX_ENTITY,$B89,BA$11,BA$14,BA$60,),""),IF($I89=3,"",IFBLANK(_xldudf_CX_PUSH(BA89,CX_ENTITY,$B89,BA$11,BA$14,BA$60,),"")))))),"")</f>
        <v/>
      </c>
      <c r="DO89" s="1883" t="str" cm="1">
        <f t="array" ca="1" aca="1" ref="DO89">IFERROR(IF(BB89*fxVal_normal=_BS!BB89,"",IF(OR(BB89="",NOT(ISNUMBER(BB89)),ISERROR(BB89),$B89=""),"",IF($I89=1,IFBLANK(_xldudf_CX_PUSH(BB89*fxVal_normal,CX_ENTITY,$B89,BB$11,BB$14,BB$60,),""),IF($I89=2,IFBLANK(_xldudf_CX_PUSH(BB89,CX_ENTITY,$B89,BB$11,BB$14,BB$60,),""),IF($I89=3,"",IFBLANK(_xldudf_CX_PUSH(BB89,CX_ENTITY,$B89,BB$11,BB$14,BB$60,),"")))))),"")</f>
        <v/>
      </c>
      <c r="DP89" s="1883" t="str" cm="1">
        <f t="array" ca="1" aca="1" ref="DP89">IFERROR(IF(BC89*fxVal_normal=_BS!BC89,"",IF(OR(BC89="",NOT(ISNUMBER(BC89)),ISERROR(BC89),$B89=""),"",IF($I89=1,IFBLANK(_xldudf_CX_PUSH(BC89*fxVal_normal,CX_ENTITY,$B89,BC$11,BC$14,BC$60,),""),IF($I89=2,IFBLANK(_xldudf_CX_PUSH(BC89,CX_ENTITY,$B89,BC$11,BC$14,BC$60,),""),IF($I89=3,"",IFBLANK(_xldudf_CX_PUSH(BC89,CX_ENTITY,$B89,BC$11,BC$14,BC$60,),"")))))),"")</f>
        <v/>
      </c>
      <c r="DQ89" s="1883" t="str" cm="1">
        <f t="array" ca="1" aca="1" ref="DQ89">IFERROR(IF(BD89*fxVal_normal=_BS!BD89,"",IF(OR(BD89="",NOT(ISNUMBER(BD89)),ISERROR(BD89),$B89=""),"",IF($I89=1,IFBLANK(_xldudf_CX_PUSH(BD89*fxVal_normal,CX_ENTITY,$B89,BD$11,BD$14,BD$60,),""),IF($I89=2,IFBLANK(_xldudf_CX_PUSH(BD89,CX_ENTITY,$B89,BD$11,BD$14,BD$60,),""),IF($I89=3,"",IFBLANK(_xldudf_CX_PUSH(BD89,CX_ENTITY,$B89,BD$11,BD$14,BD$60,),"")))))),"")</f>
        <v/>
      </c>
      <c r="DR89" s="1883" t="str" cm="1">
        <f t="array" ca="1" aca="1" ref="DR89">IFERROR(IF(BE89*fxVal_normal=_BS!BE89,"",IF(OR(BE89="",NOT(ISNUMBER(BE89)),ISERROR(BE89),$B89=""),"",IF($I89=1,IFBLANK(_xldudf_CX_PUSH(BE89*fxVal_normal,CX_ENTITY,$B89,BE$11,BE$14,BE$60,),""),IF($I89=2,IFBLANK(_xldudf_CX_PUSH(BE89,CX_ENTITY,$B89,BE$11,BE$14,BE$60,),""),IF($I89=3,"",IFBLANK(_xldudf_CX_PUSH(BE89,CX_ENTITY,$B89,BE$11,BE$14,BE$60,),"")))))),"")</f>
        <v/>
      </c>
      <c r="DS89" s="1883" t="str" cm="1">
        <f t="array" ca="1" aca="1" ref="DS89">IFERROR(IF(BF89*fxVal_normal=_BS!BF89,"",IF(OR(BF89="",NOT(ISNUMBER(BF89)),ISERROR(BF89),$B89=""),"",IF($I89=1,IFBLANK(_xldudf_CX_PUSH(BF89*fxVal_normal,CX_ENTITY,$B89,BF$11,BF$14,BF$60,),""),IF($I89=2,IFBLANK(_xldudf_CX_PUSH(BF89,CX_ENTITY,$B89,BF$11,BF$14,BF$60,),""),IF($I89=3,"",IFBLANK(_xldudf_CX_PUSH(BF89,CX_ENTITY,$B89,BF$11,BF$14,BF$60,),"")))))),"")</f>
        <v/>
      </c>
      <c r="DT89" s="1883" t="str" cm="1">
        <f t="array" ca="1" aca="1" ref="DT89">IFERROR(IF(BG89*fxVal_normal=_BS!BG89,"",IF(OR(BG89="",NOT(ISNUMBER(BG89)),ISERROR(BG89),$B89=""),"",IF($I89=1,IFBLANK(_xldudf_CX_PUSH(BG89*fxVal_normal,CX_ENTITY,$B89,BG$11,BG$14,BG$60,),""),IF($I89=2,IFBLANK(_xldudf_CX_PUSH(BG89,CX_ENTITY,$B89,BG$11,BG$14,BG$60,),""),IF($I89=3,"",IFBLANK(_xldudf_CX_PUSH(BG89,CX_ENTITY,$B89,BG$11,BG$14,BG$60,),"")))))),"")</f>
        <v/>
      </c>
      <c r="DU89" s="1883" t="str" cm="1">
        <f t="array" ca="1" aca="1" ref="DU89">IFERROR(IF(BH89*fxVal_normal=_BS!BH89,"",IF(OR(BH89="",NOT(ISNUMBER(BH89)),ISERROR(BH89),$B89=""),"",IF($I89=1,IFBLANK(_xldudf_CX_PUSH(BH89*fxVal_normal,CX_ENTITY,$B89,BH$11,BH$14,BH$60,),""),IF($I89=2,IFBLANK(_xldudf_CX_PUSH(BH89,CX_ENTITY,$B89,BH$11,BH$14,BH$60,),""),IF($I89=3,"",IFBLANK(_xldudf_CX_PUSH(BH89,CX_ENTITY,$B89,BH$11,BH$14,BH$60,),"")))))),"")</f>
        <v/>
      </c>
      <c r="DV89" s="1883" t="str" cm="1">
        <f t="array" ca="1" aca="1" ref="DV89">IFERROR(IF(BI89*fxVal_normal=_BS!BI89,"",IF(OR(BI89="",NOT(ISNUMBER(BI89)),ISERROR(BI89),$B89=""),"",IF($I89=1,IFBLANK(_xldudf_CX_PUSH(BI89*fxVal_normal,CX_ENTITY,$B89,BI$11,BI$14,BI$60,),""),IF($I89=2,IFBLANK(_xldudf_CX_PUSH(BI89,CX_ENTITY,$B89,BI$11,BI$14,BI$60,),""),IF($I89=3,"",IFBLANK(_xldudf_CX_PUSH(BI89,CX_ENTITY,$B89,BI$11,BI$14,BI$60,),"")))))),"")</f>
        <v/>
      </c>
      <c r="DW89" s="1883" t="str" cm="1">
        <f t="array" ca="1" aca="1" ref="DW89">IFERROR(IF(BJ89*fxVal_normal=_BS!BJ89,"",IF(OR(BJ89="",NOT(ISNUMBER(BJ89)),ISERROR(BJ89),$B89=""),"",IF($I89=1,IFBLANK(_xldudf_CX_PUSH(BJ89*fxVal_normal,CX_ENTITY,$B89,BJ$11,BJ$14,BJ$60,),""),IF($I89=2,IFBLANK(_xldudf_CX_PUSH(BJ89,CX_ENTITY,$B89,BJ$11,BJ$14,BJ$60,),""),IF($I89=3,"",IFBLANK(_xldudf_CX_PUSH(BJ89,CX_ENTITY,$B89,BJ$11,BJ$14,BJ$60,),"")))))),"")</f>
        <v/>
      </c>
      <c r="DX89" s="1883" t="str" cm="1">
        <f t="array" ca="1" aca="1" ref="DX89">IFERROR(IF(BK89*fxVal_normal=_BS!BK89,"",IF(OR(BK89="",NOT(ISNUMBER(BK89)),ISERROR(BK89),$B89=""),"",IF($I89=1,IFBLANK(_xldudf_CX_PUSH(BK89*fxVal_normal,CX_ENTITY,$B89,BK$11,BK$14,BK$60,),""),IF($I89=2,IFBLANK(_xldudf_CX_PUSH(BK89,CX_ENTITY,$B89,BK$11,BK$14,BK$60,),""),IF($I89=3,"",IFBLANK(_xldudf_CX_PUSH(BK89,CX_ENTITY,$B89,BK$11,BK$14,BK$60,),"")))))),"")</f>
        <v/>
      </c>
      <c r="DY89" s="1883" t="str" cm="1">
        <f t="array" ca="1" aca="1" ref="DY89">IFERROR(IF(BL89*fxVal_normal=_BS!BL89,"",IF(OR(BL89="",NOT(ISNUMBER(BL89)),ISERROR(BL89),$B89=""),"",IF($I89=1,IFBLANK(_xldudf_CX_PUSH(BL89*fxVal_normal,CX_ENTITY,$B89,BL$11,BL$14,BL$60,),""),IF($I89=2,IFBLANK(_xldudf_CX_PUSH(BL89,CX_ENTITY,$B89,BL$11,BL$14,BL$60,),""),IF($I89=3,"",IFBLANK(_xldudf_CX_PUSH(BL89,CX_ENTITY,$B89,BL$11,BL$14,BL$60,),"")))))),"")</f>
        <v/>
      </c>
      <c r="DZ89" s="1883" t="str" cm="1">
        <f t="array" ca="1" aca="1" ref="DZ89">IFERROR(IF(BM89*fxVal_normal=_BS!BM89,"",IF(OR(BM89="",NOT(ISNUMBER(BM89)),ISERROR(BM89),$B89=""),"",IF($I89=1,IFBLANK(_xldudf_CX_PUSH(BM89*fxVal_normal,CX_ENTITY,$B89,BM$11,BM$14,BM$60,),""),IF($I89=2,IFBLANK(_xldudf_CX_PUSH(BM89,CX_ENTITY,$B89,BM$11,BM$14,BM$60,),""),IF($I89=3,"",IFBLANK(_xldudf_CX_PUSH(BM89,CX_ENTITY,$B89,BM$11,BM$14,BM$60,),"")))))),"")</f>
        <v/>
      </c>
      <c r="EA89" s="1883" t="str" cm="1">
        <f t="array" ca="1" aca="1" ref="EA89">IFERROR(IF(BN89*fxVal_normal=_BS!BN89,"",IF(OR(BN89="",NOT(ISNUMBER(BN89)),ISERROR(BN89),$B89=""),"",IF($I89=1,IFBLANK(_xldudf_CX_PUSH(BN89*fxVal_normal,CX_ENTITY,$B89,BN$11,BN$14,BN$60,),""),IF($I89=2,IFBLANK(_xldudf_CX_PUSH(BN89,CX_ENTITY,$B89,BN$11,BN$14,BN$60,),""),IF($I89=3,"",IFBLANK(_xldudf_CX_PUSH(BN89,CX_ENTITY,$B89,BN$11,BN$14,BN$60,),"")))))),"")</f>
        <v/>
      </c>
    </row>
    <row r="90" spans="1:131" ht="21" customHeight="1">
      <c r="A90" s="1646"/>
      <c r="B90" s="811" t="str" cm="1">
        <f t="array" ref="B90">IFBLANK(_BS!F90,"")</f>
        <v>Preferred Equity</v>
      </c>
      <c r="C90" s="811" t="str" cm="1">
        <f t="array" ref="C90">IFBLANK(_BS!C90,"")</f>
        <v>Preferred Equity (Company View)</v>
      </c>
      <c r="D90" s="1549"/>
      <c r="E90" s="1902" t="e" cm="1">
        <f t="array" ca="1" aca="1" ref="E9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90:$CH90,Z90)</f>
        <v>#NAME?</v>
      </c>
      <c r="F90" s="1897"/>
      <c r="G90" s="1897"/>
      <c r="H90" s="3280">
        <v>1</v>
      </c>
      <c r="I90" s="3280">
        <v>1</v>
      </c>
      <c r="J90" s="401"/>
      <c r="N90" s="158"/>
      <c r="O90" s="101"/>
      <c r="P90" s="52"/>
      <c r="Q90" s="101"/>
      <c r="R90" s="101"/>
      <c r="S90" s="101"/>
      <c r="T90" s="101"/>
      <c r="U90" s="39"/>
      <c r="W90" s="930" t="str">
        <f t="shared" si="18"/>
        <v>Budget</v>
      </c>
      <c r="X90" s="857">
        <f>_BS!X90</f>
        <v>-1</v>
      </c>
      <c r="Y90" s="3230">
        <f t="shared" si="17"/>
        <v>2</v>
      </c>
      <c r="Z90" s="198" cm="1">
        <f t="array" ref="Z90">_xlfn.SWITCH(TRUE,_BS!$L90=TRUE,1,_BS!$L90=FALSE,-1,_BS!$L90=-1,0,"n/a")</f>
        <v>-1</v>
      </c>
      <c r="AA90" s="200"/>
      <c r="AB90" s="88" t="str">
        <f>_BS!AB90</f>
        <v>Preferred Equity</v>
      </c>
      <c r="AC90" s="88" t="e" vm="5" cm="1">
        <f t="array" ca="1" aca="1" ref="AC90">_xlfn.LET(_xlpm._termname,$AB90,_xlpm._iconname,"find",_xlpm._icon,fx_getIcon(_xlpm._iconname),_xlpm._location,_xlfn.XLOOKUP(LOWER(_xlpm._termname),LOWER(tbl_acctDef[Term]),tbl_acctDef[Term]),_xlpm._hyperlink,HYPERLINK("#"&amp;CELL("address",_xlpm._location),_xlpm._icon),IFERROR(_xlpm._hyperlink,""))</f>
        <v>#VALUE!</v>
      </c>
      <c r="AD90" s="3229">
        <v>1</v>
      </c>
      <c r="AE90" s="3229">
        <v>1</v>
      </c>
      <c r="AF90" s="3229">
        <v>1</v>
      </c>
      <c r="AG90" s="3229">
        <v>1</v>
      </c>
      <c r="AH90" s="3229">
        <v>1</v>
      </c>
      <c r="AI90" s="3229">
        <v>1</v>
      </c>
      <c r="AJ90" s="3229">
        <v>1</v>
      </c>
      <c r="AK90" s="3229">
        <v>1</v>
      </c>
      <c r="AL90" s="3229">
        <v>1</v>
      </c>
      <c r="AM90" s="3229">
        <v>1</v>
      </c>
      <c r="AN90" s="3229">
        <v>1</v>
      </c>
      <c r="AO90" s="3229">
        <v>1</v>
      </c>
      <c r="AP90" s="3229">
        <v>1</v>
      </c>
      <c r="AQ90" s="3229">
        <v>1</v>
      </c>
      <c r="AR90" s="3229">
        <v>1</v>
      </c>
      <c r="AS90" s="3229">
        <v>1</v>
      </c>
      <c r="AT90" s="3229">
        <v>1</v>
      </c>
      <c r="AU90" s="3229">
        <v>1</v>
      </c>
      <c r="AV90" s="3229">
        <v>1</v>
      </c>
      <c r="AW90" s="3229">
        <v>1</v>
      </c>
      <c r="AX90" s="3229">
        <v>1</v>
      </c>
      <c r="AY90" s="3229">
        <v>1</v>
      </c>
      <c r="AZ90" s="3229">
        <v>1</v>
      </c>
      <c r="BA90" s="3229">
        <v>1</v>
      </c>
      <c r="BB90" s="3229">
        <v>1</v>
      </c>
      <c r="BC90" s="3229">
        <v>1</v>
      </c>
      <c r="BD90" s="3229">
        <v>1</v>
      </c>
      <c r="BE90" s="3229">
        <v>1</v>
      </c>
      <c r="BF90" s="3229">
        <v>1</v>
      </c>
      <c r="BG90" s="3229">
        <v>1</v>
      </c>
      <c r="BH90" s="3229">
        <v>1</v>
      </c>
      <c r="BI90" s="3229">
        <v>1</v>
      </c>
      <c r="BJ90" s="3229">
        <v>1</v>
      </c>
      <c r="BK90" s="3229">
        <v>1</v>
      </c>
      <c r="BL90" s="3229">
        <v>1</v>
      </c>
      <c r="BM90" s="3229">
        <v>1</v>
      </c>
      <c r="BN90" s="3229">
        <v>1</v>
      </c>
      <c r="BO90" s="2095"/>
      <c r="BP90" s="2095"/>
      <c r="BQ90" s="2095"/>
      <c r="BR90" s="2095"/>
      <c r="BS90" s="2095"/>
      <c r="BT90" s="2095"/>
      <c r="BU90" s="2095"/>
      <c r="BV90" s="2095"/>
      <c r="BW90" s="2095"/>
      <c r="BX90" s="2095"/>
      <c r="BY90" s="2095"/>
      <c r="BZ90" s="2095"/>
      <c r="CA90" s="926"/>
      <c r="CB90" s="921"/>
      <c r="CC90" s="927"/>
      <c r="CD90" s="928" t="e" cm="1">
        <f t="array" ca="1" aca="1" ref="CD90">_xlfn.XLOOKUP(BS!CD$11,array_timeline,BS!$AD90:$BN90)</f>
        <v>#NAME?</v>
      </c>
      <c r="CE90" s="928" t="e" cm="1">
        <f t="array" ca="1" aca="1" ref="CE90">_xlfn.XLOOKUP(BS!CE$11,array_timeline,BS!$AD90:$BN90)</f>
        <v>#NAME?</v>
      </c>
      <c r="CF90" s="925"/>
      <c r="CG90" s="2124" t="e">
        <f t="shared" ca="1" si="16"/>
        <v>#NAME?</v>
      </c>
      <c r="CH90" s="2124" t="e">
        <f t="shared" ca="1" si="16"/>
        <v>#NAME?</v>
      </c>
      <c r="CI90" s="200"/>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c r="DX90" s="1883"/>
      <c r="DY90" s="1883"/>
      <c r="DZ90" s="1883"/>
      <c r="EA90" s="1883"/>
    </row>
    <row r="91" spans="1:131" ht="21" customHeight="1">
      <c r="A91" s="1646"/>
      <c r="B91" s="811" t="str" cm="1">
        <f t="array" ref="B91">IFBLANK(_BS!F91,"")</f>
        <v>Net Assets / Total Equity</v>
      </c>
      <c r="C91" s="811" t="str" cm="1">
        <f t="array" ref="C91">IFBLANK(_BS!C91,"")</f>
        <v>Net Assets / Total Equity (Company View)</v>
      </c>
      <c r="D91" s="1549"/>
      <c r="E91" s="1902" t="e" cm="1">
        <f t="array" ca="1" aca="1" ref="E9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91:$CH91,Z91)</f>
        <v>#NAME?</v>
      </c>
      <c r="F91" s="1897"/>
      <c r="G91" s="1897"/>
      <c r="H91" s="3280">
        <v>2</v>
      </c>
      <c r="I91" s="3280">
        <v>1</v>
      </c>
      <c r="J91" s="401"/>
      <c r="L91" s="921"/>
      <c r="M91" s="921"/>
      <c r="N91" s="158"/>
      <c r="O91" s="101"/>
      <c r="P91" s="52"/>
      <c r="Q91" s="101"/>
      <c r="R91" s="101"/>
      <c r="S91" s="101"/>
      <c r="T91" s="101"/>
      <c r="U91" s="39"/>
      <c r="V91" s="921"/>
      <c r="W91" s="1292" t="str">
        <f t="shared" si="18"/>
        <v>Budget</v>
      </c>
      <c r="X91" s="1295">
        <f>_BS!X91</f>
        <v>0</v>
      </c>
      <c r="Y91" s="1806" t="str">
        <f t="shared" si="17"/>
        <v>Net Assets / Total Equity</v>
      </c>
      <c r="Z91" s="198" cm="1">
        <f t="array" ref="Z91">_xlfn.SWITCH(TRUE,_BS!$L91=TRUE,1,_BS!$L91=FALSE,-1,_BS!$L91=-1,0,"n/a")</f>
        <v>0</v>
      </c>
      <c r="AA91" s="924"/>
      <c r="AB91" s="40" t="str">
        <f>_BS!AB91</f>
        <v>Net Assets / Total Equity</v>
      </c>
      <c r="AC91" s="2280" t="e" vm="5" cm="1">
        <f t="array" ca="1" aca="1" ref="AC91">_xlfn.LET(_xlpm._termname,$AB91,_xlpm._iconname,"find",_xlpm._icon,fx_getIcon(_xlpm._iconname),_xlpm._location,_xlfn.XLOOKUP(LOWER(_xlpm._termname),LOWER(tbl_acctDef[Term]),tbl_acctDef[Term]),_xlpm._hyperlink,HYPERLINK("#"&amp;CELL("address",_xlpm._location),_xlpm._icon),IFERROR(_xlpm._hyperlink,""))</f>
        <v>#VALUE!</v>
      </c>
      <c r="AD91" s="1167">
        <f>SUBTOTAL(9,AD61:AD90)</f>
        <v>22</v>
      </c>
      <c r="AE91" s="919">
        <f t="shared" si="27" ref="AE91:BN91">SUBTOTAL(9,AE61:AE90)</f>
        <v>22</v>
      </c>
      <c r="AF91" s="919">
        <f t="shared" si="27"/>
        <v>22</v>
      </c>
      <c r="AG91" s="919">
        <f t="shared" si="27"/>
        <v>22</v>
      </c>
      <c r="AH91" s="919">
        <f t="shared" si="27"/>
        <v>22</v>
      </c>
      <c r="AI91" s="919">
        <f t="shared" si="27"/>
        <v>22</v>
      </c>
      <c r="AJ91" s="919">
        <f t="shared" si="27"/>
        <v>22</v>
      </c>
      <c r="AK91" s="919">
        <f t="shared" si="27"/>
        <v>22</v>
      </c>
      <c r="AL91" s="919">
        <f t="shared" si="27"/>
        <v>22</v>
      </c>
      <c r="AM91" s="919">
        <f t="shared" si="27"/>
        <v>22</v>
      </c>
      <c r="AN91" s="919">
        <f t="shared" si="27"/>
        <v>22</v>
      </c>
      <c r="AO91" s="919">
        <f t="shared" si="27"/>
        <v>22</v>
      </c>
      <c r="AP91" s="919">
        <f t="shared" si="27"/>
        <v>22</v>
      </c>
      <c r="AQ91" s="919">
        <f t="shared" si="27"/>
        <v>22</v>
      </c>
      <c r="AR91" s="919">
        <f t="shared" si="27"/>
        <v>22</v>
      </c>
      <c r="AS91" s="919">
        <f t="shared" si="27"/>
        <v>22</v>
      </c>
      <c r="AT91" s="919">
        <f t="shared" si="27"/>
        <v>22</v>
      </c>
      <c r="AU91" s="919">
        <f t="shared" si="27"/>
        <v>22</v>
      </c>
      <c r="AV91" s="919">
        <f t="shared" si="27"/>
        <v>22</v>
      </c>
      <c r="AW91" s="919">
        <f t="shared" si="27"/>
        <v>22</v>
      </c>
      <c r="AX91" s="919">
        <f t="shared" si="27"/>
        <v>22</v>
      </c>
      <c r="AY91" s="919">
        <f t="shared" si="27"/>
        <v>22</v>
      </c>
      <c r="AZ91" s="919">
        <f t="shared" si="27"/>
        <v>22</v>
      </c>
      <c r="BA91" s="919">
        <f t="shared" si="27"/>
        <v>22</v>
      </c>
      <c r="BB91" s="919">
        <f t="shared" si="27"/>
        <v>22</v>
      </c>
      <c r="BC91" s="919">
        <f t="shared" si="27"/>
        <v>22</v>
      </c>
      <c r="BD91" s="919">
        <f t="shared" si="27"/>
        <v>22</v>
      </c>
      <c r="BE91" s="919">
        <f t="shared" si="27"/>
        <v>22</v>
      </c>
      <c r="BF91" s="919">
        <f t="shared" si="27"/>
        <v>22</v>
      </c>
      <c r="BG91" s="919">
        <f t="shared" si="27"/>
        <v>22</v>
      </c>
      <c r="BH91" s="919">
        <f t="shared" si="27"/>
        <v>22</v>
      </c>
      <c r="BI91" s="919">
        <f t="shared" si="27"/>
        <v>22</v>
      </c>
      <c r="BJ91" s="919">
        <f t="shared" si="27"/>
        <v>22</v>
      </c>
      <c r="BK91" s="919">
        <f t="shared" si="27"/>
        <v>22</v>
      </c>
      <c r="BL91" s="919">
        <f t="shared" si="27"/>
        <v>22</v>
      </c>
      <c r="BM91" s="919">
        <f t="shared" si="27"/>
        <v>22</v>
      </c>
      <c r="BN91" s="919">
        <f t="shared" si="27"/>
        <v>22</v>
      </c>
      <c r="BO91" s="2117"/>
      <c r="BP91" s="2117"/>
      <c r="BQ91" s="2117"/>
      <c r="BR91" s="2117"/>
      <c r="BS91" s="2117"/>
      <c r="BT91" s="2117"/>
      <c r="BU91" s="2117"/>
      <c r="BV91" s="2117"/>
      <c r="BW91" s="2117"/>
      <c r="BX91" s="2117"/>
      <c r="BY91" s="2117"/>
      <c r="BZ91" s="2117"/>
      <c r="CA91" s="926"/>
      <c r="CB91" s="921"/>
      <c r="CC91" s="927"/>
      <c r="CD91" s="928" t="e" cm="1">
        <f t="array" ca="1" aca="1" ref="CD91">_xlfn.XLOOKUP(BS!CD$11,array_timeline,BS!$AD91:$BN91)</f>
        <v>#NAME?</v>
      </c>
      <c r="CE91" s="928" t="e" cm="1">
        <f t="array" ca="1" aca="1" ref="CE91">_xlfn.XLOOKUP(BS!CE$11,array_timeline,BS!$AD91:$BN91)</f>
        <v>#NAME?</v>
      </c>
      <c r="CF91" s="925"/>
      <c r="CG91" s="541" t="e">
        <f ca="1" t="shared" si="28" ref="CG91:CH91">CG50</f>
        <v>#NAME?</v>
      </c>
      <c r="CH91" s="541" t="e">
        <f t="shared" ca="1" si="28"/>
        <v>#NAME?</v>
      </c>
      <c r="CI91" s="924"/>
      <c r="CQ91" s="1883" t="str" cm="1">
        <f t="array" ca="1" aca="1" ref="CQ91">IFERROR(IF(AD91*fxVal_normal=_BS!AD91,"",IF(OR(AD91="",NOT(ISNUMBER(AD91)),ISERROR(AD91),$B91=""),"",IF($I91=1,IFBLANK(_xldudf_CX_PUSH(AD91*fxVal_normal,CX_ENTITY,$B91,AD$11,AD$14,AD$60,),""),IF($I91=2,IFBLANK(_xldudf_CX_PUSH(AD91,CX_ENTITY,$B91,AD$11,AD$14,AD$60,),""),IF($I91=3,"",IFBLANK(_xldudf_CX_PUSH(AD91,CX_ENTITY,$B91,AD$11,AD$14,AD$60,),"")))))),"")</f>
        <v/>
      </c>
      <c r="CR91" s="1883" t="str" cm="1">
        <f t="array" ca="1" aca="1" ref="CR91">IFERROR(IF(AE91*fxVal_normal=_BS!AE91,"",IF(OR(AE91="",NOT(ISNUMBER(AE91)),ISERROR(AE91),$B91=""),"",IF($I91=1,IFBLANK(_xldudf_CX_PUSH(AE91*fxVal_normal,CX_ENTITY,$B91,AE$11,AE$14,AE$60,),""),IF($I91=2,IFBLANK(_xldudf_CX_PUSH(AE91,CX_ENTITY,$B91,AE$11,AE$14,AE$60,),""),IF($I91=3,"",IFBLANK(_xldudf_CX_PUSH(AE91,CX_ENTITY,$B91,AE$11,AE$14,AE$60,),"")))))),"")</f>
        <v/>
      </c>
      <c r="CS91" s="1883" t="str" cm="1">
        <f t="array" ca="1" aca="1" ref="CS91">IFERROR(IF(AF91*fxVal_normal=_BS!AF91,"",IF(OR(AF91="",NOT(ISNUMBER(AF91)),ISERROR(AF91),$B91=""),"",IF($I91=1,IFBLANK(_xldudf_CX_PUSH(AF91*fxVal_normal,CX_ENTITY,$B91,AF$11,AF$14,AF$60,),""),IF($I91=2,IFBLANK(_xldudf_CX_PUSH(AF91,CX_ENTITY,$B91,AF$11,AF$14,AF$60,),""),IF($I91=3,"",IFBLANK(_xldudf_CX_PUSH(AF91,CX_ENTITY,$B91,AF$11,AF$14,AF$60,),"")))))),"")</f>
        <v/>
      </c>
      <c r="CT91" s="1883" t="str" cm="1">
        <f t="array" ca="1" aca="1" ref="CT91">IFERROR(IF(AG91*fxVal_normal=_BS!AG91,"",IF(OR(AG91="",NOT(ISNUMBER(AG91)),ISERROR(AG91),$B91=""),"",IF($I91=1,IFBLANK(_xldudf_CX_PUSH(AG91*fxVal_normal,CX_ENTITY,$B91,AG$11,AG$14,AG$60,),""),IF($I91=2,IFBLANK(_xldudf_CX_PUSH(AG91,CX_ENTITY,$B91,AG$11,AG$14,AG$60,),""),IF($I91=3,"",IFBLANK(_xldudf_CX_PUSH(AG91,CX_ENTITY,$B91,AG$11,AG$14,AG$60,),"")))))),"")</f>
        <v/>
      </c>
      <c r="CU91" s="1883" t="str" cm="1">
        <f t="array" ca="1" aca="1" ref="CU91">IFERROR(IF(AH91*fxVal_normal=_BS!AH91,"",IF(OR(AH91="",NOT(ISNUMBER(AH91)),ISERROR(AH91),$B91=""),"",IF($I91=1,IFBLANK(_xldudf_CX_PUSH(AH91*fxVal_normal,CX_ENTITY,$B91,AH$11,AH$14,AH$60,),""),IF($I91=2,IFBLANK(_xldudf_CX_PUSH(AH91,CX_ENTITY,$B91,AH$11,AH$14,AH$60,),""),IF($I91=3,"",IFBLANK(_xldudf_CX_PUSH(AH91,CX_ENTITY,$B91,AH$11,AH$14,AH$60,),"")))))),"")</f>
        <v/>
      </c>
      <c r="CV91" s="1883" t="str" cm="1">
        <f t="array" ca="1" aca="1" ref="CV91">IFERROR(IF(AI91*fxVal_normal=_BS!AI91,"",IF(OR(AI91="",NOT(ISNUMBER(AI91)),ISERROR(AI91),$B91=""),"",IF($I91=1,IFBLANK(_xldudf_CX_PUSH(AI91*fxVal_normal,CX_ENTITY,$B91,AI$11,AI$14,AI$60,),""),IF($I91=2,IFBLANK(_xldudf_CX_PUSH(AI91,CX_ENTITY,$B91,AI$11,AI$14,AI$60,),""),IF($I91=3,"",IFBLANK(_xldudf_CX_PUSH(AI91,CX_ENTITY,$B91,AI$11,AI$14,AI$60,),"")))))),"")</f>
        <v/>
      </c>
      <c r="CW91" s="1883" t="str" cm="1">
        <f t="array" ca="1" aca="1" ref="CW91">IFERROR(IF(AJ91*fxVal_normal=_BS!AJ91,"",IF(OR(AJ91="",NOT(ISNUMBER(AJ91)),ISERROR(AJ91),$B91=""),"",IF($I91=1,IFBLANK(_xldudf_CX_PUSH(AJ91*fxVal_normal,CX_ENTITY,$B91,AJ$11,AJ$14,AJ$60,),""),IF($I91=2,IFBLANK(_xldudf_CX_PUSH(AJ91,CX_ENTITY,$B91,AJ$11,AJ$14,AJ$60,),""),IF($I91=3,"",IFBLANK(_xldudf_CX_PUSH(AJ91,CX_ENTITY,$B91,AJ$11,AJ$14,AJ$60,),"")))))),"")</f>
        <v/>
      </c>
      <c r="CX91" s="1883" t="str" cm="1">
        <f t="array" ca="1" aca="1" ref="CX91">IFERROR(IF(AK91*fxVal_normal=_BS!AK91,"",IF(OR(AK91="",NOT(ISNUMBER(AK91)),ISERROR(AK91),$B91=""),"",IF($I91=1,IFBLANK(_xldudf_CX_PUSH(AK91*fxVal_normal,CX_ENTITY,$B91,AK$11,AK$14,AK$60,),""),IF($I91=2,IFBLANK(_xldudf_CX_PUSH(AK91,CX_ENTITY,$B91,AK$11,AK$14,AK$60,),""),IF($I91=3,"",IFBLANK(_xldudf_CX_PUSH(AK91,CX_ENTITY,$B91,AK$11,AK$14,AK$60,),"")))))),"")</f>
        <v/>
      </c>
      <c r="CY91" s="1883" t="str" cm="1">
        <f t="array" ca="1" aca="1" ref="CY91">IFERROR(IF(AL91*fxVal_normal=_BS!AL91,"",IF(OR(AL91="",NOT(ISNUMBER(AL91)),ISERROR(AL91),$B91=""),"",IF($I91=1,IFBLANK(_xldudf_CX_PUSH(AL91*fxVal_normal,CX_ENTITY,$B91,AL$11,AL$14,AL$60,),""),IF($I91=2,IFBLANK(_xldudf_CX_PUSH(AL91,CX_ENTITY,$B91,AL$11,AL$14,AL$60,),""),IF($I91=3,"",IFBLANK(_xldudf_CX_PUSH(AL91,CX_ENTITY,$B91,AL$11,AL$14,AL$60,),"")))))),"")</f>
        <v/>
      </c>
      <c r="CZ91" s="1883" t="str" cm="1">
        <f t="array" ca="1" aca="1" ref="CZ91">IFERROR(IF(AM91*fxVal_normal=_BS!AM91,"",IF(OR(AM91="",NOT(ISNUMBER(AM91)),ISERROR(AM91),$B91=""),"",IF($I91=1,IFBLANK(_xldudf_CX_PUSH(AM91*fxVal_normal,CX_ENTITY,$B91,AM$11,AM$14,AM$60,),""),IF($I91=2,IFBLANK(_xldudf_CX_PUSH(AM91,CX_ENTITY,$B91,AM$11,AM$14,AM$60,),""),IF($I91=3,"",IFBLANK(_xldudf_CX_PUSH(AM91,CX_ENTITY,$B91,AM$11,AM$14,AM$60,),"")))))),"")</f>
        <v/>
      </c>
      <c r="DA91" s="1883" t="str" cm="1">
        <f t="array" ca="1" aca="1" ref="DA91">IFERROR(IF(AN91*fxVal_normal=_BS!AN91,"",IF(OR(AN91="",NOT(ISNUMBER(AN91)),ISERROR(AN91),$B91=""),"",IF($I91=1,IFBLANK(_xldudf_CX_PUSH(AN91*fxVal_normal,CX_ENTITY,$B91,AN$11,AN$14,AN$60,),""),IF($I91=2,IFBLANK(_xldudf_CX_PUSH(AN91,CX_ENTITY,$B91,AN$11,AN$14,AN$60,),""),IF($I91=3,"",IFBLANK(_xldudf_CX_PUSH(AN91,CX_ENTITY,$B91,AN$11,AN$14,AN$60,),"")))))),"")</f>
        <v/>
      </c>
      <c r="DB91" s="1883" t="str" cm="1">
        <f t="array" ca="1" aca="1" ref="DB91">IFERROR(IF(AO91*fxVal_normal=_BS!AO91,"",IF(OR(AO91="",NOT(ISNUMBER(AO91)),ISERROR(AO91),$B91=""),"",IF($I91=1,IFBLANK(_xldudf_CX_PUSH(AO91*fxVal_normal,CX_ENTITY,$B91,AO$11,AO$14,AO$60,),""),IF($I91=2,IFBLANK(_xldudf_CX_PUSH(AO91,CX_ENTITY,$B91,AO$11,AO$14,AO$60,),""),IF($I91=3,"",IFBLANK(_xldudf_CX_PUSH(AO91,CX_ENTITY,$B91,AO$11,AO$14,AO$60,),"")))))),"")</f>
        <v/>
      </c>
      <c r="DC91" s="1883" t="str" cm="1">
        <f t="array" ca="1" aca="1" ref="DC91">IFERROR(IF(AP91*fxVal_normal=_BS!AP91,"",IF(OR(AP91="",NOT(ISNUMBER(AP91)),ISERROR(AP91),$B91=""),"",IF($I91=1,IFBLANK(_xldudf_CX_PUSH(AP91*fxVal_normal,CX_ENTITY,$B91,AP$11,AP$14,AP$60,),""),IF($I91=2,IFBLANK(_xldudf_CX_PUSH(AP91,CX_ENTITY,$B91,AP$11,AP$14,AP$60,),""),IF($I91=3,"",IFBLANK(_xldudf_CX_PUSH(AP91,CX_ENTITY,$B91,AP$11,AP$14,AP$60,),"")))))),"")</f>
        <v/>
      </c>
      <c r="DD91" s="1883" t="str" cm="1">
        <f t="array" ca="1" aca="1" ref="DD91">IFERROR(IF(AQ91*fxVal_normal=_BS!AQ91,"",IF(OR(AQ91="",NOT(ISNUMBER(AQ91)),ISERROR(AQ91),$B91=""),"",IF($I91=1,IFBLANK(_xldudf_CX_PUSH(AQ91*fxVal_normal,CX_ENTITY,$B91,AQ$11,AQ$14,AQ$60,),""),IF($I91=2,IFBLANK(_xldudf_CX_PUSH(AQ91,CX_ENTITY,$B91,AQ$11,AQ$14,AQ$60,),""),IF($I91=3,"",IFBLANK(_xldudf_CX_PUSH(AQ91,CX_ENTITY,$B91,AQ$11,AQ$14,AQ$60,),"")))))),"")</f>
        <v/>
      </c>
      <c r="DE91" s="1883" t="str" cm="1">
        <f t="array" ca="1" aca="1" ref="DE91">IFERROR(IF(AR91*fxVal_normal=_BS!AR91,"",IF(OR(AR91="",NOT(ISNUMBER(AR91)),ISERROR(AR91),$B91=""),"",IF($I91=1,IFBLANK(_xldudf_CX_PUSH(AR91*fxVal_normal,CX_ENTITY,$B91,AR$11,AR$14,AR$60,),""),IF($I91=2,IFBLANK(_xldudf_CX_PUSH(AR91,CX_ENTITY,$B91,AR$11,AR$14,AR$60,),""),IF($I91=3,"",IFBLANK(_xldudf_CX_PUSH(AR91,CX_ENTITY,$B91,AR$11,AR$14,AR$60,),"")))))),"")</f>
        <v/>
      </c>
      <c r="DF91" s="1883" t="str" cm="1">
        <f t="array" ca="1" aca="1" ref="DF91">IFERROR(IF(AS91*fxVal_normal=_BS!AS91,"",IF(OR(AS91="",NOT(ISNUMBER(AS91)),ISERROR(AS91),$B91=""),"",IF($I91=1,IFBLANK(_xldudf_CX_PUSH(AS91*fxVal_normal,CX_ENTITY,$B91,AS$11,AS$14,AS$60,),""),IF($I91=2,IFBLANK(_xldudf_CX_PUSH(AS91,CX_ENTITY,$B91,AS$11,AS$14,AS$60,),""),IF($I91=3,"",IFBLANK(_xldudf_CX_PUSH(AS91,CX_ENTITY,$B91,AS$11,AS$14,AS$60,),"")))))),"")</f>
        <v/>
      </c>
      <c r="DG91" s="1883" t="str" cm="1">
        <f t="array" ca="1" aca="1" ref="DG91">IFERROR(IF(AT91*fxVal_normal=_BS!AT91,"",IF(OR(AT91="",NOT(ISNUMBER(AT91)),ISERROR(AT91),$B91=""),"",IF($I91=1,IFBLANK(_xldudf_CX_PUSH(AT91*fxVal_normal,CX_ENTITY,$B91,AT$11,AT$14,AT$60,),""),IF($I91=2,IFBLANK(_xldudf_CX_PUSH(AT91,CX_ENTITY,$B91,AT$11,AT$14,AT$60,),""),IF($I91=3,"",IFBLANK(_xldudf_CX_PUSH(AT91,CX_ENTITY,$B91,AT$11,AT$14,AT$60,),"")))))),"")</f>
        <v/>
      </c>
      <c r="DH91" s="1883" t="str" cm="1">
        <f t="array" ca="1" aca="1" ref="DH91">IFERROR(IF(AU91*fxVal_normal=_BS!AU91,"",IF(OR(AU91="",NOT(ISNUMBER(AU91)),ISERROR(AU91),$B91=""),"",IF($I91=1,IFBLANK(_xldudf_CX_PUSH(AU91*fxVal_normal,CX_ENTITY,$B91,AU$11,AU$14,AU$60,),""),IF($I91=2,IFBLANK(_xldudf_CX_PUSH(AU91,CX_ENTITY,$B91,AU$11,AU$14,AU$60,),""),IF($I91=3,"",IFBLANK(_xldudf_CX_PUSH(AU91,CX_ENTITY,$B91,AU$11,AU$14,AU$60,),"")))))),"")</f>
        <v/>
      </c>
      <c r="DI91" s="1883" t="str" cm="1">
        <f t="array" ca="1" aca="1" ref="DI91">IFERROR(IF(AV91*fxVal_normal=_BS!AV91,"",IF(OR(AV91="",NOT(ISNUMBER(AV91)),ISERROR(AV91),$B91=""),"",IF($I91=1,IFBLANK(_xldudf_CX_PUSH(AV91*fxVal_normal,CX_ENTITY,$B91,AV$11,AV$14,AV$60,),""),IF($I91=2,IFBLANK(_xldudf_CX_PUSH(AV91,CX_ENTITY,$B91,AV$11,AV$14,AV$60,),""),IF($I91=3,"",IFBLANK(_xldudf_CX_PUSH(AV91,CX_ENTITY,$B91,AV$11,AV$14,AV$60,),"")))))),"")</f>
        <v/>
      </c>
      <c r="DJ91" s="1883" t="str" cm="1">
        <f t="array" ca="1" aca="1" ref="DJ91">IFERROR(IF(AW91*fxVal_normal=_BS!AW91,"",IF(OR(AW91="",NOT(ISNUMBER(AW91)),ISERROR(AW91),$B91=""),"",IF($I91=1,IFBLANK(_xldudf_CX_PUSH(AW91*fxVal_normal,CX_ENTITY,$B91,AW$11,AW$14,AW$60,),""),IF($I91=2,IFBLANK(_xldudf_CX_PUSH(AW91,CX_ENTITY,$B91,AW$11,AW$14,AW$60,),""),IF($I91=3,"",IFBLANK(_xldudf_CX_PUSH(AW91,CX_ENTITY,$B91,AW$11,AW$14,AW$60,),"")))))),"")</f>
        <v/>
      </c>
      <c r="DK91" s="1883" t="str" cm="1">
        <f t="array" ca="1" aca="1" ref="DK91">IFERROR(IF(AX91*fxVal_normal=_BS!AX91,"",IF(OR(AX91="",NOT(ISNUMBER(AX91)),ISERROR(AX91),$B91=""),"",IF($I91=1,IFBLANK(_xldudf_CX_PUSH(AX91*fxVal_normal,CX_ENTITY,$B91,AX$11,AX$14,AX$60,),""),IF($I91=2,IFBLANK(_xldudf_CX_PUSH(AX91,CX_ENTITY,$B91,AX$11,AX$14,AX$60,),""),IF($I91=3,"",IFBLANK(_xldudf_CX_PUSH(AX91,CX_ENTITY,$B91,AX$11,AX$14,AX$60,),"")))))),"")</f>
        <v/>
      </c>
      <c r="DL91" s="1883" t="str" cm="1">
        <f t="array" ca="1" aca="1" ref="DL91">IFERROR(IF(AY91*fxVal_normal=_BS!AY91,"",IF(OR(AY91="",NOT(ISNUMBER(AY91)),ISERROR(AY91),$B91=""),"",IF($I91=1,IFBLANK(_xldudf_CX_PUSH(AY91*fxVal_normal,CX_ENTITY,$B91,AY$11,AY$14,AY$60,),""),IF($I91=2,IFBLANK(_xldudf_CX_PUSH(AY91,CX_ENTITY,$B91,AY$11,AY$14,AY$60,),""),IF($I91=3,"",IFBLANK(_xldudf_CX_PUSH(AY91,CX_ENTITY,$B91,AY$11,AY$14,AY$60,),"")))))),"")</f>
        <v/>
      </c>
      <c r="DM91" s="1883" t="str" cm="1">
        <f t="array" ca="1" aca="1" ref="DM91">IFERROR(IF(AZ91*fxVal_normal=_BS!AZ91,"",IF(OR(AZ91="",NOT(ISNUMBER(AZ91)),ISERROR(AZ91),$B91=""),"",IF($I91=1,IFBLANK(_xldudf_CX_PUSH(AZ91*fxVal_normal,CX_ENTITY,$B91,AZ$11,AZ$14,AZ$60,),""),IF($I91=2,IFBLANK(_xldudf_CX_PUSH(AZ91,CX_ENTITY,$B91,AZ$11,AZ$14,AZ$60,),""),IF($I91=3,"",IFBLANK(_xldudf_CX_PUSH(AZ91,CX_ENTITY,$B91,AZ$11,AZ$14,AZ$60,),"")))))),"")</f>
        <v/>
      </c>
      <c r="DN91" s="1883" t="str" cm="1">
        <f t="array" ca="1" aca="1" ref="DN91">IFERROR(IF(BA91*fxVal_normal=_BS!BA91,"",IF(OR(BA91="",NOT(ISNUMBER(BA91)),ISERROR(BA91),$B91=""),"",IF($I91=1,IFBLANK(_xldudf_CX_PUSH(BA91*fxVal_normal,CX_ENTITY,$B91,BA$11,BA$14,BA$60,),""),IF($I91=2,IFBLANK(_xldudf_CX_PUSH(BA91,CX_ENTITY,$B91,BA$11,BA$14,BA$60,),""),IF($I91=3,"",IFBLANK(_xldudf_CX_PUSH(BA91,CX_ENTITY,$B91,BA$11,BA$14,BA$60,),"")))))),"")</f>
        <v/>
      </c>
      <c r="DO91" s="1883" t="str" cm="1">
        <f t="array" ca="1" aca="1" ref="DO91">IFERROR(IF(BB91*fxVal_normal=_BS!BB91,"",IF(OR(BB91="",NOT(ISNUMBER(BB91)),ISERROR(BB91),$B91=""),"",IF($I91=1,IFBLANK(_xldudf_CX_PUSH(BB91*fxVal_normal,CX_ENTITY,$B91,BB$11,BB$14,BB$60,),""),IF($I91=2,IFBLANK(_xldudf_CX_PUSH(BB91,CX_ENTITY,$B91,BB$11,BB$14,BB$60,),""),IF($I91=3,"",IFBLANK(_xldudf_CX_PUSH(BB91,CX_ENTITY,$B91,BB$11,BB$14,BB$60,),"")))))),"")</f>
        <v/>
      </c>
      <c r="DP91" s="1883" t="str" cm="1">
        <f t="array" ca="1" aca="1" ref="DP91">IFERROR(IF(BC91*fxVal_normal=_BS!BC91,"",IF(OR(BC91="",NOT(ISNUMBER(BC91)),ISERROR(BC91),$B91=""),"",IF($I91=1,IFBLANK(_xldudf_CX_PUSH(BC91*fxVal_normal,CX_ENTITY,$B91,BC$11,BC$14,BC$60,),""),IF($I91=2,IFBLANK(_xldudf_CX_PUSH(BC91,CX_ENTITY,$B91,BC$11,BC$14,BC$60,),""),IF($I91=3,"",IFBLANK(_xldudf_CX_PUSH(BC91,CX_ENTITY,$B91,BC$11,BC$14,BC$60,),"")))))),"")</f>
        <v/>
      </c>
      <c r="DQ91" s="1883" t="str" cm="1">
        <f t="array" ca="1" aca="1" ref="DQ91">IFERROR(IF(BD91*fxVal_normal=_BS!BD91,"",IF(OR(BD91="",NOT(ISNUMBER(BD91)),ISERROR(BD91),$B91=""),"",IF($I91=1,IFBLANK(_xldudf_CX_PUSH(BD91*fxVal_normal,CX_ENTITY,$B91,BD$11,BD$14,BD$60,),""),IF($I91=2,IFBLANK(_xldudf_CX_PUSH(BD91,CX_ENTITY,$B91,BD$11,BD$14,BD$60,),""),IF($I91=3,"",IFBLANK(_xldudf_CX_PUSH(BD91,CX_ENTITY,$B91,BD$11,BD$14,BD$60,),"")))))),"")</f>
        <v/>
      </c>
      <c r="DR91" s="1883" t="str" cm="1">
        <f t="array" ca="1" aca="1" ref="DR91">IFERROR(IF(BE91*fxVal_normal=_BS!BE91,"",IF(OR(BE91="",NOT(ISNUMBER(BE91)),ISERROR(BE91),$B91=""),"",IF($I91=1,IFBLANK(_xldudf_CX_PUSH(BE91*fxVal_normal,CX_ENTITY,$B91,BE$11,BE$14,BE$60,),""),IF($I91=2,IFBLANK(_xldudf_CX_PUSH(BE91,CX_ENTITY,$B91,BE$11,BE$14,BE$60,),""),IF($I91=3,"",IFBLANK(_xldudf_CX_PUSH(BE91,CX_ENTITY,$B91,BE$11,BE$14,BE$60,),"")))))),"")</f>
        <v/>
      </c>
      <c r="DS91" s="1883" t="str" cm="1">
        <f t="array" ca="1" aca="1" ref="DS91">IFERROR(IF(BF91*fxVal_normal=_BS!BF91,"",IF(OR(BF91="",NOT(ISNUMBER(BF91)),ISERROR(BF91),$B91=""),"",IF($I91=1,IFBLANK(_xldudf_CX_PUSH(BF91*fxVal_normal,CX_ENTITY,$B91,BF$11,BF$14,BF$60,),""),IF($I91=2,IFBLANK(_xldudf_CX_PUSH(BF91,CX_ENTITY,$B91,BF$11,BF$14,BF$60,),""),IF($I91=3,"",IFBLANK(_xldudf_CX_PUSH(BF91,CX_ENTITY,$B91,BF$11,BF$14,BF$60,),"")))))),"")</f>
        <v/>
      </c>
      <c r="DT91" s="1883" t="str" cm="1">
        <f t="array" ca="1" aca="1" ref="DT91">IFERROR(IF(BG91*fxVal_normal=_BS!BG91,"",IF(OR(BG91="",NOT(ISNUMBER(BG91)),ISERROR(BG91),$B91=""),"",IF($I91=1,IFBLANK(_xldudf_CX_PUSH(BG91*fxVal_normal,CX_ENTITY,$B91,BG$11,BG$14,BG$60,),""),IF($I91=2,IFBLANK(_xldudf_CX_PUSH(BG91,CX_ENTITY,$B91,BG$11,BG$14,BG$60,),""),IF($I91=3,"",IFBLANK(_xldudf_CX_PUSH(BG91,CX_ENTITY,$B91,BG$11,BG$14,BG$60,),"")))))),"")</f>
        <v/>
      </c>
      <c r="DU91" s="1883" t="str" cm="1">
        <f t="array" ca="1" aca="1" ref="DU91">IFERROR(IF(BH91*fxVal_normal=_BS!BH91,"",IF(OR(BH91="",NOT(ISNUMBER(BH91)),ISERROR(BH91),$B91=""),"",IF($I91=1,IFBLANK(_xldudf_CX_PUSH(BH91*fxVal_normal,CX_ENTITY,$B91,BH$11,BH$14,BH$60,),""),IF($I91=2,IFBLANK(_xldudf_CX_PUSH(BH91,CX_ENTITY,$B91,BH$11,BH$14,BH$60,),""),IF($I91=3,"",IFBLANK(_xldudf_CX_PUSH(BH91,CX_ENTITY,$B91,BH$11,BH$14,BH$60,),"")))))),"")</f>
        <v/>
      </c>
      <c r="DV91" s="1883" t="str" cm="1">
        <f t="array" ca="1" aca="1" ref="DV91">IFERROR(IF(BI91*fxVal_normal=_BS!BI91,"",IF(OR(BI91="",NOT(ISNUMBER(BI91)),ISERROR(BI91),$B91=""),"",IF($I91=1,IFBLANK(_xldudf_CX_PUSH(BI91*fxVal_normal,CX_ENTITY,$B91,BI$11,BI$14,BI$60,),""),IF($I91=2,IFBLANK(_xldudf_CX_PUSH(BI91,CX_ENTITY,$B91,BI$11,BI$14,BI$60,),""),IF($I91=3,"",IFBLANK(_xldudf_CX_PUSH(BI91,CX_ENTITY,$B91,BI$11,BI$14,BI$60,),"")))))),"")</f>
        <v/>
      </c>
      <c r="DW91" s="1883" t="str" cm="1">
        <f t="array" ca="1" aca="1" ref="DW91">IFERROR(IF(BJ91*fxVal_normal=_BS!BJ91,"",IF(OR(BJ91="",NOT(ISNUMBER(BJ91)),ISERROR(BJ91),$B91=""),"",IF($I91=1,IFBLANK(_xldudf_CX_PUSH(BJ91*fxVal_normal,CX_ENTITY,$B91,BJ$11,BJ$14,BJ$60,),""),IF($I91=2,IFBLANK(_xldudf_CX_PUSH(BJ91,CX_ENTITY,$B91,BJ$11,BJ$14,BJ$60,),""),IF($I91=3,"",IFBLANK(_xldudf_CX_PUSH(BJ91,CX_ENTITY,$B91,BJ$11,BJ$14,BJ$60,),"")))))),"")</f>
        <v/>
      </c>
      <c r="DX91" s="1883" t="str" cm="1">
        <f t="array" ca="1" aca="1" ref="DX91">IFERROR(IF(BK91*fxVal_normal=_BS!BK91,"",IF(OR(BK91="",NOT(ISNUMBER(BK91)),ISERROR(BK91),$B91=""),"",IF($I91=1,IFBLANK(_xldudf_CX_PUSH(BK91*fxVal_normal,CX_ENTITY,$B91,BK$11,BK$14,BK$60,),""),IF($I91=2,IFBLANK(_xldudf_CX_PUSH(BK91,CX_ENTITY,$B91,BK$11,BK$14,BK$60,),""),IF($I91=3,"",IFBLANK(_xldudf_CX_PUSH(BK91,CX_ENTITY,$B91,BK$11,BK$14,BK$60,),"")))))),"")</f>
        <v/>
      </c>
      <c r="DY91" s="1883" t="str" cm="1">
        <f t="array" ca="1" aca="1" ref="DY91">IFERROR(IF(BL91*fxVal_normal=_BS!BL91,"",IF(OR(BL91="",NOT(ISNUMBER(BL91)),ISERROR(BL91),$B91=""),"",IF($I91=1,IFBLANK(_xldudf_CX_PUSH(BL91*fxVal_normal,CX_ENTITY,$B91,BL$11,BL$14,BL$60,),""),IF($I91=2,IFBLANK(_xldudf_CX_PUSH(BL91,CX_ENTITY,$B91,BL$11,BL$14,BL$60,),""),IF($I91=3,"",IFBLANK(_xldudf_CX_PUSH(BL91,CX_ENTITY,$B91,BL$11,BL$14,BL$60,),"")))))),"")</f>
        <v/>
      </c>
      <c r="DZ91" s="1883" t="str" cm="1">
        <f t="array" ca="1" aca="1" ref="DZ91">IFERROR(IF(BM91*fxVal_normal=_BS!BM91,"",IF(OR(BM91="",NOT(ISNUMBER(BM91)),ISERROR(BM91),$B91=""),"",IF($I91=1,IFBLANK(_xldudf_CX_PUSH(BM91*fxVal_normal,CX_ENTITY,$B91,BM$11,BM$14,BM$60,),""),IF($I91=2,IFBLANK(_xldudf_CX_PUSH(BM91,CX_ENTITY,$B91,BM$11,BM$14,BM$60,),""),IF($I91=3,"",IFBLANK(_xldudf_CX_PUSH(BM91,CX_ENTITY,$B91,BM$11,BM$14,BM$60,),"")))))),"")</f>
        <v/>
      </c>
      <c r="EA91" s="1883" t="str" cm="1">
        <f t="array" ca="1" aca="1" ref="EA91">IFERROR(IF(BN91*fxVal_normal=_BS!BN91,"",IF(OR(BN91="",NOT(ISNUMBER(BN91)),ISERROR(BN91),$B91=""),"",IF($I91=1,IFBLANK(_xldudf_CX_PUSH(BN91*fxVal_normal,CX_ENTITY,$B91,BN$11,BN$14,BN$60,),""),IF($I91=2,IFBLANK(_xldudf_CX_PUSH(BN91,CX_ENTITY,$B91,BN$11,BN$14,BN$60,),""),IF($I91=3,"",IFBLANK(_xldudf_CX_PUSH(BN91,CX_ENTITY,$B91,BN$11,BN$14,BN$60,),"")))))),"")</f>
        <v/>
      </c>
    </row>
    <row r="92" spans="1:87" ht="15.5">
      <c r="A92" s="1646"/>
      <c r="B92" s="811" t="str" cm="1">
        <f t="array" ref="B92">IFBLANK(_BS!F92,"")</f>
        <v/>
      </c>
      <c r="C92" s="811" t="str" cm="1">
        <f t="array" ref="C92">IFBLANK(_BS!C92,"")</f>
        <v/>
      </c>
      <c r="D92" s="1549"/>
      <c r="E92" s="1903"/>
      <c r="F92" s="401"/>
      <c r="G92" s="401"/>
      <c r="H92" s="401"/>
      <c r="I92" s="401"/>
      <c r="J92" s="401"/>
      <c r="N92" s="158"/>
      <c r="O92" s="101"/>
      <c r="P92" s="52"/>
      <c r="Q92" s="101"/>
      <c r="R92" s="101"/>
      <c r="S92" s="101"/>
      <c r="T92" s="101"/>
      <c r="U92" s="39"/>
      <c r="W92" s="127"/>
      <c r="X92" s="127"/>
      <c r="Y92" s="1807"/>
      <c r="Z92" s="1808"/>
      <c r="AA92" s="1807"/>
      <c r="AB92" s="88"/>
      <c r="AC92" s="12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34"/>
      <c r="CC92" s="40"/>
      <c r="CD92" s="13"/>
      <c r="CE92" s="13"/>
      <c r="CF92" s="13"/>
      <c r="CG92" s="13"/>
      <c r="CH92" s="1805"/>
      <c r="CI92" s="41"/>
    </row>
    <row r="95" spans="54:54" ht="15.5">
      <c r="BB95" s="2282"/>
    </row>
  </sheetData>
  <sheetProtection formatColumns="0" formatRows="0" autoFilter="0" pivotTables="0"/>
  <mergeCells count="13">
    <mergeCell ref="N3:N9"/>
    <mergeCell ref="O4:Q4"/>
    <mergeCell ref="CG10:CH10"/>
    <mergeCell ref="CG53:CH53"/>
    <mergeCell ref="CD53:CE53"/>
    <mergeCell ref="W58:W59"/>
    <mergeCell ref="Y58:Y59"/>
    <mergeCell ref="X58:X59"/>
    <mergeCell ref="S5:T6"/>
    <mergeCell ref="CD10:CE10"/>
    <mergeCell ref="W17:W18"/>
    <mergeCell ref="Y17:Y18"/>
    <mergeCell ref="S9:T10"/>
  </mergeCells>
  <conditionalFormatting sqref="A19:G19 J19 A20:J92">
    <cfRule type="expression" priority="108" dxfId="4217">
      <formula>$A19="F"</formula>
    </cfRule>
    <cfRule type="expression" priority="107" dxfId="4220">
      <formula>$A19="L"</formula>
    </cfRule>
  </conditionalFormatting>
  <conditionalFormatting sqref="D44">
    <cfRule type="expression" priority="109" dxfId="4199">
      <formula>fx_hasCX(D44)</formula>
    </cfRule>
  </conditionalFormatting>
  <conditionalFormatting sqref="G44:G51 E53:E58 G53:G58 D59:G63 E64:G91">
    <cfRule type="expression" priority="110" dxfId="4199">
      <formula>fx_hasCX(D44)</formula>
    </cfRule>
  </conditionalFormatting>
  <conditionalFormatting sqref="W17:CI95">
    <cfRule type="expression" priority="1" dxfId="4194">
      <formula>IF($A$14,IF(CELL("protect",W17)=0,TRUE,FALSE))</formula>
    </cfRule>
  </conditionalFormatting>
  <conditionalFormatting sqref="AC20:AC50">
    <cfRule type="expression" priority="4" dxfId="4191">
      <formula>INDEX($H$1:$H$300,ROW(AC20))=2</formula>
    </cfRule>
  </conditionalFormatting>
  <conditionalFormatting sqref="AC61:AC91">
    <cfRule type="expression" priority="2" dxfId="4191">
      <formula>INDEX($H$1:$H$300,ROW(AC61))=2</formula>
    </cfRule>
  </conditionalFormatting>
  <conditionalFormatting sqref="AD11:BZ11">
    <cfRule type="expression" priority="91" dxfId="4188">
      <formula>AD$15=2</formula>
    </cfRule>
    <cfRule type="expression" priority="92" dxfId="4189">
      <formula>AD$15=1</formula>
    </cfRule>
  </conditionalFormatting>
  <conditionalFormatting sqref="AD19:BZ91 CF19 CD20:CH52 CF53:CH56 CD57:CH59 CD60:CF60 CD61:CH91">
    <cfRule type="expression" priority="49" dxfId="4187">
      <formula>INDEX($I$1:$I$302,ROW(AD19))=1</formula>
    </cfRule>
  </conditionalFormatting>
  <conditionalFormatting sqref="AD19:BZ91 CD20:CH52 CF53:CH56">
    <cfRule type="expression" priority="47" dxfId="4186">
      <formula>INDEX($I$1:$I$302,ROW(AD19))=3</formula>
    </cfRule>
    <cfRule type="expression" priority="48" dxfId="4185">
      <formula>INDEX($I$1:$I$302,ROW(AD19))=2</formula>
    </cfRule>
  </conditionalFormatting>
  <conditionalFormatting sqref="X20:AB50 AD20:BZ50 CG20:CH50 X51:BZ53 X55:BZ56 X57:AC58 X59:BZ60 X61:AB91 AD61:BZ91">
    <cfRule type="expression" priority="102" dxfId="4191">
      <formula>INDEX($H$1:$H$302,ROW(X20))=2</formula>
    </cfRule>
  </conditionalFormatting>
  <conditionalFormatting sqref="AD54:BZ54">
    <cfRule type="expression" priority="89" dxfId="4188">
      <formula>AD$15=2</formula>
    </cfRule>
    <cfRule type="expression" priority="90" dxfId="4189">
      <formula>AD$15=1</formula>
    </cfRule>
  </conditionalFormatting>
  <conditionalFormatting sqref="CD10:CE11 CD53:CE54">
    <cfRule type="expression" priority="10372" dxfId="4186">
      <formula>INDEX($I$1:$I$302,ROW(CD10))=3</formula>
    </cfRule>
    <cfRule type="expression" priority="10373" dxfId="4166">
      <formula>INDEX($I$1:$I$302,ROW(CD10))=1</formula>
    </cfRule>
    <cfRule type="expression" priority="10374" dxfId="4185">
      <formula>INDEX($I$1:$I$302,ROW(CD10))=2</formula>
    </cfRule>
    <cfRule type="expression" priority="10376" dxfId="4191">
      <formula>INDEX($H$1:$H$302,ROW($X10))=2</formula>
    </cfRule>
  </conditionalFormatting>
  <conditionalFormatting sqref="CD20:CE52 CD57:CE91">
    <cfRule type="expression" priority="50" dxfId="4182">
      <formula>_xlfn.SWITCH(INDEX($X$1:$X$302,ROW(CD20)),-1,SIGN(CD20)&gt;0,1,SIGN(CD20)&lt;0)</formula>
    </cfRule>
    <cfRule type="expression" priority="51" dxfId="4191">
      <formula>INDEX($H$1:$H$302,ROW(CD20))=2</formula>
    </cfRule>
  </conditionalFormatting>
  <conditionalFormatting sqref="CD10:CE11 CD53:CE54">
    <cfRule type="expression" priority="10375" dxfId="4165">
      <formula>_xlfn.SWITCH(INDEX($X$1:$X$302,ROW(CD10)),-1,SIGN(CD10)&gt;0,1,SIGN(CD10)&lt;0)</formula>
    </cfRule>
  </conditionalFormatting>
  <conditionalFormatting sqref="CD57:CH91">
    <cfRule type="expression" priority="15" dxfId="4186">
      <formula>INDEX($I$1:$I$302,ROW(CD57))=3</formula>
    </cfRule>
    <cfRule type="expression" priority="17" dxfId="4185">
      <formula>INDEX($I$1:$I$302,ROW(CD57))=2</formula>
    </cfRule>
  </conditionalFormatting>
  <conditionalFormatting sqref="CF19:CH19">
    <cfRule type="expression" priority="11" dxfId="4185">
      <formula>INDEX($I$1:$I$302,ROW(CF19))=2</formula>
    </cfRule>
    <cfRule type="expression" priority="9" dxfId="4186">
      <formula>INDEX($I$1:$I$302,ROW(CF19))=3</formula>
    </cfRule>
  </conditionalFormatting>
  <conditionalFormatting sqref="AD19:BZ53 CF19 CF20:CH59 AD55:BZ91 CF60 CF61:CH91">
    <cfRule type="expression" priority="93" dxfId="4182">
      <formula>_xlfn.SWITCH(INDEX($X$1:$X$302,ROW(AD19)),-1,SIGN(AD19)&gt;0,1,SIGN(AD19)&lt;0)</formula>
    </cfRule>
  </conditionalFormatting>
  <conditionalFormatting sqref="CG10:CH10">
    <cfRule type="expression" priority="10392" dxfId="4167">
      <formula>INDEX($H$1:$H$302,ROW(#REF!))=2</formula>
    </cfRule>
  </conditionalFormatting>
  <conditionalFormatting sqref="CG10:CH11">
    <cfRule type="expression" priority="10369" dxfId="4165">
      <formula>_xlfn.SWITCH(INDEX($X$1:$X$302,ROW(CG10)),-1,SIGN(CG10)&gt;0,1,SIGN(CG10)&lt;0)</formula>
    </cfRule>
    <cfRule type="expression" priority="32" dxfId="4185">
      <formula>INDEX($I$1:$I$302,ROW(CG10))=2</formula>
    </cfRule>
    <cfRule type="expression" priority="31" dxfId="4166">
      <formula>INDEX($I$1:$I$302,ROW(CG10))=1</formula>
    </cfRule>
    <cfRule type="expression" priority="30" dxfId="4186">
      <formula>INDEX($I$1:$I$302,ROW(CG10))=3</formula>
    </cfRule>
  </conditionalFormatting>
  <conditionalFormatting sqref="CG11:CH11">
    <cfRule type="expression" priority="10368" dxfId="4167">
      <formula>fmt_shadeOn(CG11)</formula>
    </cfRule>
  </conditionalFormatting>
  <conditionalFormatting sqref="CG19:CH19 CG60:CH60">
    <cfRule type="expression" priority="26013" dxfId="4165">
      <formula>_xlfn.SWITCH(INDEX($X$1:$X$302,ROW(CG19)),-1,SIGN(CG19)&gt;0,1,SIGN(CG19)&lt;0)</formula>
    </cfRule>
    <cfRule type="expression" priority="26015" dxfId="4167">
      <formula>INDEX($H$1:$H$302,ROW(#REF!))=2</formula>
    </cfRule>
  </conditionalFormatting>
  <conditionalFormatting sqref="CG20:CH59 CG61:CH91">
    <cfRule type="expression" priority="84" dxfId="4167">
      <formula>INDEX($H$1:$H$302,ROW(CG20))=2</formula>
    </cfRule>
  </conditionalFormatting>
  <conditionalFormatting sqref="CG19:CH19 CG60:CH60">
    <cfRule type="expression" priority="26014" dxfId="4166">
      <formula>INDEX($I$1:$I$302,ROW(CG19))=1</formula>
    </cfRule>
  </conditionalFormatting>
  <dataValidations count="5">
    <dataValidation allowBlank="1" showInputMessage="1" sqref="AE4 AG4:BZ4 CG4:CH4 AK5:AK7 AL5 AM5:BZ7 CG5 AL7 AE8:AE10 AG8:BZ10 AF9:AF10 AD11:BZ15 CG11:CH19 CD12:CE19 AE16:BZ16 CF16 AD17:BZ19 CF20:CF52 AD23:BZ23 CD23:CE23 CG23:CH23 AD28:BZ28 CD28:CE28 CG28:CH28 AD30:BZ30 CD30:CE30 CG30:CH30 AD35:BZ35 CD35:CE35 CG35:CH35 AD38:BZ38 CD38:CE38 CG38:CH38 AD40:BZ40 CD40:CE40 CG40:CH40 CC43:CC50 AD45:BZ46 CD45:CE46 CG45:CH46 AD50:BZ59 CD50:CE52 CG50:CH52 CC52:CC57 CG54:CH91 CD55:CE59 CC60:CC64 CD61:CF91 AD64:BZ64 AD69:BZ69 AD71:BZ71 AD76:BZ76 AD79:BZ79 CC80:CC81 AD81:BZ81 CC83:CC88 AD86:BZ87 AD91:BZ91"/>
    <dataValidation type="whole" allowBlank="1" showInputMessage="1" promptTitle="Sign" prompt="1=Positive/Plus, -1 = Negatives/Minus; 0 =Equal_x000a_" sqref="X19:X50 X61:X91">
      <formula1>-1</formula1>
      <formula2>1</formula2>
    </dataValidation>
    <dataValidation allowBlank="1" showInputMessage="1" promptTitle="Company Reporting Currency" prompt="You are not supposed to change the currency display here. " sqref="AM6"/>
    <dataValidation allowBlank="1" showInputMessage="1" promptTitle="What is this for?" prompt="You can overwrite the system year end to test the model. Please remove them or switch it to the factual (provided below) to avoid confusion. " sqref="AK6"/>
    <dataValidation type="decimal" operator="notEqual" allowBlank="1" showInputMessage="1" sqref="AD20:BZ22 CD20:CE22 CG20:CH22 AD24:BZ27 CD24:CE27 CG24:CH27 AD29:BZ29 CD29:CE29 CG29:CH29 AD31:BZ34 CD31:CE34 CG31:CH34 AD36:BZ37 CD36:CE37 CG36:CH37 AD39:BZ39 CD39:CE39 CG39:CH39 AD41:BZ44 CD41:CE44 CG41:CH44 AD47:BZ49 CD47:CE49 CG47:CH49 AD61:BZ63 AD65:BZ68 AD70:BZ70 AD72:BZ75 AD77:BZ78 AD80:BZ80 AD82:BZ85 AD88:BZ90">
      <formula1>9.99999999999999E+23</formula1>
    </dataValidation>
  </dataValidations>
  <hyperlinks>
    <hyperlink ref="AL6" location="val_displayUnit" display="val_displayUnit"/>
    <hyperlink ref="AK6" location="val_asOfDate" display="val_asOfDate"/>
  </hyperlinks>
  <pageMargins left="0.25" right="0.25" top="0.75" bottom="0.75" header="0.3" footer="0.3"/>
  <pageSetup fitToHeight="0" orientation="landscape" paperSize="8" r:id="rId3"/>
  <drawing r:id="rId1"/>
  <picture r:id="rId2"/>
  <extLst>
    <ext xmlns:x14="http://schemas.microsoft.com/office/spreadsheetml/2009/9/main" uri="{78C0D931-6437-407d-A8EE-F0AAD7539E65}">
      <x14:conditionalFormattings>
        <x14:conditionalFormatting xmlns:xm="http://schemas.microsoft.com/office/excel/2006/main">
          <x14:cfRule type="iconSet" priority="101" id="{95C03E34-46A7-4D72-9041-EBD2C0BDBE91}">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Z12:Z14</xm:sqref>
        </x14:conditionalFormatting>
        <x14:conditionalFormatting xmlns:xm="http://schemas.microsoft.com/office/excel/2006/main">
          <x14:cfRule type="iconSet" priority="106" id="{0F83FE55-A2AD-4F7C-B490-EFA52C996C51}">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Z20:Z53 Z55:Z92</xm:sqref>
        </x14:conditionalFormatting>
        <x14:conditionalFormatting xmlns:xm="http://schemas.microsoft.com/office/excel/2006/main">
          <x14:cfRule type="iconSet" priority="98" id="{5338912E-AEC7-47A1-9E47-859D5B187E15}">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AD15:BZ15</xm:sqref>
        </x14:conditionalFormatting>
        <x14:conditionalFormatting xmlns:xm="http://schemas.microsoft.com/office/excel/2006/main">
          <x14:cfRule type="iconSet" priority="99" id="{38E0F745-0D0F-4FFF-8DBE-789B5B845ACE}">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AD17:BZ17</xm:sqref>
        </x14:conditionalFormatting>
        <x14:conditionalFormatting xmlns:xm="http://schemas.microsoft.com/office/excel/2006/main">
          <x14:cfRule type="iconSet" priority="97" id="{8A468F26-FECC-4427-9D07-D7014628D827}">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AD57:BZ57</xm:sqref>
        </x14:conditionalFormatting>
        <x14:conditionalFormatting xmlns:xm="http://schemas.microsoft.com/office/excel/2006/main">
          <x14:cfRule type="iconSet" priority="96" id="{447A338D-00CD-4E27-8A38-2EB9C7A0E4C9}">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AD58:BZ58</xm:sqref>
        </x14:conditionalFormatting>
        <x14:conditionalFormatting xmlns:xm="http://schemas.microsoft.com/office/excel/2006/main">
          <x14:cfRule type="iconSet" priority="41" id="{5237F8C9-2D75-4D98-A660-4AEC4A89F309}">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CG17:CH17</xm:sqref>
        </x14:conditionalFormatting>
        <x14:conditionalFormatting xmlns:xm="http://schemas.microsoft.com/office/excel/2006/main">
          <x14:cfRule type="iconSet" priority="95" id="{2711E52E-7598-4243-B096-3F2E9093E4F6}">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CG58:CH58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2C1217-7AEB-41E2-8E05-840E330857AE}">
  <sheetPr codeName="Sheet7">
    <tabColor rgb="FF92D050"/>
  </sheetPr>
  <dimension ref="A1:EG64"/>
  <sheetViews>
    <sheetView workbookViewId="0" topLeftCell="U34">
      <selection pane="topLeft" activeCell="AD57" sqref="AD57:BN60"/>
    </sheetView>
  </sheetViews>
  <sheetFormatPr defaultColWidth="8.84777777777778" defaultRowHeight="15.5" outlineLevelCol="1"/>
  <cols>
    <col min="1" max="1" width="12.2222222222222" style="108" customWidth="1" outlineLevel="1"/>
    <col min="2" max="2" width="36.7777777777778" style="108" customWidth="1" outlineLevel="1"/>
    <col min="3" max="3" width="51.4444444444444" style="108" customWidth="1" outlineLevel="1"/>
    <col min="4" max="4" width="39.6666666666667" style="108" customWidth="1" outlineLevel="1"/>
    <col min="5" max="7" width="9.55555555555556" style="108" customWidth="1" outlineLevel="1"/>
    <col min="8" max="8" width="9" style="108" customWidth="1" outlineLevel="1"/>
    <col min="9" max="9" width="9.22222222222222" style="108" customWidth="1" outlineLevel="1"/>
    <col min="10" max="10" width="10.1111111111111" style="108" customWidth="1" outlineLevel="1"/>
    <col min="11" max="11" width="11.7777777777778" style="108" customWidth="1" outlineLevel="1"/>
    <col min="12" max="12" width="7.88888888888889" customWidth="1" outlineLevel="1"/>
    <col min="13" max="13" width="4.11111111111111" customWidth="1" outlineLevel="1"/>
    <col min="14" max="14" width="6.55555555555556" customWidth="1"/>
    <col min="15" max="15" width="1.44444444444444" customWidth="1" outlineLevel="1"/>
    <col min="16" max="17" width="2.66666666666667" customWidth="1" outlineLevel="1"/>
    <col min="18" max="18" width="1.44444444444444" customWidth="1" outlineLevel="1"/>
    <col min="19" max="19" width="40.4444444444444" customWidth="1" outlineLevel="1"/>
    <col min="20" max="20" width="66" customWidth="1" outlineLevel="1"/>
    <col min="21" max="21" width="1.44444444444444" customWidth="1"/>
    <col min="22" max="22" width="1.44444444444444" customWidth="1" collapsed="1"/>
    <col min="23" max="23" width="11.3333333333333" customWidth="1"/>
    <col min="24" max="24" width="4.22222222222222" customWidth="1"/>
    <col min="25" max="25" width="47.6666666666667" customWidth="1"/>
    <col min="26" max="26" width="4.22222222222222" style="1006" customWidth="1"/>
    <col min="27" max="27" width="4.55555555555556" customWidth="1"/>
    <col min="28" max="28" width="44.6666666666667" customWidth="1"/>
    <col min="29" max="29" width="4.55555555555556" customWidth="1"/>
    <col min="30" max="66" width="17.8888888888889" customWidth="1"/>
    <col min="67" max="67" width="0.222222222222222" customWidth="1" outlineLevel="1"/>
    <col min="68" max="77" width="1.77777777777778" customWidth="1" outlineLevel="1"/>
    <col min="78" max="78" width="0.222222222222222" customWidth="1" outlineLevel="1"/>
    <col min="79" max="81" width="1.44444444444444" customWidth="1"/>
    <col min="82" max="83" width="17.8888888888889" customWidth="1"/>
    <col min="84" max="84" width="1.44444444444444" customWidth="1"/>
    <col min="85" max="86" width="17.8888888888889" customWidth="1"/>
    <col min="87" max="87" width="1.44444444444444" customWidth="1"/>
    <col min="88" max="89" width="17.8888888888889" customWidth="1"/>
    <col min="90" max="90" width="1.44444444444444" customWidth="1"/>
    <col min="91" max="92" width="17.8888888888889" customWidth="1"/>
    <col min="93" max="93" width="1.44444444444444" customWidth="1"/>
    <col min="94" max="94" width="17.8888888888889" customWidth="1"/>
    <col min="95" max="97" width="18.1111111111111" customWidth="1"/>
    <col min="98" max="98" width="18.1111111111111" customWidth="1" outlineLevel="1"/>
    <col min="99" max="137" width="13.7777777777778" customWidth="1" outlineLevel="1"/>
    <col min="138" max="146" width="11.1111111111111" customWidth="1" outlineLevel="1"/>
    <col min="16384" max="16384" width="4.88888888888889" customWidth="1"/>
  </cols>
  <sheetData>
    <row r="1" spans="1:29 87:87" ht="5.5" customHeight="1">
      <c r="A1" s="2050" t="s">
        <v>1857</v>
      </c>
      <c r="B1" s="2046" t="s">
        <v>1856</v>
      </c>
      <c r="C1" s="2046"/>
      <c r="D1"/>
      <c r="E1"/>
      <c r="F1"/>
      <c r="G1" s="37"/>
      <c r="H1" s="37"/>
      <c r="I1" s="587"/>
      <c r="J1" s="37"/>
      <c r="K1" s="822"/>
      <c r="N1" s="115"/>
      <c r="W1" s="37"/>
      <c r="X1" s="37"/>
      <c r="AC1" s="37"/>
      <c r="CI1" s="108"/>
    </row>
    <row r="2" spans="1:29 87:87" ht="9" customHeight="1" hidden="1">
      <c r="A2" s="2050" t="s">
        <v>22</v>
      </c>
      <c r="B2" s="2046"/>
      <c r="C2" s="2046"/>
      <c r="D2"/>
      <c r="E2"/>
      <c r="F2"/>
      <c r="G2" s="37"/>
      <c r="H2" s="37"/>
      <c r="I2" s="587"/>
      <c r="J2" s="37"/>
      <c r="K2" s="822"/>
      <c r="N2" s="115"/>
      <c r="W2" s="37"/>
      <c r="X2" s="37"/>
      <c r="AC2" s="37"/>
      <c r="CI2" s="108"/>
    </row>
    <row r="3" spans="1:93" ht="4.15" customHeight="1" collapsed="1">
      <c r="A3" s="2050" t="s">
        <v>232</v>
      </c>
      <c r="B3" s="2046"/>
      <c r="C3" s="2046"/>
      <c r="D3"/>
      <c r="E3"/>
      <c r="F3"/>
      <c r="G3" s="37"/>
      <c r="H3" s="37"/>
      <c r="I3" s="587"/>
      <c r="J3" s="37"/>
      <c r="K3" s="822"/>
      <c r="N3" s="3003" t="s">
        <v>23</v>
      </c>
      <c r="O3" s="101"/>
      <c r="P3" s="15"/>
      <c r="Q3" s="15"/>
      <c r="R3" s="15"/>
      <c r="S3" s="15"/>
      <c r="T3" s="152"/>
      <c r="U3" s="38"/>
      <c r="W3" s="142"/>
      <c r="X3" s="144"/>
      <c r="Y3" s="143"/>
      <c r="Z3" s="1504"/>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38"/>
    </row>
    <row r="4" spans="1:93" ht="72.65" customHeight="1">
      <c r="A4" s="2050"/>
      <c r="B4" s="2046"/>
      <c r="C4" s="2046"/>
      <c r="D4"/>
      <c r="E4" s="147"/>
      <c r="F4" s="147"/>
      <c r="G4" s="147"/>
      <c r="H4" s="147"/>
      <c r="I4" s="147"/>
      <c r="J4" s="147"/>
      <c r="K4" s="147"/>
      <c r="N4" s="3004"/>
      <c r="O4" s="3008" t="e" vm="2" cm="1">
        <f t="array" ref="O4">IF(LEFT($A$1,3)="unp",icon_unlock,icon_lock)</f>
        <v>#VALUE!</v>
      </c>
      <c r="P4" s="3008"/>
      <c r="Q4" s="3008"/>
      <c r="R4" s="153"/>
      <c r="S4" s="153" t="e" vm="3">
        <v>#VALUE!</v>
      </c>
      <c r="T4" s="153"/>
      <c r="U4" s="39"/>
      <c r="W4" s="767"/>
      <c r="X4" s="126"/>
      <c r="Y4" s="1358" t="e" vm="1">
        <f ca="1">_xlfn.IMAGE(INDEX(PM_Support[COMPANY_LOGO_URL],MATCH(val_company,PM_Support[COMPANY_NAME],0)))</f>
        <v>#VALUE!</v>
      </c>
      <c r="Z4" s="1505"/>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39"/>
    </row>
    <row r="5" spans="1:93" ht="44.5">
      <c r="A5" s="2050"/>
      <c r="B5" s="2046"/>
      <c r="C5" s="2046"/>
      <c r="D5"/>
      <c r="E5"/>
      <c r="F5"/>
      <c r="G5" s="37"/>
      <c r="H5" s="37"/>
      <c r="I5" s="587"/>
      <c r="J5" s="37"/>
      <c r="K5" s="822"/>
      <c r="N5" s="3004"/>
      <c r="O5" s="101"/>
      <c r="P5" s="153"/>
      <c r="Q5" s="101"/>
      <c r="R5" s="153"/>
      <c r="S5" s="3005" t="s">
        <v>25</v>
      </c>
      <c r="T5" s="3005"/>
      <c r="U5" s="39"/>
      <c r="W5" s="1839"/>
      <c r="X5" s="941"/>
      <c r="Y5" s="3073" t="s">
        <v>233</v>
      </c>
      <c r="Z5" s="1506"/>
      <c r="AA5" s="551"/>
      <c r="AB5" s="560"/>
      <c r="AC5" s="126"/>
      <c r="AD5" s="126"/>
      <c r="AE5" s="42" t="s">
        <v>234</v>
      </c>
      <c r="AF5" s="101"/>
      <c r="AG5" s="145"/>
      <c r="AH5" s="101"/>
      <c r="AI5" s="101"/>
      <c r="AJ5" s="101"/>
      <c r="AK5" s="35" t="s">
        <v>29</v>
      </c>
      <c r="AL5" s="42" t="s">
        <v>235</v>
      </c>
      <c r="AM5" s="35" t="s">
        <v>31</v>
      </c>
      <c r="AN5" s="101"/>
      <c r="AO5" s="770"/>
      <c r="AP5" s="770"/>
      <c r="AQ5" s="770"/>
      <c r="AR5" s="770"/>
      <c r="AS5" s="770"/>
      <c r="AT5" s="770"/>
      <c r="AU5" s="770"/>
      <c r="AV5" s="770"/>
      <c r="AW5" s="770"/>
      <c r="AX5" s="770"/>
      <c r="AY5" s="770"/>
      <c r="AZ5" s="770"/>
      <c r="BA5" s="770"/>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1859"/>
      <c r="CE5" s="986"/>
      <c r="CF5" s="169"/>
      <c r="CG5" s="101"/>
      <c r="CH5" s="101"/>
      <c r="CI5" s="101"/>
      <c r="CJ5" s="210"/>
      <c r="CK5" s="210"/>
      <c r="CL5" s="101"/>
      <c r="CM5" s="210"/>
      <c r="CN5" s="210"/>
      <c r="CO5" s="39"/>
    </row>
    <row r="6" spans="1:93" ht="32.5">
      <c r="A6" s="691"/>
      <c r="B6" s="117"/>
      <c r="C6" s="117"/>
      <c r="D6" s="117"/>
      <c r="E6" s="117"/>
      <c r="F6" s="117"/>
      <c r="G6" s="30"/>
      <c r="H6" s="510"/>
      <c r="I6" s="510"/>
      <c r="J6" s="30"/>
      <c r="K6" s="30"/>
      <c r="N6" s="3004"/>
      <c r="O6" s="101"/>
      <c r="P6" s="153"/>
      <c r="Q6" s="153"/>
      <c r="R6" s="153"/>
      <c r="S6" s="3005"/>
      <c r="T6" s="3005"/>
      <c r="U6" s="39"/>
      <c r="W6" s="1839"/>
      <c r="X6" s="941"/>
      <c r="Y6" s="3073"/>
      <c r="Z6" s="1506"/>
      <c r="AA6" s="551"/>
      <c r="AB6" s="560"/>
      <c r="AC6" s="126"/>
      <c r="AD6" s="126"/>
      <c r="AE6" s="733" t="str">
        <f>val_company</f>
        <v>Therme Horizon</v>
      </c>
      <c r="AF6" s="101"/>
      <c r="AG6" s="145"/>
      <c r="AH6" s="101"/>
      <c r="AI6" s="101"/>
      <c r="AJ6" s="101"/>
      <c r="AK6" s="3349" t="e" cm="1">
        <f t="array" ca="1" aca="1" ref="AK6">val_currentFYE</f>
        <v>#NAME?</v>
      </c>
      <c r="AL6" s="3350" t="str">
        <f>val_displayUnit</f>
        <v>Millions</v>
      </c>
      <c r="AM6" s="1810" t="e">
        <f ca="1">val_reportingCurrency</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39"/>
    </row>
    <row r="7" spans="1:93" ht="32.25" customHeight="1">
      <c r="A7" s="510"/>
      <c r="B7" s="510"/>
      <c r="C7" s="510"/>
      <c r="D7" s="585"/>
      <c r="E7" s="585"/>
      <c r="F7" s="731"/>
      <c r="G7" s="731"/>
      <c r="H7" s="1360"/>
      <c r="I7" s="823"/>
      <c r="J7" s="731"/>
      <c r="K7" s="731"/>
      <c r="N7" s="3004"/>
      <c r="O7" s="101"/>
      <c r="P7" s="126"/>
      <c r="Q7" s="126"/>
      <c r="R7" s="126"/>
      <c r="S7" s="2283" t="s">
        <v>32</v>
      </c>
      <c r="T7" s="154"/>
      <c r="U7" s="39"/>
      <c r="W7" s="94"/>
      <c r="X7" s="123"/>
      <c r="Y7" s="264"/>
      <c r="Z7" s="1506"/>
      <c r="AA7" s="264"/>
      <c r="AB7" s="264"/>
      <c r="AC7" s="123"/>
      <c r="AD7" s="264"/>
      <c r="AE7" s="264"/>
      <c r="AF7" s="101"/>
      <c r="AG7" s="101"/>
      <c r="AH7" s="101"/>
      <c r="AI7" s="101"/>
      <c r="AJ7" s="148"/>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771" t="s">
        <v>34</v>
      </c>
      <c r="CE7" s="772"/>
      <c r="CF7" s="773"/>
      <c r="CG7" s="774"/>
      <c r="CH7" s="774"/>
      <c r="CI7" s="774"/>
      <c r="CJ7" s="775"/>
      <c r="CK7" s="776"/>
      <c r="CL7" s="101"/>
      <c r="CM7" s="1206" t="s">
        <v>35</v>
      </c>
      <c r="CN7" s="1208"/>
      <c r="CO7" s="39"/>
    </row>
    <row r="8" spans="1:93" ht="18">
      <c r="A8" s="1076"/>
      <c r="B8" s="1543"/>
      <c r="C8" s="1543"/>
      <c r="D8" s="1072"/>
      <c r="E8" s="849"/>
      <c r="F8" s="1072"/>
      <c r="G8" s="1072"/>
      <c r="H8" s="1551" t="s">
        <v>37</v>
      </c>
      <c r="I8" s="1551" t="s">
        <v>38</v>
      </c>
      <c r="J8" s="1551" t="s">
        <v>39</v>
      </c>
      <c r="K8" s="697"/>
      <c r="N8" s="3004"/>
      <c r="O8" s="101"/>
      <c r="P8" s="18"/>
      <c r="Q8" s="18"/>
      <c r="R8" s="101"/>
      <c r="S8" s="101"/>
      <c r="T8" s="101"/>
      <c r="U8" s="39"/>
      <c r="W8" s="149"/>
      <c r="X8" s="150"/>
      <c r="Y8" s="18"/>
      <c r="Z8" s="1505"/>
      <c r="AA8" s="18"/>
      <c r="AB8" s="18"/>
      <c r="AC8" s="150"/>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18"/>
      <c r="CJ8" s="18"/>
      <c r="CK8" s="18"/>
      <c r="CL8" s="18"/>
      <c r="CM8" s="18"/>
      <c r="CN8" s="18"/>
      <c r="CO8" s="36"/>
    </row>
    <row r="9" spans="1:93" ht="21" customHeight="1">
      <c r="A9" s="810"/>
      <c r="B9" s="1544"/>
      <c r="C9" s="1544"/>
      <c r="D9" s="1073"/>
      <c r="E9" s="846"/>
      <c r="F9" s="850"/>
      <c r="G9" s="850"/>
      <c r="H9" s="849"/>
      <c r="I9" s="849"/>
      <c r="J9" s="1072"/>
      <c r="K9" s="731"/>
      <c r="N9" s="3004"/>
      <c r="O9" s="101"/>
      <c r="P9" s="373"/>
      <c r="Q9" s="373"/>
      <c r="R9" s="101"/>
      <c r="S9" s="801"/>
      <c r="T9" s="802"/>
      <c r="U9" s="39"/>
      <c r="W9" s="376"/>
      <c r="X9" s="378"/>
      <c r="Y9" s="377"/>
      <c r="Z9" s="1507"/>
      <c r="AA9" s="281"/>
      <c r="AB9" s="281"/>
      <c r="AC9" s="378"/>
      <c r="AD9" s="379"/>
      <c r="AE9" s="379"/>
      <c r="AF9" s="379"/>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3"/>
      <c r="BP9" s="383"/>
      <c r="BQ9" s="383"/>
      <c r="BR9" s="383"/>
      <c r="BS9" s="383"/>
      <c r="BT9" s="383"/>
      <c r="BU9" s="383"/>
      <c r="BV9" s="383"/>
      <c r="BW9" s="383"/>
      <c r="BX9" s="383"/>
      <c r="BY9" s="383"/>
      <c r="BZ9" s="383"/>
      <c r="CA9" s="384"/>
      <c r="CC9" s="301"/>
      <c r="CD9" s="19"/>
      <c r="CE9" s="19"/>
      <c r="CF9" s="19"/>
      <c r="CG9" s="19"/>
      <c r="CH9" s="19"/>
      <c r="CI9" s="19"/>
      <c r="CJ9" s="19"/>
      <c r="CK9" s="19"/>
      <c r="CL9" s="19"/>
      <c r="CM9" s="19"/>
      <c r="CN9" s="19"/>
      <c r="CO9" s="227"/>
    </row>
    <row r="10" spans="1:93" ht="32.5">
      <c r="A10" s="810"/>
      <c r="B10" s="1673" t="s">
        <v>36</v>
      </c>
      <c r="C10" s="1543"/>
      <c r="D10" s="1072"/>
      <c r="E10" s="846"/>
      <c r="F10" s="850"/>
      <c r="G10" s="850"/>
      <c r="H10" s="849"/>
      <c r="I10" s="849"/>
      <c r="J10" s="1072"/>
      <c r="K10" s="1308"/>
      <c r="N10" s="158"/>
      <c r="O10" s="101"/>
      <c r="P10" s="373"/>
      <c r="Q10" s="373"/>
      <c r="R10" s="101"/>
      <c r="S10" s="802"/>
      <c r="T10" s="802"/>
      <c r="U10" s="39"/>
      <c r="W10" s="808"/>
      <c r="X10" s="382"/>
      <c r="Y10" s="382"/>
      <c r="Z10" s="1508"/>
      <c r="AA10" s="95"/>
      <c r="AB10" s="95"/>
      <c r="AC10" s="382"/>
      <c r="AD10" s="97"/>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8" t="s">
        <v>41</v>
      </c>
      <c r="CE10" s="3029"/>
      <c r="CF10" s="1468"/>
      <c r="CG10" s="3030" t="s">
        <v>42</v>
      </c>
      <c r="CH10" s="3031"/>
      <c r="CI10" s="1325"/>
      <c r="CJ10" s="3032" t="s">
        <v>43</v>
      </c>
      <c r="CK10" s="3033"/>
      <c r="CL10" s="1469"/>
      <c r="CM10" s="3015" t="s">
        <v>44</v>
      </c>
      <c r="CN10" s="3016"/>
      <c r="CO10" s="34"/>
    </row>
    <row r="11" spans="1:93" ht="27.75" customHeight="1">
      <c r="A11" s="810"/>
      <c r="B11" s="1543"/>
      <c r="C11" s="1543"/>
      <c r="D11" s="1072"/>
      <c r="E11" s="846"/>
      <c r="F11" s="850"/>
      <c r="G11" s="850"/>
      <c r="H11" s="846" t="s">
        <v>56</v>
      </c>
      <c r="I11" s="846" t="s">
        <v>57</v>
      </c>
      <c r="J11" s="1072"/>
      <c r="K11" s="1311"/>
      <c r="N11" s="158"/>
      <c r="O11" s="101"/>
      <c r="P11" s="126"/>
      <c r="Q11" s="126"/>
      <c r="R11" s="126"/>
      <c r="S11" s="2"/>
      <c r="T11" s="2"/>
      <c r="U11" s="197"/>
      <c r="W11" s="972"/>
      <c r="X11" s="973" t="s">
        <v>223</v>
      </c>
      <c r="Y11" s="974"/>
      <c r="Z11" s="973" t="s">
        <v>224</v>
      </c>
      <c r="AA11" s="974"/>
      <c r="AB11" s="975" t="s">
        <v>107</v>
      </c>
      <c r="AC11" s="976"/>
      <c r="AD11" s="977" cm="1">
        <f t="array" ref="AD11:BN11">array_timeline</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1722" t="e" cm="1">
        <f t="array" ca="1" aca="1" ref="CD11">EOMONTH(val_currentFYE,-24)</f>
        <v>#NAME?</v>
      </c>
      <c r="CE11" s="1723" t="e" cm="1">
        <f t="array" ca="1" aca="1" ref="CE11">EOMONTH(val_currentFYE,-12)</f>
        <v>#NAME?</v>
      </c>
      <c r="CF11" s="277"/>
      <c r="CG11" s="1732">
        <f>EOMONTH(val_asOfDate,-1)</f>
        <v>45991</v>
      </c>
      <c r="CH11" s="1733">
        <f>EOMONTH(val_asOfDate,0)</f>
        <v>46022</v>
      </c>
      <c r="CI11" s="276"/>
      <c r="CJ11" s="1730">
        <f>EOMONTH(val_asOfDate,-1)</f>
        <v>45991</v>
      </c>
      <c r="CK11" s="1731">
        <f>EOMONTH(val_asOfDate,0)</f>
        <v>46022</v>
      </c>
      <c r="CL11" s="88"/>
      <c r="CM11" s="1728" t="e" cm="1">
        <f t="array" ca="1" aca="1" ref="CM11">val_currentFYE</f>
        <v>#NAME?</v>
      </c>
      <c r="CN11" s="1729" t="e" cm="1">
        <f t="array" ca="1" aca="1" ref="CN11">val_currentFYE</f>
        <v>#NAME?</v>
      </c>
      <c r="CO11" s="34"/>
    </row>
    <row r="12" spans="1:93" ht="20.25" customHeight="1">
      <c r="A12" s="810"/>
      <c r="B12" s="1545"/>
      <c r="C12" s="1545"/>
      <c r="D12" s="1024"/>
      <c r="E12" s="846"/>
      <c r="F12" s="850"/>
      <c r="G12" s="850"/>
      <c r="H12" s="846"/>
      <c r="I12" s="846" t="s">
        <v>68</v>
      </c>
      <c r="J12" s="1072"/>
      <c r="K12" s="1311"/>
      <c r="N12" s="158"/>
      <c r="O12" s="101"/>
      <c r="P12" s="52"/>
      <c r="Q12" s="101"/>
      <c r="R12" s="126"/>
      <c r="S12" s="818" t="s">
        <v>49</v>
      </c>
      <c r="T12" s="818" t="s">
        <v>50</v>
      </c>
      <c r="U12" s="39"/>
      <c r="W12" s="1195" t="s">
        <v>51</v>
      </c>
      <c r="X12" s="2079" t="e" vm="4" cm="1">
        <f t="array" ref="X12">fx_getIcon("select")</f>
        <v>#VALUE!</v>
      </c>
      <c r="Y12" s="860" t="s">
        <v>52</v>
      </c>
      <c r="Z12" s="3301" cm="1">
        <f t="array" ref="Z12">_xlfn.SWITCH(TRUE,_BS!$L31=TRUE,1,_BS!$L31=FALSE,-1,_BS!$L31=-1,0,"n/a")</f>
        <v>1</v>
      </c>
      <c r="AA12" s="95"/>
      <c r="AB12" s="97" t="s">
        <v>53</v>
      </c>
      <c r="AC12" s="95"/>
      <c r="AD12" s="2072" t="e" cm="1">
        <f t="array" ca="1" aca="1" ref="AD12">EOMONTH(AD11,12-MONTH(val_currentFYE))</f>
        <v>#NAME?</v>
      </c>
      <c r="AE12" s="2072" t="e" cm="1">
        <f t="array" ca="1" aca="1" ref="AE12">EOMONTH(AE11,12-MONTH(val_currentFYE))</f>
        <v>#NAME?</v>
      </c>
      <c r="AF12" s="2072" t="e" cm="1">
        <f t="array" ca="1" aca="1" ref="AF12">EOMONTH(AF11,12-MONTH(val_currentFYE))</f>
        <v>#NAME?</v>
      </c>
      <c r="AG12" s="2072" t="e" cm="1">
        <f t="array" ca="1" aca="1" ref="AG12">EOMONTH(AG11,12-MONTH(val_currentFYE))</f>
        <v>#NAME?</v>
      </c>
      <c r="AH12" s="2072" t="e" cm="1">
        <f t="array" ca="1" aca="1" ref="AH12">EOMONTH(AH11,12-MONTH(val_currentFYE))</f>
        <v>#NAME?</v>
      </c>
      <c r="AI12" s="2072" t="e" cm="1">
        <f t="array" ca="1" aca="1" ref="AI12">EOMONTH(AI11,12-MONTH(val_currentFYE))</f>
        <v>#NAME?</v>
      </c>
      <c r="AJ12" s="2072" t="e" cm="1">
        <f t="array" ca="1" aca="1" ref="AJ12">EOMONTH(AJ11,12-MONTH(val_currentFYE))</f>
        <v>#NAME?</v>
      </c>
      <c r="AK12" s="2072" t="e" cm="1">
        <f t="array" ca="1" aca="1" ref="AK12">EOMONTH(AK11,12-MONTH(val_currentFYE))</f>
        <v>#NAME?</v>
      </c>
      <c r="AL12" s="2072" t="e" cm="1">
        <f t="array" ca="1" aca="1" ref="AL12">EOMONTH(AL11,12-MONTH(val_currentFYE))</f>
        <v>#NAME?</v>
      </c>
      <c r="AM12" s="2072" t="e" cm="1">
        <f t="array" ca="1" aca="1" ref="AM12">EOMONTH(AM11,12-MONTH(val_currentFYE))</f>
        <v>#NAME?</v>
      </c>
      <c r="AN12" s="2072" t="e" cm="1">
        <f t="array" ca="1" aca="1" ref="AN12">EOMONTH(AN11,12-MONTH(val_currentFYE))</f>
        <v>#NAME?</v>
      </c>
      <c r="AO12" s="2072" t="e" cm="1">
        <f t="array" ca="1" aca="1" ref="AO12">EOMONTH(AO11,12-MONTH(val_currentFYE))</f>
        <v>#NAME?</v>
      </c>
      <c r="AP12" s="2072" t="e" cm="1">
        <f t="array" ca="1" aca="1" ref="AP12">EOMONTH(AP11,12-MONTH(val_currentFYE))</f>
        <v>#NAME?</v>
      </c>
      <c r="AQ12" s="2072" t="e" cm="1">
        <f t="array" ca="1" aca="1" ref="AQ12">EOMONTH(AQ11,12-MONTH(val_currentFYE))</f>
        <v>#NAME?</v>
      </c>
      <c r="AR12" s="2072" t="e" cm="1">
        <f t="array" ca="1" aca="1" ref="AR12">EOMONTH(AR11,12-MONTH(val_currentFYE))</f>
        <v>#NAME?</v>
      </c>
      <c r="AS12" s="2072" t="e" cm="1">
        <f t="array" ca="1" aca="1" ref="AS12">EOMONTH(AS11,12-MONTH(val_currentFYE))</f>
        <v>#NAME?</v>
      </c>
      <c r="AT12" s="2072" t="e" cm="1">
        <f t="array" ca="1" aca="1" ref="AT12">EOMONTH(AT11,12-MONTH(val_currentFYE))</f>
        <v>#NAME?</v>
      </c>
      <c r="AU12" s="2072" t="e" cm="1">
        <f t="array" ca="1" aca="1" ref="AU12">EOMONTH(AU11,12-MONTH(val_currentFYE))</f>
        <v>#NAME?</v>
      </c>
      <c r="AV12" s="2072" t="e" cm="1">
        <f t="array" ca="1" aca="1" ref="AV12">EOMONTH(AV11,12-MONTH(val_currentFYE))</f>
        <v>#NAME?</v>
      </c>
      <c r="AW12" s="2072" t="e" cm="1">
        <f t="array" ca="1" aca="1" ref="AW12">EOMONTH(AW11,12-MONTH(val_currentFYE))</f>
        <v>#NAME?</v>
      </c>
      <c r="AX12" s="2072" t="e" cm="1">
        <f t="array" ca="1" aca="1" ref="AX12">EOMONTH(AX11,12-MONTH(val_currentFYE))</f>
        <v>#NAME?</v>
      </c>
      <c r="AY12" s="2072" t="e" cm="1">
        <f t="array" ca="1" aca="1" ref="AY12">EOMONTH(AY11,12-MONTH(val_currentFYE))</f>
        <v>#NAME?</v>
      </c>
      <c r="AZ12" s="2072" t="e" cm="1">
        <f t="array" ca="1" aca="1" ref="AZ12">EOMONTH(AZ11,12-MONTH(val_currentFYE))</f>
        <v>#NAME?</v>
      </c>
      <c r="BA12" s="2072" t="e" cm="1">
        <f t="array" ca="1" aca="1" ref="BA12">EOMONTH(BA11,12-MONTH(val_currentFYE))</f>
        <v>#NAME?</v>
      </c>
      <c r="BB12" s="2072" t="e" cm="1">
        <f t="array" ca="1" aca="1" ref="BB12">EOMONTH(BB11,12-MONTH(val_currentFYE))</f>
        <v>#NAME?</v>
      </c>
      <c r="BC12" s="2072" t="e" cm="1">
        <f t="array" ca="1" aca="1" ref="BC12">EOMONTH(BC11,12-MONTH(val_currentFYE))</f>
        <v>#NAME?</v>
      </c>
      <c r="BD12" s="2072" t="e" cm="1">
        <f t="array" ca="1" aca="1" ref="BD12">EOMONTH(BD11,12-MONTH(val_currentFYE))</f>
        <v>#NAME?</v>
      </c>
      <c r="BE12" s="2072" t="e" cm="1">
        <f t="array" ca="1" aca="1" ref="BE12">EOMONTH(BE11,12-MONTH(val_currentFYE))</f>
        <v>#NAME?</v>
      </c>
      <c r="BF12" s="2072" t="e" cm="1">
        <f t="array" ca="1" aca="1" ref="BF12">EOMONTH(BF11,12-MONTH(val_currentFYE))</f>
        <v>#NAME?</v>
      </c>
      <c r="BG12" s="2072" t="e" cm="1">
        <f t="array" ca="1" aca="1" ref="BG12">EOMONTH(BG11,12-MONTH(val_currentFYE))</f>
        <v>#NAME?</v>
      </c>
      <c r="BH12" s="2072" t="e" cm="1">
        <f t="array" ca="1" aca="1" ref="BH12">EOMONTH(BH11,12-MONTH(val_currentFYE))</f>
        <v>#NAME?</v>
      </c>
      <c r="BI12" s="2072" t="e" cm="1">
        <f t="array" ca="1" aca="1" ref="BI12">EOMONTH(BI11,12-MONTH(val_currentFYE))</f>
        <v>#NAME?</v>
      </c>
      <c r="BJ12" s="2072" t="e" cm="1">
        <f t="array" ca="1" aca="1" ref="BJ12">EOMONTH(BJ11,12-MONTH(val_currentFYE))</f>
        <v>#NAME?</v>
      </c>
      <c r="BK12" s="2072" t="e" cm="1">
        <f t="array" ca="1" aca="1" ref="BK12">EOMONTH(BK11,12-MONTH(val_currentFYE))</f>
        <v>#NAME?</v>
      </c>
      <c r="BL12" s="2072" t="e" cm="1">
        <f t="array" ca="1" aca="1" ref="BL12">EOMONTH(BL11,12-MONTH(val_currentFYE))</f>
        <v>#NAME?</v>
      </c>
      <c r="BM12" s="2072" t="e" cm="1">
        <f t="array" ca="1" aca="1" ref="BM12">EOMONTH(BM11,12-MONTH(val_currentFYE))</f>
        <v>#NAME?</v>
      </c>
      <c r="BN12" s="2073" t="e" cm="1">
        <f t="array" ca="1" aca="1" ref="BN12">EOMONTH(BN11,12-MONTH(val_currentFYE))</f>
        <v>#NAME?</v>
      </c>
      <c r="BO12" s="2073"/>
      <c r="BP12" s="2073"/>
      <c r="BQ12" s="2073"/>
      <c r="BR12" s="2073"/>
      <c r="BS12" s="2073"/>
      <c r="BT12" s="2073"/>
      <c r="BU12" s="2073"/>
      <c r="BV12" s="2073"/>
      <c r="BW12" s="2073"/>
      <c r="BX12" s="2073"/>
      <c r="BY12" s="2073"/>
      <c r="BZ12" s="2073"/>
      <c r="CA12" s="384"/>
      <c r="CC12" s="33"/>
      <c r="CD12" s="1753" t="e" cm="1">
        <f t="array" ca="1" aca="1" ref="CD12">YEAR(val_currentFYE)-2</f>
        <v>#NAME?</v>
      </c>
      <c r="CE12" s="1754" t="e" cm="1">
        <f t="array" ca="1" aca="1" ref="CE12">YEAR(val_currentFYE)-1</f>
        <v>#NAME?</v>
      </c>
      <c r="CF12" s="128"/>
      <c r="CG12" s="205" t="e" cm="1">
        <f t="array" ca="1" aca="1" ref="CG12">YEAR(val_currentFYE)</f>
        <v>#NAME?</v>
      </c>
      <c r="CH12" s="206" t="e" cm="1">
        <f t="array" ca="1" aca="1" ref="CH12">YEAR(val_currentFYE)</f>
        <v>#NAME?</v>
      </c>
      <c r="CI12" s="207"/>
      <c r="CJ12" s="1759" t="s">
        <v>54</v>
      </c>
      <c r="CK12" s="1760" t="s">
        <v>54</v>
      </c>
      <c r="CL12" s="128"/>
      <c r="CM12" s="1761" t="e" cm="1">
        <f t="array" ca="1" aca="1" ref="CM12">YEAR(val_currentFYE)</f>
        <v>#NAME?</v>
      </c>
      <c r="CN12" s="1762" t="e" cm="1">
        <f t="array" ca="1" aca="1" ref="CN12">YEAR(val_currentFYE)</f>
        <v>#NAME?</v>
      </c>
      <c r="CO12" s="34"/>
    </row>
    <row r="13" spans="1:93" ht="20.25" customHeight="1">
      <c r="A13" s="810"/>
      <c r="B13" s="1543"/>
      <c r="C13" s="1543"/>
      <c r="D13" s="1072"/>
      <c r="E13" s="846"/>
      <c r="F13" s="850"/>
      <c r="G13" s="850"/>
      <c r="H13" s="846"/>
      <c r="I13" s="846" t="s">
        <v>78</v>
      </c>
      <c r="J13" s="1072"/>
      <c r="K13" s="1311"/>
      <c r="N13" s="158"/>
      <c r="O13" s="101"/>
      <c r="P13" s="52"/>
      <c r="Q13" s="101"/>
      <c r="R13" s="139"/>
      <c r="S13" s="819" t="s">
        <v>59</v>
      </c>
      <c r="T13" s="819" t="s">
        <v>60</v>
      </c>
      <c r="U13" s="39"/>
      <c r="W13" s="909" t="s">
        <v>61</v>
      </c>
      <c r="X13" s="908" t="s">
        <v>62</v>
      </c>
      <c r="Y13" s="861" t="s">
        <v>63</v>
      </c>
      <c r="Z13" s="128">
        <v>-1</v>
      </c>
      <c r="AA13" s="95"/>
      <c r="AB13" s="97" t="s">
        <v>64</v>
      </c>
      <c r="AC13" s="382"/>
      <c r="AD13" s="2074" cm="1">
        <f t="array" ref="AD13:BN13">_xlfn.SEQUENCE(1,37,-36,1)</f>
        <v>-36</v>
      </c>
      <c r="AE13" s="2075">
        <v>-35</v>
      </c>
      <c r="AF13" s="2075">
        <v>-34</v>
      </c>
      <c r="AG13" s="2075">
        <v>-33</v>
      </c>
      <c r="AH13" s="2075">
        <v>-32</v>
      </c>
      <c r="AI13" s="2075">
        <v>-31</v>
      </c>
      <c r="AJ13" s="2075">
        <v>-30</v>
      </c>
      <c r="AK13" s="2075">
        <v>-29</v>
      </c>
      <c r="AL13" s="2075">
        <v>-28</v>
      </c>
      <c r="AM13" s="2075">
        <v>-27</v>
      </c>
      <c r="AN13" s="2075">
        <v>-26</v>
      </c>
      <c r="AO13" s="2075">
        <v>-25</v>
      </c>
      <c r="AP13" s="2075">
        <v>-24</v>
      </c>
      <c r="AQ13" s="2075">
        <v>-23</v>
      </c>
      <c r="AR13" s="2075">
        <v>-22</v>
      </c>
      <c r="AS13" s="2075">
        <v>-21</v>
      </c>
      <c r="AT13" s="2075">
        <v>-20</v>
      </c>
      <c r="AU13" s="2075">
        <v>-19</v>
      </c>
      <c r="AV13" s="2075">
        <v>-18</v>
      </c>
      <c r="AW13" s="2075">
        <v>-17</v>
      </c>
      <c r="AX13" s="2075">
        <v>-16</v>
      </c>
      <c r="AY13" s="2075">
        <v>-15</v>
      </c>
      <c r="AZ13" s="2075">
        <v>-14</v>
      </c>
      <c r="BA13" s="2075">
        <v>-13</v>
      </c>
      <c r="BB13" s="2075">
        <v>-12</v>
      </c>
      <c r="BC13" s="2075">
        <v>-11</v>
      </c>
      <c r="BD13" s="2075">
        <v>-10</v>
      </c>
      <c r="BE13" s="2075">
        <v>-9</v>
      </c>
      <c r="BF13" s="2075">
        <v>-8</v>
      </c>
      <c r="BG13" s="2075">
        <v>-7</v>
      </c>
      <c r="BH13" s="2075">
        <v>-6</v>
      </c>
      <c r="BI13" s="2075">
        <v>-5</v>
      </c>
      <c r="BJ13" s="2075">
        <v>-4</v>
      </c>
      <c r="BK13" s="2075">
        <v>-3</v>
      </c>
      <c r="BL13" s="2075">
        <v>-2</v>
      </c>
      <c r="BM13" s="2075">
        <v>-1</v>
      </c>
      <c r="BN13" s="2076">
        <v>0</v>
      </c>
      <c r="BO13" s="2076"/>
      <c r="BP13" s="2076"/>
      <c r="BQ13" s="2076"/>
      <c r="BR13" s="2076"/>
      <c r="BS13" s="2076"/>
      <c r="BT13" s="2076"/>
      <c r="BU13" s="2076"/>
      <c r="BV13" s="2076"/>
      <c r="BW13" s="2076"/>
      <c r="BX13" s="2076"/>
      <c r="BY13" s="2076"/>
      <c r="BZ13" s="2076"/>
      <c r="CA13" s="384"/>
      <c r="CC13" s="33"/>
      <c r="CD13" s="1341"/>
      <c r="CE13" s="1342"/>
      <c r="CF13" s="88"/>
      <c r="CG13" s="1744"/>
      <c r="CH13" s="1745"/>
      <c r="CI13" s="170"/>
      <c r="CJ13" s="1748"/>
      <c r="CK13" s="1749"/>
      <c r="CL13" s="88"/>
      <c r="CM13" s="1763"/>
      <c r="CN13" s="1764"/>
      <c r="CO13" s="34"/>
    </row>
    <row r="14" spans="1:93" ht="20.25" customHeight="1">
      <c r="A14" s="1845" t="b">
        <v>0</v>
      </c>
      <c r="B14" s="811" t="s">
        <v>66</v>
      </c>
      <c r="C14" s="695"/>
      <c r="D14" s="574"/>
      <c r="E14" s="574"/>
      <c r="F14" s="574"/>
      <c r="G14" s="401"/>
      <c r="H14" s="401"/>
      <c r="I14" s="401"/>
      <c r="J14" s="1072"/>
      <c r="K14" s="1311"/>
      <c r="N14" s="158"/>
      <c r="O14" s="101"/>
      <c r="P14" s="52"/>
      <c r="Q14" s="101"/>
      <c r="R14" s="140"/>
      <c r="S14" s="590" t="s">
        <v>70</v>
      </c>
      <c r="T14" s="590" t="s">
        <v>71</v>
      </c>
      <c r="U14" s="39"/>
      <c r="W14" s="909" t="s">
        <v>72</v>
      </c>
      <c r="X14" s="908">
        <v>0</v>
      </c>
      <c r="Y14" s="863" t="s">
        <v>73</v>
      </c>
      <c r="Z14" s="128">
        <v>0</v>
      </c>
      <c r="AA14" s="95"/>
      <c r="AB14" s="97" t="s">
        <v>74</v>
      </c>
      <c r="AC14" s="382"/>
      <c r="AD14" s="2077" t="s">
        <v>75</v>
      </c>
      <c r="AE14" s="2077" t="str">
        <f t="shared" si="0" ref="AE14:BN14">$AD$14</f>
        <v>Month</v>
      </c>
      <c r="AF14" s="2077" t="str">
        <f t="shared" si="0"/>
        <v>Month</v>
      </c>
      <c r="AG14" s="2077" t="str">
        <f t="shared" si="0"/>
        <v>Month</v>
      </c>
      <c r="AH14" s="2077" t="str">
        <f t="shared" si="0"/>
        <v>Month</v>
      </c>
      <c r="AI14" s="2077" t="str">
        <f t="shared" si="0"/>
        <v>Month</v>
      </c>
      <c r="AJ14" s="2077" t="str">
        <f t="shared" si="0"/>
        <v>Month</v>
      </c>
      <c r="AK14" s="2077" t="str">
        <f t="shared" si="0"/>
        <v>Month</v>
      </c>
      <c r="AL14" s="2077" t="str">
        <f t="shared" si="0"/>
        <v>Month</v>
      </c>
      <c r="AM14" s="2077" t="str">
        <f t="shared" si="0"/>
        <v>Month</v>
      </c>
      <c r="AN14" s="2077" t="str">
        <f t="shared" si="0"/>
        <v>Month</v>
      </c>
      <c r="AO14" s="2077" t="str">
        <f t="shared" si="0"/>
        <v>Month</v>
      </c>
      <c r="AP14" s="2077" t="str">
        <f t="shared" si="0"/>
        <v>Month</v>
      </c>
      <c r="AQ14" s="2077" t="str">
        <f t="shared" si="0"/>
        <v>Month</v>
      </c>
      <c r="AR14" s="2077" t="str">
        <f t="shared" si="0"/>
        <v>Month</v>
      </c>
      <c r="AS14" s="2077" t="str">
        <f t="shared" si="0"/>
        <v>Month</v>
      </c>
      <c r="AT14" s="2077" t="str">
        <f t="shared" si="0"/>
        <v>Month</v>
      </c>
      <c r="AU14" s="2077" t="str">
        <f t="shared" si="0"/>
        <v>Month</v>
      </c>
      <c r="AV14" s="2077" t="str">
        <f t="shared" si="0"/>
        <v>Month</v>
      </c>
      <c r="AW14" s="2077" t="str">
        <f t="shared" si="0"/>
        <v>Month</v>
      </c>
      <c r="AX14" s="2077" t="str">
        <f t="shared" si="0"/>
        <v>Month</v>
      </c>
      <c r="AY14" s="2077" t="str">
        <f t="shared" si="0"/>
        <v>Month</v>
      </c>
      <c r="AZ14" s="2077" t="str">
        <f t="shared" si="0"/>
        <v>Month</v>
      </c>
      <c r="BA14" s="2077" t="str">
        <f t="shared" si="0"/>
        <v>Month</v>
      </c>
      <c r="BB14" s="2077" t="str">
        <f t="shared" si="0"/>
        <v>Month</v>
      </c>
      <c r="BC14" s="2077" t="str">
        <f t="shared" si="0"/>
        <v>Month</v>
      </c>
      <c r="BD14" s="2077" t="str">
        <f t="shared" si="0"/>
        <v>Month</v>
      </c>
      <c r="BE14" s="2077" t="str">
        <f t="shared" si="0"/>
        <v>Month</v>
      </c>
      <c r="BF14" s="2077" t="str">
        <f t="shared" si="0"/>
        <v>Month</v>
      </c>
      <c r="BG14" s="2077" t="str">
        <f t="shared" si="0"/>
        <v>Month</v>
      </c>
      <c r="BH14" s="2077" t="str">
        <f t="shared" si="0"/>
        <v>Month</v>
      </c>
      <c r="BI14" s="2077" t="str">
        <f t="shared" si="0"/>
        <v>Month</v>
      </c>
      <c r="BJ14" s="2077" t="str">
        <f t="shared" si="0"/>
        <v>Month</v>
      </c>
      <c r="BK14" s="2077" t="str">
        <f t="shared" si="0"/>
        <v>Month</v>
      </c>
      <c r="BL14" s="2077" t="str">
        <f t="shared" si="0"/>
        <v>Month</v>
      </c>
      <c r="BM14" s="2077" t="str">
        <f t="shared" si="0"/>
        <v>Month</v>
      </c>
      <c r="BN14" s="2078" t="str">
        <f t="shared" si="0"/>
        <v>Month</v>
      </c>
      <c r="BO14" s="2078"/>
      <c r="BP14" s="2078"/>
      <c r="BQ14" s="2078"/>
      <c r="BR14" s="2078"/>
      <c r="BS14" s="2078"/>
      <c r="BT14" s="2078"/>
      <c r="BU14" s="2078"/>
      <c r="BV14" s="2078"/>
      <c r="BW14" s="2078"/>
      <c r="BX14" s="2078"/>
      <c r="BY14" s="2078"/>
      <c r="BZ14" s="2078"/>
      <c r="CA14" s="384"/>
      <c r="CC14" s="33"/>
      <c r="CD14" s="1755" t="s">
        <v>65</v>
      </c>
      <c r="CE14" s="1756" t="s">
        <v>65</v>
      </c>
      <c r="CF14" s="88"/>
      <c r="CG14" s="1744" t="s">
        <v>76</v>
      </c>
      <c r="CH14" s="1745" t="s">
        <v>76</v>
      </c>
      <c r="CI14" s="173"/>
      <c r="CJ14" s="1757" t="s">
        <v>54</v>
      </c>
      <c r="CK14" s="1758" t="s">
        <v>54</v>
      </c>
      <c r="CL14" s="869"/>
      <c r="CM14" s="1765" t="s">
        <v>54</v>
      </c>
      <c r="CN14" s="1766" t="s">
        <v>54</v>
      </c>
      <c r="CO14" s="34"/>
    </row>
    <row r="15" spans="1:93" ht="18" customHeight="1">
      <c r="A15" s="32"/>
      <c r="B15" s="577" t="s">
        <v>236</v>
      </c>
      <c r="C15" s="577"/>
      <c r="D15" s="574"/>
      <c r="E15" s="846"/>
      <c r="F15" s="850"/>
      <c r="G15" s="850"/>
      <c r="H15" s="1311"/>
      <c r="I15" s="1311"/>
      <c r="J15" s="1311"/>
      <c r="K15" s="1311"/>
      <c r="N15" s="158"/>
      <c r="O15" s="101"/>
      <c r="P15" s="52"/>
      <c r="Q15" s="101"/>
      <c r="R15" s="126"/>
      <c r="S15" s="820" t="e" vm="5" cm="1">
        <f t="array" ref="S15">fx_getIcon("find")</f>
        <v>#VALUE!</v>
      </c>
      <c r="T15" s="818" t="s">
        <v>79</v>
      </c>
      <c r="U15" s="39"/>
      <c r="W15" s="999"/>
      <c r="X15" s="1001"/>
      <c r="Y15" s="1001"/>
      <c r="Z15" s="1002"/>
      <c r="AA15" s="185"/>
      <c r="AB15" s="545" t="s">
        <v>80</v>
      </c>
      <c r="AC15" s="1000"/>
      <c r="AD15" s="1003" t="e" cm="1">
        <f t="array" ca="1" aca="1" ref="AD15">IF(MONTH(AD11)=MONTH(val_currentFYE),1,IF(MOD(MONTH(AD$11)-MONTH(val_currentFYE),3)=0,2,0))</f>
        <v>#NAME?</v>
      </c>
      <c r="AE15" s="1003" t="e" cm="1">
        <f t="array" ca="1" aca="1" ref="AE15">IF(MONTH(AE11)=MONTH(val_currentFYE),1,IF(MOD(MONTH(AE$11)-MONTH(val_currentFYE),3)=0,2,0))</f>
        <v>#NAME?</v>
      </c>
      <c r="AF15" s="1003" t="e" cm="1">
        <f t="array" ca="1" aca="1" ref="AF15">IF(MONTH(AF11)=MONTH(val_currentFYE),1,IF(MOD(MONTH(AF$11)-MONTH(val_currentFYE),3)=0,2,0))</f>
        <v>#NAME?</v>
      </c>
      <c r="AG15" s="1003" t="e" cm="1">
        <f t="array" ca="1" aca="1" ref="AG15">IF(MONTH(AG11)=MONTH(val_currentFYE),1,IF(MOD(MONTH(AG$11)-MONTH(val_currentFYE),3)=0,2,0))</f>
        <v>#NAME?</v>
      </c>
      <c r="AH15" s="1003" t="e" cm="1">
        <f t="array" ca="1" aca="1" ref="AH15">IF(MONTH(AH11)=MONTH(val_currentFYE),1,IF(MOD(MONTH(AH$11)-MONTH(val_currentFYE),3)=0,2,0))</f>
        <v>#NAME?</v>
      </c>
      <c r="AI15" s="1003" t="e" cm="1">
        <f t="array" ca="1" aca="1" ref="AI15">IF(MONTH(AI11)=MONTH(val_currentFYE),1,IF(MOD(MONTH(AI$11)-MONTH(val_currentFYE),3)=0,2,0))</f>
        <v>#NAME?</v>
      </c>
      <c r="AJ15" s="1003" t="e" cm="1">
        <f t="array" ca="1" aca="1" ref="AJ15">IF(MONTH(AJ11)=MONTH(val_currentFYE),1,IF(MOD(MONTH(AJ$11)-MONTH(val_currentFYE),3)=0,2,0))</f>
        <v>#NAME?</v>
      </c>
      <c r="AK15" s="1003" t="e" cm="1">
        <f t="array" ca="1" aca="1" ref="AK15">IF(MONTH(AK11)=MONTH(val_currentFYE),1,IF(MOD(MONTH(AK$11)-MONTH(val_currentFYE),3)=0,2,0))</f>
        <v>#NAME?</v>
      </c>
      <c r="AL15" s="1003" t="e" cm="1">
        <f t="array" ca="1" aca="1" ref="AL15">IF(MONTH(AL11)=MONTH(val_currentFYE),1,IF(MOD(MONTH(AL$11)-MONTH(val_currentFYE),3)=0,2,0))</f>
        <v>#NAME?</v>
      </c>
      <c r="AM15" s="1003" t="e" cm="1">
        <f t="array" ca="1" aca="1" ref="AM15">IF(MONTH(AM11)=MONTH(val_currentFYE),1,IF(MOD(MONTH(AM$11)-MONTH(val_currentFYE),3)=0,2,0))</f>
        <v>#NAME?</v>
      </c>
      <c r="AN15" s="1003" t="e" cm="1">
        <f t="array" ca="1" aca="1" ref="AN15">IF(MONTH(AN11)=MONTH(val_currentFYE),1,IF(MOD(MONTH(AN$11)-MONTH(val_currentFYE),3)=0,2,0))</f>
        <v>#NAME?</v>
      </c>
      <c r="AO15" s="1003" t="e" cm="1">
        <f t="array" ca="1" aca="1" ref="AO15">IF(MONTH(AO11)=MONTH(val_currentFYE),1,IF(MOD(MONTH(AO$11)-MONTH(val_currentFYE),3)=0,2,0))</f>
        <v>#NAME?</v>
      </c>
      <c r="AP15" s="1003" t="e" cm="1">
        <f t="array" ca="1" aca="1" ref="AP15">IF(MONTH(AP11)=MONTH(val_currentFYE),1,IF(MOD(MONTH(AP$11)-MONTH(val_currentFYE),3)=0,2,0))</f>
        <v>#NAME?</v>
      </c>
      <c r="AQ15" s="1003" t="e" cm="1">
        <f t="array" ca="1" aca="1" ref="AQ15">IF(MONTH(AQ11)=MONTH(val_currentFYE),1,IF(MOD(MONTH(AQ$11)-MONTH(val_currentFYE),3)=0,2,0))</f>
        <v>#NAME?</v>
      </c>
      <c r="AR15" s="1003" t="e" cm="1">
        <f t="array" ca="1" aca="1" ref="AR15">IF(MONTH(AR11)=MONTH(val_currentFYE),1,IF(MOD(MONTH(AR$11)-MONTH(val_currentFYE),3)=0,2,0))</f>
        <v>#NAME?</v>
      </c>
      <c r="AS15" s="1003" t="e" cm="1">
        <f t="array" ca="1" aca="1" ref="AS15">IF(MONTH(AS11)=MONTH(val_currentFYE),1,IF(MOD(MONTH(AS$11)-MONTH(val_currentFYE),3)=0,2,0))</f>
        <v>#NAME?</v>
      </c>
      <c r="AT15" s="1003" t="e" cm="1">
        <f t="array" ca="1" aca="1" ref="AT15">IF(MONTH(AT11)=MONTH(val_currentFYE),1,IF(MOD(MONTH(AT$11)-MONTH(val_currentFYE),3)=0,2,0))</f>
        <v>#NAME?</v>
      </c>
      <c r="AU15" s="1003" t="e" cm="1">
        <f t="array" ca="1" aca="1" ref="AU15">IF(MONTH(AU11)=MONTH(val_currentFYE),1,IF(MOD(MONTH(AU$11)-MONTH(val_currentFYE),3)=0,2,0))</f>
        <v>#NAME?</v>
      </c>
      <c r="AV15" s="1003" t="e" cm="1">
        <f t="array" ca="1" aca="1" ref="AV15">IF(MONTH(AV11)=MONTH(val_currentFYE),1,IF(MOD(MONTH(AV$11)-MONTH(val_currentFYE),3)=0,2,0))</f>
        <v>#NAME?</v>
      </c>
      <c r="AW15" s="1003" t="e" cm="1">
        <f t="array" ca="1" aca="1" ref="AW15">IF(MONTH(AW11)=MONTH(val_currentFYE),1,IF(MOD(MONTH(AW$11)-MONTH(val_currentFYE),3)=0,2,0))</f>
        <v>#NAME?</v>
      </c>
      <c r="AX15" s="1003" t="e" cm="1">
        <f t="array" ca="1" aca="1" ref="AX15">IF(MONTH(AX11)=MONTH(val_currentFYE),1,IF(MOD(MONTH(AX$11)-MONTH(val_currentFYE),3)=0,2,0))</f>
        <v>#NAME?</v>
      </c>
      <c r="AY15" s="1003" t="e" cm="1">
        <f t="array" ca="1" aca="1" ref="AY15">IF(MONTH(AY11)=MONTH(val_currentFYE),1,IF(MOD(MONTH(AY$11)-MONTH(val_currentFYE),3)=0,2,0))</f>
        <v>#NAME?</v>
      </c>
      <c r="AZ15" s="1003" t="e" cm="1">
        <f t="array" ca="1" aca="1" ref="AZ15">IF(MONTH(AZ11)=MONTH(val_currentFYE),1,IF(MOD(MONTH(AZ$11)-MONTH(val_currentFYE),3)=0,2,0))</f>
        <v>#NAME?</v>
      </c>
      <c r="BA15" s="1003" t="e" cm="1">
        <f t="array" ca="1" aca="1" ref="BA15">IF(MONTH(BA11)=MONTH(val_currentFYE),1,IF(MOD(MONTH(BA$11)-MONTH(val_currentFYE),3)=0,2,0))</f>
        <v>#NAME?</v>
      </c>
      <c r="BB15" s="1003" t="e" cm="1">
        <f t="array" ca="1" aca="1" ref="BB15">IF(MONTH(BB11)=MONTH(val_currentFYE),1,IF(MOD(MONTH(BB$11)-MONTH(val_currentFYE),3)=0,2,0))</f>
        <v>#NAME?</v>
      </c>
      <c r="BC15" s="1003" t="e" cm="1">
        <f t="array" ca="1" aca="1" ref="BC15">IF(MONTH(BC11)=MONTH(val_currentFYE),1,IF(MOD(MONTH(BC$11)-MONTH(val_currentFYE),3)=0,2,0))</f>
        <v>#NAME?</v>
      </c>
      <c r="BD15" s="1003" t="e" cm="1">
        <f t="array" ca="1" aca="1" ref="BD15">IF(MONTH(BD11)=MONTH(val_currentFYE),1,IF(MOD(MONTH(BD$11)-MONTH(val_currentFYE),3)=0,2,0))</f>
        <v>#NAME?</v>
      </c>
      <c r="BE15" s="1003" t="e" cm="1">
        <f t="array" ca="1" aca="1" ref="BE15">IF(MONTH(BE11)=MONTH(val_currentFYE),1,IF(MOD(MONTH(BE$11)-MONTH(val_currentFYE),3)=0,2,0))</f>
        <v>#NAME?</v>
      </c>
      <c r="BF15" s="1003" t="e" cm="1">
        <f t="array" ca="1" aca="1" ref="BF15">IF(MONTH(BF11)=MONTH(val_currentFYE),1,IF(MOD(MONTH(BF$11)-MONTH(val_currentFYE),3)=0,2,0))</f>
        <v>#NAME?</v>
      </c>
      <c r="BG15" s="1003" t="e" cm="1">
        <f t="array" ca="1" aca="1" ref="BG15">IF(MONTH(BG11)=MONTH(val_currentFYE),1,IF(MOD(MONTH(BG$11)-MONTH(val_currentFYE),3)=0,2,0))</f>
        <v>#NAME?</v>
      </c>
      <c r="BH15" s="1003" t="e" cm="1">
        <f t="array" ca="1" aca="1" ref="BH15">IF(MONTH(BH11)=MONTH(val_currentFYE),1,IF(MOD(MONTH(BH$11)-MONTH(val_currentFYE),3)=0,2,0))</f>
        <v>#NAME?</v>
      </c>
      <c r="BI15" s="1003" t="e" cm="1">
        <f t="array" ca="1" aca="1" ref="BI15">IF(MONTH(BI11)=MONTH(val_currentFYE),1,IF(MOD(MONTH(BI$11)-MONTH(val_currentFYE),3)=0,2,0))</f>
        <v>#NAME?</v>
      </c>
      <c r="BJ15" s="1003" t="e" cm="1">
        <f t="array" ca="1" aca="1" ref="BJ15">IF(MONTH(BJ11)=MONTH(val_currentFYE),1,IF(MOD(MONTH(BJ$11)-MONTH(val_currentFYE),3)=0,2,0))</f>
        <v>#NAME?</v>
      </c>
      <c r="BK15" s="1003" t="e" cm="1">
        <f t="array" ca="1" aca="1" ref="BK15">IF(MONTH(BK11)=MONTH(val_currentFYE),1,IF(MOD(MONTH(BK$11)-MONTH(val_currentFYE),3)=0,2,0))</f>
        <v>#NAME?</v>
      </c>
      <c r="BL15" s="1003" t="e" cm="1">
        <f t="array" ca="1" aca="1" ref="BL15">IF(MONTH(BL11)=MONTH(val_currentFYE),1,IF(MOD(MONTH(BL$11)-MONTH(val_currentFYE),3)=0,2,0))</f>
        <v>#NAME?</v>
      </c>
      <c r="BM15" s="1003" t="e" cm="1">
        <f t="array" ca="1" aca="1" ref="BM15">IF(MONTH(BM11)=MONTH(val_currentFYE),1,IF(MOD(MONTH(BM$11)-MONTH(val_currentFYE),3)=0,2,0))</f>
        <v>#NAME?</v>
      </c>
      <c r="BN15" s="1004" t="e" cm="1">
        <f t="array" ca="1" aca="1" ref="BN15">IF(MONTH(BN11)=MONTH(val_currentFYE),1,IF(MOD(MONTH(BN$11)-MONTH(val_currentFYE),3)=0,2,0))</f>
        <v>#NAME?</v>
      </c>
      <c r="BO15" s="388"/>
      <c r="BP15" s="388"/>
      <c r="BQ15" s="388"/>
      <c r="BR15" s="388"/>
      <c r="BS15" s="388"/>
      <c r="BT15" s="388"/>
      <c r="BU15" s="388"/>
      <c r="BV15" s="388"/>
      <c r="BW15" s="388"/>
      <c r="BX15" s="388"/>
      <c r="BY15" s="388"/>
      <c r="BZ15" s="388"/>
      <c r="CA15" s="384"/>
      <c r="CC15" s="33"/>
      <c r="CD15" s="1341"/>
      <c r="CE15" s="1342"/>
      <c r="CF15" s="88"/>
      <c r="CG15" s="1744"/>
      <c r="CH15" s="1745"/>
      <c r="CI15" s="170"/>
      <c r="CJ15" s="1748"/>
      <c r="CK15" s="1752"/>
      <c r="CL15" s="88"/>
      <c r="CM15" s="1763"/>
      <c r="CN15" s="1767"/>
      <c r="CO15" s="34"/>
    </row>
    <row r="16" spans="1:93" ht="15.5">
      <c r="A16" s="1322"/>
      <c r="B16" s="577"/>
      <c r="C16" s="577"/>
      <c r="D16" s="574"/>
      <c r="E16" s="574"/>
      <c r="F16" s="574"/>
      <c r="G16" s="401"/>
      <c r="H16" s="401"/>
      <c r="I16" s="401"/>
      <c r="J16" s="401"/>
      <c r="K16" s="401"/>
      <c r="N16" s="158"/>
      <c r="O16" s="101"/>
      <c r="P16" s="52"/>
      <c r="Q16" s="101"/>
      <c r="R16" s="101"/>
      <c r="S16" s="101"/>
      <c r="T16" s="101"/>
      <c r="U16" s="39"/>
      <c r="W16" s="198"/>
      <c r="X16" s="128"/>
      <c r="Y16" s="88"/>
      <c r="Z16" s="1144"/>
      <c r="AA16" s="97"/>
      <c r="AB16" s="97"/>
      <c r="AC16" s="128"/>
      <c r="AD16" s="88"/>
      <c r="AE16" s="88"/>
      <c r="AF16" s="88"/>
      <c r="AG16" s="88"/>
      <c r="AH16" s="88"/>
      <c r="AI16" s="88"/>
      <c r="AJ16" s="88"/>
      <c r="AK16" s="88"/>
      <c r="AL16" s="88"/>
      <c r="AM16" s="88"/>
      <c r="AN16" s="88"/>
      <c r="AO16" s="88"/>
      <c r="AP16" s="88"/>
      <c r="AQ16" s="88"/>
      <c r="AR16" s="88"/>
      <c r="AS16" s="88"/>
      <c r="AT16" s="781"/>
      <c r="AU16" s="782"/>
      <c r="AV16" s="782"/>
      <c r="AW16" s="782"/>
      <c r="AX16" s="782"/>
      <c r="AY16" s="782"/>
      <c r="AZ16" s="782"/>
      <c r="BA16" s="782"/>
      <c r="BB16" s="782"/>
      <c r="BC16" s="782"/>
      <c r="BD16" s="782"/>
      <c r="BE16" s="782"/>
      <c r="BF16" s="782"/>
      <c r="BG16" s="782"/>
      <c r="BH16" s="782"/>
      <c r="BI16" s="782"/>
      <c r="BJ16" s="783"/>
      <c r="BK16" s="783"/>
      <c r="BL16" s="783"/>
      <c r="BM16" s="783"/>
      <c r="BN16" s="1213"/>
      <c r="BO16" s="1213"/>
      <c r="BP16" s="1213"/>
      <c r="BQ16" s="1213"/>
      <c r="BR16" s="1213"/>
      <c r="BS16" s="1213"/>
      <c r="BT16" s="1213"/>
      <c r="BU16" s="1213"/>
      <c r="BV16" s="1213"/>
      <c r="BW16" s="1213"/>
      <c r="BX16" s="1213"/>
      <c r="BY16" s="1213"/>
      <c r="BZ16" s="1213"/>
      <c r="CA16" s="384"/>
      <c r="CC16" s="181"/>
      <c r="CD16" s="1742"/>
      <c r="CE16" s="1743"/>
      <c r="CF16" s="296"/>
      <c r="CG16" s="1746"/>
      <c r="CH16" s="1747"/>
      <c r="CI16" s="296"/>
      <c r="CJ16" s="1750"/>
      <c r="CK16" s="1751"/>
      <c r="CL16" s="88"/>
      <c r="CM16" s="1770"/>
      <c r="CN16" s="1771"/>
      <c r="CO16" s="34"/>
    </row>
    <row r="17" spans="1:93" ht="15" customHeight="1">
      <c r="A17" s="32"/>
      <c r="B17" s="722"/>
      <c r="C17" s="722"/>
      <c r="D17" s="1074"/>
      <c r="E17" s="854"/>
      <c r="F17" s="853"/>
      <c r="G17" s="401"/>
      <c r="H17" s="401"/>
      <c r="I17" s="401"/>
      <c r="J17" s="401"/>
      <c r="K17" s="401"/>
      <c r="N17" s="158"/>
      <c r="O17" s="101"/>
      <c r="P17" s="288"/>
      <c r="Q17" s="288"/>
      <c r="R17" s="101"/>
      <c r="S17" s="101"/>
      <c r="T17" s="101"/>
      <c r="U17" s="39"/>
      <c r="W17" s="3045" t="str">
        <f>_CF!W17</f>
        <v>Actual</v>
      </c>
      <c r="X17" s="1234"/>
      <c r="Y17" s="3067" t="s">
        <v>237</v>
      </c>
      <c r="Z17" s="1248" t="s">
        <v>82</v>
      </c>
      <c r="AA17" s="281"/>
      <c r="AB17" s="858"/>
      <c r="AC17" s="876"/>
      <c r="AD17" s="859" cm="1">
        <f t="array" ca="1" aca="1" ref="AD17:AD18">fx_checkComp(AD20:AD37)</f>
        <v>100</v>
      </c>
      <c r="AE17" s="859" cm="1">
        <f t="array" ca="1" aca="1" ref="AE17:AE18">fx_checkComp(AE20:AE37)</f>
        <v>100</v>
      </c>
      <c r="AF17" s="859" cm="1">
        <f t="array" ca="1" aca="1" ref="AF17:AF18">fx_checkComp(AF20:AF37)</f>
        <v>100</v>
      </c>
      <c r="AG17" s="859" cm="1">
        <f t="array" ca="1" aca="1" ref="AG17:AG18">fx_checkComp(AG20:AG37)</f>
        <v>100</v>
      </c>
      <c r="AH17" s="859" cm="1">
        <f t="array" ca="1" aca="1" ref="AH17:AH18">fx_checkComp(AH20:AH37)</f>
        <v>100</v>
      </c>
      <c r="AI17" s="859" cm="1">
        <f t="array" ca="1" aca="1" ref="AI17:AI18">fx_checkComp(AI20:AI37)</f>
        <v>100</v>
      </c>
      <c r="AJ17" s="859" cm="1">
        <f t="array" ca="1" aca="1" ref="AJ17:AJ18">fx_checkComp(AJ20:AJ37)</f>
        <v>100</v>
      </c>
      <c r="AK17" s="859" cm="1">
        <f t="array" ca="1" aca="1" ref="AK17:AK18">fx_checkComp(AK20:AK37)</f>
        <v>100</v>
      </c>
      <c r="AL17" s="859" cm="1">
        <f t="array" ca="1" aca="1" ref="AL17:AL18">fx_checkComp(AL20:AL37)</f>
        <v>100</v>
      </c>
      <c r="AM17" s="859" cm="1">
        <f t="array" ca="1" aca="1" ref="AM17:AM18">fx_checkComp(AM20:AM37)</f>
        <v>100</v>
      </c>
      <c r="AN17" s="859" cm="1">
        <f t="array" ca="1" aca="1" ref="AN17:AN18">fx_checkComp(AN20:AN37)</f>
        <v>100</v>
      </c>
      <c r="AO17" s="859" cm="1">
        <f t="array" ca="1" aca="1" ref="AO17:AO18">fx_checkComp(AO20:AO37)</f>
        <v>100</v>
      </c>
      <c r="AP17" s="859" cm="1">
        <f t="array" ca="1" aca="1" ref="AP17:AP18">fx_checkComp(AP20:AP37)</f>
        <v>100</v>
      </c>
      <c r="AQ17" s="859" cm="1">
        <f t="array" ca="1" aca="1" ref="AQ17:AQ18">fx_checkComp(AQ20:AQ37)</f>
        <v>100</v>
      </c>
      <c r="AR17" s="859" cm="1">
        <f t="array" ca="1" aca="1" ref="AR17:AR18">fx_checkComp(AR20:AR37)</f>
        <v>100</v>
      </c>
      <c r="AS17" s="859" cm="1">
        <f t="array" ca="1" aca="1" ref="AS17:AS18">fx_checkComp(AS20:AS37)</f>
        <v>100</v>
      </c>
      <c r="AT17" s="859" cm="1">
        <f t="array" ca="1" aca="1" ref="AT17:AT18">fx_checkComp(AT20:AT37)</f>
        <v>100</v>
      </c>
      <c r="AU17" s="859" cm="1">
        <f t="array" ca="1" aca="1" ref="AU17:AU18">fx_checkComp(AU20:AU37)</f>
        <v>100</v>
      </c>
      <c r="AV17" s="859" cm="1">
        <f t="array" ca="1" aca="1" ref="AV17:AV18">fx_checkComp(AV20:AV37)</f>
        <v>100</v>
      </c>
      <c r="AW17" s="859" cm="1">
        <f t="array" ca="1" aca="1" ref="AW17:AW18">fx_checkComp(AW20:AW37)</f>
        <v>100</v>
      </c>
      <c r="AX17" s="859" cm="1">
        <f t="array" ca="1" aca="1" ref="AX17:AX18">fx_checkComp(AX20:AX37)</f>
        <v>100</v>
      </c>
      <c r="AY17" s="859" cm="1">
        <f t="array" ca="1" aca="1" ref="AY17:AY18">fx_checkComp(AY20:AY37)</f>
        <v>100</v>
      </c>
      <c r="AZ17" s="859" cm="1">
        <f t="array" ca="1" aca="1" ref="AZ17:AZ18">fx_checkComp(AZ20:AZ37)</f>
        <v>100</v>
      </c>
      <c r="BA17" s="859" cm="1">
        <f t="array" ca="1" aca="1" ref="BA17:BA18">fx_checkComp(BA20:BA37)</f>
        <v>100</v>
      </c>
      <c r="BB17" s="859" cm="1">
        <f t="array" ca="1" aca="1" ref="BB17:BB18">fx_checkComp(BB20:BB37)</f>
        <v>100</v>
      </c>
      <c r="BC17" s="859" cm="1">
        <f t="array" ca="1" aca="1" ref="BC17:BC18">fx_checkComp(BC20:BC37)</f>
        <v>100</v>
      </c>
      <c r="BD17" s="859" cm="1">
        <f t="array" ca="1" aca="1" ref="BD17:BD18">fx_checkComp(BD20:BD37)</f>
        <v>100</v>
      </c>
      <c r="BE17" s="859" cm="1">
        <f t="array" ca="1" aca="1" ref="BE17:BE18">fx_checkComp(BE20:BE37)</f>
        <v>100</v>
      </c>
      <c r="BF17" s="859" cm="1">
        <f t="array" ca="1" aca="1" ref="BF17:BF18">fx_checkComp(BF20:BF37)</f>
        <v>100</v>
      </c>
      <c r="BG17" s="859" cm="1">
        <f t="array" ca="1" aca="1" ref="BG17:BG18">fx_checkComp(BG20:BG37)</f>
        <v>100</v>
      </c>
      <c r="BH17" s="859" cm="1">
        <f t="array" ca="1" aca="1" ref="BH17:BH18">fx_checkComp(BH20:BH37)</f>
        <v>100</v>
      </c>
      <c r="BI17" s="859" cm="1">
        <f t="array" ca="1" aca="1" ref="BI17:BI18">fx_checkComp(BI20:BI37)</f>
        <v>100</v>
      </c>
      <c r="BJ17" s="859" cm="1">
        <f t="array" ca="1" aca="1" ref="BJ17:BJ18">fx_checkComp(BJ20:BJ37)</f>
        <v>100</v>
      </c>
      <c r="BK17" s="859" cm="1">
        <f t="array" ca="1" aca="1" ref="BK17:BK18">fx_checkComp(BK20:BK37)</f>
        <v>100</v>
      </c>
      <c r="BL17" s="859" cm="1">
        <f t="array" ca="1" aca="1" ref="BL17:BL18">fx_checkComp(BL20:BL37)</f>
        <v>100</v>
      </c>
      <c r="BM17" s="859" cm="1">
        <f t="array" ca="1" aca="1" ref="BM17:BM18">fx_checkComp(BM20:BM37)</f>
        <v>100</v>
      </c>
      <c r="BN17" s="859" cm="1">
        <f t="array" ca="1" aca="1" ref="BN17:BN18">fx_checkComp(BN20:BN37)</f>
        <v>100</v>
      </c>
      <c r="BO17" s="542"/>
      <c r="BP17" s="542"/>
      <c r="BQ17" s="542"/>
      <c r="BR17" s="542"/>
      <c r="BS17" s="542"/>
      <c r="BT17" s="542"/>
      <c r="BU17" s="542"/>
      <c r="BV17" s="542"/>
      <c r="BW17" s="542"/>
      <c r="BX17" s="542"/>
      <c r="BY17" s="542"/>
      <c r="BZ17" s="542"/>
      <c r="CA17" s="384"/>
      <c r="CC17" s="33"/>
      <c r="CD17" s="1341"/>
      <c r="CE17" s="1342"/>
      <c r="CF17" s="88"/>
      <c r="CG17" s="1744"/>
      <c r="CH17" s="1745"/>
      <c r="CI17" s="170"/>
      <c r="CJ17" s="1748"/>
      <c r="CK17" s="1752"/>
      <c r="CL17" s="88"/>
      <c r="CM17" s="1664" t="e" cm="1">
        <f t="array" ca="1" aca="1" ref="CM17">fx_checkComp(CM20:CM37)</f>
        <v>#NAME?</v>
      </c>
      <c r="CN17" s="1665" t="e" cm="1">
        <f t="array" ca="1" aca="1" ref="CN17">fx_checkComp(CN20:CN37)</f>
        <v>#NAME?</v>
      </c>
      <c r="CO17" s="34"/>
    </row>
    <row r="18" spans="1:93" ht="15" customHeight="1">
      <c r="A18" s="32"/>
      <c r="B18" s="722"/>
      <c r="C18" s="722"/>
      <c r="D18" s="1074"/>
      <c r="E18" s="854"/>
      <c r="F18" s="853"/>
      <c r="G18" s="401"/>
      <c r="H18" s="401"/>
      <c r="I18" s="401"/>
      <c r="J18" s="401"/>
      <c r="K18" s="401"/>
      <c r="N18" s="158"/>
      <c r="O18" s="101"/>
      <c r="P18" s="101"/>
      <c r="Q18" s="101"/>
      <c r="R18" s="101"/>
      <c r="S18" s="101"/>
      <c r="T18" s="101"/>
      <c r="U18" s="39"/>
      <c r="W18" s="3046"/>
      <c r="X18" s="1218"/>
      <c r="Y18" s="3068"/>
      <c r="Z18" s="1502"/>
      <c r="AA18" s="95"/>
      <c r="AB18" s="992"/>
      <c r="AC18" s="1164"/>
      <c r="AD18" s="1253" t="str">
        <f ca="1"/>
        <v>O: 0 / 0</v>
      </c>
      <c r="AE18" s="1253" t="str">
        <f ca="1"/>
        <v>O: 0 / 0</v>
      </c>
      <c r="AF18" s="1253" t="str">
        <f ca="1"/>
        <v>O: 0 / 0</v>
      </c>
      <c r="AG18" s="1253" t="str">
        <f ca="1"/>
        <v>O: 0 / 0</v>
      </c>
      <c r="AH18" s="1253" t="str">
        <f ca="1"/>
        <v>O: 0 / 0</v>
      </c>
      <c r="AI18" s="1253" t="str">
        <f ca="1"/>
        <v>O: 0 / 0</v>
      </c>
      <c r="AJ18" s="1253" t="str">
        <f ca="1"/>
        <v>O: 0 / 0</v>
      </c>
      <c r="AK18" s="1253" t="str">
        <f ca="1"/>
        <v>O: 0 / 0</v>
      </c>
      <c r="AL18" s="1253" t="str">
        <f ca="1"/>
        <v>O: 0 / 0</v>
      </c>
      <c r="AM18" s="1253" t="str">
        <f ca="1"/>
        <v>O: 0 / 0</v>
      </c>
      <c r="AN18" s="1253" t="str">
        <f ca="1"/>
        <v>O: 0 / 0</v>
      </c>
      <c r="AO18" s="1253" t="str">
        <f ca="1"/>
        <v>O: 0 / 0</v>
      </c>
      <c r="AP18" s="1253" t="str">
        <f ca="1"/>
        <v>O: 0 / 0</v>
      </c>
      <c r="AQ18" s="1253" t="str">
        <f ca="1"/>
        <v>O: 0 / 0</v>
      </c>
      <c r="AR18" s="1253" t="str">
        <f ca="1"/>
        <v>O: 0 / 0</v>
      </c>
      <c r="AS18" s="1253" t="str">
        <f ca="1"/>
        <v>O: 0 / 0</v>
      </c>
      <c r="AT18" s="1253" t="str">
        <f ca="1"/>
        <v>O: 0 / 0</v>
      </c>
      <c r="AU18" s="1253" t="str">
        <f ca="1"/>
        <v>O: 0 / 0</v>
      </c>
      <c r="AV18" s="1253" t="str">
        <f ca="1"/>
        <v>O: 0 / 0</v>
      </c>
      <c r="AW18" s="1253" t="str">
        <f ca="1"/>
        <v>O: 0 / 0</v>
      </c>
      <c r="AX18" s="1253" t="str">
        <f ca="1"/>
        <v>O: 0 / 0</v>
      </c>
      <c r="AY18" s="1253" t="str">
        <f ca="1"/>
        <v>O: 0 / 0</v>
      </c>
      <c r="AZ18" s="1253" t="str">
        <f ca="1"/>
        <v>O: 0 / 0</v>
      </c>
      <c r="BA18" s="1253" t="str">
        <f ca="1"/>
        <v>O: 0 / 0</v>
      </c>
      <c r="BB18" s="1253" t="str">
        <f ca="1"/>
        <v>O: 0 / 0</v>
      </c>
      <c r="BC18" s="1253" t="str">
        <f ca="1"/>
        <v>O: 0 / 0</v>
      </c>
      <c r="BD18" s="1253" t="str">
        <f ca="1"/>
        <v>O: 0 / 0</v>
      </c>
      <c r="BE18" s="1253" t="str">
        <f ca="1"/>
        <v>O: 0 / 0</v>
      </c>
      <c r="BF18" s="1253" t="str">
        <f ca="1"/>
        <v>O: 0 / 0</v>
      </c>
      <c r="BG18" s="1253" t="str">
        <f ca="1"/>
        <v>O: 0 / 0</v>
      </c>
      <c r="BH18" s="1253" t="str">
        <f ca="1"/>
        <v>O: 0 / 0</v>
      </c>
      <c r="BI18" s="1253" t="str">
        <f ca="1"/>
        <v>O: 0 / 0</v>
      </c>
      <c r="BJ18" s="1253" t="str">
        <f ca="1"/>
        <v>O: 0 / 0</v>
      </c>
      <c r="BK18" s="1253" t="str">
        <f ca="1"/>
        <v>O: 0 / 0</v>
      </c>
      <c r="BL18" s="1253" t="str">
        <f ca="1"/>
        <v>O: 0 / 0</v>
      </c>
      <c r="BM18" s="1253" t="str">
        <f ca="1"/>
        <v>O: 0 / 0</v>
      </c>
      <c r="BN18" s="1253" t="str">
        <f ca="1"/>
        <v>O: 0 / 0</v>
      </c>
      <c r="BO18" s="2099"/>
      <c r="BP18" s="2099"/>
      <c r="BQ18" s="2099"/>
      <c r="BR18" s="2099"/>
      <c r="BS18" s="2099"/>
      <c r="BT18" s="2099"/>
      <c r="BU18" s="2099"/>
      <c r="BV18" s="2099"/>
      <c r="BW18" s="2099"/>
      <c r="BX18" s="2099"/>
      <c r="BY18" s="2099"/>
      <c r="BZ18" s="2099"/>
      <c r="CA18" s="384"/>
      <c r="CC18" s="33"/>
      <c r="CD18" s="1341"/>
      <c r="CE18" s="1342"/>
      <c r="CF18" s="88"/>
      <c r="CG18" s="1744"/>
      <c r="CH18" s="1745"/>
      <c r="CI18" s="170"/>
      <c r="CJ18" s="1748"/>
      <c r="CK18" s="1752"/>
      <c r="CL18" s="88"/>
      <c r="CM18" s="1768"/>
      <c r="CN18" s="1769"/>
      <c r="CO18" s="34"/>
    </row>
    <row r="19" spans="1:137" ht="27.75" customHeight="1">
      <c r="A19" s="694"/>
      <c r="B19" s="1546" t="s">
        <v>85</v>
      </c>
      <c r="C19" s="1547" t="s">
        <v>86</v>
      </c>
      <c r="D19" s="575" t="s">
        <v>87</v>
      </c>
      <c r="E19" s="575"/>
      <c r="F19" s="575"/>
      <c r="G19" s="576"/>
      <c r="H19" s="576"/>
      <c r="I19" s="576"/>
      <c r="J19" s="576"/>
      <c r="K19" s="576"/>
      <c r="N19" s="158"/>
      <c r="O19" s="101"/>
      <c r="P19" s="101"/>
      <c r="Q19" s="2"/>
      <c r="R19" s="101"/>
      <c r="S19" s="101"/>
      <c r="T19" s="101"/>
      <c r="U19" s="39"/>
      <c r="W19" s="1225" t="s">
        <v>94</v>
      </c>
      <c r="X19" s="1503" t="str">
        <f>_CF!X19</f>
        <v>a</v>
      </c>
      <c r="Y19" s="1226" t="str">
        <f>val_company&amp;" CF Accounts"</f>
        <v>Therme Horizon CF Accounts</v>
      </c>
      <c r="Z19" s="1227"/>
      <c r="AA19" s="1227"/>
      <c r="AB19" s="1226" t="s">
        <v>227</v>
      </c>
      <c r="AC19" s="1226"/>
      <c r="AD19" s="1227" t="str">
        <f>_CF!AD19</f>
        <v>Actual</v>
      </c>
      <c r="AE19" s="1227" t="str">
        <f>_CF!AE19</f>
        <v>Actual</v>
      </c>
      <c r="AF19" s="1227" t="str">
        <f>_CF!AF19</f>
        <v>Actual</v>
      </c>
      <c r="AG19" s="1227" t="str">
        <f>_CF!AG19</f>
        <v>Actual</v>
      </c>
      <c r="AH19" s="1227" t="str">
        <f>_CF!AH19</f>
        <v>Actual</v>
      </c>
      <c r="AI19" s="1227" t="str">
        <f>_CF!AI19</f>
        <v>Actual</v>
      </c>
      <c r="AJ19" s="1227" t="str">
        <f>_CF!AJ19</f>
        <v>Actual</v>
      </c>
      <c r="AK19" s="1227" t="str">
        <f>_CF!AK19</f>
        <v>Actual</v>
      </c>
      <c r="AL19" s="1227" t="str">
        <f>_CF!AL19</f>
        <v>Actual</v>
      </c>
      <c r="AM19" s="1227" t="str">
        <f>_CF!AM19</f>
        <v>Actual</v>
      </c>
      <c r="AN19" s="1227" t="str">
        <f>_CF!AN19</f>
        <v>Actual</v>
      </c>
      <c r="AO19" s="1227" t="str">
        <f>_CF!AO19</f>
        <v>Actual</v>
      </c>
      <c r="AP19" s="1227" t="str">
        <f>_CF!AP19</f>
        <v>Actual</v>
      </c>
      <c r="AQ19" s="1227" t="str">
        <f>_CF!AQ19</f>
        <v>Actual</v>
      </c>
      <c r="AR19" s="1227" t="str">
        <f>_CF!AR19</f>
        <v>Actual</v>
      </c>
      <c r="AS19" s="1227" t="str">
        <f>_CF!AS19</f>
        <v>Actual</v>
      </c>
      <c r="AT19" s="1227" t="str">
        <f>_CF!AT19</f>
        <v>Actual</v>
      </c>
      <c r="AU19" s="1227" t="str">
        <f>_CF!AU19</f>
        <v>Actual</v>
      </c>
      <c r="AV19" s="1227" t="str">
        <f>_CF!AV19</f>
        <v>Actual</v>
      </c>
      <c r="AW19" s="1227" t="str">
        <f>_CF!AW19</f>
        <v>Actual</v>
      </c>
      <c r="AX19" s="1227" t="str">
        <f>_CF!AX19</f>
        <v>Actual</v>
      </c>
      <c r="AY19" s="1227" t="str">
        <f>_CF!AY19</f>
        <v>Actual</v>
      </c>
      <c r="AZ19" s="1227" t="str">
        <f>_CF!AZ19</f>
        <v>Actual</v>
      </c>
      <c r="BA19" s="1227" t="str">
        <f>_CF!BA19</f>
        <v>Actual</v>
      </c>
      <c r="BB19" s="1227" t="str">
        <f>_CF!BB19</f>
        <v>Actual</v>
      </c>
      <c r="BC19" s="1227" t="str">
        <f>_CF!BC19</f>
        <v>Actual</v>
      </c>
      <c r="BD19" s="1227" t="str">
        <f>_CF!BD19</f>
        <v>Actual</v>
      </c>
      <c r="BE19" s="1227" t="str">
        <f>_CF!BE19</f>
        <v>Actual</v>
      </c>
      <c r="BF19" s="1227" t="str">
        <f>_CF!BF19</f>
        <v>Actual</v>
      </c>
      <c r="BG19" s="1227" t="str">
        <f>_CF!BG19</f>
        <v>Actual</v>
      </c>
      <c r="BH19" s="1227" t="str">
        <f>_CF!BH19</f>
        <v>Actual</v>
      </c>
      <c r="BI19" s="1227" t="str">
        <f>_CF!BI19</f>
        <v>Actual</v>
      </c>
      <c r="BJ19" s="1227" t="str">
        <f>_CF!BJ19</f>
        <v>Actual</v>
      </c>
      <c r="BK19" s="1227" t="str">
        <f>_CF!BK19</f>
        <v>Actual</v>
      </c>
      <c r="BL19" s="1227" t="str">
        <f>_CF!BL19</f>
        <v>Actual</v>
      </c>
      <c r="BM19" s="1227" t="str">
        <f>_CF!BM19</f>
        <v>Actual</v>
      </c>
      <c r="BN19" s="1228" t="str">
        <f>_CF!BN19</f>
        <v>Actual</v>
      </c>
      <c r="BO19" s="2094"/>
      <c r="BP19" s="2094"/>
      <c r="BQ19" s="2094"/>
      <c r="BR19" s="2094"/>
      <c r="BS19" s="2094"/>
      <c r="BT19" s="2094"/>
      <c r="BU19" s="2094"/>
      <c r="BV19" s="2094"/>
      <c r="BW19" s="2094"/>
      <c r="BX19" s="2094"/>
      <c r="BY19" s="2094"/>
      <c r="BZ19" s="2094"/>
      <c r="CA19" s="384"/>
      <c r="CC19" s="33"/>
      <c r="CD19" s="1720" t="str">
        <f>_CF!CD19</f>
        <v>Actual</v>
      </c>
      <c r="CE19" s="1720" t="str">
        <f>_CF!CE19</f>
        <v>Actual</v>
      </c>
      <c r="CF19" s="128"/>
      <c r="CG19" s="1734" t="str">
        <f>_CF!CG19</f>
        <v>Actual</v>
      </c>
      <c r="CH19" s="1735" t="str">
        <f>_CF!CH19</f>
        <v>Actual</v>
      </c>
      <c r="CI19" s="207" t="str">
        <f>$AD19</f>
        <v>Actual</v>
      </c>
      <c r="CJ19" s="1724" t="str">
        <f>_CF!CJ19</f>
        <v>Actual</v>
      </c>
      <c r="CK19" s="1725" t="str">
        <f>_CF!CK19</f>
        <v>Actual</v>
      </c>
      <c r="CL19" s="869"/>
      <c r="CM19" s="1198" t="str">
        <f>_CF!CM19</f>
        <v>Original Budget</v>
      </c>
      <c r="CN19" s="1199" t="str">
        <f>_CF!CN19</f>
        <v>LE</v>
      </c>
      <c r="CO19" s="34"/>
      <c r="CQ19" s="2089" t="str" cm="1">
        <f t="array" ca="1" aca="1" ref="CQ19">RIGHT(CELL("filename",C1),LEN(CELL("filename",C1))-FIND("]",CELL("filename",C1)))&amp;" "&amp;"Label PUSH"&amp;TEXT(val_asOfDate," MMm-YY")</f>
        <v>CF Label PUSH Dec-25</v>
      </c>
      <c r="CR19" s="2089" t="str" cm="1">
        <f t="array" ca="1" aca="1" ref="CR19">RIGHT(CELL("filename",C1),LEN(CELL("filename",C1))-FIND("]",CELL("filename",C1)))&amp;" "&amp;"Label PUSH"&amp;TEXT(EOMONTH(val_asOfDate,1)," MMMM-YY")</f>
        <v>CF Label PUSH January-26</v>
      </c>
      <c r="CS19" s="2089" t="str" cm="1">
        <f t="array" ca="1" aca="1" ref="CS19">RIGHT(CELL("filename",D1),LEN(CELL("filename",D1))-FIND("]",CELL("filename",D1)))&amp;" "&amp;"Label PUSH"&amp;TEXT(EOMONTH(val_asOfDate,2)," MMMM-YY")</f>
        <v>CF Label PUSH February-26</v>
      </c>
      <c r="CT19" s="2089" t="str" cm="1">
        <f t="array" ca="1" aca="1" ref="CT19">RIGHT(CELL("filename",D1),LEN(CELL("filename",D1))-FIND("]",CELL("filename",D1)))&amp;" "&amp;"Label PUSH"&amp;TEXT(EOMONTH(val_asOfDate,3)," MMMM-YY")</f>
        <v>CF Label PUSH March-26</v>
      </c>
      <c r="CU19" s="1881" t="str" cm="1">
        <f t="array" ca="1" aca="1" ref="CU19">RIGHT(CELL("filename",A1),LEN(CELL("filename",A1))-FIND("]",CELL("filename",A1)))&amp;" "&amp;$CM$10&amp;" PUSH"</f>
        <v>CF Current FY PUSH</v>
      </c>
      <c r="CV19" s="1881" t="str" cm="1">
        <f t="array" ca="1" aca="1" ref="CV19">RIGHT(CELL("filename",A1),LEN(CELL("filename",A1))-FIND("]",CELL("filename",A1)))&amp;" "&amp;$CM$10&amp;" PUSH"</f>
        <v>CF Current FY PUSH</v>
      </c>
      <c r="CW19" s="1878" t="str" cm="1">
        <f t="array" ca="1" aca="1" ref="CW19">RIGHT(CELL("filename",$A$1),LEN(CELL("filename",$A$1))-FIND("]",CELL("filename",$A$1)))&amp;" PUSH"</f>
        <v>CF PUSH</v>
      </c>
      <c r="CX19" s="1878" t="str" cm="1">
        <f t="array" ca="1" aca="1" ref="CX19">RIGHT(CELL("filename",$A$1),LEN(CELL("filename",$A$1))-FIND("]",CELL("filename",$A$1)))&amp;" PUSH"</f>
        <v>CF PUSH</v>
      </c>
      <c r="CY19" s="1878" t="str" cm="1">
        <f t="array" ca="1" aca="1" ref="CY19">RIGHT(CELL("filename",$A$1),LEN(CELL("filename",$A$1))-FIND("]",CELL("filename",$A$1)))&amp;" PUSH"</f>
        <v>CF PUSH</v>
      </c>
      <c r="CZ19" s="1878" t="str" cm="1">
        <f t="array" ca="1" aca="1" ref="CZ19">RIGHT(CELL("filename",$A$1),LEN(CELL("filename",$A$1))-FIND("]",CELL("filename",$A$1)))&amp;" PUSH"</f>
        <v>CF PUSH</v>
      </c>
      <c r="DA19" s="1878" t="str" cm="1">
        <f t="array" ca="1" aca="1" ref="DA19">RIGHT(CELL("filename",$A$1),LEN(CELL("filename",$A$1))-FIND("]",CELL("filename",$A$1)))&amp;" PUSH"</f>
        <v>CF PUSH</v>
      </c>
      <c r="DB19" s="1878" t="str" cm="1">
        <f t="array" ca="1" aca="1" ref="DB19">RIGHT(CELL("filename",$A$1),LEN(CELL("filename",$A$1))-FIND("]",CELL("filename",$A$1)))&amp;" PUSH"</f>
        <v>CF PUSH</v>
      </c>
      <c r="DC19" s="1878" t="str" cm="1">
        <f t="array" ca="1" aca="1" ref="DC19">RIGHT(CELL("filename",$A$1),LEN(CELL("filename",$A$1))-FIND("]",CELL("filename",$A$1)))&amp;" PUSH"</f>
        <v>CF PUSH</v>
      </c>
      <c r="DD19" s="1878" t="str" cm="1">
        <f t="array" ca="1" aca="1" ref="DD19">RIGHT(CELL("filename",$A$1),LEN(CELL("filename",$A$1))-FIND("]",CELL("filename",$A$1)))&amp;" PUSH"</f>
        <v>CF PUSH</v>
      </c>
      <c r="DE19" s="1878" t="str" cm="1">
        <f t="array" ca="1" aca="1" ref="DE19">RIGHT(CELL("filename",$A$1),LEN(CELL("filename",$A$1))-FIND("]",CELL("filename",$A$1)))&amp;" PUSH"</f>
        <v>CF PUSH</v>
      </c>
      <c r="DF19" s="1878" t="str" cm="1">
        <f t="array" ca="1" aca="1" ref="DF19">RIGHT(CELL("filename",$A$1),LEN(CELL("filename",$A$1))-FIND("]",CELL("filename",$A$1)))&amp;" PUSH"</f>
        <v>CF PUSH</v>
      </c>
      <c r="DG19" s="1878" t="str" cm="1">
        <f t="array" ca="1" aca="1" ref="DG19">RIGHT(CELL("filename",$A$1),LEN(CELL("filename",$A$1))-FIND("]",CELL("filename",$A$1)))&amp;" PUSH"</f>
        <v>CF PUSH</v>
      </c>
      <c r="DH19" s="1878" t="str" cm="1">
        <f t="array" ca="1" aca="1" ref="DH19">RIGHT(CELL("filename",$A$1),LEN(CELL("filename",$A$1))-FIND("]",CELL("filename",$A$1)))&amp;" PUSH"</f>
        <v>CF PUSH</v>
      </c>
      <c r="DI19" s="1878" t="str" cm="1">
        <f t="array" ca="1" aca="1" ref="DI19">RIGHT(CELL("filename",$A$1),LEN(CELL("filename",$A$1))-FIND("]",CELL("filename",$A$1)))&amp;" PUSH"</f>
        <v>CF PUSH</v>
      </c>
      <c r="DJ19" s="1878" t="str" cm="1">
        <f t="array" ca="1" aca="1" ref="DJ19">RIGHT(CELL("filename",$A$1),LEN(CELL("filename",$A$1))-FIND("]",CELL("filename",$A$1)))&amp;" PUSH"</f>
        <v>CF PUSH</v>
      </c>
      <c r="DK19" s="1878" t="str" cm="1">
        <f t="array" ca="1" aca="1" ref="DK19">RIGHT(CELL("filename",$A$1),LEN(CELL("filename",$A$1))-FIND("]",CELL("filename",$A$1)))&amp;" PUSH"</f>
        <v>CF PUSH</v>
      </c>
      <c r="DL19" s="1878" t="str" cm="1">
        <f t="array" ca="1" aca="1" ref="DL19">RIGHT(CELL("filename",$A$1),LEN(CELL("filename",$A$1))-FIND("]",CELL("filename",$A$1)))&amp;" PUSH"</f>
        <v>CF PUSH</v>
      </c>
      <c r="DM19" s="1878" t="str" cm="1">
        <f t="array" ca="1" aca="1" ref="DM19">RIGHT(CELL("filename",$A$1),LEN(CELL("filename",$A$1))-FIND("]",CELL("filename",$A$1)))&amp;" PUSH"</f>
        <v>CF PUSH</v>
      </c>
      <c r="DN19" s="1878" t="str" cm="1">
        <f t="array" ca="1" aca="1" ref="DN19">RIGHT(CELL("filename",$A$1),LEN(CELL("filename",$A$1))-FIND("]",CELL("filename",$A$1)))&amp;" PUSH"</f>
        <v>CF PUSH</v>
      </c>
      <c r="DO19" s="1878" t="str" cm="1">
        <f t="array" ca="1" aca="1" ref="DO19">RIGHT(CELL("filename",$A$1),LEN(CELL("filename",$A$1))-FIND("]",CELL("filename",$A$1)))&amp;" PUSH"</f>
        <v>CF PUSH</v>
      </c>
      <c r="DP19" s="1878" t="str" cm="1">
        <f t="array" ca="1" aca="1" ref="DP19">RIGHT(CELL("filename",$A$1),LEN(CELL("filename",$A$1))-FIND("]",CELL("filename",$A$1)))&amp;" PUSH"</f>
        <v>CF PUSH</v>
      </c>
      <c r="DQ19" s="1878" t="str" cm="1">
        <f t="array" ca="1" aca="1" ref="DQ19">RIGHT(CELL("filename",$A$1),LEN(CELL("filename",$A$1))-FIND("]",CELL("filename",$A$1)))&amp;" PUSH"</f>
        <v>CF PUSH</v>
      </c>
      <c r="DR19" s="1878" t="str" cm="1">
        <f t="array" ca="1" aca="1" ref="DR19">RIGHT(CELL("filename",$A$1),LEN(CELL("filename",$A$1))-FIND("]",CELL("filename",$A$1)))&amp;" PUSH"</f>
        <v>CF PUSH</v>
      </c>
      <c r="DS19" s="1878" t="str" cm="1">
        <f t="array" ca="1" aca="1" ref="DS19">RIGHT(CELL("filename",$A$1),LEN(CELL("filename",$A$1))-FIND("]",CELL("filename",$A$1)))&amp;" PUSH"</f>
        <v>CF PUSH</v>
      </c>
      <c r="DT19" s="1878" t="str" cm="1">
        <f t="array" ca="1" aca="1" ref="DT19">RIGHT(CELL("filename",$A$1),LEN(CELL("filename",$A$1))-FIND("]",CELL("filename",$A$1)))&amp;" PUSH"</f>
        <v>CF PUSH</v>
      </c>
      <c r="DU19" s="1878" t="str" cm="1">
        <f t="array" ca="1" aca="1" ref="DU19">RIGHT(CELL("filename",$A$1),LEN(CELL("filename",$A$1))-FIND("]",CELL("filename",$A$1)))&amp;" PUSH"</f>
        <v>CF PUSH</v>
      </c>
      <c r="DV19" s="1878" t="str" cm="1">
        <f t="array" ca="1" aca="1" ref="DV19">RIGHT(CELL("filename",$A$1),LEN(CELL("filename",$A$1))-FIND("]",CELL("filename",$A$1)))&amp;" PUSH"</f>
        <v>CF PUSH</v>
      </c>
      <c r="DW19" s="1878" t="str" cm="1">
        <f t="array" ca="1" aca="1" ref="DW19">RIGHT(CELL("filename",$A$1),LEN(CELL("filename",$A$1))-FIND("]",CELL("filename",$A$1)))&amp;" PUSH"</f>
        <v>CF PUSH</v>
      </c>
      <c r="DX19" s="1878" t="str" cm="1">
        <f t="array" ca="1" aca="1" ref="DX19">RIGHT(CELL("filename",$A$1),LEN(CELL("filename",$A$1))-FIND("]",CELL("filename",$A$1)))&amp;" PUSH"</f>
        <v>CF PUSH</v>
      </c>
      <c r="DY19" s="1878" t="str" cm="1">
        <f t="array" ca="1" aca="1" ref="DY19">RIGHT(CELL("filename",$A$1),LEN(CELL("filename",$A$1))-FIND("]",CELL("filename",$A$1)))&amp;" PUSH"</f>
        <v>CF PUSH</v>
      </c>
      <c r="DZ19" s="1878" t="str" cm="1">
        <f t="array" ca="1" aca="1" ref="DZ19">RIGHT(CELL("filename",$A$1),LEN(CELL("filename",$A$1))-FIND("]",CELL("filename",$A$1)))&amp;" PUSH"</f>
        <v>CF PUSH</v>
      </c>
      <c r="EA19" s="1878" t="str" cm="1">
        <f t="array" ca="1" aca="1" ref="EA19">RIGHT(CELL("filename",$A$1),LEN(CELL("filename",$A$1))-FIND("]",CELL("filename",$A$1)))&amp;" PUSH"</f>
        <v>CF PUSH</v>
      </c>
      <c r="EB19" s="1878" t="str" cm="1">
        <f t="array" ca="1" aca="1" ref="EB19">RIGHT(CELL("filename",$A$1),LEN(CELL("filename",$A$1))-FIND("]",CELL("filename",$A$1)))&amp;" PUSH"</f>
        <v>CF PUSH</v>
      </c>
      <c r="EC19" s="1878" t="str" cm="1">
        <f t="array" ca="1" aca="1" ref="EC19">RIGHT(CELL("filename",$A$1),LEN(CELL("filename",$A$1))-FIND("]",CELL("filename",$A$1)))&amp;" PUSH"</f>
        <v>CF PUSH</v>
      </c>
      <c r="ED19" s="1878" t="str" cm="1">
        <f t="array" ca="1" aca="1" ref="ED19">RIGHT(CELL("filename",$A$1),LEN(CELL("filename",$A$1))-FIND("]",CELL("filename",$A$1)))&amp;" PUSH"</f>
        <v>CF PUSH</v>
      </c>
      <c r="EE19" s="1878" t="str" cm="1">
        <f t="array" ca="1" aca="1" ref="EE19">RIGHT(CELL("filename",$A$1),LEN(CELL("filename",$A$1))-FIND("]",CELL("filename",$A$1)))&amp;" PUSH"</f>
        <v>CF PUSH</v>
      </c>
      <c r="EF19" s="1878" t="str" cm="1">
        <f t="array" ca="1" aca="1" ref="EF19">RIGHT(CELL("filename",$A$1),LEN(CELL("filename",$A$1))-FIND("]",CELL("filename",$A$1)))&amp;" PUSH"</f>
        <v>CF PUSH</v>
      </c>
      <c r="EG19" s="1878" t="str" cm="1">
        <f t="array" ca="1" aca="1" ref="EG19">RIGHT(CELL("filename",$A$1),LEN(CELL("filename",$A$1))-FIND("]",CELL("filename",$A$1)))&amp;" PUSH"</f>
        <v>CF PUSH</v>
      </c>
    </row>
    <row r="20" spans="1:137" ht="21" customHeight="1">
      <c r="A20" s="1625" t="s">
        <v>96</v>
      </c>
      <c r="B20" s="695" t="str" cm="1">
        <f t="array" ref="B20">IFBLANK(_CF!F20,"")</f>
        <v>Reported EBITDA</v>
      </c>
      <c r="C20" s="3351" t="str" cm="1">
        <f t="array" ref="C20">IFBLANK(_CF!C20,"")</f>
        <v>Reported EBITDA (Company View)</v>
      </c>
      <c r="D20" s="1548"/>
      <c r="E20" s="695"/>
      <c r="F20" s="577"/>
      <c r="G20" s="578"/>
      <c r="H20" s="3284">
        <v>2</v>
      </c>
      <c r="I20" s="3284">
        <v>1</v>
      </c>
      <c r="J20" s="401" cm="1">
        <f t="array" ref="J20">IFBLANK(Z20,"")</f>
        <v>0</v>
      </c>
      <c r="K20" s="578"/>
      <c r="N20" s="158"/>
      <c r="O20" s="101"/>
      <c r="P20" s="5"/>
      <c r="Q20" s="101"/>
      <c r="R20" s="126"/>
      <c r="S20" s="101"/>
      <c r="T20" s="101"/>
      <c r="U20" s="39"/>
      <c r="W20" s="932" t="str" cm="1">
        <f t="array" ref="W20">fx_scenarioConverter(W17)</f>
        <v>Actual</v>
      </c>
      <c r="X20" s="2055">
        <f>_CF!X20</f>
        <v>0</v>
      </c>
      <c r="Y20" s="3352" t="s">
        <v>208</v>
      </c>
      <c r="Z20" s="198" cm="1">
        <f t="array" ref="Z20">_xlfn.SWITCH(TRUE,_CF!$L20=TRUE,1,_CF!$L20=FALSE,-1,_CF!$L20=-1,0,"n/a")</f>
        <v>0</v>
      </c>
      <c r="AA20" s="200"/>
      <c r="AB20" s="3341" t="str">
        <f>_CF!AB20</f>
        <v>Reported EBITDA</v>
      </c>
      <c r="AC20" s="88" t="e" vm="5" cm="1">
        <f t="array" ca="1" aca="1" ref="AC20">_xlfn.LET(_xlpm._termname,$AB20,_xlpm._iconname,"find",_xlpm._icon,fx_getIcon(_xlpm._iconname),_xlpm._location,_xlfn.XLOOKUP(LOWER(_xlpm._termname),LOWER(tbl_acctDef[Term]),tbl_acctDef[Term]),_xlpm._hyperlink,HYPERLINK("#"&amp;CELL("address",_xlpm._location),_xlpm._icon),IFERROR(_xlpm._hyperlink,""))</f>
        <v>#VALUE!</v>
      </c>
      <c r="AD20" s="1223">
        <f>_xlfn.XLOOKUP($AB20,PL!$AB$20:$AB$41,PL!AD20:AD41)</f>
        <v>3</v>
      </c>
      <c r="AE20" s="1223">
        <f>_xlfn.XLOOKUP($AB20,PL!$AB$20:$AB$41,PL!AE20:AE41)</f>
        <v>3</v>
      </c>
      <c r="AF20" s="1223">
        <f>_xlfn.XLOOKUP($AB20,PL!$AB$20:$AB$41,PL!AF20:AF41)</f>
        <v>3</v>
      </c>
      <c r="AG20" s="1223">
        <f>_xlfn.XLOOKUP($AB20,PL!$AB$20:$AB$41,PL!AG20:AG41)</f>
        <v>3</v>
      </c>
      <c r="AH20" s="1223">
        <f>_xlfn.XLOOKUP($AB20,PL!$AB$20:$AB$41,PL!AH20:AH41)</f>
        <v>3</v>
      </c>
      <c r="AI20" s="1223">
        <f>_xlfn.XLOOKUP($AB20,PL!$AB$20:$AB$41,PL!AI20:AI41)</f>
        <v>3</v>
      </c>
      <c r="AJ20" s="1223">
        <f>_xlfn.XLOOKUP($AB20,PL!$AB$20:$AB$41,PL!AJ20:AJ41)</f>
        <v>3</v>
      </c>
      <c r="AK20" s="1223">
        <f>_xlfn.XLOOKUP($AB20,PL!$AB$20:$AB$41,PL!AK20:AK41)</f>
        <v>3</v>
      </c>
      <c r="AL20" s="1223">
        <f>_xlfn.XLOOKUP($AB20,PL!$AB$20:$AB$41,PL!AL20:AL41)</f>
        <v>3</v>
      </c>
      <c r="AM20" s="1223">
        <f>_xlfn.XLOOKUP($AB20,PL!$AB$20:$AB$41,PL!AM20:AM41)</f>
        <v>3</v>
      </c>
      <c r="AN20" s="1223">
        <f>_xlfn.XLOOKUP($AB20,PL!$AB$20:$AB$41,PL!AN20:AN41)</f>
        <v>3</v>
      </c>
      <c r="AO20" s="1223">
        <f>_xlfn.XLOOKUP($AB20,PL!$AB$20:$AB$41,PL!AO20:AO41)</f>
        <v>3</v>
      </c>
      <c r="AP20" s="1223">
        <f>_xlfn.XLOOKUP($AB20,PL!$AB$20:$AB$41,PL!AP20:AP41)</f>
        <v>3</v>
      </c>
      <c r="AQ20" s="1223">
        <f>_xlfn.XLOOKUP($AB20,PL!$AB$20:$AB$41,PL!AQ20:AQ41)</f>
        <v>3</v>
      </c>
      <c r="AR20" s="1223">
        <f>_xlfn.XLOOKUP($AB20,PL!$AB$20:$AB$41,PL!AR20:AR41)</f>
        <v>3</v>
      </c>
      <c r="AS20" s="1223">
        <f>_xlfn.XLOOKUP($AB20,PL!$AB$20:$AB$41,PL!AS20:AS41)</f>
        <v>3</v>
      </c>
      <c r="AT20" s="1223">
        <f>_xlfn.XLOOKUP($AB20,PL!$AB$20:$AB$41,PL!AT20:AT41)</f>
        <v>3</v>
      </c>
      <c r="AU20" s="1223">
        <f>_xlfn.XLOOKUP($AB20,PL!$AB$20:$AB$41,PL!AU20:AU41)</f>
        <v>3</v>
      </c>
      <c r="AV20" s="1223">
        <f>_xlfn.XLOOKUP($AB20,PL!$AB$20:$AB$41,PL!AV20:AV41)</f>
        <v>3</v>
      </c>
      <c r="AW20" s="1223">
        <f>_xlfn.XLOOKUP($AB20,PL!$AB$20:$AB$41,PL!AW20:AW41)</f>
        <v>3</v>
      </c>
      <c r="AX20" s="1223">
        <f>_xlfn.XLOOKUP($AB20,PL!$AB$20:$AB$41,PL!AX20:AX41)</f>
        <v>3</v>
      </c>
      <c r="AY20" s="1223">
        <f>_xlfn.XLOOKUP($AB20,PL!$AB$20:$AB$41,PL!AY20:AY41)</f>
        <v>3</v>
      </c>
      <c r="AZ20" s="1223">
        <f>_xlfn.XLOOKUP($AB20,PL!$AB$20:$AB$41,PL!AZ20:AZ41)</f>
        <v>3</v>
      </c>
      <c r="BA20" s="1223">
        <f>_xlfn.XLOOKUP($AB20,PL!$AB$20:$AB$41,PL!BA20:BA41)</f>
        <v>3</v>
      </c>
      <c r="BB20" s="1223">
        <f>_xlfn.XLOOKUP($AB20,PL!$AB$20:$AB$41,PL!BB20:BB41)</f>
        <v>3</v>
      </c>
      <c r="BC20" s="1223">
        <f>_xlfn.XLOOKUP($AB20,PL!$AB$20:$AB$41,PL!BC20:BC41)</f>
        <v>3</v>
      </c>
      <c r="BD20" s="1223">
        <f>_xlfn.XLOOKUP($AB20,PL!$AB$20:$AB$41,PL!BD20:BD41)</f>
        <v>3</v>
      </c>
      <c r="BE20" s="1223">
        <f>_xlfn.XLOOKUP($AB20,PL!$AB$20:$AB$41,PL!BE20:BE41)</f>
        <v>3</v>
      </c>
      <c r="BF20" s="1223">
        <f>_xlfn.XLOOKUP($AB20,PL!$AB$20:$AB$41,PL!BF20:BF41)</f>
        <v>3</v>
      </c>
      <c r="BG20" s="1223">
        <f>_xlfn.XLOOKUP($AB20,PL!$AB$20:$AB$41,PL!BG20:BG41)</f>
        <v>3</v>
      </c>
      <c r="BH20" s="1223">
        <f>_xlfn.XLOOKUP($AB20,PL!$AB$20:$AB$41,PL!BH20:BH41)</f>
        <v>3</v>
      </c>
      <c r="BI20" s="1223">
        <f>_xlfn.XLOOKUP($AB20,PL!$AB$20:$AB$41,PL!BI20:BI41)</f>
        <v>3</v>
      </c>
      <c r="BJ20" s="1223">
        <f>_xlfn.XLOOKUP($AB20,PL!$AB$20:$AB$41,PL!BJ20:BJ41)</f>
        <v>3</v>
      </c>
      <c r="BK20" s="1223">
        <f>_xlfn.XLOOKUP($AB20,PL!$AB$20:$AB$41,PL!BK20:BK41)</f>
        <v>3</v>
      </c>
      <c r="BL20" s="1223">
        <f>_xlfn.XLOOKUP($AB20,PL!$AB$20:$AB$41,PL!BL20:BL41)</f>
        <v>3</v>
      </c>
      <c r="BM20" s="1223">
        <f>_xlfn.XLOOKUP($AB20,PL!$AB$20:$AB$41,PL!BM20:BM41)</f>
        <v>3</v>
      </c>
      <c r="BN20" s="1224">
        <f>_xlfn.XLOOKUP($AB20,PL!$AB$20:$AB$41,PL!BN20:BN41)</f>
        <v>3</v>
      </c>
      <c r="BO20" s="2114"/>
      <c r="BP20" s="2114"/>
      <c r="BQ20" s="2114"/>
      <c r="BR20" s="2114"/>
      <c r="BS20" s="2114"/>
      <c r="BT20" s="2114"/>
      <c r="BU20" s="2114"/>
      <c r="BV20" s="2114"/>
      <c r="BW20" s="2114"/>
      <c r="BX20" s="2114"/>
      <c r="BY20" s="2114"/>
      <c r="BZ20" s="2114"/>
      <c r="CA20" s="1330"/>
      <c r="CB20" s="537"/>
      <c r="CC20" s="1484"/>
      <c r="CD20" s="1461" t="e" cm="1">
        <f t="array" ca="1" aca="1" ref="CD20">_xlfn.LET(_xlpm.CheckBlank,SUM(CF!$AD20:$BN20)=0,IF(_xlpm.CheckBlank,"",SUM(_xlfn._xlws.FILTER(CF!$AD20:$BN20,(YEAR(CF!$AD$12:$BN$12)=CF!CD$12)*(array_timeline&lt;=CF!CD$11)))))</f>
        <v>#NAME?</v>
      </c>
      <c r="CE20" s="1461" t="e" cm="1">
        <f t="array" ca="1" aca="1" ref="CE20">_xlfn.LET(_xlpm.CheckBlank,SUM(CF!$AD20:$BN20)=0,IF(_xlpm.CheckBlank,"",SUM(_xlfn._xlws.FILTER(CF!$AD20:$BN20,(YEAR(CF!$AD$12:$BN$12)=CF!CE$12)*(array_timeline&lt;=CF!CE$11)))))</f>
        <v>#NAME?</v>
      </c>
      <c r="CF20" s="1314"/>
      <c r="CG20" s="1461" t="e" cm="1">
        <f t="array" ca="1" aca="1" ref="CG20">_xlfn.LET(_xlpm.CheckBlank,SUM(CF!$AD20:$BN20)=0,IF(_xlpm.CheckBlank,"",SUM(_xlfn._xlws.FILTER(CF!$AD20:$BN20,(YEAR(CF!$AD$12:$BN$12)=CF!CG$12)*(array_timeline&lt;=CF!CG$11)))))</f>
        <v>#NAME?</v>
      </c>
      <c r="CH20" s="1461" t="e" cm="1">
        <f t="array" ca="1" aca="1" ref="CH20">_xlfn.LET(_xlpm.CheckBlank,SUM(CF!$AD20:$BN20)=0,IF(_xlpm.CheckBlank,"",SUM(_xlfn._xlws.FILTER(CF!$AD20:$BN20,(YEAR(CF!$AD$12:$BN$12)=CF!CH$12)*(array_timeline&lt;=CF!CH$11)))))</f>
        <v>#NAME?</v>
      </c>
      <c r="CI20" s="1314"/>
      <c r="CJ20" s="1461" cm="1">
        <f t="array" ref="CJ20">_xlfn.LET(_xlpm.CheckBlank,SUM(CF!$AD20:$BN20)=0,IF(_xlpm.CheckBlank,"",SUM(_xlfn.TAKE(_xlfn.DROP(CF!$AD20:$BN20,,-DATEDIFF(CF!CJ$11,val_asOfDate,"M")),1,-12))))</f>
        <v>36</v>
      </c>
      <c r="CK20" s="1461" cm="1">
        <f t="array" ref="CK20">_xlfn.LET(_xlpm.CheckBlank,SUM(CF!$AD20:$BN20)=0,IF(_xlpm.CheckBlank,"",SUM(_xlfn.TAKE(_xlfn.DROP(CF!$AD20:$BN20,,-DATEDIFF(CF!CK$11,val_asOfDate,"M")),1,-12))))</f>
        <v>36</v>
      </c>
      <c r="CL20" s="1314"/>
      <c r="CM20" s="1514">
        <f>_xlfn.XLOOKUP($AB20,PL!$AB$20:$AB$41,PL!CM$20:CM$41)</f>
        <v>3</v>
      </c>
      <c r="CN20" s="1514">
        <f>_xlfn.XLOOKUP($AB20,PL!$AB$20:$AB$41,PL!CN$20:CN$41)</f>
        <v>3</v>
      </c>
      <c r="CO20" s="34"/>
      <c r="CQ20" s="2085" t="str" cm="1">
        <f t="array" ref="CQ20">IFERROR(IF(Y20&lt;&gt;AB20,_xldudf_CX_PUSH(Y20,CX_ENTITY,C20,EOMONTH(val_asOfDate,0)),""),"")</f>
        <v/>
      </c>
      <c r="CR20" s="2085" t="str" cm="1">
        <f t="array" ref="CR20">IFERROR(IF(Y20&lt;&gt;AB20,_xldudf_CX_PUSH(Y20,CX_ENTITY,C20,EOMONTH(val_asOfDate,1)),""),"")</f>
        <v/>
      </c>
      <c r="CS20" s="2085" t="str" cm="1">
        <f t="array" ref="CS20">IFERROR(IF(Y20&lt;&gt;AB20,_xldudf_CX_PUSH(Y20,CX_ENTITY,C20,EOMONTH(val_asOfDate,2)),""),"")</f>
        <v/>
      </c>
      <c r="CT20" s="2085" t="str" cm="1">
        <f t="array" ref="CT20">IFERROR(IF(Y20&lt;&gt;AB20,_xldudf_CX_PUSH(Y20,CX_ENTITY,C20,EOMONTH(val_asOfDate,3)),""),"")</f>
        <v/>
      </c>
      <c r="CU20" s="2086" t="str" cm="1">
        <f t="array" ca="1" aca="1" ref="CU20">IFERROR(IF(CM20*fxVal_normal=_CF!CM20,"",IF(OR($CM20="",,NOT(ISNUMBER($CM20)),ISERROR($CM20),$B20=""),"",IF($I20=1,IFBLANK(_xldudf_CX_PUSH($CM20*fxVal_normal,CX_ENTITY,$B20,$CM$11,$CM$14,$CM$19,),""),IF($I20=2,IFBLANK(_xldudf_CX_PUSH($CM20,CX_ENTITY,$B20,$CM$11,$CM$14,$CM$19,),""),IF($I20=3,"",IFBLANK(_xldudf_CX_PUSH($CM20,CX_ENTITY,$B20,$CM$11,$CM$14,$CM$19,),"")))))),"")</f>
        <v/>
      </c>
      <c r="CV20" s="2086" t="str" cm="1">
        <f t="array" ca="1" aca="1" ref="CV20">IFERROR(IF(CN20*fxVal_normal=_CF!CN20,"",IF(OR($CN20="",,NOT(ISNUMBER($CN20)),ISERROR($CN20),$B20=""),"",IF($I20=1,IFBLANK(_xldudf_CX_PUSH($CN20*fxVal_normal,CX_ENTITY,$B20,$CN$11,$CN$14,$CN$19,),""),IF($I20=2,IFBLANK(_xldudf_CX_PUSH($CN20,CX_ENTITY,$B20,$CN$11,$CN$14,$CN$19,),""),IF($I20=3,"",IFBLANK(_xldudf_CX_PUSH($CN20,CX_ENTITY,$B20,$CN$11,$CN$14,$CN$19,),"")))))),"")</f>
        <v/>
      </c>
      <c r="CW20" s="1883" t="str" cm="1">
        <f t="array" ca="1" aca="1" ref="CW20">IFERROR(IF(AD20*fxVal_normal=_CF!AD20,"",IF(OR(AD20="",NOT(ISNUMBER(AD20)),ISERROR(AD20),$B20=""),"",IF($I20=1,IFBLANK(_xldudf_CX_PUSH(AD20*fxVal_normal,CX_ENTITY,$B20,AD$11,AD$14,AD$19,),""),IF($I20=2,IFBLANK(_xldudf_CX_PUSH(AD20,CX_ENTITY,$B20,AD$11,AD$14,AD$19,),""),IF($I20=3,"",IFBLANK(_xldudf_CX_PUSH(AD20,CX_ENTITY,$B20,AD$11,AD$14,AD$19,),"")))))),"")</f>
        <v/>
      </c>
      <c r="CX20" s="1883" t="str" cm="1">
        <f t="array" ca="1" aca="1" ref="CX20">IFERROR(IF(AE20*fxVal_normal=_CF!AE20,"",IF(OR(AE20="",NOT(ISNUMBER(AE20)),ISERROR(AE20),$B20=""),"",IF($I20=1,IFBLANK(_xldudf_CX_PUSH(AE20*fxVal_normal,CX_ENTITY,$B20,AE$11,AE$14,AE$19,),""),IF($I20=2,IFBLANK(_xldudf_CX_PUSH(AE20,CX_ENTITY,$B20,AE$11,AE$14,AE$19,),""),IF($I20=3,"",IFBLANK(_xldudf_CX_PUSH(AE20,CX_ENTITY,$B20,AE$11,AE$14,AE$19,),"")))))),"")</f>
        <v/>
      </c>
      <c r="CY20" s="1883" t="str" cm="1">
        <f t="array" ca="1" aca="1" ref="CY20">IFERROR(IF(AF20*fxVal_normal=_CF!AF20,"",IF(OR(AF20="",NOT(ISNUMBER(AF20)),ISERROR(AF20),$B20=""),"",IF($I20=1,IFBLANK(_xldudf_CX_PUSH(AF20*fxVal_normal,CX_ENTITY,$B20,AF$11,AF$14,AF$19,),""),IF($I20=2,IFBLANK(_xldudf_CX_PUSH(AF20,CX_ENTITY,$B20,AF$11,AF$14,AF$19,),""),IF($I20=3,"",IFBLANK(_xldudf_CX_PUSH(AF20,CX_ENTITY,$B20,AF$11,AF$14,AF$19,),"")))))),"")</f>
        <v/>
      </c>
      <c r="CZ20" s="1883" t="str" cm="1">
        <f t="array" ca="1" aca="1" ref="CZ20">IFERROR(IF(AG20*fxVal_normal=_CF!AG20,"",IF(OR(AG20="",NOT(ISNUMBER(AG20)),ISERROR(AG20),$B20=""),"",IF($I20=1,IFBLANK(_xldudf_CX_PUSH(AG20*fxVal_normal,CX_ENTITY,$B20,AG$11,AG$14,AG$19,),""),IF($I20=2,IFBLANK(_xldudf_CX_PUSH(AG20,CX_ENTITY,$B20,AG$11,AG$14,AG$19,),""),IF($I20=3,"",IFBLANK(_xldudf_CX_PUSH(AG20,CX_ENTITY,$B20,AG$11,AG$14,AG$19,),"")))))),"")</f>
        <v/>
      </c>
      <c r="DA20" s="1883" t="str" cm="1">
        <f t="array" ca="1" aca="1" ref="DA20">IFERROR(IF(AH20*fxVal_normal=_CF!AH20,"",IF(OR(AH20="",NOT(ISNUMBER(AH20)),ISERROR(AH20),$B20=""),"",IF($I20=1,IFBLANK(_xldudf_CX_PUSH(AH20*fxVal_normal,CX_ENTITY,$B20,AH$11,AH$14,AH$19,),""),IF($I20=2,IFBLANK(_xldudf_CX_PUSH(AH20,CX_ENTITY,$B20,AH$11,AH$14,AH$19,),""),IF($I20=3,"",IFBLANK(_xldudf_CX_PUSH(AH20,CX_ENTITY,$B20,AH$11,AH$14,AH$19,),"")))))),"")</f>
        <v/>
      </c>
      <c r="DB20" s="1883" t="str" cm="1">
        <f t="array" ca="1" aca="1" ref="DB20">IFERROR(IF(AI20*fxVal_normal=_CF!AI20,"",IF(OR(AI20="",NOT(ISNUMBER(AI20)),ISERROR(AI20),$B20=""),"",IF($I20=1,IFBLANK(_xldudf_CX_PUSH(AI20*fxVal_normal,CX_ENTITY,$B20,AI$11,AI$14,AI$19,),""),IF($I20=2,IFBLANK(_xldudf_CX_PUSH(AI20,CX_ENTITY,$B20,AI$11,AI$14,AI$19,),""),IF($I20=3,"",IFBLANK(_xldudf_CX_PUSH(AI20,CX_ENTITY,$B20,AI$11,AI$14,AI$19,),"")))))),"")</f>
        <v/>
      </c>
      <c r="DC20" s="1883" t="str" cm="1">
        <f t="array" ca="1" aca="1" ref="DC20">IFERROR(IF(AJ20*fxVal_normal=_CF!AJ20,"",IF(OR(AJ20="",NOT(ISNUMBER(AJ20)),ISERROR(AJ20),$B20=""),"",IF($I20=1,IFBLANK(_xldudf_CX_PUSH(AJ20*fxVal_normal,CX_ENTITY,$B20,AJ$11,AJ$14,AJ$19,),""),IF($I20=2,IFBLANK(_xldudf_CX_PUSH(AJ20,CX_ENTITY,$B20,AJ$11,AJ$14,AJ$19,),""),IF($I20=3,"",IFBLANK(_xldudf_CX_PUSH(AJ20,CX_ENTITY,$B20,AJ$11,AJ$14,AJ$19,),"")))))),"")</f>
        <v/>
      </c>
      <c r="DD20" s="1883" t="str" cm="1">
        <f t="array" ca="1" aca="1" ref="DD20">IFERROR(IF(AK20*fxVal_normal=_CF!AK20,"",IF(OR(AK20="",NOT(ISNUMBER(AK20)),ISERROR(AK20),$B20=""),"",IF($I20=1,IFBLANK(_xldudf_CX_PUSH(AK20*fxVal_normal,CX_ENTITY,$B20,AK$11,AK$14,AK$19,),""),IF($I20=2,IFBLANK(_xldudf_CX_PUSH(AK20,CX_ENTITY,$B20,AK$11,AK$14,AK$19,),""),IF($I20=3,"",IFBLANK(_xldudf_CX_PUSH(AK20,CX_ENTITY,$B20,AK$11,AK$14,AK$19,),"")))))),"")</f>
        <v/>
      </c>
      <c r="DE20" s="1883" t="str" cm="1">
        <f t="array" ca="1" aca="1" ref="DE20">IFERROR(IF(AL20*fxVal_normal=_CF!AL20,"",IF(OR(AL20="",NOT(ISNUMBER(AL20)),ISERROR(AL20),$B20=""),"",IF($I20=1,IFBLANK(_xldudf_CX_PUSH(AL20*fxVal_normal,CX_ENTITY,$B20,AL$11,AL$14,AL$19,),""),IF($I20=2,IFBLANK(_xldudf_CX_PUSH(AL20,CX_ENTITY,$B20,AL$11,AL$14,AL$19,),""),IF($I20=3,"",IFBLANK(_xldudf_CX_PUSH(AL20,CX_ENTITY,$B20,AL$11,AL$14,AL$19,),"")))))),"")</f>
        <v/>
      </c>
      <c r="DF20" s="1883" t="str" cm="1">
        <f t="array" ca="1" aca="1" ref="DF20">IFERROR(IF(AM20*fxVal_normal=_CF!AM20,"",IF(OR(AM20="",NOT(ISNUMBER(AM20)),ISERROR(AM20),$B20=""),"",IF($I20=1,IFBLANK(_xldudf_CX_PUSH(AM20*fxVal_normal,CX_ENTITY,$B20,AM$11,AM$14,AM$19,),""),IF($I20=2,IFBLANK(_xldudf_CX_PUSH(AM20,CX_ENTITY,$B20,AM$11,AM$14,AM$19,),""),IF($I20=3,"",IFBLANK(_xldudf_CX_PUSH(AM20,CX_ENTITY,$B20,AM$11,AM$14,AM$19,),"")))))),"")</f>
        <v/>
      </c>
      <c r="DG20" s="1883" t="str" cm="1">
        <f t="array" ca="1" aca="1" ref="DG20">IFERROR(IF(AN20*fxVal_normal=_CF!AN20,"",IF(OR(AN20="",NOT(ISNUMBER(AN20)),ISERROR(AN20),$B20=""),"",IF($I20=1,IFBLANK(_xldudf_CX_PUSH(AN20*fxVal_normal,CX_ENTITY,$B20,AN$11,AN$14,AN$19,),""),IF($I20=2,IFBLANK(_xldudf_CX_PUSH(AN20,CX_ENTITY,$B20,AN$11,AN$14,AN$19,),""),IF($I20=3,"",IFBLANK(_xldudf_CX_PUSH(AN20,CX_ENTITY,$B20,AN$11,AN$14,AN$19,),"")))))),"")</f>
        <v/>
      </c>
      <c r="DH20" s="1883" t="str" cm="1">
        <f t="array" ca="1" aca="1" ref="DH20">IFERROR(IF(AO20*fxVal_normal=_CF!AO20,"",IF(OR(AO20="",NOT(ISNUMBER(AO20)),ISERROR(AO20),$B20=""),"",IF($I20=1,IFBLANK(_xldudf_CX_PUSH(AO20*fxVal_normal,CX_ENTITY,$B20,AO$11,AO$14,AO$19,),""),IF($I20=2,IFBLANK(_xldudf_CX_PUSH(AO20,CX_ENTITY,$B20,AO$11,AO$14,AO$19,),""),IF($I20=3,"",IFBLANK(_xldudf_CX_PUSH(AO20,CX_ENTITY,$B20,AO$11,AO$14,AO$19,),"")))))),"")</f>
        <v/>
      </c>
      <c r="DI20" s="1883" t="str" cm="1">
        <f t="array" ca="1" aca="1" ref="DI20">IFERROR(IF(AP20*fxVal_normal=_CF!AP20,"",IF(OR(AP20="",NOT(ISNUMBER(AP20)),ISERROR(AP20),$B20=""),"",IF($I20=1,IFBLANK(_xldudf_CX_PUSH(AP20*fxVal_normal,CX_ENTITY,$B20,AP$11,AP$14,AP$19,),""),IF($I20=2,IFBLANK(_xldudf_CX_PUSH(AP20,CX_ENTITY,$B20,AP$11,AP$14,AP$19,),""),IF($I20=3,"",IFBLANK(_xldudf_CX_PUSH(AP20,CX_ENTITY,$B20,AP$11,AP$14,AP$19,),"")))))),"")</f>
        <v/>
      </c>
      <c r="DJ20" s="1883" t="str" cm="1">
        <f t="array" ca="1" aca="1" ref="DJ20">IFERROR(IF(AQ20*fxVal_normal=_CF!AQ20,"",IF(OR(AQ20="",NOT(ISNUMBER(AQ20)),ISERROR(AQ20),$B20=""),"",IF($I20=1,IFBLANK(_xldudf_CX_PUSH(AQ20*fxVal_normal,CX_ENTITY,$B20,AQ$11,AQ$14,AQ$19,),""),IF($I20=2,IFBLANK(_xldudf_CX_PUSH(AQ20,CX_ENTITY,$B20,AQ$11,AQ$14,AQ$19,),""),IF($I20=3,"",IFBLANK(_xldudf_CX_PUSH(AQ20,CX_ENTITY,$B20,AQ$11,AQ$14,AQ$19,),"")))))),"")</f>
        <v/>
      </c>
      <c r="DK20" s="1883" t="str" cm="1">
        <f t="array" ca="1" aca="1" ref="DK20">IFERROR(IF(AR20*fxVal_normal=_CF!AR20,"",IF(OR(AR20="",NOT(ISNUMBER(AR20)),ISERROR(AR20),$B20=""),"",IF($I20=1,IFBLANK(_xldudf_CX_PUSH(AR20*fxVal_normal,CX_ENTITY,$B20,AR$11,AR$14,AR$19,),""),IF($I20=2,IFBLANK(_xldudf_CX_PUSH(AR20,CX_ENTITY,$B20,AR$11,AR$14,AR$19,),""),IF($I20=3,"",IFBLANK(_xldudf_CX_PUSH(AR20,CX_ENTITY,$B20,AR$11,AR$14,AR$19,),"")))))),"")</f>
        <v/>
      </c>
      <c r="DL20" s="1883" t="str" cm="1">
        <f t="array" ca="1" aca="1" ref="DL20">IFERROR(IF(AS20*fxVal_normal=_CF!AS20,"",IF(OR(AS20="",NOT(ISNUMBER(AS20)),ISERROR(AS20),$B20=""),"",IF($I20=1,IFBLANK(_xldudf_CX_PUSH(AS20*fxVal_normal,CX_ENTITY,$B20,AS$11,AS$14,AS$19,),""),IF($I20=2,IFBLANK(_xldudf_CX_PUSH(AS20,CX_ENTITY,$B20,AS$11,AS$14,AS$19,),""),IF($I20=3,"",IFBLANK(_xldudf_CX_PUSH(AS20,CX_ENTITY,$B20,AS$11,AS$14,AS$19,),"")))))),"")</f>
        <v/>
      </c>
      <c r="DM20" s="1883" t="str" cm="1">
        <f t="array" ca="1" aca="1" ref="DM20">IFERROR(IF(AT20*fxVal_normal=_CF!AT20,"",IF(OR(AT20="",NOT(ISNUMBER(AT20)),ISERROR(AT20),$B20=""),"",IF($I20=1,IFBLANK(_xldudf_CX_PUSH(AT20*fxVal_normal,CX_ENTITY,$B20,AT$11,AT$14,AT$19,),""),IF($I20=2,IFBLANK(_xldudf_CX_PUSH(AT20,CX_ENTITY,$B20,AT$11,AT$14,AT$19,),""),IF($I20=3,"",IFBLANK(_xldudf_CX_PUSH(AT20,CX_ENTITY,$B20,AT$11,AT$14,AT$19,),"")))))),"")</f>
        <v/>
      </c>
      <c r="DN20" s="1883" t="str" cm="1">
        <f t="array" ca="1" aca="1" ref="DN20">IFERROR(IF(AU20*fxVal_normal=_CF!AU20,"",IF(OR(AU20="",NOT(ISNUMBER(AU20)),ISERROR(AU20),$B20=""),"",IF($I20=1,IFBLANK(_xldudf_CX_PUSH(AU20*fxVal_normal,CX_ENTITY,$B20,AU$11,AU$14,AU$19,),""),IF($I20=2,IFBLANK(_xldudf_CX_PUSH(AU20,CX_ENTITY,$B20,AU$11,AU$14,AU$19,),""),IF($I20=3,"",IFBLANK(_xldudf_CX_PUSH(AU20,CX_ENTITY,$B20,AU$11,AU$14,AU$19,),"")))))),"")</f>
        <v/>
      </c>
      <c r="DO20" s="1883" t="str" cm="1">
        <f t="array" ca="1" aca="1" ref="DO20">IFERROR(IF(AV20*fxVal_normal=_CF!AV20,"",IF(OR(AV20="",NOT(ISNUMBER(AV20)),ISERROR(AV20),$B20=""),"",IF($I20=1,IFBLANK(_xldudf_CX_PUSH(AV20*fxVal_normal,CX_ENTITY,$B20,AV$11,AV$14,AV$19,),""),IF($I20=2,IFBLANK(_xldudf_CX_PUSH(AV20,CX_ENTITY,$B20,AV$11,AV$14,AV$19,),""),IF($I20=3,"",IFBLANK(_xldudf_CX_PUSH(AV20,CX_ENTITY,$B20,AV$11,AV$14,AV$19,),"")))))),"")</f>
        <v/>
      </c>
      <c r="DP20" s="1883" t="str" cm="1">
        <f t="array" ca="1" aca="1" ref="DP20">IFERROR(IF(AW20*fxVal_normal=_CF!AW20,"",IF(OR(AW20="",NOT(ISNUMBER(AW20)),ISERROR(AW20),$B20=""),"",IF($I20=1,IFBLANK(_xldudf_CX_PUSH(AW20*fxVal_normal,CX_ENTITY,$B20,AW$11,AW$14,AW$19,),""),IF($I20=2,IFBLANK(_xldudf_CX_PUSH(AW20,CX_ENTITY,$B20,AW$11,AW$14,AW$19,),""),IF($I20=3,"",IFBLANK(_xldudf_CX_PUSH(AW20,CX_ENTITY,$B20,AW$11,AW$14,AW$19,),"")))))),"")</f>
        <v/>
      </c>
      <c r="DQ20" s="1883" t="str" cm="1">
        <f t="array" ca="1" aca="1" ref="DQ20">IFERROR(IF(AX20*fxVal_normal=_CF!AX20,"",IF(OR(AX20="",NOT(ISNUMBER(AX20)),ISERROR(AX20),$B20=""),"",IF($I20=1,IFBLANK(_xldudf_CX_PUSH(AX20*fxVal_normal,CX_ENTITY,$B20,AX$11,AX$14,AX$19,),""),IF($I20=2,IFBLANK(_xldudf_CX_PUSH(AX20,CX_ENTITY,$B20,AX$11,AX$14,AX$19,),""),IF($I20=3,"",IFBLANK(_xldudf_CX_PUSH(AX20,CX_ENTITY,$B20,AX$11,AX$14,AX$19,),"")))))),"")</f>
        <v/>
      </c>
      <c r="DR20" s="1883" t="str" cm="1">
        <f t="array" ca="1" aca="1" ref="DR20">IFERROR(IF(AY20*fxVal_normal=_CF!AY20,"",IF(OR(AY20="",NOT(ISNUMBER(AY20)),ISERROR(AY20),$B20=""),"",IF($I20=1,IFBLANK(_xldudf_CX_PUSH(AY20*fxVal_normal,CX_ENTITY,$B20,AY$11,AY$14,AY$19,),""),IF($I20=2,IFBLANK(_xldudf_CX_PUSH(AY20,CX_ENTITY,$B20,AY$11,AY$14,AY$19,),""),IF($I20=3,"",IFBLANK(_xldudf_CX_PUSH(AY20,CX_ENTITY,$B20,AY$11,AY$14,AY$19,),"")))))),"")</f>
        <v/>
      </c>
      <c r="DS20" s="1883" t="str" cm="1">
        <f t="array" ca="1" aca="1" ref="DS20">IFERROR(IF(AZ20*fxVal_normal=_CF!AZ20,"",IF(OR(AZ20="",NOT(ISNUMBER(AZ20)),ISERROR(AZ20),$B20=""),"",IF($I20=1,IFBLANK(_xldudf_CX_PUSH(AZ20*fxVal_normal,CX_ENTITY,$B20,AZ$11,AZ$14,AZ$19,),""),IF($I20=2,IFBLANK(_xldudf_CX_PUSH(AZ20,CX_ENTITY,$B20,AZ$11,AZ$14,AZ$19,),""),IF($I20=3,"",IFBLANK(_xldudf_CX_PUSH(AZ20,CX_ENTITY,$B20,AZ$11,AZ$14,AZ$19,),"")))))),"")</f>
        <v/>
      </c>
      <c r="DT20" s="1883" t="str" cm="1">
        <f t="array" ca="1" aca="1" ref="DT20">IFERROR(IF(BA20*fxVal_normal=_CF!BA20,"",IF(OR(BA20="",NOT(ISNUMBER(BA20)),ISERROR(BA20),$B20=""),"",IF($I20=1,IFBLANK(_xldudf_CX_PUSH(BA20*fxVal_normal,CX_ENTITY,$B20,BA$11,BA$14,BA$19,),""),IF($I20=2,IFBLANK(_xldudf_CX_PUSH(BA20,CX_ENTITY,$B20,BA$11,BA$14,BA$19,),""),IF($I20=3,"",IFBLANK(_xldudf_CX_PUSH(BA20,CX_ENTITY,$B20,BA$11,BA$14,BA$19,),"")))))),"")</f>
        <v/>
      </c>
      <c r="DU20" s="1883" t="str" cm="1">
        <f t="array" ca="1" aca="1" ref="DU20">IFERROR(IF(BB20*fxVal_normal=_CF!BB20,"",IF(OR(BB20="",NOT(ISNUMBER(BB20)),ISERROR(BB20),$B20=""),"",IF($I20=1,IFBLANK(_xldudf_CX_PUSH(BB20*fxVal_normal,CX_ENTITY,$B20,BB$11,BB$14,BB$19,),""),IF($I20=2,IFBLANK(_xldudf_CX_PUSH(BB20,CX_ENTITY,$B20,BB$11,BB$14,BB$19,),""),IF($I20=3,"",IFBLANK(_xldudf_CX_PUSH(BB20,CX_ENTITY,$B20,BB$11,BB$14,BB$19,),"")))))),"")</f>
        <v/>
      </c>
      <c r="DV20" s="1883" t="str" cm="1">
        <f t="array" ca="1" aca="1" ref="DV20">IFERROR(IF(BC20*fxVal_normal=_CF!BC20,"",IF(OR(BC20="",NOT(ISNUMBER(BC20)),ISERROR(BC20),$B20=""),"",IF($I20=1,IFBLANK(_xldudf_CX_PUSH(BC20*fxVal_normal,CX_ENTITY,$B20,BC$11,BC$14,BC$19,),""),IF($I20=2,IFBLANK(_xldudf_CX_PUSH(BC20,CX_ENTITY,$B20,BC$11,BC$14,BC$19,),""),IF($I20=3,"",IFBLANK(_xldudf_CX_PUSH(BC20,CX_ENTITY,$B20,BC$11,BC$14,BC$19,),"")))))),"")</f>
        <v/>
      </c>
      <c r="DW20" s="1883" t="str" cm="1">
        <f t="array" ca="1" aca="1" ref="DW20">IFERROR(IF(BD20*fxVal_normal=_CF!BD20,"",IF(OR(BD20="",NOT(ISNUMBER(BD20)),ISERROR(BD20),$B20=""),"",IF($I20=1,IFBLANK(_xldudf_CX_PUSH(BD20*fxVal_normal,CX_ENTITY,$B20,BD$11,BD$14,BD$19,),""),IF($I20=2,IFBLANK(_xldudf_CX_PUSH(BD20,CX_ENTITY,$B20,BD$11,BD$14,BD$19,),""),IF($I20=3,"",IFBLANK(_xldudf_CX_PUSH(BD20,CX_ENTITY,$B20,BD$11,BD$14,BD$19,),"")))))),"")</f>
        <v/>
      </c>
      <c r="DX20" s="1883" t="str" cm="1">
        <f t="array" ca="1" aca="1" ref="DX20">IFERROR(IF(BE20*fxVal_normal=_CF!BE20,"",IF(OR(BE20="",NOT(ISNUMBER(BE20)),ISERROR(BE20),$B20=""),"",IF($I20=1,IFBLANK(_xldudf_CX_PUSH(BE20*fxVal_normal,CX_ENTITY,$B20,BE$11,BE$14,BE$19,),""),IF($I20=2,IFBLANK(_xldudf_CX_PUSH(BE20,CX_ENTITY,$B20,BE$11,BE$14,BE$19,),""),IF($I20=3,"",IFBLANK(_xldudf_CX_PUSH(BE20,CX_ENTITY,$B20,BE$11,BE$14,BE$19,),"")))))),"")</f>
        <v/>
      </c>
      <c r="DY20" s="1883" t="str" cm="1">
        <f t="array" ca="1" aca="1" ref="DY20">IFERROR(IF(BF20*fxVal_normal=_CF!BF20,"",IF(OR(BF20="",NOT(ISNUMBER(BF20)),ISERROR(BF20),$B20=""),"",IF($I20=1,IFBLANK(_xldudf_CX_PUSH(BF20*fxVal_normal,CX_ENTITY,$B20,BF$11,BF$14,BF$19,),""),IF($I20=2,IFBLANK(_xldudf_CX_PUSH(BF20,CX_ENTITY,$B20,BF$11,BF$14,BF$19,),""),IF($I20=3,"",IFBLANK(_xldudf_CX_PUSH(BF20,CX_ENTITY,$B20,BF$11,BF$14,BF$19,),"")))))),"")</f>
        <v/>
      </c>
      <c r="DZ20" s="1883" t="str" cm="1">
        <f t="array" ca="1" aca="1" ref="DZ20">IFERROR(IF(BG20*fxVal_normal=_CF!BG20,"",IF(OR(BG20="",NOT(ISNUMBER(BG20)),ISERROR(BG20),$B20=""),"",IF($I20=1,IFBLANK(_xldudf_CX_PUSH(BG20*fxVal_normal,CX_ENTITY,$B20,BG$11,BG$14,BG$19,),""),IF($I20=2,IFBLANK(_xldudf_CX_PUSH(BG20,CX_ENTITY,$B20,BG$11,BG$14,BG$19,),""),IF($I20=3,"",IFBLANK(_xldudf_CX_PUSH(BG20,CX_ENTITY,$B20,BG$11,BG$14,BG$19,),"")))))),"")</f>
        <v/>
      </c>
      <c r="EA20" s="1883" t="str" cm="1">
        <f t="array" ca="1" aca="1" ref="EA20">IFERROR(IF(BH20*fxVal_normal=_CF!BH20,"",IF(OR(BH20="",NOT(ISNUMBER(BH20)),ISERROR(BH20),$B20=""),"",IF($I20=1,IFBLANK(_xldudf_CX_PUSH(BH20*fxVal_normal,CX_ENTITY,$B20,BH$11,BH$14,BH$19,),""),IF($I20=2,IFBLANK(_xldudf_CX_PUSH(BH20,CX_ENTITY,$B20,BH$11,BH$14,BH$19,),""),IF($I20=3,"",IFBLANK(_xldudf_CX_PUSH(BH20,CX_ENTITY,$B20,BH$11,BH$14,BH$19,),"")))))),"")</f>
        <v/>
      </c>
      <c r="EB20" s="1883" t="str" cm="1">
        <f t="array" ca="1" aca="1" ref="EB20">IFERROR(IF(BI20*fxVal_normal=_CF!BI20,"",IF(OR(BI20="",NOT(ISNUMBER(BI20)),ISERROR(BI20),$B20=""),"",IF($I20=1,IFBLANK(_xldudf_CX_PUSH(BI20*fxVal_normal,CX_ENTITY,$B20,BI$11,BI$14,BI$19,),""),IF($I20=2,IFBLANK(_xldudf_CX_PUSH(BI20,CX_ENTITY,$B20,BI$11,BI$14,BI$19,),""),IF($I20=3,"",IFBLANK(_xldudf_CX_PUSH(BI20,CX_ENTITY,$B20,BI$11,BI$14,BI$19,),"")))))),"")</f>
        <v/>
      </c>
      <c r="EC20" s="1883" t="str" cm="1">
        <f t="array" ca="1" aca="1" ref="EC20">IFERROR(IF(BJ20*fxVal_normal=_CF!BJ20,"",IF(OR(BJ20="",NOT(ISNUMBER(BJ20)),ISERROR(BJ20),$B20=""),"",IF($I20=1,IFBLANK(_xldudf_CX_PUSH(BJ20*fxVal_normal,CX_ENTITY,$B20,BJ$11,BJ$14,BJ$19,),""),IF($I20=2,IFBLANK(_xldudf_CX_PUSH(BJ20,CX_ENTITY,$B20,BJ$11,BJ$14,BJ$19,),""),IF($I20=3,"",IFBLANK(_xldudf_CX_PUSH(BJ20,CX_ENTITY,$B20,BJ$11,BJ$14,BJ$19,),"")))))),"")</f>
        <v/>
      </c>
      <c r="ED20" s="1883" t="str" cm="1">
        <f t="array" ca="1" aca="1" ref="ED20">IFERROR(IF(BK20*fxVal_normal=_CF!BK20,"",IF(OR(BK20="",NOT(ISNUMBER(BK20)),ISERROR(BK20),$B20=""),"",IF($I20=1,IFBLANK(_xldudf_CX_PUSH(BK20*fxVal_normal,CX_ENTITY,$B20,BK$11,BK$14,BK$19,),""),IF($I20=2,IFBLANK(_xldudf_CX_PUSH(BK20,CX_ENTITY,$B20,BK$11,BK$14,BK$19,),""),IF($I20=3,"",IFBLANK(_xldudf_CX_PUSH(BK20,CX_ENTITY,$B20,BK$11,BK$14,BK$19,),"")))))),"")</f>
        <v/>
      </c>
      <c r="EE20" s="1883" t="str" cm="1">
        <f t="array" ca="1" aca="1" ref="EE20">IFERROR(IF(BL20*fxVal_normal=_CF!BL20,"",IF(OR(BL20="",NOT(ISNUMBER(BL20)),ISERROR(BL20),$B20=""),"",IF($I20=1,IFBLANK(_xldudf_CX_PUSH(BL20*fxVal_normal,CX_ENTITY,$B20,BL$11,BL$14,BL$19,),""),IF($I20=2,IFBLANK(_xldudf_CX_PUSH(BL20,CX_ENTITY,$B20,BL$11,BL$14,BL$19,),""),IF($I20=3,"",IFBLANK(_xldudf_CX_PUSH(BL20,CX_ENTITY,$B20,BL$11,BL$14,BL$19,),"")))))),"")</f>
        <v/>
      </c>
      <c r="EF20" s="1883" t="str" cm="1">
        <f t="array" ca="1" aca="1" ref="EF20">IFERROR(IF(BM20*fxVal_normal=_CF!BM20,"",IF(OR(BM20="",NOT(ISNUMBER(BM20)),ISERROR(BM20),$B20=""),"",IF($I20=1,IFBLANK(_xldudf_CX_PUSH(BM20*fxVal_normal,CX_ENTITY,$B20,BM$11,BM$14,BM$19,),""),IF($I20=2,IFBLANK(_xldudf_CX_PUSH(BM20,CX_ENTITY,$B20,BM$11,BM$14,BM$19,),""),IF($I20=3,"",IFBLANK(_xldudf_CX_PUSH(BM20,CX_ENTITY,$B20,BM$11,BM$14,BM$19,),"")))))),"")</f>
        <v/>
      </c>
      <c r="EG20" s="1883" t="str" cm="1">
        <f t="array" ca="1" aca="1" ref="EG20">IFERROR(IF(BN20*fxVal_normal=_CF!BN20,"",IF(OR(BN20="",NOT(ISNUMBER(BN20)),ISERROR(BN20),$B20=""),"",IF($I20=1,IFBLANK(_xldudf_CX_PUSH(BN20*fxVal_normal,CX_ENTITY,$B20,BN$11,BN$14,BN$19,),""),IF($I20=2,IFBLANK(_xldudf_CX_PUSH(BN20,CX_ENTITY,$B20,BN$11,BN$14,BN$19,),""),IF($I20=3,"",IFBLANK(_xldudf_CX_PUSH(BN20,CX_ENTITY,$B20,BN$11,BN$14,BN$19,),"")))))),"")</f>
        <v/>
      </c>
    </row>
    <row r="21" spans="1:137" ht="21" customHeight="1">
      <c r="A21" s="1625"/>
      <c r="B21" s="695" t="str" cm="1">
        <f t="array" ref="B21">IFBLANK(_CF!F21,"")</f>
        <v>Non-Cash Adjustments</v>
      </c>
      <c r="C21" s="3340" t="str" cm="1">
        <f t="array" ref="C21">IFBLANK(_CF!C21,"")</f>
        <v>Non-Cash Adjustments (Company View)</v>
      </c>
      <c r="D21" s="1548"/>
      <c r="E21" s="695"/>
      <c r="F21" s="577"/>
      <c r="G21" s="578"/>
      <c r="H21" s="3279">
        <v>1</v>
      </c>
      <c r="I21" s="3279">
        <v>1</v>
      </c>
      <c r="J21" s="3280" cm="1">
        <f t="array" ref="J21">IFBLANK(Z21,"")</f>
        <v>1</v>
      </c>
      <c r="K21" s="578"/>
      <c r="N21" s="158"/>
      <c r="O21" s="101"/>
      <c r="P21" s="52"/>
      <c r="Q21" s="101"/>
      <c r="R21" s="126"/>
      <c r="S21" s="101"/>
      <c r="T21" s="101"/>
      <c r="U21" s="39"/>
      <c r="W21" s="932" t="str">
        <f>$W$20</f>
        <v>Actual</v>
      </c>
      <c r="X21" s="815" t="str">
        <f>_CF!X21</f>
        <v>a</v>
      </c>
      <c r="Y21" s="3231">
        <v>2</v>
      </c>
      <c r="Z21" s="3291" cm="1">
        <f t="array" ref="Z21">_xlfn.SWITCH(TRUE,_CF!$L21=TRUE,1,_CF!$L21=FALSE,-1,_CF!$L21=-1,0,"n/a")</f>
        <v>1</v>
      </c>
      <c r="AA21" s="200"/>
      <c r="AB21" s="3343" t="str">
        <f>_CF!AB21</f>
        <v>Non-Cash Adjustments</v>
      </c>
      <c r="AC21" s="88" t="e" vm="5" cm="1">
        <f t="array" ca="1" aca="1" ref="AC21">_xlfn.LET(_xlpm._termname,$AB21,_xlpm._iconname,"find",_xlpm._icon,fx_getIcon(_xlpm._iconname),_xlpm._location,_xlfn.XLOOKUP(LOWER(_xlpm._termname),LOWER(tbl_acctDef[Term]),tbl_acctDef[Term]),_xlpm._hyperlink,HYPERLINK("#"&amp;CELL("address",_xlpm._location),_xlpm._icon),IFERROR(_xlpm._hyperlink,""))</f>
        <v>#VALUE!</v>
      </c>
      <c r="AD21" s="3232">
        <v>1</v>
      </c>
      <c r="AE21" s="3232">
        <v>1</v>
      </c>
      <c r="AF21" s="3232">
        <v>1</v>
      </c>
      <c r="AG21" s="3232">
        <v>1</v>
      </c>
      <c r="AH21" s="3232">
        <v>1</v>
      </c>
      <c r="AI21" s="3232">
        <v>1</v>
      </c>
      <c r="AJ21" s="3232">
        <v>1</v>
      </c>
      <c r="AK21" s="3232">
        <v>1</v>
      </c>
      <c r="AL21" s="3232">
        <v>1</v>
      </c>
      <c r="AM21" s="3232">
        <v>1</v>
      </c>
      <c r="AN21" s="3232">
        <v>1</v>
      </c>
      <c r="AO21" s="3232">
        <v>1</v>
      </c>
      <c r="AP21" s="3232">
        <v>1</v>
      </c>
      <c r="AQ21" s="3232">
        <v>1</v>
      </c>
      <c r="AR21" s="3232">
        <v>1</v>
      </c>
      <c r="AS21" s="3232">
        <v>1</v>
      </c>
      <c r="AT21" s="3232">
        <v>1</v>
      </c>
      <c r="AU21" s="3232">
        <v>1</v>
      </c>
      <c r="AV21" s="3232">
        <v>1</v>
      </c>
      <c r="AW21" s="3232">
        <v>1</v>
      </c>
      <c r="AX21" s="3232">
        <v>1</v>
      </c>
      <c r="AY21" s="3232">
        <v>1</v>
      </c>
      <c r="AZ21" s="3232">
        <v>1</v>
      </c>
      <c r="BA21" s="3232">
        <v>1</v>
      </c>
      <c r="BB21" s="3232">
        <v>1</v>
      </c>
      <c r="BC21" s="3232">
        <v>1</v>
      </c>
      <c r="BD21" s="3232">
        <v>1</v>
      </c>
      <c r="BE21" s="3232">
        <v>1</v>
      </c>
      <c r="BF21" s="3232">
        <v>1</v>
      </c>
      <c r="BG21" s="3232">
        <v>1</v>
      </c>
      <c r="BH21" s="3232">
        <v>1</v>
      </c>
      <c r="BI21" s="3232">
        <v>1</v>
      </c>
      <c r="BJ21" s="3232">
        <v>1</v>
      </c>
      <c r="BK21" s="3232">
        <v>1</v>
      </c>
      <c r="BL21" s="3232">
        <v>1</v>
      </c>
      <c r="BM21" s="3232">
        <v>1</v>
      </c>
      <c r="BN21" s="3232">
        <v>1</v>
      </c>
      <c r="BO21" s="2115"/>
      <c r="BP21" s="2115"/>
      <c r="BQ21" s="2115"/>
      <c r="BR21" s="2115"/>
      <c r="BS21" s="2115"/>
      <c r="BT21" s="2115"/>
      <c r="BU21" s="2115"/>
      <c r="BV21" s="2115"/>
      <c r="BW21" s="2115"/>
      <c r="BX21" s="2115"/>
      <c r="BY21" s="2115"/>
      <c r="BZ21" s="2115"/>
      <c r="CA21" s="1330"/>
      <c r="CB21" s="537"/>
      <c r="CC21" s="1484"/>
      <c r="CD21" s="1461" t="e" cm="1">
        <f t="array" ca="1" aca="1" ref="CD21">_xlfn.LET(_xlpm.CheckBlank,SUM(CF!$AD21:$BN21)=0,IF(_xlpm.CheckBlank,"",SUM(_xlfn._xlws.FILTER(CF!$AD21:$BN21,(YEAR(CF!$AD$12:$BN$12)=CF!CD$12)*(array_timeline&lt;=CF!CD$11)))))</f>
        <v>#NAME?</v>
      </c>
      <c r="CE21" s="1461" t="e" cm="1">
        <f t="array" ca="1" aca="1" ref="CE21">_xlfn.LET(_xlpm.CheckBlank,SUM(CF!$AD21:$BN21)=0,IF(_xlpm.CheckBlank,"",SUM(_xlfn._xlws.FILTER(CF!$AD21:$BN21,(YEAR(CF!$AD$12:$BN$12)=CF!CE$12)*(array_timeline&lt;=CF!CE$11)))))</f>
        <v>#NAME?</v>
      </c>
      <c r="CF21" s="1314"/>
      <c r="CG21" s="1461" t="e" cm="1">
        <f t="array" ca="1" aca="1" ref="CG21">_xlfn.LET(_xlpm.CheckBlank,SUM(CF!$AD21:$BN21)=0,IF(_xlpm.CheckBlank,"",SUM(_xlfn._xlws.FILTER(CF!$AD21:$BN21,(YEAR(CF!$AD$12:$BN$12)=CF!CG$12)*(array_timeline&lt;=CF!CG$11)))))</f>
        <v>#NAME?</v>
      </c>
      <c r="CH21" s="1461" t="e" cm="1">
        <f t="array" ca="1" aca="1" ref="CH21">_xlfn.LET(_xlpm.CheckBlank,SUM(CF!$AD21:$BN21)=0,IF(_xlpm.CheckBlank,"",SUM(_xlfn._xlws.FILTER(CF!$AD21:$BN21,(YEAR(CF!$AD$12:$BN$12)=CF!CH$12)*(array_timeline&lt;=CF!CH$11)))))</f>
        <v>#NAME?</v>
      </c>
      <c r="CI21" s="1314"/>
      <c r="CJ21" s="1461" cm="1">
        <f t="array" ref="CJ21">_xlfn.LET(_xlpm.CheckBlank,SUM(CF!$AD21:$BN21)=0,IF(_xlpm.CheckBlank,"",SUM(_xlfn.TAKE(_xlfn.DROP(CF!$AD21:$BN21,,-DATEDIFF(CF!CJ$11,val_asOfDate,"M")),1,-12))))</f>
        <v>12</v>
      </c>
      <c r="CK21" s="1461" cm="1">
        <f t="array" ref="CK21">_xlfn.LET(_xlpm.CheckBlank,SUM(CF!$AD21:$BN21)=0,IF(_xlpm.CheckBlank,"",SUM(_xlfn.TAKE(_xlfn.DROP(CF!$AD21:$BN21,,-DATEDIFF(CF!CK$11,val_asOfDate,"M")),1,-12))))</f>
        <v>12</v>
      </c>
      <c r="CL21" s="1314"/>
      <c r="CM21" s="3353" t="e" cm="1">
        <f t="array" ca="1" aca="1" ref="CM21">TODECIMAL(IFBLANK(_CF!CM21,""),fxVal_normal)</f>
        <v>#NAME?</v>
      </c>
      <c r="CN21" s="3353" t="e" cm="1">
        <f t="array" ca="1" aca="1" ref="CN21">TODECIMAL(IFBLANK(_CF!CN21,""),fxVal_normal)</f>
        <v>#NAME?</v>
      </c>
      <c r="CO21" s="34"/>
      <c r="CQ21" s="2085" t="str" cm="1">
        <f t="array" ca="1" aca="1" ref="CQ21">IFERROR(IF(Y21&lt;&gt;AB21,_xldudf_CX_PUSH(Y21,CX_ENTITY,C21,EOMONTH(val_asOfDate,0)),""),"")</f>
        <v/>
      </c>
      <c r="CR21" s="2085" t="str" cm="1">
        <f t="array" ca="1" aca="1" ref="CR21">IFERROR(IF(Y21&lt;&gt;AB21,_xldudf_CX_PUSH(Y21,CX_ENTITY,C21,EOMONTH(val_asOfDate,1)),""),"")</f>
        <v/>
      </c>
      <c r="CS21" s="2085" t="str" cm="1">
        <f t="array" ca="1" aca="1" ref="CS21">IFERROR(IF(Y21&lt;&gt;AB21,_xldudf_CX_PUSH(Y21,CX_ENTITY,C21,EOMONTH(val_asOfDate,2)),""),"")</f>
        <v/>
      </c>
      <c r="CT21" s="2085" t="str" cm="1">
        <f t="array" ca="1" aca="1" ref="CT21">IFERROR(IF(Y21&lt;&gt;AB21,_xldudf_CX_PUSH(Y21,CX_ENTITY,C21,EOMONTH(val_asOfDate,3)),""),"")</f>
        <v/>
      </c>
      <c r="CU21" s="2086" t="str" cm="1">
        <f t="array" ca="1" aca="1" ref="CU21">IFERROR(IF(CM21*fxVal_normal=_CF!CM21,"",IF(OR($CM21="",,NOT(ISNUMBER($CM21)),ISERROR($CM21),$B21=""),"",IF($I21=1,IFBLANK(_xldudf_CX_PUSH($CM21*fxVal_normal,CX_ENTITY,$B21,$CM$11,$CM$14,$CM$19,),""),IF($I21=2,IFBLANK(_xldudf_CX_PUSH($CM21,CX_ENTITY,$B21,$CM$11,$CM$14,$CM$19,),""),IF($I21=3,"",IFBLANK(_xldudf_CX_PUSH($CM21,CX_ENTITY,$B21,$CM$11,$CM$14,$CM$19,),"")))))),"")</f>
        <v/>
      </c>
      <c r="CV21" s="2086" t="str" cm="1">
        <f t="array" ca="1" aca="1" ref="CV21">IFERROR(IF(CN21*fxVal_normal=_CF!CN21,"",IF(OR($CN21="",,NOT(ISNUMBER($CN21)),ISERROR($CN21),$B21=""),"",IF($I21=1,IFBLANK(_xldudf_CX_PUSH($CN21*fxVal_normal,CX_ENTITY,$B21,$CN$11,$CN$14,$CN$19,),""),IF($I21=2,IFBLANK(_xldudf_CX_PUSH($CN21,CX_ENTITY,$B21,$CN$11,$CN$14,$CN$19,),""),IF($I21=3,"",IFBLANK(_xldudf_CX_PUSH($CN21,CX_ENTITY,$B21,$CN$11,$CN$14,$CN$19,),"")))))),"")</f>
        <v/>
      </c>
      <c r="CW21" s="1883" t="str" cm="1">
        <f t="array" ca="1" aca="1" ref="CW21">IFERROR(IF(AD21*fxVal_normal=_CF!AD21,"",IF(OR(AD21="",NOT(ISNUMBER(AD21)),ISERROR(AD21),$B21=""),"",IF($I21=1,IFBLANK(_xldudf_CX_PUSH(AD21*fxVal_normal,CX_ENTITY,$B21,AD$11,AD$14,AD$19,),""),IF($I21=2,IFBLANK(_xldudf_CX_PUSH(AD21,CX_ENTITY,$B21,AD$11,AD$14,AD$19,),""),IF($I21=3,"",IFBLANK(_xldudf_CX_PUSH(AD21,CX_ENTITY,$B21,AD$11,AD$14,AD$19,),"")))))),"")</f>
        <v/>
      </c>
      <c r="CX21" s="1883" t="str" cm="1">
        <f t="array" ca="1" aca="1" ref="CX21">IFERROR(IF(AE21*fxVal_normal=_CF!AE21,"",IF(OR(AE21="",NOT(ISNUMBER(AE21)),ISERROR(AE21),$B21=""),"",IF($I21=1,IFBLANK(_xldudf_CX_PUSH(AE21*fxVal_normal,CX_ENTITY,$B21,AE$11,AE$14,AE$19,),""),IF($I21=2,IFBLANK(_xldudf_CX_PUSH(AE21,CX_ENTITY,$B21,AE$11,AE$14,AE$19,),""),IF($I21=3,"",IFBLANK(_xldudf_CX_PUSH(AE21,CX_ENTITY,$B21,AE$11,AE$14,AE$19,),"")))))),"")</f>
        <v/>
      </c>
      <c r="CY21" s="1883" t="str" cm="1">
        <f t="array" ca="1" aca="1" ref="CY21">IFERROR(IF(AF21*fxVal_normal=_CF!AF21,"",IF(OR(AF21="",NOT(ISNUMBER(AF21)),ISERROR(AF21),$B21=""),"",IF($I21=1,IFBLANK(_xldudf_CX_PUSH(AF21*fxVal_normal,CX_ENTITY,$B21,AF$11,AF$14,AF$19,),""),IF($I21=2,IFBLANK(_xldudf_CX_PUSH(AF21,CX_ENTITY,$B21,AF$11,AF$14,AF$19,),""),IF($I21=3,"",IFBLANK(_xldudf_CX_PUSH(AF21,CX_ENTITY,$B21,AF$11,AF$14,AF$19,),"")))))),"")</f>
        <v/>
      </c>
      <c r="CZ21" s="1883" t="str" cm="1">
        <f t="array" ca="1" aca="1" ref="CZ21">IFERROR(IF(AG21*fxVal_normal=_CF!AG21,"",IF(OR(AG21="",NOT(ISNUMBER(AG21)),ISERROR(AG21),$B21=""),"",IF($I21=1,IFBLANK(_xldudf_CX_PUSH(AG21*fxVal_normal,CX_ENTITY,$B21,AG$11,AG$14,AG$19,),""),IF($I21=2,IFBLANK(_xldudf_CX_PUSH(AG21,CX_ENTITY,$B21,AG$11,AG$14,AG$19,),""),IF($I21=3,"",IFBLANK(_xldudf_CX_PUSH(AG21,CX_ENTITY,$B21,AG$11,AG$14,AG$19,),"")))))),"")</f>
        <v/>
      </c>
      <c r="DA21" s="1883" t="str" cm="1">
        <f t="array" ca="1" aca="1" ref="DA21">IFERROR(IF(AH21*fxVal_normal=_CF!AH21,"",IF(OR(AH21="",NOT(ISNUMBER(AH21)),ISERROR(AH21),$B21=""),"",IF($I21=1,IFBLANK(_xldudf_CX_PUSH(AH21*fxVal_normal,CX_ENTITY,$B21,AH$11,AH$14,AH$19,),""),IF($I21=2,IFBLANK(_xldudf_CX_PUSH(AH21,CX_ENTITY,$B21,AH$11,AH$14,AH$19,),""),IF($I21=3,"",IFBLANK(_xldudf_CX_PUSH(AH21,CX_ENTITY,$B21,AH$11,AH$14,AH$19,),"")))))),"")</f>
        <v/>
      </c>
      <c r="DB21" s="1883" t="str" cm="1">
        <f t="array" ca="1" aca="1" ref="DB21">IFERROR(IF(AI21*fxVal_normal=_CF!AI21,"",IF(OR(AI21="",NOT(ISNUMBER(AI21)),ISERROR(AI21),$B21=""),"",IF($I21=1,IFBLANK(_xldudf_CX_PUSH(AI21*fxVal_normal,CX_ENTITY,$B21,AI$11,AI$14,AI$19,),""),IF($I21=2,IFBLANK(_xldudf_CX_PUSH(AI21,CX_ENTITY,$B21,AI$11,AI$14,AI$19,),""),IF($I21=3,"",IFBLANK(_xldudf_CX_PUSH(AI21,CX_ENTITY,$B21,AI$11,AI$14,AI$19,),"")))))),"")</f>
        <v/>
      </c>
      <c r="DC21" s="1883" t="str" cm="1">
        <f t="array" ca="1" aca="1" ref="DC21">IFERROR(IF(AJ21*fxVal_normal=_CF!AJ21,"",IF(OR(AJ21="",NOT(ISNUMBER(AJ21)),ISERROR(AJ21),$B21=""),"",IF($I21=1,IFBLANK(_xldudf_CX_PUSH(AJ21*fxVal_normal,CX_ENTITY,$B21,AJ$11,AJ$14,AJ$19,),""),IF($I21=2,IFBLANK(_xldudf_CX_PUSH(AJ21,CX_ENTITY,$B21,AJ$11,AJ$14,AJ$19,),""),IF($I21=3,"",IFBLANK(_xldudf_CX_PUSH(AJ21,CX_ENTITY,$B21,AJ$11,AJ$14,AJ$19,),"")))))),"")</f>
        <v/>
      </c>
      <c r="DD21" s="1883" t="str" cm="1">
        <f t="array" ca="1" aca="1" ref="DD21">IFERROR(IF(AK21*fxVal_normal=_CF!AK21,"",IF(OR(AK21="",NOT(ISNUMBER(AK21)),ISERROR(AK21),$B21=""),"",IF($I21=1,IFBLANK(_xldudf_CX_PUSH(AK21*fxVal_normal,CX_ENTITY,$B21,AK$11,AK$14,AK$19,),""),IF($I21=2,IFBLANK(_xldudf_CX_PUSH(AK21,CX_ENTITY,$B21,AK$11,AK$14,AK$19,),""),IF($I21=3,"",IFBLANK(_xldudf_CX_PUSH(AK21,CX_ENTITY,$B21,AK$11,AK$14,AK$19,),"")))))),"")</f>
        <v/>
      </c>
      <c r="DE21" s="1883" t="str" cm="1">
        <f t="array" ca="1" aca="1" ref="DE21">IFERROR(IF(AL21*fxVal_normal=_CF!AL21,"",IF(OR(AL21="",NOT(ISNUMBER(AL21)),ISERROR(AL21),$B21=""),"",IF($I21=1,IFBLANK(_xldudf_CX_PUSH(AL21*fxVal_normal,CX_ENTITY,$B21,AL$11,AL$14,AL$19,),""),IF($I21=2,IFBLANK(_xldudf_CX_PUSH(AL21,CX_ENTITY,$B21,AL$11,AL$14,AL$19,),""),IF($I21=3,"",IFBLANK(_xldudf_CX_PUSH(AL21,CX_ENTITY,$B21,AL$11,AL$14,AL$19,),"")))))),"")</f>
        <v/>
      </c>
      <c r="DF21" s="1883" t="str" cm="1">
        <f t="array" ca="1" aca="1" ref="DF21">IFERROR(IF(AM21*fxVal_normal=_CF!AM21,"",IF(OR(AM21="",NOT(ISNUMBER(AM21)),ISERROR(AM21),$B21=""),"",IF($I21=1,IFBLANK(_xldudf_CX_PUSH(AM21*fxVal_normal,CX_ENTITY,$B21,AM$11,AM$14,AM$19,),""),IF($I21=2,IFBLANK(_xldudf_CX_PUSH(AM21,CX_ENTITY,$B21,AM$11,AM$14,AM$19,),""),IF($I21=3,"",IFBLANK(_xldudf_CX_PUSH(AM21,CX_ENTITY,$B21,AM$11,AM$14,AM$19,),"")))))),"")</f>
        <v/>
      </c>
      <c r="DG21" s="1883" t="str" cm="1">
        <f t="array" ca="1" aca="1" ref="DG21">IFERROR(IF(AN21*fxVal_normal=_CF!AN21,"",IF(OR(AN21="",NOT(ISNUMBER(AN21)),ISERROR(AN21),$B21=""),"",IF($I21=1,IFBLANK(_xldudf_CX_PUSH(AN21*fxVal_normal,CX_ENTITY,$B21,AN$11,AN$14,AN$19,),""),IF($I21=2,IFBLANK(_xldudf_CX_PUSH(AN21,CX_ENTITY,$B21,AN$11,AN$14,AN$19,),""),IF($I21=3,"",IFBLANK(_xldudf_CX_PUSH(AN21,CX_ENTITY,$B21,AN$11,AN$14,AN$19,),"")))))),"")</f>
        <v/>
      </c>
      <c r="DH21" s="1883" t="str" cm="1">
        <f t="array" ca="1" aca="1" ref="DH21">IFERROR(IF(AO21*fxVal_normal=_CF!AO21,"",IF(OR(AO21="",NOT(ISNUMBER(AO21)),ISERROR(AO21),$B21=""),"",IF($I21=1,IFBLANK(_xldudf_CX_PUSH(AO21*fxVal_normal,CX_ENTITY,$B21,AO$11,AO$14,AO$19,),""),IF($I21=2,IFBLANK(_xldudf_CX_PUSH(AO21,CX_ENTITY,$B21,AO$11,AO$14,AO$19,),""),IF($I21=3,"",IFBLANK(_xldudf_CX_PUSH(AO21,CX_ENTITY,$B21,AO$11,AO$14,AO$19,),"")))))),"")</f>
        <v/>
      </c>
      <c r="DI21" s="1883" t="str" cm="1">
        <f t="array" ca="1" aca="1" ref="DI21">IFERROR(IF(AP21*fxVal_normal=_CF!AP21,"",IF(OR(AP21="",NOT(ISNUMBER(AP21)),ISERROR(AP21),$B21=""),"",IF($I21=1,IFBLANK(_xldudf_CX_PUSH(AP21*fxVal_normal,CX_ENTITY,$B21,AP$11,AP$14,AP$19,),""),IF($I21=2,IFBLANK(_xldudf_CX_PUSH(AP21,CX_ENTITY,$B21,AP$11,AP$14,AP$19,),""),IF($I21=3,"",IFBLANK(_xldudf_CX_PUSH(AP21,CX_ENTITY,$B21,AP$11,AP$14,AP$19,),"")))))),"")</f>
        <v/>
      </c>
      <c r="DJ21" s="1883" t="str" cm="1">
        <f t="array" ca="1" aca="1" ref="DJ21">IFERROR(IF(AQ21*fxVal_normal=_CF!AQ21,"",IF(OR(AQ21="",NOT(ISNUMBER(AQ21)),ISERROR(AQ21),$B21=""),"",IF($I21=1,IFBLANK(_xldudf_CX_PUSH(AQ21*fxVal_normal,CX_ENTITY,$B21,AQ$11,AQ$14,AQ$19,),""),IF($I21=2,IFBLANK(_xldudf_CX_PUSH(AQ21,CX_ENTITY,$B21,AQ$11,AQ$14,AQ$19,),""),IF($I21=3,"",IFBLANK(_xldudf_CX_PUSH(AQ21,CX_ENTITY,$B21,AQ$11,AQ$14,AQ$19,),"")))))),"")</f>
        <v/>
      </c>
      <c r="DK21" s="1883" t="str" cm="1">
        <f t="array" ca="1" aca="1" ref="DK21">IFERROR(IF(AR21*fxVal_normal=_CF!AR21,"",IF(OR(AR21="",NOT(ISNUMBER(AR21)),ISERROR(AR21),$B21=""),"",IF($I21=1,IFBLANK(_xldudf_CX_PUSH(AR21*fxVal_normal,CX_ENTITY,$B21,AR$11,AR$14,AR$19,),""),IF($I21=2,IFBLANK(_xldudf_CX_PUSH(AR21,CX_ENTITY,$B21,AR$11,AR$14,AR$19,),""),IF($I21=3,"",IFBLANK(_xldudf_CX_PUSH(AR21,CX_ENTITY,$B21,AR$11,AR$14,AR$19,),"")))))),"")</f>
        <v/>
      </c>
      <c r="DL21" s="1883" t="str" cm="1">
        <f t="array" ca="1" aca="1" ref="DL21">IFERROR(IF(AS21*fxVal_normal=_CF!AS21,"",IF(OR(AS21="",NOT(ISNUMBER(AS21)),ISERROR(AS21),$B21=""),"",IF($I21=1,IFBLANK(_xldudf_CX_PUSH(AS21*fxVal_normal,CX_ENTITY,$B21,AS$11,AS$14,AS$19,),""),IF($I21=2,IFBLANK(_xldudf_CX_PUSH(AS21,CX_ENTITY,$B21,AS$11,AS$14,AS$19,),""),IF($I21=3,"",IFBLANK(_xldudf_CX_PUSH(AS21,CX_ENTITY,$B21,AS$11,AS$14,AS$19,),"")))))),"")</f>
        <v/>
      </c>
      <c r="DM21" s="1883" t="str" cm="1">
        <f t="array" ca="1" aca="1" ref="DM21">IFERROR(IF(AT21*fxVal_normal=_CF!AT21,"",IF(OR(AT21="",NOT(ISNUMBER(AT21)),ISERROR(AT21),$B21=""),"",IF($I21=1,IFBLANK(_xldudf_CX_PUSH(AT21*fxVal_normal,CX_ENTITY,$B21,AT$11,AT$14,AT$19,),""),IF($I21=2,IFBLANK(_xldudf_CX_PUSH(AT21,CX_ENTITY,$B21,AT$11,AT$14,AT$19,),""),IF($I21=3,"",IFBLANK(_xldudf_CX_PUSH(AT21,CX_ENTITY,$B21,AT$11,AT$14,AT$19,),"")))))),"")</f>
        <v/>
      </c>
      <c r="DN21" s="1883" t="str" cm="1">
        <f t="array" ca="1" aca="1" ref="DN21">IFERROR(IF(AU21*fxVal_normal=_CF!AU21,"",IF(OR(AU21="",NOT(ISNUMBER(AU21)),ISERROR(AU21),$B21=""),"",IF($I21=1,IFBLANK(_xldudf_CX_PUSH(AU21*fxVal_normal,CX_ENTITY,$B21,AU$11,AU$14,AU$19,),""),IF($I21=2,IFBLANK(_xldudf_CX_PUSH(AU21,CX_ENTITY,$B21,AU$11,AU$14,AU$19,),""),IF($I21=3,"",IFBLANK(_xldudf_CX_PUSH(AU21,CX_ENTITY,$B21,AU$11,AU$14,AU$19,),"")))))),"")</f>
        <v/>
      </c>
      <c r="DO21" s="1883" t="str" cm="1">
        <f t="array" ca="1" aca="1" ref="DO21">IFERROR(IF(AV21*fxVal_normal=_CF!AV21,"",IF(OR(AV21="",NOT(ISNUMBER(AV21)),ISERROR(AV21),$B21=""),"",IF($I21=1,IFBLANK(_xldudf_CX_PUSH(AV21*fxVal_normal,CX_ENTITY,$B21,AV$11,AV$14,AV$19,),""),IF($I21=2,IFBLANK(_xldudf_CX_PUSH(AV21,CX_ENTITY,$B21,AV$11,AV$14,AV$19,),""),IF($I21=3,"",IFBLANK(_xldudf_CX_PUSH(AV21,CX_ENTITY,$B21,AV$11,AV$14,AV$19,),"")))))),"")</f>
        <v/>
      </c>
      <c r="DP21" s="1883" t="str" cm="1">
        <f t="array" ca="1" aca="1" ref="DP21">IFERROR(IF(AW21*fxVal_normal=_CF!AW21,"",IF(OR(AW21="",NOT(ISNUMBER(AW21)),ISERROR(AW21),$B21=""),"",IF($I21=1,IFBLANK(_xldudf_CX_PUSH(AW21*fxVal_normal,CX_ENTITY,$B21,AW$11,AW$14,AW$19,),""),IF($I21=2,IFBLANK(_xldudf_CX_PUSH(AW21,CX_ENTITY,$B21,AW$11,AW$14,AW$19,),""),IF($I21=3,"",IFBLANK(_xldudf_CX_PUSH(AW21,CX_ENTITY,$B21,AW$11,AW$14,AW$19,),"")))))),"")</f>
        <v/>
      </c>
      <c r="DQ21" s="1883" t="str" cm="1">
        <f t="array" ca="1" aca="1" ref="DQ21">IFERROR(IF(AX21*fxVal_normal=_CF!AX21,"",IF(OR(AX21="",NOT(ISNUMBER(AX21)),ISERROR(AX21),$B21=""),"",IF($I21=1,IFBLANK(_xldudf_CX_PUSH(AX21*fxVal_normal,CX_ENTITY,$B21,AX$11,AX$14,AX$19,),""),IF($I21=2,IFBLANK(_xldudf_CX_PUSH(AX21,CX_ENTITY,$B21,AX$11,AX$14,AX$19,),""),IF($I21=3,"",IFBLANK(_xldudf_CX_PUSH(AX21,CX_ENTITY,$B21,AX$11,AX$14,AX$19,),"")))))),"")</f>
        <v/>
      </c>
      <c r="DR21" s="1883" t="str" cm="1">
        <f t="array" ca="1" aca="1" ref="DR21">IFERROR(IF(AY21*fxVal_normal=_CF!AY21,"",IF(OR(AY21="",NOT(ISNUMBER(AY21)),ISERROR(AY21),$B21=""),"",IF($I21=1,IFBLANK(_xldudf_CX_PUSH(AY21*fxVal_normal,CX_ENTITY,$B21,AY$11,AY$14,AY$19,),""),IF($I21=2,IFBLANK(_xldudf_CX_PUSH(AY21,CX_ENTITY,$B21,AY$11,AY$14,AY$19,),""),IF($I21=3,"",IFBLANK(_xldudf_CX_PUSH(AY21,CX_ENTITY,$B21,AY$11,AY$14,AY$19,),"")))))),"")</f>
        <v/>
      </c>
      <c r="DS21" s="1883" t="str" cm="1">
        <f t="array" ca="1" aca="1" ref="DS21">IFERROR(IF(AZ21*fxVal_normal=_CF!AZ21,"",IF(OR(AZ21="",NOT(ISNUMBER(AZ21)),ISERROR(AZ21),$B21=""),"",IF($I21=1,IFBLANK(_xldudf_CX_PUSH(AZ21*fxVal_normal,CX_ENTITY,$B21,AZ$11,AZ$14,AZ$19,),""),IF($I21=2,IFBLANK(_xldudf_CX_PUSH(AZ21,CX_ENTITY,$B21,AZ$11,AZ$14,AZ$19,),""),IF($I21=3,"",IFBLANK(_xldudf_CX_PUSH(AZ21,CX_ENTITY,$B21,AZ$11,AZ$14,AZ$19,),"")))))),"")</f>
        <v/>
      </c>
      <c r="DT21" s="1883" t="str" cm="1">
        <f t="array" ca="1" aca="1" ref="DT21">IFERROR(IF(BA21*fxVal_normal=_CF!BA21,"",IF(OR(BA21="",NOT(ISNUMBER(BA21)),ISERROR(BA21),$B21=""),"",IF($I21=1,IFBLANK(_xldudf_CX_PUSH(BA21*fxVal_normal,CX_ENTITY,$B21,BA$11,BA$14,BA$19,),""),IF($I21=2,IFBLANK(_xldudf_CX_PUSH(BA21,CX_ENTITY,$B21,BA$11,BA$14,BA$19,),""),IF($I21=3,"",IFBLANK(_xldudf_CX_PUSH(BA21,CX_ENTITY,$B21,BA$11,BA$14,BA$19,),"")))))),"")</f>
        <v/>
      </c>
      <c r="DU21" s="1883" t="str" cm="1">
        <f t="array" ca="1" aca="1" ref="DU21">IFERROR(IF(BB21*fxVal_normal=_CF!BB21,"",IF(OR(BB21="",NOT(ISNUMBER(BB21)),ISERROR(BB21),$B21=""),"",IF($I21=1,IFBLANK(_xldudf_CX_PUSH(BB21*fxVal_normal,CX_ENTITY,$B21,BB$11,BB$14,BB$19,),""),IF($I21=2,IFBLANK(_xldudf_CX_PUSH(BB21,CX_ENTITY,$B21,BB$11,BB$14,BB$19,),""),IF($I21=3,"",IFBLANK(_xldudf_CX_PUSH(BB21,CX_ENTITY,$B21,BB$11,BB$14,BB$19,),"")))))),"")</f>
        <v/>
      </c>
      <c r="DV21" s="1883" t="str" cm="1">
        <f t="array" ca="1" aca="1" ref="DV21">IFERROR(IF(BC21*fxVal_normal=_CF!BC21,"",IF(OR(BC21="",NOT(ISNUMBER(BC21)),ISERROR(BC21),$B21=""),"",IF($I21=1,IFBLANK(_xldudf_CX_PUSH(BC21*fxVal_normal,CX_ENTITY,$B21,BC$11,BC$14,BC$19,),""),IF($I21=2,IFBLANK(_xldudf_CX_PUSH(BC21,CX_ENTITY,$B21,BC$11,BC$14,BC$19,),""),IF($I21=3,"",IFBLANK(_xldudf_CX_PUSH(BC21,CX_ENTITY,$B21,BC$11,BC$14,BC$19,),"")))))),"")</f>
        <v/>
      </c>
      <c r="DW21" s="1883" t="str" cm="1">
        <f t="array" ca="1" aca="1" ref="DW21">IFERROR(IF(BD21*fxVal_normal=_CF!BD21,"",IF(OR(BD21="",NOT(ISNUMBER(BD21)),ISERROR(BD21),$B21=""),"",IF($I21=1,IFBLANK(_xldudf_CX_PUSH(BD21*fxVal_normal,CX_ENTITY,$B21,BD$11,BD$14,BD$19,),""),IF($I21=2,IFBLANK(_xldudf_CX_PUSH(BD21,CX_ENTITY,$B21,BD$11,BD$14,BD$19,),""),IF($I21=3,"",IFBLANK(_xldudf_CX_PUSH(BD21,CX_ENTITY,$B21,BD$11,BD$14,BD$19,),"")))))),"")</f>
        <v/>
      </c>
      <c r="DX21" s="1883" t="str" cm="1">
        <f t="array" ca="1" aca="1" ref="DX21">IFERROR(IF(BE21*fxVal_normal=_CF!BE21,"",IF(OR(BE21="",NOT(ISNUMBER(BE21)),ISERROR(BE21),$B21=""),"",IF($I21=1,IFBLANK(_xldudf_CX_PUSH(BE21*fxVal_normal,CX_ENTITY,$B21,BE$11,BE$14,BE$19,),""),IF($I21=2,IFBLANK(_xldudf_CX_PUSH(BE21,CX_ENTITY,$B21,BE$11,BE$14,BE$19,),""),IF($I21=3,"",IFBLANK(_xldudf_CX_PUSH(BE21,CX_ENTITY,$B21,BE$11,BE$14,BE$19,),"")))))),"")</f>
        <v/>
      </c>
      <c r="DY21" s="1883" t="str" cm="1">
        <f t="array" ca="1" aca="1" ref="DY21">IFERROR(IF(BF21*fxVal_normal=_CF!BF21,"",IF(OR(BF21="",NOT(ISNUMBER(BF21)),ISERROR(BF21),$B21=""),"",IF($I21=1,IFBLANK(_xldudf_CX_PUSH(BF21*fxVal_normal,CX_ENTITY,$B21,BF$11,BF$14,BF$19,),""),IF($I21=2,IFBLANK(_xldudf_CX_PUSH(BF21,CX_ENTITY,$B21,BF$11,BF$14,BF$19,),""),IF($I21=3,"",IFBLANK(_xldudf_CX_PUSH(BF21,CX_ENTITY,$B21,BF$11,BF$14,BF$19,),"")))))),"")</f>
        <v/>
      </c>
      <c r="DZ21" s="1883" t="str" cm="1">
        <f t="array" ca="1" aca="1" ref="DZ21">IFERROR(IF(BG21*fxVal_normal=_CF!BG21,"",IF(OR(BG21="",NOT(ISNUMBER(BG21)),ISERROR(BG21),$B21=""),"",IF($I21=1,IFBLANK(_xldudf_CX_PUSH(BG21*fxVal_normal,CX_ENTITY,$B21,BG$11,BG$14,BG$19,),""),IF($I21=2,IFBLANK(_xldudf_CX_PUSH(BG21,CX_ENTITY,$B21,BG$11,BG$14,BG$19,),""),IF($I21=3,"",IFBLANK(_xldudf_CX_PUSH(BG21,CX_ENTITY,$B21,BG$11,BG$14,BG$19,),"")))))),"")</f>
        <v/>
      </c>
      <c r="EA21" s="1883" t="str" cm="1">
        <f t="array" ca="1" aca="1" ref="EA21">IFERROR(IF(BH21*fxVal_normal=_CF!BH21,"",IF(OR(BH21="",NOT(ISNUMBER(BH21)),ISERROR(BH21),$B21=""),"",IF($I21=1,IFBLANK(_xldudf_CX_PUSH(BH21*fxVal_normal,CX_ENTITY,$B21,BH$11,BH$14,BH$19,),""),IF($I21=2,IFBLANK(_xldudf_CX_PUSH(BH21,CX_ENTITY,$B21,BH$11,BH$14,BH$19,),""),IF($I21=3,"",IFBLANK(_xldudf_CX_PUSH(BH21,CX_ENTITY,$B21,BH$11,BH$14,BH$19,),"")))))),"")</f>
        <v/>
      </c>
      <c r="EB21" s="1883" t="str" cm="1">
        <f t="array" ca="1" aca="1" ref="EB21">IFERROR(IF(BI21*fxVal_normal=_CF!BI21,"",IF(OR(BI21="",NOT(ISNUMBER(BI21)),ISERROR(BI21),$B21=""),"",IF($I21=1,IFBLANK(_xldudf_CX_PUSH(BI21*fxVal_normal,CX_ENTITY,$B21,BI$11,BI$14,BI$19,),""),IF($I21=2,IFBLANK(_xldudf_CX_PUSH(BI21,CX_ENTITY,$B21,BI$11,BI$14,BI$19,),""),IF($I21=3,"",IFBLANK(_xldudf_CX_PUSH(BI21,CX_ENTITY,$B21,BI$11,BI$14,BI$19,),"")))))),"")</f>
        <v/>
      </c>
      <c r="EC21" s="1883" t="str" cm="1">
        <f t="array" ca="1" aca="1" ref="EC21">IFERROR(IF(BJ21*fxVal_normal=_CF!BJ21,"",IF(OR(BJ21="",NOT(ISNUMBER(BJ21)),ISERROR(BJ21),$B21=""),"",IF($I21=1,IFBLANK(_xldudf_CX_PUSH(BJ21*fxVal_normal,CX_ENTITY,$B21,BJ$11,BJ$14,BJ$19,),""),IF($I21=2,IFBLANK(_xldudf_CX_PUSH(BJ21,CX_ENTITY,$B21,BJ$11,BJ$14,BJ$19,),""),IF($I21=3,"",IFBLANK(_xldudf_CX_PUSH(BJ21,CX_ENTITY,$B21,BJ$11,BJ$14,BJ$19,),"")))))),"")</f>
        <v/>
      </c>
      <c r="ED21" s="1883" t="str" cm="1">
        <f t="array" ca="1" aca="1" ref="ED21">IFERROR(IF(BK21*fxVal_normal=_CF!BK21,"",IF(OR(BK21="",NOT(ISNUMBER(BK21)),ISERROR(BK21),$B21=""),"",IF($I21=1,IFBLANK(_xldudf_CX_PUSH(BK21*fxVal_normal,CX_ENTITY,$B21,BK$11,BK$14,BK$19,),""),IF($I21=2,IFBLANK(_xldudf_CX_PUSH(BK21,CX_ENTITY,$B21,BK$11,BK$14,BK$19,),""),IF($I21=3,"",IFBLANK(_xldudf_CX_PUSH(BK21,CX_ENTITY,$B21,BK$11,BK$14,BK$19,),"")))))),"")</f>
        <v/>
      </c>
      <c r="EE21" s="1883" t="str" cm="1">
        <f t="array" ca="1" aca="1" ref="EE21">IFERROR(IF(BL21*fxVal_normal=_CF!BL21,"",IF(OR(BL21="",NOT(ISNUMBER(BL21)),ISERROR(BL21),$B21=""),"",IF($I21=1,IFBLANK(_xldudf_CX_PUSH(BL21*fxVal_normal,CX_ENTITY,$B21,BL$11,BL$14,BL$19,),""),IF($I21=2,IFBLANK(_xldudf_CX_PUSH(BL21,CX_ENTITY,$B21,BL$11,BL$14,BL$19,),""),IF($I21=3,"",IFBLANK(_xldudf_CX_PUSH(BL21,CX_ENTITY,$B21,BL$11,BL$14,BL$19,),"")))))),"")</f>
        <v/>
      </c>
      <c r="EF21" s="1883" t="str" cm="1">
        <f t="array" ca="1" aca="1" ref="EF21">IFERROR(IF(BM21*fxVal_normal=_CF!BM21,"",IF(OR(BM21="",NOT(ISNUMBER(BM21)),ISERROR(BM21),$B21=""),"",IF($I21=1,IFBLANK(_xldudf_CX_PUSH(BM21*fxVal_normal,CX_ENTITY,$B21,BM$11,BM$14,BM$19,),""),IF($I21=2,IFBLANK(_xldudf_CX_PUSH(BM21,CX_ENTITY,$B21,BM$11,BM$14,BM$19,),""),IF($I21=3,"",IFBLANK(_xldudf_CX_PUSH(BM21,CX_ENTITY,$B21,BM$11,BM$14,BM$19,),"")))))),"")</f>
        <v/>
      </c>
      <c r="EG21" s="1883" t="str" cm="1">
        <f t="array" ca="1" aca="1" ref="EG21">IFERROR(IF(BN21*fxVal_normal=_CF!BN21,"",IF(OR(BN21="",NOT(ISNUMBER(BN21)),ISERROR(BN21),$B21=""),"",IF($I21=1,IFBLANK(_xldudf_CX_PUSH(BN21*fxVal_normal,CX_ENTITY,$B21,BN$11,BN$14,BN$19,),""),IF($I21=2,IFBLANK(_xldudf_CX_PUSH(BN21,CX_ENTITY,$B21,BN$11,BN$14,BN$19,),""),IF($I21=3,"",IFBLANK(_xldudf_CX_PUSH(BN21,CX_ENTITY,$B21,BN$11,BN$14,BN$19,),"")))))),"")</f>
        <v/>
      </c>
    </row>
    <row r="22" spans="1:137" ht="21" customHeight="1">
      <c r="A22" s="1625"/>
      <c r="B22" s="695" t="str" cm="1">
        <f t="array" ref="B22">IFBLANK(_CF!F22,"")</f>
        <v>(Increase)/Decrease in NWC</v>
      </c>
      <c r="C22" s="3340" t="str" cm="1">
        <f t="array" ref="C22">IFBLANK(_CF!C22,"")</f>
        <v>(Increase)/Decrease in NWC (Company View)</v>
      </c>
      <c r="D22" s="1548"/>
      <c r="E22" s="695"/>
      <c r="F22" s="577"/>
      <c r="G22" s="578"/>
      <c r="H22" s="3279">
        <v>1</v>
      </c>
      <c r="I22" s="3279">
        <v>1</v>
      </c>
      <c r="J22" s="3280" cm="1">
        <f t="array" ref="J22">IFBLANK(Z22,"")</f>
        <v>1</v>
      </c>
      <c r="K22" s="578"/>
      <c r="N22" s="158"/>
      <c r="O22" s="101"/>
      <c r="P22" s="52"/>
      <c r="Q22" s="101"/>
      <c r="R22" s="101"/>
      <c r="S22" s="101"/>
      <c r="T22" s="101"/>
      <c r="U22" s="39"/>
      <c r="W22" s="932" t="str">
        <f t="shared" si="1" ref="W22:W37">$W$20</f>
        <v>Actual</v>
      </c>
      <c r="X22" s="815" t="str">
        <f>_CF!X22</f>
        <v>a</v>
      </c>
      <c r="Y22" s="3231">
        <v>2</v>
      </c>
      <c r="Z22" s="3291" cm="1">
        <f t="array" ref="Z22">_xlfn.SWITCH(TRUE,_CF!$L22=TRUE,1,_CF!$L22=FALSE,-1,_CF!$L22=-1,0,"n/a")</f>
        <v>1</v>
      </c>
      <c r="AA22" s="200"/>
      <c r="AB22" s="3343" t="str">
        <f>_CF!AB22</f>
        <v>(Increase)/Decrease in NWC</v>
      </c>
      <c r="AC22" s="88" t="e" vm="5" cm="1">
        <f t="array" ca="1" aca="1" ref="AC22">_xlfn.LET(_xlpm._termname,$AB22,_xlpm._iconname,"find",_xlpm._icon,fx_getIcon(_xlpm._iconname),_xlpm._location,_xlfn.XLOOKUP(LOWER(_xlpm._termname),LOWER(tbl_acctDef[Term]),tbl_acctDef[Term]),_xlpm._hyperlink,HYPERLINK("#"&amp;CELL("address",_xlpm._location),_xlpm._icon),IFERROR(_xlpm._hyperlink,""))</f>
        <v>#VALUE!</v>
      </c>
      <c r="AD22" s="3232">
        <v>1</v>
      </c>
      <c r="AE22" s="3232">
        <v>1</v>
      </c>
      <c r="AF22" s="3232">
        <v>1</v>
      </c>
      <c r="AG22" s="3232">
        <v>1</v>
      </c>
      <c r="AH22" s="3232">
        <v>1</v>
      </c>
      <c r="AI22" s="3232">
        <v>1</v>
      </c>
      <c r="AJ22" s="3232">
        <v>1</v>
      </c>
      <c r="AK22" s="3232">
        <v>1</v>
      </c>
      <c r="AL22" s="3232">
        <v>1</v>
      </c>
      <c r="AM22" s="3232">
        <v>1</v>
      </c>
      <c r="AN22" s="3232">
        <v>1</v>
      </c>
      <c r="AO22" s="3232">
        <v>1</v>
      </c>
      <c r="AP22" s="3232">
        <v>1</v>
      </c>
      <c r="AQ22" s="3232">
        <v>1</v>
      </c>
      <c r="AR22" s="3232">
        <v>1</v>
      </c>
      <c r="AS22" s="3232">
        <v>1</v>
      </c>
      <c r="AT22" s="3232">
        <v>1</v>
      </c>
      <c r="AU22" s="3232">
        <v>1</v>
      </c>
      <c r="AV22" s="3232">
        <v>1</v>
      </c>
      <c r="AW22" s="3232">
        <v>1</v>
      </c>
      <c r="AX22" s="3232">
        <v>1</v>
      </c>
      <c r="AY22" s="3232">
        <v>1</v>
      </c>
      <c r="AZ22" s="3232">
        <v>1</v>
      </c>
      <c r="BA22" s="3232">
        <v>1</v>
      </c>
      <c r="BB22" s="3232">
        <v>1</v>
      </c>
      <c r="BC22" s="3232">
        <v>1</v>
      </c>
      <c r="BD22" s="3232">
        <v>1</v>
      </c>
      <c r="BE22" s="3232">
        <v>1</v>
      </c>
      <c r="BF22" s="3232">
        <v>1</v>
      </c>
      <c r="BG22" s="3232">
        <v>1</v>
      </c>
      <c r="BH22" s="3232">
        <v>1</v>
      </c>
      <c r="BI22" s="3232">
        <v>1</v>
      </c>
      <c r="BJ22" s="3232">
        <v>1</v>
      </c>
      <c r="BK22" s="3232">
        <v>1</v>
      </c>
      <c r="BL22" s="3232">
        <v>1</v>
      </c>
      <c r="BM22" s="3232">
        <v>1</v>
      </c>
      <c r="BN22" s="3232">
        <v>1</v>
      </c>
      <c r="BO22" s="2115"/>
      <c r="BP22" s="2115"/>
      <c r="BQ22" s="2115"/>
      <c r="BR22" s="2115"/>
      <c r="BS22" s="2115"/>
      <c r="BT22" s="2115"/>
      <c r="BU22" s="2115"/>
      <c r="BV22" s="2115"/>
      <c r="BW22" s="2115"/>
      <c r="BX22" s="2115"/>
      <c r="BY22" s="2115"/>
      <c r="BZ22" s="2115"/>
      <c r="CA22" s="1330"/>
      <c r="CB22" s="537"/>
      <c r="CC22" s="1484"/>
      <c r="CD22" s="1461" t="e" cm="1">
        <f t="array" ca="1" aca="1" ref="CD22">_xlfn.LET(_xlpm.CheckBlank,SUM(CF!$AD22:$BN22)=0,IF(_xlpm.CheckBlank,"",SUM(_xlfn._xlws.FILTER(CF!$AD22:$BN22,(YEAR(CF!$AD$12:$BN$12)=CF!CD$12)*(array_timeline&lt;=CF!CD$11)))))</f>
        <v>#NAME?</v>
      </c>
      <c r="CE22" s="1461" t="e" cm="1">
        <f t="array" ca="1" aca="1" ref="CE22">_xlfn.LET(_xlpm.CheckBlank,SUM(CF!$AD22:$BN22)=0,IF(_xlpm.CheckBlank,"",SUM(_xlfn._xlws.FILTER(CF!$AD22:$BN22,(YEAR(CF!$AD$12:$BN$12)=CF!CE$12)*(array_timeline&lt;=CF!CE$11)))))</f>
        <v>#NAME?</v>
      </c>
      <c r="CF22" s="1314"/>
      <c r="CG22" s="1461" t="e" cm="1">
        <f t="array" ca="1" aca="1" ref="CG22">_xlfn.LET(_xlpm.CheckBlank,SUM(CF!$AD22:$BN22)=0,IF(_xlpm.CheckBlank,"",SUM(_xlfn._xlws.FILTER(CF!$AD22:$BN22,(YEAR(CF!$AD$12:$BN$12)=CF!CG$12)*(array_timeline&lt;=CF!CG$11)))))</f>
        <v>#NAME?</v>
      </c>
      <c r="CH22" s="1461" t="e" cm="1">
        <f t="array" ca="1" aca="1" ref="CH22">_xlfn.LET(_xlpm.CheckBlank,SUM(CF!$AD22:$BN22)=0,IF(_xlpm.CheckBlank,"",SUM(_xlfn._xlws.FILTER(CF!$AD22:$BN22,(YEAR(CF!$AD$12:$BN$12)=CF!CH$12)*(array_timeline&lt;=CF!CH$11)))))</f>
        <v>#NAME?</v>
      </c>
      <c r="CI22" s="1314"/>
      <c r="CJ22" s="1461" cm="1">
        <f t="array" ref="CJ22">_xlfn.LET(_xlpm.CheckBlank,SUM(CF!$AD22:$BN22)=0,IF(_xlpm.CheckBlank,"",SUM(_xlfn.TAKE(_xlfn.DROP(CF!$AD22:$BN22,,-DATEDIFF(CF!CJ$11,val_asOfDate,"M")),1,-12))))</f>
        <v>12</v>
      </c>
      <c r="CK22" s="1461" cm="1">
        <f t="array" ref="CK22">_xlfn.LET(_xlpm.CheckBlank,SUM(CF!$AD22:$BN22)=0,IF(_xlpm.CheckBlank,"",SUM(_xlfn.TAKE(_xlfn.DROP(CF!$AD22:$BN22,,-DATEDIFF(CF!CK$11,val_asOfDate,"M")),1,-12))))</f>
        <v>12</v>
      </c>
      <c r="CL22" s="1314"/>
      <c r="CM22" s="3353" t="e" cm="1">
        <f t="array" ca="1" aca="1" ref="CM22">TODECIMAL(IFBLANK(_CF!CM22,""),fxVal_normal)</f>
        <v>#NAME?</v>
      </c>
      <c r="CN22" s="3353" t="e" cm="1">
        <f t="array" ca="1" aca="1" ref="CN22">TODECIMAL(IFBLANK(_CF!CN22,""),fxVal_normal)</f>
        <v>#NAME?</v>
      </c>
      <c r="CO22" s="34"/>
      <c r="CQ22" s="2085" t="str" cm="1">
        <f t="array" ca="1" aca="1" ref="CQ22">IFERROR(IF(Y22&lt;&gt;AB22,_xldudf_CX_PUSH(Y22,CX_ENTITY,C22,EOMONTH(val_asOfDate,0)),""),"")</f>
        <v/>
      </c>
      <c r="CR22" s="2085" t="str" cm="1">
        <f t="array" ca="1" aca="1" ref="CR22">IFERROR(IF(Y22&lt;&gt;AB22,_xldudf_CX_PUSH(Y22,CX_ENTITY,C22,EOMONTH(val_asOfDate,1)),""),"")</f>
        <v/>
      </c>
      <c r="CS22" s="2085" t="str" cm="1">
        <f t="array" ca="1" aca="1" ref="CS22">IFERROR(IF(Y22&lt;&gt;AB22,_xldudf_CX_PUSH(Y22,CX_ENTITY,C22,EOMONTH(val_asOfDate,2)),""),"")</f>
        <v/>
      </c>
      <c r="CT22" s="2085" t="str" cm="1">
        <f t="array" ca="1" aca="1" ref="CT22">IFERROR(IF(Y22&lt;&gt;AB22,_xldudf_CX_PUSH(Y22,CX_ENTITY,C22,EOMONTH(val_asOfDate,3)),""),"")</f>
        <v/>
      </c>
      <c r="CU22" s="2086" t="str" cm="1">
        <f t="array" ca="1" aca="1" ref="CU22">IFERROR(IF(CM22*fxVal_normal=_CF!CM22,"",IF(OR($CM22="",,NOT(ISNUMBER($CM22)),ISERROR($CM22),$B22=""),"",IF($I22=1,IFBLANK(_xldudf_CX_PUSH($CM22*fxVal_normal,CX_ENTITY,$B22,$CM$11,$CM$14,$CM$19,),""),IF($I22=2,IFBLANK(_xldudf_CX_PUSH($CM22,CX_ENTITY,$B22,$CM$11,$CM$14,$CM$19,),""),IF($I22=3,"",IFBLANK(_xldudf_CX_PUSH($CM22,CX_ENTITY,$B22,$CM$11,$CM$14,$CM$19,),"")))))),"")</f>
        <v/>
      </c>
      <c r="CV22" s="2086" t="str" cm="1">
        <f t="array" ca="1" aca="1" ref="CV22">IFERROR(IF(CN22*fxVal_normal=_CF!CN22,"",IF(OR($CN22="",,NOT(ISNUMBER($CN22)),ISERROR($CN22),$B22=""),"",IF($I22=1,IFBLANK(_xldudf_CX_PUSH($CN22*fxVal_normal,CX_ENTITY,$B22,$CN$11,$CN$14,$CN$19,),""),IF($I22=2,IFBLANK(_xldudf_CX_PUSH($CN22,CX_ENTITY,$B22,$CN$11,$CN$14,$CN$19,),""),IF($I22=3,"",IFBLANK(_xldudf_CX_PUSH($CN22,CX_ENTITY,$B22,$CN$11,$CN$14,$CN$19,),"")))))),"")</f>
        <v/>
      </c>
      <c r="CW22" s="1883" t="str" cm="1">
        <f t="array" ca="1" aca="1" ref="CW22">IFERROR(IF(AD22*fxVal_normal=_CF!AD22,"",IF(OR(AD22="",NOT(ISNUMBER(AD22)),ISERROR(AD22),$B22=""),"",IF($I22=1,IFBLANK(_xldudf_CX_PUSH(AD22*fxVal_normal,CX_ENTITY,$B22,AD$11,AD$14,AD$19,),""),IF($I22=2,IFBLANK(_xldudf_CX_PUSH(AD22,CX_ENTITY,$B22,AD$11,AD$14,AD$19,),""),IF($I22=3,"",IFBLANK(_xldudf_CX_PUSH(AD22,CX_ENTITY,$B22,AD$11,AD$14,AD$19,),"")))))),"")</f>
        <v/>
      </c>
      <c r="CX22" s="1883" t="str" cm="1">
        <f t="array" ca="1" aca="1" ref="CX22">IFERROR(IF(AE22*fxVal_normal=_CF!AE22,"",IF(OR(AE22="",NOT(ISNUMBER(AE22)),ISERROR(AE22),$B22=""),"",IF($I22=1,IFBLANK(_xldudf_CX_PUSH(AE22*fxVal_normal,CX_ENTITY,$B22,AE$11,AE$14,AE$19,),""),IF($I22=2,IFBLANK(_xldudf_CX_PUSH(AE22,CX_ENTITY,$B22,AE$11,AE$14,AE$19,),""),IF($I22=3,"",IFBLANK(_xldudf_CX_PUSH(AE22,CX_ENTITY,$B22,AE$11,AE$14,AE$19,),"")))))),"")</f>
        <v/>
      </c>
      <c r="CY22" s="1883" t="str" cm="1">
        <f t="array" ca="1" aca="1" ref="CY22">IFERROR(IF(AF22*fxVal_normal=_CF!AF22,"",IF(OR(AF22="",NOT(ISNUMBER(AF22)),ISERROR(AF22),$B22=""),"",IF($I22=1,IFBLANK(_xldudf_CX_PUSH(AF22*fxVal_normal,CX_ENTITY,$B22,AF$11,AF$14,AF$19,),""),IF($I22=2,IFBLANK(_xldudf_CX_PUSH(AF22,CX_ENTITY,$B22,AF$11,AF$14,AF$19,),""),IF($I22=3,"",IFBLANK(_xldudf_CX_PUSH(AF22,CX_ENTITY,$B22,AF$11,AF$14,AF$19,),"")))))),"")</f>
        <v/>
      </c>
      <c r="CZ22" s="1883" t="str" cm="1">
        <f t="array" ca="1" aca="1" ref="CZ22">IFERROR(IF(AG22*fxVal_normal=_CF!AG22,"",IF(OR(AG22="",NOT(ISNUMBER(AG22)),ISERROR(AG22),$B22=""),"",IF($I22=1,IFBLANK(_xldudf_CX_PUSH(AG22*fxVal_normal,CX_ENTITY,$B22,AG$11,AG$14,AG$19,),""),IF($I22=2,IFBLANK(_xldudf_CX_PUSH(AG22,CX_ENTITY,$B22,AG$11,AG$14,AG$19,),""),IF($I22=3,"",IFBLANK(_xldudf_CX_PUSH(AG22,CX_ENTITY,$B22,AG$11,AG$14,AG$19,),"")))))),"")</f>
        <v/>
      </c>
      <c r="DA22" s="1883" t="str" cm="1">
        <f t="array" ca="1" aca="1" ref="DA22">IFERROR(IF(AH22*fxVal_normal=_CF!AH22,"",IF(OR(AH22="",NOT(ISNUMBER(AH22)),ISERROR(AH22),$B22=""),"",IF($I22=1,IFBLANK(_xldudf_CX_PUSH(AH22*fxVal_normal,CX_ENTITY,$B22,AH$11,AH$14,AH$19,),""),IF($I22=2,IFBLANK(_xldudf_CX_PUSH(AH22,CX_ENTITY,$B22,AH$11,AH$14,AH$19,),""),IF($I22=3,"",IFBLANK(_xldudf_CX_PUSH(AH22,CX_ENTITY,$B22,AH$11,AH$14,AH$19,),"")))))),"")</f>
        <v/>
      </c>
      <c r="DB22" s="1883" t="str" cm="1">
        <f t="array" ca="1" aca="1" ref="DB22">IFERROR(IF(AI22*fxVal_normal=_CF!AI22,"",IF(OR(AI22="",NOT(ISNUMBER(AI22)),ISERROR(AI22),$B22=""),"",IF($I22=1,IFBLANK(_xldudf_CX_PUSH(AI22*fxVal_normal,CX_ENTITY,$B22,AI$11,AI$14,AI$19,),""),IF($I22=2,IFBLANK(_xldudf_CX_PUSH(AI22,CX_ENTITY,$B22,AI$11,AI$14,AI$19,),""),IF($I22=3,"",IFBLANK(_xldudf_CX_PUSH(AI22,CX_ENTITY,$B22,AI$11,AI$14,AI$19,),"")))))),"")</f>
        <v/>
      </c>
      <c r="DC22" s="1883" t="str" cm="1">
        <f t="array" ca="1" aca="1" ref="DC22">IFERROR(IF(AJ22*fxVal_normal=_CF!AJ22,"",IF(OR(AJ22="",NOT(ISNUMBER(AJ22)),ISERROR(AJ22),$B22=""),"",IF($I22=1,IFBLANK(_xldudf_CX_PUSH(AJ22*fxVal_normal,CX_ENTITY,$B22,AJ$11,AJ$14,AJ$19,),""),IF($I22=2,IFBLANK(_xldudf_CX_PUSH(AJ22,CX_ENTITY,$B22,AJ$11,AJ$14,AJ$19,),""),IF($I22=3,"",IFBLANK(_xldudf_CX_PUSH(AJ22,CX_ENTITY,$B22,AJ$11,AJ$14,AJ$19,),"")))))),"")</f>
        <v/>
      </c>
      <c r="DD22" s="1883" t="str" cm="1">
        <f t="array" ca="1" aca="1" ref="DD22">IFERROR(IF(AK22*fxVal_normal=_CF!AK22,"",IF(OR(AK22="",NOT(ISNUMBER(AK22)),ISERROR(AK22),$B22=""),"",IF($I22=1,IFBLANK(_xldudf_CX_PUSH(AK22*fxVal_normal,CX_ENTITY,$B22,AK$11,AK$14,AK$19,),""),IF($I22=2,IFBLANK(_xldudf_CX_PUSH(AK22,CX_ENTITY,$B22,AK$11,AK$14,AK$19,),""),IF($I22=3,"",IFBLANK(_xldudf_CX_PUSH(AK22,CX_ENTITY,$B22,AK$11,AK$14,AK$19,),"")))))),"")</f>
        <v/>
      </c>
      <c r="DE22" s="1883" t="str" cm="1">
        <f t="array" ca="1" aca="1" ref="DE22">IFERROR(IF(AL22*fxVal_normal=_CF!AL22,"",IF(OR(AL22="",NOT(ISNUMBER(AL22)),ISERROR(AL22),$B22=""),"",IF($I22=1,IFBLANK(_xldudf_CX_PUSH(AL22*fxVal_normal,CX_ENTITY,$B22,AL$11,AL$14,AL$19,),""),IF($I22=2,IFBLANK(_xldudf_CX_PUSH(AL22,CX_ENTITY,$B22,AL$11,AL$14,AL$19,),""),IF($I22=3,"",IFBLANK(_xldudf_CX_PUSH(AL22,CX_ENTITY,$B22,AL$11,AL$14,AL$19,),"")))))),"")</f>
        <v/>
      </c>
      <c r="DF22" s="1883" t="str" cm="1">
        <f t="array" ca="1" aca="1" ref="DF22">IFERROR(IF(AM22*fxVal_normal=_CF!AM22,"",IF(OR(AM22="",NOT(ISNUMBER(AM22)),ISERROR(AM22),$B22=""),"",IF($I22=1,IFBLANK(_xldudf_CX_PUSH(AM22*fxVal_normal,CX_ENTITY,$B22,AM$11,AM$14,AM$19,),""),IF($I22=2,IFBLANK(_xldudf_CX_PUSH(AM22,CX_ENTITY,$B22,AM$11,AM$14,AM$19,),""),IF($I22=3,"",IFBLANK(_xldudf_CX_PUSH(AM22,CX_ENTITY,$B22,AM$11,AM$14,AM$19,),"")))))),"")</f>
        <v/>
      </c>
      <c r="DG22" s="1883" t="str" cm="1">
        <f t="array" ca="1" aca="1" ref="DG22">IFERROR(IF(AN22*fxVal_normal=_CF!AN22,"",IF(OR(AN22="",NOT(ISNUMBER(AN22)),ISERROR(AN22),$B22=""),"",IF($I22=1,IFBLANK(_xldudf_CX_PUSH(AN22*fxVal_normal,CX_ENTITY,$B22,AN$11,AN$14,AN$19,),""),IF($I22=2,IFBLANK(_xldudf_CX_PUSH(AN22,CX_ENTITY,$B22,AN$11,AN$14,AN$19,),""),IF($I22=3,"",IFBLANK(_xldudf_CX_PUSH(AN22,CX_ENTITY,$B22,AN$11,AN$14,AN$19,),"")))))),"")</f>
        <v/>
      </c>
      <c r="DH22" s="1883" t="str" cm="1">
        <f t="array" ca="1" aca="1" ref="DH22">IFERROR(IF(AO22*fxVal_normal=_CF!AO22,"",IF(OR(AO22="",NOT(ISNUMBER(AO22)),ISERROR(AO22),$B22=""),"",IF($I22=1,IFBLANK(_xldudf_CX_PUSH(AO22*fxVal_normal,CX_ENTITY,$B22,AO$11,AO$14,AO$19,),""),IF($I22=2,IFBLANK(_xldudf_CX_PUSH(AO22,CX_ENTITY,$B22,AO$11,AO$14,AO$19,),""),IF($I22=3,"",IFBLANK(_xldudf_CX_PUSH(AO22,CX_ENTITY,$B22,AO$11,AO$14,AO$19,),"")))))),"")</f>
        <v/>
      </c>
      <c r="DI22" s="1883" t="str" cm="1">
        <f t="array" ca="1" aca="1" ref="DI22">IFERROR(IF(AP22*fxVal_normal=_CF!AP22,"",IF(OR(AP22="",NOT(ISNUMBER(AP22)),ISERROR(AP22),$B22=""),"",IF($I22=1,IFBLANK(_xldudf_CX_PUSH(AP22*fxVal_normal,CX_ENTITY,$B22,AP$11,AP$14,AP$19,),""),IF($I22=2,IFBLANK(_xldudf_CX_PUSH(AP22,CX_ENTITY,$B22,AP$11,AP$14,AP$19,),""),IF($I22=3,"",IFBLANK(_xldudf_CX_PUSH(AP22,CX_ENTITY,$B22,AP$11,AP$14,AP$19,),"")))))),"")</f>
        <v/>
      </c>
      <c r="DJ22" s="1883" t="str" cm="1">
        <f t="array" ca="1" aca="1" ref="DJ22">IFERROR(IF(AQ22*fxVal_normal=_CF!AQ22,"",IF(OR(AQ22="",NOT(ISNUMBER(AQ22)),ISERROR(AQ22),$B22=""),"",IF($I22=1,IFBLANK(_xldudf_CX_PUSH(AQ22*fxVal_normal,CX_ENTITY,$B22,AQ$11,AQ$14,AQ$19,),""),IF($I22=2,IFBLANK(_xldudf_CX_PUSH(AQ22,CX_ENTITY,$B22,AQ$11,AQ$14,AQ$19,),""),IF($I22=3,"",IFBLANK(_xldudf_CX_PUSH(AQ22,CX_ENTITY,$B22,AQ$11,AQ$14,AQ$19,),"")))))),"")</f>
        <v/>
      </c>
      <c r="DK22" s="1883" t="str" cm="1">
        <f t="array" ca="1" aca="1" ref="DK22">IFERROR(IF(AR22*fxVal_normal=_CF!AR22,"",IF(OR(AR22="",NOT(ISNUMBER(AR22)),ISERROR(AR22),$B22=""),"",IF($I22=1,IFBLANK(_xldudf_CX_PUSH(AR22*fxVal_normal,CX_ENTITY,$B22,AR$11,AR$14,AR$19,),""),IF($I22=2,IFBLANK(_xldudf_CX_PUSH(AR22,CX_ENTITY,$B22,AR$11,AR$14,AR$19,),""),IF($I22=3,"",IFBLANK(_xldudf_CX_PUSH(AR22,CX_ENTITY,$B22,AR$11,AR$14,AR$19,),"")))))),"")</f>
        <v/>
      </c>
      <c r="DL22" s="1883" t="str" cm="1">
        <f t="array" ca="1" aca="1" ref="DL22">IFERROR(IF(AS22*fxVal_normal=_CF!AS22,"",IF(OR(AS22="",NOT(ISNUMBER(AS22)),ISERROR(AS22),$B22=""),"",IF($I22=1,IFBLANK(_xldudf_CX_PUSH(AS22*fxVal_normal,CX_ENTITY,$B22,AS$11,AS$14,AS$19,),""),IF($I22=2,IFBLANK(_xldudf_CX_PUSH(AS22,CX_ENTITY,$B22,AS$11,AS$14,AS$19,),""),IF($I22=3,"",IFBLANK(_xldudf_CX_PUSH(AS22,CX_ENTITY,$B22,AS$11,AS$14,AS$19,),"")))))),"")</f>
        <v/>
      </c>
      <c r="DM22" s="1883" t="str" cm="1">
        <f t="array" ca="1" aca="1" ref="DM22">IFERROR(IF(AT22*fxVal_normal=_CF!AT22,"",IF(OR(AT22="",NOT(ISNUMBER(AT22)),ISERROR(AT22),$B22=""),"",IF($I22=1,IFBLANK(_xldudf_CX_PUSH(AT22*fxVal_normal,CX_ENTITY,$B22,AT$11,AT$14,AT$19,),""),IF($I22=2,IFBLANK(_xldudf_CX_PUSH(AT22,CX_ENTITY,$B22,AT$11,AT$14,AT$19,),""),IF($I22=3,"",IFBLANK(_xldudf_CX_PUSH(AT22,CX_ENTITY,$B22,AT$11,AT$14,AT$19,),"")))))),"")</f>
        <v/>
      </c>
      <c r="DN22" s="1883" t="str" cm="1">
        <f t="array" ca="1" aca="1" ref="DN22">IFERROR(IF(AU22*fxVal_normal=_CF!AU22,"",IF(OR(AU22="",NOT(ISNUMBER(AU22)),ISERROR(AU22),$B22=""),"",IF($I22=1,IFBLANK(_xldudf_CX_PUSH(AU22*fxVal_normal,CX_ENTITY,$B22,AU$11,AU$14,AU$19,),""),IF($I22=2,IFBLANK(_xldudf_CX_PUSH(AU22,CX_ENTITY,$B22,AU$11,AU$14,AU$19,),""),IF($I22=3,"",IFBLANK(_xldudf_CX_PUSH(AU22,CX_ENTITY,$B22,AU$11,AU$14,AU$19,),"")))))),"")</f>
        <v/>
      </c>
      <c r="DO22" s="1883" t="str" cm="1">
        <f t="array" ca="1" aca="1" ref="DO22">IFERROR(IF(AV22*fxVal_normal=_CF!AV22,"",IF(OR(AV22="",NOT(ISNUMBER(AV22)),ISERROR(AV22),$B22=""),"",IF($I22=1,IFBLANK(_xldudf_CX_PUSH(AV22*fxVal_normal,CX_ENTITY,$B22,AV$11,AV$14,AV$19,),""),IF($I22=2,IFBLANK(_xldudf_CX_PUSH(AV22,CX_ENTITY,$B22,AV$11,AV$14,AV$19,),""),IF($I22=3,"",IFBLANK(_xldudf_CX_PUSH(AV22,CX_ENTITY,$B22,AV$11,AV$14,AV$19,),"")))))),"")</f>
        <v/>
      </c>
      <c r="DP22" s="1883" t="str" cm="1">
        <f t="array" ca="1" aca="1" ref="DP22">IFERROR(IF(AW22*fxVal_normal=_CF!AW22,"",IF(OR(AW22="",NOT(ISNUMBER(AW22)),ISERROR(AW22),$B22=""),"",IF($I22=1,IFBLANK(_xldudf_CX_PUSH(AW22*fxVal_normal,CX_ENTITY,$B22,AW$11,AW$14,AW$19,),""),IF($I22=2,IFBLANK(_xldudf_CX_PUSH(AW22,CX_ENTITY,$B22,AW$11,AW$14,AW$19,),""),IF($I22=3,"",IFBLANK(_xldudf_CX_PUSH(AW22,CX_ENTITY,$B22,AW$11,AW$14,AW$19,),"")))))),"")</f>
        <v/>
      </c>
      <c r="DQ22" s="1883" t="str" cm="1">
        <f t="array" ca="1" aca="1" ref="DQ22">IFERROR(IF(AX22*fxVal_normal=_CF!AX22,"",IF(OR(AX22="",NOT(ISNUMBER(AX22)),ISERROR(AX22),$B22=""),"",IF($I22=1,IFBLANK(_xldudf_CX_PUSH(AX22*fxVal_normal,CX_ENTITY,$B22,AX$11,AX$14,AX$19,),""),IF($I22=2,IFBLANK(_xldudf_CX_PUSH(AX22,CX_ENTITY,$B22,AX$11,AX$14,AX$19,),""),IF($I22=3,"",IFBLANK(_xldudf_CX_PUSH(AX22,CX_ENTITY,$B22,AX$11,AX$14,AX$19,),"")))))),"")</f>
        <v/>
      </c>
      <c r="DR22" s="1883" t="str" cm="1">
        <f t="array" ca="1" aca="1" ref="DR22">IFERROR(IF(AY22*fxVal_normal=_CF!AY22,"",IF(OR(AY22="",NOT(ISNUMBER(AY22)),ISERROR(AY22),$B22=""),"",IF($I22=1,IFBLANK(_xldudf_CX_PUSH(AY22*fxVal_normal,CX_ENTITY,$B22,AY$11,AY$14,AY$19,),""),IF($I22=2,IFBLANK(_xldudf_CX_PUSH(AY22,CX_ENTITY,$B22,AY$11,AY$14,AY$19,),""),IF($I22=3,"",IFBLANK(_xldudf_CX_PUSH(AY22,CX_ENTITY,$B22,AY$11,AY$14,AY$19,),"")))))),"")</f>
        <v/>
      </c>
      <c r="DS22" s="1883" t="str" cm="1">
        <f t="array" ca="1" aca="1" ref="DS22">IFERROR(IF(AZ22*fxVal_normal=_CF!AZ22,"",IF(OR(AZ22="",NOT(ISNUMBER(AZ22)),ISERROR(AZ22),$B22=""),"",IF($I22=1,IFBLANK(_xldudf_CX_PUSH(AZ22*fxVal_normal,CX_ENTITY,$B22,AZ$11,AZ$14,AZ$19,),""),IF($I22=2,IFBLANK(_xldudf_CX_PUSH(AZ22,CX_ENTITY,$B22,AZ$11,AZ$14,AZ$19,),""),IF($I22=3,"",IFBLANK(_xldudf_CX_PUSH(AZ22,CX_ENTITY,$B22,AZ$11,AZ$14,AZ$19,),"")))))),"")</f>
        <v/>
      </c>
      <c r="DT22" s="1883" t="str" cm="1">
        <f t="array" ca="1" aca="1" ref="DT22">IFERROR(IF(BA22*fxVal_normal=_CF!BA22,"",IF(OR(BA22="",NOT(ISNUMBER(BA22)),ISERROR(BA22),$B22=""),"",IF($I22=1,IFBLANK(_xldudf_CX_PUSH(BA22*fxVal_normal,CX_ENTITY,$B22,BA$11,BA$14,BA$19,),""),IF($I22=2,IFBLANK(_xldudf_CX_PUSH(BA22,CX_ENTITY,$B22,BA$11,BA$14,BA$19,),""),IF($I22=3,"",IFBLANK(_xldudf_CX_PUSH(BA22,CX_ENTITY,$B22,BA$11,BA$14,BA$19,),"")))))),"")</f>
        <v/>
      </c>
      <c r="DU22" s="1883" t="str" cm="1">
        <f t="array" ca="1" aca="1" ref="DU22">IFERROR(IF(BB22*fxVal_normal=_CF!BB22,"",IF(OR(BB22="",NOT(ISNUMBER(BB22)),ISERROR(BB22),$B22=""),"",IF($I22=1,IFBLANK(_xldudf_CX_PUSH(BB22*fxVal_normal,CX_ENTITY,$B22,BB$11,BB$14,BB$19,),""),IF($I22=2,IFBLANK(_xldudf_CX_PUSH(BB22,CX_ENTITY,$B22,BB$11,BB$14,BB$19,),""),IF($I22=3,"",IFBLANK(_xldudf_CX_PUSH(BB22,CX_ENTITY,$B22,BB$11,BB$14,BB$19,),"")))))),"")</f>
        <v/>
      </c>
      <c r="DV22" s="1883" t="str" cm="1">
        <f t="array" ca="1" aca="1" ref="DV22">IFERROR(IF(BC22*fxVal_normal=_CF!BC22,"",IF(OR(BC22="",NOT(ISNUMBER(BC22)),ISERROR(BC22),$B22=""),"",IF($I22=1,IFBLANK(_xldudf_CX_PUSH(BC22*fxVal_normal,CX_ENTITY,$B22,BC$11,BC$14,BC$19,),""),IF($I22=2,IFBLANK(_xldudf_CX_PUSH(BC22,CX_ENTITY,$B22,BC$11,BC$14,BC$19,),""),IF($I22=3,"",IFBLANK(_xldudf_CX_PUSH(BC22,CX_ENTITY,$B22,BC$11,BC$14,BC$19,),"")))))),"")</f>
        <v/>
      </c>
      <c r="DW22" s="1883" t="str" cm="1">
        <f t="array" ca="1" aca="1" ref="DW22">IFERROR(IF(BD22*fxVal_normal=_CF!BD22,"",IF(OR(BD22="",NOT(ISNUMBER(BD22)),ISERROR(BD22),$B22=""),"",IF($I22=1,IFBLANK(_xldudf_CX_PUSH(BD22*fxVal_normal,CX_ENTITY,$B22,BD$11,BD$14,BD$19,),""),IF($I22=2,IFBLANK(_xldudf_CX_PUSH(BD22,CX_ENTITY,$B22,BD$11,BD$14,BD$19,),""),IF($I22=3,"",IFBLANK(_xldudf_CX_PUSH(BD22,CX_ENTITY,$B22,BD$11,BD$14,BD$19,),"")))))),"")</f>
        <v/>
      </c>
      <c r="DX22" s="1883" t="str" cm="1">
        <f t="array" ca="1" aca="1" ref="DX22">IFERROR(IF(BE22*fxVal_normal=_CF!BE22,"",IF(OR(BE22="",NOT(ISNUMBER(BE22)),ISERROR(BE22),$B22=""),"",IF($I22=1,IFBLANK(_xldudf_CX_PUSH(BE22*fxVal_normal,CX_ENTITY,$B22,BE$11,BE$14,BE$19,),""),IF($I22=2,IFBLANK(_xldudf_CX_PUSH(BE22,CX_ENTITY,$B22,BE$11,BE$14,BE$19,),""),IF($I22=3,"",IFBLANK(_xldudf_CX_PUSH(BE22,CX_ENTITY,$B22,BE$11,BE$14,BE$19,),"")))))),"")</f>
        <v/>
      </c>
      <c r="DY22" s="1883" t="str" cm="1">
        <f t="array" ca="1" aca="1" ref="DY22">IFERROR(IF(BF22*fxVal_normal=_CF!BF22,"",IF(OR(BF22="",NOT(ISNUMBER(BF22)),ISERROR(BF22),$B22=""),"",IF($I22=1,IFBLANK(_xldudf_CX_PUSH(BF22*fxVal_normal,CX_ENTITY,$B22,BF$11,BF$14,BF$19,),""),IF($I22=2,IFBLANK(_xldudf_CX_PUSH(BF22,CX_ENTITY,$B22,BF$11,BF$14,BF$19,),""),IF($I22=3,"",IFBLANK(_xldudf_CX_PUSH(BF22,CX_ENTITY,$B22,BF$11,BF$14,BF$19,),"")))))),"")</f>
        <v/>
      </c>
      <c r="DZ22" s="1883" t="str" cm="1">
        <f t="array" ca="1" aca="1" ref="DZ22">IFERROR(IF(BG22*fxVal_normal=_CF!BG22,"",IF(OR(BG22="",NOT(ISNUMBER(BG22)),ISERROR(BG22),$B22=""),"",IF($I22=1,IFBLANK(_xldudf_CX_PUSH(BG22*fxVal_normal,CX_ENTITY,$B22,BG$11,BG$14,BG$19,),""),IF($I22=2,IFBLANK(_xldudf_CX_PUSH(BG22,CX_ENTITY,$B22,BG$11,BG$14,BG$19,),""),IF($I22=3,"",IFBLANK(_xldudf_CX_PUSH(BG22,CX_ENTITY,$B22,BG$11,BG$14,BG$19,),"")))))),"")</f>
        <v/>
      </c>
      <c r="EA22" s="1883" t="str" cm="1">
        <f t="array" ca="1" aca="1" ref="EA22">IFERROR(IF(BH22*fxVal_normal=_CF!BH22,"",IF(OR(BH22="",NOT(ISNUMBER(BH22)),ISERROR(BH22),$B22=""),"",IF($I22=1,IFBLANK(_xldudf_CX_PUSH(BH22*fxVal_normal,CX_ENTITY,$B22,BH$11,BH$14,BH$19,),""),IF($I22=2,IFBLANK(_xldudf_CX_PUSH(BH22,CX_ENTITY,$B22,BH$11,BH$14,BH$19,),""),IF($I22=3,"",IFBLANK(_xldudf_CX_PUSH(BH22,CX_ENTITY,$B22,BH$11,BH$14,BH$19,),"")))))),"")</f>
        <v/>
      </c>
      <c r="EB22" s="1883" t="str" cm="1">
        <f t="array" ca="1" aca="1" ref="EB22">IFERROR(IF(BI22*fxVal_normal=_CF!BI22,"",IF(OR(BI22="",NOT(ISNUMBER(BI22)),ISERROR(BI22),$B22=""),"",IF($I22=1,IFBLANK(_xldudf_CX_PUSH(BI22*fxVal_normal,CX_ENTITY,$B22,BI$11,BI$14,BI$19,),""),IF($I22=2,IFBLANK(_xldudf_CX_PUSH(BI22,CX_ENTITY,$B22,BI$11,BI$14,BI$19,),""),IF($I22=3,"",IFBLANK(_xldudf_CX_PUSH(BI22,CX_ENTITY,$B22,BI$11,BI$14,BI$19,),"")))))),"")</f>
        <v/>
      </c>
      <c r="EC22" s="1883" t="str" cm="1">
        <f t="array" ca="1" aca="1" ref="EC22">IFERROR(IF(BJ22*fxVal_normal=_CF!BJ22,"",IF(OR(BJ22="",NOT(ISNUMBER(BJ22)),ISERROR(BJ22),$B22=""),"",IF($I22=1,IFBLANK(_xldudf_CX_PUSH(BJ22*fxVal_normal,CX_ENTITY,$B22,BJ$11,BJ$14,BJ$19,),""),IF($I22=2,IFBLANK(_xldudf_CX_PUSH(BJ22,CX_ENTITY,$B22,BJ$11,BJ$14,BJ$19,),""),IF($I22=3,"",IFBLANK(_xldudf_CX_PUSH(BJ22,CX_ENTITY,$B22,BJ$11,BJ$14,BJ$19,),"")))))),"")</f>
        <v/>
      </c>
      <c r="ED22" s="1883" t="str" cm="1">
        <f t="array" ca="1" aca="1" ref="ED22">IFERROR(IF(BK22*fxVal_normal=_CF!BK22,"",IF(OR(BK22="",NOT(ISNUMBER(BK22)),ISERROR(BK22),$B22=""),"",IF($I22=1,IFBLANK(_xldudf_CX_PUSH(BK22*fxVal_normal,CX_ENTITY,$B22,BK$11,BK$14,BK$19,),""),IF($I22=2,IFBLANK(_xldudf_CX_PUSH(BK22,CX_ENTITY,$B22,BK$11,BK$14,BK$19,),""),IF($I22=3,"",IFBLANK(_xldudf_CX_PUSH(BK22,CX_ENTITY,$B22,BK$11,BK$14,BK$19,),"")))))),"")</f>
        <v/>
      </c>
      <c r="EE22" s="1883" t="str" cm="1">
        <f t="array" ca="1" aca="1" ref="EE22">IFERROR(IF(BL22*fxVal_normal=_CF!BL22,"",IF(OR(BL22="",NOT(ISNUMBER(BL22)),ISERROR(BL22),$B22=""),"",IF($I22=1,IFBLANK(_xldudf_CX_PUSH(BL22*fxVal_normal,CX_ENTITY,$B22,BL$11,BL$14,BL$19,),""),IF($I22=2,IFBLANK(_xldudf_CX_PUSH(BL22,CX_ENTITY,$B22,BL$11,BL$14,BL$19,),""),IF($I22=3,"",IFBLANK(_xldudf_CX_PUSH(BL22,CX_ENTITY,$B22,BL$11,BL$14,BL$19,),"")))))),"")</f>
        <v/>
      </c>
      <c r="EF22" s="1883" t="str" cm="1">
        <f t="array" ca="1" aca="1" ref="EF22">IFERROR(IF(BM22*fxVal_normal=_CF!BM22,"",IF(OR(BM22="",NOT(ISNUMBER(BM22)),ISERROR(BM22),$B22=""),"",IF($I22=1,IFBLANK(_xldudf_CX_PUSH(BM22*fxVal_normal,CX_ENTITY,$B22,BM$11,BM$14,BM$19,),""),IF($I22=2,IFBLANK(_xldudf_CX_PUSH(BM22,CX_ENTITY,$B22,BM$11,BM$14,BM$19,),""),IF($I22=3,"",IFBLANK(_xldudf_CX_PUSH(BM22,CX_ENTITY,$B22,BM$11,BM$14,BM$19,),"")))))),"")</f>
        <v/>
      </c>
      <c r="EG22" s="1883" t="str" cm="1">
        <f t="array" ca="1" aca="1" ref="EG22">IFERROR(IF(BN22*fxVal_normal=_CF!BN22,"",IF(OR(BN22="",NOT(ISNUMBER(BN22)),ISERROR(BN22),$B22=""),"",IF($I22=1,IFBLANK(_xldudf_CX_PUSH(BN22*fxVal_normal,CX_ENTITY,$B22,BN$11,BN$14,BN$19,),""),IF($I22=2,IFBLANK(_xldudf_CX_PUSH(BN22,CX_ENTITY,$B22,BN$11,BN$14,BN$19,),""),IF($I22=3,"",IFBLANK(_xldudf_CX_PUSH(BN22,CX_ENTITY,$B22,BN$11,BN$14,BN$19,),"")))))),"")</f>
        <v/>
      </c>
    </row>
    <row r="23" spans="1:137" ht="21" customHeight="1">
      <c r="A23" s="1625"/>
      <c r="B23" s="695" t="str" cm="1">
        <f t="array" ref="B23">IFBLANK(_CF!F23,"")</f>
        <v>Other Operating Cash Flows</v>
      </c>
      <c r="C23" s="3340" t="str" cm="1">
        <f t="array" ref="C23">IFBLANK(_CF!C23,"")</f>
        <v>Other Operating Cash Flows (Company View)</v>
      </c>
      <c r="D23" s="1548"/>
      <c r="E23" s="695"/>
      <c r="F23" s="577"/>
      <c r="G23" s="1460"/>
      <c r="H23" s="3279">
        <v>1</v>
      </c>
      <c r="I23" s="3279">
        <v>1</v>
      </c>
      <c r="J23" s="3280" cm="1">
        <f t="array" ref="J23">IFBLANK(Z23,"")</f>
        <v>1</v>
      </c>
      <c r="K23" s="578"/>
      <c r="N23" s="158"/>
      <c r="O23" s="101"/>
      <c r="P23" s="52"/>
      <c r="Q23" s="101"/>
      <c r="R23" s="101"/>
      <c r="S23" s="101"/>
      <c r="T23" s="101"/>
      <c r="U23" s="39"/>
      <c r="W23" s="932" t="str">
        <f t="shared" si="1"/>
        <v>Actual</v>
      </c>
      <c r="X23" s="815" t="str">
        <f>_CF!X23</f>
        <v>a</v>
      </c>
      <c r="Y23" s="3231">
        <v>2</v>
      </c>
      <c r="Z23" s="3291" cm="1">
        <f t="array" ref="Z23">_xlfn.SWITCH(TRUE,_CF!$L23=TRUE,1,_CF!$L23=FALSE,-1,_CF!$L23=-1,0,"n/a")</f>
        <v>1</v>
      </c>
      <c r="AA23" s="200"/>
      <c r="AB23" s="3343" t="str">
        <f>_CF!AB23</f>
        <v>Other Operating Cash Flows</v>
      </c>
      <c r="AC23" s="88" t="e" vm="5" cm="1">
        <f t="array" ca="1" aca="1" ref="AC23">_xlfn.LET(_xlpm._termname,$AB23,_xlpm._iconname,"find",_xlpm._icon,fx_getIcon(_xlpm._iconname),_xlpm._location,_xlfn.XLOOKUP(LOWER(_xlpm._termname),LOWER(tbl_acctDef[Term]),tbl_acctDef[Term]),_xlpm._hyperlink,HYPERLINK("#"&amp;CELL("address",_xlpm._location),_xlpm._icon),IFERROR(_xlpm._hyperlink,""))</f>
        <v>#VALUE!</v>
      </c>
      <c r="AD23" s="3232">
        <v>1</v>
      </c>
      <c r="AE23" s="3232">
        <v>1</v>
      </c>
      <c r="AF23" s="3232">
        <v>1</v>
      </c>
      <c r="AG23" s="3232">
        <v>1</v>
      </c>
      <c r="AH23" s="3232">
        <v>1</v>
      </c>
      <c r="AI23" s="3232">
        <v>1</v>
      </c>
      <c r="AJ23" s="3232">
        <v>1</v>
      </c>
      <c r="AK23" s="3232">
        <v>1</v>
      </c>
      <c r="AL23" s="3232">
        <v>1</v>
      </c>
      <c r="AM23" s="3232">
        <v>1</v>
      </c>
      <c r="AN23" s="3232">
        <v>1</v>
      </c>
      <c r="AO23" s="3232">
        <v>1</v>
      </c>
      <c r="AP23" s="3232">
        <v>1</v>
      </c>
      <c r="AQ23" s="3232">
        <v>1</v>
      </c>
      <c r="AR23" s="3232">
        <v>1</v>
      </c>
      <c r="AS23" s="3232">
        <v>1</v>
      </c>
      <c r="AT23" s="3232">
        <v>1</v>
      </c>
      <c r="AU23" s="3232">
        <v>1</v>
      </c>
      <c r="AV23" s="3232">
        <v>1</v>
      </c>
      <c r="AW23" s="3232">
        <v>1</v>
      </c>
      <c r="AX23" s="3232">
        <v>1</v>
      </c>
      <c r="AY23" s="3232">
        <v>1</v>
      </c>
      <c r="AZ23" s="3232">
        <v>1</v>
      </c>
      <c r="BA23" s="3232">
        <v>1</v>
      </c>
      <c r="BB23" s="3232">
        <v>1</v>
      </c>
      <c r="BC23" s="3232">
        <v>1</v>
      </c>
      <c r="BD23" s="3232">
        <v>1</v>
      </c>
      <c r="BE23" s="3232">
        <v>1</v>
      </c>
      <c r="BF23" s="3232">
        <v>1</v>
      </c>
      <c r="BG23" s="3232">
        <v>1</v>
      </c>
      <c r="BH23" s="3232">
        <v>1</v>
      </c>
      <c r="BI23" s="3232">
        <v>1</v>
      </c>
      <c r="BJ23" s="3232">
        <v>1</v>
      </c>
      <c r="BK23" s="3232">
        <v>1</v>
      </c>
      <c r="BL23" s="3232">
        <v>1</v>
      </c>
      <c r="BM23" s="3232">
        <v>1</v>
      </c>
      <c r="BN23" s="3232">
        <v>1</v>
      </c>
      <c r="BO23" s="2115"/>
      <c r="BP23" s="2115"/>
      <c r="BQ23" s="2115"/>
      <c r="BR23" s="2115"/>
      <c r="BS23" s="2115"/>
      <c r="BT23" s="2115"/>
      <c r="BU23" s="2115"/>
      <c r="BV23" s="2115"/>
      <c r="BW23" s="2115"/>
      <c r="BX23" s="2115"/>
      <c r="BY23" s="2115"/>
      <c r="BZ23" s="2115"/>
      <c r="CA23" s="1330"/>
      <c r="CB23" s="537"/>
      <c r="CC23" s="1484"/>
      <c r="CD23" s="1461" t="e" cm="1">
        <f t="array" ca="1" aca="1" ref="CD23">_xlfn.LET(_xlpm.CheckBlank,SUM(CF!$AD23:$BN23)=0,IF(_xlpm.CheckBlank,"",SUM(_xlfn._xlws.FILTER(CF!$AD23:$BN23,(YEAR(CF!$AD$12:$BN$12)=CF!CD$12)*(array_timeline&lt;=CF!CD$11)))))</f>
        <v>#NAME?</v>
      </c>
      <c r="CE23" s="1461" t="e" cm="1">
        <f t="array" ca="1" aca="1" ref="CE23">_xlfn.LET(_xlpm.CheckBlank,SUM(CF!$AD23:$BN23)=0,IF(_xlpm.CheckBlank,"",SUM(_xlfn._xlws.FILTER(CF!$AD23:$BN23,(YEAR(CF!$AD$12:$BN$12)=CF!CE$12)*(array_timeline&lt;=CF!CE$11)))))</f>
        <v>#NAME?</v>
      </c>
      <c r="CF23" s="1314"/>
      <c r="CG23" s="1461" t="e" cm="1">
        <f t="array" ca="1" aca="1" ref="CG23">_xlfn.LET(_xlpm.CheckBlank,SUM(CF!$AD23:$BN23)=0,IF(_xlpm.CheckBlank,"",SUM(_xlfn._xlws.FILTER(CF!$AD23:$BN23,(YEAR(CF!$AD$12:$BN$12)=CF!CG$12)*(array_timeline&lt;=CF!CG$11)))))</f>
        <v>#NAME?</v>
      </c>
      <c r="CH23" s="1461" t="e" cm="1">
        <f t="array" ca="1" aca="1" ref="CH23">_xlfn.LET(_xlpm.CheckBlank,SUM(CF!$AD23:$BN23)=0,IF(_xlpm.CheckBlank,"",SUM(_xlfn._xlws.FILTER(CF!$AD23:$BN23,(YEAR(CF!$AD$12:$BN$12)=CF!CH$12)*(array_timeline&lt;=CF!CH$11)))))</f>
        <v>#NAME?</v>
      </c>
      <c r="CI23" s="1314"/>
      <c r="CJ23" s="1461" cm="1">
        <f t="array" ref="CJ23">_xlfn.LET(_xlpm.CheckBlank,SUM(CF!$AD23:$BN23)=0,IF(_xlpm.CheckBlank,"",SUM(_xlfn.TAKE(_xlfn.DROP(CF!$AD23:$BN23,,-DATEDIFF(CF!CJ$11,val_asOfDate,"M")),1,-12))))</f>
        <v>12</v>
      </c>
      <c r="CK23" s="1461" cm="1">
        <f t="array" ref="CK23">_xlfn.LET(_xlpm.CheckBlank,SUM(CF!$AD23:$BN23)=0,IF(_xlpm.CheckBlank,"",SUM(_xlfn.TAKE(_xlfn.DROP(CF!$AD23:$BN23,,-DATEDIFF(CF!CK$11,val_asOfDate,"M")),1,-12))))</f>
        <v>12</v>
      </c>
      <c r="CL23" s="1314"/>
      <c r="CM23" s="3353" t="e" cm="1">
        <f t="array" ca="1" aca="1" ref="CM23">TODECIMAL(IFBLANK(_CF!CM23,""),fxVal_normal)</f>
        <v>#NAME?</v>
      </c>
      <c r="CN23" s="3353" t="e" cm="1">
        <f t="array" ca="1" aca="1" ref="CN23">TODECIMAL(IFBLANK(_CF!CN23,""),fxVal_normal)</f>
        <v>#NAME?</v>
      </c>
      <c r="CO23" s="34"/>
      <c r="CQ23" s="2085" t="str" cm="1">
        <f t="array" ca="1" aca="1" ref="CQ23">IFERROR(IF(Y23&lt;&gt;AB23,_xldudf_CX_PUSH(Y23,CX_ENTITY,C23,EOMONTH(val_asOfDate,0)),""),"")</f>
        <v/>
      </c>
      <c r="CR23" s="2085" t="str" cm="1">
        <f t="array" ca="1" aca="1" ref="CR23">IFERROR(IF(Y23&lt;&gt;AB23,_xldudf_CX_PUSH(Y23,CX_ENTITY,C23,EOMONTH(val_asOfDate,1)),""),"")</f>
        <v/>
      </c>
      <c r="CS23" s="2085" t="str" cm="1">
        <f t="array" ca="1" aca="1" ref="CS23">IFERROR(IF(Y23&lt;&gt;AB23,_xldudf_CX_PUSH(Y23,CX_ENTITY,C23,EOMONTH(val_asOfDate,2)),""),"")</f>
        <v/>
      </c>
      <c r="CT23" s="2085" t="str" cm="1">
        <f t="array" ca="1" aca="1" ref="CT23">IFERROR(IF(Y23&lt;&gt;AB23,_xldudf_CX_PUSH(Y23,CX_ENTITY,C23,EOMONTH(val_asOfDate,3)),""),"")</f>
        <v/>
      </c>
      <c r="CU23" s="2086" t="str" cm="1">
        <f t="array" ca="1" aca="1" ref="CU23">IFERROR(IF(CM23*fxVal_normal=_CF!CM23,"",IF(OR($CM23="",,NOT(ISNUMBER($CM23)),ISERROR($CM23),$B23=""),"",IF($I23=1,IFBLANK(_xldudf_CX_PUSH($CM23*fxVal_normal,CX_ENTITY,$B23,$CM$11,$CM$14,$CM$19,),""),IF($I23=2,IFBLANK(_xldudf_CX_PUSH($CM23,CX_ENTITY,$B23,$CM$11,$CM$14,$CM$19,),""),IF($I23=3,"",IFBLANK(_xldudf_CX_PUSH($CM23,CX_ENTITY,$B23,$CM$11,$CM$14,$CM$19,),"")))))),"")</f>
        <v/>
      </c>
      <c r="CV23" s="2086" t="str" cm="1">
        <f t="array" ca="1" aca="1" ref="CV23">IFERROR(IF(CN23*fxVal_normal=_CF!CN23,"",IF(OR($CN23="",,NOT(ISNUMBER($CN23)),ISERROR($CN23),$B23=""),"",IF($I23=1,IFBLANK(_xldudf_CX_PUSH($CN23*fxVal_normal,CX_ENTITY,$B23,$CN$11,$CN$14,$CN$19,),""),IF($I23=2,IFBLANK(_xldudf_CX_PUSH($CN23,CX_ENTITY,$B23,$CN$11,$CN$14,$CN$19,),""),IF($I23=3,"",IFBLANK(_xldudf_CX_PUSH($CN23,CX_ENTITY,$B23,$CN$11,$CN$14,$CN$19,),"")))))),"")</f>
        <v/>
      </c>
      <c r="CW23" s="1883" t="str" cm="1">
        <f t="array" ca="1" aca="1" ref="CW23">IFERROR(IF(AD23*fxVal_normal=_CF!AD23,"",IF(OR(AD23="",NOT(ISNUMBER(AD23)),ISERROR(AD23),$B23=""),"",IF($I23=1,IFBLANK(_xldudf_CX_PUSH(AD23*fxVal_normal,CX_ENTITY,$B23,AD$11,AD$14,AD$19,),""),IF($I23=2,IFBLANK(_xldudf_CX_PUSH(AD23,CX_ENTITY,$B23,AD$11,AD$14,AD$19,),""),IF($I23=3,"",IFBLANK(_xldudf_CX_PUSH(AD23,CX_ENTITY,$B23,AD$11,AD$14,AD$19,),"")))))),"")</f>
        <v/>
      </c>
      <c r="CX23" s="1883" t="str" cm="1">
        <f t="array" ca="1" aca="1" ref="CX23">IFERROR(IF(AE23*fxVal_normal=_CF!AE23,"",IF(OR(AE23="",NOT(ISNUMBER(AE23)),ISERROR(AE23),$B23=""),"",IF($I23=1,IFBLANK(_xldudf_CX_PUSH(AE23*fxVal_normal,CX_ENTITY,$B23,AE$11,AE$14,AE$19,),""),IF($I23=2,IFBLANK(_xldudf_CX_PUSH(AE23,CX_ENTITY,$B23,AE$11,AE$14,AE$19,),""),IF($I23=3,"",IFBLANK(_xldudf_CX_PUSH(AE23,CX_ENTITY,$B23,AE$11,AE$14,AE$19,),"")))))),"")</f>
        <v/>
      </c>
      <c r="CY23" s="1883" t="str" cm="1">
        <f t="array" ca="1" aca="1" ref="CY23">IFERROR(IF(AF23*fxVal_normal=_CF!AF23,"",IF(OR(AF23="",NOT(ISNUMBER(AF23)),ISERROR(AF23),$B23=""),"",IF($I23=1,IFBLANK(_xldudf_CX_PUSH(AF23*fxVal_normal,CX_ENTITY,$B23,AF$11,AF$14,AF$19,),""),IF($I23=2,IFBLANK(_xldudf_CX_PUSH(AF23,CX_ENTITY,$B23,AF$11,AF$14,AF$19,),""),IF($I23=3,"",IFBLANK(_xldudf_CX_PUSH(AF23,CX_ENTITY,$B23,AF$11,AF$14,AF$19,),"")))))),"")</f>
        <v/>
      </c>
      <c r="CZ23" s="1883" t="str" cm="1">
        <f t="array" ca="1" aca="1" ref="CZ23">IFERROR(IF(AG23*fxVal_normal=_CF!AG23,"",IF(OR(AG23="",NOT(ISNUMBER(AG23)),ISERROR(AG23),$B23=""),"",IF($I23=1,IFBLANK(_xldudf_CX_PUSH(AG23*fxVal_normal,CX_ENTITY,$B23,AG$11,AG$14,AG$19,),""),IF($I23=2,IFBLANK(_xldudf_CX_PUSH(AG23,CX_ENTITY,$B23,AG$11,AG$14,AG$19,),""),IF($I23=3,"",IFBLANK(_xldudf_CX_PUSH(AG23,CX_ENTITY,$B23,AG$11,AG$14,AG$19,),"")))))),"")</f>
        <v/>
      </c>
      <c r="DA23" s="1883" t="str" cm="1">
        <f t="array" ca="1" aca="1" ref="DA23">IFERROR(IF(AH23*fxVal_normal=_CF!AH23,"",IF(OR(AH23="",NOT(ISNUMBER(AH23)),ISERROR(AH23),$B23=""),"",IF($I23=1,IFBLANK(_xldudf_CX_PUSH(AH23*fxVal_normal,CX_ENTITY,$B23,AH$11,AH$14,AH$19,),""),IF($I23=2,IFBLANK(_xldudf_CX_PUSH(AH23,CX_ENTITY,$B23,AH$11,AH$14,AH$19,),""),IF($I23=3,"",IFBLANK(_xldudf_CX_PUSH(AH23,CX_ENTITY,$B23,AH$11,AH$14,AH$19,),"")))))),"")</f>
        <v/>
      </c>
      <c r="DB23" s="1883" t="str" cm="1">
        <f t="array" ca="1" aca="1" ref="DB23">IFERROR(IF(AI23*fxVal_normal=_CF!AI23,"",IF(OR(AI23="",NOT(ISNUMBER(AI23)),ISERROR(AI23),$B23=""),"",IF($I23=1,IFBLANK(_xldudf_CX_PUSH(AI23*fxVal_normal,CX_ENTITY,$B23,AI$11,AI$14,AI$19,),""),IF($I23=2,IFBLANK(_xldudf_CX_PUSH(AI23,CX_ENTITY,$B23,AI$11,AI$14,AI$19,),""),IF($I23=3,"",IFBLANK(_xldudf_CX_PUSH(AI23,CX_ENTITY,$B23,AI$11,AI$14,AI$19,),"")))))),"")</f>
        <v/>
      </c>
      <c r="DC23" s="1883" t="str" cm="1">
        <f t="array" ca="1" aca="1" ref="DC23">IFERROR(IF(AJ23*fxVal_normal=_CF!AJ23,"",IF(OR(AJ23="",NOT(ISNUMBER(AJ23)),ISERROR(AJ23),$B23=""),"",IF($I23=1,IFBLANK(_xldudf_CX_PUSH(AJ23*fxVal_normal,CX_ENTITY,$B23,AJ$11,AJ$14,AJ$19,),""),IF($I23=2,IFBLANK(_xldudf_CX_PUSH(AJ23,CX_ENTITY,$B23,AJ$11,AJ$14,AJ$19,),""),IF($I23=3,"",IFBLANK(_xldudf_CX_PUSH(AJ23,CX_ENTITY,$B23,AJ$11,AJ$14,AJ$19,),"")))))),"")</f>
        <v/>
      </c>
      <c r="DD23" s="1883" t="str" cm="1">
        <f t="array" ca="1" aca="1" ref="DD23">IFERROR(IF(AK23*fxVal_normal=_CF!AK23,"",IF(OR(AK23="",NOT(ISNUMBER(AK23)),ISERROR(AK23),$B23=""),"",IF($I23=1,IFBLANK(_xldudf_CX_PUSH(AK23*fxVal_normal,CX_ENTITY,$B23,AK$11,AK$14,AK$19,),""),IF($I23=2,IFBLANK(_xldudf_CX_PUSH(AK23,CX_ENTITY,$B23,AK$11,AK$14,AK$19,),""),IF($I23=3,"",IFBLANK(_xldudf_CX_PUSH(AK23,CX_ENTITY,$B23,AK$11,AK$14,AK$19,),"")))))),"")</f>
        <v/>
      </c>
      <c r="DE23" s="1883" t="str" cm="1">
        <f t="array" ca="1" aca="1" ref="DE23">IFERROR(IF(AL23*fxVal_normal=_CF!AL23,"",IF(OR(AL23="",NOT(ISNUMBER(AL23)),ISERROR(AL23),$B23=""),"",IF($I23=1,IFBLANK(_xldudf_CX_PUSH(AL23*fxVal_normal,CX_ENTITY,$B23,AL$11,AL$14,AL$19,),""),IF($I23=2,IFBLANK(_xldudf_CX_PUSH(AL23,CX_ENTITY,$B23,AL$11,AL$14,AL$19,),""),IF($I23=3,"",IFBLANK(_xldudf_CX_PUSH(AL23,CX_ENTITY,$B23,AL$11,AL$14,AL$19,),"")))))),"")</f>
        <v/>
      </c>
      <c r="DF23" s="1883" t="str" cm="1">
        <f t="array" ca="1" aca="1" ref="DF23">IFERROR(IF(AM23*fxVal_normal=_CF!AM23,"",IF(OR(AM23="",NOT(ISNUMBER(AM23)),ISERROR(AM23),$B23=""),"",IF($I23=1,IFBLANK(_xldudf_CX_PUSH(AM23*fxVal_normal,CX_ENTITY,$B23,AM$11,AM$14,AM$19,),""),IF($I23=2,IFBLANK(_xldudf_CX_PUSH(AM23,CX_ENTITY,$B23,AM$11,AM$14,AM$19,),""),IF($I23=3,"",IFBLANK(_xldudf_CX_PUSH(AM23,CX_ENTITY,$B23,AM$11,AM$14,AM$19,),"")))))),"")</f>
        <v/>
      </c>
      <c r="DG23" s="1883" t="str" cm="1">
        <f t="array" ca="1" aca="1" ref="DG23">IFERROR(IF(AN23*fxVal_normal=_CF!AN23,"",IF(OR(AN23="",NOT(ISNUMBER(AN23)),ISERROR(AN23),$B23=""),"",IF($I23=1,IFBLANK(_xldudf_CX_PUSH(AN23*fxVal_normal,CX_ENTITY,$B23,AN$11,AN$14,AN$19,),""),IF($I23=2,IFBLANK(_xldudf_CX_PUSH(AN23,CX_ENTITY,$B23,AN$11,AN$14,AN$19,),""),IF($I23=3,"",IFBLANK(_xldudf_CX_PUSH(AN23,CX_ENTITY,$B23,AN$11,AN$14,AN$19,),"")))))),"")</f>
        <v/>
      </c>
      <c r="DH23" s="1883" t="str" cm="1">
        <f t="array" ca="1" aca="1" ref="DH23">IFERROR(IF(AO23*fxVal_normal=_CF!AO23,"",IF(OR(AO23="",NOT(ISNUMBER(AO23)),ISERROR(AO23),$B23=""),"",IF($I23=1,IFBLANK(_xldudf_CX_PUSH(AO23*fxVal_normal,CX_ENTITY,$B23,AO$11,AO$14,AO$19,),""),IF($I23=2,IFBLANK(_xldudf_CX_PUSH(AO23,CX_ENTITY,$B23,AO$11,AO$14,AO$19,),""),IF($I23=3,"",IFBLANK(_xldudf_CX_PUSH(AO23,CX_ENTITY,$B23,AO$11,AO$14,AO$19,),"")))))),"")</f>
        <v/>
      </c>
      <c r="DI23" s="1883" t="str" cm="1">
        <f t="array" ca="1" aca="1" ref="DI23">IFERROR(IF(AP23*fxVal_normal=_CF!AP23,"",IF(OR(AP23="",NOT(ISNUMBER(AP23)),ISERROR(AP23),$B23=""),"",IF($I23=1,IFBLANK(_xldudf_CX_PUSH(AP23*fxVal_normal,CX_ENTITY,$B23,AP$11,AP$14,AP$19,),""),IF($I23=2,IFBLANK(_xldudf_CX_PUSH(AP23,CX_ENTITY,$B23,AP$11,AP$14,AP$19,),""),IF($I23=3,"",IFBLANK(_xldudf_CX_PUSH(AP23,CX_ENTITY,$B23,AP$11,AP$14,AP$19,),"")))))),"")</f>
        <v/>
      </c>
      <c r="DJ23" s="1883" t="str" cm="1">
        <f t="array" ca="1" aca="1" ref="DJ23">IFERROR(IF(AQ23*fxVal_normal=_CF!AQ23,"",IF(OR(AQ23="",NOT(ISNUMBER(AQ23)),ISERROR(AQ23),$B23=""),"",IF($I23=1,IFBLANK(_xldudf_CX_PUSH(AQ23*fxVal_normal,CX_ENTITY,$B23,AQ$11,AQ$14,AQ$19,),""),IF($I23=2,IFBLANK(_xldudf_CX_PUSH(AQ23,CX_ENTITY,$B23,AQ$11,AQ$14,AQ$19,),""),IF($I23=3,"",IFBLANK(_xldudf_CX_PUSH(AQ23,CX_ENTITY,$B23,AQ$11,AQ$14,AQ$19,),"")))))),"")</f>
        <v/>
      </c>
      <c r="DK23" s="1883" t="str" cm="1">
        <f t="array" ca="1" aca="1" ref="DK23">IFERROR(IF(AR23*fxVal_normal=_CF!AR23,"",IF(OR(AR23="",NOT(ISNUMBER(AR23)),ISERROR(AR23),$B23=""),"",IF($I23=1,IFBLANK(_xldudf_CX_PUSH(AR23*fxVal_normal,CX_ENTITY,$B23,AR$11,AR$14,AR$19,),""),IF($I23=2,IFBLANK(_xldudf_CX_PUSH(AR23,CX_ENTITY,$B23,AR$11,AR$14,AR$19,),""),IF($I23=3,"",IFBLANK(_xldudf_CX_PUSH(AR23,CX_ENTITY,$B23,AR$11,AR$14,AR$19,),"")))))),"")</f>
        <v/>
      </c>
      <c r="DL23" s="1883" t="str" cm="1">
        <f t="array" ca="1" aca="1" ref="DL23">IFERROR(IF(AS23*fxVal_normal=_CF!AS23,"",IF(OR(AS23="",NOT(ISNUMBER(AS23)),ISERROR(AS23),$B23=""),"",IF($I23=1,IFBLANK(_xldudf_CX_PUSH(AS23*fxVal_normal,CX_ENTITY,$B23,AS$11,AS$14,AS$19,),""),IF($I23=2,IFBLANK(_xldudf_CX_PUSH(AS23,CX_ENTITY,$B23,AS$11,AS$14,AS$19,),""),IF($I23=3,"",IFBLANK(_xldudf_CX_PUSH(AS23,CX_ENTITY,$B23,AS$11,AS$14,AS$19,),"")))))),"")</f>
        <v/>
      </c>
      <c r="DM23" s="1883" t="str" cm="1">
        <f t="array" ca="1" aca="1" ref="DM23">IFERROR(IF(AT23*fxVal_normal=_CF!AT23,"",IF(OR(AT23="",NOT(ISNUMBER(AT23)),ISERROR(AT23),$B23=""),"",IF($I23=1,IFBLANK(_xldudf_CX_PUSH(AT23*fxVal_normal,CX_ENTITY,$B23,AT$11,AT$14,AT$19,),""),IF($I23=2,IFBLANK(_xldudf_CX_PUSH(AT23,CX_ENTITY,$B23,AT$11,AT$14,AT$19,),""),IF($I23=3,"",IFBLANK(_xldudf_CX_PUSH(AT23,CX_ENTITY,$B23,AT$11,AT$14,AT$19,),"")))))),"")</f>
        <v/>
      </c>
      <c r="DN23" s="1883" t="str" cm="1">
        <f t="array" ca="1" aca="1" ref="DN23">IFERROR(IF(AU23*fxVal_normal=_CF!AU23,"",IF(OR(AU23="",NOT(ISNUMBER(AU23)),ISERROR(AU23),$B23=""),"",IF($I23=1,IFBLANK(_xldudf_CX_PUSH(AU23*fxVal_normal,CX_ENTITY,$B23,AU$11,AU$14,AU$19,),""),IF($I23=2,IFBLANK(_xldudf_CX_PUSH(AU23,CX_ENTITY,$B23,AU$11,AU$14,AU$19,),""),IF($I23=3,"",IFBLANK(_xldudf_CX_PUSH(AU23,CX_ENTITY,$B23,AU$11,AU$14,AU$19,),"")))))),"")</f>
        <v/>
      </c>
      <c r="DO23" s="1883" t="str" cm="1">
        <f t="array" ca="1" aca="1" ref="DO23">IFERROR(IF(AV23*fxVal_normal=_CF!AV23,"",IF(OR(AV23="",NOT(ISNUMBER(AV23)),ISERROR(AV23),$B23=""),"",IF($I23=1,IFBLANK(_xldudf_CX_PUSH(AV23*fxVal_normal,CX_ENTITY,$B23,AV$11,AV$14,AV$19,),""),IF($I23=2,IFBLANK(_xldudf_CX_PUSH(AV23,CX_ENTITY,$B23,AV$11,AV$14,AV$19,),""),IF($I23=3,"",IFBLANK(_xldudf_CX_PUSH(AV23,CX_ENTITY,$B23,AV$11,AV$14,AV$19,),"")))))),"")</f>
        <v/>
      </c>
      <c r="DP23" s="1883" t="str" cm="1">
        <f t="array" ca="1" aca="1" ref="DP23">IFERROR(IF(AW23*fxVal_normal=_CF!AW23,"",IF(OR(AW23="",NOT(ISNUMBER(AW23)),ISERROR(AW23),$B23=""),"",IF($I23=1,IFBLANK(_xldudf_CX_PUSH(AW23*fxVal_normal,CX_ENTITY,$B23,AW$11,AW$14,AW$19,),""),IF($I23=2,IFBLANK(_xldudf_CX_PUSH(AW23,CX_ENTITY,$B23,AW$11,AW$14,AW$19,),""),IF($I23=3,"",IFBLANK(_xldudf_CX_PUSH(AW23,CX_ENTITY,$B23,AW$11,AW$14,AW$19,),"")))))),"")</f>
        <v/>
      </c>
      <c r="DQ23" s="1883" t="str" cm="1">
        <f t="array" ca="1" aca="1" ref="DQ23">IFERROR(IF(AX23*fxVal_normal=_CF!AX23,"",IF(OR(AX23="",NOT(ISNUMBER(AX23)),ISERROR(AX23),$B23=""),"",IF($I23=1,IFBLANK(_xldudf_CX_PUSH(AX23*fxVal_normal,CX_ENTITY,$B23,AX$11,AX$14,AX$19,),""),IF($I23=2,IFBLANK(_xldudf_CX_PUSH(AX23,CX_ENTITY,$B23,AX$11,AX$14,AX$19,),""),IF($I23=3,"",IFBLANK(_xldudf_CX_PUSH(AX23,CX_ENTITY,$B23,AX$11,AX$14,AX$19,),"")))))),"")</f>
        <v/>
      </c>
      <c r="DR23" s="1883" t="str" cm="1">
        <f t="array" ca="1" aca="1" ref="DR23">IFERROR(IF(AY23*fxVal_normal=_CF!AY23,"",IF(OR(AY23="",NOT(ISNUMBER(AY23)),ISERROR(AY23),$B23=""),"",IF($I23=1,IFBLANK(_xldudf_CX_PUSH(AY23*fxVal_normal,CX_ENTITY,$B23,AY$11,AY$14,AY$19,),""),IF($I23=2,IFBLANK(_xldudf_CX_PUSH(AY23,CX_ENTITY,$B23,AY$11,AY$14,AY$19,),""),IF($I23=3,"",IFBLANK(_xldudf_CX_PUSH(AY23,CX_ENTITY,$B23,AY$11,AY$14,AY$19,),"")))))),"")</f>
        <v/>
      </c>
      <c r="DS23" s="1883" t="str" cm="1">
        <f t="array" ca="1" aca="1" ref="DS23">IFERROR(IF(AZ23*fxVal_normal=_CF!AZ23,"",IF(OR(AZ23="",NOT(ISNUMBER(AZ23)),ISERROR(AZ23),$B23=""),"",IF($I23=1,IFBLANK(_xldudf_CX_PUSH(AZ23*fxVal_normal,CX_ENTITY,$B23,AZ$11,AZ$14,AZ$19,),""),IF($I23=2,IFBLANK(_xldudf_CX_PUSH(AZ23,CX_ENTITY,$B23,AZ$11,AZ$14,AZ$19,),""),IF($I23=3,"",IFBLANK(_xldudf_CX_PUSH(AZ23,CX_ENTITY,$B23,AZ$11,AZ$14,AZ$19,),"")))))),"")</f>
        <v/>
      </c>
      <c r="DT23" s="1883" t="str" cm="1">
        <f t="array" ca="1" aca="1" ref="DT23">IFERROR(IF(BA23*fxVal_normal=_CF!BA23,"",IF(OR(BA23="",NOT(ISNUMBER(BA23)),ISERROR(BA23),$B23=""),"",IF($I23=1,IFBLANK(_xldudf_CX_PUSH(BA23*fxVal_normal,CX_ENTITY,$B23,BA$11,BA$14,BA$19,),""),IF($I23=2,IFBLANK(_xldudf_CX_PUSH(BA23,CX_ENTITY,$B23,BA$11,BA$14,BA$19,),""),IF($I23=3,"",IFBLANK(_xldudf_CX_PUSH(BA23,CX_ENTITY,$B23,BA$11,BA$14,BA$19,),"")))))),"")</f>
        <v/>
      </c>
      <c r="DU23" s="1883" t="str" cm="1">
        <f t="array" ca="1" aca="1" ref="DU23">IFERROR(IF(BB23*fxVal_normal=_CF!BB23,"",IF(OR(BB23="",NOT(ISNUMBER(BB23)),ISERROR(BB23),$B23=""),"",IF($I23=1,IFBLANK(_xldudf_CX_PUSH(BB23*fxVal_normal,CX_ENTITY,$B23,BB$11,BB$14,BB$19,),""),IF($I23=2,IFBLANK(_xldudf_CX_PUSH(BB23,CX_ENTITY,$B23,BB$11,BB$14,BB$19,),""),IF($I23=3,"",IFBLANK(_xldudf_CX_PUSH(BB23,CX_ENTITY,$B23,BB$11,BB$14,BB$19,),"")))))),"")</f>
        <v/>
      </c>
      <c r="DV23" s="1883" t="str" cm="1">
        <f t="array" ca="1" aca="1" ref="DV23">IFERROR(IF(BC23*fxVal_normal=_CF!BC23,"",IF(OR(BC23="",NOT(ISNUMBER(BC23)),ISERROR(BC23),$B23=""),"",IF($I23=1,IFBLANK(_xldudf_CX_PUSH(BC23*fxVal_normal,CX_ENTITY,$B23,BC$11,BC$14,BC$19,),""),IF($I23=2,IFBLANK(_xldudf_CX_PUSH(BC23,CX_ENTITY,$B23,BC$11,BC$14,BC$19,),""),IF($I23=3,"",IFBLANK(_xldudf_CX_PUSH(BC23,CX_ENTITY,$B23,BC$11,BC$14,BC$19,),"")))))),"")</f>
        <v/>
      </c>
      <c r="DW23" s="1883" t="str" cm="1">
        <f t="array" ca="1" aca="1" ref="DW23">IFERROR(IF(BD23*fxVal_normal=_CF!BD23,"",IF(OR(BD23="",NOT(ISNUMBER(BD23)),ISERROR(BD23),$B23=""),"",IF($I23=1,IFBLANK(_xldudf_CX_PUSH(BD23*fxVal_normal,CX_ENTITY,$B23,BD$11,BD$14,BD$19,),""),IF($I23=2,IFBLANK(_xldudf_CX_PUSH(BD23,CX_ENTITY,$B23,BD$11,BD$14,BD$19,),""),IF($I23=3,"",IFBLANK(_xldudf_CX_PUSH(BD23,CX_ENTITY,$B23,BD$11,BD$14,BD$19,),"")))))),"")</f>
        <v/>
      </c>
      <c r="DX23" s="1883" t="str" cm="1">
        <f t="array" ca="1" aca="1" ref="DX23">IFERROR(IF(BE23*fxVal_normal=_CF!BE23,"",IF(OR(BE23="",NOT(ISNUMBER(BE23)),ISERROR(BE23),$B23=""),"",IF($I23=1,IFBLANK(_xldudf_CX_PUSH(BE23*fxVal_normal,CX_ENTITY,$B23,BE$11,BE$14,BE$19,),""),IF($I23=2,IFBLANK(_xldudf_CX_PUSH(BE23,CX_ENTITY,$B23,BE$11,BE$14,BE$19,),""),IF($I23=3,"",IFBLANK(_xldudf_CX_PUSH(BE23,CX_ENTITY,$B23,BE$11,BE$14,BE$19,),"")))))),"")</f>
        <v/>
      </c>
      <c r="DY23" s="1883" t="str" cm="1">
        <f t="array" ca="1" aca="1" ref="DY23">IFERROR(IF(BF23*fxVal_normal=_CF!BF23,"",IF(OR(BF23="",NOT(ISNUMBER(BF23)),ISERROR(BF23),$B23=""),"",IF($I23=1,IFBLANK(_xldudf_CX_PUSH(BF23*fxVal_normal,CX_ENTITY,$B23,BF$11,BF$14,BF$19,),""),IF($I23=2,IFBLANK(_xldudf_CX_PUSH(BF23,CX_ENTITY,$B23,BF$11,BF$14,BF$19,),""),IF($I23=3,"",IFBLANK(_xldudf_CX_PUSH(BF23,CX_ENTITY,$B23,BF$11,BF$14,BF$19,),"")))))),"")</f>
        <v/>
      </c>
      <c r="DZ23" s="1883" t="str" cm="1">
        <f t="array" ca="1" aca="1" ref="DZ23">IFERROR(IF(BG23*fxVal_normal=_CF!BG23,"",IF(OR(BG23="",NOT(ISNUMBER(BG23)),ISERROR(BG23),$B23=""),"",IF($I23=1,IFBLANK(_xldudf_CX_PUSH(BG23*fxVal_normal,CX_ENTITY,$B23,BG$11,BG$14,BG$19,),""),IF($I23=2,IFBLANK(_xldudf_CX_PUSH(BG23,CX_ENTITY,$B23,BG$11,BG$14,BG$19,),""),IF($I23=3,"",IFBLANK(_xldudf_CX_PUSH(BG23,CX_ENTITY,$B23,BG$11,BG$14,BG$19,),"")))))),"")</f>
        <v/>
      </c>
      <c r="EA23" s="1883" t="str" cm="1">
        <f t="array" ca="1" aca="1" ref="EA23">IFERROR(IF(BH23*fxVal_normal=_CF!BH23,"",IF(OR(BH23="",NOT(ISNUMBER(BH23)),ISERROR(BH23),$B23=""),"",IF($I23=1,IFBLANK(_xldudf_CX_PUSH(BH23*fxVal_normal,CX_ENTITY,$B23,BH$11,BH$14,BH$19,),""),IF($I23=2,IFBLANK(_xldudf_CX_PUSH(BH23,CX_ENTITY,$B23,BH$11,BH$14,BH$19,),""),IF($I23=3,"",IFBLANK(_xldudf_CX_PUSH(BH23,CX_ENTITY,$B23,BH$11,BH$14,BH$19,),"")))))),"")</f>
        <v/>
      </c>
      <c r="EB23" s="1883" t="str" cm="1">
        <f t="array" ca="1" aca="1" ref="EB23">IFERROR(IF(BI23*fxVal_normal=_CF!BI23,"",IF(OR(BI23="",NOT(ISNUMBER(BI23)),ISERROR(BI23),$B23=""),"",IF($I23=1,IFBLANK(_xldudf_CX_PUSH(BI23*fxVal_normal,CX_ENTITY,$B23,BI$11,BI$14,BI$19,),""),IF($I23=2,IFBLANK(_xldudf_CX_PUSH(BI23,CX_ENTITY,$B23,BI$11,BI$14,BI$19,),""),IF($I23=3,"",IFBLANK(_xldudf_CX_PUSH(BI23,CX_ENTITY,$B23,BI$11,BI$14,BI$19,),"")))))),"")</f>
        <v/>
      </c>
      <c r="EC23" s="1883" t="str" cm="1">
        <f t="array" ca="1" aca="1" ref="EC23">IFERROR(IF(BJ23*fxVal_normal=_CF!BJ23,"",IF(OR(BJ23="",NOT(ISNUMBER(BJ23)),ISERROR(BJ23),$B23=""),"",IF($I23=1,IFBLANK(_xldudf_CX_PUSH(BJ23*fxVal_normal,CX_ENTITY,$B23,BJ$11,BJ$14,BJ$19,),""),IF($I23=2,IFBLANK(_xldudf_CX_PUSH(BJ23,CX_ENTITY,$B23,BJ$11,BJ$14,BJ$19,),""),IF($I23=3,"",IFBLANK(_xldudf_CX_PUSH(BJ23,CX_ENTITY,$B23,BJ$11,BJ$14,BJ$19,),"")))))),"")</f>
        <v/>
      </c>
      <c r="ED23" s="1883" t="str" cm="1">
        <f t="array" ca="1" aca="1" ref="ED23">IFERROR(IF(BK23*fxVal_normal=_CF!BK23,"",IF(OR(BK23="",NOT(ISNUMBER(BK23)),ISERROR(BK23),$B23=""),"",IF($I23=1,IFBLANK(_xldudf_CX_PUSH(BK23*fxVal_normal,CX_ENTITY,$B23,BK$11,BK$14,BK$19,),""),IF($I23=2,IFBLANK(_xldudf_CX_PUSH(BK23,CX_ENTITY,$B23,BK$11,BK$14,BK$19,),""),IF($I23=3,"",IFBLANK(_xldudf_CX_PUSH(BK23,CX_ENTITY,$B23,BK$11,BK$14,BK$19,),"")))))),"")</f>
        <v/>
      </c>
      <c r="EE23" s="1883" t="str" cm="1">
        <f t="array" ca="1" aca="1" ref="EE23">IFERROR(IF(BL23*fxVal_normal=_CF!BL23,"",IF(OR(BL23="",NOT(ISNUMBER(BL23)),ISERROR(BL23),$B23=""),"",IF($I23=1,IFBLANK(_xldudf_CX_PUSH(BL23*fxVal_normal,CX_ENTITY,$B23,BL$11,BL$14,BL$19,),""),IF($I23=2,IFBLANK(_xldudf_CX_PUSH(BL23,CX_ENTITY,$B23,BL$11,BL$14,BL$19,),""),IF($I23=3,"",IFBLANK(_xldudf_CX_PUSH(BL23,CX_ENTITY,$B23,BL$11,BL$14,BL$19,),"")))))),"")</f>
        <v/>
      </c>
      <c r="EF23" s="1883" t="str" cm="1">
        <f t="array" ca="1" aca="1" ref="EF23">IFERROR(IF(BM23*fxVal_normal=_CF!BM23,"",IF(OR(BM23="",NOT(ISNUMBER(BM23)),ISERROR(BM23),$B23=""),"",IF($I23=1,IFBLANK(_xldudf_CX_PUSH(BM23*fxVal_normal,CX_ENTITY,$B23,BM$11,BM$14,BM$19,),""),IF($I23=2,IFBLANK(_xldudf_CX_PUSH(BM23,CX_ENTITY,$B23,BM$11,BM$14,BM$19,),""),IF($I23=3,"",IFBLANK(_xldudf_CX_PUSH(BM23,CX_ENTITY,$B23,BM$11,BM$14,BM$19,),"")))))),"")</f>
        <v/>
      </c>
      <c r="EG23" s="1883" t="str" cm="1">
        <f t="array" ca="1" aca="1" ref="EG23">IFERROR(IF(BN23*fxVal_normal=_CF!BN23,"",IF(OR(BN23="",NOT(ISNUMBER(BN23)),ISERROR(BN23),$B23=""),"",IF($I23=1,IFBLANK(_xldudf_CX_PUSH(BN23*fxVal_normal,CX_ENTITY,$B23,BN$11,BN$14,BN$19,),""),IF($I23=2,IFBLANK(_xldudf_CX_PUSH(BN23,CX_ENTITY,$B23,BN$11,BN$14,BN$19,),""),IF($I23=3,"",IFBLANK(_xldudf_CX_PUSH(BN23,CX_ENTITY,$B23,BN$11,BN$14,BN$19,),"")))))),"")</f>
        <v/>
      </c>
    </row>
    <row r="24" spans="1:137" ht="21" customHeight="1">
      <c r="A24" s="1625"/>
      <c r="B24" s="695" t="str" cm="1">
        <f t="array" ref="B24">IFBLANK(_CF!F24,"")</f>
        <v>Operating Cash Flow</v>
      </c>
      <c r="C24" s="3340" t="str" cm="1">
        <f t="array" ref="C24">IFBLANK(_CF!C24,"")</f>
        <v>Operating Cash Flow (Company View)</v>
      </c>
      <c r="D24" s="1548"/>
      <c r="E24" s="695"/>
      <c r="F24" s="577"/>
      <c r="G24" s="578"/>
      <c r="H24" s="3279">
        <v>2</v>
      </c>
      <c r="I24" s="3279">
        <v>1</v>
      </c>
      <c r="J24" s="401" cm="1">
        <f t="array" ref="J24">IFBLANK(Z24,"")</f>
        <v>0</v>
      </c>
      <c r="K24" s="578"/>
      <c r="N24" s="158"/>
      <c r="O24" s="101"/>
      <c r="P24" s="52"/>
      <c r="Q24" s="101"/>
      <c r="R24" s="101"/>
      <c r="S24" s="101"/>
      <c r="T24" s="101"/>
      <c r="U24" s="39"/>
      <c r="W24" s="932" t="str">
        <f t="shared" si="1"/>
        <v>Actual</v>
      </c>
      <c r="X24" s="815">
        <f>_CF!X24</f>
        <v>0</v>
      </c>
      <c r="Y24" s="3352" t="s">
        <v>241</v>
      </c>
      <c r="Z24" s="198" cm="1">
        <f t="array" ref="Z24">_xlfn.SWITCH(TRUE,_CF!$L24=TRUE,1,_CF!$L24=FALSE,-1,_CF!$L24=-1,0,"n/a")</f>
        <v>0</v>
      </c>
      <c r="AA24" s="200"/>
      <c r="AB24" s="3343" t="str">
        <f>_CF!AB24</f>
        <v>Operating Cash Flow</v>
      </c>
      <c r="AC24" s="88" t="e" vm="5" cm="1">
        <f t="array" ca="1" aca="1" ref="AC24">_xlfn.LET(_xlpm._termname,$AB24,_xlpm._iconname,"find",_xlpm._icon,fx_getIcon(_xlpm._iconname),_xlpm._location,_xlfn.XLOOKUP(LOWER(_xlpm._termname),LOWER(tbl_acctDef[Term]),tbl_acctDef[Term]),_xlpm._hyperlink,HYPERLINK("#"&amp;CELL("address",_xlpm._location),_xlpm._icon),IFERROR(_xlpm._hyperlink,""))</f>
        <v>#VALUE!</v>
      </c>
      <c r="AD24" s="918">
        <f t="shared" si="2" ref="AD24:BN24">IFERROR(SUBTOTAL(9,AD20:AD23),"")</f>
        <v>6</v>
      </c>
      <c r="AE24" s="918">
        <f t="shared" si="2"/>
        <v>6</v>
      </c>
      <c r="AF24" s="918">
        <f t="shared" si="2"/>
        <v>6</v>
      </c>
      <c r="AG24" s="918">
        <f t="shared" si="2"/>
        <v>6</v>
      </c>
      <c r="AH24" s="918">
        <f t="shared" si="2"/>
        <v>6</v>
      </c>
      <c r="AI24" s="918">
        <f t="shared" si="2"/>
        <v>6</v>
      </c>
      <c r="AJ24" s="918">
        <f t="shared" si="2"/>
        <v>6</v>
      </c>
      <c r="AK24" s="918">
        <f t="shared" si="2"/>
        <v>6</v>
      </c>
      <c r="AL24" s="918">
        <f t="shared" si="2"/>
        <v>6</v>
      </c>
      <c r="AM24" s="918">
        <f t="shared" si="2"/>
        <v>6</v>
      </c>
      <c r="AN24" s="918">
        <f t="shared" si="2"/>
        <v>6</v>
      </c>
      <c r="AO24" s="918">
        <f t="shared" si="2"/>
        <v>6</v>
      </c>
      <c r="AP24" s="918">
        <f t="shared" si="2"/>
        <v>6</v>
      </c>
      <c r="AQ24" s="918">
        <f t="shared" si="2"/>
        <v>6</v>
      </c>
      <c r="AR24" s="918">
        <f t="shared" si="2"/>
        <v>6</v>
      </c>
      <c r="AS24" s="918">
        <f t="shared" si="2"/>
        <v>6</v>
      </c>
      <c r="AT24" s="918">
        <f t="shared" si="2"/>
        <v>6</v>
      </c>
      <c r="AU24" s="918">
        <f t="shared" si="2"/>
        <v>6</v>
      </c>
      <c r="AV24" s="918">
        <f t="shared" si="2"/>
        <v>6</v>
      </c>
      <c r="AW24" s="918">
        <f t="shared" si="2"/>
        <v>6</v>
      </c>
      <c r="AX24" s="918">
        <f t="shared" si="2"/>
        <v>6</v>
      </c>
      <c r="AY24" s="918">
        <f t="shared" si="2"/>
        <v>6</v>
      </c>
      <c r="AZ24" s="918">
        <f t="shared" si="2"/>
        <v>6</v>
      </c>
      <c r="BA24" s="918">
        <f t="shared" si="2"/>
        <v>6</v>
      </c>
      <c r="BB24" s="918">
        <f t="shared" si="2"/>
        <v>6</v>
      </c>
      <c r="BC24" s="918">
        <f t="shared" si="2"/>
        <v>6</v>
      </c>
      <c r="BD24" s="918">
        <f t="shared" si="2"/>
        <v>6</v>
      </c>
      <c r="BE24" s="918">
        <f t="shared" si="2"/>
        <v>6</v>
      </c>
      <c r="BF24" s="918">
        <f t="shared" si="2"/>
        <v>6</v>
      </c>
      <c r="BG24" s="918">
        <f t="shared" si="2"/>
        <v>6</v>
      </c>
      <c r="BH24" s="918">
        <f t="shared" si="2"/>
        <v>6</v>
      </c>
      <c r="BI24" s="918">
        <f t="shared" si="2"/>
        <v>6</v>
      </c>
      <c r="BJ24" s="918">
        <f t="shared" si="2"/>
        <v>6</v>
      </c>
      <c r="BK24" s="918">
        <f t="shared" si="2"/>
        <v>6</v>
      </c>
      <c r="BL24" s="918">
        <f t="shared" si="2"/>
        <v>6</v>
      </c>
      <c r="BM24" s="918">
        <f t="shared" si="2"/>
        <v>6</v>
      </c>
      <c r="BN24" s="935">
        <f t="shared" si="2"/>
        <v>6</v>
      </c>
      <c r="BO24" s="2114"/>
      <c r="BP24" s="2114"/>
      <c r="BQ24" s="2114"/>
      <c r="BR24" s="2114"/>
      <c r="BS24" s="2114"/>
      <c r="BT24" s="2114"/>
      <c r="BU24" s="2114"/>
      <c r="BV24" s="2114"/>
      <c r="BW24" s="2114"/>
      <c r="BX24" s="2114"/>
      <c r="BY24" s="2114"/>
      <c r="BZ24" s="2114"/>
      <c r="CA24" s="1330"/>
      <c r="CB24" s="537"/>
      <c r="CC24" s="1484"/>
      <c r="CD24" s="1461" t="e" cm="1">
        <f t="array" ca="1" aca="1" ref="CD24">_xlfn.LET(_xlpm.CheckBlank,SUM(CF!$AD24:$BN24)=0,IF(_xlpm.CheckBlank,"",SUM(_xlfn._xlws.FILTER(CF!$AD24:$BN24,(YEAR(CF!$AD$12:$BN$12)=CF!CD$12)*(array_timeline&lt;=CF!CD$11)))))</f>
        <v>#NAME?</v>
      </c>
      <c r="CE24" s="1461" t="e" cm="1">
        <f t="array" ca="1" aca="1" ref="CE24">_xlfn.LET(_xlpm.CheckBlank,SUM(CF!$AD24:$BN24)=0,IF(_xlpm.CheckBlank,"",SUM(_xlfn._xlws.FILTER(CF!$AD24:$BN24,(YEAR(CF!$AD$12:$BN$12)=CF!CE$12)*(array_timeline&lt;=CF!CE$11)))))</f>
        <v>#NAME?</v>
      </c>
      <c r="CF24" s="1314"/>
      <c r="CG24" s="1461" t="e" cm="1">
        <f t="array" ca="1" aca="1" ref="CG24">_xlfn.LET(_xlpm.CheckBlank,SUM(CF!$AD24:$BN24)=0,IF(_xlpm.CheckBlank,"",SUM(_xlfn._xlws.FILTER(CF!$AD24:$BN24,(YEAR(CF!$AD$12:$BN$12)=CF!CG$12)*(array_timeline&lt;=CF!CG$11)))))</f>
        <v>#NAME?</v>
      </c>
      <c r="CH24" s="1461" t="e" cm="1">
        <f t="array" ca="1" aca="1" ref="CH24">_xlfn.LET(_xlpm.CheckBlank,SUM(CF!$AD24:$BN24)=0,IF(_xlpm.CheckBlank,"",SUM(_xlfn._xlws.FILTER(CF!$AD24:$BN24,(YEAR(CF!$AD$12:$BN$12)=CF!CH$12)*(array_timeline&lt;=CF!CH$11)))))</f>
        <v>#NAME?</v>
      </c>
      <c r="CI24" s="1314"/>
      <c r="CJ24" s="1461" cm="1">
        <f t="array" ref="CJ24">_xlfn.LET(_xlpm.CheckBlank,SUM(CF!$AD24:$BN24)=0,IF(_xlpm.CheckBlank,"",SUM(_xlfn.TAKE(_xlfn.DROP(CF!$AD24:$BN24,,-DATEDIFF(CF!CJ$11,val_asOfDate,"M")),1,-12))))</f>
        <v>72</v>
      </c>
      <c r="CK24" s="1461" cm="1">
        <f t="array" ref="CK24">_xlfn.LET(_xlpm.CheckBlank,SUM(CF!$AD24:$BN24)=0,IF(_xlpm.CheckBlank,"",SUM(_xlfn.TAKE(_xlfn.DROP(CF!$AD24:$BN24,,-DATEDIFF(CF!CK$11,val_asOfDate,"M")),1,-12))))</f>
        <v>72</v>
      </c>
      <c r="CL24" s="1314"/>
      <c r="CM24" s="1514" t="str">
        <f ca="1">IFERROR(SUBTOTAL(9,CM20:CM23),"")</f>
        <v/>
      </c>
      <c r="CN24" s="1514" t="str">
        <f ca="1">IFERROR(SUBTOTAL(9,CN20:CN23),"")</f>
        <v/>
      </c>
      <c r="CO24" s="34"/>
      <c r="CQ24" s="2085" t="str" cm="1">
        <f t="array" ref="CQ24">IFERROR(IF(Y24&lt;&gt;AB24,_xldudf_CX_PUSH(Y24,CX_ENTITY,C24,EOMONTH(val_asOfDate,0)),""),"")</f>
        <v/>
      </c>
      <c r="CR24" s="2085" t="str" cm="1">
        <f t="array" ref="CR24">IFERROR(IF(Y24&lt;&gt;AB24,_xldudf_CX_PUSH(Y24,CX_ENTITY,C24,EOMONTH(val_asOfDate,1)),""),"")</f>
        <v/>
      </c>
      <c r="CS24" s="2085" t="str" cm="1">
        <f t="array" ref="CS24">IFERROR(IF(Y24&lt;&gt;AB24,_xldudf_CX_PUSH(Y24,CX_ENTITY,C24,EOMONTH(val_asOfDate,2)),""),"")</f>
        <v/>
      </c>
      <c r="CT24" s="2085" t="str" cm="1">
        <f t="array" ref="CT24">IFERROR(IF(Y24&lt;&gt;AB24,_xldudf_CX_PUSH(Y24,CX_ENTITY,C24,EOMONTH(val_asOfDate,3)),""),"")</f>
        <v/>
      </c>
      <c r="CU24" s="2086" t="str" cm="1">
        <f t="array" ca="1" aca="1" ref="CU24">IFERROR(IF(CM24*fxVal_normal=_CF!CM24,"",IF(OR($CM24="",,NOT(ISNUMBER($CM24)),ISERROR($CM24),$B24=""),"",IF($I24=1,IFBLANK(_xldudf_CX_PUSH($CM24*fxVal_normal,CX_ENTITY,$B24,$CM$11,$CM$14,$CM$19,),""),IF($I24=2,IFBLANK(_xldudf_CX_PUSH($CM24,CX_ENTITY,$B24,$CM$11,$CM$14,$CM$19,),""),IF($I24=3,"",IFBLANK(_xldudf_CX_PUSH($CM24,CX_ENTITY,$B24,$CM$11,$CM$14,$CM$19,),"")))))),"")</f>
        <v/>
      </c>
      <c r="CV24" s="2086" t="str" cm="1">
        <f t="array" ca="1" aca="1" ref="CV24">IFERROR(IF(CN24*fxVal_normal=_CF!CN24,"",IF(OR($CN24="",,NOT(ISNUMBER($CN24)),ISERROR($CN24),$B24=""),"",IF($I24=1,IFBLANK(_xldudf_CX_PUSH($CN24*fxVal_normal,CX_ENTITY,$B24,$CN$11,$CN$14,$CN$19,),""),IF($I24=2,IFBLANK(_xldudf_CX_PUSH($CN24,CX_ENTITY,$B24,$CN$11,$CN$14,$CN$19,),""),IF($I24=3,"",IFBLANK(_xldudf_CX_PUSH($CN24,CX_ENTITY,$B24,$CN$11,$CN$14,$CN$19,),"")))))),"")</f>
        <v/>
      </c>
      <c r="CW24" s="1883" t="str" cm="1">
        <f t="array" ca="1" aca="1" ref="CW24">IFERROR(IF(AD24*fxVal_normal=_CF!AD24,"",IF(OR(AD24="",NOT(ISNUMBER(AD24)),ISERROR(AD24),$B24=""),"",IF($I24=1,IFBLANK(_xldudf_CX_PUSH(AD24*fxVal_normal,CX_ENTITY,$B24,AD$11,AD$14,AD$19,),""),IF($I24=2,IFBLANK(_xldudf_CX_PUSH(AD24,CX_ENTITY,$B24,AD$11,AD$14,AD$19,),""),IF($I24=3,"",IFBLANK(_xldudf_CX_PUSH(AD24,CX_ENTITY,$B24,AD$11,AD$14,AD$19,),"")))))),"")</f>
        <v/>
      </c>
      <c r="CX24" s="1883" t="str" cm="1">
        <f t="array" ca="1" aca="1" ref="CX24">IFERROR(IF(AE24*fxVal_normal=_CF!AE24,"",IF(OR(AE24="",NOT(ISNUMBER(AE24)),ISERROR(AE24),$B24=""),"",IF($I24=1,IFBLANK(_xldudf_CX_PUSH(AE24*fxVal_normal,CX_ENTITY,$B24,AE$11,AE$14,AE$19,),""),IF($I24=2,IFBLANK(_xldudf_CX_PUSH(AE24,CX_ENTITY,$B24,AE$11,AE$14,AE$19,),""),IF($I24=3,"",IFBLANK(_xldudf_CX_PUSH(AE24,CX_ENTITY,$B24,AE$11,AE$14,AE$19,),"")))))),"")</f>
        <v/>
      </c>
      <c r="CY24" s="1883" t="str" cm="1">
        <f t="array" ca="1" aca="1" ref="CY24">IFERROR(IF(AF24*fxVal_normal=_CF!AF24,"",IF(OR(AF24="",NOT(ISNUMBER(AF24)),ISERROR(AF24),$B24=""),"",IF($I24=1,IFBLANK(_xldudf_CX_PUSH(AF24*fxVal_normal,CX_ENTITY,$B24,AF$11,AF$14,AF$19,),""),IF($I24=2,IFBLANK(_xldudf_CX_PUSH(AF24,CX_ENTITY,$B24,AF$11,AF$14,AF$19,),""),IF($I24=3,"",IFBLANK(_xldudf_CX_PUSH(AF24,CX_ENTITY,$B24,AF$11,AF$14,AF$19,),"")))))),"")</f>
        <v/>
      </c>
      <c r="CZ24" s="1883" t="str" cm="1">
        <f t="array" ca="1" aca="1" ref="CZ24">IFERROR(IF(AG24*fxVal_normal=_CF!AG24,"",IF(OR(AG24="",NOT(ISNUMBER(AG24)),ISERROR(AG24),$B24=""),"",IF($I24=1,IFBLANK(_xldudf_CX_PUSH(AG24*fxVal_normal,CX_ENTITY,$B24,AG$11,AG$14,AG$19,),""),IF($I24=2,IFBLANK(_xldudf_CX_PUSH(AG24,CX_ENTITY,$B24,AG$11,AG$14,AG$19,),""),IF($I24=3,"",IFBLANK(_xldudf_CX_PUSH(AG24,CX_ENTITY,$B24,AG$11,AG$14,AG$19,),"")))))),"")</f>
        <v/>
      </c>
      <c r="DA24" s="1883" t="str" cm="1">
        <f t="array" ca="1" aca="1" ref="DA24">IFERROR(IF(AH24*fxVal_normal=_CF!AH24,"",IF(OR(AH24="",NOT(ISNUMBER(AH24)),ISERROR(AH24),$B24=""),"",IF($I24=1,IFBLANK(_xldudf_CX_PUSH(AH24*fxVal_normal,CX_ENTITY,$B24,AH$11,AH$14,AH$19,),""),IF($I24=2,IFBLANK(_xldudf_CX_PUSH(AH24,CX_ENTITY,$B24,AH$11,AH$14,AH$19,),""),IF($I24=3,"",IFBLANK(_xldudf_CX_PUSH(AH24,CX_ENTITY,$B24,AH$11,AH$14,AH$19,),"")))))),"")</f>
        <v/>
      </c>
      <c r="DB24" s="1883" t="str" cm="1">
        <f t="array" ca="1" aca="1" ref="DB24">IFERROR(IF(AI24*fxVal_normal=_CF!AI24,"",IF(OR(AI24="",NOT(ISNUMBER(AI24)),ISERROR(AI24),$B24=""),"",IF($I24=1,IFBLANK(_xldudf_CX_PUSH(AI24*fxVal_normal,CX_ENTITY,$B24,AI$11,AI$14,AI$19,),""),IF($I24=2,IFBLANK(_xldudf_CX_PUSH(AI24,CX_ENTITY,$B24,AI$11,AI$14,AI$19,),""),IF($I24=3,"",IFBLANK(_xldudf_CX_PUSH(AI24,CX_ENTITY,$B24,AI$11,AI$14,AI$19,),"")))))),"")</f>
        <v/>
      </c>
      <c r="DC24" s="1883" t="str" cm="1">
        <f t="array" ca="1" aca="1" ref="DC24">IFERROR(IF(AJ24*fxVal_normal=_CF!AJ24,"",IF(OR(AJ24="",NOT(ISNUMBER(AJ24)),ISERROR(AJ24),$B24=""),"",IF($I24=1,IFBLANK(_xldudf_CX_PUSH(AJ24*fxVal_normal,CX_ENTITY,$B24,AJ$11,AJ$14,AJ$19,),""),IF($I24=2,IFBLANK(_xldudf_CX_PUSH(AJ24,CX_ENTITY,$B24,AJ$11,AJ$14,AJ$19,),""),IF($I24=3,"",IFBLANK(_xldudf_CX_PUSH(AJ24,CX_ENTITY,$B24,AJ$11,AJ$14,AJ$19,),"")))))),"")</f>
        <v/>
      </c>
      <c r="DD24" s="1883" t="str" cm="1">
        <f t="array" ca="1" aca="1" ref="DD24">IFERROR(IF(AK24*fxVal_normal=_CF!AK24,"",IF(OR(AK24="",NOT(ISNUMBER(AK24)),ISERROR(AK24),$B24=""),"",IF($I24=1,IFBLANK(_xldudf_CX_PUSH(AK24*fxVal_normal,CX_ENTITY,$B24,AK$11,AK$14,AK$19,),""),IF($I24=2,IFBLANK(_xldudf_CX_PUSH(AK24,CX_ENTITY,$B24,AK$11,AK$14,AK$19,),""),IF($I24=3,"",IFBLANK(_xldudf_CX_PUSH(AK24,CX_ENTITY,$B24,AK$11,AK$14,AK$19,),"")))))),"")</f>
        <v/>
      </c>
      <c r="DE24" s="1883" t="str" cm="1">
        <f t="array" ca="1" aca="1" ref="DE24">IFERROR(IF(AL24*fxVal_normal=_CF!AL24,"",IF(OR(AL24="",NOT(ISNUMBER(AL24)),ISERROR(AL24),$B24=""),"",IF($I24=1,IFBLANK(_xldudf_CX_PUSH(AL24*fxVal_normal,CX_ENTITY,$B24,AL$11,AL$14,AL$19,),""),IF($I24=2,IFBLANK(_xldudf_CX_PUSH(AL24,CX_ENTITY,$B24,AL$11,AL$14,AL$19,),""),IF($I24=3,"",IFBLANK(_xldudf_CX_PUSH(AL24,CX_ENTITY,$B24,AL$11,AL$14,AL$19,),"")))))),"")</f>
        <v/>
      </c>
      <c r="DF24" s="1883" t="str" cm="1">
        <f t="array" ca="1" aca="1" ref="DF24">IFERROR(IF(AM24*fxVal_normal=_CF!AM24,"",IF(OR(AM24="",NOT(ISNUMBER(AM24)),ISERROR(AM24),$B24=""),"",IF($I24=1,IFBLANK(_xldudf_CX_PUSH(AM24*fxVal_normal,CX_ENTITY,$B24,AM$11,AM$14,AM$19,),""),IF($I24=2,IFBLANK(_xldudf_CX_PUSH(AM24,CX_ENTITY,$B24,AM$11,AM$14,AM$19,),""),IF($I24=3,"",IFBLANK(_xldudf_CX_PUSH(AM24,CX_ENTITY,$B24,AM$11,AM$14,AM$19,),"")))))),"")</f>
        <v/>
      </c>
      <c r="DG24" s="1883" t="str" cm="1">
        <f t="array" ca="1" aca="1" ref="DG24">IFERROR(IF(AN24*fxVal_normal=_CF!AN24,"",IF(OR(AN24="",NOT(ISNUMBER(AN24)),ISERROR(AN24),$B24=""),"",IF($I24=1,IFBLANK(_xldudf_CX_PUSH(AN24*fxVal_normal,CX_ENTITY,$B24,AN$11,AN$14,AN$19,),""),IF($I24=2,IFBLANK(_xldudf_CX_PUSH(AN24,CX_ENTITY,$B24,AN$11,AN$14,AN$19,),""),IF($I24=3,"",IFBLANK(_xldudf_CX_PUSH(AN24,CX_ENTITY,$B24,AN$11,AN$14,AN$19,),"")))))),"")</f>
        <v/>
      </c>
      <c r="DH24" s="1883" t="str" cm="1">
        <f t="array" ca="1" aca="1" ref="DH24">IFERROR(IF(AO24*fxVal_normal=_CF!AO24,"",IF(OR(AO24="",NOT(ISNUMBER(AO24)),ISERROR(AO24),$B24=""),"",IF($I24=1,IFBLANK(_xldudf_CX_PUSH(AO24*fxVal_normal,CX_ENTITY,$B24,AO$11,AO$14,AO$19,),""),IF($I24=2,IFBLANK(_xldudf_CX_PUSH(AO24,CX_ENTITY,$B24,AO$11,AO$14,AO$19,),""),IF($I24=3,"",IFBLANK(_xldudf_CX_PUSH(AO24,CX_ENTITY,$B24,AO$11,AO$14,AO$19,),"")))))),"")</f>
        <v/>
      </c>
      <c r="DI24" s="1883" t="str" cm="1">
        <f t="array" ca="1" aca="1" ref="DI24">IFERROR(IF(AP24*fxVal_normal=_CF!AP24,"",IF(OR(AP24="",NOT(ISNUMBER(AP24)),ISERROR(AP24),$B24=""),"",IF($I24=1,IFBLANK(_xldudf_CX_PUSH(AP24*fxVal_normal,CX_ENTITY,$B24,AP$11,AP$14,AP$19,),""),IF($I24=2,IFBLANK(_xldudf_CX_PUSH(AP24,CX_ENTITY,$B24,AP$11,AP$14,AP$19,),""),IF($I24=3,"",IFBLANK(_xldudf_CX_PUSH(AP24,CX_ENTITY,$B24,AP$11,AP$14,AP$19,),"")))))),"")</f>
        <v/>
      </c>
      <c r="DJ24" s="1883" t="str" cm="1">
        <f t="array" ca="1" aca="1" ref="DJ24">IFERROR(IF(AQ24*fxVal_normal=_CF!AQ24,"",IF(OR(AQ24="",NOT(ISNUMBER(AQ24)),ISERROR(AQ24),$B24=""),"",IF($I24=1,IFBLANK(_xldudf_CX_PUSH(AQ24*fxVal_normal,CX_ENTITY,$B24,AQ$11,AQ$14,AQ$19,),""),IF($I24=2,IFBLANK(_xldudf_CX_PUSH(AQ24,CX_ENTITY,$B24,AQ$11,AQ$14,AQ$19,),""),IF($I24=3,"",IFBLANK(_xldudf_CX_PUSH(AQ24,CX_ENTITY,$B24,AQ$11,AQ$14,AQ$19,),"")))))),"")</f>
        <v/>
      </c>
      <c r="DK24" s="1883" t="str" cm="1">
        <f t="array" ca="1" aca="1" ref="DK24">IFERROR(IF(AR24*fxVal_normal=_CF!AR24,"",IF(OR(AR24="",NOT(ISNUMBER(AR24)),ISERROR(AR24),$B24=""),"",IF($I24=1,IFBLANK(_xldudf_CX_PUSH(AR24*fxVal_normal,CX_ENTITY,$B24,AR$11,AR$14,AR$19,),""),IF($I24=2,IFBLANK(_xldudf_CX_PUSH(AR24,CX_ENTITY,$B24,AR$11,AR$14,AR$19,),""),IF($I24=3,"",IFBLANK(_xldudf_CX_PUSH(AR24,CX_ENTITY,$B24,AR$11,AR$14,AR$19,),"")))))),"")</f>
        <v/>
      </c>
      <c r="DL24" s="1883" t="str" cm="1">
        <f t="array" ca="1" aca="1" ref="DL24">IFERROR(IF(AS24*fxVal_normal=_CF!AS24,"",IF(OR(AS24="",NOT(ISNUMBER(AS24)),ISERROR(AS24),$B24=""),"",IF($I24=1,IFBLANK(_xldudf_CX_PUSH(AS24*fxVal_normal,CX_ENTITY,$B24,AS$11,AS$14,AS$19,),""),IF($I24=2,IFBLANK(_xldudf_CX_PUSH(AS24,CX_ENTITY,$B24,AS$11,AS$14,AS$19,),""),IF($I24=3,"",IFBLANK(_xldudf_CX_PUSH(AS24,CX_ENTITY,$B24,AS$11,AS$14,AS$19,),"")))))),"")</f>
        <v/>
      </c>
      <c r="DM24" s="1883" t="str" cm="1">
        <f t="array" ca="1" aca="1" ref="DM24">IFERROR(IF(AT24*fxVal_normal=_CF!AT24,"",IF(OR(AT24="",NOT(ISNUMBER(AT24)),ISERROR(AT24),$B24=""),"",IF($I24=1,IFBLANK(_xldudf_CX_PUSH(AT24*fxVal_normal,CX_ENTITY,$B24,AT$11,AT$14,AT$19,),""),IF($I24=2,IFBLANK(_xldudf_CX_PUSH(AT24,CX_ENTITY,$B24,AT$11,AT$14,AT$19,),""),IF($I24=3,"",IFBLANK(_xldudf_CX_PUSH(AT24,CX_ENTITY,$B24,AT$11,AT$14,AT$19,),"")))))),"")</f>
        <v/>
      </c>
      <c r="DN24" s="1883" t="str" cm="1">
        <f t="array" ca="1" aca="1" ref="DN24">IFERROR(IF(AU24*fxVal_normal=_CF!AU24,"",IF(OR(AU24="",NOT(ISNUMBER(AU24)),ISERROR(AU24),$B24=""),"",IF($I24=1,IFBLANK(_xldudf_CX_PUSH(AU24*fxVal_normal,CX_ENTITY,$B24,AU$11,AU$14,AU$19,),""),IF($I24=2,IFBLANK(_xldudf_CX_PUSH(AU24,CX_ENTITY,$B24,AU$11,AU$14,AU$19,),""),IF($I24=3,"",IFBLANK(_xldudf_CX_PUSH(AU24,CX_ENTITY,$B24,AU$11,AU$14,AU$19,),"")))))),"")</f>
        <v/>
      </c>
      <c r="DO24" s="1883" t="str" cm="1">
        <f t="array" ca="1" aca="1" ref="DO24">IFERROR(IF(AV24*fxVal_normal=_CF!AV24,"",IF(OR(AV24="",NOT(ISNUMBER(AV24)),ISERROR(AV24),$B24=""),"",IF($I24=1,IFBLANK(_xldudf_CX_PUSH(AV24*fxVal_normal,CX_ENTITY,$B24,AV$11,AV$14,AV$19,),""),IF($I24=2,IFBLANK(_xldudf_CX_PUSH(AV24,CX_ENTITY,$B24,AV$11,AV$14,AV$19,),""),IF($I24=3,"",IFBLANK(_xldudf_CX_PUSH(AV24,CX_ENTITY,$B24,AV$11,AV$14,AV$19,),"")))))),"")</f>
        <v/>
      </c>
      <c r="DP24" s="1883" t="str" cm="1">
        <f t="array" ca="1" aca="1" ref="DP24">IFERROR(IF(AW24*fxVal_normal=_CF!AW24,"",IF(OR(AW24="",NOT(ISNUMBER(AW24)),ISERROR(AW24),$B24=""),"",IF($I24=1,IFBLANK(_xldudf_CX_PUSH(AW24*fxVal_normal,CX_ENTITY,$B24,AW$11,AW$14,AW$19,),""),IF($I24=2,IFBLANK(_xldudf_CX_PUSH(AW24,CX_ENTITY,$B24,AW$11,AW$14,AW$19,),""),IF($I24=3,"",IFBLANK(_xldudf_CX_PUSH(AW24,CX_ENTITY,$B24,AW$11,AW$14,AW$19,),"")))))),"")</f>
        <v/>
      </c>
      <c r="DQ24" s="1883" t="str" cm="1">
        <f t="array" ca="1" aca="1" ref="DQ24">IFERROR(IF(AX24*fxVal_normal=_CF!AX24,"",IF(OR(AX24="",NOT(ISNUMBER(AX24)),ISERROR(AX24),$B24=""),"",IF($I24=1,IFBLANK(_xldudf_CX_PUSH(AX24*fxVal_normal,CX_ENTITY,$B24,AX$11,AX$14,AX$19,),""),IF($I24=2,IFBLANK(_xldudf_CX_PUSH(AX24,CX_ENTITY,$B24,AX$11,AX$14,AX$19,),""),IF($I24=3,"",IFBLANK(_xldudf_CX_PUSH(AX24,CX_ENTITY,$B24,AX$11,AX$14,AX$19,),"")))))),"")</f>
        <v/>
      </c>
      <c r="DR24" s="1883" t="str" cm="1">
        <f t="array" ca="1" aca="1" ref="DR24">IFERROR(IF(AY24*fxVal_normal=_CF!AY24,"",IF(OR(AY24="",NOT(ISNUMBER(AY24)),ISERROR(AY24),$B24=""),"",IF($I24=1,IFBLANK(_xldudf_CX_PUSH(AY24*fxVal_normal,CX_ENTITY,$B24,AY$11,AY$14,AY$19,),""),IF($I24=2,IFBLANK(_xldudf_CX_PUSH(AY24,CX_ENTITY,$B24,AY$11,AY$14,AY$19,),""),IF($I24=3,"",IFBLANK(_xldudf_CX_PUSH(AY24,CX_ENTITY,$B24,AY$11,AY$14,AY$19,),"")))))),"")</f>
        <v/>
      </c>
      <c r="DS24" s="1883" t="str" cm="1">
        <f t="array" ca="1" aca="1" ref="DS24">IFERROR(IF(AZ24*fxVal_normal=_CF!AZ24,"",IF(OR(AZ24="",NOT(ISNUMBER(AZ24)),ISERROR(AZ24),$B24=""),"",IF($I24=1,IFBLANK(_xldudf_CX_PUSH(AZ24*fxVal_normal,CX_ENTITY,$B24,AZ$11,AZ$14,AZ$19,),""),IF($I24=2,IFBLANK(_xldudf_CX_PUSH(AZ24,CX_ENTITY,$B24,AZ$11,AZ$14,AZ$19,),""),IF($I24=3,"",IFBLANK(_xldudf_CX_PUSH(AZ24,CX_ENTITY,$B24,AZ$11,AZ$14,AZ$19,),"")))))),"")</f>
        <v/>
      </c>
      <c r="DT24" s="1883" t="str" cm="1">
        <f t="array" ca="1" aca="1" ref="DT24">IFERROR(IF(BA24*fxVal_normal=_CF!BA24,"",IF(OR(BA24="",NOT(ISNUMBER(BA24)),ISERROR(BA24),$B24=""),"",IF($I24=1,IFBLANK(_xldudf_CX_PUSH(BA24*fxVal_normal,CX_ENTITY,$B24,BA$11,BA$14,BA$19,),""),IF($I24=2,IFBLANK(_xldudf_CX_PUSH(BA24,CX_ENTITY,$B24,BA$11,BA$14,BA$19,),""),IF($I24=3,"",IFBLANK(_xldudf_CX_PUSH(BA24,CX_ENTITY,$B24,BA$11,BA$14,BA$19,),"")))))),"")</f>
        <v/>
      </c>
      <c r="DU24" s="1883" t="str" cm="1">
        <f t="array" ca="1" aca="1" ref="DU24">IFERROR(IF(BB24*fxVal_normal=_CF!BB24,"",IF(OR(BB24="",NOT(ISNUMBER(BB24)),ISERROR(BB24),$B24=""),"",IF($I24=1,IFBLANK(_xldudf_CX_PUSH(BB24*fxVal_normal,CX_ENTITY,$B24,BB$11,BB$14,BB$19,),""),IF($I24=2,IFBLANK(_xldudf_CX_PUSH(BB24,CX_ENTITY,$B24,BB$11,BB$14,BB$19,),""),IF($I24=3,"",IFBLANK(_xldudf_CX_PUSH(BB24,CX_ENTITY,$B24,BB$11,BB$14,BB$19,),"")))))),"")</f>
        <v/>
      </c>
      <c r="DV24" s="1883" t="str" cm="1">
        <f t="array" ca="1" aca="1" ref="DV24">IFERROR(IF(BC24*fxVal_normal=_CF!BC24,"",IF(OR(BC24="",NOT(ISNUMBER(BC24)),ISERROR(BC24),$B24=""),"",IF($I24=1,IFBLANK(_xldudf_CX_PUSH(BC24*fxVal_normal,CX_ENTITY,$B24,BC$11,BC$14,BC$19,),""),IF($I24=2,IFBLANK(_xldudf_CX_PUSH(BC24,CX_ENTITY,$B24,BC$11,BC$14,BC$19,),""),IF($I24=3,"",IFBLANK(_xldudf_CX_PUSH(BC24,CX_ENTITY,$B24,BC$11,BC$14,BC$19,),"")))))),"")</f>
        <v/>
      </c>
      <c r="DW24" s="1883" t="str" cm="1">
        <f t="array" ca="1" aca="1" ref="DW24">IFERROR(IF(BD24*fxVal_normal=_CF!BD24,"",IF(OR(BD24="",NOT(ISNUMBER(BD24)),ISERROR(BD24),$B24=""),"",IF($I24=1,IFBLANK(_xldudf_CX_PUSH(BD24*fxVal_normal,CX_ENTITY,$B24,BD$11,BD$14,BD$19,),""),IF($I24=2,IFBLANK(_xldudf_CX_PUSH(BD24,CX_ENTITY,$B24,BD$11,BD$14,BD$19,),""),IF($I24=3,"",IFBLANK(_xldudf_CX_PUSH(BD24,CX_ENTITY,$B24,BD$11,BD$14,BD$19,),"")))))),"")</f>
        <v/>
      </c>
      <c r="DX24" s="1883" t="str" cm="1">
        <f t="array" ca="1" aca="1" ref="DX24">IFERROR(IF(BE24*fxVal_normal=_CF!BE24,"",IF(OR(BE24="",NOT(ISNUMBER(BE24)),ISERROR(BE24),$B24=""),"",IF($I24=1,IFBLANK(_xldudf_CX_PUSH(BE24*fxVal_normal,CX_ENTITY,$B24,BE$11,BE$14,BE$19,),""),IF($I24=2,IFBLANK(_xldudf_CX_PUSH(BE24,CX_ENTITY,$B24,BE$11,BE$14,BE$19,),""),IF($I24=3,"",IFBLANK(_xldudf_CX_PUSH(BE24,CX_ENTITY,$B24,BE$11,BE$14,BE$19,),"")))))),"")</f>
        <v/>
      </c>
      <c r="DY24" s="1883" t="str" cm="1">
        <f t="array" ca="1" aca="1" ref="DY24">IFERROR(IF(BF24*fxVal_normal=_CF!BF24,"",IF(OR(BF24="",NOT(ISNUMBER(BF24)),ISERROR(BF24),$B24=""),"",IF($I24=1,IFBLANK(_xldudf_CX_PUSH(BF24*fxVal_normal,CX_ENTITY,$B24,BF$11,BF$14,BF$19,),""),IF($I24=2,IFBLANK(_xldudf_CX_PUSH(BF24,CX_ENTITY,$B24,BF$11,BF$14,BF$19,),""),IF($I24=3,"",IFBLANK(_xldudf_CX_PUSH(BF24,CX_ENTITY,$B24,BF$11,BF$14,BF$19,),"")))))),"")</f>
        <v/>
      </c>
      <c r="DZ24" s="1883" t="str" cm="1">
        <f t="array" ca="1" aca="1" ref="DZ24">IFERROR(IF(BG24*fxVal_normal=_CF!BG24,"",IF(OR(BG24="",NOT(ISNUMBER(BG24)),ISERROR(BG24),$B24=""),"",IF($I24=1,IFBLANK(_xldudf_CX_PUSH(BG24*fxVal_normal,CX_ENTITY,$B24,BG$11,BG$14,BG$19,),""),IF($I24=2,IFBLANK(_xldudf_CX_PUSH(BG24,CX_ENTITY,$B24,BG$11,BG$14,BG$19,),""),IF($I24=3,"",IFBLANK(_xldudf_CX_PUSH(BG24,CX_ENTITY,$B24,BG$11,BG$14,BG$19,),"")))))),"")</f>
        <v/>
      </c>
      <c r="EA24" s="1883" t="str" cm="1">
        <f t="array" ca="1" aca="1" ref="EA24">IFERROR(IF(BH24*fxVal_normal=_CF!BH24,"",IF(OR(BH24="",NOT(ISNUMBER(BH24)),ISERROR(BH24),$B24=""),"",IF($I24=1,IFBLANK(_xldudf_CX_PUSH(BH24*fxVal_normal,CX_ENTITY,$B24,BH$11,BH$14,BH$19,),""),IF($I24=2,IFBLANK(_xldudf_CX_PUSH(BH24,CX_ENTITY,$B24,BH$11,BH$14,BH$19,),""),IF($I24=3,"",IFBLANK(_xldudf_CX_PUSH(BH24,CX_ENTITY,$B24,BH$11,BH$14,BH$19,),"")))))),"")</f>
        <v/>
      </c>
      <c r="EB24" s="1883" t="str" cm="1">
        <f t="array" ca="1" aca="1" ref="EB24">IFERROR(IF(BI24*fxVal_normal=_CF!BI24,"",IF(OR(BI24="",NOT(ISNUMBER(BI24)),ISERROR(BI24),$B24=""),"",IF($I24=1,IFBLANK(_xldudf_CX_PUSH(BI24*fxVal_normal,CX_ENTITY,$B24,BI$11,BI$14,BI$19,),""),IF($I24=2,IFBLANK(_xldudf_CX_PUSH(BI24,CX_ENTITY,$B24,BI$11,BI$14,BI$19,),""),IF($I24=3,"",IFBLANK(_xldudf_CX_PUSH(BI24,CX_ENTITY,$B24,BI$11,BI$14,BI$19,),"")))))),"")</f>
        <v/>
      </c>
      <c r="EC24" s="1883" t="str" cm="1">
        <f t="array" ca="1" aca="1" ref="EC24">IFERROR(IF(BJ24*fxVal_normal=_CF!BJ24,"",IF(OR(BJ24="",NOT(ISNUMBER(BJ24)),ISERROR(BJ24),$B24=""),"",IF($I24=1,IFBLANK(_xldudf_CX_PUSH(BJ24*fxVal_normal,CX_ENTITY,$B24,BJ$11,BJ$14,BJ$19,),""),IF($I24=2,IFBLANK(_xldudf_CX_PUSH(BJ24,CX_ENTITY,$B24,BJ$11,BJ$14,BJ$19,),""),IF($I24=3,"",IFBLANK(_xldudf_CX_PUSH(BJ24,CX_ENTITY,$B24,BJ$11,BJ$14,BJ$19,),"")))))),"")</f>
        <v/>
      </c>
      <c r="ED24" s="1883" t="str" cm="1">
        <f t="array" ca="1" aca="1" ref="ED24">IFERROR(IF(BK24*fxVal_normal=_CF!BK24,"",IF(OR(BK24="",NOT(ISNUMBER(BK24)),ISERROR(BK24),$B24=""),"",IF($I24=1,IFBLANK(_xldudf_CX_PUSH(BK24*fxVal_normal,CX_ENTITY,$B24,BK$11,BK$14,BK$19,),""),IF($I24=2,IFBLANK(_xldudf_CX_PUSH(BK24,CX_ENTITY,$B24,BK$11,BK$14,BK$19,),""),IF($I24=3,"",IFBLANK(_xldudf_CX_PUSH(BK24,CX_ENTITY,$B24,BK$11,BK$14,BK$19,),"")))))),"")</f>
        <v/>
      </c>
      <c r="EE24" s="1883" t="str" cm="1">
        <f t="array" ca="1" aca="1" ref="EE24">IFERROR(IF(BL24*fxVal_normal=_CF!BL24,"",IF(OR(BL24="",NOT(ISNUMBER(BL24)),ISERROR(BL24),$B24=""),"",IF($I24=1,IFBLANK(_xldudf_CX_PUSH(BL24*fxVal_normal,CX_ENTITY,$B24,BL$11,BL$14,BL$19,),""),IF($I24=2,IFBLANK(_xldudf_CX_PUSH(BL24,CX_ENTITY,$B24,BL$11,BL$14,BL$19,),""),IF($I24=3,"",IFBLANK(_xldudf_CX_PUSH(BL24,CX_ENTITY,$B24,BL$11,BL$14,BL$19,),"")))))),"")</f>
        <v/>
      </c>
      <c r="EF24" s="1883" t="str" cm="1">
        <f t="array" ca="1" aca="1" ref="EF24">IFERROR(IF(BM24*fxVal_normal=_CF!BM24,"",IF(OR(BM24="",NOT(ISNUMBER(BM24)),ISERROR(BM24),$B24=""),"",IF($I24=1,IFBLANK(_xldudf_CX_PUSH(BM24*fxVal_normal,CX_ENTITY,$B24,BM$11,BM$14,BM$19,),""),IF($I24=2,IFBLANK(_xldudf_CX_PUSH(BM24,CX_ENTITY,$B24,BM$11,BM$14,BM$19,),""),IF($I24=3,"",IFBLANK(_xldudf_CX_PUSH(BM24,CX_ENTITY,$B24,BM$11,BM$14,BM$19,),"")))))),"")</f>
        <v/>
      </c>
      <c r="EG24" s="1883" t="str" cm="1">
        <f t="array" ca="1" aca="1" ref="EG24">IFERROR(IF(BN24*fxVal_normal=_CF!BN24,"",IF(OR(BN24="",NOT(ISNUMBER(BN24)),ISERROR(BN24),$B24=""),"",IF($I24=1,IFBLANK(_xldudf_CX_PUSH(BN24*fxVal_normal,CX_ENTITY,$B24,BN$11,BN$14,BN$19,),""),IF($I24=2,IFBLANK(_xldudf_CX_PUSH(BN24,CX_ENTITY,$B24,BN$11,BN$14,BN$19,),""),IF($I24=3,"",IFBLANK(_xldudf_CX_PUSH(BN24,CX_ENTITY,$B24,BN$11,BN$14,BN$19,),"")))))),"")</f>
        <v/>
      </c>
    </row>
    <row r="25" spans="1:137" ht="21" customHeight="1">
      <c r="A25" s="1625"/>
      <c r="B25" s="695" t="str" cm="1">
        <f t="array" ref="B25">IFBLANK(_CF!F25,"")</f>
        <v>Cash Tax</v>
      </c>
      <c r="C25" s="3340" t="str" cm="1">
        <f t="array" ref="C25">IFBLANK(_CF!C25,"")</f>
        <v>Cash Tax (Company View)</v>
      </c>
      <c r="D25" s="1548"/>
      <c r="E25" s="695"/>
      <c r="F25" s="577"/>
      <c r="G25" s="578"/>
      <c r="H25" s="3279">
        <v>1</v>
      </c>
      <c r="I25" s="3279">
        <v>1</v>
      </c>
      <c r="J25" s="3280" cm="1">
        <f t="array" ref="J25">IFBLANK(Z25,"")</f>
        <v>1</v>
      </c>
      <c r="K25" s="578"/>
      <c r="N25" s="158"/>
      <c r="O25" s="101"/>
      <c r="P25" s="52"/>
      <c r="Q25" s="101"/>
      <c r="R25" s="101"/>
      <c r="S25" s="101"/>
      <c r="T25" s="101"/>
      <c r="U25" s="39"/>
      <c r="W25" s="932" t="str">
        <f t="shared" si="1"/>
        <v>Actual</v>
      </c>
      <c r="X25" s="815">
        <f>_CF!X25</f>
        <v>-1</v>
      </c>
      <c r="Y25" s="3231">
        <v>2</v>
      </c>
      <c r="Z25" s="3291" cm="1">
        <f t="array" ref="Z25">_xlfn.SWITCH(TRUE,_CF!$L25=TRUE,1,_CF!$L25=FALSE,-1,_CF!$L25=-1,0,"n/a")</f>
        <v>1</v>
      </c>
      <c r="AA25" s="200"/>
      <c r="AB25" s="3343" t="str">
        <f>_CF!AB25</f>
        <v>Cash Tax</v>
      </c>
      <c r="AC25" s="88" t="e" vm="5" cm="1">
        <f t="array" ca="1" aca="1" ref="AC25">_xlfn.LET(_xlpm._termname,$AB25,_xlpm._iconname,"find",_xlpm._icon,fx_getIcon(_xlpm._iconname),_xlpm._location,_xlfn.XLOOKUP(LOWER(_xlpm._termname),LOWER(tbl_acctDef[Term]),tbl_acctDef[Term]),_xlpm._hyperlink,HYPERLINK("#"&amp;CELL("address",_xlpm._location),_xlpm._icon),IFERROR(_xlpm._hyperlink,""))</f>
        <v>#VALUE!</v>
      </c>
      <c r="AD25" s="3232">
        <v>1</v>
      </c>
      <c r="AE25" s="3232">
        <v>1</v>
      </c>
      <c r="AF25" s="3232">
        <v>1</v>
      </c>
      <c r="AG25" s="3232">
        <v>1</v>
      </c>
      <c r="AH25" s="3232">
        <v>1</v>
      </c>
      <c r="AI25" s="3232">
        <v>1</v>
      </c>
      <c r="AJ25" s="3232">
        <v>1</v>
      </c>
      <c r="AK25" s="3232">
        <v>1</v>
      </c>
      <c r="AL25" s="3232">
        <v>1</v>
      </c>
      <c r="AM25" s="3232">
        <v>1</v>
      </c>
      <c r="AN25" s="3232">
        <v>1</v>
      </c>
      <c r="AO25" s="3232">
        <v>1</v>
      </c>
      <c r="AP25" s="3232">
        <v>1</v>
      </c>
      <c r="AQ25" s="3232">
        <v>1</v>
      </c>
      <c r="AR25" s="3232">
        <v>1</v>
      </c>
      <c r="AS25" s="3232">
        <v>1</v>
      </c>
      <c r="AT25" s="3232">
        <v>1</v>
      </c>
      <c r="AU25" s="3232">
        <v>1</v>
      </c>
      <c r="AV25" s="3232">
        <v>1</v>
      </c>
      <c r="AW25" s="3232">
        <v>1</v>
      </c>
      <c r="AX25" s="3232">
        <v>1</v>
      </c>
      <c r="AY25" s="3232">
        <v>1</v>
      </c>
      <c r="AZ25" s="3232">
        <v>1</v>
      </c>
      <c r="BA25" s="3232">
        <v>1</v>
      </c>
      <c r="BB25" s="3232">
        <v>1</v>
      </c>
      <c r="BC25" s="3232">
        <v>1</v>
      </c>
      <c r="BD25" s="3232">
        <v>1</v>
      </c>
      <c r="BE25" s="3232">
        <v>1</v>
      </c>
      <c r="BF25" s="3232">
        <v>1</v>
      </c>
      <c r="BG25" s="3232">
        <v>1</v>
      </c>
      <c r="BH25" s="3232">
        <v>1</v>
      </c>
      <c r="BI25" s="3232">
        <v>1</v>
      </c>
      <c r="BJ25" s="3232">
        <v>1</v>
      </c>
      <c r="BK25" s="3232">
        <v>1</v>
      </c>
      <c r="BL25" s="3232">
        <v>1</v>
      </c>
      <c r="BM25" s="3232">
        <v>1</v>
      </c>
      <c r="BN25" s="3232">
        <v>1</v>
      </c>
      <c r="BO25" s="2115"/>
      <c r="BP25" s="2115"/>
      <c r="BQ25" s="2115"/>
      <c r="BR25" s="2115"/>
      <c r="BS25" s="2115"/>
      <c r="BT25" s="2115"/>
      <c r="BU25" s="2115"/>
      <c r="BV25" s="2115"/>
      <c r="BW25" s="2115"/>
      <c r="BX25" s="2115"/>
      <c r="BY25" s="2115"/>
      <c r="BZ25" s="2115"/>
      <c r="CA25" s="1330"/>
      <c r="CB25" s="537"/>
      <c r="CC25" s="1484"/>
      <c r="CD25" s="1461" t="e" cm="1">
        <f t="array" ca="1" aca="1" ref="CD25">_xlfn.LET(_xlpm.CheckBlank,SUM(CF!$AD25:$BN25)=0,IF(_xlpm.CheckBlank,"",SUM(_xlfn._xlws.FILTER(CF!$AD25:$BN25,(YEAR(CF!$AD$12:$BN$12)=CF!CD$12)*(array_timeline&lt;=CF!CD$11)))))</f>
        <v>#NAME?</v>
      </c>
      <c r="CE25" s="1461" t="e" cm="1">
        <f t="array" ca="1" aca="1" ref="CE25">_xlfn.LET(_xlpm.CheckBlank,SUM(CF!$AD25:$BN25)=0,IF(_xlpm.CheckBlank,"",SUM(_xlfn._xlws.FILTER(CF!$AD25:$BN25,(YEAR(CF!$AD$12:$BN$12)=CF!CE$12)*(array_timeline&lt;=CF!CE$11)))))</f>
        <v>#NAME?</v>
      </c>
      <c r="CF25" s="1314"/>
      <c r="CG25" s="1461" t="e" cm="1">
        <f t="array" ca="1" aca="1" ref="CG25">_xlfn.LET(_xlpm.CheckBlank,SUM(CF!$AD25:$BN25)=0,IF(_xlpm.CheckBlank,"",SUM(_xlfn._xlws.FILTER(CF!$AD25:$BN25,(YEAR(CF!$AD$12:$BN$12)=CF!CG$12)*(array_timeline&lt;=CF!CG$11)))))</f>
        <v>#NAME?</v>
      </c>
      <c r="CH25" s="1461" t="e" cm="1">
        <f t="array" ca="1" aca="1" ref="CH25">_xlfn.LET(_xlpm.CheckBlank,SUM(CF!$AD25:$BN25)=0,IF(_xlpm.CheckBlank,"",SUM(_xlfn._xlws.FILTER(CF!$AD25:$BN25,(YEAR(CF!$AD$12:$BN$12)=CF!CH$12)*(array_timeline&lt;=CF!CH$11)))))</f>
        <v>#NAME?</v>
      </c>
      <c r="CI25" s="1314"/>
      <c r="CJ25" s="1461" cm="1">
        <f t="array" ref="CJ25">_xlfn.LET(_xlpm.CheckBlank,SUM(CF!$AD25:$BN25)=0,IF(_xlpm.CheckBlank,"",SUM(_xlfn.TAKE(_xlfn.DROP(CF!$AD25:$BN25,,-DATEDIFF(CF!CJ$11,val_asOfDate,"M")),1,-12))))</f>
        <v>12</v>
      </c>
      <c r="CK25" s="1461" cm="1">
        <f t="array" ref="CK25">_xlfn.LET(_xlpm.CheckBlank,SUM(CF!$AD25:$BN25)=0,IF(_xlpm.CheckBlank,"",SUM(_xlfn.TAKE(_xlfn.DROP(CF!$AD25:$BN25,,-DATEDIFF(CF!CK$11,val_asOfDate,"M")),1,-12))))</f>
        <v>12</v>
      </c>
      <c r="CL25" s="1314"/>
      <c r="CM25" s="3353" t="e" cm="1">
        <f t="array" ca="1" aca="1" ref="CM25">TODECIMAL(IFBLANK(_CF!CM25,""),fxVal_normal)</f>
        <v>#NAME?</v>
      </c>
      <c r="CN25" s="3353" t="e" cm="1">
        <f t="array" ca="1" aca="1" ref="CN25">TODECIMAL(IFBLANK(_CF!CN25,""),fxVal_normal)</f>
        <v>#NAME?</v>
      </c>
      <c r="CO25" s="34"/>
      <c r="CQ25" s="2085" t="str" cm="1">
        <f t="array" ca="1" aca="1" ref="CQ25">IFERROR(IF(Y25&lt;&gt;AB25,_xldudf_CX_PUSH(Y25,CX_ENTITY,C25,EOMONTH(val_asOfDate,0)),""),"")</f>
        <v/>
      </c>
      <c r="CR25" s="2085" t="str" cm="1">
        <f t="array" ca="1" aca="1" ref="CR25">IFERROR(IF(Y25&lt;&gt;AB25,_xldudf_CX_PUSH(Y25,CX_ENTITY,C25,EOMONTH(val_asOfDate,1)),""),"")</f>
        <v/>
      </c>
      <c r="CS25" s="2085" t="str" cm="1">
        <f t="array" ca="1" aca="1" ref="CS25">IFERROR(IF(Y25&lt;&gt;AB25,_xldudf_CX_PUSH(Y25,CX_ENTITY,C25,EOMONTH(val_asOfDate,2)),""),"")</f>
        <v/>
      </c>
      <c r="CT25" s="2085" t="str" cm="1">
        <f t="array" ca="1" aca="1" ref="CT25">IFERROR(IF(Y25&lt;&gt;AB25,_xldudf_CX_PUSH(Y25,CX_ENTITY,C25,EOMONTH(val_asOfDate,3)),""),"")</f>
        <v/>
      </c>
      <c r="CU25" s="2086" t="str" cm="1">
        <f t="array" ca="1" aca="1" ref="CU25">IFERROR(IF(CM25*fxVal_normal=_CF!CM25,"",IF(OR($CM25="",,NOT(ISNUMBER($CM25)),ISERROR($CM25),$B25=""),"",IF($I25=1,IFBLANK(_xldudf_CX_PUSH($CM25*fxVal_normal,CX_ENTITY,$B25,$CM$11,$CM$14,$CM$19,),""),IF($I25=2,IFBLANK(_xldudf_CX_PUSH($CM25,CX_ENTITY,$B25,$CM$11,$CM$14,$CM$19,),""),IF($I25=3,"",IFBLANK(_xldudf_CX_PUSH($CM25,CX_ENTITY,$B25,$CM$11,$CM$14,$CM$19,),"")))))),"")</f>
        <v/>
      </c>
      <c r="CV25" s="2086" t="str" cm="1">
        <f t="array" ca="1" aca="1" ref="CV25">IFERROR(IF(CN25*fxVal_normal=_CF!CN25,"",IF(OR($CN25="",,NOT(ISNUMBER($CN25)),ISERROR($CN25),$B25=""),"",IF($I25=1,IFBLANK(_xldudf_CX_PUSH($CN25*fxVal_normal,CX_ENTITY,$B25,$CN$11,$CN$14,$CN$19,),""),IF($I25=2,IFBLANK(_xldudf_CX_PUSH($CN25,CX_ENTITY,$B25,$CN$11,$CN$14,$CN$19,),""),IF($I25=3,"",IFBLANK(_xldudf_CX_PUSH($CN25,CX_ENTITY,$B25,$CN$11,$CN$14,$CN$19,),"")))))),"")</f>
        <v/>
      </c>
      <c r="CW25" s="1883" t="str" cm="1">
        <f t="array" ca="1" aca="1" ref="CW25">IFERROR(IF(AD25*fxVal_normal=_CF!AD25,"",IF(OR(AD25="",NOT(ISNUMBER(AD25)),ISERROR(AD25),$B25=""),"",IF($I25=1,IFBLANK(_xldudf_CX_PUSH(AD25*fxVal_normal,CX_ENTITY,$B25,AD$11,AD$14,AD$19,),""),IF($I25=2,IFBLANK(_xldudf_CX_PUSH(AD25,CX_ENTITY,$B25,AD$11,AD$14,AD$19,),""),IF($I25=3,"",IFBLANK(_xldudf_CX_PUSH(AD25,CX_ENTITY,$B25,AD$11,AD$14,AD$19,),"")))))),"")</f>
        <v/>
      </c>
      <c r="CX25" s="1883" t="str" cm="1">
        <f t="array" ca="1" aca="1" ref="CX25">IFERROR(IF(AE25*fxVal_normal=_CF!AE25,"",IF(OR(AE25="",NOT(ISNUMBER(AE25)),ISERROR(AE25),$B25=""),"",IF($I25=1,IFBLANK(_xldudf_CX_PUSH(AE25*fxVal_normal,CX_ENTITY,$B25,AE$11,AE$14,AE$19,),""),IF($I25=2,IFBLANK(_xldudf_CX_PUSH(AE25,CX_ENTITY,$B25,AE$11,AE$14,AE$19,),""),IF($I25=3,"",IFBLANK(_xldudf_CX_PUSH(AE25,CX_ENTITY,$B25,AE$11,AE$14,AE$19,),"")))))),"")</f>
        <v/>
      </c>
      <c r="CY25" s="1883" t="str" cm="1">
        <f t="array" ca="1" aca="1" ref="CY25">IFERROR(IF(AF25*fxVal_normal=_CF!AF25,"",IF(OR(AF25="",NOT(ISNUMBER(AF25)),ISERROR(AF25),$B25=""),"",IF($I25=1,IFBLANK(_xldudf_CX_PUSH(AF25*fxVal_normal,CX_ENTITY,$B25,AF$11,AF$14,AF$19,),""),IF($I25=2,IFBLANK(_xldudf_CX_PUSH(AF25,CX_ENTITY,$B25,AF$11,AF$14,AF$19,),""),IF($I25=3,"",IFBLANK(_xldudf_CX_PUSH(AF25,CX_ENTITY,$B25,AF$11,AF$14,AF$19,),"")))))),"")</f>
        <v/>
      </c>
      <c r="CZ25" s="1883" t="str" cm="1">
        <f t="array" ca="1" aca="1" ref="CZ25">IFERROR(IF(AG25*fxVal_normal=_CF!AG25,"",IF(OR(AG25="",NOT(ISNUMBER(AG25)),ISERROR(AG25),$B25=""),"",IF($I25=1,IFBLANK(_xldudf_CX_PUSH(AG25*fxVal_normal,CX_ENTITY,$B25,AG$11,AG$14,AG$19,),""),IF($I25=2,IFBLANK(_xldudf_CX_PUSH(AG25,CX_ENTITY,$B25,AG$11,AG$14,AG$19,),""),IF($I25=3,"",IFBLANK(_xldudf_CX_PUSH(AG25,CX_ENTITY,$B25,AG$11,AG$14,AG$19,),"")))))),"")</f>
        <v/>
      </c>
      <c r="DA25" s="1883" t="str" cm="1">
        <f t="array" ca="1" aca="1" ref="DA25">IFERROR(IF(AH25*fxVal_normal=_CF!AH25,"",IF(OR(AH25="",NOT(ISNUMBER(AH25)),ISERROR(AH25),$B25=""),"",IF($I25=1,IFBLANK(_xldudf_CX_PUSH(AH25*fxVal_normal,CX_ENTITY,$B25,AH$11,AH$14,AH$19,),""),IF($I25=2,IFBLANK(_xldudf_CX_PUSH(AH25,CX_ENTITY,$B25,AH$11,AH$14,AH$19,),""),IF($I25=3,"",IFBLANK(_xldudf_CX_PUSH(AH25,CX_ENTITY,$B25,AH$11,AH$14,AH$19,),"")))))),"")</f>
        <v/>
      </c>
      <c r="DB25" s="1883" t="str" cm="1">
        <f t="array" ca="1" aca="1" ref="DB25">IFERROR(IF(AI25*fxVal_normal=_CF!AI25,"",IF(OR(AI25="",NOT(ISNUMBER(AI25)),ISERROR(AI25),$B25=""),"",IF($I25=1,IFBLANK(_xldudf_CX_PUSH(AI25*fxVal_normal,CX_ENTITY,$B25,AI$11,AI$14,AI$19,),""),IF($I25=2,IFBLANK(_xldudf_CX_PUSH(AI25,CX_ENTITY,$B25,AI$11,AI$14,AI$19,),""),IF($I25=3,"",IFBLANK(_xldudf_CX_PUSH(AI25,CX_ENTITY,$B25,AI$11,AI$14,AI$19,),"")))))),"")</f>
        <v/>
      </c>
      <c r="DC25" s="1883" t="str" cm="1">
        <f t="array" ca="1" aca="1" ref="DC25">IFERROR(IF(AJ25*fxVal_normal=_CF!AJ25,"",IF(OR(AJ25="",NOT(ISNUMBER(AJ25)),ISERROR(AJ25),$B25=""),"",IF($I25=1,IFBLANK(_xldudf_CX_PUSH(AJ25*fxVal_normal,CX_ENTITY,$B25,AJ$11,AJ$14,AJ$19,),""),IF($I25=2,IFBLANK(_xldudf_CX_PUSH(AJ25,CX_ENTITY,$B25,AJ$11,AJ$14,AJ$19,),""),IF($I25=3,"",IFBLANK(_xldudf_CX_PUSH(AJ25,CX_ENTITY,$B25,AJ$11,AJ$14,AJ$19,),"")))))),"")</f>
        <v/>
      </c>
      <c r="DD25" s="1883" t="str" cm="1">
        <f t="array" ca="1" aca="1" ref="DD25">IFERROR(IF(AK25*fxVal_normal=_CF!AK25,"",IF(OR(AK25="",NOT(ISNUMBER(AK25)),ISERROR(AK25),$B25=""),"",IF($I25=1,IFBLANK(_xldudf_CX_PUSH(AK25*fxVal_normal,CX_ENTITY,$B25,AK$11,AK$14,AK$19,),""),IF($I25=2,IFBLANK(_xldudf_CX_PUSH(AK25,CX_ENTITY,$B25,AK$11,AK$14,AK$19,),""),IF($I25=3,"",IFBLANK(_xldudf_CX_PUSH(AK25,CX_ENTITY,$B25,AK$11,AK$14,AK$19,),"")))))),"")</f>
        <v/>
      </c>
      <c r="DE25" s="1883" t="str" cm="1">
        <f t="array" ca="1" aca="1" ref="DE25">IFERROR(IF(AL25*fxVal_normal=_CF!AL25,"",IF(OR(AL25="",NOT(ISNUMBER(AL25)),ISERROR(AL25),$B25=""),"",IF($I25=1,IFBLANK(_xldudf_CX_PUSH(AL25*fxVal_normal,CX_ENTITY,$B25,AL$11,AL$14,AL$19,),""),IF($I25=2,IFBLANK(_xldudf_CX_PUSH(AL25,CX_ENTITY,$B25,AL$11,AL$14,AL$19,),""),IF($I25=3,"",IFBLANK(_xldudf_CX_PUSH(AL25,CX_ENTITY,$B25,AL$11,AL$14,AL$19,),"")))))),"")</f>
        <v/>
      </c>
      <c r="DF25" s="1883" t="str" cm="1">
        <f t="array" ca="1" aca="1" ref="DF25">IFERROR(IF(AM25*fxVal_normal=_CF!AM25,"",IF(OR(AM25="",NOT(ISNUMBER(AM25)),ISERROR(AM25),$B25=""),"",IF($I25=1,IFBLANK(_xldudf_CX_PUSH(AM25*fxVal_normal,CX_ENTITY,$B25,AM$11,AM$14,AM$19,),""),IF($I25=2,IFBLANK(_xldudf_CX_PUSH(AM25,CX_ENTITY,$B25,AM$11,AM$14,AM$19,),""),IF($I25=3,"",IFBLANK(_xldudf_CX_PUSH(AM25,CX_ENTITY,$B25,AM$11,AM$14,AM$19,),"")))))),"")</f>
        <v/>
      </c>
      <c r="DG25" s="1883" t="str" cm="1">
        <f t="array" ca="1" aca="1" ref="DG25">IFERROR(IF(AN25*fxVal_normal=_CF!AN25,"",IF(OR(AN25="",NOT(ISNUMBER(AN25)),ISERROR(AN25),$B25=""),"",IF($I25=1,IFBLANK(_xldudf_CX_PUSH(AN25*fxVal_normal,CX_ENTITY,$B25,AN$11,AN$14,AN$19,),""),IF($I25=2,IFBLANK(_xldudf_CX_PUSH(AN25,CX_ENTITY,$B25,AN$11,AN$14,AN$19,),""),IF($I25=3,"",IFBLANK(_xldudf_CX_PUSH(AN25,CX_ENTITY,$B25,AN$11,AN$14,AN$19,),"")))))),"")</f>
        <v/>
      </c>
      <c r="DH25" s="1883" t="str" cm="1">
        <f t="array" ca="1" aca="1" ref="DH25">IFERROR(IF(AO25*fxVal_normal=_CF!AO25,"",IF(OR(AO25="",NOT(ISNUMBER(AO25)),ISERROR(AO25),$B25=""),"",IF($I25=1,IFBLANK(_xldudf_CX_PUSH(AO25*fxVal_normal,CX_ENTITY,$B25,AO$11,AO$14,AO$19,),""),IF($I25=2,IFBLANK(_xldudf_CX_PUSH(AO25,CX_ENTITY,$B25,AO$11,AO$14,AO$19,),""),IF($I25=3,"",IFBLANK(_xldudf_CX_PUSH(AO25,CX_ENTITY,$B25,AO$11,AO$14,AO$19,),"")))))),"")</f>
        <v/>
      </c>
      <c r="DI25" s="1883" t="str" cm="1">
        <f t="array" ca="1" aca="1" ref="DI25">IFERROR(IF(AP25*fxVal_normal=_CF!AP25,"",IF(OR(AP25="",NOT(ISNUMBER(AP25)),ISERROR(AP25),$B25=""),"",IF($I25=1,IFBLANK(_xldudf_CX_PUSH(AP25*fxVal_normal,CX_ENTITY,$B25,AP$11,AP$14,AP$19,),""),IF($I25=2,IFBLANK(_xldudf_CX_PUSH(AP25,CX_ENTITY,$B25,AP$11,AP$14,AP$19,),""),IF($I25=3,"",IFBLANK(_xldudf_CX_PUSH(AP25,CX_ENTITY,$B25,AP$11,AP$14,AP$19,),"")))))),"")</f>
        <v/>
      </c>
      <c r="DJ25" s="1883" t="str" cm="1">
        <f t="array" ca="1" aca="1" ref="DJ25">IFERROR(IF(AQ25*fxVal_normal=_CF!AQ25,"",IF(OR(AQ25="",NOT(ISNUMBER(AQ25)),ISERROR(AQ25),$B25=""),"",IF($I25=1,IFBLANK(_xldudf_CX_PUSH(AQ25*fxVal_normal,CX_ENTITY,$B25,AQ$11,AQ$14,AQ$19,),""),IF($I25=2,IFBLANK(_xldudf_CX_PUSH(AQ25,CX_ENTITY,$B25,AQ$11,AQ$14,AQ$19,),""),IF($I25=3,"",IFBLANK(_xldudf_CX_PUSH(AQ25,CX_ENTITY,$B25,AQ$11,AQ$14,AQ$19,),"")))))),"")</f>
        <v/>
      </c>
      <c r="DK25" s="1883" t="str" cm="1">
        <f t="array" ca="1" aca="1" ref="DK25">IFERROR(IF(AR25*fxVal_normal=_CF!AR25,"",IF(OR(AR25="",NOT(ISNUMBER(AR25)),ISERROR(AR25),$B25=""),"",IF($I25=1,IFBLANK(_xldudf_CX_PUSH(AR25*fxVal_normal,CX_ENTITY,$B25,AR$11,AR$14,AR$19,),""),IF($I25=2,IFBLANK(_xldudf_CX_PUSH(AR25,CX_ENTITY,$B25,AR$11,AR$14,AR$19,),""),IF($I25=3,"",IFBLANK(_xldudf_CX_PUSH(AR25,CX_ENTITY,$B25,AR$11,AR$14,AR$19,),"")))))),"")</f>
        <v/>
      </c>
      <c r="DL25" s="1883" t="str" cm="1">
        <f t="array" ca="1" aca="1" ref="DL25">IFERROR(IF(AS25*fxVal_normal=_CF!AS25,"",IF(OR(AS25="",NOT(ISNUMBER(AS25)),ISERROR(AS25),$B25=""),"",IF($I25=1,IFBLANK(_xldudf_CX_PUSH(AS25*fxVal_normal,CX_ENTITY,$B25,AS$11,AS$14,AS$19,),""),IF($I25=2,IFBLANK(_xldudf_CX_PUSH(AS25,CX_ENTITY,$B25,AS$11,AS$14,AS$19,),""),IF($I25=3,"",IFBLANK(_xldudf_CX_PUSH(AS25,CX_ENTITY,$B25,AS$11,AS$14,AS$19,),"")))))),"")</f>
        <v/>
      </c>
      <c r="DM25" s="1883" t="str" cm="1">
        <f t="array" ca="1" aca="1" ref="DM25">IFERROR(IF(AT25*fxVal_normal=_CF!AT25,"",IF(OR(AT25="",NOT(ISNUMBER(AT25)),ISERROR(AT25),$B25=""),"",IF($I25=1,IFBLANK(_xldudf_CX_PUSH(AT25*fxVal_normal,CX_ENTITY,$B25,AT$11,AT$14,AT$19,),""),IF($I25=2,IFBLANK(_xldudf_CX_PUSH(AT25,CX_ENTITY,$B25,AT$11,AT$14,AT$19,),""),IF($I25=3,"",IFBLANK(_xldudf_CX_PUSH(AT25,CX_ENTITY,$B25,AT$11,AT$14,AT$19,),"")))))),"")</f>
        <v/>
      </c>
      <c r="DN25" s="1883" t="str" cm="1">
        <f t="array" ca="1" aca="1" ref="DN25">IFERROR(IF(AU25*fxVal_normal=_CF!AU25,"",IF(OR(AU25="",NOT(ISNUMBER(AU25)),ISERROR(AU25),$B25=""),"",IF($I25=1,IFBLANK(_xldudf_CX_PUSH(AU25*fxVal_normal,CX_ENTITY,$B25,AU$11,AU$14,AU$19,),""),IF($I25=2,IFBLANK(_xldudf_CX_PUSH(AU25,CX_ENTITY,$B25,AU$11,AU$14,AU$19,),""),IF($I25=3,"",IFBLANK(_xldudf_CX_PUSH(AU25,CX_ENTITY,$B25,AU$11,AU$14,AU$19,),"")))))),"")</f>
        <v/>
      </c>
      <c r="DO25" s="1883" t="str" cm="1">
        <f t="array" ca="1" aca="1" ref="DO25">IFERROR(IF(AV25*fxVal_normal=_CF!AV25,"",IF(OR(AV25="",NOT(ISNUMBER(AV25)),ISERROR(AV25),$B25=""),"",IF($I25=1,IFBLANK(_xldudf_CX_PUSH(AV25*fxVal_normal,CX_ENTITY,$B25,AV$11,AV$14,AV$19,),""),IF($I25=2,IFBLANK(_xldudf_CX_PUSH(AV25,CX_ENTITY,$B25,AV$11,AV$14,AV$19,),""),IF($I25=3,"",IFBLANK(_xldudf_CX_PUSH(AV25,CX_ENTITY,$B25,AV$11,AV$14,AV$19,),"")))))),"")</f>
        <v/>
      </c>
      <c r="DP25" s="1883" t="str" cm="1">
        <f t="array" ca="1" aca="1" ref="DP25">IFERROR(IF(AW25*fxVal_normal=_CF!AW25,"",IF(OR(AW25="",NOT(ISNUMBER(AW25)),ISERROR(AW25),$B25=""),"",IF($I25=1,IFBLANK(_xldudf_CX_PUSH(AW25*fxVal_normal,CX_ENTITY,$B25,AW$11,AW$14,AW$19,),""),IF($I25=2,IFBLANK(_xldudf_CX_PUSH(AW25,CX_ENTITY,$B25,AW$11,AW$14,AW$19,),""),IF($I25=3,"",IFBLANK(_xldudf_CX_PUSH(AW25,CX_ENTITY,$B25,AW$11,AW$14,AW$19,),"")))))),"")</f>
        <v/>
      </c>
      <c r="DQ25" s="1883" t="str" cm="1">
        <f t="array" ca="1" aca="1" ref="DQ25">IFERROR(IF(AX25*fxVal_normal=_CF!AX25,"",IF(OR(AX25="",NOT(ISNUMBER(AX25)),ISERROR(AX25),$B25=""),"",IF($I25=1,IFBLANK(_xldudf_CX_PUSH(AX25*fxVal_normal,CX_ENTITY,$B25,AX$11,AX$14,AX$19,),""),IF($I25=2,IFBLANK(_xldudf_CX_PUSH(AX25,CX_ENTITY,$B25,AX$11,AX$14,AX$19,),""),IF($I25=3,"",IFBLANK(_xldudf_CX_PUSH(AX25,CX_ENTITY,$B25,AX$11,AX$14,AX$19,),"")))))),"")</f>
        <v/>
      </c>
      <c r="DR25" s="1883" t="str" cm="1">
        <f t="array" ca="1" aca="1" ref="DR25">IFERROR(IF(AY25*fxVal_normal=_CF!AY25,"",IF(OR(AY25="",NOT(ISNUMBER(AY25)),ISERROR(AY25),$B25=""),"",IF($I25=1,IFBLANK(_xldudf_CX_PUSH(AY25*fxVal_normal,CX_ENTITY,$B25,AY$11,AY$14,AY$19,),""),IF($I25=2,IFBLANK(_xldudf_CX_PUSH(AY25,CX_ENTITY,$B25,AY$11,AY$14,AY$19,),""),IF($I25=3,"",IFBLANK(_xldudf_CX_PUSH(AY25,CX_ENTITY,$B25,AY$11,AY$14,AY$19,),"")))))),"")</f>
        <v/>
      </c>
      <c r="DS25" s="1883" t="str" cm="1">
        <f t="array" ca="1" aca="1" ref="DS25">IFERROR(IF(AZ25*fxVal_normal=_CF!AZ25,"",IF(OR(AZ25="",NOT(ISNUMBER(AZ25)),ISERROR(AZ25),$B25=""),"",IF($I25=1,IFBLANK(_xldudf_CX_PUSH(AZ25*fxVal_normal,CX_ENTITY,$B25,AZ$11,AZ$14,AZ$19,),""),IF($I25=2,IFBLANK(_xldudf_CX_PUSH(AZ25,CX_ENTITY,$B25,AZ$11,AZ$14,AZ$19,),""),IF($I25=3,"",IFBLANK(_xldudf_CX_PUSH(AZ25,CX_ENTITY,$B25,AZ$11,AZ$14,AZ$19,),"")))))),"")</f>
        <v/>
      </c>
      <c r="DT25" s="1883" t="str" cm="1">
        <f t="array" ca="1" aca="1" ref="DT25">IFERROR(IF(BA25*fxVal_normal=_CF!BA25,"",IF(OR(BA25="",NOT(ISNUMBER(BA25)),ISERROR(BA25),$B25=""),"",IF($I25=1,IFBLANK(_xldudf_CX_PUSH(BA25*fxVal_normal,CX_ENTITY,$B25,BA$11,BA$14,BA$19,),""),IF($I25=2,IFBLANK(_xldudf_CX_PUSH(BA25,CX_ENTITY,$B25,BA$11,BA$14,BA$19,),""),IF($I25=3,"",IFBLANK(_xldudf_CX_PUSH(BA25,CX_ENTITY,$B25,BA$11,BA$14,BA$19,),"")))))),"")</f>
        <v/>
      </c>
      <c r="DU25" s="1883" t="str" cm="1">
        <f t="array" ca="1" aca="1" ref="DU25">IFERROR(IF(BB25*fxVal_normal=_CF!BB25,"",IF(OR(BB25="",NOT(ISNUMBER(BB25)),ISERROR(BB25),$B25=""),"",IF($I25=1,IFBLANK(_xldudf_CX_PUSH(BB25*fxVal_normal,CX_ENTITY,$B25,BB$11,BB$14,BB$19,),""),IF($I25=2,IFBLANK(_xldudf_CX_PUSH(BB25,CX_ENTITY,$B25,BB$11,BB$14,BB$19,),""),IF($I25=3,"",IFBLANK(_xldudf_CX_PUSH(BB25,CX_ENTITY,$B25,BB$11,BB$14,BB$19,),"")))))),"")</f>
        <v/>
      </c>
      <c r="DV25" s="1883" t="str" cm="1">
        <f t="array" ca="1" aca="1" ref="DV25">IFERROR(IF(BC25*fxVal_normal=_CF!BC25,"",IF(OR(BC25="",NOT(ISNUMBER(BC25)),ISERROR(BC25),$B25=""),"",IF($I25=1,IFBLANK(_xldudf_CX_PUSH(BC25*fxVal_normal,CX_ENTITY,$B25,BC$11,BC$14,BC$19,),""),IF($I25=2,IFBLANK(_xldudf_CX_PUSH(BC25,CX_ENTITY,$B25,BC$11,BC$14,BC$19,),""),IF($I25=3,"",IFBLANK(_xldudf_CX_PUSH(BC25,CX_ENTITY,$B25,BC$11,BC$14,BC$19,),"")))))),"")</f>
        <v/>
      </c>
      <c r="DW25" s="1883" t="str" cm="1">
        <f t="array" ca="1" aca="1" ref="DW25">IFERROR(IF(BD25*fxVal_normal=_CF!BD25,"",IF(OR(BD25="",NOT(ISNUMBER(BD25)),ISERROR(BD25),$B25=""),"",IF($I25=1,IFBLANK(_xldudf_CX_PUSH(BD25*fxVal_normal,CX_ENTITY,$B25,BD$11,BD$14,BD$19,),""),IF($I25=2,IFBLANK(_xldudf_CX_PUSH(BD25,CX_ENTITY,$B25,BD$11,BD$14,BD$19,),""),IF($I25=3,"",IFBLANK(_xldudf_CX_PUSH(BD25,CX_ENTITY,$B25,BD$11,BD$14,BD$19,),"")))))),"")</f>
        <v/>
      </c>
      <c r="DX25" s="1883" t="str" cm="1">
        <f t="array" ca="1" aca="1" ref="DX25">IFERROR(IF(BE25*fxVal_normal=_CF!BE25,"",IF(OR(BE25="",NOT(ISNUMBER(BE25)),ISERROR(BE25),$B25=""),"",IF($I25=1,IFBLANK(_xldudf_CX_PUSH(BE25*fxVal_normal,CX_ENTITY,$B25,BE$11,BE$14,BE$19,),""),IF($I25=2,IFBLANK(_xldudf_CX_PUSH(BE25,CX_ENTITY,$B25,BE$11,BE$14,BE$19,),""),IF($I25=3,"",IFBLANK(_xldudf_CX_PUSH(BE25,CX_ENTITY,$B25,BE$11,BE$14,BE$19,),"")))))),"")</f>
        <v/>
      </c>
      <c r="DY25" s="1883" t="str" cm="1">
        <f t="array" ca="1" aca="1" ref="DY25">IFERROR(IF(BF25*fxVal_normal=_CF!BF25,"",IF(OR(BF25="",NOT(ISNUMBER(BF25)),ISERROR(BF25),$B25=""),"",IF($I25=1,IFBLANK(_xldudf_CX_PUSH(BF25*fxVal_normal,CX_ENTITY,$B25,BF$11,BF$14,BF$19,),""),IF($I25=2,IFBLANK(_xldudf_CX_PUSH(BF25,CX_ENTITY,$B25,BF$11,BF$14,BF$19,),""),IF($I25=3,"",IFBLANK(_xldudf_CX_PUSH(BF25,CX_ENTITY,$B25,BF$11,BF$14,BF$19,),"")))))),"")</f>
        <v/>
      </c>
      <c r="DZ25" s="1883" t="str" cm="1">
        <f t="array" ca="1" aca="1" ref="DZ25">IFERROR(IF(BG25*fxVal_normal=_CF!BG25,"",IF(OR(BG25="",NOT(ISNUMBER(BG25)),ISERROR(BG25),$B25=""),"",IF($I25=1,IFBLANK(_xldudf_CX_PUSH(BG25*fxVal_normal,CX_ENTITY,$B25,BG$11,BG$14,BG$19,),""),IF($I25=2,IFBLANK(_xldudf_CX_PUSH(BG25,CX_ENTITY,$B25,BG$11,BG$14,BG$19,),""),IF($I25=3,"",IFBLANK(_xldudf_CX_PUSH(BG25,CX_ENTITY,$B25,BG$11,BG$14,BG$19,),"")))))),"")</f>
        <v/>
      </c>
      <c r="EA25" s="1883" t="str" cm="1">
        <f t="array" ca="1" aca="1" ref="EA25">IFERROR(IF(BH25*fxVal_normal=_CF!BH25,"",IF(OR(BH25="",NOT(ISNUMBER(BH25)),ISERROR(BH25),$B25=""),"",IF($I25=1,IFBLANK(_xldudf_CX_PUSH(BH25*fxVal_normal,CX_ENTITY,$B25,BH$11,BH$14,BH$19,),""),IF($I25=2,IFBLANK(_xldudf_CX_PUSH(BH25,CX_ENTITY,$B25,BH$11,BH$14,BH$19,),""),IF($I25=3,"",IFBLANK(_xldudf_CX_PUSH(BH25,CX_ENTITY,$B25,BH$11,BH$14,BH$19,),"")))))),"")</f>
        <v/>
      </c>
      <c r="EB25" s="1883" t="str" cm="1">
        <f t="array" ca="1" aca="1" ref="EB25">IFERROR(IF(BI25*fxVal_normal=_CF!BI25,"",IF(OR(BI25="",NOT(ISNUMBER(BI25)),ISERROR(BI25),$B25=""),"",IF($I25=1,IFBLANK(_xldudf_CX_PUSH(BI25*fxVal_normal,CX_ENTITY,$B25,BI$11,BI$14,BI$19,),""),IF($I25=2,IFBLANK(_xldudf_CX_PUSH(BI25,CX_ENTITY,$B25,BI$11,BI$14,BI$19,),""),IF($I25=3,"",IFBLANK(_xldudf_CX_PUSH(BI25,CX_ENTITY,$B25,BI$11,BI$14,BI$19,),"")))))),"")</f>
        <v/>
      </c>
      <c r="EC25" s="1883" t="str" cm="1">
        <f t="array" ca="1" aca="1" ref="EC25">IFERROR(IF(BJ25*fxVal_normal=_CF!BJ25,"",IF(OR(BJ25="",NOT(ISNUMBER(BJ25)),ISERROR(BJ25),$B25=""),"",IF($I25=1,IFBLANK(_xldudf_CX_PUSH(BJ25*fxVal_normal,CX_ENTITY,$B25,BJ$11,BJ$14,BJ$19,),""),IF($I25=2,IFBLANK(_xldudf_CX_PUSH(BJ25,CX_ENTITY,$B25,BJ$11,BJ$14,BJ$19,),""),IF($I25=3,"",IFBLANK(_xldudf_CX_PUSH(BJ25,CX_ENTITY,$B25,BJ$11,BJ$14,BJ$19,),"")))))),"")</f>
        <v/>
      </c>
      <c r="ED25" s="1883" t="str" cm="1">
        <f t="array" ca="1" aca="1" ref="ED25">IFERROR(IF(BK25*fxVal_normal=_CF!BK25,"",IF(OR(BK25="",NOT(ISNUMBER(BK25)),ISERROR(BK25),$B25=""),"",IF($I25=1,IFBLANK(_xldudf_CX_PUSH(BK25*fxVal_normal,CX_ENTITY,$B25,BK$11,BK$14,BK$19,),""),IF($I25=2,IFBLANK(_xldudf_CX_PUSH(BK25,CX_ENTITY,$B25,BK$11,BK$14,BK$19,),""),IF($I25=3,"",IFBLANK(_xldudf_CX_PUSH(BK25,CX_ENTITY,$B25,BK$11,BK$14,BK$19,),"")))))),"")</f>
        <v/>
      </c>
      <c r="EE25" s="1883" t="str" cm="1">
        <f t="array" ca="1" aca="1" ref="EE25">IFERROR(IF(BL25*fxVal_normal=_CF!BL25,"",IF(OR(BL25="",NOT(ISNUMBER(BL25)),ISERROR(BL25),$B25=""),"",IF($I25=1,IFBLANK(_xldudf_CX_PUSH(BL25*fxVal_normal,CX_ENTITY,$B25,BL$11,BL$14,BL$19,),""),IF($I25=2,IFBLANK(_xldudf_CX_PUSH(BL25,CX_ENTITY,$B25,BL$11,BL$14,BL$19,),""),IF($I25=3,"",IFBLANK(_xldudf_CX_PUSH(BL25,CX_ENTITY,$B25,BL$11,BL$14,BL$19,),"")))))),"")</f>
        <v/>
      </c>
      <c r="EF25" s="1883" t="str" cm="1">
        <f t="array" ca="1" aca="1" ref="EF25">IFERROR(IF(BM25*fxVal_normal=_CF!BM25,"",IF(OR(BM25="",NOT(ISNUMBER(BM25)),ISERROR(BM25),$B25=""),"",IF($I25=1,IFBLANK(_xldudf_CX_PUSH(BM25*fxVal_normal,CX_ENTITY,$B25,BM$11,BM$14,BM$19,),""),IF($I25=2,IFBLANK(_xldudf_CX_PUSH(BM25,CX_ENTITY,$B25,BM$11,BM$14,BM$19,),""),IF($I25=3,"",IFBLANK(_xldudf_CX_PUSH(BM25,CX_ENTITY,$B25,BM$11,BM$14,BM$19,),"")))))),"")</f>
        <v/>
      </c>
      <c r="EG25" s="1883" t="str" cm="1">
        <f t="array" ca="1" aca="1" ref="EG25">IFERROR(IF(BN25*fxVal_normal=_CF!BN25,"",IF(OR(BN25="",NOT(ISNUMBER(BN25)),ISERROR(BN25),$B25=""),"",IF($I25=1,IFBLANK(_xldudf_CX_PUSH(BN25*fxVal_normal,CX_ENTITY,$B25,BN$11,BN$14,BN$19,),""),IF($I25=2,IFBLANK(_xldudf_CX_PUSH(BN25,CX_ENTITY,$B25,BN$11,BN$14,BN$19,),""),IF($I25=3,"",IFBLANK(_xldudf_CX_PUSH(BN25,CX_ENTITY,$B25,BN$11,BN$14,BN$19,),"")))))),"")</f>
        <v/>
      </c>
    </row>
    <row r="26" spans="1:137" ht="20.25" customHeight="1">
      <c r="A26" s="1625"/>
      <c r="B26" s="695" t="str" cm="1">
        <f t="array" ref="B26">IFBLANK(_CF!F26,"")</f>
        <v>Capex</v>
      </c>
      <c r="C26" s="3340" t="str" cm="1">
        <f t="array" ref="C26">IFBLANK(_CF!C26,"")</f>
        <v>Capex (Company View)</v>
      </c>
      <c r="D26" s="1548"/>
      <c r="E26" s="695"/>
      <c r="F26" s="577"/>
      <c r="G26" s="578"/>
      <c r="H26" s="3279">
        <v>1</v>
      </c>
      <c r="I26" s="3279">
        <v>1</v>
      </c>
      <c r="J26" s="3280" cm="1">
        <f t="array" ref="J26">IFBLANK(Z26,"")</f>
        <v>1</v>
      </c>
      <c r="K26" s="578"/>
      <c r="N26" s="158"/>
      <c r="O26" s="101"/>
      <c r="P26" s="52"/>
      <c r="Q26" s="101"/>
      <c r="R26" s="126"/>
      <c r="S26" s="101"/>
      <c r="T26" s="101"/>
      <c r="U26" s="39"/>
      <c r="W26" s="932" t="str">
        <f t="shared" si="1"/>
        <v>Actual</v>
      </c>
      <c r="X26" s="815">
        <f>_CF!X26</f>
        <v>-1</v>
      </c>
      <c r="Y26" s="3231">
        <v>2</v>
      </c>
      <c r="Z26" s="3291" cm="1">
        <f t="array" ref="Z26">_xlfn.SWITCH(TRUE,_CF!$L26=TRUE,1,_CF!$L26=FALSE,-1,_CF!$L26=-1,0,"n/a")</f>
        <v>1</v>
      </c>
      <c r="AA26" s="200"/>
      <c r="AB26" s="3343" t="str">
        <f>_CF!AB26</f>
        <v>Capex</v>
      </c>
      <c r="AC26" s="88" t="e" vm="5" cm="1">
        <f t="array" ca="1" aca="1" ref="AC26">_xlfn.LET(_xlpm._termname,$AB26,_xlpm._iconname,"find",_xlpm._icon,fx_getIcon(_xlpm._iconname),_xlpm._location,_xlfn.XLOOKUP(LOWER(_xlpm._termname),LOWER(tbl_acctDef[Term]),tbl_acctDef[Term]),_xlpm._hyperlink,HYPERLINK("#"&amp;CELL("address",_xlpm._location),_xlpm._icon),IFERROR(_xlpm._hyperlink,""))</f>
        <v>#VALUE!</v>
      </c>
      <c r="AD26" s="3232">
        <v>1</v>
      </c>
      <c r="AE26" s="3232">
        <v>1</v>
      </c>
      <c r="AF26" s="3232">
        <v>1</v>
      </c>
      <c r="AG26" s="3232">
        <v>1</v>
      </c>
      <c r="AH26" s="3232">
        <v>1</v>
      </c>
      <c r="AI26" s="3232">
        <v>1</v>
      </c>
      <c r="AJ26" s="3232">
        <v>1</v>
      </c>
      <c r="AK26" s="3232">
        <v>1</v>
      </c>
      <c r="AL26" s="3232">
        <v>1</v>
      </c>
      <c r="AM26" s="3232">
        <v>1</v>
      </c>
      <c r="AN26" s="3232">
        <v>1</v>
      </c>
      <c r="AO26" s="3232">
        <v>1</v>
      </c>
      <c r="AP26" s="3232">
        <v>1</v>
      </c>
      <c r="AQ26" s="3232">
        <v>1</v>
      </c>
      <c r="AR26" s="3232">
        <v>1</v>
      </c>
      <c r="AS26" s="3232">
        <v>1</v>
      </c>
      <c r="AT26" s="3232">
        <v>1</v>
      </c>
      <c r="AU26" s="3232">
        <v>1</v>
      </c>
      <c r="AV26" s="3232">
        <v>1</v>
      </c>
      <c r="AW26" s="3232">
        <v>1</v>
      </c>
      <c r="AX26" s="3232">
        <v>1</v>
      </c>
      <c r="AY26" s="3232">
        <v>1</v>
      </c>
      <c r="AZ26" s="3232">
        <v>1</v>
      </c>
      <c r="BA26" s="3232">
        <v>1</v>
      </c>
      <c r="BB26" s="3232">
        <v>1</v>
      </c>
      <c r="BC26" s="3232">
        <v>1</v>
      </c>
      <c r="BD26" s="3232">
        <v>1</v>
      </c>
      <c r="BE26" s="3232">
        <v>1</v>
      </c>
      <c r="BF26" s="3232">
        <v>1</v>
      </c>
      <c r="BG26" s="3232">
        <v>1</v>
      </c>
      <c r="BH26" s="3232">
        <v>1</v>
      </c>
      <c r="BI26" s="3232">
        <v>1</v>
      </c>
      <c r="BJ26" s="3232">
        <v>1</v>
      </c>
      <c r="BK26" s="3232">
        <v>1</v>
      </c>
      <c r="BL26" s="3232">
        <v>1</v>
      </c>
      <c r="BM26" s="3232">
        <v>1</v>
      </c>
      <c r="BN26" s="3232">
        <v>1</v>
      </c>
      <c r="BO26" s="2115"/>
      <c r="BP26" s="2115"/>
      <c r="BQ26" s="2115"/>
      <c r="BR26" s="2115"/>
      <c r="BS26" s="2115"/>
      <c r="BT26" s="2115"/>
      <c r="BU26" s="2115"/>
      <c r="BV26" s="2115"/>
      <c r="BW26" s="2115"/>
      <c r="BX26" s="2115"/>
      <c r="BY26" s="2115"/>
      <c r="BZ26" s="2115"/>
      <c r="CA26" s="1330"/>
      <c r="CB26" s="537"/>
      <c r="CC26" s="1484"/>
      <c r="CD26" s="1461" t="e" cm="1">
        <f t="array" ca="1" aca="1" ref="CD26">_xlfn.LET(_xlpm.CheckBlank,SUM(CF!$AD26:$BN26)=0,IF(_xlpm.CheckBlank,"",SUM(_xlfn._xlws.FILTER(CF!$AD26:$BN26,(YEAR(CF!$AD$12:$BN$12)=CF!CD$12)*(array_timeline&lt;=CF!CD$11)))))</f>
        <v>#NAME?</v>
      </c>
      <c r="CE26" s="1461" t="e" cm="1">
        <f t="array" ca="1" aca="1" ref="CE26">_xlfn.LET(_xlpm.CheckBlank,SUM(CF!$AD26:$BN26)=0,IF(_xlpm.CheckBlank,"",SUM(_xlfn._xlws.FILTER(CF!$AD26:$BN26,(YEAR(CF!$AD$12:$BN$12)=CF!CE$12)*(array_timeline&lt;=CF!CE$11)))))</f>
        <v>#NAME?</v>
      </c>
      <c r="CF26" s="1314"/>
      <c r="CG26" s="1461" t="e" cm="1">
        <f t="array" ca="1" aca="1" ref="CG26">_xlfn.LET(_xlpm.CheckBlank,SUM(CF!$AD26:$BN26)=0,IF(_xlpm.CheckBlank,"",SUM(_xlfn._xlws.FILTER(CF!$AD26:$BN26,(YEAR(CF!$AD$12:$BN$12)=CF!CG$12)*(array_timeline&lt;=CF!CG$11)))))</f>
        <v>#NAME?</v>
      </c>
      <c r="CH26" s="1461" t="e" cm="1">
        <f t="array" ca="1" aca="1" ref="CH26">_xlfn.LET(_xlpm.CheckBlank,SUM(CF!$AD26:$BN26)=0,IF(_xlpm.CheckBlank,"",SUM(_xlfn._xlws.FILTER(CF!$AD26:$BN26,(YEAR(CF!$AD$12:$BN$12)=CF!CH$12)*(array_timeline&lt;=CF!CH$11)))))</f>
        <v>#NAME?</v>
      </c>
      <c r="CI26" s="1314"/>
      <c r="CJ26" s="1461" cm="1">
        <f t="array" ref="CJ26">_xlfn.LET(_xlpm.CheckBlank,SUM(CF!$AD26:$BN26)=0,IF(_xlpm.CheckBlank,"",SUM(_xlfn.TAKE(_xlfn.DROP(CF!$AD26:$BN26,,-DATEDIFF(CF!CJ$11,val_asOfDate,"M")),1,-12))))</f>
        <v>12</v>
      </c>
      <c r="CK26" s="1461" cm="1">
        <f t="array" ref="CK26">_xlfn.LET(_xlpm.CheckBlank,SUM(CF!$AD26:$BN26)=0,IF(_xlpm.CheckBlank,"",SUM(_xlfn.TAKE(_xlfn.DROP(CF!$AD26:$BN26,,-DATEDIFF(CF!CK$11,val_asOfDate,"M")),1,-12))))</f>
        <v>12</v>
      </c>
      <c r="CL26" s="1314"/>
      <c r="CM26" s="3353" t="e" cm="1">
        <f t="array" ca="1" aca="1" ref="CM26">TODECIMAL(IFBLANK(_CF!CM26,""),fxVal_normal)</f>
        <v>#NAME?</v>
      </c>
      <c r="CN26" s="3353" t="e" cm="1">
        <f t="array" ca="1" aca="1" ref="CN26">TODECIMAL(IFBLANK(_CF!CN26,""),fxVal_normal)</f>
        <v>#NAME?</v>
      </c>
      <c r="CO26" s="34"/>
      <c r="CQ26" s="2085" t="str" cm="1">
        <f t="array" ca="1" aca="1" ref="CQ26">IFERROR(IF(Y26&lt;&gt;AB26,_xldudf_CX_PUSH(Y26,CX_ENTITY,C26,EOMONTH(val_asOfDate,0)),""),"")</f>
        <v/>
      </c>
      <c r="CR26" s="2085" t="str" cm="1">
        <f t="array" ca="1" aca="1" ref="CR26">IFERROR(IF(Y26&lt;&gt;AB26,_xldudf_CX_PUSH(Y26,CX_ENTITY,C26,EOMONTH(val_asOfDate,1)),""),"")</f>
        <v/>
      </c>
      <c r="CS26" s="2085" t="str" cm="1">
        <f t="array" ca="1" aca="1" ref="CS26">IFERROR(IF(Y26&lt;&gt;AB26,_xldudf_CX_PUSH(Y26,CX_ENTITY,C26,EOMONTH(val_asOfDate,2)),""),"")</f>
        <v/>
      </c>
      <c r="CT26" s="2085" t="str" cm="1">
        <f t="array" ca="1" aca="1" ref="CT26">IFERROR(IF(Y26&lt;&gt;AB26,_xldudf_CX_PUSH(Y26,CX_ENTITY,C26,EOMONTH(val_asOfDate,3)),""),"")</f>
        <v/>
      </c>
      <c r="CU26" s="2086" t="str" cm="1">
        <f t="array" ca="1" aca="1" ref="CU26">IFERROR(IF(CM26*fxVal_normal=_CF!CM26,"",IF(OR($CM26="",,NOT(ISNUMBER($CM26)),ISERROR($CM26),$B26=""),"",IF($I26=1,IFBLANK(_xldudf_CX_PUSH($CM26*fxVal_normal,CX_ENTITY,$B26,$CM$11,$CM$14,$CM$19,),""),IF($I26=2,IFBLANK(_xldudf_CX_PUSH($CM26,CX_ENTITY,$B26,$CM$11,$CM$14,$CM$19,),""),IF($I26=3,"",IFBLANK(_xldudf_CX_PUSH($CM26,CX_ENTITY,$B26,$CM$11,$CM$14,$CM$19,),"")))))),"")</f>
        <v/>
      </c>
      <c r="CV26" s="2086" t="str" cm="1">
        <f t="array" ca="1" aca="1" ref="CV26">IFERROR(IF(CN26*fxVal_normal=_CF!CN26,"",IF(OR($CN26="",,NOT(ISNUMBER($CN26)),ISERROR($CN26),$B26=""),"",IF($I26=1,IFBLANK(_xldudf_CX_PUSH($CN26*fxVal_normal,CX_ENTITY,$B26,$CN$11,$CN$14,$CN$19,),""),IF($I26=2,IFBLANK(_xldudf_CX_PUSH($CN26,CX_ENTITY,$B26,$CN$11,$CN$14,$CN$19,),""),IF($I26=3,"",IFBLANK(_xldudf_CX_PUSH($CN26,CX_ENTITY,$B26,$CN$11,$CN$14,$CN$19,),"")))))),"")</f>
        <v/>
      </c>
      <c r="CW26" s="1883" t="str" cm="1">
        <f t="array" ca="1" aca="1" ref="CW26">IFERROR(IF(AD26*fxVal_normal=_CF!AD26,"",IF(OR(AD26="",NOT(ISNUMBER(AD26)),ISERROR(AD26),$B26=""),"",IF($I26=1,IFBLANK(_xldudf_CX_PUSH(AD26*fxVal_normal,CX_ENTITY,$B26,AD$11,AD$14,AD$19,),""),IF($I26=2,IFBLANK(_xldudf_CX_PUSH(AD26,CX_ENTITY,$B26,AD$11,AD$14,AD$19,),""),IF($I26=3,"",IFBLANK(_xldudf_CX_PUSH(AD26,CX_ENTITY,$B26,AD$11,AD$14,AD$19,),"")))))),"")</f>
        <v/>
      </c>
      <c r="CX26" s="1883" t="str" cm="1">
        <f t="array" ca="1" aca="1" ref="CX26">IFERROR(IF(AE26*fxVal_normal=_CF!AE26,"",IF(OR(AE26="",NOT(ISNUMBER(AE26)),ISERROR(AE26),$B26=""),"",IF($I26=1,IFBLANK(_xldudf_CX_PUSH(AE26*fxVal_normal,CX_ENTITY,$B26,AE$11,AE$14,AE$19,),""),IF($I26=2,IFBLANK(_xldudf_CX_PUSH(AE26,CX_ENTITY,$B26,AE$11,AE$14,AE$19,),""),IF($I26=3,"",IFBLANK(_xldudf_CX_PUSH(AE26,CX_ENTITY,$B26,AE$11,AE$14,AE$19,),"")))))),"")</f>
        <v/>
      </c>
      <c r="CY26" s="1883" t="str" cm="1">
        <f t="array" ca="1" aca="1" ref="CY26">IFERROR(IF(AF26*fxVal_normal=_CF!AF26,"",IF(OR(AF26="",NOT(ISNUMBER(AF26)),ISERROR(AF26),$B26=""),"",IF($I26=1,IFBLANK(_xldudf_CX_PUSH(AF26*fxVal_normal,CX_ENTITY,$B26,AF$11,AF$14,AF$19,),""),IF($I26=2,IFBLANK(_xldudf_CX_PUSH(AF26,CX_ENTITY,$B26,AF$11,AF$14,AF$19,),""),IF($I26=3,"",IFBLANK(_xldudf_CX_PUSH(AF26,CX_ENTITY,$B26,AF$11,AF$14,AF$19,),"")))))),"")</f>
        <v/>
      </c>
      <c r="CZ26" s="1883" t="str" cm="1">
        <f t="array" ca="1" aca="1" ref="CZ26">IFERROR(IF(AG26*fxVal_normal=_CF!AG26,"",IF(OR(AG26="",NOT(ISNUMBER(AG26)),ISERROR(AG26),$B26=""),"",IF($I26=1,IFBLANK(_xldudf_CX_PUSH(AG26*fxVal_normal,CX_ENTITY,$B26,AG$11,AG$14,AG$19,),""),IF($I26=2,IFBLANK(_xldudf_CX_PUSH(AG26,CX_ENTITY,$B26,AG$11,AG$14,AG$19,),""),IF($I26=3,"",IFBLANK(_xldudf_CX_PUSH(AG26,CX_ENTITY,$B26,AG$11,AG$14,AG$19,),"")))))),"")</f>
        <v/>
      </c>
      <c r="DA26" s="1883" t="str" cm="1">
        <f t="array" ca="1" aca="1" ref="DA26">IFERROR(IF(AH26*fxVal_normal=_CF!AH26,"",IF(OR(AH26="",NOT(ISNUMBER(AH26)),ISERROR(AH26),$B26=""),"",IF($I26=1,IFBLANK(_xldudf_CX_PUSH(AH26*fxVal_normal,CX_ENTITY,$B26,AH$11,AH$14,AH$19,),""),IF($I26=2,IFBLANK(_xldudf_CX_PUSH(AH26,CX_ENTITY,$B26,AH$11,AH$14,AH$19,),""),IF($I26=3,"",IFBLANK(_xldudf_CX_PUSH(AH26,CX_ENTITY,$B26,AH$11,AH$14,AH$19,),"")))))),"")</f>
        <v/>
      </c>
      <c r="DB26" s="1883" t="str" cm="1">
        <f t="array" ca="1" aca="1" ref="DB26">IFERROR(IF(AI26*fxVal_normal=_CF!AI26,"",IF(OR(AI26="",NOT(ISNUMBER(AI26)),ISERROR(AI26),$B26=""),"",IF($I26=1,IFBLANK(_xldudf_CX_PUSH(AI26*fxVal_normal,CX_ENTITY,$B26,AI$11,AI$14,AI$19,),""),IF($I26=2,IFBLANK(_xldudf_CX_PUSH(AI26,CX_ENTITY,$B26,AI$11,AI$14,AI$19,),""),IF($I26=3,"",IFBLANK(_xldudf_CX_PUSH(AI26,CX_ENTITY,$B26,AI$11,AI$14,AI$19,),"")))))),"")</f>
        <v/>
      </c>
      <c r="DC26" s="1883" t="str" cm="1">
        <f t="array" ca="1" aca="1" ref="DC26">IFERROR(IF(AJ26*fxVal_normal=_CF!AJ26,"",IF(OR(AJ26="",NOT(ISNUMBER(AJ26)),ISERROR(AJ26),$B26=""),"",IF($I26=1,IFBLANK(_xldudf_CX_PUSH(AJ26*fxVal_normal,CX_ENTITY,$B26,AJ$11,AJ$14,AJ$19,),""),IF($I26=2,IFBLANK(_xldudf_CX_PUSH(AJ26,CX_ENTITY,$B26,AJ$11,AJ$14,AJ$19,),""),IF($I26=3,"",IFBLANK(_xldudf_CX_PUSH(AJ26,CX_ENTITY,$B26,AJ$11,AJ$14,AJ$19,),"")))))),"")</f>
        <v/>
      </c>
      <c r="DD26" s="1883" t="str" cm="1">
        <f t="array" ca="1" aca="1" ref="DD26">IFERROR(IF(AK26*fxVal_normal=_CF!AK26,"",IF(OR(AK26="",NOT(ISNUMBER(AK26)),ISERROR(AK26),$B26=""),"",IF($I26=1,IFBLANK(_xldudf_CX_PUSH(AK26*fxVal_normal,CX_ENTITY,$B26,AK$11,AK$14,AK$19,),""),IF($I26=2,IFBLANK(_xldudf_CX_PUSH(AK26,CX_ENTITY,$B26,AK$11,AK$14,AK$19,),""),IF($I26=3,"",IFBLANK(_xldudf_CX_PUSH(AK26,CX_ENTITY,$B26,AK$11,AK$14,AK$19,),"")))))),"")</f>
        <v/>
      </c>
      <c r="DE26" s="1883" t="str" cm="1">
        <f t="array" ca="1" aca="1" ref="DE26">IFERROR(IF(AL26*fxVal_normal=_CF!AL26,"",IF(OR(AL26="",NOT(ISNUMBER(AL26)),ISERROR(AL26),$B26=""),"",IF($I26=1,IFBLANK(_xldudf_CX_PUSH(AL26*fxVal_normal,CX_ENTITY,$B26,AL$11,AL$14,AL$19,),""),IF($I26=2,IFBLANK(_xldudf_CX_PUSH(AL26,CX_ENTITY,$B26,AL$11,AL$14,AL$19,),""),IF($I26=3,"",IFBLANK(_xldudf_CX_PUSH(AL26,CX_ENTITY,$B26,AL$11,AL$14,AL$19,),"")))))),"")</f>
        <v/>
      </c>
      <c r="DF26" s="1883" t="str" cm="1">
        <f t="array" ca="1" aca="1" ref="DF26">IFERROR(IF(AM26*fxVal_normal=_CF!AM26,"",IF(OR(AM26="",NOT(ISNUMBER(AM26)),ISERROR(AM26),$B26=""),"",IF($I26=1,IFBLANK(_xldudf_CX_PUSH(AM26*fxVal_normal,CX_ENTITY,$B26,AM$11,AM$14,AM$19,),""),IF($I26=2,IFBLANK(_xldudf_CX_PUSH(AM26,CX_ENTITY,$B26,AM$11,AM$14,AM$19,),""),IF($I26=3,"",IFBLANK(_xldudf_CX_PUSH(AM26,CX_ENTITY,$B26,AM$11,AM$14,AM$19,),"")))))),"")</f>
        <v/>
      </c>
      <c r="DG26" s="1883" t="str" cm="1">
        <f t="array" ca="1" aca="1" ref="DG26">IFERROR(IF(AN26*fxVal_normal=_CF!AN26,"",IF(OR(AN26="",NOT(ISNUMBER(AN26)),ISERROR(AN26),$B26=""),"",IF($I26=1,IFBLANK(_xldudf_CX_PUSH(AN26*fxVal_normal,CX_ENTITY,$B26,AN$11,AN$14,AN$19,),""),IF($I26=2,IFBLANK(_xldudf_CX_PUSH(AN26,CX_ENTITY,$B26,AN$11,AN$14,AN$19,),""),IF($I26=3,"",IFBLANK(_xldudf_CX_PUSH(AN26,CX_ENTITY,$B26,AN$11,AN$14,AN$19,),"")))))),"")</f>
        <v/>
      </c>
      <c r="DH26" s="1883" t="str" cm="1">
        <f t="array" ca="1" aca="1" ref="DH26">IFERROR(IF(AO26*fxVal_normal=_CF!AO26,"",IF(OR(AO26="",NOT(ISNUMBER(AO26)),ISERROR(AO26),$B26=""),"",IF($I26=1,IFBLANK(_xldudf_CX_PUSH(AO26*fxVal_normal,CX_ENTITY,$B26,AO$11,AO$14,AO$19,),""),IF($I26=2,IFBLANK(_xldudf_CX_PUSH(AO26,CX_ENTITY,$B26,AO$11,AO$14,AO$19,),""),IF($I26=3,"",IFBLANK(_xldudf_CX_PUSH(AO26,CX_ENTITY,$B26,AO$11,AO$14,AO$19,),"")))))),"")</f>
        <v/>
      </c>
      <c r="DI26" s="1883" t="str" cm="1">
        <f t="array" ca="1" aca="1" ref="DI26">IFERROR(IF(AP26*fxVal_normal=_CF!AP26,"",IF(OR(AP26="",NOT(ISNUMBER(AP26)),ISERROR(AP26),$B26=""),"",IF($I26=1,IFBLANK(_xldudf_CX_PUSH(AP26*fxVal_normal,CX_ENTITY,$B26,AP$11,AP$14,AP$19,),""),IF($I26=2,IFBLANK(_xldudf_CX_PUSH(AP26,CX_ENTITY,$B26,AP$11,AP$14,AP$19,),""),IF($I26=3,"",IFBLANK(_xldudf_CX_PUSH(AP26,CX_ENTITY,$B26,AP$11,AP$14,AP$19,),"")))))),"")</f>
        <v/>
      </c>
      <c r="DJ26" s="1883" t="str" cm="1">
        <f t="array" ca="1" aca="1" ref="DJ26">IFERROR(IF(AQ26*fxVal_normal=_CF!AQ26,"",IF(OR(AQ26="",NOT(ISNUMBER(AQ26)),ISERROR(AQ26),$B26=""),"",IF($I26=1,IFBLANK(_xldudf_CX_PUSH(AQ26*fxVal_normal,CX_ENTITY,$B26,AQ$11,AQ$14,AQ$19,),""),IF($I26=2,IFBLANK(_xldudf_CX_PUSH(AQ26,CX_ENTITY,$B26,AQ$11,AQ$14,AQ$19,),""),IF($I26=3,"",IFBLANK(_xldudf_CX_PUSH(AQ26,CX_ENTITY,$B26,AQ$11,AQ$14,AQ$19,),"")))))),"")</f>
        <v/>
      </c>
      <c r="DK26" s="1883" t="str" cm="1">
        <f t="array" ca="1" aca="1" ref="DK26">IFERROR(IF(AR26*fxVal_normal=_CF!AR26,"",IF(OR(AR26="",NOT(ISNUMBER(AR26)),ISERROR(AR26),$B26=""),"",IF($I26=1,IFBLANK(_xldudf_CX_PUSH(AR26*fxVal_normal,CX_ENTITY,$B26,AR$11,AR$14,AR$19,),""),IF($I26=2,IFBLANK(_xldudf_CX_PUSH(AR26,CX_ENTITY,$B26,AR$11,AR$14,AR$19,),""),IF($I26=3,"",IFBLANK(_xldudf_CX_PUSH(AR26,CX_ENTITY,$B26,AR$11,AR$14,AR$19,),"")))))),"")</f>
        <v/>
      </c>
      <c r="DL26" s="1883" t="str" cm="1">
        <f t="array" ca="1" aca="1" ref="DL26">IFERROR(IF(AS26*fxVal_normal=_CF!AS26,"",IF(OR(AS26="",NOT(ISNUMBER(AS26)),ISERROR(AS26),$B26=""),"",IF($I26=1,IFBLANK(_xldudf_CX_PUSH(AS26*fxVal_normal,CX_ENTITY,$B26,AS$11,AS$14,AS$19,),""),IF($I26=2,IFBLANK(_xldudf_CX_PUSH(AS26,CX_ENTITY,$B26,AS$11,AS$14,AS$19,),""),IF($I26=3,"",IFBLANK(_xldudf_CX_PUSH(AS26,CX_ENTITY,$B26,AS$11,AS$14,AS$19,),"")))))),"")</f>
        <v/>
      </c>
      <c r="DM26" s="1883" t="str" cm="1">
        <f t="array" ca="1" aca="1" ref="DM26">IFERROR(IF(AT26*fxVal_normal=_CF!AT26,"",IF(OR(AT26="",NOT(ISNUMBER(AT26)),ISERROR(AT26),$B26=""),"",IF($I26=1,IFBLANK(_xldudf_CX_PUSH(AT26*fxVal_normal,CX_ENTITY,$B26,AT$11,AT$14,AT$19,),""),IF($I26=2,IFBLANK(_xldudf_CX_PUSH(AT26,CX_ENTITY,$B26,AT$11,AT$14,AT$19,),""),IF($I26=3,"",IFBLANK(_xldudf_CX_PUSH(AT26,CX_ENTITY,$B26,AT$11,AT$14,AT$19,),"")))))),"")</f>
        <v/>
      </c>
      <c r="DN26" s="1883" t="str" cm="1">
        <f t="array" ca="1" aca="1" ref="DN26">IFERROR(IF(AU26*fxVal_normal=_CF!AU26,"",IF(OR(AU26="",NOT(ISNUMBER(AU26)),ISERROR(AU26),$B26=""),"",IF($I26=1,IFBLANK(_xldudf_CX_PUSH(AU26*fxVal_normal,CX_ENTITY,$B26,AU$11,AU$14,AU$19,),""),IF($I26=2,IFBLANK(_xldudf_CX_PUSH(AU26,CX_ENTITY,$B26,AU$11,AU$14,AU$19,),""),IF($I26=3,"",IFBLANK(_xldudf_CX_PUSH(AU26,CX_ENTITY,$B26,AU$11,AU$14,AU$19,),"")))))),"")</f>
        <v/>
      </c>
      <c r="DO26" s="1883" t="str" cm="1">
        <f t="array" ca="1" aca="1" ref="DO26">IFERROR(IF(AV26*fxVal_normal=_CF!AV26,"",IF(OR(AV26="",NOT(ISNUMBER(AV26)),ISERROR(AV26),$B26=""),"",IF($I26=1,IFBLANK(_xldudf_CX_PUSH(AV26*fxVal_normal,CX_ENTITY,$B26,AV$11,AV$14,AV$19,),""),IF($I26=2,IFBLANK(_xldudf_CX_PUSH(AV26,CX_ENTITY,$B26,AV$11,AV$14,AV$19,),""),IF($I26=3,"",IFBLANK(_xldudf_CX_PUSH(AV26,CX_ENTITY,$B26,AV$11,AV$14,AV$19,),"")))))),"")</f>
        <v/>
      </c>
      <c r="DP26" s="1883" t="str" cm="1">
        <f t="array" ca="1" aca="1" ref="DP26">IFERROR(IF(AW26*fxVal_normal=_CF!AW26,"",IF(OR(AW26="",NOT(ISNUMBER(AW26)),ISERROR(AW26),$B26=""),"",IF($I26=1,IFBLANK(_xldudf_CX_PUSH(AW26*fxVal_normal,CX_ENTITY,$B26,AW$11,AW$14,AW$19,),""),IF($I26=2,IFBLANK(_xldudf_CX_PUSH(AW26,CX_ENTITY,$B26,AW$11,AW$14,AW$19,),""),IF($I26=3,"",IFBLANK(_xldudf_CX_PUSH(AW26,CX_ENTITY,$B26,AW$11,AW$14,AW$19,),"")))))),"")</f>
        <v/>
      </c>
      <c r="DQ26" s="1883" t="str" cm="1">
        <f t="array" ca="1" aca="1" ref="DQ26">IFERROR(IF(AX26*fxVal_normal=_CF!AX26,"",IF(OR(AX26="",NOT(ISNUMBER(AX26)),ISERROR(AX26),$B26=""),"",IF($I26=1,IFBLANK(_xldudf_CX_PUSH(AX26*fxVal_normal,CX_ENTITY,$B26,AX$11,AX$14,AX$19,),""),IF($I26=2,IFBLANK(_xldudf_CX_PUSH(AX26,CX_ENTITY,$B26,AX$11,AX$14,AX$19,),""),IF($I26=3,"",IFBLANK(_xldudf_CX_PUSH(AX26,CX_ENTITY,$B26,AX$11,AX$14,AX$19,),"")))))),"")</f>
        <v/>
      </c>
      <c r="DR26" s="1883" t="str" cm="1">
        <f t="array" ca="1" aca="1" ref="DR26">IFERROR(IF(AY26*fxVal_normal=_CF!AY26,"",IF(OR(AY26="",NOT(ISNUMBER(AY26)),ISERROR(AY26),$B26=""),"",IF($I26=1,IFBLANK(_xldudf_CX_PUSH(AY26*fxVal_normal,CX_ENTITY,$B26,AY$11,AY$14,AY$19,),""),IF($I26=2,IFBLANK(_xldudf_CX_PUSH(AY26,CX_ENTITY,$B26,AY$11,AY$14,AY$19,),""),IF($I26=3,"",IFBLANK(_xldudf_CX_PUSH(AY26,CX_ENTITY,$B26,AY$11,AY$14,AY$19,),"")))))),"")</f>
        <v/>
      </c>
      <c r="DS26" s="1883" t="str" cm="1">
        <f t="array" ca="1" aca="1" ref="DS26">IFERROR(IF(AZ26*fxVal_normal=_CF!AZ26,"",IF(OR(AZ26="",NOT(ISNUMBER(AZ26)),ISERROR(AZ26),$B26=""),"",IF($I26=1,IFBLANK(_xldudf_CX_PUSH(AZ26*fxVal_normal,CX_ENTITY,$B26,AZ$11,AZ$14,AZ$19,),""),IF($I26=2,IFBLANK(_xldudf_CX_PUSH(AZ26,CX_ENTITY,$B26,AZ$11,AZ$14,AZ$19,),""),IF($I26=3,"",IFBLANK(_xldudf_CX_PUSH(AZ26,CX_ENTITY,$B26,AZ$11,AZ$14,AZ$19,),"")))))),"")</f>
        <v/>
      </c>
      <c r="DT26" s="1883" t="str" cm="1">
        <f t="array" ca="1" aca="1" ref="DT26">IFERROR(IF(BA26*fxVal_normal=_CF!BA26,"",IF(OR(BA26="",NOT(ISNUMBER(BA26)),ISERROR(BA26),$B26=""),"",IF($I26=1,IFBLANK(_xldudf_CX_PUSH(BA26*fxVal_normal,CX_ENTITY,$B26,BA$11,BA$14,BA$19,),""),IF($I26=2,IFBLANK(_xldudf_CX_PUSH(BA26,CX_ENTITY,$B26,BA$11,BA$14,BA$19,),""),IF($I26=3,"",IFBLANK(_xldudf_CX_PUSH(BA26,CX_ENTITY,$B26,BA$11,BA$14,BA$19,),"")))))),"")</f>
        <v/>
      </c>
      <c r="DU26" s="1883" t="str" cm="1">
        <f t="array" ca="1" aca="1" ref="DU26">IFERROR(IF(BB26*fxVal_normal=_CF!BB26,"",IF(OR(BB26="",NOT(ISNUMBER(BB26)),ISERROR(BB26),$B26=""),"",IF($I26=1,IFBLANK(_xldudf_CX_PUSH(BB26*fxVal_normal,CX_ENTITY,$B26,BB$11,BB$14,BB$19,),""),IF($I26=2,IFBLANK(_xldudf_CX_PUSH(BB26,CX_ENTITY,$B26,BB$11,BB$14,BB$19,),""),IF($I26=3,"",IFBLANK(_xldudf_CX_PUSH(BB26,CX_ENTITY,$B26,BB$11,BB$14,BB$19,),"")))))),"")</f>
        <v/>
      </c>
      <c r="DV26" s="1883" t="str" cm="1">
        <f t="array" ca="1" aca="1" ref="DV26">IFERROR(IF(BC26*fxVal_normal=_CF!BC26,"",IF(OR(BC26="",NOT(ISNUMBER(BC26)),ISERROR(BC26),$B26=""),"",IF($I26=1,IFBLANK(_xldudf_CX_PUSH(BC26*fxVal_normal,CX_ENTITY,$B26,BC$11,BC$14,BC$19,),""),IF($I26=2,IFBLANK(_xldudf_CX_PUSH(BC26,CX_ENTITY,$B26,BC$11,BC$14,BC$19,),""),IF($I26=3,"",IFBLANK(_xldudf_CX_PUSH(BC26,CX_ENTITY,$B26,BC$11,BC$14,BC$19,),"")))))),"")</f>
        <v/>
      </c>
      <c r="DW26" s="1883" t="str" cm="1">
        <f t="array" ca="1" aca="1" ref="DW26">IFERROR(IF(BD26*fxVal_normal=_CF!BD26,"",IF(OR(BD26="",NOT(ISNUMBER(BD26)),ISERROR(BD26),$B26=""),"",IF($I26=1,IFBLANK(_xldudf_CX_PUSH(BD26*fxVal_normal,CX_ENTITY,$B26,BD$11,BD$14,BD$19,),""),IF($I26=2,IFBLANK(_xldudf_CX_PUSH(BD26,CX_ENTITY,$B26,BD$11,BD$14,BD$19,),""),IF($I26=3,"",IFBLANK(_xldudf_CX_PUSH(BD26,CX_ENTITY,$B26,BD$11,BD$14,BD$19,),"")))))),"")</f>
        <v/>
      </c>
      <c r="DX26" s="1883" t="str" cm="1">
        <f t="array" ca="1" aca="1" ref="DX26">IFERROR(IF(BE26*fxVal_normal=_CF!BE26,"",IF(OR(BE26="",NOT(ISNUMBER(BE26)),ISERROR(BE26),$B26=""),"",IF($I26=1,IFBLANK(_xldudf_CX_PUSH(BE26*fxVal_normal,CX_ENTITY,$B26,BE$11,BE$14,BE$19,),""),IF($I26=2,IFBLANK(_xldudf_CX_PUSH(BE26,CX_ENTITY,$B26,BE$11,BE$14,BE$19,),""),IF($I26=3,"",IFBLANK(_xldudf_CX_PUSH(BE26,CX_ENTITY,$B26,BE$11,BE$14,BE$19,),"")))))),"")</f>
        <v/>
      </c>
      <c r="DY26" s="1883" t="str" cm="1">
        <f t="array" ca="1" aca="1" ref="DY26">IFERROR(IF(BF26*fxVal_normal=_CF!BF26,"",IF(OR(BF26="",NOT(ISNUMBER(BF26)),ISERROR(BF26),$B26=""),"",IF($I26=1,IFBLANK(_xldudf_CX_PUSH(BF26*fxVal_normal,CX_ENTITY,$B26,BF$11,BF$14,BF$19,),""),IF($I26=2,IFBLANK(_xldudf_CX_PUSH(BF26,CX_ENTITY,$B26,BF$11,BF$14,BF$19,),""),IF($I26=3,"",IFBLANK(_xldudf_CX_PUSH(BF26,CX_ENTITY,$B26,BF$11,BF$14,BF$19,),"")))))),"")</f>
        <v/>
      </c>
      <c r="DZ26" s="1883" t="str" cm="1">
        <f t="array" ca="1" aca="1" ref="DZ26">IFERROR(IF(BG26*fxVal_normal=_CF!BG26,"",IF(OR(BG26="",NOT(ISNUMBER(BG26)),ISERROR(BG26),$B26=""),"",IF($I26=1,IFBLANK(_xldudf_CX_PUSH(BG26*fxVal_normal,CX_ENTITY,$B26,BG$11,BG$14,BG$19,),""),IF($I26=2,IFBLANK(_xldudf_CX_PUSH(BG26,CX_ENTITY,$B26,BG$11,BG$14,BG$19,),""),IF($I26=3,"",IFBLANK(_xldudf_CX_PUSH(BG26,CX_ENTITY,$B26,BG$11,BG$14,BG$19,),"")))))),"")</f>
        <v/>
      </c>
      <c r="EA26" s="1883" t="str" cm="1">
        <f t="array" ca="1" aca="1" ref="EA26">IFERROR(IF(BH26*fxVal_normal=_CF!BH26,"",IF(OR(BH26="",NOT(ISNUMBER(BH26)),ISERROR(BH26),$B26=""),"",IF($I26=1,IFBLANK(_xldudf_CX_PUSH(BH26*fxVal_normal,CX_ENTITY,$B26,BH$11,BH$14,BH$19,),""),IF($I26=2,IFBLANK(_xldudf_CX_PUSH(BH26,CX_ENTITY,$B26,BH$11,BH$14,BH$19,),""),IF($I26=3,"",IFBLANK(_xldudf_CX_PUSH(BH26,CX_ENTITY,$B26,BH$11,BH$14,BH$19,),"")))))),"")</f>
        <v/>
      </c>
      <c r="EB26" s="1883" t="str" cm="1">
        <f t="array" ca="1" aca="1" ref="EB26">IFERROR(IF(BI26*fxVal_normal=_CF!BI26,"",IF(OR(BI26="",NOT(ISNUMBER(BI26)),ISERROR(BI26),$B26=""),"",IF($I26=1,IFBLANK(_xldudf_CX_PUSH(BI26*fxVal_normal,CX_ENTITY,$B26,BI$11,BI$14,BI$19,),""),IF($I26=2,IFBLANK(_xldudf_CX_PUSH(BI26,CX_ENTITY,$B26,BI$11,BI$14,BI$19,),""),IF($I26=3,"",IFBLANK(_xldudf_CX_PUSH(BI26,CX_ENTITY,$B26,BI$11,BI$14,BI$19,),"")))))),"")</f>
        <v/>
      </c>
      <c r="EC26" s="1883" t="str" cm="1">
        <f t="array" ca="1" aca="1" ref="EC26">IFERROR(IF(BJ26*fxVal_normal=_CF!BJ26,"",IF(OR(BJ26="",NOT(ISNUMBER(BJ26)),ISERROR(BJ26),$B26=""),"",IF($I26=1,IFBLANK(_xldudf_CX_PUSH(BJ26*fxVal_normal,CX_ENTITY,$B26,BJ$11,BJ$14,BJ$19,),""),IF($I26=2,IFBLANK(_xldudf_CX_PUSH(BJ26,CX_ENTITY,$B26,BJ$11,BJ$14,BJ$19,),""),IF($I26=3,"",IFBLANK(_xldudf_CX_PUSH(BJ26,CX_ENTITY,$B26,BJ$11,BJ$14,BJ$19,),"")))))),"")</f>
        <v/>
      </c>
      <c r="ED26" s="1883" t="str" cm="1">
        <f t="array" ca="1" aca="1" ref="ED26">IFERROR(IF(BK26*fxVal_normal=_CF!BK26,"",IF(OR(BK26="",NOT(ISNUMBER(BK26)),ISERROR(BK26),$B26=""),"",IF($I26=1,IFBLANK(_xldudf_CX_PUSH(BK26*fxVal_normal,CX_ENTITY,$B26,BK$11,BK$14,BK$19,),""),IF($I26=2,IFBLANK(_xldudf_CX_PUSH(BK26,CX_ENTITY,$B26,BK$11,BK$14,BK$19,),""),IF($I26=3,"",IFBLANK(_xldudf_CX_PUSH(BK26,CX_ENTITY,$B26,BK$11,BK$14,BK$19,),"")))))),"")</f>
        <v/>
      </c>
      <c r="EE26" s="1883" t="str" cm="1">
        <f t="array" ca="1" aca="1" ref="EE26">IFERROR(IF(BL26*fxVal_normal=_CF!BL26,"",IF(OR(BL26="",NOT(ISNUMBER(BL26)),ISERROR(BL26),$B26=""),"",IF($I26=1,IFBLANK(_xldudf_CX_PUSH(BL26*fxVal_normal,CX_ENTITY,$B26,BL$11,BL$14,BL$19,),""),IF($I26=2,IFBLANK(_xldudf_CX_PUSH(BL26,CX_ENTITY,$B26,BL$11,BL$14,BL$19,),""),IF($I26=3,"",IFBLANK(_xldudf_CX_PUSH(BL26,CX_ENTITY,$B26,BL$11,BL$14,BL$19,),"")))))),"")</f>
        <v/>
      </c>
      <c r="EF26" s="1883" t="str" cm="1">
        <f t="array" ca="1" aca="1" ref="EF26">IFERROR(IF(BM26*fxVal_normal=_CF!BM26,"",IF(OR(BM26="",NOT(ISNUMBER(BM26)),ISERROR(BM26),$B26=""),"",IF($I26=1,IFBLANK(_xldudf_CX_PUSH(BM26*fxVal_normal,CX_ENTITY,$B26,BM$11,BM$14,BM$19,),""),IF($I26=2,IFBLANK(_xldudf_CX_PUSH(BM26,CX_ENTITY,$B26,BM$11,BM$14,BM$19,),""),IF($I26=3,"",IFBLANK(_xldudf_CX_PUSH(BM26,CX_ENTITY,$B26,BM$11,BM$14,BM$19,),"")))))),"")</f>
        <v/>
      </c>
      <c r="EG26" s="1883" t="str" cm="1">
        <f t="array" ca="1" aca="1" ref="EG26">IFERROR(IF(BN26*fxVal_normal=_CF!BN26,"",IF(OR(BN26="",NOT(ISNUMBER(BN26)),ISERROR(BN26),$B26=""),"",IF($I26=1,IFBLANK(_xldudf_CX_PUSH(BN26*fxVal_normal,CX_ENTITY,$B26,BN$11,BN$14,BN$19,),""),IF($I26=2,IFBLANK(_xldudf_CX_PUSH(BN26,CX_ENTITY,$B26,BN$11,BN$14,BN$19,),""),IF($I26=3,"",IFBLANK(_xldudf_CX_PUSH(BN26,CX_ENTITY,$B26,BN$11,BN$14,BN$19,),"")))))),"")</f>
        <v/>
      </c>
    </row>
    <row r="27" spans="1:137" ht="21" customHeight="1">
      <c r="A27" s="1625"/>
      <c r="B27" s="695" t="str" cm="1">
        <f t="array" ref="B27">IFBLANK(_CF!F27,"")</f>
        <v>Exceptional/VCP/One-off Cash Flows</v>
      </c>
      <c r="C27" s="3340" t="str" cm="1">
        <f t="array" ref="C27">IFBLANK(_CF!C27,"")</f>
        <v>Exceptional/VCP/One-off Cash Flows (Company View)</v>
      </c>
      <c r="D27" s="1548"/>
      <c r="E27" s="695"/>
      <c r="F27" s="577"/>
      <c r="G27" s="578"/>
      <c r="H27" s="3279">
        <v>1</v>
      </c>
      <c r="I27" s="3279">
        <v>1</v>
      </c>
      <c r="J27" s="3280" cm="1">
        <f t="array" ref="J27">IFBLANK(Z27,"")</f>
        <v>1</v>
      </c>
      <c r="K27" s="578"/>
      <c r="N27" s="158"/>
      <c r="O27" s="101"/>
      <c r="P27" s="52"/>
      <c r="Q27" s="101"/>
      <c r="R27" s="126"/>
      <c r="S27" s="101"/>
      <c r="T27" s="101"/>
      <c r="U27" s="39"/>
      <c r="W27" s="932" t="str">
        <f t="shared" si="1"/>
        <v>Actual</v>
      </c>
      <c r="X27" s="815" t="str">
        <f>_CF!X27</f>
        <v>a</v>
      </c>
      <c r="Y27" s="3231">
        <v>2</v>
      </c>
      <c r="Z27" s="3291" cm="1">
        <f t="array" ref="Z27">_xlfn.SWITCH(TRUE,_CF!$L27=TRUE,1,_CF!$L27=FALSE,-1,_CF!$L27=-1,0,"n/a")</f>
        <v>1</v>
      </c>
      <c r="AA27" s="200"/>
      <c r="AB27" s="3343" t="str">
        <f>_CF!AB27</f>
        <v>Exceptional/VCP/One-off Cash Flows</v>
      </c>
      <c r="AC27" s="88" t="e" vm="5" cm="1">
        <f t="array" ca="1" aca="1" ref="AC27">_xlfn.LET(_xlpm._termname,$AB27,_xlpm._iconname,"find",_xlpm._icon,fx_getIcon(_xlpm._iconname),_xlpm._location,_xlfn.XLOOKUP(LOWER(_xlpm._termname),LOWER(tbl_acctDef[Term]),tbl_acctDef[Term]),_xlpm._hyperlink,HYPERLINK("#"&amp;CELL("address",_xlpm._location),_xlpm._icon),IFERROR(_xlpm._hyperlink,""))</f>
        <v>#VALUE!</v>
      </c>
      <c r="AD27" s="3232">
        <v>1</v>
      </c>
      <c r="AE27" s="3232">
        <v>1</v>
      </c>
      <c r="AF27" s="3232">
        <v>1</v>
      </c>
      <c r="AG27" s="3232">
        <v>1</v>
      </c>
      <c r="AH27" s="3232">
        <v>1</v>
      </c>
      <c r="AI27" s="3232">
        <v>1</v>
      </c>
      <c r="AJ27" s="3232">
        <v>1</v>
      </c>
      <c r="AK27" s="3232">
        <v>1</v>
      </c>
      <c r="AL27" s="3232">
        <v>1</v>
      </c>
      <c r="AM27" s="3232">
        <v>1</v>
      </c>
      <c r="AN27" s="3232">
        <v>1</v>
      </c>
      <c r="AO27" s="3232">
        <v>1</v>
      </c>
      <c r="AP27" s="3232">
        <v>1</v>
      </c>
      <c r="AQ27" s="3232">
        <v>1</v>
      </c>
      <c r="AR27" s="3232">
        <v>1</v>
      </c>
      <c r="AS27" s="3232">
        <v>1</v>
      </c>
      <c r="AT27" s="3232">
        <v>1</v>
      </c>
      <c r="AU27" s="3232">
        <v>1</v>
      </c>
      <c r="AV27" s="3232">
        <v>1</v>
      </c>
      <c r="AW27" s="3232">
        <v>1</v>
      </c>
      <c r="AX27" s="3232">
        <v>1</v>
      </c>
      <c r="AY27" s="3232">
        <v>1</v>
      </c>
      <c r="AZ27" s="3232">
        <v>1</v>
      </c>
      <c r="BA27" s="3232">
        <v>1</v>
      </c>
      <c r="BB27" s="3232">
        <v>1</v>
      </c>
      <c r="BC27" s="3232">
        <v>1</v>
      </c>
      <c r="BD27" s="3232">
        <v>1</v>
      </c>
      <c r="BE27" s="3232">
        <v>1</v>
      </c>
      <c r="BF27" s="3232">
        <v>1</v>
      </c>
      <c r="BG27" s="3232">
        <v>1</v>
      </c>
      <c r="BH27" s="3232">
        <v>1</v>
      </c>
      <c r="BI27" s="3232">
        <v>1</v>
      </c>
      <c r="BJ27" s="3232">
        <v>1</v>
      </c>
      <c r="BK27" s="3232">
        <v>1</v>
      </c>
      <c r="BL27" s="3232">
        <v>1</v>
      </c>
      <c r="BM27" s="3232">
        <v>1</v>
      </c>
      <c r="BN27" s="3232">
        <v>1</v>
      </c>
      <c r="BO27" s="2115"/>
      <c r="BP27" s="2115"/>
      <c r="BQ27" s="2115"/>
      <c r="BR27" s="2115"/>
      <c r="BS27" s="2115"/>
      <c r="BT27" s="2115"/>
      <c r="BU27" s="2115"/>
      <c r="BV27" s="2115"/>
      <c r="BW27" s="2115"/>
      <c r="BX27" s="2115"/>
      <c r="BY27" s="2115"/>
      <c r="BZ27" s="2115"/>
      <c r="CA27" s="1330"/>
      <c r="CB27" s="537"/>
      <c r="CC27" s="1484"/>
      <c r="CD27" s="1461" t="e" cm="1">
        <f t="array" ca="1" aca="1" ref="CD27">_xlfn.LET(_xlpm.CheckBlank,SUM(CF!$AD27:$BN27)=0,IF(_xlpm.CheckBlank,"",SUM(_xlfn._xlws.FILTER(CF!$AD27:$BN27,(YEAR(CF!$AD$12:$BN$12)=CF!CD$12)*(array_timeline&lt;=CF!CD$11)))))</f>
        <v>#NAME?</v>
      </c>
      <c r="CE27" s="1461" t="e" cm="1">
        <f t="array" ca="1" aca="1" ref="CE27">_xlfn.LET(_xlpm.CheckBlank,SUM(CF!$AD27:$BN27)=0,IF(_xlpm.CheckBlank,"",SUM(_xlfn._xlws.FILTER(CF!$AD27:$BN27,(YEAR(CF!$AD$12:$BN$12)=CF!CE$12)*(array_timeline&lt;=CF!CE$11)))))</f>
        <v>#NAME?</v>
      </c>
      <c r="CF27" s="1314"/>
      <c r="CG27" s="1461" t="e" cm="1">
        <f t="array" ca="1" aca="1" ref="CG27">_xlfn.LET(_xlpm.CheckBlank,SUM(CF!$AD27:$BN27)=0,IF(_xlpm.CheckBlank,"",SUM(_xlfn._xlws.FILTER(CF!$AD27:$BN27,(YEAR(CF!$AD$12:$BN$12)=CF!CG$12)*(array_timeline&lt;=CF!CG$11)))))</f>
        <v>#NAME?</v>
      </c>
      <c r="CH27" s="1461" t="e" cm="1">
        <f t="array" ca="1" aca="1" ref="CH27">_xlfn.LET(_xlpm.CheckBlank,SUM(CF!$AD27:$BN27)=0,IF(_xlpm.CheckBlank,"",SUM(_xlfn._xlws.FILTER(CF!$AD27:$BN27,(YEAR(CF!$AD$12:$BN$12)=CF!CH$12)*(array_timeline&lt;=CF!CH$11)))))</f>
        <v>#NAME?</v>
      </c>
      <c r="CI27" s="1314"/>
      <c r="CJ27" s="1461" cm="1">
        <f t="array" ref="CJ27">_xlfn.LET(_xlpm.CheckBlank,SUM(CF!$AD27:$BN27)=0,IF(_xlpm.CheckBlank,"",SUM(_xlfn.TAKE(_xlfn.DROP(CF!$AD27:$BN27,,-DATEDIFF(CF!CJ$11,val_asOfDate,"M")),1,-12))))</f>
        <v>12</v>
      </c>
      <c r="CK27" s="1461" cm="1">
        <f t="array" ref="CK27">_xlfn.LET(_xlpm.CheckBlank,SUM(CF!$AD27:$BN27)=0,IF(_xlpm.CheckBlank,"",SUM(_xlfn.TAKE(_xlfn.DROP(CF!$AD27:$BN27,,-DATEDIFF(CF!CK$11,val_asOfDate,"M")),1,-12))))</f>
        <v>12</v>
      </c>
      <c r="CL27" s="1314"/>
      <c r="CM27" s="3353" t="e" cm="1">
        <f t="array" ca="1" aca="1" ref="CM27">TODECIMAL(IFBLANK(_CF!CM27,""),fxVal_normal)</f>
        <v>#NAME?</v>
      </c>
      <c r="CN27" s="3353" t="e" cm="1">
        <f t="array" ca="1" aca="1" ref="CN27">TODECIMAL(IFBLANK(_CF!CN27,""),fxVal_normal)</f>
        <v>#NAME?</v>
      </c>
      <c r="CO27" s="34"/>
      <c r="CQ27" s="2085" t="str" cm="1">
        <f t="array" ca="1" aca="1" ref="CQ27">IFERROR(IF(Y27&lt;&gt;AB27,_xldudf_CX_PUSH(Y27,CX_ENTITY,C27,EOMONTH(val_asOfDate,0)),""),"")</f>
        <v/>
      </c>
      <c r="CR27" s="2085" t="str" cm="1">
        <f t="array" ca="1" aca="1" ref="CR27">IFERROR(IF(Y27&lt;&gt;AB27,_xldudf_CX_PUSH(Y27,CX_ENTITY,C27,EOMONTH(val_asOfDate,1)),""),"")</f>
        <v/>
      </c>
      <c r="CS27" s="2085" t="str" cm="1">
        <f t="array" ca="1" aca="1" ref="CS27">IFERROR(IF(Y27&lt;&gt;AB27,_xldudf_CX_PUSH(Y27,CX_ENTITY,C27,EOMONTH(val_asOfDate,2)),""),"")</f>
        <v/>
      </c>
      <c r="CT27" s="2085" t="str" cm="1">
        <f t="array" ca="1" aca="1" ref="CT27">IFERROR(IF(Y27&lt;&gt;AB27,_xldudf_CX_PUSH(Y27,CX_ENTITY,C27,EOMONTH(val_asOfDate,3)),""),"")</f>
        <v/>
      </c>
      <c r="CU27" s="2086" t="str" cm="1">
        <f t="array" ca="1" aca="1" ref="CU27">IFERROR(IF(CM27*fxVal_normal=_CF!CM27,"",IF(OR($CM27="",,NOT(ISNUMBER($CM27)),ISERROR($CM27),$B27=""),"",IF($I27=1,IFBLANK(_xldudf_CX_PUSH($CM27*fxVal_normal,CX_ENTITY,$B27,$CM$11,$CM$14,$CM$19,),""),IF($I27=2,IFBLANK(_xldudf_CX_PUSH($CM27,CX_ENTITY,$B27,$CM$11,$CM$14,$CM$19,),""),IF($I27=3,"",IFBLANK(_xldudf_CX_PUSH($CM27,CX_ENTITY,$B27,$CM$11,$CM$14,$CM$19,),"")))))),"")</f>
        <v/>
      </c>
      <c r="CV27" s="2086" t="str" cm="1">
        <f t="array" ca="1" aca="1" ref="CV27">IFERROR(IF(CN27*fxVal_normal=_CF!CN27,"",IF(OR($CN27="",,NOT(ISNUMBER($CN27)),ISERROR($CN27),$B27=""),"",IF($I27=1,IFBLANK(_xldudf_CX_PUSH($CN27*fxVal_normal,CX_ENTITY,$B27,$CN$11,$CN$14,$CN$19,),""),IF($I27=2,IFBLANK(_xldudf_CX_PUSH($CN27,CX_ENTITY,$B27,$CN$11,$CN$14,$CN$19,),""),IF($I27=3,"",IFBLANK(_xldudf_CX_PUSH($CN27,CX_ENTITY,$B27,$CN$11,$CN$14,$CN$19,),"")))))),"")</f>
        <v/>
      </c>
      <c r="CW27" s="1883" t="str" cm="1">
        <f t="array" ca="1" aca="1" ref="CW27">IFERROR(IF(AD27*fxVal_normal=_CF!AD27,"",IF(OR(AD27="",NOT(ISNUMBER(AD27)),ISERROR(AD27),$B27=""),"",IF($I27=1,IFBLANK(_xldudf_CX_PUSH(AD27*fxVal_normal,CX_ENTITY,$B27,AD$11,AD$14,AD$19,),""),IF($I27=2,IFBLANK(_xldudf_CX_PUSH(AD27,CX_ENTITY,$B27,AD$11,AD$14,AD$19,),""),IF($I27=3,"",IFBLANK(_xldudf_CX_PUSH(AD27,CX_ENTITY,$B27,AD$11,AD$14,AD$19,),"")))))),"")</f>
        <v/>
      </c>
      <c r="CX27" s="1883" t="str" cm="1">
        <f t="array" ca="1" aca="1" ref="CX27">IFERROR(IF(AE27*fxVal_normal=_CF!AE27,"",IF(OR(AE27="",NOT(ISNUMBER(AE27)),ISERROR(AE27),$B27=""),"",IF($I27=1,IFBLANK(_xldudf_CX_PUSH(AE27*fxVal_normal,CX_ENTITY,$B27,AE$11,AE$14,AE$19,),""),IF($I27=2,IFBLANK(_xldudf_CX_PUSH(AE27,CX_ENTITY,$B27,AE$11,AE$14,AE$19,),""),IF($I27=3,"",IFBLANK(_xldudf_CX_PUSH(AE27,CX_ENTITY,$B27,AE$11,AE$14,AE$19,),"")))))),"")</f>
        <v/>
      </c>
      <c r="CY27" s="1883" t="str" cm="1">
        <f t="array" ca="1" aca="1" ref="CY27">IFERROR(IF(AF27*fxVal_normal=_CF!AF27,"",IF(OR(AF27="",NOT(ISNUMBER(AF27)),ISERROR(AF27),$B27=""),"",IF($I27=1,IFBLANK(_xldudf_CX_PUSH(AF27*fxVal_normal,CX_ENTITY,$B27,AF$11,AF$14,AF$19,),""),IF($I27=2,IFBLANK(_xldudf_CX_PUSH(AF27,CX_ENTITY,$B27,AF$11,AF$14,AF$19,),""),IF($I27=3,"",IFBLANK(_xldudf_CX_PUSH(AF27,CX_ENTITY,$B27,AF$11,AF$14,AF$19,),"")))))),"")</f>
        <v/>
      </c>
      <c r="CZ27" s="1883" t="str" cm="1">
        <f t="array" ca="1" aca="1" ref="CZ27">IFERROR(IF(AG27*fxVal_normal=_CF!AG27,"",IF(OR(AG27="",NOT(ISNUMBER(AG27)),ISERROR(AG27),$B27=""),"",IF($I27=1,IFBLANK(_xldudf_CX_PUSH(AG27*fxVal_normal,CX_ENTITY,$B27,AG$11,AG$14,AG$19,),""),IF($I27=2,IFBLANK(_xldudf_CX_PUSH(AG27,CX_ENTITY,$B27,AG$11,AG$14,AG$19,),""),IF($I27=3,"",IFBLANK(_xldudf_CX_PUSH(AG27,CX_ENTITY,$B27,AG$11,AG$14,AG$19,),"")))))),"")</f>
        <v/>
      </c>
      <c r="DA27" s="1883" t="str" cm="1">
        <f t="array" ca="1" aca="1" ref="DA27">IFERROR(IF(AH27*fxVal_normal=_CF!AH27,"",IF(OR(AH27="",NOT(ISNUMBER(AH27)),ISERROR(AH27),$B27=""),"",IF($I27=1,IFBLANK(_xldudf_CX_PUSH(AH27*fxVal_normal,CX_ENTITY,$B27,AH$11,AH$14,AH$19,),""),IF($I27=2,IFBLANK(_xldudf_CX_PUSH(AH27,CX_ENTITY,$B27,AH$11,AH$14,AH$19,),""),IF($I27=3,"",IFBLANK(_xldudf_CX_PUSH(AH27,CX_ENTITY,$B27,AH$11,AH$14,AH$19,),"")))))),"")</f>
        <v/>
      </c>
      <c r="DB27" s="1883" t="str" cm="1">
        <f t="array" ca="1" aca="1" ref="DB27">IFERROR(IF(AI27*fxVal_normal=_CF!AI27,"",IF(OR(AI27="",NOT(ISNUMBER(AI27)),ISERROR(AI27),$B27=""),"",IF($I27=1,IFBLANK(_xldudf_CX_PUSH(AI27*fxVal_normal,CX_ENTITY,$B27,AI$11,AI$14,AI$19,),""),IF($I27=2,IFBLANK(_xldudf_CX_PUSH(AI27,CX_ENTITY,$B27,AI$11,AI$14,AI$19,),""),IF($I27=3,"",IFBLANK(_xldudf_CX_PUSH(AI27,CX_ENTITY,$B27,AI$11,AI$14,AI$19,),"")))))),"")</f>
        <v/>
      </c>
      <c r="DC27" s="1883" t="str" cm="1">
        <f t="array" ca="1" aca="1" ref="DC27">IFERROR(IF(AJ27*fxVal_normal=_CF!AJ27,"",IF(OR(AJ27="",NOT(ISNUMBER(AJ27)),ISERROR(AJ27),$B27=""),"",IF($I27=1,IFBLANK(_xldudf_CX_PUSH(AJ27*fxVal_normal,CX_ENTITY,$B27,AJ$11,AJ$14,AJ$19,),""),IF($I27=2,IFBLANK(_xldudf_CX_PUSH(AJ27,CX_ENTITY,$B27,AJ$11,AJ$14,AJ$19,),""),IF($I27=3,"",IFBLANK(_xldudf_CX_PUSH(AJ27,CX_ENTITY,$B27,AJ$11,AJ$14,AJ$19,),"")))))),"")</f>
        <v/>
      </c>
      <c r="DD27" s="1883" t="str" cm="1">
        <f t="array" ca="1" aca="1" ref="DD27">IFERROR(IF(AK27*fxVal_normal=_CF!AK27,"",IF(OR(AK27="",NOT(ISNUMBER(AK27)),ISERROR(AK27),$B27=""),"",IF($I27=1,IFBLANK(_xldudf_CX_PUSH(AK27*fxVal_normal,CX_ENTITY,$B27,AK$11,AK$14,AK$19,),""),IF($I27=2,IFBLANK(_xldudf_CX_PUSH(AK27,CX_ENTITY,$B27,AK$11,AK$14,AK$19,),""),IF($I27=3,"",IFBLANK(_xldudf_CX_PUSH(AK27,CX_ENTITY,$B27,AK$11,AK$14,AK$19,),"")))))),"")</f>
        <v/>
      </c>
      <c r="DE27" s="1883" t="str" cm="1">
        <f t="array" ca="1" aca="1" ref="DE27">IFERROR(IF(AL27*fxVal_normal=_CF!AL27,"",IF(OR(AL27="",NOT(ISNUMBER(AL27)),ISERROR(AL27),$B27=""),"",IF($I27=1,IFBLANK(_xldudf_CX_PUSH(AL27*fxVal_normal,CX_ENTITY,$B27,AL$11,AL$14,AL$19,),""),IF($I27=2,IFBLANK(_xldudf_CX_PUSH(AL27,CX_ENTITY,$B27,AL$11,AL$14,AL$19,),""),IF($I27=3,"",IFBLANK(_xldudf_CX_PUSH(AL27,CX_ENTITY,$B27,AL$11,AL$14,AL$19,),"")))))),"")</f>
        <v/>
      </c>
      <c r="DF27" s="1883" t="str" cm="1">
        <f t="array" ca="1" aca="1" ref="DF27">IFERROR(IF(AM27*fxVal_normal=_CF!AM27,"",IF(OR(AM27="",NOT(ISNUMBER(AM27)),ISERROR(AM27),$B27=""),"",IF($I27=1,IFBLANK(_xldudf_CX_PUSH(AM27*fxVal_normal,CX_ENTITY,$B27,AM$11,AM$14,AM$19,),""),IF($I27=2,IFBLANK(_xldudf_CX_PUSH(AM27,CX_ENTITY,$B27,AM$11,AM$14,AM$19,),""),IF($I27=3,"",IFBLANK(_xldudf_CX_PUSH(AM27,CX_ENTITY,$B27,AM$11,AM$14,AM$19,),"")))))),"")</f>
        <v/>
      </c>
      <c r="DG27" s="1883" t="str" cm="1">
        <f t="array" ca="1" aca="1" ref="DG27">IFERROR(IF(AN27*fxVal_normal=_CF!AN27,"",IF(OR(AN27="",NOT(ISNUMBER(AN27)),ISERROR(AN27),$B27=""),"",IF($I27=1,IFBLANK(_xldudf_CX_PUSH(AN27*fxVal_normal,CX_ENTITY,$B27,AN$11,AN$14,AN$19,),""),IF($I27=2,IFBLANK(_xldudf_CX_PUSH(AN27,CX_ENTITY,$B27,AN$11,AN$14,AN$19,),""),IF($I27=3,"",IFBLANK(_xldudf_CX_PUSH(AN27,CX_ENTITY,$B27,AN$11,AN$14,AN$19,),"")))))),"")</f>
        <v/>
      </c>
      <c r="DH27" s="1883" t="str" cm="1">
        <f t="array" ca="1" aca="1" ref="DH27">IFERROR(IF(AO27*fxVal_normal=_CF!AO27,"",IF(OR(AO27="",NOT(ISNUMBER(AO27)),ISERROR(AO27),$B27=""),"",IF($I27=1,IFBLANK(_xldudf_CX_PUSH(AO27*fxVal_normal,CX_ENTITY,$B27,AO$11,AO$14,AO$19,),""),IF($I27=2,IFBLANK(_xldudf_CX_PUSH(AO27,CX_ENTITY,$B27,AO$11,AO$14,AO$19,),""),IF($I27=3,"",IFBLANK(_xldudf_CX_PUSH(AO27,CX_ENTITY,$B27,AO$11,AO$14,AO$19,),"")))))),"")</f>
        <v/>
      </c>
      <c r="DI27" s="1883" t="str" cm="1">
        <f t="array" ca="1" aca="1" ref="DI27">IFERROR(IF(AP27*fxVal_normal=_CF!AP27,"",IF(OR(AP27="",NOT(ISNUMBER(AP27)),ISERROR(AP27),$B27=""),"",IF($I27=1,IFBLANK(_xldudf_CX_PUSH(AP27*fxVal_normal,CX_ENTITY,$B27,AP$11,AP$14,AP$19,),""),IF($I27=2,IFBLANK(_xldudf_CX_PUSH(AP27,CX_ENTITY,$B27,AP$11,AP$14,AP$19,),""),IF($I27=3,"",IFBLANK(_xldudf_CX_PUSH(AP27,CX_ENTITY,$B27,AP$11,AP$14,AP$19,),"")))))),"")</f>
        <v/>
      </c>
      <c r="DJ27" s="1883" t="str" cm="1">
        <f t="array" ca="1" aca="1" ref="DJ27">IFERROR(IF(AQ27*fxVal_normal=_CF!AQ27,"",IF(OR(AQ27="",NOT(ISNUMBER(AQ27)),ISERROR(AQ27),$B27=""),"",IF($I27=1,IFBLANK(_xldudf_CX_PUSH(AQ27*fxVal_normal,CX_ENTITY,$B27,AQ$11,AQ$14,AQ$19,),""),IF($I27=2,IFBLANK(_xldudf_CX_PUSH(AQ27,CX_ENTITY,$B27,AQ$11,AQ$14,AQ$19,),""),IF($I27=3,"",IFBLANK(_xldudf_CX_PUSH(AQ27,CX_ENTITY,$B27,AQ$11,AQ$14,AQ$19,),"")))))),"")</f>
        <v/>
      </c>
      <c r="DK27" s="1883" t="str" cm="1">
        <f t="array" ca="1" aca="1" ref="DK27">IFERROR(IF(AR27*fxVal_normal=_CF!AR27,"",IF(OR(AR27="",NOT(ISNUMBER(AR27)),ISERROR(AR27),$B27=""),"",IF($I27=1,IFBLANK(_xldudf_CX_PUSH(AR27*fxVal_normal,CX_ENTITY,$B27,AR$11,AR$14,AR$19,),""),IF($I27=2,IFBLANK(_xldudf_CX_PUSH(AR27,CX_ENTITY,$B27,AR$11,AR$14,AR$19,),""),IF($I27=3,"",IFBLANK(_xldudf_CX_PUSH(AR27,CX_ENTITY,$B27,AR$11,AR$14,AR$19,),"")))))),"")</f>
        <v/>
      </c>
      <c r="DL27" s="1883" t="str" cm="1">
        <f t="array" ca="1" aca="1" ref="DL27">IFERROR(IF(AS27*fxVal_normal=_CF!AS27,"",IF(OR(AS27="",NOT(ISNUMBER(AS27)),ISERROR(AS27),$B27=""),"",IF($I27=1,IFBLANK(_xldudf_CX_PUSH(AS27*fxVal_normal,CX_ENTITY,$B27,AS$11,AS$14,AS$19,),""),IF($I27=2,IFBLANK(_xldudf_CX_PUSH(AS27,CX_ENTITY,$B27,AS$11,AS$14,AS$19,),""),IF($I27=3,"",IFBLANK(_xldudf_CX_PUSH(AS27,CX_ENTITY,$B27,AS$11,AS$14,AS$19,),"")))))),"")</f>
        <v/>
      </c>
      <c r="DM27" s="1883" t="str" cm="1">
        <f t="array" ca="1" aca="1" ref="DM27">IFERROR(IF(AT27*fxVal_normal=_CF!AT27,"",IF(OR(AT27="",NOT(ISNUMBER(AT27)),ISERROR(AT27),$B27=""),"",IF($I27=1,IFBLANK(_xldudf_CX_PUSH(AT27*fxVal_normal,CX_ENTITY,$B27,AT$11,AT$14,AT$19,),""),IF($I27=2,IFBLANK(_xldudf_CX_PUSH(AT27,CX_ENTITY,$B27,AT$11,AT$14,AT$19,),""),IF($I27=3,"",IFBLANK(_xldudf_CX_PUSH(AT27,CX_ENTITY,$B27,AT$11,AT$14,AT$19,),"")))))),"")</f>
        <v/>
      </c>
      <c r="DN27" s="1883" t="str" cm="1">
        <f t="array" ca="1" aca="1" ref="DN27">IFERROR(IF(AU27*fxVal_normal=_CF!AU27,"",IF(OR(AU27="",NOT(ISNUMBER(AU27)),ISERROR(AU27),$B27=""),"",IF($I27=1,IFBLANK(_xldudf_CX_PUSH(AU27*fxVal_normal,CX_ENTITY,$B27,AU$11,AU$14,AU$19,),""),IF($I27=2,IFBLANK(_xldudf_CX_PUSH(AU27,CX_ENTITY,$B27,AU$11,AU$14,AU$19,),""),IF($I27=3,"",IFBLANK(_xldudf_CX_PUSH(AU27,CX_ENTITY,$B27,AU$11,AU$14,AU$19,),"")))))),"")</f>
        <v/>
      </c>
      <c r="DO27" s="1883" t="str" cm="1">
        <f t="array" ca="1" aca="1" ref="DO27">IFERROR(IF(AV27*fxVal_normal=_CF!AV27,"",IF(OR(AV27="",NOT(ISNUMBER(AV27)),ISERROR(AV27),$B27=""),"",IF($I27=1,IFBLANK(_xldudf_CX_PUSH(AV27*fxVal_normal,CX_ENTITY,$B27,AV$11,AV$14,AV$19,),""),IF($I27=2,IFBLANK(_xldudf_CX_PUSH(AV27,CX_ENTITY,$B27,AV$11,AV$14,AV$19,),""),IF($I27=3,"",IFBLANK(_xldudf_CX_PUSH(AV27,CX_ENTITY,$B27,AV$11,AV$14,AV$19,),"")))))),"")</f>
        <v/>
      </c>
      <c r="DP27" s="1883" t="str" cm="1">
        <f t="array" ca="1" aca="1" ref="DP27">IFERROR(IF(AW27*fxVal_normal=_CF!AW27,"",IF(OR(AW27="",NOT(ISNUMBER(AW27)),ISERROR(AW27),$B27=""),"",IF($I27=1,IFBLANK(_xldudf_CX_PUSH(AW27*fxVal_normal,CX_ENTITY,$B27,AW$11,AW$14,AW$19,),""),IF($I27=2,IFBLANK(_xldudf_CX_PUSH(AW27,CX_ENTITY,$B27,AW$11,AW$14,AW$19,),""),IF($I27=3,"",IFBLANK(_xldudf_CX_PUSH(AW27,CX_ENTITY,$B27,AW$11,AW$14,AW$19,),"")))))),"")</f>
        <v/>
      </c>
      <c r="DQ27" s="1883" t="str" cm="1">
        <f t="array" ca="1" aca="1" ref="DQ27">IFERROR(IF(AX27*fxVal_normal=_CF!AX27,"",IF(OR(AX27="",NOT(ISNUMBER(AX27)),ISERROR(AX27),$B27=""),"",IF($I27=1,IFBLANK(_xldudf_CX_PUSH(AX27*fxVal_normal,CX_ENTITY,$B27,AX$11,AX$14,AX$19,),""),IF($I27=2,IFBLANK(_xldudf_CX_PUSH(AX27,CX_ENTITY,$B27,AX$11,AX$14,AX$19,),""),IF($I27=3,"",IFBLANK(_xldudf_CX_PUSH(AX27,CX_ENTITY,$B27,AX$11,AX$14,AX$19,),"")))))),"")</f>
        <v/>
      </c>
      <c r="DR27" s="1883" t="str" cm="1">
        <f t="array" ca="1" aca="1" ref="DR27">IFERROR(IF(AY27*fxVal_normal=_CF!AY27,"",IF(OR(AY27="",NOT(ISNUMBER(AY27)),ISERROR(AY27),$B27=""),"",IF($I27=1,IFBLANK(_xldudf_CX_PUSH(AY27*fxVal_normal,CX_ENTITY,$B27,AY$11,AY$14,AY$19,),""),IF($I27=2,IFBLANK(_xldudf_CX_PUSH(AY27,CX_ENTITY,$B27,AY$11,AY$14,AY$19,),""),IF($I27=3,"",IFBLANK(_xldudf_CX_PUSH(AY27,CX_ENTITY,$B27,AY$11,AY$14,AY$19,),"")))))),"")</f>
        <v/>
      </c>
      <c r="DS27" s="1883" t="str" cm="1">
        <f t="array" ca="1" aca="1" ref="DS27">IFERROR(IF(AZ27*fxVal_normal=_CF!AZ27,"",IF(OR(AZ27="",NOT(ISNUMBER(AZ27)),ISERROR(AZ27),$B27=""),"",IF($I27=1,IFBLANK(_xldudf_CX_PUSH(AZ27*fxVal_normal,CX_ENTITY,$B27,AZ$11,AZ$14,AZ$19,),""),IF($I27=2,IFBLANK(_xldudf_CX_PUSH(AZ27,CX_ENTITY,$B27,AZ$11,AZ$14,AZ$19,),""),IF($I27=3,"",IFBLANK(_xldudf_CX_PUSH(AZ27,CX_ENTITY,$B27,AZ$11,AZ$14,AZ$19,),"")))))),"")</f>
        <v/>
      </c>
      <c r="DT27" s="1883" t="str" cm="1">
        <f t="array" ca="1" aca="1" ref="DT27">IFERROR(IF(BA27*fxVal_normal=_CF!BA27,"",IF(OR(BA27="",NOT(ISNUMBER(BA27)),ISERROR(BA27),$B27=""),"",IF($I27=1,IFBLANK(_xldudf_CX_PUSH(BA27*fxVal_normal,CX_ENTITY,$B27,BA$11,BA$14,BA$19,),""),IF($I27=2,IFBLANK(_xldudf_CX_PUSH(BA27,CX_ENTITY,$B27,BA$11,BA$14,BA$19,),""),IF($I27=3,"",IFBLANK(_xldudf_CX_PUSH(BA27,CX_ENTITY,$B27,BA$11,BA$14,BA$19,),"")))))),"")</f>
        <v/>
      </c>
      <c r="DU27" s="1883" t="str" cm="1">
        <f t="array" ca="1" aca="1" ref="DU27">IFERROR(IF(BB27*fxVal_normal=_CF!BB27,"",IF(OR(BB27="",NOT(ISNUMBER(BB27)),ISERROR(BB27),$B27=""),"",IF($I27=1,IFBLANK(_xldudf_CX_PUSH(BB27*fxVal_normal,CX_ENTITY,$B27,BB$11,BB$14,BB$19,),""),IF($I27=2,IFBLANK(_xldudf_CX_PUSH(BB27,CX_ENTITY,$B27,BB$11,BB$14,BB$19,),""),IF($I27=3,"",IFBLANK(_xldudf_CX_PUSH(BB27,CX_ENTITY,$B27,BB$11,BB$14,BB$19,),"")))))),"")</f>
        <v/>
      </c>
      <c r="DV27" s="1883" t="str" cm="1">
        <f t="array" ca="1" aca="1" ref="DV27">IFERROR(IF(BC27*fxVal_normal=_CF!BC27,"",IF(OR(BC27="",NOT(ISNUMBER(BC27)),ISERROR(BC27),$B27=""),"",IF($I27=1,IFBLANK(_xldudf_CX_PUSH(BC27*fxVal_normal,CX_ENTITY,$B27,BC$11,BC$14,BC$19,),""),IF($I27=2,IFBLANK(_xldudf_CX_PUSH(BC27,CX_ENTITY,$B27,BC$11,BC$14,BC$19,),""),IF($I27=3,"",IFBLANK(_xldudf_CX_PUSH(BC27,CX_ENTITY,$B27,BC$11,BC$14,BC$19,),"")))))),"")</f>
        <v/>
      </c>
      <c r="DW27" s="1883" t="str" cm="1">
        <f t="array" ca="1" aca="1" ref="DW27">IFERROR(IF(BD27*fxVal_normal=_CF!BD27,"",IF(OR(BD27="",NOT(ISNUMBER(BD27)),ISERROR(BD27),$B27=""),"",IF($I27=1,IFBLANK(_xldudf_CX_PUSH(BD27*fxVal_normal,CX_ENTITY,$B27,BD$11,BD$14,BD$19,),""),IF($I27=2,IFBLANK(_xldudf_CX_PUSH(BD27,CX_ENTITY,$B27,BD$11,BD$14,BD$19,),""),IF($I27=3,"",IFBLANK(_xldudf_CX_PUSH(BD27,CX_ENTITY,$B27,BD$11,BD$14,BD$19,),"")))))),"")</f>
        <v/>
      </c>
      <c r="DX27" s="1883" t="str" cm="1">
        <f t="array" ca="1" aca="1" ref="DX27">IFERROR(IF(BE27*fxVal_normal=_CF!BE27,"",IF(OR(BE27="",NOT(ISNUMBER(BE27)),ISERROR(BE27),$B27=""),"",IF($I27=1,IFBLANK(_xldudf_CX_PUSH(BE27*fxVal_normal,CX_ENTITY,$B27,BE$11,BE$14,BE$19,),""),IF($I27=2,IFBLANK(_xldudf_CX_PUSH(BE27,CX_ENTITY,$B27,BE$11,BE$14,BE$19,),""),IF($I27=3,"",IFBLANK(_xldudf_CX_PUSH(BE27,CX_ENTITY,$B27,BE$11,BE$14,BE$19,),"")))))),"")</f>
        <v/>
      </c>
      <c r="DY27" s="1883" t="str" cm="1">
        <f t="array" ca="1" aca="1" ref="DY27">IFERROR(IF(BF27*fxVal_normal=_CF!BF27,"",IF(OR(BF27="",NOT(ISNUMBER(BF27)),ISERROR(BF27),$B27=""),"",IF($I27=1,IFBLANK(_xldudf_CX_PUSH(BF27*fxVal_normal,CX_ENTITY,$B27,BF$11,BF$14,BF$19,),""),IF($I27=2,IFBLANK(_xldudf_CX_PUSH(BF27,CX_ENTITY,$B27,BF$11,BF$14,BF$19,),""),IF($I27=3,"",IFBLANK(_xldudf_CX_PUSH(BF27,CX_ENTITY,$B27,BF$11,BF$14,BF$19,),"")))))),"")</f>
        <v/>
      </c>
      <c r="DZ27" s="1883" t="str" cm="1">
        <f t="array" ca="1" aca="1" ref="DZ27">IFERROR(IF(BG27*fxVal_normal=_CF!BG27,"",IF(OR(BG27="",NOT(ISNUMBER(BG27)),ISERROR(BG27),$B27=""),"",IF($I27=1,IFBLANK(_xldudf_CX_PUSH(BG27*fxVal_normal,CX_ENTITY,$B27,BG$11,BG$14,BG$19,),""),IF($I27=2,IFBLANK(_xldudf_CX_PUSH(BG27,CX_ENTITY,$B27,BG$11,BG$14,BG$19,),""),IF($I27=3,"",IFBLANK(_xldudf_CX_PUSH(BG27,CX_ENTITY,$B27,BG$11,BG$14,BG$19,),"")))))),"")</f>
        <v/>
      </c>
      <c r="EA27" s="1883" t="str" cm="1">
        <f t="array" ca="1" aca="1" ref="EA27">IFERROR(IF(BH27*fxVal_normal=_CF!BH27,"",IF(OR(BH27="",NOT(ISNUMBER(BH27)),ISERROR(BH27),$B27=""),"",IF($I27=1,IFBLANK(_xldudf_CX_PUSH(BH27*fxVal_normal,CX_ENTITY,$B27,BH$11,BH$14,BH$19,),""),IF($I27=2,IFBLANK(_xldudf_CX_PUSH(BH27,CX_ENTITY,$B27,BH$11,BH$14,BH$19,),""),IF($I27=3,"",IFBLANK(_xldudf_CX_PUSH(BH27,CX_ENTITY,$B27,BH$11,BH$14,BH$19,),"")))))),"")</f>
        <v/>
      </c>
      <c r="EB27" s="1883" t="str" cm="1">
        <f t="array" ca="1" aca="1" ref="EB27">IFERROR(IF(BI27*fxVal_normal=_CF!BI27,"",IF(OR(BI27="",NOT(ISNUMBER(BI27)),ISERROR(BI27),$B27=""),"",IF($I27=1,IFBLANK(_xldudf_CX_PUSH(BI27*fxVal_normal,CX_ENTITY,$B27,BI$11,BI$14,BI$19,),""),IF($I27=2,IFBLANK(_xldudf_CX_PUSH(BI27,CX_ENTITY,$B27,BI$11,BI$14,BI$19,),""),IF($I27=3,"",IFBLANK(_xldudf_CX_PUSH(BI27,CX_ENTITY,$B27,BI$11,BI$14,BI$19,),"")))))),"")</f>
        <v/>
      </c>
      <c r="EC27" s="1883" t="str" cm="1">
        <f t="array" ca="1" aca="1" ref="EC27">IFERROR(IF(BJ27*fxVal_normal=_CF!BJ27,"",IF(OR(BJ27="",NOT(ISNUMBER(BJ27)),ISERROR(BJ27),$B27=""),"",IF($I27=1,IFBLANK(_xldudf_CX_PUSH(BJ27*fxVal_normal,CX_ENTITY,$B27,BJ$11,BJ$14,BJ$19,),""),IF($I27=2,IFBLANK(_xldudf_CX_PUSH(BJ27,CX_ENTITY,$B27,BJ$11,BJ$14,BJ$19,),""),IF($I27=3,"",IFBLANK(_xldudf_CX_PUSH(BJ27,CX_ENTITY,$B27,BJ$11,BJ$14,BJ$19,),"")))))),"")</f>
        <v/>
      </c>
      <c r="ED27" s="1883" t="str" cm="1">
        <f t="array" ca="1" aca="1" ref="ED27">IFERROR(IF(BK27*fxVal_normal=_CF!BK27,"",IF(OR(BK27="",NOT(ISNUMBER(BK27)),ISERROR(BK27),$B27=""),"",IF($I27=1,IFBLANK(_xldudf_CX_PUSH(BK27*fxVal_normal,CX_ENTITY,$B27,BK$11,BK$14,BK$19,),""),IF($I27=2,IFBLANK(_xldudf_CX_PUSH(BK27,CX_ENTITY,$B27,BK$11,BK$14,BK$19,),""),IF($I27=3,"",IFBLANK(_xldudf_CX_PUSH(BK27,CX_ENTITY,$B27,BK$11,BK$14,BK$19,),"")))))),"")</f>
        <v/>
      </c>
      <c r="EE27" s="1883" t="str" cm="1">
        <f t="array" ca="1" aca="1" ref="EE27">IFERROR(IF(BL27*fxVal_normal=_CF!BL27,"",IF(OR(BL27="",NOT(ISNUMBER(BL27)),ISERROR(BL27),$B27=""),"",IF($I27=1,IFBLANK(_xldudf_CX_PUSH(BL27*fxVal_normal,CX_ENTITY,$B27,BL$11,BL$14,BL$19,),""),IF($I27=2,IFBLANK(_xldudf_CX_PUSH(BL27,CX_ENTITY,$B27,BL$11,BL$14,BL$19,),""),IF($I27=3,"",IFBLANK(_xldudf_CX_PUSH(BL27,CX_ENTITY,$B27,BL$11,BL$14,BL$19,),"")))))),"")</f>
        <v/>
      </c>
      <c r="EF27" s="1883" t="str" cm="1">
        <f t="array" ca="1" aca="1" ref="EF27">IFERROR(IF(BM27*fxVal_normal=_CF!BM27,"",IF(OR(BM27="",NOT(ISNUMBER(BM27)),ISERROR(BM27),$B27=""),"",IF($I27=1,IFBLANK(_xldudf_CX_PUSH(BM27*fxVal_normal,CX_ENTITY,$B27,BM$11,BM$14,BM$19,),""),IF($I27=2,IFBLANK(_xldudf_CX_PUSH(BM27,CX_ENTITY,$B27,BM$11,BM$14,BM$19,),""),IF($I27=3,"",IFBLANK(_xldudf_CX_PUSH(BM27,CX_ENTITY,$B27,BM$11,BM$14,BM$19,),"")))))),"")</f>
        <v/>
      </c>
      <c r="EG27" s="1883" t="str" cm="1">
        <f t="array" ca="1" aca="1" ref="EG27">IFERROR(IF(BN27*fxVal_normal=_CF!BN27,"",IF(OR(BN27="",NOT(ISNUMBER(BN27)),ISERROR(BN27),$B27=""),"",IF($I27=1,IFBLANK(_xldudf_CX_PUSH(BN27*fxVal_normal,CX_ENTITY,$B27,BN$11,BN$14,BN$19,),""),IF($I27=2,IFBLANK(_xldudf_CX_PUSH(BN27,CX_ENTITY,$B27,BN$11,BN$14,BN$19,),""),IF($I27=3,"",IFBLANK(_xldudf_CX_PUSH(BN27,CX_ENTITY,$B27,BN$11,BN$14,BN$19,),"")))))),"")</f>
        <v/>
      </c>
    </row>
    <row r="28" spans="1:137" ht="21" customHeight="1">
      <c r="A28" s="1626"/>
      <c r="B28" s="811" t="str" cm="1">
        <f t="array" ref="B28">IFBLANK(_CF!F28,"")</f>
        <v>Unlevered Free Cash Flow (UFCF)</v>
      </c>
      <c r="C28" s="3346" t="str" cm="1">
        <f t="array" ref="C28">IFBLANK(_CF!C28,"")</f>
        <v>Unlevered Free Cash Flow (UFCF) (Company View)</v>
      </c>
      <c r="D28" s="1549"/>
      <c r="E28" s="811"/>
      <c r="F28" s="574"/>
      <c r="G28" s="401"/>
      <c r="H28" s="3280">
        <v>2</v>
      </c>
      <c r="I28" s="3280">
        <v>1</v>
      </c>
      <c r="J28" s="401" cm="1">
        <f t="array" ref="J28">IFBLANK(Z28,"")</f>
        <v>0</v>
      </c>
      <c r="K28" s="401"/>
      <c r="N28" s="158"/>
      <c r="O28" s="101"/>
      <c r="P28" s="52"/>
      <c r="Q28" s="2"/>
      <c r="R28" s="539"/>
      <c r="S28" s="2"/>
      <c r="T28" s="2"/>
      <c r="U28" s="39"/>
      <c r="W28" s="932" t="str">
        <f t="shared" si="1"/>
        <v>Actual</v>
      </c>
      <c r="X28" s="815">
        <f>_CF!X28</f>
        <v>0</v>
      </c>
      <c r="Y28" s="3352" t="s">
        <v>245</v>
      </c>
      <c r="Z28" s="198" cm="1">
        <f t="array" ref="Z28">_xlfn.SWITCH(TRUE,_CF!$L28=TRUE,1,_CF!$L28=FALSE,-1,_CF!$L28=-1,0,"n/a")</f>
        <v>0</v>
      </c>
      <c r="AA28" s="200"/>
      <c r="AB28" s="3343" t="str">
        <f>_CF!AB28</f>
        <v>Unlevered Free Cash Flow (UFCF)</v>
      </c>
      <c r="AC28" s="88" t="e" vm="5" cm="1">
        <f t="array" ca="1" aca="1" ref="AC28">_xlfn.LET(_xlpm._termname,$AB28,_xlpm._iconname,"find",_xlpm._icon,fx_getIcon(_xlpm._iconname),_xlpm._location,_xlfn.XLOOKUP(LOWER(_xlpm._termname),LOWER(tbl_acctDef[Term]),tbl_acctDef[Term]),_xlpm._hyperlink,HYPERLINK("#"&amp;CELL("address",_xlpm._location),_xlpm._icon),IFERROR(_xlpm._hyperlink,""))</f>
        <v>#VALUE!</v>
      </c>
      <c r="AD28" s="918">
        <f t="shared" si="3" ref="AD28:BN28">IFERROR(SUBTOTAL(9,AD20:AD27),"")</f>
        <v>9</v>
      </c>
      <c r="AE28" s="918">
        <f t="shared" si="3"/>
        <v>9</v>
      </c>
      <c r="AF28" s="918">
        <f t="shared" si="3"/>
        <v>9</v>
      </c>
      <c r="AG28" s="918">
        <f t="shared" si="3"/>
        <v>9</v>
      </c>
      <c r="AH28" s="918">
        <f t="shared" si="3"/>
        <v>9</v>
      </c>
      <c r="AI28" s="918">
        <f t="shared" si="3"/>
        <v>9</v>
      </c>
      <c r="AJ28" s="918">
        <f t="shared" si="3"/>
        <v>9</v>
      </c>
      <c r="AK28" s="918">
        <f t="shared" si="3"/>
        <v>9</v>
      </c>
      <c r="AL28" s="918">
        <f t="shared" si="3"/>
        <v>9</v>
      </c>
      <c r="AM28" s="918">
        <f t="shared" si="3"/>
        <v>9</v>
      </c>
      <c r="AN28" s="918">
        <f t="shared" si="3"/>
        <v>9</v>
      </c>
      <c r="AO28" s="918">
        <f t="shared" si="3"/>
        <v>9</v>
      </c>
      <c r="AP28" s="918">
        <f t="shared" si="3"/>
        <v>9</v>
      </c>
      <c r="AQ28" s="918">
        <f t="shared" si="3"/>
        <v>9</v>
      </c>
      <c r="AR28" s="918">
        <f t="shared" si="3"/>
        <v>9</v>
      </c>
      <c r="AS28" s="918">
        <f t="shared" si="3"/>
        <v>9</v>
      </c>
      <c r="AT28" s="918">
        <f t="shared" si="3"/>
        <v>9</v>
      </c>
      <c r="AU28" s="918">
        <f t="shared" si="3"/>
        <v>9</v>
      </c>
      <c r="AV28" s="918">
        <f t="shared" si="3"/>
        <v>9</v>
      </c>
      <c r="AW28" s="918">
        <f t="shared" si="3"/>
        <v>9</v>
      </c>
      <c r="AX28" s="918">
        <f t="shared" si="3"/>
        <v>9</v>
      </c>
      <c r="AY28" s="918">
        <f t="shared" si="3"/>
        <v>9</v>
      </c>
      <c r="AZ28" s="918">
        <f t="shared" si="3"/>
        <v>9</v>
      </c>
      <c r="BA28" s="918">
        <f t="shared" si="3"/>
        <v>9</v>
      </c>
      <c r="BB28" s="918">
        <f t="shared" si="3"/>
        <v>9</v>
      </c>
      <c r="BC28" s="918">
        <f t="shared" si="3"/>
        <v>9</v>
      </c>
      <c r="BD28" s="918">
        <f t="shared" si="3"/>
        <v>9</v>
      </c>
      <c r="BE28" s="918">
        <f t="shared" si="3"/>
        <v>9</v>
      </c>
      <c r="BF28" s="918">
        <f t="shared" si="3"/>
        <v>9</v>
      </c>
      <c r="BG28" s="918">
        <f t="shared" si="3"/>
        <v>9</v>
      </c>
      <c r="BH28" s="918">
        <f t="shared" si="3"/>
        <v>9</v>
      </c>
      <c r="BI28" s="918">
        <f t="shared" si="3"/>
        <v>9</v>
      </c>
      <c r="BJ28" s="918">
        <f t="shared" si="3"/>
        <v>9</v>
      </c>
      <c r="BK28" s="918">
        <f t="shared" si="3"/>
        <v>9</v>
      </c>
      <c r="BL28" s="918">
        <f t="shared" si="3"/>
        <v>9</v>
      </c>
      <c r="BM28" s="918">
        <f t="shared" si="3"/>
        <v>9</v>
      </c>
      <c r="BN28" s="935">
        <f t="shared" si="3"/>
        <v>9</v>
      </c>
      <c r="BO28" s="2114"/>
      <c r="BP28" s="2114"/>
      <c r="BQ28" s="2114"/>
      <c r="BR28" s="2114"/>
      <c r="BS28" s="2114"/>
      <c r="BT28" s="2114"/>
      <c r="BU28" s="2114"/>
      <c r="BV28" s="2114"/>
      <c r="BW28" s="2114"/>
      <c r="BX28" s="2114"/>
      <c r="BY28" s="2114"/>
      <c r="BZ28" s="2114"/>
      <c r="CA28" s="1330"/>
      <c r="CB28" s="537"/>
      <c r="CC28" s="1484"/>
      <c r="CD28" s="1461" t="e" cm="1">
        <f t="array" ca="1" aca="1" ref="CD28">_xlfn.LET(_xlpm.CheckBlank,SUM(CF!$AD28:$BN28)=0,IF(_xlpm.CheckBlank,"",SUM(_xlfn._xlws.FILTER(CF!$AD28:$BN28,(YEAR(CF!$AD$12:$BN$12)=CF!CD$12)*(array_timeline&lt;=CF!CD$11)))))</f>
        <v>#NAME?</v>
      </c>
      <c r="CE28" s="1461" t="e" cm="1">
        <f t="array" ca="1" aca="1" ref="CE28">_xlfn.LET(_xlpm.CheckBlank,SUM(CF!$AD28:$BN28)=0,IF(_xlpm.CheckBlank,"",SUM(_xlfn._xlws.FILTER(CF!$AD28:$BN28,(YEAR(CF!$AD$12:$BN$12)=CF!CE$12)*(array_timeline&lt;=CF!CE$11)))))</f>
        <v>#NAME?</v>
      </c>
      <c r="CF28" s="1314"/>
      <c r="CG28" s="1461" t="e" cm="1">
        <f t="array" ca="1" aca="1" ref="CG28">_xlfn.LET(_xlpm.CheckBlank,SUM(CF!$AD28:$BN28)=0,IF(_xlpm.CheckBlank,"",SUM(_xlfn._xlws.FILTER(CF!$AD28:$BN28,(YEAR(CF!$AD$12:$BN$12)=CF!CG$12)*(array_timeline&lt;=CF!CG$11)))))</f>
        <v>#NAME?</v>
      </c>
      <c r="CH28" s="1461" t="e" cm="1">
        <f t="array" ca="1" aca="1" ref="CH28">_xlfn.LET(_xlpm.CheckBlank,SUM(CF!$AD28:$BN28)=0,IF(_xlpm.CheckBlank,"",SUM(_xlfn._xlws.FILTER(CF!$AD28:$BN28,(YEAR(CF!$AD$12:$BN$12)=CF!CH$12)*(array_timeline&lt;=CF!CH$11)))))</f>
        <v>#NAME?</v>
      </c>
      <c r="CI28" s="1314"/>
      <c r="CJ28" s="1461" cm="1">
        <f t="array" ref="CJ28">_xlfn.LET(_xlpm.CheckBlank,SUM(CF!$AD28:$BN28)=0,IF(_xlpm.CheckBlank,"",SUM(_xlfn.TAKE(_xlfn.DROP(CF!$AD28:$BN28,,-DATEDIFF(CF!CJ$11,val_asOfDate,"M")),1,-12))))</f>
        <v>108</v>
      </c>
      <c r="CK28" s="1461" cm="1">
        <f t="array" ref="CK28">_xlfn.LET(_xlpm.CheckBlank,SUM(CF!$AD28:$BN28)=0,IF(_xlpm.CheckBlank,"",SUM(_xlfn.TAKE(_xlfn.DROP(CF!$AD28:$BN28,,-DATEDIFF(CF!CK$11,val_asOfDate,"M")),1,-12))))</f>
        <v>108</v>
      </c>
      <c r="CL28" s="1314"/>
      <c r="CM28" s="1514" t="str">
        <f ca="1">IFERROR(SUBTOTAL(9,CM20:CM27),"")</f>
        <v/>
      </c>
      <c r="CN28" s="1514" t="str">
        <f ca="1">IFERROR(SUBTOTAL(9,CN20:CN27),"")</f>
        <v/>
      </c>
      <c r="CO28" s="34"/>
      <c r="CQ28" s="2085" t="str" cm="1">
        <f t="array" ref="CQ28">IFERROR(IF(Y28&lt;&gt;AB28,_xldudf_CX_PUSH(Y28,CX_ENTITY,C28,EOMONTH(val_asOfDate,0)),""),"")</f>
        <v/>
      </c>
      <c r="CR28" s="2085" t="str" cm="1">
        <f t="array" ref="CR28">IFERROR(IF(Y28&lt;&gt;AB28,_xldudf_CX_PUSH(Y28,CX_ENTITY,C28,EOMONTH(val_asOfDate,1)),""),"")</f>
        <v/>
      </c>
      <c r="CS28" s="2085" t="str" cm="1">
        <f t="array" ref="CS28">IFERROR(IF(Y28&lt;&gt;AB28,_xldudf_CX_PUSH(Y28,CX_ENTITY,C28,EOMONTH(val_asOfDate,2)),""),"")</f>
        <v/>
      </c>
      <c r="CT28" s="2085" t="str" cm="1">
        <f t="array" ref="CT28">IFERROR(IF(Y28&lt;&gt;AB28,_xldudf_CX_PUSH(Y28,CX_ENTITY,C28,EOMONTH(val_asOfDate,3)),""),"")</f>
        <v/>
      </c>
      <c r="CU28" s="2086" t="str" cm="1">
        <f t="array" ca="1" aca="1" ref="CU28">IFERROR(IF(CM28*fxVal_normal=_CF!CM28,"",IF(OR($CM28="",,NOT(ISNUMBER($CM28)),ISERROR($CM28),$B28=""),"",IF($I28=1,IFBLANK(_xldudf_CX_PUSH($CM28*fxVal_normal,CX_ENTITY,$B28,$CM$11,$CM$14,$CM$19,),""),IF($I28=2,IFBLANK(_xldudf_CX_PUSH($CM28,CX_ENTITY,$B28,$CM$11,$CM$14,$CM$19,),""),IF($I28=3,"",IFBLANK(_xldudf_CX_PUSH($CM28,CX_ENTITY,$B28,$CM$11,$CM$14,$CM$19,),"")))))),"")</f>
        <v/>
      </c>
      <c r="CV28" s="2086" t="str" cm="1">
        <f t="array" ca="1" aca="1" ref="CV28">IFERROR(IF(CN28*fxVal_normal=_CF!CN28,"",IF(OR($CN28="",,NOT(ISNUMBER($CN28)),ISERROR($CN28),$B28=""),"",IF($I28=1,IFBLANK(_xldudf_CX_PUSH($CN28*fxVal_normal,CX_ENTITY,$B28,$CN$11,$CN$14,$CN$19,),""),IF($I28=2,IFBLANK(_xldudf_CX_PUSH($CN28,CX_ENTITY,$B28,$CN$11,$CN$14,$CN$19,),""),IF($I28=3,"",IFBLANK(_xldudf_CX_PUSH($CN28,CX_ENTITY,$B28,$CN$11,$CN$14,$CN$19,),"")))))),"")</f>
        <v/>
      </c>
      <c r="CW28" s="1883" t="str" cm="1">
        <f t="array" ca="1" aca="1" ref="CW28">IFERROR(IF(AD28*fxVal_normal=_CF!AD28,"",IF(OR(AD28="",NOT(ISNUMBER(AD28)),ISERROR(AD28),$B28=""),"",IF($I28=1,IFBLANK(_xldudf_CX_PUSH(AD28*fxVal_normal,CX_ENTITY,$B28,AD$11,AD$14,AD$19,),""),IF($I28=2,IFBLANK(_xldudf_CX_PUSH(AD28,CX_ENTITY,$B28,AD$11,AD$14,AD$19,),""),IF($I28=3,"",IFBLANK(_xldudf_CX_PUSH(AD28,CX_ENTITY,$B28,AD$11,AD$14,AD$19,),"")))))),"")</f>
        <v/>
      </c>
      <c r="CX28" s="1883" t="str" cm="1">
        <f t="array" ca="1" aca="1" ref="CX28">IFERROR(IF(AE28*fxVal_normal=_CF!AE28,"",IF(OR(AE28="",NOT(ISNUMBER(AE28)),ISERROR(AE28),$B28=""),"",IF($I28=1,IFBLANK(_xldudf_CX_PUSH(AE28*fxVal_normal,CX_ENTITY,$B28,AE$11,AE$14,AE$19,),""),IF($I28=2,IFBLANK(_xldudf_CX_PUSH(AE28,CX_ENTITY,$B28,AE$11,AE$14,AE$19,),""),IF($I28=3,"",IFBLANK(_xldudf_CX_PUSH(AE28,CX_ENTITY,$B28,AE$11,AE$14,AE$19,),"")))))),"")</f>
        <v/>
      </c>
      <c r="CY28" s="1883" t="str" cm="1">
        <f t="array" ca="1" aca="1" ref="CY28">IFERROR(IF(AF28*fxVal_normal=_CF!AF28,"",IF(OR(AF28="",NOT(ISNUMBER(AF28)),ISERROR(AF28),$B28=""),"",IF($I28=1,IFBLANK(_xldudf_CX_PUSH(AF28*fxVal_normal,CX_ENTITY,$B28,AF$11,AF$14,AF$19,),""),IF($I28=2,IFBLANK(_xldudf_CX_PUSH(AF28,CX_ENTITY,$B28,AF$11,AF$14,AF$19,),""),IF($I28=3,"",IFBLANK(_xldudf_CX_PUSH(AF28,CX_ENTITY,$B28,AF$11,AF$14,AF$19,),"")))))),"")</f>
        <v/>
      </c>
      <c r="CZ28" s="1883" t="str" cm="1">
        <f t="array" ca="1" aca="1" ref="CZ28">IFERROR(IF(AG28*fxVal_normal=_CF!AG28,"",IF(OR(AG28="",NOT(ISNUMBER(AG28)),ISERROR(AG28),$B28=""),"",IF($I28=1,IFBLANK(_xldudf_CX_PUSH(AG28*fxVal_normal,CX_ENTITY,$B28,AG$11,AG$14,AG$19,),""),IF($I28=2,IFBLANK(_xldudf_CX_PUSH(AG28,CX_ENTITY,$B28,AG$11,AG$14,AG$19,),""),IF($I28=3,"",IFBLANK(_xldudf_CX_PUSH(AG28,CX_ENTITY,$B28,AG$11,AG$14,AG$19,),"")))))),"")</f>
        <v/>
      </c>
      <c r="DA28" s="1883" t="str" cm="1">
        <f t="array" ca="1" aca="1" ref="DA28">IFERROR(IF(AH28*fxVal_normal=_CF!AH28,"",IF(OR(AH28="",NOT(ISNUMBER(AH28)),ISERROR(AH28),$B28=""),"",IF($I28=1,IFBLANK(_xldudf_CX_PUSH(AH28*fxVal_normal,CX_ENTITY,$B28,AH$11,AH$14,AH$19,),""),IF($I28=2,IFBLANK(_xldudf_CX_PUSH(AH28,CX_ENTITY,$B28,AH$11,AH$14,AH$19,),""),IF($I28=3,"",IFBLANK(_xldudf_CX_PUSH(AH28,CX_ENTITY,$B28,AH$11,AH$14,AH$19,),"")))))),"")</f>
        <v/>
      </c>
      <c r="DB28" s="1883" t="str" cm="1">
        <f t="array" ca="1" aca="1" ref="DB28">IFERROR(IF(AI28*fxVal_normal=_CF!AI28,"",IF(OR(AI28="",NOT(ISNUMBER(AI28)),ISERROR(AI28),$B28=""),"",IF($I28=1,IFBLANK(_xldudf_CX_PUSH(AI28*fxVal_normal,CX_ENTITY,$B28,AI$11,AI$14,AI$19,),""),IF($I28=2,IFBLANK(_xldudf_CX_PUSH(AI28,CX_ENTITY,$B28,AI$11,AI$14,AI$19,),""),IF($I28=3,"",IFBLANK(_xldudf_CX_PUSH(AI28,CX_ENTITY,$B28,AI$11,AI$14,AI$19,),"")))))),"")</f>
        <v/>
      </c>
      <c r="DC28" s="1883" t="str" cm="1">
        <f t="array" ca="1" aca="1" ref="DC28">IFERROR(IF(AJ28*fxVal_normal=_CF!AJ28,"",IF(OR(AJ28="",NOT(ISNUMBER(AJ28)),ISERROR(AJ28),$B28=""),"",IF($I28=1,IFBLANK(_xldudf_CX_PUSH(AJ28*fxVal_normal,CX_ENTITY,$B28,AJ$11,AJ$14,AJ$19,),""),IF($I28=2,IFBLANK(_xldudf_CX_PUSH(AJ28,CX_ENTITY,$B28,AJ$11,AJ$14,AJ$19,),""),IF($I28=3,"",IFBLANK(_xldudf_CX_PUSH(AJ28,CX_ENTITY,$B28,AJ$11,AJ$14,AJ$19,),"")))))),"")</f>
        <v/>
      </c>
      <c r="DD28" s="1883" t="str" cm="1">
        <f t="array" ca="1" aca="1" ref="DD28">IFERROR(IF(AK28*fxVal_normal=_CF!AK28,"",IF(OR(AK28="",NOT(ISNUMBER(AK28)),ISERROR(AK28),$B28=""),"",IF($I28=1,IFBLANK(_xldudf_CX_PUSH(AK28*fxVal_normal,CX_ENTITY,$B28,AK$11,AK$14,AK$19,),""),IF($I28=2,IFBLANK(_xldudf_CX_PUSH(AK28,CX_ENTITY,$B28,AK$11,AK$14,AK$19,),""),IF($I28=3,"",IFBLANK(_xldudf_CX_PUSH(AK28,CX_ENTITY,$B28,AK$11,AK$14,AK$19,),"")))))),"")</f>
        <v/>
      </c>
      <c r="DE28" s="1883" t="str" cm="1">
        <f t="array" ca="1" aca="1" ref="DE28">IFERROR(IF(AL28*fxVal_normal=_CF!AL28,"",IF(OR(AL28="",NOT(ISNUMBER(AL28)),ISERROR(AL28),$B28=""),"",IF($I28=1,IFBLANK(_xldudf_CX_PUSH(AL28*fxVal_normal,CX_ENTITY,$B28,AL$11,AL$14,AL$19,),""),IF($I28=2,IFBLANK(_xldudf_CX_PUSH(AL28,CX_ENTITY,$B28,AL$11,AL$14,AL$19,),""),IF($I28=3,"",IFBLANK(_xldudf_CX_PUSH(AL28,CX_ENTITY,$B28,AL$11,AL$14,AL$19,),"")))))),"")</f>
        <v/>
      </c>
      <c r="DF28" s="1883" t="str" cm="1">
        <f t="array" ca="1" aca="1" ref="DF28">IFERROR(IF(AM28*fxVal_normal=_CF!AM28,"",IF(OR(AM28="",NOT(ISNUMBER(AM28)),ISERROR(AM28),$B28=""),"",IF($I28=1,IFBLANK(_xldudf_CX_PUSH(AM28*fxVal_normal,CX_ENTITY,$B28,AM$11,AM$14,AM$19,),""),IF($I28=2,IFBLANK(_xldudf_CX_PUSH(AM28,CX_ENTITY,$B28,AM$11,AM$14,AM$19,),""),IF($I28=3,"",IFBLANK(_xldudf_CX_PUSH(AM28,CX_ENTITY,$B28,AM$11,AM$14,AM$19,),"")))))),"")</f>
        <v/>
      </c>
      <c r="DG28" s="1883" t="str" cm="1">
        <f t="array" ca="1" aca="1" ref="DG28">IFERROR(IF(AN28*fxVal_normal=_CF!AN28,"",IF(OR(AN28="",NOT(ISNUMBER(AN28)),ISERROR(AN28),$B28=""),"",IF($I28=1,IFBLANK(_xldudf_CX_PUSH(AN28*fxVal_normal,CX_ENTITY,$B28,AN$11,AN$14,AN$19,),""),IF($I28=2,IFBLANK(_xldudf_CX_PUSH(AN28,CX_ENTITY,$B28,AN$11,AN$14,AN$19,),""),IF($I28=3,"",IFBLANK(_xldudf_CX_PUSH(AN28,CX_ENTITY,$B28,AN$11,AN$14,AN$19,),"")))))),"")</f>
        <v/>
      </c>
      <c r="DH28" s="1883" t="str" cm="1">
        <f t="array" ca="1" aca="1" ref="DH28">IFERROR(IF(AO28*fxVal_normal=_CF!AO28,"",IF(OR(AO28="",NOT(ISNUMBER(AO28)),ISERROR(AO28),$B28=""),"",IF($I28=1,IFBLANK(_xldudf_CX_PUSH(AO28*fxVal_normal,CX_ENTITY,$B28,AO$11,AO$14,AO$19,),""),IF($I28=2,IFBLANK(_xldudf_CX_PUSH(AO28,CX_ENTITY,$B28,AO$11,AO$14,AO$19,),""),IF($I28=3,"",IFBLANK(_xldudf_CX_PUSH(AO28,CX_ENTITY,$B28,AO$11,AO$14,AO$19,),"")))))),"")</f>
        <v/>
      </c>
      <c r="DI28" s="1883" t="str" cm="1">
        <f t="array" ca="1" aca="1" ref="DI28">IFERROR(IF(AP28*fxVal_normal=_CF!AP28,"",IF(OR(AP28="",NOT(ISNUMBER(AP28)),ISERROR(AP28),$B28=""),"",IF($I28=1,IFBLANK(_xldudf_CX_PUSH(AP28*fxVal_normal,CX_ENTITY,$B28,AP$11,AP$14,AP$19,),""),IF($I28=2,IFBLANK(_xldudf_CX_PUSH(AP28,CX_ENTITY,$B28,AP$11,AP$14,AP$19,),""),IF($I28=3,"",IFBLANK(_xldudf_CX_PUSH(AP28,CX_ENTITY,$B28,AP$11,AP$14,AP$19,),"")))))),"")</f>
        <v/>
      </c>
      <c r="DJ28" s="1883" t="str" cm="1">
        <f t="array" ca="1" aca="1" ref="DJ28">IFERROR(IF(AQ28*fxVal_normal=_CF!AQ28,"",IF(OR(AQ28="",NOT(ISNUMBER(AQ28)),ISERROR(AQ28),$B28=""),"",IF($I28=1,IFBLANK(_xldudf_CX_PUSH(AQ28*fxVal_normal,CX_ENTITY,$B28,AQ$11,AQ$14,AQ$19,),""),IF($I28=2,IFBLANK(_xldudf_CX_PUSH(AQ28,CX_ENTITY,$B28,AQ$11,AQ$14,AQ$19,),""),IF($I28=3,"",IFBLANK(_xldudf_CX_PUSH(AQ28,CX_ENTITY,$B28,AQ$11,AQ$14,AQ$19,),"")))))),"")</f>
        <v/>
      </c>
      <c r="DK28" s="1883" t="str" cm="1">
        <f t="array" ca="1" aca="1" ref="DK28">IFERROR(IF(AR28*fxVal_normal=_CF!AR28,"",IF(OR(AR28="",NOT(ISNUMBER(AR28)),ISERROR(AR28),$B28=""),"",IF($I28=1,IFBLANK(_xldudf_CX_PUSH(AR28*fxVal_normal,CX_ENTITY,$B28,AR$11,AR$14,AR$19,),""),IF($I28=2,IFBLANK(_xldudf_CX_PUSH(AR28,CX_ENTITY,$B28,AR$11,AR$14,AR$19,),""),IF($I28=3,"",IFBLANK(_xldudf_CX_PUSH(AR28,CX_ENTITY,$B28,AR$11,AR$14,AR$19,),"")))))),"")</f>
        <v/>
      </c>
      <c r="DL28" s="1883" t="str" cm="1">
        <f t="array" ca="1" aca="1" ref="DL28">IFERROR(IF(AS28*fxVal_normal=_CF!AS28,"",IF(OR(AS28="",NOT(ISNUMBER(AS28)),ISERROR(AS28),$B28=""),"",IF($I28=1,IFBLANK(_xldudf_CX_PUSH(AS28*fxVal_normal,CX_ENTITY,$B28,AS$11,AS$14,AS$19,),""),IF($I28=2,IFBLANK(_xldudf_CX_PUSH(AS28,CX_ENTITY,$B28,AS$11,AS$14,AS$19,),""),IF($I28=3,"",IFBLANK(_xldudf_CX_PUSH(AS28,CX_ENTITY,$B28,AS$11,AS$14,AS$19,),"")))))),"")</f>
        <v/>
      </c>
      <c r="DM28" s="1883" t="str" cm="1">
        <f t="array" ca="1" aca="1" ref="DM28">IFERROR(IF(AT28*fxVal_normal=_CF!AT28,"",IF(OR(AT28="",NOT(ISNUMBER(AT28)),ISERROR(AT28),$B28=""),"",IF($I28=1,IFBLANK(_xldudf_CX_PUSH(AT28*fxVal_normal,CX_ENTITY,$B28,AT$11,AT$14,AT$19,),""),IF($I28=2,IFBLANK(_xldudf_CX_PUSH(AT28,CX_ENTITY,$B28,AT$11,AT$14,AT$19,),""),IF($I28=3,"",IFBLANK(_xldudf_CX_PUSH(AT28,CX_ENTITY,$B28,AT$11,AT$14,AT$19,),"")))))),"")</f>
        <v/>
      </c>
      <c r="DN28" s="1883" t="str" cm="1">
        <f t="array" ca="1" aca="1" ref="DN28">IFERROR(IF(AU28*fxVal_normal=_CF!AU28,"",IF(OR(AU28="",NOT(ISNUMBER(AU28)),ISERROR(AU28),$B28=""),"",IF($I28=1,IFBLANK(_xldudf_CX_PUSH(AU28*fxVal_normal,CX_ENTITY,$B28,AU$11,AU$14,AU$19,),""),IF($I28=2,IFBLANK(_xldudf_CX_PUSH(AU28,CX_ENTITY,$B28,AU$11,AU$14,AU$19,),""),IF($I28=3,"",IFBLANK(_xldudf_CX_PUSH(AU28,CX_ENTITY,$B28,AU$11,AU$14,AU$19,),"")))))),"")</f>
        <v/>
      </c>
      <c r="DO28" s="1883" t="str" cm="1">
        <f t="array" ca="1" aca="1" ref="DO28">IFERROR(IF(AV28*fxVal_normal=_CF!AV28,"",IF(OR(AV28="",NOT(ISNUMBER(AV28)),ISERROR(AV28),$B28=""),"",IF($I28=1,IFBLANK(_xldudf_CX_PUSH(AV28*fxVal_normal,CX_ENTITY,$B28,AV$11,AV$14,AV$19,),""),IF($I28=2,IFBLANK(_xldudf_CX_PUSH(AV28,CX_ENTITY,$B28,AV$11,AV$14,AV$19,),""),IF($I28=3,"",IFBLANK(_xldudf_CX_PUSH(AV28,CX_ENTITY,$B28,AV$11,AV$14,AV$19,),"")))))),"")</f>
        <v/>
      </c>
      <c r="DP28" s="1883" t="str" cm="1">
        <f t="array" ca="1" aca="1" ref="DP28">IFERROR(IF(AW28*fxVal_normal=_CF!AW28,"",IF(OR(AW28="",NOT(ISNUMBER(AW28)),ISERROR(AW28),$B28=""),"",IF($I28=1,IFBLANK(_xldudf_CX_PUSH(AW28*fxVal_normal,CX_ENTITY,$B28,AW$11,AW$14,AW$19,),""),IF($I28=2,IFBLANK(_xldudf_CX_PUSH(AW28,CX_ENTITY,$B28,AW$11,AW$14,AW$19,),""),IF($I28=3,"",IFBLANK(_xldudf_CX_PUSH(AW28,CX_ENTITY,$B28,AW$11,AW$14,AW$19,),"")))))),"")</f>
        <v/>
      </c>
      <c r="DQ28" s="1883" t="str" cm="1">
        <f t="array" ca="1" aca="1" ref="DQ28">IFERROR(IF(AX28*fxVal_normal=_CF!AX28,"",IF(OR(AX28="",NOT(ISNUMBER(AX28)),ISERROR(AX28),$B28=""),"",IF($I28=1,IFBLANK(_xldudf_CX_PUSH(AX28*fxVal_normal,CX_ENTITY,$B28,AX$11,AX$14,AX$19,),""),IF($I28=2,IFBLANK(_xldudf_CX_PUSH(AX28,CX_ENTITY,$B28,AX$11,AX$14,AX$19,),""),IF($I28=3,"",IFBLANK(_xldudf_CX_PUSH(AX28,CX_ENTITY,$B28,AX$11,AX$14,AX$19,),"")))))),"")</f>
        <v/>
      </c>
      <c r="DR28" s="1883" t="str" cm="1">
        <f t="array" ca="1" aca="1" ref="DR28">IFERROR(IF(AY28*fxVal_normal=_CF!AY28,"",IF(OR(AY28="",NOT(ISNUMBER(AY28)),ISERROR(AY28),$B28=""),"",IF($I28=1,IFBLANK(_xldudf_CX_PUSH(AY28*fxVal_normal,CX_ENTITY,$B28,AY$11,AY$14,AY$19,),""),IF($I28=2,IFBLANK(_xldudf_CX_PUSH(AY28,CX_ENTITY,$B28,AY$11,AY$14,AY$19,),""),IF($I28=3,"",IFBLANK(_xldudf_CX_PUSH(AY28,CX_ENTITY,$B28,AY$11,AY$14,AY$19,),"")))))),"")</f>
        <v/>
      </c>
      <c r="DS28" s="1883" t="str" cm="1">
        <f t="array" ca="1" aca="1" ref="DS28">IFERROR(IF(AZ28*fxVal_normal=_CF!AZ28,"",IF(OR(AZ28="",NOT(ISNUMBER(AZ28)),ISERROR(AZ28),$B28=""),"",IF($I28=1,IFBLANK(_xldudf_CX_PUSH(AZ28*fxVal_normal,CX_ENTITY,$B28,AZ$11,AZ$14,AZ$19,),""),IF($I28=2,IFBLANK(_xldudf_CX_PUSH(AZ28,CX_ENTITY,$B28,AZ$11,AZ$14,AZ$19,),""),IF($I28=3,"",IFBLANK(_xldudf_CX_PUSH(AZ28,CX_ENTITY,$B28,AZ$11,AZ$14,AZ$19,),"")))))),"")</f>
        <v/>
      </c>
      <c r="DT28" s="1883" t="str" cm="1">
        <f t="array" ca="1" aca="1" ref="DT28">IFERROR(IF(BA28*fxVal_normal=_CF!BA28,"",IF(OR(BA28="",NOT(ISNUMBER(BA28)),ISERROR(BA28),$B28=""),"",IF($I28=1,IFBLANK(_xldudf_CX_PUSH(BA28*fxVal_normal,CX_ENTITY,$B28,BA$11,BA$14,BA$19,),""),IF($I28=2,IFBLANK(_xldudf_CX_PUSH(BA28,CX_ENTITY,$B28,BA$11,BA$14,BA$19,),""),IF($I28=3,"",IFBLANK(_xldudf_CX_PUSH(BA28,CX_ENTITY,$B28,BA$11,BA$14,BA$19,),"")))))),"")</f>
        <v/>
      </c>
      <c r="DU28" s="1883" t="str" cm="1">
        <f t="array" ca="1" aca="1" ref="DU28">IFERROR(IF(BB28*fxVal_normal=_CF!BB28,"",IF(OR(BB28="",NOT(ISNUMBER(BB28)),ISERROR(BB28),$B28=""),"",IF($I28=1,IFBLANK(_xldudf_CX_PUSH(BB28*fxVal_normal,CX_ENTITY,$B28,BB$11,BB$14,BB$19,),""),IF($I28=2,IFBLANK(_xldudf_CX_PUSH(BB28,CX_ENTITY,$B28,BB$11,BB$14,BB$19,),""),IF($I28=3,"",IFBLANK(_xldudf_CX_PUSH(BB28,CX_ENTITY,$B28,BB$11,BB$14,BB$19,),"")))))),"")</f>
        <v/>
      </c>
      <c r="DV28" s="1883" t="str" cm="1">
        <f t="array" ca="1" aca="1" ref="DV28">IFERROR(IF(BC28*fxVal_normal=_CF!BC28,"",IF(OR(BC28="",NOT(ISNUMBER(BC28)),ISERROR(BC28),$B28=""),"",IF($I28=1,IFBLANK(_xldudf_CX_PUSH(BC28*fxVal_normal,CX_ENTITY,$B28,BC$11,BC$14,BC$19,),""),IF($I28=2,IFBLANK(_xldudf_CX_PUSH(BC28,CX_ENTITY,$B28,BC$11,BC$14,BC$19,),""),IF($I28=3,"",IFBLANK(_xldudf_CX_PUSH(BC28,CX_ENTITY,$B28,BC$11,BC$14,BC$19,),"")))))),"")</f>
        <v/>
      </c>
      <c r="DW28" s="1883" t="str" cm="1">
        <f t="array" ca="1" aca="1" ref="DW28">IFERROR(IF(BD28*fxVal_normal=_CF!BD28,"",IF(OR(BD28="",NOT(ISNUMBER(BD28)),ISERROR(BD28),$B28=""),"",IF($I28=1,IFBLANK(_xldudf_CX_PUSH(BD28*fxVal_normal,CX_ENTITY,$B28,BD$11,BD$14,BD$19,),""),IF($I28=2,IFBLANK(_xldudf_CX_PUSH(BD28,CX_ENTITY,$B28,BD$11,BD$14,BD$19,),""),IF($I28=3,"",IFBLANK(_xldudf_CX_PUSH(BD28,CX_ENTITY,$B28,BD$11,BD$14,BD$19,),"")))))),"")</f>
        <v/>
      </c>
      <c r="DX28" s="1883" t="str" cm="1">
        <f t="array" ca="1" aca="1" ref="DX28">IFERROR(IF(BE28*fxVal_normal=_CF!BE28,"",IF(OR(BE28="",NOT(ISNUMBER(BE28)),ISERROR(BE28),$B28=""),"",IF($I28=1,IFBLANK(_xldudf_CX_PUSH(BE28*fxVal_normal,CX_ENTITY,$B28,BE$11,BE$14,BE$19,),""),IF($I28=2,IFBLANK(_xldudf_CX_PUSH(BE28,CX_ENTITY,$B28,BE$11,BE$14,BE$19,),""),IF($I28=3,"",IFBLANK(_xldudf_CX_PUSH(BE28,CX_ENTITY,$B28,BE$11,BE$14,BE$19,),"")))))),"")</f>
        <v/>
      </c>
      <c r="DY28" s="1883" t="str" cm="1">
        <f t="array" ca="1" aca="1" ref="DY28">IFERROR(IF(BF28*fxVal_normal=_CF!BF28,"",IF(OR(BF28="",NOT(ISNUMBER(BF28)),ISERROR(BF28),$B28=""),"",IF($I28=1,IFBLANK(_xldudf_CX_PUSH(BF28*fxVal_normal,CX_ENTITY,$B28,BF$11,BF$14,BF$19,),""),IF($I28=2,IFBLANK(_xldudf_CX_PUSH(BF28,CX_ENTITY,$B28,BF$11,BF$14,BF$19,),""),IF($I28=3,"",IFBLANK(_xldudf_CX_PUSH(BF28,CX_ENTITY,$B28,BF$11,BF$14,BF$19,),"")))))),"")</f>
        <v/>
      </c>
      <c r="DZ28" s="1883" t="str" cm="1">
        <f t="array" ca="1" aca="1" ref="DZ28">IFERROR(IF(BG28*fxVal_normal=_CF!BG28,"",IF(OR(BG28="",NOT(ISNUMBER(BG28)),ISERROR(BG28),$B28=""),"",IF($I28=1,IFBLANK(_xldudf_CX_PUSH(BG28*fxVal_normal,CX_ENTITY,$B28,BG$11,BG$14,BG$19,),""),IF($I28=2,IFBLANK(_xldudf_CX_PUSH(BG28,CX_ENTITY,$B28,BG$11,BG$14,BG$19,),""),IF($I28=3,"",IFBLANK(_xldudf_CX_PUSH(BG28,CX_ENTITY,$B28,BG$11,BG$14,BG$19,),"")))))),"")</f>
        <v/>
      </c>
      <c r="EA28" s="1883" t="str" cm="1">
        <f t="array" ca="1" aca="1" ref="EA28">IFERROR(IF(BH28*fxVal_normal=_CF!BH28,"",IF(OR(BH28="",NOT(ISNUMBER(BH28)),ISERROR(BH28),$B28=""),"",IF($I28=1,IFBLANK(_xldudf_CX_PUSH(BH28*fxVal_normal,CX_ENTITY,$B28,BH$11,BH$14,BH$19,),""),IF($I28=2,IFBLANK(_xldudf_CX_PUSH(BH28,CX_ENTITY,$B28,BH$11,BH$14,BH$19,),""),IF($I28=3,"",IFBLANK(_xldudf_CX_PUSH(BH28,CX_ENTITY,$B28,BH$11,BH$14,BH$19,),"")))))),"")</f>
        <v/>
      </c>
      <c r="EB28" s="1883" t="str" cm="1">
        <f t="array" ca="1" aca="1" ref="EB28">IFERROR(IF(BI28*fxVal_normal=_CF!BI28,"",IF(OR(BI28="",NOT(ISNUMBER(BI28)),ISERROR(BI28),$B28=""),"",IF($I28=1,IFBLANK(_xldudf_CX_PUSH(BI28*fxVal_normal,CX_ENTITY,$B28,BI$11,BI$14,BI$19,),""),IF($I28=2,IFBLANK(_xldudf_CX_PUSH(BI28,CX_ENTITY,$B28,BI$11,BI$14,BI$19,),""),IF($I28=3,"",IFBLANK(_xldudf_CX_PUSH(BI28,CX_ENTITY,$B28,BI$11,BI$14,BI$19,),"")))))),"")</f>
        <v/>
      </c>
      <c r="EC28" s="1883" t="str" cm="1">
        <f t="array" ca="1" aca="1" ref="EC28">IFERROR(IF(BJ28*fxVal_normal=_CF!BJ28,"",IF(OR(BJ28="",NOT(ISNUMBER(BJ28)),ISERROR(BJ28),$B28=""),"",IF($I28=1,IFBLANK(_xldudf_CX_PUSH(BJ28*fxVal_normal,CX_ENTITY,$B28,BJ$11,BJ$14,BJ$19,),""),IF($I28=2,IFBLANK(_xldudf_CX_PUSH(BJ28,CX_ENTITY,$B28,BJ$11,BJ$14,BJ$19,),""),IF($I28=3,"",IFBLANK(_xldudf_CX_PUSH(BJ28,CX_ENTITY,$B28,BJ$11,BJ$14,BJ$19,),"")))))),"")</f>
        <v/>
      </c>
      <c r="ED28" s="1883" t="str" cm="1">
        <f t="array" ca="1" aca="1" ref="ED28">IFERROR(IF(BK28*fxVal_normal=_CF!BK28,"",IF(OR(BK28="",NOT(ISNUMBER(BK28)),ISERROR(BK28),$B28=""),"",IF($I28=1,IFBLANK(_xldudf_CX_PUSH(BK28*fxVal_normal,CX_ENTITY,$B28,BK$11,BK$14,BK$19,),""),IF($I28=2,IFBLANK(_xldudf_CX_PUSH(BK28,CX_ENTITY,$B28,BK$11,BK$14,BK$19,),""),IF($I28=3,"",IFBLANK(_xldudf_CX_PUSH(BK28,CX_ENTITY,$B28,BK$11,BK$14,BK$19,),"")))))),"")</f>
        <v/>
      </c>
      <c r="EE28" s="1883" t="str" cm="1">
        <f t="array" ca="1" aca="1" ref="EE28">IFERROR(IF(BL28*fxVal_normal=_CF!BL28,"",IF(OR(BL28="",NOT(ISNUMBER(BL28)),ISERROR(BL28),$B28=""),"",IF($I28=1,IFBLANK(_xldudf_CX_PUSH(BL28*fxVal_normal,CX_ENTITY,$B28,BL$11,BL$14,BL$19,),""),IF($I28=2,IFBLANK(_xldudf_CX_PUSH(BL28,CX_ENTITY,$B28,BL$11,BL$14,BL$19,),""),IF($I28=3,"",IFBLANK(_xldudf_CX_PUSH(BL28,CX_ENTITY,$B28,BL$11,BL$14,BL$19,),"")))))),"")</f>
        <v/>
      </c>
      <c r="EF28" s="1883" t="str" cm="1">
        <f t="array" ca="1" aca="1" ref="EF28">IFERROR(IF(BM28*fxVal_normal=_CF!BM28,"",IF(OR(BM28="",NOT(ISNUMBER(BM28)),ISERROR(BM28),$B28=""),"",IF($I28=1,IFBLANK(_xldudf_CX_PUSH(BM28*fxVal_normal,CX_ENTITY,$B28,BM$11,BM$14,BM$19,),""),IF($I28=2,IFBLANK(_xldudf_CX_PUSH(BM28,CX_ENTITY,$B28,BM$11,BM$14,BM$19,),""),IF($I28=3,"",IFBLANK(_xldudf_CX_PUSH(BM28,CX_ENTITY,$B28,BM$11,BM$14,BM$19,),"")))))),"")</f>
        <v/>
      </c>
      <c r="EG28" s="1883" t="str" cm="1">
        <f t="array" ca="1" aca="1" ref="EG28">IFERROR(IF(BN28*fxVal_normal=_CF!BN28,"",IF(OR(BN28="",NOT(ISNUMBER(BN28)),ISERROR(BN28),$B28=""),"",IF($I28=1,IFBLANK(_xldudf_CX_PUSH(BN28*fxVal_normal,CX_ENTITY,$B28,BN$11,BN$14,BN$19,),""),IF($I28=2,IFBLANK(_xldudf_CX_PUSH(BN28,CX_ENTITY,$B28,BN$11,BN$14,BN$19,),""),IF($I28=3,"",IFBLANK(_xldudf_CX_PUSH(BN28,CX_ENTITY,$B28,BN$11,BN$14,BN$19,),"")))))),"")</f>
        <v/>
      </c>
    </row>
    <row r="29" spans="1:137" ht="21" customHeight="1">
      <c r="A29" s="1626"/>
      <c r="B29" s="811" t="str" cm="1">
        <f t="array" ref="B29">IFBLANK(_CF!F29,"")</f>
        <v>Cash Interest Expense (CIE)</v>
      </c>
      <c r="C29" s="3346" t="str" cm="1">
        <f t="array" ref="C29">IFBLANK(_CF!C29,"")</f>
        <v>Cash Interest Expense (CIE) (Company View)</v>
      </c>
      <c r="D29" s="1549"/>
      <c r="E29" s="811"/>
      <c r="F29" s="574"/>
      <c r="G29" s="401"/>
      <c r="H29" s="401">
        <v>0</v>
      </c>
      <c r="I29" s="3280">
        <v>1</v>
      </c>
      <c r="J29" s="3280" cm="1">
        <f t="array" ref="J29">IFBLANK(Z29,"")</f>
        <v>1</v>
      </c>
      <c r="K29" s="401"/>
      <c r="N29" s="158"/>
      <c r="O29" s="101"/>
      <c r="P29" s="52"/>
      <c r="Q29" s="101"/>
      <c r="R29" s="126"/>
      <c r="S29" s="101"/>
      <c r="T29" s="101"/>
      <c r="U29" s="39"/>
      <c r="W29" s="932" t="str">
        <f t="shared" si="1"/>
        <v>Actual</v>
      </c>
      <c r="X29" s="815">
        <f>_CF!X29</f>
        <v>-1</v>
      </c>
      <c r="Y29" s="3183">
        <v>2</v>
      </c>
      <c r="Z29" s="3291" cm="1">
        <f t="array" ref="Z29">_xlfn.SWITCH(TRUE,_CF!$L29=TRUE,1,_CF!$L29=FALSE,-1,_CF!$L29=-1,0,"n/a")</f>
        <v>1</v>
      </c>
      <c r="AA29" s="200"/>
      <c r="AB29" s="3343" t="str">
        <f>_CF!AB29</f>
        <v>Cash Interest Expense (CIE)</v>
      </c>
      <c r="AC29" s="88" t="e" vm="5" cm="1">
        <f t="array" ca="1" aca="1" ref="AC29">_xlfn.LET(_xlpm._termname,$AB29,_xlpm._iconname,"find",_xlpm._icon,fx_getIcon(_xlpm._iconname),_xlpm._location,_xlfn.XLOOKUP(LOWER(_xlpm._termname),LOWER(tbl_acctDef[Term]),tbl_acctDef[Term]),_xlpm._hyperlink,HYPERLINK("#"&amp;CELL("address",_xlpm._location),_xlpm._icon),IFERROR(_xlpm._hyperlink,""))</f>
        <v>#VALUE!</v>
      </c>
      <c r="AD29" s="3232">
        <v>1</v>
      </c>
      <c r="AE29" s="3232">
        <v>1</v>
      </c>
      <c r="AF29" s="3232">
        <v>1</v>
      </c>
      <c r="AG29" s="3232">
        <v>1</v>
      </c>
      <c r="AH29" s="3232">
        <v>1</v>
      </c>
      <c r="AI29" s="3232">
        <v>1</v>
      </c>
      <c r="AJ29" s="3232">
        <v>1</v>
      </c>
      <c r="AK29" s="3232">
        <v>1</v>
      </c>
      <c r="AL29" s="3232">
        <v>1</v>
      </c>
      <c r="AM29" s="3232">
        <v>1</v>
      </c>
      <c r="AN29" s="3232">
        <v>1</v>
      </c>
      <c r="AO29" s="3232">
        <v>1</v>
      </c>
      <c r="AP29" s="3232">
        <v>1</v>
      </c>
      <c r="AQ29" s="3232">
        <v>1</v>
      </c>
      <c r="AR29" s="3232">
        <v>1</v>
      </c>
      <c r="AS29" s="3232">
        <v>1</v>
      </c>
      <c r="AT29" s="3232">
        <v>1</v>
      </c>
      <c r="AU29" s="3232">
        <v>1</v>
      </c>
      <c r="AV29" s="3232">
        <v>1</v>
      </c>
      <c r="AW29" s="3232">
        <v>1</v>
      </c>
      <c r="AX29" s="3232">
        <v>1</v>
      </c>
      <c r="AY29" s="3232">
        <v>1</v>
      </c>
      <c r="AZ29" s="3232">
        <v>1</v>
      </c>
      <c r="BA29" s="3232">
        <v>1</v>
      </c>
      <c r="BB29" s="3232">
        <v>1</v>
      </c>
      <c r="BC29" s="3232">
        <v>1</v>
      </c>
      <c r="BD29" s="3232">
        <v>1</v>
      </c>
      <c r="BE29" s="3232">
        <v>1</v>
      </c>
      <c r="BF29" s="3232">
        <v>1</v>
      </c>
      <c r="BG29" s="3232">
        <v>1</v>
      </c>
      <c r="BH29" s="3232">
        <v>1</v>
      </c>
      <c r="BI29" s="3232">
        <v>1</v>
      </c>
      <c r="BJ29" s="3232">
        <v>1</v>
      </c>
      <c r="BK29" s="3232">
        <v>1</v>
      </c>
      <c r="BL29" s="3232">
        <v>1</v>
      </c>
      <c r="BM29" s="3232">
        <v>1</v>
      </c>
      <c r="BN29" s="3232">
        <v>1</v>
      </c>
      <c r="BO29" s="2115"/>
      <c r="BP29" s="2115"/>
      <c r="BQ29" s="2115"/>
      <c r="BR29" s="2115"/>
      <c r="BS29" s="2115"/>
      <c r="BT29" s="2115"/>
      <c r="BU29" s="2115"/>
      <c r="BV29" s="2115"/>
      <c r="BW29" s="2115"/>
      <c r="BX29" s="2115"/>
      <c r="BY29" s="2115"/>
      <c r="BZ29" s="2115"/>
      <c r="CA29" s="1330"/>
      <c r="CB29" s="537"/>
      <c r="CC29" s="1484"/>
      <c r="CD29" s="1461" t="e" cm="1">
        <f t="array" ca="1" aca="1" ref="CD29">_xlfn.LET(_xlpm.CheckBlank,SUM(CF!$AD29:$BN29)=0,IF(_xlpm.CheckBlank,"",SUM(_xlfn._xlws.FILTER(CF!$AD29:$BN29,(YEAR(CF!$AD$12:$BN$12)=CF!CD$12)*(array_timeline&lt;=CF!CD$11)))))</f>
        <v>#NAME?</v>
      </c>
      <c r="CE29" s="1461" t="e" cm="1">
        <f t="array" ca="1" aca="1" ref="CE29">_xlfn.LET(_xlpm.CheckBlank,SUM(CF!$AD29:$BN29)=0,IF(_xlpm.CheckBlank,"",SUM(_xlfn._xlws.FILTER(CF!$AD29:$BN29,(YEAR(CF!$AD$12:$BN$12)=CF!CE$12)*(array_timeline&lt;=CF!CE$11)))))</f>
        <v>#NAME?</v>
      </c>
      <c r="CF29" s="1314"/>
      <c r="CG29" s="1461" t="e" cm="1">
        <f t="array" ca="1" aca="1" ref="CG29">_xlfn.LET(_xlpm.CheckBlank,SUM(CF!$AD29:$BN29)=0,IF(_xlpm.CheckBlank,"",SUM(_xlfn._xlws.FILTER(CF!$AD29:$BN29,(YEAR(CF!$AD$12:$BN$12)=CF!CG$12)*(array_timeline&lt;=CF!CG$11)))))</f>
        <v>#NAME?</v>
      </c>
      <c r="CH29" s="1461" t="e" cm="1">
        <f t="array" ca="1" aca="1" ref="CH29">_xlfn.LET(_xlpm.CheckBlank,SUM(CF!$AD29:$BN29)=0,IF(_xlpm.CheckBlank,"",SUM(_xlfn._xlws.FILTER(CF!$AD29:$BN29,(YEAR(CF!$AD$12:$BN$12)=CF!CH$12)*(array_timeline&lt;=CF!CH$11)))))</f>
        <v>#NAME?</v>
      </c>
      <c r="CI29" s="1314"/>
      <c r="CJ29" s="1461" cm="1">
        <f t="array" ref="CJ29">_xlfn.LET(_xlpm.CheckBlank,SUM(CF!$AD29:$BN29)=0,IF(_xlpm.CheckBlank,"",SUM(_xlfn.TAKE(_xlfn.DROP(CF!$AD29:$BN29,,-DATEDIFF(CF!CJ$11,val_asOfDate,"M")),1,-12))))</f>
        <v>12</v>
      </c>
      <c r="CK29" s="1461" cm="1">
        <f t="array" ref="CK29">_xlfn.LET(_xlpm.CheckBlank,SUM(CF!$AD29:$BN29)=0,IF(_xlpm.CheckBlank,"",SUM(_xlfn.TAKE(_xlfn.DROP(CF!$AD29:$BN29,,-DATEDIFF(CF!CK$11,val_asOfDate,"M")),1,-12))))</f>
        <v>12</v>
      </c>
      <c r="CL29" s="1314"/>
      <c r="CM29" s="3353" t="e" cm="1">
        <f t="array" ca="1" aca="1" ref="CM29">TODECIMAL(IFBLANK(_CF!CM29,""),fxVal_normal)</f>
        <v>#NAME?</v>
      </c>
      <c r="CN29" s="3353" t="e" cm="1">
        <f t="array" ca="1" aca="1" ref="CN29">TODECIMAL(IFBLANK(_CF!CN29,""),fxVal_normal)</f>
        <v>#NAME?</v>
      </c>
      <c r="CO29" s="34"/>
      <c r="CQ29" s="2085" t="str" cm="1">
        <f t="array" ca="1" aca="1" ref="CQ29">IFERROR(IF(Y29&lt;&gt;AB29,_xldudf_CX_PUSH(Y29,CX_ENTITY,C29,EOMONTH(val_asOfDate,0)),""),"")</f>
        <v/>
      </c>
      <c r="CR29" s="2085" t="str" cm="1">
        <f t="array" ca="1" aca="1" ref="CR29">IFERROR(IF(Y29&lt;&gt;AB29,_xldudf_CX_PUSH(Y29,CX_ENTITY,C29,EOMONTH(val_asOfDate,1)),""),"")</f>
        <v/>
      </c>
      <c r="CS29" s="2085" t="str" cm="1">
        <f t="array" ca="1" aca="1" ref="CS29">IFERROR(IF(Y29&lt;&gt;AB29,_xldudf_CX_PUSH(Y29,CX_ENTITY,C29,EOMONTH(val_asOfDate,2)),""),"")</f>
        <v/>
      </c>
      <c r="CT29" s="2085" t="str" cm="1">
        <f t="array" ca="1" aca="1" ref="CT29">IFERROR(IF(Y29&lt;&gt;AB29,_xldudf_CX_PUSH(Y29,CX_ENTITY,C29,EOMONTH(val_asOfDate,3)),""),"")</f>
        <v/>
      </c>
      <c r="CU29" s="2086" t="str" cm="1">
        <f t="array" ca="1" aca="1" ref="CU29">IFERROR(IF(CM29*fxVal_normal=_CF!CM29,"",IF(OR($CM29="",,NOT(ISNUMBER($CM29)),ISERROR($CM29),$B29=""),"",IF($I29=1,IFBLANK(_xldudf_CX_PUSH($CM29*fxVal_normal,CX_ENTITY,$B29,$CM$11,$CM$14,$CM$19,),""),IF($I29=2,IFBLANK(_xldudf_CX_PUSH($CM29,CX_ENTITY,$B29,$CM$11,$CM$14,$CM$19,),""),IF($I29=3,"",IFBLANK(_xldudf_CX_PUSH($CM29,CX_ENTITY,$B29,$CM$11,$CM$14,$CM$19,),"")))))),"")</f>
        <v/>
      </c>
      <c r="CV29" s="2086" t="str" cm="1">
        <f t="array" ca="1" aca="1" ref="CV29">IFERROR(IF(CN29*fxVal_normal=_CF!CN29,"",IF(OR($CN29="",,NOT(ISNUMBER($CN29)),ISERROR($CN29),$B29=""),"",IF($I29=1,IFBLANK(_xldudf_CX_PUSH($CN29*fxVal_normal,CX_ENTITY,$B29,$CN$11,$CN$14,$CN$19,),""),IF($I29=2,IFBLANK(_xldudf_CX_PUSH($CN29,CX_ENTITY,$B29,$CN$11,$CN$14,$CN$19,),""),IF($I29=3,"",IFBLANK(_xldudf_CX_PUSH($CN29,CX_ENTITY,$B29,$CN$11,$CN$14,$CN$19,),"")))))),"")</f>
        <v/>
      </c>
      <c r="CW29" s="1883" t="str" cm="1">
        <f t="array" ca="1" aca="1" ref="CW29">IFERROR(IF(AD29*fxVal_normal=_CF!AD29,"",IF(OR(AD29="",NOT(ISNUMBER(AD29)),ISERROR(AD29),$B29=""),"",IF($I29=1,IFBLANK(_xldudf_CX_PUSH(AD29*fxVal_normal,CX_ENTITY,$B29,AD$11,AD$14,AD$19,),""),IF($I29=2,IFBLANK(_xldudf_CX_PUSH(AD29,CX_ENTITY,$B29,AD$11,AD$14,AD$19,),""),IF($I29=3,"",IFBLANK(_xldudf_CX_PUSH(AD29,CX_ENTITY,$B29,AD$11,AD$14,AD$19,),"")))))),"")</f>
        <v/>
      </c>
      <c r="CX29" s="1883" t="str" cm="1">
        <f t="array" ca="1" aca="1" ref="CX29">IFERROR(IF(AE29*fxVal_normal=_CF!AE29,"",IF(OR(AE29="",NOT(ISNUMBER(AE29)),ISERROR(AE29),$B29=""),"",IF($I29=1,IFBLANK(_xldudf_CX_PUSH(AE29*fxVal_normal,CX_ENTITY,$B29,AE$11,AE$14,AE$19,),""),IF($I29=2,IFBLANK(_xldudf_CX_PUSH(AE29,CX_ENTITY,$B29,AE$11,AE$14,AE$19,),""),IF($I29=3,"",IFBLANK(_xldudf_CX_PUSH(AE29,CX_ENTITY,$B29,AE$11,AE$14,AE$19,),"")))))),"")</f>
        <v/>
      </c>
      <c r="CY29" s="1883" t="str" cm="1">
        <f t="array" ca="1" aca="1" ref="CY29">IFERROR(IF(AF29*fxVal_normal=_CF!AF29,"",IF(OR(AF29="",NOT(ISNUMBER(AF29)),ISERROR(AF29),$B29=""),"",IF($I29=1,IFBLANK(_xldudf_CX_PUSH(AF29*fxVal_normal,CX_ENTITY,$B29,AF$11,AF$14,AF$19,),""),IF($I29=2,IFBLANK(_xldudf_CX_PUSH(AF29,CX_ENTITY,$B29,AF$11,AF$14,AF$19,),""),IF($I29=3,"",IFBLANK(_xldudf_CX_PUSH(AF29,CX_ENTITY,$B29,AF$11,AF$14,AF$19,),"")))))),"")</f>
        <v/>
      </c>
      <c r="CZ29" s="1883" t="str" cm="1">
        <f t="array" ca="1" aca="1" ref="CZ29">IFERROR(IF(AG29*fxVal_normal=_CF!AG29,"",IF(OR(AG29="",NOT(ISNUMBER(AG29)),ISERROR(AG29),$B29=""),"",IF($I29=1,IFBLANK(_xldudf_CX_PUSH(AG29*fxVal_normal,CX_ENTITY,$B29,AG$11,AG$14,AG$19,),""),IF($I29=2,IFBLANK(_xldudf_CX_PUSH(AG29,CX_ENTITY,$B29,AG$11,AG$14,AG$19,),""),IF($I29=3,"",IFBLANK(_xldudf_CX_PUSH(AG29,CX_ENTITY,$B29,AG$11,AG$14,AG$19,),"")))))),"")</f>
        <v/>
      </c>
      <c r="DA29" s="1883" t="str" cm="1">
        <f t="array" ca="1" aca="1" ref="DA29">IFERROR(IF(AH29*fxVal_normal=_CF!AH29,"",IF(OR(AH29="",NOT(ISNUMBER(AH29)),ISERROR(AH29),$B29=""),"",IF($I29=1,IFBLANK(_xldudf_CX_PUSH(AH29*fxVal_normal,CX_ENTITY,$B29,AH$11,AH$14,AH$19,),""),IF($I29=2,IFBLANK(_xldudf_CX_PUSH(AH29,CX_ENTITY,$B29,AH$11,AH$14,AH$19,),""),IF($I29=3,"",IFBLANK(_xldudf_CX_PUSH(AH29,CX_ENTITY,$B29,AH$11,AH$14,AH$19,),"")))))),"")</f>
        <v/>
      </c>
      <c r="DB29" s="1883" t="str" cm="1">
        <f t="array" ca="1" aca="1" ref="DB29">IFERROR(IF(AI29*fxVal_normal=_CF!AI29,"",IF(OR(AI29="",NOT(ISNUMBER(AI29)),ISERROR(AI29),$B29=""),"",IF($I29=1,IFBLANK(_xldudf_CX_PUSH(AI29*fxVal_normal,CX_ENTITY,$B29,AI$11,AI$14,AI$19,),""),IF($I29=2,IFBLANK(_xldudf_CX_PUSH(AI29,CX_ENTITY,$B29,AI$11,AI$14,AI$19,),""),IF($I29=3,"",IFBLANK(_xldudf_CX_PUSH(AI29,CX_ENTITY,$B29,AI$11,AI$14,AI$19,),"")))))),"")</f>
        <v/>
      </c>
      <c r="DC29" s="1883" t="str" cm="1">
        <f t="array" ca="1" aca="1" ref="DC29">IFERROR(IF(AJ29*fxVal_normal=_CF!AJ29,"",IF(OR(AJ29="",NOT(ISNUMBER(AJ29)),ISERROR(AJ29),$B29=""),"",IF($I29=1,IFBLANK(_xldudf_CX_PUSH(AJ29*fxVal_normal,CX_ENTITY,$B29,AJ$11,AJ$14,AJ$19,),""),IF($I29=2,IFBLANK(_xldudf_CX_PUSH(AJ29,CX_ENTITY,$B29,AJ$11,AJ$14,AJ$19,),""),IF($I29=3,"",IFBLANK(_xldudf_CX_PUSH(AJ29,CX_ENTITY,$B29,AJ$11,AJ$14,AJ$19,),"")))))),"")</f>
        <v/>
      </c>
      <c r="DD29" s="1883" t="str" cm="1">
        <f t="array" ca="1" aca="1" ref="DD29">IFERROR(IF(AK29*fxVal_normal=_CF!AK29,"",IF(OR(AK29="",NOT(ISNUMBER(AK29)),ISERROR(AK29),$B29=""),"",IF($I29=1,IFBLANK(_xldudf_CX_PUSH(AK29*fxVal_normal,CX_ENTITY,$B29,AK$11,AK$14,AK$19,),""),IF($I29=2,IFBLANK(_xldudf_CX_PUSH(AK29,CX_ENTITY,$B29,AK$11,AK$14,AK$19,),""),IF($I29=3,"",IFBLANK(_xldudf_CX_PUSH(AK29,CX_ENTITY,$B29,AK$11,AK$14,AK$19,),"")))))),"")</f>
        <v/>
      </c>
      <c r="DE29" s="1883" t="str" cm="1">
        <f t="array" ca="1" aca="1" ref="DE29">IFERROR(IF(AL29*fxVal_normal=_CF!AL29,"",IF(OR(AL29="",NOT(ISNUMBER(AL29)),ISERROR(AL29),$B29=""),"",IF($I29=1,IFBLANK(_xldudf_CX_PUSH(AL29*fxVal_normal,CX_ENTITY,$B29,AL$11,AL$14,AL$19,),""),IF($I29=2,IFBLANK(_xldudf_CX_PUSH(AL29,CX_ENTITY,$B29,AL$11,AL$14,AL$19,),""),IF($I29=3,"",IFBLANK(_xldudf_CX_PUSH(AL29,CX_ENTITY,$B29,AL$11,AL$14,AL$19,),"")))))),"")</f>
        <v/>
      </c>
      <c r="DF29" s="1883" t="str" cm="1">
        <f t="array" ca="1" aca="1" ref="DF29">IFERROR(IF(AM29*fxVal_normal=_CF!AM29,"",IF(OR(AM29="",NOT(ISNUMBER(AM29)),ISERROR(AM29),$B29=""),"",IF($I29=1,IFBLANK(_xldudf_CX_PUSH(AM29*fxVal_normal,CX_ENTITY,$B29,AM$11,AM$14,AM$19,),""),IF($I29=2,IFBLANK(_xldudf_CX_PUSH(AM29,CX_ENTITY,$B29,AM$11,AM$14,AM$19,),""),IF($I29=3,"",IFBLANK(_xldudf_CX_PUSH(AM29,CX_ENTITY,$B29,AM$11,AM$14,AM$19,),"")))))),"")</f>
        <v/>
      </c>
      <c r="DG29" s="1883" t="str" cm="1">
        <f t="array" ca="1" aca="1" ref="DG29">IFERROR(IF(AN29*fxVal_normal=_CF!AN29,"",IF(OR(AN29="",NOT(ISNUMBER(AN29)),ISERROR(AN29),$B29=""),"",IF($I29=1,IFBLANK(_xldudf_CX_PUSH(AN29*fxVal_normal,CX_ENTITY,$B29,AN$11,AN$14,AN$19,),""),IF($I29=2,IFBLANK(_xldudf_CX_PUSH(AN29,CX_ENTITY,$B29,AN$11,AN$14,AN$19,),""),IF($I29=3,"",IFBLANK(_xldudf_CX_PUSH(AN29,CX_ENTITY,$B29,AN$11,AN$14,AN$19,),"")))))),"")</f>
        <v/>
      </c>
      <c r="DH29" s="1883" t="str" cm="1">
        <f t="array" ca="1" aca="1" ref="DH29">IFERROR(IF(AO29*fxVal_normal=_CF!AO29,"",IF(OR(AO29="",NOT(ISNUMBER(AO29)),ISERROR(AO29),$B29=""),"",IF($I29=1,IFBLANK(_xldudf_CX_PUSH(AO29*fxVal_normal,CX_ENTITY,$B29,AO$11,AO$14,AO$19,),""),IF($I29=2,IFBLANK(_xldudf_CX_PUSH(AO29,CX_ENTITY,$B29,AO$11,AO$14,AO$19,),""),IF($I29=3,"",IFBLANK(_xldudf_CX_PUSH(AO29,CX_ENTITY,$B29,AO$11,AO$14,AO$19,),"")))))),"")</f>
        <v/>
      </c>
      <c r="DI29" s="1883" t="str" cm="1">
        <f t="array" ca="1" aca="1" ref="DI29">IFERROR(IF(AP29*fxVal_normal=_CF!AP29,"",IF(OR(AP29="",NOT(ISNUMBER(AP29)),ISERROR(AP29),$B29=""),"",IF($I29=1,IFBLANK(_xldudf_CX_PUSH(AP29*fxVal_normal,CX_ENTITY,$B29,AP$11,AP$14,AP$19,),""),IF($I29=2,IFBLANK(_xldudf_CX_PUSH(AP29,CX_ENTITY,$B29,AP$11,AP$14,AP$19,),""),IF($I29=3,"",IFBLANK(_xldudf_CX_PUSH(AP29,CX_ENTITY,$B29,AP$11,AP$14,AP$19,),"")))))),"")</f>
        <v/>
      </c>
      <c r="DJ29" s="1883" t="str" cm="1">
        <f t="array" ca="1" aca="1" ref="DJ29">IFERROR(IF(AQ29*fxVal_normal=_CF!AQ29,"",IF(OR(AQ29="",NOT(ISNUMBER(AQ29)),ISERROR(AQ29),$B29=""),"",IF($I29=1,IFBLANK(_xldudf_CX_PUSH(AQ29*fxVal_normal,CX_ENTITY,$B29,AQ$11,AQ$14,AQ$19,),""),IF($I29=2,IFBLANK(_xldudf_CX_PUSH(AQ29,CX_ENTITY,$B29,AQ$11,AQ$14,AQ$19,),""),IF($I29=3,"",IFBLANK(_xldudf_CX_PUSH(AQ29,CX_ENTITY,$B29,AQ$11,AQ$14,AQ$19,),"")))))),"")</f>
        <v/>
      </c>
      <c r="DK29" s="1883" t="str" cm="1">
        <f t="array" ca="1" aca="1" ref="DK29">IFERROR(IF(AR29*fxVal_normal=_CF!AR29,"",IF(OR(AR29="",NOT(ISNUMBER(AR29)),ISERROR(AR29),$B29=""),"",IF($I29=1,IFBLANK(_xldudf_CX_PUSH(AR29*fxVal_normal,CX_ENTITY,$B29,AR$11,AR$14,AR$19,),""),IF($I29=2,IFBLANK(_xldudf_CX_PUSH(AR29,CX_ENTITY,$B29,AR$11,AR$14,AR$19,),""),IF($I29=3,"",IFBLANK(_xldudf_CX_PUSH(AR29,CX_ENTITY,$B29,AR$11,AR$14,AR$19,),"")))))),"")</f>
        <v/>
      </c>
      <c r="DL29" s="1883" t="str" cm="1">
        <f t="array" ca="1" aca="1" ref="DL29">IFERROR(IF(AS29*fxVal_normal=_CF!AS29,"",IF(OR(AS29="",NOT(ISNUMBER(AS29)),ISERROR(AS29),$B29=""),"",IF($I29=1,IFBLANK(_xldudf_CX_PUSH(AS29*fxVal_normal,CX_ENTITY,$B29,AS$11,AS$14,AS$19,),""),IF($I29=2,IFBLANK(_xldudf_CX_PUSH(AS29,CX_ENTITY,$B29,AS$11,AS$14,AS$19,),""),IF($I29=3,"",IFBLANK(_xldudf_CX_PUSH(AS29,CX_ENTITY,$B29,AS$11,AS$14,AS$19,),"")))))),"")</f>
        <v/>
      </c>
      <c r="DM29" s="1883" t="str" cm="1">
        <f t="array" ca="1" aca="1" ref="DM29">IFERROR(IF(AT29*fxVal_normal=_CF!AT29,"",IF(OR(AT29="",NOT(ISNUMBER(AT29)),ISERROR(AT29),$B29=""),"",IF($I29=1,IFBLANK(_xldudf_CX_PUSH(AT29*fxVal_normal,CX_ENTITY,$B29,AT$11,AT$14,AT$19,),""),IF($I29=2,IFBLANK(_xldudf_CX_PUSH(AT29,CX_ENTITY,$B29,AT$11,AT$14,AT$19,),""),IF($I29=3,"",IFBLANK(_xldudf_CX_PUSH(AT29,CX_ENTITY,$B29,AT$11,AT$14,AT$19,),"")))))),"")</f>
        <v/>
      </c>
      <c r="DN29" s="1883" t="str" cm="1">
        <f t="array" ca="1" aca="1" ref="DN29">IFERROR(IF(AU29*fxVal_normal=_CF!AU29,"",IF(OR(AU29="",NOT(ISNUMBER(AU29)),ISERROR(AU29),$B29=""),"",IF($I29=1,IFBLANK(_xldudf_CX_PUSH(AU29*fxVal_normal,CX_ENTITY,$B29,AU$11,AU$14,AU$19,),""),IF($I29=2,IFBLANK(_xldudf_CX_PUSH(AU29,CX_ENTITY,$B29,AU$11,AU$14,AU$19,),""),IF($I29=3,"",IFBLANK(_xldudf_CX_PUSH(AU29,CX_ENTITY,$B29,AU$11,AU$14,AU$19,),"")))))),"")</f>
        <v/>
      </c>
      <c r="DO29" s="1883" t="str" cm="1">
        <f t="array" ca="1" aca="1" ref="DO29">IFERROR(IF(AV29*fxVal_normal=_CF!AV29,"",IF(OR(AV29="",NOT(ISNUMBER(AV29)),ISERROR(AV29),$B29=""),"",IF($I29=1,IFBLANK(_xldudf_CX_PUSH(AV29*fxVal_normal,CX_ENTITY,$B29,AV$11,AV$14,AV$19,),""),IF($I29=2,IFBLANK(_xldudf_CX_PUSH(AV29,CX_ENTITY,$B29,AV$11,AV$14,AV$19,),""),IF($I29=3,"",IFBLANK(_xldudf_CX_PUSH(AV29,CX_ENTITY,$B29,AV$11,AV$14,AV$19,),"")))))),"")</f>
        <v/>
      </c>
      <c r="DP29" s="1883" t="str" cm="1">
        <f t="array" ca="1" aca="1" ref="DP29">IFERROR(IF(AW29*fxVal_normal=_CF!AW29,"",IF(OR(AW29="",NOT(ISNUMBER(AW29)),ISERROR(AW29),$B29=""),"",IF($I29=1,IFBLANK(_xldudf_CX_PUSH(AW29*fxVal_normal,CX_ENTITY,$B29,AW$11,AW$14,AW$19,),""),IF($I29=2,IFBLANK(_xldudf_CX_PUSH(AW29,CX_ENTITY,$B29,AW$11,AW$14,AW$19,),""),IF($I29=3,"",IFBLANK(_xldudf_CX_PUSH(AW29,CX_ENTITY,$B29,AW$11,AW$14,AW$19,),"")))))),"")</f>
        <v/>
      </c>
      <c r="DQ29" s="1883" t="str" cm="1">
        <f t="array" ca="1" aca="1" ref="DQ29">IFERROR(IF(AX29*fxVal_normal=_CF!AX29,"",IF(OR(AX29="",NOT(ISNUMBER(AX29)),ISERROR(AX29),$B29=""),"",IF($I29=1,IFBLANK(_xldudf_CX_PUSH(AX29*fxVal_normal,CX_ENTITY,$B29,AX$11,AX$14,AX$19,),""),IF($I29=2,IFBLANK(_xldudf_CX_PUSH(AX29,CX_ENTITY,$B29,AX$11,AX$14,AX$19,),""),IF($I29=3,"",IFBLANK(_xldudf_CX_PUSH(AX29,CX_ENTITY,$B29,AX$11,AX$14,AX$19,),"")))))),"")</f>
        <v/>
      </c>
      <c r="DR29" s="1883" t="str" cm="1">
        <f t="array" ca="1" aca="1" ref="DR29">IFERROR(IF(AY29*fxVal_normal=_CF!AY29,"",IF(OR(AY29="",NOT(ISNUMBER(AY29)),ISERROR(AY29),$B29=""),"",IF($I29=1,IFBLANK(_xldudf_CX_PUSH(AY29*fxVal_normal,CX_ENTITY,$B29,AY$11,AY$14,AY$19,),""),IF($I29=2,IFBLANK(_xldudf_CX_PUSH(AY29,CX_ENTITY,$B29,AY$11,AY$14,AY$19,),""),IF($I29=3,"",IFBLANK(_xldudf_CX_PUSH(AY29,CX_ENTITY,$B29,AY$11,AY$14,AY$19,),"")))))),"")</f>
        <v/>
      </c>
      <c r="DS29" s="1883" t="str" cm="1">
        <f t="array" ca="1" aca="1" ref="DS29">IFERROR(IF(AZ29*fxVal_normal=_CF!AZ29,"",IF(OR(AZ29="",NOT(ISNUMBER(AZ29)),ISERROR(AZ29),$B29=""),"",IF($I29=1,IFBLANK(_xldudf_CX_PUSH(AZ29*fxVal_normal,CX_ENTITY,$B29,AZ$11,AZ$14,AZ$19,),""),IF($I29=2,IFBLANK(_xldudf_CX_PUSH(AZ29,CX_ENTITY,$B29,AZ$11,AZ$14,AZ$19,),""),IF($I29=3,"",IFBLANK(_xldudf_CX_PUSH(AZ29,CX_ENTITY,$B29,AZ$11,AZ$14,AZ$19,),"")))))),"")</f>
        <v/>
      </c>
      <c r="DT29" s="1883" t="str" cm="1">
        <f t="array" ca="1" aca="1" ref="DT29">IFERROR(IF(BA29*fxVal_normal=_CF!BA29,"",IF(OR(BA29="",NOT(ISNUMBER(BA29)),ISERROR(BA29),$B29=""),"",IF($I29=1,IFBLANK(_xldudf_CX_PUSH(BA29*fxVal_normal,CX_ENTITY,$B29,BA$11,BA$14,BA$19,),""),IF($I29=2,IFBLANK(_xldudf_CX_PUSH(BA29,CX_ENTITY,$B29,BA$11,BA$14,BA$19,),""),IF($I29=3,"",IFBLANK(_xldudf_CX_PUSH(BA29,CX_ENTITY,$B29,BA$11,BA$14,BA$19,),"")))))),"")</f>
        <v/>
      </c>
      <c r="DU29" s="1883" t="str" cm="1">
        <f t="array" ca="1" aca="1" ref="DU29">IFERROR(IF(BB29*fxVal_normal=_CF!BB29,"",IF(OR(BB29="",NOT(ISNUMBER(BB29)),ISERROR(BB29),$B29=""),"",IF($I29=1,IFBLANK(_xldudf_CX_PUSH(BB29*fxVal_normal,CX_ENTITY,$B29,BB$11,BB$14,BB$19,),""),IF($I29=2,IFBLANK(_xldudf_CX_PUSH(BB29,CX_ENTITY,$B29,BB$11,BB$14,BB$19,),""),IF($I29=3,"",IFBLANK(_xldudf_CX_PUSH(BB29,CX_ENTITY,$B29,BB$11,BB$14,BB$19,),"")))))),"")</f>
        <v/>
      </c>
      <c r="DV29" s="1883" t="str" cm="1">
        <f t="array" ca="1" aca="1" ref="DV29">IFERROR(IF(BC29*fxVal_normal=_CF!BC29,"",IF(OR(BC29="",NOT(ISNUMBER(BC29)),ISERROR(BC29),$B29=""),"",IF($I29=1,IFBLANK(_xldudf_CX_PUSH(BC29*fxVal_normal,CX_ENTITY,$B29,BC$11,BC$14,BC$19,),""),IF($I29=2,IFBLANK(_xldudf_CX_PUSH(BC29,CX_ENTITY,$B29,BC$11,BC$14,BC$19,),""),IF($I29=3,"",IFBLANK(_xldudf_CX_PUSH(BC29,CX_ENTITY,$B29,BC$11,BC$14,BC$19,),"")))))),"")</f>
        <v/>
      </c>
      <c r="DW29" s="1883" t="str" cm="1">
        <f t="array" ca="1" aca="1" ref="DW29">IFERROR(IF(BD29*fxVal_normal=_CF!BD29,"",IF(OR(BD29="",NOT(ISNUMBER(BD29)),ISERROR(BD29),$B29=""),"",IF($I29=1,IFBLANK(_xldudf_CX_PUSH(BD29*fxVal_normal,CX_ENTITY,$B29,BD$11,BD$14,BD$19,),""),IF($I29=2,IFBLANK(_xldudf_CX_PUSH(BD29,CX_ENTITY,$B29,BD$11,BD$14,BD$19,),""),IF($I29=3,"",IFBLANK(_xldudf_CX_PUSH(BD29,CX_ENTITY,$B29,BD$11,BD$14,BD$19,),"")))))),"")</f>
        <v/>
      </c>
      <c r="DX29" s="1883" t="str" cm="1">
        <f t="array" ca="1" aca="1" ref="DX29">IFERROR(IF(BE29*fxVal_normal=_CF!BE29,"",IF(OR(BE29="",NOT(ISNUMBER(BE29)),ISERROR(BE29),$B29=""),"",IF($I29=1,IFBLANK(_xldudf_CX_PUSH(BE29*fxVal_normal,CX_ENTITY,$B29,BE$11,BE$14,BE$19,),""),IF($I29=2,IFBLANK(_xldudf_CX_PUSH(BE29,CX_ENTITY,$B29,BE$11,BE$14,BE$19,),""),IF($I29=3,"",IFBLANK(_xldudf_CX_PUSH(BE29,CX_ENTITY,$B29,BE$11,BE$14,BE$19,),"")))))),"")</f>
        <v/>
      </c>
      <c r="DY29" s="1883" t="str" cm="1">
        <f t="array" ca="1" aca="1" ref="DY29">IFERROR(IF(BF29*fxVal_normal=_CF!BF29,"",IF(OR(BF29="",NOT(ISNUMBER(BF29)),ISERROR(BF29),$B29=""),"",IF($I29=1,IFBLANK(_xldudf_CX_PUSH(BF29*fxVal_normal,CX_ENTITY,$B29,BF$11,BF$14,BF$19,),""),IF($I29=2,IFBLANK(_xldudf_CX_PUSH(BF29,CX_ENTITY,$B29,BF$11,BF$14,BF$19,),""),IF($I29=3,"",IFBLANK(_xldudf_CX_PUSH(BF29,CX_ENTITY,$B29,BF$11,BF$14,BF$19,),"")))))),"")</f>
        <v/>
      </c>
      <c r="DZ29" s="1883" t="str" cm="1">
        <f t="array" ca="1" aca="1" ref="DZ29">IFERROR(IF(BG29*fxVal_normal=_CF!BG29,"",IF(OR(BG29="",NOT(ISNUMBER(BG29)),ISERROR(BG29),$B29=""),"",IF($I29=1,IFBLANK(_xldudf_CX_PUSH(BG29*fxVal_normal,CX_ENTITY,$B29,BG$11,BG$14,BG$19,),""),IF($I29=2,IFBLANK(_xldudf_CX_PUSH(BG29,CX_ENTITY,$B29,BG$11,BG$14,BG$19,),""),IF($I29=3,"",IFBLANK(_xldudf_CX_PUSH(BG29,CX_ENTITY,$B29,BG$11,BG$14,BG$19,),"")))))),"")</f>
        <v/>
      </c>
      <c r="EA29" s="1883" t="str" cm="1">
        <f t="array" ca="1" aca="1" ref="EA29">IFERROR(IF(BH29*fxVal_normal=_CF!BH29,"",IF(OR(BH29="",NOT(ISNUMBER(BH29)),ISERROR(BH29),$B29=""),"",IF($I29=1,IFBLANK(_xldudf_CX_PUSH(BH29*fxVal_normal,CX_ENTITY,$B29,BH$11,BH$14,BH$19,),""),IF($I29=2,IFBLANK(_xldudf_CX_PUSH(BH29,CX_ENTITY,$B29,BH$11,BH$14,BH$19,),""),IF($I29=3,"",IFBLANK(_xldudf_CX_PUSH(BH29,CX_ENTITY,$B29,BH$11,BH$14,BH$19,),"")))))),"")</f>
        <v/>
      </c>
      <c r="EB29" s="1883" t="str" cm="1">
        <f t="array" ca="1" aca="1" ref="EB29">IFERROR(IF(BI29*fxVal_normal=_CF!BI29,"",IF(OR(BI29="",NOT(ISNUMBER(BI29)),ISERROR(BI29),$B29=""),"",IF($I29=1,IFBLANK(_xldudf_CX_PUSH(BI29*fxVal_normal,CX_ENTITY,$B29,BI$11,BI$14,BI$19,),""),IF($I29=2,IFBLANK(_xldudf_CX_PUSH(BI29,CX_ENTITY,$B29,BI$11,BI$14,BI$19,),""),IF($I29=3,"",IFBLANK(_xldudf_CX_PUSH(BI29,CX_ENTITY,$B29,BI$11,BI$14,BI$19,),"")))))),"")</f>
        <v/>
      </c>
      <c r="EC29" s="1883" t="str" cm="1">
        <f t="array" ca="1" aca="1" ref="EC29">IFERROR(IF(BJ29*fxVal_normal=_CF!BJ29,"",IF(OR(BJ29="",NOT(ISNUMBER(BJ29)),ISERROR(BJ29),$B29=""),"",IF($I29=1,IFBLANK(_xldudf_CX_PUSH(BJ29*fxVal_normal,CX_ENTITY,$B29,BJ$11,BJ$14,BJ$19,),""),IF($I29=2,IFBLANK(_xldudf_CX_PUSH(BJ29,CX_ENTITY,$B29,BJ$11,BJ$14,BJ$19,),""),IF($I29=3,"",IFBLANK(_xldudf_CX_PUSH(BJ29,CX_ENTITY,$B29,BJ$11,BJ$14,BJ$19,),"")))))),"")</f>
        <v/>
      </c>
      <c r="ED29" s="1883" t="str" cm="1">
        <f t="array" ca="1" aca="1" ref="ED29">IFERROR(IF(BK29*fxVal_normal=_CF!BK29,"",IF(OR(BK29="",NOT(ISNUMBER(BK29)),ISERROR(BK29),$B29=""),"",IF($I29=1,IFBLANK(_xldudf_CX_PUSH(BK29*fxVal_normal,CX_ENTITY,$B29,BK$11,BK$14,BK$19,),""),IF($I29=2,IFBLANK(_xldudf_CX_PUSH(BK29,CX_ENTITY,$B29,BK$11,BK$14,BK$19,),""),IF($I29=3,"",IFBLANK(_xldudf_CX_PUSH(BK29,CX_ENTITY,$B29,BK$11,BK$14,BK$19,),"")))))),"")</f>
        <v/>
      </c>
      <c r="EE29" s="1883" t="str" cm="1">
        <f t="array" ca="1" aca="1" ref="EE29">IFERROR(IF(BL29*fxVal_normal=_CF!BL29,"",IF(OR(BL29="",NOT(ISNUMBER(BL29)),ISERROR(BL29),$B29=""),"",IF($I29=1,IFBLANK(_xldudf_CX_PUSH(BL29*fxVal_normal,CX_ENTITY,$B29,BL$11,BL$14,BL$19,),""),IF($I29=2,IFBLANK(_xldudf_CX_PUSH(BL29,CX_ENTITY,$B29,BL$11,BL$14,BL$19,),""),IF($I29=3,"",IFBLANK(_xldudf_CX_PUSH(BL29,CX_ENTITY,$B29,BL$11,BL$14,BL$19,),"")))))),"")</f>
        <v/>
      </c>
      <c r="EF29" s="1883" t="str" cm="1">
        <f t="array" ca="1" aca="1" ref="EF29">IFERROR(IF(BM29*fxVal_normal=_CF!BM29,"",IF(OR(BM29="",NOT(ISNUMBER(BM29)),ISERROR(BM29),$B29=""),"",IF($I29=1,IFBLANK(_xldudf_CX_PUSH(BM29*fxVal_normal,CX_ENTITY,$B29,BM$11,BM$14,BM$19,),""),IF($I29=2,IFBLANK(_xldudf_CX_PUSH(BM29,CX_ENTITY,$B29,BM$11,BM$14,BM$19,),""),IF($I29=3,"",IFBLANK(_xldudf_CX_PUSH(BM29,CX_ENTITY,$B29,BM$11,BM$14,BM$19,),"")))))),"")</f>
        <v/>
      </c>
      <c r="EG29" s="1883" t="str" cm="1">
        <f t="array" ca="1" aca="1" ref="EG29">IFERROR(IF(BN29*fxVal_normal=_CF!BN29,"",IF(OR(BN29="",NOT(ISNUMBER(BN29)),ISERROR(BN29),$B29=""),"",IF($I29=1,IFBLANK(_xldudf_CX_PUSH(BN29*fxVal_normal,CX_ENTITY,$B29,BN$11,BN$14,BN$19,),""),IF($I29=2,IFBLANK(_xldudf_CX_PUSH(BN29,CX_ENTITY,$B29,BN$11,BN$14,BN$19,),""),IF($I29=3,"",IFBLANK(_xldudf_CX_PUSH(BN29,CX_ENTITY,$B29,BN$11,BN$14,BN$19,),"")))))),"")</f>
        <v/>
      </c>
    </row>
    <row r="30" spans="1:137" ht="21" customHeight="1">
      <c r="A30" s="1626"/>
      <c r="B30" s="811" t="str" cm="1">
        <f t="array" ref="B30">IFBLANK(_CF!F30,"")</f>
        <v>Principal Repayments</v>
      </c>
      <c r="C30" s="3346" t="str" cm="1">
        <f t="array" ref="C30">IFBLANK(_CF!C30,"")</f>
        <v>Principal Repayments (Company View)</v>
      </c>
      <c r="D30" s="1549"/>
      <c r="E30" s="811"/>
      <c r="F30" s="574"/>
      <c r="G30" s="401"/>
      <c r="H30" s="401">
        <v>0</v>
      </c>
      <c r="I30" s="3280">
        <v>1</v>
      </c>
      <c r="J30" s="3280" cm="1">
        <f t="array" ref="J30">IFBLANK(Z30,"")</f>
        <v>1</v>
      </c>
      <c r="K30" s="401"/>
      <c r="N30" s="158"/>
      <c r="O30" s="101"/>
      <c r="P30" s="52"/>
      <c r="Q30" s="101"/>
      <c r="R30" s="126"/>
      <c r="S30" s="101"/>
      <c r="T30" s="101"/>
      <c r="U30" s="39"/>
      <c r="W30" s="932" t="str">
        <f t="shared" si="1"/>
        <v>Actual</v>
      </c>
      <c r="X30" s="815">
        <f>_CF!X30</f>
        <v>-1</v>
      </c>
      <c r="Y30" s="3183">
        <v>2</v>
      </c>
      <c r="Z30" s="3291" cm="1">
        <f t="array" ref="Z30">_xlfn.SWITCH(TRUE,_CF!$L30=TRUE,1,_CF!$L30=FALSE,-1,_CF!$L30=-1,0,"n/a")</f>
        <v>1</v>
      </c>
      <c r="AA30" s="200"/>
      <c r="AB30" s="3343" t="str">
        <f>_CF!AB30</f>
        <v>Principal Repayments</v>
      </c>
      <c r="AC30" s="88" t="e" vm="5" cm="1">
        <f t="array" ca="1" aca="1" ref="AC30">_xlfn.LET(_xlpm._termname,$AB30,_xlpm._iconname,"find",_xlpm._icon,fx_getIcon(_xlpm._iconname),_xlpm._location,_xlfn.XLOOKUP(LOWER(_xlpm._termname),LOWER(tbl_acctDef[Term]),tbl_acctDef[Term]),_xlpm._hyperlink,HYPERLINK("#"&amp;CELL("address",_xlpm._location),_xlpm._icon),IFERROR(_xlpm._hyperlink,""))</f>
        <v>#VALUE!</v>
      </c>
      <c r="AD30" s="3232">
        <v>1</v>
      </c>
      <c r="AE30" s="3232">
        <v>1</v>
      </c>
      <c r="AF30" s="3232">
        <v>1</v>
      </c>
      <c r="AG30" s="3232">
        <v>1</v>
      </c>
      <c r="AH30" s="3232">
        <v>1</v>
      </c>
      <c r="AI30" s="3232">
        <v>1</v>
      </c>
      <c r="AJ30" s="3232">
        <v>1</v>
      </c>
      <c r="AK30" s="3232">
        <v>1</v>
      </c>
      <c r="AL30" s="3232">
        <v>1</v>
      </c>
      <c r="AM30" s="3232">
        <v>1</v>
      </c>
      <c r="AN30" s="3232">
        <v>1</v>
      </c>
      <c r="AO30" s="3232">
        <v>1</v>
      </c>
      <c r="AP30" s="3232">
        <v>1</v>
      </c>
      <c r="AQ30" s="3232">
        <v>1</v>
      </c>
      <c r="AR30" s="3232">
        <v>1</v>
      </c>
      <c r="AS30" s="3232">
        <v>1</v>
      </c>
      <c r="AT30" s="3232">
        <v>1</v>
      </c>
      <c r="AU30" s="3232">
        <v>1</v>
      </c>
      <c r="AV30" s="3232">
        <v>1</v>
      </c>
      <c r="AW30" s="3232">
        <v>1</v>
      </c>
      <c r="AX30" s="3232">
        <v>1</v>
      </c>
      <c r="AY30" s="3232">
        <v>1</v>
      </c>
      <c r="AZ30" s="3232">
        <v>1</v>
      </c>
      <c r="BA30" s="3232">
        <v>1</v>
      </c>
      <c r="BB30" s="3232">
        <v>1</v>
      </c>
      <c r="BC30" s="3232">
        <v>1</v>
      </c>
      <c r="BD30" s="3232">
        <v>1</v>
      </c>
      <c r="BE30" s="3232">
        <v>1</v>
      </c>
      <c r="BF30" s="3232">
        <v>1</v>
      </c>
      <c r="BG30" s="3232">
        <v>1</v>
      </c>
      <c r="BH30" s="3232">
        <v>1</v>
      </c>
      <c r="BI30" s="3232">
        <v>1</v>
      </c>
      <c r="BJ30" s="3232">
        <v>1</v>
      </c>
      <c r="BK30" s="3232">
        <v>1</v>
      </c>
      <c r="BL30" s="3232">
        <v>1</v>
      </c>
      <c r="BM30" s="3232">
        <v>1</v>
      </c>
      <c r="BN30" s="3232">
        <v>1</v>
      </c>
      <c r="BO30" s="2115"/>
      <c r="BP30" s="2115"/>
      <c r="BQ30" s="2115"/>
      <c r="BR30" s="2115"/>
      <c r="BS30" s="2115"/>
      <c r="BT30" s="2115"/>
      <c r="BU30" s="2115"/>
      <c r="BV30" s="2115"/>
      <c r="BW30" s="2115"/>
      <c r="BX30" s="2115"/>
      <c r="BY30" s="2115"/>
      <c r="BZ30" s="2115"/>
      <c r="CA30" s="1330"/>
      <c r="CB30" s="537"/>
      <c r="CC30" s="1484"/>
      <c r="CD30" s="1461" t="e" cm="1">
        <f t="array" ca="1" aca="1" ref="CD30">_xlfn.LET(_xlpm.CheckBlank,SUM(CF!$AD30:$BN30)=0,IF(_xlpm.CheckBlank,"",SUM(_xlfn._xlws.FILTER(CF!$AD30:$BN30,(YEAR(CF!$AD$12:$BN$12)=CF!CD$12)*(array_timeline&lt;=CF!CD$11)))))</f>
        <v>#NAME?</v>
      </c>
      <c r="CE30" s="1461" t="e" cm="1">
        <f t="array" ca="1" aca="1" ref="CE30">_xlfn.LET(_xlpm.CheckBlank,SUM(CF!$AD30:$BN30)=0,IF(_xlpm.CheckBlank,"",SUM(_xlfn._xlws.FILTER(CF!$AD30:$BN30,(YEAR(CF!$AD$12:$BN$12)=CF!CE$12)*(array_timeline&lt;=CF!CE$11)))))</f>
        <v>#NAME?</v>
      </c>
      <c r="CF30" s="1314"/>
      <c r="CG30" s="1461" t="e" cm="1">
        <f t="array" ca="1" aca="1" ref="CG30">_xlfn.LET(_xlpm.CheckBlank,SUM(CF!$AD30:$BN30)=0,IF(_xlpm.CheckBlank,"",SUM(_xlfn._xlws.FILTER(CF!$AD30:$BN30,(YEAR(CF!$AD$12:$BN$12)=CF!CG$12)*(array_timeline&lt;=CF!CG$11)))))</f>
        <v>#NAME?</v>
      </c>
      <c r="CH30" s="1461" t="e" cm="1">
        <f t="array" ca="1" aca="1" ref="CH30">_xlfn.LET(_xlpm.CheckBlank,SUM(CF!$AD30:$BN30)=0,IF(_xlpm.CheckBlank,"",SUM(_xlfn._xlws.FILTER(CF!$AD30:$BN30,(YEAR(CF!$AD$12:$BN$12)=CF!CH$12)*(array_timeline&lt;=CF!CH$11)))))</f>
        <v>#NAME?</v>
      </c>
      <c r="CI30" s="1314"/>
      <c r="CJ30" s="1461" cm="1">
        <f t="array" ref="CJ30">_xlfn.LET(_xlpm.CheckBlank,SUM(CF!$AD30:$BN30)=0,IF(_xlpm.CheckBlank,"",SUM(_xlfn.TAKE(_xlfn.DROP(CF!$AD30:$BN30,,-DATEDIFF(CF!CJ$11,val_asOfDate,"M")),1,-12))))</f>
        <v>12</v>
      </c>
      <c r="CK30" s="1461" cm="1">
        <f t="array" ref="CK30">_xlfn.LET(_xlpm.CheckBlank,SUM(CF!$AD30:$BN30)=0,IF(_xlpm.CheckBlank,"",SUM(_xlfn.TAKE(_xlfn.DROP(CF!$AD30:$BN30,,-DATEDIFF(CF!CK$11,val_asOfDate,"M")),1,-12))))</f>
        <v>12</v>
      </c>
      <c r="CL30" s="1314"/>
      <c r="CM30" s="3353" t="e" cm="1">
        <f t="array" ca="1" aca="1" ref="CM30">TODECIMAL(IFBLANK(_CF!CM30,""),fxVal_normal)</f>
        <v>#NAME?</v>
      </c>
      <c r="CN30" s="3353" t="e" cm="1">
        <f t="array" ca="1" aca="1" ref="CN30">TODECIMAL(IFBLANK(_CF!CN30,""),fxVal_normal)</f>
        <v>#NAME?</v>
      </c>
      <c r="CO30" s="34"/>
      <c r="CQ30" s="2085" t="str" cm="1">
        <f t="array" ca="1" aca="1" ref="CQ30">IFERROR(IF(Y30&lt;&gt;AB30,_xldudf_CX_PUSH(Y30,CX_ENTITY,C30,EOMONTH(val_asOfDate,0)),""),"")</f>
        <v/>
      </c>
      <c r="CR30" s="2085" t="str" cm="1">
        <f t="array" ca="1" aca="1" ref="CR30">IFERROR(IF(Y30&lt;&gt;AB30,_xldudf_CX_PUSH(Y30,CX_ENTITY,C30,EOMONTH(val_asOfDate,1)),""),"")</f>
        <v/>
      </c>
      <c r="CS30" s="2085" t="str" cm="1">
        <f t="array" ca="1" aca="1" ref="CS30">IFERROR(IF(Y30&lt;&gt;AB30,_xldudf_CX_PUSH(Y30,CX_ENTITY,C30,EOMONTH(val_asOfDate,2)),""),"")</f>
        <v/>
      </c>
      <c r="CT30" s="2085" t="str" cm="1">
        <f t="array" ca="1" aca="1" ref="CT30">IFERROR(IF(Y30&lt;&gt;AB30,_xldudf_CX_PUSH(Y30,CX_ENTITY,C30,EOMONTH(val_asOfDate,3)),""),"")</f>
        <v/>
      </c>
      <c r="CU30" s="2086" t="str" cm="1">
        <f t="array" ca="1" aca="1" ref="CU30">IFERROR(IF(CM30*fxVal_normal=_CF!CM30,"",IF(OR($CM30="",,NOT(ISNUMBER($CM30)),ISERROR($CM30),$B30=""),"",IF($I30=1,IFBLANK(_xldudf_CX_PUSH($CM30*fxVal_normal,CX_ENTITY,$B30,$CM$11,$CM$14,$CM$19,),""),IF($I30=2,IFBLANK(_xldudf_CX_PUSH($CM30,CX_ENTITY,$B30,$CM$11,$CM$14,$CM$19,),""),IF($I30=3,"",IFBLANK(_xldudf_CX_PUSH($CM30,CX_ENTITY,$B30,$CM$11,$CM$14,$CM$19,),"")))))),"")</f>
        <v/>
      </c>
      <c r="CV30" s="2086" t="str" cm="1">
        <f t="array" ca="1" aca="1" ref="CV30">IFERROR(IF(CN30*fxVal_normal=_CF!CN30,"",IF(OR($CN30="",,NOT(ISNUMBER($CN30)),ISERROR($CN30),$B30=""),"",IF($I30=1,IFBLANK(_xldudf_CX_PUSH($CN30*fxVal_normal,CX_ENTITY,$B30,$CN$11,$CN$14,$CN$19,),""),IF($I30=2,IFBLANK(_xldudf_CX_PUSH($CN30,CX_ENTITY,$B30,$CN$11,$CN$14,$CN$19,),""),IF($I30=3,"",IFBLANK(_xldudf_CX_PUSH($CN30,CX_ENTITY,$B30,$CN$11,$CN$14,$CN$19,),"")))))),"")</f>
        <v/>
      </c>
      <c r="CW30" s="1883" t="str" cm="1">
        <f t="array" ca="1" aca="1" ref="CW30">IFERROR(IF(AD30*fxVal_normal=_CF!AD30,"",IF(OR(AD30="",NOT(ISNUMBER(AD30)),ISERROR(AD30),$B30=""),"",IF($I30=1,IFBLANK(_xldudf_CX_PUSH(AD30*fxVal_normal,CX_ENTITY,$B30,AD$11,AD$14,AD$19,),""),IF($I30=2,IFBLANK(_xldudf_CX_PUSH(AD30,CX_ENTITY,$B30,AD$11,AD$14,AD$19,),""),IF($I30=3,"",IFBLANK(_xldudf_CX_PUSH(AD30,CX_ENTITY,$B30,AD$11,AD$14,AD$19,),"")))))),"")</f>
        <v/>
      </c>
      <c r="CX30" s="1883" t="str" cm="1">
        <f t="array" ca="1" aca="1" ref="CX30">IFERROR(IF(AE30*fxVal_normal=_CF!AE30,"",IF(OR(AE30="",NOT(ISNUMBER(AE30)),ISERROR(AE30),$B30=""),"",IF($I30=1,IFBLANK(_xldudf_CX_PUSH(AE30*fxVal_normal,CX_ENTITY,$B30,AE$11,AE$14,AE$19,),""),IF($I30=2,IFBLANK(_xldudf_CX_PUSH(AE30,CX_ENTITY,$B30,AE$11,AE$14,AE$19,),""),IF($I30=3,"",IFBLANK(_xldudf_CX_PUSH(AE30,CX_ENTITY,$B30,AE$11,AE$14,AE$19,),"")))))),"")</f>
        <v/>
      </c>
      <c r="CY30" s="1883" t="str" cm="1">
        <f t="array" ca="1" aca="1" ref="CY30">IFERROR(IF(AF30*fxVal_normal=_CF!AF30,"",IF(OR(AF30="",NOT(ISNUMBER(AF30)),ISERROR(AF30),$B30=""),"",IF($I30=1,IFBLANK(_xldudf_CX_PUSH(AF30*fxVal_normal,CX_ENTITY,$B30,AF$11,AF$14,AF$19,),""),IF($I30=2,IFBLANK(_xldudf_CX_PUSH(AF30,CX_ENTITY,$B30,AF$11,AF$14,AF$19,),""),IF($I30=3,"",IFBLANK(_xldudf_CX_PUSH(AF30,CX_ENTITY,$B30,AF$11,AF$14,AF$19,),"")))))),"")</f>
        <v/>
      </c>
      <c r="CZ30" s="1883" t="str" cm="1">
        <f t="array" ca="1" aca="1" ref="CZ30">IFERROR(IF(AG30*fxVal_normal=_CF!AG30,"",IF(OR(AG30="",NOT(ISNUMBER(AG30)),ISERROR(AG30),$B30=""),"",IF($I30=1,IFBLANK(_xldudf_CX_PUSH(AG30*fxVal_normal,CX_ENTITY,$B30,AG$11,AG$14,AG$19,),""),IF($I30=2,IFBLANK(_xldudf_CX_PUSH(AG30,CX_ENTITY,$B30,AG$11,AG$14,AG$19,),""),IF($I30=3,"",IFBLANK(_xldudf_CX_PUSH(AG30,CX_ENTITY,$B30,AG$11,AG$14,AG$19,),"")))))),"")</f>
        <v/>
      </c>
      <c r="DA30" s="1883" t="str" cm="1">
        <f t="array" ca="1" aca="1" ref="DA30">IFERROR(IF(AH30*fxVal_normal=_CF!AH30,"",IF(OR(AH30="",NOT(ISNUMBER(AH30)),ISERROR(AH30),$B30=""),"",IF($I30=1,IFBLANK(_xldudf_CX_PUSH(AH30*fxVal_normal,CX_ENTITY,$B30,AH$11,AH$14,AH$19,),""),IF($I30=2,IFBLANK(_xldudf_CX_PUSH(AH30,CX_ENTITY,$B30,AH$11,AH$14,AH$19,),""),IF($I30=3,"",IFBLANK(_xldudf_CX_PUSH(AH30,CX_ENTITY,$B30,AH$11,AH$14,AH$19,),"")))))),"")</f>
        <v/>
      </c>
      <c r="DB30" s="1883" t="str" cm="1">
        <f t="array" ca="1" aca="1" ref="DB30">IFERROR(IF(AI30*fxVal_normal=_CF!AI30,"",IF(OR(AI30="",NOT(ISNUMBER(AI30)),ISERROR(AI30),$B30=""),"",IF($I30=1,IFBLANK(_xldudf_CX_PUSH(AI30*fxVal_normal,CX_ENTITY,$B30,AI$11,AI$14,AI$19,),""),IF($I30=2,IFBLANK(_xldudf_CX_PUSH(AI30,CX_ENTITY,$B30,AI$11,AI$14,AI$19,),""),IF($I30=3,"",IFBLANK(_xldudf_CX_PUSH(AI30,CX_ENTITY,$B30,AI$11,AI$14,AI$19,),"")))))),"")</f>
        <v/>
      </c>
      <c r="DC30" s="1883" t="str" cm="1">
        <f t="array" ca="1" aca="1" ref="DC30">IFERROR(IF(AJ30*fxVal_normal=_CF!AJ30,"",IF(OR(AJ30="",NOT(ISNUMBER(AJ30)),ISERROR(AJ30),$B30=""),"",IF($I30=1,IFBLANK(_xldudf_CX_PUSH(AJ30*fxVal_normal,CX_ENTITY,$B30,AJ$11,AJ$14,AJ$19,),""),IF($I30=2,IFBLANK(_xldudf_CX_PUSH(AJ30,CX_ENTITY,$B30,AJ$11,AJ$14,AJ$19,),""),IF($I30=3,"",IFBLANK(_xldudf_CX_PUSH(AJ30,CX_ENTITY,$B30,AJ$11,AJ$14,AJ$19,),"")))))),"")</f>
        <v/>
      </c>
      <c r="DD30" s="1883" t="str" cm="1">
        <f t="array" ca="1" aca="1" ref="DD30">IFERROR(IF(AK30*fxVal_normal=_CF!AK30,"",IF(OR(AK30="",NOT(ISNUMBER(AK30)),ISERROR(AK30),$B30=""),"",IF($I30=1,IFBLANK(_xldudf_CX_PUSH(AK30*fxVal_normal,CX_ENTITY,$B30,AK$11,AK$14,AK$19,),""),IF($I30=2,IFBLANK(_xldudf_CX_PUSH(AK30,CX_ENTITY,$B30,AK$11,AK$14,AK$19,),""),IF($I30=3,"",IFBLANK(_xldudf_CX_PUSH(AK30,CX_ENTITY,$B30,AK$11,AK$14,AK$19,),"")))))),"")</f>
        <v/>
      </c>
      <c r="DE30" s="1883" t="str" cm="1">
        <f t="array" ca="1" aca="1" ref="DE30">IFERROR(IF(AL30*fxVal_normal=_CF!AL30,"",IF(OR(AL30="",NOT(ISNUMBER(AL30)),ISERROR(AL30),$B30=""),"",IF($I30=1,IFBLANK(_xldudf_CX_PUSH(AL30*fxVal_normal,CX_ENTITY,$B30,AL$11,AL$14,AL$19,),""),IF($I30=2,IFBLANK(_xldudf_CX_PUSH(AL30,CX_ENTITY,$B30,AL$11,AL$14,AL$19,),""),IF($I30=3,"",IFBLANK(_xldudf_CX_PUSH(AL30,CX_ENTITY,$B30,AL$11,AL$14,AL$19,),"")))))),"")</f>
        <v/>
      </c>
      <c r="DF30" s="1883" t="str" cm="1">
        <f t="array" ca="1" aca="1" ref="DF30">IFERROR(IF(AM30*fxVal_normal=_CF!AM30,"",IF(OR(AM30="",NOT(ISNUMBER(AM30)),ISERROR(AM30),$B30=""),"",IF($I30=1,IFBLANK(_xldudf_CX_PUSH(AM30*fxVal_normal,CX_ENTITY,$B30,AM$11,AM$14,AM$19,),""),IF($I30=2,IFBLANK(_xldudf_CX_PUSH(AM30,CX_ENTITY,$B30,AM$11,AM$14,AM$19,),""),IF($I30=3,"",IFBLANK(_xldudf_CX_PUSH(AM30,CX_ENTITY,$B30,AM$11,AM$14,AM$19,),"")))))),"")</f>
        <v/>
      </c>
      <c r="DG30" s="1883" t="str" cm="1">
        <f t="array" ca="1" aca="1" ref="DG30">IFERROR(IF(AN30*fxVal_normal=_CF!AN30,"",IF(OR(AN30="",NOT(ISNUMBER(AN30)),ISERROR(AN30),$B30=""),"",IF($I30=1,IFBLANK(_xldudf_CX_PUSH(AN30*fxVal_normal,CX_ENTITY,$B30,AN$11,AN$14,AN$19,),""),IF($I30=2,IFBLANK(_xldudf_CX_PUSH(AN30,CX_ENTITY,$B30,AN$11,AN$14,AN$19,),""),IF($I30=3,"",IFBLANK(_xldudf_CX_PUSH(AN30,CX_ENTITY,$B30,AN$11,AN$14,AN$19,),"")))))),"")</f>
        <v/>
      </c>
      <c r="DH30" s="1883" t="str" cm="1">
        <f t="array" ca="1" aca="1" ref="DH30">IFERROR(IF(AO30*fxVal_normal=_CF!AO30,"",IF(OR(AO30="",NOT(ISNUMBER(AO30)),ISERROR(AO30),$B30=""),"",IF($I30=1,IFBLANK(_xldudf_CX_PUSH(AO30*fxVal_normal,CX_ENTITY,$B30,AO$11,AO$14,AO$19,),""),IF($I30=2,IFBLANK(_xldudf_CX_PUSH(AO30,CX_ENTITY,$B30,AO$11,AO$14,AO$19,),""),IF($I30=3,"",IFBLANK(_xldudf_CX_PUSH(AO30,CX_ENTITY,$B30,AO$11,AO$14,AO$19,),"")))))),"")</f>
        <v/>
      </c>
      <c r="DI30" s="1883" t="str" cm="1">
        <f t="array" ca="1" aca="1" ref="DI30">IFERROR(IF(AP30*fxVal_normal=_CF!AP30,"",IF(OR(AP30="",NOT(ISNUMBER(AP30)),ISERROR(AP30),$B30=""),"",IF($I30=1,IFBLANK(_xldudf_CX_PUSH(AP30*fxVal_normal,CX_ENTITY,$B30,AP$11,AP$14,AP$19,),""),IF($I30=2,IFBLANK(_xldudf_CX_PUSH(AP30,CX_ENTITY,$B30,AP$11,AP$14,AP$19,),""),IF($I30=3,"",IFBLANK(_xldudf_CX_PUSH(AP30,CX_ENTITY,$B30,AP$11,AP$14,AP$19,),"")))))),"")</f>
        <v/>
      </c>
      <c r="DJ30" s="1883" t="str" cm="1">
        <f t="array" ca="1" aca="1" ref="DJ30">IFERROR(IF(AQ30*fxVal_normal=_CF!AQ30,"",IF(OR(AQ30="",NOT(ISNUMBER(AQ30)),ISERROR(AQ30),$B30=""),"",IF($I30=1,IFBLANK(_xldudf_CX_PUSH(AQ30*fxVal_normal,CX_ENTITY,$B30,AQ$11,AQ$14,AQ$19,),""),IF($I30=2,IFBLANK(_xldudf_CX_PUSH(AQ30,CX_ENTITY,$B30,AQ$11,AQ$14,AQ$19,),""),IF($I30=3,"",IFBLANK(_xldudf_CX_PUSH(AQ30,CX_ENTITY,$B30,AQ$11,AQ$14,AQ$19,),"")))))),"")</f>
        <v/>
      </c>
      <c r="DK30" s="1883" t="str" cm="1">
        <f t="array" ca="1" aca="1" ref="DK30">IFERROR(IF(AR30*fxVal_normal=_CF!AR30,"",IF(OR(AR30="",NOT(ISNUMBER(AR30)),ISERROR(AR30),$B30=""),"",IF($I30=1,IFBLANK(_xldudf_CX_PUSH(AR30*fxVal_normal,CX_ENTITY,$B30,AR$11,AR$14,AR$19,),""),IF($I30=2,IFBLANK(_xldudf_CX_PUSH(AR30,CX_ENTITY,$B30,AR$11,AR$14,AR$19,),""),IF($I30=3,"",IFBLANK(_xldudf_CX_PUSH(AR30,CX_ENTITY,$B30,AR$11,AR$14,AR$19,),"")))))),"")</f>
        <v/>
      </c>
      <c r="DL30" s="1883" t="str" cm="1">
        <f t="array" ca="1" aca="1" ref="DL30">IFERROR(IF(AS30*fxVal_normal=_CF!AS30,"",IF(OR(AS30="",NOT(ISNUMBER(AS30)),ISERROR(AS30),$B30=""),"",IF($I30=1,IFBLANK(_xldudf_CX_PUSH(AS30*fxVal_normal,CX_ENTITY,$B30,AS$11,AS$14,AS$19,),""),IF($I30=2,IFBLANK(_xldudf_CX_PUSH(AS30,CX_ENTITY,$B30,AS$11,AS$14,AS$19,),""),IF($I30=3,"",IFBLANK(_xldudf_CX_PUSH(AS30,CX_ENTITY,$B30,AS$11,AS$14,AS$19,),"")))))),"")</f>
        <v/>
      </c>
      <c r="DM30" s="1883" t="str" cm="1">
        <f t="array" ca="1" aca="1" ref="DM30">IFERROR(IF(AT30*fxVal_normal=_CF!AT30,"",IF(OR(AT30="",NOT(ISNUMBER(AT30)),ISERROR(AT30),$B30=""),"",IF($I30=1,IFBLANK(_xldudf_CX_PUSH(AT30*fxVal_normal,CX_ENTITY,$B30,AT$11,AT$14,AT$19,),""),IF($I30=2,IFBLANK(_xldudf_CX_PUSH(AT30,CX_ENTITY,$B30,AT$11,AT$14,AT$19,),""),IF($I30=3,"",IFBLANK(_xldudf_CX_PUSH(AT30,CX_ENTITY,$B30,AT$11,AT$14,AT$19,),"")))))),"")</f>
        <v/>
      </c>
      <c r="DN30" s="1883" t="str" cm="1">
        <f t="array" ca="1" aca="1" ref="DN30">IFERROR(IF(AU30*fxVal_normal=_CF!AU30,"",IF(OR(AU30="",NOT(ISNUMBER(AU30)),ISERROR(AU30),$B30=""),"",IF($I30=1,IFBLANK(_xldudf_CX_PUSH(AU30*fxVal_normal,CX_ENTITY,$B30,AU$11,AU$14,AU$19,),""),IF($I30=2,IFBLANK(_xldudf_CX_PUSH(AU30,CX_ENTITY,$B30,AU$11,AU$14,AU$19,),""),IF($I30=3,"",IFBLANK(_xldudf_CX_PUSH(AU30,CX_ENTITY,$B30,AU$11,AU$14,AU$19,),"")))))),"")</f>
        <v/>
      </c>
      <c r="DO30" s="1883" t="str" cm="1">
        <f t="array" ca="1" aca="1" ref="DO30">IFERROR(IF(AV30*fxVal_normal=_CF!AV30,"",IF(OR(AV30="",NOT(ISNUMBER(AV30)),ISERROR(AV30),$B30=""),"",IF($I30=1,IFBLANK(_xldudf_CX_PUSH(AV30*fxVal_normal,CX_ENTITY,$B30,AV$11,AV$14,AV$19,),""),IF($I30=2,IFBLANK(_xldudf_CX_PUSH(AV30,CX_ENTITY,$B30,AV$11,AV$14,AV$19,),""),IF($I30=3,"",IFBLANK(_xldudf_CX_PUSH(AV30,CX_ENTITY,$B30,AV$11,AV$14,AV$19,),"")))))),"")</f>
        <v/>
      </c>
      <c r="DP30" s="1883" t="str" cm="1">
        <f t="array" ca="1" aca="1" ref="DP30">IFERROR(IF(AW30*fxVal_normal=_CF!AW30,"",IF(OR(AW30="",NOT(ISNUMBER(AW30)),ISERROR(AW30),$B30=""),"",IF($I30=1,IFBLANK(_xldudf_CX_PUSH(AW30*fxVal_normal,CX_ENTITY,$B30,AW$11,AW$14,AW$19,),""),IF($I30=2,IFBLANK(_xldudf_CX_PUSH(AW30,CX_ENTITY,$B30,AW$11,AW$14,AW$19,),""),IF($I30=3,"",IFBLANK(_xldudf_CX_PUSH(AW30,CX_ENTITY,$B30,AW$11,AW$14,AW$19,),"")))))),"")</f>
        <v/>
      </c>
      <c r="DQ30" s="1883" t="str" cm="1">
        <f t="array" ca="1" aca="1" ref="DQ30">IFERROR(IF(AX30*fxVal_normal=_CF!AX30,"",IF(OR(AX30="",NOT(ISNUMBER(AX30)),ISERROR(AX30),$B30=""),"",IF($I30=1,IFBLANK(_xldudf_CX_PUSH(AX30*fxVal_normal,CX_ENTITY,$B30,AX$11,AX$14,AX$19,),""),IF($I30=2,IFBLANK(_xldudf_CX_PUSH(AX30,CX_ENTITY,$B30,AX$11,AX$14,AX$19,),""),IF($I30=3,"",IFBLANK(_xldudf_CX_PUSH(AX30,CX_ENTITY,$B30,AX$11,AX$14,AX$19,),"")))))),"")</f>
        <v/>
      </c>
      <c r="DR30" s="1883" t="str" cm="1">
        <f t="array" ca="1" aca="1" ref="DR30">IFERROR(IF(AY30*fxVal_normal=_CF!AY30,"",IF(OR(AY30="",NOT(ISNUMBER(AY30)),ISERROR(AY30),$B30=""),"",IF($I30=1,IFBLANK(_xldudf_CX_PUSH(AY30*fxVal_normal,CX_ENTITY,$B30,AY$11,AY$14,AY$19,),""),IF($I30=2,IFBLANK(_xldudf_CX_PUSH(AY30,CX_ENTITY,$B30,AY$11,AY$14,AY$19,),""),IF($I30=3,"",IFBLANK(_xldudf_CX_PUSH(AY30,CX_ENTITY,$B30,AY$11,AY$14,AY$19,),"")))))),"")</f>
        <v/>
      </c>
      <c r="DS30" s="1883" t="str" cm="1">
        <f t="array" ca="1" aca="1" ref="DS30">IFERROR(IF(AZ30*fxVal_normal=_CF!AZ30,"",IF(OR(AZ30="",NOT(ISNUMBER(AZ30)),ISERROR(AZ30),$B30=""),"",IF($I30=1,IFBLANK(_xldudf_CX_PUSH(AZ30*fxVal_normal,CX_ENTITY,$B30,AZ$11,AZ$14,AZ$19,),""),IF($I30=2,IFBLANK(_xldudf_CX_PUSH(AZ30,CX_ENTITY,$B30,AZ$11,AZ$14,AZ$19,),""),IF($I30=3,"",IFBLANK(_xldudf_CX_PUSH(AZ30,CX_ENTITY,$B30,AZ$11,AZ$14,AZ$19,),"")))))),"")</f>
        <v/>
      </c>
      <c r="DT30" s="1883" t="str" cm="1">
        <f t="array" ca="1" aca="1" ref="DT30">IFERROR(IF(BA30*fxVal_normal=_CF!BA30,"",IF(OR(BA30="",NOT(ISNUMBER(BA30)),ISERROR(BA30),$B30=""),"",IF($I30=1,IFBLANK(_xldudf_CX_PUSH(BA30*fxVal_normal,CX_ENTITY,$B30,BA$11,BA$14,BA$19,),""),IF($I30=2,IFBLANK(_xldudf_CX_PUSH(BA30,CX_ENTITY,$B30,BA$11,BA$14,BA$19,),""),IF($I30=3,"",IFBLANK(_xldudf_CX_PUSH(BA30,CX_ENTITY,$B30,BA$11,BA$14,BA$19,),"")))))),"")</f>
        <v/>
      </c>
      <c r="DU30" s="1883" t="str" cm="1">
        <f t="array" ca="1" aca="1" ref="DU30">IFERROR(IF(BB30*fxVal_normal=_CF!BB30,"",IF(OR(BB30="",NOT(ISNUMBER(BB30)),ISERROR(BB30),$B30=""),"",IF($I30=1,IFBLANK(_xldudf_CX_PUSH(BB30*fxVal_normal,CX_ENTITY,$B30,BB$11,BB$14,BB$19,),""),IF($I30=2,IFBLANK(_xldudf_CX_PUSH(BB30,CX_ENTITY,$B30,BB$11,BB$14,BB$19,),""),IF($I30=3,"",IFBLANK(_xldudf_CX_PUSH(BB30,CX_ENTITY,$B30,BB$11,BB$14,BB$19,),"")))))),"")</f>
        <v/>
      </c>
      <c r="DV30" s="1883" t="str" cm="1">
        <f t="array" ca="1" aca="1" ref="DV30">IFERROR(IF(BC30*fxVal_normal=_CF!BC30,"",IF(OR(BC30="",NOT(ISNUMBER(BC30)),ISERROR(BC30),$B30=""),"",IF($I30=1,IFBLANK(_xldudf_CX_PUSH(BC30*fxVal_normal,CX_ENTITY,$B30,BC$11,BC$14,BC$19,),""),IF($I30=2,IFBLANK(_xldudf_CX_PUSH(BC30,CX_ENTITY,$B30,BC$11,BC$14,BC$19,),""),IF($I30=3,"",IFBLANK(_xldudf_CX_PUSH(BC30,CX_ENTITY,$B30,BC$11,BC$14,BC$19,),"")))))),"")</f>
        <v/>
      </c>
      <c r="DW30" s="1883" t="str" cm="1">
        <f t="array" ca="1" aca="1" ref="DW30">IFERROR(IF(BD30*fxVal_normal=_CF!BD30,"",IF(OR(BD30="",NOT(ISNUMBER(BD30)),ISERROR(BD30),$B30=""),"",IF($I30=1,IFBLANK(_xldudf_CX_PUSH(BD30*fxVal_normal,CX_ENTITY,$B30,BD$11,BD$14,BD$19,),""),IF($I30=2,IFBLANK(_xldudf_CX_PUSH(BD30,CX_ENTITY,$B30,BD$11,BD$14,BD$19,),""),IF($I30=3,"",IFBLANK(_xldudf_CX_PUSH(BD30,CX_ENTITY,$B30,BD$11,BD$14,BD$19,),"")))))),"")</f>
        <v/>
      </c>
      <c r="DX30" s="1883" t="str" cm="1">
        <f t="array" ca="1" aca="1" ref="DX30">IFERROR(IF(BE30*fxVal_normal=_CF!BE30,"",IF(OR(BE30="",NOT(ISNUMBER(BE30)),ISERROR(BE30),$B30=""),"",IF($I30=1,IFBLANK(_xldudf_CX_PUSH(BE30*fxVal_normal,CX_ENTITY,$B30,BE$11,BE$14,BE$19,),""),IF($I30=2,IFBLANK(_xldudf_CX_PUSH(BE30,CX_ENTITY,$B30,BE$11,BE$14,BE$19,),""),IF($I30=3,"",IFBLANK(_xldudf_CX_PUSH(BE30,CX_ENTITY,$B30,BE$11,BE$14,BE$19,),"")))))),"")</f>
        <v/>
      </c>
      <c r="DY30" s="1883" t="str" cm="1">
        <f t="array" ca="1" aca="1" ref="DY30">IFERROR(IF(BF30*fxVal_normal=_CF!BF30,"",IF(OR(BF30="",NOT(ISNUMBER(BF30)),ISERROR(BF30),$B30=""),"",IF($I30=1,IFBLANK(_xldudf_CX_PUSH(BF30*fxVal_normal,CX_ENTITY,$B30,BF$11,BF$14,BF$19,),""),IF($I30=2,IFBLANK(_xldudf_CX_PUSH(BF30,CX_ENTITY,$B30,BF$11,BF$14,BF$19,),""),IF($I30=3,"",IFBLANK(_xldudf_CX_PUSH(BF30,CX_ENTITY,$B30,BF$11,BF$14,BF$19,),"")))))),"")</f>
        <v/>
      </c>
      <c r="DZ30" s="1883" t="str" cm="1">
        <f t="array" ca="1" aca="1" ref="DZ30">IFERROR(IF(BG30*fxVal_normal=_CF!BG30,"",IF(OR(BG30="",NOT(ISNUMBER(BG30)),ISERROR(BG30),$B30=""),"",IF($I30=1,IFBLANK(_xldudf_CX_PUSH(BG30*fxVal_normal,CX_ENTITY,$B30,BG$11,BG$14,BG$19,),""),IF($I30=2,IFBLANK(_xldudf_CX_PUSH(BG30,CX_ENTITY,$B30,BG$11,BG$14,BG$19,),""),IF($I30=3,"",IFBLANK(_xldudf_CX_PUSH(BG30,CX_ENTITY,$B30,BG$11,BG$14,BG$19,),"")))))),"")</f>
        <v/>
      </c>
      <c r="EA30" s="1883" t="str" cm="1">
        <f t="array" ca="1" aca="1" ref="EA30">IFERROR(IF(BH30*fxVal_normal=_CF!BH30,"",IF(OR(BH30="",NOT(ISNUMBER(BH30)),ISERROR(BH30),$B30=""),"",IF($I30=1,IFBLANK(_xldudf_CX_PUSH(BH30*fxVal_normal,CX_ENTITY,$B30,BH$11,BH$14,BH$19,),""),IF($I30=2,IFBLANK(_xldudf_CX_PUSH(BH30,CX_ENTITY,$B30,BH$11,BH$14,BH$19,),""),IF($I30=3,"",IFBLANK(_xldudf_CX_PUSH(BH30,CX_ENTITY,$B30,BH$11,BH$14,BH$19,),"")))))),"")</f>
        <v/>
      </c>
      <c r="EB30" s="1883" t="str" cm="1">
        <f t="array" ca="1" aca="1" ref="EB30">IFERROR(IF(BI30*fxVal_normal=_CF!BI30,"",IF(OR(BI30="",NOT(ISNUMBER(BI30)),ISERROR(BI30),$B30=""),"",IF($I30=1,IFBLANK(_xldudf_CX_PUSH(BI30*fxVal_normal,CX_ENTITY,$B30,BI$11,BI$14,BI$19,),""),IF($I30=2,IFBLANK(_xldudf_CX_PUSH(BI30,CX_ENTITY,$B30,BI$11,BI$14,BI$19,),""),IF($I30=3,"",IFBLANK(_xldudf_CX_PUSH(BI30,CX_ENTITY,$B30,BI$11,BI$14,BI$19,),"")))))),"")</f>
        <v/>
      </c>
      <c r="EC30" s="1883" t="str" cm="1">
        <f t="array" ca="1" aca="1" ref="EC30">IFERROR(IF(BJ30*fxVal_normal=_CF!BJ30,"",IF(OR(BJ30="",NOT(ISNUMBER(BJ30)),ISERROR(BJ30),$B30=""),"",IF($I30=1,IFBLANK(_xldudf_CX_PUSH(BJ30*fxVal_normal,CX_ENTITY,$B30,BJ$11,BJ$14,BJ$19,),""),IF($I30=2,IFBLANK(_xldudf_CX_PUSH(BJ30,CX_ENTITY,$B30,BJ$11,BJ$14,BJ$19,),""),IF($I30=3,"",IFBLANK(_xldudf_CX_PUSH(BJ30,CX_ENTITY,$B30,BJ$11,BJ$14,BJ$19,),"")))))),"")</f>
        <v/>
      </c>
      <c r="ED30" s="1883" t="str" cm="1">
        <f t="array" ca="1" aca="1" ref="ED30">IFERROR(IF(BK30*fxVal_normal=_CF!BK30,"",IF(OR(BK30="",NOT(ISNUMBER(BK30)),ISERROR(BK30),$B30=""),"",IF($I30=1,IFBLANK(_xldudf_CX_PUSH(BK30*fxVal_normal,CX_ENTITY,$B30,BK$11,BK$14,BK$19,),""),IF($I30=2,IFBLANK(_xldudf_CX_PUSH(BK30,CX_ENTITY,$B30,BK$11,BK$14,BK$19,),""),IF($I30=3,"",IFBLANK(_xldudf_CX_PUSH(BK30,CX_ENTITY,$B30,BK$11,BK$14,BK$19,),"")))))),"")</f>
        <v/>
      </c>
      <c r="EE30" s="1883" t="str" cm="1">
        <f t="array" ca="1" aca="1" ref="EE30">IFERROR(IF(BL30*fxVal_normal=_CF!BL30,"",IF(OR(BL30="",NOT(ISNUMBER(BL30)),ISERROR(BL30),$B30=""),"",IF($I30=1,IFBLANK(_xldudf_CX_PUSH(BL30*fxVal_normal,CX_ENTITY,$B30,BL$11,BL$14,BL$19,),""),IF($I30=2,IFBLANK(_xldudf_CX_PUSH(BL30,CX_ENTITY,$B30,BL$11,BL$14,BL$19,),""),IF($I30=3,"",IFBLANK(_xldudf_CX_PUSH(BL30,CX_ENTITY,$B30,BL$11,BL$14,BL$19,),"")))))),"")</f>
        <v/>
      </c>
      <c r="EF30" s="1883" t="str" cm="1">
        <f t="array" ca="1" aca="1" ref="EF30">IFERROR(IF(BM30*fxVal_normal=_CF!BM30,"",IF(OR(BM30="",NOT(ISNUMBER(BM30)),ISERROR(BM30),$B30=""),"",IF($I30=1,IFBLANK(_xldudf_CX_PUSH(BM30*fxVal_normal,CX_ENTITY,$B30,BM$11,BM$14,BM$19,),""),IF($I30=2,IFBLANK(_xldudf_CX_PUSH(BM30,CX_ENTITY,$B30,BM$11,BM$14,BM$19,),""),IF($I30=3,"",IFBLANK(_xldudf_CX_PUSH(BM30,CX_ENTITY,$B30,BM$11,BM$14,BM$19,),"")))))),"")</f>
        <v/>
      </c>
      <c r="EG30" s="1883" t="str" cm="1">
        <f t="array" ca="1" aca="1" ref="EG30">IFERROR(IF(BN30*fxVal_normal=_CF!BN30,"",IF(OR(BN30="",NOT(ISNUMBER(BN30)),ISERROR(BN30),$B30=""),"",IF($I30=1,IFBLANK(_xldudf_CX_PUSH(BN30*fxVal_normal,CX_ENTITY,$B30,BN$11,BN$14,BN$19,),""),IF($I30=2,IFBLANK(_xldudf_CX_PUSH(BN30,CX_ENTITY,$B30,BN$11,BN$14,BN$19,),""),IF($I30=3,"",IFBLANK(_xldudf_CX_PUSH(BN30,CX_ENTITY,$B30,BN$11,BN$14,BN$19,),"")))))),"")</f>
        <v/>
      </c>
    </row>
    <row r="31" spans="1:137" ht="21" customHeight="1">
      <c r="A31" s="1626"/>
      <c r="B31" s="811" t="str" cm="1">
        <f t="array" ref="B31">IFBLANK(_CF!F31,"")</f>
        <v>Levered Free Cash Flow (LFCF)</v>
      </c>
      <c r="C31" s="3346" t="str" cm="1">
        <f t="array" ref="C31">IFBLANK(_CF!C31,"")</f>
        <v>Levered Free Cash Flow (LFCF) (Company View)</v>
      </c>
      <c r="D31" s="1549"/>
      <c r="E31" s="811"/>
      <c r="F31" s="574"/>
      <c r="G31" s="401"/>
      <c r="H31" s="3280">
        <v>2</v>
      </c>
      <c r="I31" s="3280">
        <v>1</v>
      </c>
      <c r="J31" s="401" cm="1">
        <f t="array" ref="J31">IFBLANK(Z31,"")</f>
        <v>0</v>
      </c>
      <c r="K31" s="401"/>
      <c r="N31" s="158"/>
      <c r="O31" s="101"/>
      <c r="P31" s="52"/>
      <c r="Q31" s="101"/>
      <c r="R31" s="126"/>
      <c r="S31" s="101"/>
      <c r="T31" s="101"/>
      <c r="U31" s="39"/>
      <c r="W31" s="932" t="str">
        <f t="shared" si="1"/>
        <v>Actual</v>
      </c>
      <c r="X31" s="815">
        <f>_CF!X31</f>
        <v>0</v>
      </c>
      <c r="Y31" s="3352" t="s">
        <v>248</v>
      </c>
      <c r="Z31" s="198" cm="1">
        <f t="array" ref="Z31">_xlfn.SWITCH(TRUE,_CF!$L31=TRUE,1,_CF!$L31=FALSE,-1,_CF!$L31=-1,0,"n/a")</f>
        <v>0</v>
      </c>
      <c r="AA31" s="200"/>
      <c r="AB31" s="3343" t="str">
        <f>_CF!AB31</f>
        <v>Levered Free Cash Flow (LFCF)</v>
      </c>
      <c r="AC31" s="88" t="str" cm="1">
        <f t="array" ca="1" aca="1" ref="AC31">_xlfn.LET(_xlpm._termname,$AB31,_xlpm._iconname,"find",_xlpm._icon,fx_getIcon(_xlpm._iconname),_xlpm._location,_xlfn.XLOOKUP(LOWER(_xlpm._termname),LOWER(tbl_acctDef[Term]),tbl_acctDef[Term]),_xlpm._hyperlink,HYPERLINK("#"&amp;CELL("address",_xlpm._location),_xlpm._icon),IFERROR(_xlpm._hyperlink,""))</f>
        <v/>
      </c>
      <c r="AD31" s="918">
        <f t="shared" si="4" ref="AD31:BN31">IFERROR(SUBTOTAL(9,AD20:AD30),"")</f>
        <v>11</v>
      </c>
      <c r="AE31" s="918">
        <f t="shared" si="4"/>
        <v>11</v>
      </c>
      <c r="AF31" s="918">
        <f t="shared" si="4"/>
        <v>11</v>
      </c>
      <c r="AG31" s="918">
        <f t="shared" si="4"/>
        <v>11</v>
      </c>
      <c r="AH31" s="918">
        <f t="shared" si="4"/>
        <v>11</v>
      </c>
      <c r="AI31" s="918">
        <f t="shared" si="4"/>
        <v>11</v>
      </c>
      <c r="AJ31" s="918">
        <f t="shared" si="4"/>
        <v>11</v>
      </c>
      <c r="AK31" s="918">
        <f t="shared" si="4"/>
        <v>11</v>
      </c>
      <c r="AL31" s="918">
        <f t="shared" si="4"/>
        <v>11</v>
      </c>
      <c r="AM31" s="918">
        <f t="shared" si="4"/>
        <v>11</v>
      </c>
      <c r="AN31" s="918">
        <f t="shared" si="4"/>
        <v>11</v>
      </c>
      <c r="AO31" s="918">
        <f t="shared" si="4"/>
        <v>11</v>
      </c>
      <c r="AP31" s="918">
        <f t="shared" si="4"/>
        <v>11</v>
      </c>
      <c r="AQ31" s="918">
        <f t="shared" si="4"/>
        <v>11</v>
      </c>
      <c r="AR31" s="918">
        <f t="shared" si="4"/>
        <v>11</v>
      </c>
      <c r="AS31" s="918">
        <f t="shared" si="4"/>
        <v>11</v>
      </c>
      <c r="AT31" s="918">
        <f t="shared" si="4"/>
        <v>11</v>
      </c>
      <c r="AU31" s="918">
        <f t="shared" si="4"/>
        <v>11</v>
      </c>
      <c r="AV31" s="918">
        <f t="shared" si="4"/>
        <v>11</v>
      </c>
      <c r="AW31" s="918">
        <f t="shared" si="4"/>
        <v>11</v>
      </c>
      <c r="AX31" s="918">
        <f t="shared" si="4"/>
        <v>11</v>
      </c>
      <c r="AY31" s="918">
        <f t="shared" si="4"/>
        <v>11</v>
      </c>
      <c r="AZ31" s="918">
        <f t="shared" si="4"/>
        <v>11</v>
      </c>
      <c r="BA31" s="918">
        <f t="shared" si="4"/>
        <v>11</v>
      </c>
      <c r="BB31" s="918">
        <f t="shared" si="4"/>
        <v>11</v>
      </c>
      <c r="BC31" s="918">
        <f t="shared" si="4"/>
        <v>11</v>
      </c>
      <c r="BD31" s="918">
        <f t="shared" si="4"/>
        <v>11</v>
      </c>
      <c r="BE31" s="918">
        <f t="shared" si="4"/>
        <v>11</v>
      </c>
      <c r="BF31" s="918">
        <f t="shared" si="4"/>
        <v>11</v>
      </c>
      <c r="BG31" s="918">
        <f t="shared" si="4"/>
        <v>11</v>
      </c>
      <c r="BH31" s="918">
        <f t="shared" si="4"/>
        <v>11</v>
      </c>
      <c r="BI31" s="918">
        <f t="shared" si="4"/>
        <v>11</v>
      </c>
      <c r="BJ31" s="918">
        <f t="shared" si="4"/>
        <v>11</v>
      </c>
      <c r="BK31" s="918">
        <f t="shared" si="4"/>
        <v>11</v>
      </c>
      <c r="BL31" s="918">
        <f t="shared" si="4"/>
        <v>11</v>
      </c>
      <c r="BM31" s="918">
        <f t="shared" si="4"/>
        <v>11</v>
      </c>
      <c r="BN31" s="935">
        <f t="shared" si="4"/>
        <v>11</v>
      </c>
      <c r="BO31" s="2114"/>
      <c r="BP31" s="2114"/>
      <c r="BQ31" s="2114"/>
      <c r="BR31" s="2114"/>
      <c r="BS31" s="2114"/>
      <c r="BT31" s="2114"/>
      <c r="BU31" s="2114"/>
      <c r="BV31" s="2114"/>
      <c r="BW31" s="2114"/>
      <c r="BX31" s="2114"/>
      <c r="BY31" s="2114"/>
      <c r="BZ31" s="2114"/>
      <c r="CA31" s="1330"/>
      <c r="CB31" s="537"/>
      <c r="CC31" s="1484"/>
      <c r="CD31" s="1461" t="e" cm="1">
        <f t="array" ca="1" aca="1" ref="CD31">_xlfn.LET(_xlpm.CheckBlank,SUM(CF!$AD31:$BN31)=0,IF(_xlpm.CheckBlank,"",SUM(_xlfn._xlws.FILTER(CF!$AD31:$BN31,(YEAR(CF!$AD$12:$BN$12)=CF!CD$12)*(array_timeline&lt;=CF!CD$11)))))</f>
        <v>#NAME?</v>
      </c>
      <c r="CE31" s="1461" t="e" cm="1">
        <f t="array" ca="1" aca="1" ref="CE31">_xlfn.LET(_xlpm.CheckBlank,SUM(CF!$AD31:$BN31)=0,IF(_xlpm.CheckBlank,"",SUM(_xlfn._xlws.FILTER(CF!$AD31:$BN31,(YEAR(CF!$AD$12:$BN$12)=CF!CE$12)*(array_timeline&lt;=CF!CE$11)))))</f>
        <v>#NAME?</v>
      </c>
      <c r="CF31" s="1314"/>
      <c r="CG31" s="1461" t="e" cm="1">
        <f t="array" ca="1" aca="1" ref="CG31">_xlfn.LET(_xlpm.CheckBlank,SUM(CF!$AD31:$BN31)=0,IF(_xlpm.CheckBlank,"",SUM(_xlfn._xlws.FILTER(CF!$AD31:$BN31,(YEAR(CF!$AD$12:$BN$12)=CF!CG$12)*(array_timeline&lt;=CF!CG$11)))))</f>
        <v>#NAME?</v>
      </c>
      <c r="CH31" s="1461" t="e" cm="1">
        <f t="array" ca="1" aca="1" ref="CH31">_xlfn.LET(_xlpm.CheckBlank,SUM(CF!$AD31:$BN31)=0,IF(_xlpm.CheckBlank,"",SUM(_xlfn._xlws.FILTER(CF!$AD31:$BN31,(YEAR(CF!$AD$12:$BN$12)=CF!CH$12)*(array_timeline&lt;=CF!CH$11)))))</f>
        <v>#NAME?</v>
      </c>
      <c r="CI31" s="1314"/>
      <c r="CJ31" s="1461" cm="1">
        <f t="array" ref="CJ31">_xlfn.LET(_xlpm.CheckBlank,SUM(CF!$AD31:$BN31)=0,IF(_xlpm.CheckBlank,"",SUM(_xlfn.TAKE(_xlfn.DROP(CF!$AD31:$BN31,,-DATEDIFF(CF!CJ$11,val_asOfDate,"M")),1,-12))))</f>
        <v>132</v>
      </c>
      <c r="CK31" s="1461" cm="1">
        <f t="array" ref="CK31">_xlfn.LET(_xlpm.CheckBlank,SUM(CF!$AD31:$BN31)=0,IF(_xlpm.CheckBlank,"",SUM(_xlfn.TAKE(_xlfn.DROP(CF!$AD31:$BN31,,-DATEDIFF(CF!CK$11,val_asOfDate,"M")),1,-12))))</f>
        <v>132</v>
      </c>
      <c r="CL31" s="1314"/>
      <c r="CM31" s="1514" t="str">
        <f ca="1">IFERROR(SUBTOTAL(9,CM20:CM30),"")</f>
        <v/>
      </c>
      <c r="CN31" s="1514" t="str">
        <f ca="1">IFERROR(SUBTOTAL(9,CN20:CN30),"")</f>
        <v/>
      </c>
      <c r="CO31" s="34"/>
      <c r="CQ31" s="2085" t="str" cm="1">
        <f t="array" ref="CQ31">IFERROR(IF(Y31&lt;&gt;AB31,_xldudf_CX_PUSH(Y31,CX_ENTITY,C31,EOMONTH(val_asOfDate,0)),""),"")</f>
        <v/>
      </c>
      <c r="CR31" s="2085" t="str" cm="1">
        <f t="array" ref="CR31">IFERROR(IF(Y31&lt;&gt;AB31,_xldudf_CX_PUSH(Y31,CX_ENTITY,C31,EOMONTH(val_asOfDate,1)),""),"")</f>
        <v/>
      </c>
      <c r="CS31" s="2085" t="str" cm="1">
        <f t="array" ref="CS31">IFERROR(IF(Y31&lt;&gt;AB31,_xldudf_CX_PUSH(Y31,CX_ENTITY,C31,EOMONTH(val_asOfDate,2)),""),"")</f>
        <v/>
      </c>
      <c r="CT31" s="2085" t="str" cm="1">
        <f t="array" ref="CT31">IFERROR(IF(Y31&lt;&gt;AB31,_xldudf_CX_PUSH(Y31,CX_ENTITY,C31,EOMONTH(val_asOfDate,3)),""),"")</f>
        <v/>
      </c>
      <c r="CU31" s="2086" t="str" cm="1">
        <f t="array" ca="1" aca="1" ref="CU31">IFERROR(IF(CM31*fxVal_normal=_CF!CM31,"",IF(OR($CM31="",,NOT(ISNUMBER($CM31)),ISERROR($CM31),$B31=""),"",IF($I31=1,IFBLANK(_xldudf_CX_PUSH($CM31*fxVal_normal,CX_ENTITY,$B31,$CM$11,$CM$14,$CM$19,),""),IF($I31=2,IFBLANK(_xldudf_CX_PUSH($CM31,CX_ENTITY,$B31,$CM$11,$CM$14,$CM$19,),""),IF($I31=3,"",IFBLANK(_xldudf_CX_PUSH($CM31,CX_ENTITY,$B31,$CM$11,$CM$14,$CM$19,),"")))))),"")</f>
        <v/>
      </c>
      <c r="CV31" s="2086" t="str" cm="1">
        <f t="array" ca="1" aca="1" ref="CV31">IFERROR(IF(CN31*fxVal_normal=_CF!CN31,"",IF(OR($CN31="",,NOT(ISNUMBER($CN31)),ISERROR($CN31),$B31=""),"",IF($I31=1,IFBLANK(_xldudf_CX_PUSH($CN31*fxVal_normal,CX_ENTITY,$B31,$CN$11,$CN$14,$CN$19,),""),IF($I31=2,IFBLANK(_xldudf_CX_PUSH($CN31,CX_ENTITY,$B31,$CN$11,$CN$14,$CN$19,),""),IF($I31=3,"",IFBLANK(_xldudf_CX_PUSH($CN31,CX_ENTITY,$B31,$CN$11,$CN$14,$CN$19,),"")))))),"")</f>
        <v/>
      </c>
      <c r="CW31" s="1883" t="str" cm="1">
        <f t="array" ca="1" aca="1" ref="CW31">IFERROR(IF(AD31*fxVal_normal=_CF!AD31,"",IF(OR(AD31="",NOT(ISNUMBER(AD31)),ISERROR(AD31),$B31=""),"",IF($I31=1,IFBLANK(_xldudf_CX_PUSH(AD31*fxVal_normal,CX_ENTITY,$B31,AD$11,AD$14,AD$19,),""),IF($I31=2,IFBLANK(_xldudf_CX_PUSH(AD31,CX_ENTITY,$B31,AD$11,AD$14,AD$19,),""),IF($I31=3,"",IFBLANK(_xldudf_CX_PUSH(AD31,CX_ENTITY,$B31,AD$11,AD$14,AD$19,),"")))))),"")</f>
        <v/>
      </c>
      <c r="CX31" s="1883" t="str" cm="1">
        <f t="array" ca="1" aca="1" ref="CX31">IFERROR(IF(AE31*fxVal_normal=_CF!AE31,"",IF(OR(AE31="",NOT(ISNUMBER(AE31)),ISERROR(AE31),$B31=""),"",IF($I31=1,IFBLANK(_xldudf_CX_PUSH(AE31*fxVal_normal,CX_ENTITY,$B31,AE$11,AE$14,AE$19,),""),IF($I31=2,IFBLANK(_xldudf_CX_PUSH(AE31,CX_ENTITY,$B31,AE$11,AE$14,AE$19,),""),IF($I31=3,"",IFBLANK(_xldudf_CX_PUSH(AE31,CX_ENTITY,$B31,AE$11,AE$14,AE$19,),"")))))),"")</f>
        <v/>
      </c>
      <c r="CY31" s="1883" t="str" cm="1">
        <f t="array" ca="1" aca="1" ref="CY31">IFERROR(IF(AF31*fxVal_normal=_CF!AF31,"",IF(OR(AF31="",NOT(ISNUMBER(AF31)),ISERROR(AF31),$B31=""),"",IF($I31=1,IFBLANK(_xldudf_CX_PUSH(AF31*fxVal_normal,CX_ENTITY,$B31,AF$11,AF$14,AF$19,),""),IF($I31=2,IFBLANK(_xldudf_CX_PUSH(AF31,CX_ENTITY,$B31,AF$11,AF$14,AF$19,),""),IF($I31=3,"",IFBLANK(_xldudf_CX_PUSH(AF31,CX_ENTITY,$B31,AF$11,AF$14,AF$19,),"")))))),"")</f>
        <v/>
      </c>
      <c r="CZ31" s="1883" t="str" cm="1">
        <f t="array" ca="1" aca="1" ref="CZ31">IFERROR(IF(AG31*fxVal_normal=_CF!AG31,"",IF(OR(AG31="",NOT(ISNUMBER(AG31)),ISERROR(AG31),$B31=""),"",IF($I31=1,IFBLANK(_xldudf_CX_PUSH(AG31*fxVal_normal,CX_ENTITY,$B31,AG$11,AG$14,AG$19,),""),IF($I31=2,IFBLANK(_xldudf_CX_PUSH(AG31,CX_ENTITY,$B31,AG$11,AG$14,AG$19,),""),IF($I31=3,"",IFBLANK(_xldudf_CX_PUSH(AG31,CX_ENTITY,$B31,AG$11,AG$14,AG$19,),"")))))),"")</f>
        <v/>
      </c>
      <c r="DA31" s="1883" t="str" cm="1">
        <f t="array" ca="1" aca="1" ref="DA31">IFERROR(IF(AH31*fxVal_normal=_CF!AH31,"",IF(OR(AH31="",NOT(ISNUMBER(AH31)),ISERROR(AH31),$B31=""),"",IF($I31=1,IFBLANK(_xldudf_CX_PUSH(AH31*fxVal_normal,CX_ENTITY,$B31,AH$11,AH$14,AH$19,),""),IF($I31=2,IFBLANK(_xldudf_CX_PUSH(AH31,CX_ENTITY,$B31,AH$11,AH$14,AH$19,),""),IF($I31=3,"",IFBLANK(_xldudf_CX_PUSH(AH31,CX_ENTITY,$B31,AH$11,AH$14,AH$19,),"")))))),"")</f>
        <v/>
      </c>
      <c r="DB31" s="1883" t="str" cm="1">
        <f t="array" ca="1" aca="1" ref="DB31">IFERROR(IF(AI31*fxVal_normal=_CF!AI31,"",IF(OR(AI31="",NOT(ISNUMBER(AI31)),ISERROR(AI31),$B31=""),"",IF($I31=1,IFBLANK(_xldudf_CX_PUSH(AI31*fxVal_normal,CX_ENTITY,$B31,AI$11,AI$14,AI$19,),""),IF($I31=2,IFBLANK(_xldudf_CX_PUSH(AI31,CX_ENTITY,$B31,AI$11,AI$14,AI$19,),""),IF($I31=3,"",IFBLANK(_xldudf_CX_PUSH(AI31,CX_ENTITY,$B31,AI$11,AI$14,AI$19,),"")))))),"")</f>
        <v/>
      </c>
      <c r="DC31" s="1883" t="str" cm="1">
        <f t="array" ca="1" aca="1" ref="DC31">IFERROR(IF(AJ31*fxVal_normal=_CF!AJ31,"",IF(OR(AJ31="",NOT(ISNUMBER(AJ31)),ISERROR(AJ31),$B31=""),"",IF($I31=1,IFBLANK(_xldudf_CX_PUSH(AJ31*fxVal_normal,CX_ENTITY,$B31,AJ$11,AJ$14,AJ$19,),""),IF($I31=2,IFBLANK(_xldudf_CX_PUSH(AJ31,CX_ENTITY,$B31,AJ$11,AJ$14,AJ$19,),""),IF($I31=3,"",IFBLANK(_xldudf_CX_PUSH(AJ31,CX_ENTITY,$B31,AJ$11,AJ$14,AJ$19,),"")))))),"")</f>
        <v/>
      </c>
      <c r="DD31" s="1883" t="str" cm="1">
        <f t="array" ca="1" aca="1" ref="DD31">IFERROR(IF(AK31*fxVal_normal=_CF!AK31,"",IF(OR(AK31="",NOT(ISNUMBER(AK31)),ISERROR(AK31),$B31=""),"",IF($I31=1,IFBLANK(_xldudf_CX_PUSH(AK31*fxVal_normal,CX_ENTITY,$B31,AK$11,AK$14,AK$19,),""),IF($I31=2,IFBLANK(_xldudf_CX_PUSH(AK31,CX_ENTITY,$B31,AK$11,AK$14,AK$19,),""),IF($I31=3,"",IFBLANK(_xldudf_CX_PUSH(AK31,CX_ENTITY,$B31,AK$11,AK$14,AK$19,),"")))))),"")</f>
        <v/>
      </c>
      <c r="DE31" s="1883" t="str" cm="1">
        <f t="array" ca="1" aca="1" ref="DE31">IFERROR(IF(AL31*fxVal_normal=_CF!AL31,"",IF(OR(AL31="",NOT(ISNUMBER(AL31)),ISERROR(AL31),$B31=""),"",IF($I31=1,IFBLANK(_xldudf_CX_PUSH(AL31*fxVal_normal,CX_ENTITY,$B31,AL$11,AL$14,AL$19,),""),IF($I31=2,IFBLANK(_xldudf_CX_PUSH(AL31,CX_ENTITY,$B31,AL$11,AL$14,AL$19,),""),IF($I31=3,"",IFBLANK(_xldudf_CX_PUSH(AL31,CX_ENTITY,$B31,AL$11,AL$14,AL$19,),"")))))),"")</f>
        <v/>
      </c>
      <c r="DF31" s="1883" t="str" cm="1">
        <f t="array" ca="1" aca="1" ref="DF31">IFERROR(IF(AM31*fxVal_normal=_CF!AM31,"",IF(OR(AM31="",NOT(ISNUMBER(AM31)),ISERROR(AM31),$B31=""),"",IF($I31=1,IFBLANK(_xldudf_CX_PUSH(AM31*fxVal_normal,CX_ENTITY,$B31,AM$11,AM$14,AM$19,),""),IF($I31=2,IFBLANK(_xldudf_CX_PUSH(AM31,CX_ENTITY,$B31,AM$11,AM$14,AM$19,),""),IF($I31=3,"",IFBLANK(_xldudf_CX_PUSH(AM31,CX_ENTITY,$B31,AM$11,AM$14,AM$19,),"")))))),"")</f>
        <v/>
      </c>
      <c r="DG31" s="1883" t="str" cm="1">
        <f t="array" ca="1" aca="1" ref="DG31">IFERROR(IF(AN31*fxVal_normal=_CF!AN31,"",IF(OR(AN31="",NOT(ISNUMBER(AN31)),ISERROR(AN31),$B31=""),"",IF($I31=1,IFBLANK(_xldudf_CX_PUSH(AN31*fxVal_normal,CX_ENTITY,$B31,AN$11,AN$14,AN$19,),""),IF($I31=2,IFBLANK(_xldudf_CX_PUSH(AN31,CX_ENTITY,$B31,AN$11,AN$14,AN$19,),""),IF($I31=3,"",IFBLANK(_xldudf_CX_PUSH(AN31,CX_ENTITY,$B31,AN$11,AN$14,AN$19,),"")))))),"")</f>
        <v/>
      </c>
      <c r="DH31" s="1883" t="str" cm="1">
        <f t="array" ca="1" aca="1" ref="DH31">IFERROR(IF(AO31*fxVal_normal=_CF!AO31,"",IF(OR(AO31="",NOT(ISNUMBER(AO31)),ISERROR(AO31),$B31=""),"",IF($I31=1,IFBLANK(_xldudf_CX_PUSH(AO31*fxVal_normal,CX_ENTITY,$B31,AO$11,AO$14,AO$19,),""),IF($I31=2,IFBLANK(_xldudf_CX_PUSH(AO31,CX_ENTITY,$B31,AO$11,AO$14,AO$19,),""),IF($I31=3,"",IFBLANK(_xldudf_CX_PUSH(AO31,CX_ENTITY,$B31,AO$11,AO$14,AO$19,),"")))))),"")</f>
        <v/>
      </c>
      <c r="DI31" s="1883" t="str" cm="1">
        <f t="array" ca="1" aca="1" ref="DI31">IFERROR(IF(AP31*fxVal_normal=_CF!AP31,"",IF(OR(AP31="",NOT(ISNUMBER(AP31)),ISERROR(AP31),$B31=""),"",IF($I31=1,IFBLANK(_xldudf_CX_PUSH(AP31*fxVal_normal,CX_ENTITY,$B31,AP$11,AP$14,AP$19,),""),IF($I31=2,IFBLANK(_xldudf_CX_PUSH(AP31,CX_ENTITY,$B31,AP$11,AP$14,AP$19,),""),IF($I31=3,"",IFBLANK(_xldudf_CX_PUSH(AP31,CX_ENTITY,$B31,AP$11,AP$14,AP$19,),"")))))),"")</f>
        <v/>
      </c>
      <c r="DJ31" s="1883" t="str" cm="1">
        <f t="array" ca="1" aca="1" ref="DJ31">IFERROR(IF(AQ31*fxVal_normal=_CF!AQ31,"",IF(OR(AQ31="",NOT(ISNUMBER(AQ31)),ISERROR(AQ31),$B31=""),"",IF($I31=1,IFBLANK(_xldudf_CX_PUSH(AQ31*fxVal_normal,CX_ENTITY,$B31,AQ$11,AQ$14,AQ$19,),""),IF($I31=2,IFBLANK(_xldudf_CX_PUSH(AQ31,CX_ENTITY,$B31,AQ$11,AQ$14,AQ$19,),""),IF($I31=3,"",IFBLANK(_xldudf_CX_PUSH(AQ31,CX_ENTITY,$B31,AQ$11,AQ$14,AQ$19,),"")))))),"")</f>
        <v/>
      </c>
      <c r="DK31" s="1883" t="str" cm="1">
        <f t="array" ca="1" aca="1" ref="DK31">IFERROR(IF(AR31*fxVal_normal=_CF!AR31,"",IF(OR(AR31="",NOT(ISNUMBER(AR31)),ISERROR(AR31),$B31=""),"",IF($I31=1,IFBLANK(_xldudf_CX_PUSH(AR31*fxVal_normal,CX_ENTITY,$B31,AR$11,AR$14,AR$19,),""),IF($I31=2,IFBLANK(_xldudf_CX_PUSH(AR31,CX_ENTITY,$B31,AR$11,AR$14,AR$19,),""),IF($I31=3,"",IFBLANK(_xldudf_CX_PUSH(AR31,CX_ENTITY,$B31,AR$11,AR$14,AR$19,),"")))))),"")</f>
        <v/>
      </c>
      <c r="DL31" s="1883" t="str" cm="1">
        <f t="array" ca="1" aca="1" ref="DL31">IFERROR(IF(AS31*fxVal_normal=_CF!AS31,"",IF(OR(AS31="",NOT(ISNUMBER(AS31)),ISERROR(AS31),$B31=""),"",IF($I31=1,IFBLANK(_xldudf_CX_PUSH(AS31*fxVal_normal,CX_ENTITY,$B31,AS$11,AS$14,AS$19,),""),IF($I31=2,IFBLANK(_xldudf_CX_PUSH(AS31,CX_ENTITY,$B31,AS$11,AS$14,AS$19,),""),IF($I31=3,"",IFBLANK(_xldudf_CX_PUSH(AS31,CX_ENTITY,$B31,AS$11,AS$14,AS$19,),"")))))),"")</f>
        <v/>
      </c>
      <c r="DM31" s="1883" t="str" cm="1">
        <f t="array" ca="1" aca="1" ref="DM31">IFERROR(IF(AT31*fxVal_normal=_CF!AT31,"",IF(OR(AT31="",NOT(ISNUMBER(AT31)),ISERROR(AT31),$B31=""),"",IF($I31=1,IFBLANK(_xldudf_CX_PUSH(AT31*fxVal_normal,CX_ENTITY,$B31,AT$11,AT$14,AT$19,),""),IF($I31=2,IFBLANK(_xldudf_CX_PUSH(AT31,CX_ENTITY,$B31,AT$11,AT$14,AT$19,),""),IF($I31=3,"",IFBLANK(_xldudf_CX_PUSH(AT31,CX_ENTITY,$B31,AT$11,AT$14,AT$19,),"")))))),"")</f>
        <v/>
      </c>
      <c r="DN31" s="1883" t="str" cm="1">
        <f t="array" ca="1" aca="1" ref="DN31">IFERROR(IF(AU31*fxVal_normal=_CF!AU31,"",IF(OR(AU31="",NOT(ISNUMBER(AU31)),ISERROR(AU31),$B31=""),"",IF($I31=1,IFBLANK(_xldudf_CX_PUSH(AU31*fxVal_normal,CX_ENTITY,$B31,AU$11,AU$14,AU$19,),""),IF($I31=2,IFBLANK(_xldudf_CX_PUSH(AU31,CX_ENTITY,$B31,AU$11,AU$14,AU$19,),""),IF($I31=3,"",IFBLANK(_xldudf_CX_PUSH(AU31,CX_ENTITY,$B31,AU$11,AU$14,AU$19,),"")))))),"")</f>
        <v/>
      </c>
      <c r="DO31" s="1883" t="str" cm="1">
        <f t="array" ca="1" aca="1" ref="DO31">IFERROR(IF(AV31*fxVal_normal=_CF!AV31,"",IF(OR(AV31="",NOT(ISNUMBER(AV31)),ISERROR(AV31),$B31=""),"",IF($I31=1,IFBLANK(_xldudf_CX_PUSH(AV31*fxVal_normal,CX_ENTITY,$B31,AV$11,AV$14,AV$19,),""),IF($I31=2,IFBLANK(_xldudf_CX_PUSH(AV31,CX_ENTITY,$B31,AV$11,AV$14,AV$19,),""),IF($I31=3,"",IFBLANK(_xldudf_CX_PUSH(AV31,CX_ENTITY,$B31,AV$11,AV$14,AV$19,),"")))))),"")</f>
        <v/>
      </c>
      <c r="DP31" s="1883" t="str" cm="1">
        <f t="array" ca="1" aca="1" ref="DP31">IFERROR(IF(AW31*fxVal_normal=_CF!AW31,"",IF(OR(AW31="",NOT(ISNUMBER(AW31)),ISERROR(AW31),$B31=""),"",IF($I31=1,IFBLANK(_xldudf_CX_PUSH(AW31*fxVal_normal,CX_ENTITY,$B31,AW$11,AW$14,AW$19,),""),IF($I31=2,IFBLANK(_xldudf_CX_PUSH(AW31,CX_ENTITY,$B31,AW$11,AW$14,AW$19,),""),IF($I31=3,"",IFBLANK(_xldudf_CX_PUSH(AW31,CX_ENTITY,$B31,AW$11,AW$14,AW$19,),"")))))),"")</f>
        <v/>
      </c>
      <c r="DQ31" s="1883" t="str" cm="1">
        <f t="array" ca="1" aca="1" ref="DQ31">IFERROR(IF(AX31*fxVal_normal=_CF!AX31,"",IF(OR(AX31="",NOT(ISNUMBER(AX31)),ISERROR(AX31),$B31=""),"",IF($I31=1,IFBLANK(_xldudf_CX_PUSH(AX31*fxVal_normal,CX_ENTITY,$B31,AX$11,AX$14,AX$19,),""),IF($I31=2,IFBLANK(_xldudf_CX_PUSH(AX31,CX_ENTITY,$B31,AX$11,AX$14,AX$19,),""),IF($I31=3,"",IFBLANK(_xldudf_CX_PUSH(AX31,CX_ENTITY,$B31,AX$11,AX$14,AX$19,),"")))))),"")</f>
        <v/>
      </c>
      <c r="DR31" s="1883" t="str" cm="1">
        <f t="array" ca="1" aca="1" ref="DR31">IFERROR(IF(AY31*fxVal_normal=_CF!AY31,"",IF(OR(AY31="",NOT(ISNUMBER(AY31)),ISERROR(AY31),$B31=""),"",IF($I31=1,IFBLANK(_xldudf_CX_PUSH(AY31*fxVal_normal,CX_ENTITY,$B31,AY$11,AY$14,AY$19,),""),IF($I31=2,IFBLANK(_xldudf_CX_PUSH(AY31,CX_ENTITY,$B31,AY$11,AY$14,AY$19,),""),IF($I31=3,"",IFBLANK(_xldudf_CX_PUSH(AY31,CX_ENTITY,$B31,AY$11,AY$14,AY$19,),"")))))),"")</f>
        <v/>
      </c>
      <c r="DS31" s="1883" t="str" cm="1">
        <f t="array" ca="1" aca="1" ref="DS31">IFERROR(IF(AZ31*fxVal_normal=_CF!AZ31,"",IF(OR(AZ31="",NOT(ISNUMBER(AZ31)),ISERROR(AZ31),$B31=""),"",IF($I31=1,IFBLANK(_xldudf_CX_PUSH(AZ31*fxVal_normal,CX_ENTITY,$B31,AZ$11,AZ$14,AZ$19,),""),IF($I31=2,IFBLANK(_xldudf_CX_PUSH(AZ31,CX_ENTITY,$B31,AZ$11,AZ$14,AZ$19,),""),IF($I31=3,"",IFBLANK(_xldudf_CX_PUSH(AZ31,CX_ENTITY,$B31,AZ$11,AZ$14,AZ$19,),"")))))),"")</f>
        <v/>
      </c>
      <c r="DT31" s="1883" t="str" cm="1">
        <f t="array" ca="1" aca="1" ref="DT31">IFERROR(IF(BA31*fxVal_normal=_CF!BA31,"",IF(OR(BA31="",NOT(ISNUMBER(BA31)),ISERROR(BA31),$B31=""),"",IF($I31=1,IFBLANK(_xldudf_CX_PUSH(BA31*fxVal_normal,CX_ENTITY,$B31,BA$11,BA$14,BA$19,),""),IF($I31=2,IFBLANK(_xldudf_CX_PUSH(BA31,CX_ENTITY,$B31,BA$11,BA$14,BA$19,),""),IF($I31=3,"",IFBLANK(_xldudf_CX_PUSH(BA31,CX_ENTITY,$B31,BA$11,BA$14,BA$19,),"")))))),"")</f>
        <v/>
      </c>
      <c r="DU31" s="1883" t="str" cm="1">
        <f t="array" ca="1" aca="1" ref="DU31">IFERROR(IF(BB31*fxVal_normal=_CF!BB31,"",IF(OR(BB31="",NOT(ISNUMBER(BB31)),ISERROR(BB31),$B31=""),"",IF($I31=1,IFBLANK(_xldudf_CX_PUSH(BB31*fxVal_normal,CX_ENTITY,$B31,BB$11,BB$14,BB$19,),""),IF($I31=2,IFBLANK(_xldudf_CX_PUSH(BB31,CX_ENTITY,$B31,BB$11,BB$14,BB$19,),""),IF($I31=3,"",IFBLANK(_xldudf_CX_PUSH(BB31,CX_ENTITY,$B31,BB$11,BB$14,BB$19,),"")))))),"")</f>
        <v/>
      </c>
      <c r="DV31" s="1883" t="str" cm="1">
        <f t="array" ca="1" aca="1" ref="DV31">IFERROR(IF(BC31*fxVal_normal=_CF!BC31,"",IF(OR(BC31="",NOT(ISNUMBER(BC31)),ISERROR(BC31),$B31=""),"",IF($I31=1,IFBLANK(_xldudf_CX_PUSH(BC31*fxVal_normal,CX_ENTITY,$B31,BC$11,BC$14,BC$19,),""),IF($I31=2,IFBLANK(_xldudf_CX_PUSH(BC31,CX_ENTITY,$B31,BC$11,BC$14,BC$19,),""),IF($I31=3,"",IFBLANK(_xldudf_CX_PUSH(BC31,CX_ENTITY,$B31,BC$11,BC$14,BC$19,),"")))))),"")</f>
        <v/>
      </c>
      <c r="DW31" s="1883" t="str" cm="1">
        <f t="array" ca="1" aca="1" ref="DW31">IFERROR(IF(BD31*fxVal_normal=_CF!BD31,"",IF(OR(BD31="",NOT(ISNUMBER(BD31)),ISERROR(BD31),$B31=""),"",IF($I31=1,IFBLANK(_xldudf_CX_PUSH(BD31*fxVal_normal,CX_ENTITY,$B31,BD$11,BD$14,BD$19,),""),IF($I31=2,IFBLANK(_xldudf_CX_PUSH(BD31,CX_ENTITY,$B31,BD$11,BD$14,BD$19,),""),IF($I31=3,"",IFBLANK(_xldudf_CX_PUSH(BD31,CX_ENTITY,$B31,BD$11,BD$14,BD$19,),"")))))),"")</f>
        <v/>
      </c>
      <c r="DX31" s="1883" t="str" cm="1">
        <f t="array" ca="1" aca="1" ref="DX31">IFERROR(IF(BE31*fxVal_normal=_CF!BE31,"",IF(OR(BE31="",NOT(ISNUMBER(BE31)),ISERROR(BE31),$B31=""),"",IF($I31=1,IFBLANK(_xldudf_CX_PUSH(BE31*fxVal_normal,CX_ENTITY,$B31,BE$11,BE$14,BE$19,),""),IF($I31=2,IFBLANK(_xldudf_CX_PUSH(BE31,CX_ENTITY,$B31,BE$11,BE$14,BE$19,),""),IF($I31=3,"",IFBLANK(_xldudf_CX_PUSH(BE31,CX_ENTITY,$B31,BE$11,BE$14,BE$19,),"")))))),"")</f>
        <v/>
      </c>
      <c r="DY31" s="1883" t="str" cm="1">
        <f t="array" ca="1" aca="1" ref="DY31">IFERROR(IF(BF31*fxVal_normal=_CF!BF31,"",IF(OR(BF31="",NOT(ISNUMBER(BF31)),ISERROR(BF31),$B31=""),"",IF($I31=1,IFBLANK(_xldudf_CX_PUSH(BF31*fxVal_normal,CX_ENTITY,$B31,BF$11,BF$14,BF$19,),""),IF($I31=2,IFBLANK(_xldudf_CX_PUSH(BF31,CX_ENTITY,$B31,BF$11,BF$14,BF$19,),""),IF($I31=3,"",IFBLANK(_xldudf_CX_PUSH(BF31,CX_ENTITY,$B31,BF$11,BF$14,BF$19,),"")))))),"")</f>
        <v/>
      </c>
      <c r="DZ31" s="1883" t="str" cm="1">
        <f t="array" ca="1" aca="1" ref="DZ31">IFERROR(IF(BG31*fxVal_normal=_CF!BG31,"",IF(OR(BG31="",NOT(ISNUMBER(BG31)),ISERROR(BG31),$B31=""),"",IF($I31=1,IFBLANK(_xldudf_CX_PUSH(BG31*fxVal_normal,CX_ENTITY,$B31,BG$11,BG$14,BG$19,),""),IF($I31=2,IFBLANK(_xldudf_CX_PUSH(BG31,CX_ENTITY,$B31,BG$11,BG$14,BG$19,),""),IF($I31=3,"",IFBLANK(_xldudf_CX_PUSH(BG31,CX_ENTITY,$B31,BG$11,BG$14,BG$19,),"")))))),"")</f>
        <v/>
      </c>
      <c r="EA31" s="1883" t="str" cm="1">
        <f t="array" ca="1" aca="1" ref="EA31">IFERROR(IF(BH31*fxVal_normal=_CF!BH31,"",IF(OR(BH31="",NOT(ISNUMBER(BH31)),ISERROR(BH31),$B31=""),"",IF($I31=1,IFBLANK(_xldudf_CX_PUSH(BH31*fxVal_normal,CX_ENTITY,$B31,BH$11,BH$14,BH$19,),""),IF($I31=2,IFBLANK(_xldudf_CX_PUSH(BH31,CX_ENTITY,$B31,BH$11,BH$14,BH$19,),""),IF($I31=3,"",IFBLANK(_xldudf_CX_PUSH(BH31,CX_ENTITY,$B31,BH$11,BH$14,BH$19,),"")))))),"")</f>
        <v/>
      </c>
      <c r="EB31" s="1883" t="str" cm="1">
        <f t="array" ca="1" aca="1" ref="EB31">IFERROR(IF(BI31*fxVal_normal=_CF!BI31,"",IF(OR(BI31="",NOT(ISNUMBER(BI31)),ISERROR(BI31),$B31=""),"",IF($I31=1,IFBLANK(_xldudf_CX_PUSH(BI31*fxVal_normal,CX_ENTITY,$B31,BI$11,BI$14,BI$19,),""),IF($I31=2,IFBLANK(_xldudf_CX_PUSH(BI31,CX_ENTITY,$B31,BI$11,BI$14,BI$19,),""),IF($I31=3,"",IFBLANK(_xldudf_CX_PUSH(BI31,CX_ENTITY,$B31,BI$11,BI$14,BI$19,),"")))))),"")</f>
        <v/>
      </c>
      <c r="EC31" s="1883" t="str" cm="1">
        <f t="array" ca="1" aca="1" ref="EC31">IFERROR(IF(BJ31*fxVal_normal=_CF!BJ31,"",IF(OR(BJ31="",NOT(ISNUMBER(BJ31)),ISERROR(BJ31),$B31=""),"",IF($I31=1,IFBLANK(_xldudf_CX_PUSH(BJ31*fxVal_normal,CX_ENTITY,$B31,BJ$11,BJ$14,BJ$19,),""),IF($I31=2,IFBLANK(_xldudf_CX_PUSH(BJ31,CX_ENTITY,$B31,BJ$11,BJ$14,BJ$19,),""),IF($I31=3,"",IFBLANK(_xldudf_CX_PUSH(BJ31,CX_ENTITY,$B31,BJ$11,BJ$14,BJ$19,),"")))))),"")</f>
        <v/>
      </c>
      <c r="ED31" s="1883" t="str" cm="1">
        <f t="array" ca="1" aca="1" ref="ED31">IFERROR(IF(BK31*fxVal_normal=_CF!BK31,"",IF(OR(BK31="",NOT(ISNUMBER(BK31)),ISERROR(BK31),$B31=""),"",IF($I31=1,IFBLANK(_xldudf_CX_PUSH(BK31*fxVal_normal,CX_ENTITY,$B31,BK$11,BK$14,BK$19,),""),IF($I31=2,IFBLANK(_xldudf_CX_PUSH(BK31,CX_ENTITY,$B31,BK$11,BK$14,BK$19,),""),IF($I31=3,"",IFBLANK(_xldudf_CX_PUSH(BK31,CX_ENTITY,$B31,BK$11,BK$14,BK$19,),"")))))),"")</f>
        <v/>
      </c>
      <c r="EE31" s="1883" t="str" cm="1">
        <f t="array" ca="1" aca="1" ref="EE31">IFERROR(IF(BL31*fxVal_normal=_CF!BL31,"",IF(OR(BL31="",NOT(ISNUMBER(BL31)),ISERROR(BL31),$B31=""),"",IF($I31=1,IFBLANK(_xldudf_CX_PUSH(BL31*fxVal_normal,CX_ENTITY,$B31,BL$11,BL$14,BL$19,),""),IF($I31=2,IFBLANK(_xldudf_CX_PUSH(BL31,CX_ENTITY,$B31,BL$11,BL$14,BL$19,),""),IF($I31=3,"",IFBLANK(_xldudf_CX_PUSH(BL31,CX_ENTITY,$B31,BL$11,BL$14,BL$19,),"")))))),"")</f>
        <v/>
      </c>
      <c r="EF31" s="1883" t="str" cm="1">
        <f t="array" ca="1" aca="1" ref="EF31">IFERROR(IF(BM31*fxVal_normal=_CF!BM31,"",IF(OR(BM31="",NOT(ISNUMBER(BM31)),ISERROR(BM31),$B31=""),"",IF($I31=1,IFBLANK(_xldudf_CX_PUSH(BM31*fxVal_normal,CX_ENTITY,$B31,BM$11,BM$14,BM$19,),""),IF($I31=2,IFBLANK(_xldudf_CX_PUSH(BM31,CX_ENTITY,$B31,BM$11,BM$14,BM$19,),""),IF($I31=3,"",IFBLANK(_xldudf_CX_PUSH(BM31,CX_ENTITY,$B31,BM$11,BM$14,BM$19,),"")))))),"")</f>
        <v/>
      </c>
      <c r="EG31" s="1883" t="str" cm="1">
        <f t="array" ca="1" aca="1" ref="EG31">IFERROR(IF(BN31*fxVal_normal=_CF!BN31,"",IF(OR(BN31="",NOT(ISNUMBER(BN31)),ISERROR(BN31),$B31=""),"",IF($I31=1,IFBLANK(_xldudf_CX_PUSH(BN31*fxVal_normal,CX_ENTITY,$B31,BN$11,BN$14,BN$19,),""),IF($I31=2,IFBLANK(_xldudf_CX_PUSH(BN31,CX_ENTITY,$B31,BN$11,BN$14,BN$19,),""),IF($I31=3,"",IFBLANK(_xldudf_CX_PUSH(BN31,CX_ENTITY,$B31,BN$11,BN$14,BN$19,),"")))))),"")</f>
        <v/>
      </c>
    </row>
    <row r="32" spans="1:137" ht="21" customHeight="1">
      <c r="A32" s="1626"/>
      <c r="B32" s="811" t="str" cm="1">
        <f t="array" ref="B32">IFBLANK(_CF!F32,"")</f>
        <v>Financing Proceeds</v>
      </c>
      <c r="C32" s="3346" t="str" cm="1">
        <f t="array" ref="C32">IFBLANK(_CF!C32,"")</f>
        <v>Financing Proceeds (Company View)</v>
      </c>
      <c r="D32" s="1549"/>
      <c r="E32" s="811"/>
      <c r="F32" s="574"/>
      <c r="G32" s="401"/>
      <c r="H32" s="3280">
        <v>1</v>
      </c>
      <c r="I32" s="3280">
        <v>1</v>
      </c>
      <c r="J32" s="3280" cm="1">
        <f t="array" ref="J32">IFBLANK(Z32,"")</f>
        <v>1</v>
      </c>
      <c r="K32" s="401"/>
      <c r="N32" s="158"/>
      <c r="O32" s="101"/>
      <c r="P32" s="52"/>
      <c r="Q32" s="101"/>
      <c r="R32" s="126"/>
      <c r="S32" s="101"/>
      <c r="T32" s="101"/>
      <c r="U32" s="39"/>
      <c r="W32" s="932" t="str">
        <f t="shared" si="1"/>
        <v>Actual</v>
      </c>
      <c r="X32" s="3299">
        <f>_CF!X32</f>
        <v>1</v>
      </c>
      <c r="Y32" s="3183">
        <v>2</v>
      </c>
      <c r="Z32" s="3291" cm="1">
        <f t="array" ref="Z32">_xlfn.SWITCH(TRUE,_CF!$L32=TRUE,1,_CF!$L32=FALSE,-1,_CF!$L32=-1,0,"n/a")</f>
        <v>1</v>
      </c>
      <c r="AA32" s="200"/>
      <c r="AB32" s="3343" t="str">
        <f>_CF!AB32</f>
        <v>Financing Proceeds</v>
      </c>
      <c r="AC32" s="88" t="e" vm="5" cm="1">
        <f t="array" ca="1" aca="1" ref="AC32">_xlfn.LET(_xlpm._termname,$AB32,_xlpm._iconname,"find",_xlpm._icon,fx_getIcon(_xlpm._iconname),_xlpm._location,_xlfn.XLOOKUP(LOWER(_xlpm._termname),LOWER(tbl_acctDef[Term]),tbl_acctDef[Term]),_xlpm._hyperlink,HYPERLINK("#"&amp;CELL("address",_xlpm._location),_xlpm._icon),IFERROR(_xlpm._hyperlink,""))</f>
        <v>#VALUE!</v>
      </c>
      <c r="AD32" s="3232">
        <v>1</v>
      </c>
      <c r="AE32" s="3232">
        <v>1</v>
      </c>
      <c r="AF32" s="3232">
        <v>1</v>
      </c>
      <c r="AG32" s="3232">
        <v>1</v>
      </c>
      <c r="AH32" s="3232">
        <v>1</v>
      </c>
      <c r="AI32" s="3232">
        <v>1</v>
      </c>
      <c r="AJ32" s="3232">
        <v>1</v>
      </c>
      <c r="AK32" s="3232">
        <v>1</v>
      </c>
      <c r="AL32" s="3232">
        <v>1</v>
      </c>
      <c r="AM32" s="3232">
        <v>1</v>
      </c>
      <c r="AN32" s="3232">
        <v>1</v>
      </c>
      <c r="AO32" s="3232">
        <v>1</v>
      </c>
      <c r="AP32" s="3232">
        <v>1</v>
      </c>
      <c r="AQ32" s="3232">
        <v>1</v>
      </c>
      <c r="AR32" s="3232">
        <v>1</v>
      </c>
      <c r="AS32" s="3232">
        <v>1</v>
      </c>
      <c r="AT32" s="3232">
        <v>1</v>
      </c>
      <c r="AU32" s="3232">
        <v>1</v>
      </c>
      <c r="AV32" s="3232">
        <v>1</v>
      </c>
      <c r="AW32" s="3232">
        <v>1</v>
      </c>
      <c r="AX32" s="3232">
        <v>1</v>
      </c>
      <c r="AY32" s="3232">
        <v>1</v>
      </c>
      <c r="AZ32" s="3232">
        <v>1</v>
      </c>
      <c r="BA32" s="3232">
        <v>1</v>
      </c>
      <c r="BB32" s="3232">
        <v>1</v>
      </c>
      <c r="BC32" s="3232">
        <v>1</v>
      </c>
      <c r="BD32" s="3232">
        <v>1</v>
      </c>
      <c r="BE32" s="3232">
        <v>1</v>
      </c>
      <c r="BF32" s="3232">
        <v>1</v>
      </c>
      <c r="BG32" s="3232">
        <v>1</v>
      </c>
      <c r="BH32" s="3232">
        <v>1</v>
      </c>
      <c r="BI32" s="3232">
        <v>1</v>
      </c>
      <c r="BJ32" s="3232">
        <v>1</v>
      </c>
      <c r="BK32" s="3232">
        <v>1</v>
      </c>
      <c r="BL32" s="3232">
        <v>1</v>
      </c>
      <c r="BM32" s="3232">
        <v>1</v>
      </c>
      <c r="BN32" s="3232">
        <v>1</v>
      </c>
      <c r="BO32" s="2115"/>
      <c r="BP32" s="2115"/>
      <c r="BQ32" s="2115"/>
      <c r="BR32" s="2115"/>
      <c r="BS32" s="2115"/>
      <c r="BT32" s="2115"/>
      <c r="BU32" s="2115"/>
      <c r="BV32" s="2115"/>
      <c r="BW32" s="2115"/>
      <c r="BX32" s="2115"/>
      <c r="BY32" s="2115"/>
      <c r="BZ32" s="2115"/>
      <c r="CA32" s="1330"/>
      <c r="CB32" s="537"/>
      <c r="CC32" s="1484"/>
      <c r="CD32" s="1461" t="e" cm="1">
        <f t="array" ca="1" aca="1" ref="CD32">_xlfn.LET(_xlpm.CheckBlank,SUM(CF!$AD32:$BN32)=0,IF(_xlpm.CheckBlank,"",SUM(_xlfn._xlws.FILTER(CF!$AD32:$BN32,(YEAR(CF!$AD$12:$BN$12)=CF!CD$12)*(array_timeline&lt;=CF!CD$11)))))</f>
        <v>#NAME?</v>
      </c>
      <c r="CE32" s="1461" t="e" cm="1">
        <f t="array" ca="1" aca="1" ref="CE32">_xlfn.LET(_xlpm.CheckBlank,SUM(CF!$AD32:$BN32)=0,IF(_xlpm.CheckBlank,"",SUM(_xlfn._xlws.FILTER(CF!$AD32:$BN32,(YEAR(CF!$AD$12:$BN$12)=CF!CE$12)*(array_timeline&lt;=CF!CE$11)))))</f>
        <v>#NAME?</v>
      </c>
      <c r="CF32" s="1314"/>
      <c r="CG32" s="1461" t="e" cm="1">
        <f t="array" ca="1" aca="1" ref="CG32">_xlfn.LET(_xlpm.CheckBlank,SUM(CF!$AD32:$BN32)=0,IF(_xlpm.CheckBlank,"",SUM(_xlfn._xlws.FILTER(CF!$AD32:$BN32,(YEAR(CF!$AD$12:$BN$12)=CF!CG$12)*(array_timeline&lt;=CF!CG$11)))))</f>
        <v>#NAME?</v>
      </c>
      <c r="CH32" s="1461" t="e" cm="1">
        <f t="array" ca="1" aca="1" ref="CH32">_xlfn.LET(_xlpm.CheckBlank,SUM(CF!$AD32:$BN32)=0,IF(_xlpm.CheckBlank,"",SUM(_xlfn._xlws.FILTER(CF!$AD32:$BN32,(YEAR(CF!$AD$12:$BN$12)=CF!CH$12)*(array_timeline&lt;=CF!CH$11)))))</f>
        <v>#NAME?</v>
      </c>
      <c r="CI32" s="1314"/>
      <c r="CJ32" s="1461" cm="1">
        <f t="array" ref="CJ32">_xlfn.LET(_xlpm.CheckBlank,SUM(CF!$AD32:$BN32)=0,IF(_xlpm.CheckBlank,"",SUM(_xlfn.TAKE(_xlfn.DROP(CF!$AD32:$BN32,,-DATEDIFF(CF!CJ$11,val_asOfDate,"M")),1,-12))))</f>
        <v>12</v>
      </c>
      <c r="CK32" s="1461" cm="1">
        <f t="array" ref="CK32">_xlfn.LET(_xlpm.CheckBlank,SUM(CF!$AD32:$BN32)=0,IF(_xlpm.CheckBlank,"",SUM(_xlfn.TAKE(_xlfn.DROP(CF!$AD32:$BN32,,-DATEDIFF(CF!CK$11,val_asOfDate,"M")),1,-12))))</f>
        <v>12</v>
      </c>
      <c r="CL32" s="1314"/>
      <c r="CM32" s="3353" t="e" cm="1">
        <f t="array" ca="1" aca="1" ref="CM32">TODECIMAL(IFBLANK(_CF!CM32,""),fxVal_normal)</f>
        <v>#NAME?</v>
      </c>
      <c r="CN32" s="3353" t="e" cm="1">
        <f t="array" ca="1" aca="1" ref="CN32">TODECIMAL(IFBLANK(_CF!CN32,""),fxVal_normal)</f>
        <v>#NAME?</v>
      </c>
      <c r="CO32" s="34"/>
      <c r="CQ32" s="2085" t="str" cm="1">
        <f t="array" ca="1" aca="1" ref="CQ32">IFERROR(IF(Y32&lt;&gt;AB32,_xldudf_CX_PUSH(Y32,CX_ENTITY,C32,EOMONTH(val_asOfDate,0)),""),"")</f>
        <v/>
      </c>
      <c r="CR32" s="2085" t="str" cm="1">
        <f t="array" ca="1" aca="1" ref="CR32">IFERROR(IF(Y32&lt;&gt;AB32,_xldudf_CX_PUSH(Y32,CX_ENTITY,C32,EOMONTH(val_asOfDate,1)),""),"")</f>
        <v/>
      </c>
      <c r="CS32" s="2085" t="str" cm="1">
        <f t="array" ca="1" aca="1" ref="CS32">IFERROR(IF(Y32&lt;&gt;AB32,_xldudf_CX_PUSH(Y32,CX_ENTITY,C32,EOMONTH(val_asOfDate,2)),""),"")</f>
        <v/>
      </c>
      <c r="CT32" s="2085" t="str" cm="1">
        <f t="array" ca="1" aca="1" ref="CT32">IFERROR(IF(Y32&lt;&gt;AB32,_xldudf_CX_PUSH(Y32,CX_ENTITY,C32,EOMONTH(val_asOfDate,3)),""),"")</f>
        <v/>
      </c>
      <c r="CU32" s="2086" t="str" cm="1">
        <f t="array" ca="1" aca="1" ref="CU32">IFERROR(IF(CM32*fxVal_normal=_CF!CM32,"",IF(OR($CM32="",,NOT(ISNUMBER($CM32)),ISERROR($CM32),$B32=""),"",IF($I32=1,IFBLANK(_xldudf_CX_PUSH($CM32*fxVal_normal,CX_ENTITY,$B32,$CM$11,$CM$14,$CM$19,),""),IF($I32=2,IFBLANK(_xldudf_CX_PUSH($CM32,CX_ENTITY,$B32,$CM$11,$CM$14,$CM$19,),""),IF($I32=3,"",IFBLANK(_xldudf_CX_PUSH($CM32,CX_ENTITY,$B32,$CM$11,$CM$14,$CM$19,),"")))))),"")</f>
        <v/>
      </c>
      <c r="CV32" s="2086" t="str" cm="1">
        <f t="array" ca="1" aca="1" ref="CV32">IFERROR(IF(CN32*fxVal_normal=_CF!CN32,"",IF(OR($CN32="",,NOT(ISNUMBER($CN32)),ISERROR($CN32),$B32=""),"",IF($I32=1,IFBLANK(_xldudf_CX_PUSH($CN32*fxVal_normal,CX_ENTITY,$B32,$CN$11,$CN$14,$CN$19,),""),IF($I32=2,IFBLANK(_xldudf_CX_PUSH($CN32,CX_ENTITY,$B32,$CN$11,$CN$14,$CN$19,),""),IF($I32=3,"",IFBLANK(_xldudf_CX_PUSH($CN32,CX_ENTITY,$B32,$CN$11,$CN$14,$CN$19,),"")))))),"")</f>
        <v/>
      </c>
      <c r="CW32" s="1883" t="str" cm="1">
        <f t="array" ca="1" aca="1" ref="CW32">IFERROR(IF(AD32*fxVal_normal=_CF!AD32,"",IF(OR(AD32="",NOT(ISNUMBER(AD32)),ISERROR(AD32),$B32=""),"",IF($I32=1,IFBLANK(_xldudf_CX_PUSH(AD32*fxVal_normal,CX_ENTITY,$B32,AD$11,AD$14,AD$19,),""),IF($I32=2,IFBLANK(_xldudf_CX_PUSH(AD32,CX_ENTITY,$B32,AD$11,AD$14,AD$19,),""),IF($I32=3,"",IFBLANK(_xldudf_CX_PUSH(AD32,CX_ENTITY,$B32,AD$11,AD$14,AD$19,),"")))))),"")</f>
        <v/>
      </c>
      <c r="CX32" s="1883" t="str" cm="1">
        <f t="array" ca="1" aca="1" ref="CX32">IFERROR(IF(AE32*fxVal_normal=_CF!AE32,"",IF(OR(AE32="",NOT(ISNUMBER(AE32)),ISERROR(AE32),$B32=""),"",IF($I32=1,IFBLANK(_xldudf_CX_PUSH(AE32*fxVal_normal,CX_ENTITY,$B32,AE$11,AE$14,AE$19,),""),IF($I32=2,IFBLANK(_xldudf_CX_PUSH(AE32,CX_ENTITY,$B32,AE$11,AE$14,AE$19,),""),IF($I32=3,"",IFBLANK(_xldudf_CX_PUSH(AE32,CX_ENTITY,$B32,AE$11,AE$14,AE$19,),"")))))),"")</f>
        <v/>
      </c>
      <c r="CY32" s="1883" t="str" cm="1">
        <f t="array" ca="1" aca="1" ref="CY32">IFERROR(IF(AF32*fxVal_normal=_CF!AF32,"",IF(OR(AF32="",NOT(ISNUMBER(AF32)),ISERROR(AF32),$B32=""),"",IF($I32=1,IFBLANK(_xldudf_CX_PUSH(AF32*fxVal_normal,CX_ENTITY,$B32,AF$11,AF$14,AF$19,),""),IF($I32=2,IFBLANK(_xldudf_CX_PUSH(AF32,CX_ENTITY,$B32,AF$11,AF$14,AF$19,),""),IF($I32=3,"",IFBLANK(_xldudf_CX_PUSH(AF32,CX_ENTITY,$B32,AF$11,AF$14,AF$19,),"")))))),"")</f>
        <v/>
      </c>
      <c r="CZ32" s="1883" t="str" cm="1">
        <f t="array" ca="1" aca="1" ref="CZ32">IFERROR(IF(AG32*fxVal_normal=_CF!AG32,"",IF(OR(AG32="",NOT(ISNUMBER(AG32)),ISERROR(AG32),$B32=""),"",IF($I32=1,IFBLANK(_xldudf_CX_PUSH(AG32*fxVal_normal,CX_ENTITY,$B32,AG$11,AG$14,AG$19,),""),IF($I32=2,IFBLANK(_xldudf_CX_PUSH(AG32,CX_ENTITY,$B32,AG$11,AG$14,AG$19,),""),IF($I32=3,"",IFBLANK(_xldudf_CX_PUSH(AG32,CX_ENTITY,$B32,AG$11,AG$14,AG$19,),"")))))),"")</f>
        <v/>
      </c>
      <c r="DA32" s="1883" t="str" cm="1">
        <f t="array" ca="1" aca="1" ref="DA32">IFERROR(IF(AH32*fxVal_normal=_CF!AH32,"",IF(OR(AH32="",NOT(ISNUMBER(AH32)),ISERROR(AH32),$B32=""),"",IF($I32=1,IFBLANK(_xldudf_CX_PUSH(AH32*fxVal_normal,CX_ENTITY,$B32,AH$11,AH$14,AH$19,),""),IF($I32=2,IFBLANK(_xldudf_CX_PUSH(AH32,CX_ENTITY,$B32,AH$11,AH$14,AH$19,),""),IF($I32=3,"",IFBLANK(_xldudf_CX_PUSH(AH32,CX_ENTITY,$B32,AH$11,AH$14,AH$19,),"")))))),"")</f>
        <v/>
      </c>
      <c r="DB32" s="1883" t="str" cm="1">
        <f t="array" ca="1" aca="1" ref="DB32">IFERROR(IF(AI32*fxVal_normal=_CF!AI32,"",IF(OR(AI32="",NOT(ISNUMBER(AI32)),ISERROR(AI32),$B32=""),"",IF($I32=1,IFBLANK(_xldudf_CX_PUSH(AI32*fxVal_normal,CX_ENTITY,$B32,AI$11,AI$14,AI$19,),""),IF($I32=2,IFBLANK(_xldudf_CX_PUSH(AI32,CX_ENTITY,$B32,AI$11,AI$14,AI$19,),""),IF($I32=3,"",IFBLANK(_xldudf_CX_PUSH(AI32,CX_ENTITY,$B32,AI$11,AI$14,AI$19,),"")))))),"")</f>
        <v/>
      </c>
      <c r="DC32" s="1883" t="str" cm="1">
        <f t="array" ca="1" aca="1" ref="DC32">IFERROR(IF(AJ32*fxVal_normal=_CF!AJ32,"",IF(OR(AJ32="",NOT(ISNUMBER(AJ32)),ISERROR(AJ32),$B32=""),"",IF($I32=1,IFBLANK(_xldudf_CX_PUSH(AJ32*fxVal_normal,CX_ENTITY,$B32,AJ$11,AJ$14,AJ$19,),""),IF($I32=2,IFBLANK(_xldudf_CX_PUSH(AJ32,CX_ENTITY,$B32,AJ$11,AJ$14,AJ$19,),""),IF($I32=3,"",IFBLANK(_xldudf_CX_PUSH(AJ32,CX_ENTITY,$B32,AJ$11,AJ$14,AJ$19,),"")))))),"")</f>
        <v/>
      </c>
      <c r="DD32" s="1883" t="str" cm="1">
        <f t="array" ca="1" aca="1" ref="DD32">IFERROR(IF(AK32*fxVal_normal=_CF!AK32,"",IF(OR(AK32="",NOT(ISNUMBER(AK32)),ISERROR(AK32),$B32=""),"",IF($I32=1,IFBLANK(_xldudf_CX_PUSH(AK32*fxVal_normal,CX_ENTITY,$B32,AK$11,AK$14,AK$19,),""),IF($I32=2,IFBLANK(_xldudf_CX_PUSH(AK32,CX_ENTITY,$B32,AK$11,AK$14,AK$19,),""),IF($I32=3,"",IFBLANK(_xldudf_CX_PUSH(AK32,CX_ENTITY,$B32,AK$11,AK$14,AK$19,),"")))))),"")</f>
        <v/>
      </c>
      <c r="DE32" s="1883" t="str" cm="1">
        <f t="array" ca="1" aca="1" ref="DE32">IFERROR(IF(AL32*fxVal_normal=_CF!AL32,"",IF(OR(AL32="",NOT(ISNUMBER(AL32)),ISERROR(AL32),$B32=""),"",IF($I32=1,IFBLANK(_xldudf_CX_PUSH(AL32*fxVal_normal,CX_ENTITY,$B32,AL$11,AL$14,AL$19,),""),IF($I32=2,IFBLANK(_xldudf_CX_PUSH(AL32,CX_ENTITY,$B32,AL$11,AL$14,AL$19,),""),IF($I32=3,"",IFBLANK(_xldudf_CX_PUSH(AL32,CX_ENTITY,$B32,AL$11,AL$14,AL$19,),"")))))),"")</f>
        <v/>
      </c>
      <c r="DF32" s="1883" t="str" cm="1">
        <f t="array" ca="1" aca="1" ref="DF32">IFERROR(IF(AM32*fxVal_normal=_CF!AM32,"",IF(OR(AM32="",NOT(ISNUMBER(AM32)),ISERROR(AM32),$B32=""),"",IF($I32=1,IFBLANK(_xldudf_CX_PUSH(AM32*fxVal_normal,CX_ENTITY,$B32,AM$11,AM$14,AM$19,),""),IF($I32=2,IFBLANK(_xldudf_CX_PUSH(AM32,CX_ENTITY,$B32,AM$11,AM$14,AM$19,),""),IF($I32=3,"",IFBLANK(_xldudf_CX_PUSH(AM32,CX_ENTITY,$B32,AM$11,AM$14,AM$19,),"")))))),"")</f>
        <v/>
      </c>
      <c r="DG32" s="1883" t="str" cm="1">
        <f t="array" ca="1" aca="1" ref="DG32">IFERROR(IF(AN32*fxVal_normal=_CF!AN32,"",IF(OR(AN32="",NOT(ISNUMBER(AN32)),ISERROR(AN32),$B32=""),"",IF($I32=1,IFBLANK(_xldudf_CX_PUSH(AN32*fxVal_normal,CX_ENTITY,$B32,AN$11,AN$14,AN$19,),""),IF($I32=2,IFBLANK(_xldudf_CX_PUSH(AN32,CX_ENTITY,$B32,AN$11,AN$14,AN$19,),""),IF($I32=3,"",IFBLANK(_xldudf_CX_PUSH(AN32,CX_ENTITY,$B32,AN$11,AN$14,AN$19,),"")))))),"")</f>
        <v/>
      </c>
      <c r="DH32" s="1883" t="str" cm="1">
        <f t="array" ca="1" aca="1" ref="DH32">IFERROR(IF(AO32*fxVal_normal=_CF!AO32,"",IF(OR(AO32="",NOT(ISNUMBER(AO32)),ISERROR(AO32),$B32=""),"",IF($I32=1,IFBLANK(_xldudf_CX_PUSH(AO32*fxVal_normal,CX_ENTITY,$B32,AO$11,AO$14,AO$19,),""),IF($I32=2,IFBLANK(_xldudf_CX_PUSH(AO32,CX_ENTITY,$B32,AO$11,AO$14,AO$19,),""),IF($I32=3,"",IFBLANK(_xldudf_CX_PUSH(AO32,CX_ENTITY,$B32,AO$11,AO$14,AO$19,),"")))))),"")</f>
        <v/>
      </c>
      <c r="DI32" s="1883" t="str" cm="1">
        <f t="array" ca="1" aca="1" ref="DI32">IFERROR(IF(AP32*fxVal_normal=_CF!AP32,"",IF(OR(AP32="",NOT(ISNUMBER(AP32)),ISERROR(AP32),$B32=""),"",IF($I32=1,IFBLANK(_xldudf_CX_PUSH(AP32*fxVal_normal,CX_ENTITY,$B32,AP$11,AP$14,AP$19,),""),IF($I32=2,IFBLANK(_xldudf_CX_PUSH(AP32,CX_ENTITY,$B32,AP$11,AP$14,AP$19,),""),IF($I32=3,"",IFBLANK(_xldudf_CX_PUSH(AP32,CX_ENTITY,$B32,AP$11,AP$14,AP$19,),"")))))),"")</f>
        <v/>
      </c>
      <c r="DJ32" s="1883" t="str" cm="1">
        <f t="array" ca="1" aca="1" ref="DJ32">IFERROR(IF(AQ32*fxVal_normal=_CF!AQ32,"",IF(OR(AQ32="",NOT(ISNUMBER(AQ32)),ISERROR(AQ32),$B32=""),"",IF($I32=1,IFBLANK(_xldudf_CX_PUSH(AQ32*fxVal_normal,CX_ENTITY,$B32,AQ$11,AQ$14,AQ$19,),""),IF($I32=2,IFBLANK(_xldudf_CX_PUSH(AQ32,CX_ENTITY,$B32,AQ$11,AQ$14,AQ$19,),""),IF($I32=3,"",IFBLANK(_xldudf_CX_PUSH(AQ32,CX_ENTITY,$B32,AQ$11,AQ$14,AQ$19,),"")))))),"")</f>
        <v/>
      </c>
      <c r="DK32" s="1883" t="str" cm="1">
        <f t="array" ca="1" aca="1" ref="DK32">IFERROR(IF(AR32*fxVal_normal=_CF!AR32,"",IF(OR(AR32="",NOT(ISNUMBER(AR32)),ISERROR(AR32),$B32=""),"",IF($I32=1,IFBLANK(_xldudf_CX_PUSH(AR32*fxVal_normal,CX_ENTITY,$B32,AR$11,AR$14,AR$19,),""),IF($I32=2,IFBLANK(_xldudf_CX_PUSH(AR32,CX_ENTITY,$B32,AR$11,AR$14,AR$19,),""),IF($I32=3,"",IFBLANK(_xldudf_CX_PUSH(AR32,CX_ENTITY,$B32,AR$11,AR$14,AR$19,),"")))))),"")</f>
        <v/>
      </c>
      <c r="DL32" s="1883" t="str" cm="1">
        <f t="array" ca="1" aca="1" ref="DL32">IFERROR(IF(AS32*fxVal_normal=_CF!AS32,"",IF(OR(AS32="",NOT(ISNUMBER(AS32)),ISERROR(AS32),$B32=""),"",IF($I32=1,IFBLANK(_xldudf_CX_PUSH(AS32*fxVal_normal,CX_ENTITY,$B32,AS$11,AS$14,AS$19,),""),IF($I32=2,IFBLANK(_xldudf_CX_PUSH(AS32,CX_ENTITY,$B32,AS$11,AS$14,AS$19,),""),IF($I32=3,"",IFBLANK(_xldudf_CX_PUSH(AS32,CX_ENTITY,$B32,AS$11,AS$14,AS$19,),"")))))),"")</f>
        <v/>
      </c>
      <c r="DM32" s="1883" t="str" cm="1">
        <f t="array" ca="1" aca="1" ref="DM32">IFERROR(IF(AT32*fxVal_normal=_CF!AT32,"",IF(OR(AT32="",NOT(ISNUMBER(AT32)),ISERROR(AT32),$B32=""),"",IF($I32=1,IFBLANK(_xldudf_CX_PUSH(AT32*fxVal_normal,CX_ENTITY,$B32,AT$11,AT$14,AT$19,),""),IF($I32=2,IFBLANK(_xldudf_CX_PUSH(AT32,CX_ENTITY,$B32,AT$11,AT$14,AT$19,),""),IF($I32=3,"",IFBLANK(_xldudf_CX_PUSH(AT32,CX_ENTITY,$B32,AT$11,AT$14,AT$19,),"")))))),"")</f>
        <v/>
      </c>
      <c r="DN32" s="1883" t="str" cm="1">
        <f t="array" ca="1" aca="1" ref="DN32">IFERROR(IF(AU32*fxVal_normal=_CF!AU32,"",IF(OR(AU32="",NOT(ISNUMBER(AU32)),ISERROR(AU32),$B32=""),"",IF($I32=1,IFBLANK(_xldudf_CX_PUSH(AU32*fxVal_normal,CX_ENTITY,$B32,AU$11,AU$14,AU$19,),""),IF($I32=2,IFBLANK(_xldudf_CX_PUSH(AU32,CX_ENTITY,$B32,AU$11,AU$14,AU$19,),""),IF($I32=3,"",IFBLANK(_xldudf_CX_PUSH(AU32,CX_ENTITY,$B32,AU$11,AU$14,AU$19,),"")))))),"")</f>
        <v/>
      </c>
      <c r="DO32" s="1883" t="str" cm="1">
        <f t="array" ca="1" aca="1" ref="DO32">IFERROR(IF(AV32*fxVal_normal=_CF!AV32,"",IF(OR(AV32="",NOT(ISNUMBER(AV32)),ISERROR(AV32),$B32=""),"",IF($I32=1,IFBLANK(_xldudf_CX_PUSH(AV32*fxVal_normal,CX_ENTITY,$B32,AV$11,AV$14,AV$19,),""),IF($I32=2,IFBLANK(_xldudf_CX_PUSH(AV32,CX_ENTITY,$B32,AV$11,AV$14,AV$19,),""),IF($I32=3,"",IFBLANK(_xldudf_CX_PUSH(AV32,CX_ENTITY,$B32,AV$11,AV$14,AV$19,),"")))))),"")</f>
        <v/>
      </c>
      <c r="DP32" s="1883" t="str" cm="1">
        <f t="array" ca="1" aca="1" ref="DP32">IFERROR(IF(AW32*fxVal_normal=_CF!AW32,"",IF(OR(AW32="",NOT(ISNUMBER(AW32)),ISERROR(AW32),$B32=""),"",IF($I32=1,IFBLANK(_xldudf_CX_PUSH(AW32*fxVal_normal,CX_ENTITY,$B32,AW$11,AW$14,AW$19,),""),IF($I32=2,IFBLANK(_xldudf_CX_PUSH(AW32,CX_ENTITY,$B32,AW$11,AW$14,AW$19,),""),IF($I32=3,"",IFBLANK(_xldudf_CX_PUSH(AW32,CX_ENTITY,$B32,AW$11,AW$14,AW$19,),"")))))),"")</f>
        <v/>
      </c>
      <c r="DQ32" s="1883" t="str" cm="1">
        <f t="array" ca="1" aca="1" ref="DQ32">IFERROR(IF(AX32*fxVal_normal=_CF!AX32,"",IF(OR(AX32="",NOT(ISNUMBER(AX32)),ISERROR(AX32),$B32=""),"",IF($I32=1,IFBLANK(_xldudf_CX_PUSH(AX32*fxVal_normal,CX_ENTITY,$B32,AX$11,AX$14,AX$19,),""),IF($I32=2,IFBLANK(_xldudf_CX_PUSH(AX32,CX_ENTITY,$B32,AX$11,AX$14,AX$19,),""),IF($I32=3,"",IFBLANK(_xldudf_CX_PUSH(AX32,CX_ENTITY,$B32,AX$11,AX$14,AX$19,),"")))))),"")</f>
        <v/>
      </c>
      <c r="DR32" s="1883" t="str" cm="1">
        <f t="array" ca="1" aca="1" ref="DR32">IFERROR(IF(AY32*fxVal_normal=_CF!AY32,"",IF(OR(AY32="",NOT(ISNUMBER(AY32)),ISERROR(AY32),$B32=""),"",IF($I32=1,IFBLANK(_xldudf_CX_PUSH(AY32*fxVal_normal,CX_ENTITY,$B32,AY$11,AY$14,AY$19,),""),IF($I32=2,IFBLANK(_xldudf_CX_PUSH(AY32,CX_ENTITY,$B32,AY$11,AY$14,AY$19,),""),IF($I32=3,"",IFBLANK(_xldudf_CX_PUSH(AY32,CX_ENTITY,$B32,AY$11,AY$14,AY$19,),"")))))),"")</f>
        <v/>
      </c>
      <c r="DS32" s="1883" t="str" cm="1">
        <f t="array" ca="1" aca="1" ref="DS32">IFERROR(IF(AZ32*fxVal_normal=_CF!AZ32,"",IF(OR(AZ32="",NOT(ISNUMBER(AZ32)),ISERROR(AZ32),$B32=""),"",IF($I32=1,IFBLANK(_xldudf_CX_PUSH(AZ32*fxVal_normal,CX_ENTITY,$B32,AZ$11,AZ$14,AZ$19,),""),IF($I32=2,IFBLANK(_xldudf_CX_PUSH(AZ32,CX_ENTITY,$B32,AZ$11,AZ$14,AZ$19,),""),IF($I32=3,"",IFBLANK(_xldudf_CX_PUSH(AZ32,CX_ENTITY,$B32,AZ$11,AZ$14,AZ$19,),"")))))),"")</f>
        <v/>
      </c>
      <c r="DT32" s="1883" t="str" cm="1">
        <f t="array" ca="1" aca="1" ref="DT32">IFERROR(IF(BA32*fxVal_normal=_CF!BA32,"",IF(OR(BA32="",NOT(ISNUMBER(BA32)),ISERROR(BA32),$B32=""),"",IF($I32=1,IFBLANK(_xldudf_CX_PUSH(BA32*fxVal_normal,CX_ENTITY,$B32,BA$11,BA$14,BA$19,),""),IF($I32=2,IFBLANK(_xldudf_CX_PUSH(BA32,CX_ENTITY,$B32,BA$11,BA$14,BA$19,),""),IF($I32=3,"",IFBLANK(_xldudf_CX_PUSH(BA32,CX_ENTITY,$B32,BA$11,BA$14,BA$19,),"")))))),"")</f>
        <v/>
      </c>
      <c r="DU32" s="1883" t="str" cm="1">
        <f t="array" ca="1" aca="1" ref="DU32">IFERROR(IF(BB32*fxVal_normal=_CF!BB32,"",IF(OR(BB32="",NOT(ISNUMBER(BB32)),ISERROR(BB32),$B32=""),"",IF($I32=1,IFBLANK(_xldudf_CX_PUSH(BB32*fxVal_normal,CX_ENTITY,$B32,BB$11,BB$14,BB$19,),""),IF($I32=2,IFBLANK(_xldudf_CX_PUSH(BB32,CX_ENTITY,$B32,BB$11,BB$14,BB$19,),""),IF($I32=3,"",IFBLANK(_xldudf_CX_PUSH(BB32,CX_ENTITY,$B32,BB$11,BB$14,BB$19,),"")))))),"")</f>
        <v/>
      </c>
      <c r="DV32" s="1883" t="str" cm="1">
        <f t="array" ca="1" aca="1" ref="DV32">IFERROR(IF(BC32*fxVal_normal=_CF!BC32,"",IF(OR(BC32="",NOT(ISNUMBER(BC32)),ISERROR(BC32),$B32=""),"",IF($I32=1,IFBLANK(_xldudf_CX_PUSH(BC32*fxVal_normal,CX_ENTITY,$B32,BC$11,BC$14,BC$19,),""),IF($I32=2,IFBLANK(_xldudf_CX_PUSH(BC32,CX_ENTITY,$B32,BC$11,BC$14,BC$19,),""),IF($I32=3,"",IFBLANK(_xldudf_CX_PUSH(BC32,CX_ENTITY,$B32,BC$11,BC$14,BC$19,),"")))))),"")</f>
        <v/>
      </c>
      <c r="DW32" s="1883" t="str" cm="1">
        <f t="array" ca="1" aca="1" ref="DW32">IFERROR(IF(BD32*fxVal_normal=_CF!BD32,"",IF(OR(BD32="",NOT(ISNUMBER(BD32)),ISERROR(BD32),$B32=""),"",IF($I32=1,IFBLANK(_xldudf_CX_PUSH(BD32*fxVal_normal,CX_ENTITY,$B32,BD$11,BD$14,BD$19,),""),IF($I32=2,IFBLANK(_xldudf_CX_PUSH(BD32,CX_ENTITY,$B32,BD$11,BD$14,BD$19,),""),IF($I32=3,"",IFBLANK(_xldudf_CX_PUSH(BD32,CX_ENTITY,$B32,BD$11,BD$14,BD$19,),"")))))),"")</f>
        <v/>
      </c>
      <c r="DX32" s="1883" t="str" cm="1">
        <f t="array" ca="1" aca="1" ref="DX32">IFERROR(IF(BE32*fxVal_normal=_CF!BE32,"",IF(OR(BE32="",NOT(ISNUMBER(BE32)),ISERROR(BE32),$B32=""),"",IF($I32=1,IFBLANK(_xldudf_CX_PUSH(BE32*fxVal_normal,CX_ENTITY,$B32,BE$11,BE$14,BE$19,),""),IF($I32=2,IFBLANK(_xldudf_CX_PUSH(BE32,CX_ENTITY,$B32,BE$11,BE$14,BE$19,),""),IF($I32=3,"",IFBLANK(_xldudf_CX_PUSH(BE32,CX_ENTITY,$B32,BE$11,BE$14,BE$19,),"")))))),"")</f>
        <v/>
      </c>
      <c r="DY32" s="1883" t="str" cm="1">
        <f t="array" ca="1" aca="1" ref="DY32">IFERROR(IF(BF32*fxVal_normal=_CF!BF32,"",IF(OR(BF32="",NOT(ISNUMBER(BF32)),ISERROR(BF32),$B32=""),"",IF($I32=1,IFBLANK(_xldudf_CX_PUSH(BF32*fxVal_normal,CX_ENTITY,$B32,BF$11,BF$14,BF$19,),""),IF($I32=2,IFBLANK(_xldudf_CX_PUSH(BF32,CX_ENTITY,$B32,BF$11,BF$14,BF$19,),""),IF($I32=3,"",IFBLANK(_xldudf_CX_PUSH(BF32,CX_ENTITY,$B32,BF$11,BF$14,BF$19,),"")))))),"")</f>
        <v/>
      </c>
      <c r="DZ32" s="1883" t="str" cm="1">
        <f t="array" ca="1" aca="1" ref="DZ32">IFERROR(IF(BG32*fxVal_normal=_CF!BG32,"",IF(OR(BG32="",NOT(ISNUMBER(BG32)),ISERROR(BG32),$B32=""),"",IF($I32=1,IFBLANK(_xldudf_CX_PUSH(BG32*fxVal_normal,CX_ENTITY,$B32,BG$11,BG$14,BG$19,),""),IF($I32=2,IFBLANK(_xldudf_CX_PUSH(BG32,CX_ENTITY,$B32,BG$11,BG$14,BG$19,),""),IF($I32=3,"",IFBLANK(_xldudf_CX_PUSH(BG32,CX_ENTITY,$B32,BG$11,BG$14,BG$19,),"")))))),"")</f>
        <v/>
      </c>
      <c r="EA32" s="1883" t="str" cm="1">
        <f t="array" ca="1" aca="1" ref="EA32">IFERROR(IF(BH32*fxVal_normal=_CF!BH32,"",IF(OR(BH32="",NOT(ISNUMBER(BH32)),ISERROR(BH32),$B32=""),"",IF($I32=1,IFBLANK(_xldudf_CX_PUSH(BH32*fxVal_normal,CX_ENTITY,$B32,BH$11,BH$14,BH$19,),""),IF($I32=2,IFBLANK(_xldudf_CX_PUSH(BH32,CX_ENTITY,$B32,BH$11,BH$14,BH$19,),""),IF($I32=3,"",IFBLANK(_xldudf_CX_PUSH(BH32,CX_ENTITY,$B32,BH$11,BH$14,BH$19,),"")))))),"")</f>
        <v/>
      </c>
      <c r="EB32" s="1883" t="str" cm="1">
        <f t="array" ca="1" aca="1" ref="EB32">IFERROR(IF(BI32*fxVal_normal=_CF!BI32,"",IF(OR(BI32="",NOT(ISNUMBER(BI32)),ISERROR(BI32),$B32=""),"",IF($I32=1,IFBLANK(_xldudf_CX_PUSH(BI32*fxVal_normal,CX_ENTITY,$B32,BI$11,BI$14,BI$19,),""),IF($I32=2,IFBLANK(_xldudf_CX_PUSH(BI32,CX_ENTITY,$B32,BI$11,BI$14,BI$19,),""),IF($I32=3,"",IFBLANK(_xldudf_CX_PUSH(BI32,CX_ENTITY,$B32,BI$11,BI$14,BI$19,),"")))))),"")</f>
        <v/>
      </c>
      <c r="EC32" s="1883" t="str" cm="1">
        <f t="array" ca="1" aca="1" ref="EC32">IFERROR(IF(BJ32*fxVal_normal=_CF!BJ32,"",IF(OR(BJ32="",NOT(ISNUMBER(BJ32)),ISERROR(BJ32),$B32=""),"",IF($I32=1,IFBLANK(_xldudf_CX_PUSH(BJ32*fxVal_normal,CX_ENTITY,$B32,BJ$11,BJ$14,BJ$19,),""),IF($I32=2,IFBLANK(_xldudf_CX_PUSH(BJ32,CX_ENTITY,$B32,BJ$11,BJ$14,BJ$19,),""),IF($I32=3,"",IFBLANK(_xldudf_CX_PUSH(BJ32,CX_ENTITY,$B32,BJ$11,BJ$14,BJ$19,),"")))))),"")</f>
        <v/>
      </c>
      <c r="ED32" s="1883" t="str" cm="1">
        <f t="array" ca="1" aca="1" ref="ED32">IFERROR(IF(BK32*fxVal_normal=_CF!BK32,"",IF(OR(BK32="",NOT(ISNUMBER(BK32)),ISERROR(BK32),$B32=""),"",IF($I32=1,IFBLANK(_xldudf_CX_PUSH(BK32*fxVal_normal,CX_ENTITY,$B32,BK$11,BK$14,BK$19,),""),IF($I32=2,IFBLANK(_xldudf_CX_PUSH(BK32,CX_ENTITY,$B32,BK$11,BK$14,BK$19,),""),IF($I32=3,"",IFBLANK(_xldudf_CX_PUSH(BK32,CX_ENTITY,$B32,BK$11,BK$14,BK$19,),"")))))),"")</f>
        <v/>
      </c>
      <c r="EE32" s="1883" t="str" cm="1">
        <f t="array" ca="1" aca="1" ref="EE32">IFERROR(IF(BL32*fxVal_normal=_CF!BL32,"",IF(OR(BL32="",NOT(ISNUMBER(BL32)),ISERROR(BL32),$B32=""),"",IF($I32=1,IFBLANK(_xldudf_CX_PUSH(BL32*fxVal_normal,CX_ENTITY,$B32,BL$11,BL$14,BL$19,),""),IF($I32=2,IFBLANK(_xldudf_CX_PUSH(BL32,CX_ENTITY,$B32,BL$11,BL$14,BL$19,),""),IF($I32=3,"",IFBLANK(_xldudf_CX_PUSH(BL32,CX_ENTITY,$B32,BL$11,BL$14,BL$19,),"")))))),"")</f>
        <v/>
      </c>
      <c r="EF32" s="1883" t="str" cm="1">
        <f t="array" ca="1" aca="1" ref="EF32">IFERROR(IF(BM32*fxVal_normal=_CF!BM32,"",IF(OR(BM32="",NOT(ISNUMBER(BM32)),ISERROR(BM32),$B32=""),"",IF($I32=1,IFBLANK(_xldudf_CX_PUSH(BM32*fxVal_normal,CX_ENTITY,$B32,BM$11,BM$14,BM$19,),""),IF($I32=2,IFBLANK(_xldudf_CX_PUSH(BM32,CX_ENTITY,$B32,BM$11,BM$14,BM$19,),""),IF($I32=3,"",IFBLANK(_xldudf_CX_PUSH(BM32,CX_ENTITY,$B32,BM$11,BM$14,BM$19,),"")))))),"")</f>
        <v/>
      </c>
      <c r="EG32" s="1883" t="str" cm="1">
        <f t="array" ca="1" aca="1" ref="EG32">IFERROR(IF(BN32*fxVal_normal=_CF!BN32,"",IF(OR(BN32="",NOT(ISNUMBER(BN32)),ISERROR(BN32),$B32=""),"",IF($I32=1,IFBLANK(_xldudf_CX_PUSH(BN32*fxVal_normal,CX_ENTITY,$B32,BN$11,BN$14,BN$19,),""),IF($I32=2,IFBLANK(_xldudf_CX_PUSH(BN32,CX_ENTITY,$B32,BN$11,BN$14,BN$19,),""),IF($I32=3,"",IFBLANK(_xldudf_CX_PUSH(BN32,CX_ENTITY,$B32,BN$11,BN$14,BN$19,),"")))))),"")</f>
        <v/>
      </c>
    </row>
    <row r="33" spans="1:137" ht="21" customHeight="1">
      <c r="A33" s="1626"/>
      <c r="B33" s="811" t="str" cm="1">
        <f t="array" ref="B33">IFBLANK(_CF!F33,"")</f>
        <v>M&amp;A</v>
      </c>
      <c r="C33" s="3346" t="str" cm="1">
        <f t="array" ref="C33">IFBLANK(_CF!C33,"")</f>
        <v>M&amp;A (Company View)</v>
      </c>
      <c r="D33" s="1549"/>
      <c r="E33" s="811"/>
      <c r="F33" s="574"/>
      <c r="G33" s="401"/>
      <c r="H33" s="3280">
        <v>1</v>
      </c>
      <c r="I33" s="3280">
        <v>1</v>
      </c>
      <c r="J33" s="3280" cm="1">
        <f t="array" ref="J33">IFBLANK(Z33,"")</f>
        <v>1</v>
      </c>
      <c r="K33" s="401"/>
      <c r="N33" s="158"/>
      <c r="O33" s="101"/>
      <c r="P33" s="52"/>
      <c r="Q33" s="101"/>
      <c r="R33" s="126"/>
      <c r="S33" s="101"/>
      <c r="T33" s="101"/>
      <c r="U33" s="39"/>
      <c r="W33" s="932" t="str">
        <f t="shared" si="1"/>
        <v>Actual</v>
      </c>
      <c r="X33" s="815">
        <f>_CF!X33</f>
        <v>-1</v>
      </c>
      <c r="Y33" s="3183">
        <v>2</v>
      </c>
      <c r="Z33" s="3291" cm="1">
        <f t="array" ref="Z33">_xlfn.SWITCH(TRUE,_CF!$L33=TRUE,1,_CF!$L33=FALSE,-1,_CF!$L33=-1,0,"n/a")</f>
        <v>1</v>
      </c>
      <c r="AA33" s="200"/>
      <c r="AB33" s="3343" t="str">
        <f>_CF!AB33</f>
        <v>M&amp;A</v>
      </c>
      <c r="AC33" s="88" t="e" vm="5" cm="1">
        <f t="array" ca="1" aca="1" ref="AC33">_xlfn.LET(_xlpm._termname,$AB33,_xlpm._iconname,"find",_xlpm._icon,fx_getIcon(_xlpm._iconname),_xlpm._location,_xlfn.XLOOKUP(LOWER(_xlpm._termname),LOWER(tbl_acctDef[Term]),tbl_acctDef[Term]),_xlpm._hyperlink,HYPERLINK("#"&amp;CELL("address",_xlpm._location),_xlpm._icon),IFERROR(_xlpm._hyperlink,""))</f>
        <v>#VALUE!</v>
      </c>
      <c r="AD33" s="3232">
        <v>1</v>
      </c>
      <c r="AE33" s="3232">
        <v>1</v>
      </c>
      <c r="AF33" s="3232">
        <v>1</v>
      </c>
      <c r="AG33" s="3232">
        <v>1</v>
      </c>
      <c r="AH33" s="3232">
        <v>1</v>
      </c>
      <c r="AI33" s="3232">
        <v>1</v>
      </c>
      <c r="AJ33" s="3232">
        <v>1</v>
      </c>
      <c r="AK33" s="3232">
        <v>1</v>
      </c>
      <c r="AL33" s="3232">
        <v>1</v>
      </c>
      <c r="AM33" s="3232">
        <v>1</v>
      </c>
      <c r="AN33" s="3232">
        <v>1</v>
      </c>
      <c r="AO33" s="3232">
        <v>1</v>
      </c>
      <c r="AP33" s="3232">
        <v>1</v>
      </c>
      <c r="AQ33" s="3232">
        <v>1</v>
      </c>
      <c r="AR33" s="3232">
        <v>1</v>
      </c>
      <c r="AS33" s="3232">
        <v>1</v>
      </c>
      <c r="AT33" s="3232">
        <v>1</v>
      </c>
      <c r="AU33" s="3232">
        <v>1</v>
      </c>
      <c r="AV33" s="3232">
        <v>1</v>
      </c>
      <c r="AW33" s="3232">
        <v>1</v>
      </c>
      <c r="AX33" s="3232">
        <v>1</v>
      </c>
      <c r="AY33" s="3232">
        <v>1</v>
      </c>
      <c r="AZ33" s="3232">
        <v>1</v>
      </c>
      <c r="BA33" s="3232">
        <v>1</v>
      </c>
      <c r="BB33" s="3232">
        <v>1</v>
      </c>
      <c r="BC33" s="3232">
        <v>1</v>
      </c>
      <c r="BD33" s="3232">
        <v>1</v>
      </c>
      <c r="BE33" s="3232">
        <v>1</v>
      </c>
      <c r="BF33" s="3232">
        <v>1</v>
      </c>
      <c r="BG33" s="3232">
        <v>1</v>
      </c>
      <c r="BH33" s="3232">
        <v>1</v>
      </c>
      <c r="BI33" s="3232">
        <v>1</v>
      </c>
      <c r="BJ33" s="3232">
        <v>1</v>
      </c>
      <c r="BK33" s="3232">
        <v>1</v>
      </c>
      <c r="BL33" s="3232">
        <v>1</v>
      </c>
      <c r="BM33" s="3232">
        <v>1</v>
      </c>
      <c r="BN33" s="3232">
        <v>1</v>
      </c>
      <c r="BO33" s="2115"/>
      <c r="BP33" s="2115"/>
      <c r="BQ33" s="2115"/>
      <c r="BR33" s="2115"/>
      <c r="BS33" s="2115"/>
      <c r="BT33" s="2115"/>
      <c r="BU33" s="2115"/>
      <c r="BV33" s="2115"/>
      <c r="BW33" s="2115"/>
      <c r="BX33" s="2115"/>
      <c r="BY33" s="2115"/>
      <c r="BZ33" s="2115"/>
      <c r="CA33" s="1330"/>
      <c r="CB33" s="537"/>
      <c r="CC33" s="1484"/>
      <c r="CD33" s="1461" t="e" cm="1">
        <f t="array" ca="1" aca="1" ref="CD33">_xlfn.LET(_xlpm.CheckBlank,SUM(CF!$AD33:$BN33)=0,IF(_xlpm.CheckBlank,"",SUM(_xlfn._xlws.FILTER(CF!$AD33:$BN33,(YEAR(CF!$AD$12:$BN$12)=CF!CD$12)*(array_timeline&lt;=CF!CD$11)))))</f>
        <v>#NAME?</v>
      </c>
      <c r="CE33" s="1461" t="e" cm="1">
        <f t="array" ca="1" aca="1" ref="CE33">_xlfn.LET(_xlpm.CheckBlank,SUM(CF!$AD33:$BN33)=0,IF(_xlpm.CheckBlank,"",SUM(_xlfn._xlws.FILTER(CF!$AD33:$BN33,(YEAR(CF!$AD$12:$BN$12)=CF!CE$12)*(array_timeline&lt;=CF!CE$11)))))</f>
        <v>#NAME?</v>
      </c>
      <c r="CF33" s="1314"/>
      <c r="CG33" s="1461" t="e" cm="1">
        <f t="array" ca="1" aca="1" ref="CG33">_xlfn.LET(_xlpm.CheckBlank,SUM(CF!$AD33:$BN33)=0,IF(_xlpm.CheckBlank,"",SUM(_xlfn._xlws.FILTER(CF!$AD33:$BN33,(YEAR(CF!$AD$12:$BN$12)=CF!CG$12)*(array_timeline&lt;=CF!CG$11)))))</f>
        <v>#NAME?</v>
      </c>
      <c r="CH33" s="1461" t="e" cm="1">
        <f t="array" ca="1" aca="1" ref="CH33">_xlfn.LET(_xlpm.CheckBlank,SUM(CF!$AD33:$BN33)=0,IF(_xlpm.CheckBlank,"",SUM(_xlfn._xlws.FILTER(CF!$AD33:$BN33,(YEAR(CF!$AD$12:$BN$12)=CF!CH$12)*(array_timeline&lt;=CF!CH$11)))))</f>
        <v>#NAME?</v>
      </c>
      <c r="CI33" s="1314"/>
      <c r="CJ33" s="1461" cm="1">
        <f t="array" ref="CJ33">_xlfn.LET(_xlpm.CheckBlank,SUM(CF!$AD33:$BN33)=0,IF(_xlpm.CheckBlank,"",SUM(_xlfn.TAKE(_xlfn.DROP(CF!$AD33:$BN33,,-DATEDIFF(CF!CJ$11,val_asOfDate,"M")),1,-12))))</f>
        <v>12</v>
      </c>
      <c r="CK33" s="1461" cm="1">
        <f t="array" ref="CK33">_xlfn.LET(_xlpm.CheckBlank,SUM(CF!$AD33:$BN33)=0,IF(_xlpm.CheckBlank,"",SUM(_xlfn.TAKE(_xlfn.DROP(CF!$AD33:$BN33,,-DATEDIFF(CF!CK$11,val_asOfDate,"M")),1,-12))))</f>
        <v>12</v>
      </c>
      <c r="CL33" s="1314"/>
      <c r="CM33" s="3353" t="e" cm="1">
        <f t="array" ca="1" aca="1" ref="CM33">TODECIMAL(IFBLANK(_CF!CM33,""),fxVal_normal)</f>
        <v>#NAME?</v>
      </c>
      <c r="CN33" s="3353" t="e" cm="1">
        <f t="array" ca="1" aca="1" ref="CN33">TODECIMAL(IFBLANK(_CF!CN33,""),fxVal_normal)</f>
        <v>#NAME?</v>
      </c>
      <c r="CO33" s="34"/>
      <c r="CQ33" s="2085" t="str" cm="1">
        <f t="array" ca="1" aca="1" ref="CQ33">IFERROR(IF(Y33&lt;&gt;AB33,_xldudf_CX_PUSH(Y33,CX_ENTITY,C33,EOMONTH(val_asOfDate,0)),""),"")</f>
        <v/>
      </c>
      <c r="CR33" s="2085" t="str" cm="1">
        <f t="array" ca="1" aca="1" ref="CR33">IFERROR(IF(Y33&lt;&gt;AB33,_xldudf_CX_PUSH(Y33,CX_ENTITY,C33,EOMONTH(val_asOfDate,1)),""),"")</f>
        <v/>
      </c>
      <c r="CS33" s="2085" t="str" cm="1">
        <f t="array" ca="1" aca="1" ref="CS33">IFERROR(IF(Y33&lt;&gt;AB33,_xldudf_CX_PUSH(Y33,CX_ENTITY,C33,EOMONTH(val_asOfDate,2)),""),"")</f>
        <v/>
      </c>
      <c r="CT33" s="2085" t="str" cm="1">
        <f t="array" ca="1" aca="1" ref="CT33">IFERROR(IF(Y33&lt;&gt;AB33,_xldudf_CX_PUSH(Y33,CX_ENTITY,C33,EOMONTH(val_asOfDate,3)),""),"")</f>
        <v/>
      </c>
      <c r="CU33" s="2086" t="str" cm="1">
        <f t="array" ca="1" aca="1" ref="CU33">IFERROR(IF(CM33*fxVal_normal=_CF!CM33,"",IF(OR($CM33="",,NOT(ISNUMBER($CM33)),ISERROR($CM33),$B33=""),"",IF($I33=1,IFBLANK(_xldudf_CX_PUSH($CM33*fxVal_normal,CX_ENTITY,$B33,$CM$11,$CM$14,$CM$19,),""),IF($I33=2,IFBLANK(_xldudf_CX_PUSH($CM33,CX_ENTITY,$B33,$CM$11,$CM$14,$CM$19,),""),IF($I33=3,"",IFBLANK(_xldudf_CX_PUSH($CM33,CX_ENTITY,$B33,$CM$11,$CM$14,$CM$19,),"")))))),"")</f>
        <v/>
      </c>
      <c r="CV33" s="2086" t="str" cm="1">
        <f t="array" ca="1" aca="1" ref="CV33">IFERROR(IF(CN33*fxVal_normal=_CF!CN33,"",IF(OR($CN33="",,NOT(ISNUMBER($CN33)),ISERROR($CN33),$B33=""),"",IF($I33=1,IFBLANK(_xldudf_CX_PUSH($CN33*fxVal_normal,CX_ENTITY,$B33,$CN$11,$CN$14,$CN$19,),""),IF($I33=2,IFBLANK(_xldudf_CX_PUSH($CN33,CX_ENTITY,$B33,$CN$11,$CN$14,$CN$19,),""),IF($I33=3,"",IFBLANK(_xldudf_CX_PUSH($CN33,CX_ENTITY,$B33,$CN$11,$CN$14,$CN$19,),"")))))),"")</f>
        <v/>
      </c>
      <c r="CW33" s="1883" t="str" cm="1">
        <f t="array" ca="1" aca="1" ref="CW33">IFERROR(IF(AD33*fxVal_normal=_CF!AD33,"",IF(OR(AD33="",NOT(ISNUMBER(AD33)),ISERROR(AD33),$B33=""),"",IF($I33=1,IFBLANK(_xldudf_CX_PUSH(AD33*fxVal_normal,CX_ENTITY,$B33,AD$11,AD$14,AD$19,),""),IF($I33=2,IFBLANK(_xldudf_CX_PUSH(AD33,CX_ENTITY,$B33,AD$11,AD$14,AD$19,),""),IF($I33=3,"",IFBLANK(_xldudf_CX_PUSH(AD33,CX_ENTITY,$B33,AD$11,AD$14,AD$19,),"")))))),"")</f>
        <v/>
      </c>
      <c r="CX33" s="1883" t="str" cm="1">
        <f t="array" ca="1" aca="1" ref="CX33">IFERROR(IF(AE33*fxVal_normal=_CF!AE33,"",IF(OR(AE33="",NOT(ISNUMBER(AE33)),ISERROR(AE33),$B33=""),"",IF($I33=1,IFBLANK(_xldudf_CX_PUSH(AE33*fxVal_normal,CX_ENTITY,$B33,AE$11,AE$14,AE$19,),""),IF($I33=2,IFBLANK(_xldudf_CX_PUSH(AE33,CX_ENTITY,$B33,AE$11,AE$14,AE$19,),""),IF($I33=3,"",IFBLANK(_xldudf_CX_PUSH(AE33,CX_ENTITY,$B33,AE$11,AE$14,AE$19,),"")))))),"")</f>
        <v/>
      </c>
      <c r="CY33" s="1883" t="str" cm="1">
        <f t="array" ca="1" aca="1" ref="CY33">IFERROR(IF(AF33*fxVal_normal=_CF!AF33,"",IF(OR(AF33="",NOT(ISNUMBER(AF33)),ISERROR(AF33),$B33=""),"",IF($I33=1,IFBLANK(_xldudf_CX_PUSH(AF33*fxVal_normal,CX_ENTITY,$B33,AF$11,AF$14,AF$19,),""),IF($I33=2,IFBLANK(_xldudf_CX_PUSH(AF33,CX_ENTITY,$B33,AF$11,AF$14,AF$19,),""),IF($I33=3,"",IFBLANK(_xldudf_CX_PUSH(AF33,CX_ENTITY,$B33,AF$11,AF$14,AF$19,),"")))))),"")</f>
        <v/>
      </c>
      <c r="CZ33" s="1883" t="str" cm="1">
        <f t="array" ca="1" aca="1" ref="CZ33">IFERROR(IF(AG33*fxVal_normal=_CF!AG33,"",IF(OR(AG33="",NOT(ISNUMBER(AG33)),ISERROR(AG33),$B33=""),"",IF($I33=1,IFBLANK(_xldudf_CX_PUSH(AG33*fxVal_normal,CX_ENTITY,$B33,AG$11,AG$14,AG$19,),""),IF($I33=2,IFBLANK(_xldudf_CX_PUSH(AG33,CX_ENTITY,$B33,AG$11,AG$14,AG$19,),""),IF($I33=3,"",IFBLANK(_xldudf_CX_PUSH(AG33,CX_ENTITY,$B33,AG$11,AG$14,AG$19,),"")))))),"")</f>
        <v/>
      </c>
      <c r="DA33" s="1883" t="str" cm="1">
        <f t="array" ca="1" aca="1" ref="DA33">IFERROR(IF(AH33*fxVal_normal=_CF!AH33,"",IF(OR(AH33="",NOT(ISNUMBER(AH33)),ISERROR(AH33),$B33=""),"",IF($I33=1,IFBLANK(_xldudf_CX_PUSH(AH33*fxVal_normal,CX_ENTITY,$B33,AH$11,AH$14,AH$19,),""),IF($I33=2,IFBLANK(_xldudf_CX_PUSH(AH33,CX_ENTITY,$B33,AH$11,AH$14,AH$19,),""),IF($I33=3,"",IFBLANK(_xldudf_CX_PUSH(AH33,CX_ENTITY,$B33,AH$11,AH$14,AH$19,),"")))))),"")</f>
        <v/>
      </c>
      <c r="DB33" s="1883" t="str" cm="1">
        <f t="array" ca="1" aca="1" ref="DB33">IFERROR(IF(AI33*fxVal_normal=_CF!AI33,"",IF(OR(AI33="",NOT(ISNUMBER(AI33)),ISERROR(AI33),$B33=""),"",IF($I33=1,IFBLANK(_xldudf_CX_PUSH(AI33*fxVal_normal,CX_ENTITY,$B33,AI$11,AI$14,AI$19,),""),IF($I33=2,IFBLANK(_xldudf_CX_PUSH(AI33,CX_ENTITY,$B33,AI$11,AI$14,AI$19,),""),IF($I33=3,"",IFBLANK(_xldudf_CX_PUSH(AI33,CX_ENTITY,$B33,AI$11,AI$14,AI$19,),"")))))),"")</f>
        <v/>
      </c>
      <c r="DC33" s="1883" t="str" cm="1">
        <f t="array" ca="1" aca="1" ref="DC33">IFERROR(IF(AJ33*fxVal_normal=_CF!AJ33,"",IF(OR(AJ33="",NOT(ISNUMBER(AJ33)),ISERROR(AJ33),$B33=""),"",IF($I33=1,IFBLANK(_xldudf_CX_PUSH(AJ33*fxVal_normal,CX_ENTITY,$B33,AJ$11,AJ$14,AJ$19,),""),IF($I33=2,IFBLANK(_xldudf_CX_PUSH(AJ33,CX_ENTITY,$B33,AJ$11,AJ$14,AJ$19,),""),IF($I33=3,"",IFBLANK(_xldudf_CX_PUSH(AJ33,CX_ENTITY,$B33,AJ$11,AJ$14,AJ$19,),"")))))),"")</f>
        <v/>
      </c>
      <c r="DD33" s="1883" t="str" cm="1">
        <f t="array" ca="1" aca="1" ref="DD33">IFERROR(IF(AK33*fxVal_normal=_CF!AK33,"",IF(OR(AK33="",NOT(ISNUMBER(AK33)),ISERROR(AK33),$B33=""),"",IF($I33=1,IFBLANK(_xldudf_CX_PUSH(AK33*fxVal_normal,CX_ENTITY,$B33,AK$11,AK$14,AK$19,),""),IF($I33=2,IFBLANK(_xldudf_CX_PUSH(AK33,CX_ENTITY,$B33,AK$11,AK$14,AK$19,),""),IF($I33=3,"",IFBLANK(_xldudf_CX_PUSH(AK33,CX_ENTITY,$B33,AK$11,AK$14,AK$19,),"")))))),"")</f>
        <v/>
      </c>
      <c r="DE33" s="1883" t="str" cm="1">
        <f t="array" ca="1" aca="1" ref="DE33">IFERROR(IF(AL33*fxVal_normal=_CF!AL33,"",IF(OR(AL33="",NOT(ISNUMBER(AL33)),ISERROR(AL33),$B33=""),"",IF($I33=1,IFBLANK(_xldudf_CX_PUSH(AL33*fxVal_normal,CX_ENTITY,$B33,AL$11,AL$14,AL$19,),""),IF($I33=2,IFBLANK(_xldudf_CX_PUSH(AL33,CX_ENTITY,$B33,AL$11,AL$14,AL$19,),""),IF($I33=3,"",IFBLANK(_xldudf_CX_PUSH(AL33,CX_ENTITY,$B33,AL$11,AL$14,AL$19,),"")))))),"")</f>
        <v/>
      </c>
      <c r="DF33" s="1883" t="str" cm="1">
        <f t="array" ca="1" aca="1" ref="DF33">IFERROR(IF(AM33*fxVal_normal=_CF!AM33,"",IF(OR(AM33="",NOT(ISNUMBER(AM33)),ISERROR(AM33),$B33=""),"",IF($I33=1,IFBLANK(_xldudf_CX_PUSH(AM33*fxVal_normal,CX_ENTITY,$B33,AM$11,AM$14,AM$19,),""),IF($I33=2,IFBLANK(_xldudf_CX_PUSH(AM33,CX_ENTITY,$B33,AM$11,AM$14,AM$19,),""),IF($I33=3,"",IFBLANK(_xldudf_CX_PUSH(AM33,CX_ENTITY,$B33,AM$11,AM$14,AM$19,),"")))))),"")</f>
        <v/>
      </c>
      <c r="DG33" s="1883" t="str" cm="1">
        <f t="array" ca="1" aca="1" ref="DG33">IFERROR(IF(AN33*fxVal_normal=_CF!AN33,"",IF(OR(AN33="",NOT(ISNUMBER(AN33)),ISERROR(AN33),$B33=""),"",IF($I33=1,IFBLANK(_xldudf_CX_PUSH(AN33*fxVal_normal,CX_ENTITY,$B33,AN$11,AN$14,AN$19,),""),IF($I33=2,IFBLANK(_xldudf_CX_PUSH(AN33,CX_ENTITY,$B33,AN$11,AN$14,AN$19,),""),IF($I33=3,"",IFBLANK(_xldudf_CX_PUSH(AN33,CX_ENTITY,$B33,AN$11,AN$14,AN$19,),"")))))),"")</f>
        <v/>
      </c>
      <c r="DH33" s="1883" t="str" cm="1">
        <f t="array" ca="1" aca="1" ref="DH33">IFERROR(IF(AO33*fxVal_normal=_CF!AO33,"",IF(OR(AO33="",NOT(ISNUMBER(AO33)),ISERROR(AO33),$B33=""),"",IF($I33=1,IFBLANK(_xldudf_CX_PUSH(AO33*fxVal_normal,CX_ENTITY,$B33,AO$11,AO$14,AO$19,),""),IF($I33=2,IFBLANK(_xldudf_CX_PUSH(AO33,CX_ENTITY,$B33,AO$11,AO$14,AO$19,),""),IF($I33=3,"",IFBLANK(_xldudf_CX_PUSH(AO33,CX_ENTITY,$B33,AO$11,AO$14,AO$19,),"")))))),"")</f>
        <v/>
      </c>
      <c r="DI33" s="1883" t="str" cm="1">
        <f t="array" ca="1" aca="1" ref="DI33">IFERROR(IF(AP33*fxVal_normal=_CF!AP33,"",IF(OR(AP33="",NOT(ISNUMBER(AP33)),ISERROR(AP33),$B33=""),"",IF($I33=1,IFBLANK(_xldudf_CX_PUSH(AP33*fxVal_normal,CX_ENTITY,$B33,AP$11,AP$14,AP$19,),""),IF($I33=2,IFBLANK(_xldudf_CX_PUSH(AP33,CX_ENTITY,$B33,AP$11,AP$14,AP$19,),""),IF($I33=3,"",IFBLANK(_xldudf_CX_PUSH(AP33,CX_ENTITY,$B33,AP$11,AP$14,AP$19,),"")))))),"")</f>
        <v/>
      </c>
      <c r="DJ33" s="1883" t="str" cm="1">
        <f t="array" ca="1" aca="1" ref="DJ33">IFERROR(IF(AQ33*fxVal_normal=_CF!AQ33,"",IF(OR(AQ33="",NOT(ISNUMBER(AQ33)),ISERROR(AQ33),$B33=""),"",IF($I33=1,IFBLANK(_xldudf_CX_PUSH(AQ33*fxVal_normal,CX_ENTITY,$B33,AQ$11,AQ$14,AQ$19,),""),IF($I33=2,IFBLANK(_xldudf_CX_PUSH(AQ33,CX_ENTITY,$B33,AQ$11,AQ$14,AQ$19,),""),IF($I33=3,"",IFBLANK(_xldudf_CX_PUSH(AQ33,CX_ENTITY,$B33,AQ$11,AQ$14,AQ$19,),"")))))),"")</f>
        <v/>
      </c>
      <c r="DK33" s="1883" t="str" cm="1">
        <f t="array" ca="1" aca="1" ref="DK33">IFERROR(IF(AR33*fxVal_normal=_CF!AR33,"",IF(OR(AR33="",NOT(ISNUMBER(AR33)),ISERROR(AR33),$B33=""),"",IF($I33=1,IFBLANK(_xldudf_CX_PUSH(AR33*fxVal_normal,CX_ENTITY,$B33,AR$11,AR$14,AR$19,),""),IF($I33=2,IFBLANK(_xldudf_CX_PUSH(AR33,CX_ENTITY,$B33,AR$11,AR$14,AR$19,),""),IF($I33=3,"",IFBLANK(_xldudf_CX_PUSH(AR33,CX_ENTITY,$B33,AR$11,AR$14,AR$19,),"")))))),"")</f>
        <v/>
      </c>
      <c r="DL33" s="1883" t="str" cm="1">
        <f t="array" ca="1" aca="1" ref="DL33">IFERROR(IF(AS33*fxVal_normal=_CF!AS33,"",IF(OR(AS33="",NOT(ISNUMBER(AS33)),ISERROR(AS33),$B33=""),"",IF($I33=1,IFBLANK(_xldudf_CX_PUSH(AS33*fxVal_normal,CX_ENTITY,$B33,AS$11,AS$14,AS$19,),""),IF($I33=2,IFBLANK(_xldudf_CX_PUSH(AS33,CX_ENTITY,$B33,AS$11,AS$14,AS$19,),""),IF($I33=3,"",IFBLANK(_xldudf_CX_PUSH(AS33,CX_ENTITY,$B33,AS$11,AS$14,AS$19,),"")))))),"")</f>
        <v/>
      </c>
      <c r="DM33" s="1883" t="str" cm="1">
        <f t="array" ca="1" aca="1" ref="DM33">IFERROR(IF(AT33*fxVal_normal=_CF!AT33,"",IF(OR(AT33="",NOT(ISNUMBER(AT33)),ISERROR(AT33),$B33=""),"",IF($I33=1,IFBLANK(_xldudf_CX_PUSH(AT33*fxVal_normal,CX_ENTITY,$B33,AT$11,AT$14,AT$19,),""),IF($I33=2,IFBLANK(_xldudf_CX_PUSH(AT33,CX_ENTITY,$B33,AT$11,AT$14,AT$19,),""),IF($I33=3,"",IFBLANK(_xldudf_CX_PUSH(AT33,CX_ENTITY,$B33,AT$11,AT$14,AT$19,),"")))))),"")</f>
        <v/>
      </c>
      <c r="DN33" s="1883" t="str" cm="1">
        <f t="array" ca="1" aca="1" ref="DN33">IFERROR(IF(AU33*fxVal_normal=_CF!AU33,"",IF(OR(AU33="",NOT(ISNUMBER(AU33)),ISERROR(AU33),$B33=""),"",IF($I33=1,IFBLANK(_xldudf_CX_PUSH(AU33*fxVal_normal,CX_ENTITY,$B33,AU$11,AU$14,AU$19,),""),IF($I33=2,IFBLANK(_xldudf_CX_PUSH(AU33,CX_ENTITY,$B33,AU$11,AU$14,AU$19,),""),IF($I33=3,"",IFBLANK(_xldudf_CX_PUSH(AU33,CX_ENTITY,$B33,AU$11,AU$14,AU$19,),"")))))),"")</f>
        <v/>
      </c>
      <c r="DO33" s="1883" t="str" cm="1">
        <f t="array" ca="1" aca="1" ref="DO33">IFERROR(IF(AV33*fxVal_normal=_CF!AV33,"",IF(OR(AV33="",NOT(ISNUMBER(AV33)),ISERROR(AV33),$B33=""),"",IF($I33=1,IFBLANK(_xldudf_CX_PUSH(AV33*fxVal_normal,CX_ENTITY,$B33,AV$11,AV$14,AV$19,),""),IF($I33=2,IFBLANK(_xldudf_CX_PUSH(AV33,CX_ENTITY,$B33,AV$11,AV$14,AV$19,),""),IF($I33=3,"",IFBLANK(_xldudf_CX_PUSH(AV33,CX_ENTITY,$B33,AV$11,AV$14,AV$19,),"")))))),"")</f>
        <v/>
      </c>
      <c r="DP33" s="1883" t="str" cm="1">
        <f t="array" ca="1" aca="1" ref="DP33">IFERROR(IF(AW33*fxVal_normal=_CF!AW33,"",IF(OR(AW33="",NOT(ISNUMBER(AW33)),ISERROR(AW33),$B33=""),"",IF($I33=1,IFBLANK(_xldudf_CX_PUSH(AW33*fxVal_normal,CX_ENTITY,$B33,AW$11,AW$14,AW$19,),""),IF($I33=2,IFBLANK(_xldudf_CX_PUSH(AW33,CX_ENTITY,$B33,AW$11,AW$14,AW$19,),""),IF($I33=3,"",IFBLANK(_xldudf_CX_PUSH(AW33,CX_ENTITY,$B33,AW$11,AW$14,AW$19,),"")))))),"")</f>
        <v/>
      </c>
      <c r="DQ33" s="1883" t="str" cm="1">
        <f t="array" ca="1" aca="1" ref="DQ33">IFERROR(IF(AX33*fxVal_normal=_CF!AX33,"",IF(OR(AX33="",NOT(ISNUMBER(AX33)),ISERROR(AX33),$B33=""),"",IF($I33=1,IFBLANK(_xldudf_CX_PUSH(AX33*fxVal_normal,CX_ENTITY,$B33,AX$11,AX$14,AX$19,),""),IF($I33=2,IFBLANK(_xldudf_CX_PUSH(AX33,CX_ENTITY,$B33,AX$11,AX$14,AX$19,),""),IF($I33=3,"",IFBLANK(_xldudf_CX_PUSH(AX33,CX_ENTITY,$B33,AX$11,AX$14,AX$19,),"")))))),"")</f>
        <v/>
      </c>
      <c r="DR33" s="1883" t="str" cm="1">
        <f t="array" ca="1" aca="1" ref="DR33">IFERROR(IF(AY33*fxVal_normal=_CF!AY33,"",IF(OR(AY33="",NOT(ISNUMBER(AY33)),ISERROR(AY33),$B33=""),"",IF($I33=1,IFBLANK(_xldudf_CX_PUSH(AY33*fxVal_normal,CX_ENTITY,$B33,AY$11,AY$14,AY$19,),""),IF($I33=2,IFBLANK(_xldudf_CX_PUSH(AY33,CX_ENTITY,$B33,AY$11,AY$14,AY$19,),""),IF($I33=3,"",IFBLANK(_xldudf_CX_PUSH(AY33,CX_ENTITY,$B33,AY$11,AY$14,AY$19,),"")))))),"")</f>
        <v/>
      </c>
      <c r="DS33" s="1883" t="str" cm="1">
        <f t="array" ca="1" aca="1" ref="DS33">IFERROR(IF(AZ33*fxVal_normal=_CF!AZ33,"",IF(OR(AZ33="",NOT(ISNUMBER(AZ33)),ISERROR(AZ33),$B33=""),"",IF($I33=1,IFBLANK(_xldudf_CX_PUSH(AZ33*fxVal_normal,CX_ENTITY,$B33,AZ$11,AZ$14,AZ$19,),""),IF($I33=2,IFBLANK(_xldudf_CX_PUSH(AZ33,CX_ENTITY,$B33,AZ$11,AZ$14,AZ$19,),""),IF($I33=3,"",IFBLANK(_xldudf_CX_PUSH(AZ33,CX_ENTITY,$B33,AZ$11,AZ$14,AZ$19,),"")))))),"")</f>
        <v/>
      </c>
      <c r="DT33" s="1883" t="str" cm="1">
        <f t="array" ca="1" aca="1" ref="DT33">IFERROR(IF(BA33*fxVal_normal=_CF!BA33,"",IF(OR(BA33="",NOT(ISNUMBER(BA33)),ISERROR(BA33),$B33=""),"",IF($I33=1,IFBLANK(_xldudf_CX_PUSH(BA33*fxVal_normal,CX_ENTITY,$B33,BA$11,BA$14,BA$19,),""),IF($I33=2,IFBLANK(_xldudf_CX_PUSH(BA33,CX_ENTITY,$B33,BA$11,BA$14,BA$19,),""),IF($I33=3,"",IFBLANK(_xldudf_CX_PUSH(BA33,CX_ENTITY,$B33,BA$11,BA$14,BA$19,),"")))))),"")</f>
        <v/>
      </c>
      <c r="DU33" s="1883" t="str" cm="1">
        <f t="array" ca="1" aca="1" ref="DU33">IFERROR(IF(BB33*fxVal_normal=_CF!BB33,"",IF(OR(BB33="",NOT(ISNUMBER(BB33)),ISERROR(BB33),$B33=""),"",IF($I33=1,IFBLANK(_xldudf_CX_PUSH(BB33*fxVal_normal,CX_ENTITY,$B33,BB$11,BB$14,BB$19,),""),IF($I33=2,IFBLANK(_xldudf_CX_PUSH(BB33,CX_ENTITY,$B33,BB$11,BB$14,BB$19,),""),IF($I33=3,"",IFBLANK(_xldudf_CX_PUSH(BB33,CX_ENTITY,$B33,BB$11,BB$14,BB$19,),"")))))),"")</f>
        <v/>
      </c>
      <c r="DV33" s="1883" t="str" cm="1">
        <f t="array" ca="1" aca="1" ref="DV33">IFERROR(IF(BC33*fxVal_normal=_CF!BC33,"",IF(OR(BC33="",NOT(ISNUMBER(BC33)),ISERROR(BC33),$B33=""),"",IF($I33=1,IFBLANK(_xldudf_CX_PUSH(BC33*fxVal_normal,CX_ENTITY,$B33,BC$11,BC$14,BC$19,),""),IF($I33=2,IFBLANK(_xldudf_CX_PUSH(BC33,CX_ENTITY,$B33,BC$11,BC$14,BC$19,),""),IF($I33=3,"",IFBLANK(_xldudf_CX_PUSH(BC33,CX_ENTITY,$B33,BC$11,BC$14,BC$19,),"")))))),"")</f>
        <v/>
      </c>
      <c r="DW33" s="1883" t="str" cm="1">
        <f t="array" ca="1" aca="1" ref="DW33">IFERROR(IF(BD33*fxVal_normal=_CF!BD33,"",IF(OR(BD33="",NOT(ISNUMBER(BD33)),ISERROR(BD33),$B33=""),"",IF($I33=1,IFBLANK(_xldudf_CX_PUSH(BD33*fxVal_normal,CX_ENTITY,$B33,BD$11,BD$14,BD$19,),""),IF($I33=2,IFBLANK(_xldudf_CX_PUSH(BD33,CX_ENTITY,$B33,BD$11,BD$14,BD$19,),""),IF($I33=3,"",IFBLANK(_xldudf_CX_PUSH(BD33,CX_ENTITY,$B33,BD$11,BD$14,BD$19,),"")))))),"")</f>
        <v/>
      </c>
      <c r="DX33" s="1883" t="str" cm="1">
        <f t="array" ca="1" aca="1" ref="DX33">IFERROR(IF(BE33*fxVal_normal=_CF!BE33,"",IF(OR(BE33="",NOT(ISNUMBER(BE33)),ISERROR(BE33),$B33=""),"",IF($I33=1,IFBLANK(_xldudf_CX_PUSH(BE33*fxVal_normal,CX_ENTITY,$B33,BE$11,BE$14,BE$19,),""),IF($I33=2,IFBLANK(_xldudf_CX_PUSH(BE33,CX_ENTITY,$B33,BE$11,BE$14,BE$19,),""),IF($I33=3,"",IFBLANK(_xldudf_CX_PUSH(BE33,CX_ENTITY,$B33,BE$11,BE$14,BE$19,),"")))))),"")</f>
        <v/>
      </c>
      <c r="DY33" s="1883" t="str" cm="1">
        <f t="array" ca="1" aca="1" ref="DY33">IFERROR(IF(BF33*fxVal_normal=_CF!BF33,"",IF(OR(BF33="",NOT(ISNUMBER(BF33)),ISERROR(BF33),$B33=""),"",IF($I33=1,IFBLANK(_xldudf_CX_PUSH(BF33*fxVal_normal,CX_ENTITY,$B33,BF$11,BF$14,BF$19,),""),IF($I33=2,IFBLANK(_xldudf_CX_PUSH(BF33,CX_ENTITY,$B33,BF$11,BF$14,BF$19,),""),IF($I33=3,"",IFBLANK(_xldudf_CX_PUSH(BF33,CX_ENTITY,$B33,BF$11,BF$14,BF$19,),"")))))),"")</f>
        <v/>
      </c>
      <c r="DZ33" s="1883" t="str" cm="1">
        <f t="array" ca="1" aca="1" ref="DZ33">IFERROR(IF(BG33*fxVal_normal=_CF!BG33,"",IF(OR(BG33="",NOT(ISNUMBER(BG33)),ISERROR(BG33),$B33=""),"",IF($I33=1,IFBLANK(_xldudf_CX_PUSH(BG33*fxVal_normal,CX_ENTITY,$B33,BG$11,BG$14,BG$19,),""),IF($I33=2,IFBLANK(_xldudf_CX_PUSH(BG33,CX_ENTITY,$B33,BG$11,BG$14,BG$19,),""),IF($I33=3,"",IFBLANK(_xldudf_CX_PUSH(BG33,CX_ENTITY,$B33,BG$11,BG$14,BG$19,),"")))))),"")</f>
        <v/>
      </c>
      <c r="EA33" s="1883" t="str" cm="1">
        <f t="array" ca="1" aca="1" ref="EA33">IFERROR(IF(BH33*fxVal_normal=_CF!BH33,"",IF(OR(BH33="",NOT(ISNUMBER(BH33)),ISERROR(BH33),$B33=""),"",IF($I33=1,IFBLANK(_xldudf_CX_PUSH(BH33*fxVal_normal,CX_ENTITY,$B33,BH$11,BH$14,BH$19,),""),IF($I33=2,IFBLANK(_xldudf_CX_PUSH(BH33,CX_ENTITY,$B33,BH$11,BH$14,BH$19,),""),IF($I33=3,"",IFBLANK(_xldudf_CX_PUSH(BH33,CX_ENTITY,$B33,BH$11,BH$14,BH$19,),"")))))),"")</f>
        <v/>
      </c>
      <c r="EB33" s="1883" t="str" cm="1">
        <f t="array" ca="1" aca="1" ref="EB33">IFERROR(IF(BI33*fxVal_normal=_CF!BI33,"",IF(OR(BI33="",NOT(ISNUMBER(BI33)),ISERROR(BI33),$B33=""),"",IF($I33=1,IFBLANK(_xldudf_CX_PUSH(BI33*fxVal_normal,CX_ENTITY,$B33,BI$11,BI$14,BI$19,),""),IF($I33=2,IFBLANK(_xldudf_CX_PUSH(BI33,CX_ENTITY,$B33,BI$11,BI$14,BI$19,),""),IF($I33=3,"",IFBLANK(_xldudf_CX_PUSH(BI33,CX_ENTITY,$B33,BI$11,BI$14,BI$19,),"")))))),"")</f>
        <v/>
      </c>
      <c r="EC33" s="1883" t="str" cm="1">
        <f t="array" ca="1" aca="1" ref="EC33">IFERROR(IF(BJ33*fxVal_normal=_CF!BJ33,"",IF(OR(BJ33="",NOT(ISNUMBER(BJ33)),ISERROR(BJ33),$B33=""),"",IF($I33=1,IFBLANK(_xldudf_CX_PUSH(BJ33*fxVal_normal,CX_ENTITY,$B33,BJ$11,BJ$14,BJ$19,),""),IF($I33=2,IFBLANK(_xldudf_CX_PUSH(BJ33,CX_ENTITY,$B33,BJ$11,BJ$14,BJ$19,),""),IF($I33=3,"",IFBLANK(_xldudf_CX_PUSH(BJ33,CX_ENTITY,$B33,BJ$11,BJ$14,BJ$19,),"")))))),"")</f>
        <v/>
      </c>
      <c r="ED33" s="1883" t="str" cm="1">
        <f t="array" ca="1" aca="1" ref="ED33">IFERROR(IF(BK33*fxVal_normal=_CF!BK33,"",IF(OR(BK33="",NOT(ISNUMBER(BK33)),ISERROR(BK33),$B33=""),"",IF($I33=1,IFBLANK(_xldudf_CX_PUSH(BK33*fxVal_normal,CX_ENTITY,$B33,BK$11,BK$14,BK$19,),""),IF($I33=2,IFBLANK(_xldudf_CX_PUSH(BK33,CX_ENTITY,$B33,BK$11,BK$14,BK$19,),""),IF($I33=3,"",IFBLANK(_xldudf_CX_PUSH(BK33,CX_ENTITY,$B33,BK$11,BK$14,BK$19,),"")))))),"")</f>
        <v/>
      </c>
      <c r="EE33" s="1883" t="str" cm="1">
        <f t="array" ca="1" aca="1" ref="EE33">IFERROR(IF(BL33*fxVal_normal=_CF!BL33,"",IF(OR(BL33="",NOT(ISNUMBER(BL33)),ISERROR(BL33),$B33=""),"",IF($I33=1,IFBLANK(_xldudf_CX_PUSH(BL33*fxVal_normal,CX_ENTITY,$B33,BL$11,BL$14,BL$19,),""),IF($I33=2,IFBLANK(_xldudf_CX_PUSH(BL33,CX_ENTITY,$B33,BL$11,BL$14,BL$19,),""),IF($I33=3,"",IFBLANK(_xldudf_CX_PUSH(BL33,CX_ENTITY,$B33,BL$11,BL$14,BL$19,),"")))))),"")</f>
        <v/>
      </c>
      <c r="EF33" s="1883" t="str" cm="1">
        <f t="array" ca="1" aca="1" ref="EF33">IFERROR(IF(BM33*fxVal_normal=_CF!BM33,"",IF(OR(BM33="",NOT(ISNUMBER(BM33)),ISERROR(BM33),$B33=""),"",IF($I33=1,IFBLANK(_xldudf_CX_PUSH(BM33*fxVal_normal,CX_ENTITY,$B33,BM$11,BM$14,BM$19,),""),IF($I33=2,IFBLANK(_xldudf_CX_PUSH(BM33,CX_ENTITY,$B33,BM$11,BM$14,BM$19,),""),IF($I33=3,"",IFBLANK(_xldudf_CX_PUSH(BM33,CX_ENTITY,$B33,BM$11,BM$14,BM$19,),"")))))),"")</f>
        <v/>
      </c>
      <c r="EG33" s="1883" t="str" cm="1">
        <f t="array" ca="1" aca="1" ref="EG33">IFERROR(IF(BN33*fxVal_normal=_CF!BN33,"",IF(OR(BN33="",NOT(ISNUMBER(BN33)),ISERROR(BN33),$B33=""),"",IF($I33=1,IFBLANK(_xldudf_CX_PUSH(BN33*fxVal_normal,CX_ENTITY,$B33,BN$11,BN$14,BN$19,),""),IF($I33=2,IFBLANK(_xldudf_CX_PUSH(BN33,CX_ENTITY,$B33,BN$11,BN$14,BN$19,),""),IF($I33=3,"",IFBLANK(_xldudf_CX_PUSH(BN33,CX_ENTITY,$B33,BN$11,BN$14,BN$19,),"")))))),"")</f>
        <v/>
      </c>
    </row>
    <row r="34" spans="1:137" ht="21" customHeight="1">
      <c r="A34" s="1626"/>
      <c r="B34" s="811" t="str" cm="1">
        <f t="array" ref="B34">IFBLANK(_CF!F34,"")</f>
        <v>Dividend Payments</v>
      </c>
      <c r="C34" s="3346" t="str" cm="1">
        <f t="array" ref="C34">IFBLANK(_CF!C34,"")</f>
        <v>Dividend Payments (Company View)</v>
      </c>
      <c r="D34" s="1549"/>
      <c r="E34" s="811"/>
      <c r="F34" s="574"/>
      <c r="G34" s="401"/>
      <c r="H34" s="3280">
        <v>1</v>
      </c>
      <c r="I34" s="3280">
        <v>1</v>
      </c>
      <c r="J34" s="3280" cm="1">
        <f t="array" ref="J34">IFBLANK(Z34,"")</f>
        <v>1</v>
      </c>
      <c r="K34" s="401"/>
      <c r="N34" s="158"/>
      <c r="O34" s="101"/>
      <c r="P34" s="52"/>
      <c r="Q34" s="101"/>
      <c r="R34" s="126"/>
      <c r="S34" s="101"/>
      <c r="T34" s="101"/>
      <c r="U34" s="39"/>
      <c r="W34" s="932" t="str">
        <f t="shared" si="1"/>
        <v>Actual</v>
      </c>
      <c r="X34" s="815">
        <f>_CF!X34</f>
        <v>-1</v>
      </c>
      <c r="Y34" s="3183">
        <v>2</v>
      </c>
      <c r="Z34" s="3291" cm="1">
        <f t="array" ref="Z34">_xlfn.SWITCH(TRUE,_CF!$L34=TRUE,1,_CF!$L34=FALSE,-1,_CF!$L34=-1,0,"n/a")</f>
        <v>1</v>
      </c>
      <c r="AA34" s="200"/>
      <c r="AB34" s="3343" t="str">
        <f>_CF!AB34</f>
        <v>Dividend payments</v>
      </c>
      <c r="AC34" s="88" t="e" vm="5" cm="1">
        <f t="array" ca="1" aca="1" ref="AC34">_xlfn.LET(_xlpm._termname,$AB34,_xlpm._iconname,"find",_xlpm._icon,fx_getIcon(_xlpm._iconname),_xlpm._location,_xlfn.XLOOKUP(LOWER(_xlpm._termname),LOWER(tbl_acctDef[Term]),tbl_acctDef[Term]),_xlpm._hyperlink,HYPERLINK("#"&amp;CELL("address",_xlpm._location),_xlpm._icon),IFERROR(_xlpm._hyperlink,""))</f>
        <v>#VALUE!</v>
      </c>
      <c r="AD34" s="3232">
        <v>1</v>
      </c>
      <c r="AE34" s="3232">
        <v>1</v>
      </c>
      <c r="AF34" s="3232">
        <v>1</v>
      </c>
      <c r="AG34" s="3232">
        <v>1</v>
      </c>
      <c r="AH34" s="3232">
        <v>1</v>
      </c>
      <c r="AI34" s="3232">
        <v>1</v>
      </c>
      <c r="AJ34" s="3232">
        <v>1</v>
      </c>
      <c r="AK34" s="3232">
        <v>1</v>
      </c>
      <c r="AL34" s="3232">
        <v>1</v>
      </c>
      <c r="AM34" s="3232">
        <v>1</v>
      </c>
      <c r="AN34" s="3232">
        <v>1</v>
      </c>
      <c r="AO34" s="3232">
        <v>1</v>
      </c>
      <c r="AP34" s="3232">
        <v>1</v>
      </c>
      <c r="AQ34" s="3232">
        <v>1</v>
      </c>
      <c r="AR34" s="3232">
        <v>1</v>
      </c>
      <c r="AS34" s="3232">
        <v>1</v>
      </c>
      <c r="AT34" s="3232">
        <v>1</v>
      </c>
      <c r="AU34" s="3232">
        <v>1</v>
      </c>
      <c r="AV34" s="3232">
        <v>1</v>
      </c>
      <c r="AW34" s="3232">
        <v>1</v>
      </c>
      <c r="AX34" s="3232">
        <v>1</v>
      </c>
      <c r="AY34" s="3232">
        <v>1</v>
      </c>
      <c r="AZ34" s="3232">
        <v>1</v>
      </c>
      <c r="BA34" s="3232">
        <v>1</v>
      </c>
      <c r="BB34" s="3232">
        <v>1</v>
      </c>
      <c r="BC34" s="3232">
        <v>1</v>
      </c>
      <c r="BD34" s="3232">
        <v>1</v>
      </c>
      <c r="BE34" s="3232">
        <v>1</v>
      </c>
      <c r="BF34" s="3232">
        <v>1</v>
      </c>
      <c r="BG34" s="3232">
        <v>1</v>
      </c>
      <c r="BH34" s="3232">
        <v>1</v>
      </c>
      <c r="BI34" s="3232">
        <v>1</v>
      </c>
      <c r="BJ34" s="3232">
        <v>1</v>
      </c>
      <c r="BK34" s="3232">
        <v>1</v>
      </c>
      <c r="BL34" s="3232">
        <v>1</v>
      </c>
      <c r="BM34" s="3232">
        <v>1</v>
      </c>
      <c r="BN34" s="3232">
        <v>1</v>
      </c>
      <c r="BO34" s="2115"/>
      <c r="BP34" s="2115"/>
      <c r="BQ34" s="2115"/>
      <c r="BR34" s="2115"/>
      <c r="BS34" s="2115"/>
      <c r="BT34" s="2115"/>
      <c r="BU34" s="2115"/>
      <c r="BV34" s="2115"/>
      <c r="BW34" s="2115"/>
      <c r="BX34" s="2115"/>
      <c r="BY34" s="2115"/>
      <c r="BZ34" s="2115"/>
      <c r="CA34" s="1330"/>
      <c r="CB34" s="537"/>
      <c r="CC34" s="1484"/>
      <c r="CD34" s="1461" t="e" cm="1">
        <f t="array" ca="1" aca="1" ref="CD34">_xlfn.LET(_xlpm.CheckBlank,SUM(CF!$AD34:$BN34)=0,IF(_xlpm.CheckBlank,"",SUM(_xlfn._xlws.FILTER(CF!$AD34:$BN34,(YEAR(CF!$AD$12:$BN$12)=CF!CD$12)*(array_timeline&lt;=CF!CD$11)))))</f>
        <v>#NAME?</v>
      </c>
      <c r="CE34" s="1461" t="e" cm="1">
        <f t="array" ca="1" aca="1" ref="CE34">_xlfn.LET(_xlpm.CheckBlank,SUM(CF!$AD34:$BN34)=0,IF(_xlpm.CheckBlank,"",SUM(_xlfn._xlws.FILTER(CF!$AD34:$BN34,(YEAR(CF!$AD$12:$BN$12)=CF!CE$12)*(array_timeline&lt;=CF!CE$11)))))</f>
        <v>#NAME?</v>
      </c>
      <c r="CF34" s="1314"/>
      <c r="CG34" s="1461" t="e" cm="1">
        <f t="array" ca="1" aca="1" ref="CG34">_xlfn.LET(_xlpm.CheckBlank,SUM(CF!$AD34:$BN34)=0,IF(_xlpm.CheckBlank,"",SUM(_xlfn._xlws.FILTER(CF!$AD34:$BN34,(YEAR(CF!$AD$12:$BN$12)=CF!CG$12)*(array_timeline&lt;=CF!CG$11)))))</f>
        <v>#NAME?</v>
      </c>
      <c r="CH34" s="1461" t="e" cm="1">
        <f t="array" ca="1" aca="1" ref="CH34">_xlfn.LET(_xlpm.CheckBlank,SUM(CF!$AD34:$BN34)=0,IF(_xlpm.CheckBlank,"",SUM(_xlfn._xlws.FILTER(CF!$AD34:$BN34,(YEAR(CF!$AD$12:$BN$12)=CF!CH$12)*(array_timeline&lt;=CF!CH$11)))))</f>
        <v>#NAME?</v>
      </c>
      <c r="CI34" s="1314"/>
      <c r="CJ34" s="1461" cm="1">
        <f t="array" ref="CJ34">_xlfn.LET(_xlpm.CheckBlank,SUM(CF!$AD34:$BN34)=0,IF(_xlpm.CheckBlank,"",SUM(_xlfn.TAKE(_xlfn.DROP(CF!$AD34:$BN34,,-DATEDIFF(CF!CJ$11,val_asOfDate,"M")),1,-12))))</f>
        <v>12</v>
      </c>
      <c r="CK34" s="1461" cm="1">
        <f t="array" ref="CK34">_xlfn.LET(_xlpm.CheckBlank,SUM(CF!$AD34:$BN34)=0,IF(_xlpm.CheckBlank,"",SUM(_xlfn.TAKE(_xlfn.DROP(CF!$AD34:$BN34,,-DATEDIFF(CF!CK$11,val_asOfDate,"M")),1,-12))))</f>
        <v>12</v>
      </c>
      <c r="CL34" s="1314"/>
      <c r="CM34" s="3353" t="e" cm="1">
        <f t="array" ca="1" aca="1" ref="CM34">TODECIMAL(IFBLANK(_CF!CM34,""),fxVal_normal)</f>
        <v>#NAME?</v>
      </c>
      <c r="CN34" s="3353" t="e" cm="1">
        <f t="array" ca="1" aca="1" ref="CN34">TODECIMAL(IFBLANK(_CF!CN34,""),fxVal_normal)</f>
        <v>#NAME?</v>
      </c>
      <c r="CO34" s="34"/>
      <c r="CQ34" s="2085" t="str" cm="1">
        <f t="array" ca="1" aca="1" ref="CQ34">IFERROR(IF(Y34&lt;&gt;AB34,_xldudf_CX_PUSH(Y34,CX_ENTITY,C34,EOMONTH(val_asOfDate,0)),""),"")</f>
        <v/>
      </c>
      <c r="CR34" s="2085" t="str" cm="1">
        <f t="array" ca="1" aca="1" ref="CR34">IFERROR(IF(Y34&lt;&gt;AB34,_xldudf_CX_PUSH(Y34,CX_ENTITY,C34,EOMONTH(val_asOfDate,1)),""),"")</f>
        <v/>
      </c>
      <c r="CS34" s="2085" t="str" cm="1">
        <f t="array" ca="1" aca="1" ref="CS34">IFERROR(IF(Y34&lt;&gt;AB34,_xldudf_CX_PUSH(Y34,CX_ENTITY,C34,EOMONTH(val_asOfDate,2)),""),"")</f>
        <v/>
      </c>
      <c r="CT34" s="2085" t="str" cm="1">
        <f t="array" ca="1" aca="1" ref="CT34">IFERROR(IF(Y34&lt;&gt;AB34,_xldudf_CX_PUSH(Y34,CX_ENTITY,C34,EOMONTH(val_asOfDate,3)),""),"")</f>
        <v/>
      </c>
      <c r="CU34" s="2086" t="str" cm="1">
        <f t="array" ca="1" aca="1" ref="CU34">IFERROR(IF(CM34*fxVal_normal=_CF!CM34,"",IF(OR($CM34="",,NOT(ISNUMBER($CM34)),ISERROR($CM34),$B34=""),"",IF($I34=1,IFBLANK(_xldudf_CX_PUSH($CM34*fxVal_normal,CX_ENTITY,$B34,$CM$11,$CM$14,$CM$19,),""),IF($I34=2,IFBLANK(_xldudf_CX_PUSH($CM34,CX_ENTITY,$B34,$CM$11,$CM$14,$CM$19,),""),IF($I34=3,"",IFBLANK(_xldudf_CX_PUSH($CM34,CX_ENTITY,$B34,$CM$11,$CM$14,$CM$19,),"")))))),"")</f>
        <v/>
      </c>
      <c r="CV34" s="2086" t="str" cm="1">
        <f t="array" ca="1" aca="1" ref="CV34">IFERROR(IF(CN34*fxVal_normal=_CF!CN34,"",IF(OR($CN34="",,NOT(ISNUMBER($CN34)),ISERROR($CN34),$B34=""),"",IF($I34=1,IFBLANK(_xldudf_CX_PUSH($CN34*fxVal_normal,CX_ENTITY,$B34,$CN$11,$CN$14,$CN$19,),""),IF($I34=2,IFBLANK(_xldudf_CX_PUSH($CN34,CX_ENTITY,$B34,$CN$11,$CN$14,$CN$19,),""),IF($I34=3,"",IFBLANK(_xldudf_CX_PUSH($CN34,CX_ENTITY,$B34,$CN$11,$CN$14,$CN$19,),"")))))),"")</f>
        <v/>
      </c>
      <c r="CW34" s="1883" t="str" cm="1">
        <f t="array" ca="1" aca="1" ref="CW34">IFERROR(IF(AD34*fxVal_normal=_CF!AD34,"",IF(OR(AD34="",NOT(ISNUMBER(AD34)),ISERROR(AD34),$B34=""),"",IF($I34=1,IFBLANK(_xldudf_CX_PUSH(AD34*fxVal_normal,CX_ENTITY,$B34,AD$11,AD$14,AD$19,),""),IF($I34=2,IFBLANK(_xldudf_CX_PUSH(AD34,CX_ENTITY,$B34,AD$11,AD$14,AD$19,),""),IF($I34=3,"",IFBLANK(_xldudf_CX_PUSH(AD34,CX_ENTITY,$B34,AD$11,AD$14,AD$19,),"")))))),"")</f>
        <v/>
      </c>
      <c r="CX34" s="1883" t="str" cm="1">
        <f t="array" ca="1" aca="1" ref="CX34">IFERROR(IF(AE34*fxVal_normal=_CF!AE34,"",IF(OR(AE34="",NOT(ISNUMBER(AE34)),ISERROR(AE34),$B34=""),"",IF($I34=1,IFBLANK(_xldudf_CX_PUSH(AE34*fxVal_normal,CX_ENTITY,$B34,AE$11,AE$14,AE$19,),""),IF($I34=2,IFBLANK(_xldudf_CX_PUSH(AE34,CX_ENTITY,$B34,AE$11,AE$14,AE$19,),""),IF($I34=3,"",IFBLANK(_xldudf_CX_PUSH(AE34,CX_ENTITY,$B34,AE$11,AE$14,AE$19,),"")))))),"")</f>
        <v/>
      </c>
      <c r="CY34" s="1883" t="str" cm="1">
        <f t="array" ca="1" aca="1" ref="CY34">IFERROR(IF(AF34*fxVal_normal=_CF!AF34,"",IF(OR(AF34="",NOT(ISNUMBER(AF34)),ISERROR(AF34),$B34=""),"",IF($I34=1,IFBLANK(_xldudf_CX_PUSH(AF34*fxVal_normal,CX_ENTITY,$B34,AF$11,AF$14,AF$19,),""),IF($I34=2,IFBLANK(_xldudf_CX_PUSH(AF34,CX_ENTITY,$B34,AF$11,AF$14,AF$19,),""),IF($I34=3,"",IFBLANK(_xldudf_CX_PUSH(AF34,CX_ENTITY,$B34,AF$11,AF$14,AF$19,),"")))))),"")</f>
        <v/>
      </c>
      <c r="CZ34" s="1883" t="str" cm="1">
        <f t="array" ca="1" aca="1" ref="CZ34">IFERROR(IF(AG34*fxVal_normal=_CF!AG34,"",IF(OR(AG34="",NOT(ISNUMBER(AG34)),ISERROR(AG34),$B34=""),"",IF($I34=1,IFBLANK(_xldudf_CX_PUSH(AG34*fxVal_normal,CX_ENTITY,$B34,AG$11,AG$14,AG$19,),""),IF($I34=2,IFBLANK(_xldudf_CX_PUSH(AG34,CX_ENTITY,$B34,AG$11,AG$14,AG$19,),""),IF($I34=3,"",IFBLANK(_xldudf_CX_PUSH(AG34,CX_ENTITY,$B34,AG$11,AG$14,AG$19,),"")))))),"")</f>
        <v/>
      </c>
      <c r="DA34" s="1883" t="str" cm="1">
        <f t="array" ca="1" aca="1" ref="DA34">IFERROR(IF(AH34*fxVal_normal=_CF!AH34,"",IF(OR(AH34="",NOT(ISNUMBER(AH34)),ISERROR(AH34),$B34=""),"",IF($I34=1,IFBLANK(_xldudf_CX_PUSH(AH34*fxVal_normal,CX_ENTITY,$B34,AH$11,AH$14,AH$19,),""),IF($I34=2,IFBLANK(_xldudf_CX_PUSH(AH34,CX_ENTITY,$B34,AH$11,AH$14,AH$19,),""),IF($I34=3,"",IFBLANK(_xldudf_CX_PUSH(AH34,CX_ENTITY,$B34,AH$11,AH$14,AH$19,),"")))))),"")</f>
        <v/>
      </c>
      <c r="DB34" s="1883" t="str" cm="1">
        <f t="array" ca="1" aca="1" ref="DB34">IFERROR(IF(AI34*fxVal_normal=_CF!AI34,"",IF(OR(AI34="",NOT(ISNUMBER(AI34)),ISERROR(AI34),$B34=""),"",IF($I34=1,IFBLANK(_xldudf_CX_PUSH(AI34*fxVal_normal,CX_ENTITY,$B34,AI$11,AI$14,AI$19,),""),IF($I34=2,IFBLANK(_xldudf_CX_PUSH(AI34,CX_ENTITY,$B34,AI$11,AI$14,AI$19,),""),IF($I34=3,"",IFBLANK(_xldudf_CX_PUSH(AI34,CX_ENTITY,$B34,AI$11,AI$14,AI$19,),"")))))),"")</f>
        <v/>
      </c>
      <c r="DC34" s="1883" t="str" cm="1">
        <f t="array" ca="1" aca="1" ref="DC34">IFERROR(IF(AJ34*fxVal_normal=_CF!AJ34,"",IF(OR(AJ34="",NOT(ISNUMBER(AJ34)),ISERROR(AJ34),$B34=""),"",IF($I34=1,IFBLANK(_xldudf_CX_PUSH(AJ34*fxVal_normal,CX_ENTITY,$B34,AJ$11,AJ$14,AJ$19,),""),IF($I34=2,IFBLANK(_xldudf_CX_PUSH(AJ34,CX_ENTITY,$B34,AJ$11,AJ$14,AJ$19,),""),IF($I34=3,"",IFBLANK(_xldudf_CX_PUSH(AJ34,CX_ENTITY,$B34,AJ$11,AJ$14,AJ$19,),"")))))),"")</f>
        <v/>
      </c>
      <c r="DD34" s="1883" t="str" cm="1">
        <f t="array" ca="1" aca="1" ref="DD34">IFERROR(IF(AK34*fxVal_normal=_CF!AK34,"",IF(OR(AK34="",NOT(ISNUMBER(AK34)),ISERROR(AK34),$B34=""),"",IF($I34=1,IFBLANK(_xldudf_CX_PUSH(AK34*fxVal_normal,CX_ENTITY,$B34,AK$11,AK$14,AK$19,),""),IF($I34=2,IFBLANK(_xldudf_CX_PUSH(AK34,CX_ENTITY,$B34,AK$11,AK$14,AK$19,),""),IF($I34=3,"",IFBLANK(_xldudf_CX_PUSH(AK34,CX_ENTITY,$B34,AK$11,AK$14,AK$19,),"")))))),"")</f>
        <v/>
      </c>
      <c r="DE34" s="1883" t="str" cm="1">
        <f t="array" ca="1" aca="1" ref="DE34">IFERROR(IF(AL34*fxVal_normal=_CF!AL34,"",IF(OR(AL34="",NOT(ISNUMBER(AL34)),ISERROR(AL34),$B34=""),"",IF($I34=1,IFBLANK(_xldudf_CX_PUSH(AL34*fxVal_normal,CX_ENTITY,$B34,AL$11,AL$14,AL$19,),""),IF($I34=2,IFBLANK(_xldudf_CX_PUSH(AL34,CX_ENTITY,$B34,AL$11,AL$14,AL$19,),""),IF($I34=3,"",IFBLANK(_xldudf_CX_PUSH(AL34,CX_ENTITY,$B34,AL$11,AL$14,AL$19,),"")))))),"")</f>
        <v/>
      </c>
      <c r="DF34" s="1883" t="str" cm="1">
        <f t="array" ca="1" aca="1" ref="DF34">IFERROR(IF(AM34*fxVal_normal=_CF!AM34,"",IF(OR(AM34="",NOT(ISNUMBER(AM34)),ISERROR(AM34),$B34=""),"",IF($I34=1,IFBLANK(_xldudf_CX_PUSH(AM34*fxVal_normal,CX_ENTITY,$B34,AM$11,AM$14,AM$19,),""),IF($I34=2,IFBLANK(_xldudf_CX_PUSH(AM34,CX_ENTITY,$B34,AM$11,AM$14,AM$19,),""),IF($I34=3,"",IFBLANK(_xldudf_CX_PUSH(AM34,CX_ENTITY,$B34,AM$11,AM$14,AM$19,),"")))))),"")</f>
        <v/>
      </c>
      <c r="DG34" s="1883" t="str" cm="1">
        <f t="array" ca="1" aca="1" ref="DG34">IFERROR(IF(AN34*fxVal_normal=_CF!AN34,"",IF(OR(AN34="",NOT(ISNUMBER(AN34)),ISERROR(AN34),$B34=""),"",IF($I34=1,IFBLANK(_xldudf_CX_PUSH(AN34*fxVal_normal,CX_ENTITY,$B34,AN$11,AN$14,AN$19,),""),IF($I34=2,IFBLANK(_xldudf_CX_PUSH(AN34,CX_ENTITY,$B34,AN$11,AN$14,AN$19,),""),IF($I34=3,"",IFBLANK(_xldudf_CX_PUSH(AN34,CX_ENTITY,$B34,AN$11,AN$14,AN$19,),"")))))),"")</f>
        <v/>
      </c>
      <c r="DH34" s="1883" t="str" cm="1">
        <f t="array" ca="1" aca="1" ref="DH34">IFERROR(IF(AO34*fxVal_normal=_CF!AO34,"",IF(OR(AO34="",NOT(ISNUMBER(AO34)),ISERROR(AO34),$B34=""),"",IF($I34=1,IFBLANK(_xldudf_CX_PUSH(AO34*fxVal_normal,CX_ENTITY,$B34,AO$11,AO$14,AO$19,),""),IF($I34=2,IFBLANK(_xldudf_CX_PUSH(AO34,CX_ENTITY,$B34,AO$11,AO$14,AO$19,),""),IF($I34=3,"",IFBLANK(_xldudf_CX_PUSH(AO34,CX_ENTITY,$B34,AO$11,AO$14,AO$19,),"")))))),"")</f>
        <v/>
      </c>
      <c r="DI34" s="1883" t="str" cm="1">
        <f t="array" ca="1" aca="1" ref="DI34">IFERROR(IF(AP34*fxVal_normal=_CF!AP34,"",IF(OR(AP34="",NOT(ISNUMBER(AP34)),ISERROR(AP34),$B34=""),"",IF($I34=1,IFBLANK(_xldudf_CX_PUSH(AP34*fxVal_normal,CX_ENTITY,$B34,AP$11,AP$14,AP$19,),""),IF($I34=2,IFBLANK(_xldudf_CX_PUSH(AP34,CX_ENTITY,$B34,AP$11,AP$14,AP$19,),""),IF($I34=3,"",IFBLANK(_xldudf_CX_PUSH(AP34,CX_ENTITY,$B34,AP$11,AP$14,AP$19,),"")))))),"")</f>
        <v/>
      </c>
      <c r="DJ34" s="1883" t="str" cm="1">
        <f t="array" ca="1" aca="1" ref="DJ34">IFERROR(IF(AQ34*fxVal_normal=_CF!AQ34,"",IF(OR(AQ34="",NOT(ISNUMBER(AQ34)),ISERROR(AQ34),$B34=""),"",IF($I34=1,IFBLANK(_xldudf_CX_PUSH(AQ34*fxVal_normal,CX_ENTITY,$B34,AQ$11,AQ$14,AQ$19,),""),IF($I34=2,IFBLANK(_xldudf_CX_PUSH(AQ34,CX_ENTITY,$B34,AQ$11,AQ$14,AQ$19,),""),IF($I34=3,"",IFBLANK(_xldudf_CX_PUSH(AQ34,CX_ENTITY,$B34,AQ$11,AQ$14,AQ$19,),"")))))),"")</f>
        <v/>
      </c>
      <c r="DK34" s="1883" t="str" cm="1">
        <f t="array" ca="1" aca="1" ref="DK34">IFERROR(IF(AR34*fxVal_normal=_CF!AR34,"",IF(OR(AR34="",NOT(ISNUMBER(AR34)),ISERROR(AR34),$B34=""),"",IF($I34=1,IFBLANK(_xldudf_CX_PUSH(AR34*fxVal_normal,CX_ENTITY,$B34,AR$11,AR$14,AR$19,),""),IF($I34=2,IFBLANK(_xldudf_CX_PUSH(AR34,CX_ENTITY,$B34,AR$11,AR$14,AR$19,),""),IF($I34=3,"",IFBLANK(_xldudf_CX_PUSH(AR34,CX_ENTITY,$B34,AR$11,AR$14,AR$19,),"")))))),"")</f>
        <v/>
      </c>
      <c r="DL34" s="1883" t="str" cm="1">
        <f t="array" ca="1" aca="1" ref="DL34">IFERROR(IF(AS34*fxVal_normal=_CF!AS34,"",IF(OR(AS34="",NOT(ISNUMBER(AS34)),ISERROR(AS34),$B34=""),"",IF($I34=1,IFBLANK(_xldudf_CX_PUSH(AS34*fxVal_normal,CX_ENTITY,$B34,AS$11,AS$14,AS$19,),""),IF($I34=2,IFBLANK(_xldudf_CX_PUSH(AS34,CX_ENTITY,$B34,AS$11,AS$14,AS$19,),""),IF($I34=3,"",IFBLANK(_xldudf_CX_PUSH(AS34,CX_ENTITY,$B34,AS$11,AS$14,AS$19,),"")))))),"")</f>
        <v/>
      </c>
      <c r="DM34" s="1883" t="str" cm="1">
        <f t="array" ca="1" aca="1" ref="DM34">IFERROR(IF(AT34*fxVal_normal=_CF!AT34,"",IF(OR(AT34="",NOT(ISNUMBER(AT34)),ISERROR(AT34),$B34=""),"",IF($I34=1,IFBLANK(_xldudf_CX_PUSH(AT34*fxVal_normal,CX_ENTITY,$B34,AT$11,AT$14,AT$19,),""),IF($I34=2,IFBLANK(_xldudf_CX_PUSH(AT34,CX_ENTITY,$B34,AT$11,AT$14,AT$19,),""),IF($I34=3,"",IFBLANK(_xldudf_CX_PUSH(AT34,CX_ENTITY,$B34,AT$11,AT$14,AT$19,),"")))))),"")</f>
        <v/>
      </c>
      <c r="DN34" s="1883" t="str" cm="1">
        <f t="array" ca="1" aca="1" ref="DN34">IFERROR(IF(AU34*fxVal_normal=_CF!AU34,"",IF(OR(AU34="",NOT(ISNUMBER(AU34)),ISERROR(AU34),$B34=""),"",IF($I34=1,IFBLANK(_xldudf_CX_PUSH(AU34*fxVal_normal,CX_ENTITY,$B34,AU$11,AU$14,AU$19,),""),IF($I34=2,IFBLANK(_xldudf_CX_PUSH(AU34,CX_ENTITY,$B34,AU$11,AU$14,AU$19,),""),IF($I34=3,"",IFBLANK(_xldudf_CX_PUSH(AU34,CX_ENTITY,$B34,AU$11,AU$14,AU$19,),"")))))),"")</f>
        <v/>
      </c>
      <c r="DO34" s="1883" t="str" cm="1">
        <f t="array" ca="1" aca="1" ref="DO34">IFERROR(IF(AV34*fxVal_normal=_CF!AV34,"",IF(OR(AV34="",NOT(ISNUMBER(AV34)),ISERROR(AV34),$B34=""),"",IF($I34=1,IFBLANK(_xldudf_CX_PUSH(AV34*fxVal_normal,CX_ENTITY,$B34,AV$11,AV$14,AV$19,),""),IF($I34=2,IFBLANK(_xldudf_CX_PUSH(AV34,CX_ENTITY,$B34,AV$11,AV$14,AV$19,),""),IF($I34=3,"",IFBLANK(_xldudf_CX_PUSH(AV34,CX_ENTITY,$B34,AV$11,AV$14,AV$19,),"")))))),"")</f>
        <v/>
      </c>
      <c r="DP34" s="1883" t="str" cm="1">
        <f t="array" ca="1" aca="1" ref="DP34">IFERROR(IF(AW34*fxVal_normal=_CF!AW34,"",IF(OR(AW34="",NOT(ISNUMBER(AW34)),ISERROR(AW34),$B34=""),"",IF($I34=1,IFBLANK(_xldudf_CX_PUSH(AW34*fxVal_normal,CX_ENTITY,$B34,AW$11,AW$14,AW$19,),""),IF($I34=2,IFBLANK(_xldudf_CX_PUSH(AW34,CX_ENTITY,$B34,AW$11,AW$14,AW$19,),""),IF($I34=3,"",IFBLANK(_xldudf_CX_PUSH(AW34,CX_ENTITY,$B34,AW$11,AW$14,AW$19,),"")))))),"")</f>
        <v/>
      </c>
      <c r="DQ34" s="1883" t="str" cm="1">
        <f t="array" ca="1" aca="1" ref="DQ34">IFERROR(IF(AX34*fxVal_normal=_CF!AX34,"",IF(OR(AX34="",NOT(ISNUMBER(AX34)),ISERROR(AX34),$B34=""),"",IF($I34=1,IFBLANK(_xldudf_CX_PUSH(AX34*fxVal_normal,CX_ENTITY,$B34,AX$11,AX$14,AX$19,),""),IF($I34=2,IFBLANK(_xldudf_CX_PUSH(AX34,CX_ENTITY,$B34,AX$11,AX$14,AX$19,),""),IF($I34=3,"",IFBLANK(_xldudf_CX_PUSH(AX34,CX_ENTITY,$B34,AX$11,AX$14,AX$19,),"")))))),"")</f>
        <v/>
      </c>
      <c r="DR34" s="1883" t="str" cm="1">
        <f t="array" ca="1" aca="1" ref="DR34">IFERROR(IF(AY34*fxVal_normal=_CF!AY34,"",IF(OR(AY34="",NOT(ISNUMBER(AY34)),ISERROR(AY34),$B34=""),"",IF($I34=1,IFBLANK(_xldudf_CX_PUSH(AY34*fxVal_normal,CX_ENTITY,$B34,AY$11,AY$14,AY$19,),""),IF($I34=2,IFBLANK(_xldudf_CX_PUSH(AY34,CX_ENTITY,$B34,AY$11,AY$14,AY$19,),""),IF($I34=3,"",IFBLANK(_xldudf_CX_PUSH(AY34,CX_ENTITY,$B34,AY$11,AY$14,AY$19,),"")))))),"")</f>
        <v/>
      </c>
      <c r="DS34" s="1883" t="str" cm="1">
        <f t="array" ca="1" aca="1" ref="DS34">IFERROR(IF(AZ34*fxVal_normal=_CF!AZ34,"",IF(OR(AZ34="",NOT(ISNUMBER(AZ34)),ISERROR(AZ34),$B34=""),"",IF($I34=1,IFBLANK(_xldudf_CX_PUSH(AZ34*fxVal_normal,CX_ENTITY,$B34,AZ$11,AZ$14,AZ$19,),""),IF($I34=2,IFBLANK(_xldudf_CX_PUSH(AZ34,CX_ENTITY,$B34,AZ$11,AZ$14,AZ$19,),""),IF($I34=3,"",IFBLANK(_xldudf_CX_PUSH(AZ34,CX_ENTITY,$B34,AZ$11,AZ$14,AZ$19,),"")))))),"")</f>
        <v/>
      </c>
      <c r="DT34" s="1883" t="str" cm="1">
        <f t="array" ca="1" aca="1" ref="DT34">IFERROR(IF(BA34*fxVal_normal=_CF!BA34,"",IF(OR(BA34="",NOT(ISNUMBER(BA34)),ISERROR(BA34),$B34=""),"",IF($I34=1,IFBLANK(_xldudf_CX_PUSH(BA34*fxVal_normal,CX_ENTITY,$B34,BA$11,BA$14,BA$19,),""),IF($I34=2,IFBLANK(_xldudf_CX_PUSH(BA34,CX_ENTITY,$B34,BA$11,BA$14,BA$19,),""),IF($I34=3,"",IFBLANK(_xldudf_CX_PUSH(BA34,CX_ENTITY,$B34,BA$11,BA$14,BA$19,),"")))))),"")</f>
        <v/>
      </c>
      <c r="DU34" s="1883" t="str" cm="1">
        <f t="array" ca="1" aca="1" ref="DU34">IFERROR(IF(BB34*fxVal_normal=_CF!BB34,"",IF(OR(BB34="",NOT(ISNUMBER(BB34)),ISERROR(BB34),$B34=""),"",IF($I34=1,IFBLANK(_xldudf_CX_PUSH(BB34*fxVal_normal,CX_ENTITY,$B34,BB$11,BB$14,BB$19,),""),IF($I34=2,IFBLANK(_xldudf_CX_PUSH(BB34,CX_ENTITY,$B34,BB$11,BB$14,BB$19,),""),IF($I34=3,"",IFBLANK(_xldudf_CX_PUSH(BB34,CX_ENTITY,$B34,BB$11,BB$14,BB$19,),"")))))),"")</f>
        <v/>
      </c>
      <c r="DV34" s="1883" t="str" cm="1">
        <f t="array" ca="1" aca="1" ref="DV34">IFERROR(IF(BC34*fxVal_normal=_CF!BC34,"",IF(OR(BC34="",NOT(ISNUMBER(BC34)),ISERROR(BC34),$B34=""),"",IF($I34=1,IFBLANK(_xldudf_CX_PUSH(BC34*fxVal_normal,CX_ENTITY,$B34,BC$11,BC$14,BC$19,),""),IF($I34=2,IFBLANK(_xldudf_CX_PUSH(BC34,CX_ENTITY,$B34,BC$11,BC$14,BC$19,),""),IF($I34=3,"",IFBLANK(_xldudf_CX_PUSH(BC34,CX_ENTITY,$B34,BC$11,BC$14,BC$19,),"")))))),"")</f>
        <v/>
      </c>
      <c r="DW34" s="1883" t="str" cm="1">
        <f t="array" ca="1" aca="1" ref="DW34">IFERROR(IF(BD34*fxVal_normal=_CF!BD34,"",IF(OR(BD34="",NOT(ISNUMBER(BD34)),ISERROR(BD34),$B34=""),"",IF($I34=1,IFBLANK(_xldudf_CX_PUSH(BD34*fxVal_normal,CX_ENTITY,$B34,BD$11,BD$14,BD$19,),""),IF($I34=2,IFBLANK(_xldudf_CX_PUSH(BD34,CX_ENTITY,$B34,BD$11,BD$14,BD$19,),""),IF($I34=3,"",IFBLANK(_xldudf_CX_PUSH(BD34,CX_ENTITY,$B34,BD$11,BD$14,BD$19,),"")))))),"")</f>
        <v/>
      </c>
      <c r="DX34" s="1883" t="str" cm="1">
        <f t="array" ca="1" aca="1" ref="DX34">IFERROR(IF(BE34*fxVal_normal=_CF!BE34,"",IF(OR(BE34="",NOT(ISNUMBER(BE34)),ISERROR(BE34),$B34=""),"",IF($I34=1,IFBLANK(_xldudf_CX_PUSH(BE34*fxVal_normal,CX_ENTITY,$B34,BE$11,BE$14,BE$19,),""),IF($I34=2,IFBLANK(_xldudf_CX_PUSH(BE34,CX_ENTITY,$B34,BE$11,BE$14,BE$19,),""),IF($I34=3,"",IFBLANK(_xldudf_CX_PUSH(BE34,CX_ENTITY,$B34,BE$11,BE$14,BE$19,),"")))))),"")</f>
        <v/>
      </c>
      <c r="DY34" s="1883" t="str" cm="1">
        <f t="array" ca="1" aca="1" ref="DY34">IFERROR(IF(BF34*fxVal_normal=_CF!BF34,"",IF(OR(BF34="",NOT(ISNUMBER(BF34)),ISERROR(BF34),$B34=""),"",IF($I34=1,IFBLANK(_xldudf_CX_PUSH(BF34*fxVal_normal,CX_ENTITY,$B34,BF$11,BF$14,BF$19,),""),IF($I34=2,IFBLANK(_xldudf_CX_PUSH(BF34,CX_ENTITY,$B34,BF$11,BF$14,BF$19,),""),IF($I34=3,"",IFBLANK(_xldudf_CX_PUSH(BF34,CX_ENTITY,$B34,BF$11,BF$14,BF$19,),"")))))),"")</f>
        <v/>
      </c>
      <c r="DZ34" s="1883" t="str" cm="1">
        <f t="array" ca="1" aca="1" ref="DZ34">IFERROR(IF(BG34*fxVal_normal=_CF!BG34,"",IF(OR(BG34="",NOT(ISNUMBER(BG34)),ISERROR(BG34),$B34=""),"",IF($I34=1,IFBLANK(_xldudf_CX_PUSH(BG34*fxVal_normal,CX_ENTITY,$B34,BG$11,BG$14,BG$19,),""),IF($I34=2,IFBLANK(_xldudf_CX_PUSH(BG34,CX_ENTITY,$B34,BG$11,BG$14,BG$19,),""),IF($I34=3,"",IFBLANK(_xldudf_CX_PUSH(BG34,CX_ENTITY,$B34,BG$11,BG$14,BG$19,),"")))))),"")</f>
        <v/>
      </c>
      <c r="EA34" s="1883" t="str" cm="1">
        <f t="array" ca="1" aca="1" ref="EA34">IFERROR(IF(BH34*fxVal_normal=_CF!BH34,"",IF(OR(BH34="",NOT(ISNUMBER(BH34)),ISERROR(BH34),$B34=""),"",IF($I34=1,IFBLANK(_xldudf_CX_PUSH(BH34*fxVal_normal,CX_ENTITY,$B34,BH$11,BH$14,BH$19,),""),IF($I34=2,IFBLANK(_xldudf_CX_PUSH(BH34,CX_ENTITY,$B34,BH$11,BH$14,BH$19,),""),IF($I34=3,"",IFBLANK(_xldudf_CX_PUSH(BH34,CX_ENTITY,$B34,BH$11,BH$14,BH$19,),"")))))),"")</f>
        <v/>
      </c>
      <c r="EB34" s="1883" t="str" cm="1">
        <f t="array" ca="1" aca="1" ref="EB34">IFERROR(IF(BI34*fxVal_normal=_CF!BI34,"",IF(OR(BI34="",NOT(ISNUMBER(BI34)),ISERROR(BI34),$B34=""),"",IF($I34=1,IFBLANK(_xldudf_CX_PUSH(BI34*fxVal_normal,CX_ENTITY,$B34,BI$11,BI$14,BI$19,),""),IF($I34=2,IFBLANK(_xldudf_CX_PUSH(BI34,CX_ENTITY,$B34,BI$11,BI$14,BI$19,),""),IF($I34=3,"",IFBLANK(_xldudf_CX_PUSH(BI34,CX_ENTITY,$B34,BI$11,BI$14,BI$19,),"")))))),"")</f>
        <v/>
      </c>
      <c r="EC34" s="1883" t="str" cm="1">
        <f t="array" ca="1" aca="1" ref="EC34">IFERROR(IF(BJ34*fxVal_normal=_CF!BJ34,"",IF(OR(BJ34="",NOT(ISNUMBER(BJ34)),ISERROR(BJ34),$B34=""),"",IF($I34=1,IFBLANK(_xldudf_CX_PUSH(BJ34*fxVal_normal,CX_ENTITY,$B34,BJ$11,BJ$14,BJ$19,),""),IF($I34=2,IFBLANK(_xldudf_CX_PUSH(BJ34,CX_ENTITY,$B34,BJ$11,BJ$14,BJ$19,),""),IF($I34=3,"",IFBLANK(_xldudf_CX_PUSH(BJ34,CX_ENTITY,$B34,BJ$11,BJ$14,BJ$19,),"")))))),"")</f>
        <v/>
      </c>
      <c r="ED34" s="1883" t="str" cm="1">
        <f t="array" ca="1" aca="1" ref="ED34">IFERROR(IF(BK34*fxVal_normal=_CF!BK34,"",IF(OR(BK34="",NOT(ISNUMBER(BK34)),ISERROR(BK34),$B34=""),"",IF($I34=1,IFBLANK(_xldudf_CX_PUSH(BK34*fxVal_normal,CX_ENTITY,$B34,BK$11,BK$14,BK$19,),""),IF($I34=2,IFBLANK(_xldudf_CX_PUSH(BK34,CX_ENTITY,$B34,BK$11,BK$14,BK$19,),""),IF($I34=3,"",IFBLANK(_xldudf_CX_PUSH(BK34,CX_ENTITY,$B34,BK$11,BK$14,BK$19,),"")))))),"")</f>
        <v/>
      </c>
      <c r="EE34" s="1883" t="str" cm="1">
        <f t="array" ca="1" aca="1" ref="EE34">IFERROR(IF(BL34*fxVal_normal=_CF!BL34,"",IF(OR(BL34="",NOT(ISNUMBER(BL34)),ISERROR(BL34),$B34=""),"",IF($I34=1,IFBLANK(_xldudf_CX_PUSH(BL34*fxVal_normal,CX_ENTITY,$B34,BL$11,BL$14,BL$19,),""),IF($I34=2,IFBLANK(_xldudf_CX_PUSH(BL34,CX_ENTITY,$B34,BL$11,BL$14,BL$19,),""),IF($I34=3,"",IFBLANK(_xldudf_CX_PUSH(BL34,CX_ENTITY,$B34,BL$11,BL$14,BL$19,),"")))))),"")</f>
        <v/>
      </c>
      <c r="EF34" s="1883" t="str" cm="1">
        <f t="array" ca="1" aca="1" ref="EF34">IFERROR(IF(BM34*fxVal_normal=_CF!BM34,"",IF(OR(BM34="",NOT(ISNUMBER(BM34)),ISERROR(BM34),$B34=""),"",IF($I34=1,IFBLANK(_xldudf_CX_PUSH(BM34*fxVal_normal,CX_ENTITY,$B34,BM$11,BM$14,BM$19,),""),IF($I34=2,IFBLANK(_xldudf_CX_PUSH(BM34,CX_ENTITY,$B34,BM$11,BM$14,BM$19,),""),IF($I34=3,"",IFBLANK(_xldudf_CX_PUSH(BM34,CX_ENTITY,$B34,BM$11,BM$14,BM$19,),"")))))),"")</f>
        <v/>
      </c>
      <c r="EG34" s="1883" t="str" cm="1">
        <f t="array" ca="1" aca="1" ref="EG34">IFERROR(IF(BN34*fxVal_normal=_CF!BN34,"",IF(OR(BN34="",NOT(ISNUMBER(BN34)),ISERROR(BN34),$B34=""),"",IF($I34=1,IFBLANK(_xldudf_CX_PUSH(BN34*fxVal_normal,CX_ENTITY,$B34,BN$11,BN$14,BN$19,),""),IF($I34=2,IFBLANK(_xldudf_CX_PUSH(BN34,CX_ENTITY,$B34,BN$11,BN$14,BN$19,),""),IF($I34=3,"",IFBLANK(_xldudf_CX_PUSH(BN34,CX_ENTITY,$B34,BN$11,BN$14,BN$19,),"")))))),"")</f>
        <v/>
      </c>
    </row>
    <row r="35" spans="1:137" ht="21" customHeight="1">
      <c r="A35" s="1626"/>
      <c r="B35" s="811" t="str" cm="1">
        <f t="array" ref="B35">IFBLANK(_CF!F35,"")</f>
        <v>Other Financing Cash Flows</v>
      </c>
      <c r="C35" s="3346" t="str" cm="1">
        <f t="array" ref="C35">IFBLANK(_CF!C35,"")</f>
        <v>Other Financing Cash Flows (Company View)</v>
      </c>
      <c r="D35" s="1549"/>
      <c r="E35" s="811"/>
      <c r="F35" s="574"/>
      <c r="G35" s="401"/>
      <c r="H35" s="3280">
        <v>1</v>
      </c>
      <c r="I35" s="3280">
        <v>1</v>
      </c>
      <c r="J35" s="3280" cm="1">
        <f t="array" ref="J35">IFBLANK(Z35,"")</f>
        <v>1</v>
      </c>
      <c r="K35" s="401"/>
      <c r="N35" s="158"/>
      <c r="O35" s="101"/>
      <c r="P35" s="52"/>
      <c r="Q35" s="101"/>
      <c r="R35" s="126"/>
      <c r="S35" s="101"/>
      <c r="T35" s="101"/>
      <c r="U35" s="39"/>
      <c r="W35" s="932" t="str">
        <f t="shared" si="1"/>
        <v>Actual</v>
      </c>
      <c r="X35" s="815" t="str">
        <f>_CF!X35</f>
        <v>a</v>
      </c>
      <c r="Y35" s="3183">
        <v>2</v>
      </c>
      <c r="Z35" s="3291" cm="1">
        <f t="array" ref="Z35">_xlfn.SWITCH(TRUE,_CF!$L35=TRUE,1,_CF!$L35=FALSE,-1,_CF!$L35=-1,0,"n/a")</f>
        <v>1</v>
      </c>
      <c r="AA35" s="200"/>
      <c r="AB35" s="3343" t="str">
        <f>_CF!AB35</f>
        <v>Other Financing Cash Flows</v>
      </c>
      <c r="AC35" s="88" t="e" vm="5" cm="1">
        <f t="array" ca="1" aca="1" ref="AC35">_xlfn.LET(_xlpm._termname,$AB35,_xlpm._iconname,"find",_xlpm._icon,fx_getIcon(_xlpm._iconname),_xlpm._location,_xlfn.XLOOKUP(LOWER(_xlpm._termname),LOWER(tbl_acctDef[Term]),tbl_acctDef[Term]),_xlpm._hyperlink,HYPERLINK("#"&amp;CELL("address",_xlpm._location),_xlpm._icon),IFERROR(_xlpm._hyperlink,""))</f>
        <v>#VALUE!</v>
      </c>
      <c r="AD35" s="3232">
        <v>1</v>
      </c>
      <c r="AE35" s="3232">
        <v>1</v>
      </c>
      <c r="AF35" s="3232">
        <v>1</v>
      </c>
      <c r="AG35" s="3232">
        <v>1</v>
      </c>
      <c r="AH35" s="3232">
        <v>1</v>
      </c>
      <c r="AI35" s="3232">
        <v>1</v>
      </c>
      <c r="AJ35" s="3232">
        <v>1</v>
      </c>
      <c r="AK35" s="3232">
        <v>1</v>
      </c>
      <c r="AL35" s="3232">
        <v>1</v>
      </c>
      <c r="AM35" s="3232">
        <v>1</v>
      </c>
      <c r="AN35" s="3232">
        <v>1</v>
      </c>
      <c r="AO35" s="3232">
        <v>1</v>
      </c>
      <c r="AP35" s="3232">
        <v>1</v>
      </c>
      <c r="AQ35" s="3232">
        <v>1</v>
      </c>
      <c r="AR35" s="3232">
        <v>1</v>
      </c>
      <c r="AS35" s="3232">
        <v>1</v>
      </c>
      <c r="AT35" s="3232">
        <v>1</v>
      </c>
      <c r="AU35" s="3232">
        <v>1</v>
      </c>
      <c r="AV35" s="3232">
        <v>1</v>
      </c>
      <c r="AW35" s="3232">
        <v>1</v>
      </c>
      <c r="AX35" s="3232">
        <v>1</v>
      </c>
      <c r="AY35" s="3232">
        <v>1</v>
      </c>
      <c r="AZ35" s="3232">
        <v>1</v>
      </c>
      <c r="BA35" s="3232">
        <v>1</v>
      </c>
      <c r="BB35" s="3232">
        <v>1</v>
      </c>
      <c r="BC35" s="3232">
        <v>1</v>
      </c>
      <c r="BD35" s="3232">
        <v>1</v>
      </c>
      <c r="BE35" s="3232">
        <v>1</v>
      </c>
      <c r="BF35" s="3232">
        <v>1</v>
      </c>
      <c r="BG35" s="3232">
        <v>1</v>
      </c>
      <c r="BH35" s="3232">
        <v>1</v>
      </c>
      <c r="BI35" s="3232">
        <v>1</v>
      </c>
      <c r="BJ35" s="3232">
        <v>1</v>
      </c>
      <c r="BK35" s="3232">
        <v>1</v>
      </c>
      <c r="BL35" s="3232">
        <v>1</v>
      </c>
      <c r="BM35" s="3232">
        <v>1</v>
      </c>
      <c r="BN35" s="3232">
        <v>1</v>
      </c>
      <c r="BO35" s="2115"/>
      <c r="BP35" s="2115"/>
      <c r="BQ35" s="2115"/>
      <c r="BR35" s="2115"/>
      <c r="BS35" s="2115"/>
      <c r="BT35" s="2115"/>
      <c r="BU35" s="2115"/>
      <c r="BV35" s="2115"/>
      <c r="BW35" s="2115"/>
      <c r="BX35" s="2115"/>
      <c r="BY35" s="2115"/>
      <c r="BZ35" s="2115"/>
      <c r="CA35" s="1330"/>
      <c r="CB35" s="537"/>
      <c r="CC35" s="1484"/>
      <c r="CD35" s="1461" t="e" cm="1">
        <f t="array" ca="1" aca="1" ref="CD35">_xlfn.LET(_xlpm.CheckBlank,SUM(CF!$AD35:$BN35)=0,IF(_xlpm.CheckBlank,"",SUM(_xlfn._xlws.FILTER(CF!$AD35:$BN35,(YEAR(CF!$AD$12:$BN$12)=CF!CD$12)*(array_timeline&lt;=CF!CD$11)))))</f>
        <v>#NAME?</v>
      </c>
      <c r="CE35" s="1461" t="e" cm="1">
        <f t="array" ca="1" aca="1" ref="CE35">_xlfn.LET(_xlpm.CheckBlank,SUM(CF!$AD35:$BN35)=0,IF(_xlpm.CheckBlank,"",SUM(_xlfn._xlws.FILTER(CF!$AD35:$BN35,(YEAR(CF!$AD$12:$BN$12)=CF!CE$12)*(array_timeline&lt;=CF!CE$11)))))</f>
        <v>#NAME?</v>
      </c>
      <c r="CF35" s="1314"/>
      <c r="CG35" s="1461" t="e" cm="1">
        <f t="array" ca="1" aca="1" ref="CG35">_xlfn.LET(_xlpm.CheckBlank,SUM(CF!$AD35:$BN35)=0,IF(_xlpm.CheckBlank,"",SUM(_xlfn._xlws.FILTER(CF!$AD35:$BN35,(YEAR(CF!$AD$12:$BN$12)=CF!CG$12)*(array_timeline&lt;=CF!CG$11)))))</f>
        <v>#NAME?</v>
      </c>
      <c r="CH35" s="1461" t="e" cm="1">
        <f t="array" ca="1" aca="1" ref="CH35">_xlfn.LET(_xlpm.CheckBlank,SUM(CF!$AD35:$BN35)=0,IF(_xlpm.CheckBlank,"",SUM(_xlfn._xlws.FILTER(CF!$AD35:$BN35,(YEAR(CF!$AD$12:$BN$12)=CF!CH$12)*(array_timeline&lt;=CF!CH$11)))))</f>
        <v>#NAME?</v>
      </c>
      <c r="CI35" s="1314"/>
      <c r="CJ35" s="1461" cm="1">
        <f t="array" ref="CJ35">_xlfn.LET(_xlpm.CheckBlank,SUM(CF!$AD35:$BN35)=0,IF(_xlpm.CheckBlank,"",SUM(_xlfn.TAKE(_xlfn.DROP(CF!$AD35:$BN35,,-DATEDIFF(CF!CJ$11,val_asOfDate,"M")),1,-12))))</f>
        <v>12</v>
      </c>
      <c r="CK35" s="1461" cm="1">
        <f t="array" ref="CK35">_xlfn.LET(_xlpm.CheckBlank,SUM(CF!$AD35:$BN35)=0,IF(_xlpm.CheckBlank,"",SUM(_xlfn.TAKE(_xlfn.DROP(CF!$AD35:$BN35,,-DATEDIFF(CF!CK$11,val_asOfDate,"M")),1,-12))))</f>
        <v>12</v>
      </c>
      <c r="CL35" s="1314"/>
      <c r="CM35" s="3353" t="e" cm="1">
        <f t="array" ca="1" aca="1" ref="CM35">TODECIMAL(IFBLANK(_CF!CM35,""),fxVal_normal)</f>
        <v>#NAME?</v>
      </c>
      <c r="CN35" s="3353" t="e" cm="1">
        <f t="array" ca="1" aca="1" ref="CN35">TODECIMAL(IFBLANK(_CF!CN35,""),fxVal_normal)</f>
        <v>#NAME?</v>
      </c>
      <c r="CO35" s="34"/>
      <c r="CQ35" s="2085" t="str" cm="1">
        <f t="array" ca="1" aca="1" ref="CQ35">IFERROR(IF(Y35&lt;&gt;AB35,_xldudf_CX_PUSH(Y35,CX_ENTITY,C35,EOMONTH(val_asOfDate,0)),""),"")</f>
        <v/>
      </c>
      <c r="CR35" s="2085" t="str" cm="1">
        <f t="array" ca="1" aca="1" ref="CR35">IFERROR(IF(Y35&lt;&gt;AB35,_xldudf_CX_PUSH(Y35,CX_ENTITY,C35,EOMONTH(val_asOfDate,1)),""),"")</f>
        <v/>
      </c>
      <c r="CS35" s="2085" t="str" cm="1">
        <f t="array" ca="1" aca="1" ref="CS35">IFERROR(IF(Y35&lt;&gt;AB35,_xldudf_CX_PUSH(Y35,CX_ENTITY,C35,EOMONTH(val_asOfDate,2)),""),"")</f>
        <v/>
      </c>
      <c r="CT35" s="2085" t="str" cm="1">
        <f t="array" ca="1" aca="1" ref="CT35">IFERROR(IF(Y35&lt;&gt;AB35,_xldudf_CX_PUSH(Y35,CX_ENTITY,C35,EOMONTH(val_asOfDate,3)),""),"")</f>
        <v/>
      </c>
      <c r="CU35" s="2086" t="str" cm="1">
        <f t="array" ca="1" aca="1" ref="CU35">IFERROR(IF(CM35*fxVal_normal=_CF!CM35,"",IF(OR($CM35="",,NOT(ISNUMBER($CM35)),ISERROR($CM35),$B35=""),"",IF($I35=1,IFBLANK(_xldudf_CX_PUSH($CM35*fxVal_normal,CX_ENTITY,$B35,$CM$11,$CM$14,$CM$19,),""),IF($I35=2,IFBLANK(_xldudf_CX_PUSH($CM35,CX_ENTITY,$B35,$CM$11,$CM$14,$CM$19,),""),IF($I35=3,"",IFBLANK(_xldudf_CX_PUSH($CM35,CX_ENTITY,$B35,$CM$11,$CM$14,$CM$19,),"")))))),"")</f>
        <v/>
      </c>
      <c r="CV35" s="2086" t="str" cm="1">
        <f t="array" ca="1" aca="1" ref="CV35">IFERROR(IF(CN35*fxVal_normal=_CF!CN35,"",IF(OR($CN35="",,NOT(ISNUMBER($CN35)),ISERROR($CN35),$B35=""),"",IF($I35=1,IFBLANK(_xldudf_CX_PUSH($CN35*fxVal_normal,CX_ENTITY,$B35,$CN$11,$CN$14,$CN$19,),""),IF($I35=2,IFBLANK(_xldudf_CX_PUSH($CN35,CX_ENTITY,$B35,$CN$11,$CN$14,$CN$19,),""),IF($I35=3,"",IFBLANK(_xldudf_CX_PUSH($CN35,CX_ENTITY,$B35,$CN$11,$CN$14,$CN$19,),"")))))),"")</f>
        <v/>
      </c>
      <c r="CW35" s="1883" t="str" cm="1">
        <f t="array" ca="1" aca="1" ref="CW35">IFERROR(IF(AD35*fxVal_normal=_CF!AD35,"",IF(OR(AD35="",NOT(ISNUMBER(AD35)),ISERROR(AD35),$B35=""),"",IF($I35=1,IFBLANK(_xldudf_CX_PUSH(AD35*fxVal_normal,CX_ENTITY,$B35,AD$11,AD$14,AD$19,),""),IF($I35=2,IFBLANK(_xldudf_CX_PUSH(AD35,CX_ENTITY,$B35,AD$11,AD$14,AD$19,),""),IF($I35=3,"",IFBLANK(_xldudf_CX_PUSH(AD35,CX_ENTITY,$B35,AD$11,AD$14,AD$19,),"")))))),"")</f>
        <v/>
      </c>
      <c r="CX35" s="1883" t="str" cm="1">
        <f t="array" ca="1" aca="1" ref="CX35">IFERROR(IF(AE35*fxVal_normal=_CF!AE35,"",IF(OR(AE35="",NOT(ISNUMBER(AE35)),ISERROR(AE35),$B35=""),"",IF($I35=1,IFBLANK(_xldudf_CX_PUSH(AE35*fxVal_normal,CX_ENTITY,$B35,AE$11,AE$14,AE$19,),""),IF($I35=2,IFBLANK(_xldudf_CX_PUSH(AE35,CX_ENTITY,$B35,AE$11,AE$14,AE$19,),""),IF($I35=3,"",IFBLANK(_xldudf_CX_PUSH(AE35,CX_ENTITY,$B35,AE$11,AE$14,AE$19,),"")))))),"")</f>
        <v/>
      </c>
      <c r="CY35" s="1883" t="str" cm="1">
        <f t="array" ca="1" aca="1" ref="CY35">IFERROR(IF(AF35*fxVal_normal=_CF!AF35,"",IF(OR(AF35="",NOT(ISNUMBER(AF35)),ISERROR(AF35),$B35=""),"",IF($I35=1,IFBLANK(_xldudf_CX_PUSH(AF35*fxVal_normal,CX_ENTITY,$B35,AF$11,AF$14,AF$19,),""),IF($I35=2,IFBLANK(_xldudf_CX_PUSH(AF35,CX_ENTITY,$B35,AF$11,AF$14,AF$19,),""),IF($I35=3,"",IFBLANK(_xldudf_CX_PUSH(AF35,CX_ENTITY,$B35,AF$11,AF$14,AF$19,),"")))))),"")</f>
        <v/>
      </c>
      <c r="CZ35" s="1883" t="str" cm="1">
        <f t="array" ca="1" aca="1" ref="CZ35">IFERROR(IF(AG35*fxVal_normal=_CF!AG35,"",IF(OR(AG35="",NOT(ISNUMBER(AG35)),ISERROR(AG35),$B35=""),"",IF($I35=1,IFBLANK(_xldudf_CX_PUSH(AG35*fxVal_normal,CX_ENTITY,$B35,AG$11,AG$14,AG$19,),""),IF($I35=2,IFBLANK(_xldudf_CX_PUSH(AG35,CX_ENTITY,$B35,AG$11,AG$14,AG$19,),""),IF($I35=3,"",IFBLANK(_xldudf_CX_PUSH(AG35,CX_ENTITY,$B35,AG$11,AG$14,AG$19,),"")))))),"")</f>
        <v/>
      </c>
      <c r="DA35" s="1883" t="str" cm="1">
        <f t="array" ca="1" aca="1" ref="DA35">IFERROR(IF(AH35*fxVal_normal=_CF!AH35,"",IF(OR(AH35="",NOT(ISNUMBER(AH35)),ISERROR(AH35),$B35=""),"",IF($I35=1,IFBLANK(_xldudf_CX_PUSH(AH35*fxVal_normal,CX_ENTITY,$B35,AH$11,AH$14,AH$19,),""),IF($I35=2,IFBLANK(_xldudf_CX_PUSH(AH35,CX_ENTITY,$B35,AH$11,AH$14,AH$19,),""),IF($I35=3,"",IFBLANK(_xldudf_CX_PUSH(AH35,CX_ENTITY,$B35,AH$11,AH$14,AH$19,),"")))))),"")</f>
        <v/>
      </c>
      <c r="DB35" s="1883" t="str" cm="1">
        <f t="array" ca="1" aca="1" ref="DB35">IFERROR(IF(AI35*fxVal_normal=_CF!AI35,"",IF(OR(AI35="",NOT(ISNUMBER(AI35)),ISERROR(AI35),$B35=""),"",IF($I35=1,IFBLANK(_xldudf_CX_PUSH(AI35*fxVal_normal,CX_ENTITY,$B35,AI$11,AI$14,AI$19,),""),IF($I35=2,IFBLANK(_xldudf_CX_PUSH(AI35,CX_ENTITY,$B35,AI$11,AI$14,AI$19,),""),IF($I35=3,"",IFBLANK(_xldudf_CX_PUSH(AI35,CX_ENTITY,$B35,AI$11,AI$14,AI$19,),"")))))),"")</f>
        <v/>
      </c>
      <c r="DC35" s="1883" t="str" cm="1">
        <f t="array" ca="1" aca="1" ref="DC35">IFERROR(IF(AJ35*fxVal_normal=_CF!AJ35,"",IF(OR(AJ35="",NOT(ISNUMBER(AJ35)),ISERROR(AJ35),$B35=""),"",IF($I35=1,IFBLANK(_xldudf_CX_PUSH(AJ35*fxVal_normal,CX_ENTITY,$B35,AJ$11,AJ$14,AJ$19,),""),IF($I35=2,IFBLANK(_xldudf_CX_PUSH(AJ35,CX_ENTITY,$B35,AJ$11,AJ$14,AJ$19,),""),IF($I35=3,"",IFBLANK(_xldudf_CX_PUSH(AJ35,CX_ENTITY,$B35,AJ$11,AJ$14,AJ$19,),"")))))),"")</f>
        <v/>
      </c>
      <c r="DD35" s="1883" t="str" cm="1">
        <f t="array" ca="1" aca="1" ref="DD35">IFERROR(IF(AK35*fxVal_normal=_CF!AK35,"",IF(OR(AK35="",NOT(ISNUMBER(AK35)),ISERROR(AK35),$B35=""),"",IF($I35=1,IFBLANK(_xldudf_CX_PUSH(AK35*fxVal_normal,CX_ENTITY,$B35,AK$11,AK$14,AK$19,),""),IF($I35=2,IFBLANK(_xldudf_CX_PUSH(AK35,CX_ENTITY,$B35,AK$11,AK$14,AK$19,),""),IF($I35=3,"",IFBLANK(_xldudf_CX_PUSH(AK35,CX_ENTITY,$B35,AK$11,AK$14,AK$19,),"")))))),"")</f>
        <v/>
      </c>
      <c r="DE35" s="1883" t="str" cm="1">
        <f t="array" ca="1" aca="1" ref="DE35">IFERROR(IF(AL35*fxVal_normal=_CF!AL35,"",IF(OR(AL35="",NOT(ISNUMBER(AL35)),ISERROR(AL35),$B35=""),"",IF($I35=1,IFBLANK(_xldudf_CX_PUSH(AL35*fxVal_normal,CX_ENTITY,$B35,AL$11,AL$14,AL$19,),""),IF($I35=2,IFBLANK(_xldudf_CX_PUSH(AL35,CX_ENTITY,$B35,AL$11,AL$14,AL$19,),""),IF($I35=3,"",IFBLANK(_xldudf_CX_PUSH(AL35,CX_ENTITY,$B35,AL$11,AL$14,AL$19,),"")))))),"")</f>
        <v/>
      </c>
      <c r="DF35" s="1883" t="str" cm="1">
        <f t="array" ca="1" aca="1" ref="DF35">IFERROR(IF(AM35*fxVal_normal=_CF!AM35,"",IF(OR(AM35="",NOT(ISNUMBER(AM35)),ISERROR(AM35),$B35=""),"",IF($I35=1,IFBLANK(_xldudf_CX_PUSH(AM35*fxVal_normal,CX_ENTITY,$B35,AM$11,AM$14,AM$19,),""),IF($I35=2,IFBLANK(_xldudf_CX_PUSH(AM35,CX_ENTITY,$B35,AM$11,AM$14,AM$19,),""),IF($I35=3,"",IFBLANK(_xldudf_CX_PUSH(AM35,CX_ENTITY,$B35,AM$11,AM$14,AM$19,),"")))))),"")</f>
        <v/>
      </c>
      <c r="DG35" s="1883" t="str" cm="1">
        <f t="array" ca="1" aca="1" ref="DG35">IFERROR(IF(AN35*fxVal_normal=_CF!AN35,"",IF(OR(AN35="",NOT(ISNUMBER(AN35)),ISERROR(AN35),$B35=""),"",IF($I35=1,IFBLANK(_xldudf_CX_PUSH(AN35*fxVal_normal,CX_ENTITY,$B35,AN$11,AN$14,AN$19,),""),IF($I35=2,IFBLANK(_xldudf_CX_PUSH(AN35,CX_ENTITY,$B35,AN$11,AN$14,AN$19,),""),IF($I35=3,"",IFBLANK(_xldudf_CX_PUSH(AN35,CX_ENTITY,$B35,AN$11,AN$14,AN$19,),"")))))),"")</f>
        <v/>
      </c>
      <c r="DH35" s="1883" t="str" cm="1">
        <f t="array" ca="1" aca="1" ref="DH35">IFERROR(IF(AO35*fxVal_normal=_CF!AO35,"",IF(OR(AO35="",NOT(ISNUMBER(AO35)),ISERROR(AO35),$B35=""),"",IF($I35=1,IFBLANK(_xldudf_CX_PUSH(AO35*fxVal_normal,CX_ENTITY,$B35,AO$11,AO$14,AO$19,),""),IF($I35=2,IFBLANK(_xldudf_CX_PUSH(AO35,CX_ENTITY,$B35,AO$11,AO$14,AO$19,),""),IF($I35=3,"",IFBLANK(_xldudf_CX_PUSH(AO35,CX_ENTITY,$B35,AO$11,AO$14,AO$19,),"")))))),"")</f>
        <v/>
      </c>
      <c r="DI35" s="1883" t="str" cm="1">
        <f t="array" ca="1" aca="1" ref="DI35">IFERROR(IF(AP35*fxVal_normal=_CF!AP35,"",IF(OR(AP35="",NOT(ISNUMBER(AP35)),ISERROR(AP35),$B35=""),"",IF($I35=1,IFBLANK(_xldudf_CX_PUSH(AP35*fxVal_normal,CX_ENTITY,$B35,AP$11,AP$14,AP$19,),""),IF($I35=2,IFBLANK(_xldudf_CX_PUSH(AP35,CX_ENTITY,$B35,AP$11,AP$14,AP$19,),""),IF($I35=3,"",IFBLANK(_xldudf_CX_PUSH(AP35,CX_ENTITY,$B35,AP$11,AP$14,AP$19,),"")))))),"")</f>
        <v/>
      </c>
      <c r="DJ35" s="1883" t="str" cm="1">
        <f t="array" ca="1" aca="1" ref="DJ35">IFERROR(IF(AQ35*fxVal_normal=_CF!AQ35,"",IF(OR(AQ35="",NOT(ISNUMBER(AQ35)),ISERROR(AQ35),$B35=""),"",IF($I35=1,IFBLANK(_xldudf_CX_PUSH(AQ35*fxVal_normal,CX_ENTITY,$B35,AQ$11,AQ$14,AQ$19,),""),IF($I35=2,IFBLANK(_xldudf_CX_PUSH(AQ35,CX_ENTITY,$B35,AQ$11,AQ$14,AQ$19,),""),IF($I35=3,"",IFBLANK(_xldudf_CX_PUSH(AQ35,CX_ENTITY,$B35,AQ$11,AQ$14,AQ$19,),"")))))),"")</f>
        <v/>
      </c>
      <c r="DK35" s="1883" t="str" cm="1">
        <f t="array" ca="1" aca="1" ref="DK35">IFERROR(IF(AR35*fxVal_normal=_CF!AR35,"",IF(OR(AR35="",NOT(ISNUMBER(AR35)),ISERROR(AR35),$B35=""),"",IF($I35=1,IFBLANK(_xldudf_CX_PUSH(AR35*fxVal_normal,CX_ENTITY,$B35,AR$11,AR$14,AR$19,),""),IF($I35=2,IFBLANK(_xldudf_CX_PUSH(AR35,CX_ENTITY,$B35,AR$11,AR$14,AR$19,),""),IF($I35=3,"",IFBLANK(_xldudf_CX_PUSH(AR35,CX_ENTITY,$B35,AR$11,AR$14,AR$19,),"")))))),"")</f>
        <v/>
      </c>
      <c r="DL35" s="1883" t="str" cm="1">
        <f t="array" ca="1" aca="1" ref="DL35">IFERROR(IF(AS35*fxVal_normal=_CF!AS35,"",IF(OR(AS35="",NOT(ISNUMBER(AS35)),ISERROR(AS35),$B35=""),"",IF($I35=1,IFBLANK(_xldudf_CX_PUSH(AS35*fxVal_normal,CX_ENTITY,$B35,AS$11,AS$14,AS$19,),""),IF($I35=2,IFBLANK(_xldudf_CX_PUSH(AS35,CX_ENTITY,$B35,AS$11,AS$14,AS$19,),""),IF($I35=3,"",IFBLANK(_xldudf_CX_PUSH(AS35,CX_ENTITY,$B35,AS$11,AS$14,AS$19,),"")))))),"")</f>
        <v/>
      </c>
      <c r="DM35" s="1883" t="str" cm="1">
        <f t="array" ca="1" aca="1" ref="DM35">IFERROR(IF(AT35*fxVal_normal=_CF!AT35,"",IF(OR(AT35="",NOT(ISNUMBER(AT35)),ISERROR(AT35),$B35=""),"",IF($I35=1,IFBLANK(_xldudf_CX_PUSH(AT35*fxVal_normal,CX_ENTITY,$B35,AT$11,AT$14,AT$19,),""),IF($I35=2,IFBLANK(_xldudf_CX_PUSH(AT35,CX_ENTITY,$B35,AT$11,AT$14,AT$19,),""),IF($I35=3,"",IFBLANK(_xldudf_CX_PUSH(AT35,CX_ENTITY,$B35,AT$11,AT$14,AT$19,),"")))))),"")</f>
        <v/>
      </c>
      <c r="DN35" s="1883" t="str" cm="1">
        <f t="array" ca="1" aca="1" ref="DN35">IFERROR(IF(AU35*fxVal_normal=_CF!AU35,"",IF(OR(AU35="",NOT(ISNUMBER(AU35)),ISERROR(AU35),$B35=""),"",IF($I35=1,IFBLANK(_xldudf_CX_PUSH(AU35*fxVal_normal,CX_ENTITY,$B35,AU$11,AU$14,AU$19,),""),IF($I35=2,IFBLANK(_xldudf_CX_PUSH(AU35,CX_ENTITY,$B35,AU$11,AU$14,AU$19,),""),IF($I35=3,"",IFBLANK(_xldudf_CX_PUSH(AU35,CX_ENTITY,$B35,AU$11,AU$14,AU$19,),"")))))),"")</f>
        <v/>
      </c>
      <c r="DO35" s="1883" t="str" cm="1">
        <f t="array" ca="1" aca="1" ref="DO35">IFERROR(IF(AV35*fxVal_normal=_CF!AV35,"",IF(OR(AV35="",NOT(ISNUMBER(AV35)),ISERROR(AV35),$B35=""),"",IF($I35=1,IFBLANK(_xldudf_CX_PUSH(AV35*fxVal_normal,CX_ENTITY,$B35,AV$11,AV$14,AV$19,),""),IF($I35=2,IFBLANK(_xldudf_CX_PUSH(AV35,CX_ENTITY,$B35,AV$11,AV$14,AV$19,),""),IF($I35=3,"",IFBLANK(_xldudf_CX_PUSH(AV35,CX_ENTITY,$B35,AV$11,AV$14,AV$19,),"")))))),"")</f>
        <v/>
      </c>
      <c r="DP35" s="1883" t="str" cm="1">
        <f t="array" ca="1" aca="1" ref="DP35">IFERROR(IF(AW35*fxVal_normal=_CF!AW35,"",IF(OR(AW35="",NOT(ISNUMBER(AW35)),ISERROR(AW35),$B35=""),"",IF($I35=1,IFBLANK(_xldudf_CX_PUSH(AW35*fxVal_normal,CX_ENTITY,$B35,AW$11,AW$14,AW$19,),""),IF($I35=2,IFBLANK(_xldudf_CX_PUSH(AW35,CX_ENTITY,$B35,AW$11,AW$14,AW$19,),""),IF($I35=3,"",IFBLANK(_xldudf_CX_PUSH(AW35,CX_ENTITY,$B35,AW$11,AW$14,AW$19,),"")))))),"")</f>
        <v/>
      </c>
      <c r="DQ35" s="1883" t="str" cm="1">
        <f t="array" ca="1" aca="1" ref="DQ35">IFERROR(IF(AX35*fxVal_normal=_CF!AX35,"",IF(OR(AX35="",NOT(ISNUMBER(AX35)),ISERROR(AX35),$B35=""),"",IF($I35=1,IFBLANK(_xldudf_CX_PUSH(AX35*fxVal_normal,CX_ENTITY,$B35,AX$11,AX$14,AX$19,),""),IF($I35=2,IFBLANK(_xldudf_CX_PUSH(AX35,CX_ENTITY,$B35,AX$11,AX$14,AX$19,),""),IF($I35=3,"",IFBLANK(_xldudf_CX_PUSH(AX35,CX_ENTITY,$B35,AX$11,AX$14,AX$19,),"")))))),"")</f>
        <v/>
      </c>
      <c r="DR35" s="1883" t="str" cm="1">
        <f t="array" ca="1" aca="1" ref="DR35">IFERROR(IF(AY35*fxVal_normal=_CF!AY35,"",IF(OR(AY35="",NOT(ISNUMBER(AY35)),ISERROR(AY35),$B35=""),"",IF($I35=1,IFBLANK(_xldudf_CX_PUSH(AY35*fxVal_normal,CX_ENTITY,$B35,AY$11,AY$14,AY$19,),""),IF($I35=2,IFBLANK(_xldudf_CX_PUSH(AY35,CX_ENTITY,$B35,AY$11,AY$14,AY$19,),""),IF($I35=3,"",IFBLANK(_xldudf_CX_PUSH(AY35,CX_ENTITY,$B35,AY$11,AY$14,AY$19,),"")))))),"")</f>
        <v/>
      </c>
      <c r="DS35" s="1883" t="str" cm="1">
        <f t="array" ca="1" aca="1" ref="DS35">IFERROR(IF(AZ35*fxVal_normal=_CF!AZ35,"",IF(OR(AZ35="",NOT(ISNUMBER(AZ35)),ISERROR(AZ35),$B35=""),"",IF($I35=1,IFBLANK(_xldudf_CX_PUSH(AZ35*fxVal_normal,CX_ENTITY,$B35,AZ$11,AZ$14,AZ$19,),""),IF($I35=2,IFBLANK(_xldudf_CX_PUSH(AZ35,CX_ENTITY,$B35,AZ$11,AZ$14,AZ$19,),""),IF($I35=3,"",IFBLANK(_xldudf_CX_PUSH(AZ35,CX_ENTITY,$B35,AZ$11,AZ$14,AZ$19,),"")))))),"")</f>
        <v/>
      </c>
      <c r="DT35" s="1883" t="str" cm="1">
        <f t="array" ca="1" aca="1" ref="DT35">IFERROR(IF(BA35*fxVal_normal=_CF!BA35,"",IF(OR(BA35="",NOT(ISNUMBER(BA35)),ISERROR(BA35),$B35=""),"",IF($I35=1,IFBLANK(_xldudf_CX_PUSH(BA35*fxVal_normal,CX_ENTITY,$B35,BA$11,BA$14,BA$19,),""),IF($I35=2,IFBLANK(_xldudf_CX_PUSH(BA35,CX_ENTITY,$B35,BA$11,BA$14,BA$19,),""),IF($I35=3,"",IFBLANK(_xldudf_CX_PUSH(BA35,CX_ENTITY,$B35,BA$11,BA$14,BA$19,),"")))))),"")</f>
        <v/>
      </c>
      <c r="DU35" s="1883" t="str" cm="1">
        <f t="array" ca="1" aca="1" ref="DU35">IFERROR(IF(BB35*fxVal_normal=_CF!BB35,"",IF(OR(BB35="",NOT(ISNUMBER(BB35)),ISERROR(BB35),$B35=""),"",IF($I35=1,IFBLANK(_xldudf_CX_PUSH(BB35*fxVal_normal,CX_ENTITY,$B35,BB$11,BB$14,BB$19,),""),IF($I35=2,IFBLANK(_xldudf_CX_PUSH(BB35,CX_ENTITY,$B35,BB$11,BB$14,BB$19,),""),IF($I35=3,"",IFBLANK(_xldudf_CX_PUSH(BB35,CX_ENTITY,$B35,BB$11,BB$14,BB$19,),"")))))),"")</f>
        <v/>
      </c>
      <c r="DV35" s="1883" t="str" cm="1">
        <f t="array" ca="1" aca="1" ref="DV35">IFERROR(IF(BC35*fxVal_normal=_CF!BC35,"",IF(OR(BC35="",NOT(ISNUMBER(BC35)),ISERROR(BC35),$B35=""),"",IF($I35=1,IFBLANK(_xldudf_CX_PUSH(BC35*fxVal_normal,CX_ENTITY,$B35,BC$11,BC$14,BC$19,),""),IF($I35=2,IFBLANK(_xldudf_CX_PUSH(BC35,CX_ENTITY,$B35,BC$11,BC$14,BC$19,),""),IF($I35=3,"",IFBLANK(_xldudf_CX_PUSH(BC35,CX_ENTITY,$B35,BC$11,BC$14,BC$19,),"")))))),"")</f>
        <v/>
      </c>
      <c r="DW35" s="1883" t="str" cm="1">
        <f t="array" ca="1" aca="1" ref="DW35">IFERROR(IF(BD35*fxVal_normal=_CF!BD35,"",IF(OR(BD35="",NOT(ISNUMBER(BD35)),ISERROR(BD35),$B35=""),"",IF($I35=1,IFBLANK(_xldudf_CX_PUSH(BD35*fxVal_normal,CX_ENTITY,$B35,BD$11,BD$14,BD$19,),""),IF($I35=2,IFBLANK(_xldudf_CX_PUSH(BD35,CX_ENTITY,$B35,BD$11,BD$14,BD$19,),""),IF($I35=3,"",IFBLANK(_xldudf_CX_PUSH(BD35,CX_ENTITY,$B35,BD$11,BD$14,BD$19,),"")))))),"")</f>
        <v/>
      </c>
      <c r="DX35" s="1883" t="str" cm="1">
        <f t="array" ca="1" aca="1" ref="DX35">IFERROR(IF(BE35*fxVal_normal=_CF!BE35,"",IF(OR(BE35="",NOT(ISNUMBER(BE35)),ISERROR(BE35),$B35=""),"",IF($I35=1,IFBLANK(_xldudf_CX_PUSH(BE35*fxVal_normal,CX_ENTITY,$B35,BE$11,BE$14,BE$19,),""),IF($I35=2,IFBLANK(_xldudf_CX_PUSH(BE35,CX_ENTITY,$B35,BE$11,BE$14,BE$19,),""),IF($I35=3,"",IFBLANK(_xldudf_CX_PUSH(BE35,CX_ENTITY,$B35,BE$11,BE$14,BE$19,),"")))))),"")</f>
        <v/>
      </c>
      <c r="DY35" s="1883" t="str" cm="1">
        <f t="array" ca="1" aca="1" ref="DY35">IFERROR(IF(BF35*fxVal_normal=_CF!BF35,"",IF(OR(BF35="",NOT(ISNUMBER(BF35)),ISERROR(BF35),$B35=""),"",IF($I35=1,IFBLANK(_xldudf_CX_PUSH(BF35*fxVal_normal,CX_ENTITY,$B35,BF$11,BF$14,BF$19,),""),IF($I35=2,IFBLANK(_xldudf_CX_PUSH(BF35,CX_ENTITY,$B35,BF$11,BF$14,BF$19,),""),IF($I35=3,"",IFBLANK(_xldudf_CX_PUSH(BF35,CX_ENTITY,$B35,BF$11,BF$14,BF$19,),"")))))),"")</f>
        <v/>
      </c>
      <c r="DZ35" s="1883" t="str" cm="1">
        <f t="array" ca="1" aca="1" ref="DZ35">IFERROR(IF(BG35*fxVal_normal=_CF!BG35,"",IF(OR(BG35="",NOT(ISNUMBER(BG35)),ISERROR(BG35),$B35=""),"",IF($I35=1,IFBLANK(_xldudf_CX_PUSH(BG35*fxVal_normal,CX_ENTITY,$B35,BG$11,BG$14,BG$19,),""),IF($I35=2,IFBLANK(_xldudf_CX_PUSH(BG35,CX_ENTITY,$B35,BG$11,BG$14,BG$19,),""),IF($I35=3,"",IFBLANK(_xldudf_CX_PUSH(BG35,CX_ENTITY,$B35,BG$11,BG$14,BG$19,),"")))))),"")</f>
        <v/>
      </c>
      <c r="EA35" s="1883" t="str" cm="1">
        <f t="array" ca="1" aca="1" ref="EA35">IFERROR(IF(BH35*fxVal_normal=_CF!BH35,"",IF(OR(BH35="",NOT(ISNUMBER(BH35)),ISERROR(BH35),$B35=""),"",IF($I35=1,IFBLANK(_xldudf_CX_PUSH(BH35*fxVal_normal,CX_ENTITY,$B35,BH$11,BH$14,BH$19,),""),IF($I35=2,IFBLANK(_xldudf_CX_PUSH(BH35,CX_ENTITY,$B35,BH$11,BH$14,BH$19,),""),IF($I35=3,"",IFBLANK(_xldudf_CX_PUSH(BH35,CX_ENTITY,$B35,BH$11,BH$14,BH$19,),"")))))),"")</f>
        <v/>
      </c>
      <c r="EB35" s="1883" t="str" cm="1">
        <f t="array" ca="1" aca="1" ref="EB35">IFERROR(IF(BI35*fxVal_normal=_CF!BI35,"",IF(OR(BI35="",NOT(ISNUMBER(BI35)),ISERROR(BI35),$B35=""),"",IF($I35=1,IFBLANK(_xldudf_CX_PUSH(BI35*fxVal_normal,CX_ENTITY,$B35,BI$11,BI$14,BI$19,),""),IF($I35=2,IFBLANK(_xldudf_CX_PUSH(BI35,CX_ENTITY,$B35,BI$11,BI$14,BI$19,),""),IF($I35=3,"",IFBLANK(_xldudf_CX_PUSH(BI35,CX_ENTITY,$B35,BI$11,BI$14,BI$19,),"")))))),"")</f>
        <v/>
      </c>
      <c r="EC35" s="1883" t="str" cm="1">
        <f t="array" ca="1" aca="1" ref="EC35">IFERROR(IF(BJ35*fxVal_normal=_CF!BJ35,"",IF(OR(BJ35="",NOT(ISNUMBER(BJ35)),ISERROR(BJ35),$B35=""),"",IF($I35=1,IFBLANK(_xldudf_CX_PUSH(BJ35*fxVal_normal,CX_ENTITY,$B35,BJ$11,BJ$14,BJ$19,),""),IF($I35=2,IFBLANK(_xldudf_CX_PUSH(BJ35,CX_ENTITY,$B35,BJ$11,BJ$14,BJ$19,),""),IF($I35=3,"",IFBLANK(_xldudf_CX_PUSH(BJ35,CX_ENTITY,$B35,BJ$11,BJ$14,BJ$19,),"")))))),"")</f>
        <v/>
      </c>
      <c r="ED35" s="1883" t="str" cm="1">
        <f t="array" ca="1" aca="1" ref="ED35">IFERROR(IF(BK35*fxVal_normal=_CF!BK35,"",IF(OR(BK35="",NOT(ISNUMBER(BK35)),ISERROR(BK35),$B35=""),"",IF($I35=1,IFBLANK(_xldudf_CX_PUSH(BK35*fxVal_normal,CX_ENTITY,$B35,BK$11,BK$14,BK$19,),""),IF($I35=2,IFBLANK(_xldudf_CX_PUSH(BK35,CX_ENTITY,$B35,BK$11,BK$14,BK$19,),""),IF($I35=3,"",IFBLANK(_xldudf_CX_PUSH(BK35,CX_ENTITY,$B35,BK$11,BK$14,BK$19,),"")))))),"")</f>
        <v/>
      </c>
      <c r="EE35" s="1883" t="str" cm="1">
        <f t="array" ca="1" aca="1" ref="EE35">IFERROR(IF(BL35*fxVal_normal=_CF!BL35,"",IF(OR(BL35="",NOT(ISNUMBER(BL35)),ISERROR(BL35),$B35=""),"",IF($I35=1,IFBLANK(_xldudf_CX_PUSH(BL35*fxVal_normal,CX_ENTITY,$B35,BL$11,BL$14,BL$19,),""),IF($I35=2,IFBLANK(_xldudf_CX_PUSH(BL35,CX_ENTITY,$B35,BL$11,BL$14,BL$19,),""),IF($I35=3,"",IFBLANK(_xldudf_CX_PUSH(BL35,CX_ENTITY,$B35,BL$11,BL$14,BL$19,),"")))))),"")</f>
        <v/>
      </c>
      <c r="EF35" s="1883" t="str" cm="1">
        <f t="array" ca="1" aca="1" ref="EF35">IFERROR(IF(BM35*fxVal_normal=_CF!BM35,"",IF(OR(BM35="",NOT(ISNUMBER(BM35)),ISERROR(BM35),$B35=""),"",IF($I35=1,IFBLANK(_xldudf_CX_PUSH(BM35*fxVal_normal,CX_ENTITY,$B35,BM$11,BM$14,BM$19,),""),IF($I35=2,IFBLANK(_xldudf_CX_PUSH(BM35,CX_ENTITY,$B35,BM$11,BM$14,BM$19,),""),IF($I35=3,"",IFBLANK(_xldudf_CX_PUSH(BM35,CX_ENTITY,$B35,BM$11,BM$14,BM$19,),"")))))),"")</f>
        <v/>
      </c>
      <c r="EG35" s="1883" t="str" cm="1">
        <f t="array" ca="1" aca="1" ref="EG35">IFERROR(IF(BN35*fxVal_normal=_CF!BN35,"",IF(OR(BN35="",NOT(ISNUMBER(BN35)),ISERROR(BN35),$B35=""),"",IF($I35=1,IFBLANK(_xldudf_CX_PUSH(BN35*fxVal_normal,CX_ENTITY,$B35,BN$11,BN$14,BN$19,),""),IF($I35=2,IFBLANK(_xldudf_CX_PUSH(BN35,CX_ENTITY,$B35,BN$11,BN$14,BN$19,),""),IF($I35=3,"",IFBLANK(_xldudf_CX_PUSH(BN35,CX_ENTITY,$B35,BN$11,BN$14,BN$19,),"")))))),"")</f>
        <v/>
      </c>
    </row>
    <row r="36" spans="1:137" ht="21" customHeight="1">
      <c r="A36" s="1626"/>
      <c r="B36" s="811" t="str" cm="1">
        <f t="array" ref="B36">IFBLANK(_CF!F36,"")</f>
        <v>Unreconciled Cash Flows</v>
      </c>
      <c r="C36" s="3346" t="str" cm="1">
        <f t="array" ref="C36">IFBLANK(_CF!C36,"")</f>
        <v>Unreconciled Cash Flows (Company View)</v>
      </c>
      <c r="D36" s="1549"/>
      <c r="E36" s="811"/>
      <c r="F36" s="574"/>
      <c r="G36" s="401"/>
      <c r="H36" s="3280">
        <v>1</v>
      </c>
      <c r="I36" s="3280">
        <v>1</v>
      </c>
      <c r="J36" s="401" cm="1">
        <f t="array" ref="J36">IFBLANK(Z36,"")</f>
        <v>0</v>
      </c>
      <c r="K36" s="401"/>
      <c r="N36" s="158"/>
      <c r="O36" s="101"/>
      <c r="P36" s="52"/>
      <c r="Q36" s="2"/>
      <c r="R36" s="539"/>
      <c r="S36" s="2"/>
      <c r="T36" s="2"/>
      <c r="U36" s="39"/>
      <c r="W36" s="932" t="str">
        <f t="shared" si="1"/>
        <v>Actual</v>
      </c>
      <c r="X36" s="815" t="str">
        <f>_CF!X36</f>
        <v>a</v>
      </c>
      <c r="Y36" s="3352" t="s">
        <v>253</v>
      </c>
      <c r="Z36" s="198" cm="1">
        <f t="array" ref="Z36">_xlfn.SWITCH(TRUE,_CF!$L36=TRUE,1,_CF!$L36=FALSE,-1,_CF!$L36=-1,0,"n/a")</f>
        <v>0</v>
      </c>
      <c r="AA36" s="200"/>
      <c r="AB36" s="3343" t="str">
        <f>_CF!AB36</f>
        <v>Unreconciled Cash Flows</v>
      </c>
      <c r="AC36" s="88" t="e" vm="5" cm="1">
        <f t="array" ca="1" aca="1" ref="AC36">_xlfn.LET(_xlpm._termname,$AB36,_xlpm._iconname,"find",_xlpm._icon,fx_getIcon(_xlpm._iconname),_xlpm._location,_xlfn.XLOOKUP(LOWER(_xlpm._termname),LOWER(tbl_acctDef[Term]),tbl_acctDef[Term]),_xlpm._hyperlink,HYPERLINK("#"&amp;CELL("address",_xlpm._location),_xlpm._icon),IFERROR(_xlpm._hyperlink,""))</f>
        <v>#VALUE!</v>
      </c>
      <c r="AD36" s="3354" t="str" cm="1">
        <f t="array" ca="1" aca="1" ref="AD36">_xlfn.LET(_xlpm.CashPrev,_xldudf_CX_GET(CX_ENTITY,BS!$E$39,EOMONTH($AD$11,-1),"As of",,fx_scenarioConverter("Actual"))/fxVal_normal*fxVal_sign(CF!$B36),IFERROR(BS!AD39-_xlpm.CashPrev-SUM(AD31:AD35),"-"))</f>
        <v>-</v>
      </c>
      <c r="AE36" s="1486">
        <f>IFERROR((SUM(BS!AE39,-BS!AD39)-SUM(AE31:AE35)),"-")</f>
        <v>-15</v>
      </c>
      <c r="AF36" s="1486">
        <f>IFERROR((SUM(BS!AF39,-BS!AE39)-SUM(AF31:AF35)),"-")</f>
        <v>-15</v>
      </c>
      <c r="AG36" s="1486">
        <f>IFERROR((SUM(BS!AG39,-BS!AF39)-SUM(AG31:AG35)),"-")</f>
        <v>-15</v>
      </c>
      <c r="AH36" s="1486">
        <f>IFERROR((SUM(BS!AH39,-BS!AG39)-SUM(AH31:AH35)),"-")</f>
        <v>-15</v>
      </c>
      <c r="AI36" s="1486">
        <f>IFERROR((SUM(BS!AI39,-BS!AH39)-SUM(AI31:AI35)),"-")</f>
        <v>-15</v>
      </c>
      <c r="AJ36" s="1486">
        <f>IFERROR((SUM(BS!AJ39,-BS!AI39)-SUM(AJ31:AJ35)),"-")</f>
        <v>-15</v>
      </c>
      <c r="AK36" s="1486">
        <f>IFERROR((SUM(BS!AK39,-BS!AJ39)-SUM(AK31:AK35)),"-")</f>
        <v>-15</v>
      </c>
      <c r="AL36" s="1486">
        <f>IFERROR((SUM(BS!AL39,-BS!AK39)-SUM(AL31:AL35)),"-")</f>
        <v>-15</v>
      </c>
      <c r="AM36" s="1486">
        <f>IFERROR((SUM(BS!AM39,-BS!AL39)-SUM(AM31:AM35)),"-")</f>
        <v>-15</v>
      </c>
      <c r="AN36" s="1486">
        <f>IFERROR((SUM(BS!AN39,-BS!AM39)-SUM(AN31:AN35)),"-")</f>
        <v>-15</v>
      </c>
      <c r="AO36" s="1486">
        <f>IFERROR((SUM(BS!AO39,-BS!AN39)-SUM(AO31:AO35)),"-")</f>
        <v>-15</v>
      </c>
      <c r="AP36" s="1486">
        <f>IFERROR((SUM(BS!AP39,-BS!AO39)-SUM(AP31:AP35)),"-")</f>
        <v>-15</v>
      </c>
      <c r="AQ36" s="1486">
        <f>IFERROR((SUM(BS!AQ39,-BS!AP39)-SUM(AQ31:AQ35)),"-")</f>
        <v>-15</v>
      </c>
      <c r="AR36" s="1486">
        <f>IFERROR((SUM(BS!AR39,-BS!AQ39)-SUM(AR31:AR35)),"-")</f>
        <v>-15</v>
      </c>
      <c r="AS36" s="1486">
        <f>IFERROR((SUM(BS!AS39,-BS!AR39)-SUM(AS31:AS35)),"-")</f>
        <v>-15</v>
      </c>
      <c r="AT36" s="1486">
        <f>IFERROR((SUM(BS!AT39,-BS!AS39)-SUM(AT31:AT35)),"-")</f>
        <v>-15</v>
      </c>
      <c r="AU36" s="1486">
        <f>IFERROR((SUM(BS!AU39,-BS!AT39)-SUM(AU31:AU35)),"-")</f>
        <v>-15</v>
      </c>
      <c r="AV36" s="1486">
        <f>IFERROR((SUM(BS!AV39,-BS!AU39)-SUM(AV31:AV35)),"-")</f>
        <v>-15</v>
      </c>
      <c r="AW36" s="1486">
        <f>IFERROR((SUM(BS!AW39,-BS!AV39)-SUM(AW31:AW35)),"-")</f>
        <v>-15</v>
      </c>
      <c r="AX36" s="1486">
        <f>IFERROR((SUM(BS!AX39,-BS!AW39)-SUM(AX31:AX35)),"-")</f>
        <v>-15</v>
      </c>
      <c r="AY36" s="1486">
        <f>IFERROR((SUM(BS!AY39,-BS!AX39)-SUM(AY31:AY35)),"-")</f>
        <v>-15</v>
      </c>
      <c r="AZ36" s="1486">
        <f>IFERROR((SUM(BS!AZ39,-BS!AY39)-SUM(AZ31:AZ35)),"-")</f>
        <v>-15</v>
      </c>
      <c r="BA36" s="1486">
        <f>IFERROR((SUM(BS!BA39,-BS!AZ39)-SUM(BA31:BA35)),"-")</f>
        <v>-15</v>
      </c>
      <c r="BB36" s="1486">
        <f>IFERROR((SUM(BS!BB39,-BS!BA39)-SUM(BB31:BB35)),"-")</f>
        <v>-15</v>
      </c>
      <c r="BC36" s="1486">
        <f>IFERROR((SUM(BS!BC39,-BS!BB39)-SUM(BC31:BC35)),"-")</f>
        <v>-15</v>
      </c>
      <c r="BD36" s="1486">
        <f>IFERROR((SUM(BS!BD39,-BS!BC39)-SUM(BD31:BD35)),"-")</f>
        <v>-15</v>
      </c>
      <c r="BE36" s="1486">
        <f>IFERROR((SUM(BS!BE39,-BS!BD39)-SUM(BE31:BE35)),"-")</f>
        <v>-15</v>
      </c>
      <c r="BF36" s="1486">
        <f>IFERROR((SUM(BS!BF39,-BS!BE39)-SUM(BF31:BF35)),"-")</f>
        <v>-15</v>
      </c>
      <c r="BG36" s="1486">
        <f>IFERROR((SUM(BS!BG39,-BS!BF39)-SUM(BG31:BG35)),"-")</f>
        <v>-15</v>
      </c>
      <c r="BH36" s="1486">
        <f>IFERROR((SUM(BS!BH39,-BS!BG39)-SUM(BH31:BH35)),"-")</f>
        <v>-15</v>
      </c>
      <c r="BI36" s="1486">
        <f>IFERROR((SUM(BS!BI39,-BS!BH39)-SUM(BI31:BI35)),"-")</f>
        <v>-15</v>
      </c>
      <c r="BJ36" s="1486">
        <f>IFERROR((SUM(BS!BJ39,-BS!BI39)-SUM(BJ31:BJ35)),"-")</f>
        <v>-15</v>
      </c>
      <c r="BK36" s="1486">
        <f>IFERROR((SUM(BS!BK39,-BS!BJ39)-SUM(BK31:BK35)),"-")</f>
        <v>-15</v>
      </c>
      <c r="BL36" s="1486">
        <f>IFERROR((SUM(BS!BL39,-BS!BK39)-SUM(BL31:BL35)),"-")</f>
        <v>-15</v>
      </c>
      <c r="BM36" s="1486">
        <f>IFERROR((SUM(BS!BM39,-BS!BL39)-SUM(BM31:BM35)),"-")</f>
        <v>-15</v>
      </c>
      <c r="BN36" s="1486">
        <f>IFERROR((SUM(BS!BN39,-BS!BM39)-SUM(BN31:BN35)),"-")</f>
        <v>-15</v>
      </c>
      <c r="BO36" s="2116"/>
      <c r="BP36" s="2116"/>
      <c r="BQ36" s="2116"/>
      <c r="BR36" s="2116"/>
      <c r="BS36" s="2116"/>
      <c r="BT36" s="2116"/>
      <c r="BU36" s="2116"/>
      <c r="BV36" s="2116"/>
      <c r="BW36" s="2116"/>
      <c r="BX36" s="2116"/>
      <c r="BY36" s="2116"/>
      <c r="BZ36" s="2116"/>
      <c r="CA36" s="1488"/>
      <c r="CB36" s="537"/>
      <c r="CC36" s="1484"/>
      <c r="CD36" s="1461" t="e" cm="1">
        <f t="array" ca="1" aca="1" ref="CD36">_xlfn.LET(_xlpm.CheckBlank,SUM(CF!$AD36:$BN36)=0,IF(_xlpm.CheckBlank,"",SUM(_xlfn._xlws.FILTER(CF!$AD36:$BN36,(YEAR(CF!$AD$12:$BN$12)=CF!CD$12)*(array_timeline&lt;=CF!CD$11)))))</f>
        <v>#NAME?</v>
      </c>
      <c r="CE36" s="1461" t="e" cm="1">
        <f t="array" ca="1" aca="1" ref="CE36">_xlfn.LET(_xlpm.CheckBlank,SUM(CF!$AD36:$BN36)=0,IF(_xlpm.CheckBlank,"",SUM(_xlfn._xlws.FILTER(CF!$AD36:$BN36,(YEAR(CF!$AD$12:$BN$12)=CF!CE$12)*(array_timeline&lt;=CF!CE$11)))))</f>
        <v>#NAME?</v>
      </c>
      <c r="CF36" s="1314"/>
      <c r="CG36" s="1461" t="e" cm="1">
        <f t="array" ca="1" aca="1" ref="CG36">_xlfn.LET(_xlpm.CheckBlank,SUM(CF!$AD36:$BN36)=0,IF(_xlpm.CheckBlank,"",SUM(_xlfn._xlws.FILTER(CF!$AD36:$BN36,(YEAR(CF!$AD$12:$BN$12)=CF!CG$12)*(array_timeline&lt;=CF!CG$11)))))</f>
        <v>#NAME?</v>
      </c>
      <c r="CH36" s="1461" t="e" cm="1">
        <f t="array" ca="1" aca="1" ref="CH36">_xlfn.LET(_xlpm.CheckBlank,SUM(CF!$AD36:$BN36)=0,IF(_xlpm.CheckBlank,"",SUM(_xlfn._xlws.FILTER(CF!$AD36:$BN36,(YEAR(CF!$AD$12:$BN$12)=CF!CH$12)*(array_timeline&lt;=CF!CH$11)))))</f>
        <v>#NAME?</v>
      </c>
      <c r="CI36" s="1314"/>
      <c r="CJ36" s="1461" cm="1">
        <f t="array" ca="1" aca="1" ref="CJ36">_xlfn.LET(_xlpm.CheckBlank,SUM(CF!$AD36:$BN36)=0,IF(_xlpm.CheckBlank,"",SUM(_xlfn.TAKE(_xlfn.DROP(CF!$AD36:$BN36,,-DATEDIFF(CF!CJ$11,val_asOfDate,"M")),1,-12))))</f>
        <v>-180</v>
      </c>
      <c r="CK36" s="1461" cm="1">
        <f t="array" ca="1" aca="1" ref="CK36">_xlfn.LET(_xlpm.CheckBlank,SUM(CF!$AD36:$BN36)=0,IF(_xlpm.CheckBlank,"",SUM(_xlfn.TAKE(_xlfn.DROP(CF!$AD36:$BN36,,-DATEDIFF(CF!CK$11,val_asOfDate,"M")),1,-12))))</f>
        <v>-180</v>
      </c>
      <c r="CL36" s="1314"/>
      <c r="CM36" s="1515" t="e">
        <f ca="1">_xlfn.LET(_xlpm.BudgetCASH,BS!CG$39,_xlpm.BudgetCashAvail,_xlpm.BudgetCASH&lt;&gt;"",_xlpm.ActualCash,BS!$CE$39,_xlpm.RESULT,IF(_xlpm.BudgetCashAvail,_xlpm.BudgetCASH-_xlpm.ActualCash+SUM(CF!CM31:CM35),""),_xlpm.RESULT)</f>
        <v>#NAME?</v>
      </c>
      <c r="CN36" s="1515" t="e">
        <f ca="1">_xlfn.LET(_xlpm.BudgetCASH,BS!CH$39,_xlpm.BudgetCashAvail,_xlpm.BudgetCASH&lt;&gt;"",_xlpm.ActualCash,BS!$CE$39,_xlpm.RESULT,IF(_xlpm.BudgetCashAvail,_xlpm.BudgetCASH-_xlpm.ActualCash+SUM(CF!CN31:CN35),""),_xlpm.RESULT)</f>
        <v>#NAME?</v>
      </c>
      <c r="CO36" s="34"/>
      <c r="CQ36" s="2085" t="str" cm="1">
        <f t="array" ref="CQ36">IFERROR(IF(Y36&lt;&gt;AB36,_xldudf_CX_PUSH(Y36,CX_ENTITY,C36,EOMONTH(val_asOfDate,0)),""),"")</f>
        <v/>
      </c>
      <c r="CR36" s="2085" t="str" cm="1">
        <f t="array" ref="CR36">IFERROR(IF(Y36&lt;&gt;AB36,_xldudf_CX_PUSH(Y36,CX_ENTITY,C36,EOMONTH(val_asOfDate,1)),""),"")</f>
        <v/>
      </c>
      <c r="CS36" s="2085" t="str" cm="1">
        <f t="array" ref="CS36">IFERROR(IF(Y36&lt;&gt;AB36,_xldudf_CX_PUSH(Y36,CX_ENTITY,C36,EOMONTH(val_asOfDate,2)),""),"")</f>
        <v/>
      </c>
      <c r="CT36" s="2085" t="str" cm="1">
        <f t="array" ref="CT36">IFERROR(IF(Y36&lt;&gt;AB36,_xldudf_CX_PUSH(Y36,CX_ENTITY,C36,EOMONTH(val_asOfDate,3)),""),"")</f>
        <v/>
      </c>
      <c r="CU36" s="2086" t="str" cm="1">
        <f t="array" ca="1" aca="1" ref="CU36">IFERROR(IF(CM36*fxVal_normal=_CF!CM36,"",IF(OR($CM36="",,NOT(ISNUMBER($CM36)),ISERROR($CM36),$B36=""),"",IF($I36=1,IFBLANK(_xldudf_CX_PUSH($CM36*fxVal_normal,CX_ENTITY,$B36,$CM$11,$CM$14,$CM$19,),""),IF($I36=2,IFBLANK(_xldudf_CX_PUSH($CM36,CX_ENTITY,$B36,$CM$11,$CM$14,$CM$19,),""),IF($I36=3,"",IFBLANK(_xldudf_CX_PUSH($CM36,CX_ENTITY,$B36,$CM$11,$CM$14,$CM$19,),"")))))),"")</f>
        <v/>
      </c>
      <c r="CV36" s="2086" t="str" cm="1">
        <f t="array" ca="1" aca="1" ref="CV36">IFERROR(IF(CN36*fxVal_normal=_CF!CN36,"",IF(OR($CN36="",,NOT(ISNUMBER($CN36)),ISERROR($CN36),$B36=""),"",IF($I36=1,IFBLANK(_xldudf_CX_PUSH($CN36*fxVal_normal,CX_ENTITY,$B36,$CN$11,$CN$14,$CN$19,),""),IF($I36=2,IFBLANK(_xldudf_CX_PUSH($CN36,CX_ENTITY,$B36,$CN$11,$CN$14,$CN$19,),""),IF($I36=3,"",IFBLANK(_xldudf_CX_PUSH($CN36,CX_ENTITY,$B36,$CN$11,$CN$14,$CN$19,),"")))))),"")</f>
        <v/>
      </c>
      <c r="CW36" s="1883" t="str" cm="1">
        <f t="array" ca="1" aca="1" ref="CW36">IFERROR(IF(AD36*fxVal_normal=_CF!AD36,"",IF(OR(AD36="",NOT(ISNUMBER(AD36)),ISERROR(AD36),$B36=""),"",IF($I36=1,IFBLANK(_xldudf_CX_PUSH(AD36*fxVal_normal,CX_ENTITY,$B36,AD$11,AD$14,AD$19,),""),IF($I36=2,IFBLANK(_xldudf_CX_PUSH(AD36,CX_ENTITY,$B36,AD$11,AD$14,AD$19,),""),IF($I36=3,"",IFBLANK(_xldudf_CX_PUSH(AD36,CX_ENTITY,$B36,AD$11,AD$14,AD$19,),"")))))),"")</f>
        <v/>
      </c>
      <c r="CX36" s="1883" t="str" cm="1">
        <f t="array" ca="1" aca="1" ref="CX36">IFERROR(IF(AE36*fxVal_normal=_CF!AE36,"",IF(OR(AE36="",NOT(ISNUMBER(AE36)),ISERROR(AE36),$B36=""),"",IF($I36=1,IFBLANK(_xldudf_CX_PUSH(AE36*fxVal_normal,CX_ENTITY,$B36,AE$11,AE$14,AE$19,),""),IF($I36=2,IFBLANK(_xldudf_CX_PUSH(AE36,CX_ENTITY,$B36,AE$11,AE$14,AE$19,),""),IF($I36=3,"",IFBLANK(_xldudf_CX_PUSH(AE36,CX_ENTITY,$B36,AE$11,AE$14,AE$19,),"")))))),"")</f>
        <v/>
      </c>
      <c r="CY36" s="1883" t="str" cm="1">
        <f t="array" ca="1" aca="1" ref="CY36">IFERROR(IF(AF36*fxVal_normal=_CF!AF36,"",IF(OR(AF36="",NOT(ISNUMBER(AF36)),ISERROR(AF36),$B36=""),"",IF($I36=1,IFBLANK(_xldudf_CX_PUSH(AF36*fxVal_normal,CX_ENTITY,$B36,AF$11,AF$14,AF$19,),""),IF($I36=2,IFBLANK(_xldudf_CX_PUSH(AF36,CX_ENTITY,$B36,AF$11,AF$14,AF$19,),""),IF($I36=3,"",IFBLANK(_xldudf_CX_PUSH(AF36,CX_ENTITY,$B36,AF$11,AF$14,AF$19,),"")))))),"")</f>
        <v/>
      </c>
      <c r="CZ36" s="1883" t="str" cm="1">
        <f t="array" ca="1" aca="1" ref="CZ36">IFERROR(IF(AG36*fxVal_normal=_CF!AG36,"",IF(OR(AG36="",NOT(ISNUMBER(AG36)),ISERROR(AG36),$B36=""),"",IF($I36=1,IFBLANK(_xldudf_CX_PUSH(AG36*fxVal_normal,CX_ENTITY,$B36,AG$11,AG$14,AG$19,),""),IF($I36=2,IFBLANK(_xldudf_CX_PUSH(AG36,CX_ENTITY,$B36,AG$11,AG$14,AG$19,),""),IF($I36=3,"",IFBLANK(_xldudf_CX_PUSH(AG36,CX_ENTITY,$B36,AG$11,AG$14,AG$19,),"")))))),"")</f>
        <v/>
      </c>
      <c r="DA36" s="1883" t="str" cm="1">
        <f t="array" ca="1" aca="1" ref="DA36">IFERROR(IF(AH36*fxVal_normal=_CF!AH36,"",IF(OR(AH36="",NOT(ISNUMBER(AH36)),ISERROR(AH36),$B36=""),"",IF($I36=1,IFBLANK(_xldudf_CX_PUSH(AH36*fxVal_normal,CX_ENTITY,$B36,AH$11,AH$14,AH$19,),""),IF($I36=2,IFBLANK(_xldudf_CX_PUSH(AH36,CX_ENTITY,$B36,AH$11,AH$14,AH$19,),""),IF($I36=3,"",IFBLANK(_xldudf_CX_PUSH(AH36,CX_ENTITY,$B36,AH$11,AH$14,AH$19,),"")))))),"")</f>
        <v/>
      </c>
      <c r="DB36" s="1883" t="str" cm="1">
        <f t="array" ca="1" aca="1" ref="DB36">IFERROR(IF(AI36*fxVal_normal=_CF!AI36,"",IF(OR(AI36="",NOT(ISNUMBER(AI36)),ISERROR(AI36),$B36=""),"",IF($I36=1,IFBLANK(_xldudf_CX_PUSH(AI36*fxVal_normal,CX_ENTITY,$B36,AI$11,AI$14,AI$19,),""),IF($I36=2,IFBLANK(_xldudf_CX_PUSH(AI36,CX_ENTITY,$B36,AI$11,AI$14,AI$19,),""),IF($I36=3,"",IFBLANK(_xldudf_CX_PUSH(AI36,CX_ENTITY,$B36,AI$11,AI$14,AI$19,),"")))))),"")</f>
        <v/>
      </c>
      <c r="DC36" s="1883" t="str" cm="1">
        <f t="array" ca="1" aca="1" ref="DC36">IFERROR(IF(AJ36*fxVal_normal=_CF!AJ36,"",IF(OR(AJ36="",NOT(ISNUMBER(AJ36)),ISERROR(AJ36),$B36=""),"",IF($I36=1,IFBLANK(_xldudf_CX_PUSH(AJ36*fxVal_normal,CX_ENTITY,$B36,AJ$11,AJ$14,AJ$19,),""),IF($I36=2,IFBLANK(_xldudf_CX_PUSH(AJ36,CX_ENTITY,$B36,AJ$11,AJ$14,AJ$19,),""),IF($I36=3,"",IFBLANK(_xldudf_CX_PUSH(AJ36,CX_ENTITY,$B36,AJ$11,AJ$14,AJ$19,),"")))))),"")</f>
        <v/>
      </c>
      <c r="DD36" s="1883" t="str" cm="1">
        <f t="array" ca="1" aca="1" ref="DD36">IFERROR(IF(AK36*fxVal_normal=_CF!AK36,"",IF(OR(AK36="",NOT(ISNUMBER(AK36)),ISERROR(AK36),$B36=""),"",IF($I36=1,IFBLANK(_xldudf_CX_PUSH(AK36*fxVal_normal,CX_ENTITY,$B36,AK$11,AK$14,AK$19,),""),IF($I36=2,IFBLANK(_xldudf_CX_PUSH(AK36,CX_ENTITY,$B36,AK$11,AK$14,AK$19,),""),IF($I36=3,"",IFBLANK(_xldudf_CX_PUSH(AK36,CX_ENTITY,$B36,AK$11,AK$14,AK$19,),"")))))),"")</f>
        <v/>
      </c>
      <c r="DE36" s="1883" t="str" cm="1">
        <f t="array" ca="1" aca="1" ref="DE36">IFERROR(IF(AL36*fxVal_normal=_CF!AL36,"",IF(OR(AL36="",NOT(ISNUMBER(AL36)),ISERROR(AL36),$B36=""),"",IF($I36=1,IFBLANK(_xldudf_CX_PUSH(AL36*fxVal_normal,CX_ENTITY,$B36,AL$11,AL$14,AL$19,),""),IF($I36=2,IFBLANK(_xldudf_CX_PUSH(AL36,CX_ENTITY,$B36,AL$11,AL$14,AL$19,),""),IF($I36=3,"",IFBLANK(_xldudf_CX_PUSH(AL36,CX_ENTITY,$B36,AL$11,AL$14,AL$19,),"")))))),"")</f>
        <v/>
      </c>
      <c r="DF36" s="1883" t="str" cm="1">
        <f t="array" ca="1" aca="1" ref="DF36">IFERROR(IF(AM36*fxVal_normal=_CF!AM36,"",IF(OR(AM36="",NOT(ISNUMBER(AM36)),ISERROR(AM36),$B36=""),"",IF($I36=1,IFBLANK(_xldudf_CX_PUSH(AM36*fxVal_normal,CX_ENTITY,$B36,AM$11,AM$14,AM$19,),""),IF($I36=2,IFBLANK(_xldudf_CX_PUSH(AM36,CX_ENTITY,$B36,AM$11,AM$14,AM$19,),""),IF($I36=3,"",IFBLANK(_xldudf_CX_PUSH(AM36,CX_ENTITY,$B36,AM$11,AM$14,AM$19,),"")))))),"")</f>
        <v/>
      </c>
      <c r="DG36" s="1883" t="str" cm="1">
        <f t="array" ca="1" aca="1" ref="DG36">IFERROR(IF(AN36*fxVal_normal=_CF!AN36,"",IF(OR(AN36="",NOT(ISNUMBER(AN36)),ISERROR(AN36),$B36=""),"",IF($I36=1,IFBLANK(_xldudf_CX_PUSH(AN36*fxVal_normal,CX_ENTITY,$B36,AN$11,AN$14,AN$19,),""),IF($I36=2,IFBLANK(_xldudf_CX_PUSH(AN36,CX_ENTITY,$B36,AN$11,AN$14,AN$19,),""),IF($I36=3,"",IFBLANK(_xldudf_CX_PUSH(AN36,CX_ENTITY,$B36,AN$11,AN$14,AN$19,),"")))))),"")</f>
        <v/>
      </c>
      <c r="DH36" s="1883" t="str" cm="1">
        <f t="array" ca="1" aca="1" ref="DH36">IFERROR(IF(AO36*fxVal_normal=_CF!AO36,"",IF(OR(AO36="",NOT(ISNUMBER(AO36)),ISERROR(AO36),$B36=""),"",IF($I36=1,IFBLANK(_xldudf_CX_PUSH(AO36*fxVal_normal,CX_ENTITY,$B36,AO$11,AO$14,AO$19,),""),IF($I36=2,IFBLANK(_xldudf_CX_PUSH(AO36,CX_ENTITY,$B36,AO$11,AO$14,AO$19,),""),IF($I36=3,"",IFBLANK(_xldudf_CX_PUSH(AO36,CX_ENTITY,$B36,AO$11,AO$14,AO$19,),"")))))),"")</f>
        <v/>
      </c>
      <c r="DI36" s="1883" t="str" cm="1">
        <f t="array" ca="1" aca="1" ref="DI36">IFERROR(IF(AP36*fxVal_normal=_CF!AP36,"",IF(OR(AP36="",NOT(ISNUMBER(AP36)),ISERROR(AP36),$B36=""),"",IF($I36=1,IFBLANK(_xldudf_CX_PUSH(AP36*fxVal_normal,CX_ENTITY,$B36,AP$11,AP$14,AP$19,),""),IF($I36=2,IFBLANK(_xldudf_CX_PUSH(AP36,CX_ENTITY,$B36,AP$11,AP$14,AP$19,),""),IF($I36=3,"",IFBLANK(_xldudf_CX_PUSH(AP36,CX_ENTITY,$B36,AP$11,AP$14,AP$19,),"")))))),"")</f>
        <v/>
      </c>
      <c r="DJ36" s="1883" t="str" cm="1">
        <f t="array" ca="1" aca="1" ref="DJ36">IFERROR(IF(AQ36*fxVal_normal=_CF!AQ36,"",IF(OR(AQ36="",NOT(ISNUMBER(AQ36)),ISERROR(AQ36),$B36=""),"",IF($I36=1,IFBLANK(_xldudf_CX_PUSH(AQ36*fxVal_normal,CX_ENTITY,$B36,AQ$11,AQ$14,AQ$19,),""),IF($I36=2,IFBLANK(_xldudf_CX_PUSH(AQ36,CX_ENTITY,$B36,AQ$11,AQ$14,AQ$19,),""),IF($I36=3,"",IFBLANK(_xldudf_CX_PUSH(AQ36,CX_ENTITY,$B36,AQ$11,AQ$14,AQ$19,),"")))))),"")</f>
        <v/>
      </c>
      <c r="DK36" s="1883" t="str" cm="1">
        <f t="array" ca="1" aca="1" ref="DK36">IFERROR(IF(AR36*fxVal_normal=_CF!AR36,"",IF(OR(AR36="",NOT(ISNUMBER(AR36)),ISERROR(AR36),$B36=""),"",IF($I36=1,IFBLANK(_xldudf_CX_PUSH(AR36*fxVal_normal,CX_ENTITY,$B36,AR$11,AR$14,AR$19,),""),IF($I36=2,IFBLANK(_xldudf_CX_PUSH(AR36,CX_ENTITY,$B36,AR$11,AR$14,AR$19,),""),IF($I36=3,"",IFBLANK(_xldudf_CX_PUSH(AR36,CX_ENTITY,$B36,AR$11,AR$14,AR$19,),"")))))),"")</f>
        <v/>
      </c>
      <c r="DL36" s="1883" t="str" cm="1">
        <f t="array" ca="1" aca="1" ref="DL36">IFERROR(IF(AS36*fxVal_normal=_CF!AS36,"",IF(OR(AS36="",NOT(ISNUMBER(AS36)),ISERROR(AS36),$B36=""),"",IF($I36=1,IFBLANK(_xldudf_CX_PUSH(AS36*fxVal_normal,CX_ENTITY,$B36,AS$11,AS$14,AS$19,),""),IF($I36=2,IFBLANK(_xldudf_CX_PUSH(AS36,CX_ENTITY,$B36,AS$11,AS$14,AS$19,),""),IF($I36=3,"",IFBLANK(_xldudf_CX_PUSH(AS36,CX_ENTITY,$B36,AS$11,AS$14,AS$19,),"")))))),"")</f>
        <v/>
      </c>
      <c r="DM36" s="1883" t="str" cm="1">
        <f t="array" ca="1" aca="1" ref="DM36">IFERROR(IF(AT36*fxVal_normal=_CF!AT36,"",IF(OR(AT36="",NOT(ISNUMBER(AT36)),ISERROR(AT36),$B36=""),"",IF($I36=1,IFBLANK(_xldudf_CX_PUSH(AT36*fxVal_normal,CX_ENTITY,$B36,AT$11,AT$14,AT$19,),""),IF($I36=2,IFBLANK(_xldudf_CX_PUSH(AT36,CX_ENTITY,$B36,AT$11,AT$14,AT$19,),""),IF($I36=3,"",IFBLANK(_xldudf_CX_PUSH(AT36,CX_ENTITY,$B36,AT$11,AT$14,AT$19,),"")))))),"")</f>
        <v/>
      </c>
      <c r="DN36" s="1883" t="str" cm="1">
        <f t="array" ca="1" aca="1" ref="DN36">IFERROR(IF(AU36*fxVal_normal=_CF!AU36,"",IF(OR(AU36="",NOT(ISNUMBER(AU36)),ISERROR(AU36),$B36=""),"",IF($I36=1,IFBLANK(_xldudf_CX_PUSH(AU36*fxVal_normal,CX_ENTITY,$B36,AU$11,AU$14,AU$19,),""),IF($I36=2,IFBLANK(_xldudf_CX_PUSH(AU36,CX_ENTITY,$B36,AU$11,AU$14,AU$19,),""),IF($I36=3,"",IFBLANK(_xldudf_CX_PUSH(AU36,CX_ENTITY,$B36,AU$11,AU$14,AU$19,),"")))))),"")</f>
        <v/>
      </c>
      <c r="DO36" s="1883" t="str" cm="1">
        <f t="array" ca="1" aca="1" ref="DO36">IFERROR(IF(AV36*fxVal_normal=_CF!AV36,"",IF(OR(AV36="",NOT(ISNUMBER(AV36)),ISERROR(AV36),$B36=""),"",IF($I36=1,IFBLANK(_xldudf_CX_PUSH(AV36*fxVal_normal,CX_ENTITY,$B36,AV$11,AV$14,AV$19,),""),IF($I36=2,IFBLANK(_xldudf_CX_PUSH(AV36,CX_ENTITY,$B36,AV$11,AV$14,AV$19,),""),IF($I36=3,"",IFBLANK(_xldudf_CX_PUSH(AV36,CX_ENTITY,$B36,AV$11,AV$14,AV$19,),"")))))),"")</f>
        <v/>
      </c>
      <c r="DP36" s="1883" t="str" cm="1">
        <f t="array" ca="1" aca="1" ref="DP36">IFERROR(IF(AW36*fxVal_normal=_CF!AW36,"",IF(OR(AW36="",NOT(ISNUMBER(AW36)),ISERROR(AW36),$B36=""),"",IF($I36=1,IFBLANK(_xldudf_CX_PUSH(AW36*fxVal_normal,CX_ENTITY,$B36,AW$11,AW$14,AW$19,),""),IF($I36=2,IFBLANK(_xldudf_CX_PUSH(AW36,CX_ENTITY,$B36,AW$11,AW$14,AW$19,),""),IF($I36=3,"",IFBLANK(_xldudf_CX_PUSH(AW36,CX_ENTITY,$B36,AW$11,AW$14,AW$19,),"")))))),"")</f>
        <v/>
      </c>
      <c r="DQ36" s="1883" t="str" cm="1">
        <f t="array" ca="1" aca="1" ref="DQ36">IFERROR(IF(AX36*fxVal_normal=_CF!AX36,"",IF(OR(AX36="",NOT(ISNUMBER(AX36)),ISERROR(AX36),$B36=""),"",IF($I36=1,IFBLANK(_xldudf_CX_PUSH(AX36*fxVal_normal,CX_ENTITY,$B36,AX$11,AX$14,AX$19,),""),IF($I36=2,IFBLANK(_xldudf_CX_PUSH(AX36,CX_ENTITY,$B36,AX$11,AX$14,AX$19,),""),IF($I36=3,"",IFBLANK(_xldudf_CX_PUSH(AX36,CX_ENTITY,$B36,AX$11,AX$14,AX$19,),"")))))),"")</f>
        <v/>
      </c>
      <c r="DR36" s="1883" t="str" cm="1">
        <f t="array" ca="1" aca="1" ref="DR36">IFERROR(IF(AY36*fxVal_normal=_CF!AY36,"",IF(OR(AY36="",NOT(ISNUMBER(AY36)),ISERROR(AY36),$B36=""),"",IF($I36=1,IFBLANK(_xldudf_CX_PUSH(AY36*fxVal_normal,CX_ENTITY,$B36,AY$11,AY$14,AY$19,),""),IF($I36=2,IFBLANK(_xldudf_CX_PUSH(AY36,CX_ENTITY,$B36,AY$11,AY$14,AY$19,),""),IF($I36=3,"",IFBLANK(_xldudf_CX_PUSH(AY36,CX_ENTITY,$B36,AY$11,AY$14,AY$19,),"")))))),"")</f>
        <v/>
      </c>
      <c r="DS36" s="1883" t="str" cm="1">
        <f t="array" ca="1" aca="1" ref="DS36">IFERROR(IF(AZ36*fxVal_normal=_CF!AZ36,"",IF(OR(AZ36="",NOT(ISNUMBER(AZ36)),ISERROR(AZ36),$B36=""),"",IF($I36=1,IFBLANK(_xldudf_CX_PUSH(AZ36*fxVal_normal,CX_ENTITY,$B36,AZ$11,AZ$14,AZ$19,),""),IF($I36=2,IFBLANK(_xldudf_CX_PUSH(AZ36,CX_ENTITY,$B36,AZ$11,AZ$14,AZ$19,),""),IF($I36=3,"",IFBLANK(_xldudf_CX_PUSH(AZ36,CX_ENTITY,$B36,AZ$11,AZ$14,AZ$19,),"")))))),"")</f>
        <v/>
      </c>
      <c r="DT36" s="1883" t="str" cm="1">
        <f t="array" ca="1" aca="1" ref="DT36">IFERROR(IF(BA36*fxVal_normal=_CF!BA36,"",IF(OR(BA36="",NOT(ISNUMBER(BA36)),ISERROR(BA36),$B36=""),"",IF($I36=1,IFBLANK(_xldudf_CX_PUSH(BA36*fxVal_normal,CX_ENTITY,$B36,BA$11,BA$14,BA$19,),""),IF($I36=2,IFBLANK(_xldudf_CX_PUSH(BA36,CX_ENTITY,$B36,BA$11,BA$14,BA$19,),""),IF($I36=3,"",IFBLANK(_xldudf_CX_PUSH(BA36,CX_ENTITY,$B36,BA$11,BA$14,BA$19,),"")))))),"")</f>
        <v/>
      </c>
      <c r="DU36" s="1883" t="str" cm="1">
        <f t="array" ca="1" aca="1" ref="DU36">IFERROR(IF(BB36*fxVal_normal=_CF!BB36,"",IF(OR(BB36="",NOT(ISNUMBER(BB36)),ISERROR(BB36),$B36=""),"",IF($I36=1,IFBLANK(_xldudf_CX_PUSH(BB36*fxVal_normal,CX_ENTITY,$B36,BB$11,BB$14,BB$19,),""),IF($I36=2,IFBLANK(_xldudf_CX_PUSH(BB36,CX_ENTITY,$B36,BB$11,BB$14,BB$19,),""),IF($I36=3,"",IFBLANK(_xldudf_CX_PUSH(BB36,CX_ENTITY,$B36,BB$11,BB$14,BB$19,),"")))))),"")</f>
        <v/>
      </c>
      <c r="DV36" s="1883" t="str" cm="1">
        <f t="array" ca="1" aca="1" ref="DV36">IFERROR(IF(BC36*fxVal_normal=_CF!BC36,"",IF(OR(BC36="",NOT(ISNUMBER(BC36)),ISERROR(BC36),$B36=""),"",IF($I36=1,IFBLANK(_xldudf_CX_PUSH(BC36*fxVal_normal,CX_ENTITY,$B36,BC$11,BC$14,BC$19,),""),IF($I36=2,IFBLANK(_xldudf_CX_PUSH(BC36,CX_ENTITY,$B36,BC$11,BC$14,BC$19,),""),IF($I36=3,"",IFBLANK(_xldudf_CX_PUSH(BC36,CX_ENTITY,$B36,BC$11,BC$14,BC$19,),"")))))),"")</f>
        <v/>
      </c>
      <c r="DW36" s="1883" t="str" cm="1">
        <f t="array" ca="1" aca="1" ref="DW36">IFERROR(IF(BD36*fxVal_normal=_CF!BD36,"",IF(OR(BD36="",NOT(ISNUMBER(BD36)),ISERROR(BD36),$B36=""),"",IF($I36=1,IFBLANK(_xldudf_CX_PUSH(BD36*fxVal_normal,CX_ENTITY,$B36,BD$11,BD$14,BD$19,),""),IF($I36=2,IFBLANK(_xldudf_CX_PUSH(BD36,CX_ENTITY,$B36,BD$11,BD$14,BD$19,),""),IF($I36=3,"",IFBLANK(_xldudf_CX_PUSH(BD36,CX_ENTITY,$B36,BD$11,BD$14,BD$19,),"")))))),"")</f>
        <v/>
      </c>
      <c r="DX36" s="1883" t="str" cm="1">
        <f t="array" ca="1" aca="1" ref="DX36">IFERROR(IF(BE36*fxVal_normal=_CF!BE36,"",IF(OR(BE36="",NOT(ISNUMBER(BE36)),ISERROR(BE36),$B36=""),"",IF($I36=1,IFBLANK(_xldudf_CX_PUSH(BE36*fxVal_normal,CX_ENTITY,$B36,BE$11,BE$14,BE$19,),""),IF($I36=2,IFBLANK(_xldudf_CX_PUSH(BE36,CX_ENTITY,$B36,BE$11,BE$14,BE$19,),""),IF($I36=3,"",IFBLANK(_xldudf_CX_PUSH(BE36,CX_ENTITY,$B36,BE$11,BE$14,BE$19,),"")))))),"")</f>
        <v/>
      </c>
      <c r="DY36" s="1883" t="str" cm="1">
        <f t="array" ca="1" aca="1" ref="DY36">IFERROR(IF(BF36*fxVal_normal=_CF!BF36,"",IF(OR(BF36="",NOT(ISNUMBER(BF36)),ISERROR(BF36),$B36=""),"",IF($I36=1,IFBLANK(_xldudf_CX_PUSH(BF36*fxVal_normal,CX_ENTITY,$B36,BF$11,BF$14,BF$19,),""),IF($I36=2,IFBLANK(_xldudf_CX_PUSH(BF36,CX_ENTITY,$B36,BF$11,BF$14,BF$19,),""),IF($I36=3,"",IFBLANK(_xldudf_CX_PUSH(BF36,CX_ENTITY,$B36,BF$11,BF$14,BF$19,),"")))))),"")</f>
        <v/>
      </c>
      <c r="DZ36" s="1883" t="str" cm="1">
        <f t="array" ca="1" aca="1" ref="DZ36">IFERROR(IF(BG36*fxVal_normal=_CF!BG36,"",IF(OR(BG36="",NOT(ISNUMBER(BG36)),ISERROR(BG36),$B36=""),"",IF($I36=1,IFBLANK(_xldudf_CX_PUSH(BG36*fxVal_normal,CX_ENTITY,$B36,BG$11,BG$14,BG$19,),""),IF($I36=2,IFBLANK(_xldudf_CX_PUSH(BG36,CX_ENTITY,$B36,BG$11,BG$14,BG$19,),""),IF($I36=3,"",IFBLANK(_xldudf_CX_PUSH(BG36,CX_ENTITY,$B36,BG$11,BG$14,BG$19,),"")))))),"")</f>
        <v/>
      </c>
      <c r="EA36" s="1883" t="str" cm="1">
        <f t="array" ca="1" aca="1" ref="EA36">IFERROR(IF(BH36*fxVal_normal=_CF!BH36,"",IF(OR(BH36="",NOT(ISNUMBER(BH36)),ISERROR(BH36),$B36=""),"",IF($I36=1,IFBLANK(_xldudf_CX_PUSH(BH36*fxVal_normal,CX_ENTITY,$B36,BH$11,BH$14,BH$19,),""),IF($I36=2,IFBLANK(_xldudf_CX_PUSH(BH36,CX_ENTITY,$B36,BH$11,BH$14,BH$19,),""),IF($I36=3,"",IFBLANK(_xldudf_CX_PUSH(BH36,CX_ENTITY,$B36,BH$11,BH$14,BH$19,),"")))))),"")</f>
        <v/>
      </c>
      <c r="EB36" s="1883" t="str" cm="1">
        <f t="array" ca="1" aca="1" ref="EB36">IFERROR(IF(BI36*fxVal_normal=_CF!BI36,"",IF(OR(BI36="",NOT(ISNUMBER(BI36)),ISERROR(BI36),$B36=""),"",IF($I36=1,IFBLANK(_xldudf_CX_PUSH(BI36*fxVal_normal,CX_ENTITY,$B36,BI$11,BI$14,BI$19,),""),IF($I36=2,IFBLANK(_xldudf_CX_PUSH(BI36,CX_ENTITY,$B36,BI$11,BI$14,BI$19,),""),IF($I36=3,"",IFBLANK(_xldudf_CX_PUSH(BI36,CX_ENTITY,$B36,BI$11,BI$14,BI$19,),"")))))),"")</f>
        <v/>
      </c>
      <c r="EC36" s="1883" t="str" cm="1">
        <f t="array" ca="1" aca="1" ref="EC36">IFERROR(IF(BJ36*fxVal_normal=_CF!BJ36,"",IF(OR(BJ36="",NOT(ISNUMBER(BJ36)),ISERROR(BJ36),$B36=""),"",IF($I36=1,IFBLANK(_xldudf_CX_PUSH(BJ36*fxVal_normal,CX_ENTITY,$B36,BJ$11,BJ$14,BJ$19,),""),IF($I36=2,IFBLANK(_xldudf_CX_PUSH(BJ36,CX_ENTITY,$B36,BJ$11,BJ$14,BJ$19,),""),IF($I36=3,"",IFBLANK(_xldudf_CX_PUSH(BJ36,CX_ENTITY,$B36,BJ$11,BJ$14,BJ$19,),"")))))),"")</f>
        <v/>
      </c>
      <c r="ED36" s="1883" t="str" cm="1">
        <f t="array" ca="1" aca="1" ref="ED36">IFERROR(IF(BK36*fxVal_normal=_CF!BK36,"",IF(OR(BK36="",NOT(ISNUMBER(BK36)),ISERROR(BK36),$B36=""),"",IF($I36=1,IFBLANK(_xldudf_CX_PUSH(BK36*fxVal_normal,CX_ENTITY,$B36,BK$11,BK$14,BK$19,),""),IF($I36=2,IFBLANK(_xldudf_CX_PUSH(BK36,CX_ENTITY,$B36,BK$11,BK$14,BK$19,),""),IF($I36=3,"",IFBLANK(_xldudf_CX_PUSH(BK36,CX_ENTITY,$B36,BK$11,BK$14,BK$19,),"")))))),"")</f>
        <v/>
      </c>
      <c r="EE36" s="1883" t="str" cm="1">
        <f t="array" ca="1" aca="1" ref="EE36">IFERROR(IF(BL36*fxVal_normal=_CF!BL36,"",IF(OR(BL36="",NOT(ISNUMBER(BL36)),ISERROR(BL36),$B36=""),"",IF($I36=1,IFBLANK(_xldudf_CX_PUSH(BL36*fxVal_normal,CX_ENTITY,$B36,BL$11,BL$14,BL$19,),""),IF($I36=2,IFBLANK(_xldudf_CX_PUSH(BL36,CX_ENTITY,$B36,BL$11,BL$14,BL$19,),""),IF($I36=3,"",IFBLANK(_xldudf_CX_PUSH(BL36,CX_ENTITY,$B36,BL$11,BL$14,BL$19,),"")))))),"")</f>
        <v/>
      </c>
      <c r="EF36" s="1883" t="str" cm="1">
        <f t="array" ca="1" aca="1" ref="EF36">IFERROR(IF(BM36*fxVal_normal=_CF!BM36,"",IF(OR(BM36="",NOT(ISNUMBER(BM36)),ISERROR(BM36),$B36=""),"",IF($I36=1,IFBLANK(_xldudf_CX_PUSH(BM36*fxVal_normal,CX_ENTITY,$B36,BM$11,BM$14,BM$19,),""),IF($I36=2,IFBLANK(_xldudf_CX_PUSH(BM36,CX_ENTITY,$B36,BM$11,BM$14,BM$19,),""),IF($I36=3,"",IFBLANK(_xldudf_CX_PUSH(BM36,CX_ENTITY,$B36,BM$11,BM$14,BM$19,),"")))))),"")</f>
        <v/>
      </c>
      <c r="EG36" s="1883" t="str" cm="1">
        <f t="array" ca="1" aca="1" ref="EG36">IFERROR(IF(BN36*fxVal_normal=_CF!BN36,"",IF(OR(BN36="",NOT(ISNUMBER(BN36)),ISERROR(BN36),$B36=""),"",IF($I36=1,IFBLANK(_xldudf_CX_PUSH(BN36*fxVal_normal,CX_ENTITY,$B36,BN$11,BN$14,BN$19,),""),IF($I36=2,IFBLANK(_xldudf_CX_PUSH(BN36,CX_ENTITY,$B36,BN$11,BN$14,BN$19,),""),IF($I36=3,"",IFBLANK(_xldudf_CX_PUSH(BN36,CX_ENTITY,$B36,BN$11,BN$14,BN$19,),"")))))),"")</f>
        <v/>
      </c>
    </row>
    <row r="37" spans="1:137" ht="21" customHeight="1">
      <c r="A37" s="1626" t="s">
        <v>22</v>
      </c>
      <c r="B37" s="811" t="str" cm="1">
        <f t="array" ref="B37">IFBLANK(_CF!F37,"")</f>
        <v>Net Cash Flow</v>
      </c>
      <c r="C37" s="3346" t="str" cm="1">
        <f t="array" ref="C37">IFBLANK(_CF!C37,"")</f>
        <v>Net Cash Flow (Company View)</v>
      </c>
      <c r="D37" s="1549"/>
      <c r="E37" s="811"/>
      <c r="F37" s="574"/>
      <c r="G37" s="401"/>
      <c r="H37" s="3280">
        <v>2</v>
      </c>
      <c r="I37" s="3280">
        <v>1</v>
      </c>
      <c r="J37" s="401" cm="1">
        <f t="array" ref="J37">IFBLANK(Z37,"")</f>
        <v>0</v>
      </c>
      <c r="K37" s="401"/>
      <c r="N37" s="158"/>
      <c r="O37" s="101"/>
      <c r="P37" s="52"/>
      <c r="Q37" s="101"/>
      <c r="R37" s="126"/>
      <c r="S37" s="101"/>
      <c r="T37" s="101"/>
      <c r="U37" s="39"/>
      <c r="W37" s="934" t="str">
        <f t="shared" si="1"/>
        <v>Actual</v>
      </c>
      <c r="X37" s="1832">
        <f>_CF!X37</f>
        <v>0</v>
      </c>
      <c r="Y37" s="3352" t="s">
        <v>254</v>
      </c>
      <c r="Z37" s="538" cm="1">
        <f t="array" ref="Z37">_xlfn.SWITCH(TRUE,_CF!$L37=TRUE,1,_CF!$L37=FALSE,-1,_CF!$L37=-1,0,"n/a")</f>
        <v>0</v>
      </c>
      <c r="AA37" s="787"/>
      <c r="AB37" s="3348" t="str">
        <f>_CF!AB37</f>
        <v>Net Cash Flow</v>
      </c>
      <c r="AC37" s="13" t="e" vm="5" cm="1">
        <f t="array" ca="1" aca="1" ref="AC37">_xlfn.LET(_xlpm._termname,$AB37,_xlpm._iconname,"find",_xlpm._icon,fx_getIcon(_xlpm._iconname),_xlpm._location,_xlfn.XLOOKUP(LOWER(_xlpm._termname),LOWER(tbl_acctDef[Term]),tbl_acctDef[Term]),_xlpm._hyperlink,HYPERLINK("#"&amp;CELL("address",_xlpm._location),_xlpm._icon),IFERROR(_xlpm._hyperlink,""))</f>
        <v>#VALUE!</v>
      </c>
      <c r="AD37" s="936">
        <f ca="1">IFERROR(SUBTOTAL(9,AD20:AD36),"")</f>
        <v>15</v>
      </c>
      <c r="AE37" s="936">
        <f t="shared" si="5" ref="AE37:BN37">IFERROR(SUBTOTAL(9,AE20:AE36),"")</f>
        <v>0</v>
      </c>
      <c r="AF37" s="936">
        <f t="shared" si="5"/>
        <v>0</v>
      </c>
      <c r="AG37" s="936">
        <f t="shared" si="5"/>
        <v>0</v>
      </c>
      <c r="AH37" s="936">
        <f t="shared" si="5"/>
        <v>0</v>
      </c>
      <c r="AI37" s="936">
        <f t="shared" si="5"/>
        <v>0</v>
      </c>
      <c r="AJ37" s="936">
        <f t="shared" si="5"/>
        <v>0</v>
      </c>
      <c r="AK37" s="936">
        <f t="shared" si="5"/>
        <v>0</v>
      </c>
      <c r="AL37" s="936">
        <f t="shared" si="5"/>
        <v>0</v>
      </c>
      <c r="AM37" s="936">
        <f t="shared" si="5"/>
        <v>0</v>
      </c>
      <c r="AN37" s="936">
        <f t="shared" si="5"/>
        <v>0</v>
      </c>
      <c r="AO37" s="936">
        <f t="shared" si="5"/>
        <v>0</v>
      </c>
      <c r="AP37" s="936">
        <f t="shared" si="5"/>
        <v>0</v>
      </c>
      <c r="AQ37" s="936">
        <f t="shared" si="5"/>
        <v>0</v>
      </c>
      <c r="AR37" s="936">
        <f t="shared" si="5"/>
        <v>0</v>
      </c>
      <c r="AS37" s="936">
        <f t="shared" si="5"/>
        <v>0</v>
      </c>
      <c r="AT37" s="936">
        <f t="shared" si="5"/>
        <v>0</v>
      </c>
      <c r="AU37" s="936">
        <f t="shared" si="5"/>
        <v>0</v>
      </c>
      <c r="AV37" s="936">
        <f t="shared" si="5"/>
        <v>0</v>
      </c>
      <c r="AW37" s="936">
        <f t="shared" si="5"/>
        <v>0</v>
      </c>
      <c r="AX37" s="936">
        <f t="shared" si="5"/>
        <v>0</v>
      </c>
      <c r="AY37" s="936">
        <f t="shared" si="5"/>
        <v>0</v>
      </c>
      <c r="AZ37" s="936">
        <f t="shared" si="5"/>
        <v>0</v>
      </c>
      <c r="BA37" s="936">
        <f t="shared" si="5"/>
        <v>0</v>
      </c>
      <c r="BB37" s="936">
        <f t="shared" si="5"/>
        <v>0</v>
      </c>
      <c r="BC37" s="936">
        <f t="shared" si="5"/>
        <v>0</v>
      </c>
      <c r="BD37" s="936">
        <f t="shared" si="5"/>
        <v>0</v>
      </c>
      <c r="BE37" s="936">
        <f t="shared" si="5"/>
        <v>0</v>
      </c>
      <c r="BF37" s="936">
        <f t="shared" si="5"/>
        <v>0</v>
      </c>
      <c r="BG37" s="936">
        <f t="shared" si="5"/>
        <v>0</v>
      </c>
      <c r="BH37" s="936">
        <f t="shared" si="5"/>
        <v>0</v>
      </c>
      <c r="BI37" s="936">
        <f t="shared" si="5"/>
        <v>0</v>
      </c>
      <c r="BJ37" s="936">
        <f t="shared" si="5"/>
        <v>0</v>
      </c>
      <c r="BK37" s="936">
        <f t="shared" si="5"/>
        <v>0</v>
      </c>
      <c r="BL37" s="936">
        <f t="shared" si="5"/>
        <v>0</v>
      </c>
      <c r="BM37" s="936">
        <f t="shared" si="5"/>
        <v>0</v>
      </c>
      <c r="BN37" s="937">
        <f t="shared" si="5"/>
        <v>0</v>
      </c>
      <c r="BO37" s="2114"/>
      <c r="BP37" s="2114"/>
      <c r="BQ37" s="2114"/>
      <c r="BR37" s="2114"/>
      <c r="BS37" s="2114"/>
      <c r="BT37" s="2114"/>
      <c r="BU37" s="2114"/>
      <c r="BV37" s="2114"/>
      <c r="BW37" s="2114"/>
      <c r="BX37" s="2114"/>
      <c r="BY37" s="2114"/>
      <c r="BZ37" s="2114"/>
      <c r="CA37" s="1330"/>
      <c r="CB37" s="537"/>
      <c r="CC37" s="1484"/>
      <c r="CD37" s="1461" t="e" cm="1">
        <f t="array" ca="1" aca="1" ref="CD37">_xlfn.LET(_xlpm.CheckBlank,SUM(CF!$AD37:$BN37)=0,IF(_xlpm.CheckBlank,"",SUM(_xlfn._xlws.FILTER(CF!$AD37:$BN37,(YEAR(CF!$AD$12:$BN$12)=CF!CD$12)*(array_timeline&lt;=CF!CD$11)))))</f>
        <v>#NAME?</v>
      </c>
      <c r="CE37" s="1461" t="e" cm="1">
        <f t="array" ca="1" aca="1" ref="CE37">_xlfn.LET(_xlpm.CheckBlank,SUM(CF!$AD37:$BN37)=0,IF(_xlpm.CheckBlank,"",SUM(_xlfn._xlws.FILTER(CF!$AD37:$BN37,(YEAR(CF!$AD$12:$BN$12)=CF!CE$12)*(array_timeline&lt;=CF!CE$11)))))</f>
        <v>#NAME?</v>
      </c>
      <c r="CF37" s="1314"/>
      <c r="CG37" s="1461" t="e" cm="1">
        <f t="array" ca="1" aca="1" ref="CG37">_xlfn.LET(_xlpm.CheckBlank,SUM(CF!$AD37:$BN37)=0,IF(_xlpm.CheckBlank,"",SUM(_xlfn._xlws.FILTER(CF!$AD37:$BN37,(YEAR(CF!$AD$12:$BN$12)=CF!CG$12)*(array_timeline&lt;=CF!CG$11)))))</f>
        <v>#NAME?</v>
      </c>
      <c r="CH37" s="1461" t="e" cm="1">
        <f t="array" ca="1" aca="1" ref="CH37">_xlfn.LET(_xlpm.CheckBlank,SUM(CF!$AD37:$BN37)=0,IF(_xlpm.CheckBlank,"",SUM(_xlfn._xlws.FILTER(CF!$AD37:$BN37,(YEAR(CF!$AD$12:$BN$12)=CF!CH$12)*(array_timeline&lt;=CF!CH$11)))))</f>
        <v>#NAME?</v>
      </c>
      <c r="CI37" s="1314"/>
      <c r="CJ37" s="1461" cm="1">
        <f t="array" ca="1" aca="1" ref="CJ37">_xlfn.LET(_xlpm.CheckBlank,SUM(CF!$AD37:$BN37)=0,IF(_xlpm.CheckBlank,"",SUM(_xlfn.TAKE(_xlfn.DROP(CF!$AD37:$BN37,,-DATEDIFF(CF!CJ$11,val_asOfDate,"M")),1,-12))))</f>
        <v>0</v>
      </c>
      <c r="CK37" s="1461" cm="1">
        <f t="array" ca="1" aca="1" ref="CK37">_xlfn.LET(_xlpm.CheckBlank,SUM(CF!$AD37:$BN37)=0,IF(_xlpm.CheckBlank,"",SUM(_xlfn.TAKE(_xlfn.DROP(CF!$AD37:$BN37,,-DATEDIFF(CF!CK$11,val_asOfDate,"M")),1,-12))))</f>
        <v>0</v>
      </c>
      <c r="CL37" s="1314"/>
      <c r="CM37" s="1517" t="str">
        <f ca="1">IFERROR(SUBTOTAL(9,CM20:CM36),"")</f>
        <v/>
      </c>
      <c r="CN37" s="1517" t="str">
        <f ca="1">IFERROR(SUBTOTAL(9,CN20:CN36),"")</f>
        <v/>
      </c>
      <c r="CO37" s="34"/>
      <c r="CQ37" s="2085" t="str" cm="1">
        <f t="array" ref="CQ37">IFERROR(IF(Y37&lt;&gt;AB37,_xldudf_CX_PUSH(Y37,CX_ENTITY,C37,EOMONTH(val_asOfDate,0)),""),"")</f>
        <v/>
      </c>
      <c r="CR37" s="2085" t="str" cm="1">
        <f t="array" ref="CR37">IFERROR(IF(Y37&lt;&gt;AB37,_xldudf_CX_PUSH(Y37,CX_ENTITY,C37,EOMONTH(val_asOfDate,1)),""),"")</f>
        <v/>
      </c>
      <c r="CS37" s="2085" t="str" cm="1">
        <f t="array" ref="CS37">IFERROR(IF(Y37&lt;&gt;AB37,_xldudf_CX_PUSH(Y37,CX_ENTITY,C37,EOMONTH(val_asOfDate,2)),""),"")</f>
        <v/>
      </c>
      <c r="CT37" s="2085" t="str" cm="1">
        <f t="array" ref="CT37">IFERROR(IF(Y37&lt;&gt;AB37,_xldudf_CX_PUSH(Y37,CX_ENTITY,C37,EOMONTH(val_asOfDate,3)),""),"")</f>
        <v/>
      </c>
      <c r="CU37" s="2086" t="str" cm="1">
        <f t="array" ca="1" aca="1" ref="CU37">IFERROR(IF(CM37*fxVal_normal=_CF!CM37,"",IF(OR($CM37="",,NOT(ISNUMBER($CM37)),ISERROR($CM37),$B37=""),"",IF($I37=1,IFBLANK(_xldudf_CX_PUSH($CM37*fxVal_normal,CX_ENTITY,$B37,$CM$11,$CM$14,$CM$19,),""),IF($I37=2,IFBLANK(_xldudf_CX_PUSH($CM37,CX_ENTITY,$B37,$CM$11,$CM$14,$CM$19,),""),IF($I37=3,"",IFBLANK(_xldudf_CX_PUSH($CM37,CX_ENTITY,$B37,$CM$11,$CM$14,$CM$19,),"")))))),"")</f>
        <v/>
      </c>
      <c r="CV37" s="2086" t="str" cm="1">
        <f t="array" ca="1" aca="1" ref="CV37">IFERROR(IF(CN37*fxVal_normal=_CF!CN37,"",IF(OR($CN37="",,NOT(ISNUMBER($CN37)),ISERROR($CN37),$B37=""),"",IF($I37=1,IFBLANK(_xldudf_CX_PUSH($CN37*fxVal_normal,CX_ENTITY,$B37,$CN$11,$CN$14,$CN$19,),""),IF($I37=2,IFBLANK(_xldudf_CX_PUSH($CN37,CX_ENTITY,$B37,$CN$11,$CN$14,$CN$19,),""),IF($I37=3,"",IFBLANK(_xldudf_CX_PUSH($CN37,CX_ENTITY,$B37,$CN$11,$CN$14,$CN$19,),"")))))),"")</f>
        <v/>
      </c>
      <c r="CW37" s="1883" t="str" cm="1">
        <f t="array" ca="1" aca="1" ref="CW37">IFERROR(IF(AD37*fxVal_normal=_CF!AD37,"",IF(OR(AD37="",NOT(ISNUMBER(AD37)),ISERROR(AD37),$B37=""),"",IF($I37=1,IFBLANK(_xldudf_CX_PUSH(AD37*fxVal_normal,CX_ENTITY,$B37,AD$11,AD$14,AD$19,),""),IF($I37=2,IFBLANK(_xldudf_CX_PUSH(AD37,CX_ENTITY,$B37,AD$11,AD$14,AD$19,),""),IF($I37=3,"",IFBLANK(_xldudf_CX_PUSH(AD37,CX_ENTITY,$B37,AD$11,AD$14,AD$19,),"")))))),"")</f>
        <v/>
      </c>
      <c r="CX37" s="1883" t="str" cm="1">
        <f t="array" ca="1" aca="1" ref="CX37">IFERROR(IF(AE37*fxVal_normal=_CF!AE37,"",IF(OR(AE37="",NOT(ISNUMBER(AE37)),ISERROR(AE37),$B37=""),"",IF($I37=1,IFBLANK(_xldudf_CX_PUSH(AE37*fxVal_normal,CX_ENTITY,$B37,AE$11,AE$14,AE$19,),""),IF($I37=2,IFBLANK(_xldudf_CX_PUSH(AE37,CX_ENTITY,$B37,AE$11,AE$14,AE$19,),""),IF($I37=3,"",IFBLANK(_xldudf_CX_PUSH(AE37,CX_ENTITY,$B37,AE$11,AE$14,AE$19,),"")))))),"")</f>
        <v/>
      </c>
      <c r="CY37" s="1883" t="str" cm="1">
        <f t="array" ca="1" aca="1" ref="CY37">IFERROR(IF(AF37*fxVal_normal=_CF!AF37,"",IF(OR(AF37="",NOT(ISNUMBER(AF37)),ISERROR(AF37),$B37=""),"",IF($I37=1,IFBLANK(_xldudf_CX_PUSH(AF37*fxVal_normal,CX_ENTITY,$B37,AF$11,AF$14,AF$19,),""),IF($I37=2,IFBLANK(_xldudf_CX_PUSH(AF37,CX_ENTITY,$B37,AF$11,AF$14,AF$19,),""),IF($I37=3,"",IFBLANK(_xldudf_CX_PUSH(AF37,CX_ENTITY,$B37,AF$11,AF$14,AF$19,),"")))))),"")</f>
        <v/>
      </c>
      <c r="CZ37" s="1883" t="str" cm="1">
        <f t="array" ca="1" aca="1" ref="CZ37">IFERROR(IF(AG37*fxVal_normal=_CF!AG37,"",IF(OR(AG37="",NOT(ISNUMBER(AG37)),ISERROR(AG37),$B37=""),"",IF($I37=1,IFBLANK(_xldudf_CX_PUSH(AG37*fxVal_normal,CX_ENTITY,$B37,AG$11,AG$14,AG$19,),""),IF($I37=2,IFBLANK(_xldudf_CX_PUSH(AG37,CX_ENTITY,$B37,AG$11,AG$14,AG$19,),""),IF($I37=3,"",IFBLANK(_xldudf_CX_PUSH(AG37,CX_ENTITY,$B37,AG$11,AG$14,AG$19,),"")))))),"")</f>
        <v/>
      </c>
      <c r="DA37" s="1883" t="str" cm="1">
        <f t="array" ca="1" aca="1" ref="DA37">IFERROR(IF(AH37*fxVal_normal=_CF!AH37,"",IF(OR(AH37="",NOT(ISNUMBER(AH37)),ISERROR(AH37),$B37=""),"",IF($I37=1,IFBLANK(_xldudf_CX_PUSH(AH37*fxVal_normal,CX_ENTITY,$B37,AH$11,AH$14,AH$19,),""),IF($I37=2,IFBLANK(_xldudf_CX_PUSH(AH37,CX_ENTITY,$B37,AH$11,AH$14,AH$19,),""),IF($I37=3,"",IFBLANK(_xldudf_CX_PUSH(AH37,CX_ENTITY,$B37,AH$11,AH$14,AH$19,),"")))))),"")</f>
        <v/>
      </c>
      <c r="DB37" s="1883" t="str" cm="1">
        <f t="array" ca="1" aca="1" ref="DB37">IFERROR(IF(AI37*fxVal_normal=_CF!AI37,"",IF(OR(AI37="",NOT(ISNUMBER(AI37)),ISERROR(AI37),$B37=""),"",IF($I37=1,IFBLANK(_xldudf_CX_PUSH(AI37*fxVal_normal,CX_ENTITY,$B37,AI$11,AI$14,AI$19,),""),IF($I37=2,IFBLANK(_xldudf_CX_PUSH(AI37,CX_ENTITY,$B37,AI$11,AI$14,AI$19,),""),IF($I37=3,"",IFBLANK(_xldudf_CX_PUSH(AI37,CX_ENTITY,$B37,AI$11,AI$14,AI$19,),"")))))),"")</f>
        <v/>
      </c>
      <c r="DC37" s="1883" t="str" cm="1">
        <f t="array" ca="1" aca="1" ref="DC37">IFERROR(IF(AJ37*fxVal_normal=_CF!AJ37,"",IF(OR(AJ37="",NOT(ISNUMBER(AJ37)),ISERROR(AJ37),$B37=""),"",IF($I37=1,IFBLANK(_xldudf_CX_PUSH(AJ37*fxVal_normal,CX_ENTITY,$B37,AJ$11,AJ$14,AJ$19,),""),IF($I37=2,IFBLANK(_xldudf_CX_PUSH(AJ37,CX_ENTITY,$B37,AJ$11,AJ$14,AJ$19,),""),IF($I37=3,"",IFBLANK(_xldudf_CX_PUSH(AJ37,CX_ENTITY,$B37,AJ$11,AJ$14,AJ$19,),"")))))),"")</f>
        <v/>
      </c>
      <c r="DD37" s="1883" t="str" cm="1">
        <f t="array" ca="1" aca="1" ref="DD37">IFERROR(IF(AK37*fxVal_normal=_CF!AK37,"",IF(OR(AK37="",NOT(ISNUMBER(AK37)),ISERROR(AK37),$B37=""),"",IF($I37=1,IFBLANK(_xldudf_CX_PUSH(AK37*fxVal_normal,CX_ENTITY,$B37,AK$11,AK$14,AK$19,),""),IF($I37=2,IFBLANK(_xldudf_CX_PUSH(AK37,CX_ENTITY,$B37,AK$11,AK$14,AK$19,),""),IF($I37=3,"",IFBLANK(_xldudf_CX_PUSH(AK37,CX_ENTITY,$B37,AK$11,AK$14,AK$19,),"")))))),"")</f>
        <v/>
      </c>
      <c r="DE37" s="1883" t="str" cm="1">
        <f t="array" ca="1" aca="1" ref="DE37">IFERROR(IF(AL37*fxVal_normal=_CF!AL37,"",IF(OR(AL37="",NOT(ISNUMBER(AL37)),ISERROR(AL37),$B37=""),"",IF($I37=1,IFBLANK(_xldudf_CX_PUSH(AL37*fxVal_normal,CX_ENTITY,$B37,AL$11,AL$14,AL$19,),""),IF($I37=2,IFBLANK(_xldudf_CX_PUSH(AL37,CX_ENTITY,$B37,AL$11,AL$14,AL$19,),""),IF($I37=3,"",IFBLANK(_xldudf_CX_PUSH(AL37,CX_ENTITY,$B37,AL$11,AL$14,AL$19,),"")))))),"")</f>
        <v/>
      </c>
      <c r="DF37" s="1883" t="str" cm="1">
        <f t="array" ca="1" aca="1" ref="DF37">IFERROR(IF(AM37*fxVal_normal=_CF!AM37,"",IF(OR(AM37="",NOT(ISNUMBER(AM37)),ISERROR(AM37),$B37=""),"",IF($I37=1,IFBLANK(_xldudf_CX_PUSH(AM37*fxVal_normal,CX_ENTITY,$B37,AM$11,AM$14,AM$19,),""),IF($I37=2,IFBLANK(_xldudf_CX_PUSH(AM37,CX_ENTITY,$B37,AM$11,AM$14,AM$19,),""),IF($I37=3,"",IFBLANK(_xldudf_CX_PUSH(AM37,CX_ENTITY,$B37,AM$11,AM$14,AM$19,),"")))))),"")</f>
        <v/>
      </c>
      <c r="DG37" s="1883" t="str" cm="1">
        <f t="array" ca="1" aca="1" ref="DG37">IFERROR(IF(AN37*fxVal_normal=_CF!AN37,"",IF(OR(AN37="",NOT(ISNUMBER(AN37)),ISERROR(AN37),$B37=""),"",IF($I37=1,IFBLANK(_xldudf_CX_PUSH(AN37*fxVal_normal,CX_ENTITY,$B37,AN$11,AN$14,AN$19,),""),IF($I37=2,IFBLANK(_xldudf_CX_PUSH(AN37,CX_ENTITY,$B37,AN$11,AN$14,AN$19,),""),IF($I37=3,"",IFBLANK(_xldudf_CX_PUSH(AN37,CX_ENTITY,$B37,AN$11,AN$14,AN$19,),"")))))),"")</f>
        <v/>
      </c>
      <c r="DH37" s="1883" t="str" cm="1">
        <f t="array" ca="1" aca="1" ref="DH37">IFERROR(IF(AO37*fxVal_normal=_CF!AO37,"",IF(OR(AO37="",NOT(ISNUMBER(AO37)),ISERROR(AO37),$B37=""),"",IF($I37=1,IFBLANK(_xldudf_CX_PUSH(AO37*fxVal_normal,CX_ENTITY,$B37,AO$11,AO$14,AO$19,),""),IF($I37=2,IFBLANK(_xldudf_CX_PUSH(AO37,CX_ENTITY,$B37,AO$11,AO$14,AO$19,),""),IF($I37=3,"",IFBLANK(_xldudf_CX_PUSH(AO37,CX_ENTITY,$B37,AO$11,AO$14,AO$19,),"")))))),"")</f>
        <v/>
      </c>
      <c r="DI37" s="1883" t="str" cm="1">
        <f t="array" ca="1" aca="1" ref="DI37">IFERROR(IF(AP37*fxVal_normal=_CF!AP37,"",IF(OR(AP37="",NOT(ISNUMBER(AP37)),ISERROR(AP37),$B37=""),"",IF($I37=1,IFBLANK(_xldudf_CX_PUSH(AP37*fxVal_normal,CX_ENTITY,$B37,AP$11,AP$14,AP$19,),""),IF($I37=2,IFBLANK(_xldudf_CX_PUSH(AP37,CX_ENTITY,$B37,AP$11,AP$14,AP$19,),""),IF($I37=3,"",IFBLANK(_xldudf_CX_PUSH(AP37,CX_ENTITY,$B37,AP$11,AP$14,AP$19,),"")))))),"")</f>
        <v/>
      </c>
      <c r="DJ37" s="1883" t="str" cm="1">
        <f t="array" ca="1" aca="1" ref="DJ37">IFERROR(IF(AQ37*fxVal_normal=_CF!AQ37,"",IF(OR(AQ37="",NOT(ISNUMBER(AQ37)),ISERROR(AQ37),$B37=""),"",IF($I37=1,IFBLANK(_xldudf_CX_PUSH(AQ37*fxVal_normal,CX_ENTITY,$B37,AQ$11,AQ$14,AQ$19,),""),IF($I37=2,IFBLANK(_xldudf_CX_PUSH(AQ37,CX_ENTITY,$B37,AQ$11,AQ$14,AQ$19,),""),IF($I37=3,"",IFBLANK(_xldudf_CX_PUSH(AQ37,CX_ENTITY,$B37,AQ$11,AQ$14,AQ$19,),"")))))),"")</f>
        <v/>
      </c>
      <c r="DK37" s="1883" t="str" cm="1">
        <f t="array" ca="1" aca="1" ref="DK37">IFERROR(IF(AR37*fxVal_normal=_CF!AR37,"",IF(OR(AR37="",NOT(ISNUMBER(AR37)),ISERROR(AR37),$B37=""),"",IF($I37=1,IFBLANK(_xldudf_CX_PUSH(AR37*fxVal_normal,CX_ENTITY,$B37,AR$11,AR$14,AR$19,),""),IF($I37=2,IFBLANK(_xldudf_CX_PUSH(AR37,CX_ENTITY,$B37,AR$11,AR$14,AR$19,),""),IF($I37=3,"",IFBLANK(_xldudf_CX_PUSH(AR37,CX_ENTITY,$B37,AR$11,AR$14,AR$19,),"")))))),"")</f>
        <v/>
      </c>
      <c r="DL37" s="1883" t="str" cm="1">
        <f t="array" ca="1" aca="1" ref="DL37">IFERROR(IF(AS37*fxVal_normal=_CF!AS37,"",IF(OR(AS37="",NOT(ISNUMBER(AS37)),ISERROR(AS37),$B37=""),"",IF($I37=1,IFBLANK(_xldudf_CX_PUSH(AS37*fxVal_normal,CX_ENTITY,$B37,AS$11,AS$14,AS$19,),""),IF($I37=2,IFBLANK(_xldudf_CX_PUSH(AS37,CX_ENTITY,$B37,AS$11,AS$14,AS$19,),""),IF($I37=3,"",IFBLANK(_xldudf_CX_PUSH(AS37,CX_ENTITY,$B37,AS$11,AS$14,AS$19,),"")))))),"")</f>
        <v/>
      </c>
      <c r="DM37" s="1883" t="str" cm="1">
        <f t="array" ca="1" aca="1" ref="DM37">IFERROR(IF(AT37*fxVal_normal=_CF!AT37,"",IF(OR(AT37="",NOT(ISNUMBER(AT37)),ISERROR(AT37),$B37=""),"",IF($I37=1,IFBLANK(_xldudf_CX_PUSH(AT37*fxVal_normal,CX_ENTITY,$B37,AT$11,AT$14,AT$19,),""),IF($I37=2,IFBLANK(_xldudf_CX_PUSH(AT37,CX_ENTITY,$B37,AT$11,AT$14,AT$19,),""),IF($I37=3,"",IFBLANK(_xldudf_CX_PUSH(AT37,CX_ENTITY,$B37,AT$11,AT$14,AT$19,),"")))))),"")</f>
        <v/>
      </c>
      <c r="DN37" s="1883" t="str" cm="1">
        <f t="array" ca="1" aca="1" ref="DN37">IFERROR(IF(AU37*fxVal_normal=_CF!AU37,"",IF(OR(AU37="",NOT(ISNUMBER(AU37)),ISERROR(AU37),$B37=""),"",IF($I37=1,IFBLANK(_xldudf_CX_PUSH(AU37*fxVal_normal,CX_ENTITY,$B37,AU$11,AU$14,AU$19,),""),IF($I37=2,IFBLANK(_xldudf_CX_PUSH(AU37,CX_ENTITY,$B37,AU$11,AU$14,AU$19,),""),IF($I37=3,"",IFBLANK(_xldudf_CX_PUSH(AU37,CX_ENTITY,$B37,AU$11,AU$14,AU$19,),"")))))),"")</f>
        <v/>
      </c>
      <c r="DO37" s="1883" t="str" cm="1">
        <f t="array" ca="1" aca="1" ref="DO37">IFERROR(IF(AV37*fxVal_normal=_CF!AV37,"",IF(OR(AV37="",NOT(ISNUMBER(AV37)),ISERROR(AV37),$B37=""),"",IF($I37=1,IFBLANK(_xldudf_CX_PUSH(AV37*fxVal_normal,CX_ENTITY,$B37,AV$11,AV$14,AV$19,),""),IF($I37=2,IFBLANK(_xldudf_CX_PUSH(AV37,CX_ENTITY,$B37,AV$11,AV$14,AV$19,),""),IF($I37=3,"",IFBLANK(_xldudf_CX_PUSH(AV37,CX_ENTITY,$B37,AV$11,AV$14,AV$19,),"")))))),"")</f>
        <v/>
      </c>
      <c r="DP37" s="1883" t="str" cm="1">
        <f t="array" ca="1" aca="1" ref="DP37">IFERROR(IF(AW37*fxVal_normal=_CF!AW37,"",IF(OR(AW37="",NOT(ISNUMBER(AW37)),ISERROR(AW37),$B37=""),"",IF($I37=1,IFBLANK(_xldudf_CX_PUSH(AW37*fxVal_normal,CX_ENTITY,$B37,AW$11,AW$14,AW$19,),""),IF($I37=2,IFBLANK(_xldudf_CX_PUSH(AW37,CX_ENTITY,$B37,AW$11,AW$14,AW$19,),""),IF($I37=3,"",IFBLANK(_xldudf_CX_PUSH(AW37,CX_ENTITY,$B37,AW$11,AW$14,AW$19,),"")))))),"")</f>
        <v/>
      </c>
      <c r="DQ37" s="1883" t="str" cm="1">
        <f t="array" ca="1" aca="1" ref="DQ37">IFERROR(IF(AX37*fxVal_normal=_CF!AX37,"",IF(OR(AX37="",NOT(ISNUMBER(AX37)),ISERROR(AX37),$B37=""),"",IF($I37=1,IFBLANK(_xldudf_CX_PUSH(AX37*fxVal_normal,CX_ENTITY,$B37,AX$11,AX$14,AX$19,),""),IF($I37=2,IFBLANK(_xldudf_CX_PUSH(AX37,CX_ENTITY,$B37,AX$11,AX$14,AX$19,),""),IF($I37=3,"",IFBLANK(_xldudf_CX_PUSH(AX37,CX_ENTITY,$B37,AX$11,AX$14,AX$19,),"")))))),"")</f>
        <v/>
      </c>
      <c r="DR37" s="1883" t="str" cm="1">
        <f t="array" ca="1" aca="1" ref="DR37">IFERROR(IF(AY37*fxVal_normal=_CF!AY37,"",IF(OR(AY37="",NOT(ISNUMBER(AY37)),ISERROR(AY37),$B37=""),"",IF($I37=1,IFBLANK(_xldudf_CX_PUSH(AY37*fxVal_normal,CX_ENTITY,$B37,AY$11,AY$14,AY$19,),""),IF($I37=2,IFBLANK(_xldudf_CX_PUSH(AY37,CX_ENTITY,$B37,AY$11,AY$14,AY$19,),""),IF($I37=3,"",IFBLANK(_xldudf_CX_PUSH(AY37,CX_ENTITY,$B37,AY$11,AY$14,AY$19,),"")))))),"")</f>
        <v/>
      </c>
      <c r="DS37" s="1883" t="str" cm="1">
        <f t="array" ca="1" aca="1" ref="DS37">IFERROR(IF(AZ37*fxVal_normal=_CF!AZ37,"",IF(OR(AZ37="",NOT(ISNUMBER(AZ37)),ISERROR(AZ37),$B37=""),"",IF($I37=1,IFBLANK(_xldudf_CX_PUSH(AZ37*fxVal_normal,CX_ENTITY,$B37,AZ$11,AZ$14,AZ$19,),""),IF($I37=2,IFBLANK(_xldudf_CX_PUSH(AZ37,CX_ENTITY,$B37,AZ$11,AZ$14,AZ$19,),""),IF($I37=3,"",IFBLANK(_xldudf_CX_PUSH(AZ37,CX_ENTITY,$B37,AZ$11,AZ$14,AZ$19,),"")))))),"")</f>
        <v/>
      </c>
      <c r="DT37" s="1883" t="str" cm="1">
        <f t="array" ca="1" aca="1" ref="DT37">IFERROR(IF(BA37*fxVal_normal=_CF!BA37,"",IF(OR(BA37="",NOT(ISNUMBER(BA37)),ISERROR(BA37),$B37=""),"",IF($I37=1,IFBLANK(_xldudf_CX_PUSH(BA37*fxVal_normal,CX_ENTITY,$B37,BA$11,BA$14,BA$19,),""),IF($I37=2,IFBLANK(_xldudf_CX_PUSH(BA37,CX_ENTITY,$B37,BA$11,BA$14,BA$19,),""),IF($I37=3,"",IFBLANK(_xldudf_CX_PUSH(BA37,CX_ENTITY,$B37,BA$11,BA$14,BA$19,),"")))))),"")</f>
        <v/>
      </c>
      <c r="DU37" s="1883" t="str" cm="1">
        <f t="array" ca="1" aca="1" ref="DU37">IFERROR(IF(BB37*fxVal_normal=_CF!BB37,"",IF(OR(BB37="",NOT(ISNUMBER(BB37)),ISERROR(BB37),$B37=""),"",IF($I37=1,IFBLANK(_xldudf_CX_PUSH(BB37*fxVal_normal,CX_ENTITY,$B37,BB$11,BB$14,BB$19,),""),IF($I37=2,IFBLANK(_xldudf_CX_PUSH(BB37,CX_ENTITY,$B37,BB$11,BB$14,BB$19,),""),IF($I37=3,"",IFBLANK(_xldudf_CX_PUSH(BB37,CX_ENTITY,$B37,BB$11,BB$14,BB$19,),"")))))),"")</f>
        <v/>
      </c>
      <c r="DV37" s="1883" t="str" cm="1">
        <f t="array" ca="1" aca="1" ref="DV37">IFERROR(IF(BC37*fxVal_normal=_CF!BC37,"",IF(OR(BC37="",NOT(ISNUMBER(BC37)),ISERROR(BC37),$B37=""),"",IF($I37=1,IFBLANK(_xldudf_CX_PUSH(BC37*fxVal_normal,CX_ENTITY,$B37,BC$11,BC$14,BC$19,),""),IF($I37=2,IFBLANK(_xldudf_CX_PUSH(BC37,CX_ENTITY,$B37,BC$11,BC$14,BC$19,),""),IF($I37=3,"",IFBLANK(_xldudf_CX_PUSH(BC37,CX_ENTITY,$B37,BC$11,BC$14,BC$19,),"")))))),"")</f>
        <v/>
      </c>
      <c r="DW37" s="1883" t="str" cm="1">
        <f t="array" ca="1" aca="1" ref="DW37">IFERROR(IF(BD37*fxVal_normal=_CF!BD37,"",IF(OR(BD37="",NOT(ISNUMBER(BD37)),ISERROR(BD37),$B37=""),"",IF($I37=1,IFBLANK(_xldudf_CX_PUSH(BD37*fxVal_normal,CX_ENTITY,$B37,BD$11,BD$14,BD$19,),""),IF($I37=2,IFBLANK(_xldudf_CX_PUSH(BD37,CX_ENTITY,$B37,BD$11,BD$14,BD$19,),""),IF($I37=3,"",IFBLANK(_xldudf_CX_PUSH(BD37,CX_ENTITY,$B37,BD$11,BD$14,BD$19,),"")))))),"")</f>
        <v/>
      </c>
      <c r="DX37" s="1883" t="str" cm="1">
        <f t="array" ca="1" aca="1" ref="DX37">IFERROR(IF(BE37*fxVal_normal=_CF!BE37,"",IF(OR(BE37="",NOT(ISNUMBER(BE37)),ISERROR(BE37),$B37=""),"",IF($I37=1,IFBLANK(_xldudf_CX_PUSH(BE37*fxVal_normal,CX_ENTITY,$B37,BE$11,BE$14,BE$19,),""),IF($I37=2,IFBLANK(_xldudf_CX_PUSH(BE37,CX_ENTITY,$B37,BE$11,BE$14,BE$19,),""),IF($I37=3,"",IFBLANK(_xldudf_CX_PUSH(BE37,CX_ENTITY,$B37,BE$11,BE$14,BE$19,),"")))))),"")</f>
        <v/>
      </c>
      <c r="DY37" s="1883" t="str" cm="1">
        <f t="array" ca="1" aca="1" ref="DY37">IFERROR(IF(BF37*fxVal_normal=_CF!BF37,"",IF(OR(BF37="",NOT(ISNUMBER(BF37)),ISERROR(BF37),$B37=""),"",IF($I37=1,IFBLANK(_xldudf_CX_PUSH(BF37*fxVal_normal,CX_ENTITY,$B37,BF$11,BF$14,BF$19,),""),IF($I37=2,IFBLANK(_xldudf_CX_PUSH(BF37,CX_ENTITY,$B37,BF$11,BF$14,BF$19,),""),IF($I37=3,"",IFBLANK(_xldudf_CX_PUSH(BF37,CX_ENTITY,$B37,BF$11,BF$14,BF$19,),"")))))),"")</f>
        <v/>
      </c>
      <c r="DZ37" s="1883" t="str" cm="1">
        <f t="array" ca="1" aca="1" ref="DZ37">IFERROR(IF(BG37*fxVal_normal=_CF!BG37,"",IF(OR(BG37="",NOT(ISNUMBER(BG37)),ISERROR(BG37),$B37=""),"",IF($I37=1,IFBLANK(_xldudf_CX_PUSH(BG37*fxVal_normal,CX_ENTITY,$B37,BG$11,BG$14,BG$19,),""),IF($I37=2,IFBLANK(_xldudf_CX_PUSH(BG37,CX_ENTITY,$B37,BG$11,BG$14,BG$19,),""),IF($I37=3,"",IFBLANK(_xldudf_CX_PUSH(BG37,CX_ENTITY,$B37,BG$11,BG$14,BG$19,),"")))))),"")</f>
        <v/>
      </c>
      <c r="EA37" s="1883" t="str" cm="1">
        <f t="array" ca="1" aca="1" ref="EA37">IFERROR(IF(BH37*fxVal_normal=_CF!BH37,"",IF(OR(BH37="",NOT(ISNUMBER(BH37)),ISERROR(BH37),$B37=""),"",IF($I37=1,IFBLANK(_xldudf_CX_PUSH(BH37*fxVal_normal,CX_ENTITY,$B37,BH$11,BH$14,BH$19,),""),IF($I37=2,IFBLANK(_xldudf_CX_PUSH(BH37,CX_ENTITY,$B37,BH$11,BH$14,BH$19,),""),IF($I37=3,"",IFBLANK(_xldudf_CX_PUSH(BH37,CX_ENTITY,$B37,BH$11,BH$14,BH$19,),"")))))),"")</f>
        <v/>
      </c>
      <c r="EB37" s="1883" t="str" cm="1">
        <f t="array" ca="1" aca="1" ref="EB37">IFERROR(IF(BI37*fxVal_normal=_CF!BI37,"",IF(OR(BI37="",NOT(ISNUMBER(BI37)),ISERROR(BI37),$B37=""),"",IF($I37=1,IFBLANK(_xldudf_CX_PUSH(BI37*fxVal_normal,CX_ENTITY,$B37,BI$11,BI$14,BI$19,),""),IF($I37=2,IFBLANK(_xldudf_CX_PUSH(BI37,CX_ENTITY,$B37,BI$11,BI$14,BI$19,),""),IF($I37=3,"",IFBLANK(_xldudf_CX_PUSH(BI37,CX_ENTITY,$B37,BI$11,BI$14,BI$19,),"")))))),"")</f>
        <v/>
      </c>
      <c r="EC37" s="1883" t="str" cm="1">
        <f t="array" ca="1" aca="1" ref="EC37">IFERROR(IF(BJ37*fxVal_normal=_CF!BJ37,"",IF(OR(BJ37="",NOT(ISNUMBER(BJ37)),ISERROR(BJ37),$B37=""),"",IF($I37=1,IFBLANK(_xldudf_CX_PUSH(BJ37*fxVal_normal,CX_ENTITY,$B37,BJ$11,BJ$14,BJ$19,),""),IF($I37=2,IFBLANK(_xldudf_CX_PUSH(BJ37,CX_ENTITY,$B37,BJ$11,BJ$14,BJ$19,),""),IF($I37=3,"",IFBLANK(_xldudf_CX_PUSH(BJ37,CX_ENTITY,$B37,BJ$11,BJ$14,BJ$19,),"")))))),"")</f>
        <v/>
      </c>
      <c r="ED37" s="1883" t="str" cm="1">
        <f t="array" ca="1" aca="1" ref="ED37">IFERROR(IF(BK37*fxVal_normal=_CF!BK37,"",IF(OR(BK37="",NOT(ISNUMBER(BK37)),ISERROR(BK37),$B37=""),"",IF($I37=1,IFBLANK(_xldudf_CX_PUSH(BK37*fxVal_normal,CX_ENTITY,$B37,BK$11,BK$14,BK$19,),""),IF($I37=2,IFBLANK(_xldudf_CX_PUSH(BK37,CX_ENTITY,$B37,BK$11,BK$14,BK$19,),""),IF($I37=3,"",IFBLANK(_xldudf_CX_PUSH(BK37,CX_ENTITY,$B37,BK$11,BK$14,BK$19,),"")))))),"")</f>
        <v/>
      </c>
      <c r="EE37" s="1883" t="str" cm="1">
        <f t="array" ca="1" aca="1" ref="EE37">IFERROR(IF(BL37*fxVal_normal=_CF!BL37,"",IF(OR(BL37="",NOT(ISNUMBER(BL37)),ISERROR(BL37),$B37=""),"",IF($I37=1,IFBLANK(_xldudf_CX_PUSH(BL37*fxVal_normal,CX_ENTITY,$B37,BL$11,BL$14,BL$19,),""),IF($I37=2,IFBLANK(_xldudf_CX_PUSH(BL37,CX_ENTITY,$B37,BL$11,BL$14,BL$19,),""),IF($I37=3,"",IFBLANK(_xldudf_CX_PUSH(BL37,CX_ENTITY,$B37,BL$11,BL$14,BL$19,),"")))))),"")</f>
        <v/>
      </c>
      <c r="EF37" s="1883" t="str" cm="1">
        <f t="array" ca="1" aca="1" ref="EF37">IFERROR(IF(BM37*fxVal_normal=_CF!BM37,"",IF(OR(BM37="",NOT(ISNUMBER(BM37)),ISERROR(BM37),$B37=""),"",IF($I37=1,IFBLANK(_xldudf_CX_PUSH(BM37*fxVal_normal,CX_ENTITY,$B37,BM$11,BM$14,BM$19,),""),IF($I37=2,IFBLANK(_xldudf_CX_PUSH(BM37,CX_ENTITY,$B37,BM$11,BM$14,BM$19,),""),IF($I37=3,"",IFBLANK(_xldudf_CX_PUSH(BM37,CX_ENTITY,$B37,BM$11,BM$14,BM$19,),"")))))),"")</f>
        <v/>
      </c>
      <c r="EG37" s="1883" t="str" cm="1">
        <f t="array" ca="1" aca="1" ref="EG37">IFERROR(IF(BN37*fxVal_normal=_CF!BN37,"",IF(OR(BN37="",NOT(ISNUMBER(BN37)),ISERROR(BN37),$B37=""),"",IF($I37=1,IFBLANK(_xldudf_CX_PUSH(BN37*fxVal_normal,CX_ENTITY,$B37,BN$11,BN$14,BN$19,),""),IF($I37=2,IFBLANK(_xldudf_CX_PUSH(BN37,CX_ENTITY,$B37,BN$11,BN$14,BN$19,),""),IF($I37=3,"",IFBLANK(_xldudf_CX_PUSH(BN37,CX_ENTITY,$B37,BN$11,BN$14,BN$19,),"")))))),"")</f>
        <v/>
      </c>
    </row>
    <row r="38" spans="1:93" ht="15.5">
      <c r="A38" s="1626"/>
      <c r="B38" s="811" t="str" cm="1">
        <f t="array" ref="B38">IFBLANK(_CF!F38,"")</f>
        <v/>
      </c>
      <c r="C38" s="811" t="str" cm="1">
        <f t="array" ref="C38">IFBLANK(_CF!C38,"")</f>
        <v/>
      </c>
      <c r="D38" s="811" t="str" cm="1">
        <f t="array" ref="D38">IFBLANK(_CF!D38,"")</f>
        <v/>
      </c>
      <c r="E38" s="811"/>
      <c r="F38" s="574"/>
      <c r="G38" s="401"/>
      <c r="H38" s="401"/>
      <c r="I38" s="401"/>
      <c r="J38" s="401"/>
      <c r="K38" s="401"/>
      <c r="N38" s="158"/>
      <c r="O38" s="101"/>
      <c r="P38" s="52"/>
      <c r="Q38" s="101"/>
      <c r="R38" s="126"/>
      <c r="S38" s="101"/>
      <c r="T38" s="101"/>
      <c r="U38" s="39"/>
      <c r="W38" s="91"/>
      <c r="X38" s="127"/>
      <c r="Y38" s="127"/>
      <c r="Z38" s="198"/>
      <c r="AA38" s="803"/>
      <c r="AB38" s="97"/>
      <c r="AC38" s="97"/>
      <c r="AD38" s="1489"/>
      <c r="AE38" s="1489"/>
      <c r="AF38" s="1489"/>
      <c r="AG38" s="1489"/>
      <c r="AH38" s="1489"/>
      <c r="AI38" s="1489"/>
      <c r="AJ38" s="1489"/>
      <c r="AK38" s="1489"/>
      <c r="AL38" s="1489"/>
      <c r="AM38" s="1489"/>
      <c r="AN38" s="1489"/>
      <c r="AO38" s="1489"/>
      <c r="AP38" s="1489"/>
      <c r="AQ38" s="1489"/>
      <c r="AR38" s="1489"/>
      <c r="AS38" s="1489"/>
      <c r="AT38" s="1489"/>
      <c r="AU38" s="1489"/>
      <c r="AV38" s="1489"/>
      <c r="AW38" s="1489"/>
      <c r="AX38" s="1489"/>
      <c r="AY38" s="1489"/>
      <c r="AZ38" s="1489"/>
      <c r="BA38" s="1489"/>
      <c r="BB38" s="1489"/>
      <c r="BC38" s="1489"/>
      <c r="BD38" s="1489"/>
      <c r="BE38" s="1489"/>
      <c r="BF38" s="1489"/>
      <c r="BG38" s="1489"/>
      <c r="BH38" s="1489"/>
      <c r="BI38" s="1489"/>
      <c r="BJ38" s="1489"/>
      <c r="BK38" s="1489"/>
      <c r="BL38" s="1489"/>
      <c r="BM38" s="1489"/>
      <c r="BN38" s="1489"/>
      <c r="BO38" s="1489"/>
      <c r="BP38" s="1489"/>
      <c r="BQ38" s="1489"/>
      <c r="BR38" s="1489"/>
      <c r="BS38" s="1489"/>
      <c r="BT38" s="1489"/>
      <c r="BU38" s="1489"/>
      <c r="BV38" s="1489"/>
      <c r="BW38" s="1489"/>
      <c r="BX38" s="1489"/>
      <c r="BY38" s="1489"/>
      <c r="BZ38" s="1489"/>
      <c r="CA38" s="1488"/>
      <c r="CB38" s="537"/>
      <c r="CC38" s="1484"/>
      <c r="CD38" s="1314"/>
      <c r="CE38" s="1314"/>
      <c r="CF38" s="1314"/>
      <c r="CG38" s="1490"/>
      <c r="CH38" s="1490"/>
      <c r="CI38" s="1314"/>
      <c r="CJ38" s="1490"/>
      <c r="CK38" s="1490"/>
      <c r="CL38" s="1314"/>
      <c r="CM38" s="1490"/>
      <c r="CN38" s="1490"/>
      <c r="CO38" s="34"/>
    </row>
    <row r="39" spans="1:93" ht="18">
      <c r="A39" s="1626"/>
      <c r="B39" s="811" t="str" cm="1">
        <f t="array" ref="B39">IFBLANK(_CF!F39,"")</f>
        <v/>
      </c>
      <c r="C39" s="811" t="str" cm="1">
        <f t="array" ref="C39">IFBLANK(_CF!C39,"")</f>
        <v/>
      </c>
      <c r="D39" s="811" t="str" cm="1">
        <f t="array" ref="D39">IFBLANK(_CF!D39,"")</f>
        <v/>
      </c>
      <c r="E39" s="811"/>
      <c r="F39" s="574"/>
      <c r="G39" s="401"/>
      <c r="H39" s="401"/>
      <c r="I39" s="401"/>
      <c r="J39" s="401"/>
      <c r="K39" s="401"/>
      <c r="N39" s="158"/>
      <c r="O39" s="101"/>
      <c r="P39" s="52"/>
      <c r="Q39" s="101"/>
      <c r="R39" s="126"/>
      <c r="S39" s="101"/>
      <c r="T39" s="101"/>
      <c r="U39" s="39"/>
      <c r="W39" s="944"/>
      <c r="X39" s="754"/>
      <c r="Y39" s="754"/>
      <c r="Z39" s="198"/>
      <c r="AA39" s="803"/>
      <c r="AB39" s="96"/>
      <c r="AC39" s="96"/>
      <c r="AD39" s="1491"/>
      <c r="AE39" s="2614"/>
      <c r="AF39" s="1491"/>
      <c r="AG39" s="1491"/>
      <c r="AH39" s="1491"/>
      <c r="AI39" s="1491"/>
      <c r="AJ39" s="1491"/>
      <c r="AK39" s="1491"/>
      <c r="AL39" s="1491"/>
      <c r="AM39" s="1491"/>
      <c r="AN39" s="1491"/>
      <c r="AO39" s="1491"/>
      <c r="AP39" s="1491"/>
      <c r="AQ39" s="1491"/>
      <c r="AR39" s="1491"/>
      <c r="AS39" s="1491"/>
      <c r="AT39" s="1491"/>
      <c r="AU39" s="1491"/>
      <c r="AV39" s="1491"/>
      <c r="AW39" s="1491"/>
      <c r="AX39" s="1491"/>
      <c r="AY39" s="1491"/>
      <c r="AZ39" s="1491"/>
      <c r="BA39" s="1491"/>
      <c r="BB39" s="1491"/>
      <c r="BC39" s="1491"/>
      <c r="BD39" s="1491"/>
      <c r="BE39" s="1491"/>
      <c r="BF39" s="1491"/>
      <c r="BG39" s="1491"/>
      <c r="BH39" s="1491"/>
      <c r="BI39" s="1491"/>
      <c r="BJ39" s="1491"/>
      <c r="BK39" s="1491"/>
      <c r="BL39" s="1491"/>
      <c r="BM39" s="1491"/>
      <c r="BN39" s="1491"/>
      <c r="BO39" s="1491"/>
      <c r="BP39" s="1491"/>
      <c r="BQ39" s="1491"/>
      <c r="BR39" s="1491"/>
      <c r="BS39" s="1491"/>
      <c r="BT39" s="1491"/>
      <c r="BU39" s="1491"/>
      <c r="BV39" s="1491"/>
      <c r="BW39" s="1491"/>
      <c r="BX39" s="1491"/>
      <c r="BY39" s="1491"/>
      <c r="BZ39" s="1491"/>
      <c r="CA39" s="1488"/>
      <c r="CB39" s="537"/>
      <c r="CC39" s="1484"/>
      <c r="CD39" s="1314"/>
      <c r="CE39" s="1314"/>
      <c r="CF39" s="1314"/>
      <c r="CG39" s="1314"/>
      <c r="CH39" s="1314"/>
      <c r="CI39" s="1314"/>
      <c r="CJ39" s="1314"/>
      <c r="CK39" s="1314"/>
      <c r="CL39" s="1314"/>
      <c r="CM39" s="1314"/>
      <c r="CN39" s="1314"/>
      <c r="CO39" s="34"/>
    </row>
    <row r="40" spans="1:93" ht="15.5">
      <c r="A40" s="1626"/>
      <c r="B40" s="811" t="str" cm="1">
        <f t="array" ref="B40">IFBLANK(_CF!F40,"")</f>
        <v/>
      </c>
      <c r="C40" s="811" t="str" cm="1">
        <f t="array" ref="C40">IFBLANK(_CF!C40,"")</f>
        <v/>
      </c>
      <c r="D40" s="811" t="str" cm="1">
        <f t="array" ref="D40">IFBLANK(_CF!D40,"")</f>
        <v/>
      </c>
      <c r="E40" s="811"/>
      <c r="F40" s="574"/>
      <c r="G40" s="401"/>
      <c r="H40" s="401"/>
      <c r="I40" s="401"/>
      <c r="J40" s="401"/>
      <c r="K40" s="401"/>
      <c r="N40" s="158"/>
      <c r="O40" s="101"/>
      <c r="P40" s="52"/>
      <c r="Q40" s="101"/>
      <c r="R40" s="126"/>
      <c r="S40" s="101"/>
      <c r="T40" s="101"/>
      <c r="U40" s="39"/>
      <c r="W40" s="944"/>
      <c r="X40" s="754"/>
      <c r="Y40" s="754"/>
      <c r="Z40" s="198"/>
      <c r="AA40" s="803"/>
      <c r="AB40" s="755"/>
      <c r="AC40" s="755"/>
      <c r="AD40" s="1492"/>
      <c r="AE40" s="1492"/>
      <c r="AF40" s="1492"/>
      <c r="AG40" s="1492"/>
      <c r="AH40" s="1492"/>
      <c r="AI40" s="1492"/>
      <c r="AJ40" s="1492"/>
      <c r="AK40" s="1492"/>
      <c r="AL40" s="1492"/>
      <c r="AM40" s="1492"/>
      <c r="AN40" s="1492"/>
      <c r="AO40" s="1492"/>
      <c r="AP40" s="1492"/>
      <c r="AQ40" s="1492"/>
      <c r="AR40" s="1492"/>
      <c r="AS40" s="1492"/>
      <c r="AT40" s="1492"/>
      <c r="AU40" s="1492"/>
      <c r="AV40" s="1492"/>
      <c r="AW40" s="1492"/>
      <c r="AX40" s="1492"/>
      <c r="AY40" s="1492"/>
      <c r="AZ40" s="1492"/>
      <c r="BA40" s="1492"/>
      <c r="BB40" s="1492"/>
      <c r="BC40" s="1492"/>
      <c r="BD40" s="1492"/>
      <c r="BE40" s="1492"/>
      <c r="BF40" s="1492"/>
      <c r="BG40" s="1492"/>
      <c r="BH40" s="1492"/>
      <c r="BI40" s="1492"/>
      <c r="BJ40" s="1492"/>
      <c r="BK40" s="1492"/>
      <c r="BL40" s="1492"/>
      <c r="BM40" s="1492"/>
      <c r="BN40" s="1492"/>
      <c r="BO40" s="1492"/>
      <c r="BP40" s="1492"/>
      <c r="BQ40" s="1492"/>
      <c r="BR40" s="1492"/>
      <c r="BS40" s="1492"/>
      <c r="BT40" s="1492"/>
      <c r="BU40" s="1492"/>
      <c r="BV40" s="1492"/>
      <c r="BW40" s="1492"/>
      <c r="BX40" s="1492"/>
      <c r="BY40" s="1492"/>
      <c r="BZ40" s="1492"/>
      <c r="CA40" s="1488"/>
      <c r="CB40" s="537"/>
      <c r="CC40" s="1484"/>
      <c r="CD40" s="1314"/>
      <c r="CE40" s="1314"/>
      <c r="CF40" s="1314"/>
      <c r="CG40" s="1314"/>
      <c r="CH40" s="1314"/>
      <c r="CI40" s="1314"/>
      <c r="CJ40" s="1314"/>
      <c r="CK40" s="1314"/>
      <c r="CL40" s="1314"/>
      <c r="CM40" s="1314"/>
      <c r="CN40" s="1314"/>
      <c r="CO40" s="34"/>
    </row>
    <row r="41" spans="1:93" ht="32.5">
      <c r="A41" s="1626"/>
      <c r="B41" s="811" t="str" cm="1">
        <f t="array" ref="B41">IFBLANK(_CF!F41,"")</f>
        <v/>
      </c>
      <c r="C41" s="811" t="str" cm="1">
        <f t="array" ref="C41">IFBLANK(_CF!C41,"")</f>
        <v/>
      </c>
      <c r="D41" s="811" t="str" cm="1">
        <f t="array" ref="D41">IFBLANK(_CF!D41,"")</f>
        <v/>
      </c>
      <c r="E41" s="811"/>
      <c r="F41" s="574"/>
      <c r="G41" s="401"/>
      <c r="H41" s="401"/>
      <c r="I41" s="401"/>
      <c r="J41" s="401"/>
      <c r="K41" s="401"/>
      <c r="N41" s="158"/>
      <c r="O41" s="101"/>
      <c r="P41" s="151"/>
      <c r="Q41" s="151"/>
      <c r="R41" s="140"/>
      <c r="S41" s="290"/>
      <c r="T41" s="290"/>
      <c r="U41" s="39"/>
      <c r="W41" s="3045" t="str">
        <f>_CF!W41</f>
        <v>Budget</v>
      </c>
      <c r="X41" s="1234"/>
      <c r="Y41" s="3067" t="s">
        <v>237</v>
      </c>
      <c r="Z41" s="1248" t="s">
        <v>82</v>
      </c>
      <c r="AA41" s="281"/>
      <c r="AB41" s="858"/>
      <c r="AC41" s="876"/>
      <c r="AD41" s="859" cm="1">
        <f t="array" ca="1" aca="1" ref="AD41:AD42">fx_checkComp(AD45:AD62)</f>
        <v>100</v>
      </c>
      <c r="AE41" s="859" cm="1">
        <f t="array" ca="1" aca="1" ref="AE41:AE42">fx_checkComp(AE45:AE62)</f>
        <v>100</v>
      </c>
      <c r="AF41" s="859" cm="1">
        <f t="array" ca="1" aca="1" ref="AF41:AF42">fx_checkComp(AF45:AF62)</f>
        <v>100</v>
      </c>
      <c r="AG41" s="859" cm="1">
        <f t="array" ca="1" aca="1" ref="AG41:AG42">fx_checkComp(AG45:AG62)</f>
        <v>100</v>
      </c>
      <c r="AH41" s="859" cm="1">
        <f t="array" ca="1" aca="1" ref="AH41:AH42">fx_checkComp(AH45:AH62)</f>
        <v>100</v>
      </c>
      <c r="AI41" s="859" cm="1">
        <f t="array" ca="1" aca="1" ref="AI41:AI42">fx_checkComp(AI45:AI62)</f>
        <v>100</v>
      </c>
      <c r="AJ41" s="859" cm="1">
        <f t="array" ca="1" aca="1" ref="AJ41:AJ42">fx_checkComp(AJ45:AJ62)</f>
        <v>100</v>
      </c>
      <c r="AK41" s="859" cm="1">
        <f t="array" ca="1" aca="1" ref="AK41:AK42">fx_checkComp(AK45:AK62)</f>
        <v>100</v>
      </c>
      <c r="AL41" s="859" cm="1">
        <f t="array" ca="1" aca="1" ref="AL41:AL42">fx_checkComp(AL45:AL62)</f>
        <v>100</v>
      </c>
      <c r="AM41" s="859" cm="1">
        <f t="array" ca="1" aca="1" ref="AM41:AM42">fx_checkComp(AM45:AM62)</f>
        <v>100</v>
      </c>
      <c r="AN41" s="859" cm="1">
        <f t="array" ca="1" aca="1" ref="AN41:AN42">fx_checkComp(AN45:AN62)</f>
        <v>100</v>
      </c>
      <c r="AO41" s="859" cm="1">
        <f t="array" ca="1" aca="1" ref="AO41:AO42">fx_checkComp(AO45:AO62)</f>
        <v>100</v>
      </c>
      <c r="AP41" s="859" cm="1">
        <f t="array" ca="1" aca="1" ref="AP41:AP42">fx_checkComp(AP45:AP62)</f>
        <v>100</v>
      </c>
      <c r="AQ41" s="859" cm="1">
        <f t="array" ca="1" aca="1" ref="AQ41:AQ42">fx_checkComp(AQ45:AQ62)</f>
        <v>100</v>
      </c>
      <c r="AR41" s="859" cm="1">
        <f t="array" ca="1" aca="1" ref="AR41:AR42">fx_checkComp(AR45:AR62)</f>
        <v>100</v>
      </c>
      <c r="AS41" s="859" cm="1">
        <f t="array" ca="1" aca="1" ref="AS41:AS42">fx_checkComp(AS45:AS62)</f>
        <v>100</v>
      </c>
      <c r="AT41" s="859" cm="1">
        <f t="array" ca="1" aca="1" ref="AT41:AT42">fx_checkComp(AT45:AT62)</f>
        <v>100</v>
      </c>
      <c r="AU41" s="859" cm="1">
        <f t="array" ca="1" aca="1" ref="AU41:AU42">fx_checkComp(AU45:AU62)</f>
        <v>100</v>
      </c>
      <c r="AV41" s="859" cm="1">
        <f t="array" ca="1" aca="1" ref="AV41:AV42">fx_checkComp(AV45:AV62)</f>
        <v>100</v>
      </c>
      <c r="AW41" s="859" cm="1">
        <f t="array" ca="1" aca="1" ref="AW41:AW42">fx_checkComp(AW45:AW62)</f>
        <v>100</v>
      </c>
      <c r="AX41" s="859" cm="1">
        <f t="array" ca="1" aca="1" ref="AX41:AX42">fx_checkComp(AX45:AX62)</f>
        <v>100</v>
      </c>
      <c r="AY41" s="859" cm="1">
        <f t="array" ca="1" aca="1" ref="AY41:AY42">fx_checkComp(AY45:AY62)</f>
        <v>100</v>
      </c>
      <c r="AZ41" s="859" cm="1">
        <f t="array" ca="1" aca="1" ref="AZ41:AZ42">fx_checkComp(AZ45:AZ62)</f>
        <v>100</v>
      </c>
      <c r="BA41" s="859" cm="1">
        <f t="array" ca="1" aca="1" ref="BA41:BA42">fx_checkComp(BA45:BA62)</f>
        <v>100</v>
      </c>
      <c r="BB41" s="859" cm="1">
        <f t="array" ca="1" aca="1" ref="BB41:BB42">fx_checkComp(BB45:BB62)</f>
        <v>100</v>
      </c>
      <c r="BC41" s="859" cm="1">
        <f t="array" ca="1" aca="1" ref="BC41:BC42">fx_checkComp(BC45:BC62)</f>
        <v>100</v>
      </c>
      <c r="BD41" s="859" cm="1">
        <f t="array" ca="1" aca="1" ref="BD41:BD42">fx_checkComp(BD45:BD62)</f>
        <v>100</v>
      </c>
      <c r="BE41" s="859" cm="1">
        <f t="array" ca="1" aca="1" ref="BE41:BE42">fx_checkComp(BE45:BE62)</f>
        <v>100</v>
      </c>
      <c r="BF41" s="859" cm="1">
        <f t="array" ca="1" aca="1" ref="BF41:BF42">fx_checkComp(BF45:BF62)</f>
        <v>100</v>
      </c>
      <c r="BG41" s="859" cm="1">
        <f t="array" ca="1" aca="1" ref="BG41:BG42">fx_checkComp(BG45:BG62)</f>
        <v>100</v>
      </c>
      <c r="BH41" s="859" cm="1">
        <f t="array" ca="1" aca="1" ref="BH41:BH42">fx_checkComp(BH45:BH62)</f>
        <v>100</v>
      </c>
      <c r="BI41" s="859" cm="1">
        <f t="array" ca="1" aca="1" ref="BI41:BI42">fx_checkComp(BI45:BI62)</f>
        <v>100</v>
      </c>
      <c r="BJ41" s="859" cm="1">
        <f t="array" ca="1" aca="1" ref="BJ41:BJ42">fx_checkComp(BJ45:BJ62)</f>
        <v>100</v>
      </c>
      <c r="BK41" s="859" cm="1">
        <f t="array" ca="1" aca="1" ref="BK41:BK42">fx_checkComp(BK45:BK62)</f>
        <v>100</v>
      </c>
      <c r="BL41" s="859" cm="1">
        <f t="array" ca="1" aca="1" ref="BL41:BL42">fx_checkComp(BL45:BL62)</f>
        <v>100</v>
      </c>
      <c r="BM41" s="859" cm="1">
        <f t="array" ca="1" aca="1" ref="BM41:BM42">fx_checkComp(BM45:BM62)</f>
        <v>100</v>
      </c>
      <c r="BN41" s="859" cm="1">
        <f t="array" ca="1" aca="1" ref="BN41:BN42">fx_checkComp(BN45:BN62)</f>
        <v>100</v>
      </c>
      <c r="BO41" s="542"/>
      <c r="BP41" s="542"/>
      <c r="BQ41" s="542"/>
      <c r="BR41" s="542"/>
      <c r="BS41" s="542"/>
      <c r="BT41" s="542"/>
      <c r="BU41" s="542"/>
      <c r="BV41" s="542"/>
      <c r="BW41" s="542"/>
      <c r="BX41" s="542"/>
      <c r="BY41" s="542"/>
      <c r="BZ41" s="542"/>
      <c r="CA41" s="1330"/>
      <c r="CB41" s="537"/>
      <c r="CC41" s="1493"/>
      <c r="CD41" s="3018" t="s">
        <v>41</v>
      </c>
      <c r="CE41" s="3019"/>
      <c r="CF41" s="1471"/>
      <c r="CG41" s="3020" t="s">
        <v>42</v>
      </c>
      <c r="CH41" s="3021"/>
      <c r="CI41" s="1314"/>
      <c r="CJ41" s="3071" t="s">
        <v>43</v>
      </c>
      <c r="CK41" s="3072"/>
      <c r="CL41" s="1314"/>
      <c r="CM41" s="3015" t="s">
        <v>44</v>
      </c>
      <c r="CN41" s="3016"/>
      <c r="CO41" s="34"/>
    </row>
    <row r="42" spans="1:93" ht="15.75" customHeight="1">
      <c r="A42" s="1626"/>
      <c r="B42" s="811" t="str" cm="1">
        <f t="array" ref="B42">IFBLANK(_CF!F42,"")</f>
        <v/>
      </c>
      <c r="C42" s="811" t="str" cm="1">
        <f t="array" ref="C42">IFBLANK(_CF!C42,"")</f>
        <v/>
      </c>
      <c r="D42" s="811" t="str" cm="1">
        <f t="array" ref="D42">IFBLANK(_CF!D42,"")</f>
        <v/>
      </c>
      <c r="E42" s="811"/>
      <c r="F42" s="574"/>
      <c r="G42" s="401"/>
      <c r="H42" s="401"/>
      <c r="I42" s="401"/>
      <c r="J42" s="401"/>
      <c r="K42" s="401"/>
      <c r="N42" s="158"/>
      <c r="O42" s="101"/>
      <c r="P42" s="151"/>
      <c r="Q42" s="151"/>
      <c r="R42" s="140"/>
      <c r="S42" s="289"/>
      <c r="T42" s="289"/>
      <c r="U42" s="39"/>
      <c r="W42" s="3074"/>
      <c r="X42" s="1337"/>
      <c r="Y42" s="3075"/>
      <c r="Z42" s="1509"/>
      <c r="AA42" s="95"/>
      <c r="AB42" s="992"/>
      <c r="AC42" s="1164"/>
      <c r="AD42" s="1253" t="str">
        <f ca="1"/>
        <v>O: 0 / 0</v>
      </c>
      <c r="AE42" s="1253" t="str">
        <f ca="1"/>
        <v>O: 0 / 0</v>
      </c>
      <c r="AF42" s="1253" t="str">
        <f ca="1"/>
        <v>O: 0 / 0</v>
      </c>
      <c r="AG42" s="1253" t="str">
        <f ca="1"/>
        <v>O: 0 / 0</v>
      </c>
      <c r="AH42" s="1253" t="str">
        <f ca="1"/>
        <v>O: 0 / 0</v>
      </c>
      <c r="AI42" s="1253" t="str">
        <f ca="1"/>
        <v>O: 0 / 0</v>
      </c>
      <c r="AJ42" s="1253" t="str">
        <f ca="1"/>
        <v>O: 0 / 0</v>
      </c>
      <c r="AK42" s="1253" t="str">
        <f ca="1"/>
        <v>O: 0 / 0</v>
      </c>
      <c r="AL42" s="1253" t="str">
        <f ca="1"/>
        <v>O: 0 / 0</v>
      </c>
      <c r="AM42" s="1253" t="str">
        <f ca="1"/>
        <v>O: 0 / 0</v>
      </c>
      <c r="AN42" s="1253" t="str">
        <f ca="1"/>
        <v>O: 0 / 0</v>
      </c>
      <c r="AO42" s="1253" t="str">
        <f ca="1"/>
        <v>O: 0 / 0</v>
      </c>
      <c r="AP42" s="1253" t="str">
        <f ca="1"/>
        <v>O: 0 / 0</v>
      </c>
      <c r="AQ42" s="1253" t="str">
        <f ca="1"/>
        <v>O: 0 / 0</v>
      </c>
      <c r="AR42" s="1253" t="str">
        <f ca="1"/>
        <v>O: 0 / 0</v>
      </c>
      <c r="AS42" s="1253" t="str">
        <f ca="1"/>
        <v>O: 0 / 0</v>
      </c>
      <c r="AT42" s="1253" t="str">
        <f ca="1"/>
        <v>O: 0 / 0</v>
      </c>
      <c r="AU42" s="1253" t="str">
        <f ca="1"/>
        <v>O: 0 / 0</v>
      </c>
      <c r="AV42" s="1253" t="str">
        <f ca="1"/>
        <v>O: 0 / 0</v>
      </c>
      <c r="AW42" s="1253" t="str">
        <f ca="1"/>
        <v>O: 0 / 0</v>
      </c>
      <c r="AX42" s="1253" t="str">
        <f ca="1"/>
        <v>O: 0 / 0</v>
      </c>
      <c r="AY42" s="1253" t="str">
        <f ca="1"/>
        <v>O: 0 / 0</v>
      </c>
      <c r="AZ42" s="1253" t="str">
        <f ca="1"/>
        <v>O: 0 / 0</v>
      </c>
      <c r="BA42" s="1253" t="str">
        <f ca="1"/>
        <v>O: 0 / 0</v>
      </c>
      <c r="BB42" s="1253" t="str">
        <f ca="1"/>
        <v>O: 0 / 0</v>
      </c>
      <c r="BC42" s="1253" t="str">
        <f ca="1"/>
        <v>O: 0 / 0</v>
      </c>
      <c r="BD42" s="1253" t="str">
        <f ca="1"/>
        <v>O: 0 / 0</v>
      </c>
      <c r="BE42" s="1253" t="str">
        <f ca="1"/>
        <v>O: 0 / 0</v>
      </c>
      <c r="BF42" s="1253" t="str">
        <f ca="1"/>
        <v>O: 0 / 0</v>
      </c>
      <c r="BG42" s="1253" t="str">
        <f ca="1"/>
        <v>O: 0 / 0</v>
      </c>
      <c r="BH42" s="1253" t="str">
        <f ca="1"/>
        <v>O: 0 / 0</v>
      </c>
      <c r="BI42" s="1253" t="str">
        <f ca="1"/>
        <v>O: 0 / 0</v>
      </c>
      <c r="BJ42" s="1253" t="str">
        <f ca="1"/>
        <v>O: 0 / 0</v>
      </c>
      <c r="BK42" s="1253" t="str">
        <f ca="1"/>
        <v>O: 0 / 0</v>
      </c>
      <c r="BL42" s="1253" t="str">
        <f ca="1"/>
        <v>O: 0 / 0</v>
      </c>
      <c r="BM42" s="1253" t="str">
        <f ca="1"/>
        <v>O: 0 / 0</v>
      </c>
      <c r="BN42" s="1253" t="str">
        <f ca="1"/>
        <v>O: 0 / 0</v>
      </c>
      <c r="BO42" s="2099"/>
      <c r="BP42" s="2099"/>
      <c r="BQ42" s="2099"/>
      <c r="BR42" s="2099"/>
      <c r="BS42" s="2099"/>
      <c r="BT42" s="2099"/>
      <c r="BU42" s="2099"/>
      <c r="BV42" s="2099"/>
      <c r="BW42" s="2099"/>
      <c r="BX42" s="2099"/>
      <c r="BY42" s="2099"/>
      <c r="BZ42" s="2099"/>
      <c r="CA42" s="1330"/>
      <c r="CB42" s="537"/>
      <c r="CC42" s="1493"/>
      <c r="CD42" s="1773"/>
      <c r="CE42" s="1774"/>
      <c r="CF42" s="1471"/>
      <c r="CG42" s="1775"/>
      <c r="CH42" s="1776"/>
      <c r="CI42" s="1314"/>
      <c r="CJ42" s="1777"/>
      <c r="CK42" s="1778"/>
      <c r="CL42" s="1314"/>
      <c r="CM42" s="1786"/>
      <c r="CN42" s="1787"/>
      <c r="CO42" s="34"/>
    </row>
    <row r="43" spans="1:93" ht="27.75" customHeight="1">
      <c r="A43" s="1626"/>
      <c r="B43" s="811" t="str" cm="1">
        <f t="array" ref="B43">IFBLANK(_CF!F43,"")</f>
        <v/>
      </c>
      <c r="C43" s="811" t="str" cm="1">
        <f t="array" ref="C43">IFBLANK(_CF!C43,"")</f>
        <v/>
      </c>
      <c r="D43" s="811" t="str" cm="1">
        <f t="array" ref="D43">IFBLANK(_CF!D43,"")</f>
        <v/>
      </c>
      <c r="E43" s="854"/>
      <c r="F43" s="853"/>
      <c r="G43" s="401"/>
      <c r="H43" s="401"/>
      <c r="I43" s="401"/>
      <c r="J43" s="1072"/>
      <c r="K43" s="574"/>
      <c r="N43" s="158"/>
      <c r="O43" s="101"/>
      <c r="P43" s="52"/>
      <c r="Q43" s="101"/>
      <c r="R43" s="126"/>
      <c r="S43" s="101"/>
      <c r="T43" s="101"/>
      <c r="U43" s="39"/>
      <c r="W43" s="1134"/>
      <c r="X43" s="1335"/>
      <c r="Y43" s="1335"/>
      <c r="Z43" s="1510"/>
      <c r="AA43" s="194"/>
      <c r="AB43" s="267" t="s">
        <v>107</v>
      </c>
      <c r="AC43" s="194"/>
      <c r="AD43" s="977" cm="1">
        <f t="array" ref="AD43:BN43">array_timeline</f>
        <v>44926</v>
      </c>
      <c r="AE43" s="977">
        <v>44957</v>
      </c>
      <c r="AF43" s="977">
        <v>44985</v>
      </c>
      <c r="AG43" s="977">
        <v>45016</v>
      </c>
      <c r="AH43" s="977">
        <v>45046</v>
      </c>
      <c r="AI43" s="977">
        <v>45077</v>
      </c>
      <c r="AJ43" s="977">
        <v>45107</v>
      </c>
      <c r="AK43" s="977">
        <v>45138</v>
      </c>
      <c r="AL43" s="977">
        <v>45169</v>
      </c>
      <c r="AM43" s="977">
        <v>45199</v>
      </c>
      <c r="AN43" s="977">
        <v>45230</v>
      </c>
      <c r="AO43" s="977">
        <v>45260</v>
      </c>
      <c r="AP43" s="977">
        <v>45291</v>
      </c>
      <c r="AQ43" s="977">
        <v>45322</v>
      </c>
      <c r="AR43" s="977">
        <v>45351</v>
      </c>
      <c r="AS43" s="977">
        <v>45382</v>
      </c>
      <c r="AT43" s="977">
        <v>45412</v>
      </c>
      <c r="AU43" s="977">
        <v>45443</v>
      </c>
      <c r="AV43" s="977">
        <v>45473</v>
      </c>
      <c r="AW43" s="977">
        <v>45504</v>
      </c>
      <c r="AX43" s="977">
        <v>45535</v>
      </c>
      <c r="AY43" s="977">
        <v>45565</v>
      </c>
      <c r="AZ43" s="977">
        <v>45596</v>
      </c>
      <c r="BA43" s="977">
        <v>45626</v>
      </c>
      <c r="BB43" s="977">
        <v>45657</v>
      </c>
      <c r="BC43" s="977">
        <v>45688</v>
      </c>
      <c r="BD43" s="977">
        <v>45716</v>
      </c>
      <c r="BE43" s="977">
        <v>45747</v>
      </c>
      <c r="BF43" s="977">
        <v>45777</v>
      </c>
      <c r="BG43" s="977">
        <v>45808</v>
      </c>
      <c r="BH43" s="977">
        <v>45838</v>
      </c>
      <c r="BI43" s="977">
        <v>45869</v>
      </c>
      <c r="BJ43" s="977">
        <v>45900</v>
      </c>
      <c r="BK43" s="977">
        <v>45930</v>
      </c>
      <c r="BL43" s="977">
        <v>45961</v>
      </c>
      <c r="BM43" s="977">
        <v>45991</v>
      </c>
      <c r="BN43" s="978">
        <v>46022</v>
      </c>
      <c r="BO43" s="2090"/>
      <c r="BP43" s="2090"/>
      <c r="BQ43" s="2090"/>
      <c r="BR43" s="2090"/>
      <c r="BS43" s="2090"/>
      <c r="BT43" s="2090"/>
      <c r="BU43" s="2090"/>
      <c r="BV43" s="2090"/>
      <c r="BW43" s="2090"/>
      <c r="BX43" s="2090"/>
      <c r="BY43" s="2090"/>
      <c r="BZ43" s="2090"/>
      <c r="CA43" s="1488"/>
      <c r="CB43" s="537"/>
      <c r="CC43" s="1484"/>
      <c r="CD43" s="1779" t="e" cm="1">
        <f t="array" ca="1" aca="1" ref="CD43">EOMONTH(val_currentFYE,-24)</f>
        <v>#NAME?</v>
      </c>
      <c r="CE43" s="1780" t="e" cm="1">
        <f t="array" ca="1" aca="1" ref="CE43">EOMONTH(val_currentFYE,-12)</f>
        <v>#NAME?</v>
      </c>
      <c r="CF43" s="1192"/>
      <c r="CG43" s="1782">
        <f>EOMONTH(val_asOfDate,-1)</f>
        <v>45991</v>
      </c>
      <c r="CH43" s="1783">
        <f>EOMONTH(val_asOfDate,0)</f>
        <v>46022</v>
      </c>
      <c r="CI43" s="1781"/>
      <c r="CJ43" s="1784">
        <f>EOMONTH(val_asOfDate,-1)</f>
        <v>45991</v>
      </c>
      <c r="CK43" s="1785">
        <f>EOMONTH(val_asOfDate,0)</f>
        <v>46022</v>
      </c>
      <c r="CL43" s="128"/>
      <c r="CM43" s="1788" t="e" cm="1">
        <f t="array" ca="1" aca="1" ref="CM43">val_currentFYE</f>
        <v>#NAME?</v>
      </c>
      <c r="CN43" s="1789" t="e" cm="1">
        <f t="array" ca="1" aca="1" ref="CN43">val_currentFYE</f>
        <v>#NAME?</v>
      </c>
      <c r="CO43" s="34"/>
    </row>
    <row r="44" spans="1:93" ht="27.75" customHeight="1">
      <c r="A44" s="1626"/>
      <c r="B44" s="811" t="str" cm="1">
        <f t="array" ref="B44">IFBLANK(_CF!F44,"")</f>
        <v/>
      </c>
      <c r="C44" s="811" t="str" cm="1">
        <f t="array" ref="C44">IFBLANK(_CF!C44,"")</f>
        <v/>
      </c>
      <c r="D44" s="811" t="str" cm="1">
        <f t="array" ref="D44">IFBLANK(_CF!D44,"")</f>
        <v/>
      </c>
      <c r="E44" s="854"/>
      <c r="F44" s="853"/>
      <c r="G44" s="401"/>
      <c r="H44" s="401"/>
      <c r="I44" s="401"/>
      <c r="J44" s="401"/>
      <c r="K44" s="401"/>
      <c r="N44" s="158"/>
      <c r="O44" s="101"/>
      <c r="P44" s="52"/>
      <c r="Q44" s="101"/>
      <c r="R44" s="126"/>
      <c r="S44" s="101"/>
      <c r="T44" s="101"/>
      <c r="U44" s="39"/>
      <c r="W44" s="1225" t="s">
        <v>94</v>
      </c>
      <c r="X44" s="1503"/>
      <c r="Y44" s="1226" t="str">
        <f>val_company&amp;" Internal Accounts"</f>
        <v>Therme Horizon Internal Accounts</v>
      </c>
      <c r="Z44" s="1227"/>
      <c r="AA44" s="1227"/>
      <c r="AB44" s="1226" t="s">
        <v>227</v>
      </c>
      <c r="AC44" s="1226"/>
      <c r="AD44" s="1227" t="str">
        <f>_CF!AW44</f>
        <v>Budget</v>
      </c>
      <c r="AE44" s="1227" t="str">
        <f>_CF!AX44</f>
        <v>Budget</v>
      </c>
      <c r="AF44" s="1227" t="str">
        <f>_CF!AY44</f>
        <v>Budget</v>
      </c>
      <c r="AG44" s="1227" t="str">
        <f>_CF!AZ44</f>
        <v>Budget</v>
      </c>
      <c r="AH44" s="1227" t="str">
        <f>_CF!BA44</f>
        <v>Budget</v>
      </c>
      <c r="AI44" s="1227" t="str">
        <f>_CF!BB44</f>
        <v>Budget</v>
      </c>
      <c r="AJ44" s="1227" t="str">
        <f>_CF!BC44</f>
        <v>Budget</v>
      </c>
      <c r="AK44" s="1227" t="str">
        <f>_CF!BD44</f>
        <v>Budget</v>
      </c>
      <c r="AL44" s="1227" t="str">
        <f>_CF!BE44</f>
        <v>Budget</v>
      </c>
      <c r="AM44" s="1227" t="str">
        <f>_CF!BF44</f>
        <v>Budget</v>
      </c>
      <c r="AN44" s="1227" t="str">
        <f>_CF!BG44</f>
        <v>Budget</v>
      </c>
      <c r="AO44" s="1227" t="str">
        <f>_CF!BH44</f>
        <v>Budget</v>
      </c>
      <c r="AP44" s="1227" t="str">
        <f>_CF!BI44</f>
        <v>Budget</v>
      </c>
      <c r="AQ44" s="1227" t="str">
        <f>_CF!BJ44</f>
        <v>Budget</v>
      </c>
      <c r="AR44" s="1227" t="str">
        <f>_CF!BK44</f>
        <v>Budget</v>
      </c>
      <c r="AS44" s="1227" t="str">
        <f>_CF!BL44</f>
        <v>Budget</v>
      </c>
      <c r="AT44" s="1227" t="str">
        <f>_CF!BM44</f>
        <v>Budget</v>
      </c>
      <c r="AU44" s="1227" t="str">
        <f>_CF!BN44</f>
        <v>Budget</v>
      </c>
      <c r="AV44" s="1227">
        <f>_CF!BO44</f>
        <v>0</v>
      </c>
      <c r="AW44" s="1227">
        <f>_CF!BP44</f>
        <v>0</v>
      </c>
      <c r="AX44" s="1227">
        <f>_CF!BQ44</f>
        <v>0</v>
      </c>
      <c r="AY44" s="1227">
        <f>_CF!BR44</f>
        <v>0</v>
      </c>
      <c r="AZ44" s="1227">
        <f>_CF!BS44</f>
        <v>0</v>
      </c>
      <c r="BA44" s="1227">
        <f>_CF!BT44</f>
        <v>0</v>
      </c>
      <c r="BB44" s="1227">
        <f>_CF!BU44</f>
        <v>0</v>
      </c>
      <c r="BC44" s="1227">
        <f>_CF!BV44</f>
        <v>0</v>
      </c>
      <c r="BD44" s="1227">
        <f>_CF!BW44</f>
        <v>0</v>
      </c>
      <c r="BE44" s="1227">
        <f>_CF!BX44</f>
        <v>0</v>
      </c>
      <c r="BF44" s="1227">
        <f>_CF!BY44</f>
        <v>0</v>
      </c>
      <c r="BG44" s="1227">
        <f>_CF!BZ44</f>
        <v>0</v>
      </c>
      <c r="BH44" s="1227">
        <f>_CF!CA44</f>
        <v>0</v>
      </c>
      <c r="BI44" s="1227">
        <f>_CF!CB44</f>
        <v>0</v>
      </c>
      <c r="BJ44" s="1227">
        <f>_CF!CC44</f>
        <v>0</v>
      </c>
      <c r="BK44" s="1227" t="str">
        <f>_CF!CD44</f>
        <v>Budget</v>
      </c>
      <c r="BL44" s="1227" t="str">
        <f>_CF!CE44</f>
        <v>Budget</v>
      </c>
      <c r="BM44" s="1227">
        <f>_CF!CF44</f>
        <v>0</v>
      </c>
      <c r="BN44" s="1228" t="str">
        <f>_CF!CG44</f>
        <v>Budget</v>
      </c>
      <c r="BO44" s="2094"/>
      <c r="BP44" s="2094"/>
      <c r="BQ44" s="2094"/>
      <c r="BR44" s="2094"/>
      <c r="BS44" s="2094"/>
      <c r="BT44" s="2094"/>
      <c r="BU44" s="2094"/>
      <c r="BV44" s="2094"/>
      <c r="BW44" s="2094"/>
      <c r="BX44" s="2094"/>
      <c r="BY44" s="2094"/>
      <c r="BZ44" s="2094"/>
      <c r="CA44" s="384"/>
      <c r="CC44" s="33"/>
      <c r="CD44" s="1720" t="str">
        <f>_CF!CD44</f>
        <v>Budget</v>
      </c>
      <c r="CE44" s="1721" t="str">
        <f>_CF!CE44</f>
        <v>Budget</v>
      </c>
      <c r="CF44" s="128"/>
      <c r="CG44" s="1734" t="str">
        <f>_CF!CG44</f>
        <v>Budget</v>
      </c>
      <c r="CH44" s="1735" t="str">
        <f>_CF!CH44</f>
        <v>Budget</v>
      </c>
      <c r="CI44" s="207" t="str">
        <f>$AD44</f>
        <v>Budget</v>
      </c>
      <c r="CJ44" s="1724" t="str">
        <f>_CF!CJ44</f>
        <v>Budget</v>
      </c>
      <c r="CK44" s="1725" t="str">
        <f>_CF!CK44</f>
        <v>Budget</v>
      </c>
      <c r="CL44" s="869"/>
      <c r="CM44" s="1198" t="str">
        <f>_CF!CM44</f>
        <v>Original Budget</v>
      </c>
      <c r="CN44" s="1199" t="str">
        <f>_CF!CN44</f>
        <v>LE</v>
      </c>
      <c r="CO44" s="34"/>
    </row>
    <row r="45" spans="1:137" ht="21" customHeight="1">
      <c r="A45" s="1626" t="s">
        <v>96</v>
      </c>
      <c r="B45" s="811" t="str" cm="1">
        <f t="array" ref="B45">IFBLANK(_CF!F45,"")</f>
        <v>Reported EBITDA</v>
      </c>
      <c r="C45" s="811" t="str" cm="1">
        <f t="array" ref="C45">IFBLANK(_CF!C45,"")</f>
        <v>Reported EBITDA (Company View)</v>
      </c>
      <c r="D45" s="1549"/>
      <c r="E45" s="811"/>
      <c r="F45" s="574"/>
      <c r="G45" s="574"/>
      <c r="H45" s="3280">
        <v>2</v>
      </c>
      <c r="I45" s="3280">
        <v>1</v>
      </c>
      <c r="J45" s="401"/>
      <c r="K45" s="401"/>
      <c r="N45" s="158"/>
      <c r="O45" s="101"/>
      <c r="P45" s="52"/>
      <c r="Q45" s="101"/>
      <c r="R45" s="126"/>
      <c r="S45" s="101"/>
      <c r="T45" s="101"/>
      <c r="U45" s="39"/>
      <c r="W45" s="933" t="str" cm="1">
        <f t="array" ref="W45">fx_scenarioConverter(W41)</f>
        <v>Budget</v>
      </c>
      <c r="X45" s="2055">
        <f>_CF!X45</f>
        <v>0</v>
      </c>
      <c r="Y45" s="709" t="str">
        <f t="shared" si="6" ref="Y45:Y62">Y20</f>
        <v>Reported EBITDA</v>
      </c>
      <c r="Z45" s="198" cm="1">
        <f t="array" ref="Z45">_xlfn.SWITCH(TRUE,_CF!$L45=TRUE,1,_CF!$L45=FALSE,-1,_CF!$L45=-1,0,"n/a")</f>
        <v>0</v>
      </c>
      <c r="AA45" s="200"/>
      <c r="AB45" s="88" t="str">
        <f>_CF!AB45</f>
        <v>Reported EBITDA</v>
      </c>
      <c r="AC45" s="88" t="e" vm="5" cm="1">
        <f t="array" ca="1" aca="1" ref="AC45">_xlfn.LET(_xlpm._termname,$AB45,_xlpm._iconname,"find",_xlpm._icon,fx_getIcon(_xlpm._iconname),_xlpm._location,_xlfn.XLOOKUP(LOWER(_xlpm._termname),LOWER(tbl_acctDef[Term]),tbl_acctDef[Term]),_xlpm._hyperlink,HYPERLINK("#"&amp;CELL("address",_xlpm._location),_xlpm._icon),IFERROR(_xlpm._hyperlink,""))</f>
        <v>#VALUE!</v>
      </c>
      <c r="AD45" s="918">
        <f>_xlfn.XLOOKUP($AB45,PL!$AB$76:$AB$97,PL!AD76:AD97)</f>
        <v>3</v>
      </c>
      <c r="AE45" s="918">
        <f>_xlfn.XLOOKUP($AB45,PL!$AB$76:$AB$97,PL!AE76:AE97)</f>
        <v>3</v>
      </c>
      <c r="AF45" s="918">
        <f>_xlfn.XLOOKUP($AB45,PL!$AB$76:$AB$97,PL!AF76:AF97)</f>
        <v>3</v>
      </c>
      <c r="AG45" s="918">
        <f>_xlfn.XLOOKUP($AB45,PL!$AB$76:$AB$97,PL!AG76:AG97)</f>
        <v>3</v>
      </c>
      <c r="AH45" s="918">
        <f>_xlfn.XLOOKUP($AB45,PL!$AB$76:$AB$97,PL!AH76:AH97)</f>
        <v>3</v>
      </c>
      <c r="AI45" s="918">
        <f>_xlfn.XLOOKUP($AB45,PL!$AB$76:$AB$97,PL!AI76:AI97)</f>
        <v>3</v>
      </c>
      <c r="AJ45" s="918">
        <f>_xlfn.XLOOKUP($AB45,PL!$AB$76:$AB$97,PL!AJ76:AJ97)</f>
        <v>3</v>
      </c>
      <c r="AK45" s="918">
        <f>_xlfn.XLOOKUP($AB45,PL!$AB$76:$AB$97,PL!AK76:AK97)</f>
        <v>3</v>
      </c>
      <c r="AL45" s="918">
        <f>_xlfn.XLOOKUP($AB45,PL!$AB$76:$AB$97,PL!AL76:AL97)</f>
        <v>3</v>
      </c>
      <c r="AM45" s="918">
        <f>_xlfn.XLOOKUP($AB45,PL!$AB$76:$AB$97,PL!AM76:AM97)</f>
        <v>3</v>
      </c>
      <c r="AN45" s="918">
        <f>_xlfn.XLOOKUP($AB45,PL!$AB$76:$AB$97,PL!AN76:AN97)</f>
        <v>3</v>
      </c>
      <c r="AO45" s="918">
        <f>_xlfn.XLOOKUP($AB45,PL!$AB$76:$AB$97,PL!AO76:AO97)</f>
        <v>3</v>
      </c>
      <c r="AP45" s="918">
        <f>_xlfn.XLOOKUP($AB45,PL!$AB$76:$AB$97,PL!AP76:AP97)</f>
        <v>3</v>
      </c>
      <c r="AQ45" s="918">
        <f>_xlfn.XLOOKUP($AB45,PL!$AB$76:$AB$97,PL!AQ76:AQ97)</f>
        <v>3</v>
      </c>
      <c r="AR45" s="918">
        <f>_xlfn.XLOOKUP($AB45,PL!$AB$76:$AB$97,PL!AR76:AR97)</f>
        <v>3</v>
      </c>
      <c r="AS45" s="918">
        <f>_xlfn.XLOOKUP($AB45,PL!$AB$76:$AB$97,PL!AS76:AS97)</f>
        <v>3</v>
      </c>
      <c r="AT45" s="918">
        <f>_xlfn.XLOOKUP($AB45,PL!$AB$76:$AB$97,PL!AT76:AT97)</f>
        <v>3</v>
      </c>
      <c r="AU45" s="918">
        <f>_xlfn.XLOOKUP($AB45,PL!$AB$76:$AB$97,PL!AU76:AU97)</f>
        <v>3</v>
      </c>
      <c r="AV45" s="918">
        <f>_xlfn.XLOOKUP($AB45,PL!$AB$76:$AB$97,PL!AV76:AV97)</f>
        <v>3</v>
      </c>
      <c r="AW45" s="918">
        <f>_xlfn.XLOOKUP($AB45,PL!$AB$76:$AB$97,PL!AW76:AW97)</f>
        <v>3</v>
      </c>
      <c r="AX45" s="918">
        <f>_xlfn.XLOOKUP($AB45,PL!$AB$76:$AB$97,PL!AX76:AX97)</f>
        <v>3</v>
      </c>
      <c r="AY45" s="918">
        <f>_xlfn.XLOOKUP($AB45,PL!$AB$76:$AB$97,PL!AY76:AY97)</f>
        <v>3</v>
      </c>
      <c r="AZ45" s="918">
        <f>_xlfn.XLOOKUP($AB45,PL!$AB$76:$AB$97,PL!AZ76:AZ97)</f>
        <v>3</v>
      </c>
      <c r="BA45" s="918">
        <f>_xlfn.XLOOKUP($AB45,PL!$AB$76:$AB$97,PL!BA76:BA97)</f>
        <v>3</v>
      </c>
      <c r="BB45" s="918">
        <f>_xlfn.XLOOKUP($AB45,PL!$AB$76:$AB$97,PL!BB76:BB97)</f>
        <v>3</v>
      </c>
      <c r="BC45" s="918">
        <f>_xlfn.XLOOKUP($AB45,PL!$AB$76:$AB$97,PL!BC76:BC97)</f>
        <v>3</v>
      </c>
      <c r="BD45" s="918">
        <f>_xlfn.XLOOKUP($AB45,PL!$AB$76:$AB$97,PL!BD76:BD97)</f>
        <v>3</v>
      </c>
      <c r="BE45" s="918">
        <f>_xlfn.XLOOKUP($AB45,PL!$AB$76:$AB$97,PL!BE76:BE97)</f>
        <v>3</v>
      </c>
      <c r="BF45" s="918">
        <f>_xlfn.XLOOKUP($AB45,PL!$AB$76:$AB$97,PL!BF76:BF97)</f>
        <v>3</v>
      </c>
      <c r="BG45" s="918">
        <f>_xlfn.XLOOKUP($AB45,PL!$AB$76:$AB$97,PL!BG76:BG97)</f>
        <v>3</v>
      </c>
      <c r="BH45" s="918">
        <f>_xlfn.XLOOKUP($AB45,PL!$AB$76:$AB$97,PL!BH76:BH97)</f>
        <v>3</v>
      </c>
      <c r="BI45" s="918">
        <f>_xlfn.XLOOKUP($AB45,PL!$AB$76:$AB$97,PL!BI76:BI97)</f>
        <v>3</v>
      </c>
      <c r="BJ45" s="918">
        <f>_xlfn.XLOOKUP($AB45,PL!$AB$76:$AB$97,PL!BJ76:BJ97)</f>
        <v>3</v>
      </c>
      <c r="BK45" s="918">
        <f>_xlfn.XLOOKUP($AB45,PL!$AB$76:$AB$97,PL!BK76:BK97)</f>
        <v>3</v>
      </c>
      <c r="BL45" s="918">
        <f>_xlfn.XLOOKUP($AB45,PL!$AB$76:$AB$97,PL!BL76:BL97)</f>
        <v>3</v>
      </c>
      <c r="BM45" s="918">
        <f>_xlfn.XLOOKUP($AB45,PL!$AB$76:$AB$97,PL!BM76:BM97)</f>
        <v>3</v>
      </c>
      <c r="BN45" s="1224">
        <f>_xlfn.XLOOKUP($AB45,PL!$AB$76:$AB$97,PL!BN76:BN97)</f>
        <v>3</v>
      </c>
      <c r="BO45" s="2114"/>
      <c r="BP45" s="2114"/>
      <c r="BQ45" s="2114"/>
      <c r="BR45" s="2114"/>
      <c r="BS45" s="2114"/>
      <c r="BT45" s="2114"/>
      <c r="BU45" s="2114"/>
      <c r="BV45" s="2114"/>
      <c r="BW45" s="2114"/>
      <c r="BX45" s="2114"/>
      <c r="BY45" s="2114"/>
      <c r="BZ45" s="2114"/>
      <c r="CA45" s="1488"/>
      <c r="CB45" s="537"/>
      <c r="CC45" s="1484"/>
      <c r="CD45" s="1461" t="e" cm="1">
        <f t="array" ca="1" aca="1" ref="CD45">_xlfn.LET(_xlpm.CheckBlank,SUM(CF!$AD45:$BN45)=0,IF(_xlpm.CheckBlank,"",SUM(_xlfn._xlws.FILTER(CF!$AD45:$BN45,(YEAR(CF!$AD$12:$BN$12)=CF!CD$12)*(array_timeline&lt;=CF!CD$11)))))</f>
        <v>#NAME?</v>
      </c>
      <c r="CE45" s="1461" t="e" cm="1">
        <f t="array" ca="1" aca="1" ref="CE45">_xlfn.LET(_xlpm.CheckBlank,SUM(CF!$AD45:$BN45)=0,IF(_xlpm.CheckBlank,"",SUM(_xlfn._xlws.FILTER(CF!$AD45:$BN45,(YEAR(CF!$AD$12:$BN$12)=CF!CE$12)*(array_timeline&lt;=CF!CE$11)))))</f>
        <v>#NAME?</v>
      </c>
      <c r="CF45" s="1463"/>
      <c r="CG45" s="1461" t="e" cm="1">
        <f t="array" ca="1" aca="1" ref="CG45">_xlfn.LET(_xlpm.CheckBlank,SUM(CF!$AD45:$BN45)=0,IF(_xlpm.CheckBlank,"",SUM(_xlfn._xlws.FILTER(CF!$AD45:$BN45,(YEAR(CF!$AD$12:$BN$12)=CF!CG$12)*(array_timeline&lt;=CF!CG$11)))))</f>
        <v>#NAME?</v>
      </c>
      <c r="CH45" s="1461" t="e" cm="1">
        <f t="array" ca="1" aca="1" ref="CH45">_xlfn.LET(_xlpm.CheckBlank,SUM(CF!$AD45:$BN45)=0,IF(_xlpm.CheckBlank,"",SUM(_xlfn._xlws.FILTER(CF!$AD45:$BN45,(YEAR(CF!$AD$12:$BN$12)=CF!CH$12)*(array_timeline&lt;=CF!CH$11)))))</f>
        <v>#NAME?</v>
      </c>
      <c r="CI45" s="1314"/>
      <c r="CJ45" s="1461" cm="1">
        <f t="array" ref="CJ45">_xlfn.LET(_xlpm.CheckBlank,SUM(CF!$AD45:$BN45)=0,IF(_xlpm.CheckBlank,"",SUM(_xlfn.TAKE(_xlfn.DROP(CF!$AD45:$BN45,,-DATEDIFF(CF!CJ$11,val_asOfDate,"M")),1,-12))))</f>
        <v>36</v>
      </c>
      <c r="CK45" s="1461" cm="1">
        <f t="array" ref="CK45">_xlfn.LET(_xlpm.CheckBlank,SUM(CF!$AD45:$BN45)=0,IF(_xlpm.CheckBlank,"",SUM(_xlfn.TAKE(_xlfn.DROP(CF!$AD45:$BN45,,-DATEDIFF(CF!CK$11,val_asOfDate,"M")),1,-12))))</f>
        <v>36</v>
      </c>
      <c r="CL45" s="1314"/>
      <c r="CM45" s="541">
        <f t="shared" si="7" ref="CM45:CN62">CM20</f>
        <v>3</v>
      </c>
      <c r="CN45" s="541">
        <f t="shared" si="7"/>
        <v>3</v>
      </c>
      <c r="CO45" s="34"/>
      <c r="CW45" s="1883" t="str" cm="1">
        <f t="array" ca="1" aca="1" ref="CW45">IFERROR(IF(AD45*fxVal_normal=_CF!AD45,"",IF(OR(AD45="",NOT(ISNUMBER(AD45)),ISERROR(AD45),$B45=""),"",IF($I45=1,IFBLANK(_xldudf_CX_PUSH(AD45*fxVal_normal,CX_ENTITY,$B45,AD$11,AD$14,AD$44,),""),IF($I45=2,IFBLANK(_xldudf_CX_PUSH(AD45,CX_ENTITY,$B45,AD$11,AD$14,AD$44,),""),IF($I45=3,"",IFBLANK(_xldudf_CX_PUSH(AD45,CX_ENTITY,$B45,AD$11,AD$14,AD$44,),"")))))),"")</f>
        <v/>
      </c>
      <c r="CX45" s="1883" t="str" cm="1">
        <f t="array" ca="1" aca="1" ref="CX45">IFERROR(IF(AE45*fxVal_normal=_CF!AE45,"",IF(OR(AE45="",NOT(ISNUMBER(AE45)),ISERROR(AE45),$B45=""),"",IF($I45=1,IFBLANK(_xldudf_CX_PUSH(AE45*fxVal_normal,CX_ENTITY,$B45,AE$11,AE$14,AE$44,),""),IF($I45=2,IFBLANK(_xldudf_CX_PUSH(AE45,CX_ENTITY,$B45,AE$11,AE$14,AE$44,),""),IF($I45=3,"",IFBLANK(_xldudf_CX_PUSH(AE45,CX_ENTITY,$B45,AE$11,AE$14,AE$44,),"")))))),"")</f>
        <v/>
      </c>
      <c r="CY45" s="1883" t="str" cm="1">
        <f t="array" ca="1" aca="1" ref="CY45">IFERROR(IF(AF45*fxVal_normal=_CF!AF45,"",IF(OR(AF45="",NOT(ISNUMBER(AF45)),ISERROR(AF45),$B45=""),"",IF($I45=1,IFBLANK(_xldudf_CX_PUSH(AF45*fxVal_normal,CX_ENTITY,$B45,AF$11,AF$14,AF$44,),""),IF($I45=2,IFBLANK(_xldudf_CX_PUSH(AF45,CX_ENTITY,$B45,AF$11,AF$14,AF$44,),""),IF($I45=3,"",IFBLANK(_xldudf_CX_PUSH(AF45,CX_ENTITY,$B45,AF$11,AF$14,AF$44,),"")))))),"")</f>
        <v/>
      </c>
      <c r="CZ45" s="1883" t="str" cm="1">
        <f t="array" ca="1" aca="1" ref="CZ45">IFERROR(IF(AG45*fxVal_normal=_CF!AG45,"",IF(OR(AG45="",NOT(ISNUMBER(AG45)),ISERROR(AG45),$B45=""),"",IF($I45=1,IFBLANK(_xldudf_CX_PUSH(AG45*fxVal_normal,CX_ENTITY,$B45,AG$11,AG$14,AG$44,),""),IF($I45=2,IFBLANK(_xldudf_CX_PUSH(AG45,CX_ENTITY,$B45,AG$11,AG$14,AG$44,),""),IF($I45=3,"",IFBLANK(_xldudf_CX_PUSH(AG45,CX_ENTITY,$B45,AG$11,AG$14,AG$44,),"")))))),"")</f>
        <v/>
      </c>
      <c r="DA45" s="1883" t="str" cm="1">
        <f t="array" ca="1" aca="1" ref="DA45">IFERROR(IF(AH45*fxVal_normal=_CF!AH45,"",IF(OR(AH45="",NOT(ISNUMBER(AH45)),ISERROR(AH45),$B45=""),"",IF($I45=1,IFBLANK(_xldudf_CX_PUSH(AH45*fxVal_normal,CX_ENTITY,$B45,AH$11,AH$14,AH$44,),""),IF($I45=2,IFBLANK(_xldudf_CX_PUSH(AH45,CX_ENTITY,$B45,AH$11,AH$14,AH$44,),""),IF($I45=3,"",IFBLANK(_xldudf_CX_PUSH(AH45,CX_ENTITY,$B45,AH$11,AH$14,AH$44,),"")))))),"")</f>
        <v/>
      </c>
      <c r="DB45" s="1883" t="str" cm="1">
        <f t="array" ca="1" aca="1" ref="DB45">IFERROR(IF(AI45*fxVal_normal=_CF!AI45,"",IF(OR(AI45="",NOT(ISNUMBER(AI45)),ISERROR(AI45),$B45=""),"",IF($I45=1,IFBLANK(_xldudf_CX_PUSH(AI45*fxVal_normal,CX_ENTITY,$B45,AI$11,AI$14,AI$44,),""),IF($I45=2,IFBLANK(_xldudf_CX_PUSH(AI45,CX_ENTITY,$B45,AI$11,AI$14,AI$44,),""),IF($I45=3,"",IFBLANK(_xldudf_CX_PUSH(AI45,CX_ENTITY,$B45,AI$11,AI$14,AI$44,),"")))))),"")</f>
        <v/>
      </c>
      <c r="DC45" s="1883" t="str" cm="1">
        <f t="array" ca="1" aca="1" ref="DC45">IFERROR(IF(AJ45*fxVal_normal=_CF!AJ45,"",IF(OR(AJ45="",NOT(ISNUMBER(AJ45)),ISERROR(AJ45),$B45=""),"",IF($I45=1,IFBLANK(_xldudf_CX_PUSH(AJ45*fxVal_normal,CX_ENTITY,$B45,AJ$11,AJ$14,AJ$44,),""),IF($I45=2,IFBLANK(_xldudf_CX_PUSH(AJ45,CX_ENTITY,$B45,AJ$11,AJ$14,AJ$44,),""),IF($I45=3,"",IFBLANK(_xldudf_CX_PUSH(AJ45,CX_ENTITY,$B45,AJ$11,AJ$14,AJ$44,),"")))))),"")</f>
        <v/>
      </c>
      <c r="DD45" s="1883" t="str" cm="1">
        <f t="array" ca="1" aca="1" ref="DD45">IFERROR(IF(AK45*fxVal_normal=_CF!AK45,"",IF(OR(AK45="",NOT(ISNUMBER(AK45)),ISERROR(AK45),$B45=""),"",IF($I45=1,IFBLANK(_xldudf_CX_PUSH(AK45*fxVal_normal,CX_ENTITY,$B45,AK$11,AK$14,AK$44,),""),IF($I45=2,IFBLANK(_xldudf_CX_PUSH(AK45,CX_ENTITY,$B45,AK$11,AK$14,AK$44,),""),IF($I45=3,"",IFBLANK(_xldudf_CX_PUSH(AK45,CX_ENTITY,$B45,AK$11,AK$14,AK$44,),"")))))),"")</f>
        <v/>
      </c>
      <c r="DE45" s="1883" t="str" cm="1">
        <f t="array" ca="1" aca="1" ref="DE45">IFERROR(IF(AL45*fxVal_normal=_CF!AL45,"",IF(OR(AL45="",NOT(ISNUMBER(AL45)),ISERROR(AL45),$B45=""),"",IF($I45=1,IFBLANK(_xldudf_CX_PUSH(AL45*fxVal_normal,CX_ENTITY,$B45,AL$11,AL$14,AL$44,),""),IF($I45=2,IFBLANK(_xldudf_CX_PUSH(AL45,CX_ENTITY,$B45,AL$11,AL$14,AL$44,),""),IF($I45=3,"",IFBLANK(_xldudf_CX_PUSH(AL45,CX_ENTITY,$B45,AL$11,AL$14,AL$44,),"")))))),"")</f>
        <v/>
      </c>
      <c r="DF45" s="1883" t="str" cm="1">
        <f t="array" ca="1" aca="1" ref="DF45">IFERROR(IF(AM45*fxVal_normal=_CF!AM45,"",IF(OR(AM45="",NOT(ISNUMBER(AM45)),ISERROR(AM45),$B45=""),"",IF($I45=1,IFBLANK(_xldudf_CX_PUSH(AM45*fxVal_normal,CX_ENTITY,$B45,AM$11,AM$14,AM$44,),""),IF($I45=2,IFBLANK(_xldudf_CX_PUSH(AM45,CX_ENTITY,$B45,AM$11,AM$14,AM$44,),""),IF($I45=3,"",IFBLANK(_xldudf_CX_PUSH(AM45,CX_ENTITY,$B45,AM$11,AM$14,AM$44,),"")))))),"")</f>
        <v/>
      </c>
      <c r="DG45" s="1883" t="str" cm="1">
        <f t="array" ca="1" aca="1" ref="DG45">IFERROR(IF(AN45*fxVal_normal=_CF!AN45,"",IF(OR(AN45="",NOT(ISNUMBER(AN45)),ISERROR(AN45),$B45=""),"",IF($I45=1,IFBLANK(_xldudf_CX_PUSH(AN45*fxVal_normal,CX_ENTITY,$B45,AN$11,AN$14,AN$44,),""),IF($I45=2,IFBLANK(_xldudf_CX_PUSH(AN45,CX_ENTITY,$B45,AN$11,AN$14,AN$44,),""),IF($I45=3,"",IFBLANK(_xldudf_CX_PUSH(AN45,CX_ENTITY,$B45,AN$11,AN$14,AN$44,),"")))))),"")</f>
        <v/>
      </c>
      <c r="DH45" s="1883" t="str" cm="1">
        <f t="array" ca="1" aca="1" ref="DH45">IFERROR(IF(AO45*fxVal_normal=_CF!AO45,"",IF(OR(AO45="",NOT(ISNUMBER(AO45)),ISERROR(AO45),$B45=""),"",IF($I45=1,IFBLANK(_xldudf_CX_PUSH(AO45*fxVal_normal,CX_ENTITY,$B45,AO$11,AO$14,AO$44,),""),IF($I45=2,IFBLANK(_xldudf_CX_PUSH(AO45,CX_ENTITY,$B45,AO$11,AO$14,AO$44,),""),IF($I45=3,"",IFBLANK(_xldudf_CX_PUSH(AO45,CX_ENTITY,$B45,AO$11,AO$14,AO$44,),"")))))),"")</f>
        <v/>
      </c>
      <c r="DI45" s="1883" t="str" cm="1">
        <f t="array" ca="1" aca="1" ref="DI45">IFERROR(IF(AP45*fxVal_normal=_CF!AP45,"",IF(OR(AP45="",NOT(ISNUMBER(AP45)),ISERROR(AP45),$B45=""),"",IF($I45=1,IFBLANK(_xldudf_CX_PUSH(AP45*fxVal_normal,CX_ENTITY,$B45,AP$11,AP$14,AP$44,),""),IF($I45=2,IFBLANK(_xldudf_CX_PUSH(AP45,CX_ENTITY,$B45,AP$11,AP$14,AP$44,),""),IF($I45=3,"",IFBLANK(_xldudf_CX_PUSH(AP45,CX_ENTITY,$B45,AP$11,AP$14,AP$44,),"")))))),"")</f>
        <v/>
      </c>
      <c r="DJ45" s="1883" t="str" cm="1">
        <f t="array" ca="1" aca="1" ref="DJ45">IFERROR(IF(AQ45*fxVal_normal=_CF!AQ45,"",IF(OR(AQ45="",NOT(ISNUMBER(AQ45)),ISERROR(AQ45),$B45=""),"",IF($I45=1,IFBLANK(_xldudf_CX_PUSH(AQ45*fxVal_normal,CX_ENTITY,$B45,AQ$11,AQ$14,AQ$44,),""),IF($I45=2,IFBLANK(_xldudf_CX_PUSH(AQ45,CX_ENTITY,$B45,AQ$11,AQ$14,AQ$44,),""),IF($I45=3,"",IFBLANK(_xldudf_CX_PUSH(AQ45,CX_ENTITY,$B45,AQ$11,AQ$14,AQ$44,),"")))))),"")</f>
        <v/>
      </c>
      <c r="DK45" s="1883" t="str" cm="1">
        <f t="array" ca="1" aca="1" ref="DK45">IFERROR(IF(AR45*fxVal_normal=_CF!AR45,"",IF(OR(AR45="",NOT(ISNUMBER(AR45)),ISERROR(AR45),$B45=""),"",IF($I45=1,IFBLANK(_xldudf_CX_PUSH(AR45*fxVal_normal,CX_ENTITY,$B45,AR$11,AR$14,AR$44,),""),IF($I45=2,IFBLANK(_xldudf_CX_PUSH(AR45,CX_ENTITY,$B45,AR$11,AR$14,AR$44,),""),IF($I45=3,"",IFBLANK(_xldudf_CX_PUSH(AR45,CX_ENTITY,$B45,AR$11,AR$14,AR$44,),"")))))),"")</f>
        <v/>
      </c>
      <c r="DL45" s="1883" t="str" cm="1">
        <f t="array" ca="1" aca="1" ref="DL45">IFERROR(IF(AS45*fxVal_normal=_CF!AS45,"",IF(OR(AS45="",NOT(ISNUMBER(AS45)),ISERROR(AS45),$B45=""),"",IF($I45=1,IFBLANK(_xldudf_CX_PUSH(AS45*fxVal_normal,CX_ENTITY,$B45,AS$11,AS$14,AS$44,),""),IF($I45=2,IFBLANK(_xldudf_CX_PUSH(AS45,CX_ENTITY,$B45,AS$11,AS$14,AS$44,),""),IF($I45=3,"",IFBLANK(_xldudf_CX_PUSH(AS45,CX_ENTITY,$B45,AS$11,AS$14,AS$44,),"")))))),"")</f>
        <v/>
      </c>
      <c r="DM45" s="1883" t="str" cm="1">
        <f t="array" ca="1" aca="1" ref="DM45">IFERROR(IF(AT45*fxVal_normal=_CF!AT45,"",IF(OR(AT45="",NOT(ISNUMBER(AT45)),ISERROR(AT45),$B45=""),"",IF($I45=1,IFBLANK(_xldudf_CX_PUSH(AT45*fxVal_normal,CX_ENTITY,$B45,AT$11,AT$14,AT$44,),""),IF($I45=2,IFBLANK(_xldudf_CX_PUSH(AT45,CX_ENTITY,$B45,AT$11,AT$14,AT$44,),""),IF($I45=3,"",IFBLANK(_xldudf_CX_PUSH(AT45,CX_ENTITY,$B45,AT$11,AT$14,AT$44,),"")))))),"")</f>
        <v/>
      </c>
      <c r="DN45" s="1883" t="str" cm="1">
        <f t="array" ca="1" aca="1" ref="DN45">IFERROR(IF(AU45*fxVal_normal=_CF!AU45,"",IF(OR(AU45="",NOT(ISNUMBER(AU45)),ISERROR(AU45),$B45=""),"",IF($I45=1,IFBLANK(_xldudf_CX_PUSH(AU45*fxVal_normal,CX_ENTITY,$B45,AU$11,AU$14,AU$44,),""),IF($I45=2,IFBLANK(_xldudf_CX_PUSH(AU45,CX_ENTITY,$B45,AU$11,AU$14,AU$44,),""),IF($I45=3,"",IFBLANK(_xldudf_CX_PUSH(AU45,CX_ENTITY,$B45,AU$11,AU$14,AU$44,),"")))))),"")</f>
        <v/>
      </c>
      <c r="DO45" s="1883" t="str" cm="1">
        <f t="array" ca="1" aca="1" ref="DO45">IFERROR(IF(AV45*fxVal_normal=_CF!AV45,"",IF(OR(AV45="",NOT(ISNUMBER(AV45)),ISERROR(AV45),$B45=""),"",IF($I45=1,IFBLANK(_xldudf_CX_PUSH(AV45*fxVal_normal,CX_ENTITY,$B45,AV$11,AV$14,AV$44,),""),IF($I45=2,IFBLANK(_xldudf_CX_PUSH(AV45,CX_ENTITY,$B45,AV$11,AV$14,AV$44,),""),IF($I45=3,"",IFBLANK(_xldudf_CX_PUSH(AV45,CX_ENTITY,$B45,AV$11,AV$14,AV$44,),"")))))),"")</f>
        <v/>
      </c>
      <c r="DP45" s="1883" t="str" cm="1">
        <f t="array" ca="1" aca="1" ref="DP45">IFERROR(IF(AW45*fxVal_normal=_CF!AW45,"",IF(OR(AW45="",NOT(ISNUMBER(AW45)),ISERROR(AW45),$B45=""),"",IF($I45=1,IFBLANK(_xldudf_CX_PUSH(AW45*fxVal_normal,CX_ENTITY,$B45,AW$11,AW$14,AW$44,),""),IF($I45=2,IFBLANK(_xldudf_CX_PUSH(AW45,CX_ENTITY,$B45,AW$11,AW$14,AW$44,),""),IF($I45=3,"",IFBLANK(_xldudf_CX_PUSH(AW45,CX_ENTITY,$B45,AW$11,AW$14,AW$44,),"")))))),"")</f>
        <v/>
      </c>
      <c r="DQ45" s="1883" t="str" cm="1">
        <f t="array" ca="1" aca="1" ref="DQ45">IFERROR(IF(AX45*fxVal_normal=_CF!AX45,"",IF(OR(AX45="",NOT(ISNUMBER(AX45)),ISERROR(AX45),$B45=""),"",IF($I45=1,IFBLANK(_xldudf_CX_PUSH(AX45*fxVal_normal,CX_ENTITY,$B45,AX$11,AX$14,AX$44,),""),IF($I45=2,IFBLANK(_xldudf_CX_PUSH(AX45,CX_ENTITY,$B45,AX$11,AX$14,AX$44,),""),IF($I45=3,"",IFBLANK(_xldudf_CX_PUSH(AX45,CX_ENTITY,$B45,AX$11,AX$14,AX$44,),"")))))),"")</f>
        <v/>
      </c>
      <c r="DR45" s="1883" t="str" cm="1">
        <f t="array" ca="1" aca="1" ref="DR45">IFERROR(IF(AY45*fxVal_normal=_CF!AY45,"",IF(OR(AY45="",NOT(ISNUMBER(AY45)),ISERROR(AY45),$B45=""),"",IF($I45=1,IFBLANK(_xldudf_CX_PUSH(AY45*fxVal_normal,CX_ENTITY,$B45,AY$11,AY$14,AY$44,),""),IF($I45=2,IFBLANK(_xldudf_CX_PUSH(AY45,CX_ENTITY,$B45,AY$11,AY$14,AY$44,),""),IF($I45=3,"",IFBLANK(_xldudf_CX_PUSH(AY45,CX_ENTITY,$B45,AY$11,AY$14,AY$44,),"")))))),"")</f>
        <v/>
      </c>
      <c r="DS45" s="1883" t="str" cm="1">
        <f t="array" ca="1" aca="1" ref="DS45">IFERROR(IF(AZ45*fxVal_normal=_CF!AZ45,"",IF(OR(AZ45="",NOT(ISNUMBER(AZ45)),ISERROR(AZ45),$B45=""),"",IF($I45=1,IFBLANK(_xldudf_CX_PUSH(AZ45*fxVal_normal,CX_ENTITY,$B45,AZ$11,AZ$14,AZ$44,),""),IF($I45=2,IFBLANK(_xldudf_CX_PUSH(AZ45,CX_ENTITY,$B45,AZ$11,AZ$14,AZ$44,),""),IF($I45=3,"",IFBLANK(_xldudf_CX_PUSH(AZ45,CX_ENTITY,$B45,AZ$11,AZ$14,AZ$44,),"")))))),"")</f>
        <v/>
      </c>
      <c r="DT45" s="1883" t="str" cm="1">
        <f t="array" ca="1" aca="1" ref="DT45">IFERROR(IF(BA45*fxVal_normal=_CF!BA45,"",IF(OR(BA45="",NOT(ISNUMBER(BA45)),ISERROR(BA45),$B45=""),"",IF($I45=1,IFBLANK(_xldudf_CX_PUSH(BA45*fxVal_normal,CX_ENTITY,$B45,BA$11,BA$14,BA$44,),""),IF($I45=2,IFBLANK(_xldudf_CX_PUSH(BA45,CX_ENTITY,$B45,BA$11,BA$14,BA$44,),""),IF($I45=3,"",IFBLANK(_xldudf_CX_PUSH(BA45,CX_ENTITY,$B45,BA$11,BA$14,BA$44,),"")))))),"")</f>
        <v/>
      </c>
      <c r="DU45" s="1883" t="str" cm="1">
        <f t="array" ca="1" aca="1" ref="DU45">IFERROR(IF(BB45*fxVal_normal=_CF!BB45,"",IF(OR(BB45="",NOT(ISNUMBER(BB45)),ISERROR(BB45),$B45=""),"",IF($I45=1,IFBLANK(_xldudf_CX_PUSH(BB45*fxVal_normal,CX_ENTITY,$B45,BB$11,BB$14,BB$44,),""),IF($I45=2,IFBLANK(_xldudf_CX_PUSH(BB45,CX_ENTITY,$B45,BB$11,BB$14,BB$44,),""),IF($I45=3,"",IFBLANK(_xldudf_CX_PUSH(BB45,CX_ENTITY,$B45,BB$11,BB$14,BB$44,),"")))))),"")</f>
        <v/>
      </c>
      <c r="DV45" s="1883" t="str" cm="1">
        <f t="array" ca="1" aca="1" ref="DV45">IFERROR(IF(BC45*fxVal_normal=_CF!BC45,"",IF(OR(BC45="",NOT(ISNUMBER(BC45)),ISERROR(BC45),$B45=""),"",IF($I45=1,IFBLANK(_xldudf_CX_PUSH(BC45*fxVal_normal,CX_ENTITY,$B45,BC$11,BC$14,BC$44,),""),IF($I45=2,IFBLANK(_xldudf_CX_PUSH(BC45,CX_ENTITY,$B45,BC$11,BC$14,BC$44,),""),IF($I45=3,"",IFBLANK(_xldudf_CX_PUSH(BC45,CX_ENTITY,$B45,BC$11,BC$14,BC$44,),"")))))),"")</f>
        <v/>
      </c>
      <c r="DW45" s="1883" t="str" cm="1">
        <f t="array" ca="1" aca="1" ref="DW45">IFERROR(IF(BD45*fxVal_normal=_CF!BD45,"",IF(OR(BD45="",NOT(ISNUMBER(BD45)),ISERROR(BD45),$B45=""),"",IF($I45=1,IFBLANK(_xldudf_CX_PUSH(BD45*fxVal_normal,CX_ENTITY,$B45,BD$11,BD$14,BD$44,),""),IF($I45=2,IFBLANK(_xldudf_CX_PUSH(BD45,CX_ENTITY,$B45,BD$11,BD$14,BD$44,),""),IF($I45=3,"",IFBLANK(_xldudf_CX_PUSH(BD45,CX_ENTITY,$B45,BD$11,BD$14,BD$44,),"")))))),"")</f>
        <v/>
      </c>
      <c r="DX45" s="1883" t="str" cm="1">
        <f t="array" ca="1" aca="1" ref="DX45">IFERROR(IF(BE45*fxVal_normal=_CF!BE45,"",IF(OR(BE45="",NOT(ISNUMBER(BE45)),ISERROR(BE45),$B45=""),"",IF($I45=1,IFBLANK(_xldudf_CX_PUSH(BE45*fxVal_normal,CX_ENTITY,$B45,BE$11,BE$14,BE$44,),""),IF($I45=2,IFBLANK(_xldudf_CX_PUSH(BE45,CX_ENTITY,$B45,BE$11,BE$14,BE$44,),""),IF($I45=3,"",IFBLANK(_xldudf_CX_PUSH(BE45,CX_ENTITY,$B45,BE$11,BE$14,BE$44,),"")))))),"")</f>
        <v/>
      </c>
      <c r="DY45" s="1883" t="str" cm="1">
        <f t="array" ca="1" aca="1" ref="DY45">IFERROR(IF(BF45*fxVal_normal=_CF!BF45,"",IF(OR(BF45="",NOT(ISNUMBER(BF45)),ISERROR(BF45),$B45=""),"",IF($I45=1,IFBLANK(_xldudf_CX_PUSH(BF45*fxVal_normal,CX_ENTITY,$B45,BF$11,BF$14,BF$44,),""),IF($I45=2,IFBLANK(_xldudf_CX_PUSH(BF45,CX_ENTITY,$B45,BF$11,BF$14,BF$44,),""),IF($I45=3,"",IFBLANK(_xldudf_CX_PUSH(BF45,CX_ENTITY,$B45,BF$11,BF$14,BF$44,),"")))))),"")</f>
        <v/>
      </c>
      <c r="DZ45" s="1883" t="str" cm="1">
        <f t="array" ca="1" aca="1" ref="DZ45">IFERROR(IF(BG45*fxVal_normal=_CF!BG45,"",IF(OR(BG45="",NOT(ISNUMBER(BG45)),ISERROR(BG45),$B45=""),"",IF($I45=1,IFBLANK(_xldudf_CX_PUSH(BG45*fxVal_normal,CX_ENTITY,$B45,BG$11,BG$14,BG$44,),""),IF($I45=2,IFBLANK(_xldudf_CX_PUSH(BG45,CX_ENTITY,$B45,BG$11,BG$14,BG$44,),""),IF($I45=3,"",IFBLANK(_xldudf_CX_PUSH(BG45,CX_ENTITY,$B45,BG$11,BG$14,BG$44,),"")))))),"")</f>
        <v/>
      </c>
      <c r="EA45" s="1883" t="str" cm="1">
        <f t="array" ca="1" aca="1" ref="EA45">IFERROR(IF(BH45*fxVal_normal=_CF!BH45,"",IF(OR(BH45="",NOT(ISNUMBER(BH45)),ISERROR(BH45),$B45=""),"",IF($I45=1,IFBLANK(_xldudf_CX_PUSH(BH45*fxVal_normal,CX_ENTITY,$B45,BH$11,BH$14,BH$44,),""),IF($I45=2,IFBLANK(_xldudf_CX_PUSH(BH45,CX_ENTITY,$B45,BH$11,BH$14,BH$44,),""),IF($I45=3,"",IFBLANK(_xldudf_CX_PUSH(BH45,CX_ENTITY,$B45,BH$11,BH$14,BH$44,),"")))))),"")</f>
        <v/>
      </c>
      <c r="EB45" s="1883" t="str" cm="1">
        <f t="array" ca="1" aca="1" ref="EB45">IFERROR(IF(BI45*fxVal_normal=_CF!BI45,"",IF(OR(BI45="",NOT(ISNUMBER(BI45)),ISERROR(BI45),$B45=""),"",IF($I45=1,IFBLANK(_xldudf_CX_PUSH(BI45*fxVal_normal,CX_ENTITY,$B45,BI$11,BI$14,BI$44,),""),IF($I45=2,IFBLANK(_xldudf_CX_PUSH(BI45,CX_ENTITY,$B45,BI$11,BI$14,BI$44,),""),IF($I45=3,"",IFBLANK(_xldudf_CX_PUSH(BI45,CX_ENTITY,$B45,BI$11,BI$14,BI$44,),"")))))),"")</f>
        <v/>
      </c>
      <c r="EC45" s="1883" t="str" cm="1">
        <f t="array" ca="1" aca="1" ref="EC45">IFERROR(IF(BJ45*fxVal_normal=_CF!BJ45,"",IF(OR(BJ45="",NOT(ISNUMBER(BJ45)),ISERROR(BJ45),$B45=""),"",IF($I45=1,IFBLANK(_xldudf_CX_PUSH(BJ45*fxVal_normal,CX_ENTITY,$B45,BJ$11,BJ$14,BJ$44,),""),IF($I45=2,IFBLANK(_xldudf_CX_PUSH(BJ45,CX_ENTITY,$B45,BJ$11,BJ$14,BJ$44,),""),IF($I45=3,"",IFBLANK(_xldudf_CX_PUSH(BJ45,CX_ENTITY,$B45,BJ$11,BJ$14,BJ$44,),"")))))),"")</f>
        <v/>
      </c>
      <c r="ED45" s="1883" t="str" cm="1">
        <f t="array" ca="1" aca="1" ref="ED45">IFERROR(IF(BK45*fxVal_normal=_CF!BK45,"",IF(OR(BK45="",NOT(ISNUMBER(BK45)),ISERROR(BK45),$B45=""),"",IF($I45=1,IFBLANK(_xldudf_CX_PUSH(BK45*fxVal_normal,CX_ENTITY,$B45,BK$11,BK$14,BK$44,),""),IF($I45=2,IFBLANK(_xldudf_CX_PUSH(BK45,CX_ENTITY,$B45,BK$11,BK$14,BK$44,),""),IF($I45=3,"",IFBLANK(_xldudf_CX_PUSH(BK45,CX_ENTITY,$B45,BK$11,BK$14,BK$44,),"")))))),"")</f>
        <v/>
      </c>
      <c r="EE45" s="1883" t="str" cm="1">
        <f t="array" ca="1" aca="1" ref="EE45">IFERROR(IF(BL45*fxVal_normal=_CF!BL45,"",IF(OR(BL45="",NOT(ISNUMBER(BL45)),ISERROR(BL45),$B45=""),"",IF($I45=1,IFBLANK(_xldudf_CX_PUSH(BL45*fxVal_normal,CX_ENTITY,$B45,BL$11,BL$14,BL$44,),""),IF($I45=2,IFBLANK(_xldudf_CX_PUSH(BL45,CX_ENTITY,$B45,BL$11,BL$14,BL$44,),""),IF($I45=3,"",IFBLANK(_xldudf_CX_PUSH(BL45,CX_ENTITY,$B45,BL$11,BL$14,BL$44,),"")))))),"")</f>
        <v/>
      </c>
      <c r="EF45" s="1883" t="str" cm="1">
        <f t="array" ca="1" aca="1" ref="EF45">IFERROR(IF(BM45*fxVal_normal=_CF!BM45,"",IF(OR(BM45="",NOT(ISNUMBER(BM45)),ISERROR(BM45),$B45=""),"",IF($I45=1,IFBLANK(_xldudf_CX_PUSH(BM45*fxVal_normal,CX_ENTITY,$B45,BM$11,BM$14,BM$44,),""),IF($I45=2,IFBLANK(_xldudf_CX_PUSH(BM45,CX_ENTITY,$B45,BM$11,BM$14,BM$44,),""),IF($I45=3,"",IFBLANK(_xldudf_CX_PUSH(BM45,CX_ENTITY,$B45,BM$11,BM$14,BM$44,),"")))))),"")</f>
        <v/>
      </c>
      <c r="EG45" s="1883" t="str" cm="1">
        <f t="array" ca="1" aca="1" ref="EG45">IFERROR(IF(BN45*fxVal_normal=_CF!BN45,"",IF(OR(BN45="",NOT(ISNUMBER(BN45)),ISERROR(BN45),$B45=""),"",IF($I45=1,IFBLANK(_xldudf_CX_PUSH(BN45*fxVal_normal,CX_ENTITY,$B45,BN$11,BN$14,BN$44,),""),IF($I45=2,IFBLANK(_xldudf_CX_PUSH(BN45,CX_ENTITY,$B45,BN$11,BN$14,BN$44,),""),IF($I45=3,"",IFBLANK(_xldudf_CX_PUSH(BN45,CX_ENTITY,$B45,BN$11,BN$14,BN$44,),"")))))),"")</f>
        <v/>
      </c>
    </row>
    <row r="46" spans="1:137" ht="21" customHeight="1">
      <c r="A46" s="1626"/>
      <c r="B46" s="811" t="str" cm="1">
        <f t="array" ref="B46">IFBLANK(_CF!F46,"")</f>
        <v>Non-Cash Adjustments</v>
      </c>
      <c r="C46" s="811" t="str" cm="1">
        <f t="array" ref="C46">IFBLANK(_CF!C46,"")</f>
        <v>Non-Cash Adjustments (Company View)</v>
      </c>
      <c r="D46" s="1549"/>
      <c r="E46" s="811"/>
      <c r="F46" s="574"/>
      <c r="G46" s="574"/>
      <c r="H46" s="3280">
        <v>1</v>
      </c>
      <c r="I46" s="3280">
        <v>1</v>
      </c>
      <c r="J46" s="401"/>
      <c r="K46" s="401"/>
      <c r="N46" s="158"/>
      <c r="O46" s="101"/>
      <c r="P46" s="52"/>
      <c r="Q46" s="101"/>
      <c r="R46" s="126"/>
      <c r="S46" s="101"/>
      <c r="T46" s="101"/>
      <c r="U46" s="39"/>
      <c r="W46" s="932" t="str">
        <f>$W$45</f>
        <v>Budget</v>
      </c>
      <c r="X46" s="815" t="str">
        <f>_CF!X46</f>
        <v>a</v>
      </c>
      <c r="Y46" s="3192">
        <f>Y21</f>
        <v>2</v>
      </c>
      <c r="Z46" s="3291" cm="1">
        <f t="array" ref="Z46">_xlfn.SWITCH(TRUE,_CF!$L46=TRUE,1,_CF!$L46=FALSE,-1,_CF!$L46=-1,0,"n/a")</f>
        <v>1</v>
      </c>
      <c r="AA46" s="200"/>
      <c r="AB46" s="88" t="str">
        <f>_CF!AB46</f>
        <v>Non-Cash Adjustments</v>
      </c>
      <c r="AC46" s="88" t="e" vm="5" cm="1">
        <f t="array" ca="1" aca="1" ref="AC46">_xlfn.LET(_xlpm._termname,$AB46,_xlpm._iconname,"find",_xlpm._icon,fx_getIcon(_xlpm._iconname),_xlpm._location,_xlfn.XLOOKUP(LOWER(_xlpm._termname),LOWER(tbl_acctDef[Term]),tbl_acctDef[Term]),_xlpm._hyperlink,HYPERLINK("#"&amp;CELL("address",_xlpm._location),_xlpm._icon),IFERROR(_xlpm._hyperlink,""))</f>
        <v>#VALUE!</v>
      </c>
      <c r="AD46" s="3232">
        <v>1</v>
      </c>
      <c r="AE46" s="3232">
        <v>1</v>
      </c>
      <c r="AF46" s="3232">
        <v>1</v>
      </c>
      <c r="AG46" s="3232">
        <v>1</v>
      </c>
      <c r="AH46" s="3232">
        <v>1</v>
      </c>
      <c r="AI46" s="3232">
        <v>1</v>
      </c>
      <c r="AJ46" s="3232">
        <v>1</v>
      </c>
      <c r="AK46" s="3232">
        <v>1</v>
      </c>
      <c r="AL46" s="3232">
        <v>1</v>
      </c>
      <c r="AM46" s="3232">
        <v>1</v>
      </c>
      <c r="AN46" s="3232">
        <v>1</v>
      </c>
      <c r="AO46" s="3232">
        <v>1</v>
      </c>
      <c r="AP46" s="3232">
        <v>1</v>
      </c>
      <c r="AQ46" s="3232">
        <v>1</v>
      </c>
      <c r="AR46" s="3232">
        <v>1</v>
      </c>
      <c r="AS46" s="3232">
        <v>1</v>
      </c>
      <c r="AT46" s="3232">
        <v>1</v>
      </c>
      <c r="AU46" s="3232">
        <v>1</v>
      </c>
      <c r="AV46" s="3232">
        <v>1</v>
      </c>
      <c r="AW46" s="3232">
        <v>1</v>
      </c>
      <c r="AX46" s="3232">
        <v>1</v>
      </c>
      <c r="AY46" s="3232">
        <v>1</v>
      </c>
      <c r="AZ46" s="3232">
        <v>1</v>
      </c>
      <c r="BA46" s="3232">
        <v>1</v>
      </c>
      <c r="BB46" s="3232">
        <v>1</v>
      </c>
      <c r="BC46" s="3232">
        <v>1</v>
      </c>
      <c r="BD46" s="3232">
        <v>1</v>
      </c>
      <c r="BE46" s="3232">
        <v>1</v>
      </c>
      <c r="BF46" s="3232">
        <v>1</v>
      </c>
      <c r="BG46" s="3232">
        <v>1</v>
      </c>
      <c r="BH46" s="3232">
        <v>1</v>
      </c>
      <c r="BI46" s="3232">
        <v>1</v>
      </c>
      <c r="BJ46" s="3232">
        <v>1</v>
      </c>
      <c r="BK46" s="3232">
        <v>1</v>
      </c>
      <c r="BL46" s="3232">
        <v>1</v>
      </c>
      <c r="BM46" s="3232">
        <v>1</v>
      </c>
      <c r="BN46" s="3232">
        <v>1</v>
      </c>
      <c r="BO46" s="2115"/>
      <c r="BP46" s="2115"/>
      <c r="BQ46" s="2115"/>
      <c r="BR46" s="2115"/>
      <c r="BS46" s="2115"/>
      <c r="BT46" s="2115"/>
      <c r="BU46" s="2115"/>
      <c r="BV46" s="2115"/>
      <c r="BW46" s="2115"/>
      <c r="BX46" s="2115"/>
      <c r="BY46" s="2115"/>
      <c r="BZ46" s="2115"/>
      <c r="CA46" s="1330"/>
      <c r="CB46" s="537"/>
      <c r="CC46" s="1484"/>
      <c r="CD46" s="1461" t="e" cm="1">
        <f t="array" ca="1" aca="1" ref="CD46">_xlfn.LET(_xlpm.CheckBlank,SUM(CF!$AD46:$BN46)=0,IF(_xlpm.CheckBlank,"",SUM(_xlfn._xlws.FILTER(CF!$AD46:$BN46,(YEAR(CF!$AD$12:$BN$12)=CF!CD$12)*(array_timeline&lt;=CF!CD$11)))))</f>
        <v>#NAME?</v>
      </c>
      <c r="CE46" s="1461" t="e" cm="1">
        <f t="array" ca="1" aca="1" ref="CE46">_xlfn.LET(_xlpm.CheckBlank,SUM(CF!$AD46:$BN46)=0,IF(_xlpm.CheckBlank,"",SUM(_xlfn._xlws.FILTER(CF!$AD46:$BN46,(YEAR(CF!$AD$12:$BN$12)=CF!CE$12)*(array_timeline&lt;=CF!CE$11)))))</f>
        <v>#NAME?</v>
      </c>
      <c r="CF46" s="1314"/>
      <c r="CG46" s="1461" t="e" cm="1">
        <f t="array" ca="1" aca="1" ref="CG46">_xlfn.LET(_xlpm.CheckBlank,SUM(CF!$AD46:$BN46)=0,IF(_xlpm.CheckBlank,"",SUM(_xlfn._xlws.FILTER(CF!$AD46:$BN46,(YEAR(CF!$AD$12:$BN$12)=CF!CG$12)*(array_timeline&lt;=CF!CG$11)))))</f>
        <v>#NAME?</v>
      </c>
      <c r="CH46" s="1461" t="e" cm="1">
        <f t="array" ca="1" aca="1" ref="CH46">_xlfn.LET(_xlpm.CheckBlank,SUM(CF!$AD46:$BN46)=0,IF(_xlpm.CheckBlank,"",SUM(_xlfn._xlws.FILTER(CF!$AD46:$BN46,(YEAR(CF!$AD$12:$BN$12)=CF!CH$12)*(array_timeline&lt;=CF!CH$11)))))</f>
        <v>#NAME?</v>
      </c>
      <c r="CI46" s="1314"/>
      <c r="CJ46" s="1461" cm="1">
        <f t="array" ref="CJ46">_xlfn.LET(_xlpm.CheckBlank,SUM(CF!$AD46:$BN46)=0,IF(_xlpm.CheckBlank,"",SUM(_xlfn.TAKE(_xlfn.DROP(CF!$AD46:$BN46,,-DATEDIFF(CF!CJ$11,val_asOfDate,"M")),1,-12))))</f>
        <v>12</v>
      </c>
      <c r="CK46" s="1461" cm="1">
        <f t="array" ref="CK46">_xlfn.LET(_xlpm.CheckBlank,SUM(CF!$AD46:$BN46)=0,IF(_xlpm.CheckBlank,"",SUM(_xlfn.TAKE(_xlfn.DROP(CF!$AD46:$BN46,,-DATEDIFF(CF!CK$11,val_asOfDate,"M")),1,-12))))</f>
        <v>12</v>
      </c>
      <c r="CL46" s="1314"/>
      <c r="CM46" s="541" t="e">
        <f t="shared" ca="1" si="7"/>
        <v>#NAME?</v>
      </c>
      <c r="CN46" s="541" t="e">
        <f t="shared" ca="1" si="7"/>
        <v>#NAME?</v>
      </c>
      <c r="CO46" s="34"/>
      <c r="CW46" s="1883" t="str" cm="1">
        <f t="array" ca="1" aca="1" ref="CW46">IFERROR(IF(AD46*fxVal_normal=_CF!AD46,"",IF(OR(AD46="",NOT(ISNUMBER(AD46)),ISERROR(AD46),$B46=""),"",IF($I46=1,IFBLANK(_xldudf_CX_PUSH(AD46*fxVal_normal,CX_ENTITY,$B46,AD$11,AD$14,AD$44,),""),IF($I46=2,IFBLANK(_xldudf_CX_PUSH(AD46,CX_ENTITY,$B46,AD$11,AD$14,AD$44,),""),IF($I46=3,"",IFBLANK(_xldudf_CX_PUSH(AD46,CX_ENTITY,$B46,AD$11,AD$14,AD$44,),"")))))),"")</f>
        <v/>
      </c>
      <c r="CX46" s="1883" t="str" cm="1">
        <f t="array" ca="1" aca="1" ref="CX46">IFERROR(IF(AE46*fxVal_normal=_CF!AE46,"",IF(OR(AE46="",NOT(ISNUMBER(AE46)),ISERROR(AE46),$B46=""),"",IF($I46=1,IFBLANK(_xldudf_CX_PUSH(AE46*fxVal_normal,CX_ENTITY,$B46,AE$11,AE$14,AE$44,),""),IF($I46=2,IFBLANK(_xldudf_CX_PUSH(AE46,CX_ENTITY,$B46,AE$11,AE$14,AE$44,),""),IF($I46=3,"",IFBLANK(_xldudf_CX_PUSH(AE46,CX_ENTITY,$B46,AE$11,AE$14,AE$44,),"")))))),"")</f>
        <v/>
      </c>
      <c r="CY46" s="1883" t="str" cm="1">
        <f t="array" ca="1" aca="1" ref="CY46">IFERROR(IF(AF46*fxVal_normal=_CF!AF46,"",IF(OR(AF46="",NOT(ISNUMBER(AF46)),ISERROR(AF46),$B46=""),"",IF($I46=1,IFBLANK(_xldudf_CX_PUSH(AF46*fxVal_normal,CX_ENTITY,$B46,AF$11,AF$14,AF$44,),""),IF($I46=2,IFBLANK(_xldudf_CX_PUSH(AF46,CX_ENTITY,$B46,AF$11,AF$14,AF$44,),""),IF($I46=3,"",IFBLANK(_xldudf_CX_PUSH(AF46,CX_ENTITY,$B46,AF$11,AF$14,AF$44,),"")))))),"")</f>
        <v/>
      </c>
      <c r="CZ46" s="1883" t="str" cm="1">
        <f t="array" ca="1" aca="1" ref="CZ46">IFERROR(IF(AG46*fxVal_normal=_CF!AG46,"",IF(OR(AG46="",NOT(ISNUMBER(AG46)),ISERROR(AG46),$B46=""),"",IF($I46=1,IFBLANK(_xldudf_CX_PUSH(AG46*fxVal_normal,CX_ENTITY,$B46,AG$11,AG$14,AG$44,),""),IF($I46=2,IFBLANK(_xldudf_CX_PUSH(AG46,CX_ENTITY,$B46,AG$11,AG$14,AG$44,),""),IF($I46=3,"",IFBLANK(_xldudf_CX_PUSH(AG46,CX_ENTITY,$B46,AG$11,AG$14,AG$44,),"")))))),"")</f>
        <v/>
      </c>
      <c r="DA46" s="1883" t="str" cm="1">
        <f t="array" ca="1" aca="1" ref="DA46">IFERROR(IF(AH46*fxVal_normal=_CF!AH46,"",IF(OR(AH46="",NOT(ISNUMBER(AH46)),ISERROR(AH46),$B46=""),"",IF($I46=1,IFBLANK(_xldudf_CX_PUSH(AH46*fxVal_normal,CX_ENTITY,$B46,AH$11,AH$14,AH$44,),""),IF($I46=2,IFBLANK(_xldudf_CX_PUSH(AH46,CX_ENTITY,$B46,AH$11,AH$14,AH$44,),""),IF($I46=3,"",IFBLANK(_xldudf_CX_PUSH(AH46,CX_ENTITY,$B46,AH$11,AH$14,AH$44,),"")))))),"")</f>
        <v/>
      </c>
      <c r="DB46" s="1883" t="str" cm="1">
        <f t="array" ca="1" aca="1" ref="DB46">IFERROR(IF(AI46*fxVal_normal=_CF!AI46,"",IF(OR(AI46="",NOT(ISNUMBER(AI46)),ISERROR(AI46),$B46=""),"",IF($I46=1,IFBLANK(_xldudf_CX_PUSH(AI46*fxVal_normal,CX_ENTITY,$B46,AI$11,AI$14,AI$44,),""),IF($I46=2,IFBLANK(_xldudf_CX_PUSH(AI46,CX_ENTITY,$B46,AI$11,AI$14,AI$44,),""),IF($I46=3,"",IFBLANK(_xldudf_CX_PUSH(AI46,CX_ENTITY,$B46,AI$11,AI$14,AI$44,),"")))))),"")</f>
        <v/>
      </c>
      <c r="DC46" s="1883" t="str" cm="1">
        <f t="array" ca="1" aca="1" ref="DC46">IFERROR(IF(AJ46*fxVal_normal=_CF!AJ46,"",IF(OR(AJ46="",NOT(ISNUMBER(AJ46)),ISERROR(AJ46),$B46=""),"",IF($I46=1,IFBLANK(_xldudf_CX_PUSH(AJ46*fxVal_normal,CX_ENTITY,$B46,AJ$11,AJ$14,AJ$44,),""),IF($I46=2,IFBLANK(_xldudf_CX_PUSH(AJ46,CX_ENTITY,$B46,AJ$11,AJ$14,AJ$44,),""),IF($I46=3,"",IFBLANK(_xldudf_CX_PUSH(AJ46,CX_ENTITY,$B46,AJ$11,AJ$14,AJ$44,),"")))))),"")</f>
        <v/>
      </c>
      <c r="DD46" s="1883" t="str" cm="1">
        <f t="array" ca="1" aca="1" ref="DD46">IFERROR(IF(AK46*fxVal_normal=_CF!AK46,"",IF(OR(AK46="",NOT(ISNUMBER(AK46)),ISERROR(AK46),$B46=""),"",IF($I46=1,IFBLANK(_xldudf_CX_PUSH(AK46*fxVal_normal,CX_ENTITY,$B46,AK$11,AK$14,AK$44,),""),IF($I46=2,IFBLANK(_xldudf_CX_PUSH(AK46,CX_ENTITY,$B46,AK$11,AK$14,AK$44,),""),IF($I46=3,"",IFBLANK(_xldudf_CX_PUSH(AK46,CX_ENTITY,$B46,AK$11,AK$14,AK$44,),"")))))),"")</f>
        <v/>
      </c>
      <c r="DE46" s="1883" t="str" cm="1">
        <f t="array" ca="1" aca="1" ref="DE46">IFERROR(IF(AL46*fxVal_normal=_CF!AL46,"",IF(OR(AL46="",NOT(ISNUMBER(AL46)),ISERROR(AL46),$B46=""),"",IF($I46=1,IFBLANK(_xldudf_CX_PUSH(AL46*fxVal_normal,CX_ENTITY,$B46,AL$11,AL$14,AL$44,),""),IF($I46=2,IFBLANK(_xldudf_CX_PUSH(AL46,CX_ENTITY,$B46,AL$11,AL$14,AL$44,),""),IF($I46=3,"",IFBLANK(_xldudf_CX_PUSH(AL46,CX_ENTITY,$B46,AL$11,AL$14,AL$44,),"")))))),"")</f>
        <v/>
      </c>
      <c r="DF46" s="1883" t="str" cm="1">
        <f t="array" ca="1" aca="1" ref="DF46">IFERROR(IF(AM46*fxVal_normal=_CF!AM46,"",IF(OR(AM46="",NOT(ISNUMBER(AM46)),ISERROR(AM46),$B46=""),"",IF($I46=1,IFBLANK(_xldudf_CX_PUSH(AM46*fxVal_normal,CX_ENTITY,$B46,AM$11,AM$14,AM$44,),""),IF($I46=2,IFBLANK(_xldudf_CX_PUSH(AM46,CX_ENTITY,$B46,AM$11,AM$14,AM$44,),""),IF($I46=3,"",IFBLANK(_xldudf_CX_PUSH(AM46,CX_ENTITY,$B46,AM$11,AM$14,AM$44,),"")))))),"")</f>
        <v/>
      </c>
      <c r="DG46" s="1883" t="str" cm="1">
        <f t="array" ca="1" aca="1" ref="DG46">IFERROR(IF(AN46*fxVal_normal=_CF!AN46,"",IF(OR(AN46="",NOT(ISNUMBER(AN46)),ISERROR(AN46),$B46=""),"",IF($I46=1,IFBLANK(_xldudf_CX_PUSH(AN46*fxVal_normal,CX_ENTITY,$B46,AN$11,AN$14,AN$44,),""),IF($I46=2,IFBLANK(_xldudf_CX_PUSH(AN46,CX_ENTITY,$B46,AN$11,AN$14,AN$44,),""),IF($I46=3,"",IFBLANK(_xldudf_CX_PUSH(AN46,CX_ENTITY,$B46,AN$11,AN$14,AN$44,),"")))))),"")</f>
        <v/>
      </c>
      <c r="DH46" s="1883" t="str" cm="1">
        <f t="array" ca="1" aca="1" ref="DH46">IFERROR(IF(AO46*fxVal_normal=_CF!AO46,"",IF(OR(AO46="",NOT(ISNUMBER(AO46)),ISERROR(AO46),$B46=""),"",IF($I46=1,IFBLANK(_xldudf_CX_PUSH(AO46*fxVal_normal,CX_ENTITY,$B46,AO$11,AO$14,AO$44,),""),IF($I46=2,IFBLANK(_xldudf_CX_PUSH(AO46,CX_ENTITY,$B46,AO$11,AO$14,AO$44,),""),IF($I46=3,"",IFBLANK(_xldudf_CX_PUSH(AO46,CX_ENTITY,$B46,AO$11,AO$14,AO$44,),"")))))),"")</f>
        <v/>
      </c>
      <c r="DI46" s="1883" t="str" cm="1">
        <f t="array" ca="1" aca="1" ref="DI46">IFERROR(IF(AP46*fxVal_normal=_CF!AP46,"",IF(OR(AP46="",NOT(ISNUMBER(AP46)),ISERROR(AP46),$B46=""),"",IF($I46=1,IFBLANK(_xldudf_CX_PUSH(AP46*fxVal_normal,CX_ENTITY,$B46,AP$11,AP$14,AP$44,),""),IF($I46=2,IFBLANK(_xldudf_CX_PUSH(AP46,CX_ENTITY,$B46,AP$11,AP$14,AP$44,),""),IF($I46=3,"",IFBLANK(_xldudf_CX_PUSH(AP46,CX_ENTITY,$B46,AP$11,AP$14,AP$44,),"")))))),"")</f>
        <v/>
      </c>
      <c r="DJ46" s="1883" t="str" cm="1">
        <f t="array" ca="1" aca="1" ref="DJ46">IFERROR(IF(AQ46*fxVal_normal=_CF!AQ46,"",IF(OR(AQ46="",NOT(ISNUMBER(AQ46)),ISERROR(AQ46),$B46=""),"",IF($I46=1,IFBLANK(_xldudf_CX_PUSH(AQ46*fxVal_normal,CX_ENTITY,$B46,AQ$11,AQ$14,AQ$44,),""),IF($I46=2,IFBLANK(_xldudf_CX_PUSH(AQ46,CX_ENTITY,$B46,AQ$11,AQ$14,AQ$44,),""),IF($I46=3,"",IFBLANK(_xldudf_CX_PUSH(AQ46,CX_ENTITY,$B46,AQ$11,AQ$14,AQ$44,),"")))))),"")</f>
        <v/>
      </c>
      <c r="DK46" s="1883" t="str" cm="1">
        <f t="array" ca="1" aca="1" ref="DK46">IFERROR(IF(AR46*fxVal_normal=_CF!AR46,"",IF(OR(AR46="",NOT(ISNUMBER(AR46)),ISERROR(AR46),$B46=""),"",IF($I46=1,IFBLANK(_xldudf_CX_PUSH(AR46*fxVal_normal,CX_ENTITY,$B46,AR$11,AR$14,AR$44,),""),IF($I46=2,IFBLANK(_xldudf_CX_PUSH(AR46,CX_ENTITY,$B46,AR$11,AR$14,AR$44,),""),IF($I46=3,"",IFBLANK(_xldudf_CX_PUSH(AR46,CX_ENTITY,$B46,AR$11,AR$14,AR$44,),"")))))),"")</f>
        <v/>
      </c>
      <c r="DL46" s="1883" t="str" cm="1">
        <f t="array" ca="1" aca="1" ref="DL46">IFERROR(IF(AS46*fxVal_normal=_CF!AS46,"",IF(OR(AS46="",NOT(ISNUMBER(AS46)),ISERROR(AS46),$B46=""),"",IF($I46=1,IFBLANK(_xldudf_CX_PUSH(AS46*fxVal_normal,CX_ENTITY,$B46,AS$11,AS$14,AS$44,),""),IF($I46=2,IFBLANK(_xldudf_CX_PUSH(AS46,CX_ENTITY,$B46,AS$11,AS$14,AS$44,),""),IF($I46=3,"",IFBLANK(_xldudf_CX_PUSH(AS46,CX_ENTITY,$B46,AS$11,AS$14,AS$44,),"")))))),"")</f>
        <v/>
      </c>
      <c r="DM46" s="1883" t="str" cm="1">
        <f t="array" ca="1" aca="1" ref="DM46">IFERROR(IF(AT46*fxVal_normal=_CF!AT46,"",IF(OR(AT46="",NOT(ISNUMBER(AT46)),ISERROR(AT46),$B46=""),"",IF($I46=1,IFBLANK(_xldudf_CX_PUSH(AT46*fxVal_normal,CX_ENTITY,$B46,AT$11,AT$14,AT$44,),""),IF($I46=2,IFBLANK(_xldudf_CX_PUSH(AT46,CX_ENTITY,$B46,AT$11,AT$14,AT$44,),""),IF($I46=3,"",IFBLANK(_xldudf_CX_PUSH(AT46,CX_ENTITY,$B46,AT$11,AT$14,AT$44,),"")))))),"")</f>
        <v/>
      </c>
      <c r="DN46" s="1883" t="str" cm="1">
        <f t="array" ca="1" aca="1" ref="DN46">IFERROR(IF(AU46*fxVal_normal=_CF!AU46,"",IF(OR(AU46="",NOT(ISNUMBER(AU46)),ISERROR(AU46),$B46=""),"",IF($I46=1,IFBLANK(_xldudf_CX_PUSH(AU46*fxVal_normal,CX_ENTITY,$B46,AU$11,AU$14,AU$44,),""),IF($I46=2,IFBLANK(_xldudf_CX_PUSH(AU46,CX_ENTITY,$B46,AU$11,AU$14,AU$44,),""),IF($I46=3,"",IFBLANK(_xldudf_CX_PUSH(AU46,CX_ENTITY,$B46,AU$11,AU$14,AU$44,),"")))))),"")</f>
        <v/>
      </c>
      <c r="DO46" s="1883" t="str" cm="1">
        <f t="array" ca="1" aca="1" ref="DO46">IFERROR(IF(AV46*fxVal_normal=_CF!AV46,"",IF(OR(AV46="",NOT(ISNUMBER(AV46)),ISERROR(AV46),$B46=""),"",IF($I46=1,IFBLANK(_xldudf_CX_PUSH(AV46*fxVal_normal,CX_ENTITY,$B46,AV$11,AV$14,AV$44,),""),IF($I46=2,IFBLANK(_xldudf_CX_PUSH(AV46,CX_ENTITY,$B46,AV$11,AV$14,AV$44,),""),IF($I46=3,"",IFBLANK(_xldudf_CX_PUSH(AV46,CX_ENTITY,$B46,AV$11,AV$14,AV$44,),"")))))),"")</f>
        <v/>
      </c>
      <c r="DP46" s="1883" t="str" cm="1">
        <f t="array" ca="1" aca="1" ref="DP46">IFERROR(IF(AW46*fxVal_normal=_CF!AW46,"",IF(OR(AW46="",NOT(ISNUMBER(AW46)),ISERROR(AW46),$B46=""),"",IF($I46=1,IFBLANK(_xldudf_CX_PUSH(AW46*fxVal_normal,CX_ENTITY,$B46,AW$11,AW$14,AW$44,),""),IF($I46=2,IFBLANK(_xldudf_CX_PUSH(AW46,CX_ENTITY,$B46,AW$11,AW$14,AW$44,),""),IF($I46=3,"",IFBLANK(_xldudf_CX_PUSH(AW46,CX_ENTITY,$B46,AW$11,AW$14,AW$44,),"")))))),"")</f>
        <v/>
      </c>
      <c r="DQ46" s="1883" t="str" cm="1">
        <f t="array" ca="1" aca="1" ref="DQ46">IFERROR(IF(AX46*fxVal_normal=_CF!AX46,"",IF(OR(AX46="",NOT(ISNUMBER(AX46)),ISERROR(AX46),$B46=""),"",IF($I46=1,IFBLANK(_xldudf_CX_PUSH(AX46*fxVal_normal,CX_ENTITY,$B46,AX$11,AX$14,AX$44,),""),IF($I46=2,IFBLANK(_xldudf_CX_PUSH(AX46,CX_ENTITY,$B46,AX$11,AX$14,AX$44,),""),IF($I46=3,"",IFBLANK(_xldudf_CX_PUSH(AX46,CX_ENTITY,$B46,AX$11,AX$14,AX$44,),"")))))),"")</f>
        <v/>
      </c>
      <c r="DR46" s="1883" t="str" cm="1">
        <f t="array" ca="1" aca="1" ref="DR46">IFERROR(IF(AY46*fxVal_normal=_CF!AY46,"",IF(OR(AY46="",NOT(ISNUMBER(AY46)),ISERROR(AY46),$B46=""),"",IF($I46=1,IFBLANK(_xldudf_CX_PUSH(AY46*fxVal_normal,CX_ENTITY,$B46,AY$11,AY$14,AY$44,),""),IF($I46=2,IFBLANK(_xldudf_CX_PUSH(AY46,CX_ENTITY,$B46,AY$11,AY$14,AY$44,),""),IF($I46=3,"",IFBLANK(_xldudf_CX_PUSH(AY46,CX_ENTITY,$B46,AY$11,AY$14,AY$44,),"")))))),"")</f>
        <v/>
      </c>
      <c r="DS46" s="1883" t="str" cm="1">
        <f t="array" ca="1" aca="1" ref="DS46">IFERROR(IF(AZ46*fxVal_normal=_CF!AZ46,"",IF(OR(AZ46="",NOT(ISNUMBER(AZ46)),ISERROR(AZ46),$B46=""),"",IF($I46=1,IFBLANK(_xldudf_CX_PUSH(AZ46*fxVal_normal,CX_ENTITY,$B46,AZ$11,AZ$14,AZ$44,),""),IF($I46=2,IFBLANK(_xldudf_CX_PUSH(AZ46,CX_ENTITY,$B46,AZ$11,AZ$14,AZ$44,),""),IF($I46=3,"",IFBLANK(_xldudf_CX_PUSH(AZ46,CX_ENTITY,$B46,AZ$11,AZ$14,AZ$44,),"")))))),"")</f>
        <v/>
      </c>
      <c r="DT46" s="1883" t="str" cm="1">
        <f t="array" ca="1" aca="1" ref="DT46">IFERROR(IF(BA46*fxVal_normal=_CF!BA46,"",IF(OR(BA46="",NOT(ISNUMBER(BA46)),ISERROR(BA46),$B46=""),"",IF($I46=1,IFBLANK(_xldudf_CX_PUSH(BA46*fxVal_normal,CX_ENTITY,$B46,BA$11,BA$14,BA$44,),""),IF($I46=2,IFBLANK(_xldudf_CX_PUSH(BA46,CX_ENTITY,$B46,BA$11,BA$14,BA$44,),""),IF($I46=3,"",IFBLANK(_xldudf_CX_PUSH(BA46,CX_ENTITY,$B46,BA$11,BA$14,BA$44,),"")))))),"")</f>
        <v/>
      </c>
      <c r="DU46" s="1883" t="str" cm="1">
        <f t="array" ca="1" aca="1" ref="DU46">IFERROR(IF(BB46*fxVal_normal=_CF!BB46,"",IF(OR(BB46="",NOT(ISNUMBER(BB46)),ISERROR(BB46),$B46=""),"",IF($I46=1,IFBLANK(_xldudf_CX_PUSH(BB46*fxVal_normal,CX_ENTITY,$B46,BB$11,BB$14,BB$44,),""),IF($I46=2,IFBLANK(_xldudf_CX_PUSH(BB46,CX_ENTITY,$B46,BB$11,BB$14,BB$44,),""),IF($I46=3,"",IFBLANK(_xldudf_CX_PUSH(BB46,CX_ENTITY,$B46,BB$11,BB$14,BB$44,),"")))))),"")</f>
        <v/>
      </c>
      <c r="DV46" s="1883" t="str" cm="1">
        <f t="array" ca="1" aca="1" ref="DV46">IFERROR(IF(BC46*fxVal_normal=_CF!BC46,"",IF(OR(BC46="",NOT(ISNUMBER(BC46)),ISERROR(BC46),$B46=""),"",IF($I46=1,IFBLANK(_xldudf_CX_PUSH(BC46*fxVal_normal,CX_ENTITY,$B46,BC$11,BC$14,BC$44,),""),IF($I46=2,IFBLANK(_xldudf_CX_PUSH(BC46,CX_ENTITY,$B46,BC$11,BC$14,BC$44,),""),IF($I46=3,"",IFBLANK(_xldudf_CX_PUSH(BC46,CX_ENTITY,$B46,BC$11,BC$14,BC$44,),"")))))),"")</f>
        <v/>
      </c>
      <c r="DW46" s="1883" t="str" cm="1">
        <f t="array" ca="1" aca="1" ref="DW46">IFERROR(IF(BD46*fxVal_normal=_CF!BD46,"",IF(OR(BD46="",NOT(ISNUMBER(BD46)),ISERROR(BD46),$B46=""),"",IF($I46=1,IFBLANK(_xldudf_CX_PUSH(BD46*fxVal_normal,CX_ENTITY,$B46,BD$11,BD$14,BD$44,),""),IF($I46=2,IFBLANK(_xldudf_CX_PUSH(BD46,CX_ENTITY,$B46,BD$11,BD$14,BD$44,),""),IF($I46=3,"",IFBLANK(_xldudf_CX_PUSH(BD46,CX_ENTITY,$B46,BD$11,BD$14,BD$44,),"")))))),"")</f>
        <v/>
      </c>
      <c r="DX46" s="1883" t="str" cm="1">
        <f t="array" ca="1" aca="1" ref="DX46">IFERROR(IF(BE46*fxVal_normal=_CF!BE46,"",IF(OR(BE46="",NOT(ISNUMBER(BE46)),ISERROR(BE46),$B46=""),"",IF($I46=1,IFBLANK(_xldudf_CX_PUSH(BE46*fxVal_normal,CX_ENTITY,$B46,BE$11,BE$14,BE$44,),""),IF($I46=2,IFBLANK(_xldudf_CX_PUSH(BE46,CX_ENTITY,$B46,BE$11,BE$14,BE$44,),""),IF($I46=3,"",IFBLANK(_xldudf_CX_PUSH(BE46,CX_ENTITY,$B46,BE$11,BE$14,BE$44,),"")))))),"")</f>
        <v/>
      </c>
      <c r="DY46" s="1883" t="str" cm="1">
        <f t="array" ca="1" aca="1" ref="DY46">IFERROR(IF(BF46*fxVal_normal=_CF!BF46,"",IF(OR(BF46="",NOT(ISNUMBER(BF46)),ISERROR(BF46),$B46=""),"",IF($I46=1,IFBLANK(_xldudf_CX_PUSH(BF46*fxVal_normal,CX_ENTITY,$B46,BF$11,BF$14,BF$44,),""),IF($I46=2,IFBLANK(_xldudf_CX_PUSH(BF46,CX_ENTITY,$B46,BF$11,BF$14,BF$44,),""),IF($I46=3,"",IFBLANK(_xldudf_CX_PUSH(BF46,CX_ENTITY,$B46,BF$11,BF$14,BF$44,),"")))))),"")</f>
        <v/>
      </c>
      <c r="DZ46" s="1883" t="str" cm="1">
        <f t="array" ca="1" aca="1" ref="DZ46">IFERROR(IF(BG46*fxVal_normal=_CF!BG46,"",IF(OR(BG46="",NOT(ISNUMBER(BG46)),ISERROR(BG46),$B46=""),"",IF($I46=1,IFBLANK(_xldudf_CX_PUSH(BG46*fxVal_normal,CX_ENTITY,$B46,BG$11,BG$14,BG$44,),""),IF($I46=2,IFBLANK(_xldudf_CX_PUSH(BG46,CX_ENTITY,$B46,BG$11,BG$14,BG$44,),""),IF($I46=3,"",IFBLANK(_xldudf_CX_PUSH(BG46,CX_ENTITY,$B46,BG$11,BG$14,BG$44,),"")))))),"")</f>
        <v/>
      </c>
      <c r="EA46" s="1883" t="str" cm="1">
        <f t="array" ca="1" aca="1" ref="EA46">IFERROR(IF(BH46*fxVal_normal=_CF!BH46,"",IF(OR(BH46="",NOT(ISNUMBER(BH46)),ISERROR(BH46),$B46=""),"",IF($I46=1,IFBLANK(_xldudf_CX_PUSH(BH46*fxVal_normal,CX_ENTITY,$B46,BH$11,BH$14,BH$44,),""),IF($I46=2,IFBLANK(_xldudf_CX_PUSH(BH46,CX_ENTITY,$B46,BH$11,BH$14,BH$44,),""),IF($I46=3,"",IFBLANK(_xldudf_CX_PUSH(BH46,CX_ENTITY,$B46,BH$11,BH$14,BH$44,),"")))))),"")</f>
        <v/>
      </c>
      <c r="EB46" s="1883" t="str" cm="1">
        <f t="array" ca="1" aca="1" ref="EB46">IFERROR(IF(BI46*fxVal_normal=_CF!BI46,"",IF(OR(BI46="",NOT(ISNUMBER(BI46)),ISERROR(BI46),$B46=""),"",IF($I46=1,IFBLANK(_xldudf_CX_PUSH(BI46*fxVal_normal,CX_ENTITY,$B46,BI$11,BI$14,BI$44,),""),IF($I46=2,IFBLANK(_xldudf_CX_PUSH(BI46,CX_ENTITY,$B46,BI$11,BI$14,BI$44,),""),IF($I46=3,"",IFBLANK(_xldudf_CX_PUSH(BI46,CX_ENTITY,$B46,BI$11,BI$14,BI$44,),"")))))),"")</f>
        <v/>
      </c>
      <c r="EC46" s="1883" t="str" cm="1">
        <f t="array" ca="1" aca="1" ref="EC46">IFERROR(IF(BJ46*fxVal_normal=_CF!BJ46,"",IF(OR(BJ46="",NOT(ISNUMBER(BJ46)),ISERROR(BJ46),$B46=""),"",IF($I46=1,IFBLANK(_xldudf_CX_PUSH(BJ46*fxVal_normal,CX_ENTITY,$B46,BJ$11,BJ$14,BJ$44,),""),IF($I46=2,IFBLANK(_xldudf_CX_PUSH(BJ46,CX_ENTITY,$B46,BJ$11,BJ$14,BJ$44,),""),IF($I46=3,"",IFBLANK(_xldudf_CX_PUSH(BJ46,CX_ENTITY,$B46,BJ$11,BJ$14,BJ$44,),"")))))),"")</f>
        <v/>
      </c>
      <c r="ED46" s="1883" t="str" cm="1">
        <f t="array" ca="1" aca="1" ref="ED46">IFERROR(IF(BK46*fxVal_normal=_CF!BK46,"",IF(OR(BK46="",NOT(ISNUMBER(BK46)),ISERROR(BK46),$B46=""),"",IF($I46=1,IFBLANK(_xldudf_CX_PUSH(BK46*fxVal_normal,CX_ENTITY,$B46,BK$11,BK$14,BK$44,),""),IF($I46=2,IFBLANK(_xldudf_CX_PUSH(BK46,CX_ENTITY,$B46,BK$11,BK$14,BK$44,),""),IF($I46=3,"",IFBLANK(_xldudf_CX_PUSH(BK46,CX_ENTITY,$B46,BK$11,BK$14,BK$44,),"")))))),"")</f>
        <v/>
      </c>
      <c r="EE46" s="1883" t="str" cm="1">
        <f t="array" ca="1" aca="1" ref="EE46">IFERROR(IF(BL46*fxVal_normal=_CF!BL46,"",IF(OR(BL46="",NOT(ISNUMBER(BL46)),ISERROR(BL46),$B46=""),"",IF($I46=1,IFBLANK(_xldudf_CX_PUSH(BL46*fxVal_normal,CX_ENTITY,$B46,BL$11,BL$14,BL$44,),""),IF($I46=2,IFBLANK(_xldudf_CX_PUSH(BL46,CX_ENTITY,$B46,BL$11,BL$14,BL$44,),""),IF($I46=3,"",IFBLANK(_xldudf_CX_PUSH(BL46,CX_ENTITY,$B46,BL$11,BL$14,BL$44,),"")))))),"")</f>
        <v/>
      </c>
      <c r="EF46" s="1883" t="str" cm="1">
        <f t="array" ca="1" aca="1" ref="EF46">IFERROR(IF(BM46*fxVal_normal=_CF!BM46,"",IF(OR(BM46="",NOT(ISNUMBER(BM46)),ISERROR(BM46),$B46=""),"",IF($I46=1,IFBLANK(_xldudf_CX_PUSH(BM46*fxVal_normal,CX_ENTITY,$B46,BM$11,BM$14,BM$44,),""),IF($I46=2,IFBLANK(_xldudf_CX_PUSH(BM46,CX_ENTITY,$B46,BM$11,BM$14,BM$44,),""),IF($I46=3,"",IFBLANK(_xldudf_CX_PUSH(BM46,CX_ENTITY,$B46,BM$11,BM$14,BM$44,),"")))))),"")</f>
        <v/>
      </c>
      <c r="EG46" s="1883" t="str" cm="1">
        <f t="array" ca="1" aca="1" ref="EG46">IFERROR(IF(BN46*fxVal_normal=_CF!BN46,"",IF(OR(BN46="",NOT(ISNUMBER(BN46)),ISERROR(BN46),$B46=""),"",IF($I46=1,IFBLANK(_xldudf_CX_PUSH(BN46*fxVal_normal,CX_ENTITY,$B46,BN$11,BN$14,BN$44,),""),IF($I46=2,IFBLANK(_xldudf_CX_PUSH(BN46,CX_ENTITY,$B46,BN$11,BN$14,BN$44,),""),IF($I46=3,"",IFBLANK(_xldudf_CX_PUSH(BN46,CX_ENTITY,$B46,BN$11,BN$14,BN$44,),"")))))),"")</f>
        <v/>
      </c>
    </row>
    <row r="47" spans="1:137" ht="21" customHeight="1">
      <c r="A47" s="1626"/>
      <c r="B47" s="811" t="str" cm="1">
        <f t="array" ref="B47">IFBLANK(_CF!F47,"")</f>
        <v>(Increase)/Decrease in NWC</v>
      </c>
      <c r="C47" s="811" t="str" cm="1">
        <f t="array" ref="C47">IFBLANK(_CF!C47,"")</f>
        <v>(Increase)/Decrease in NWC (Company View)</v>
      </c>
      <c r="D47" s="1549"/>
      <c r="E47" s="811"/>
      <c r="F47" s="574"/>
      <c r="G47" s="574"/>
      <c r="H47" s="3280">
        <v>1</v>
      </c>
      <c r="I47" s="3280">
        <v>1</v>
      </c>
      <c r="J47" s="401"/>
      <c r="K47" s="401"/>
      <c r="N47" s="158"/>
      <c r="O47" s="101"/>
      <c r="P47" s="52"/>
      <c r="Q47" s="101"/>
      <c r="R47" s="126"/>
      <c r="S47" s="101"/>
      <c r="T47" s="101"/>
      <c r="U47" s="39"/>
      <c r="W47" s="932" t="str">
        <f t="shared" si="8" ref="W47:W62">$W$45</f>
        <v>Budget</v>
      </c>
      <c r="X47" s="815" t="str">
        <f>_CF!X47</f>
        <v>a</v>
      </c>
      <c r="Y47" s="3192">
        <f t="shared" si="6"/>
        <v>2</v>
      </c>
      <c r="Z47" s="3291" cm="1">
        <f t="array" ref="Z47">_xlfn.SWITCH(TRUE,_CF!$L47=TRUE,1,_CF!$L47=FALSE,-1,_CF!$L47=-1,0,"n/a")</f>
        <v>1</v>
      </c>
      <c r="AA47" s="200"/>
      <c r="AB47" s="88" t="str">
        <f>_CF!AB47</f>
        <v>(Increase)/Decrease in NWC</v>
      </c>
      <c r="AC47" s="88" t="e" vm="5" cm="1">
        <f t="array" ca="1" aca="1" ref="AC47">_xlfn.LET(_xlpm._termname,$AB47,_xlpm._iconname,"find",_xlpm._icon,fx_getIcon(_xlpm._iconname),_xlpm._location,_xlfn.XLOOKUP(LOWER(_xlpm._termname),LOWER(tbl_acctDef[Term]),tbl_acctDef[Term]),_xlpm._hyperlink,HYPERLINK("#"&amp;CELL("address",_xlpm._location),_xlpm._icon),IFERROR(_xlpm._hyperlink,""))</f>
        <v>#VALUE!</v>
      </c>
      <c r="AD47" s="3232">
        <v>1</v>
      </c>
      <c r="AE47" s="3232">
        <v>1</v>
      </c>
      <c r="AF47" s="3232">
        <v>1</v>
      </c>
      <c r="AG47" s="3232">
        <v>1</v>
      </c>
      <c r="AH47" s="3232">
        <v>1</v>
      </c>
      <c r="AI47" s="3232">
        <v>1</v>
      </c>
      <c r="AJ47" s="3232">
        <v>1</v>
      </c>
      <c r="AK47" s="3232">
        <v>1</v>
      </c>
      <c r="AL47" s="3232">
        <v>1</v>
      </c>
      <c r="AM47" s="3232">
        <v>1</v>
      </c>
      <c r="AN47" s="3232">
        <v>1</v>
      </c>
      <c r="AO47" s="3232">
        <v>1</v>
      </c>
      <c r="AP47" s="3232">
        <v>1</v>
      </c>
      <c r="AQ47" s="3232">
        <v>1</v>
      </c>
      <c r="AR47" s="3232">
        <v>1</v>
      </c>
      <c r="AS47" s="3232">
        <v>1</v>
      </c>
      <c r="AT47" s="3232">
        <v>1</v>
      </c>
      <c r="AU47" s="3232">
        <v>1</v>
      </c>
      <c r="AV47" s="3232">
        <v>1</v>
      </c>
      <c r="AW47" s="3232">
        <v>1</v>
      </c>
      <c r="AX47" s="3232">
        <v>1</v>
      </c>
      <c r="AY47" s="3232">
        <v>1</v>
      </c>
      <c r="AZ47" s="3232">
        <v>1</v>
      </c>
      <c r="BA47" s="3232">
        <v>1</v>
      </c>
      <c r="BB47" s="3232">
        <v>1</v>
      </c>
      <c r="BC47" s="3232">
        <v>1</v>
      </c>
      <c r="BD47" s="3232">
        <v>1</v>
      </c>
      <c r="BE47" s="3232">
        <v>1</v>
      </c>
      <c r="BF47" s="3232">
        <v>1</v>
      </c>
      <c r="BG47" s="3232">
        <v>1</v>
      </c>
      <c r="BH47" s="3232">
        <v>1</v>
      </c>
      <c r="BI47" s="3232">
        <v>1</v>
      </c>
      <c r="BJ47" s="3232">
        <v>1</v>
      </c>
      <c r="BK47" s="3232">
        <v>1</v>
      </c>
      <c r="BL47" s="3232">
        <v>1</v>
      </c>
      <c r="BM47" s="3232">
        <v>1</v>
      </c>
      <c r="BN47" s="3232">
        <v>1</v>
      </c>
      <c r="BO47" s="2115"/>
      <c r="BP47" s="2115"/>
      <c r="BQ47" s="2115"/>
      <c r="BR47" s="2115"/>
      <c r="BS47" s="2115"/>
      <c r="BT47" s="2115"/>
      <c r="BU47" s="2115"/>
      <c r="BV47" s="2115"/>
      <c r="BW47" s="2115"/>
      <c r="BX47" s="2115"/>
      <c r="BY47" s="2115"/>
      <c r="BZ47" s="2115"/>
      <c r="CA47" s="1330"/>
      <c r="CB47" s="537"/>
      <c r="CC47" s="1484"/>
      <c r="CD47" s="1461" t="e" cm="1">
        <f t="array" ca="1" aca="1" ref="CD47">_xlfn.LET(_xlpm.CheckBlank,SUM(CF!$AD47:$BN47)=0,IF(_xlpm.CheckBlank,"",SUM(_xlfn._xlws.FILTER(CF!$AD47:$BN47,(YEAR(CF!$AD$12:$BN$12)=CF!CD$12)*(array_timeline&lt;=CF!CD$11)))))</f>
        <v>#NAME?</v>
      </c>
      <c r="CE47" s="1461" t="e" cm="1">
        <f t="array" ca="1" aca="1" ref="CE47">_xlfn.LET(_xlpm.CheckBlank,SUM(CF!$AD47:$BN47)=0,IF(_xlpm.CheckBlank,"",SUM(_xlfn._xlws.FILTER(CF!$AD47:$BN47,(YEAR(CF!$AD$12:$BN$12)=CF!CE$12)*(array_timeline&lt;=CF!CE$11)))))</f>
        <v>#NAME?</v>
      </c>
      <c r="CF47" s="1314"/>
      <c r="CG47" s="1461" t="e" cm="1">
        <f t="array" ca="1" aca="1" ref="CG47">_xlfn.LET(_xlpm.CheckBlank,SUM(CF!$AD47:$BN47)=0,IF(_xlpm.CheckBlank,"",SUM(_xlfn._xlws.FILTER(CF!$AD47:$BN47,(YEAR(CF!$AD$12:$BN$12)=CF!CG$12)*(array_timeline&lt;=CF!CG$11)))))</f>
        <v>#NAME?</v>
      </c>
      <c r="CH47" s="1461" t="e" cm="1">
        <f t="array" ca="1" aca="1" ref="CH47">_xlfn.LET(_xlpm.CheckBlank,SUM(CF!$AD47:$BN47)=0,IF(_xlpm.CheckBlank,"",SUM(_xlfn._xlws.FILTER(CF!$AD47:$BN47,(YEAR(CF!$AD$12:$BN$12)=CF!CH$12)*(array_timeline&lt;=CF!CH$11)))))</f>
        <v>#NAME?</v>
      </c>
      <c r="CI47" s="1314"/>
      <c r="CJ47" s="1461" cm="1">
        <f t="array" ref="CJ47">_xlfn.LET(_xlpm.CheckBlank,SUM(CF!$AD47:$BN47)=0,IF(_xlpm.CheckBlank,"",SUM(_xlfn.TAKE(_xlfn.DROP(CF!$AD47:$BN47,,-DATEDIFF(CF!CJ$11,val_asOfDate,"M")),1,-12))))</f>
        <v>12</v>
      </c>
      <c r="CK47" s="1461" cm="1">
        <f t="array" ref="CK47">_xlfn.LET(_xlpm.CheckBlank,SUM(CF!$AD47:$BN47)=0,IF(_xlpm.CheckBlank,"",SUM(_xlfn.TAKE(_xlfn.DROP(CF!$AD47:$BN47,,-DATEDIFF(CF!CK$11,val_asOfDate,"M")),1,-12))))</f>
        <v>12</v>
      </c>
      <c r="CL47" s="1314"/>
      <c r="CM47" s="541" t="e">
        <f t="shared" ca="1" si="7"/>
        <v>#NAME?</v>
      </c>
      <c r="CN47" s="541" t="e">
        <f t="shared" ca="1" si="7"/>
        <v>#NAME?</v>
      </c>
      <c r="CO47" s="34"/>
      <c r="CW47" s="1883" t="str" cm="1">
        <f t="array" ca="1" aca="1" ref="CW47">IFERROR(IF(AD47*fxVal_normal=_CF!AD47,"",IF(OR(AD47="",NOT(ISNUMBER(AD47)),ISERROR(AD47),$B47=""),"",IF($I47=1,IFBLANK(_xldudf_CX_PUSH(AD47*fxVal_normal,CX_ENTITY,$B47,AD$11,AD$14,AD$44,),""),IF($I47=2,IFBLANK(_xldudf_CX_PUSH(AD47,CX_ENTITY,$B47,AD$11,AD$14,AD$44,),""),IF($I47=3,"",IFBLANK(_xldudf_CX_PUSH(AD47,CX_ENTITY,$B47,AD$11,AD$14,AD$44,),"")))))),"")</f>
        <v/>
      </c>
      <c r="CX47" s="1883" t="str" cm="1">
        <f t="array" ca="1" aca="1" ref="CX47">IFERROR(IF(AE47*fxVal_normal=_CF!AE47,"",IF(OR(AE47="",NOT(ISNUMBER(AE47)),ISERROR(AE47),$B47=""),"",IF($I47=1,IFBLANK(_xldudf_CX_PUSH(AE47*fxVal_normal,CX_ENTITY,$B47,AE$11,AE$14,AE$44,),""),IF($I47=2,IFBLANK(_xldudf_CX_PUSH(AE47,CX_ENTITY,$B47,AE$11,AE$14,AE$44,),""),IF($I47=3,"",IFBLANK(_xldudf_CX_PUSH(AE47,CX_ENTITY,$B47,AE$11,AE$14,AE$44,),"")))))),"")</f>
        <v/>
      </c>
      <c r="CY47" s="1883" t="str" cm="1">
        <f t="array" ca="1" aca="1" ref="CY47">IFERROR(IF(AF47*fxVal_normal=_CF!AF47,"",IF(OR(AF47="",NOT(ISNUMBER(AF47)),ISERROR(AF47),$B47=""),"",IF($I47=1,IFBLANK(_xldudf_CX_PUSH(AF47*fxVal_normal,CX_ENTITY,$B47,AF$11,AF$14,AF$44,),""),IF($I47=2,IFBLANK(_xldudf_CX_PUSH(AF47,CX_ENTITY,$B47,AF$11,AF$14,AF$44,),""),IF($I47=3,"",IFBLANK(_xldudf_CX_PUSH(AF47,CX_ENTITY,$B47,AF$11,AF$14,AF$44,),"")))))),"")</f>
        <v/>
      </c>
      <c r="CZ47" s="1883" t="str" cm="1">
        <f t="array" ca="1" aca="1" ref="CZ47">IFERROR(IF(AG47*fxVal_normal=_CF!AG47,"",IF(OR(AG47="",NOT(ISNUMBER(AG47)),ISERROR(AG47),$B47=""),"",IF($I47=1,IFBLANK(_xldudf_CX_PUSH(AG47*fxVal_normal,CX_ENTITY,$B47,AG$11,AG$14,AG$44,),""),IF($I47=2,IFBLANK(_xldudf_CX_PUSH(AG47,CX_ENTITY,$B47,AG$11,AG$14,AG$44,),""),IF($I47=3,"",IFBLANK(_xldudf_CX_PUSH(AG47,CX_ENTITY,$B47,AG$11,AG$14,AG$44,),"")))))),"")</f>
        <v/>
      </c>
      <c r="DA47" s="1883" t="str" cm="1">
        <f t="array" ca="1" aca="1" ref="DA47">IFERROR(IF(AH47*fxVal_normal=_CF!AH47,"",IF(OR(AH47="",NOT(ISNUMBER(AH47)),ISERROR(AH47),$B47=""),"",IF($I47=1,IFBLANK(_xldudf_CX_PUSH(AH47*fxVal_normal,CX_ENTITY,$B47,AH$11,AH$14,AH$44,),""),IF($I47=2,IFBLANK(_xldudf_CX_PUSH(AH47,CX_ENTITY,$B47,AH$11,AH$14,AH$44,),""),IF($I47=3,"",IFBLANK(_xldudf_CX_PUSH(AH47,CX_ENTITY,$B47,AH$11,AH$14,AH$44,),"")))))),"")</f>
        <v/>
      </c>
      <c r="DB47" s="1883" t="str" cm="1">
        <f t="array" ca="1" aca="1" ref="DB47">IFERROR(IF(AI47*fxVal_normal=_CF!AI47,"",IF(OR(AI47="",NOT(ISNUMBER(AI47)),ISERROR(AI47),$B47=""),"",IF($I47=1,IFBLANK(_xldudf_CX_PUSH(AI47*fxVal_normal,CX_ENTITY,$B47,AI$11,AI$14,AI$44,),""),IF($I47=2,IFBLANK(_xldudf_CX_PUSH(AI47,CX_ENTITY,$B47,AI$11,AI$14,AI$44,),""),IF($I47=3,"",IFBLANK(_xldudf_CX_PUSH(AI47,CX_ENTITY,$B47,AI$11,AI$14,AI$44,),"")))))),"")</f>
        <v/>
      </c>
      <c r="DC47" s="1883" t="str" cm="1">
        <f t="array" ca="1" aca="1" ref="DC47">IFERROR(IF(AJ47*fxVal_normal=_CF!AJ47,"",IF(OR(AJ47="",NOT(ISNUMBER(AJ47)),ISERROR(AJ47),$B47=""),"",IF($I47=1,IFBLANK(_xldudf_CX_PUSH(AJ47*fxVal_normal,CX_ENTITY,$B47,AJ$11,AJ$14,AJ$44,),""),IF($I47=2,IFBLANK(_xldudf_CX_PUSH(AJ47,CX_ENTITY,$B47,AJ$11,AJ$14,AJ$44,),""),IF($I47=3,"",IFBLANK(_xldudf_CX_PUSH(AJ47,CX_ENTITY,$B47,AJ$11,AJ$14,AJ$44,),"")))))),"")</f>
        <v/>
      </c>
      <c r="DD47" s="1883" t="str" cm="1">
        <f t="array" ca="1" aca="1" ref="DD47">IFERROR(IF(AK47*fxVal_normal=_CF!AK47,"",IF(OR(AK47="",NOT(ISNUMBER(AK47)),ISERROR(AK47),$B47=""),"",IF($I47=1,IFBLANK(_xldudf_CX_PUSH(AK47*fxVal_normal,CX_ENTITY,$B47,AK$11,AK$14,AK$44,),""),IF($I47=2,IFBLANK(_xldudf_CX_PUSH(AK47,CX_ENTITY,$B47,AK$11,AK$14,AK$44,),""),IF($I47=3,"",IFBLANK(_xldudf_CX_PUSH(AK47,CX_ENTITY,$B47,AK$11,AK$14,AK$44,),"")))))),"")</f>
        <v/>
      </c>
      <c r="DE47" s="1883" t="str" cm="1">
        <f t="array" ca="1" aca="1" ref="DE47">IFERROR(IF(AL47*fxVal_normal=_CF!AL47,"",IF(OR(AL47="",NOT(ISNUMBER(AL47)),ISERROR(AL47),$B47=""),"",IF($I47=1,IFBLANK(_xldudf_CX_PUSH(AL47*fxVal_normal,CX_ENTITY,$B47,AL$11,AL$14,AL$44,),""),IF($I47=2,IFBLANK(_xldudf_CX_PUSH(AL47,CX_ENTITY,$B47,AL$11,AL$14,AL$44,),""),IF($I47=3,"",IFBLANK(_xldudf_CX_PUSH(AL47,CX_ENTITY,$B47,AL$11,AL$14,AL$44,),"")))))),"")</f>
        <v/>
      </c>
      <c r="DF47" s="1883" t="str" cm="1">
        <f t="array" ca="1" aca="1" ref="DF47">IFERROR(IF(AM47*fxVal_normal=_CF!AM47,"",IF(OR(AM47="",NOT(ISNUMBER(AM47)),ISERROR(AM47),$B47=""),"",IF($I47=1,IFBLANK(_xldudf_CX_PUSH(AM47*fxVal_normal,CX_ENTITY,$B47,AM$11,AM$14,AM$44,),""),IF($I47=2,IFBLANK(_xldudf_CX_PUSH(AM47,CX_ENTITY,$B47,AM$11,AM$14,AM$44,),""),IF($I47=3,"",IFBLANK(_xldudf_CX_PUSH(AM47,CX_ENTITY,$B47,AM$11,AM$14,AM$44,),"")))))),"")</f>
        <v/>
      </c>
      <c r="DG47" s="1883" t="str" cm="1">
        <f t="array" ca="1" aca="1" ref="DG47">IFERROR(IF(AN47*fxVal_normal=_CF!AN47,"",IF(OR(AN47="",NOT(ISNUMBER(AN47)),ISERROR(AN47),$B47=""),"",IF($I47=1,IFBLANK(_xldudf_CX_PUSH(AN47*fxVal_normal,CX_ENTITY,$B47,AN$11,AN$14,AN$44,),""),IF($I47=2,IFBLANK(_xldudf_CX_PUSH(AN47,CX_ENTITY,$B47,AN$11,AN$14,AN$44,),""),IF($I47=3,"",IFBLANK(_xldudf_CX_PUSH(AN47,CX_ENTITY,$B47,AN$11,AN$14,AN$44,),"")))))),"")</f>
        <v/>
      </c>
      <c r="DH47" s="1883" t="str" cm="1">
        <f t="array" ca="1" aca="1" ref="DH47">IFERROR(IF(AO47*fxVal_normal=_CF!AO47,"",IF(OR(AO47="",NOT(ISNUMBER(AO47)),ISERROR(AO47),$B47=""),"",IF($I47=1,IFBLANK(_xldudf_CX_PUSH(AO47*fxVal_normal,CX_ENTITY,$B47,AO$11,AO$14,AO$44,),""),IF($I47=2,IFBLANK(_xldudf_CX_PUSH(AO47,CX_ENTITY,$B47,AO$11,AO$14,AO$44,),""),IF($I47=3,"",IFBLANK(_xldudf_CX_PUSH(AO47,CX_ENTITY,$B47,AO$11,AO$14,AO$44,),"")))))),"")</f>
        <v/>
      </c>
      <c r="DI47" s="1883" t="str" cm="1">
        <f t="array" ca="1" aca="1" ref="DI47">IFERROR(IF(AP47*fxVal_normal=_CF!AP47,"",IF(OR(AP47="",NOT(ISNUMBER(AP47)),ISERROR(AP47),$B47=""),"",IF($I47=1,IFBLANK(_xldudf_CX_PUSH(AP47*fxVal_normal,CX_ENTITY,$B47,AP$11,AP$14,AP$44,),""),IF($I47=2,IFBLANK(_xldudf_CX_PUSH(AP47,CX_ENTITY,$B47,AP$11,AP$14,AP$44,),""),IF($I47=3,"",IFBLANK(_xldudf_CX_PUSH(AP47,CX_ENTITY,$B47,AP$11,AP$14,AP$44,),"")))))),"")</f>
        <v/>
      </c>
      <c r="DJ47" s="1883" t="str" cm="1">
        <f t="array" ca="1" aca="1" ref="DJ47">IFERROR(IF(AQ47*fxVal_normal=_CF!AQ47,"",IF(OR(AQ47="",NOT(ISNUMBER(AQ47)),ISERROR(AQ47),$B47=""),"",IF($I47=1,IFBLANK(_xldudf_CX_PUSH(AQ47*fxVal_normal,CX_ENTITY,$B47,AQ$11,AQ$14,AQ$44,),""),IF($I47=2,IFBLANK(_xldudf_CX_PUSH(AQ47,CX_ENTITY,$B47,AQ$11,AQ$14,AQ$44,),""),IF($I47=3,"",IFBLANK(_xldudf_CX_PUSH(AQ47,CX_ENTITY,$B47,AQ$11,AQ$14,AQ$44,),"")))))),"")</f>
        <v/>
      </c>
      <c r="DK47" s="1883" t="str" cm="1">
        <f t="array" ca="1" aca="1" ref="DK47">IFERROR(IF(AR47*fxVal_normal=_CF!AR47,"",IF(OR(AR47="",NOT(ISNUMBER(AR47)),ISERROR(AR47),$B47=""),"",IF($I47=1,IFBLANK(_xldudf_CX_PUSH(AR47*fxVal_normal,CX_ENTITY,$B47,AR$11,AR$14,AR$44,),""),IF($I47=2,IFBLANK(_xldudf_CX_PUSH(AR47,CX_ENTITY,$B47,AR$11,AR$14,AR$44,),""),IF($I47=3,"",IFBLANK(_xldudf_CX_PUSH(AR47,CX_ENTITY,$B47,AR$11,AR$14,AR$44,),"")))))),"")</f>
        <v/>
      </c>
      <c r="DL47" s="1883" t="str" cm="1">
        <f t="array" ca="1" aca="1" ref="DL47">IFERROR(IF(AS47*fxVal_normal=_CF!AS47,"",IF(OR(AS47="",NOT(ISNUMBER(AS47)),ISERROR(AS47),$B47=""),"",IF($I47=1,IFBLANK(_xldudf_CX_PUSH(AS47*fxVal_normal,CX_ENTITY,$B47,AS$11,AS$14,AS$44,),""),IF($I47=2,IFBLANK(_xldudf_CX_PUSH(AS47,CX_ENTITY,$B47,AS$11,AS$14,AS$44,),""),IF($I47=3,"",IFBLANK(_xldudf_CX_PUSH(AS47,CX_ENTITY,$B47,AS$11,AS$14,AS$44,),"")))))),"")</f>
        <v/>
      </c>
      <c r="DM47" s="1883" t="str" cm="1">
        <f t="array" ca="1" aca="1" ref="DM47">IFERROR(IF(AT47*fxVal_normal=_CF!AT47,"",IF(OR(AT47="",NOT(ISNUMBER(AT47)),ISERROR(AT47),$B47=""),"",IF($I47=1,IFBLANK(_xldudf_CX_PUSH(AT47*fxVal_normal,CX_ENTITY,$B47,AT$11,AT$14,AT$44,),""),IF($I47=2,IFBLANK(_xldudf_CX_PUSH(AT47,CX_ENTITY,$B47,AT$11,AT$14,AT$44,),""),IF($I47=3,"",IFBLANK(_xldudf_CX_PUSH(AT47,CX_ENTITY,$B47,AT$11,AT$14,AT$44,),"")))))),"")</f>
        <v/>
      </c>
      <c r="DN47" s="1883" t="str" cm="1">
        <f t="array" ca="1" aca="1" ref="DN47">IFERROR(IF(AU47*fxVal_normal=_CF!AU47,"",IF(OR(AU47="",NOT(ISNUMBER(AU47)),ISERROR(AU47),$B47=""),"",IF($I47=1,IFBLANK(_xldudf_CX_PUSH(AU47*fxVal_normal,CX_ENTITY,$B47,AU$11,AU$14,AU$44,),""),IF($I47=2,IFBLANK(_xldudf_CX_PUSH(AU47,CX_ENTITY,$B47,AU$11,AU$14,AU$44,),""),IF($I47=3,"",IFBLANK(_xldudf_CX_PUSH(AU47,CX_ENTITY,$B47,AU$11,AU$14,AU$44,),"")))))),"")</f>
        <v/>
      </c>
      <c r="DO47" s="1883" t="str" cm="1">
        <f t="array" ca="1" aca="1" ref="DO47">IFERROR(IF(AV47*fxVal_normal=_CF!AV47,"",IF(OR(AV47="",NOT(ISNUMBER(AV47)),ISERROR(AV47),$B47=""),"",IF($I47=1,IFBLANK(_xldudf_CX_PUSH(AV47*fxVal_normal,CX_ENTITY,$B47,AV$11,AV$14,AV$44,),""),IF($I47=2,IFBLANK(_xldudf_CX_PUSH(AV47,CX_ENTITY,$B47,AV$11,AV$14,AV$44,),""),IF($I47=3,"",IFBLANK(_xldudf_CX_PUSH(AV47,CX_ENTITY,$B47,AV$11,AV$14,AV$44,),"")))))),"")</f>
        <v/>
      </c>
      <c r="DP47" s="1883" t="str" cm="1">
        <f t="array" ca="1" aca="1" ref="DP47">IFERROR(IF(AW47*fxVal_normal=_CF!AW47,"",IF(OR(AW47="",NOT(ISNUMBER(AW47)),ISERROR(AW47),$B47=""),"",IF($I47=1,IFBLANK(_xldudf_CX_PUSH(AW47*fxVal_normal,CX_ENTITY,$B47,AW$11,AW$14,AW$44,),""),IF($I47=2,IFBLANK(_xldudf_CX_PUSH(AW47,CX_ENTITY,$B47,AW$11,AW$14,AW$44,),""),IF($I47=3,"",IFBLANK(_xldudf_CX_PUSH(AW47,CX_ENTITY,$B47,AW$11,AW$14,AW$44,),"")))))),"")</f>
        <v/>
      </c>
      <c r="DQ47" s="1883" t="str" cm="1">
        <f t="array" ca="1" aca="1" ref="DQ47">IFERROR(IF(AX47*fxVal_normal=_CF!AX47,"",IF(OR(AX47="",NOT(ISNUMBER(AX47)),ISERROR(AX47),$B47=""),"",IF($I47=1,IFBLANK(_xldudf_CX_PUSH(AX47*fxVal_normal,CX_ENTITY,$B47,AX$11,AX$14,AX$44,),""),IF($I47=2,IFBLANK(_xldudf_CX_PUSH(AX47,CX_ENTITY,$B47,AX$11,AX$14,AX$44,),""),IF($I47=3,"",IFBLANK(_xldudf_CX_PUSH(AX47,CX_ENTITY,$B47,AX$11,AX$14,AX$44,),"")))))),"")</f>
        <v/>
      </c>
      <c r="DR47" s="1883" t="str" cm="1">
        <f t="array" ca="1" aca="1" ref="DR47">IFERROR(IF(AY47*fxVal_normal=_CF!AY47,"",IF(OR(AY47="",NOT(ISNUMBER(AY47)),ISERROR(AY47),$B47=""),"",IF($I47=1,IFBLANK(_xldudf_CX_PUSH(AY47*fxVal_normal,CX_ENTITY,$B47,AY$11,AY$14,AY$44,),""),IF($I47=2,IFBLANK(_xldudf_CX_PUSH(AY47,CX_ENTITY,$B47,AY$11,AY$14,AY$44,),""),IF($I47=3,"",IFBLANK(_xldudf_CX_PUSH(AY47,CX_ENTITY,$B47,AY$11,AY$14,AY$44,),"")))))),"")</f>
        <v/>
      </c>
      <c r="DS47" s="1883" t="str" cm="1">
        <f t="array" ca="1" aca="1" ref="DS47">IFERROR(IF(AZ47*fxVal_normal=_CF!AZ47,"",IF(OR(AZ47="",NOT(ISNUMBER(AZ47)),ISERROR(AZ47),$B47=""),"",IF($I47=1,IFBLANK(_xldudf_CX_PUSH(AZ47*fxVal_normal,CX_ENTITY,$B47,AZ$11,AZ$14,AZ$44,),""),IF($I47=2,IFBLANK(_xldudf_CX_PUSH(AZ47,CX_ENTITY,$B47,AZ$11,AZ$14,AZ$44,),""),IF($I47=3,"",IFBLANK(_xldudf_CX_PUSH(AZ47,CX_ENTITY,$B47,AZ$11,AZ$14,AZ$44,),"")))))),"")</f>
        <v/>
      </c>
      <c r="DT47" s="1883" t="str" cm="1">
        <f t="array" ca="1" aca="1" ref="DT47">IFERROR(IF(BA47*fxVal_normal=_CF!BA47,"",IF(OR(BA47="",NOT(ISNUMBER(BA47)),ISERROR(BA47),$B47=""),"",IF($I47=1,IFBLANK(_xldudf_CX_PUSH(BA47*fxVal_normal,CX_ENTITY,$B47,BA$11,BA$14,BA$44,),""),IF($I47=2,IFBLANK(_xldudf_CX_PUSH(BA47,CX_ENTITY,$B47,BA$11,BA$14,BA$44,),""),IF($I47=3,"",IFBLANK(_xldudf_CX_PUSH(BA47,CX_ENTITY,$B47,BA$11,BA$14,BA$44,),"")))))),"")</f>
        <v/>
      </c>
      <c r="DU47" s="1883" t="str" cm="1">
        <f t="array" ca="1" aca="1" ref="DU47">IFERROR(IF(BB47*fxVal_normal=_CF!BB47,"",IF(OR(BB47="",NOT(ISNUMBER(BB47)),ISERROR(BB47),$B47=""),"",IF($I47=1,IFBLANK(_xldudf_CX_PUSH(BB47*fxVal_normal,CX_ENTITY,$B47,BB$11,BB$14,BB$44,),""),IF($I47=2,IFBLANK(_xldudf_CX_PUSH(BB47,CX_ENTITY,$B47,BB$11,BB$14,BB$44,),""),IF($I47=3,"",IFBLANK(_xldudf_CX_PUSH(BB47,CX_ENTITY,$B47,BB$11,BB$14,BB$44,),"")))))),"")</f>
        <v/>
      </c>
      <c r="DV47" s="1883" t="str" cm="1">
        <f t="array" ca="1" aca="1" ref="DV47">IFERROR(IF(BC47*fxVal_normal=_CF!BC47,"",IF(OR(BC47="",NOT(ISNUMBER(BC47)),ISERROR(BC47),$B47=""),"",IF($I47=1,IFBLANK(_xldudf_CX_PUSH(BC47*fxVal_normal,CX_ENTITY,$B47,BC$11,BC$14,BC$44,),""),IF($I47=2,IFBLANK(_xldudf_CX_PUSH(BC47,CX_ENTITY,$B47,BC$11,BC$14,BC$44,),""),IF($I47=3,"",IFBLANK(_xldudf_CX_PUSH(BC47,CX_ENTITY,$B47,BC$11,BC$14,BC$44,),"")))))),"")</f>
        <v/>
      </c>
      <c r="DW47" s="1883" t="str" cm="1">
        <f t="array" ca="1" aca="1" ref="DW47">IFERROR(IF(BD47*fxVal_normal=_CF!BD47,"",IF(OR(BD47="",NOT(ISNUMBER(BD47)),ISERROR(BD47),$B47=""),"",IF($I47=1,IFBLANK(_xldudf_CX_PUSH(BD47*fxVal_normal,CX_ENTITY,$B47,BD$11,BD$14,BD$44,),""),IF($I47=2,IFBLANK(_xldudf_CX_PUSH(BD47,CX_ENTITY,$B47,BD$11,BD$14,BD$44,),""),IF($I47=3,"",IFBLANK(_xldudf_CX_PUSH(BD47,CX_ENTITY,$B47,BD$11,BD$14,BD$44,),"")))))),"")</f>
        <v/>
      </c>
      <c r="DX47" s="1883" t="str" cm="1">
        <f t="array" ca="1" aca="1" ref="DX47">IFERROR(IF(BE47*fxVal_normal=_CF!BE47,"",IF(OR(BE47="",NOT(ISNUMBER(BE47)),ISERROR(BE47),$B47=""),"",IF($I47=1,IFBLANK(_xldudf_CX_PUSH(BE47*fxVal_normal,CX_ENTITY,$B47,BE$11,BE$14,BE$44,),""),IF($I47=2,IFBLANK(_xldudf_CX_PUSH(BE47,CX_ENTITY,$B47,BE$11,BE$14,BE$44,),""),IF($I47=3,"",IFBLANK(_xldudf_CX_PUSH(BE47,CX_ENTITY,$B47,BE$11,BE$14,BE$44,),"")))))),"")</f>
        <v/>
      </c>
      <c r="DY47" s="1883" t="str" cm="1">
        <f t="array" ca="1" aca="1" ref="DY47">IFERROR(IF(BF47*fxVal_normal=_CF!BF47,"",IF(OR(BF47="",NOT(ISNUMBER(BF47)),ISERROR(BF47),$B47=""),"",IF($I47=1,IFBLANK(_xldudf_CX_PUSH(BF47*fxVal_normal,CX_ENTITY,$B47,BF$11,BF$14,BF$44,),""),IF($I47=2,IFBLANK(_xldudf_CX_PUSH(BF47,CX_ENTITY,$B47,BF$11,BF$14,BF$44,),""),IF($I47=3,"",IFBLANK(_xldudf_CX_PUSH(BF47,CX_ENTITY,$B47,BF$11,BF$14,BF$44,),"")))))),"")</f>
        <v/>
      </c>
      <c r="DZ47" s="1883" t="str" cm="1">
        <f t="array" ca="1" aca="1" ref="DZ47">IFERROR(IF(BG47*fxVal_normal=_CF!BG47,"",IF(OR(BG47="",NOT(ISNUMBER(BG47)),ISERROR(BG47),$B47=""),"",IF($I47=1,IFBLANK(_xldudf_CX_PUSH(BG47*fxVal_normal,CX_ENTITY,$B47,BG$11,BG$14,BG$44,),""),IF($I47=2,IFBLANK(_xldudf_CX_PUSH(BG47,CX_ENTITY,$B47,BG$11,BG$14,BG$44,),""),IF($I47=3,"",IFBLANK(_xldudf_CX_PUSH(BG47,CX_ENTITY,$B47,BG$11,BG$14,BG$44,),"")))))),"")</f>
        <v/>
      </c>
      <c r="EA47" s="1883" t="str" cm="1">
        <f t="array" ca="1" aca="1" ref="EA47">IFERROR(IF(BH47*fxVal_normal=_CF!BH47,"",IF(OR(BH47="",NOT(ISNUMBER(BH47)),ISERROR(BH47),$B47=""),"",IF($I47=1,IFBLANK(_xldudf_CX_PUSH(BH47*fxVal_normal,CX_ENTITY,$B47,BH$11,BH$14,BH$44,),""),IF($I47=2,IFBLANK(_xldudf_CX_PUSH(BH47,CX_ENTITY,$B47,BH$11,BH$14,BH$44,),""),IF($I47=3,"",IFBLANK(_xldudf_CX_PUSH(BH47,CX_ENTITY,$B47,BH$11,BH$14,BH$44,),"")))))),"")</f>
        <v/>
      </c>
      <c r="EB47" s="1883" t="str" cm="1">
        <f t="array" ca="1" aca="1" ref="EB47">IFERROR(IF(BI47*fxVal_normal=_CF!BI47,"",IF(OR(BI47="",NOT(ISNUMBER(BI47)),ISERROR(BI47),$B47=""),"",IF($I47=1,IFBLANK(_xldudf_CX_PUSH(BI47*fxVal_normal,CX_ENTITY,$B47,BI$11,BI$14,BI$44,),""),IF($I47=2,IFBLANK(_xldudf_CX_PUSH(BI47,CX_ENTITY,$B47,BI$11,BI$14,BI$44,),""),IF($I47=3,"",IFBLANK(_xldudf_CX_PUSH(BI47,CX_ENTITY,$B47,BI$11,BI$14,BI$44,),"")))))),"")</f>
        <v/>
      </c>
      <c r="EC47" s="1883" t="str" cm="1">
        <f t="array" ca="1" aca="1" ref="EC47">IFERROR(IF(BJ47*fxVal_normal=_CF!BJ47,"",IF(OR(BJ47="",NOT(ISNUMBER(BJ47)),ISERROR(BJ47),$B47=""),"",IF($I47=1,IFBLANK(_xldudf_CX_PUSH(BJ47*fxVal_normal,CX_ENTITY,$B47,BJ$11,BJ$14,BJ$44,),""),IF($I47=2,IFBLANK(_xldudf_CX_PUSH(BJ47,CX_ENTITY,$B47,BJ$11,BJ$14,BJ$44,),""),IF($I47=3,"",IFBLANK(_xldudf_CX_PUSH(BJ47,CX_ENTITY,$B47,BJ$11,BJ$14,BJ$44,),"")))))),"")</f>
        <v/>
      </c>
      <c r="ED47" s="1883" t="str" cm="1">
        <f t="array" ca="1" aca="1" ref="ED47">IFERROR(IF(BK47*fxVal_normal=_CF!BK47,"",IF(OR(BK47="",NOT(ISNUMBER(BK47)),ISERROR(BK47),$B47=""),"",IF($I47=1,IFBLANK(_xldudf_CX_PUSH(BK47*fxVal_normal,CX_ENTITY,$B47,BK$11,BK$14,BK$44,),""),IF($I47=2,IFBLANK(_xldudf_CX_PUSH(BK47,CX_ENTITY,$B47,BK$11,BK$14,BK$44,),""),IF($I47=3,"",IFBLANK(_xldudf_CX_PUSH(BK47,CX_ENTITY,$B47,BK$11,BK$14,BK$44,),"")))))),"")</f>
        <v/>
      </c>
      <c r="EE47" s="1883" t="str" cm="1">
        <f t="array" ca="1" aca="1" ref="EE47">IFERROR(IF(BL47*fxVal_normal=_CF!BL47,"",IF(OR(BL47="",NOT(ISNUMBER(BL47)),ISERROR(BL47),$B47=""),"",IF($I47=1,IFBLANK(_xldudf_CX_PUSH(BL47*fxVal_normal,CX_ENTITY,$B47,BL$11,BL$14,BL$44,),""),IF($I47=2,IFBLANK(_xldudf_CX_PUSH(BL47,CX_ENTITY,$B47,BL$11,BL$14,BL$44,),""),IF($I47=3,"",IFBLANK(_xldudf_CX_PUSH(BL47,CX_ENTITY,$B47,BL$11,BL$14,BL$44,),"")))))),"")</f>
        <v/>
      </c>
      <c r="EF47" s="1883" t="str" cm="1">
        <f t="array" ca="1" aca="1" ref="EF47">IFERROR(IF(BM47*fxVal_normal=_CF!BM47,"",IF(OR(BM47="",NOT(ISNUMBER(BM47)),ISERROR(BM47),$B47=""),"",IF($I47=1,IFBLANK(_xldudf_CX_PUSH(BM47*fxVal_normal,CX_ENTITY,$B47,BM$11,BM$14,BM$44,),""),IF($I47=2,IFBLANK(_xldudf_CX_PUSH(BM47,CX_ENTITY,$B47,BM$11,BM$14,BM$44,),""),IF($I47=3,"",IFBLANK(_xldudf_CX_PUSH(BM47,CX_ENTITY,$B47,BM$11,BM$14,BM$44,),"")))))),"")</f>
        <v/>
      </c>
      <c r="EG47" s="1883" t="str" cm="1">
        <f t="array" ca="1" aca="1" ref="EG47">IFERROR(IF(BN47*fxVal_normal=_CF!BN47,"",IF(OR(BN47="",NOT(ISNUMBER(BN47)),ISERROR(BN47),$B47=""),"",IF($I47=1,IFBLANK(_xldudf_CX_PUSH(BN47*fxVal_normal,CX_ENTITY,$B47,BN$11,BN$14,BN$44,),""),IF($I47=2,IFBLANK(_xldudf_CX_PUSH(BN47,CX_ENTITY,$B47,BN$11,BN$14,BN$44,),""),IF($I47=3,"",IFBLANK(_xldudf_CX_PUSH(BN47,CX_ENTITY,$B47,BN$11,BN$14,BN$44,),"")))))),"")</f>
        <v/>
      </c>
    </row>
    <row r="48" spans="1:137" ht="21" customHeight="1">
      <c r="A48" s="1626"/>
      <c r="B48" s="811" t="str" cm="1">
        <f t="array" ref="B48">IFBLANK(_CF!F48,"")</f>
        <v>Other Operating Cash Flows</v>
      </c>
      <c r="C48" s="811" t="str" cm="1">
        <f t="array" ref="C48">IFBLANK(_CF!C48,"")</f>
        <v>Other Operating Cash Flows (Company View)</v>
      </c>
      <c r="D48" s="1549"/>
      <c r="E48" s="811"/>
      <c r="F48" s="574"/>
      <c r="G48" s="574"/>
      <c r="H48" s="3280">
        <v>1</v>
      </c>
      <c r="I48" s="3280">
        <v>1</v>
      </c>
      <c r="J48" s="401"/>
      <c r="K48" s="401"/>
      <c r="N48" s="158"/>
      <c r="O48" s="101"/>
      <c r="P48" s="52"/>
      <c r="Q48" s="101"/>
      <c r="R48" s="126"/>
      <c r="S48" s="101"/>
      <c r="T48" s="101"/>
      <c r="U48" s="39"/>
      <c r="W48" s="932" t="str">
        <f t="shared" si="8"/>
        <v>Budget</v>
      </c>
      <c r="X48" s="815" t="str">
        <f>_CF!X48</f>
        <v>a</v>
      </c>
      <c r="Y48" s="3192">
        <f t="shared" si="6"/>
        <v>2</v>
      </c>
      <c r="Z48" s="3291" cm="1">
        <f t="array" ref="Z48">_xlfn.SWITCH(TRUE,_CF!$L48=TRUE,1,_CF!$L48=FALSE,-1,_CF!$L48=-1,0,"n/a")</f>
        <v>1</v>
      </c>
      <c r="AA48" s="200"/>
      <c r="AB48" s="88" t="str">
        <f>_CF!AB48</f>
        <v>Other Operating Cash Flows</v>
      </c>
      <c r="AC48" s="88" t="e" vm="5" cm="1">
        <f t="array" ca="1" aca="1" ref="AC48">_xlfn.LET(_xlpm._termname,$AB48,_xlpm._iconname,"find",_xlpm._icon,fx_getIcon(_xlpm._iconname),_xlpm._location,_xlfn.XLOOKUP(LOWER(_xlpm._termname),LOWER(tbl_acctDef[Term]),tbl_acctDef[Term]),_xlpm._hyperlink,HYPERLINK("#"&amp;CELL("address",_xlpm._location),_xlpm._icon),IFERROR(_xlpm._hyperlink,""))</f>
        <v>#VALUE!</v>
      </c>
      <c r="AD48" s="3232">
        <v>1</v>
      </c>
      <c r="AE48" s="3232">
        <v>1</v>
      </c>
      <c r="AF48" s="3232">
        <v>1</v>
      </c>
      <c r="AG48" s="3232">
        <v>1</v>
      </c>
      <c r="AH48" s="3232">
        <v>1</v>
      </c>
      <c r="AI48" s="3232">
        <v>1</v>
      </c>
      <c r="AJ48" s="3232">
        <v>1</v>
      </c>
      <c r="AK48" s="3232">
        <v>1</v>
      </c>
      <c r="AL48" s="3232">
        <v>1</v>
      </c>
      <c r="AM48" s="3232">
        <v>1</v>
      </c>
      <c r="AN48" s="3232">
        <v>1</v>
      </c>
      <c r="AO48" s="3232">
        <v>1</v>
      </c>
      <c r="AP48" s="3232">
        <v>1</v>
      </c>
      <c r="AQ48" s="3232">
        <v>1</v>
      </c>
      <c r="AR48" s="3232">
        <v>1</v>
      </c>
      <c r="AS48" s="3232">
        <v>1</v>
      </c>
      <c r="AT48" s="3232">
        <v>1</v>
      </c>
      <c r="AU48" s="3232">
        <v>1</v>
      </c>
      <c r="AV48" s="3232">
        <v>1</v>
      </c>
      <c r="AW48" s="3232">
        <v>1</v>
      </c>
      <c r="AX48" s="3232">
        <v>1</v>
      </c>
      <c r="AY48" s="3232">
        <v>1</v>
      </c>
      <c r="AZ48" s="3232">
        <v>1</v>
      </c>
      <c r="BA48" s="3232">
        <v>1</v>
      </c>
      <c r="BB48" s="3232">
        <v>1</v>
      </c>
      <c r="BC48" s="3232">
        <v>1</v>
      </c>
      <c r="BD48" s="3232">
        <v>1</v>
      </c>
      <c r="BE48" s="3232">
        <v>1</v>
      </c>
      <c r="BF48" s="3232">
        <v>1</v>
      </c>
      <c r="BG48" s="3232">
        <v>1</v>
      </c>
      <c r="BH48" s="3232">
        <v>1</v>
      </c>
      <c r="BI48" s="3232">
        <v>1</v>
      </c>
      <c r="BJ48" s="3232">
        <v>1</v>
      </c>
      <c r="BK48" s="3232">
        <v>1</v>
      </c>
      <c r="BL48" s="3232">
        <v>1</v>
      </c>
      <c r="BM48" s="3232">
        <v>1</v>
      </c>
      <c r="BN48" s="3232">
        <v>1</v>
      </c>
      <c r="BO48" s="2115"/>
      <c r="BP48" s="2115"/>
      <c r="BQ48" s="2115"/>
      <c r="BR48" s="2115"/>
      <c r="BS48" s="2115"/>
      <c r="BT48" s="2115"/>
      <c r="BU48" s="2115"/>
      <c r="BV48" s="2115"/>
      <c r="BW48" s="2115"/>
      <c r="BX48" s="2115"/>
      <c r="BY48" s="2115"/>
      <c r="BZ48" s="2115"/>
      <c r="CA48" s="1330"/>
      <c r="CB48" s="537"/>
      <c r="CC48" s="1484"/>
      <c r="CD48" s="1461" t="e" cm="1">
        <f t="array" ca="1" aca="1" ref="CD48">_xlfn.LET(_xlpm.CheckBlank,SUM(CF!$AD48:$BN48)=0,IF(_xlpm.CheckBlank,"",SUM(_xlfn._xlws.FILTER(CF!$AD48:$BN48,(YEAR(CF!$AD$12:$BN$12)=CF!CD$12)*(array_timeline&lt;=CF!CD$11)))))</f>
        <v>#NAME?</v>
      </c>
      <c r="CE48" s="1461" t="e" cm="1">
        <f t="array" ca="1" aca="1" ref="CE48">_xlfn.LET(_xlpm.CheckBlank,SUM(CF!$AD48:$BN48)=0,IF(_xlpm.CheckBlank,"",SUM(_xlfn._xlws.FILTER(CF!$AD48:$BN48,(YEAR(CF!$AD$12:$BN$12)=CF!CE$12)*(array_timeline&lt;=CF!CE$11)))))</f>
        <v>#NAME?</v>
      </c>
      <c r="CF48" s="1314"/>
      <c r="CG48" s="1461" t="e" cm="1">
        <f t="array" ca="1" aca="1" ref="CG48">_xlfn.LET(_xlpm.CheckBlank,SUM(CF!$AD48:$BN48)=0,IF(_xlpm.CheckBlank,"",SUM(_xlfn._xlws.FILTER(CF!$AD48:$BN48,(YEAR(CF!$AD$12:$BN$12)=CF!CG$12)*(array_timeline&lt;=CF!CG$11)))))</f>
        <v>#NAME?</v>
      </c>
      <c r="CH48" s="1461" t="e" cm="1">
        <f t="array" ca="1" aca="1" ref="CH48">_xlfn.LET(_xlpm.CheckBlank,SUM(CF!$AD48:$BN48)=0,IF(_xlpm.CheckBlank,"",SUM(_xlfn._xlws.FILTER(CF!$AD48:$BN48,(YEAR(CF!$AD$12:$BN$12)=CF!CH$12)*(array_timeline&lt;=CF!CH$11)))))</f>
        <v>#NAME?</v>
      </c>
      <c r="CI48" s="1314"/>
      <c r="CJ48" s="1461" cm="1">
        <f t="array" ref="CJ48">_xlfn.LET(_xlpm.CheckBlank,SUM(CF!$AD48:$BN48)=0,IF(_xlpm.CheckBlank,"",SUM(_xlfn.TAKE(_xlfn.DROP(CF!$AD48:$BN48,,-DATEDIFF(CF!CJ$11,val_asOfDate,"M")),1,-12))))</f>
        <v>12</v>
      </c>
      <c r="CK48" s="1461" cm="1">
        <f t="array" ref="CK48">_xlfn.LET(_xlpm.CheckBlank,SUM(CF!$AD48:$BN48)=0,IF(_xlpm.CheckBlank,"",SUM(_xlfn.TAKE(_xlfn.DROP(CF!$AD48:$BN48,,-DATEDIFF(CF!CK$11,val_asOfDate,"M")),1,-12))))</f>
        <v>12</v>
      </c>
      <c r="CL48" s="1314"/>
      <c r="CM48" s="541" t="e">
        <f t="shared" ca="1" si="7"/>
        <v>#NAME?</v>
      </c>
      <c r="CN48" s="541" t="e">
        <f t="shared" ca="1" si="7"/>
        <v>#NAME?</v>
      </c>
      <c r="CO48" s="34"/>
      <c r="CW48" s="1883" t="str" cm="1">
        <f t="array" ca="1" aca="1" ref="CW48">IFERROR(IF(AD48*fxVal_normal=_CF!AD48,"",IF(OR(AD48="",NOT(ISNUMBER(AD48)),ISERROR(AD48),$B48=""),"",IF($I48=1,IFBLANK(_xldudf_CX_PUSH(AD48*fxVal_normal,CX_ENTITY,$B48,AD$11,AD$14,AD$44,),""),IF($I48=2,IFBLANK(_xldudf_CX_PUSH(AD48,CX_ENTITY,$B48,AD$11,AD$14,AD$44,),""),IF($I48=3,"",IFBLANK(_xldudf_CX_PUSH(AD48,CX_ENTITY,$B48,AD$11,AD$14,AD$44,),"")))))),"")</f>
        <v/>
      </c>
      <c r="CX48" s="1883" t="str" cm="1">
        <f t="array" ca="1" aca="1" ref="CX48">IFERROR(IF(AE48*fxVal_normal=_CF!AE48,"",IF(OR(AE48="",NOT(ISNUMBER(AE48)),ISERROR(AE48),$B48=""),"",IF($I48=1,IFBLANK(_xldudf_CX_PUSH(AE48*fxVal_normal,CX_ENTITY,$B48,AE$11,AE$14,AE$44,),""),IF($I48=2,IFBLANK(_xldudf_CX_PUSH(AE48,CX_ENTITY,$B48,AE$11,AE$14,AE$44,),""),IF($I48=3,"",IFBLANK(_xldudf_CX_PUSH(AE48,CX_ENTITY,$B48,AE$11,AE$14,AE$44,),"")))))),"")</f>
        <v/>
      </c>
      <c r="CY48" s="1883" t="str" cm="1">
        <f t="array" ca="1" aca="1" ref="CY48">IFERROR(IF(AF48*fxVal_normal=_CF!AF48,"",IF(OR(AF48="",NOT(ISNUMBER(AF48)),ISERROR(AF48),$B48=""),"",IF($I48=1,IFBLANK(_xldudf_CX_PUSH(AF48*fxVal_normal,CX_ENTITY,$B48,AF$11,AF$14,AF$44,),""),IF($I48=2,IFBLANK(_xldudf_CX_PUSH(AF48,CX_ENTITY,$B48,AF$11,AF$14,AF$44,),""),IF($I48=3,"",IFBLANK(_xldudf_CX_PUSH(AF48,CX_ENTITY,$B48,AF$11,AF$14,AF$44,),"")))))),"")</f>
        <v/>
      </c>
      <c r="CZ48" s="1883" t="str" cm="1">
        <f t="array" ca="1" aca="1" ref="CZ48">IFERROR(IF(AG48*fxVal_normal=_CF!AG48,"",IF(OR(AG48="",NOT(ISNUMBER(AG48)),ISERROR(AG48),$B48=""),"",IF($I48=1,IFBLANK(_xldudf_CX_PUSH(AG48*fxVal_normal,CX_ENTITY,$B48,AG$11,AG$14,AG$44,),""),IF($I48=2,IFBLANK(_xldudf_CX_PUSH(AG48,CX_ENTITY,$B48,AG$11,AG$14,AG$44,),""),IF($I48=3,"",IFBLANK(_xldudf_CX_PUSH(AG48,CX_ENTITY,$B48,AG$11,AG$14,AG$44,),"")))))),"")</f>
        <v/>
      </c>
      <c r="DA48" s="1883" t="str" cm="1">
        <f t="array" ca="1" aca="1" ref="DA48">IFERROR(IF(AH48*fxVal_normal=_CF!AH48,"",IF(OR(AH48="",NOT(ISNUMBER(AH48)),ISERROR(AH48),$B48=""),"",IF($I48=1,IFBLANK(_xldudf_CX_PUSH(AH48*fxVal_normal,CX_ENTITY,$B48,AH$11,AH$14,AH$44,),""),IF($I48=2,IFBLANK(_xldudf_CX_PUSH(AH48,CX_ENTITY,$B48,AH$11,AH$14,AH$44,),""),IF($I48=3,"",IFBLANK(_xldudf_CX_PUSH(AH48,CX_ENTITY,$B48,AH$11,AH$14,AH$44,),"")))))),"")</f>
        <v/>
      </c>
      <c r="DB48" s="1883" t="str" cm="1">
        <f t="array" ca="1" aca="1" ref="DB48">IFERROR(IF(AI48*fxVal_normal=_CF!AI48,"",IF(OR(AI48="",NOT(ISNUMBER(AI48)),ISERROR(AI48),$B48=""),"",IF($I48=1,IFBLANK(_xldudf_CX_PUSH(AI48*fxVal_normal,CX_ENTITY,$B48,AI$11,AI$14,AI$44,),""),IF($I48=2,IFBLANK(_xldudf_CX_PUSH(AI48,CX_ENTITY,$B48,AI$11,AI$14,AI$44,),""),IF($I48=3,"",IFBLANK(_xldudf_CX_PUSH(AI48,CX_ENTITY,$B48,AI$11,AI$14,AI$44,),"")))))),"")</f>
        <v/>
      </c>
      <c r="DC48" s="1883" t="str" cm="1">
        <f t="array" ca="1" aca="1" ref="DC48">IFERROR(IF(AJ48*fxVal_normal=_CF!AJ48,"",IF(OR(AJ48="",NOT(ISNUMBER(AJ48)),ISERROR(AJ48),$B48=""),"",IF($I48=1,IFBLANK(_xldudf_CX_PUSH(AJ48*fxVal_normal,CX_ENTITY,$B48,AJ$11,AJ$14,AJ$44,),""),IF($I48=2,IFBLANK(_xldudf_CX_PUSH(AJ48,CX_ENTITY,$B48,AJ$11,AJ$14,AJ$44,),""),IF($I48=3,"",IFBLANK(_xldudf_CX_PUSH(AJ48,CX_ENTITY,$B48,AJ$11,AJ$14,AJ$44,),"")))))),"")</f>
        <v/>
      </c>
      <c r="DD48" s="1883" t="str" cm="1">
        <f t="array" ca="1" aca="1" ref="DD48">IFERROR(IF(AK48*fxVal_normal=_CF!AK48,"",IF(OR(AK48="",NOT(ISNUMBER(AK48)),ISERROR(AK48),$B48=""),"",IF($I48=1,IFBLANK(_xldudf_CX_PUSH(AK48*fxVal_normal,CX_ENTITY,$B48,AK$11,AK$14,AK$44,),""),IF($I48=2,IFBLANK(_xldudf_CX_PUSH(AK48,CX_ENTITY,$B48,AK$11,AK$14,AK$44,),""),IF($I48=3,"",IFBLANK(_xldudf_CX_PUSH(AK48,CX_ENTITY,$B48,AK$11,AK$14,AK$44,),"")))))),"")</f>
        <v/>
      </c>
      <c r="DE48" s="1883" t="str" cm="1">
        <f t="array" ca="1" aca="1" ref="DE48">IFERROR(IF(AL48*fxVal_normal=_CF!AL48,"",IF(OR(AL48="",NOT(ISNUMBER(AL48)),ISERROR(AL48),$B48=""),"",IF($I48=1,IFBLANK(_xldudf_CX_PUSH(AL48*fxVal_normal,CX_ENTITY,$B48,AL$11,AL$14,AL$44,),""),IF($I48=2,IFBLANK(_xldudf_CX_PUSH(AL48,CX_ENTITY,$B48,AL$11,AL$14,AL$44,),""),IF($I48=3,"",IFBLANK(_xldudf_CX_PUSH(AL48,CX_ENTITY,$B48,AL$11,AL$14,AL$44,),"")))))),"")</f>
        <v/>
      </c>
      <c r="DF48" s="1883" t="str" cm="1">
        <f t="array" ca="1" aca="1" ref="DF48">IFERROR(IF(AM48*fxVal_normal=_CF!AM48,"",IF(OR(AM48="",NOT(ISNUMBER(AM48)),ISERROR(AM48),$B48=""),"",IF($I48=1,IFBLANK(_xldudf_CX_PUSH(AM48*fxVal_normal,CX_ENTITY,$B48,AM$11,AM$14,AM$44,),""),IF($I48=2,IFBLANK(_xldudf_CX_PUSH(AM48,CX_ENTITY,$B48,AM$11,AM$14,AM$44,),""),IF($I48=3,"",IFBLANK(_xldudf_CX_PUSH(AM48,CX_ENTITY,$B48,AM$11,AM$14,AM$44,),"")))))),"")</f>
        <v/>
      </c>
      <c r="DG48" s="1883" t="str" cm="1">
        <f t="array" ca="1" aca="1" ref="DG48">IFERROR(IF(AN48*fxVal_normal=_CF!AN48,"",IF(OR(AN48="",NOT(ISNUMBER(AN48)),ISERROR(AN48),$B48=""),"",IF($I48=1,IFBLANK(_xldudf_CX_PUSH(AN48*fxVal_normal,CX_ENTITY,$B48,AN$11,AN$14,AN$44,),""),IF($I48=2,IFBLANK(_xldudf_CX_PUSH(AN48,CX_ENTITY,$B48,AN$11,AN$14,AN$44,),""),IF($I48=3,"",IFBLANK(_xldudf_CX_PUSH(AN48,CX_ENTITY,$B48,AN$11,AN$14,AN$44,),"")))))),"")</f>
        <v/>
      </c>
      <c r="DH48" s="1883" t="str" cm="1">
        <f t="array" ca="1" aca="1" ref="DH48">IFERROR(IF(AO48*fxVal_normal=_CF!AO48,"",IF(OR(AO48="",NOT(ISNUMBER(AO48)),ISERROR(AO48),$B48=""),"",IF($I48=1,IFBLANK(_xldudf_CX_PUSH(AO48*fxVal_normal,CX_ENTITY,$B48,AO$11,AO$14,AO$44,),""),IF($I48=2,IFBLANK(_xldudf_CX_PUSH(AO48,CX_ENTITY,$B48,AO$11,AO$14,AO$44,),""),IF($I48=3,"",IFBLANK(_xldudf_CX_PUSH(AO48,CX_ENTITY,$B48,AO$11,AO$14,AO$44,),"")))))),"")</f>
        <v/>
      </c>
      <c r="DI48" s="1883" t="str" cm="1">
        <f t="array" ca="1" aca="1" ref="DI48">IFERROR(IF(AP48*fxVal_normal=_CF!AP48,"",IF(OR(AP48="",NOT(ISNUMBER(AP48)),ISERROR(AP48),$B48=""),"",IF($I48=1,IFBLANK(_xldudf_CX_PUSH(AP48*fxVal_normal,CX_ENTITY,$B48,AP$11,AP$14,AP$44,),""),IF($I48=2,IFBLANK(_xldudf_CX_PUSH(AP48,CX_ENTITY,$B48,AP$11,AP$14,AP$44,),""),IF($I48=3,"",IFBLANK(_xldudf_CX_PUSH(AP48,CX_ENTITY,$B48,AP$11,AP$14,AP$44,),"")))))),"")</f>
        <v/>
      </c>
      <c r="DJ48" s="1883" t="str" cm="1">
        <f t="array" ca="1" aca="1" ref="DJ48">IFERROR(IF(AQ48*fxVal_normal=_CF!AQ48,"",IF(OR(AQ48="",NOT(ISNUMBER(AQ48)),ISERROR(AQ48),$B48=""),"",IF($I48=1,IFBLANK(_xldudf_CX_PUSH(AQ48*fxVal_normal,CX_ENTITY,$B48,AQ$11,AQ$14,AQ$44,),""),IF($I48=2,IFBLANK(_xldudf_CX_PUSH(AQ48,CX_ENTITY,$B48,AQ$11,AQ$14,AQ$44,),""),IF($I48=3,"",IFBLANK(_xldudf_CX_PUSH(AQ48,CX_ENTITY,$B48,AQ$11,AQ$14,AQ$44,),"")))))),"")</f>
        <v/>
      </c>
      <c r="DK48" s="1883" t="str" cm="1">
        <f t="array" ca="1" aca="1" ref="DK48">IFERROR(IF(AR48*fxVal_normal=_CF!AR48,"",IF(OR(AR48="",NOT(ISNUMBER(AR48)),ISERROR(AR48),$B48=""),"",IF($I48=1,IFBLANK(_xldudf_CX_PUSH(AR48*fxVal_normal,CX_ENTITY,$B48,AR$11,AR$14,AR$44,),""),IF($I48=2,IFBLANK(_xldudf_CX_PUSH(AR48,CX_ENTITY,$B48,AR$11,AR$14,AR$44,),""),IF($I48=3,"",IFBLANK(_xldudf_CX_PUSH(AR48,CX_ENTITY,$B48,AR$11,AR$14,AR$44,),"")))))),"")</f>
        <v/>
      </c>
      <c r="DL48" s="1883" t="str" cm="1">
        <f t="array" ca="1" aca="1" ref="DL48">IFERROR(IF(AS48*fxVal_normal=_CF!AS48,"",IF(OR(AS48="",NOT(ISNUMBER(AS48)),ISERROR(AS48),$B48=""),"",IF($I48=1,IFBLANK(_xldudf_CX_PUSH(AS48*fxVal_normal,CX_ENTITY,$B48,AS$11,AS$14,AS$44,),""),IF($I48=2,IFBLANK(_xldudf_CX_PUSH(AS48,CX_ENTITY,$B48,AS$11,AS$14,AS$44,),""),IF($I48=3,"",IFBLANK(_xldudf_CX_PUSH(AS48,CX_ENTITY,$B48,AS$11,AS$14,AS$44,),"")))))),"")</f>
        <v/>
      </c>
      <c r="DM48" s="1883" t="str" cm="1">
        <f t="array" ca="1" aca="1" ref="DM48">IFERROR(IF(AT48*fxVal_normal=_CF!AT48,"",IF(OR(AT48="",NOT(ISNUMBER(AT48)),ISERROR(AT48),$B48=""),"",IF($I48=1,IFBLANK(_xldudf_CX_PUSH(AT48*fxVal_normal,CX_ENTITY,$B48,AT$11,AT$14,AT$44,),""),IF($I48=2,IFBLANK(_xldudf_CX_PUSH(AT48,CX_ENTITY,$B48,AT$11,AT$14,AT$44,),""),IF($I48=3,"",IFBLANK(_xldudf_CX_PUSH(AT48,CX_ENTITY,$B48,AT$11,AT$14,AT$44,),"")))))),"")</f>
        <v/>
      </c>
      <c r="DN48" s="1883" t="str" cm="1">
        <f t="array" ca="1" aca="1" ref="DN48">IFERROR(IF(AU48*fxVal_normal=_CF!AU48,"",IF(OR(AU48="",NOT(ISNUMBER(AU48)),ISERROR(AU48),$B48=""),"",IF($I48=1,IFBLANK(_xldudf_CX_PUSH(AU48*fxVal_normal,CX_ENTITY,$B48,AU$11,AU$14,AU$44,),""),IF($I48=2,IFBLANK(_xldudf_CX_PUSH(AU48,CX_ENTITY,$B48,AU$11,AU$14,AU$44,),""),IF($I48=3,"",IFBLANK(_xldudf_CX_PUSH(AU48,CX_ENTITY,$B48,AU$11,AU$14,AU$44,),"")))))),"")</f>
        <v/>
      </c>
      <c r="DO48" s="1883" t="str" cm="1">
        <f t="array" ca="1" aca="1" ref="DO48">IFERROR(IF(AV48*fxVal_normal=_CF!AV48,"",IF(OR(AV48="",NOT(ISNUMBER(AV48)),ISERROR(AV48),$B48=""),"",IF($I48=1,IFBLANK(_xldudf_CX_PUSH(AV48*fxVal_normal,CX_ENTITY,$B48,AV$11,AV$14,AV$44,),""),IF($I48=2,IFBLANK(_xldudf_CX_PUSH(AV48,CX_ENTITY,$B48,AV$11,AV$14,AV$44,),""),IF($I48=3,"",IFBLANK(_xldudf_CX_PUSH(AV48,CX_ENTITY,$B48,AV$11,AV$14,AV$44,),"")))))),"")</f>
        <v/>
      </c>
      <c r="DP48" s="1883" t="str" cm="1">
        <f t="array" ca="1" aca="1" ref="DP48">IFERROR(IF(AW48*fxVal_normal=_CF!AW48,"",IF(OR(AW48="",NOT(ISNUMBER(AW48)),ISERROR(AW48),$B48=""),"",IF($I48=1,IFBLANK(_xldudf_CX_PUSH(AW48*fxVal_normal,CX_ENTITY,$B48,AW$11,AW$14,AW$44,),""),IF($I48=2,IFBLANK(_xldudf_CX_PUSH(AW48,CX_ENTITY,$B48,AW$11,AW$14,AW$44,),""),IF($I48=3,"",IFBLANK(_xldudf_CX_PUSH(AW48,CX_ENTITY,$B48,AW$11,AW$14,AW$44,),"")))))),"")</f>
        <v/>
      </c>
      <c r="DQ48" s="1883" t="str" cm="1">
        <f t="array" ca="1" aca="1" ref="DQ48">IFERROR(IF(AX48*fxVal_normal=_CF!AX48,"",IF(OR(AX48="",NOT(ISNUMBER(AX48)),ISERROR(AX48),$B48=""),"",IF($I48=1,IFBLANK(_xldudf_CX_PUSH(AX48*fxVal_normal,CX_ENTITY,$B48,AX$11,AX$14,AX$44,),""),IF($I48=2,IFBLANK(_xldudf_CX_PUSH(AX48,CX_ENTITY,$B48,AX$11,AX$14,AX$44,),""),IF($I48=3,"",IFBLANK(_xldudf_CX_PUSH(AX48,CX_ENTITY,$B48,AX$11,AX$14,AX$44,),"")))))),"")</f>
        <v/>
      </c>
      <c r="DR48" s="1883" t="str" cm="1">
        <f t="array" ca="1" aca="1" ref="DR48">IFERROR(IF(AY48*fxVal_normal=_CF!AY48,"",IF(OR(AY48="",NOT(ISNUMBER(AY48)),ISERROR(AY48),$B48=""),"",IF($I48=1,IFBLANK(_xldudf_CX_PUSH(AY48*fxVal_normal,CX_ENTITY,$B48,AY$11,AY$14,AY$44,),""),IF($I48=2,IFBLANK(_xldudf_CX_PUSH(AY48,CX_ENTITY,$B48,AY$11,AY$14,AY$44,),""),IF($I48=3,"",IFBLANK(_xldudf_CX_PUSH(AY48,CX_ENTITY,$B48,AY$11,AY$14,AY$44,),"")))))),"")</f>
        <v/>
      </c>
      <c r="DS48" s="1883" t="str" cm="1">
        <f t="array" ca="1" aca="1" ref="DS48">IFERROR(IF(AZ48*fxVal_normal=_CF!AZ48,"",IF(OR(AZ48="",NOT(ISNUMBER(AZ48)),ISERROR(AZ48),$B48=""),"",IF($I48=1,IFBLANK(_xldudf_CX_PUSH(AZ48*fxVal_normal,CX_ENTITY,$B48,AZ$11,AZ$14,AZ$44,),""),IF($I48=2,IFBLANK(_xldudf_CX_PUSH(AZ48,CX_ENTITY,$B48,AZ$11,AZ$14,AZ$44,),""),IF($I48=3,"",IFBLANK(_xldudf_CX_PUSH(AZ48,CX_ENTITY,$B48,AZ$11,AZ$14,AZ$44,),"")))))),"")</f>
        <v/>
      </c>
      <c r="DT48" s="1883" t="str" cm="1">
        <f t="array" ca="1" aca="1" ref="DT48">IFERROR(IF(BA48*fxVal_normal=_CF!BA48,"",IF(OR(BA48="",NOT(ISNUMBER(BA48)),ISERROR(BA48),$B48=""),"",IF($I48=1,IFBLANK(_xldudf_CX_PUSH(BA48*fxVal_normal,CX_ENTITY,$B48,BA$11,BA$14,BA$44,),""),IF($I48=2,IFBLANK(_xldudf_CX_PUSH(BA48,CX_ENTITY,$B48,BA$11,BA$14,BA$44,),""),IF($I48=3,"",IFBLANK(_xldudf_CX_PUSH(BA48,CX_ENTITY,$B48,BA$11,BA$14,BA$44,),"")))))),"")</f>
        <v/>
      </c>
      <c r="DU48" s="1883" t="str" cm="1">
        <f t="array" ca="1" aca="1" ref="DU48">IFERROR(IF(BB48*fxVal_normal=_CF!BB48,"",IF(OR(BB48="",NOT(ISNUMBER(BB48)),ISERROR(BB48),$B48=""),"",IF($I48=1,IFBLANK(_xldudf_CX_PUSH(BB48*fxVal_normal,CX_ENTITY,$B48,BB$11,BB$14,BB$44,),""),IF($I48=2,IFBLANK(_xldudf_CX_PUSH(BB48,CX_ENTITY,$B48,BB$11,BB$14,BB$44,),""),IF($I48=3,"",IFBLANK(_xldudf_CX_PUSH(BB48,CX_ENTITY,$B48,BB$11,BB$14,BB$44,),"")))))),"")</f>
        <v/>
      </c>
      <c r="DV48" s="1883" t="str" cm="1">
        <f t="array" ca="1" aca="1" ref="DV48">IFERROR(IF(BC48*fxVal_normal=_CF!BC48,"",IF(OR(BC48="",NOT(ISNUMBER(BC48)),ISERROR(BC48),$B48=""),"",IF($I48=1,IFBLANK(_xldudf_CX_PUSH(BC48*fxVal_normal,CX_ENTITY,$B48,BC$11,BC$14,BC$44,),""),IF($I48=2,IFBLANK(_xldudf_CX_PUSH(BC48,CX_ENTITY,$B48,BC$11,BC$14,BC$44,),""),IF($I48=3,"",IFBLANK(_xldudf_CX_PUSH(BC48,CX_ENTITY,$B48,BC$11,BC$14,BC$44,),"")))))),"")</f>
        <v/>
      </c>
      <c r="DW48" s="1883" t="str" cm="1">
        <f t="array" ca="1" aca="1" ref="DW48">IFERROR(IF(BD48*fxVal_normal=_CF!BD48,"",IF(OR(BD48="",NOT(ISNUMBER(BD48)),ISERROR(BD48),$B48=""),"",IF($I48=1,IFBLANK(_xldudf_CX_PUSH(BD48*fxVal_normal,CX_ENTITY,$B48,BD$11,BD$14,BD$44,),""),IF($I48=2,IFBLANK(_xldudf_CX_PUSH(BD48,CX_ENTITY,$B48,BD$11,BD$14,BD$44,),""),IF($I48=3,"",IFBLANK(_xldudf_CX_PUSH(BD48,CX_ENTITY,$B48,BD$11,BD$14,BD$44,),"")))))),"")</f>
        <v/>
      </c>
      <c r="DX48" s="1883" t="str" cm="1">
        <f t="array" ca="1" aca="1" ref="DX48">IFERROR(IF(BE48*fxVal_normal=_CF!BE48,"",IF(OR(BE48="",NOT(ISNUMBER(BE48)),ISERROR(BE48),$B48=""),"",IF($I48=1,IFBLANK(_xldudf_CX_PUSH(BE48*fxVal_normal,CX_ENTITY,$B48,BE$11,BE$14,BE$44,),""),IF($I48=2,IFBLANK(_xldudf_CX_PUSH(BE48,CX_ENTITY,$B48,BE$11,BE$14,BE$44,),""),IF($I48=3,"",IFBLANK(_xldudf_CX_PUSH(BE48,CX_ENTITY,$B48,BE$11,BE$14,BE$44,),"")))))),"")</f>
        <v/>
      </c>
      <c r="DY48" s="1883" t="str" cm="1">
        <f t="array" ca="1" aca="1" ref="DY48">IFERROR(IF(BF48*fxVal_normal=_CF!BF48,"",IF(OR(BF48="",NOT(ISNUMBER(BF48)),ISERROR(BF48),$B48=""),"",IF($I48=1,IFBLANK(_xldudf_CX_PUSH(BF48*fxVal_normal,CX_ENTITY,$B48,BF$11,BF$14,BF$44,),""),IF($I48=2,IFBLANK(_xldudf_CX_PUSH(BF48,CX_ENTITY,$B48,BF$11,BF$14,BF$44,),""),IF($I48=3,"",IFBLANK(_xldudf_CX_PUSH(BF48,CX_ENTITY,$B48,BF$11,BF$14,BF$44,),"")))))),"")</f>
        <v/>
      </c>
      <c r="DZ48" s="1883" t="str" cm="1">
        <f t="array" ca="1" aca="1" ref="DZ48">IFERROR(IF(BG48*fxVal_normal=_CF!BG48,"",IF(OR(BG48="",NOT(ISNUMBER(BG48)),ISERROR(BG48),$B48=""),"",IF($I48=1,IFBLANK(_xldudf_CX_PUSH(BG48*fxVal_normal,CX_ENTITY,$B48,BG$11,BG$14,BG$44,),""),IF($I48=2,IFBLANK(_xldudf_CX_PUSH(BG48,CX_ENTITY,$B48,BG$11,BG$14,BG$44,),""),IF($I48=3,"",IFBLANK(_xldudf_CX_PUSH(BG48,CX_ENTITY,$B48,BG$11,BG$14,BG$44,),"")))))),"")</f>
        <v/>
      </c>
      <c r="EA48" s="1883" t="str" cm="1">
        <f t="array" ca="1" aca="1" ref="EA48">IFERROR(IF(BH48*fxVal_normal=_CF!BH48,"",IF(OR(BH48="",NOT(ISNUMBER(BH48)),ISERROR(BH48),$B48=""),"",IF($I48=1,IFBLANK(_xldudf_CX_PUSH(BH48*fxVal_normal,CX_ENTITY,$B48,BH$11,BH$14,BH$44,),""),IF($I48=2,IFBLANK(_xldudf_CX_PUSH(BH48,CX_ENTITY,$B48,BH$11,BH$14,BH$44,),""),IF($I48=3,"",IFBLANK(_xldudf_CX_PUSH(BH48,CX_ENTITY,$B48,BH$11,BH$14,BH$44,),"")))))),"")</f>
        <v/>
      </c>
      <c r="EB48" s="1883" t="str" cm="1">
        <f t="array" ca="1" aca="1" ref="EB48">IFERROR(IF(BI48*fxVal_normal=_CF!BI48,"",IF(OR(BI48="",NOT(ISNUMBER(BI48)),ISERROR(BI48),$B48=""),"",IF($I48=1,IFBLANK(_xldudf_CX_PUSH(BI48*fxVal_normal,CX_ENTITY,$B48,BI$11,BI$14,BI$44,),""),IF($I48=2,IFBLANK(_xldudf_CX_PUSH(BI48,CX_ENTITY,$B48,BI$11,BI$14,BI$44,),""),IF($I48=3,"",IFBLANK(_xldudf_CX_PUSH(BI48,CX_ENTITY,$B48,BI$11,BI$14,BI$44,),"")))))),"")</f>
        <v/>
      </c>
      <c r="EC48" s="1883" t="str" cm="1">
        <f t="array" ca="1" aca="1" ref="EC48">IFERROR(IF(BJ48*fxVal_normal=_CF!BJ48,"",IF(OR(BJ48="",NOT(ISNUMBER(BJ48)),ISERROR(BJ48),$B48=""),"",IF($I48=1,IFBLANK(_xldudf_CX_PUSH(BJ48*fxVal_normal,CX_ENTITY,$B48,BJ$11,BJ$14,BJ$44,),""),IF($I48=2,IFBLANK(_xldudf_CX_PUSH(BJ48,CX_ENTITY,$B48,BJ$11,BJ$14,BJ$44,),""),IF($I48=3,"",IFBLANK(_xldudf_CX_PUSH(BJ48,CX_ENTITY,$B48,BJ$11,BJ$14,BJ$44,),"")))))),"")</f>
        <v/>
      </c>
      <c r="ED48" s="1883" t="str" cm="1">
        <f t="array" ca="1" aca="1" ref="ED48">IFERROR(IF(BK48*fxVal_normal=_CF!BK48,"",IF(OR(BK48="",NOT(ISNUMBER(BK48)),ISERROR(BK48),$B48=""),"",IF($I48=1,IFBLANK(_xldudf_CX_PUSH(BK48*fxVal_normal,CX_ENTITY,$B48,BK$11,BK$14,BK$44,),""),IF($I48=2,IFBLANK(_xldudf_CX_PUSH(BK48,CX_ENTITY,$B48,BK$11,BK$14,BK$44,),""),IF($I48=3,"",IFBLANK(_xldudf_CX_PUSH(BK48,CX_ENTITY,$B48,BK$11,BK$14,BK$44,),"")))))),"")</f>
        <v/>
      </c>
      <c r="EE48" s="1883" t="str" cm="1">
        <f t="array" ca="1" aca="1" ref="EE48">IFERROR(IF(BL48*fxVal_normal=_CF!BL48,"",IF(OR(BL48="",NOT(ISNUMBER(BL48)),ISERROR(BL48),$B48=""),"",IF($I48=1,IFBLANK(_xldudf_CX_PUSH(BL48*fxVal_normal,CX_ENTITY,$B48,BL$11,BL$14,BL$44,),""),IF($I48=2,IFBLANK(_xldudf_CX_PUSH(BL48,CX_ENTITY,$B48,BL$11,BL$14,BL$44,),""),IF($I48=3,"",IFBLANK(_xldudf_CX_PUSH(BL48,CX_ENTITY,$B48,BL$11,BL$14,BL$44,),"")))))),"")</f>
        <v/>
      </c>
      <c r="EF48" s="1883" t="str" cm="1">
        <f t="array" ca="1" aca="1" ref="EF48">IFERROR(IF(BM48*fxVal_normal=_CF!BM48,"",IF(OR(BM48="",NOT(ISNUMBER(BM48)),ISERROR(BM48),$B48=""),"",IF($I48=1,IFBLANK(_xldudf_CX_PUSH(BM48*fxVal_normal,CX_ENTITY,$B48,BM$11,BM$14,BM$44,),""),IF($I48=2,IFBLANK(_xldudf_CX_PUSH(BM48,CX_ENTITY,$B48,BM$11,BM$14,BM$44,),""),IF($I48=3,"",IFBLANK(_xldudf_CX_PUSH(BM48,CX_ENTITY,$B48,BM$11,BM$14,BM$44,),"")))))),"")</f>
        <v/>
      </c>
      <c r="EG48" s="1883" t="str" cm="1">
        <f t="array" ca="1" aca="1" ref="EG48">IFERROR(IF(BN48*fxVal_normal=_CF!BN48,"",IF(OR(BN48="",NOT(ISNUMBER(BN48)),ISERROR(BN48),$B48=""),"",IF($I48=1,IFBLANK(_xldudf_CX_PUSH(BN48*fxVal_normal,CX_ENTITY,$B48,BN$11,BN$14,BN$44,),""),IF($I48=2,IFBLANK(_xldudf_CX_PUSH(BN48,CX_ENTITY,$B48,BN$11,BN$14,BN$44,),""),IF($I48=3,"",IFBLANK(_xldudf_CX_PUSH(BN48,CX_ENTITY,$B48,BN$11,BN$14,BN$44,),"")))))),"")</f>
        <v/>
      </c>
    </row>
    <row r="49" spans="1:137" ht="21" customHeight="1">
      <c r="A49" s="1626"/>
      <c r="B49" s="811" t="str" cm="1">
        <f t="array" ref="B49">IFBLANK(_CF!F49,"")</f>
        <v>Operating Cash Flow</v>
      </c>
      <c r="C49" s="811" t="str" cm="1">
        <f t="array" ref="C49">IFBLANK(_CF!C49,"")</f>
        <v>Operating Cash Flow (Company View)</v>
      </c>
      <c r="D49" s="1549"/>
      <c r="E49" s="811"/>
      <c r="F49" s="574"/>
      <c r="G49" s="574"/>
      <c r="H49" s="3280">
        <v>2</v>
      </c>
      <c r="I49" s="3280">
        <v>1</v>
      </c>
      <c r="J49" s="401"/>
      <c r="K49" s="401"/>
      <c r="N49" s="158"/>
      <c r="O49" s="101"/>
      <c r="P49" s="52"/>
      <c r="Q49" s="101"/>
      <c r="R49" s="126"/>
      <c r="S49" s="101"/>
      <c r="T49" s="101"/>
      <c r="U49" s="39"/>
      <c r="W49" s="932" t="str">
        <f t="shared" si="8"/>
        <v>Budget</v>
      </c>
      <c r="X49" s="815">
        <f>_CF!X49</f>
        <v>0</v>
      </c>
      <c r="Y49" s="709" t="str">
        <f t="shared" si="6"/>
        <v>Operating Cash Flow</v>
      </c>
      <c r="Z49" s="198" cm="1">
        <f t="array" ref="Z49">_xlfn.SWITCH(TRUE,_CF!$L49=TRUE,1,_CF!$L49=FALSE,-1,_CF!$L49=-1,0,"n/a")</f>
        <v>0</v>
      </c>
      <c r="AA49" s="200"/>
      <c r="AB49" s="88" t="str">
        <f>_CF!AB49</f>
        <v>Operating Cash Flow</v>
      </c>
      <c r="AC49" s="88" t="e" vm="5" cm="1">
        <f t="array" ca="1" aca="1" ref="AC49">_xlfn.LET(_xlpm._termname,$AB49,_xlpm._iconname,"find",_xlpm._icon,fx_getIcon(_xlpm._iconname),_xlpm._location,_xlfn.XLOOKUP(LOWER(_xlpm._termname),LOWER(tbl_acctDef[Term]),tbl_acctDef[Term]),_xlpm._hyperlink,HYPERLINK("#"&amp;CELL("address",_xlpm._location),_xlpm._icon),IFERROR(_xlpm._hyperlink,""))</f>
        <v>#VALUE!</v>
      </c>
      <c r="AD49" s="918">
        <f t="shared" si="9" ref="AD49:BN49">IFERROR(SUBTOTAL(9,AD45:AD48),"")</f>
        <v>6</v>
      </c>
      <c r="AE49" s="918">
        <f t="shared" si="9"/>
        <v>6</v>
      </c>
      <c r="AF49" s="918">
        <f t="shared" si="9"/>
        <v>6</v>
      </c>
      <c r="AG49" s="918">
        <f t="shared" si="9"/>
        <v>6</v>
      </c>
      <c r="AH49" s="918">
        <f t="shared" si="9"/>
        <v>6</v>
      </c>
      <c r="AI49" s="918">
        <f t="shared" si="9"/>
        <v>6</v>
      </c>
      <c r="AJ49" s="918">
        <f t="shared" si="9"/>
        <v>6</v>
      </c>
      <c r="AK49" s="918">
        <f t="shared" si="9"/>
        <v>6</v>
      </c>
      <c r="AL49" s="918">
        <f t="shared" si="9"/>
        <v>6</v>
      </c>
      <c r="AM49" s="918">
        <f t="shared" si="9"/>
        <v>6</v>
      </c>
      <c r="AN49" s="918">
        <f t="shared" si="9"/>
        <v>6</v>
      </c>
      <c r="AO49" s="918">
        <f t="shared" si="9"/>
        <v>6</v>
      </c>
      <c r="AP49" s="918">
        <f t="shared" si="9"/>
        <v>6</v>
      </c>
      <c r="AQ49" s="918">
        <f t="shared" si="9"/>
        <v>6</v>
      </c>
      <c r="AR49" s="918">
        <f t="shared" si="9"/>
        <v>6</v>
      </c>
      <c r="AS49" s="918">
        <f t="shared" si="9"/>
        <v>6</v>
      </c>
      <c r="AT49" s="918">
        <f t="shared" si="9"/>
        <v>6</v>
      </c>
      <c r="AU49" s="918">
        <f t="shared" si="9"/>
        <v>6</v>
      </c>
      <c r="AV49" s="918">
        <f t="shared" si="9"/>
        <v>6</v>
      </c>
      <c r="AW49" s="918">
        <f t="shared" si="9"/>
        <v>6</v>
      </c>
      <c r="AX49" s="918">
        <f t="shared" si="9"/>
        <v>6</v>
      </c>
      <c r="AY49" s="918">
        <f t="shared" si="9"/>
        <v>6</v>
      </c>
      <c r="AZ49" s="918">
        <f t="shared" si="9"/>
        <v>6</v>
      </c>
      <c r="BA49" s="918">
        <f t="shared" si="9"/>
        <v>6</v>
      </c>
      <c r="BB49" s="918">
        <f t="shared" si="9"/>
        <v>6</v>
      </c>
      <c r="BC49" s="918">
        <f t="shared" si="9"/>
        <v>6</v>
      </c>
      <c r="BD49" s="918">
        <f t="shared" si="9"/>
        <v>6</v>
      </c>
      <c r="BE49" s="918">
        <f t="shared" si="9"/>
        <v>6</v>
      </c>
      <c r="BF49" s="918">
        <f t="shared" si="9"/>
        <v>6</v>
      </c>
      <c r="BG49" s="918">
        <f t="shared" si="9"/>
        <v>6</v>
      </c>
      <c r="BH49" s="918">
        <f t="shared" si="9"/>
        <v>6</v>
      </c>
      <c r="BI49" s="918">
        <f t="shared" si="9"/>
        <v>6</v>
      </c>
      <c r="BJ49" s="918">
        <f t="shared" si="9"/>
        <v>6</v>
      </c>
      <c r="BK49" s="918">
        <f t="shared" si="9"/>
        <v>6</v>
      </c>
      <c r="BL49" s="918">
        <f t="shared" si="9"/>
        <v>6</v>
      </c>
      <c r="BM49" s="918">
        <f t="shared" si="9"/>
        <v>6</v>
      </c>
      <c r="BN49" s="935">
        <f t="shared" si="9"/>
        <v>6</v>
      </c>
      <c r="BO49" s="2114"/>
      <c r="BP49" s="2114"/>
      <c r="BQ49" s="2114"/>
      <c r="BR49" s="2114"/>
      <c r="BS49" s="2114"/>
      <c r="BT49" s="2114"/>
      <c r="BU49" s="2114"/>
      <c r="BV49" s="2114"/>
      <c r="BW49" s="2114"/>
      <c r="BX49" s="2114"/>
      <c r="BY49" s="2114"/>
      <c r="BZ49" s="2114"/>
      <c r="CA49" s="1330"/>
      <c r="CB49" s="537"/>
      <c r="CC49" s="1484"/>
      <c r="CD49" s="1461" t="e" cm="1">
        <f t="array" ca="1" aca="1" ref="CD49">_xlfn.LET(_xlpm.CheckBlank,SUM(CF!$AD49:$BN49)=0,IF(_xlpm.CheckBlank,"",SUM(_xlfn._xlws.FILTER(CF!$AD49:$BN49,(YEAR(CF!$AD$12:$BN$12)=CF!CD$12)*(array_timeline&lt;=CF!CD$11)))))</f>
        <v>#NAME?</v>
      </c>
      <c r="CE49" s="1461" t="e" cm="1">
        <f t="array" ca="1" aca="1" ref="CE49">_xlfn.LET(_xlpm.CheckBlank,SUM(CF!$AD49:$BN49)=0,IF(_xlpm.CheckBlank,"",SUM(_xlfn._xlws.FILTER(CF!$AD49:$BN49,(YEAR(CF!$AD$12:$BN$12)=CF!CE$12)*(array_timeline&lt;=CF!CE$11)))))</f>
        <v>#NAME?</v>
      </c>
      <c r="CF49" s="1314"/>
      <c r="CG49" s="1461" t="e" cm="1">
        <f t="array" ca="1" aca="1" ref="CG49">_xlfn.LET(_xlpm.CheckBlank,SUM(CF!$AD49:$BN49)=0,IF(_xlpm.CheckBlank,"",SUM(_xlfn._xlws.FILTER(CF!$AD49:$BN49,(YEAR(CF!$AD$12:$BN$12)=CF!CG$12)*(array_timeline&lt;=CF!CG$11)))))</f>
        <v>#NAME?</v>
      </c>
      <c r="CH49" s="1461" t="e" cm="1">
        <f t="array" ca="1" aca="1" ref="CH49">_xlfn.LET(_xlpm.CheckBlank,SUM(CF!$AD49:$BN49)=0,IF(_xlpm.CheckBlank,"",SUM(_xlfn._xlws.FILTER(CF!$AD49:$BN49,(YEAR(CF!$AD$12:$BN$12)=CF!CH$12)*(array_timeline&lt;=CF!CH$11)))))</f>
        <v>#NAME?</v>
      </c>
      <c r="CI49" s="1314"/>
      <c r="CJ49" s="1461" cm="1">
        <f t="array" ref="CJ49">_xlfn.LET(_xlpm.CheckBlank,SUM(CF!$AD49:$BN49)=0,IF(_xlpm.CheckBlank,"",SUM(_xlfn.TAKE(_xlfn.DROP(CF!$AD49:$BN49,,-DATEDIFF(CF!CJ$11,val_asOfDate,"M")),1,-12))))</f>
        <v>72</v>
      </c>
      <c r="CK49" s="1461" cm="1">
        <f t="array" ref="CK49">_xlfn.LET(_xlpm.CheckBlank,SUM(CF!$AD49:$BN49)=0,IF(_xlpm.CheckBlank,"",SUM(_xlfn.TAKE(_xlfn.DROP(CF!$AD49:$BN49,,-DATEDIFF(CF!CK$11,val_asOfDate,"M")),1,-12))))</f>
        <v>72</v>
      </c>
      <c r="CL49" s="1314"/>
      <c r="CM49" s="541" t="str">
        <f t="shared" ca="1" si="7"/>
        <v/>
      </c>
      <c r="CN49" s="541" t="str">
        <f t="shared" ca="1" si="7"/>
        <v/>
      </c>
      <c r="CO49" s="34"/>
      <c r="CW49" s="1883" t="str" cm="1">
        <f t="array" ca="1" aca="1" ref="CW49">IFERROR(IF(AD49*fxVal_normal=_CF!AD49,"",IF(OR(AD49="",NOT(ISNUMBER(AD49)),ISERROR(AD49),$B49=""),"",IF($I49=1,IFBLANK(_xldudf_CX_PUSH(AD49*fxVal_normal,CX_ENTITY,$B49,AD$11,AD$14,AD$44,),""),IF($I49=2,IFBLANK(_xldudf_CX_PUSH(AD49,CX_ENTITY,$B49,AD$11,AD$14,AD$44,),""),IF($I49=3,"",IFBLANK(_xldudf_CX_PUSH(AD49,CX_ENTITY,$B49,AD$11,AD$14,AD$44,),"")))))),"")</f>
        <v/>
      </c>
      <c r="CX49" s="1883" t="str" cm="1">
        <f t="array" ca="1" aca="1" ref="CX49">IFERROR(IF(AE49*fxVal_normal=_CF!AE49,"",IF(OR(AE49="",NOT(ISNUMBER(AE49)),ISERROR(AE49),$B49=""),"",IF($I49=1,IFBLANK(_xldudf_CX_PUSH(AE49*fxVal_normal,CX_ENTITY,$B49,AE$11,AE$14,AE$44,),""),IF($I49=2,IFBLANK(_xldudf_CX_PUSH(AE49,CX_ENTITY,$B49,AE$11,AE$14,AE$44,),""),IF($I49=3,"",IFBLANK(_xldudf_CX_PUSH(AE49,CX_ENTITY,$B49,AE$11,AE$14,AE$44,),"")))))),"")</f>
        <v/>
      </c>
      <c r="CY49" s="1883" t="str" cm="1">
        <f t="array" ca="1" aca="1" ref="CY49">IFERROR(IF(AF49*fxVal_normal=_CF!AF49,"",IF(OR(AF49="",NOT(ISNUMBER(AF49)),ISERROR(AF49),$B49=""),"",IF($I49=1,IFBLANK(_xldudf_CX_PUSH(AF49*fxVal_normal,CX_ENTITY,$B49,AF$11,AF$14,AF$44,),""),IF($I49=2,IFBLANK(_xldudf_CX_PUSH(AF49,CX_ENTITY,$B49,AF$11,AF$14,AF$44,),""),IF($I49=3,"",IFBLANK(_xldudf_CX_PUSH(AF49,CX_ENTITY,$B49,AF$11,AF$14,AF$44,),"")))))),"")</f>
        <v/>
      </c>
      <c r="CZ49" s="1883" t="str" cm="1">
        <f t="array" ca="1" aca="1" ref="CZ49">IFERROR(IF(AG49*fxVal_normal=_CF!AG49,"",IF(OR(AG49="",NOT(ISNUMBER(AG49)),ISERROR(AG49),$B49=""),"",IF($I49=1,IFBLANK(_xldudf_CX_PUSH(AG49*fxVal_normal,CX_ENTITY,$B49,AG$11,AG$14,AG$44,),""),IF($I49=2,IFBLANK(_xldudf_CX_PUSH(AG49,CX_ENTITY,$B49,AG$11,AG$14,AG$44,),""),IF($I49=3,"",IFBLANK(_xldudf_CX_PUSH(AG49,CX_ENTITY,$B49,AG$11,AG$14,AG$44,),"")))))),"")</f>
        <v/>
      </c>
      <c r="DA49" s="1883" t="str" cm="1">
        <f t="array" ca="1" aca="1" ref="DA49">IFERROR(IF(AH49*fxVal_normal=_CF!AH49,"",IF(OR(AH49="",NOT(ISNUMBER(AH49)),ISERROR(AH49),$B49=""),"",IF($I49=1,IFBLANK(_xldudf_CX_PUSH(AH49*fxVal_normal,CX_ENTITY,$B49,AH$11,AH$14,AH$44,),""),IF($I49=2,IFBLANK(_xldudf_CX_PUSH(AH49,CX_ENTITY,$B49,AH$11,AH$14,AH$44,),""),IF($I49=3,"",IFBLANK(_xldudf_CX_PUSH(AH49,CX_ENTITY,$B49,AH$11,AH$14,AH$44,),"")))))),"")</f>
        <v/>
      </c>
      <c r="DB49" s="1883" t="str" cm="1">
        <f t="array" ca="1" aca="1" ref="DB49">IFERROR(IF(AI49*fxVal_normal=_CF!AI49,"",IF(OR(AI49="",NOT(ISNUMBER(AI49)),ISERROR(AI49),$B49=""),"",IF($I49=1,IFBLANK(_xldudf_CX_PUSH(AI49*fxVal_normal,CX_ENTITY,$B49,AI$11,AI$14,AI$44,),""),IF($I49=2,IFBLANK(_xldudf_CX_PUSH(AI49,CX_ENTITY,$B49,AI$11,AI$14,AI$44,),""),IF($I49=3,"",IFBLANK(_xldudf_CX_PUSH(AI49,CX_ENTITY,$B49,AI$11,AI$14,AI$44,),"")))))),"")</f>
        <v/>
      </c>
      <c r="DC49" s="1883" t="str" cm="1">
        <f t="array" ca="1" aca="1" ref="DC49">IFERROR(IF(AJ49*fxVal_normal=_CF!AJ49,"",IF(OR(AJ49="",NOT(ISNUMBER(AJ49)),ISERROR(AJ49),$B49=""),"",IF($I49=1,IFBLANK(_xldudf_CX_PUSH(AJ49*fxVal_normal,CX_ENTITY,$B49,AJ$11,AJ$14,AJ$44,),""),IF($I49=2,IFBLANK(_xldudf_CX_PUSH(AJ49,CX_ENTITY,$B49,AJ$11,AJ$14,AJ$44,),""),IF($I49=3,"",IFBLANK(_xldudf_CX_PUSH(AJ49,CX_ENTITY,$B49,AJ$11,AJ$14,AJ$44,),"")))))),"")</f>
        <v/>
      </c>
      <c r="DD49" s="1883" t="str" cm="1">
        <f t="array" ca="1" aca="1" ref="DD49">IFERROR(IF(AK49*fxVal_normal=_CF!AK49,"",IF(OR(AK49="",NOT(ISNUMBER(AK49)),ISERROR(AK49),$B49=""),"",IF($I49=1,IFBLANK(_xldudf_CX_PUSH(AK49*fxVal_normal,CX_ENTITY,$B49,AK$11,AK$14,AK$44,),""),IF($I49=2,IFBLANK(_xldudf_CX_PUSH(AK49,CX_ENTITY,$B49,AK$11,AK$14,AK$44,),""),IF($I49=3,"",IFBLANK(_xldudf_CX_PUSH(AK49,CX_ENTITY,$B49,AK$11,AK$14,AK$44,),"")))))),"")</f>
        <v/>
      </c>
      <c r="DE49" s="1883" t="str" cm="1">
        <f t="array" ca="1" aca="1" ref="DE49">IFERROR(IF(AL49*fxVal_normal=_CF!AL49,"",IF(OR(AL49="",NOT(ISNUMBER(AL49)),ISERROR(AL49),$B49=""),"",IF($I49=1,IFBLANK(_xldudf_CX_PUSH(AL49*fxVal_normal,CX_ENTITY,$B49,AL$11,AL$14,AL$44,),""),IF($I49=2,IFBLANK(_xldudf_CX_PUSH(AL49,CX_ENTITY,$B49,AL$11,AL$14,AL$44,),""),IF($I49=3,"",IFBLANK(_xldudf_CX_PUSH(AL49,CX_ENTITY,$B49,AL$11,AL$14,AL$44,),"")))))),"")</f>
        <v/>
      </c>
      <c r="DF49" s="1883" t="str" cm="1">
        <f t="array" ca="1" aca="1" ref="DF49">IFERROR(IF(AM49*fxVal_normal=_CF!AM49,"",IF(OR(AM49="",NOT(ISNUMBER(AM49)),ISERROR(AM49),$B49=""),"",IF($I49=1,IFBLANK(_xldudf_CX_PUSH(AM49*fxVal_normal,CX_ENTITY,$B49,AM$11,AM$14,AM$44,),""),IF($I49=2,IFBLANK(_xldudf_CX_PUSH(AM49,CX_ENTITY,$B49,AM$11,AM$14,AM$44,),""),IF($I49=3,"",IFBLANK(_xldudf_CX_PUSH(AM49,CX_ENTITY,$B49,AM$11,AM$14,AM$44,),"")))))),"")</f>
        <v/>
      </c>
      <c r="DG49" s="1883" t="str" cm="1">
        <f t="array" ca="1" aca="1" ref="DG49">IFERROR(IF(AN49*fxVal_normal=_CF!AN49,"",IF(OR(AN49="",NOT(ISNUMBER(AN49)),ISERROR(AN49),$B49=""),"",IF($I49=1,IFBLANK(_xldudf_CX_PUSH(AN49*fxVal_normal,CX_ENTITY,$B49,AN$11,AN$14,AN$44,),""),IF($I49=2,IFBLANK(_xldudf_CX_PUSH(AN49,CX_ENTITY,$B49,AN$11,AN$14,AN$44,),""),IF($I49=3,"",IFBLANK(_xldudf_CX_PUSH(AN49,CX_ENTITY,$B49,AN$11,AN$14,AN$44,),"")))))),"")</f>
        <v/>
      </c>
      <c r="DH49" s="1883" t="str" cm="1">
        <f t="array" ca="1" aca="1" ref="DH49">IFERROR(IF(AO49*fxVal_normal=_CF!AO49,"",IF(OR(AO49="",NOT(ISNUMBER(AO49)),ISERROR(AO49),$B49=""),"",IF($I49=1,IFBLANK(_xldudf_CX_PUSH(AO49*fxVal_normal,CX_ENTITY,$B49,AO$11,AO$14,AO$44,),""),IF($I49=2,IFBLANK(_xldudf_CX_PUSH(AO49,CX_ENTITY,$B49,AO$11,AO$14,AO$44,),""),IF($I49=3,"",IFBLANK(_xldudf_CX_PUSH(AO49,CX_ENTITY,$B49,AO$11,AO$14,AO$44,),"")))))),"")</f>
        <v/>
      </c>
      <c r="DI49" s="1883" t="str" cm="1">
        <f t="array" ca="1" aca="1" ref="DI49">IFERROR(IF(AP49*fxVal_normal=_CF!AP49,"",IF(OR(AP49="",NOT(ISNUMBER(AP49)),ISERROR(AP49),$B49=""),"",IF($I49=1,IFBLANK(_xldudf_CX_PUSH(AP49*fxVal_normal,CX_ENTITY,$B49,AP$11,AP$14,AP$44,),""),IF($I49=2,IFBLANK(_xldudf_CX_PUSH(AP49,CX_ENTITY,$B49,AP$11,AP$14,AP$44,),""),IF($I49=3,"",IFBLANK(_xldudf_CX_PUSH(AP49,CX_ENTITY,$B49,AP$11,AP$14,AP$44,),"")))))),"")</f>
        <v/>
      </c>
      <c r="DJ49" s="1883" t="str" cm="1">
        <f t="array" ca="1" aca="1" ref="DJ49">IFERROR(IF(AQ49*fxVal_normal=_CF!AQ49,"",IF(OR(AQ49="",NOT(ISNUMBER(AQ49)),ISERROR(AQ49),$B49=""),"",IF($I49=1,IFBLANK(_xldudf_CX_PUSH(AQ49*fxVal_normal,CX_ENTITY,$B49,AQ$11,AQ$14,AQ$44,),""),IF($I49=2,IFBLANK(_xldudf_CX_PUSH(AQ49,CX_ENTITY,$B49,AQ$11,AQ$14,AQ$44,),""),IF($I49=3,"",IFBLANK(_xldudf_CX_PUSH(AQ49,CX_ENTITY,$B49,AQ$11,AQ$14,AQ$44,),"")))))),"")</f>
        <v/>
      </c>
      <c r="DK49" s="1883" t="str" cm="1">
        <f t="array" ca="1" aca="1" ref="DK49">IFERROR(IF(AR49*fxVal_normal=_CF!AR49,"",IF(OR(AR49="",NOT(ISNUMBER(AR49)),ISERROR(AR49),$B49=""),"",IF($I49=1,IFBLANK(_xldudf_CX_PUSH(AR49*fxVal_normal,CX_ENTITY,$B49,AR$11,AR$14,AR$44,),""),IF($I49=2,IFBLANK(_xldudf_CX_PUSH(AR49,CX_ENTITY,$B49,AR$11,AR$14,AR$44,),""),IF($I49=3,"",IFBLANK(_xldudf_CX_PUSH(AR49,CX_ENTITY,$B49,AR$11,AR$14,AR$44,),"")))))),"")</f>
        <v/>
      </c>
      <c r="DL49" s="1883" t="str" cm="1">
        <f t="array" ca="1" aca="1" ref="DL49">IFERROR(IF(AS49*fxVal_normal=_CF!AS49,"",IF(OR(AS49="",NOT(ISNUMBER(AS49)),ISERROR(AS49),$B49=""),"",IF($I49=1,IFBLANK(_xldudf_CX_PUSH(AS49*fxVal_normal,CX_ENTITY,$B49,AS$11,AS$14,AS$44,),""),IF($I49=2,IFBLANK(_xldudf_CX_PUSH(AS49,CX_ENTITY,$B49,AS$11,AS$14,AS$44,),""),IF($I49=3,"",IFBLANK(_xldudf_CX_PUSH(AS49,CX_ENTITY,$B49,AS$11,AS$14,AS$44,),"")))))),"")</f>
        <v/>
      </c>
      <c r="DM49" s="1883" t="str" cm="1">
        <f t="array" ca="1" aca="1" ref="DM49">IFERROR(IF(AT49*fxVal_normal=_CF!AT49,"",IF(OR(AT49="",NOT(ISNUMBER(AT49)),ISERROR(AT49),$B49=""),"",IF($I49=1,IFBLANK(_xldudf_CX_PUSH(AT49*fxVal_normal,CX_ENTITY,$B49,AT$11,AT$14,AT$44,),""),IF($I49=2,IFBLANK(_xldudf_CX_PUSH(AT49,CX_ENTITY,$B49,AT$11,AT$14,AT$44,),""),IF($I49=3,"",IFBLANK(_xldudf_CX_PUSH(AT49,CX_ENTITY,$B49,AT$11,AT$14,AT$44,),"")))))),"")</f>
        <v/>
      </c>
      <c r="DN49" s="1883" t="str" cm="1">
        <f t="array" ca="1" aca="1" ref="DN49">IFERROR(IF(AU49*fxVal_normal=_CF!AU49,"",IF(OR(AU49="",NOT(ISNUMBER(AU49)),ISERROR(AU49),$B49=""),"",IF($I49=1,IFBLANK(_xldudf_CX_PUSH(AU49*fxVal_normal,CX_ENTITY,$B49,AU$11,AU$14,AU$44,),""),IF($I49=2,IFBLANK(_xldudf_CX_PUSH(AU49,CX_ENTITY,$B49,AU$11,AU$14,AU$44,),""),IF($I49=3,"",IFBLANK(_xldudf_CX_PUSH(AU49,CX_ENTITY,$B49,AU$11,AU$14,AU$44,),"")))))),"")</f>
        <v/>
      </c>
      <c r="DO49" s="1883" t="str" cm="1">
        <f t="array" ca="1" aca="1" ref="DO49">IFERROR(IF(AV49*fxVal_normal=_CF!AV49,"",IF(OR(AV49="",NOT(ISNUMBER(AV49)),ISERROR(AV49),$B49=""),"",IF($I49=1,IFBLANK(_xldudf_CX_PUSH(AV49*fxVal_normal,CX_ENTITY,$B49,AV$11,AV$14,AV$44,),""),IF($I49=2,IFBLANK(_xldudf_CX_PUSH(AV49,CX_ENTITY,$B49,AV$11,AV$14,AV$44,),""),IF($I49=3,"",IFBLANK(_xldudf_CX_PUSH(AV49,CX_ENTITY,$B49,AV$11,AV$14,AV$44,),"")))))),"")</f>
        <v/>
      </c>
      <c r="DP49" s="1883" t="str" cm="1">
        <f t="array" ca="1" aca="1" ref="DP49">IFERROR(IF(AW49*fxVal_normal=_CF!AW49,"",IF(OR(AW49="",NOT(ISNUMBER(AW49)),ISERROR(AW49),$B49=""),"",IF($I49=1,IFBLANK(_xldudf_CX_PUSH(AW49*fxVal_normal,CX_ENTITY,$B49,AW$11,AW$14,AW$44,),""),IF($I49=2,IFBLANK(_xldudf_CX_PUSH(AW49,CX_ENTITY,$B49,AW$11,AW$14,AW$44,),""),IF($I49=3,"",IFBLANK(_xldudf_CX_PUSH(AW49,CX_ENTITY,$B49,AW$11,AW$14,AW$44,),"")))))),"")</f>
        <v/>
      </c>
      <c r="DQ49" s="1883" t="str" cm="1">
        <f t="array" ca="1" aca="1" ref="DQ49">IFERROR(IF(AX49*fxVal_normal=_CF!AX49,"",IF(OR(AX49="",NOT(ISNUMBER(AX49)),ISERROR(AX49),$B49=""),"",IF($I49=1,IFBLANK(_xldudf_CX_PUSH(AX49*fxVal_normal,CX_ENTITY,$B49,AX$11,AX$14,AX$44,),""),IF($I49=2,IFBLANK(_xldudf_CX_PUSH(AX49,CX_ENTITY,$B49,AX$11,AX$14,AX$44,),""),IF($I49=3,"",IFBLANK(_xldudf_CX_PUSH(AX49,CX_ENTITY,$B49,AX$11,AX$14,AX$44,),"")))))),"")</f>
        <v/>
      </c>
      <c r="DR49" s="1883" t="str" cm="1">
        <f t="array" ca="1" aca="1" ref="DR49">IFERROR(IF(AY49*fxVal_normal=_CF!AY49,"",IF(OR(AY49="",NOT(ISNUMBER(AY49)),ISERROR(AY49),$B49=""),"",IF($I49=1,IFBLANK(_xldudf_CX_PUSH(AY49*fxVal_normal,CX_ENTITY,$B49,AY$11,AY$14,AY$44,),""),IF($I49=2,IFBLANK(_xldudf_CX_PUSH(AY49,CX_ENTITY,$B49,AY$11,AY$14,AY$44,),""),IF($I49=3,"",IFBLANK(_xldudf_CX_PUSH(AY49,CX_ENTITY,$B49,AY$11,AY$14,AY$44,),"")))))),"")</f>
        <v/>
      </c>
      <c r="DS49" s="1883" t="str" cm="1">
        <f t="array" ca="1" aca="1" ref="DS49">IFERROR(IF(AZ49*fxVal_normal=_CF!AZ49,"",IF(OR(AZ49="",NOT(ISNUMBER(AZ49)),ISERROR(AZ49),$B49=""),"",IF($I49=1,IFBLANK(_xldudf_CX_PUSH(AZ49*fxVal_normal,CX_ENTITY,$B49,AZ$11,AZ$14,AZ$44,),""),IF($I49=2,IFBLANK(_xldudf_CX_PUSH(AZ49,CX_ENTITY,$B49,AZ$11,AZ$14,AZ$44,),""),IF($I49=3,"",IFBLANK(_xldudf_CX_PUSH(AZ49,CX_ENTITY,$B49,AZ$11,AZ$14,AZ$44,),"")))))),"")</f>
        <v/>
      </c>
      <c r="DT49" s="1883" t="str" cm="1">
        <f t="array" ca="1" aca="1" ref="DT49">IFERROR(IF(BA49*fxVal_normal=_CF!BA49,"",IF(OR(BA49="",NOT(ISNUMBER(BA49)),ISERROR(BA49),$B49=""),"",IF($I49=1,IFBLANK(_xldudf_CX_PUSH(BA49*fxVal_normal,CX_ENTITY,$B49,BA$11,BA$14,BA$44,),""),IF($I49=2,IFBLANK(_xldudf_CX_PUSH(BA49,CX_ENTITY,$B49,BA$11,BA$14,BA$44,),""),IF($I49=3,"",IFBLANK(_xldudf_CX_PUSH(BA49,CX_ENTITY,$B49,BA$11,BA$14,BA$44,),"")))))),"")</f>
        <v/>
      </c>
      <c r="DU49" s="1883" t="str" cm="1">
        <f t="array" ca="1" aca="1" ref="DU49">IFERROR(IF(BB49*fxVal_normal=_CF!BB49,"",IF(OR(BB49="",NOT(ISNUMBER(BB49)),ISERROR(BB49),$B49=""),"",IF($I49=1,IFBLANK(_xldudf_CX_PUSH(BB49*fxVal_normal,CX_ENTITY,$B49,BB$11,BB$14,BB$44,),""),IF($I49=2,IFBLANK(_xldudf_CX_PUSH(BB49,CX_ENTITY,$B49,BB$11,BB$14,BB$44,),""),IF($I49=3,"",IFBLANK(_xldudf_CX_PUSH(BB49,CX_ENTITY,$B49,BB$11,BB$14,BB$44,),"")))))),"")</f>
        <v/>
      </c>
      <c r="DV49" s="1883" t="str" cm="1">
        <f t="array" ca="1" aca="1" ref="DV49">IFERROR(IF(BC49*fxVal_normal=_CF!BC49,"",IF(OR(BC49="",NOT(ISNUMBER(BC49)),ISERROR(BC49),$B49=""),"",IF($I49=1,IFBLANK(_xldudf_CX_PUSH(BC49*fxVal_normal,CX_ENTITY,$B49,BC$11,BC$14,BC$44,),""),IF($I49=2,IFBLANK(_xldudf_CX_PUSH(BC49,CX_ENTITY,$B49,BC$11,BC$14,BC$44,),""),IF($I49=3,"",IFBLANK(_xldudf_CX_PUSH(BC49,CX_ENTITY,$B49,BC$11,BC$14,BC$44,),"")))))),"")</f>
        <v/>
      </c>
      <c r="DW49" s="1883" t="str" cm="1">
        <f t="array" ca="1" aca="1" ref="DW49">IFERROR(IF(BD49*fxVal_normal=_CF!BD49,"",IF(OR(BD49="",NOT(ISNUMBER(BD49)),ISERROR(BD49),$B49=""),"",IF($I49=1,IFBLANK(_xldudf_CX_PUSH(BD49*fxVal_normal,CX_ENTITY,$B49,BD$11,BD$14,BD$44,),""),IF($I49=2,IFBLANK(_xldudf_CX_PUSH(BD49,CX_ENTITY,$B49,BD$11,BD$14,BD$44,),""),IF($I49=3,"",IFBLANK(_xldudf_CX_PUSH(BD49,CX_ENTITY,$B49,BD$11,BD$14,BD$44,),"")))))),"")</f>
        <v/>
      </c>
      <c r="DX49" s="1883" t="str" cm="1">
        <f t="array" ca="1" aca="1" ref="DX49">IFERROR(IF(BE49*fxVal_normal=_CF!BE49,"",IF(OR(BE49="",NOT(ISNUMBER(BE49)),ISERROR(BE49),$B49=""),"",IF($I49=1,IFBLANK(_xldudf_CX_PUSH(BE49*fxVal_normal,CX_ENTITY,$B49,BE$11,BE$14,BE$44,),""),IF($I49=2,IFBLANK(_xldudf_CX_PUSH(BE49,CX_ENTITY,$B49,BE$11,BE$14,BE$44,),""),IF($I49=3,"",IFBLANK(_xldudf_CX_PUSH(BE49,CX_ENTITY,$B49,BE$11,BE$14,BE$44,),"")))))),"")</f>
        <v/>
      </c>
      <c r="DY49" s="1883" t="str" cm="1">
        <f t="array" ca="1" aca="1" ref="DY49">IFERROR(IF(BF49*fxVal_normal=_CF!BF49,"",IF(OR(BF49="",NOT(ISNUMBER(BF49)),ISERROR(BF49),$B49=""),"",IF($I49=1,IFBLANK(_xldudf_CX_PUSH(BF49*fxVal_normal,CX_ENTITY,$B49,BF$11,BF$14,BF$44,),""),IF($I49=2,IFBLANK(_xldudf_CX_PUSH(BF49,CX_ENTITY,$B49,BF$11,BF$14,BF$44,),""),IF($I49=3,"",IFBLANK(_xldudf_CX_PUSH(BF49,CX_ENTITY,$B49,BF$11,BF$14,BF$44,),"")))))),"")</f>
        <v/>
      </c>
      <c r="DZ49" s="1883" t="str" cm="1">
        <f t="array" ca="1" aca="1" ref="DZ49">IFERROR(IF(BG49*fxVal_normal=_CF!BG49,"",IF(OR(BG49="",NOT(ISNUMBER(BG49)),ISERROR(BG49),$B49=""),"",IF($I49=1,IFBLANK(_xldudf_CX_PUSH(BG49*fxVal_normal,CX_ENTITY,$B49,BG$11,BG$14,BG$44,),""),IF($I49=2,IFBLANK(_xldudf_CX_PUSH(BG49,CX_ENTITY,$B49,BG$11,BG$14,BG$44,),""),IF($I49=3,"",IFBLANK(_xldudf_CX_PUSH(BG49,CX_ENTITY,$B49,BG$11,BG$14,BG$44,),"")))))),"")</f>
        <v/>
      </c>
      <c r="EA49" s="1883" t="str" cm="1">
        <f t="array" ca="1" aca="1" ref="EA49">IFERROR(IF(BH49*fxVal_normal=_CF!BH49,"",IF(OR(BH49="",NOT(ISNUMBER(BH49)),ISERROR(BH49),$B49=""),"",IF($I49=1,IFBLANK(_xldudf_CX_PUSH(BH49*fxVal_normal,CX_ENTITY,$B49,BH$11,BH$14,BH$44,),""),IF($I49=2,IFBLANK(_xldudf_CX_PUSH(BH49,CX_ENTITY,$B49,BH$11,BH$14,BH$44,),""),IF($I49=3,"",IFBLANK(_xldudf_CX_PUSH(BH49,CX_ENTITY,$B49,BH$11,BH$14,BH$44,),"")))))),"")</f>
        <v/>
      </c>
      <c r="EB49" s="1883" t="str" cm="1">
        <f t="array" ca="1" aca="1" ref="EB49">IFERROR(IF(BI49*fxVal_normal=_CF!BI49,"",IF(OR(BI49="",NOT(ISNUMBER(BI49)),ISERROR(BI49),$B49=""),"",IF($I49=1,IFBLANK(_xldudf_CX_PUSH(BI49*fxVal_normal,CX_ENTITY,$B49,BI$11,BI$14,BI$44,),""),IF($I49=2,IFBLANK(_xldudf_CX_PUSH(BI49,CX_ENTITY,$B49,BI$11,BI$14,BI$44,),""),IF($I49=3,"",IFBLANK(_xldudf_CX_PUSH(BI49,CX_ENTITY,$B49,BI$11,BI$14,BI$44,),"")))))),"")</f>
        <v/>
      </c>
      <c r="EC49" s="1883" t="str" cm="1">
        <f t="array" ca="1" aca="1" ref="EC49">IFERROR(IF(BJ49*fxVal_normal=_CF!BJ49,"",IF(OR(BJ49="",NOT(ISNUMBER(BJ49)),ISERROR(BJ49),$B49=""),"",IF($I49=1,IFBLANK(_xldudf_CX_PUSH(BJ49*fxVal_normal,CX_ENTITY,$B49,BJ$11,BJ$14,BJ$44,),""),IF($I49=2,IFBLANK(_xldudf_CX_PUSH(BJ49,CX_ENTITY,$B49,BJ$11,BJ$14,BJ$44,),""),IF($I49=3,"",IFBLANK(_xldudf_CX_PUSH(BJ49,CX_ENTITY,$B49,BJ$11,BJ$14,BJ$44,),"")))))),"")</f>
        <v/>
      </c>
      <c r="ED49" s="1883" t="str" cm="1">
        <f t="array" ca="1" aca="1" ref="ED49">IFERROR(IF(BK49*fxVal_normal=_CF!BK49,"",IF(OR(BK49="",NOT(ISNUMBER(BK49)),ISERROR(BK49),$B49=""),"",IF($I49=1,IFBLANK(_xldudf_CX_PUSH(BK49*fxVal_normal,CX_ENTITY,$B49,BK$11,BK$14,BK$44,),""),IF($I49=2,IFBLANK(_xldudf_CX_PUSH(BK49,CX_ENTITY,$B49,BK$11,BK$14,BK$44,),""),IF($I49=3,"",IFBLANK(_xldudf_CX_PUSH(BK49,CX_ENTITY,$B49,BK$11,BK$14,BK$44,),"")))))),"")</f>
        <v/>
      </c>
      <c r="EE49" s="1883" t="str" cm="1">
        <f t="array" ca="1" aca="1" ref="EE49">IFERROR(IF(BL49*fxVal_normal=_CF!BL49,"",IF(OR(BL49="",NOT(ISNUMBER(BL49)),ISERROR(BL49),$B49=""),"",IF($I49=1,IFBLANK(_xldudf_CX_PUSH(BL49*fxVal_normal,CX_ENTITY,$B49,BL$11,BL$14,BL$44,),""),IF($I49=2,IFBLANK(_xldudf_CX_PUSH(BL49,CX_ENTITY,$B49,BL$11,BL$14,BL$44,),""),IF($I49=3,"",IFBLANK(_xldudf_CX_PUSH(BL49,CX_ENTITY,$B49,BL$11,BL$14,BL$44,),"")))))),"")</f>
        <v/>
      </c>
      <c r="EF49" s="1883" t="str" cm="1">
        <f t="array" ca="1" aca="1" ref="EF49">IFERROR(IF(BM49*fxVal_normal=_CF!BM49,"",IF(OR(BM49="",NOT(ISNUMBER(BM49)),ISERROR(BM49),$B49=""),"",IF($I49=1,IFBLANK(_xldudf_CX_PUSH(BM49*fxVal_normal,CX_ENTITY,$B49,BM$11,BM$14,BM$44,),""),IF($I49=2,IFBLANK(_xldudf_CX_PUSH(BM49,CX_ENTITY,$B49,BM$11,BM$14,BM$44,),""),IF($I49=3,"",IFBLANK(_xldudf_CX_PUSH(BM49,CX_ENTITY,$B49,BM$11,BM$14,BM$44,),"")))))),"")</f>
        <v/>
      </c>
      <c r="EG49" s="1883" t="str" cm="1">
        <f t="array" ca="1" aca="1" ref="EG49">IFERROR(IF(BN49*fxVal_normal=_CF!BN49,"",IF(OR(BN49="",NOT(ISNUMBER(BN49)),ISERROR(BN49),$B49=""),"",IF($I49=1,IFBLANK(_xldudf_CX_PUSH(BN49*fxVal_normal,CX_ENTITY,$B49,BN$11,BN$14,BN$44,),""),IF($I49=2,IFBLANK(_xldudf_CX_PUSH(BN49,CX_ENTITY,$B49,BN$11,BN$14,BN$44,),""),IF($I49=3,"",IFBLANK(_xldudf_CX_PUSH(BN49,CX_ENTITY,$B49,BN$11,BN$14,BN$44,),"")))))),"")</f>
        <v/>
      </c>
    </row>
    <row r="50" spans="1:137" ht="21" customHeight="1">
      <c r="A50" s="1626"/>
      <c r="B50" s="811" t="str" cm="1">
        <f t="array" ref="B50">IFBLANK(_CF!F50,"")</f>
        <v>Cash Tax</v>
      </c>
      <c r="C50" s="811" t="str" cm="1">
        <f t="array" ref="C50">IFBLANK(_CF!C50,"")</f>
        <v>Cash Tax (Company View)</v>
      </c>
      <c r="D50" s="1549"/>
      <c r="E50" s="811"/>
      <c r="F50" s="574"/>
      <c r="G50" s="574"/>
      <c r="H50" s="3280">
        <v>1</v>
      </c>
      <c r="I50" s="3280">
        <v>1</v>
      </c>
      <c r="J50" s="401"/>
      <c r="K50" s="401"/>
      <c r="N50" s="158"/>
      <c r="O50" s="101"/>
      <c r="P50" s="52"/>
      <c r="Q50" s="101"/>
      <c r="R50" s="126"/>
      <c r="S50" s="101"/>
      <c r="T50" s="101"/>
      <c r="U50" s="39"/>
      <c r="W50" s="932" t="str">
        <f t="shared" si="8"/>
        <v>Budget</v>
      </c>
      <c r="X50" s="815">
        <f>_CF!X50</f>
        <v>-1</v>
      </c>
      <c r="Y50" s="3192">
        <f t="shared" si="6"/>
        <v>2</v>
      </c>
      <c r="Z50" s="3291" cm="1">
        <f t="array" ref="Z50">_xlfn.SWITCH(TRUE,_CF!$L50=TRUE,1,_CF!$L50=FALSE,-1,_CF!$L50=-1,0,"n/a")</f>
        <v>1</v>
      </c>
      <c r="AA50" s="200"/>
      <c r="AB50" s="88" t="str">
        <f>_CF!AB50</f>
        <v>Cash Tax</v>
      </c>
      <c r="AC50" s="88" t="e" vm="5" cm="1">
        <f t="array" ca="1" aca="1" ref="AC50">_xlfn.LET(_xlpm._termname,$AB50,_xlpm._iconname,"find",_xlpm._icon,fx_getIcon(_xlpm._iconname),_xlpm._location,_xlfn.XLOOKUP(LOWER(_xlpm._termname),LOWER(tbl_acctDef[Term]),tbl_acctDef[Term]),_xlpm._hyperlink,HYPERLINK("#"&amp;CELL("address",_xlpm._location),_xlpm._icon),IFERROR(_xlpm._hyperlink,""))</f>
        <v>#VALUE!</v>
      </c>
      <c r="AD50" s="3232">
        <v>1</v>
      </c>
      <c r="AE50" s="3232">
        <v>1</v>
      </c>
      <c r="AF50" s="3232">
        <v>1</v>
      </c>
      <c r="AG50" s="3232">
        <v>1</v>
      </c>
      <c r="AH50" s="3232">
        <v>1</v>
      </c>
      <c r="AI50" s="3232">
        <v>1</v>
      </c>
      <c r="AJ50" s="3232">
        <v>1</v>
      </c>
      <c r="AK50" s="3232">
        <v>1</v>
      </c>
      <c r="AL50" s="3232">
        <v>1</v>
      </c>
      <c r="AM50" s="3232">
        <v>1</v>
      </c>
      <c r="AN50" s="3232">
        <v>1</v>
      </c>
      <c r="AO50" s="3232">
        <v>1</v>
      </c>
      <c r="AP50" s="3232">
        <v>1</v>
      </c>
      <c r="AQ50" s="3232">
        <v>1</v>
      </c>
      <c r="AR50" s="3232">
        <v>1</v>
      </c>
      <c r="AS50" s="3232">
        <v>1</v>
      </c>
      <c r="AT50" s="3232">
        <v>1</v>
      </c>
      <c r="AU50" s="3232">
        <v>1</v>
      </c>
      <c r="AV50" s="3232">
        <v>1</v>
      </c>
      <c r="AW50" s="3232">
        <v>1</v>
      </c>
      <c r="AX50" s="3232">
        <v>1</v>
      </c>
      <c r="AY50" s="3232">
        <v>1</v>
      </c>
      <c r="AZ50" s="3232">
        <v>1</v>
      </c>
      <c r="BA50" s="3232">
        <v>1</v>
      </c>
      <c r="BB50" s="3232">
        <v>1</v>
      </c>
      <c r="BC50" s="3232">
        <v>1</v>
      </c>
      <c r="BD50" s="3232">
        <v>1</v>
      </c>
      <c r="BE50" s="3232">
        <v>1</v>
      </c>
      <c r="BF50" s="3232">
        <v>1</v>
      </c>
      <c r="BG50" s="3232">
        <v>1</v>
      </c>
      <c r="BH50" s="3232">
        <v>1</v>
      </c>
      <c r="BI50" s="3232">
        <v>1</v>
      </c>
      <c r="BJ50" s="3232">
        <v>1</v>
      </c>
      <c r="BK50" s="3232">
        <v>1</v>
      </c>
      <c r="BL50" s="3232">
        <v>1</v>
      </c>
      <c r="BM50" s="3232">
        <v>1</v>
      </c>
      <c r="BN50" s="3232">
        <v>1</v>
      </c>
      <c r="BO50" s="2115"/>
      <c r="BP50" s="2115"/>
      <c r="BQ50" s="2115"/>
      <c r="BR50" s="2115"/>
      <c r="BS50" s="2115"/>
      <c r="BT50" s="2115"/>
      <c r="BU50" s="2115"/>
      <c r="BV50" s="2115"/>
      <c r="BW50" s="2115"/>
      <c r="BX50" s="2115"/>
      <c r="BY50" s="2115"/>
      <c r="BZ50" s="2115"/>
      <c r="CA50" s="1330"/>
      <c r="CB50" s="537"/>
      <c r="CC50" s="1484"/>
      <c r="CD50" s="1461" t="e" cm="1">
        <f t="array" ca="1" aca="1" ref="CD50">_xlfn.LET(_xlpm.CheckBlank,SUM(CF!$AD50:$BN50)=0,IF(_xlpm.CheckBlank,"",SUM(_xlfn._xlws.FILTER(CF!$AD50:$BN50,(YEAR(CF!$AD$12:$BN$12)=CF!CD$12)*(array_timeline&lt;=CF!CD$11)))))</f>
        <v>#NAME?</v>
      </c>
      <c r="CE50" s="1461" t="e" cm="1">
        <f t="array" ca="1" aca="1" ref="CE50">_xlfn.LET(_xlpm.CheckBlank,SUM(CF!$AD50:$BN50)=0,IF(_xlpm.CheckBlank,"",SUM(_xlfn._xlws.FILTER(CF!$AD50:$BN50,(YEAR(CF!$AD$12:$BN$12)=CF!CE$12)*(array_timeline&lt;=CF!CE$11)))))</f>
        <v>#NAME?</v>
      </c>
      <c r="CF50" s="1314"/>
      <c r="CG50" s="1461" t="e" cm="1">
        <f t="array" ca="1" aca="1" ref="CG50">_xlfn.LET(_xlpm.CheckBlank,SUM(CF!$AD50:$BN50)=0,IF(_xlpm.CheckBlank,"",SUM(_xlfn._xlws.FILTER(CF!$AD50:$BN50,(YEAR(CF!$AD$12:$BN$12)=CF!CG$12)*(array_timeline&lt;=CF!CG$11)))))</f>
        <v>#NAME?</v>
      </c>
      <c r="CH50" s="1461" t="e" cm="1">
        <f t="array" ca="1" aca="1" ref="CH50">_xlfn.LET(_xlpm.CheckBlank,SUM(CF!$AD50:$BN50)=0,IF(_xlpm.CheckBlank,"",SUM(_xlfn._xlws.FILTER(CF!$AD50:$BN50,(YEAR(CF!$AD$12:$BN$12)=CF!CH$12)*(array_timeline&lt;=CF!CH$11)))))</f>
        <v>#NAME?</v>
      </c>
      <c r="CI50" s="1314"/>
      <c r="CJ50" s="1461" cm="1">
        <f t="array" ref="CJ50">_xlfn.LET(_xlpm.CheckBlank,SUM(CF!$AD50:$BN50)=0,IF(_xlpm.CheckBlank,"",SUM(_xlfn.TAKE(_xlfn.DROP(CF!$AD50:$BN50,,-DATEDIFF(CF!CJ$11,val_asOfDate,"M")),1,-12))))</f>
        <v>12</v>
      </c>
      <c r="CK50" s="1461" cm="1">
        <f t="array" ref="CK50">_xlfn.LET(_xlpm.CheckBlank,SUM(CF!$AD50:$BN50)=0,IF(_xlpm.CheckBlank,"",SUM(_xlfn.TAKE(_xlfn.DROP(CF!$AD50:$BN50,,-DATEDIFF(CF!CK$11,val_asOfDate,"M")),1,-12))))</f>
        <v>12</v>
      </c>
      <c r="CL50" s="1314"/>
      <c r="CM50" s="541" t="e">
        <f t="shared" ca="1" si="7"/>
        <v>#NAME?</v>
      </c>
      <c r="CN50" s="541" t="e">
        <f t="shared" ca="1" si="7"/>
        <v>#NAME?</v>
      </c>
      <c r="CO50" s="34"/>
      <c r="CW50" s="1883" t="str" cm="1">
        <f t="array" ca="1" aca="1" ref="CW50">IFERROR(IF(AD50*fxVal_normal=_CF!AD50,"",IF(OR(AD50="",NOT(ISNUMBER(AD50)),ISERROR(AD50),$B50=""),"",IF($I50=1,IFBLANK(_xldudf_CX_PUSH(AD50*fxVal_normal,CX_ENTITY,$B50,AD$11,AD$14,AD$44,),""),IF($I50=2,IFBLANK(_xldudf_CX_PUSH(AD50,CX_ENTITY,$B50,AD$11,AD$14,AD$44,),""),IF($I50=3,"",IFBLANK(_xldudf_CX_PUSH(AD50,CX_ENTITY,$B50,AD$11,AD$14,AD$44,),"")))))),"")</f>
        <v/>
      </c>
      <c r="CX50" s="1883" t="str" cm="1">
        <f t="array" ca="1" aca="1" ref="CX50">IFERROR(IF(AE50*fxVal_normal=_CF!AE50,"",IF(OR(AE50="",NOT(ISNUMBER(AE50)),ISERROR(AE50),$B50=""),"",IF($I50=1,IFBLANK(_xldudf_CX_PUSH(AE50*fxVal_normal,CX_ENTITY,$B50,AE$11,AE$14,AE$44,),""),IF($I50=2,IFBLANK(_xldudf_CX_PUSH(AE50,CX_ENTITY,$B50,AE$11,AE$14,AE$44,),""),IF($I50=3,"",IFBLANK(_xldudf_CX_PUSH(AE50,CX_ENTITY,$B50,AE$11,AE$14,AE$44,),"")))))),"")</f>
        <v/>
      </c>
      <c r="CY50" s="1883" t="str" cm="1">
        <f t="array" ca="1" aca="1" ref="CY50">IFERROR(IF(AF50*fxVal_normal=_CF!AF50,"",IF(OR(AF50="",NOT(ISNUMBER(AF50)),ISERROR(AF50),$B50=""),"",IF($I50=1,IFBLANK(_xldudf_CX_PUSH(AF50*fxVal_normal,CX_ENTITY,$B50,AF$11,AF$14,AF$44,),""),IF($I50=2,IFBLANK(_xldudf_CX_PUSH(AF50,CX_ENTITY,$B50,AF$11,AF$14,AF$44,),""),IF($I50=3,"",IFBLANK(_xldudf_CX_PUSH(AF50,CX_ENTITY,$B50,AF$11,AF$14,AF$44,),"")))))),"")</f>
        <v/>
      </c>
      <c r="CZ50" s="1883" t="str" cm="1">
        <f t="array" ca="1" aca="1" ref="CZ50">IFERROR(IF(AG50*fxVal_normal=_CF!AG50,"",IF(OR(AG50="",NOT(ISNUMBER(AG50)),ISERROR(AG50),$B50=""),"",IF($I50=1,IFBLANK(_xldudf_CX_PUSH(AG50*fxVal_normal,CX_ENTITY,$B50,AG$11,AG$14,AG$44,),""),IF($I50=2,IFBLANK(_xldudf_CX_PUSH(AG50,CX_ENTITY,$B50,AG$11,AG$14,AG$44,),""),IF($I50=3,"",IFBLANK(_xldudf_CX_PUSH(AG50,CX_ENTITY,$B50,AG$11,AG$14,AG$44,),"")))))),"")</f>
        <v/>
      </c>
      <c r="DA50" s="1883" t="str" cm="1">
        <f t="array" ca="1" aca="1" ref="DA50">IFERROR(IF(AH50*fxVal_normal=_CF!AH50,"",IF(OR(AH50="",NOT(ISNUMBER(AH50)),ISERROR(AH50),$B50=""),"",IF($I50=1,IFBLANK(_xldudf_CX_PUSH(AH50*fxVal_normal,CX_ENTITY,$B50,AH$11,AH$14,AH$44,),""),IF($I50=2,IFBLANK(_xldudf_CX_PUSH(AH50,CX_ENTITY,$B50,AH$11,AH$14,AH$44,),""),IF($I50=3,"",IFBLANK(_xldudf_CX_PUSH(AH50,CX_ENTITY,$B50,AH$11,AH$14,AH$44,),"")))))),"")</f>
        <v/>
      </c>
      <c r="DB50" s="1883" t="str" cm="1">
        <f t="array" ca="1" aca="1" ref="DB50">IFERROR(IF(AI50*fxVal_normal=_CF!AI50,"",IF(OR(AI50="",NOT(ISNUMBER(AI50)),ISERROR(AI50),$B50=""),"",IF($I50=1,IFBLANK(_xldudf_CX_PUSH(AI50*fxVal_normal,CX_ENTITY,$B50,AI$11,AI$14,AI$44,),""),IF($I50=2,IFBLANK(_xldudf_CX_PUSH(AI50,CX_ENTITY,$B50,AI$11,AI$14,AI$44,),""),IF($I50=3,"",IFBLANK(_xldudf_CX_PUSH(AI50,CX_ENTITY,$B50,AI$11,AI$14,AI$44,),"")))))),"")</f>
        <v/>
      </c>
      <c r="DC50" s="1883" t="str" cm="1">
        <f t="array" ca="1" aca="1" ref="DC50">IFERROR(IF(AJ50*fxVal_normal=_CF!AJ50,"",IF(OR(AJ50="",NOT(ISNUMBER(AJ50)),ISERROR(AJ50),$B50=""),"",IF($I50=1,IFBLANK(_xldudf_CX_PUSH(AJ50*fxVal_normal,CX_ENTITY,$B50,AJ$11,AJ$14,AJ$44,),""),IF($I50=2,IFBLANK(_xldudf_CX_PUSH(AJ50,CX_ENTITY,$B50,AJ$11,AJ$14,AJ$44,),""),IF($I50=3,"",IFBLANK(_xldudf_CX_PUSH(AJ50,CX_ENTITY,$B50,AJ$11,AJ$14,AJ$44,),"")))))),"")</f>
        <v/>
      </c>
      <c r="DD50" s="1883" t="str" cm="1">
        <f t="array" ca="1" aca="1" ref="DD50">IFERROR(IF(AK50*fxVal_normal=_CF!AK50,"",IF(OR(AK50="",NOT(ISNUMBER(AK50)),ISERROR(AK50),$B50=""),"",IF($I50=1,IFBLANK(_xldudf_CX_PUSH(AK50*fxVal_normal,CX_ENTITY,$B50,AK$11,AK$14,AK$44,),""),IF($I50=2,IFBLANK(_xldudf_CX_PUSH(AK50,CX_ENTITY,$B50,AK$11,AK$14,AK$44,),""),IF($I50=3,"",IFBLANK(_xldudf_CX_PUSH(AK50,CX_ENTITY,$B50,AK$11,AK$14,AK$44,),"")))))),"")</f>
        <v/>
      </c>
      <c r="DE50" s="1883" t="str" cm="1">
        <f t="array" ca="1" aca="1" ref="DE50">IFERROR(IF(AL50*fxVal_normal=_CF!AL50,"",IF(OR(AL50="",NOT(ISNUMBER(AL50)),ISERROR(AL50),$B50=""),"",IF($I50=1,IFBLANK(_xldudf_CX_PUSH(AL50*fxVal_normal,CX_ENTITY,$B50,AL$11,AL$14,AL$44,),""),IF($I50=2,IFBLANK(_xldudf_CX_PUSH(AL50,CX_ENTITY,$B50,AL$11,AL$14,AL$44,),""),IF($I50=3,"",IFBLANK(_xldudf_CX_PUSH(AL50,CX_ENTITY,$B50,AL$11,AL$14,AL$44,),"")))))),"")</f>
        <v/>
      </c>
      <c r="DF50" s="1883" t="str" cm="1">
        <f t="array" ca="1" aca="1" ref="DF50">IFERROR(IF(AM50*fxVal_normal=_CF!AM50,"",IF(OR(AM50="",NOT(ISNUMBER(AM50)),ISERROR(AM50),$B50=""),"",IF($I50=1,IFBLANK(_xldudf_CX_PUSH(AM50*fxVal_normal,CX_ENTITY,$B50,AM$11,AM$14,AM$44,),""),IF($I50=2,IFBLANK(_xldudf_CX_PUSH(AM50,CX_ENTITY,$B50,AM$11,AM$14,AM$44,),""),IF($I50=3,"",IFBLANK(_xldudf_CX_PUSH(AM50,CX_ENTITY,$B50,AM$11,AM$14,AM$44,),"")))))),"")</f>
        <v/>
      </c>
      <c r="DG50" s="1883" t="str" cm="1">
        <f t="array" ca="1" aca="1" ref="DG50">IFERROR(IF(AN50*fxVal_normal=_CF!AN50,"",IF(OR(AN50="",NOT(ISNUMBER(AN50)),ISERROR(AN50),$B50=""),"",IF($I50=1,IFBLANK(_xldudf_CX_PUSH(AN50*fxVal_normal,CX_ENTITY,$B50,AN$11,AN$14,AN$44,),""),IF($I50=2,IFBLANK(_xldudf_CX_PUSH(AN50,CX_ENTITY,$B50,AN$11,AN$14,AN$44,),""),IF($I50=3,"",IFBLANK(_xldudf_CX_PUSH(AN50,CX_ENTITY,$B50,AN$11,AN$14,AN$44,),"")))))),"")</f>
        <v/>
      </c>
      <c r="DH50" s="1883" t="str" cm="1">
        <f t="array" ca="1" aca="1" ref="DH50">IFERROR(IF(AO50*fxVal_normal=_CF!AO50,"",IF(OR(AO50="",NOT(ISNUMBER(AO50)),ISERROR(AO50),$B50=""),"",IF($I50=1,IFBLANK(_xldudf_CX_PUSH(AO50*fxVal_normal,CX_ENTITY,$B50,AO$11,AO$14,AO$44,),""),IF($I50=2,IFBLANK(_xldudf_CX_PUSH(AO50,CX_ENTITY,$B50,AO$11,AO$14,AO$44,),""),IF($I50=3,"",IFBLANK(_xldudf_CX_PUSH(AO50,CX_ENTITY,$B50,AO$11,AO$14,AO$44,),"")))))),"")</f>
        <v/>
      </c>
      <c r="DI50" s="1883" t="str" cm="1">
        <f t="array" ca="1" aca="1" ref="DI50">IFERROR(IF(AP50*fxVal_normal=_CF!AP50,"",IF(OR(AP50="",NOT(ISNUMBER(AP50)),ISERROR(AP50),$B50=""),"",IF($I50=1,IFBLANK(_xldudf_CX_PUSH(AP50*fxVal_normal,CX_ENTITY,$B50,AP$11,AP$14,AP$44,),""),IF($I50=2,IFBLANK(_xldudf_CX_PUSH(AP50,CX_ENTITY,$B50,AP$11,AP$14,AP$44,),""),IF($I50=3,"",IFBLANK(_xldudf_CX_PUSH(AP50,CX_ENTITY,$B50,AP$11,AP$14,AP$44,),"")))))),"")</f>
        <v/>
      </c>
      <c r="DJ50" s="1883" t="str" cm="1">
        <f t="array" ca="1" aca="1" ref="DJ50">IFERROR(IF(AQ50*fxVal_normal=_CF!AQ50,"",IF(OR(AQ50="",NOT(ISNUMBER(AQ50)),ISERROR(AQ50),$B50=""),"",IF($I50=1,IFBLANK(_xldudf_CX_PUSH(AQ50*fxVal_normal,CX_ENTITY,$B50,AQ$11,AQ$14,AQ$44,),""),IF($I50=2,IFBLANK(_xldudf_CX_PUSH(AQ50,CX_ENTITY,$B50,AQ$11,AQ$14,AQ$44,),""),IF($I50=3,"",IFBLANK(_xldudf_CX_PUSH(AQ50,CX_ENTITY,$B50,AQ$11,AQ$14,AQ$44,),"")))))),"")</f>
        <v/>
      </c>
      <c r="DK50" s="1883" t="str" cm="1">
        <f t="array" ca="1" aca="1" ref="DK50">IFERROR(IF(AR50*fxVal_normal=_CF!AR50,"",IF(OR(AR50="",NOT(ISNUMBER(AR50)),ISERROR(AR50),$B50=""),"",IF($I50=1,IFBLANK(_xldudf_CX_PUSH(AR50*fxVal_normal,CX_ENTITY,$B50,AR$11,AR$14,AR$44,),""),IF($I50=2,IFBLANK(_xldudf_CX_PUSH(AR50,CX_ENTITY,$B50,AR$11,AR$14,AR$44,),""),IF($I50=3,"",IFBLANK(_xldudf_CX_PUSH(AR50,CX_ENTITY,$B50,AR$11,AR$14,AR$44,),"")))))),"")</f>
        <v/>
      </c>
      <c r="DL50" s="1883" t="str" cm="1">
        <f t="array" ca="1" aca="1" ref="DL50">IFERROR(IF(AS50*fxVal_normal=_CF!AS50,"",IF(OR(AS50="",NOT(ISNUMBER(AS50)),ISERROR(AS50),$B50=""),"",IF($I50=1,IFBLANK(_xldudf_CX_PUSH(AS50*fxVal_normal,CX_ENTITY,$B50,AS$11,AS$14,AS$44,),""),IF($I50=2,IFBLANK(_xldudf_CX_PUSH(AS50,CX_ENTITY,$B50,AS$11,AS$14,AS$44,),""),IF($I50=3,"",IFBLANK(_xldudf_CX_PUSH(AS50,CX_ENTITY,$B50,AS$11,AS$14,AS$44,),"")))))),"")</f>
        <v/>
      </c>
      <c r="DM50" s="1883" t="str" cm="1">
        <f t="array" ca="1" aca="1" ref="DM50">IFERROR(IF(AT50*fxVal_normal=_CF!AT50,"",IF(OR(AT50="",NOT(ISNUMBER(AT50)),ISERROR(AT50),$B50=""),"",IF($I50=1,IFBLANK(_xldudf_CX_PUSH(AT50*fxVal_normal,CX_ENTITY,$B50,AT$11,AT$14,AT$44,),""),IF($I50=2,IFBLANK(_xldudf_CX_PUSH(AT50,CX_ENTITY,$B50,AT$11,AT$14,AT$44,),""),IF($I50=3,"",IFBLANK(_xldudf_CX_PUSH(AT50,CX_ENTITY,$B50,AT$11,AT$14,AT$44,),"")))))),"")</f>
        <v/>
      </c>
      <c r="DN50" s="1883" t="str" cm="1">
        <f t="array" ca="1" aca="1" ref="DN50">IFERROR(IF(AU50*fxVal_normal=_CF!AU50,"",IF(OR(AU50="",NOT(ISNUMBER(AU50)),ISERROR(AU50),$B50=""),"",IF($I50=1,IFBLANK(_xldudf_CX_PUSH(AU50*fxVal_normal,CX_ENTITY,$B50,AU$11,AU$14,AU$44,),""),IF($I50=2,IFBLANK(_xldudf_CX_PUSH(AU50,CX_ENTITY,$B50,AU$11,AU$14,AU$44,),""),IF($I50=3,"",IFBLANK(_xldudf_CX_PUSH(AU50,CX_ENTITY,$B50,AU$11,AU$14,AU$44,),"")))))),"")</f>
        <v/>
      </c>
      <c r="DO50" s="1883" t="str" cm="1">
        <f t="array" ca="1" aca="1" ref="DO50">IFERROR(IF(AV50*fxVal_normal=_CF!AV50,"",IF(OR(AV50="",NOT(ISNUMBER(AV50)),ISERROR(AV50),$B50=""),"",IF($I50=1,IFBLANK(_xldudf_CX_PUSH(AV50*fxVal_normal,CX_ENTITY,$B50,AV$11,AV$14,AV$44,),""),IF($I50=2,IFBLANK(_xldudf_CX_PUSH(AV50,CX_ENTITY,$B50,AV$11,AV$14,AV$44,),""),IF($I50=3,"",IFBLANK(_xldudf_CX_PUSH(AV50,CX_ENTITY,$B50,AV$11,AV$14,AV$44,),"")))))),"")</f>
        <v/>
      </c>
      <c r="DP50" s="1883" t="str" cm="1">
        <f t="array" ca="1" aca="1" ref="DP50">IFERROR(IF(AW50*fxVal_normal=_CF!AW50,"",IF(OR(AW50="",NOT(ISNUMBER(AW50)),ISERROR(AW50),$B50=""),"",IF($I50=1,IFBLANK(_xldudf_CX_PUSH(AW50*fxVal_normal,CX_ENTITY,$B50,AW$11,AW$14,AW$44,),""),IF($I50=2,IFBLANK(_xldudf_CX_PUSH(AW50,CX_ENTITY,$B50,AW$11,AW$14,AW$44,),""),IF($I50=3,"",IFBLANK(_xldudf_CX_PUSH(AW50,CX_ENTITY,$B50,AW$11,AW$14,AW$44,),"")))))),"")</f>
        <v/>
      </c>
      <c r="DQ50" s="1883" t="str" cm="1">
        <f t="array" ca="1" aca="1" ref="DQ50">IFERROR(IF(AX50*fxVal_normal=_CF!AX50,"",IF(OR(AX50="",NOT(ISNUMBER(AX50)),ISERROR(AX50),$B50=""),"",IF($I50=1,IFBLANK(_xldudf_CX_PUSH(AX50*fxVal_normal,CX_ENTITY,$B50,AX$11,AX$14,AX$44,),""),IF($I50=2,IFBLANK(_xldudf_CX_PUSH(AX50,CX_ENTITY,$B50,AX$11,AX$14,AX$44,),""),IF($I50=3,"",IFBLANK(_xldudf_CX_PUSH(AX50,CX_ENTITY,$B50,AX$11,AX$14,AX$44,),"")))))),"")</f>
        <v/>
      </c>
      <c r="DR50" s="1883" t="str" cm="1">
        <f t="array" ca="1" aca="1" ref="DR50">IFERROR(IF(AY50*fxVal_normal=_CF!AY50,"",IF(OR(AY50="",NOT(ISNUMBER(AY50)),ISERROR(AY50),$B50=""),"",IF($I50=1,IFBLANK(_xldudf_CX_PUSH(AY50*fxVal_normal,CX_ENTITY,$B50,AY$11,AY$14,AY$44,),""),IF($I50=2,IFBLANK(_xldudf_CX_PUSH(AY50,CX_ENTITY,$B50,AY$11,AY$14,AY$44,),""),IF($I50=3,"",IFBLANK(_xldudf_CX_PUSH(AY50,CX_ENTITY,$B50,AY$11,AY$14,AY$44,),"")))))),"")</f>
        <v/>
      </c>
      <c r="DS50" s="1883" t="str" cm="1">
        <f t="array" ca="1" aca="1" ref="DS50">IFERROR(IF(AZ50*fxVal_normal=_CF!AZ50,"",IF(OR(AZ50="",NOT(ISNUMBER(AZ50)),ISERROR(AZ50),$B50=""),"",IF($I50=1,IFBLANK(_xldudf_CX_PUSH(AZ50*fxVal_normal,CX_ENTITY,$B50,AZ$11,AZ$14,AZ$44,),""),IF($I50=2,IFBLANK(_xldudf_CX_PUSH(AZ50,CX_ENTITY,$B50,AZ$11,AZ$14,AZ$44,),""),IF($I50=3,"",IFBLANK(_xldudf_CX_PUSH(AZ50,CX_ENTITY,$B50,AZ$11,AZ$14,AZ$44,),"")))))),"")</f>
        <v/>
      </c>
      <c r="DT50" s="1883" t="str" cm="1">
        <f t="array" ca="1" aca="1" ref="DT50">IFERROR(IF(BA50*fxVal_normal=_CF!BA50,"",IF(OR(BA50="",NOT(ISNUMBER(BA50)),ISERROR(BA50),$B50=""),"",IF($I50=1,IFBLANK(_xldudf_CX_PUSH(BA50*fxVal_normal,CX_ENTITY,$B50,BA$11,BA$14,BA$44,),""),IF($I50=2,IFBLANK(_xldudf_CX_PUSH(BA50,CX_ENTITY,$B50,BA$11,BA$14,BA$44,),""),IF($I50=3,"",IFBLANK(_xldudf_CX_PUSH(BA50,CX_ENTITY,$B50,BA$11,BA$14,BA$44,),"")))))),"")</f>
        <v/>
      </c>
      <c r="DU50" s="1883" t="str" cm="1">
        <f t="array" ca="1" aca="1" ref="DU50">IFERROR(IF(BB50*fxVal_normal=_CF!BB50,"",IF(OR(BB50="",NOT(ISNUMBER(BB50)),ISERROR(BB50),$B50=""),"",IF($I50=1,IFBLANK(_xldudf_CX_PUSH(BB50*fxVal_normal,CX_ENTITY,$B50,BB$11,BB$14,BB$44,),""),IF($I50=2,IFBLANK(_xldudf_CX_PUSH(BB50,CX_ENTITY,$B50,BB$11,BB$14,BB$44,),""),IF($I50=3,"",IFBLANK(_xldudf_CX_PUSH(BB50,CX_ENTITY,$B50,BB$11,BB$14,BB$44,),"")))))),"")</f>
        <v/>
      </c>
      <c r="DV50" s="1883" t="str" cm="1">
        <f t="array" ca="1" aca="1" ref="DV50">IFERROR(IF(BC50*fxVal_normal=_CF!BC50,"",IF(OR(BC50="",NOT(ISNUMBER(BC50)),ISERROR(BC50),$B50=""),"",IF($I50=1,IFBLANK(_xldudf_CX_PUSH(BC50*fxVal_normal,CX_ENTITY,$B50,BC$11,BC$14,BC$44,),""),IF($I50=2,IFBLANK(_xldudf_CX_PUSH(BC50,CX_ENTITY,$B50,BC$11,BC$14,BC$44,),""),IF($I50=3,"",IFBLANK(_xldudf_CX_PUSH(BC50,CX_ENTITY,$B50,BC$11,BC$14,BC$44,),"")))))),"")</f>
        <v/>
      </c>
      <c r="DW50" s="1883" t="str" cm="1">
        <f t="array" ca="1" aca="1" ref="DW50">IFERROR(IF(BD50*fxVal_normal=_CF!BD50,"",IF(OR(BD50="",NOT(ISNUMBER(BD50)),ISERROR(BD50),$B50=""),"",IF($I50=1,IFBLANK(_xldudf_CX_PUSH(BD50*fxVal_normal,CX_ENTITY,$B50,BD$11,BD$14,BD$44,),""),IF($I50=2,IFBLANK(_xldudf_CX_PUSH(BD50,CX_ENTITY,$B50,BD$11,BD$14,BD$44,),""),IF($I50=3,"",IFBLANK(_xldudf_CX_PUSH(BD50,CX_ENTITY,$B50,BD$11,BD$14,BD$44,),"")))))),"")</f>
        <v/>
      </c>
      <c r="DX50" s="1883" t="str" cm="1">
        <f t="array" ca="1" aca="1" ref="DX50">IFERROR(IF(BE50*fxVal_normal=_CF!BE50,"",IF(OR(BE50="",NOT(ISNUMBER(BE50)),ISERROR(BE50),$B50=""),"",IF($I50=1,IFBLANK(_xldudf_CX_PUSH(BE50*fxVal_normal,CX_ENTITY,$B50,BE$11,BE$14,BE$44,),""),IF($I50=2,IFBLANK(_xldudf_CX_PUSH(BE50,CX_ENTITY,$B50,BE$11,BE$14,BE$44,),""),IF($I50=3,"",IFBLANK(_xldudf_CX_PUSH(BE50,CX_ENTITY,$B50,BE$11,BE$14,BE$44,),"")))))),"")</f>
        <v/>
      </c>
      <c r="DY50" s="1883" t="str" cm="1">
        <f t="array" ca="1" aca="1" ref="DY50">IFERROR(IF(BF50*fxVal_normal=_CF!BF50,"",IF(OR(BF50="",NOT(ISNUMBER(BF50)),ISERROR(BF50),$B50=""),"",IF($I50=1,IFBLANK(_xldudf_CX_PUSH(BF50*fxVal_normal,CX_ENTITY,$B50,BF$11,BF$14,BF$44,),""),IF($I50=2,IFBLANK(_xldudf_CX_PUSH(BF50,CX_ENTITY,$B50,BF$11,BF$14,BF$44,),""),IF($I50=3,"",IFBLANK(_xldudf_CX_PUSH(BF50,CX_ENTITY,$B50,BF$11,BF$14,BF$44,),"")))))),"")</f>
        <v/>
      </c>
      <c r="DZ50" s="1883" t="str" cm="1">
        <f t="array" ca="1" aca="1" ref="DZ50">IFERROR(IF(BG50*fxVal_normal=_CF!BG50,"",IF(OR(BG50="",NOT(ISNUMBER(BG50)),ISERROR(BG50),$B50=""),"",IF($I50=1,IFBLANK(_xldudf_CX_PUSH(BG50*fxVal_normal,CX_ENTITY,$B50,BG$11,BG$14,BG$44,),""),IF($I50=2,IFBLANK(_xldudf_CX_PUSH(BG50,CX_ENTITY,$B50,BG$11,BG$14,BG$44,),""),IF($I50=3,"",IFBLANK(_xldudf_CX_PUSH(BG50,CX_ENTITY,$B50,BG$11,BG$14,BG$44,),"")))))),"")</f>
        <v/>
      </c>
      <c r="EA50" s="1883" t="str" cm="1">
        <f t="array" ca="1" aca="1" ref="EA50">IFERROR(IF(BH50*fxVal_normal=_CF!BH50,"",IF(OR(BH50="",NOT(ISNUMBER(BH50)),ISERROR(BH50),$B50=""),"",IF($I50=1,IFBLANK(_xldudf_CX_PUSH(BH50*fxVal_normal,CX_ENTITY,$B50,BH$11,BH$14,BH$44,),""),IF($I50=2,IFBLANK(_xldudf_CX_PUSH(BH50,CX_ENTITY,$B50,BH$11,BH$14,BH$44,),""),IF($I50=3,"",IFBLANK(_xldudf_CX_PUSH(BH50,CX_ENTITY,$B50,BH$11,BH$14,BH$44,),"")))))),"")</f>
        <v/>
      </c>
      <c r="EB50" s="1883" t="str" cm="1">
        <f t="array" ca="1" aca="1" ref="EB50">IFERROR(IF(BI50*fxVal_normal=_CF!BI50,"",IF(OR(BI50="",NOT(ISNUMBER(BI50)),ISERROR(BI50),$B50=""),"",IF($I50=1,IFBLANK(_xldudf_CX_PUSH(BI50*fxVal_normal,CX_ENTITY,$B50,BI$11,BI$14,BI$44,),""),IF($I50=2,IFBLANK(_xldudf_CX_PUSH(BI50,CX_ENTITY,$B50,BI$11,BI$14,BI$44,),""),IF($I50=3,"",IFBLANK(_xldudf_CX_PUSH(BI50,CX_ENTITY,$B50,BI$11,BI$14,BI$44,),"")))))),"")</f>
        <v/>
      </c>
      <c r="EC50" s="1883" t="str" cm="1">
        <f t="array" ca="1" aca="1" ref="EC50">IFERROR(IF(BJ50*fxVal_normal=_CF!BJ50,"",IF(OR(BJ50="",NOT(ISNUMBER(BJ50)),ISERROR(BJ50),$B50=""),"",IF($I50=1,IFBLANK(_xldudf_CX_PUSH(BJ50*fxVal_normal,CX_ENTITY,$B50,BJ$11,BJ$14,BJ$44,),""),IF($I50=2,IFBLANK(_xldudf_CX_PUSH(BJ50,CX_ENTITY,$B50,BJ$11,BJ$14,BJ$44,),""),IF($I50=3,"",IFBLANK(_xldudf_CX_PUSH(BJ50,CX_ENTITY,$B50,BJ$11,BJ$14,BJ$44,),"")))))),"")</f>
        <v/>
      </c>
      <c r="ED50" s="1883" t="str" cm="1">
        <f t="array" ca="1" aca="1" ref="ED50">IFERROR(IF(BK50*fxVal_normal=_CF!BK50,"",IF(OR(BK50="",NOT(ISNUMBER(BK50)),ISERROR(BK50),$B50=""),"",IF($I50=1,IFBLANK(_xldudf_CX_PUSH(BK50*fxVal_normal,CX_ENTITY,$B50,BK$11,BK$14,BK$44,),""),IF($I50=2,IFBLANK(_xldudf_CX_PUSH(BK50,CX_ENTITY,$B50,BK$11,BK$14,BK$44,),""),IF($I50=3,"",IFBLANK(_xldudf_CX_PUSH(BK50,CX_ENTITY,$B50,BK$11,BK$14,BK$44,),"")))))),"")</f>
        <v/>
      </c>
      <c r="EE50" s="1883" t="str" cm="1">
        <f t="array" ca="1" aca="1" ref="EE50">IFERROR(IF(BL50*fxVal_normal=_CF!BL50,"",IF(OR(BL50="",NOT(ISNUMBER(BL50)),ISERROR(BL50),$B50=""),"",IF($I50=1,IFBLANK(_xldudf_CX_PUSH(BL50*fxVal_normal,CX_ENTITY,$B50,BL$11,BL$14,BL$44,),""),IF($I50=2,IFBLANK(_xldudf_CX_PUSH(BL50,CX_ENTITY,$B50,BL$11,BL$14,BL$44,),""),IF($I50=3,"",IFBLANK(_xldudf_CX_PUSH(BL50,CX_ENTITY,$B50,BL$11,BL$14,BL$44,),"")))))),"")</f>
        <v/>
      </c>
      <c r="EF50" s="1883" t="str" cm="1">
        <f t="array" ca="1" aca="1" ref="EF50">IFERROR(IF(BM50*fxVal_normal=_CF!BM50,"",IF(OR(BM50="",NOT(ISNUMBER(BM50)),ISERROR(BM50),$B50=""),"",IF($I50=1,IFBLANK(_xldudf_CX_PUSH(BM50*fxVal_normal,CX_ENTITY,$B50,BM$11,BM$14,BM$44,),""),IF($I50=2,IFBLANK(_xldudf_CX_PUSH(BM50,CX_ENTITY,$B50,BM$11,BM$14,BM$44,),""),IF($I50=3,"",IFBLANK(_xldudf_CX_PUSH(BM50,CX_ENTITY,$B50,BM$11,BM$14,BM$44,),"")))))),"")</f>
        <v/>
      </c>
      <c r="EG50" s="1883" t="str" cm="1">
        <f t="array" ca="1" aca="1" ref="EG50">IFERROR(IF(BN50*fxVal_normal=_CF!BN50,"",IF(OR(BN50="",NOT(ISNUMBER(BN50)),ISERROR(BN50),$B50=""),"",IF($I50=1,IFBLANK(_xldudf_CX_PUSH(BN50*fxVal_normal,CX_ENTITY,$B50,BN$11,BN$14,BN$44,),""),IF($I50=2,IFBLANK(_xldudf_CX_PUSH(BN50,CX_ENTITY,$B50,BN$11,BN$14,BN$44,),""),IF($I50=3,"",IFBLANK(_xldudf_CX_PUSH(BN50,CX_ENTITY,$B50,BN$11,BN$14,BN$44,),"")))))),"")</f>
        <v/>
      </c>
    </row>
    <row r="51" spans="1:137" ht="21" customHeight="1">
      <c r="A51" s="1626"/>
      <c r="B51" s="811" t="str" cm="1">
        <f t="array" ref="B51">IFBLANK(_CF!F51,"")</f>
        <v>Capex</v>
      </c>
      <c r="C51" s="811" t="str" cm="1">
        <f t="array" ref="C51">IFBLANK(_CF!C51,"")</f>
        <v>Capex (Company View)</v>
      </c>
      <c r="D51" s="1549"/>
      <c r="E51" s="811"/>
      <c r="F51" s="574"/>
      <c r="G51" s="574"/>
      <c r="H51" s="3280">
        <v>1</v>
      </c>
      <c r="I51" s="3280">
        <v>1</v>
      </c>
      <c r="J51" s="401"/>
      <c r="K51" s="401"/>
      <c r="N51" s="158"/>
      <c r="O51" s="101"/>
      <c r="P51" s="52"/>
      <c r="Q51" s="101"/>
      <c r="R51" s="126"/>
      <c r="S51" s="101"/>
      <c r="T51" s="101"/>
      <c r="U51" s="39"/>
      <c r="W51" s="932" t="str">
        <f t="shared" si="8"/>
        <v>Budget</v>
      </c>
      <c r="X51" s="815">
        <f>_CF!X51</f>
        <v>-1</v>
      </c>
      <c r="Y51" s="3192">
        <f t="shared" si="6"/>
        <v>2</v>
      </c>
      <c r="Z51" s="3291" cm="1">
        <f t="array" ref="Z51">_xlfn.SWITCH(TRUE,_CF!$L51=TRUE,1,_CF!$L51=FALSE,-1,_CF!$L51=-1,0,"n/a")</f>
        <v>1</v>
      </c>
      <c r="AA51" s="200"/>
      <c r="AB51" s="88" t="str">
        <f>_CF!AB51</f>
        <v>Capex</v>
      </c>
      <c r="AC51" s="88" t="e" vm="5" cm="1">
        <f t="array" ca="1" aca="1" ref="AC51">_xlfn.LET(_xlpm._termname,$AB51,_xlpm._iconname,"find",_xlpm._icon,fx_getIcon(_xlpm._iconname),_xlpm._location,_xlfn.XLOOKUP(LOWER(_xlpm._termname),LOWER(tbl_acctDef[Term]),tbl_acctDef[Term]),_xlpm._hyperlink,HYPERLINK("#"&amp;CELL("address",_xlpm._location),_xlpm._icon),IFERROR(_xlpm._hyperlink,""))</f>
        <v>#VALUE!</v>
      </c>
      <c r="AD51" s="3232">
        <v>1</v>
      </c>
      <c r="AE51" s="3232">
        <v>1</v>
      </c>
      <c r="AF51" s="3232">
        <v>1</v>
      </c>
      <c r="AG51" s="3232">
        <v>1</v>
      </c>
      <c r="AH51" s="3232">
        <v>1</v>
      </c>
      <c r="AI51" s="3232">
        <v>1</v>
      </c>
      <c r="AJ51" s="3232">
        <v>1</v>
      </c>
      <c r="AK51" s="3232">
        <v>1</v>
      </c>
      <c r="AL51" s="3232">
        <v>1</v>
      </c>
      <c r="AM51" s="3232">
        <v>1</v>
      </c>
      <c r="AN51" s="3232">
        <v>1</v>
      </c>
      <c r="AO51" s="3232">
        <v>1</v>
      </c>
      <c r="AP51" s="3232">
        <v>1</v>
      </c>
      <c r="AQ51" s="3232">
        <v>1</v>
      </c>
      <c r="AR51" s="3232">
        <v>1</v>
      </c>
      <c r="AS51" s="3232">
        <v>1</v>
      </c>
      <c r="AT51" s="3232">
        <v>1</v>
      </c>
      <c r="AU51" s="3232">
        <v>1</v>
      </c>
      <c r="AV51" s="3232">
        <v>1</v>
      </c>
      <c r="AW51" s="3232">
        <v>1</v>
      </c>
      <c r="AX51" s="3232">
        <v>1</v>
      </c>
      <c r="AY51" s="3232">
        <v>1</v>
      </c>
      <c r="AZ51" s="3232">
        <v>1</v>
      </c>
      <c r="BA51" s="3232">
        <v>1</v>
      </c>
      <c r="BB51" s="3232">
        <v>1</v>
      </c>
      <c r="BC51" s="3232">
        <v>1</v>
      </c>
      <c r="BD51" s="3232">
        <v>1</v>
      </c>
      <c r="BE51" s="3232">
        <v>1</v>
      </c>
      <c r="BF51" s="3232">
        <v>1</v>
      </c>
      <c r="BG51" s="3232">
        <v>1</v>
      </c>
      <c r="BH51" s="3232">
        <v>1</v>
      </c>
      <c r="BI51" s="3232">
        <v>1</v>
      </c>
      <c r="BJ51" s="3232">
        <v>1</v>
      </c>
      <c r="BK51" s="3232">
        <v>1</v>
      </c>
      <c r="BL51" s="3232">
        <v>1</v>
      </c>
      <c r="BM51" s="3232">
        <v>1</v>
      </c>
      <c r="BN51" s="3232">
        <v>1</v>
      </c>
      <c r="BO51" s="2115"/>
      <c r="BP51" s="2115"/>
      <c r="BQ51" s="2115"/>
      <c r="BR51" s="2115"/>
      <c r="BS51" s="2115"/>
      <c r="BT51" s="2115"/>
      <c r="BU51" s="2115"/>
      <c r="BV51" s="2115"/>
      <c r="BW51" s="2115"/>
      <c r="BX51" s="2115"/>
      <c r="BY51" s="2115"/>
      <c r="BZ51" s="2115"/>
      <c r="CA51" s="1330"/>
      <c r="CB51" s="537"/>
      <c r="CC51" s="1484"/>
      <c r="CD51" s="1461" t="e" cm="1">
        <f t="array" ca="1" aca="1" ref="CD51">_xlfn.LET(_xlpm.CheckBlank,SUM(CF!$AD51:$BN51)=0,IF(_xlpm.CheckBlank,"",SUM(_xlfn._xlws.FILTER(CF!$AD51:$BN51,(YEAR(CF!$AD$12:$BN$12)=CF!CD$12)*(array_timeline&lt;=CF!CD$11)))))</f>
        <v>#NAME?</v>
      </c>
      <c r="CE51" s="1461" t="e" cm="1">
        <f t="array" ca="1" aca="1" ref="CE51">_xlfn.LET(_xlpm.CheckBlank,SUM(CF!$AD51:$BN51)=0,IF(_xlpm.CheckBlank,"",SUM(_xlfn._xlws.FILTER(CF!$AD51:$BN51,(YEAR(CF!$AD$12:$BN$12)=CF!CE$12)*(array_timeline&lt;=CF!CE$11)))))</f>
        <v>#NAME?</v>
      </c>
      <c r="CF51" s="1314"/>
      <c r="CG51" s="1461" t="e" cm="1">
        <f t="array" ca="1" aca="1" ref="CG51">_xlfn.LET(_xlpm.CheckBlank,SUM(CF!$AD51:$BN51)=0,IF(_xlpm.CheckBlank,"",SUM(_xlfn._xlws.FILTER(CF!$AD51:$BN51,(YEAR(CF!$AD$12:$BN$12)=CF!CG$12)*(array_timeline&lt;=CF!CG$11)))))</f>
        <v>#NAME?</v>
      </c>
      <c r="CH51" s="1461" t="e" cm="1">
        <f t="array" ca="1" aca="1" ref="CH51">_xlfn.LET(_xlpm.CheckBlank,SUM(CF!$AD51:$BN51)=0,IF(_xlpm.CheckBlank,"",SUM(_xlfn._xlws.FILTER(CF!$AD51:$BN51,(YEAR(CF!$AD$12:$BN$12)=CF!CH$12)*(array_timeline&lt;=CF!CH$11)))))</f>
        <v>#NAME?</v>
      </c>
      <c r="CI51" s="1314"/>
      <c r="CJ51" s="1461" cm="1">
        <f t="array" ref="CJ51">_xlfn.LET(_xlpm.CheckBlank,SUM(CF!$AD51:$BN51)=0,IF(_xlpm.CheckBlank,"",SUM(_xlfn.TAKE(_xlfn.DROP(CF!$AD51:$BN51,,-DATEDIFF(CF!CJ$11,val_asOfDate,"M")),1,-12))))</f>
        <v>12</v>
      </c>
      <c r="CK51" s="1461" cm="1">
        <f t="array" ref="CK51">_xlfn.LET(_xlpm.CheckBlank,SUM(CF!$AD51:$BN51)=0,IF(_xlpm.CheckBlank,"",SUM(_xlfn.TAKE(_xlfn.DROP(CF!$AD51:$BN51,,-DATEDIFF(CF!CK$11,val_asOfDate,"M")),1,-12))))</f>
        <v>12</v>
      </c>
      <c r="CL51" s="1314"/>
      <c r="CM51" s="541" t="e">
        <f t="shared" ca="1" si="7"/>
        <v>#NAME?</v>
      </c>
      <c r="CN51" s="541" t="e">
        <f t="shared" ca="1" si="7"/>
        <v>#NAME?</v>
      </c>
      <c r="CO51" s="34"/>
      <c r="CW51" s="1883" t="str" cm="1">
        <f t="array" ca="1" aca="1" ref="CW51">IFERROR(IF(AD51*fxVal_normal=_CF!AD51,"",IF(OR(AD51="",NOT(ISNUMBER(AD51)),ISERROR(AD51),$B51=""),"",IF($I51=1,IFBLANK(_xldudf_CX_PUSH(AD51*fxVal_normal,CX_ENTITY,$B51,AD$11,AD$14,AD$44,),""),IF($I51=2,IFBLANK(_xldudf_CX_PUSH(AD51,CX_ENTITY,$B51,AD$11,AD$14,AD$44,),""),IF($I51=3,"",IFBLANK(_xldudf_CX_PUSH(AD51,CX_ENTITY,$B51,AD$11,AD$14,AD$44,),"")))))),"")</f>
        <v/>
      </c>
      <c r="CX51" s="1883" t="str" cm="1">
        <f t="array" ca="1" aca="1" ref="CX51">IFERROR(IF(AE51*fxVal_normal=_CF!AE51,"",IF(OR(AE51="",NOT(ISNUMBER(AE51)),ISERROR(AE51),$B51=""),"",IF($I51=1,IFBLANK(_xldudf_CX_PUSH(AE51*fxVal_normal,CX_ENTITY,$B51,AE$11,AE$14,AE$44,),""),IF($I51=2,IFBLANK(_xldudf_CX_PUSH(AE51,CX_ENTITY,$B51,AE$11,AE$14,AE$44,),""),IF($I51=3,"",IFBLANK(_xldudf_CX_PUSH(AE51,CX_ENTITY,$B51,AE$11,AE$14,AE$44,),"")))))),"")</f>
        <v/>
      </c>
      <c r="CY51" s="1883" t="str" cm="1">
        <f t="array" ca="1" aca="1" ref="CY51">IFERROR(IF(AF51*fxVal_normal=_CF!AF51,"",IF(OR(AF51="",NOT(ISNUMBER(AF51)),ISERROR(AF51),$B51=""),"",IF($I51=1,IFBLANK(_xldudf_CX_PUSH(AF51*fxVal_normal,CX_ENTITY,$B51,AF$11,AF$14,AF$44,),""),IF($I51=2,IFBLANK(_xldudf_CX_PUSH(AF51,CX_ENTITY,$B51,AF$11,AF$14,AF$44,),""),IF($I51=3,"",IFBLANK(_xldudf_CX_PUSH(AF51,CX_ENTITY,$B51,AF$11,AF$14,AF$44,),"")))))),"")</f>
        <v/>
      </c>
      <c r="CZ51" s="1883" t="str" cm="1">
        <f t="array" ca="1" aca="1" ref="CZ51">IFERROR(IF(AG51*fxVal_normal=_CF!AG51,"",IF(OR(AG51="",NOT(ISNUMBER(AG51)),ISERROR(AG51),$B51=""),"",IF($I51=1,IFBLANK(_xldudf_CX_PUSH(AG51*fxVal_normal,CX_ENTITY,$B51,AG$11,AG$14,AG$44,),""),IF($I51=2,IFBLANK(_xldudf_CX_PUSH(AG51,CX_ENTITY,$B51,AG$11,AG$14,AG$44,),""),IF($I51=3,"",IFBLANK(_xldudf_CX_PUSH(AG51,CX_ENTITY,$B51,AG$11,AG$14,AG$44,),"")))))),"")</f>
        <v/>
      </c>
      <c r="DA51" s="1883" t="str" cm="1">
        <f t="array" ca="1" aca="1" ref="DA51">IFERROR(IF(AH51*fxVal_normal=_CF!AH51,"",IF(OR(AH51="",NOT(ISNUMBER(AH51)),ISERROR(AH51),$B51=""),"",IF($I51=1,IFBLANK(_xldudf_CX_PUSH(AH51*fxVal_normal,CX_ENTITY,$B51,AH$11,AH$14,AH$44,),""),IF($I51=2,IFBLANK(_xldudf_CX_PUSH(AH51,CX_ENTITY,$B51,AH$11,AH$14,AH$44,),""),IF($I51=3,"",IFBLANK(_xldudf_CX_PUSH(AH51,CX_ENTITY,$B51,AH$11,AH$14,AH$44,),"")))))),"")</f>
        <v/>
      </c>
      <c r="DB51" s="1883" t="str" cm="1">
        <f t="array" ca="1" aca="1" ref="DB51">IFERROR(IF(AI51*fxVal_normal=_CF!AI51,"",IF(OR(AI51="",NOT(ISNUMBER(AI51)),ISERROR(AI51),$B51=""),"",IF($I51=1,IFBLANK(_xldudf_CX_PUSH(AI51*fxVal_normal,CX_ENTITY,$B51,AI$11,AI$14,AI$44,),""),IF($I51=2,IFBLANK(_xldudf_CX_PUSH(AI51,CX_ENTITY,$B51,AI$11,AI$14,AI$44,),""),IF($I51=3,"",IFBLANK(_xldudf_CX_PUSH(AI51,CX_ENTITY,$B51,AI$11,AI$14,AI$44,),"")))))),"")</f>
        <v/>
      </c>
      <c r="DC51" s="1883" t="str" cm="1">
        <f t="array" ca="1" aca="1" ref="DC51">IFERROR(IF(AJ51*fxVal_normal=_CF!AJ51,"",IF(OR(AJ51="",NOT(ISNUMBER(AJ51)),ISERROR(AJ51),$B51=""),"",IF($I51=1,IFBLANK(_xldudf_CX_PUSH(AJ51*fxVal_normal,CX_ENTITY,$B51,AJ$11,AJ$14,AJ$44,),""),IF($I51=2,IFBLANK(_xldudf_CX_PUSH(AJ51,CX_ENTITY,$B51,AJ$11,AJ$14,AJ$44,),""),IF($I51=3,"",IFBLANK(_xldudf_CX_PUSH(AJ51,CX_ENTITY,$B51,AJ$11,AJ$14,AJ$44,),"")))))),"")</f>
        <v/>
      </c>
      <c r="DD51" s="1883" t="str" cm="1">
        <f t="array" ca="1" aca="1" ref="DD51">IFERROR(IF(AK51*fxVal_normal=_CF!AK51,"",IF(OR(AK51="",NOT(ISNUMBER(AK51)),ISERROR(AK51),$B51=""),"",IF($I51=1,IFBLANK(_xldudf_CX_PUSH(AK51*fxVal_normal,CX_ENTITY,$B51,AK$11,AK$14,AK$44,),""),IF($I51=2,IFBLANK(_xldudf_CX_PUSH(AK51,CX_ENTITY,$B51,AK$11,AK$14,AK$44,),""),IF($I51=3,"",IFBLANK(_xldudf_CX_PUSH(AK51,CX_ENTITY,$B51,AK$11,AK$14,AK$44,),"")))))),"")</f>
        <v/>
      </c>
      <c r="DE51" s="1883" t="str" cm="1">
        <f t="array" ca="1" aca="1" ref="DE51">IFERROR(IF(AL51*fxVal_normal=_CF!AL51,"",IF(OR(AL51="",NOT(ISNUMBER(AL51)),ISERROR(AL51),$B51=""),"",IF($I51=1,IFBLANK(_xldudf_CX_PUSH(AL51*fxVal_normal,CX_ENTITY,$B51,AL$11,AL$14,AL$44,),""),IF($I51=2,IFBLANK(_xldudf_CX_PUSH(AL51,CX_ENTITY,$B51,AL$11,AL$14,AL$44,),""),IF($I51=3,"",IFBLANK(_xldudf_CX_PUSH(AL51,CX_ENTITY,$B51,AL$11,AL$14,AL$44,),"")))))),"")</f>
        <v/>
      </c>
      <c r="DF51" s="1883" t="str" cm="1">
        <f t="array" ca="1" aca="1" ref="DF51">IFERROR(IF(AM51*fxVal_normal=_CF!AM51,"",IF(OR(AM51="",NOT(ISNUMBER(AM51)),ISERROR(AM51),$B51=""),"",IF($I51=1,IFBLANK(_xldudf_CX_PUSH(AM51*fxVal_normal,CX_ENTITY,$B51,AM$11,AM$14,AM$44,),""),IF($I51=2,IFBLANK(_xldudf_CX_PUSH(AM51,CX_ENTITY,$B51,AM$11,AM$14,AM$44,),""),IF($I51=3,"",IFBLANK(_xldudf_CX_PUSH(AM51,CX_ENTITY,$B51,AM$11,AM$14,AM$44,),"")))))),"")</f>
        <v/>
      </c>
      <c r="DG51" s="1883" t="str" cm="1">
        <f t="array" ca="1" aca="1" ref="DG51">IFERROR(IF(AN51*fxVal_normal=_CF!AN51,"",IF(OR(AN51="",NOT(ISNUMBER(AN51)),ISERROR(AN51),$B51=""),"",IF($I51=1,IFBLANK(_xldudf_CX_PUSH(AN51*fxVal_normal,CX_ENTITY,$B51,AN$11,AN$14,AN$44,),""),IF($I51=2,IFBLANK(_xldudf_CX_PUSH(AN51,CX_ENTITY,$B51,AN$11,AN$14,AN$44,),""),IF($I51=3,"",IFBLANK(_xldudf_CX_PUSH(AN51,CX_ENTITY,$B51,AN$11,AN$14,AN$44,),"")))))),"")</f>
        <v/>
      </c>
      <c r="DH51" s="1883" t="str" cm="1">
        <f t="array" ca="1" aca="1" ref="DH51">IFERROR(IF(AO51*fxVal_normal=_CF!AO51,"",IF(OR(AO51="",NOT(ISNUMBER(AO51)),ISERROR(AO51),$B51=""),"",IF($I51=1,IFBLANK(_xldudf_CX_PUSH(AO51*fxVal_normal,CX_ENTITY,$B51,AO$11,AO$14,AO$44,),""),IF($I51=2,IFBLANK(_xldudf_CX_PUSH(AO51,CX_ENTITY,$B51,AO$11,AO$14,AO$44,),""),IF($I51=3,"",IFBLANK(_xldudf_CX_PUSH(AO51,CX_ENTITY,$B51,AO$11,AO$14,AO$44,),"")))))),"")</f>
        <v/>
      </c>
      <c r="DI51" s="1883" t="str" cm="1">
        <f t="array" ca="1" aca="1" ref="DI51">IFERROR(IF(AP51*fxVal_normal=_CF!AP51,"",IF(OR(AP51="",NOT(ISNUMBER(AP51)),ISERROR(AP51),$B51=""),"",IF($I51=1,IFBLANK(_xldudf_CX_PUSH(AP51*fxVal_normal,CX_ENTITY,$B51,AP$11,AP$14,AP$44,),""),IF($I51=2,IFBLANK(_xldudf_CX_PUSH(AP51,CX_ENTITY,$B51,AP$11,AP$14,AP$44,),""),IF($I51=3,"",IFBLANK(_xldudf_CX_PUSH(AP51,CX_ENTITY,$B51,AP$11,AP$14,AP$44,),"")))))),"")</f>
        <v/>
      </c>
      <c r="DJ51" s="1883" t="str" cm="1">
        <f t="array" ca="1" aca="1" ref="DJ51">IFERROR(IF(AQ51*fxVal_normal=_CF!AQ51,"",IF(OR(AQ51="",NOT(ISNUMBER(AQ51)),ISERROR(AQ51),$B51=""),"",IF($I51=1,IFBLANK(_xldudf_CX_PUSH(AQ51*fxVal_normal,CX_ENTITY,$B51,AQ$11,AQ$14,AQ$44,),""),IF($I51=2,IFBLANK(_xldudf_CX_PUSH(AQ51,CX_ENTITY,$B51,AQ$11,AQ$14,AQ$44,),""),IF($I51=3,"",IFBLANK(_xldudf_CX_PUSH(AQ51,CX_ENTITY,$B51,AQ$11,AQ$14,AQ$44,),"")))))),"")</f>
        <v/>
      </c>
      <c r="DK51" s="1883" t="str" cm="1">
        <f t="array" ca="1" aca="1" ref="DK51">IFERROR(IF(AR51*fxVal_normal=_CF!AR51,"",IF(OR(AR51="",NOT(ISNUMBER(AR51)),ISERROR(AR51),$B51=""),"",IF($I51=1,IFBLANK(_xldudf_CX_PUSH(AR51*fxVal_normal,CX_ENTITY,$B51,AR$11,AR$14,AR$44,),""),IF($I51=2,IFBLANK(_xldudf_CX_PUSH(AR51,CX_ENTITY,$B51,AR$11,AR$14,AR$44,),""),IF($I51=3,"",IFBLANK(_xldudf_CX_PUSH(AR51,CX_ENTITY,$B51,AR$11,AR$14,AR$44,),"")))))),"")</f>
        <v/>
      </c>
      <c r="DL51" s="1883" t="str" cm="1">
        <f t="array" ca="1" aca="1" ref="DL51">IFERROR(IF(AS51*fxVal_normal=_CF!AS51,"",IF(OR(AS51="",NOT(ISNUMBER(AS51)),ISERROR(AS51),$B51=""),"",IF($I51=1,IFBLANK(_xldudf_CX_PUSH(AS51*fxVal_normal,CX_ENTITY,$B51,AS$11,AS$14,AS$44,),""),IF($I51=2,IFBLANK(_xldudf_CX_PUSH(AS51,CX_ENTITY,$B51,AS$11,AS$14,AS$44,),""),IF($I51=3,"",IFBLANK(_xldudf_CX_PUSH(AS51,CX_ENTITY,$B51,AS$11,AS$14,AS$44,),"")))))),"")</f>
        <v/>
      </c>
      <c r="DM51" s="1883" t="str" cm="1">
        <f t="array" ca="1" aca="1" ref="DM51">IFERROR(IF(AT51*fxVal_normal=_CF!AT51,"",IF(OR(AT51="",NOT(ISNUMBER(AT51)),ISERROR(AT51),$B51=""),"",IF($I51=1,IFBLANK(_xldudf_CX_PUSH(AT51*fxVal_normal,CX_ENTITY,$B51,AT$11,AT$14,AT$44,),""),IF($I51=2,IFBLANK(_xldudf_CX_PUSH(AT51,CX_ENTITY,$B51,AT$11,AT$14,AT$44,),""),IF($I51=3,"",IFBLANK(_xldudf_CX_PUSH(AT51,CX_ENTITY,$B51,AT$11,AT$14,AT$44,),"")))))),"")</f>
        <v/>
      </c>
      <c r="DN51" s="1883" t="str" cm="1">
        <f t="array" ca="1" aca="1" ref="DN51">IFERROR(IF(AU51*fxVal_normal=_CF!AU51,"",IF(OR(AU51="",NOT(ISNUMBER(AU51)),ISERROR(AU51),$B51=""),"",IF($I51=1,IFBLANK(_xldudf_CX_PUSH(AU51*fxVal_normal,CX_ENTITY,$B51,AU$11,AU$14,AU$44,),""),IF($I51=2,IFBLANK(_xldudf_CX_PUSH(AU51,CX_ENTITY,$B51,AU$11,AU$14,AU$44,),""),IF($I51=3,"",IFBLANK(_xldudf_CX_PUSH(AU51,CX_ENTITY,$B51,AU$11,AU$14,AU$44,),"")))))),"")</f>
        <v/>
      </c>
      <c r="DO51" s="1883" t="str" cm="1">
        <f t="array" ca="1" aca="1" ref="DO51">IFERROR(IF(AV51*fxVal_normal=_CF!AV51,"",IF(OR(AV51="",NOT(ISNUMBER(AV51)),ISERROR(AV51),$B51=""),"",IF($I51=1,IFBLANK(_xldudf_CX_PUSH(AV51*fxVal_normal,CX_ENTITY,$B51,AV$11,AV$14,AV$44,),""),IF($I51=2,IFBLANK(_xldudf_CX_PUSH(AV51,CX_ENTITY,$B51,AV$11,AV$14,AV$44,),""),IF($I51=3,"",IFBLANK(_xldudf_CX_PUSH(AV51,CX_ENTITY,$B51,AV$11,AV$14,AV$44,),"")))))),"")</f>
        <v/>
      </c>
      <c r="DP51" s="1883" t="str" cm="1">
        <f t="array" ca="1" aca="1" ref="DP51">IFERROR(IF(AW51*fxVal_normal=_CF!AW51,"",IF(OR(AW51="",NOT(ISNUMBER(AW51)),ISERROR(AW51),$B51=""),"",IF($I51=1,IFBLANK(_xldudf_CX_PUSH(AW51*fxVal_normal,CX_ENTITY,$B51,AW$11,AW$14,AW$44,),""),IF($I51=2,IFBLANK(_xldudf_CX_PUSH(AW51,CX_ENTITY,$B51,AW$11,AW$14,AW$44,),""),IF($I51=3,"",IFBLANK(_xldudf_CX_PUSH(AW51,CX_ENTITY,$B51,AW$11,AW$14,AW$44,),"")))))),"")</f>
        <v/>
      </c>
      <c r="DQ51" s="1883" t="str" cm="1">
        <f t="array" ca="1" aca="1" ref="DQ51">IFERROR(IF(AX51*fxVal_normal=_CF!AX51,"",IF(OR(AX51="",NOT(ISNUMBER(AX51)),ISERROR(AX51),$B51=""),"",IF($I51=1,IFBLANK(_xldudf_CX_PUSH(AX51*fxVal_normal,CX_ENTITY,$B51,AX$11,AX$14,AX$44,),""),IF($I51=2,IFBLANK(_xldudf_CX_PUSH(AX51,CX_ENTITY,$B51,AX$11,AX$14,AX$44,),""),IF($I51=3,"",IFBLANK(_xldudf_CX_PUSH(AX51,CX_ENTITY,$B51,AX$11,AX$14,AX$44,),"")))))),"")</f>
        <v/>
      </c>
      <c r="DR51" s="1883" t="str" cm="1">
        <f t="array" ca="1" aca="1" ref="DR51">IFERROR(IF(AY51*fxVal_normal=_CF!AY51,"",IF(OR(AY51="",NOT(ISNUMBER(AY51)),ISERROR(AY51),$B51=""),"",IF($I51=1,IFBLANK(_xldudf_CX_PUSH(AY51*fxVal_normal,CX_ENTITY,$B51,AY$11,AY$14,AY$44,),""),IF($I51=2,IFBLANK(_xldudf_CX_PUSH(AY51,CX_ENTITY,$B51,AY$11,AY$14,AY$44,),""),IF($I51=3,"",IFBLANK(_xldudf_CX_PUSH(AY51,CX_ENTITY,$B51,AY$11,AY$14,AY$44,),"")))))),"")</f>
        <v/>
      </c>
      <c r="DS51" s="1883" t="str" cm="1">
        <f t="array" ca="1" aca="1" ref="DS51">IFERROR(IF(AZ51*fxVal_normal=_CF!AZ51,"",IF(OR(AZ51="",NOT(ISNUMBER(AZ51)),ISERROR(AZ51),$B51=""),"",IF($I51=1,IFBLANK(_xldudf_CX_PUSH(AZ51*fxVal_normal,CX_ENTITY,$B51,AZ$11,AZ$14,AZ$44,),""),IF($I51=2,IFBLANK(_xldudf_CX_PUSH(AZ51,CX_ENTITY,$B51,AZ$11,AZ$14,AZ$44,),""),IF($I51=3,"",IFBLANK(_xldudf_CX_PUSH(AZ51,CX_ENTITY,$B51,AZ$11,AZ$14,AZ$44,),"")))))),"")</f>
        <v/>
      </c>
      <c r="DT51" s="1883" t="str" cm="1">
        <f t="array" ca="1" aca="1" ref="DT51">IFERROR(IF(BA51*fxVal_normal=_CF!BA51,"",IF(OR(BA51="",NOT(ISNUMBER(BA51)),ISERROR(BA51),$B51=""),"",IF($I51=1,IFBLANK(_xldudf_CX_PUSH(BA51*fxVal_normal,CX_ENTITY,$B51,BA$11,BA$14,BA$44,),""),IF($I51=2,IFBLANK(_xldudf_CX_PUSH(BA51,CX_ENTITY,$B51,BA$11,BA$14,BA$44,),""),IF($I51=3,"",IFBLANK(_xldudf_CX_PUSH(BA51,CX_ENTITY,$B51,BA$11,BA$14,BA$44,),"")))))),"")</f>
        <v/>
      </c>
      <c r="DU51" s="1883" t="str" cm="1">
        <f t="array" ca="1" aca="1" ref="DU51">IFERROR(IF(BB51*fxVal_normal=_CF!BB51,"",IF(OR(BB51="",NOT(ISNUMBER(BB51)),ISERROR(BB51),$B51=""),"",IF($I51=1,IFBLANK(_xldudf_CX_PUSH(BB51*fxVal_normal,CX_ENTITY,$B51,BB$11,BB$14,BB$44,),""),IF($I51=2,IFBLANK(_xldudf_CX_PUSH(BB51,CX_ENTITY,$B51,BB$11,BB$14,BB$44,),""),IF($I51=3,"",IFBLANK(_xldudf_CX_PUSH(BB51,CX_ENTITY,$B51,BB$11,BB$14,BB$44,),"")))))),"")</f>
        <v/>
      </c>
      <c r="DV51" s="1883" t="str" cm="1">
        <f t="array" ca="1" aca="1" ref="DV51">IFERROR(IF(BC51*fxVal_normal=_CF!BC51,"",IF(OR(BC51="",NOT(ISNUMBER(BC51)),ISERROR(BC51),$B51=""),"",IF($I51=1,IFBLANK(_xldudf_CX_PUSH(BC51*fxVal_normal,CX_ENTITY,$B51,BC$11,BC$14,BC$44,),""),IF($I51=2,IFBLANK(_xldudf_CX_PUSH(BC51,CX_ENTITY,$B51,BC$11,BC$14,BC$44,),""),IF($I51=3,"",IFBLANK(_xldudf_CX_PUSH(BC51,CX_ENTITY,$B51,BC$11,BC$14,BC$44,),"")))))),"")</f>
        <v/>
      </c>
      <c r="DW51" s="1883" t="str" cm="1">
        <f t="array" ca="1" aca="1" ref="DW51">IFERROR(IF(BD51*fxVal_normal=_CF!BD51,"",IF(OR(BD51="",NOT(ISNUMBER(BD51)),ISERROR(BD51),$B51=""),"",IF($I51=1,IFBLANK(_xldudf_CX_PUSH(BD51*fxVal_normal,CX_ENTITY,$B51,BD$11,BD$14,BD$44,),""),IF($I51=2,IFBLANK(_xldudf_CX_PUSH(BD51,CX_ENTITY,$B51,BD$11,BD$14,BD$44,),""),IF($I51=3,"",IFBLANK(_xldudf_CX_PUSH(BD51,CX_ENTITY,$B51,BD$11,BD$14,BD$44,),"")))))),"")</f>
        <v/>
      </c>
      <c r="DX51" s="1883" t="str" cm="1">
        <f t="array" ca="1" aca="1" ref="DX51">IFERROR(IF(BE51*fxVal_normal=_CF!BE51,"",IF(OR(BE51="",NOT(ISNUMBER(BE51)),ISERROR(BE51),$B51=""),"",IF($I51=1,IFBLANK(_xldudf_CX_PUSH(BE51*fxVal_normal,CX_ENTITY,$B51,BE$11,BE$14,BE$44,),""),IF($I51=2,IFBLANK(_xldudf_CX_PUSH(BE51,CX_ENTITY,$B51,BE$11,BE$14,BE$44,),""),IF($I51=3,"",IFBLANK(_xldudf_CX_PUSH(BE51,CX_ENTITY,$B51,BE$11,BE$14,BE$44,),"")))))),"")</f>
        <v/>
      </c>
      <c r="DY51" s="1883" t="str" cm="1">
        <f t="array" ca="1" aca="1" ref="DY51">IFERROR(IF(BF51*fxVal_normal=_CF!BF51,"",IF(OR(BF51="",NOT(ISNUMBER(BF51)),ISERROR(BF51),$B51=""),"",IF($I51=1,IFBLANK(_xldudf_CX_PUSH(BF51*fxVal_normal,CX_ENTITY,$B51,BF$11,BF$14,BF$44,),""),IF($I51=2,IFBLANK(_xldudf_CX_PUSH(BF51,CX_ENTITY,$B51,BF$11,BF$14,BF$44,),""),IF($I51=3,"",IFBLANK(_xldudf_CX_PUSH(BF51,CX_ENTITY,$B51,BF$11,BF$14,BF$44,),"")))))),"")</f>
        <v/>
      </c>
      <c r="DZ51" s="1883" t="str" cm="1">
        <f t="array" ca="1" aca="1" ref="DZ51">IFERROR(IF(BG51*fxVal_normal=_CF!BG51,"",IF(OR(BG51="",NOT(ISNUMBER(BG51)),ISERROR(BG51),$B51=""),"",IF($I51=1,IFBLANK(_xldudf_CX_PUSH(BG51*fxVal_normal,CX_ENTITY,$B51,BG$11,BG$14,BG$44,),""),IF($I51=2,IFBLANK(_xldudf_CX_PUSH(BG51,CX_ENTITY,$B51,BG$11,BG$14,BG$44,),""),IF($I51=3,"",IFBLANK(_xldudf_CX_PUSH(BG51,CX_ENTITY,$B51,BG$11,BG$14,BG$44,),"")))))),"")</f>
        <v/>
      </c>
      <c r="EA51" s="1883" t="str" cm="1">
        <f t="array" ca="1" aca="1" ref="EA51">IFERROR(IF(BH51*fxVal_normal=_CF!BH51,"",IF(OR(BH51="",NOT(ISNUMBER(BH51)),ISERROR(BH51),$B51=""),"",IF($I51=1,IFBLANK(_xldudf_CX_PUSH(BH51*fxVal_normal,CX_ENTITY,$B51,BH$11,BH$14,BH$44,),""),IF($I51=2,IFBLANK(_xldudf_CX_PUSH(BH51,CX_ENTITY,$B51,BH$11,BH$14,BH$44,),""),IF($I51=3,"",IFBLANK(_xldudf_CX_PUSH(BH51,CX_ENTITY,$B51,BH$11,BH$14,BH$44,),"")))))),"")</f>
        <v/>
      </c>
      <c r="EB51" s="1883" t="str" cm="1">
        <f t="array" ca="1" aca="1" ref="EB51">IFERROR(IF(BI51*fxVal_normal=_CF!BI51,"",IF(OR(BI51="",NOT(ISNUMBER(BI51)),ISERROR(BI51),$B51=""),"",IF($I51=1,IFBLANK(_xldudf_CX_PUSH(BI51*fxVal_normal,CX_ENTITY,$B51,BI$11,BI$14,BI$44,),""),IF($I51=2,IFBLANK(_xldudf_CX_PUSH(BI51,CX_ENTITY,$B51,BI$11,BI$14,BI$44,),""),IF($I51=3,"",IFBLANK(_xldudf_CX_PUSH(BI51,CX_ENTITY,$B51,BI$11,BI$14,BI$44,),"")))))),"")</f>
        <v/>
      </c>
      <c r="EC51" s="1883" t="str" cm="1">
        <f t="array" ca="1" aca="1" ref="EC51">IFERROR(IF(BJ51*fxVal_normal=_CF!BJ51,"",IF(OR(BJ51="",NOT(ISNUMBER(BJ51)),ISERROR(BJ51),$B51=""),"",IF($I51=1,IFBLANK(_xldudf_CX_PUSH(BJ51*fxVal_normal,CX_ENTITY,$B51,BJ$11,BJ$14,BJ$44,),""),IF($I51=2,IFBLANK(_xldudf_CX_PUSH(BJ51,CX_ENTITY,$B51,BJ$11,BJ$14,BJ$44,),""),IF($I51=3,"",IFBLANK(_xldudf_CX_PUSH(BJ51,CX_ENTITY,$B51,BJ$11,BJ$14,BJ$44,),"")))))),"")</f>
        <v/>
      </c>
      <c r="ED51" s="1883" t="str" cm="1">
        <f t="array" ca="1" aca="1" ref="ED51">IFERROR(IF(BK51*fxVal_normal=_CF!BK51,"",IF(OR(BK51="",NOT(ISNUMBER(BK51)),ISERROR(BK51),$B51=""),"",IF($I51=1,IFBLANK(_xldudf_CX_PUSH(BK51*fxVal_normal,CX_ENTITY,$B51,BK$11,BK$14,BK$44,),""),IF($I51=2,IFBLANK(_xldudf_CX_PUSH(BK51,CX_ENTITY,$B51,BK$11,BK$14,BK$44,),""),IF($I51=3,"",IFBLANK(_xldudf_CX_PUSH(BK51,CX_ENTITY,$B51,BK$11,BK$14,BK$44,),"")))))),"")</f>
        <v/>
      </c>
      <c r="EE51" s="1883" t="str" cm="1">
        <f t="array" ca="1" aca="1" ref="EE51">IFERROR(IF(BL51*fxVal_normal=_CF!BL51,"",IF(OR(BL51="",NOT(ISNUMBER(BL51)),ISERROR(BL51),$B51=""),"",IF($I51=1,IFBLANK(_xldudf_CX_PUSH(BL51*fxVal_normal,CX_ENTITY,$B51,BL$11,BL$14,BL$44,),""),IF($I51=2,IFBLANK(_xldudf_CX_PUSH(BL51,CX_ENTITY,$B51,BL$11,BL$14,BL$44,),""),IF($I51=3,"",IFBLANK(_xldudf_CX_PUSH(BL51,CX_ENTITY,$B51,BL$11,BL$14,BL$44,),"")))))),"")</f>
        <v/>
      </c>
      <c r="EF51" s="1883" t="str" cm="1">
        <f t="array" ca="1" aca="1" ref="EF51">IFERROR(IF(BM51*fxVal_normal=_CF!BM51,"",IF(OR(BM51="",NOT(ISNUMBER(BM51)),ISERROR(BM51),$B51=""),"",IF($I51=1,IFBLANK(_xldudf_CX_PUSH(BM51*fxVal_normal,CX_ENTITY,$B51,BM$11,BM$14,BM$44,),""),IF($I51=2,IFBLANK(_xldudf_CX_PUSH(BM51,CX_ENTITY,$B51,BM$11,BM$14,BM$44,),""),IF($I51=3,"",IFBLANK(_xldudf_CX_PUSH(BM51,CX_ENTITY,$B51,BM$11,BM$14,BM$44,),"")))))),"")</f>
        <v/>
      </c>
      <c r="EG51" s="1883" t="str" cm="1">
        <f t="array" ca="1" aca="1" ref="EG51">IFERROR(IF(BN51*fxVal_normal=_CF!BN51,"",IF(OR(BN51="",NOT(ISNUMBER(BN51)),ISERROR(BN51),$B51=""),"",IF($I51=1,IFBLANK(_xldudf_CX_PUSH(BN51*fxVal_normal,CX_ENTITY,$B51,BN$11,BN$14,BN$44,),""),IF($I51=2,IFBLANK(_xldudf_CX_PUSH(BN51,CX_ENTITY,$B51,BN$11,BN$14,BN$44,),""),IF($I51=3,"",IFBLANK(_xldudf_CX_PUSH(BN51,CX_ENTITY,$B51,BN$11,BN$14,BN$44,),"")))))),"")</f>
        <v/>
      </c>
    </row>
    <row r="52" spans="1:137" ht="21" customHeight="1">
      <c r="A52" s="1624"/>
      <c r="B52" s="811" t="str" cm="1">
        <f t="array" ref="B52">IFBLANK(_CF!F52,"")</f>
        <v>Exceptional/VCP/One-off Cash Flows</v>
      </c>
      <c r="C52" s="811" t="str" cm="1">
        <f t="array" ref="C52">IFBLANK(_CF!C52,"")</f>
        <v>Exceptional/VCP/One-off Cash Flows (Company View)</v>
      </c>
      <c r="D52" s="1638"/>
      <c r="E52" s="854"/>
      <c r="F52" s="853"/>
      <c r="G52" s="401"/>
      <c r="H52" s="3280">
        <v>1</v>
      </c>
      <c r="I52" s="3280">
        <v>1</v>
      </c>
      <c r="J52" s="1072"/>
      <c r="K52" s="1072"/>
      <c r="N52" s="158"/>
      <c r="O52" s="101"/>
      <c r="P52" s="52"/>
      <c r="Q52" s="101"/>
      <c r="R52" s="126"/>
      <c r="S52" s="101"/>
      <c r="T52" s="101"/>
      <c r="U52" s="39"/>
      <c r="W52" s="932" t="str">
        <f t="shared" si="8"/>
        <v>Budget</v>
      </c>
      <c r="X52" s="815" t="str">
        <f>_CF!X52</f>
        <v>a</v>
      </c>
      <c r="Y52" s="3192">
        <f t="shared" si="6"/>
        <v>2</v>
      </c>
      <c r="Z52" s="3291" cm="1">
        <f t="array" ref="Z52">_xlfn.SWITCH(TRUE,_CF!$L52=TRUE,1,_CF!$L52=FALSE,-1,_CF!$L52=-1,0,"n/a")</f>
        <v>1</v>
      </c>
      <c r="AA52" s="200"/>
      <c r="AB52" s="88" t="str">
        <f>_CF!AB52</f>
        <v>Exceptional/VCP/One-off Cash Flows</v>
      </c>
      <c r="AC52" s="88" t="e" vm="5" cm="1">
        <f t="array" ca="1" aca="1" ref="AC52">_xlfn.LET(_xlpm._termname,$AB52,_xlpm._iconname,"find",_xlpm._icon,fx_getIcon(_xlpm._iconname),_xlpm._location,_xlfn.XLOOKUP(LOWER(_xlpm._termname),LOWER(tbl_acctDef[Term]),tbl_acctDef[Term]),_xlpm._hyperlink,HYPERLINK("#"&amp;CELL("address",_xlpm._location),_xlpm._icon),IFERROR(_xlpm._hyperlink,""))</f>
        <v>#VALUE!</v>
      </c>
      <c r="AD52" s="3232">
        <v>1</v>
      </c>
      <c r="AE52" s="3232">
        <v>1</v>
      </c>
      <c r="AF52" s="3232">
        <v>1</v>
      </c>
      <c r="AG52" s="3232">
        <v>1</v>
      </c>
      <c r="AH52" s="3232">
        <v>1</v>
      </c>
      <c r="AI52" s="3232">
        <v>1</v>
      </c>
      <c r="AJ52" s="3232">
        <v>1</v>
      </c>
      <c r="AK52" s="3232">
        <v>1</v>
      </c>
      <c r="AL52" s="3232">
        <v>1</v>
      </c>
      <c r="AM52" s="3232">
        <v>1</v>
      </c>
      <c r="AN52" s="3232">
        <v>1</v>
      </c>
      <c r="AO52" s="3232">
        <v>1</v>
      </c>
      <c r="AP52" s="3232">
        <v>1</v>
      </c>
      <c r="AQ52" s="3232">
        <v>1</v>
      </c>
      <c r="AR52" s="3232">
        <v>1</v>
      </c>
      <c r="AS52" s="3232">
        <v>1</v>
      </c>
      <c r="AT52" s="3232">
        <v>1</v>
      </c>
      <c r="AU52" s="3232">
        <v>1</v>
      </c>
      <c r="AV52" s="3232">
        <v>1</v>
      </c>
      <c r="AW52" s="3232">
        <v>1</v>
      </c>
      <c r="AX52" s="3232">
        <v>1</v>
      </c>
      <c r="AY52" s="3232">
        <v>1</v>
      </c>
      <c r="AZ52" s="3232">
        <v>1</v>
      </c>
      <c r="BA52" s="3232">
        <v>1</v>
      </c>
      <c r="BB52" s="3232">
        <v>1</v>
      </c>
      <c r="BC52" s="3232">
        <v>1</v>
      </c>
      <c r="BD52" s="3232">
        <v>1</v>
      </c>
      <c r="BE52" s="3232">
        <v>1</v>
      </c>
      <c r="BF52" s="3232">
        <v>1</v>
      </c>
      <c r="BG52" s="3232">
        <v>1</v>
      </c>
      <c r="BH52" s="3232">
        <v>1</v>
      </c>
      <c r="BI52" s="3232">
        <v>1</v>
      </c>
      <c r="BJ52" s="3232">
        <v>1</v>
      </c>
      <c r="BK52" s="3232">
        <v>1</v>
      </c>
      <c r="BL52" s="3232">
        <v>1</v>
      </c>
      <c r="BM52" s="3232">
        <v>1</v>
      </c>
      <c r="BN52" s="3232">
        <v>1</v>
      </c>
      <c r="BO52" s="2115"/>
      <c r="BP52" s="2115"/>
      <c r="BQ52" s="2115"/>
      <c r="BR52" s="2115"/>
      <c r="BS52" s="2115"/>
      <c r="BT52" s="2115"/>
      <c r="BU52" s="2115"/>
      <c r="BV52" s="2115"/>
      <c r="BW52" s="2115"/>
      <c r="BX52" s="2115"/>
      <c r="BY52" s="2115"/>
      <c r="BZ52" s="2115"/>
      <c r="CA52" s="1330"/>
      <c r="CB52" s="537"/>
      <c r="CC52" s="1484"/>
      <c r="CD52" s="1461" t="e" cm="1">
        <f t="array" ca="1" aca="1" ref="CD52">_xlfn.LET(_xlpm.CheckBlank,SUM(CF!$AD52:$BN52)=0,IF(_xlpm.CheckBlank,"",SUM(_xlfn._xlws.FILTER(CF!$AD52:$BN52,(YEAR(CF!$AD$12:$BN$12)=CF!CD$12)*(array_timeline&lt;=CF!CD$11)))))</f>
        <v>#NAME?</v>
      </c>
      <c r="CE52" s="1461" t="e" cm="1">
        <f t="array" ca="1" aca="1" ref="CE52">_xlfn.LET(_xlpm.CheckBlank,SUM(CF!$AD52:$BN52)=0,IF(_xlpm.CheckBlank,"",SUM(_xlfn._xlws.FILTER(CF!$AD52:$BN52,(YEAR(CF!$AD$12:$BN$12)=CF!CE$12)*(array_timeline&lt;=CF!CE$11)))))</f>
        <v>#NAME?</v>
      </c>
      <c r="CF52" s="1314"/>
      <c r="CG52" s="1461" t="e" cm="1">
        <f t="array" ca="1" aca="1" ref="CG52">_xlfn.LET(_xlpm.CheckBlank,SUM(CF!$AD52:$BN52)=0,IF(_xlpm.CheckBlank,"",SUM(_xlfn._xlws.FILTER(CF!$AD52:$BN52,(YEAR(CF!$AD$12:$BN$12)=CF!CG$12)*(array_timeline&lt;=CF!CG$11)))))</f>
        <v>#NAME?</v>
      </c>
      <c r="CH52" s="1461" t="e" cm="1">
        <f t="array" ca="1" aca="1" ref="CH52">_xlfn.LET(_xlpm.CheckBlank,SUM(CF!$AD52:$BN52)=0,IF(_xlpm.CheckBlank,"",SUM(_xlfn._xlws.FILTER(CF!$AD52:$BN52,(YEAR(CF!$AD$12:$BN$12)=CF!CH$12)*(array_timeline&lt;=CF!CH$11)))))</f>
        <v>#NAME?</v>
      </c>
      <c r="CI52" s="1314"/>
      <c r="CJ52" s="1461" cm="1">
        <f t="array" ref="CJ52">_xlfn.LET(_xlpm.CheckBlank,SUM(CF!$AD52:$BN52)=0,IF(_xlpm.CheckBlank,"",SUM(_xlfn.TAKE(_xlfn.DROP(CF!$AD52:$BN52,,-DATEDIFF(CF!CJ$11,val_asOfDate,"M")),1,-12))))</f>
        <v>12</v>
      </c>
      <c r="CK52" s="1461" cm="1">
        <f t="array" ref="CK52">_xlfn.LET(_xlpm.CheckBlank,SUM(CF!$AD52:$BN52)=0,IF(_xlpm.CheckBlank,"",SUM(_xlfn.TAKE(_xlfn.DROP(CF!$AD52:$BN52,,-DATEDIFF(CF!CK$11,val_asOfDate,"M")),1,-12))))</f>
        <v>12</v>
      </c>
      <c r="CL52" s="1314"/>
      <c r="CM52" s="541" t="e">
        <f t="shared" ca="1" si="7"/>
        <v>#NAME?</v>
      </c>
      <c r="CN52" s="541" t="e">
        <f t="shared" ca="1" si="7"/>
        <v>#NAME?</v>
      </c>
      <c r="CO52" s="34"/>
      <c r="CW52" s="1883" t="str" cm="1">
        <f t="array" ca="1" aca="1" ref="CW52">IFERROR(IF(AD52*fxVal_normal=_CF!AD52,"",IF(OR(AD52="",NOT(ISNUMBER(AD52)),ISERROR(AD52),$B52=""),"",IF($I52=1,IFBLANK(_xldudf_CX_PUSH(AD52*fxVal_normal,CX_ENTITY,$B52,AD$11,AD$14,AD$44,),""),IF($I52=2,IFBLANK(_xldudf_CX_PUSH(AD52,CX_ENTITY,$B52,AD$11,AD$14,AD$44,),""),IF($I52=3,"",IFBLANK(_xldudf_CX_PUSH(AD52,CX_ENTITY,$B52,AD$11,AD$14,AD$44,),"")))))),"")</f>
        <v/>
      </c>
      <c r="CX52" s="1883" t="str" cm="1">
        <f t="array" ca="1" aca="1" ref="CX52">IFERROR(IF(AE52*fxVal_normal=_CF!AE52,"",IF(OR(AE52="",NOT(ISNUMBER(AE52)),ISERROR(AE52),$B52=""),"",IF($I52=1,IFBLANK(_xldudf_CX_PUSH(AE52*fxVal_normal,CX_ENTITY,$B52,AE$11,AE$14,AE$44,),""),IF($I52=2,IFBLANK(_xldudf_CX_PUSH(AE52,CX_ENTITY,$B52,AE$11,AE$14,AE$44,),""),IF($I52=3,"",IFBLANK(_xldudf_CX_PUSH(AE52,CX_ENTITY,$B52,AE$11,AE$14,AE$44,),"")))))),"")</f>
        <v/>
      </c>
      <c r="CY52" s="1883" t="str" cm="1">
        <f t="array" ca="1" aca="1" ref="CY52">IFERROR(IF(AF52*fxVal_normal=_CF!AF52,"",IF(OR(AF52="",NOT(ISNUMBER(AF52)),ISERROR(AF52),$B52=""),"",IF($I52=1,IFBLANK(_xldudf_CX_PUSH(AF52*fxVal_normal,CX_ENTITY,$B52,AF$11,AF$14,AF$44,),""),IF($I52=2,IFBLANK(_xldudf_CX_PUSH(AF52,CX_ENTITY,$B52,AF$11,AF$14,AF$44,),""),IF($I52=3,"",IFBLANK(_xldudf_CX_PUSH(AF52,CX_ENTITY,$B52,AF$11,AF$14,AF$44,),"")))))),"")</f>
        <v/>
      </c>
      <c r="CZ52" s="1883" t="str" cm="1">
        <f t="array" ca="1" aca="1" ref="CZ52">IFERROR(IF(AG52*fxVal_normal=_CF!AG52,"",IF(OR(AG52="",NOT(ISNUMBER(AG52)),ISERROR(AG52),$B52=""),"",IF($I52=1,IFBLANK(_xldudf_CX_PUSH(AG52*fxVal_normal,CX_ENTITY,$B52,AG$11,AG$14,AG$44,),""),IF($I52=2,IFBLANK(_xldudf_CX_PUSH(AG52,CX_ENTITY,$B52,AG$11,AG$14,AG$44,),""),IF($I52=3,"",IFBLANK(_xldudf_CX_PUSH(AG52,CX_ENTITY,$B52,AG$11,AG$14,AG$44,),"")))))),"")</f>
        <v/>
      </c>
      <c r="DA52" s="1883" t="str" cm="1">
        <f t="array" ca="1" aca="1" ref="DA52">IFERROR(IF(AH52*fxVal_normal=_CF!AH52,"",IF(OR(AH52="",NOT(ISNUMBER(AH52)),ISERROR(AH52),$B52=""),"",IF($I52=1,IFBLANK(_xldudf_CX_PUSH(AH52*fxVal_normal,CX_ENTITY,$B52,AH$11,AH$14,AH$44,),""),IF($I52=2,IFBLANK(_xldudf_CX_PUSH(AH52,CX_ENTITY,$B52,AH$11,AH$14,AH$44,),""),IF($I52=3,"",IFBLANK(_xldudf_CX_PUSH(AH52,CX_ENTITY,$B52,AH$11,AH$14,AH$44,),"")))))),"")</f>
        <v/>
      </c>
      <c r="DB52" s="1883" t="str" cm="1">
        <f t="array" ca="1" aca="1" ref="DB52">IFERROR(IF(AI52*fxVal_normal=_CF!AI52,"",IF(OR(AI52="",NOT(ISNUMBER(AI52)),ISERROR(AI52),$B52=""),"",IF($I52=1,IFBLANK(_xldudf_CX_PUSH(AI52*fxVal_normal,CX_ENTITY,$B52,AI$11,AI$14,AI$44,),""),IF($I52=2,IFBLANK(_xldudf_CX_PUSH(AI52,CX_ENTITY,$B52,AI$11,AI$14,AI$44,),""),IF($I52=3,"",IFBLANK(_xldudf_CX_PUSH(AI52,CX_ENTITY,$B52,AI$11,AI$14,AI$44,),"")))))),"")</f>
        <v/>
      </c>
      <c r="DC52" s="1883" t="str" cm="1">
        <f t="array" ca="1" aca="1" ref="DC52">IFERROR(IF(AJ52*fxVal_normal=_CF!AJ52,"",IF(OR(AJ52="",NOT(ISNUMBER(AJ52)),ISERROR(AJ52),$B52=""),"",IF($I52=1,IFBLANK(_xldudf_CX_PUSH(AJ52*fxVal_normal,CX_ENTITY,$B52,AJ$11,AJ$14,AJ$44,),""),IF($I52=2,IFBLANK(_xldudf_CX_PUSH(AJ52,CX_ENTITY,$B52,AJ$11,AJ$14,AJ$44,),""),IF($I52=3,"",IFBLANK(_xldudf_CX_PUSH(AJ52,CX_ENTITY,$B52,AJ$11,AJ$14,AJ$44,),"")))))),"")</f>
        <v/>
      </c>
      <c r="DD52" s="1883" t="str" cm="1">
        <f t="array" ca="1" aca="1" ref="DD52">IFERROR(IF(AK52*fxVal_normal=_CF!AK52,"",IF(OR(AK52="",NOT(ISNUMBER(AK52)),ISERROR(AK52),$B52=""),"",IF($I52=1,IFBLANK(_xldudf_CX_PUSH(AK52*fxVal_normal,CX_ENTITY,$B52,AK$11,AK$14,AK$44,),""),IF($I52=2,IFBLANK(_xldudf_CX_PUSH(AK52,CX_ENTITY,$B52,AK$11,AK$14,AK$44,),""),IF($I52=3,"",IFBLANK(_xldudf_CX_PUSH(AK52,CX_ENTITY,$B52,AK$11,AK$14,AK$44,),"")))))),"")</f>
        <v/>
      </c>
      <c r="DE52" s="1883" t="str" cm="1">
        <f t="array" ca="1" aca="1" ref="DE52">IFERROR(IF(AL52*fxVal_normal=_CF!AL52,"",IF(OR(AL52="",NOT(ISNUMBER(AL52)),ISERROR(AL52),$B52=""),"",IF($I52=1,IFBLANK(_xldudf_CX_PUSH(AL52*fxVal_normal,CX_ENTITY,$B52,AL$11,AL$14,AL$44,),""),IF($I52=2,IFBLANK(_xldudf_CX_PUSH(AL52,CX_ENTITY,$B52,AL$11,AL$14,AL$44,),""),IF($I52=3,"",IFBLANK(_xldudf_CX_PUSH(AL52,CX_ENTITY,$B52,AL$11,AL$14,AL$44,),"")))))),"")</f>
        <v/>
      </c>
      <c r="DF52" s="1883" t="str" cm="1">
        <f t="array" ca="1" aca="1" ref="DF52">IFERROR(IF(AM52*fxVal_normal=_CF!AM52,"",IF(OR(AM52="",NOT(ISNUMBER(AM52)),ISERROR(AM52),$B52=""),"",IF($I52=1,IFBLANK(_xldudf_CX_PUSH(AM52*fxVal_normal,CX_ENTITY,$B52,AM$11,AM$14,AM$44,),""),IF($I52=2,IFBLANK(_xldudf_CX_PUSH(AM52,CX_ENTITY,$B52,AM$11,AM$14,AM$44,),""),IF($I52=3,"",IFBLANK(_xldudf_CX_PUSH(AM52,CX_ENTITY,$B52,AM$11,AM$14,AM$44,),"")))))),"")</f>
        <v/>
      </c>
      <c r="DG52" s="1883" t="str" cm="1">
        <f t="array" ca="1" aca="1" ref="DG52">IFERROR(IF(AN52*fxVal_normal=_CF!AN52,"",IF(OR(AN52="",NOT(ISNUMBER(AN52)),ISERROR(AN52),$B52=""),"",IF($I52=1,IFBLANK(_xldudf_CX_PUSH(AN52*fxVal_normal,CX_ENTITY,$B52,AN$11,AN$14,AN$44,),""),IF($I52=2,IFBLANK(_xldudf_CX_PUSH(AN52,CX_ENTITY,$B52,AN$11,AN$14,AN$44,),""),IF($I52=3,"",IFBLANK(_xldudf_CX_PUSH(AN52,CX_ENTITY,$B52,AN$11,AN$14,AN$44,),"")))))),"")</f>
        <v/>
      </c>
      <c r="DH52" s="1883" t="str" cm="1">
        <f t="array" ca="1" aca="1" ref="DH52">IFERROR(IF(AO52*fxVal_normal=_CF!AO52,"",IF(OR(AO52="",NOT(ISNUMBER(AO52)),ISERROR(AO52),$B52=""),"",IF($I52=1,IFBLANK(_xldudf_CX_PUSH(AO52*fxVal_normal,CX_ENTITY,$B52,AO$11,AO$14,AO$44,),""),IF($I52=2,IFBLANK(_xldudf_CX_PUSH(AO52,CX_ENTITY,$B52,AO$11,AO$14,AO$44,),""),IF($I52=3,"",IFBLANK(_xldudf_CX_PUSH(AO52,CX_ENTITY,$B52,AO$11,AO$14,AO$44,),"")))))),"")</f>
        <v/>
      </c>
      <c r="DI52" s="1883" t="str" cm="1">
        <f t="array" ca="1" aca="1" ref="DI52">IFERROR(IF(AP52*fxVal_normal=_CF!AP52,"",IF(OR(AP52="",NOT(ISNUMBER(AP52)),ISERROR(AP52),$B52=""),"",IF($I52=1,IFBLANK(_xldudf_CX_PUSH(AP52*fxVal_normal,CX_ENTITY,$B52,AP$11,AP$14,AP$44,),""),IF($I52=2,IFBLANK(_xldudf_CX_PUSH(AP52,CX_ENTITY,$B52,AP$11,AP$14,AP$44,),""),IF($I52=3,"",IFBLANK(_xldudf_CX_PUSH(AP52,CX_ENTITY,$B52,AP$11,AP$14,AP$44,),"")))))),"")</f>
        <v/>
      </c>
      <c r="DJ52" s="1883" t="str" cm="1">
        <f t="array" ca="1" aca="1" ref="DJ52">IFERROR(IF(AQ52*fxVal_normal=_CF!AQ52,"",IF(OR(AQ52="",NOT(ISNUMBER(AQ52)),ISERROR(AQ52),$B52=""),"",IF($I52=1,IFBLANK(_xldudf_CX_PUSH(AQ52*fxVal_normal,CX_ENTITY,$B52,AQ$11,AQ$14,AQ$44,),""),IF($I52=2,IFBLANK(_xldudf_CX_PUSH(AQ52,CX_ENTITY,$B52,AQ$11,AQ$14,AQ$44,),""),IF($I52=3,"",IFBLANK(_xldudf_CX_PUSH(AQ52,CX_ENTITY,$B52,AQ$11,AQ$14,AQ$44,),"")))))),"")</f>
        <v/>
      </c>
      <c r="DK52" s="1883" t="str" cm="1">
        <f t="array" ca="1" aca="1" ref="DK52">IFERROR(IF(AR52*fxVal_normal=_CF!AR52,"",IF(OR(AR52="",NOT(ISNUMBER(AR52)),ISERROR(AR52),$B52=""),"",IF($I52=1,IFBLANK(_xldudf_CX_PUSH(AR52*fxVal_normal,CX_ENTITY,$B52,AR$11,AR$14,AR$44,),""),IF($I52=2,IFBLANK(_xldudf_CX_PUSH(AR52,CX_ENTITY,$B52,AR$11,AR$14,AR$44,),""),IF($I52=3,"",IFBLANK(_xldudf_CX_PUSH(AR52,CX_ENTITY,$B52,AR$11,AR$14,AR$44,),"")))))),"")</f>
        <v/>
      </c>
      <c r="DL52" s="1883" t="str" cm="1">
        <f t="array" ca="1" aca="1" ref="DL52">IFERROR(IF(AS52*fxVal_normal=_CF!AS52,"",IF(OR(AS52="",NOT(ISNUMBER(AS52)),ISERROR(AS52),$B52=""),"",IF($I52=1,IFBLANK(_xldudf_CX_PUSH(AS52*fxVal_normal,CX_ENTITY,$B52,AS$11,AS$14,AS$44,),""),IF($I52=2,IFBLANK(_xldudf_CX_PUSH(AS52,CX_ENTITY,$B52,AS$11,AS$14,AS$44,),""),IF($I52=3,"",IFBLANK(_xldudf_CX_PUSH(AS52,CX_ENTITY,$B52,AS$11,AS$14,AS$44,),"")))))),"")</f>
        <v/>
      </c>
      <c r="DM52" s="1883" t="str" cm="1">
        <f t="array" ca="1" aca="1" ref="DM52">IFERROR(IF(AT52*fxVal_normal=_CF!AT52,"",IF(OR(AT52="",NOT(ISNUMBER(AT52)),ISERROR(AT52),$B52=""),"",IF($I52=1,IFBLANK(_xldudf_CX_PUSH(AT52*fxVal_normal,CX_ENTITY,$B52,AT$11,AT$14,AT$44,),""),IF($I52=2,IFBLANK(_xldudf_CX_PUSH(AT52,CX_ENTITY,$B52,AT$11,AT$14,AT$44,),""),IF($I52=3,"",IFBLANK(_xldudf_CX_PUSH(AT52,CX_ENTITY,$B52,AT$11,AT$14,AT$44,),"")))))),"")</f>
        <v/>
      </c>
      <c r="DN52" s="1883" t="str" cm="1">
        <f t="array" ca="1" aca="1" ref="DN52">IFERROR(IF(AU52*fxVal_normal=_CF!AU52,"",IF(OR(AU52="",NOT(ISNUMBER(AU52)),ISERROR(AU52),$B52=""),"",IF($I52=1,IFBLANK(_xldudf_CX_PUSH(AU52*fxVal_normal,CX_ENTITY,$B52,AU$11,AU$14,AU$44,),""),IF($I52=2,IFBLANK(_xldudf_CX_PUSH(AU52,CX_ENTITY,$B52,AU$11,AU$14,AU$44,),""),IF($I52=3,"",IFBLANK(_xldudf_CX_PUSH(AU52,CX_ENTITY,$B52,AU$11,AU$14,AU$44,),"")))))),"")</f>
        <v/>
      </c>
      <c r="DO52" s="1883" t="str" cm="1">
        <f t="array" ca="1" aca="1" ref="DO52">IFERROR(IF(AV52*fxVal_normal=_CF!AV52,"",IF(OR(AV52="",NOT(ISNUMBER(AV52)),ISERROR(AV52),$B52=""),"",IF($I52=1,IFBLANK(_xldudf_CX_PUSH(AV52*fxVal_normal,CX_ENTITY,$B52,AV$11,AV$14,AV$44,),""),IF($I52=2,IFBLANK(_xldudf_CX_PUSH(AV52,CX_ENTITY,$B52,AV$11,AV$14,AV$44,),""),IF($I52=3,"",IFBLANK(_xldudf_CX_PUSH(AV52,CX_ENTITY,$B52,AV$11,AV$14,AV$44,),"")))))),"")</f>
        <v/>
      </c>
      <c r="DP52" s="1883" t="str" cm="1">
        <f t="array" ca="1" aca="1" ref="DP52">IFERROR(IF(AW52*fxVal_normal=_CF!AW52,"",IF(OR(AW52="",NOT(ISNUMBER(AW52)),ISERROR(AW52),$B52=""),"",IF($I52=1,IFBLANK(_xldudf_CX_PUSH(AW52*fxVal_normal,CX_ENTITY,$B52,AW$11,AW$14,AW$44,),""),IF($I52=2,IFBLANK(_xldudf_CX_PUSH(AW52,CX_ENTITY,$B52,AW$11,AW$14,AW$44,),""),IF($I52=3,"",IFBLANK(_xldudf_CX_PUSH(AW52,CX_ENTITY,$B52,AW$11,AW$14,AW$44,),"")))))),"")</f>
        <v/>
      </c>
      <c r="DQ52" s="1883" t="str" cm="1">
        <f t="array" ca="1" aca="1" ref="DQ52">IFERROR(IF(AX52*fxVal_normal=_CF!AX52,"",IF(OR(AX52="",NOT(ISNUMBER(AX52)),ISERROR(AX52),$B52=""),"",IF($I52=1,IFBLANK(_xldudf_CX_PUSH(AX52*fxVal_normal,CX_ENTITY,$B52,AX$11,AX$14,AX$44,),""),IF($I52=2,IFBLANK(_xldudf_CX_PUSH(AX52,CX_ENTITY,$B52,AX$11,AX$14,AX$44,),""),IF($I52=3,"",IFBLANK(_xldudf_CX_PUSH(AX52,CX_ENTITY,$B52,AX$11,AX$14,AX$44,),"")))))),"")</f>
        <v/>
      </c>
      <c r="DR52" s="1883" t="str" cm="1">
        <f t="array" ca="1" aca="1" ref="DR52">IFERROR(IF(AY52*fxVal_normal=_CF!AY52,"",IF(OR(AY52="",NOT(ISNUMBER(AY52)),ISERROR(AY52),$B52=""),"",IF($I52=1,IFBLANK(_xldudf_CX_PUSH(AY52*fxVal_normal,CX_ENTITY,$B52,AY$11,AY$14,AY$44,),""),IF($I52=2,IFBLANK(_xldudf_CX_PUSH(AY52,CX_ENTITY,$B52,AY$11,AY$14,AY$44,),""),IF($I52=3,"",IFBLANK(_xldudf_CX_PUSH(AY52,CX_ENTITY,$B52,AY$11,AY$14,AY$44,),"")))))),"")</f>
        <v/>
      </c>
      <c r="DS52" s="1883" t="str" cm="1">
        <f t="array" ca="1" aca="1" ref="DS52">IFERROR(IF(AZ52*fxVal_normal=_CF!AZ52,"",IF(OR(AZ52="",NOT(ISNUMBER(AZ52)),ISERROR(AZ52),$B52=""),"",IF($I52=1,IFBLANK(_xldudf_CX_PUSH(AZ52*fxVal_normal,CX_ENTITY,$B52,AZ$11,AZ$14,AZ$44,),""),IF($I52=2,IFBLANK(_xldudf_CX_PUSH(AZ52,CX_ENTITY,$B52,AZ$11,AZ$14,AZ$44,),""),IF($I52=3,"",IFBLANK(_xldudf_CX_PUSH(AZ52,CX_ENTITY,$B52,AZ$11,AZ$14,AZ$44,),"")))))),"")</f>
        <v/>
      </c>
      <c r="DT52" s="1883" t="str" cm="1">
        <f t="array" ca="1" aca="1" ref="DT52">IFERROR(IF(BA52*fxVal_normal=_CF!BA52,"",IF(OR(BA52="",NOT(ISNUMBER(BA52)),ISERROR(BA52),$B52=""),"",IF($I52=1,IFBLANK(_xldudf_CX_PUSH(BA52*fxVal_normal,CX_ENTITY,$B52,BA$11,BA$14,BA$44,),""),IF($I52=2,IFBLANK(_xldudf_CX_PUSH(BA52,CX_ENTITY,$B52,BA$11,BA$14,BA$44,),""),IF($I52=3,"",IFBLANK(_xldudf_CX_PUSH(BA52,CX_ENTITY,$B52,BA$11,BA$14,BA$44,),"")))))),"")</f>
        <v/>
      </c>
      <c r="DU52" s="1883" t="str" cm="1">
        <f t="array" ca="1" aca="1" ref="DU52">IFERROR(IF(BB52*fxVal_normal=_CF!BB52,"",IF(OR(BB52="",NOT(ISNUMBER(BB52)),ISERROR(BB52),$B52=""),"",IF($I52=1,IFBLANK(_xldudf_CX_PUSH(BB52*fxVal_normal,CX_ENTITY,$B52,BB$11,BB$14,BB$44,),""),IF($I52=2,IFBLANK(_xldudf_CX_PUSH(BB52,CX_ENTITY,$B52,BB$11,BB$14,BB$44,),""),IF($I52=3,"",IFBLANK(_xldudf_CX_PUSH(BB52,CX_ENTITY,$B52,BB$11,BB$14,BB$44,),"")))))),"")</f>
        <v/>
      </c>
      <c r="DV52" s="1883" t="str" cm="1">
        <f t="array" ca="1" aca="1" ref="DV52">IFERROR(IF(BC52*fxVal_normal=_CF!BC52,"",IF(OR(BC52="",NOT(ISNUMBER(BC52)),ISERROR(BC52),$B52=""),"",IF($I52=1,IFBLANK(_xldudf_CX_PUSH(BC52*fxVal_normal,CX_ENTITY,$B52,BC$11,BC$14,BC$44,),""),IF($I52=2,IFBLANK(_xldudf_CX_PUSH(BC52,CX_ENTITY,$B52,BC$11,BC$14,BC$44,),""),IF($I52=3,"",IFBLANK(_xldudf_CX_PUSH(BC52,CX_ENTITY,$B52,BC$11,BC$14,BC$44,),"")))))),"")</f>
        <v/>
      </c>
      <c r="DW52" s="1883" t="str" cm="1">
        <f t="array" ca="1" aca="1" ref="DW52">IFERROR(IF(BD52*fxVal_normal=_CF!BD52,"",IF(OR(BD52="",NOT(ISNUMBER(BD52)),ISERROR(BD52),$B52=""),"",IF($I52=1,IFBLANK(_xldudf_CX_PUSH(BD52*fxVal_normal,CX_ENTITY,$B52,BD$11,BD$14,BD$44,),""),IF($I52=2,IFBLANK(_xldudf_CX_PUSH(BD52,CX_ENTITY,$B52,BD$11,BD$14,BD$44,),""),IF($I52=3,"",IFBLANK(_xldudf_CX_PUSH(BD52,CX_ENTITY,$B52,BD$11,BD$14,BD$44,),"")))))),"")</f>
        <v/>
      </c>
      <c r="DX52" s="1883" t="str" cm="1">
        <f t="array" ca="1" aca="1" ref="DX52">IFERROR(IF(BE52*fxVal_normal=_CF!BE52,"",IF(OR(BE52="",NOT(ISNUMBER(BE52)),ISERROR(BE52),$B52=""),"",IF($I52=1,IFBLANK(_xldudf_CX_PUSH(BE52*fxVal_normal,CX_ENTITY,$B52,BE$11,BE$14,BE$44,),""),IF($I52=2,IFBLANK(_xldudf_CX_PUSH(BE52,CX_ENTITY,$B52,BE$11,BE$14,BE$44,),""),IF($I52=3,"",IFBLANK(_xldudf_CX_PUSH(BE52,CX_ENTITY,$B52,BE$11,BE$14,BE$44,),"")))))),"")</f>
        <v/>
      </c>
      <c r="DY52" s="1883" t="str" cm="1">
        <f t="array" ca="1" aca="1" ref="DY52">IFERROR(IF(BF52*fxVal_normal=_CF!BF52,"",IF(OR(BF52="",NOT(ISNUMBER(BF52)),ISERROR(BF52),$B52=""),"",IF($I52=1,IFBLANK(_xldudf_CX_PUSH(BF52*fxVal_normal,CX_ENTITY,$B52,BF$11,BF$14,BF$44,),""),IF($I52=2,IFBLANK(_xldudf_CX_PUSH(BF52,CX_ENTITY,$B52,BF$11,BF$14,BF$44,),""),IF($I52=3,"",IFBLANK(_xldudf_CX_PUSH(BF52,CX_ENTITY,$B52,BF$11,BF$14,BF$44,),"")))))),"")</f>
        <v/>
      </c>
      <c r="DZ52" s="1883" t="str" cm="1">
        <f t="array" ca="1" aca="1" ref="DZ52">IFERROR(IF(BG52*fxVal_normal=_CF!BG52,"",IF(OR(BG52="",NOT(ISNUMBER(BG52)),ISERROR(BG52),$B52=""),"",IF($I52=1,IFBLANK(_xldudf_CX_PUSH(BG52*fxVal_normal,CX_ENTITY,$B52,BG$11,BG$14,BG$44,),""),IF($I52=2,IFBLANK(_xldudf_CX_PUSH(BG52,CX_ENTITY,$B52,BG$11,BG$14,BG$44,),""),IF($I52=3,"",IFBLANK(_xldudf_CX_PUSH(BG52,CX_ENTITY,$B52,BG$11,BG$14,BG$44,),"")))))),"")</f>
        <v/>
      </c>
      <c r="EA52" s="1883" t="str" cm="1">
        <f t="array" ca="1" aca="1" ref="EA52">IFERROR(IF(BH52*fxVal_normal=_CF!BH52,"",IF(OR(BH52="",NOT(ISNUMBER(BH52)),ISERROR(BH52),$B52=""),"",IF($I52=1,IFBLANK(_xldudf_CX_PUSH(BH52*fxVal_normal,CX_ENTITY,$B52,BH$11,BH$14,BH$44,),""),IF($I52=2,IFBLANK(_xldudf_CX_PUSH(BH52,CX_ENTITY,$B52,BH$11,BH$14,BH$44,),""),IF($I52=3,"",IFBLANK(_xldudf_CX_PUSH(BH52,CX_ENTITY,$B52,BH$11,BH$14,BH$44,),"")))))),"")</f>
        <v/>
      </c>
      <c r="EB52" s="1883" t="str" cm="1">
        <f t="array" ca="1" aca="1" ref="EB52">IFERROR(IF(BI52*fxVal_normal=_CF!BI52,"",IF(OR(BI52="",NOT(ISNUMBER(BI52)),ISERROR(BI52),$B52=""),"",IF($I52=1,IFBLANK(_xldudf_CX_PUSH(BI52*fxVal_normal,CX_ENTITY,$B52,BI$11,BI$14,BI$44,),""),IF($I52=2,IFBLANK(_xldudf_CX_PUSH(BI52,CX_ENTITY,$B52,BI$11,BI$14,BI$44,),""),IF($I52=3,"",IFBLANK(_xldudf_CX_PUSH(BI52,CX_ENTITY,$B52,BI$11,BI$14,BI$44,),"")))))),"")</f>
        <v/>
      </c>
      <c r="EC52" s="1883" t="str" cm="1">
        <f t="array" ca="1" aca="1" ref="EC52">IFERROR(IF(BJ52*fxVal_normal=_CF!BJ52,"",IF(OR(BJ52="",NOT(ISNUMBER(BJ52)),ISERROR(BJ52),$B52=""),"",IF($I52=1,IFBLANK(_xldudf_CX_PUSH(BJ52*fxVal_normal,CX_ENTITY,$B52,BJ$11,BJ$14,BJ$44,),""),IF($I52=2,IFBLANK(_xldudf_CX_PUSH(BJ52,CX_ENTITY,$B52,BJ$11,BJ$14,BJ$44,),""),IF($I52=3,"",IFBLANK(_xldudf_CX_PUSH(BJ52,CX_ENTITY,$B52,BJ$11,BJ$14,BJ$44,),"")))))),"")</f>
        <v/>
      </c>
      <c r="ED52" s="1883" t="str" cm="1">
        <f t="array" ca="1" aca="1" ref="ED52">IFERROR(IF(BK52*fxVal_normal=_CF!BK52,"",IF(OR(BK52="",NOT(ISNUMBER(BK52)),ISERROR(BK52),$B52=""),"",IF($I52=1,IFBLANK(_xldudf_CX_PUSH(BK52*fxVal_normal,CX_ENTITY,$B52,BK$11,BK$14,BK$44,),""),IF($I52=2,IFBLANK(_xldudf_CX_PUSH(BK52,CX_ENTITY,$B52,BK$11,BK$14,BK$44,),""),IF($I52=3,"",IFBLANK(_xldudf_CX_PUSH(BK52,CX_ENTITY,$B52,BK$11,BK$14,BK$44,),"")))))),"")</f>
        <v/>
      </c>
      <c r="EE52" s="1883" t="str" cm="1">
        <f t="array" ca="1" aca="1" ref="EE52">IFERROR(IF(BL52*fxVal_normal=_CF!BL52,"",IF(OR(BL52="",NOT(ISNUMBER(BL52)),ISERROR(BL52),$B52=""),"",IF($I52=1,IFBLANK(_xldudf_CX_PUSH(BL52*fxVal_normal,CX_ENTITY,$B52,BL$11,BL$14,BL$44,),""),IF($I52=2,IFBLANK(_xldudf_CX_PUSH(BL52,CX_ENTITY,$B52,BL$11,BL$14,BL$44,),""),IF($I52=3,"",IFBLANK(_xldudf_CX_PUSH(BL52,CX_ENTITY,$B52,BL$11,BL$14,BL$44,),"")))))),"")</f>
        <v/>
      </c>
      <c r="EF52" s="1883" t="str" cm="1">
        <f t="array" ca="1" aca="1" ref="EF52">IFERROR(IF(BM52*fxVal_normal=_CF!BM52,"",IF(OR(BM52="",NOT(ISNUMBER(BM52)),ISERROR(BM52),$B52=""),"",IF($I52=1,IFBLANK(_xldudf_CX_PUSH(BM52*fxVal_normal,CX_ENTITY,$B52,BM$11,BM$14,BM$44,),""),IF($I52=2,IFBLANK(_xldudf_CX_PUSH(BM52,CX_ENTITY,$B52,BM$11,BM$14,BM$44,),""),IF($I52=3,"",IFBLANK(_xldudf_CX_PUSH(BM52,CX_ENTITY,$B52,BM$11,BM$14,BM$44,),"")))))),"")</f>
        <v/>
      </c>
      <c r="EG52" s="1883" t="str" cm="1">
        <f t="array" ca="1" aca="1" ref="EG52">IFERROR(IF(BN52*fxVal_normal=_CF!BN52,"",IF(OR(BN52="",NOT(ISNUMBER(BN52)),ISERROR(BN52),$B52=""),"",IF($I52=1,IFBLANK(_xldudf_CX_PUSH(BN52*fxVal_normal,CX_ENTITY,$B52,BN$11,BN$14,BN$44,),""),IF($I52=2,IFBLANK(_xldudf_CX_PUSH(BN52,CX_ENTITY,$B52,BN$11,BN$14,BN$44,),""),IF($I52=3,"",IFBLANK(_xldudf_CX_PUSH(BN52,CX_ENTITY,$B52,BN$11,BN$14,BN$44,),"")))))),"")</f>
        <v/>
      </c>
    </row>
    <row r="53" spans="1:137" ht="21" customHeight="1">
      <c r="A53" s="1626"/>
      <c r="B53" s="811" t="str" cm="1">
        <f t="array" ref="B53">IFBLANK(_CF!F53,"")</f>
        <v>Unlevered Free Cash Flow (UFCF)</v>
      </c>
      <c r="C53" s="811" t="str" cm="1">
        <f t="array" ref="C53">IFBLANK(_CF!C53,"")</f>
        <v>Unlevered Free Cash Flow (UFCF) (Company View)</v>
      </c>
      <c r="D53" s="1549"/>
      <c r="E53" s="574"/>
      <c r="F53" s="574"/>
      <c r="G53" s="574"/>
      <c r="H53" s="3280">
        <v>2</v>
      </c>
      <c r="I53" s="3280">
        <v>1</v>
      </c>
      <c r="J53" s="401"/>
      <c r="K53" s="401"/>
      <c r="N53" s="158"/>
      <c r="O53" s="101"/>
      <c r="P53" s="52"/>
      <c r="Q53" s="101"/>
      <c r="R53" s="126"/>
      <c r="S53" s="101"/>
      <c r="T53" s="101"/>
      <c r="U53" s="39"/>
      <c r="W53" s="932" t="str">
        <f t="shared" si="8"/>
        <v>Budget</v>
      </c>
      <c r="X53" s="815">
        <f>_CF!X53</f>
        <v>0</v>
      </c>
      <c r="Y53" s="709" t="str">
        <f t="shared" si="6"/>
        <v>UnLevered Free Cash Flow (UFCF)</v>
      </c>
      <c r="Z53" s="198" cm="1">
        <f t="array" ref="Z53">_xlfn.SWITCH(TRUE,_CF!$L53=TRUE,1,_CF!$L53=FALSE,-1,_CF!$L53=-1,0,"n/a")</f>
        <v>0</v>
      </c>
      <c r="AA53" s="200"/>
      <c r="AB53" s="88" t="str">
        <f>_CF!AB53</f>
        <v>Unlevered Free Cash Flow (UFCF)</v>
      </c>
      <c r="AC53" s="88" t="e" vm="5" cm="1">
        <f t="array" ca="1" aca="1" ref="AC53">_xlfn.LET(_xlpm._termname,$AB53,_xlpm._iconname,"find",_xlpm._icon,fx_getIcon(_xlpm._iconname),_xlpm._location,_xlfn.XLOOKUP(LOWER(_xlpm._termname),LOWER(tbl_acctDef[Term]),tbl_acctDef[Term]),_xlpm._hyperlink,HYPERLINK("#"&amp;CELL("address",_xlpm._location),_xlpm._icon),IFERROR(_xlpm._hyperlink,""))</f>
        <v>#VALUE!</v>
      </c>
      <c r="AD53" s="918">
        <f t="shared" si="10" ref="AD53:BN53">IFERROR(SUBTOTAL(9,AD45:AD52),"")</f>
        <v>9</v>
      </c>
      <c r="AE53" s="918">
        <f t="shared" si="10"/>
        <v>9</v>
      </c>
      <c r="AF53" s="918">
        <f t="shared" si="10"/>
        <v>9</v>
      </c>
      <c r="AG53" s="918">
        <f t="shared" si="10"/>
        <v>9</v>
      </c>
      <c r="AH53" s="918">
        <f t="shared" si="10"/>
        <v>9</v>
      </c>
      <c r="AI53" s="918">
        <f t="shared" si="10"/>
        <v>9</v>
      </c>
      <c r="AJ53" s="918">
        <f t="shared" si="10"/>
        <v>9</v>
      </c>
      <c r="AK53" s="918">
        <f t="shared" si="10"/>
        <v>9</v>
      </c>
      <c r="AL53" s="918">
        <f t="shared" si="10"/>
        <v>9</v>
      </c>
      <c r="AM53" s="918">
        <f t="shared" si="10"/>
        <v>9</v>
      </c>
      <c r="AN53" s="918">
        <f t="shared" si="10"/>
        <v>9</v>
      </c>
      <c r="AO53" s="918">
        <f t="shared" si="10"/>
        <v>9</v>
      </c>
      <c r="AP53" s="918">
        <f t="shared" si="10"/>
        <v>9</v>
      </c>
      <c r="AQ53" s="918">
        <f t="shared" si="10"/>
        <v>9</v>
      </c>
      <c r="AR53" s="918">
        <f t="shared" si="10"/>
        <v>9</v>
      </c>
      <c r="AS53" s="918">
        <f t="shared" si="10"/>
        <v>9</v>
      </c>
      <c r="AT53" s="918">
        <f t="shared" si="10"/>
        <v>9</v>
      </c>
      <c r="AU53" s="918">
        <f t="shared" si="10"/>
        <v>9</v>
      </c>
      <c r="AV53" s="918">
        <f t="shared" si="10"/>
        <v>9</v>
      </c>
      <c r="AW53" s="918">
        <f t="shared" si="10"/>
        <v>9</v>
      </c>
      <c r="AX53" s="918">
        <f t="shared" si="10"/>
        <v>9</v>
      </c>
      <c r="AY53" s="918">
        <f t="shared" si="10"/>
        <v>9</v>
      </c>
      <c r="AZ53" s="918">
        <f t="shared" si="10"/>
        <v>9</v>
      </c>
      <c r="BA53" s="918">
        <f t="shared" si="10"/>
        <v>9</v>
      </c>
      <c r="BB53" s="918">
        <f t="shared" si="10"/>
        <v>9</v>
      </c>
      <c r="BC53" s="918">
        <f t="shared" si="10"/>
        <v>9</v>
      </c>
      <c r="BD53" s="918">
        <f t="shared" si="10"/>
        <v>9</v>
      </c>
      <c r="BE53" s="918">
        <f t="shared" si="10"/>
        <v>9</v>
      </c>
      <c r="BF53" s="918">
        <f t="shared" si="10"/>
        <v>9</v>
      </c>
      <c r="BG53" s="918">
        <f t="shared" si="10"/>
        <v>9</v>
      </c>
      <c r="BH53" s="918">
        <f t="shared" si="10"/>
        <v>9</v>
      </c>
      <c r="BI53" s="918">
        <f t="shared" si="10"/>
        <v>9</v>
      </c>
      <c r="BJ53" s="918">
        <f t="shared" si="10"/>
        <v>9</v>
      </c>
      <c r="BK53" s="918">
        <f t="shared" si="10"/>
        <v>9</v>
      </c>
      <c r="BL53" s="918">
        <f t="shared" si="10"/>
        <v>9</v>
      </c>
      <c r="BM53" s="918">
        <f t="shared" si="10"/>
        <v>9</v>
      </c>
      <c r="BN53" s="935">
        <f t="shared" si="10"/>
        <v>9</v>
      </c>
      <c r="BO53" s="2114"/>
      <c r="BP53" s="2114"/>
      <c r="BQ53" s="2114"/>
      <c r="BR53" s="2114"/>
      <c r="BS53" s="2114"/>
      <c r="BT53" s="2114"/>
      <c r="BU53" s="2114"/>
      <c r="BV53" s="2114"/>
      <c r="BW53" s="2114"/>
      <c r="BX53" s="2114"/>
      <c r="BY53" s="2114"/>
      <c r="BZ53" s="2114"/>
      <c r="CA53" s="1330"/>
      <c r="CB53" s="537"/>
      <c r="CC53" s="1484"/>
      <c r="CD53" s="1461" t="e" cm="1">
        <f t="array" ca="1" aca="1" ref="CD53">_xlfn.LET(_xlpm.CheckBlank,SUM(CF!$AD53:$BN53)=0,IF(_xlpm.CheckBlank,"",SUM(_xlfn._xlws.FILTER(CF!$AD53:$BN53,(YEAR(CF!$AD$12:$BN$12)=CF!CD$12)*(array_timeline&lt;=CF!CD$11)))))</f>
        <v>#NAME?</v>
      </c>
      <c r="CE53" s="1461" t="e" cm="1">
        <f t="array" ca="1" aca="1" ref="CE53">_xlfn.LET(_xlpm.CheckBlank,SUM(CF!$AD53:$BN53)=0,IF(_xlpm.CheckBlank,"",SUM(_xlfn._xlws.FILTER(CF!$AD53:$BN53,(YEAR(CF!$AD$12:$BN$12)=CF!CE$12)*(array_timeline&lt;=CF!CE$11)))))</f>
        <v>#NAME?</v>
      </c>
      <c r="CF53" s="1314"/>
      <c r="CG53" s="1461" t="e" cm="1">
        <f t="array" ca="1" aca="1" ref="CG53">_xlfn.LET(_xlpm.CheckBlank,SUM(CF!$AD53:$BN53)=0,IF(_xlpm.CheckBlank,"",SUM(_xlfn._xlws.FILTER(CF!$AD53:$BN53,(YEAR(CF!$AD$12:$BN$12)=CF!CG$12)*(array_timeline&lt;=CF!CG$11)))))</f>
        <v>#NAME?</v>
      </c>
      <c r="CH53" s="1461" t="e" cm="1">
        <f t="array" ca="1" aca="1" ref="CH53">_xlfn.LET(_xlpm.CheckBlank,SUM(CF!$AD53:$BN53)=0,IF(_xlpm.CheckBlank,"",SUM(_xlfn._xlws.FILTER(CF!$AD53:$BN53,(YEAR(CF!$AD$12:$BN$12)=CF!CH$12)*(array_timeline&lt;=CF!CH$11)))))</f>
        <v>#NAME?</v>
      </c>
      <c r="CI53" s="1314"/>
      <c r="CJ53" s="1461" cm="1">
        <f t="array" ref="CJ53">_xlfn.LET(_xlpm.CheckBlank,SUM(CF!$AD53:$BN53)=0,IF(_xlpm.CheckBlank,"",SUM(_xlfn.TAKE(_xlfn.DROP(CF!$AD53:$BN53,,-DATEDIFF(CF!CJ$11,val_asOfDate,"M")),1,-12))))</f>
        <v>108</v>
      </c>
      <c r="CK53" s="1461" cm="1">
        <f t="array" ref="CK53">_xlfn.LET(_xlpm.CheckBlank,SUM(CF!$AD53:$BN53)=0,IF(_xlpm.CheckBlank,"",SUM(_xlfn.TAKE(_xlfn.DROP(CF!$AD53:$BN53,,-DATEDIFF(CF!CK$11,val_asOfDate,"M")),1,-12))))</f>
        <v>108</v>
      </c>
      <c r="CL53" s="1314"/>
      <c r="CM53" s="541" t="str">
        <f t="shared" ca="1" si="7"/>
        <v/>
      </c>
      <c r="CN53" s="541" t="str">
        <f t="shared" ca="1" si="7"/>
        <v/>
      </c>
      <c r="CO53" s="34"/>
      <c r="CW53" s="1883" t="str" cm="1">
        <f t="array" ca="1" aca="1" ref="CW53">IFERROR(IF(AD53*fxVal_normal=_CF!AD53,"",IF(OR(AD53="",NOT(ISNUMBER(AD53)),ISERROR(AD53),$B53=""),"",IF($I53=1,IFBLANK(_xldudf_CX_PUSH(AD53*fxVal_normal,CX_ENTITY,$B53,AD$11,AD$14,AD$44,),""),IF($I53=2,IFBLANK(_xldudf_CX_PUSH(AD53,CX_ENTITY,$B53,AD$11,AD$14,AD$44,),""),IF($I53=3,"",IFBLANK(_xldudf_CX_PUSH(AD53,CX_ENTITY,$B53,AD$11,AD$14,AD$44,),"")))))),"")</f>
        <v/>
      </c>
      <c r="CX53" s="1883" t="str" cm="1">
        <f t="array" ca="1" aca="1" ref="CX53">IFERROR(IF(AE53*fxVal_normal=_CF!AE53,"",IF(OR(AE53="",NOT(ISNUMBER(AE53)),ISERROR(AE53),$B53=""),"",IF($I53=1,IFBLANK(_xldudf_CX_PUSH(AE53*fxVal_normal,CX_ENTITY,$B53,AE$11,AE$14,AE$44,),""),IF($I53=2,IFBLANK(_xldudf_CX_PUSH(AE53,CX_ENTITY,$B53,AE$11,AE$14,AE$44,),""),IF($I53=3,"",IFBLANK(_xldudf_CX_PUSH(AE53,CX_ENTITY,$B53,AE$11,AE$14,AE$44,),"")))))),"")</f>
        <v/>
      </c>
      <c r="CY53" s="1883" t="str" cm="1">
        <f t="array" ca="1" aca="1" ref="CY53">IFERROR(IF(AF53*fxVal_normal=_CF!AF53,"",IF(OR(AF53="",NOT(ISNUMBER(AF53)),ISERROR(AF53),$B53=""),"",IF($I53=1,IFBLANK(_xldudf_CX_PUSH(AF53*fxVal_normal,CX_ENTITY,$B53,AF$11,AF$14,AF$44,),""),IF($I53=2,IFBLANK(_xldudf_CX_PUSH(AF53,CX_ENTITY,$B53,AF$11,AF$14,AF$44,),""),IF($I53=3,"",IFBLANK(_xldudf_CX_PUSH(AF53,CX_ENTITY,$B53,AF$11,AF$14,AF$44,),"")))))),"")</f>
        <v/>
      </c>
      <c r="CZ53" s="1883" t="str" cm="1">
        <f t="array" ca="1" aca="1" ref="CZ53">IFERROR(IF(AG53*fxVal_normal=_CF!AG53,"",IF(OR(AG53="",NOT(ISNUMBER(AG53)),ISERROR(AG53),$B53=""),"",IF($I53=1,IFBLANK(_xldudf_CX_PUSH(AG53*fxVal_normal,CX_ENTITY,$B53,AG$11,AG$14,AG$44,),""),IF($I53=2,IFBLANK(_xldudf_CX_PUSH(AG53,CX_ENTITY,$B53,AG$11,AG$14,AG$44,),""),IF($I53=3,"",IFBLANK(_xldudf_CX_PUSH(AG53,CX_ENTITY,$B53,AG$11,AG$14,AG$44,),"")))))),"")</f>
        <v/>
      </c>
      <c r="DA53" s="1883" t="str" cm="1">
        <f t="array" ca="1" aca="1" ref="DA53">IFERROR(IF(AH53*fxVal_normal=_CF!AH53,"",IF(OR(AH53="",NOT(ISNUMBER(AH53)),ISERROR(AH53),$B53=""),"",IF($I53=1,IFBLANK(_xldudf_CX_PUSH(AH53*fxVal_normal,CX_ENTITY,$B53,AH$11,AH$14,AH$44,),""),IF($I53=2,IFBLANK(_xldudf_CX_PUSH(AH53,CX_ENTITY,$B53,AH$11,AH$14,AH$44,),""),IF($I53=3,"",IFBLANK(_xldudf_CX_PUSH(AH53,CX_ENTITY,$B53,AH$11,AH$14,AH$44,),"")))))),"")</f>
        <v/>
      </c>
      <c r="DB53" s="1883" t="str" cm="1">
        <f t="array" ca="1" aca="1" ref="DB53">IFERROR(IF(AI53*fxVal_normal=_CF!AI53,"",IF(OR(AI53="",NOT(ISNUMBER(AI53)),ISERROR(AI53),$B53=""),"",IF($I53=1,IFBLANK(_xldudf_CX_PUSH(AI53*fxVal_normal,CX_ENTITY,$B53,AI$11,AI$14,AI$44,),""),IF($I53=2,IFBLANK(_xldudf_CX_PUSH(AI53,CX_ENTITY,$B53,AI$11,AI$14,AI$44,),""),IF($I53=3,"",IFBLANK(_xldudf_CX_PUSH(AI53,CX_ENTITY,$B53,AI$11,AI$14,AI$44,),"")))))),"")</f>
        <v/>
      </c>
      <c r="DC53" s="1883" t="str" cm="1">
        <f t="array" ca="1" aca="1" ref="DC53">IFERROR(IF(AJ53*fxVal_normal=_CF!AJ53,"",IF(OR(AJ53="",NOT(ISNUMBER(AJ53)),ISERROR(AJ53),$B53=""),"",IF($I53=1,IFBLANK(_xldudf_CX_PUSH(AJ53*fxVal_normal,CX_ENTITY,$B53,AJ$11,AJ$14,AJ$44,),""),IF($I53=2,IFBLANK(_xldudf_CX_PUSH(AJ53,CX_ENTITY,$B53,AJ$11,AJ$14,AJ$44,),""),IF($I53=3,"",IFBLANK(_xldudf_CX_PUSH(AJ53,CX_ENTITY,$B53,AJ$11,AJ$14,AJ$44,),"")))))),"")</f>
        <v/>
      </c>
      <c r="DD53" s="1883" t="str" cm="1">
        <f t="array" ca="1" aca="1" ref="DD53">IFERROR(IF(AK53*fxVal_normal=_CF!AK53,"",IF(OR(AK53="",NOT(ISNUMBER(AK53)),ISERROR(AK53),$B53=""),"",IF($I53=1,IFBLANK(_xldudf_CX_PUSH(AK53*fxVal_normal,CX_ENTITY,$B53,AK$11,AK$14,AK$44,),""),IF($I53=2,IFBLANK(_xldudf_CX_PUSH(AK53,CX_ENTITY,$B53,AK$11,AK$14,AK$44,),""),IF($I53=3,"",IFBLANK(_xldudf_CX_PUSH(AK53,CX_ENTITY,$B53,AK$11,AK$14,AK$44,),"")))))),"")</f>
        <v/>
      </c>
      <c r="DE53" s="1883" t="str" cm="1">
        <f t="array" ca="1" aca="1" ref="DE53">IFERROR(IF(AL53*fxVal_normal=_CF!AL53,"",IF(OR(AL53="",NOT(ISNUMBER(AL53)),ISERROR(AL53),$B53=""),"",IF($I53=1,IFBLANK(_xldudf_CX_PUSH(AL53*fxVal_normal,CX_ENTITY,$B53,AL$11,AL$14,AL$44,),""),IF($I53=2,IFBLANK(_xldudf_CX_PUSH(AL53,CX_ENTITY,$B53,AL$11,AL$14,AL$44,),""),IF($I53=3,"",IFBLANK(_xldudf_CX_PUSH(AL53,CX_ENTITY,$B53,AL$11,AL$14,AL$44,),"")))))),"")</f>
        <v/>
      </c>
      <c r="DF53" s="1883" t="str" cm="1">
        <f t="array" ca="1" aca="1" ref="DF53">IFERROR(IF(AM53*fxVal_normal=_CF!AM53,"",IF(OR(AM53="",NOT(ISNUMBER(AM53)),ISERROR(AM53),$B53=""),"",IF($I53=1,IFBLANK(_xldudf_CX_PUSH(AM53*fxVal_normal,CX_ENTITY,$B53,AM$11,AM$14,AM$44,),""),IF($I53=2,IFBLANK(_xldudf_CX_PUSH(AM53,CX_ENTITY,$B53,AM$11,AM$14,AM$44,),""),IF($I53=3,"",IFBLANK(_xldudf_CX_PUSH(AM53,CX_ENTITY,$B53,AM$11,AM$14,AM$44,),"")))))),"")</f>
        <v/>
      </c>
      <c r="DG53" s="1883" t="str" cm="1">
        <f t="array" ca="1" aca="1" ref="DG53">IFERROR(IF(AN53*fxVal_normal=_CF!AN53,"",IF(OR(AN53="",NOT(ISNUMBER(AN53)),ISERROR(AN53),$B53=""),"",IF($I53=1,IFBLANK(_xldudf_CX_PUSH(AN53*fxVal_normal,CX_ENTITY,$B53,AN$11,AN$14,AN$44,),""),IF($I53=2,IFBLANK(_xldudf_CX_PUSH(AN53,CX_ENTITY,$B53,AN$11,AN$14,AN$44,),""),IF($I53=3,"",IFBLANK(_xldudf_CX_PUSH(AN53,CX_ENTITY,$B53,AN$11,AN$14,AN$44,),"")))))),"")</f>
        <v/>
      </c>
      <c r="DH53" s="1883" t="str" cm="1">
        <f t="array" ca="1" aca="1" ref="DH53">IFERROR(IF(AO53*fxVal_normal=_CF!AO53,"",IF(OR(AO53="",NOT(ISNUMBER(AO53)),ISERROR(AO53),$B53=""),"",IF($I53=1,IFBLANK(_xldudf_CX_PUSH(AO53*fxVal_normal,CX_ENTITY,$B53,AO$11,AO$14,AO$44,),""),IF($I53=2,IFBLANK(_xldudf_CX_PUSH(AO53,CX_ENTITY,$B53,AO$11,AO$14,AO$44,),""),IF($I53=3,"",IFBLANK(_xldudf_CX_PUSH(AO53,CX_ENTITY,$B53,AO$11,AO$14,AO$44,),"")))))),"")</f>
        <v/>
      </c>
      <c r="DI53" s="1883" t="str" cm="1">
        <f t="array" ca="1" aca="1" ref="DI53">IFERROR(IF(AP53*fxVal_normal=_CF!AP53,"",IF(OR(AP53="",NOT(ISNUMBER(AP53)),ISERROR(AP53),$B53=""),"",IF($I53=1,IFBLANK(_xldudf_CX_PUSH(AP53*fxVal_normal,CX_ENTITY,$B53,AP$11,AP$14,AP$44,),""),IF($I53=2,IFBLANK(_xldudf_CX_PUSH(AP53,CX_ENTITY,$B53,AP$11,AP$14,AP$44,),""),IF($I53=3,"",IFBLANK(_xldudf_CX_PUSH(AP53,CX_ENTITY,$B53,AP$11,AP$14,AP$44,),"")))))),"")</f>
        <v/>
      </c>
      <c r="DJ53" s="1883" t="str" cm="1">
        <f t="array" ca="1" aca="1" ref="DJ53">IFERROR(IF(AQ53*fxVal_normal=_CF!AQ53,"",IF(OR(AQ53="",NOT(ISNUMBER(AQ53)),ISERROR(AQ53),$B53=""),"",IF($I53=1,IFBLANK(_xldudf_CX_PUSH(AQ53*fxVal_normal,CX_ENTITY,$B53,AQ$11,AQ$14,AQ$44,),""),IF($I53=2,IFBLANK(_xldudf_CX_PUSH(AQ53,CX_ENTITY,$B53,AQ$11,AQ$14,AQ$44,),""),IF($I53=3,"",IFBLANK(_xldudf_CX_PUSH(AQ53,CX_ENTITY,$B53,AQ$11,AQ$14,AQ$44,),"")))))),"")</f>
        <v/>
      </c>
      <c r="DK53" s="1883" t="str" cm="1">
        <f t="array" ca="1" aca="1" ref="DK53">IFERROR(IF(AR53*fxVal_normal=_CF!AR53,"",IF(OR(AR53="",NOT(ISNUMBER(AR53)),ISERROR(AR53),$B53=""),"",IF($I53=1,IFBLANK(_xldudf_CX_PUSH(AR53*fxVal_normal,CX_ENTITY,$B53,AR$11,AR$14,AR$44,),""),IF($I53=2,IFBLANK(_xldudf_CX_PUSH(AR53,CX_ENTITY,$B53,AR$11,AR$14,AR$44,),""),IF($I53=3,"",IFBLANK(_xldudf_CX_PUSH(AR53,CX_ENTITY,$B53,AR$11,AR$14,AR$44,),"")))))),"")</f>
        <v/>
      </c>
      <c r="DL53" s="1883" t="str" cm="1">
        <f t="array" ca="1" aca="1" ref="DL53">IFERROR(IF(AS53*fxVal_normal=_CF!AS53,"",IF(OR(AS53="",NOT(ISNUMBER(AS53)),ISERROR(AS53),$B53=""),"",IF($I53=1,IFBLANK(_xldudf_CX_PUSH(AS53*fxVal_normal,CX_ENTITY,$B53,AS$11,AS$14,AS$44,),""),IF($I53=2,IFBLANK(_xldudf_CX_PUSH(AS53,CX_ENTITY,$B53,AS$11,AS$14,AS$44,),""),IF($I53=3,"",IFBLANK(_xldudf_CX_PUSH(AS53,CX_ENTITY,$B53,AS$11,AS$14,AS$44,),"")))))),"")</f>
        <v/>
      </c>
      <c r="DM53" s="1883" t="str" cm="1">
        <f t="array" ca="1" aca="1" ref="DM53">IFERROR(IF(AT53*fxVal_normal=_CF!AT53,"",IF(OR(AT53="",NOT(ISNUMBER(AT53)),ISERROR(AT53),$B53=""),"",IF($I53=1,IFBLANK(_xldudf_CX_PUSH(AT53*fxVal_normal,CX_ENTITY,$B53,AT$11,AT$14,AT$44,),""),IF($I53=2,IFBLANK(_xldudf_CX_PUSH(AT53,CX_ENTITY,$B53,AT$11,AT$14,AT$44,),""),IF($I53=3,"",IFBLANK(_xldudf_CX_PUSH(AT53,CX_ENTITY,$B53,AT$11,AT$14,AT$44,),"")))))),"")</f>
        <v/>
      </c>
      <c r="DN53" s="1883" t="str" cm="1">
        <f t="array" ca="1" aca="1" ref="DN53">IFERROR(IF(AU53*fxVal_normal=_CF!AU53,"",IF(OR(AU53="",NOT(ISNUMBER(AU53)),ISERROR(AU53),$B53=""),"",IF($I53=1,IFBLANK(_xldudf_CX_PUSH(AU53*fxVal_normal,CX_ENTITY,$B53,AU$11,AU$14,AU$44,),""),IF($I53=2,IFBLANK(_xldudf_CX_PUSH(AU53,CX_ENTITY,$B53,AU$11,AU$14,AU$44,),""),IF($I53=3,"",IFBLANK(_xldudf_CX_PUSH(AU53,CX_ENTITY,$B53,AU$11,AU$14,AU$44,),"")))))),"")</f>
        <v/>
      </c>
      <c r="DO53" s="1883" t="str" cm="1">
        <f t="array" ca="1" aca="1" ref="DO53">IFERROR(IF(AV53*fxVal_normal=_CF!AV53,"",IF(OR(AV53="",NOT(ISNUMBER(AV53)),ISERROR(AV53),$B53=""),"",IF($I53=1,IFBLANK(_xldudf_CX_PUSH(AV53*fxVal_normal,CX_ENTITY,$B53,AV$11,AV$14,AV$44,),""),IF($I53=2,IFBLANK(_xldudf_CX_PUSH(AV53,CX_ENTITY,$B53,AV$11,AV$14,AV$44,),""),IF($I53=3,"",IFBLANK(_xldudf_CX_PUSH(AV53,CX_ENTITY,$B53,AV$11,AV$14,AV$44,),"")))))),"")</f>
        <v/>
      </c>
      <c r="DP53" s="1883" t="str" cm="1">
        <f t="array" ca="1" aca="1" ref="DP53">IFERROR(IF(AW53*fxVal_normal=_CF!AW53,"",IF(OR(AW53="",NOT(ISNUMBER(AW53)),ISERROR(AW53),$B53=""),"",IF($I53=1,IFBLANK(_xldudf_CX_PUSH(AW53*fxVal_normal,CX_ENTITY,$B53,AW$11,AW$14,AW$44,),""),IF($I53=2,IFBLANK(_xldudf_CX_PUSH(AW53,CX_ENTITY,$B53,AW$11,AW$14,AW$44,),""),IF($I53=3,"",IFBLANK(_xldudf_CX_PUSH(AW53,CX_ENTITY,$B53,AW$11,AW$14,AW$44,),"")))))),"")</f>
        <v/>
      </c>
      <c r="DQ53" s="1883" t="str" cm="1">
        <f t="array" ca="1" aca="1" ref="DQ53">IFERROR(IF(AX53*fxVal_normal=_CF!AX53,"",IF(OR(AX53="",NOT(ISNUMBER(AX53)),ISERROR(AX53),$B53=""),"",IF($I53=1,IFBLANK(_xldudf_CX_PUSH(AX53*fxVal_normal,CX_ENTITY,$B53,AX$11,AX$14,AX$44,),""),IF($I53=2,IFBLANK(_xldudf_CX_PUSH(AX53,CX_ENTITY,$B53,AX$11,AX$14,AX$44,),""),IF($I53=3,"",IFBLANK(_xldudf_CX_PUSH(AX53,CX_ENTITY,$B53,AX$11,AX$14,AX$44,),"")))))),"")</f>
        <v/>
      </c>
      <c r="DR53" s="1883" t="str" cm="1">
        <f t="array" ca="1" aca="1" ref="DR53">IFERROR(IF(AY53*fxVal_normal=_CF!AY53,"",IF(OR(AY53="",NOT(ISNUMBER(AY53)),ISERROR(AY53),$B53=""),"",IF($I53=1,IFBLANK(_xldudf_CX_PUSH(AY53*fxVal_normal,CX_ENTITY,$B53,AY$11,AY$14,AY$44,),""),IF($I53=2,IFBLANK(_xldudf_CX_PUSH(AY53,CX_ENTITY,$B53,AY$11,AY$14,AY$44,),""),IF($I53=3,"",IFBLANK(_xldudf_CX_PUSH(AY53,CX_ENTITY,$B53,AY$11,AY$14,AY$44,),"")))))),"")</f>
        <v/>
      </c>
      <c r="DS53" s="1883" t="str" cm="1">
        <f t="array" ca="1" aca="1" ref="DS53">IFERROR(IF(AZ53*fxVal_normal=_CF!AZ53,"",IF(OR(AZ53="",NOT(ISNUMBER(AZ53)),ISERROR(AZ53),$B53=""),"",IF($I53=1,IFBLANK(_xldudf_CX_PUSH(AZ53*fxVal_normal,CX_ENTITY,$B53,AZ$11,AZ$14,AZ$44,),""),IF($I53=2,IFBLANK(_xldudf_CX_PUSH(AZ53,CX_ENTITY,$B53,AZ$11,AZ$14,AZ$44,),""),IF($I53=3,"",IFBLANK(_xldudf_CX_PUSH(AZ53,CX_ENTITY,$B53,AZ$11,AZ$14,AZ$44,),"")))))),"")</f>
        <v/>
      </c>
      <c r="DT53" s="1883" t="str" cm="1">
        <f t="array" ca="1" aca="1" ref="DT53">IFERROR(IF(BA53*fxVal_normal=_CF!BA53,"",IF(OR(BA53="",NOT(ISNUMBER(BA53)),ISERROR(BA53),$B53=""),"",IF($I53=1,IFBLANK(_xldudf_CX_PUSH(BA53*fxVal_normal,CX_ENTITY,$B53,BA$11,BA$14,BA$44,),""),IF($I53=2,IFBLANK(_xldudf_CX_PUSH(BA53,CX_ENTITY,$B53,BA$11,BA$14,BA$44,),""),IF($I53=3,"",IFBLANK(_xldudf_CX_PUSH(BA53,CX_ENTITY,$B53,BA$11,BA$14,BA$44,),"")))))),"")</f>
        <v/>
      </c>
      <c r="DU53" s="1883" t="str" cm="1">
        <f t="array" ca="1" aca="1" ref="DU53">IFERROR(IF(BB53*fxVal_normal=_CF!BB53,"",IF(OR(BB53="",NOT(ISNUMBER(BB53)),ISERROR(BB53),$B53=""),"",IF($I53=1,IFBLANK(_xldudf_CX_PUSH(BB53*fxVal_normal,CX_ENTITY,$B53,BB$11,BB$14,BB$44,),""),IF($I53=2,IFBLANK(_xldudf_CX_PUSH(BB53,CX_ENTITY,$B53,BB$11,BB$14,BB$44,),""),IF($I53=3,"",IFBLANK(_xldudf_CX_PUSH(BB53,CX_ENTITY,$B53,BB$11,BB$14,BB$44,),"")))))),"")</f>
        <v/>
      </c>
      <c r="DV53" s="1883" t="str" cm="1">
        <f t="array" ca="1" aca="1" ref="DV53">IFERROR(IF(BC53*fxVal_normal=_CF!BC53,"",IF(OR(BC53="",NOT(ISNUMBER(BC53)),ISERROR(BC53),$B53=""),"",IF($I53=1,IFBLANK(_xldudf_CX_PUSH(BC53*fxVal_normal,CX_ENTITY,$B53,BC$11,BC$14,BC$44,),""),IF($I53=2,IFBLANK(_xldudf_CX_PUSH(BC53,CX_ENTITY,$B53,BC$11,BC$14,BC$44,),""),IF($I53=3,"",IFBLANK(_xldudf_CX_PUSH(BC53,CX_ENTITY,$B53,BC$11,BC$14,BC$44,),"")))))),"")</f>
        <v/>
      </c>
      <c r="DW53" s="1883" t="str" cm="1">
        <f t="array" ca="1" aca="1" ref="DW53">IFERROR(IF(BD53*fxVal_normal=_CF!BD53,"",IF(OR(BD53="",NOT(ISNUMBER(BD53)),ISERROR(BD53),$B53=""),"",IF($I53=1,IFBLANK(_xldudf_CX_PUSH(BD53*fxVal_normal,CX_ENTITY,$B53,BD$11,BD$14,BD$44,),""),IF($I53=2,IFBLANK(_xldudf_CX_PUSH(BD53,CX_ENTITY,$B53,BD$11,BD$14,BD$44,),""),IF($I53=3,"",IFBLANK(_xldudf_CX_PUSH(BD53,CX_ENTITY,$B53,BD$11,BD$14,BD$44,),"")))))),"")</f>
        <v/>
      </c>
      <c r="DX53" s="1883" t="str" cm="1">
        <f t="array" ca="1" aca="1" ref="DX53">IFERROR(IF(BE53*fxVal_normal=_CF!BE53,"",IF(OR(BE53="",NOT(ISNUMBER(BE53)),ISERROR(BE53),$B53=""),"",IF($I53=1,IFBLANK(_xldudf_CX_PUSH(BE53*fxVal_normal,CX_ENTITY,$B53,BE$11,BE$14,BE$44,),""),IF($I53=2,IFBLANK(_xldudf_CX_PUSH(BE53,CX_ENTITY,$B53,BE$11,BE$14,BE$44,),""),IF($I53=3,"",IFBLANK(_xldudf_CX_PUSH(BE53,CX_ENTITY,$B53,BE$11,BE$14,BE$44,),"")))))),"")</f>
        <v/>
      </c>
      <c r="DY53" s="1883" t="str" cm="1">
        <f t="array" ca="1" aca="1" ref="DY53">IFERROR(IF(BF53*fxVal_normal=_CF!BF53,"",IF(OR(BF53="",NOT(ISNUMBER(BF53)),ISERROR(BF53),$B53=""),"",IF($I53=1,IFBLANK(_xldudf_CX_PUSH(BF53*fxVal_normal,CX_ENTITY,$B53,BF$11,BF$14,BF$44,),""),IF($I53=2,IFBLANK(_xldudf_CX_PUSH(BF53,CX_ENTITY,$B53,BF$11,BF$14,BF$44,),""),IF($I53=3,"",IFBLANK(_xldudf_CX_PUSH(BF53,CX_ENTITY,$B53,BF$11,BF$14,BF$44,),"")))))),"")</f>
        <v/>
      </c>
      <c r="DZ53" s="1883" t="str" cm="1">
        <f t="array" ca="1" aca="1" ref="DZ53">IFERROR(IF(BG53*fxVal_normal=_CF!BG53,"",IF(OR(BG53="",NOT(ISNUMBER(BG53)),ISERROR(BG53),$B53=""),"",IF($I53=1,IFBLANK(_xldudf_CX_PUSH(BG53*fxVal_normal,CX_ENTITY,$B53,BG$11,BG$14,BG$44,),""),IF($I53=2,IFBLANK(_xldudf_CX_PUSH(BG53,CX_ENTITY,$B53,BG$11,BG$14,BG$44,),""),IF($I53=3,"",IFBLANK(_xldudf_CX_PUSH(BG53,CX_ENTITY,$B53,BG$11,BG$14,BG$44,),"")))))),"")</f>
        <v/>
      </c>
      <c r="EA53" s="1883" t="str" cm="1">
        <f t="array" ca="1" aca="1" ref="EA53">IFERROR(IF(BH53*fxVal_normal=_CF!BH53,"",IF(OR(BH53="",NOT(ISNUMBER(BH53)),ISERROR(BH53),$B53=""),"",IF($I53=1,IFBLANK(_xldudf_CX_PUSH(BH53*fxVal_normal,CX_ENTITY,$B53,BH$11,BH$14,BH$44,),""),IF($I53=2,IFBLANK(_xldudf_CX_PUSH(BH53,CX_ENTITY,$B53,BH$11,BH$14,BH$44,),""),IF($I53=3,"",IFBLANK(_xldudf_CX_PUSH(BH53,CX_ENTITY,$B53,BH$11,BH$14,BH$44,),"")))))),"")</f>
        <v/>
      </c>
      <c r="EB53" s="1883" t="str" cm="1">
        <f t="array" ca="1" aca="1" ref="EB53">IFERROR(IF(BI53*fxVal_normal=_CF!BI53,"",IF(OR(BI53="",NOT(ISNUMBER(BI53)),ISERROR(BI53),$B53=""),"",IF($I53=1,IFBLANK(_xldudf_CX_PUSH(BI53*fxVal_normal,CX_ENTITY,$B53,BI$11,BI$14,BI$44,),""),IF($I53=2,IFBLANK(_xldudf_CX_PUSH(BI53,CX_ENTITY,$B53,BI$11,BI$14,BI$44,),""),IF($I53=3,"",IFBLANK(_xldudf_CX_PUSH(BI53,CX_ENTITY,$B53,BI$11,BI$14,BI$44,),"")))))),"")</f>
        <v/>
      </c>
      <c r="EC53" s="1883" t="str" cm="1">
        <f t="array" ca="1" aca="1" ref="EC53">IFERROR(IF(BJ53*fxVal_normal=_CF!BJ53,"",IF(OR(BJ53="",NOT(ISNUMBER(BJ53)),ISERROR(BJ53),$B53=""),"",IF($I53=1,IFBLANK(_xldudf_CX_PUSH(BJ53*fxVal_normal,CX_ENTITY,$B53,BJ$11,BJ$14,BJ$44,),""),IF($I53=2,IFBLANK(_xldudf_CX_PUSH(BJ53,CX_ENTITY,$B53,BJ$11,BJ$14,BJ$44,),""),IF($I53=3,"",IFBLANK(_xldudf_CX_PUSH(BJ53,CX_ENTITY,$B53,BJ$11,BJ$14,BJ$44,),"")))))),"")</f>
        <v/>
      </c>
      <c r="ED53" s="1883" t="str" cm="1">
        <f t="array" ca="1" aca="1" ref="ED53">IFERROR(IF(BK53*fxVal_normal=_CF!BK53,"",IF(OR(BK53="",NOT(ISNUMBER(BK53)),ISERROR(BK53),$B53=""),"",IF($I53=1,IFBLANK(_xldudf_CX_PUSH(BK53*fxVal_normal,CX_ENTITY,$B53,BK$11,BK$14,BK$44,),""),IF($I53=2,IFBLANK(_xldudf_CX_PUSH(BK53,CX_ENTITY,$B53,BK$11,BK$14,BK$44,),""),IF($I53=3,"",IFBLANK(_xldudf_CX_PUSH(BK53,CX_ENTITY,$B53,BK$11,BK$14,BK$44,),"")))))),"")</f>
        <v/>
      </c>
      <c r="EE53" s="1883" t="str" cm="1">
        <f t="array" ca="1" aca="1" ref="EE53">IFERROR(IF(BL53*fxVal_normal=_CF!BL53,"",IF(OR(BL53="",NOT(ISNUMBER(BL53)),ISERROR(BL53),$B53=""),"",IF($I53=1,IFBLANK(_xldudf_CX_PUSH(BL53*fxVal_normal,CX_ENTITY,$B53,BL$11,BL$14,BL$44,),""),IF($I53=2,IFBLANK(_xldudf_CX_PUSH(BL53,CX_ENTITY,$B53,BL$11,BL$14,BL$44,),""),IF($I53=3,"",IFBLANK(_xldudf_CX_PUSH(BL53,CX_ENTITY,$B53,BL$11,BL$14,BL$44,),"")))))),"")</f>
        <v/>
      </c>
      <c r="EF53" s="1883" t="str" cm="1">
        <f t="array" ca="1" aca="1" ref="EF53">IFERROR(IF(BM53*fxVal_normal=_CF!BM53,"",IF(OR(BM53="",NOT(ISNUMBER(BM53)),ISERROR(BM53),$B53=""),"",IF($I53=1,IFBLANK(_xldudf_CX_PUSH(BM53*fxVal_normal,CX_ENTITY,$B53,BM$11,BM$14,BM$44,),""),IF($I53=2,IFBLANK(_xldudf_CX_PUSH(BM53,CX_ENTITY,$B53,BM$11,BM$14,BM$44,),""),IF($I53=3,"",IFBLANK(_xldudf_CX_PUSH(BM53,CX_ENTITY,$B53,BM$11,BM$14,BM$44,),"")))))),"")</f>
        <v/>
      </c>
      <c r="EG53" s="1883" t="str" cm="1">
        <f t="array" ca="1" aca="1" ref="EG53">IFERROR(IF(BN53*fxVal_normal=_CF!BN53,"",IF(OR(BN53="",NOT(ISNUMBER(BN53)),ISERROR(BN53),$B53=""),"",IF($I53=1,IFBLANK(_xldudf_CX_PUSH(BN53*fxVal_normal,CX_ENTITY,$B53,BN$11,BN$14,BN$44,),""),IF($I53=2,IFBLANK(_xldudf_CX_PUSH(BN53,CX_ENTITY,$B53,BN$11,BN$14,BN$44,),""),IF($I53=3,"",IFBLANK(_xldudf_CX_PUSH(BN53,CX_ENTITY,$B53,BN$11,BN$14,BN$44,),"")))))),"")</f>
        <v/>
      </c>
    </row>
    <row r="54" spans="1:137" ht="21" customHeight="1">
      <c r="A54" s="1626"/>
      <c r="B54" s="811" t="str" cm="1">
        <f t="array" ref="B54">IFBLANK(_CF!F54,"")</f>
        <v>Cash Interest Expense (CIE)</v>
      </c>
      <c r="C54" s="811" t="str" cm="1">
        <f t="array" ref="C54">IFBLANK(_CF!C54,"")</f>
        <v>Cash Interest Expense (CIE) (Company View)</v>
      </c>
      <c r="D54" s="1549"/>
      <c r="E54" s="574"/>
      <c r="F54" s="574"/>
      <c r="G54" s="574"/>
      <c r="H54" s="401">
        <v>0</v>
      </c>
      <c r="I54" s="3280">
        <v>1</v>
      </c>
      <c r="J54" s="401"/>
      <c r="K54" s="401"/>
      <c r="N54" s="158"/>
      <c r="O54" s="101"/>
      <c r="P54" s="52"/>
      <c r="Q54" s="101"/>
      <c r="R54" s="126"/>
      <c r="S54" s="101"/>
      <c r="T54" s="101"/>
      <c r="U54" s="39"/>
      <c r="W54" s="932" t="str">
        <f t="shared" si="8"/>
        <v>Budget</v>
      </c>
      <c r="X54" s="815">
        <f>_CF!X54</f>
        <v>-1</v>
      </c>
      <c r="Y54" s="3192">
        <f t="shared" si="6"/>
        <v>2</v>
      </c>
      <c r="Z54" s="3291" cm="1">
        <f t="array" ref="Z54">_xlfn.SWITCH(TRUE,_CF!$L54=TRUE,1,_CF!$L54=FALSE,-1,_CF!$L54=-1,0,"n/a")</f>
        <v>1</v>
      </c>
      <c r="AA54" s="200"/>
      <c r="AB54" s="88" t="str">
        <f>_CF!AB54</f>
        <v>Cash Interest Expense (CIE)</v>
      </c>
      <c r="AC54" s="88" t="e" vm="5" cm="1">
        <f t="array" ca="1" aca="1" ref="AC54">_xlfn.LET(_xlpm._termname,$AB54,_xlpm._iconname,"find",_xlpm._icon,fx_getIcon(_xlpm._iconname),_xlpm._location,_xlfn.XLOOKUP(LOWER(_xlpm._termname),LOWER(tbl_acctDef[Term]),tbl_acctDef[Term]),_xlpm._hyperlink,HYPERLINK("#"&amp;CELL("address",_xlpm._location),_xlpm._icon),IFERROR(_xlpm._hyperlink,""))</f>
        <v>#VALUE!</v>
      </c>
      <c r="AD54" s="3232">
        <v>1</v>
      </c>
      <c r="AE54" s="3232">
        <v>1</v>
      </c>
      <c r="AF54" s="3232">
        <v>1</v>
      </c>
      <c r="AG54" s="3232">
        <v>1</v>
      </c>
      <c r="AH54" s="3232">
        <v>1</v>
      </c>
      <c r="AI54" s="3232">
        <v>1</v>
      </c>
      <c r="AJ54" s="3232">
        <v>1</v>
      </c>
      <c r="AK54" s="3232">
        <v>1</v>
      </c>
      <c r="AL54" s="3232">
        <v>1</v>
      </c>
      <c r="AM54" s="3232">
        <v>1</v>
      </c>
      <c r="AN54" s="3232">
        <v>1</v>
      </c>
      <c r="AO54" s="3232">
        <v>1</v>
      </c>
      <c r="AP54" s="3232">
        <v>1</v>
      </c>
      <c r="AQ54" s="3232">
        <v>1</v>
      </c>
      <c r="AR54" s="3232">
        <v>1</v>
      </c>
      <c r="AS54" s="3232">
        <v>1</v>
      </c>
      <c r="AT54" s="3232">
        <v>1</v>
      </c>
      <c r="AU54" s="3232">
        <v>1</v>
      </c>
      <c r="AV54" s="3232">
        <v>1</v>
      </c>
      <c r="AW54" s="3232">
        <v>1</v>
      </c>
      <c r="AX54" s="3232">
        <v>1</v>
      </c>
      <c r="AY54" s="3232">
        <v>1</v>
      </c>
      <c r="AZ54" s="3232">
        <v>1</v>
      </c>
      <c r="BA54" s="3232">
        <v>1</v>
      </c>
      <c r="BB54" s="3232">
        <v>1</v>
      </c>
      <c r="BC54" s="3232">
        <v>1</v>
      </c>
      <c r="BD54" s="3232">
        <v>1</v>
      </c>
      <c r="BE54" s="3232">
        <v>1</v>
      </c>
      <c r="BF54" s="3232">
        <v>1</v>
      </c>
      <c r="BG54" s="3232">
        <v>1</v>
      </c>
      <c r="BH54" s="3232">
        <v>1</v>
      </c>
      <c r="BI54" s="3232">
        <v>1</v>
      </c>
      <c r="BJ54" s="3232">
        <v>1</v>
      </c>
      <c r="BK54" s="3232">
        <v>1</v>
      </c>
      <c r="BL54" s="3232">
        <v>1</v>
      </c>
      <c r="BM54" s="3232">
        <v>1</v>
      </c>
      <c r="BN54" s="3232">
        <v>1</v>
      </c>
      <c r="BO54" s="2115"/>
      <c r="BP54" s="2115"/>
      <c r="BQ54" s="2115"/>
      <c r="BR54" s="2115"/>
      <c r="BS54" s="2115"/>
      <c r="BT54" s="2115"/>
      <c r="BU54" s="2115"/>
      <c r="BV54" s="2115"/>
      <c r="BW54" s="2115"/>
      <c r="BX54" s="2115"/>
      <c r="BY54" s="2115"/>
      <c r="BZ54" s="2115"/>
      <c r="CA54" s="1330"/>
      <c r="CB54" s="537"/>
      <c r="CC54" s="1484"/>
      <c r="CD54" s="1461" t="e" cm="1">
        <f t="array" ca="1" aca="1" ref="CD54">_xlfn.LET(_xlpm.CheckBlank,SUM(CF!$AD54:$BN54)=0,IF(_xlpm.CheckBlank,"",SUM(_xlfn._xlws.FILTER(CF!$AD54:$BN54,(YEAR(CF!$AD$12:$BN$12)=CF!CD$12)*(array_timeline&lt;=CF!CD$11)))))</f>
        <v>#NAME?</v>
      </c>
      <c r="CE54" s="1461" t="e" cm="1">
        <f t="array" ca="1" aca="1" ref="CE54">_xlfn.LET(_xlpm.CheckBlank,SUM(CF!$AD54:$BN54)=0,IF(_xlpm.CheckBlank,"",SUM(_xlfn._xlws.FILTER(CF!$AD54:$BN54,(YEAR(CF!$AD$12:$BN$12)=CF!CE$12)*(array_timeline&lt;=CF!CE$11)))))</f>
        <v>#NAME?</v>
      </c>
      <c r="CF54" s="1314"/>
      <c r="CG54" s="1461" t="e" cm="1">
        <f t="array" ca="1" aca="1" ref="CG54">_xlfn.LET(_xlpm.CheckBlank,SUM(CF!$AD54:$BN54)=0,IF(_xlpm.CheckBlank,"",SUM(_xlfn._xlws.FILTER(CF!$AD54:$BN54,(YEAR(CF!$AD$12:$BN$12)=CF!CG$12)*(array_timeline&lt;=CF!CG$11)))))</f>
        <v>#NAME?</v>
      </c>
      <c r="CH54" s="1461" t="e" cm="1">
        <f t="array" ca="1" aca="1" ref="CH54">_xlfn.LET(_xlpm.CheckBlank,SUM(CF!$AD54:$BN54)=0,IF(_xlpm.CheckBlank,"",SUM(_xlfn._xlws.FILTER(CF!$AD54:$BN54,(YEAR(CF!$AD$12:$BN$12)=CF!CH$12)*(array_timeline&lt;=CF!CH$11)))))</f>
        <v>#NAME?</v>
      </c>
      <c r="CI54" s="1314"/>
      <c r="CJ54" s="1461" cm="1">
        <f t="array" ref="CJ54">_xlfn.LET(_xlpm.CheckBlank,SUM(CF!$AD54:$BN54)=0,IF(_xlpm.CheckBlank,"",SUM(_xlfn.TAKE(_xlfn.DROP(CF!$AD54:$BN54,,-DATEDIFF(CF!CJ$11,val_asOfDate,"M")),1,-12))))</f>
        <v>12</v>
      </c>
      <c r="CK54" s="1461" cm="1">
        <f t="array" ref="CK54">_xlfn.LET(_xlpm.CheckBlank,SUM(CF!$AD54:$BN54)=0,IF(_xlpm.CheckBlank,"",SUM(_xlfn.TAKE(_xlfn.DROP(CF!$AD54:$BN54,,-DATEDIFF(CF!CK$11,val_asOfDate,"M")),1,-12))))</f>
        <v>12</v>
      </c>
      <c r="CL54" s="1314"/>
      <c r="CM54" s="541" t="e">
        <f t="shared" ca="1" si="7"/>
        <v>#NAME?</v>
      </c>
      <c r="CN54" s="541" t="e">
        <f t="shared" ca="1" si="7"/>
        <v>#NAME?</v>
      </c>
      <c r="CO54" s="34"/>
      <c r="CW54" s="1883" t="str" cm="1">
        <f t="array" ca="1" aca="1" ref="CW54">IFERROR(IF(AD54*fxVal_normal=_CF!AD54,"",IF(OR(AD54="",NOT(ISNUMBER(AD54)),ISERROR(AD54),$B54=""),"",IF($I54=1,IFBLANK(_xldudf_CX_PUSH(AD54*fxVal_normal,CX_ENTITY,$B54,AD$11,AD$14,AD$44,),""),IF($I54=2,IFBLANK(_xldudf_CX_PUSH(AD54,CX_ENTITY,$B54,AD$11,AD$14,AD$44,),""),IF($I54=3,"",IFBLANK(_xldudf_CX_PUSH(AD54,CX_ENTITY,$B54,AD$11,AD$14,AD$44,),"")))))),"")</f>
        <v/>
      </c>
      <c r="CX54" s="1883" t="str" cm="1">
        <f t="array" ca="1" aca="1" ref="CX54">IFERROR(IF(AE54*fxVal_normal=_CF!AE54,"",IF(OR(AE54="",NOT(ISNUMBER(AE54)),ISERROR(AE54),$B54=""),"",IF($I54=1,IFBLANK(_xldudf_CX_PUSH(AE54*fxVal_normal,CX_ENTITY,$B54,AE$11,AE$14,AE$44,),""),IF($I54=2,IFBLANK(_xldudf_CX_PUSH(AE54,CX_ENTITY,$B54,AE$11,AE$14,AE$44,),""),IF($I54=3,"",IFBLANK(_xldudf_CX_PUSH(AE54,CX_ENTITY,$B54,AE$11,AE$14,AE$44,),"")))))),"")</f>
        <v/>
      </c>
      <c r="CY54" s="1883" t="str" cm="1">
        <f t="array" ca="1" aca="1" ref="CY54">IFERROR(IF(AF54*fxVal_normal=_CF!AF54,"",IF(OR(AF54="",NOT(ISNUMBER(AF54)),ISERROR(AF54),$B54=""),"",IF($I54=1,IFBLANK(_xldudf_CX_PUSH(AF54*fxVal_normal,CX_ENTITY,$B54,AF$11,AF$14,AF$44,),""),IF($I54=2,IFBLANK(_xldudf_CX_PUSH(AF54,CX_ENTITY,$B54,AF$11,AF$14,AF$44,),""),IF($I54=3,"",IFBLANK(_xldudf_CX_PUSH(AF54,CX_ENTITY,$B54,AF$11,AF$14,AF$44,),"")))))),"")</f>
        <v/>
      </c>
      <c r="CZ54" s="1883" t="str" cm="1">
        <f t="array" ca="1" aca="1" ref="CZ54">IFERROR(IF(AG54*fxVal_normal=_CF!AG54,"",IF(OR(AG54="",NOT(ISNUMBER(AG54)),ISERROR(AG54),$B54=""),"",IF($I54=1,IFBLANK(_xldudf_CX_PUSH(AG54*fxVal_normal,CX_ENTITY,$B54,AG$11,AG$14,AG$44,),""),IF($I54=2,IFBLANK(_xldudf_CX_PUSH(AG54,CX_ENTITY,$B54,AG$11,AG$14,AG$44,),""),IF($I54=3,"",IFBLANK(_xldudf_CX_PUSH(AG54,CX_ENTITY,$B54,AG$11,AG$14,AG$44,),"")))))),"")</f>
        <v/>
      </c>
      <c r="DA54" s="1883" t="str" cm="1">
        <f t="array" ca="1" aca="1" ref="DA54">IFERROR(IF(AH54*fxVal_normal=_CF!AH54,"",IF(OR(AH54="",NOT(ISNUMBER(AH54)),ISERROR(AH54),$B54=""),"",IF($I54=1,IFBLANK(_xldudf_CX_PUSH(AH54*fxVal_normal,CX_ENTITY,$B54,AH$11,AH$14,AH$44,),""),IF($I54=2,IFBLANK(_xldudf_CX_PUSH(AH54,CX_ENTITY,$B54,AH$11,AH$14,AH$44,),""),IF($I54=3,"",IFBLANK(_xldudf_CX_PUSH(AH54,CX_ENTITY,$B54,AH$11,AH$14,AH$44,),"")))))),"")</f>
        <v/>
      </c>
      <c r="DB54" s="1883" t="str" cm="1">
        <f t="array" ca="1" aca="1" ref="DB54">IFERROR(IF(AI54*fxVal_normal=_CF!AI54,"",IF(OR(AI54="",NOT(ISNUMBER(AI54)),ISERROR(AI54),$B54=""),"",IF($I54=1,IFBLANK(_xldudf_CX_PUSH(AI54*fxVal_normal,CX_ENTITY,$B54,AI$11,AI$14,AI$44,),""),IF($I54=2,IFBLANK(_xldudf_CX_PUSH(AI54,CX_ENTITY,$B54,AI$11,AI$14,AI$44,),""),IF($I54=3,"",IFBLANK(_xldudf_CX_PUSH(AI54,CX_ENTITY,$B54,AI$11,AI$14,AI$44,),"")))))),"")</f>
        <v/>
      </c>
      <c r="DC54" s="1883" t="str" cm="1">
        <f t="array" ca="1" aca="1" ref="DC54">IFERROR(IF(AJ54*fxVal_normal=_CF!AJ54,"",IF(OR(AJ54="",NOT(ISNUMBER(AJ54)),ISERROR(AJ54),$B54=""),"",IF($I54=1,IFBLANK(_xldudf_CX_PUSH(AJ54*fxVal_normal,CX_ENTITY,$B54,AJ$11,AJ$14,AJ$44,),""),IF($I54=2,IFBLANK(_xldudf_CX_PUSH(AJ54,CX_ENTITY,$B54,AJ$11,AJ$14,AJ$44,),""),IF($I54=3,"",IFBLANK(_xldudf_CX_PUSH(AJ54,CX_ENTITY,$B54,AJ$11,AJ$14,AJ$44,),"")))))),"")</f>
        <v/>
      </c>
      <c r="DD54" s="1883" t="str" cm="1">
        <f t="array" ca="1" aca="1" ref="DD54">IFERROR(IF(AK54*fxVal_normal=_CF!AK54,"",IF(OR(AK54="",NOT(ISNUMBER(AK54)),ISERROR(AK54),$B54=""),"",IF($I54=1,IFBLANK(_xldudf_CX_PUSH(AK54*fxVal_normal,CX_ENTITY,$B54,AK$11,AK$14,AK$44,),""),IF($I54=2,IFBLANK(_xldudf_CX_PUSH(AK54,CX_ENTITY,$B54,AK$11,AK$14,AK$44,),""),IF($I54=3,"",IFBLANK(_xldudf_CX_PUSH(AK54,CX_ENTITY,$B54,AK$11,AK$14,AK$44,),"")))))),"")</f>
        <v/>
      </c>
      <c r="DE54" s="1883" t="str" cm="1">
        <f t="array" ca="1" aca="1" ref="DE54">IFERROR(IF(AL54*fxVal_normal=_CF!AL54,"",IF(OR(AL54="",NOT(ISNUMBER(AL54)),ISERROR(AL54),$B54=""),"",IF($I54=1,IFBLANK(_xldudf_CX_PUSH(AL54*fxVal_normal,CX_ENTITY,$B54,AL$11,AL$14,AL$44,),""),IF($I54=2,IFBLANK(_xldudf_CX_PUSH(AL54,CX_ENTITY,$B54,AL$11,AL$14,AL$44,),""),IF($I54=3,"",IFBLANK(_xldudf_CX_PUSH(AL54,CX_ENTITY,$B54,AL$11,AL$14,AL$44,),"")))))),"")</f>
        <v/>
      </c>
      <c r="DF54" s="1883" t="str" cm="1">
        <f t="array" ca="1" aca="1" ref="DF54">IFERROR(IF(AM54*fxVal_normal=_CF!AM54,"",IF(OR(AM54="",NOT(ISNUMBER(AM54)),ISERROR(AM54),$B54=""),"",IF($I54=1,IFBLANK(_xldudf_CX_PUSH(AM54*fxVal_normal,CX_ENTITY,$B54,AM$11,AM$14,AM$44,),""),IF($I54=2,IFBLANK(_xldudf_CX_PUSH(AM54,CX_ENTITY,$B54,AM$11,AM$14,AM$44,),""),IF($I54=3,"",IFBLANK(_xldudf_CX_PUSH(AM54,CX_ENTITY,$B54,AM$11,AM$14,AM$44,),"")))))),"")</f>
        <v/>
      </c>
      <c r="DG54" s="1883" t="str" cm="1">
        <f t="array" ca="1" aca="1" ref="DG54">IFERROR(IF(AN54*fxVal_normal=_CF!AN54,"",IF(OR(AN54="",NOT(ISNUMBER(AN54)),ISERROR(AN54),$B54=""),"",IF($I54=1,IFBLANK(_xldudf_CX_PUSH(AN54*fxVal_normal,CX_ENTITY,$B54,AN$11,AN$14,AN$44,),""),IF($I54=2,IFBLANK(_xldudf_CX_PUSH(AN54,CX_ENTITY,$B54,AN$11,AN$14,AN$44,),""),IF($I54=3,"",IFBLANK(_xldudf_CX_PUSH(AN54,CX_ENTITY,$B54,AN$11,AN$14,AN$44,),"")))))),"")</f>
        <v/>
      </c>
      <c r="DH54" s="1883" t="str" cm="1">
        <f t="array" ca="1" aca="1" ref="DH54">IFERROR(IF(AO54*fxVal_normal=_CF!AO54,"",IF(OR(AO54="",NOT(ISNUMBER(AO54)),ISERROR(AO54),$B54=""),"",IF($I54=1,IFBLANK(_xldudf_CX_PUSH(AO54*fxVal_normal,CX_ENTITY,$B54,AO$11,AO$14,AO$44,),""),IF($I54=2,IFBLANK(_xldudf_CX_PUSH(AO54,CX_ENTITY,$B54,AO$11,AO$14,AO$44,),""),IF($I54=3,"",IFBLANK(_xldudf_CX_PUSH(AO54,CX_ENTITY,$B54,AO$11,AO$14,AO$44,),"")))))),"")</f>
        <v/>
      </c>
      <c r="DI54" s="1883" t="str" cm="1">
        <f t="array" ca="1" aca="1" ref="DI54">IFERROR(IF(AP54*fxVal_normal=_CF!AP54,"",IF(OR(AP54="",NOT(ISNUMBER(AP54)),ISERROR(AP54),$B54=""),"",IF($I54=1,IFBLANK(_xldudf_CX_PUSH(AP54*fxVal_normal,CX_ENTITY,$B54,AP$11,AP$14,AP$44,),""),IF($I54=2,IFBLANK(_xldudf_CX_PUSH(AP54,CX_ENTITY,$B54,AP$11,AP$14,AP$44,),""),IF($I54=3,"",IFBLANK(_xldudf_CX_PUSH(AP54,CX_ENTITY,$B54,AP$11,AP$14,AP$44,),"")))))),"")</f>
        <v/>
      </c>
      <c r="DJ54" s="1883" t="str" cm="1">
        <f t="array" ca="1" aca="1" ref="DJ54">IFERROR(IF(AQ54*fxVal_normal=_CF!AQ54,"",IF(OR(AQ54="",NOT(ISNUMBER(AQ54)),ISERROR(AQ54),$B54=""),"",IF($I54=1,IFBLANK(_xldudf_CX_PUSH(AQ54*fxVal_normal,CX_ENTITY,$B54,AQ$11,AQ$14,AQ$44,),""),IF($I54=2,IFBLANK(_xldudf_CX_PUSH(AQ54,CX_ENTITY,$B54,AQ$11,AQ$14,AQ$44,),""),IF($I54=3,"",IFBLANK(_xldudf_CX_PUSH(AQ54,CX_ENTITY,$B54,AQ$11,AQ$14,AQ$44,),"")))))),"")</f>
        <v/>
      </c>
      <c r="DK54" s="1883" t="str" cm="1">
        <f t="array" ca="1" aca="1" ref="DK54">IFERROR(IF(AR54*fxVal_normal=_CF!AR54,"",IF(OR(AR54="",NOT(ISNUMBER(AR54)),ISERROR(AR54),$B54=""),"",IF($I54=1,IFBLANK(_xldudf_CX_PUSH(AR54*fxVal_normal,CX_ENTITY,$B54,AR$11,AR$14,AR$44,),""),IF($I54=2,IFBLANK(_xldudf_CX_PUSH(AR54,CX_ENTITY,$B54,AR$11,AR$14,AR$44,),""),IF($I54=3,"",IFBLANK(_xldudf_CX_PUSH(AR54,CX_ENTITY,$B54,AR$11,AR$14,AR$44,),"")))))),"")</f>
        <v/>
      </c>
      <c r="DL54" s="1883" t="str" cm="1">
        <f t="array" ca="1" aca="1" ref="DL54">IFERROR(IF(AS54*fxVal_normal=_CF!AS54,"",IF(OR(AS54="",NOT(ISNUMBER(AS54)),ISERROR(AS54),$B54=""),"",IF($I54=1,IFBLANK(_xldudf_CX_PUSH(AS54*fxVal_normal,CX_ENTITY,$B54,AS$11,AS$14,AS$44,),""),IF($I54=2,IFBLANK(_xldudf_CX_PUSH(AS54,CX_ENTITY,$B54,AS$11,AS$14,AS$44,),""),IF($I54=3,"",IFBLANK(_xldudf_CX_PUSH(AS54,CX_ENTITY,$B54,AS$11,AS$14,AS$44,),"")))))),"")</f>
        <v/>
      </c>
      <c r="DM54" s="1883" t="str" cm="1">
        <f t="array" ca="1" aca="1" ref="DM54">IFERROR(IF(AT54*fxVal_normal=_CF!AT54,"",IF(OR(AT54="",NOT(ISNUMBER(AT54)),ISERROR(AT54),$B54=""),"",IF($I54=1,IFBLANK(_xldudf_CX_PUSH(AT54*fxVal_normal,CX_ENTITY,$B54,AT$11,AT$14,AT$44,),""),IF($I54=2,IFBLANK(_xldudf_CX_PUSH(AT54,CX_ENTITY,$B54,AT$11,AT$14,AT$44,),""),IF($I54=3,"",IFBLANK(_xldudf_CX_PUSH(AT54,CX_ENTITY,$B54,AT$11,AT$14,AT$44,),"")))))),"")</f>
        <v/>
      </c>
      <c r="DN54" s="1883" t="str" cm="1">
        <f t="array" ca="1" aca="1" ref="DN54">IFERROR(IF(AU54*fxVal_normal=_CF!AU54,"",IF(OR(AU54="",NOT(ISNUMBER(AU54)),ISERROR(AU54),$B54=""),"",IF($I54=1,IFBLANK(_xldudf_CX_PUSH(AU54*fxVal_normal,CX_ENTITY,$B54,AU$11,AU$14,AU$44,),""),IF($I54=2,IFBLANK(_xldudf_CX_PUSH(AU54,CX_ENTITY,$B54,AU$11,AU$14,AU$44,),""),IF($I54=3,"",IFBLANK(_xldudf_CX_PUSH(AU54,CX_ENTITY,$B54,AU$11,AU$14,AU$44,),"")))))),"")</f>
        <v/>
      </c>
      <c r="DO54" s="1883" t="str" cm="1">
        <f t="array" ca="1" aca="1" ref="DO54">IFERROR(IF(AV54*fxVal_normal=_CF!AV54,"",IF(OR(AV54="",NOT(ISNUMBER(AV54)),ISERROR(AV54),$B54=""),"",IF($I54=1,IFBLANK(_xldudf_CX_PUSH(AV54*fxVal_normal,CX_ENTITY,$B54,AV$11,AV$14,AV$44,),""),IF($I54=2,IFBLANK(_xldudf_CX_PUSH(AV54,CX_ENTITY,$B54,AV$11,AV$14,AV$44,),""),IF($I54=3,"",IFBLANK(_xldudf_CX_PUSH(AV54,CX_ENTITY,$B54,AV$11,AV$14,AV$44,),"")))))),"")</f>
        <v/>
      </c>
      <c r="DP54" s="1883" t="str" cm="1">
        <f t="array" ca="1" aca="1" ref="DP54">IFERROR(IF(AW54*fxVal_normal=_CF!AW54,"",IF(OR(AW54="",NOT(ISNUMBER(AW54)),ISERROR(AW54),$B54=""),"",IF($I54=1,IFBLANK(_xldudf_CX_PUSH(AW54*fxVal_normal,CX_ENTITY,$B54,AW$11,AW$14,AW$44,),""),IF($I54=2,IFBLANK(_xldudf_CX_PUSH(AW54,CX_ENTITY,$B54,AW$11,AW$14,AW$44,),""),IF($I54=3,"",IFBLANK(_xldudf_CX_PUSH(AW54,CX_ENTITY,$B54,AW$11,AW$14,AW$44,),"")))))),"")</f>
        <v/>
      </c>
      <c r="DQ54" s="1883" t="str" cm="1">
        <f t="array" ca="1" aca="1" ref="DQ54">IFERROR(IF(AX54*fxVal_normal=_CF!AX54,"",IF(OR(AX54="",NOT(ISNUMBER(AX54)),ISERROR(AX54),$B54=""),"",IF($I54=1,IFBLANK(_xldudf_CX_PUSH(AX54*fxVal_normal,CX_ENTITY,$B54,AX$11,AX$14,AX$44,),""),IF($I54=2,IFBLANK(_xldudf_CX_PUSH(AX54,CX_ENTITY,$B54,AX$11,AX$14,AX$44,),""),IF($I54=3,"",IFBLANK(_xldudf_CX_PUSH(AX54,CX_ENTITY,$B54,AX$11,AX$14,AX$44,),"")))))),"")</f>
        <v/>
      </c>
      <c r="DR54" s="1883" t="str" cm="1">
        <f t="array" ca="1" aca="1" ref="DR54">IFERROR(IF(AY54*fxVal_normal=_CF!AY54,"",IF(OR(AY54="",NOT(ISNUMBER(AY54)),ISERROR(AY54),$B54=""),"",IF($I54=1,IFBLANK(_xldudf_CX_PUSH(AY54*fxVal_normal,CX_ENTITY,$B54,AY$11,AY$14,AY$44,),""),IF($I54=2,IFBLANK(_xldudf_CX_PUSH(AY54,CX_ENTITY,$B54,AY$11,AY$14,AY$44,),""),IF($I54=3,"",IFBLANK(_xldudf_CX_PUSH(AY54,CX_ENTITY,$B54,AY$11,AY$14,AY$44,),"")))))),"")</f>
        <v/>
      </c>
      <c r="DS54" s="1883" t="str" cm="1">
        <f t="array" ca="1" aca="1" ref="DS54">IFERROR(IF(AZ54*fxVal_normal=_CF!AZ54,"",IF(OR(AZ54="",NOT(ISNUMBER(AZ54)),ISERROR(AZ54),$B54=""),"",IF($I54=1,IFBLANK(_xldudf_CX_PUSH(AZ54*fxVal_normal,CX_ENTITY,$B54,AZ$11,AZ$14,AZ$44,),""),IF($I54=2,IFBLANK(_xldudf_CX_PUSH(AZ54,CX_ENTITY,$B54,AZ$11,AZ$14,AZ$44,),""),IF($I54=3,"",IFBLANK(_xldudf_CX_PUSH(AZ54,CX_ENTITY,$B54,AZ$11,AZ$14,AZ$44,),"")))))),"")</f>
        <v/>
      </c>
      <c r="DT54" s="1883" t="str" cm="1">
        <f t="array" ca="1" aca="1" ref="DT54">IFERROR(IF(BA54*fxVal_normal=_CF!BA54,"",IF(OR(BA54="",NOT(ISNUMBER(BA54)),ISERROR(BA54),$B54=""),"",IF($I54=1,IFBLANK(_xldudf_CX_PUSH(BA54*fxVal_normal,CX_ENTITY,$B54,BA$11,BA$14,BA$44,),""),IF($I54=2,IFBLANK(_xldudf_CX_PUSH(BA54,CX_ENTITY,$B54,BA$11,BA$14,BA$44,),""),IF($I54=3,"",IFBLANK(_xldudf_CX_PUSH(BA54,CX_ENTITY,$B54,BA$11,BA$14,BA$44,),"")))))),"")</f>
        <v/>
      </c>
      <c r="DU54" s="1883" t="str" cm="1">
        <f t="array" ca="1" aca="1" ref="DU54">IFERROR(IF(BB54*fxVal_normal=_CF!BB54,"",IF(OR(BB54="",NOT(ISNUMBER(BB54)),ISERROR(BB54),$B54=""),"",IF($I54=1,IFBLANK(_xldudf_CX_PUSH(BB54*fxVal_normal,CX_ENTITY,$B54,BB$11,BB$14,BB$44,),""),IF($I54=2,IFBLANK(_xldudf_CX_PUSH(BB54,CX_ENTITY,$B54,BB$11,BB$14,BB$44,),""),IF($I54=3,"",IFBLANK(_xldudf_CX_PUSH(BB54,CX_ENTITY,$B54,BB$11,BB$14,BB$44,),"")))))),"")</f>
        <v/>
      </c>
      <c r="DV54" s="1883" t="str" cm="1">
        <f t="array" ca="1" aca="1" ref="DV54">IFERROR(IF(BC54*fxVal_normal=_CF!BC54,"",IF(OR(BC54="",NOT(ISNUMBER(BC54)),ISERROR(BC54),$B54=""),"",IF($I54=1,IFBLANK(_xldudf_CX_PUSH(BC54*fxVal_normal,CX_ENTITY,$B54,BC$11,BC$14,BC$44,),""),IF($I54=2,IFBLANK(_xldudf_CX_PUSH(BC54,CX_ENTITY,$B54,BC$11,BC$14,BC$44,),""),IF($I54=3,"",IFBLANK(_xldudf_CX_PUSH(BC54,CX_ENTITY,$B54,BC$11,BC$14,BC$44,),"")))))),"")</f>
        <v/>
      </c>
      <c r="DW54" s="1883" t="str" cm="1">
        <f t="array" ca="1" aca="1" ref="DW54">IFERROR(IF(BD54*fxVal_normal=_CF!BD54,"",IF(OR(BD54="",NOT(ISNUMBER(BD54)),ISERROR(BD54),$B54=""),"",IF($I54=1,IFBLANK(_xldudf_CX_PUSH(BD54*fxVal_normal,CX_ENTITY,$B54,BD$11,BD$14,BD$44,),""),IF($I54=2,IFBLANK(_xldudf_CX_PUSH(BD54,CX_ENTITY,$B54,BD$11,BD$14,BD$44,),""),IF($I54=3,"",IFBLANK(_xldudf_CX_PUSH(BD54,CX_ENTITY,$B54,BD$11,BD$14,BD$44,),"")))))),"")</f>
        <v/>
      </c>
      <c r="DX54" s="1883" t="str" cm="1">
        <f t="array" ca="1" aca="1" ref="DX54">IFERROR(IF(BE54*fxVal_normal=_CF!BE54,"",IF(OR(BE54="",NOT(ISNUMBER(BE54)),ISERROR(BE54),$B54=""),"",IF($I54=1,IFBLANK(_xldudf_CX_PUSH(BE54*fxVal_normal,CX_ENTITY,$B54,BE$11,BE$14,BE$44,),""),IF($I54=2,IFBLANK(_xldudf_CX_PUSH(BE54,CX_ENTITY,$B54,BE$11,BE$14,BE$44,),""),IF($I54=3,"",IFBLANK(_xldudf_CX_PUSH(BE54,CX_ENTITY,$B54,BE$11,BE$14,BE$44,),"")))))),"")</f>
        <v/>
      </c>
      <c r="DY54" s="1883" t="str" cm="1">
        <f t="array" ca="1" aca="1" ref="DY54">IFERROR(IF(BF54*fxVal_normal=_CF!BF54,"",IF(OR(BF54="",NOT(ISNUMBER(BF54)),ISERROR(BF54),$B54=""),"",IF($I54=1,IFBLANK(_xldudf_CX_PUSH(BF54*fxVal_normal,CX_ENTITY,$B54,BF$11,BF$14,BF$44,),""),IF($I54=2,IFBLANK(_xldudf_CX_PUSH(BF54,CX_ENTITY,$B54,BF$11,BF$14,BF$44,),""),IF($I54=3,"",IFBLANK(_xldudf_CX_PUSH(BF54,CX_ENTITY,$B54,BF$11,BF$14,BF$44,),"")))))),"")</f>
        <v/>
      </c>
      <c r="DZ54" s="1883" t="str" cm="1">
        <f t="array" ca="1" aca="1" ref="DZ54">IFERROR(IF(BG54*fxVal_normal=_CF!BG54,"",IF(OR(BG54="",NOT(ISNUMBER(BG54)),ISERROR(BG54),$B54=""),"",IF($I54=1,IFBLANK(_xldudf_CX_PUSH(BG54*fxVal_normal,CX_ENTITY,$B54,BG$11,BG$14,BG$44,),""),IF($I54=2,IFBLANK(_xldudf_CX_PUSH(BG54,CX_ENTITY,$B54,BG$11,BG$14,BG$44,),""),IF($I54=3,"",IFBLANK(_xldudf_CX_PUSH(BG54,CX_ENTITY,$B54,BG$11,BG$14,BG$44,),"")))))),"")</f>
        <v/>
      </c>
      <c r="EA54" s="1883" t="str" cm="1">
        <f t="array" ca="1" aca="1" ref="EA54">IFERROR(IF(BH54*fxVal_normal=_CF!BH54,"",IF(OR(BH54="",NOT(ISNUMBER(BH54)),ISERROR(BH54),$B54=""),"",IF($I54=1,IFBLANK(_xldudf_CX_PUSH(BH54*fxVal_normal,CX_ENTITY,$B54,BH$11,BH$14,BH$44,),""),IF($I54=2,IFBLANK(_xldudf_CX_PUSH(BH54,CX_ENTITY,$B54,BH$11,BH$14,BH$44,),""),IF($I54=3,"",IFBLANK(_xldudf_CX_PUSH(BH54,CX_ENTITY,$B54,BH$11,BH$14,BH$44,),"")))))),"")</f>
        <v/>
      </c>
      <c r="EB54" s="1883" t="str" cm="1">
        <f t="array" ca="1" aca="1" ref="EB54">IFERROR(IF(BI54*fxVal_normal=_CF!BI54,"",IF(OR(BI54="",NOT(ISNUMBER(BI54)),ISERROR(BI54),$B54=""),"",IF($I54=1,IFBLANK(_xldudf_CX_PUSH(BI54*fxVal_normal,CX_ENTITY,$B54,BI$11,BI$14,BI$44,),""),IF($I54=2,IFBLANK(_xldudf_CX_PUSH(BI54,CX_ENTITY,$B54,BI$11,BI$14,BI$44,),""),IF($I54=3,"",IFBLANK(_xldudf_CX_PUSH(BI54,CX_ENTITY,$B54,BI$11,BI$14,BI$44,),"")))))),"")</f>
        <v/>
      </c>
      <c r="EC54" s="1883" t="str" cm="1">
        <f t="array" ca="1" aca="1" ref="EC54">IFERROR(IF(BJ54*fxVal_normal=_CF!BJ54,"",IF(OR(BJ54="",NOT(ISNUMBER(BJ54)),ISERROR(BJ54),$B54=""),"",IF($I54=1,IFBLANK(_xldudf_CX_PUSH(BJ54*fxVal_normal,CX_ENTITY,$B54,BJ$11,BJ$14,BJ$44,),""),IF($I54=2,IFBLANK(_xldudf_CX_PUSH(BJ54,CX_ENTITY,$B54,BJ$11,BJ$14,BJ$44,),""),IF($I54=3,"",IFBLANK(_xldudf_CX_PUSH(BJ54,CX_ENTITY,$B54,BJ$11,BJ$14,BJ$44,),"")))))),"")</f>
        <v/>
      </c>
      <c r="ED54" s="1883" t="str" cm="1">
        <f t="array" ca="1" aca="1" ref="ED54">IFERROR(IF(BK54*fxVal_normal=_CF!BK54,"",IF(OR(BK54="",NOT(ISNUMBER(BK54)),ISERROR(BK54),$B54=""),"",IF($I54=1,IFBLANK(_xldudf_CX_PUSH(BK54*fxVal_normal,CX_ENTITY,$B54,BK$11,BK$14,BK$44,),""),IF($I54=2,IFBLANK(_xldudf_CX_PUSH(BK54,CX_ENTITY,$B54,BK$11,BK$14,BK$44,),""),IF($I54=3,"",IFBLANK(_xldudf_CX_PUSH(BK54,CX_ENTITY,$B54,BK$11,BK$14,BK$44,),"")))))),"")</f>
        <v/>
      </c>
      <c r="EE54" s="1883" t="str" cm="1">
        <f t="array" ca="1" aca="1" ref="EE54">IFERROR(IF(BL54*fxVal_normal=_CF!BL54,"",IF(OR(BL54="",NOT(ISNUMBER(BL54)),ISERROR(BL54),$B54=""),"",IF($I54=1,IFBLANK(_xldudf_CX_PUSH(BL54*fxVal_normal,CX_ENTITY,$B54,BL$11,BL$14,BL$44,),""),IF($I54=2,IFBLANK(_xldudf_CX_PUSH(BL54,CX_ENTITY,$B54,BL$11,BL$14,BL$44,),""),IF($I54=3,"",IFBLANK(_xldudf_CX_PUSH(BL54,CX_ENTITY,$B54,BL$11,BL$14,BL$44,),"")))))),"")</f>
        <v/>
      </c>
      <c r="EF54" s="1883" t="str" cm="1">
        <f t="array" ca="1" aca="1" ref="EF54">IFERROR(IF(BM54*fxVal_normal=_CF!BM54,"",IF(OR(BM54="",NOT(ISNUMBER(BM54)),ISERROR(BM54),$B54=""),"",IF($I54=1,IFBLANK(_xldudf_CX_PUSH(BM54*fxVal_normal,CX_ENTITY,$B54,BM$11,BM$14,BM$44,),""),IF($I54=2,IFBLANK(_xldudf_CX_PUSH(BM54,CX_ENTITY,$B54,BM$11,BM$14,BM$44,),""),IF($I54=3,"",IFBLANK(_xldudf_CX_PUSH(BM54,CX_ENTITY,$B54,BM$11,BM$14,BM$44,),"")))))),"")</f>
        <v/>
      </c>
      <c r="EG54" s="1883" t="str" cm="1">
        <f t="array" ca="1" aca="1" ref="EG54">IFERROR(IF(BN54*fxVal_normal=_CF!BN54,"",IF(OR(BN54="",NOT(ISNUMBER(BN54)),ISERROR(BN54),$B54=""),"",IF($I54=1,IFBLANK(_xldudf_CX_PUSH(BN54*fxVal_normal,CX_ENTITY,$B54,BN$11,BN$14,BN$44,),""),IF($I54=2,IFBLANK(_xldudf_CX_PUSH(BN54,CX_ENTITY,$B54,BN$11,BN$14,BN$44,),""),IF($I54=3,"",IFBLANK(_xldudf_CX_PUSH(BN54,CX_ENTITY,$B54,BN$11,BN$14,BN$44,),"")))))),"")</f>
        <v/>
      </c>
    </row>
    <row r="55" spans="1:137" ht="21" customHeight="1">
      <c r="A55" s="1626"/>
      <c r="B55" s="811" t="str" cm="1">
        <f t="array" ref="B55">IFBLANK(_CF!F55,"")</f>
        <v>Principal Repayments</v>
      </c>
      <c r="C55" s="811" t="str" cm="1">
        <f t="array" ref="C55">IFBLANK(_CF!C55,"")</f>
        <v>Principal Repayments (Company View)</v>
      </c>
      <c r="D55" s="1549"/>
      <c r="E55" s="574"/>
      <c r="F55" s="574"/>
      <c r="G55" s="574"/>
      <c r="H55" s="401">
        <v>0</v>
      </c>
      <c r="I55" s="3280">
        <v>1</v>
      </c>
      <c r="J55" s="401"/>
      <c r="K55" s="401"/>
      <c r="N55" s="158"/>
      <c r="O55" s="101"/>
      <c r="P55" s="52"/>
      <c r="Q55" s="101"/>
      <c r="R55" s="126"/>
      <c r="S55" s="101"/>
      <c r="T55" s="101"/>
      <c r="U55" s="39"/>
      <c r="W55" s="932" t="str">
        <f t="shared" si="8"/>
        <v>Budget</v>
      </c>
      <c r="X55" s="815">
        <f>_CF!X55</f>
        <v>-1</v>
      </c>
      <c r="Y55" s="3192">
        <f t="shared" si="6"/>
        <v>2</v>
      </c>
      <c r="Z55" s="3291" cm="1">
        <f t="array" ref="Z55">_xlfn.SWITCH(TRUE,_CF!$L55=TRUE,1,_CF!$L55=FALSE,-1,_CF!$L55=-1,0,"n/a")</f>
        <v>1</v>
      </c>
      <c r="AA55" s="200"/>
      <c r="AB55" s="88" t="str">
        <f>_CF!AB55</f>
        <v>Principal Repayments</v>
      </c>
      <c r="AC55" s="88" t="e" vm="5" cm="1">
        <f t="array" ca="1" aca="1" ref="AC55">_xlfn.LET(_xlpm._termname,$AB55,_xlpm._iconname,"find",_xlpm._icon,fx_getIcon(_xlpm._iconname),_xlpm._location,_xlfn.XLOOKUP(LOWER(_xlpm._termname),LOWER(tbl_acctDef[Term]),tbl_acctDef[Term]),_xlpm._hyperlink,HYPERLINK("#"&amp;CELL("address",_xlpm._location),_xlpm._icon),IFERROR(_xlpm._hyperlink,""))</f>
        <v>#VALUE!</v>
      </c>
      <c r="AD55" s="3232">
        <v>1</v>
      </c>
      <c r="AE55" s="3232">
        <v>1</v>
      </c>
      <c r="AF55" s="3232">
        <v>1</v>
      </c>
      <c r="AG55" s="3232">
        <v>1</v>
      </c>
      <c r="AH55" s="3232">
        <v>1</v>
      </c>
      <c r="AI55" s="3232">
        <v>1</v>
      </c>
      <c r="AJ55" s="3232">
        <v>1</v>
      </c>
      <c r="AK55" s="3232">
        <v>1</v>
      </c>
      <c r="AL55" s="3232">
        <v>1</v>
      </c>
      <c r="AM55" s="3232">
        <v>1</v>
      </c>
      <c r="AN55" s="3232">
        <v>1</v>
      </c>
      <c r="AO55" s="3232">
        <v>1</v>
      </c>
      <c r="AP55" s="3232">
        <v>1</v>
      </c>
      <c r="AQ55" s="3232">
        <v>1</v>
      </c>
      <c r="AR55" s="3232">
        <v>1</v>
      </c>
      <c r="AS55" s="3232">
        <v>1</v>
      </c>
      <c r="AT55" s="3232">
        <v>1</v>
      </c>
      <c r="AU55" s="3232">
        <v>1</v>
      </c>
      <c r="AV55" s="3232">
        <v>1</v>
      </c>
      <c r="AW55" s="3232">
        <v>1</v>
      </c>
      <c r="AX55" s="3232">
        <v>1</v>
      </c>
      <c r="AY55" s="3232">
        <v>1</v>
      </c>
      <c r="AZ55" s="3232">
        <v>1</v>
      </c>
      <c r="BA55" s="3232">
        <v>1</v>
      </c>
      <c r="BB55" s="3232">
        <v>1</v>
      </c>
      <c r="BC55" s="3232">
        <v>1</v>
      </c>
      <c r="BD55" s="3232">
        <v>1</v>
      </c>
      <c r="BE55" s="3232">
        <v>1</v>
      </c>
      <c r="BF55" s="3232">
        <v>1</v>
      </c>
      <c r="BG55" s="3232">
        <v>1</v>
      </c>
      <c r="BH55" s="3232">
        <v>1</v>
      </c>
      <c r="BI55" s="3232">
        <v>1</v>
      </c>
      <c r="BJ55" s="3232">
        <v>1</v>
      </c>
      <c r="BK55" s="3232">
        <v>1</v>
      </c>
      <c r="BL55" s="3232">
        <v>1</v>
      </c>
      <c r="BM55" s="3232">
        <v>1</v>
      </c>
      <c r="BN55" s="3232">
        <v>1</v>
      </c>
      <c r="BO55" s="2115"/>
      <c r="BP55" s="2115"/>
      <c r="BQ55" s="2115"/>
      <c r="BR55" s="2115"/>
      <c r="BS55" s="2115"/>
      <c r="BT55" s="2115"/>
      <c r="BU55" s="2115"/>
      <c r="BV55" s="2115"/>
      <c r="BW55" s="2115"/>
      <c r="BX55" s="2115"/>
      <c r="BY55" s="2115"/>
      <c r="BZ55" s="2115"/>
      <c r="CA55" s="1330"/>
      <c r="CB55" s="537"/>
      <c r="CC55" s="1484"/>
      <c r="CD55" s="1461" t="e" cm="1">
        <f t="array" ca="1" aca="1" ref="CD55">_xlfn.LET(_xlpm.CheckBlank,SUM(CF!$AD55:$BN55)=0,IF(_xlpm.CheckBlank,"",SUM(_xlfn._xlws.FILTER(CF!$AD55:$BN55,(YEAR(CF!$AD$12:$BN$12)=CF!CD$12)*(array_timeline&lt;=CF!CD$11)))))</f>
        <v>#NAME?</v>
      </c>
      <c r="CE55" s="1461" t="e" cm="1">
        <f t="array" ca="1" aca="1" ref="CE55">_xlfn.LET(_xlpm.CheckBlank,SUM(CF!$AD55:$BN55)=0,IF(_xlpm.CheckBlank,"",SUM(_xlfn._xlws.FILTER(CF!$AD55:$BN55,(YEAR(CF!$AD$12:$BN$12)=CF!CE$12)*(array_timeline&lt;=CF!CE$11)))))</f>
        <v>#NAME?</v>
      </c>
      <c r="CF55" s="1314"/>
      <c r="CG55" s="1461" t="e" cm="1">
        <f t="array" ca="1" aca="1" ref="CG55">_xlfn.LET(_xlpm.CheckBlank,SUM(CF!$AD55:$BN55)=0,IF(_xlpm.CheckBlank,"",SUM(_xlfn._xlws.FILTER(CF!$AD55:$BN55,(YEAR(CF!$AD$12:$BN$12)=CF!CG$12)*(array_timeline&lt;=CF!CG$11)))))</f>
        <v>#NAME?</v>
      </c>
      <c r="CH55" s="1461" t="e" cm="1">
        <f t="array" ca="1" aca="1" ref="CH55">_xlfn.LET(_xlpm.CheckBlank,SUM(CF!$AD55:$BN55)=0,IF(_xlpm.CheckBlank,"",SUM(_xlfn._xlws.FILTER(CF!$AD55:$BN55,(YEAR(CF!$AD$12:$BN$12)=CF!CH$12)*(array_timeline&lt;=CF!CH$11)))))</f>
        <v>#NAME?</v>
      </c>
      <c r="CI55" s="1314"/>
      <c r="CJ55" s="1461" cm="1">
        <f t="array" ref="CJ55">_xlfn.LET(_xlpm.CheckBlank,SUM(CF!$AD55:$BN55)=0,IF(_xlpm.CheckBlank,"",SUM(_xlfn.TAKE(_xlfn.DROP(CF!$AD55:$BN55,,-DATEDIFF(CF!CJ$11,val_asOfDate,"M")),1,-12))))</f>
        <v>12</v>
      </c>
      <c r="CK55" s="1461" cm="1">
        <f t="array" ref="CK55">_xlfn.LET(_xlpm.CheckBlank,SUM(CF!$AD55:$BN55)=0,IF(_xlpm.CheckBlank,"",SUM(_xlfn.TAKE(_xlfn.DROP(CF!$AD55:$BN55,,-DATEDIFF(CF!CK$11,val_asOfDate,"M")),1,-12))))</f>
        <v>12</v>
      </c>
      <c r="CL55" s="1314"/>
      <c r="CM55" s="541" t="e">
        <f t="shared" ca="1" si="7"/>
        <v>#NAME?</v>
      </c>
      <c r="CN55" s="541" t="e">
        <f t="shared" ca="1" si="7"/>
        <v>#NAME?</v>
      </c>
      <c r="CO55" s="34"/>
      <c r="CW55" s="1883" t="str" cm="1">
        <f t="array" ca="1" aca="1" ref="CW55">IFERROR(IF(AD55*fxVal_normal=_CF!AD55,"",IF(OR(AD55="",NOT(ISNUMBER(AD55)),ISERROR(AD55),$B55=""),"",IF($I55=1,IFBLANK(_xldudf_CX_PUSH(AD55*fxVal_normal,CX_ENTITY,$B55,AD$11,AD$14,AD$44,),""),IF($I55=2,IFBLANK(_xldudf_CX_PUSH(AD55,CX_ENTITY,$B55,AD$11,AD$14,AD$44,),""),IF($I55=3,"",IFBLANK(_xldudf_CX_PUSH(AD55,CX_ENTITY,$B55,AD$11,AD$14,AD$44,),"")))))),"")</f>
        <v/>
      </c>
      <c r="CX55" s="1883" t="str" cm="1">
        <f t="array" ca="1" aca="1" ref="CX55">IFERROR(IF(AE55*fxVal_normal=_CF!AE55,"",IF(OR(AE55="",NOT(ISNUMBER(AE55)),ISERROR(AE55),$B55=""),"",IF($I55=1,IFBLANK(_xldudf_CX_PUSH(AE55*fxVal_normal,CX_ENTITY,$B55,AE$11,AE$14,AE$44,),""),IF($I55=2,IFBLANK(_xldudf_CX_PUSH(AE55,CX_ENTITY,$B55,AE$11,AE$14,AE$44,),""),IF($I55=3,"",IFBLANK(_xldudf_CX_PUSH(AE55,CX_ENTITY,$B55,AE$11,AE$14,AE$44,),"")))))),"")</f>
        <v/>
      </c>
      <c r="CY55" s="1883" t="str" cm="1">
        <f t="array" ca="1" aca="1" ref="CY55">IFERROR(IF(AF55*fxVal_normal=_CF!AF55,"",IF(OR(AF55="",NOT(ISNUMBER(AF55)),ISERROR(AF55),$B55=""),"",IF($I55=1,IFBLANK(_xldudf_CX_PUSH(AF55*fxVal_normal,CX_ENTITY,$B55,AF$11,AF$14,AF$44,),""),IF($I55=2,IFBLANK(_xldudf_CX_PUSH(AF55,CX_ENTITY,$B55,AF$11,AF$14,AF$44,),""),IF($I55=3,"",IFBLANK(_xldudf_CX_PUSH(AF55,CX_ENTITY,$B55,AF$11,AF$14,AF$44,),"")))))),"")</f>
        <v/>
      </c>
      <c r="CZ55" s="1883" t="str" cm="1">
        <f t="array" ca="1" aca="1" ref="CZ55">IFERROR(IF(AG55*fxVal_normal=_CF!AG55,"",IF(OR(AG55="",NOT(ISNUMBER(AG55)),ISERROR(AG55),$B55=""),"",IF($I55=1,IFBLANK(_xldudf_CX_PUSH(AG55*fxVal_normal,CX_ENTITY,$B55,AG$11,AG$14,AG$44,),""),IF($I55=2,IFBLANK(_xldudf_CX_PUSH(AG55,CX_ENTITY,$B55,AG$11,AG$14,AG$44,),""),IF($I55=3,"",IFBLANK(_xldudf_CX_PUSH(AG55,CX_ENTITY,$B55,AG$11,AG$14,AG$44,),"")))))),"")</f>
        <v/>
      </c>
      <c r="DA55" s="1883" t="str" cm="1">
        <f t="array" ca="1" aca="1" ref="DA55">IFERROR(IF(AH55*fxVal_normal=_CF!AH55,"",IF(OR(AH55="",NOT(ISNUMBER(AH55)),ISERROR(AH55),$B55=""),"",IF($I55=1,IFBLANK(_xldudf_CX_PUSH(AH55*fxVal_normal,CX_ENTITY,$B55,AH$11,AH$14,AH$44,),""),IF($I55=2,IFBLANK(_xldudf_CX_PUSH(AH55,CX_ENTITY,$B55,AH$11,AH$14,AH$44,),""),IF($I55=3,"",IFBLANK(_xldudf_CX_PUSH(AH55,CX_ENTITY,$B55,AH$11,AH$14,AH$44,),"")))))),"")</f>
        <v/>
      </c>
      <c r="DB55" s="1883" t="str" cm="1">
        <f t="array" ca="1" aca="1" ref="DB55">IFERROR(IF(AI55*fxVal_normal=_CF!AI55,"",IF(OR(AI55="",NOT(ISNUMBER(AI55)),ISERROR(AI55),$B55=""),"",IF($I55=1,IFBLANK(_xldudf_CX_PUSH(AI55*fxVal_normal,CX_ENTITY,$B55,AI$11,AI$14,AI$44,),""),IF($I55=2,IFBLANK(_xldudf_CX_PUSH(AI55,CX_ENTITY,$B55,AI$11,AI$14,AI$44,),""),IF($I55=3,"",IFBLANK(_xldudf_CX_PUSH(AI55,CX_ENTITY,$B55,AI$11,AI$14,AI$44,),"")))))),"")</f>
        <v/>
      </c>
      <c r="DC55" s="1883" t="str" cm="1">
        <f t="array" ca="1" aca="1" ref="DC55">IFERROR(IF(AJ55*fxVal_normal=_CF!AJ55,"",IF(OR(AJ55="",NOT(ISNUMBER(AJ55)),ISERROR(AJ55),$B55=""),"",IF($I55=1,IFBLANK(_xldudf_CX_PUSH(AJ55*fxVal_normal,CX_ENTITY,$B55,AJ$11,AJ$14,AJ$44,),""),IF($I55=2,IFBLANK(_xldudf_CX_PUSH(AJ55,CX_ENTITY,$B55,AJ$11,AJ$14,AJ$44,),""),IF($I55=3,"",IFBLANK(_xldudf_CX_PUSH(AJ55,CX_ENTITY,$B55,AJ$11,AJ$14,AJ$44,),"")))))),"")</f>
        <v/>
      </c>
      <c r="DD55" s="1883" t="str" cm="1">
        <f t="array" ca="1" aca="1" ref="DD55">IFERROR(IF(AK55*fxVal_normal=_CF!AK55,"",IF(OR(AK55="",NOT(ISNUMBER(AK55)),ISERROR(AK55),$B55=""),"",IF($I55=1,IFBLANK(_xldudf_CX_PUSH(AK55*fxVal_normal,CX_ENTITY,$B55,AK$11,AK$14,AK$44,),""),IF($I55=2,IFBLANK(_xldudf_CX_PUSH(AK55,CX_ENTITY,$B55,AK$11,AK$14,AK$44,),""),IF($I55=3,"",IFBLANK(_xldudf_CX_PUSH(AK55,CX_ENTITY,$B55,AK$11,AK$14,AK$44,),"")))))),"")</f>
        <v/>
      </c>
      <c r="DE55" s="1883" t="str" cm="1">
        <f t="array" ca="1" aca="1" ref="DE55">IFERROR(IF(AL55*fxVal_normal=_CF!AL55,"",IF(OR(AL55="",NOT(ISNUMBER(AL55)),ISERROR(AL55),$B55=""),"",IF($I55=1,IFBLANK(_xldudf_CX_PUSH(AL55*fxVal_normal,CX_ENTITY,$B55,AL$11,AL$14,AL$44,),""),IF($I55=2,IFBLANK(_xldudf_CX_PUSH(AL55,CX_ENTITY,$B55,AL$11,AL$14,AL$44,),""),IF($I55=3,"",IFBLANK(_xldudf_CX_PUSH(AL55,CX_ENTITY,$B55,AL$11,AL$14,AL$44,),"")))))),"")</f>
        <v/>
      </c>
      <c r="DF55" s="1883" t="str" cm="1">
        <f t="array" ca="1" aca="1" ref="DF55">IFERROR(IF(AM55*fxVal_normal=_CF!AM55,"",IF(OR(AM55="",NOT(ISNUMBER(AM55)),ISERROR(AM55),$B55=""),"",IF($I55=1,IFBLANK(_xldudf_CX_PUSH(AM55*fxVal_normal,CX_ENTITY,$B55,AM$11,AM$14,AM$44,),""),IF($I55=2,IFBLANK(_xldudf_CX_PUSH(AM55,CX_ENTITY,$B55,AM$11,AM$14,AM$44,),""),IF($I55=3,"",IFBLANK(_xldudf_CX_PUSH(AM55,CX_ENTITY,$B55,AM$11,AM$14,AM$44,),"")))))),"")</f>
        <v/>
      </c>
      <c r="DG55" s="1883" t="str" cm="1">
        <f t="array" ca="1" aca="1" ref="DG55">IFERROR(IF(AN55*fxVal_normal=_CF!AN55,"",IF(OR(AN55="",NOT(ISNUMBER(AN55)),ISERROR(AN55),$B55=""),"",IF($I55=1,IFBLANK(_xldudf_CX_PUSH(AN55*fxVal_normal,CX_ENTITY,$B55,AN$11,AN$14,AN$44,),""),IF($I55=2,IFBLANK(_xldudf_CX_PUSH(AN55,CX_ENTITY,$B55,AN$11,AN$14,AN$44,),""),IF($I55=3,"",IFBLANK(_xldudf_CX_PUSH(AN55,CX_ENTITY,$B55,AN$11,AN$14,AN$44,),"")))))),"")</f>
        <v/>
      </c>
      <c r="DH55" s="1883" t="str" cm="1">
        <f t="array" ca="1" aca="1" ref="DH55">IFERROR(IF(AO55*fxVal_normal=_CF!AO55,"",IF(OR(AO55="",NOT(ISNUMBER(AO55)),ISERROR(AO55),$B55=""),"",IF($I55=1,IFBLANK(_xldudf_CX_PUSH(AO55*fxVal_normal,CX_ENTITY,$B55,AO$11,AO$14,AO$44,),""),IF($I55=2,IFBLANK(_xldudf_CX_PUSH(AO55,CX_ENTITY,$B55,AO$11,AO$14,AO$44,),""),IF($I55=3,"",IFBLANK(_xldudf_CX_PUSH(AO55,CX_ENTITY,$B55,AO$11,AO$14,AO$44,),"")))))),"")</f>
        <v/>
      </c>
      <c r="DI55" s="1883" t="str" cm="1">
        <f t="array" ca="1" aca="1" ref="DI55">IFERROR(IF(AP55*fxVal_normal=_CF!AP55,"",IF(OR(AP55="",NOT(ISNUMBER(AP55)),ISERROR(AP55),$B55=""),"",IF($I55=1,IFBLANK(_xldudf_CX_PUSH(AP55*fxVal_normal,CX_ENTITY,$B55,AP$11,AP$14,AP$44,),""),IF($I55=2,IFBLANK(_xldudf_CX_PUSH(AP55,CX_ENTITY,$B55,AP$11,AP$14,AP$44,),""),IF($I55=3,"",IFBLANK(_xldudf_CX_PUSH(AP55,CX_ENTITY,$B55,AP$11,AP$14,AP$44,),"")))))),"")</f>
        <v/>
      </c>
      <c r="DJ55" s="1883" t="str" cm="1">
        <f t="array" ca="1" aca="1" ref="DJ55">IFERROR(IF(AQ55*fxVal_normal=_CF!AQ55,"",IF(OR(AQ55="",NOT(ISNUMBER(AQ55)),ISERROR(AQ55),$B55=""),"",IF($I55=1,IFBLANK(_xldudf_CX_PUSH(AQ55*fxVal_normal,CX_ENTITY,$B55,AQ$11,AQ$14,AQ$44,),""),IF($I55=2,IFBLANK(_xldudf_CX_PUSH(AQ55,CX_ENTITY,$B55,AQ$11,AQ$14,AQ$44,),""),IF($I55=3,"",IFBLANK(_xldudf_CX_PUSH(AQ55,CX_ENTITY,$B55,AQ$11,AQ$14,AQ$44,),"")))))),"")</f>
        <v/>
      </c>
      <c r="DK55" s="1883" t="str" cm="1">
        <f t="array" ca="1" aca="1" ref="DK55">IFERROR(IF(AR55*fxVal_normal=_CF!AR55,"",IF(OR(AR55="",NOT(ISNUMBER(AR55)),ISERROR(AR55),$B55=""),"",IF($I55=1,IFBLANK(_xldudf_CX_PUSH(AR55*fxVal_normal,CX_ENTITY,$B55,AR$11,AR$14,AR$44,),""),IF($I55=2,IFBLANK(_xldudf_CX_PUSH(AR55,CX_ENTITY,$B55,AR$11,AR$14,AR$44,),""),IF($I55=3,"",IFBLANK(_xldudf_CX_PUSH(AR55,CX_ENTITY,$B55,AR$11,AR$14,AR$44,),"")))))),"")</f>
        <v/>
      </c>
      <c r="DL55" s="1883" t="str" cm="1">
        <f t="array" ca="1" aca="1" ref="DL55">IFERROR(IF(AS55*fxVal_normal=_CF!AS55,"",IF(OR(AS55="",NOT(ISNUMBER(AS55)),ISERROR(AS55),$B55=""),"",IF($I55=1,IFBLANK(_xldudf_CX_PUSH(AS55*fxVal_normal,CX_ENTITY,$B55,AS$11,AS$14,AS$44,),""),IF($I55=2,IFBLANK(_xldudf_CX_PUSH(AS55,CX_ENTITY,$B55,AS$11,AS$14,AS$44,),""),IF($I55=3,"",IFBLANK(_xldudf_CX_PUSH(AS55,CX_ENTITY,$B55,AS$11,AS$14,AS$44,),"")))))),"")</f>
        <v/>
      </c>
      <c r="DM55" s="1883" t="str" cm="1">
        <f t="array" ca="1" aca="1" ref="DM55">IFERROR(IF(AT55*fxVal_normal=_CF!AT55,"",IF(OR(AT55="",NOT(ISNUMBER(AT55)),ISERROR(AT55),$B55=""),"",IF($I55=1,IFBLANK(_xldudf_CX_PUSH(AT55*fxVal_normal,CX_ENTITY,$B55,AT$11,AT$14,AT$44,),""),IF($I55=2,IFBLANK(_xldudf_CX_PUSH(AT55,CX_ENTITY,$B55,AT$11,AT$14,AT$44,),""),IF($I55=3,"",IFBLANK(_xldudf_CX_PUSH(AT55,CX_ENTITY,$B55,AT$11,AT$14,AT$44,),"")))))),"")</f>
        <v/>
      </c>
      <c r="DN55" s="1883" t="str" cm="1">
        <f t="array" ca="1" aca="1" ref="DN55">IFERROR(IF(AU55*fxVal_normal=_CF!AU55,"",IF(OR(AU55="",NOT(ISNUMBER(AU55)),ISERROR(AU55),$B55=""),"",IF($I55=1,IFBLANK(_xldudf_CX_PUSH(AU55*fxVal_normal,CX_ENTITY,$B55,AU$11,AU$14,AU$44,),""),IF($I55=2,IFBLANK(_xldudf_CX_PUSH(AU55,CX_ENTITY,$B55,AU$11,AU$14,AU$44,),""),IF($I55=3,"",IFBLANK(_xldudf_CX_PUSH(AU55,CX_ENTITY,$B55,AU$11,AU$14,AU$44,),"")))))),"")</f>
        <v/>
      </c>
      <c r="DO55" s="1883" t="str" cm="1">
        <f t="array" ca="1" aca="1" ref="DO55">IFERROR(IF(AV55*fxVal_normal=_CF!AV55,"",IF(OR(AV55="",NOT(ISNUMBER(AV55)),ISERROR(AV55),$B55=""),"",IF($I55=1,IFBLANK(_xldudf_CX_PUSH(AV55*fxVal_normal,CX_ENTITY,$B55,AV$11,AV$14,AV$44,),""),IF($I55=2,IFBLANK(_xldudf_CX_PUSH(AV55,CX_ENTITY,$B55,AV$11,AV$14,AV$44,),""),IF($I55=3,"",IFBLANK(_xldudf_CX_PUSH(AV55,CX_ENTITY,$B55,AV$11,AV$14,AV$44,),"")))))),"")</f>
        <v/>
      </c>
      <c r="DP55" s="1883" t="str" cm="1">
        <f t="array" ca="1" aca="1" ref="DP55">IFERROR(IF(AW55*fxVal_normal=_CF!AW55,"",IF(OR(AW55="",NOT(ISNUMBER(AW55)),ISERROR(AW55),$B55=""),"",IF($I55=1,IFBLANK(_xldudf_CX_PUSH(AW55*fxVal_normal,CX_ENTITY,$B55,AW$11,AW$14,AW$44,),""),IF($I55=2,IFBLANK(_xldudf_CX_PUSH(AW55,CX_ENTITY,$B55,AW$11,AW$14,AW$44,),""),IF($I55=3,"",IFBLANK(_xldudf_CX_PUSH(AW55,CX_ENTITY,$B55,AW$11,AW$14,AW$44,),"")))))),"")</f>
        <v/>
      </c>
      <c r="DQ55" s="1883" t="str" cm="1">
        <f t="array" ca="1" aca="1" ref="DQ55">IFERROR(IF(AX55*fxVal_normal=_CF!AX55,"",IF(OR(AX55="",NOT(ISNUMBER(AX55)),ISERROR(AX55),$B55=""),"",IF($I55=1,IFBLANK(_xldudf_CX_PUSH(AX55*fxVal_normal,CX_ENTITY,$B55,AX$11,AX$14,AX$44,),""),IF($I55=2,IFBLANK(_xldudf_CX_PUSH(AX55,CX_ENTITY,$B55,AX$11,AX$14,AX$44,),""),IF($I55=3,"",IFBLANK(_xldudf_CX_PUSH(AX55,CX_ENTITY,$B55,AX$11,AX$14,AX$44,),"")))))),"")</f>
        <v/>
      </c>
      <c r="DR55" s="1883" t="str" cm="1">
        <f t="array" ca="1" aca="1" ref="DR55">IFERROR(IF(AY55*fxVal_normal=_CF!AY55,"",IF(OR(AY55="",NOT(ISNUMBER(AY55)),ISERROR(AY55),$B55=""),"",IF($I55=1,IFBLANK(_xldudf_CX_PUSH(AY55*fxVal_normal,CX_ENTITY,$B55,AY$11,AY$14,AY$44,),""),IF($I55=2,IFBLANK(_xldudf_CX_PUSH(AY55,CX_ENTITY,$B55,AY$11,AY$14,AY$44,),""),IF($I55=3,"",IFBLANK(_xldudf_CX_PUSH(AY55,CX_ENTITY,$B55,AY$11,AY$14,AY$44,),"")))))),"")</f>
        <v/>
      </c>
      <c r="DS55" s="1883" t="str" cm="1">
        <f t="array" ca="1" aca="1" ref="DS55">IFERROR(IF(AZ55*fxVal_normal=_CF!AZ55,"",IF(OR(AZ55="",NOT(ISNUMBER(AZ55)),ISERROR(AZ55),$B55=""),"",IF($I55=1,IFBLANK(_xldudf_CX_PUSH(AZ55*fxVal_normal,CX_ENTITY,$B55,AZ$11,AZ$14,AZ$44,),""),IF($I55=2,IFBLANK(_xldudf_CX_PUSH(AZ55,CX_ENTITY,$B55,AZ$11,AZ$14,AZ$44,),""),IF($I55=3,"",IFBLANK(_xldudf_CX_PUSH(AZ55,CX_ENTITY,$B55,AZ$11,AZ$14,AZ$44,),"")))))),"")</f>
        <v/>
      </c>
      <c r="DT55" s="1883" t="str" cm="1">
        <f t="array" ca="1" aca="1" ref="DT55">IFERROR(IF(BA55*fxVal_normal=_CF!BA55,"",IF(OR(BA55="",NOT(ISNUMBER(BA55)),ISERROR(BA55),$B55=""),"",IF($I55=1,IFBLANK(_xldudf_CX_PUSH(BA55*fxVal_normal,CX_ENTITY,$B55,BA$11,BA$14,BA$44,),""),IF($I55=2,IFBLANK(_xldudf_CX_PUSH(BA55,CX_ENTITY,$B55,BA$11,BA$14,BA$44,),""),IF($I55=3,"",IFBLANK(_xldudf_CX_PUSH(BA55,CX_ENTITY,$B55,BA$11,BA$14,BA$44,),"")))))),"")</f>
        <v/>
      </c>
      <c r="DU55" s="1883" t="str" cm="1">
        <f t="array" ca="1" aca="1" ref="DU55">IFERROR(IF(BB55*fxVal_normal=_CF!BB55,"",IF(OR(BB55="",NOT(ISNUMBER(BB55)),ISERROR(BB55),$B55=""),"",IF($I55=1,IFBLANK(_xldudf_CX_PUSH(BB55*fxVal_normal,CX_ENTITY,$B55,BB$11,BB$14,BB$44,),""),IF($I55=2,IFBLANK(_xldudf_CX_PUSH(BB55,CX_ENTITY,$B55,BB$11,BB$14,BB$44,),""),IF($I55=3,"",IFBLANK(_xldudf_CX_PUSH(BB55,CX_ENTITY,$B55,BB$11,BB$14,BB$44,),"")))))),"")</f>
        <v/>
      </c>
      <c r="DV55" s="1883" t="str" cm="1">
        <f t="array" ca="1" aca="1" ref="DV55">IFERROR(IF(BC55*fxVal_normal=_CF!BC55,"",IF(OR(BC55="",NOT(ISNUMBER(BC55)),ISERROR(BC55),$B55=""),"",IF($I55=1,IFBLANK(_xldudf_CX_PUSH(BC55*fxVal_normal,CX_ENTITY,$B55,BC$11,BC$14,BC$44,),""),IF($I55=2,IFBLANK(_xldudf_CX_PUSH(BC55,CX_ENTITY,$B55,BC$11,BC$14,BC$44,),""),IF($I55=3,"",IFBLANK(_xldudf_CX_PUSH(BC55,CX_ENTITY,$B55,BC$11,BC$14,BC$44,),"")))))),"")</f>
        <v/>
      </c>
      <c r="DW55" s="1883" t="str" cm="1">
        <f t="array" ca="1" aca="1" ref="DW55">IFERROR(IF(BD55*fxVal_normal=_CF!BD55,"",IF(OR(BD55="",NOT(ISNUMBER(BD55)),ISERROR(BD55),$B55=""),"",IF($I55=1,IFBLANK(_xldudf_CX_PUSH(BD55*fxVal_normal,CX_ENTITY,$B55,BD$11,BD$14,BD$44,),""),IF($I55=2,IFBLANK(_xldudf_CX_PUSH(BD55,CX_ENTITY,$B55,BD$11,BD$14,BD$44,),""),IF($I55=3,"",IFBLANK(_xldudf_CX_PUSH(BD55,CX_ENTITY,$B55,BD$11,BD$14,BD$44,),"")))))),"")</f>
        <v/>
      </c>
      <c r="DX55" s="1883" t="str" cm="1">
        <f t="array" ca="1" aca="1" ref="DX55">IFERROR(IF(BE55*fxVal_normal=_CF!BE55,"",IF(OR(BE55="",NOT(ISNUMBER(BE55)),ISERROR(BE55),$B55=""),"",IF($I55=1,IFBLANK(_xldudf_CX_PUSH(BE55*fxVal_normal,CX_ENTITY,$B55,BE$11,BE$14,BE$44,),""),IF($I55=2,IFBLANK(_xldudf_CX_PUSH(BE55,CX_ENTITY,$B55,BE$11,BE$14,BE$44,),""),IF($I55=3,"",IFBLANK(_xldudf_CX_PUSH(BE55,CX_ENTITY,$B55,BE$11,BE$14,BE$44,),"")))))),"")</f>
        <v/>
      </c>
      <c r="DY55" s="1883" t="str" cm="1">
        <f t="array" ca="1" aca="1" ref="DY55">IFERROR(IF(BF55*fxVal_normal=_CF!BF55,"",IF(OR(BF55="",NOT(ISNUMBER(BF55)),ISERROR(BF55),$B55=""),"",IF($I55=1,IFBLANK(_xldudf_CX_PUSH(BF55*fxVal_normal,CX_ENTITY,$B55,BF$11,BF$14,BF$44,),""),IF($I55=2,IFBLANK(_xldudf_CX_PUSH(BF55,CX_ENTITY,$B55,BF$11,BF$14,BF$44,),""),IF($I55=3,"",IFBLANK(_xldudf_CX_PUSH(BF55,CX_ENTITY,$B55,BF$11,BF$14,BF$44,),"")))))),"")</f>
        <v/>
      </c>
      <c r="DZ55" s="1883" t="str" cm="1">
        <f t="array" ca="1" aca="1" ref="DZ55">IFERROR(IF(BG55*fxVal_normal=_CF!BG55,"",IF(OR(BG55="",NOT(ISNUMBER(BG55)),ISERROR(BG55),$B55=""),"",IF($I55=1,IFBLANK(_xldudf_CX_PUSH(BG55*fxVal_normal,CX_ENTITY,$B55,BG$11,BG$14,BG$44,),""),IF($I55=2,IFBLANK(_xldudf_CX_PUSH(BG55,CX_ENTITY,$B55,BG$11,BG$14,BG$44,),""),IF($I55=3,"",IFBLANK(_xldudf_CX_PUSH(BG55,CX_ENTITY,$B55,BG$11,BG$14,BG$44,),"")))))),"")</f>
        <v/>
      </c>
      <c r="EA55" s="1883" t="str" cm="1">
        <f t="array" ca="1" aca="1" ref="EA55">IFERROR(IF(BH55*fxVal_normal=_CF!BH55,"",IF(OR(BH55="",NOT(ISNUMBER(BH55)),ISERROR(BH55),$B55=""),"",IF($I55=1,IFBLANK(_xldudf_CX_PUSH(BH55*fxVal_normal,CX_ENTITY,$B55,BH$11,BH$14,BH$44,),""),IF($I55=2,IFBLANK(_xldudf_CX_PUSH(BH55,CX_ENTITY,$B55,BH$11,BH$14,BH$44,),""),IF($I55=3,"",IFBLANK(_xldudf_CX_PUSH(BH55,CX_ENTITY,$B55,BH$11,BH$14,BH$44,),"")))))),"")</f>
        <v/>
      </c>
      <c r="EB55" s="1883" t="str" cm="1">
        <f t="array" ca="1" aca="1" ref="EB55">IFERROR(IF(BI55*fxVal_normal=_CF!BI55,"",IF(OR(BI55="",NOT(ISNUMBER(BI55)),ISERROR(BI55),$B55=""),"",IF($I55=1,IFBLANK(_xldudf_CX_PUSH(BI55*fxVal_normal,CX_ENTITY,$B55,BI$11,BI$14,BI$44,),""),IF($I55=2,IFBLANK(_xldudf_CX_PUSH(BI55,CX_ENTITY,$B55,BI$11,BI$14,BI$44,),""),IF($I55=3,"",IFBLANK(_xldudf_CX_PUSH(BI55,CX_ENTITY,$B55,BI$11,BI$14,BI$44,),"")))))),"")</f>
        <v/>
      </c>
      <c r="EC55" s="1883" t="str" cm="1">
        <f t="array" ca="1" aca="1" ref="EC55">IFERROR(IF(BJ55*fxVal_normal=_CF!BJ55,"",IF(OR(BJ55="",NOT(ISNUMBER(BJ55)),ISERROR(BJ55),$B55=""),"",IF($I55=1,IFBLANK(_xldudf_CX_PUSH(BJ55*fxVal_normal,CX_ENTITY,$B55,BJ$11,BJ$14,BJ$44,),""),IF($I55=2,IFBLANK(_xldudf_CX_PUSH(BJ55,CX_ENTITY,$B55,BJ$11,BJ$14,BJ$44,),""),IF($I55=3,"",IFBLANK(_xldudf_CX_PUSH(BJ55,CX_ENTITY,$B55,BJ$11,BJ$14,BJ$44,),"")))))),"")</f>
        <v/>
      </c>
      <c r="ED55" s="1883" t="str" cm="1">
        <f t="array" ca="1" aca="1" ref="ED55">IFERROR(IF(BK55*fxVal_normal=_CF!BK55,"",IF(OR(BK55="",NOT(ISNUMBER(BK55)),ISERROR(BK55),$B55=""),"",IF($I55=1,IFBLANK(_xldudf_CX_PUSH(BK55*fxVal_normal,CX_ENTITY,$B55,BK$11,BK$14,BK$44,),""),IF($I55=2,IFBLANK(_xldudf_CX_PUSH(BK55,CX_ENTITY,$B55,BK$11,BK$14,BK$44,),""),IF($I55=3,"",IFBLANK(_xldudf_CX_PUSH(BK55,CX_ENTITY,$B55,BK$11,BK$14,BK$44,),"")))))),"")</f>
        <v/>
      </c>
      <c r="EE55" s="1883" t="str" cm="1">
        <f t="array" ca="1" aca="1" ref="EE55">IFERROR(IF(BL55*fxVal_normal=_CF!BL55,"",IF(OR(BL55="",NOT(ISNUMBER(BL55)),ISERROR(BL55),$B55=""),"",IF($I55=1,IFBLANK(_xldudf_CX_PUSH(BL55*fxVal_normal,CX_ENTITY,$B55,BL$11,BL$14,BL$44,),""),IF($I55=2,IFBLANK(_xldudf_CX_PUSH(BL55,CX_ENTITY,$B55,BL$11,BL$14,BL$44,),""),IF($I55=3,"",IFBLANK(_xldudf_CX_PUSH(BL55,CX_ENTITY,$B55,BL$11,BL$14,BL$44,),"")))))),"")</f>
        <v/>
      </c>
      <c r="EF55" s="1883" t="str" cm="1">
        <f t="array" ca="1" aca="1" ref="EF55">IFERROR(IF(BM55*fxVal_normal=_CF!BM55,"",IF(OR(BM55="",NOT(ISNUMBER(BM55)),ISERROR(BM55),$B55=""),"",IF($I55=1,IFBLANK(_xldudf_CX_PUSH(BM55*fxVal_normal,CX_ENTITY,$B55,BM$11,BM$14,BM$44,),""),IF($I55=2,IFBLANK(_xldudf_CX_PUSH(BM55,CX_ENTITY,$B55,BM$11,BM$14,BM$44,),""),IF($I55=3,"",IFBLANK(_xldudf_CX_PUSH(BM55,CX_ENTITY,$B55,BM$11,BM$14,BM$44,),"")))))),"")</f>
        <v/>
      </c>
      <c r="EG55" s="1883" t="str" cm="1">
        <f t="array" ca="1" aca="1" ref="EG55">IFERROR(IF(BN55*fxVal_normal=_CF!BN55,"",IF(OR(BN55="",NOT(ISNUMBER(BN55)),ISERROR(BN55),$B55=""),"",IF($I55=1,IFBLANK(_xldudf_CX_PUSH(BN55*fxVal_normal,CX_ENTITY,$B55,BN$11,BN$14,BN$44,),""),IF($I55=2,IFBLANK(_xldudf_CX_PUSH(BN55,CX_ENTITY,$B55,BN$11,BN$14,BN$44,),""),IF($I55=3,"",IFBLANK(_xldudf_CX_PUSH(BN55,CX_ENTITY,$B55,BN$11,BN$14,BN$44,),"")))))),"")</f>
        <v/>
      </c>
    </row>
    <row r="56" spans="1:137" ht="21" customHeight="1">
      <c r="A56" s="1626"/>
      <c r="B56" s="811" t="str" cm="1">
        <f t="array" ref="B56">IFBLANK(_CF!F56,"")</f>
        <v>Levered Free Cash Flow (LFCF)</v>
      </c>
      <c r="C56" s="811" t="str" cm="1">
        <f t="array" ref="C56">IFBLANK(_CF!C56,"")</f>
        <v>Levered Free Cash Flow (LFCF) (Company View)</v>
      </c>
      <c r="D56" s="1549"/>
      <c r="E56" s="574"/>
      <c r="F56" s="574"/>
      <c r="G56" s="574"/>
      <c r="H56" s="3280">
        <v>2</v>
      </c>
      <c r="I56" s="3280">
        <v>1</v>
      </c>
      <c r="J56" s="401"/>
      <c r="K56" s="401"/>
      <c r="N56" s="158"/>
      <c r="O56" s="101"/>
      <c r="P56" s="52"/>
      <c r="Q56" s="101"/>
      <c r="R56" s="126"/>
      <c r="S56" s="101"/>
      <c r="T56" s="101"/>
      <c r="U56" s="39"/>
      <c r="W56" s="932" t="str">
        <f t="shared" si="8"/>
        <v>Budget</v>
      </c>
      <c r="X56" s="815">
        <f>_CF!X56</f>
        <v>0</v>
      </c>
      <c r="Y56" s="709" t="str">
        <f t="shared" si="6"/>
        <v>Levered Free Cash Flow (LFCF)</v>
      </c>
      <c r="Z56" s="198" cm="1">
        <f t="array" ref="Z56">_xlfn.SWITCH(TRUE,_CF!$L56=TRUE,1,_CF!$L56=FALSE,-1,_CF!$L56=-1,0,"n/a")</f>
        <v>0</v>
      </c>
      <c r="AA56" s="200"/>
      <c r="AB56" s="88" t="str">
        <f>_CF!AB56</f>
        <v>Levered Free Cash Flow (LFCF)</v>
      </c>
      <c r="AC56" s="88" t="str" cm="1">
        <f t="array" ca="1" aca="1" ref="AC56">_xlfn.LET(_xlpm._termname,$AB56,_xlpm._iconname,"find",_xlpm._icon,fx_getIcon(_xlpm._iconname),_xlpm._location,_xlfn.XLOOKUP(LOWER(_xlpm._termname),LOWER(tbl_acctDef[Term]),tbl_acctDef[Term]),_xlpm._hyperlink,HYPERLINK("#"&amp;CELL("address",_xlpm._location),_xlpm._icon),IFERROR(_xlpm._hyperlink,""))</f>
        <v/>
      </c>
      <c r="AD56" s="918">
        <f t="shared" si="11" ref="AD56:BN56">IFERROR(SUBTOTAL(9,AD45:AD55),"")</f>
        <v>11</v>
      </c>
      <c r="AE56" s="918">
        <f t="shared" si="11"/>
        <v>11</v>
      </c>
      <c r="AF56" s="918">
        <f t="shared" si="11"/>
        <v>11</v>
      </c>
      <c r="AG56" s="918">
        <f t="shared" si="11"/>
        <v>11</v>
      </c>
      <c r="AH56" s="918">
        <f t="shared" si="11"/>
        <v>11</v>
      </c>
      <c r="AI56" s="918">
        <f t="shared" si="11"/>
        <v>11</v>
      </c>
      <c r="AJ56" s="918">
        <f t="shared" si="11"/>
        <v>11</v>
      </c>
      <c r="AK56" s="918">
        <f t="shared" si="11"/>
        <v>11</v>
      </c>
      <c r="AL56" s="918">
        <f t="shared" si="11"/>
        <v>11</v>
      </c>
      <c r="AM56" s="918">
        <f t="shared" si="11"/>
        <v>11</v>
      </c>
      <c r="AN56" s="918">
        <f t="shared" si="11"/>
        <v>11</v>
      </c>
      <c r="AO56" s="918">
        <f t="shared" si="11"/>
        <v>11</v>
      </c>
      <c r="AP56" s="918">
        <f t="shared" si="11"/>
        <v>11</v>
      </c>
      <c r="AQ56" s="918">
        <f t="shared" si="11"/>
        <v>11</v>
      </c>
      <c r="AR56" s="918">
        <f t="shared" si="11"/>
        <v>11</v>
      </c>
      <c r="AS56" s="918">
        <f t="shared" si="11"/>
        <v>11</v>
      </c>
      <c r="AT56" s="918">
        <f t="shared" si="11"/>
        <v>11</v>
      </c>
      <c r="AU56" s="918">
        <f t="shared" si="11"/>
        <v>11</v>
      </c>
      <c r="AV56" s="918">
        <f t="shared" si="11"/>
        <v>11</v>
      </c>
      <c r="AW56" s="918">
        <f t="shared" si="11"/>
        <v>11</v>
      </c>
      <c r="AX56" s="918">
        <f t="shared" si="11"/>
        <v>11</v>
      </c>
      <c r="AY56" s="918">
        <f t="shared" si="11"/>
        <v>11</v>
      </c>
      <c r="AZ56" s="918">
        <f t="shared" si="11"/>
        <v>11</v>
      </c>
      <c r="BA56" s="918">
        <f t="shared" si="11"/>
        <v>11</v>
      </c>
      <c r="BB56" s="918">
        <f t="shared" si="11"/>
        <v>11</v>
      </c>
      <c r="BC56" s="918">
        <f t="shared" si="11"/>
        <v>11</v>
      </c>
      <c r="BD56" s="918">
        <f t="shared" si="11"/>
        <v>11</v>
      </c>
      <c r="BE56" s="918">
        <f t="shared" si="11"/>
        <v>11</v>
      </c>
      <c r="BF56" s="918">
        <f t="shared" si="11"/>
        <v>11</v>
      </c>
      <c r="BG56" s="918">
        <f t="shared" si="11"/>
        <v>11</v>
      </c>
      <c r="BH56" s="918">
        <f t="shared" si="11"/>
        <v>11</v>
      </c>
      <c r="BI56" s="918">
        <f t="shared" si="11"/>
        <v>11</v>
      </c>
      <c r="BJ56" s="918">
        <f t="shared" si="11"/>
        <v>11</v>
      </c>
      <c r="BK56" s="918">
        <f t="shared" si="11"/>
        <v>11</v>
      </c>
      <c r="BL56" s="918">
        <f t="shared" si="11"/>
        <v>11</v>
      </c>
      <c r="BM56" s="918">
        <f t="shared" si="11"/>
        <v>11</v>
      </c>
      <c r="BN56" s="935">
        <f t="shared" si="11"/>
        <v>11</v>
      </c>
      <c r="BO56" s="2114"/>
      <c r="BP56" s="2114"/>
      <c r="BQ56" s="2114"/>
      <c r="BR56" s="2114"/>
      <c r="BS56" s="2114"/>
      <c r="BT56" s="2114"/>
      <c r="BU56" s="2114"/>
      <c r="BV56" s="2114"/>
      <c r="BW56" s="2114"/>
      <c r="BX56" s="2114"/>
      <c r="BY56" s="2114"/>
      <c r="BZ56" s="2114"/>
      <c r="CA56" s="1330"/>
      <c r="CB56" s="537"/>
      <c r="CC56" s="1484"/>
      <c r="CD56" s="1461" t="e" cm="1">
        <f t="array" ca="1" aca="1" ref="CD56">_xlfn.LET(_xlpm.CheckBlank,SUM(CF!$AD56:$BN56)=0,IF(_xlpm.CheckBlank,"",SUM(_xlfn._xlws.FILTER(CF!$AD56:$BN56,(YEAR(CF!$AD$12:$BN$12)=CF!CD$12)*(array_timeline&lt;=CF!CD$11)))))</f>
        <v>#NAME?</v>
      </c>
      <c r="CE56" s="1461" t="e" cm="1">
        <f t="array" ca="1" aca="1" ref="CE56">_xlfn.LET(_xlpm.CheckBlank,SUM(CF!$AD56:$BN56)=0,IF(_xlpm.CheckBlank,"",SUM(_xlfn._xlws.FILTER(CF!$AD56:$BN56,(YEAR(CF!$AD$12:$BN$12)=CF!CE$12)*(array_timeline&lt;=CF!CE$11)))))</f>
        <v>#NAME?</v>
      </c>
      <c r="CF56" s="1314"/>
      <c r="CG56" s="1461" t="e" cm="1">
        <f t="array" ca="1" aca="1" ref="CG56">_xlfn.LET(_xlpm.CheckBlank,SUM(CF!$AD56:$BN56)=0,IF(_xlpm.CheckBlank,"",SUM(_xlfn._xlws.FILTER(CF!$AD56:$BN56,(YEAR(CF!$AD$12:$BN$12)=CF!CG$12)*(array_timeline&lt;=CF!CG$11)))))</f>
        <v>#NAME?</v>
      </c>
      <c r="CH56" s="1461" t="e" cm="1">
        <f t="array" ca="1" aca="1" ref="CH56">_xlfn.LET(_xlpm.CheckBlank,SUM(CF!$AD56:$BN56)=0,IF(_xlpm.CheckBlank,"",SUM(_xlfn._xlws.FILTER(CF!$AD56:$BN56,(YEAR(CF!$AD$12:$BN$12)=CF!CH$12)*(array_timeline&lt;=CF!CH$11)))))</f>
        <v>#NAME?</v>
      </c>
      <c r="CI56" s="1314"/>
      <c r="CJ56" s="1461" cm="1">
        <f t="array" ref="CJ56">_xlfn.LET(_xlpm.CheckBlank,SUM(CF!$AD56:$BN56)=0,IF(_xlpm.CheckBlank,"",SUM(_xlfn.TAKE(_xlfn.DROP(CF!$AD56:$BN56,,-DATEDIFF(CF!CJ$11,val_asOfDate,"M")),1,-12))))</f>
        <v>132</v>
      </c>
      <c r="CK56" s="1461" cm="1">
        <f t="array" ref="CK56">_xlfn.LET(_xlpm.CheckBlank,SUM(CF!$AD56:$BN56)=0,IF(_xlpm.CheckBlank,"",SUM(_xlfn.TAKE(_xlfn.DROP(CF!$AD56:$BN56,,-DATEDIFF(CF!CK$11,val_asOfDate,"M")),1,-12))))</f>
        <v>132</v>
      </c>
      <c r="CL56" s="1314"/>
      <c r="CM56" s="541" t="str">
        <f t="shared" ca="1" si="7"/>
        <v/>
      </c>
      <c r="CN56" s="541" t="str">
        <f t="shared" ca="1" si="7"/>
        <v/>
      </c>
      <c r="CO56" s="34"/>
      <c r="CW56" s="1883" t="str" cm="1">
        <f t="array" ca="1" aca="1" ref="CW56">IFERROR(IF(AD56*fxVal_normal=_CF!AD56,"",IF(OR(AD56="",NOT(ISNUMBER(AD56)),ISERROR(AD56),$B56=""),"",IF($I56=1,IFBLANK(_xldudf_CX_PUSH(AD56*fxVal_normal,CX_ENTITY,$B56,AD$11,AD$14,AD$44,),""),IF($I56=2,IFBLANK(_xldudf_CX_PUSH(AD56,CX_ENTITY,$B56,AD$11,AD$14,AD$44,),""),IF($I56=3,"",IFBLANK(_xldudf_CX_PUSH(AD56,CX_ENTITY,$B56,AD$11,AD$14,AD$44,),"")))))),"")</f>
        <v/>
      </c>
      <c r="CX56" s="1883" t="str" cm="1">
        <f t="array" ca="1" aca="1" ref="CX56">IFERROR(IF(AE56*fxVal_normal=_CF!AE56,"",IF(OR(AE56="",NOT(ISNUMBER(AE56)),ISERROR(AE56),$B56=""),"",IF($I56=1,IFBLANK(_xldudf_CX_PUSH(AE56*fxVal_normal,CX_ENTITY,$B56,AE$11,AE$14,AE$44,),""),IF($I56=2,IFBLANK(_xldudf_CX_PUSH(AE56,CX_ENTITY,$B56,AE$11,AE$14,AE$44,),""),IF($I56=3,"",IFBLANK(_xldudf_CX_PUSH(AE56,CX_ENTITY,$B56,AE$11,AE$14,AE$44,),"")))))),"")</f>
        <v/>
      </c>
      <c r="CY56" s="1883" t="str" cm="1">
        <f t="array" ca="1" aca="1" ref="CY56">IFERROR(IF(AF56*fxVal_normal=_CF!AF56,"",IF(OR(AF56="",NOT(ISNUMBER(AF56)),ISERROR(AF56),$B56=""),"",IF($I56=1,IFBLANK(_xldudf_CX_PUSH(AF56*fxVal_normal,CX_ENTITY,$B56,AF$11,AF$14,AF$44,),""),IF($I56=2,IFBLANK(_xldudf_CX_PUSH(AF56,CX_ENTITY,$B56,AF$11,AF$14,AF$44,),""),IF($I56=3,"",IFBLANK(_xldudf_CX_PUSH(AF56,CX_ENTITY,$B56,AF$11,AF$14,AF$44,),"")))))),"")</f>
        <v/>
      </c>
      <c r="CZ56" s="1883" t="str" cm="1">
        <f t="array" ca="1" aca="1" ref="CZ56">IFERROR(IF(AG56*fxVal_normal=_CF!AG56,"",IF(OR(AG56="",NOT(ISNUMBER(AG56)),ISERROR(AG56),$B56=""),"",IF($I56=1,IFBLANK(_xldudf_CX_PUSH(AG56*fxVal_normal,CX_ENTITY,$B56,AG$11,AG$14,AG$44,),""),IF($I56=2,IFBLANK(_xldudf_CX_PUSH(AG56,CX_ENTITY,$B56,AG$11,AG$14,AG$44,),""),IF($I56=3,"",IFBLANK(_xldudf_CX_PUSH(AG56,CX_ENTITY,$B56,AG$11,AG$14,AG$44,),"")))))),"")</f>
        <v/>
      </c>
      <c r="DA56" s="1883" t="str" cm="1">
        <f t="array" ca="1" aca="1" ref="DA56">IFERROR(IF(AH56*fxVal_normal=_CF!AH56,"",IF(OR(AH56="",NOT(ISNUMBER(AH56)),ISERROR(AH56),$B56=""),"",IF($I56=1,IFBLANK(_xldudf_CX_PUSH(AH56*fxVal_normal,CX_ENTITY,$B56,AH$11,AH$14,AH$44,),""),IF($I56=2,IFBLANK(_xldudf_CX_PUSH(AH56,CX_ENTITY,$B56,AH$11,AH$14,AH$44,),""),IF($I56=3,"",IFBLANK(_xldudf_CX_PUSH(AH56,CX_ENTITY,$B56,AH$11,AH$14,AH$44,),"")))))),"")</f>
        <v/>
      </c>
      <c r="DB56" s="1883" t="str" cm="1">
        <f t="array" ca="1" aca="1" ref="DB56">IFERROR(IF(AI56*fxVal_normal=_CF!AI56,"",IF(OR(AI56="",NOT(ISNUMBER(AI56)),ISERROR(AI56),$B56=""),"",IF($I56=1,IFBLANK(_xldudf_CX_PUSH(AI56*fxVal_normal,CX_ENTITY,$B56,AI$11,AI$14,AI$44,),""),IF($I56=2,IFBLANK(_xldudf_CX_PUSH(AI56,CX_ENTITY,$B56,AI$11,AI$14,AI$44,),""),IF($I56=3,"",IFBLANK(_xldudf_CX_PUSH(AI56,CX_ENTITY,$B56,AI$11,AI$14,AI$44,),"")))))),"")</f>
        <v/>
      </c>
      <c r="DC56" s="1883" t="str" cm="1">
        <f t="array" ca="1" aca="1" ref="DC56">IFERROR(IF(AJ56*fxVal_normal=_CF!AJ56,"",IF(OR(AJ56="",NOT(ISNUMBER(AJ56)),ISERROR(AJ56),$B56=""),"",IF($I56=1,IFBLANK(_xldudf_CX_PUSH(AJ56*fxVal_normal,CX_ENTITY,$B56,AJ$11,AJ$14,AJ$44,),""),IF($I56=2,IFBLANK(_xldudf_CX_PUSH(AJ56,CX_ENTITY,$B56,AJ$11,AJ$14,AJ$44,),""),IF($I56=3,"",IFBLANK(_xldudf_CX_PUSH(AJ56,CX_ENTITY,$B56,AJ$11,AJ$14,AJ$44,),"")))))),"")</f>
        <v/>
      </c>
      <c r="DD56" s="1883" t="str" cm="1">
        <f t="array" ca="1" aca="1" ref="DD56">IFERROR(IF(AK56*fxVal_normal=_CF!AK56,"",IF(OR(AK56="",NOT(ISNUMBER(AK56)),ISERROR(AK56),$B56=""),"",IF($I56=1,IFBLANK(_xldudf_CX_PUSH(AK56*fxVal_normal,CX_ENTITY,$B56,AK$11,AK$14,AK$44,),""),IF($I56=2,IFBLANK(_xldudf_CX_PUSH(AK56,CX_ENTITY,$B56,AK$11,AK$14,AK$44,),""),IF($I56=3,"",IFBLANK(_xldudf_CX_PUSH(AK56,CX_ENTITY,$B56,AK$11,AK$14,AK$44,),"")))))),"")</f>
        <v/>
      </c>
      <c r="DE56" s="1883" t="str" cm="1">
        <f t="array" ca="1" aca="1" ref="DE56">IFERROR(IF(AL56*fxVal_normal=_CF!AL56,"",IF(OR(AL56="",NOT(ISNUMBER(AL56)),ISERROR(AL56),$B56=""),"",IF($I56=1,IFBLANK(_xldudf_CX_PUSH(AL56*fxVal_normal,CX_ENTITY,$B56,AL$11,AL$14,AL$44,),""),IF($I56=2,IFBLANK(_xldudf_CX_PUSH(AL56,CX_ENTITY,$B56,AL$11,AL$14,AL$44,),""),IF($I56=3,"",IFBLANK(_xldudf_CX_PUSH(AL56,CX_ENTITY,$B56,AL$11,AL$14,AL$44,),"")))))),"")</f>
        <v/>
      </c>
      <c r="DF56" s="1883" t="str" cm="1">
        <f t="array" ca="1" aca="1" ref="DF56">IFERROR(IF(AM56*fxVal_normal=_CF!AM56,"",IF(OR(AM56="",NOT(ISNUMBER(AM56)),ISERROR(AM56),$B56=""),"",IF($I56=1,IFBLANK(_xldudf_CX_PUSH(AM56*fxVal_normal,CX_ENTITY,$B56,AM$11,AM$14,AM$44,),""),IF($I56=2,IFBLANK(_xldudf_CX_PUSH(AM56,CX_ENTITY,$B56,AM$11,AM$14,AM$44,),""),IF($I56=3,"",IFBLANK(_xldudf_CX_PUSH(AM56,CX_ENTITY,$B56,AM$11,AM$14,AM$44,),"")))))),"")</f>
        <v/>
      </c>
      <c r="DG56" s="1883" t="str" cm="1">
        <f t="array" ca="1" aca="1" ref="DG56">IFERROR(IF(AN56*fxVal_normal=_CF!AN56,"",IF(OR(AN56="",NOT(ISNUMBER(AN56)),ISERROR(AN56),$B56=""),"",IF($I56=1,IFBLANK(_xldudf_CX_PUSH(AN56*fxVal_normal,CX_ENTITY,$B56,AN$11,AN$14,AN$44,),""),IF($I56=2,IFBLANK(_xldudf_CX_PUSH(AN56,CX_ENTITY,$B56,AN$11,AN$14,AN$44,),""),IF($I56=3,"",IFBLANK(_xldudf_CX_PUSH(AN56,CX_ENTITY,$B56,AN$11,AN$14,AN$44,),"")))))),"")</f>
        <v/>
      </c>
      <c r="DH56" s="1883" t="str" cm="1">
        <f t="array" ca="1" aca="1" ref="DH56">IFERROR(IF(AO56*fxVal_normal=_CF!AO56,"",IF(OR(AO56="",NOT(ISNUMBER(AO56)),ISERROR(AO56),$B56=""),"",IF($I56=1,IFBLANK(_xldudf_CX_PUSH(AO56*fxVal_normal,CX_ENTITY,$B56,AO$11,AO$14,AO$44,),""),IF($I56=2,IFBLANK(_xldudf_CX_PUSH(AO56,CX_ENTITY,$B56,AO$11,AO$14,AO$44,),""),IF($I56=3,"",IFBLANK(_xldudf_CX_PUSH(AO56,CX_ENTITY,$B56,AO$11,AO$14,AO$44,),"")))))),"")</f>
        <v/>
      </c>
      <c r="DI56" s="1883" t="str" cm="1">
        <f t="array" ca="1" aca="1" ref="DI56">IFERROR(IF(AP56*fxVal_normal=_CF!AP56,"",IF(OR(AP56="",NOT(ISNUMBER(AP56)),ISERROR(AP56),$B56=""),"",IF($I56=1,IFBLANK(_xldudf_CX_PUSH(AP56*fxVal_normal,CX_ENTITY,$B56,AP$11,AP$14,AP$44,),""),IF($I56=2,IFBLANK(_xldudf_CX_PUSH(AP56,CX_ENTITY,$B56,AP$11,AP$14,AP$44,),""),IF($I56=3,"",IFBLANK(_xldudf_CX_PUSH(AP56,CX_ENTITY,$B56,AP$11,AP$14,AP$44,),"")))))),"")</f>
        <v/>
      </c>
      <c r="DJ56" s="1883" t="str" cm="1">
        <f t="array" ca="1" aca="1" ref="DJ56">IFERROR(IF(AQ56*fxVal_normal=_CF!AQ56,"",IF(OR(AQ56="",NOT(ISNUMBER(AQ56)),ISERROR(AQ56),$B56=""),"",IF($I56=1,IFBLANK(_xldudf_CX_PUSH(AQ56*fxVal_normal,CX_ENTITY,$B56,AQ$11,AQ$14,AQ$44,),""),IF($I56=2,IFBLANK(_xldudf_CX_PUSH(AQ56,CX_ENTITY,$B56,AQ$11,AQ$14,AQ$44,),""),IF($I56=3,"",IFBLANK(_xldudf_CX_PUSH(AQ56,CX_ENTITY,$B56,AQ$11,AQ$14,AQ$44,),"")))))),"")</f>
        <v/>
      </c>
      <c r="DK56" s="1883" t="str" cm="1">
        <f t="array" ca="1" aca="1" ref="DK56">IFERROR(IF(AR56*fxVal_normal=_CF!AR56,"",IF(OR(AR56="",NOT(ISNUMBER(AR56)),ISERROR(AR56),$B56=""),"",IF($I56=1,IFBLANK(_xldudf_CX_PUSH(AR56*fxVal_normal,CX_ENTITY,$B56,AR$11,AR$14,AR$44,),""),IF($I56=2,IFBLANK(_xldudf_CX_PUSH(AR56,CX_ENTITY,$B56,AR$11,AR$14,AR$44,),""),IF($I56=3,"",IFBLANK(_xldudf_CX_PUSH(AR56,CX_ENTITY,$B56,AR$11,AR$14,AR$44,),"")))))),"")</f>
        <v/>
      </c>
      <c r="DL56" s="1883" t="str" cm="1">
        <f t="array" ca="1" aca="1" ref="DL56">IFERROR(IF(AS56*fxVal_normal=_CF!AS56,"",IF(OR(AS56="",NOT(ISNUMBER(AS56)),ISERROR(AS56),$B56=""),"",IF($I56=1,IFBLANK(_xldudf_CX_PUSH(AS56*fxVal_normal,CX_ENTITY,$B56,AS$11,AS$14,AS$44,),""),IF($I56=2,IFBLANK(_xldudf_CX_PUSH(AS56,CX_ENTITY,$B56,AS$11,AS$14,AS$44,),""),IF($I56=3,"",IFBLANK(_xldudf_CX_PUSH(AS56,CX_ENTITY,$B56,AS$11,AS$14,AS$44,),"")))))),"")</f>
        <v/>
      </c>
      <c r="DM56" s="1883" t="str" cm="1">
        <f t="array" ca="1" aca="1" ref="DM56">IFERROR(IF(AT56*fxVal_normal=_CF!AT56,"",IF(OR(AT56="",NOT(ISNUMBER(AT56)),ISERROR(AT56),$B56=""),"",IF($I56=1,IFBLANK(_xldudf_CX_PUSH(AT56*fxVal_normal,CX_ENTITY,$B56,AT$11,AT$14,AT$44,),""),IF($I56=2,IFBLANK(_xldudf_CX_PUSH(AT56,CX_ENTITY,$B56,AT$11,AT$14,AT$44,),""),IF($I56=3,"",IFBLANK(_xldudf_CX_PUSH(AT56,CX_ENTITY,$B56,AT$11,AT$14,AT$44,),"")))))),"")</f>
        <v/>
      </c>
      <c r="DN56" s="1883" t="str" cm="1">
        <f t="array" ca="1" aca="1" ref="DN56">IFERROR(IF(AU56*fxVal_normal=_CF!AU56,"",IF(OR(AU56="",NOT(ISNUMBER(AU56)),ISERROR(AU56),$B56=""),"",IF($I56=1,IFBLANK(_xldudf_CX_PUSH(AU56*fxVal_normal,CX_ENTITY,$B56,AU$11,AU$14,AU$44,),""),IF($I56=2,IFBLANK(_xldudf_CX_PUSH(AU56,CX_ENTITY,$B56,AU$11,AU$14,AU$44,),""),IF($I56=3,"",IFBLANK(_xldudf_CX_PUSH(AU56,CX_ENTITY,$B56,AU$11,AU$14,AU$44,),"")))))),"")</f>
        <v/>
      </c>
      <c r="DO56" s="1883" t="str" cm="1">
        <f t="array" ca="1" aca="1" ref="DO56">IFERROR(IF(AV56*fxVal_normal=_CF!AV56,"",IF(OR(AV56="",NOT(ISNUMBER(AV56)),ISERROR(AV56),$B56=""),"",IF($I56=1,IFBLANK(_xldudf_CX_PUSH(AV56*fxVal_normal,CX_ENTITY,$B56,AV$11,AV$14,AV$44,),""),IF($I56=2,IFBLANK(_xldudf_CX_PUSH(AV56,CX_ENTITY,$B56,AV$11,AV$14,AV$44,),""),IF($I56=3,"",IFBLANK(_xldudf_CX_PUSH(AV56,CX_ENTITY,$B56,AV$11,AV$14,AV$44,),"")))))),"")</f>
        <v/>
      </c>
      <c r="DP56" s="1883" t="str" cm="1">
        <f t="array" ca="1" aca="1" ref="DP56">IFERROR(IF(AW56*fxVal_normal=_CF!AW56,"",IF(OR(AW56="",NOT(ISNUMBER(AW56)),ISERROR(AW56),$B56=""),"",IF($I56=1,IFBLANK(_xldudf_CX_PUSH(AW56*fxVal_normal,CX_ENTITY,$B56,AW$11,AW$14,AW$44,),""),IF($I56=2,IFBLANK(_xldudf_CX_PUSH(AW56,CX_ENTITY,$B56,AW$11,AW$14,AW$44,),""),IF($I56=3,"",IFBLANK(_xldudf_CX_PUSH(AW56,CX_ENTITY,$B56,AW$11,AW$14,AW$44,),"")))))),"")</f>
        <v/>
      </c>
      <c r="DQ56" s="1883" t="str" cm="1">
        <f t="array" ca="1" aca="1" ref="DQ56">IFERROR(IF(AX56*fxVal_normal=_CF!AX56,"",IF(OR(AX56="",NOT(ISNUMBER(AX56)),ISERROR(AX56),$B56=""),"",IF($I56=1,IFBLANK(_xldudf_CX_PUSH(AX56*fxVal_normal,CX_ENTITY,$B56,AX$11,AX$14,AX$44,),""),IF($I56=2,IFBLANK(_xldudf_CX_PUSH(AX56,CX_ENTITY,$B56,AX$11,AX$14,AX$44,),""),IF($I56=3,"",IFBLANK(_xldudf_CX_PUSH(AX56,CX_ENTITY,$B56,AX$11,AX$14,AX$44,),"")))))),"")</f>
        <v/>
      </c>
      <c r="DR56" s="1883" t="str" cm="1">
        <f t="array" ca="1" aca="1" ref="DR56">IFERROR(IF(AY56*fxVal_normal=_CF!AY56,"",IF(OR(AY56="",NOT(ISNUMBER(AY56)),ISERROR(AY56),$B56=""),"",IF($I56=1,IFBLANK(_xldudf_CX_PUSH(AY56*fxVal_normal,CX_ENTITY,$B56,AY$11,AY$14,AY$44,),""),IF($I56=2,IFBLANK(_xldudf_CX_PUSH(AY56,CX_ENTITY,$B56,AY$11,AY$14,AY$44,),""),IF($I56=3,"",IFBLANK(_xldudf_CX_PUSH(AY56,CX_ENTITY,$B56,AY$11,AY$14,AY$44,),"")))))),"")</f>
        <v/>
      </c>
      <c r="DS56" s="1883" t="str" cm="1">
        <f t="array" ca="1" aca="1" ref="DS56">IFERROR(IF(AZ56*fxVal_normal=_CF!AZ56,"",IF(OR(AZ56="",NOT(ISNUMBER(AZ56)),ISERROR(AZ56),$B56=""),"",IF($I56=1,IFBLANK(_xldudf_CX_PUSH(AZ56*fxVal_normal,CX_ENTITY,$B56,AZ$11,AZ$14,AZ$44,),""),IF($I56=2,IFBLANK(_xldudf_CX_PUSH(AZ56,CX_ENTITY,$B56,AZ$11,AZ$14,AZ$44,),""),IF($I56=3,"",IFBLANK(_xldudf_CX_PUSH(AZ56,CX_ENTITY,$B56,AZ$11,AZ$14,AZ$44,),"")))))),"")</f>
        <v/>
      </c>
      <c r="DT56" s="1883" t="str" cm="1">
        <f t="array" ca="1" aca="1" ref="DT56">IFERROR(IF(BA56*fxVal_normal=_CF!BA56,"",IF(OR(BA56="",NOT(ISNUMBER(BA56)),ISERROR(BA56),$B56=""),"",IF($I56=1,IFBLANK(_xldudf_CX_PUSH(BA56*fxVal_normal,CX_ENTITY,$B56,BA$11,BA$14,BA$44,),""),IF($I56=2,IFBLANK(_xldudf_CX_PUSH(BA56,CX_ENTITY,$B56,BA$11,BA$14,BA$44,),""),IF($I56=3,"",IFBLANK(_xldudf_CX_PUSH(BA56,CX_ENTITY,$B56,BA$11,BA$14,BA$44,),"")))))),"")</f>
        <v/>
      </c>
      <c r="DU56" s="1883" t="str" cm="1">
        <f t="array" ca="1" aca="1" ref="DU56">IFERROR(IF(BB56*fxVal_normal=_CF!BB56,"",IF(OR(BB56="",NOT(ISNUMBER(BB56)),ISERROR(BB56),$B56=""),"",IF($I56=1,IFBLANK(_xldudf_CX_PUSH(BB56*fxVal_normal,CX_ENTITY,$B56,BB$11,BB$14,BB$44,),""),IF($I56=2,IFBLANK(_xldudf_CX_PUSH(BB56,CX_ENTITY,$B56,BB$11,BB$14,BB$44,),""),IF($I56=3,"",IFBLANK(_xldudf_CX_PUSH(BB56,CX_ENTITY,$B56,BB$11,BB$14,BB$44,),"")))))),"")</f>
        <v/>
      </c>
      <c r="DV56" s="1883" t="str" cm="1">
        <f t="array" ca="1" aca="1" ref="DV56">IFERROR(IF(BC56*fxVal_normal=_CF!BC56,"",IF(OR(BC56="",NOT(ISNUMBER(BC56)),ISERROR(BC56),$B56=""),"",IF($I56=1,IFBLANK(_xldudf_CX_PUSH(BC56*fxVal_normal,CX_ENTITY,$B56,BC$11,BC$14,BC$44,),""),IF($I56=2,IFBLANK(_xldudf_CX_PUSH(BC56,CX_ENTITY,$B56,BC$11,BC$14,BC$44,),""),IF($I56=3,"",IFBLANK(_xldudf_CX_PUSH(BC56,CX_ENTITY,$B56,BC$11,BC$14,BC$44,),"")))))),"")</f>
        <v/>
      </c>
      <c r="DW56" s="1883" t="str" cm="1">
        <f t="array" ca="1" aca="1" ref="DW56">IFERROR(IF(BD56*fxVal_normal=_CF!BD56,"",IF(OR(BD56="",NOT(ISNUMBER(BD56)),ISERROR(BD56),$B56=""),"",IF($I56=1,IFBLANK(_xldudf_CX_PUSH(BD56*fxVal_normal,CX_ENTITY,$B56,BD$11,BD$14,BD$44,),""),IF($I56=2,IFBLANK(_xldudf_CX_PUSH(BD56,CX_ENTITY,$B56,BD$11,BD$14,BD$44,),""),IF($I56=3,"",IFBLANK(_xldudf_CX_PUSH(BD56,CX_ENTITY,$B56,BD$11,BD$14,BD$44,),"")))))),"")</f>
        <v/>
      </c>
      <c r="DX56" s="1883" t="str" cm="1">
        <f t="array" ca="1" aca="1" ref="DX56">IFERROR(IF(BE56*fxVal_normal=_CF!BE56,"",IF(OR(BE56="",NOT(ISNUMBER(BE56)),ISERROR(BE56),$B56=""),"",IF($I56=1,IFBLANK(_xldudf_CX_PUSH(BE56*fxVal_normal,CX_ENTITY,$B56,BE$11,BE$14,BE$44,),""),IF($I56=2,IFBLANK(_xldudf_CX_PUSH(BE56,CX_ENTITY,$B56,BE$11,BE$14,BE$44,),""),IF($I56=3,"",IFBLANK(_xldudf_CX_PUSH(BE56,CX_ENTITY,$B56,BE$11,BE$14,BE$44,),"")))))),"")</f>
        <v/>
      </c>
      <c r="DY56" s="1883" t="str" cm="1">
        <f t="array" ca="1" aca="1" ref="DY56">IFERROR(IF(BF56*fxVal_normal=_CF!BF56,"",IF(OR(BF56="",NOT(ISNUMBER(BF56)),ISERROR(BF56),$B56=""),"",IF($I56=1,IFBLANK(_xldudf_CX_PUSH(BF56*fxVal_normal,CX_ENTITY,$B56,BF$11,BF$14,BF$44,),""),IF($I56=2,IFBLANK(_xldudf_CX_PUSH(BF56,CX_ENTITY,$B56,BF$11,BF$14,BF$44,),""),IF($I56=3,"",IFBLANK(_xldudf_CX_PUSH(BF56,CX_ENTITY,$B56,BF$11,BF$14,BF$44,),"")))))),"")</f>
        <v/>
      </c>
      <c r="DZ56" s="1883" t="str" cm="1">
        <f t="array" ca="1" aca="1" ref="DZ56">IFERROR(IF(BG56*fxVal_normal=_CF!BG56,"",IF(OR(BG56="",NOT(ISNUMBER(BG56)),ISERROR(BG56),$B56=""),"",IF($I56=1,IFBLANK(_xldudf_CX_PUSH(BG56*fxVal_normal,CX_ENTITY,$B56,BG$11,BG$14,BG$44,),""),IF($I56=2,IFBLANK(_xldudf_CX_PUSH(BG56,CX_ENTITY,$B56,BG$11,BG$14,BG$44,),""),IF($I56=3,"",IFBLANK(_xldudf_CX_PUSH(BG56,CX_ENTITY,$B56,BG$11,BG$14,BG$44,),"")))))),"")</f>
        <v/>
      </c>
      <c r="EA56" s="1883" t="str" cm="1">
        <f t="array" ca="1" aca="1" ref="EA56">IFERROR(IF(BH56*fxVal_normal=_CF!BH56,"",IF(OR(BH56="",NOT(ISNUMBER(BH56)),ISERROR(BH56),$B56=""),"",IF($I56=1,IFBLANK(_xldudf_CX_PUSH(BH56*fxVal_normal,CX_ENTITY,$B56,BH$11,BH$14,BH$44,),""),IF($I56=2,IFBLANK(_xldudf_CX_PUSH(BH56,CX_ENTITY,$B56,BH$11,BH$14,BH$44,),""),IF($I56=3,"",IFBLANK(_xldudf_CX_PUSH(BH56,CX_ENTITY,$B56,BH$11,BH$14,BH$44,),"")))))),"")</f>
        <v/>
      </c>
      <c r="EB56" s="1883" t="str" cm="1">
        <f t="array" ca="1" aca="1" ref="EB56">IFERROR(IF(BI56*fxVal_normal=_CF!BI56,"",IF(OR(BI56="",NOT(ISNUMBER(BI56)),ISERROR(BI56),$B56=""),"",IF($I56=1,IFBLANK(_xldudf_CX_PUSH(BI56*fxVal_normal,CX_ENTITY,$B56,BI$11,BI$14,BI$44,),""),IF($I56=2,IFBLANK(_xldudf_CX_PUSH(BI56,CX_ENTITY,$B56,BI$11,BI$14,BI$44,),""),IF($I56=3,"",IFBLANK(_xldudf_CX_PUSH(BI56,CX_ENTITY,$B56,BI$11,BI$14,BI$44,),"")))))),"")</f>
        <v/>
      </c>
      <c r="EC56" s="1883" t="str" cm="1">
        <f t="array" ca="1" aca="1" ref="EC56">IFERROR(IF(BJ56*fxVal_normal=_CF!BJ56,"",IF(OR(BJ56="",NOT(ISNUMBER(BJ56)),ISERROR(BJ56),$B56=""),"",IF($I56=1,IFBLANK(_xldudf_CX_PUSH(BJ56*fxVal_normal,CX_ENTITY,$B56,BJ$11,BJ$14,BJ$44,),""),IF($I56=2,IFBLANK(_xldudf_CX_PUSH(BJ56,CX_ENTITY,$B56,BJ$11,BJ$14,BJ$44,),""),IF($I56=3,"",IFBLANK(_xldudf_CX_PUSH(BJ56,CX_ENTITY,$B56,BJ$11,BJ$14,BJ$44,),"")))))),"")</f>
        <v/>
      </c>
      <c r="ED56" s="1883" t="str" cm="1">
        <f t="array" ca="1" aca="1" ref="ED56">IFERROR(IF(BK56*fxVal_normal=_CF!BK56,"",IF(OR(BK56="",NOT(ISNUMBER(BK56)),ISERROR(BK56),$B56=""),"",IF($I56=1,IFBLANK(_xldudf_CX_PUSH(BK56*fxVal_normal,CX_ENTITY,$B56,BK$11,BK$14,BK$44,),""),IF($I56=2,IFBLANK(_xldudf_CX_PUSH(BK56,CX_ENTITY,$B56,BK$11,BK$14,BK$44,),""),IF($I56=3,"",IFBLANK(_xldudf_CX_PUSH(BK56,CX_ENTITY,$B56,BK$11,BK$14,BK$44,),"")))))),"")</f>
        <v/>
      </c>
      <c r="EE56" s="1883" t="str" cm="1">
        <f t="array" ca="1" aca="1" ref="EE56">IFERROR(IF(BL56*fxVal_normal=_CF!BL56,"",IF(OR(BL56="",NOT(ISNUMBER(BL56)),ISERROR(BL56),$B56=""),"",IF($I56=1,IFBLANK(_xldudf_CX_PUSH(BL56*fxVal_normal,CX_ENTITY,$B56,BL$11,BL$14,BL$44,),""),IF($I56=2,IFBLANK(_xldudf_CX_PUSH(BL56,CX_ENTITY,$B56,BL$11,BL$14,BL$44,),""),IF($I56=3,"",IFBLANK(_xldudf_CX_PUSH(BL56,CX_ENTITY,$B56,BL$11,BL$14,BL$44,),"")))))),"")</f>
        <v/>
      </c>
      <c r="EF56" s="1883" t="str" cm="1">
        <f t="array" ca="1" aca="1" ref="EF56">IFERROR(IF(BM56*fxVal_normal=_CF!BM56,"",IF(OR(BM56="",NOT(ISNUMBER(BM56)),ISERROR(BM56),$B56=""),"",IF($I56=1,IFBLANK(_xldudf_CX_PUSH(BM56*fxVal_normal,CX_ENTITY,$B56,BM$11,BM$14,BM$44,),""),IF($I56=2,IFBLANK(_xldudf_CX_PUSH(BM56,CX_ENTITY,$B56,BM$11,BM$14,BM$44,),""),IF($I56=3,"",IFBLANK(_xldudf_CX_PUSH(BM56,CX_ENTITY,$B56,BM$11,BM$14,BM$44,),"")))))),"")</f>
        <v/>
      </c>
      <c r="EG56" s="1883" t="str" cm="1">
        <f t="array" ca="1" aca="1" ref="EG56">IFERROR(IF(BN56*fxVal_normal=_CF!BN56,"",IF(OR(BN56="",NOT(ISNUMBER(BN56)),ISERROR(BN56),$B56=""),"",IF($I56=1,IFBLANK(_xldudf_CX_PUSH(BN56*fxVal_normal,CX_ENTITY,$B56,BN$11,BN$14,BN$44,),""),IF($I56=2,IFBLANK(_xldudf_CX_PUSH(BN56,CX_ENTITY,$B56,BN$11,BN$14,BN$44,),""),IF($I56=3,"",IFBLANK(_xldudf_CX_PUSH(BN56,CX_ENTITY,$B56,BN$11,BN$14,BN$44,),"")))))),"")</f>
        <v/>
      </c>
    </row>
    <row r="57" spans="1:137" ht="21" customHeight="1">
      <c r="A57" s="1626"/>
      <c r="B57" s="811" t="str" cm="1">
        <f t="array" ref="B57">IFBLANK(_CF!F57,"")</f>
        <v>Financing Proceeds</v>
      </c>
      <c r="C57" s="811" t="str" cm="1">
        <f t="array" ref="C57">IFBLANK(_CF!C57,"")</f>
        <v>Financing Proceeds (Company View)</v>
      </c>
      <c r="D57" s="1549"/>
      <c r="E57" s="574"/>
      <c r="F57" s="574"/>
      <c r="G57" s="574"/>
      <c r="H57" s="3280">
        <v>1</v>
      </c>
      <c r="I57" s="3280">
        <v>1</v>
      </c>
      <c r="J57" s="401"/>
      <c r="K57" s="401"/>
      <c r="N57" s="158"/>
      <c r="O57" s="101"/>
      <c r="P57" s="52"/>
      <c r="Q57" s="101"/>
      <c r="R57" s="126"/>
      <c r="S57" s="101"/>
      <c r="T57" s="101"/>
      <c r="U57" s="39"/>
      <c r="W57" s="932" t="str">
        <f t="shared" si="8"/>
        <v>Budget</v>
      </c>
      <c r="X57" s="3299">
        <f>_CF!X57</f>
        <v>1</v>
      </c>
      <c r="Y57" s="3192">
        <f t="shared" si="6"/>
        <v>2</v>
      </c>
      <c r="Z57" s="3291" cm="1">
        <f t="array" ref="Z57">_xlfn.SWITCH(TRUE,_CF!$L57=TRUE,1,_CF!$L57=FALSE,-1,_CF!$L57=-1,0,"n/a")</f>
        <v>1</v>
      </c>
      <c r="AA57" s="200"/>
      <c r="AB57" s="88" t="str">
        <f>_CF!AB57</f>
        <v>Financing Proceeds</v>
      </c>
      <c r="AC57" s="88" t="e" vm="5" cm="1">
        <f t="array" ca="1" aca="1" ref="AC57">_xlfn.LET(_xlpm._termname,$AB57,_xlpm._iconname,"find",_xlpm._icon,fx_getIcon(_xlpm._iconname),_xlpm._location,_xlfn.XLOOKUP(LOWER(_xlpm._termname),LOWER(tbl_acctDef[Term]),tbl_acctDef[Term]),_xlpm._hyperlink,HYPERLINK("#"&amp;CELL("address",_xlpm._location),_xlpm._icon),IFERROR(_xlpm._hyperlink,""))</f>
        <v>#VALUE!</v>
      </c>
      <c r="AD57" s="3232">
        <v>1</v>
      </c>
      <c r="AE57" s="3232">
        <v>1</v>
      </c>
      <c r="AF57" s="3232">
        <v>1</v>
      </c>
      <c r="AG57" s="3232">
        <v>1</v>
      </c>
      <c r="AH57" s="3232">
        <v>1</v>
      </c>
      <c r="AI57" s="3232">
        <v>1</v>
      </c>
      <c r="AJ57" s="3232">
        <v>1</v>
      </c>
      <c r="AK57" s="3232">
        <v>1</v>
      </c>
      <c r="AL57" s="3232">
        <v>1</v>
      </c>
      <c r="AM57" s="3232">
        <v>1</v>
      </c>
      <c r="AN57" s="3232">
        <v>1</v>
      </c>
      <c r="AO57" s="3232">
        <v>1</v>
      </c>
      <c r="AP57" s="3232">
        <v>1</v>
      </c>
      <c r="AQ57" s="3232">
        <v>1</v>
      </c>
      <c r="AR57" s="3232">
        <v>1</v>
      </c>
      <c r="AS57" s="3232">
        <v>1</v>
      </c>
      <c r="AT57" s="3232">
        <v>1</v>
      </c>
      <c r="AU57" s="3232">
        <v>1</v>
      </c>
      <c r="AV57" s="3232">
        <v>1</v>
      </c>
      <c r="AW57" s="3232">
        <v>1</v>
      </c>
      <c r="AX57" s="3232">
        <v>1</v>
      </c>
      <c r="AY57" s="3232">
        <v>1</v>
      </c>
      <c r="AZ57" s="3232">
        <v>1</v>
      </c>
      <c r="BA57" s="3232">
        <v>1</v>
      </c>
      <c r="BB57" s="3232">
        <v>1</v>
      </c>
      <c r="BC57" s="3232">
        <v>1</v>
      </c>
      <c r="BD57" s="3232">
        <v>1</v>
      </c>
      <c r="BE57" s="3232">
        <v>1</v>
      </c>
      <c r="BF57" s="3232">
        <v>1</v>
      </c>
      <c r="BG57" s="3232">
        <v>1</v>
      </c>
      <c r="BH57" s="3232">
        <v>1</v>
      </c>
      <c r="BI57" s="3232">
        <v>1</v>
      </c>
      <c r="BJ57" s="3232">
        <v>1</v>
      </c>
      <c r="BK57" s="3232">
        <v>1</v>
      </c>
      <c r="BL57" s="3232">
        <v>1</v>
      </c>
      <c r="BM57" s="3232">
        <v>1</v>
      </c>
      <c r="BN57" s="3232">
        <v>1</v>
      </c>
      <c r="BO57" s="2115"/>
      <c r="BP57" s="2115"/>
      <c r="BQ57" s="2115"/>
      <c r="BR57" s="2115"/>
      <c r="BS57" s="2115"/>
      <c r="BT57" s="2115"/>
      <c r="BU57" s="2115"/>
      <c r="BV57" s="2115"/>
      <c r="BW57" s="2115"/>
      <c r="BX57" s="2115"/>
      <c r="BY57" s="2115"/>
      <c r="BZ57" s="2115"/>
      <c r="CA57" s="1330"/>
      <c r="CB57" s="537"/>
      <c r="CC57" s="1484"/>
      <c r="CD57" s="1461" t="e" cm="1">
        <f t="array" ca="1" aca="1" ref="CD57">_xlfn.LET(_xlpm.CheckBlank,SUM(CF!$AD57:$BN57)=0,IF(_xlpm.CheckBlank,"",SUM(_xlfn._xlws.FILTER(CF!$AD57:$BN57,(YEAR(CF!$AD$12:$BN$12)=CF!CD$12)*(array_timeline&lt;=CF!CD$11)))))</f>
        <v>#NAME?</v>
      </c>
      <c r="CE57" s="1461" t="e" cm="1">
        <f t="array" ca="1" aca="1" ref="CE57">_xlfn.LET(_xlpm.CheckBlank,SUM(CF!$AD57:$BN57)=0,IF(_xlpm.CheckBlank,"",SUM(_xlfn._xlws.FILTER(CF!$AD57:$BN57,(YEAR(CF!$AD$12:$BN$12)=CF!CE$12)*(array_timeline&lt;=CF!CE$11)))))</f>
        <v>#NAME?</v>
      </c>
      <c r="CF57" s="1314"/>
      <c r="CG57" s="1461" t="e" cm="1">
        <f t="array" ca="1" aca="1" ref="CG57">_xlfn.LET(_xlpm.CheckBlank,SUM(CF!$AD57:$BN57)=0,IF(_xlpm.CheckBlank,"",SUM(_xlfn._xlws.FILTER(CF!$AD57:$BN57,(YEAR(CF!$AD$12:$BN$12)=CF!CG$12)*(array_timeline&lt;=CF!CG$11)))))</f>
        <v>#NAME?</v>
      </c>
      <c r="CH57" s="1461" t="e" cm="1">
        <f t="array" ca="1" aca="1" ref="CH57">_xlfn.LET(_xlpm.CheckBlank,SUM(CF!$AD57:$BN57)=0,IF(_xlpm.CheckBlank,"",SUM(_xlfn._xlws.FILTER(CF!$AD57:$BN57,(YEAR(CF!$AD$12:$BN$12)=CF!CH$12)*(array_timeline&lt;=CF!CH$11)))))</f>
        <v>#NAME?</v>
      </c>
      <c r="CI57" s="1314"/>
      <c r="CJ57" s="1461" cm="1">
        <f t="array" ref="CJ57">_xlfn.LET(_xlpm.CheckBlank,SUM(CF!$AD57:$BN57)=0,IF(_xlpm.CheckBlank,"",SUM(_xlfn.TAKE(_xlfn.DROP(CF!$AD57:$BN57,,-DATEDIFF(CF!CJ$11,val_asOfDate,"M")),1,-12))))</f>
        <v>12</v>
      </c>
      <c r="CK57" s="1461" cm="1">
        <f t="array" ref="CK57">_xlfn.LET(_xlpm.CheckBlank,SUM(CF!$AD57:$BN57)=0,IF(_xlpm.CheckBlank,"",SUM(_xlfn.TAKE(_xlfn.DROP(CF!$AD57:$BN57,,-DATEDIFF(CF!CK$11,val_asOfDate,"M")),1,-12))))</f>
        <v>12</v>
      </c>
      <c r="CL57" s="1314"/>
      <c r="CM57" s="541" t="e">
        <f t="shared" ca="1" si="7"/>
        <v>#NAME?</v>
      </c>
      <c r="CN57" s="541" t="e">
        <f t="shared" ca="1" si="7"/>
        <v>#NAME?</v>
      </c>
      <c r="CO57" s="34"/>
      <c r="CW57" s="1883" t="str" cm="1">
        <f t="array" ca="1" aca="1" ref="CW57">IFERROR(IF(AD57*fxVal_normal=_CF!AD57,"",IF(OR(AD57="",NOT(ISNUMBER(AD57)),ISERROR(AD57),$B57=""),"",IF($I57=1,IFBLANK(_xldudf_CX_PUSH(AD57*fxVal_normal,CX_ENTITY,$B57,AD$11,AD$14,AD$44,),""),IF($I57=2,IFBLANK(_xldudf_CX_PUSH(AD57,CX_ENTITY,$B57,AD$11,AD$14,AD$44,),""),IF($I57=3,"",IFBLANK(_xldudf_CX_PUSH(AD57,CX_ENTITY,$B57,AD$11,AD$14,AD$44,),"")))))),"")</f>
        <v/>
      </c>
      <c r="CX57" s="1883" t="str" cm="1">
        <f t="array" ca="1" aca="1" ref="CX57">IFERROR(IF(AE57*fxVal_normal=_CF!AE57,"",IF(OR(AE57="",NOT(ISNUMBER(AE57)),ISERROR(AE57),$B57=""),"",IF($I57=1,IFBLANK(_xldudf_CX_PUSH(AE57*fxVal_normal,CX_ENTITY,$B57,AE$11,AE$14,AE$44,),""),IF($I57=2,IFBLANK(_xldudf_CX_PUSH(AE57,CX_ENTITY,$B57,AE$11,AE$14,AE$44,),""),IF($I57=3,"",IFBLANK(_xldudf_CX_PUSH(AE57,CX_ENTITY,$B57,AE$11,AE$14,AE$44,),"")))))),"")</f>
        <v/>
      </c>
      <c r="CY57" s="1883" t="str" cm="1">
        <f t="array" ca="1" aca="1" ref="CY57">IFERROR(IF(AF57*fxVal_normal=_CF!AF57,"",IF(OR(AF57="",NOT(ISNUMBER(AF57)),ISERROR(AF57),$B57=""),"",IF($I57=1,IFBLANK(_xldudf_CX_PUSH(AF57*fxVal_normal,CX_ENTITY,$B57,AF$11,AF$14,AF$44,),""),IF($I57=2,IFBLANK(_xldudf_CX_PUSH(AF57,CX_ENTITY,$B57,AF$11,AF$14,AF$44,),""),IF($I57=3,"",IFBLANK(_xldudf_CX_PUSH(AF57,CX_ENTITY,$B57,AF$11,AF$14,AF$44,),"")))))),"")</f>
        <v/>
      </c>
      <c r="CZ57" s="1883" t="str" cm="1">
        <f t="array" ca="1" aca="1" ref="CZ57">IFERROR(IF(AG57*fxVal_normal=_CF!AG57,"",IF(OR(AG57="",NOT(ISNUMBER(AG57)),ISERROR(AG57),$B57=""),"",IF($I57=1,IFBLANK(_xldudf_CX_PUSH(AG57*fxVal_normal,CX_ENTITY,$B57,AG$11,AG$14,AG$44,),""),IF($I57=2,IFBLANK(_xldudf_CX_PUSH(AG57,CX_ENTITY,$B57,AG$11,AG$14,AG$44,),""),IF($I57=3,"",IFBLANK(_xldudf_CX_PUSH(AG57,CX_ENTITY,$B57,AG$11,AG$14,AG$44,),"")))))),"")</f>
        <v/>
      </c>
      <c r="DA57" s="1883" t="str" cm="1">
        <f t="array" ca="1" aca="1" ref="DA57">IFERROR(IF(AH57*fxVal_normal=_CF!AH57,"",IF(OR(AH57="",NOT(ISNUMBER(AH57)),ISERROR(AH57),$B57=""),"",IF($I57=1,IFBLANK(_xldudf_CX_PUSH(AH57*fxVal_normal,CX_ENTITY,$B57,AH$11,AH$14,AH$44,),""),IF($I57=2,IFBLANK(_xldudf_CX_PUSH(AH57,CX_ENTITY,$B57,AH$11,AH$14,AH$44,),""),IF($I57=3,"",IFBLANK(_xldudf_CX_PUSH(AH57,CX_ENTITY,$B57,AH$11,AH$14,AH$44,),"")))))),"")</f>
        <v/>
      </c>
      <c r="DB57" s="1883" t="str" cm="1">
        <f t="array" ca="1" aca="1" ref="DB57">IFERROR(IF(AI57*fxVal_normal=_CF!AI57,"",IF(OR(AI57="",NOT(ISNUMBER(AI57)),ISERROR(AI57),$B57=""),"",IF($I57=1,IFBLANK(_xldudf_CX_PUSH(AI57*fxVal_normal,CX_ENTITY,$B57,AI$11,AI$14,AI$44,),""),IF($I57=2,IFBLANK(_xldudf_CX_PUSH(AI57,CX_ENTITY,$B57,AI$11,AI$14,AI$44,),""),IF($I57=3,"",IFBLANK(_xldudf_CX_PUSH(AI57,CX_ENTITY,$B57,AI$11,AI$14,AI$44,),"")))))),"")</f>
        <v/>
      </c>
      <c r="DC57" s="1883" t="str" cm="1">
        <f t="array" ca="1" aca="1" ref="DC57">IFERROR(IF(AJ57*fxVal_normal=_CF!AJ57,"",IF(OR(AJ57="",NOT(ISNUMBER(AJ57)),ISERROR(AJ57),$B57=""),"",IF($I57=1,IFBLANK(_xldudf_CX_PUSH(AJ57*fxVal_normal,CX_ENTITY,$B57,AJ$11,AJ$14,AJ$44,),""),IF($I57=2,IFBLANK(_xldudf_CX_PUSH(AJ57,CX_ENTITY,$B57,AJ$11,AJ$14,AJ$44,),""),IF($I57=3,"",IFBLANK(_xldudf_CX_PUSH(AJ57,CX_ENTITY,$B57,AJ$11,AJ$14,AJ$44,),"")))))),"")</f>
        <v/>
      </c>
      <c r="DD57" s="1883" t="str" cm="1">
        <f t="array" ca="1" aca="1" ref="DD57">IFERROR(IF(AK57*fxVal_normal=_CF!AK57,"",IF(OR(AK57="",NOT(ISNUMBER(AK57)),ISERROR(AK57),$B57=""),"",IF($I57=1,IFBLANK(_xldudf_CX_PUSH(AK57*fxVal_normal,CX_ENTITY,$B57,AK$11,AK$14,AK$44,),""),IF($I57=2,IFBLANK(_xldudf_CX_PUSH(AK57,CX_ENTITY,$B57,AK$11,AK$14,AK$44,),""),IF($I57=3,"",IFBLANK(_xldudf_CX_PUSH(AK57,CX_ENTITY,$B57,AK$11,AK$14,AK$44,),"")))))),"")</f>
        <v/>
      </c>
      <c r="DE57" s="1883" t="str" cm="1">
        <f t="array" ca="1" aca="1" ref="DE57">IFERROR(IF(AL57*fxVal_normal=_CF!AL57,"",IF(OR(AL57="",NOT(ISNUMBER(AL57)),ISERROR(AL57),$B57=""),"",IF($I57=1,IFBLANK(_xldudf_CX_PUSH(AL57*fxVal_normal,CX_ENTITY,$B57,AL$11,AL$14,AL$44,),""),IF($I57=2,IFBLANK(_xldudf_CX_PUSH(AL57,CX_ENTITY,$B57,AL$11,AL$14,AL$44,),""),IF($I57=3,"",IFBLANK(_xldudf_CX_PUSH(AL57,CX_ENTITY,$B57,AL$11,AL$14,AL$44,),"")))))),"")</f>
        <v/>
      </c>
      <c r="DF57" s="1883" t="str" cm="1">
        <f t="array" ca="1" aca="1" ref="DF57">IFERROR(IF(AM57*fxVal_normal=_CF!AM57,"",IF(OR(AM57="",NOT(ISNUMBER(AM57)),ISERROR(AM57),$B57=""),"",IF($I57=1,IFBLANK(_xldudf_CX_PUSH(AM57*fxVal_normal,CX_ENTITY,$B57,AM$11,AM$14,AM$44,),""),IF($I57=2,IFBLANK(_xldudf_CX_PUSH(AM57,CX_ENTITY,$B57,AM$11,AM$14,AM$44,),""),IF($I57=3,"",IFBLANK(_xldudf_CX_PUSH(AM57,CX_ENTITY,$B57,AM$11,AM$14,AM$44,),"")))))),"")</f>
        <v/>
      </c>
      <c r="DG57" s="1883" t="str" cm="1">
        <f t="array" ca="1" aca="1" ref="DG57">IFERROR(IF(AN57*fxVal_normal=_CF!AN57,"",IF(OR(AN57="",NOT(ISNUMBER(AN57)),ISERROR(AN57),$B57=""),"",IF($I57=1,IFBLANK(_xldudf_CX_PUSH(AN57*fxVal_normal,CX_ENTITY,$B57,AN$11,AN$14,AN$44,),""),IF($I57=2,IFBLANK(_xldudf_CX_PUSH(AN57,CX_ENTITY,$B57,AN$11,AN$14,AN$44,),""),IF($I57=3,"",IFBLANK(_xldudf_CX_PUSH(AN57,CX_ENTITY,$B57,AN$11,AN$14,AN$44,),"")))))),"")</f>
        <v/>
      </c>
      <c r="DH57" s="1883" t="str" cm="1">
        <f t="array" ca="1" aca="1" ref="DH57">IFERROR(IF(AO57*fxVal_normal=_CF!AO57,"",IF(OR(AO57="",NOT(ISNUMBER(AO57)),ISERROR(AO57),$B57=""),"",IF($I57=1,IFBLANK(_xldudf_CX_PUSH(AO57*fxVal_normal,CX_ENTITY,$B57,AO$11,AO$14,AO$44,),""),IF($I57=2,IFBLANK(_xldudf_CX_PUSH(AO57,CX_ENTITY,$B57,AO$11,AO$14,AO$44,),""),IF($I57=3,"",IFBLANK(_xldudf_CX_PUSH(AO57,CX_ENTITY,$B57,AO$11,AO$14,AO$44,),"")))))),"")</f>
        <v/>
      </c>
      <c r="DI57" s="1883" t="str" cm="1">
        <f t="array" ca="1" aca="1" ref="DI57">IFERROR(IF(AP57*fxVal_normal=_CF!AP57,"",IF(OR(AP57="",NOT(ISNUMBER(AP57)),ISERROR(AP57),$B57=""),"",IF($I57=1,IFBLANK(_xldudf_CX_PUSH(AP57*fxVal_normal,CX_ENTITY,$B57,AP$11,AP$14,AP$44,),""),IF($I57=2,IFBLANK(_xldudf_CX_PUSH(AP57,CX_ENTITY,$B57,AP$11,AP$14,AP$44,),""),IF($I57=3,"",IFBLANK(_xldudf_CX_PUSH(AP57,CX_ENTITY,$B57,AP$11,AP$14,AP$44,),"")))))),"")</f>
        <v/>
      </c>
      <c r="DJ57" s="1883" t="str" cm="1">
        <f t="array" ca="1" aca="1" ref="DJ57">IFERROR(IF(AQ57*fxVal_normal=_CF!AQ57,"",IF(OR(AQ57="",NOT(ISNUMBER(AQ57)),ISERROR(AQ57),$B57=""),"",IF($I57=1,IFBLANK(_xldudf_CX_PUSH(AQ57*fxVal_normal,CX_ENTITY,$B57,AQ$11,AQ$14,AQ$44,),""),IF($I57=2,IFBLANK(_xldudf_CX_PUSH(AQ57,CX_ENTITY,$B57,AQ$11,AQ$14,AQ$44,),""),IF($I57=3,"",IFBLANK(_xldudf_CX_PUSH(AQ57,CX_ENTITY,$B57,AQ$11,AQ$14,AQ$44,),"")))))),"")</f>
        <v/>
      </c>
      <c r="DK57" s="1883" t="str" cm="1">
        <f t="array" ca="1" aca="1" ref="DK57">IFERROR(IF(AR57*fxVal_normal=_CF!AR57,"",IF(OR(AR57="",NOT(ISNUMBER(AR57)),ISERROR(AR57),$B57=""),"",IF($I57=1,IFBLANK(_xldudf_CX_PUSH(AR57*fxVal_normal,CX_ENTITY,$B57,AR$11,AR$14,AR$44,),""),IF($I57=2,IFBLANK(_xldudf_CX_PUSH(AR57,CX_ENTITY,$B57,AR$11,AR$14,AR$44,),""),IF($I57=3,"",IFBLANK(_xldudf_CX_PUSH(AR57,CX_ENTITY,$B57,AR$11,AR$14,AR$44,),"")))))),"")</f>
        <v/>
      </c>
      <c r="DL57" s="1883" t="str" cm="1">
        <f t="array" ca="1" aca="1" ref="DL57">IFERROR(IF(AS57*fxVal_normal=_CF!AS57,"",IF(OR(AS57="",NOT(ISNUMBER(AS57)),ISERROR(AS57),$B57=""),"",IF($I57=1,IFBLANK(_xldudf_CX_PUSH(AS57*fxVal_normal,CX_ENTITY,$B57,AS$11,AS$14,AS$44,),""),IF($I57=2,IFBLANK(_xldudf_CX_PUSH(AS57,CX_ENTITY,$B57,AS$11,AS$14,AS$44,),""),IF($I57=3,"",IFBLANK(_xldudf_CX_PUSH(AS57,CX_ENTITY,$B57,AS$11,AS$14,AS$44,),"")))))),"")</f>
        <v/>
      </c>
      <c r="DM57" s="1883" t="str" cm="1">
        <f t="array" ca="1" aca="1" ref="DM57">IFERROR(IF(AT57*fxVal_normal=_CF!AT57,"",IF(OR(AT57="",NOT(ISNUMBER(AT57)),ISERROR(AT57),$B57=""),"",IF($I57=1,IFBLANK(_xldudf_CX_PUSH(AT57*fxVal_normal,CX_ENTITY,$B57,AT$11,AT$14,AT$44,),""),IF($I57=2,IFBLANK(_xldudf_CX_PUSH(AT57,CX_ENTITY,$B57,AT$11,AT$14,AT$44,),""),IF($I57=3,"",IFBLANK(_xldudf_CX_PUSH(AT57,CX_ENTITY,$B57,AT$11,AT$14,AT$44,),"")))))),"")</f>
        <v/>
      </c>
      <c r="DN57" s="1883" t="str" cm="1">
        <f t="array" ca="1" aca="1" ref="DN57">IFERROR(IF(AU57*fxVal_normal=_CF!AU57,"",IF(OR(AU57="",NOT(ISNUMBER(AU57)),ISERROR(AU57),$B57=""),"",IF($I57=1,IFBLANK(_xldudf_CX_PUSH(AU57*fxVal_normal,CX_ENTITY,$B57,AU$11,AU$14,AU$44,),""),IF($I57=2,IFBLANK(_xldudf_CX_PUSH(AU57,CX_ENTITY,$B57,AU$11,AU$14,AU$44,),""),IF($I57=3,"",IFBLANK(_xldudf_CX_PUSH(AU57,CX_ENTITY,$B57,AU$11,AU$14,AU$44,),"")))))),"")</f>
        <v/>
      </c>
      <c r="DO57" s="1883" t="str" cm="1">
        <f t="array" ca="1" aca="1" ref="DO57">IFERROR(IF(AV57*fxVal_normal=_CF!AV57,"",IF(OR(AV57="",NOT(ISNUMBER(AV57)),ISERROR(AV57),$B57=""),"",IF($I57=1,IFBLANK(_xldudf_CX_PUSH(AV57*fxVal_normal,CX_ENTITY,$B57,AV$11,AV$14,AV$44,),""),IF($I57=2,IFBLANK(_xldudf_CX_PUSH(AV57,CX_ENTITY,$B57,AV$11,AV$14,AV$44,),""),IF($I57=3,"",IFBLANK(_xldudf_CX_PUSH(AV57,CX_ENTITY,$B57,AV$11,AV$14,AV$44,),"")))))),"")</f>
        <v/>
      </c>
      <c r="DP57" s="1883" t="str" cm="1">
        <f t="array" ca="1" aca="1" ref="DP57">IFERROR(IF(AW57*fxVal_normal=_CF!AW57,"",IF(OR(AW57="",NOT(ISNUMBER(AW57)),ISERROR(AW57),$B57=""),"",IF($I57=1,IFBLANK(_xldudf_CX_PUSH(AW57*fxVal_normal,CX_ENTITY,$B57,AW$11,AW$14,AW$44,),""),IF($I57=2,IFBLANK(_xldudf_CX_PUSH(AW57,CX_ENTITY,$B57,AW$11,AW$14,AW$44,),""),IF($I57=3,"",IFBLANK(_xldudf_CX_PUSH(AW57,CX_ENTITY,$B57,AW$11,AW$14,AW$44,),"")))))),"")</f>
        <v/>
      </c>
      <c r="DQ57" s="1883" t="str" cm="1">
        <f t="array" ca="1" aca="1" ref="DQ57">IFERROR(IF(AX57*fxVal_normal=_CF!AX57,"",IF(OR(AX57="",NOT(ISNUMBER(AX57)),ISERROR(AX57),$B57=""),"",IF($I57=1,IFBLANK(_xldudf_CX_PUSH(AX57*fxVal_normal,CX_ENTITY,$B57,AX$11,AX$14,AX$44,),""),IF($I57=2,IFBLANK(_xldudf_CX_PUSH(AX57,CX_ENTITY,$B57,AX$11,AX$14,AX$44,),""),IF($I57=3,"",IFBLANK(_xldudf_CX_PUSH(AX57,CX_ENTITY,$B57,AX$11,AX$14,AX$44,),"")))))),"")</f>
        <v/>
      </c>
      <c r="DR57" s="1883" t="str" cm="1">
        <f t="array" ca="1" aca="1" ref="DR57">IFERROR(IF(AY57*fxVal_normal=_CF!AY57,"",IF(OR(AY57="",NOT(ISNUMBER(AY57)),ISERROR(AY57),$B57=""),"",IF($I57=1,IFBLANK(_xldudf_CX_PUSH(AY57*fxVal_normal,CX_ENTITY,$B57,AY$11,AY$14,AY$44,),""),IF($I57=2,IFBLANK(_xldudf_CX_PUSH(AY57,CX_ENTITY,$B57,AY$11,AY$14,AY$44,),""),IF($I57=3,"",IFBLANK(_xldudf_CX_PUSH(AY57,CX_ENTITY,$B57,AY$11,AY$14,AY$44,),"")))))),"")</f>
        <v/>
      </c>
      <c r="DS57" s="1883" t="str" cm="1">
        <f t="array" ca="1" aca="1" ref="DS57">IFERROR(IF(AZ57*fxVal_normal=_CF!AZ57,"",IF(OR(AZ57="",NOT(ISNUMBER(AZ57)),ISERROR(AZ57),$B57=""),"",IF($I57=1,IFBLANK(_xldudf_CX_PUSH(AZ57*fxVal_normal,CX_ENTITY,$B57,AZ$11,AZ$14,AZ$44,),""),IF($I57=2,IFBLANK(_xldudf_CX_PUSH(AZ57,CX_ENTITY,$B57,AZ$11,AZ$14,AZ$44,),""),IF($I57=3,"",IFBLANK(_xldudf_CX_PUSH(AZ57,CX_ENTITY,$B57,AZ$11,AZ$14,AZ$44,),"")))))),"")</f>
        <v/>
      </c>
      <c r="DT57" s="1883" t="str" cm="1">
        <f t="array" ca="1" aca="1" ref="DT57">IFERROR(IF(BA57*fxVal_normal=_CF!BA57,"",IF(OR(BA57="",NOT(ISNUMBER(BA57)),ISERROR(BA57),$B57=""),"",IF($I57=1,IFBLANK(_xldudf_CX_PUSH(BA57*fxVal_normal,CX_ENTITY,$B57,BA$11,BA$14,BA$44,),""),IF($I57=2,IFBLANK(_xldudf_CX_PUSH(BA57,CX_ENTITY,$B57,BA$11,BA$14,BA$44,),""),IF($I57=3,"",IFBLANK(_xldudf_CX_PUSH(BA57,CX_ENTITY,$B57,BA$11,BA$14,BA$44,),"")))))),"")</f>
        <v/>
      </c>
      <c r="DU57" s="1883" t="str" cm="1">
        <f t="array" ca="1" aca="1" ref="DU57">IFERROR(IF(BB57*fxVal_normal=_CF!BB57,"",IF(OR(BB57="",NOT(ISNUMBER(BB57)),ISERROR(BB57),$B57=""),"",IF($I57=1,IFBLANK(_xldudf_CX_PUSH(BB57*fxVal_normal,CX_ENTITY,$B57,BB$11,BB$14,BB$44,),""),IF($I57=2,IFBLANK(_xldudf_CX_PUSH(BB57,CX_ENTITY,$B57,BB$11,BB$14,BB$44,),""),IF($I57=3,"",IFBLANK(_xldudf_CX_PUSH(BB57,CX_ENTITY,$B57,BB$11,BB$14,BB$44,),"")))))),"")</f>
        <v/>
      </c>
      <c r="DV57" s="1883" t="str" cm="1">
        <f t="array" ca="1" aca="1" ref="DV57">IFERROR(IF(BC57*fxVal_normal=_CF!BC57,"",IF(OR(BC57="",NOT(ISNUMBER(BC57)),ISERROR(BC57),$B57=""),"",IF($I57=1,IFBLANK(_xldudf_CX_PUSH(BC57*fxVal_normal,CX_ENTITY,$B57,BC$11,BC$14,BC$44,),""),IF($I57=2,IFBLANK(_xldudf_CX_PUSH(BC57,CX_ENTITY,$B57,BC$11,BC$14,BC$44,),""),IF($I57=3,"",IFBLANK(_xldudf_CX_PUSH(BC57,CX_ENTITY,$B57,BC$11,BC$14,BC$44,),"")))))),"")</f>
        <v/>
      </c>
      <c r="DW57" s="1883" t="str" cm="1">
        <f t="array" ca="1" aca="1" ref="DW57">IFERROR(IF(BD57*fxVal_normal=_CF!BD57,"",IF(OR(BD57="",NOT(ISNUMBER(BD57)),ISERROR(BD57),$B57=""),"",IF($I57=1,IFBLANK(_xldudf_CX_PUSH(BD57*fxVal_normal,CX_ENTITY,$B57,BD$11,BD$14,BD$44,),""),IF($I57=2,IFBLANK(_xldudf_CX_PUSH(BD57,CX_ENTITY,$B57,BD$11,BD$14,BD$44,),""),IF($I57=3,"",IFBLANK(_xldudf_CX_PUSH(BD57,CX_ENTITY,$B57,BD$11,BD$14,BD$44,),"")))))),"")</f>
        <v/>
      </c>
      <c r="DX57" s="1883" t="str" cm="1">
        <f t="array" ca="1" aca="1" ref="DX57">IFERROR(IF(BE57*fxVal_normal=_CF!BE57,"",IF(OR(BE57="",NOT(ISNUMBER(BE57)),ISERROR(BE57),$B57=""),"",IF($I57=1,IFBLANK(_xldudf_CX_PUSH(BE57*fxVal_normal,CX_ENTITY,$B57,BE$11,BE$14,BE$44,),""),IF($I57=2,IFBLANK(_xldudf_CX_PUSH(BE57,CX_ENTITY,$B57,BE$11,BE$14,BE$44,),""),IF($I57=3,"",IFBLANK(_xldudf_CX_PUSH(BE57,CX_ENTITY,$B57,BE$11,BE$14,BE$44,),"")))))),"")</f>
        <v/>
      </c>
      <c r="DY57" s="1883" t="str" cm="1">
        <f t="array" ca="1" aca="1" ref="DY57">IFERROR(IF(BF57*fxVal_normal=_CF!BF57,"",IF(OR(BF57="",NOT(ISNUMBER(BF57)),ISERROR(BF57),$B57=""),"",IF($I57=1,IFBLANK(_xldudf_CX_PUSH(BF57*fxVal_normal,CX_ENTITY,$B57,BF$11,BF$14,BF$44,),""),IF($I57=2,IFBLANK(_xldudf_CX_PUSH(BF57,CX_ENTITY,$B57,BF$11,BF$14,BF$44,),""),IF($I57=3,"",IFBLANK(_xldudf_CX_PUSH(BF57,CX_ENTITY,$B57,BF$11,BF$14,BF$44,),"")))))),"")</f>
        <v/>
      </c>
      <c r="DZ57" s="1883" t="str" cm="1">
        <f t="array" ca="1" aca="1" ref="DZ57">IFERROR(IF(BG57*fxVal_normal=_CF!BG57,"",IF(OR(BG57="",NOT(ISNUMBER(BG57)),ISERROR(BG57),$B57=""),"",IF($I57=1,IFBLANK(_xldudf_CX_PUSH(BG57*fxVal_normal,CX_ENTITY,$B57,BG$11,BG$14,BG$44,),""),IF($I57=2,IFBLANK(_xldudf_CX_PUSH(BG57,CX_ENTITY,$B57,BG$11,BG$14,BG$44,),""),IF($I57=3,"",IFBLANK(_xldudf_CX_PUSH(BG57,CX_ENTITY,$B57,BG$11,BG$14,BG$44,),"")))))),"")</f>
        <v/>
      </c>
      <c r="EA57" s="1883" t="str" cm="1">
        <f t="array" ca="1" aca="1" ref="EA57">IFERROR(IF(BH57*fxVal_normal=_CF!BH57,"",IF(OR(BH57="",NOT(ISNUMBER(BH57)),ISERROR(BH57),$B57=""),"",IF($I57=1,IFBLANK(_xldudf_CX_PUSH(BH57*fxVal_normal,CX_ENTITY,$B57,BH$11,BH$14,BH$44,),""),IF($I57=2,IFBLANK(_xldudf_CX_PUSH(BH57,CX_ENTITY,$B57,BH$11,BH$14,BH$44,),""),IF($I57=3,"",IFBLANK(_xldudf_CX_PUSH(BH57,CX_ENTITY,$B57,BH$11,BH$14,BH$44,),"")))))),"")</f>
        <v/>
      </c>
      <c r="EB57" s="1883" t="str" cm="1">
        <f t="array" ca="1" aca="1" ref="EB57">IFERROR(IF(BI57*fxVal_normal=_CF!BI57,"",IF(OR(BI57="",NOT(ISNUMBER(BI57)),ISERROR(BI57),$B57=""),"",IF($I57=1,IFBLANK(_xldudf_CX_PUSH(BI57*fxVal_normal,CX_ENTITY,$B57,BI$11,BI$14,BI$44,),""),IF($I57=2,IFBLANK(_xldudf_CX_PUSH(BI57,CX_ENTITY,$B57,BI$11,BI$14,BI$44,),""),IF($I57=3,"",IFBLANK(_xldudf_CX_PUSH(BI57,CX_ENTITY,$B57,BI$11,BI$14,BI$44,),"")))))),"")</f>
        <v/>
      </c>
      <c r="EC57" s="1883" t="str" cm="1">
        <f t="array" ca="1" aca="1" ref="EC57">IFERROR(IF(BJ57*fxVal_normal=_CF!BJ57,"",IF(OR(BJ57="",NOT(ISNUMBER(BJ57)),ISERROR(BJ57),$B57=""),"",IF($I57=1,IFBLANK(_xldudf_CX_PUSH(BJ57*fxVal_normal,CX_ENTITY,$B57,BJ$11,BJ$14,BJ$44,),""),IF($I57=2,IFBLANK(_xldudf_CX_PUSH(BJ57,CX_ENTITY,$B57,BJ$11,BJ$14,BJ$44,),""),IF($I57=3,"",IFBLANK(_xldudf_CX_PUSH(BJ57,CX_ENTITY,$B57,BJ$11,BJ$14,BJ$44,),"")))))),"")</f>
        <v/>
      </c>
      <c r="ED57" s="1883" t="str" cm="1">
        <f t="array" ca="1" aca="1" ref="ED57">IFERROR(IF(BK57*fxVal_normal=_CF!BK57,"",IF(OR(BK57="",NOT(ISNUMBER(BK57)),ISERROR(BK57),$B57=""),"",IF($I57=1,IFBLANK(_xldudf_CX_PUSH(BK57*fxVal_normal,CX_ENTITY,$B57,BK$11,BK$14,BK$44,),""),IF($I57=2,IFBLANK(_xldudf_CX_PUSH(BK57,CX_ENTITY,$B57,BK$11,BK$14,BK$44,),""),IF($I57=3,"",IFBLANK(_xldudf_CX_PUSH(BK57,CX_ENTITY,$B57,BK$11,BK$14,BK$44,),"")))))),"")</f>
        <v/>
      </c>
      <c r="EE57" s="1883" t="str" cm="1">
        <f t="array" ca="1" aca="1" ref="EE57">IFERROR(IF(BL57*fxVal_normal=_CF!BL57,"",IF(OR(BL57="",NOT(ISNUMBER(BL57)),ISERROR(BL57),$B57=""),"",IF($I57=1,IFBLANK(_xldudf_CX_PUSH(BL57*fxVal_normal,CX_ENTITY,$B57,BL$11,BL$14,BL$44,),""),IF($I57=2,IFBLANK(_xldudf_CX_PUSH(BL57,CX_ENTITY,$B57,BL$11,BL$14,BL$44,),""),IF($I57=3,"",IFBLANK(_xldudf_CX_PUSH(BL57,CX_ENTITY,$B57,BL$11,BL$14,BL$44,),"")))))),"")</f>
        <v/>
      </c>
      <c r="EF57" s="1883" t="str" cm="1">
        <f t="array" ca="1" aca="1" ref="EF57">IFERROR(IF(BM57*fxVal_normal=_CF!BM57,"",IF(OR(BM57="",NOT(ISNUMBER(BM57)),ISERROR(BM57),$B57=""),"",IF($I57=1,IFBLANK(_xldudf_CX_PUSH(BM57*fxVal_normal,CX_ENTITY,$B57,BM$11,BM$14,BM$44,),""),IF($I57=2,IFBLANK(_xldudf_CX_PUSH(BM57,CX_ENTITY,$B57,BM$11,BM$14,BM$44,),""),IF($I57=3,"",IFBLANK(_xldudf_CX_PUSH(BM57,CX_ENTITY,$B57,BM$11,BM$14,BM$44,),"")))))),"")</f>
        <v/>
      </c>
      <c r="EG57" s="1883" t="str" cm="1">
        <f t="array" ca="1" aca="1" ref="EG57">IFERROR(IF(BN57*fxVal_normal=_CF!BN57,"",IF(OR(BN57="",NOT(ISNUMBER(BN57)),ISERROR(BN57),$B57=""),"",IF($I57=1,IFBLANK(_xldudf_CX_PUSH(BN57*fxVal_normal,CX_ENTITY,$B57,BN$11,BN$14,BN$44,),""),IF($I57=2,IFBLANK(_xldudf_CX_PUSH(BN57,CX_ENTITY,$B57,BN$11,BN$14,BN$44,),""),IF($I57=3,"",IFBLANK(_xldudf_CX_PUSH(BN57,CX_ENTITY,$B57,BN$11,BN$14,BN$44,),"")))))),"")</f>
        <v/>
      </c>
    </row>
    <row r="58" spans="1:137" ht="21" customHeight="1">
      <c r="A58" s="1626"/>
      <c r="B58" s="811" t="str" cm="1">
        <f t="array" ref="B58">IFBLANK(_CF!F58,"")</f>
        <v>M&amp;A</v>
      </c>
      <c r="C58" s="811" t="str" cm="1">
        <f t="array" ref="C58">IFBLANK(_CF!C58,"")</f>
        <v>M&amp;A (Company View)</v>
      </c>
      <c r="D58" s="1549"/>
      <c r="E58" s="574"/>
      <c r="F58" s="574"/>
      <c r="G58" s="574"/>
      <c r="H58" s="3280">
        <v>1</v>
      </c>
      <c r="I58" s="3280">
        <v>1</v>
      </c>
      <c r="J58" s="401"/>
      <c r="K58" s="401"/>
      <c r="N58" s="158"/>
      <c r="O58" s="101"/>
      <c r="P58" s="52"/>
      <c r="Q58" s="101"/>
      <c r="R58" s="126"/>
      <c r="S58" s="101"/>
      <c r="T58" s="101"/>
      <c r="U58" s="39"/>
      <c r="W58" s="932" t="str">
        <f t="shared" si="8"/>
        <v>Budget</v>
      </c>
      <c r="X58" s="815">
        <f>_CF!X58</f>
        <v>-1</v>
      </c>
      <c r="Y58" s="3192">
        <f t="shared" si="6"/>
        <v>2</v>
      </c>
      <c r="Z58" s="3291" cm="1">
        <f t="array" ref="Z58">_xlfn.SWITCH(TRUE,_CF!$L58=TRUE,1,_CF!$L58=FALSE,-1,_CF!$L58=-1,0,"n/a")</f>
        <v>1</v>
      </c>
      <c r="AA58" s="200"/>
      <c r="AB58" s="88" t="str">
        <f>_CF!AB58</f>
        <v>M&amp;A</v>
      </c>
      <c r="AC58" s="88" t="e" vm="5" cm="1">
        <f t="array" ca="1" aca="1" ref="AC58">_xlfn.LET(_xlpm._termname,$AB58,_xlpm._iconname,"find",_xlpm._icon,fx_getIcon(_xlpm._iconname),_xlpm._location,_xlfn.XLOOKUP(LOWER(_xlpm._termname),LOWER(tbl_acctDef[Term]),tbl_acctDef[Term]),_xlpm._hyperlink,HYPERLINK("#"&amp;CELL("address",_xlpm._location),_xlpm._icon),IFERROR(_xlpm._hyperlink,""))</f>
        <v>#VALUE!</v>
      </c>
      <c r="AD58" s="3232">
        <v>1</v>
      </c>
      <c r="AE58" s="3232">
        <v>1</v>
      </c>
      <c r="AF58" s="3232">
        <v>1</v>
      </c>
      <c r="AG58" s="3232">
        <v>1</v>
      </c>
      <c r="AH58" s="3232">
        <v>1</v>
      </c>
      <c r="AI58" s="3232">
        <v>1</v>
      </c>
      <c r="AJ58" s="3232">
        <v>1</v>
      </c>
      <c r="AK58" s="3232">
        <v>1</v>
      </c>
      <c r="AL58" s="3232">
        <v>1</v>
      </c>
      <c r="AM58" s="3232">
        <v>1</v>
      </c>
      <c r="AN58" s="3232">
        <v>1</v>
      </c>
      <c r="AO58" s="3232">
        <v>1</v>
      </c>
      <c r="AP58" s="3232">
        <v>1</v>
      </c>
      <c r="AQ58" s="3232">
        <v>1</v>
      </c>
      <c r="AR58" s="3232">
        <v>1</v>
      </c>
      <c r="AS58" s="3232">
        <v>1</v>
      </c>
      <c r="AT58" s="3232">
        <v>1</v>
      </c>
      <c r="AU58" s="3232">
        <v>1</v>
      </c>
      <c r="AV58" s="3232">
        <v>1</v>
      </c>
      <c r="AW58" s="3232">
        <v>1</v>
      </c>
      <c r="AX58" s="3232">
        <v>1</v>
      </c>
      <c r="AY58" s="3232">
        <v>1</v>
      </c>
      <c r="AZ58" s="3232">
        <v>1</v>
      </c>
      <c r="BA58" s="3232">
        <v>1</v>
      </c>
      <c r="BB58" s="3232">
        <v>1</v>
      </c>
      <c r="BC58" s="3232">
        <v>1</v>
      </c>
      <c r="BD58" s="3232">
        <v>1</v>
      </c>
      <c r="BE58" s="3232">
        <v>1</v>
      </c>
      <c r="BF58" s="3232">
        <v>1</v>
      </c>
      <c r="BG58" s="3232">
        <v>1</v>
      </c>
      <c r="BH58" s="3232">
        <v>1</v>
      </c>
      <c r="BI58" s="3232">
        <v>1</v>
      </c>
      <c r="BJ58" s="3232">
        <v>1</v>
      </c>
      <c r="BK58" s="3232">
        <v>1</v>
      </c>
      <c r="BL58" s="3232">
        <v>1</v>
      </c>
      <c r="BM58" s="3232">
        <v>1</v>
      </c>
      <c r="BN58" s="3232">
        <v>1</v>
      </c>
      <c r="BO58" s="2115"/>
      <c r="BP58" s="2115"/>
      <c r="BQ58" s="2115"/>
      <c r="BR58" s="2115"/>
      <c r="BS58" s="2115"/>
      <c r="BT58" s="2115"/>
      <c r="BU58" s="2115"/>
      <c r="BV58" s="2115"/>
      <c r="BW58" s="2115"/>
      <c r="BX58" s="2115"/>
      <c r="BY58" s="2115"/>
      <c r="BZ58" s="2115"/>
      <c r="CA58" s="1330"/>
      <c r="CB58" s="537"/>
      <c r="CC58" s="1484"/>
      <c r="CD58" s="1461" t="e" cm="1">
        <f t="array" ca="1" aca="1" ref="CD58">_xlfn.LET(_xlpm.CheckBlank,SUM(CF!$AD58:$BN58)=0,IF(_xlpm.CheckBlank,"",SUM(_xlfn._xlws.FILTER(CF!$AD58:$BN58,(YEAR(CF!$AD$12:$BN$12)=CF!CD$12)*(array_timeline&lt;=CF!CD$11)))))</f>
        <v>#NAME?</v>
      </c>
      <c r="CE58" s="1461" t="e" cm="1">
        <f t="array" ca="1" aca="1" ref="CE58">_xlfn.LET(_xlpm.CheckBlank,SUM(CF!$AD58:$BN58)=0,IF(_xlpm.CheckBlank,"",SUM(_xlfn._xlws.FILTER(CF!$AD58:$BN58,(YEAR(CF!$AD$12:$BN$12)=CF!CE$12)*(array_timeline&lt;=CF!CE$11)))))</f>
        <v>#NAME?</v>
      </c>
      <c r="CF58" s="1314"/>
      <c r="CG58" s="1461" t="e" cm="1">
        <f t="array" ca="1" aca="1" ref="CG58">_xlfn.LET(_xlpm.CheckBlank,SUM(CF!$AD58:$BN58)=0,IF(_xlpm.CheckBlank,"",SUM(_xlfn._xlws.FILTER(CF!$AD58:$BN58,(YEAR(CF!$AD$12:$BN$12)=CF!CG$12)*(array_timeline&lt;=CF!CG$11)))))</f>
        <v>#NAME?</v>
      </c>
      <c r="CH58" s="1461" t="e" cm="1">
        <f t="array" ca="1" aca="1" ref="CH58">_xlfn.LET(_xlpm.CheckBlank,SUM(CF!$AD58:$BN58)=0,IF(_xlpm.CheckBlank,"",SUM(_xlfn._xlws.FILTER(CF!$AD58:$BN58,(YEAR(CF!$AD$12:$BN$12)=CF!CH$12)*(array_timeline&lt;=CF!CH$11)))))</f>
        <v>#NAME?</v>
      </c>
      <c r="CI58" s="1314"/>
      <c r="CJ58" s="1461" cm="1">
        <f t="array" ref="CJ58">_xlfn.LET(_xlpm.CheckBlank,SUM(CF!$AD58:$BN58)=0,IF(_xlpm.CheckBlank,"",SUM(_xlfn.TAKE(_xlfn.DROP(CF!$AD58:$BN58,,-DATEDIFF(CF!CJ$11,val_asOfDate,"M")),1,-12))))</f>
        <v>12</v>
      </c>
      <c r="CK58" s="1461" cm="1">
        <f t="array" ref="CK58">_xlfn.LET(_xlpm.CheckBlank,SUM(CF!$AD58:$BN58)=0,IF(_xlpm.CheckBlank,"",SUM(_xlfn.TAKE(_xlfn.DROP(CF!$AD58:$BN58,,-DATEDIFF(CF!CK$11,val_asOfDate,"M")),1,-12))))</f>
        <v>12</v>
      </c>
      <c r="CL58" s="1314"/>
      <c r="CM58" s="541" t="e">
        <f t="shared" ca="1" si="7"/>
        <v>#NAME?</v>
      </c>
      <c r="CN58" s="541" t="e">
        <f t="shared" ca="1" si="7"/>
        <v>#NAME?</v>
      </c>
      <c r="CO58" s="34"/>
      <c r="CW58" s="1883" t="str" cm="1">
        <f t="array" ca="1" aca="1" ref="CW58">IFERROR(IF(AD58*fxVal_normal=_CF!AD58,"",IF(OR(AD58="",NOT(ISNUMBER(AD58)),ISERROR(AD58),$B58=""),"",IF($I58=1,IFBLANK(_xldudf_CX_PUSH(AD58*fxVal_normal,CX_ENTITY,$B58,AD$11,AD$14,AD$44,),""),IF($I58=2,IFBLANK(_xldudf_CX_PUSH(AD58,CX_ENTITY,$B58,AD$11,AD$14,AD$44,),""),IF($I58=3,"",IFBLANK(_xldudf_CX_PUSH(AD58,CX_ENTITY,$B58,AD$11,AD$14,AD$44,),"")))))),"")</f>
        <v/>
      </c>
      <c r="CX58" s="1883" t="str" cm="1">
        <f t="array" ca="1" aca="1" ref="CX58">IFERROR(IF(AE58*fxVal_normal=_CF!AE58,"",IF(OR(AE58="",NOT(ISNUMBER(AE58)),ISERROR(AE58),$B58=""),"",IF($I58=1,IFBLANK(_xldudf_CX_PUSH(AE58*fxVal_normal,CX_ENTITY,$B58,AE$11,AE$14,AE$44,),""),IF($I58=2,IFBLANK(_xldudf_CX_PUSH(AE58,CX_ENTITY,$B58,AE$11,AE$14,AE$44,),""),IF($I58=3,"",IFBLANK(_xldudf_CX_PUSH(AE58,CX_ENTITY,$B58,AE$11,AE$14,AE$44,),"")))))),"")</f>
        <v/>
      </c>
      <c r="CY58" s="1883" t="str" cm="1">
        <f t="array" ca="1" aca="1" ref="CY58">IFERROR(IF(AF58*fxVal_normal=_CF!AF58,"",IF(OR(AF58="",NOT(ISNUMBER(AF58)),ISERROR(AF58),$B58=""),"",IF($I58=1,IFBLANK(_xldudf_CX_PUSH(AF58*fxVal_normal,CX_ENTITY,$B58,AF$11,AF$14,AF$44,),""),IF($I58=2,IFBLANK(_xldudf_CX_PUSH(AF58,CX_ENTITY,$B58,AF$11,AF$14,AF$44,),""),IF($I58=3,"",IFBLANK(_xldudf_CX_PUSH(AF58,CX_ENTITY,$B58,AF$11,AF$14,AF$44,),"")))))),"")</f>
        <v/>
      </c>
      <c r="CZ58" s="1883" t="str" cm="1">
        <f t="array" ca="1" aca="1" ref="CZ58">IFERROR(IF(AG58*fxVal_normal=_CF!AG58,"",IF(OR(AG58="",NOT(ISNUMBER(AG58)),ISERROR(AG58),$B58=""),"",IF($I58=1,IFBLANK(_xldudf_CX_PUSH(AG58*fxVal_normal,CX_ENTITY,$B58,AG$11,AG$14,AG$44,),""),IF($I58=2,IFBLANK(_xldudf_CX_PUSH(AG58,CX_ENTITY,$B58,AG$11,AG$14,AG$44,),""),IF($I58=3,"",IFBLANK(_xldudf_CX_PUSH(AG58,CX_ENTITY,$B58,AG$11,AG$14,AG$44,),"")))))),"")</f>
        <v/>
      </c>
      <c r="DA58" s="1883" t="str" cm="1">
        <f t="array" ca="1" aca="1" ref="DA58">IFERROR(IF(AH58*fxVal_normal=_CF!AH58,"",IF(OR(AH58="",NOT(ISNUMBER(AH58)),ISERROR(AH58),$B58=""),"",IF($I58=1,IFBLANK(_xldudf_CX_PUSH(AH58*fxVal_normal,CX_ENTITY,$B58,AH$11,AH$14,AH$44,),""),IF($I58=2,IFBLANK(_xldudf_CX_PUSH(AH58,CX_ENTITY,$B58,AH$11,AH$14,AH$44,),""),IF($I58=3,"",IFBLANK(_xldudf_CX_PUSH(AH58,CX_ENTITY,$B58,AH$11,AH$14,AH$44,),"")))))),"")</f>
        <v/>
      </c>
      <c r="DB58" s="1883" t="str" cm="1">
        <f t="array" ca="1" aca="1" ref="DB58">IFERROR(IF(AI58*fxVal_normal=_CF!AI58,"",IF(OR(AI58="",NOT(ISNUMBER(AI58)),ISERROR(AI58),$B58=""),"",IF($I58=1,IFBLANK(_xldudf_CX_PUSH(AI58*fxVal_normal,CX_ENTITY,$B58,AI$11,AI$14,AI$44,),""),IF($I58=2,IFBLANK(_xldudf_CX_PUSH(AI58,CX_ENTITY,$B58,AI$11,AI$14,AI$44,),""),IF($I58=3,"",IFBLANK(_xldudf_CX_PUSH(AI58,CX_ENTITY,$B58,AI$11,AI$14,AI$44,),"")))))),"")</f>
        <v/>
      </c>
      <c r="DC58" s="1883" t="str" cm="1">
        <f t="array" ca="1" aca="1" ref="DC58">IFERROR(IF(AJ58*fxVal_normal=_CF!AJ58,"",IF(OR(AJ58="",NOT(ISNUMBER(AJ58)),ISERROR(AJ58),$B58=""),"",IF($I58=1,IFBLANK(_xldudf_CX_PUSH(AJ58*fxVal_normal,CX_ENTITY,$B58,AJ$11,AJ$14,AJ$44,),""),IF($I58=2,IFBLANK(_xldudf_CX_PUSH(AJ58,CX_ENTITY,$B58,AJ$11,AJ$14,AJ$44,),""),IF($I58=3,"",IFBLANK(_xldudf_CX_PUSH(AJ58,CX_ENTITY,$B58,AJ$11,AJ$14,AJ$44,),"")))))),"")</f>
        <v/>
      </c>
      <c r="DD58" s="1883" t="str" cm="1">
        <f t="array" ca="1" aca="1" ref="DD58">IFERROR(IF(AK58*fxVal_normal=_CF!AK58,"",IF(OR(AK58="",NOT(ISNUMBER(AK58)),ISERROR(AK58),$B58=""),"",IF($I58=1,IFBLANK(_xldudf_CX_PUSH(AK58*fxVal_normal,CX_ENTITY,$B58,AK$11,AK$14,AK$44,),""),IF($I58=2,IFBLANK(_xldudf_CX_PUSH(AK58,CX_ENTITY,$B58,AK$11,AK$14,AK$44,),""),IF($I58=3,"",IFBLANK(_xldudf_CX_PUSH(AK58,CX_ENTITY,$B58,AK$11,AK$14,AK$44,),"")))))),"")</f>
        <v/>
      </c>
      <c r="DE58" s="1883" t="str" cm="1">
        <f t="array" ca="1" aca="1" ref="DE58">IFERROR(IF(AL58*fxVal_normal=_CF!AL58,"",IF(OR(AL58="",NOT(ISNUMBER(AL58)),ISERROR(AL58),$B58=""),"",IF($I58=1,IFBLANK(_xldudf_CX_PUSH(AL58*fxVal_normal,CX_ENTITY,$B58,AL$11,AL$14,AL$44,),""),IF($I58=2,IFBLANK(_xldudf_CX_PUSH(AL58,CX_ENTITY,$B58,AL$11,AL$14,AL$44,),""),IF($I58=3,"",IFBLANK(_xldudf_CX_PUSH(AL58,CX_ENTITY,$B58,AL$11,AL$14,AL$44,),"")))))),"")</f>
        <v/>
      </c>
      <c r="DF58" s="1883" t="str" cm="1">
        <f t="array" ca="1" aca="1" ref="DF58">IFERROR(IF(AM58*fxVal_normal=_CF!AM58,"",IF(OR(AM58="",NOT(ISNUMBER(AM58)),ISERROR(AM58),$B58=""),"",IF($I58=1,IFBLANK(_xldudf_CX_PUSH(AM58*fxVal_normal,CX_ENTITY,$B58,AM$11,AM$14,AM$44,),""),IF($I58=2,IFBLANK(_xldudf_CX_PUSH(AM58,CX_ENTITY,$B58,AM$11,AM$14,AM$44,),""),IF($I58=3,"",IFBLANK(_xldudf_CX_PUSH(AM58,CX_ENTITY,$B58,AM$11,AM$14,AM$44,),"")))))),"")</f>
        <v/>
      </c>
      <c r="DG58" s="1883" t="str" cm="1">
        <f t="array" ca="1" aca="1" ref="DG58">IFERROR(IF(AN58*fxVal_normal=_CF!AN58,"",IF(OR(AN58="",NOT(ISNUMBER(AN58)),ISERROR(AN58),$B58=""),"",IF($I58=1,IFBLANK(_xldudf_CX_PUSH(AN58*fxVal_normal,CX_ENTITY,$B58,AN$11,AN$14,AN$44,),""),IF($I58=2,IFBLANK(_xldudf_CX_PUSH(AN58,CX_ENTITY,$B58,AN$11,AN$14,AN$44,),""),IF($I58=3,"",IFBLANK(_xldudf_CX_PUSH(AN58,CX_ENTITY,$B58,AN$11,AN$14,AN$44,),"")))))),"")</f>
        <v/>
      </c>
      <c r="DH58" s="1883" t="str" cm="1">
        <f t="array" ca="1" aca="1" ref="DH58">IFERROR(IF(AO58*fxVal_normal=_CF!AO58,"",IF(OR(AO58="",NOT(ISNUMBER(AO58)),ISERROR(AO58),$B58=""),"",IF($I58=1,IFBLANK(_xldudf_CX_PUSH(AO58*fxVal_normal,CX_ENTITY,$B58,AO$11,AO$14,AO$44,),""),IF($I58=2,IFBLANK(_xldudf_CX_PUSH(AO58,CX_ENTITY,$B58,AO$11,AO$14,AO$44,),""),IF($I58=3,"",IFBLANK(_xldudf_CX_PUSH(AO58,CX_ENTITY,$B58,AO$11,AO$14,AO$44,),"")))))),"")</f>
        <v/>
      </c>
      <c r="DI58" s="1883" t="str" cm="1">
        <f t="array" ca="1" aca="1" ref="DI58">IFERROR(IF(AP58*fxVal_normal=_CF!AP58,"",IF(OR(AP58="",NOT(ISNUMBER(AP58)),ISERROR(AP58),$B58=""),"",IF($I58=1,IFBLANK(_xldudf_CX_PUSH(AP58*fxVal_normal,CX_ENTITY,$B58,AP$11,AP$14,AP$44,),""),IF($I58=2,IFBLANK(_xldudf_CX_PUSH(AP58,CX_ENTITY,$B58,AP$11,AP$14,AP$44,),""),IF($I58=3,"",IFBLANK(_xldudf_CX_PUSH(AP58,CX_ENTITY,$B58,AP$11,AP$14,AP$44,),"")))))),"")</f>
        <v/>
      </c>
      <c r="DJ58" s="1883" t="str" cm="1">
        <f t="array" ca="1" aca="1" ref="DJ58">IFERROR(IF(AQ58*fxVal_normal=_CF!AQ58,"",IF(OR(AQ58="",NOT(ISNUMBER(AQ58)),ISERROR(AQ58),$B58=""),"",IF($I58=1,IFBLANK(_xldudf_CX_PUSH(AQ58*fxVal_normal,CX_ENTITY,$B58,AQ$11,AQ$14,AQ$44,),""),IF($I58=2,IFBLANK(_xldudf_CX_PUSH(AQ58,CX_ENTITY,$B58,AQ$11,AQ$14,AQ$44,),""),IF($I58=3,"",IFBLANK(_xldudf_CX_PUSH(AQ58,CX_ENTITY,$B58,AQ$11,AQ$14,AQ$44,),"")))))),"")</f>
        <v/>
      </c>
      <c r="DK58" s="1883" t="str" cm="1">
        <f t="array" ca="1" aca="1" ref="DK58">IFERROR(IF(AR58*fxVal_normal=_CF!AR58,"",IF(OR(AR58="",NOT(ISNUMBER(AR58)),ISERROR(AR58),$B58=""),"",IF($I58=1,IFBLANK(_xldudf_CX_PUSH(AR58*fxVal_normal,CX_ENTITY,$B58,AR$11,AR$14,AR$44,),""),IF($I58=2,IFBLANK(_xldudf_CX_PUSH(AR58,CX_ENTITY,$B58,AR$11,AR$14,AR$44,),""),IF($I58=3,"",IFBLANK(_xldudf_CX_PUSH(AR58,CX_ENTITY,$B58,AR$11,AR$14,AR$44,),"")))))),"")</f>
        <v/>
      </c>
      <c r="DL58" s="1883" t="str" cm="1">
        <f t="array" ca="1" aca="1" ref="DL58">IFERROR(IF(AS58*fxVal_normal=_CF!AS58,"",IF(OR(AS58="",NOT(ISNUMBER(AS58)),ISERROR(AS58),$B58=""),"",IF($I58=1,IFBLANK(_xldudf_CX_PUSH(AS58*fxVal_normal,CX_ENTITY,$B58,AS$11,AS$14,AS$44,),""),IF($I58=2,IFBLANK(_xldudf_CX_PUSH(AS58,CX_ENTITY,$B58,AS$11,AS$14,AS$44,),""),IF($I58=3,"",IFBLANK(_xldudf_CX_PUSH(AS58,CX_ENTITY,$B58,AS$11,AS$14,AS$44,),"")))))),"")</f>
        <v/>
      </c>
      <c r="DM58" s="1883" t="str" cm="1">
        <f t="array" ca="1" aca="1" ref="DM58">IFERROR(IF(AT58*fxVal_normal=_CF!AT58,"",IF(OR(AT58="",NOT(ISNUMBER(AT58)),ISERROR(AT58),$B58=""),"",IF($I58=1,IFBLANK(_xldudf_CX_PUSH(AT58*fxVal_normal,CX_ENTITY,$B58,AT$11,AT$14,AT$44,),""),IF($I58=2,IFBLANK(_xldudf_CX_PUSH(AT58,CX_ENTITY,$B58,AT$11,AT$14,AT$44,),""),IF($I58=3,"",IFBLANK(_xldudf_CX_PUSH(AT58,CX_ENTITY,$B58,AT$11,AT$14,AT$44,),"")))))),"")</f>
        <v/>
      </c>
      <c r="DN58" s="1883" t="str" cm="1">
        <f t="array" ca="1" aca="1" ref="DN58">IFERROR(IF(AU58*fxVal_normal=_CF!AU58,"",IF(OR(AU58="",NOT(ISNUMBER(AU58)),ISERROR(AU58),$B58=""),"",IF($I58=1,IFBLANK(_xldudf_CX_PUSH(AU58*fxVal_normal,CX_ENTITY,$B58,AU$11,AU$14,AU$44,),""),IF($I58=2,IFBLANK(_xldudf_CX_PUSH(AU58,CX_ENTITY,$B58,AU$11,AU$14,AU$44,),""),IF($I58=3,"",IFBLANK(_xldudf_CX_PUSH(AU58,CX_ENTITY,$B58,AU$11,AU$14,AU$44,),"")))))),"")</f>
        <v/>
      </c>
      <c r="DO58" s="1883" t="str" cm="1">
        <f t="array" ca="1" aca="1" ref="DO58">IFERROR(IF(AV58*fxVal_normal=_CF!AV58,"",IF(OR(AV58="",NOT(ISNUMBER(AV58)),ISERROR(AV58),$B58=""),"",IF($I58=1,IFBLANK(_xldudf_CX_PUSH(AV58*fxVal_normal,CX_ENTITY,$B58,AV$11,AV$14,AV$44,),""),IF($I58=2,IFBLANK(_xldudf_CX_PUSH(AV58,CX_ENTITY,$B58,AV$11,AV$14,AV$44,),""),IF($I58=3,"",IFBLANK(_xldudf_CX_PUSH(AV58,CX_ENTITY,$B58,AV$11,AV$14,AV$44,),"")))))),"")</f>
        <v/>
      </c>
      <c r="DP58" s="1883" t="str" cm="1">
        <f t="array" ca="1" aca="1" ref="DP58">IFERROR(IF(AW58*fxVal_normal=_CF!AW58,"",IF(OR(AW58="",NOT(ISNUMBER(AW58)),ISERROR(AW58),$B58=""),"",IF($I58=1,IFBLANK(_xldudf_CX_PUSH(AW58*fxVal_normal,CX_ENTITY,$B58,AW$11,AW$14,AW$44,),""),IF($I58=2,IFBLANK(_xldudf_CX_PUSH(AW58,CX_ENTITY,$B58,AW$11,AW$14,AW$44,),""),IF($I58=3,"",IFBLANK(_xldudf_CX_PUSH(AW58,CX_ENTITY,$B58,AW$11,AW$14,AW$44,),"")))))),"")</f>
        <v/>
      </c>
      <c r="DQ58" s="1883" t="str" cm="1">
        <f t="array" ca="1" aca="1" ref="DQ58">IFERROR(IF(AX58*fxVal_normal=_CF!AX58,"",IF(OR(AX58="",NOT(ISNUMBER(AX58)),ISERROR(AX58),$B58=""),"",IF($I58=1,IFBLANK(_xldudf_CX_PUSH(AX58*fxVal_normal,CX_ENTITY,$B58,AX$11,AX$14,AX$44,),""),IF($I58=2,IFBLANK(_xldudf_CX_PUSH(AX58,CX_ENTITY,$B58,AX$11,AX$14,AX$44,),""),IF($I58=3,"",IFBLANK(_xldudf_CX_PUSH(AX58,CX_ENTITY,$B58,AX$11,AX$14,AX$44,),"")))))),"")</f>
        <v/>
      </c>
      <c r="DR58" s="1883" t="str" cm="1">
        <f t="array" ca="1" aca="1" ref="DR58">IFERROR(IF(AY58*fxVal_normal=_CF!AY58,"",IF(OR(AY58="",NOT(ISNUMBER(AY58)),ISERROR(AY58),$B58=""),"",IF($I58=1,IFBLANK(_xldudf_CX_PUSH(AY58*fxVal_normal,CX_ENTITY,$B58,AY$11,AY$14,AY$44,),""),IF($I58=2,IFBLANK(_xldudf_CX_PUSH(AY58,CX_ENTITY,$B58,AY$11,AY$14,AY$44,),""),IF($I58=3,"",IFBLANK(_xldudf_CX_PUSH(AY58,CX_ENTITY,$B58,AY$11,AY$14,AY$44,),"")))))),"")</f>
        <v/>
      </c>
      <c r="DS58" s="1883" t="str" cm="1">
        <f t="array" ca="1" aca="1" ref="DS58">IFERROR(IF(AZ58*fxVal_normal=_CF!AZ58,"",IF(OR(AZ58="",NOT(ISNUMBER(AZ58)),ISERROR(AZ58),$B58=""),"",IF($I58=1,IFBLANK(_xldudf_CX_PUSH(AZ58*fxVal_normal,CX_ENTITY,$B58,AZ$11,AZ$14,AZ$44,),""),IF($I58=2,IFBLANK(_xldudf_CX_PUSH(AZ58,CX_ENTITY,$B58,AZ$11,AZ$14,AZ$44,),""),IF($I58=3,"",IFBLANK(_xldudf_CX_PUSH(AZ58,CX_ENTITY,$B58,AZ$11,AZ$14,AZ$44,),"")))))),"")</f>
        <v/>
      </c>
      <c r="DT58" s="1883" t="str" cm="1">
        <f t="array" ca="1" aca="1" ref="DT58">IFERROR(IF(BA58*fxVal_normal=_CF!BA58,"",IF(OR(BA58="",NOT(ISNUMBER(BA58)),ISERROR(BA58),$B58=""),"",IF($I58=1,IFBLANK(_xldudf_CX_PUSH(BA58*fxVal_normal,CX_ENTITY,$B58,BA$11,BA$14,BA$44,),""),IF($I58=2,IFBLANK(_xldudf_CX_PUSH(BA58,CX_ENTITY,$B58,BA$11,BA$14,BA$44,),""),IF($I58=3,"",IFBLANK(_xldudf_CX_PUSH(BA58,CX_ENTITY,$B58,BA$11,BA$14,BA$44,),"")))))),"")</f>
        <v/>
      </c>
      <c r="DU58" s="1883" t="str" cm="1">
        <f t="array" ca="1" aca="1" ref="DU58">IFERROR(IF(BB58*fxVal_normal=_CF!BB58,"",IF(OR(BB58="",NOT(ISNUMBER(BB58)),ISERROR(BB58),$B58=""),"",IF($I58=1,IFBLANK(_xldudf_CX_PUSH(BB58*fxVal_normal,CX_ENTITY,$B58,BB$11,BB$14,BB$44,),""),IF($I58=2,IFBLANK(_xldudf_CX_PUSH(BB58,CX_ENTITY,$B58,BB$11,BB$14,BB$44,),""),IF($I58=3,"",IFBLANK(_xldudf_CX_PUSH(BB58,CX_ENTITY,$B58,BB$11,BB$14,BB$44,),"")))))),"")</f>
        <v/>
      </c>
      <c r="DV58" s="1883" t="str" cm="1">
        <f t="array" ca="1" aca="1" ref="DV58">IFERROR(IF(BC58*fxVal_normal=_CF!BC58,"",IF(OR(BC58="",NOT(ISNUMBER(BC58)),ISERROR(BC58),$B58=""),"",IF($I58=1,IFBLANK(_xldudf_CX_PUSH(BC58*fxVal_normal,CX_ENTITY,$B58,BC$11,BC$14,BC$44,),""),IF($I58=2,IFBLANK(_xldudf_CX_PUSH(BC58,CX_ENTITY,$B58,BC$11,BC$14,BC$44,),""),IF($I58=3,"",IFBLANK(_xldudf_CX_PUSH(BC58,CX_ENTITY,$B58,BC$11,BC$14,BC$44,),"")))))),"")</f>
        <v/>
      </c>
      <c r="DW58" s="1883" t="str" cm="1">
        <f t="array" ca="1" aca="1" ref="DW58">IFERROR(IF(BD58*fxVal_normal=_CF!BD58,"",IF(OR(BD58="",NOT(ISNUMBER(BD58)),ISERROR(BD58),$B58=""),"",IF($I58=1,IFBLANK(_xldudf_CX_PUSH(BD58*fxVal_normal,CX_ENTITY,$B58,BD$11,BD$14,BD$44,),""),IF($I58=2,IFBLANK(_xldudf_CX_PUSH(BD58,CX_ENTITY,$B58,BD$11,BD$14,BD$44,),""),IF($I58=3,"",IFBLANK(_xldudf_CX_PUSH(BD58,CX_ENTITY,$B58,BD$11,BD$14,BD$44,),"")))))),"")</f>
        <v/>
      </c>
      <c r="DX58" s="1883" t="str" cm="1">
        <f t="array" ca="1" aca="1" ref="DX58">IFERROR(IF(BE58*fxVal_normal=_CF!BE58,"",IF(OR(BE58="",NOT(ISNUMBER(BE58)),ISERROR(BE58),$B58=""),"",IF($I58=1,IFBLANK(_xldudf_CX_PUSH(BE58*fxVal_normal,CX_ENTITY,$B58,BE$11,BE$14,BE$44,),""),IF($I58=2,IFBLANK(_xldudf_CX_PUSH(BE58,CX_ENTITY,$B58,BE$11,BE$14,BE$44,),""),IF($I58=3,"",IFBLANK(_xldudf_CX_PUSH(BE58,CX_ENTITY,$B58,BE$11,BE$14,BE$44,),"")))))),"")</f>
        <v/>
      </c>
      <c r="DY58" s="1883" t="str" cm="1">
        <f t="array" ca="1" aca="1" ref="DY58">IFERROR(IF(BF58*fxVal_normal=_CF!BF58,"",IF(OR(BF58="",NOT(ISNUMBER(BF58)),ISERROR(BF58),$B58=""),"",IF($I58=1,IFBLANK(_xldudf_CX_PUSH(BF58*fxVal_normal,CX_ENTITY,$B58,BF$11,BF$14,BF$44,),""),IF($I58=2,IFBLANK(_xldudf_CX_PUSH(BF58,CX_ENTITY,$B58,BF$11,BF$14,BF$44,),""),IF($I58=3,"",IFBLANK(_xldudf_CX_PUSH(BF58,CX_ENTITY,$B58,BF$11,BF$14,BF$44,),"")))))),"")</f>
        <v/>
      </c>
      <c r="DZ58" s="1883" t="str" cm="1">
        <f t="array" ca="1" aca="1" ref="DZ58">IFERROR(IF(BG58*fxVal_normal=_CF!BG58,"",IF(OR(BG58="",NOT(ISNUMBER(BG58)),ISERROR(BG58),$B58=""),"",IF($I58=1,IFBLANK(_xldudf_CX_PUSH(BG58*fxVal_normal,CX_ENTITY,$B58,BG$11,BG$14,BG$44,),""),IF($I58=2,IFBLANK(_xldudf_CX_PUSH(BG58,CX_ENTITY,$B58,BG$11,BG$14,BG$44,),""),IF($I58=3,"",IFBLANK(_xldudf_CX_PUSH(BG58,CX_ENTITY,$B58,BG$11,BG$14,BG$44,),"")))))),"")</f>
        <v/>
      </c>
      <c r="EA58" s="1883" t="str" cm="1">
        <f t="array" ca="1" aca="1" ref="EA58">IFERROR(IF(BH58*fxVal_normal=_CF!BH58,"",IF(OR(BH58="",NOT(ISNUMBER(BH58)),ISERROR(BH58),$B58=""),"",IF($I58=1,IFBLANK(_xldudf_CX_PUSH(BH58*fxVal_normal,CX_ENTITY,$B58,BH$11,BH$14,BH$44,),""),IF($I58=2,IFBLANK(_xldudf_CX_PUSH(BH58,CX_ENTITY,$B58,BH$11,BH$14,BH$44,),""),IF($I58=3,"",IFBLANK(_xldudf_CX_PUSH(BH58,CX_ENTITY,$B58,BH$11,BH$14,BH$44,),"")))))),"")</f>
        <v/>
      </c>
      <c r="EB58" s="1883" t="str" cm="1">
        <f t="array" ca="1" aca="1" ref="EB58">IFERROR(IF(BI58*fxVal_normal=_CF!BI58,"",IF(OR(BI58="",NOT(ISNUMBER(BI58)),ISERROR(BI58),$B58=""),"",IF($I58=1,IFBLANK(_xldudf_CX_PUSH(BI58*fxVal_normal,CX_ENTITY,$B58,BI$11,BI$14,BI$44,),""),IF($I58=2,IFBLANK(_xldudf_CX_PUSH(BI58,CX_ENTITY,$B58,BI$11,BI$14,BI$44,),""),IF($I58=3,"",IFBLANK(_xldudf_CX_PUSH(BI58,CX_ENTITY,$B58,BI$11,BI$14,BI$44,),"")))))),"")</f>
        <v/>
      </c>
      <c r="EC58" s="1883" t="str" cm="1">
        <f t="array" ca="1" aca="1" ref="EC58">IFERROR(IF(BJ58*fxVal_normal=_CF!BJ58,"",IF(OR(BJ58="",NOT(ISNUMBER(BJ58)),ISERROR(BJ58),$B58=""),"",IF($I58=1,IFBLANK(_xldudf_CX_PUSH(BJ58*fxVal_normal,CX_ENTITY,$B58,BJ$11,BJ$14,BJ$44,),""),IF($I58=2,IFBLANK(_xldudf_CX_PUSH(BJ58,CX_ENTITY,$B58,BJ$11,BJ$14,BJ$44,),""),IF($I58=3,"",IFBLANK(_xldudf_CX_PUSH(BJ58,CX_ENTITY,$B58,BJ$11,BJ$14,BJ$44,),"")))))),"")</f>
        <v/>
      </c>
      <c r="ED58" s="1883" t="str" cm="1">
        <f t="array" ca="1" aca="1" ref="ED58">IFERROR(IF(BK58*fxVal_normal=_CF!BK58,"",IF(OR(BK58="",NOT(ISNUMBER(BK58)),ISERROR(BK58),$B58=""),"",IF($I58=1,IFBLANK(_xldudf_CX_PUSH(BK58*fxVal_normal,CX_ENTITY,$B58,BK$11,BK$14,BK$44,),""),IF($I58=2,IFBLANK(_xldudf_CX_PUSH(BK58,CX_ENTITY,$B58,BK$11,BK$14,BK$44,),""),IF($I58=3,"",IFBLANK(_xldudf_CX_PUSH(BK58,CX_ENTITY,$B58,BK$11,BK$14,BK$44,),"")))))),"")</f>
        <v/>
      </c>
      <c r="EE58" s="1883" t="str" cm="1">
        <f t="array" ca="1" aca="1" ref="EE58">IFERROR(IF(BL58*fxVal_normal=_CF!BL58,"",IF(OR(BL58="",NOT(ISNUMBER(BL58)),ISERROR(BL58),$B58=""),"",IF($I58=1,IFBLANK(_xldudf_CX_PUSH(BL58*fxVal_normal,CX_ENTITY,$B58,BL$11,BL$14,BL$44,),""),IF($I58=2,IFBLANK(_xldudf_CX_PUSH(BL58,CX_ENTITY,$B58,BL$11,BL$14,BL$44,),""),IF($I58=3,"",IFBLANK(_xldudf_CX_PUSH(BL58,CX_ENTITY,$B58,BL$11,BL$14,BL$44,),"")))))),"")</f>
        <v/>
      </c>
      <c r="EF58" s="1883" t="str" cm="1">
        <f t="array" ca="1" aca="1" ref="EF58">IFERROR(IF(BM58*fxVal_normal=_CF!BM58,"",IF(OR(BM58="",NOT(ISNUMBER(BM58)),ISERROR(BM58),$B58=""),"",IF($I58=1,IFBLANK(_xldudf_CX_PUSH(BM58*fxVal_normal,CX_ENTITY,$B58,BM$11,BM$14,BM$44,),""),IF($I58=2,IFBLANK(_xldudf_CX_PUSH(BM58,CX_ENTITY,$B58,BM$11,BM$14,BM$44,),""),IF($I58=3,"",IFBLANK(_xldudf_CX_PUSH(BM58,CX_ENTITY,$B58,BM$11,BM$14,BM$44,),"")))))),"")</f>
        <v/>
      </c>
      <c r="EG58" s="1883" t="str" cm="1">
        <f t="array" ca="1" aca="1" ref="EG58">IFERROR(IF(BN58*fxVal_normal=_CF!BN58,"",IF(OR(BN58="",NOT(ISNUMBER(BN58)),ISERROR(BN58),$B58=""),"",IF($I58=1,IFBLANK(_xldudf_CX_PUSH(BN58*fxVal_normal,CX_ENTITY,$B58,BN$11,BN$14,BN$44,),""),IF($I58=2,IFBLANK(_xldudf_CX_PUSH(BN58,CX_ENTITY,$B58,BN$11,BN$14,BN$44,),""),IF($I58=3,"",IFBLANK(_xldudf_CX_PUSH(BN58,CX_ENTITY,$B58,BN$11,BN$14,BN$44,),"")))))),"")</f>
        <v/>
      </c>
    </row>
    <row r="59" spans="1:137" ht="21" customHeight="1">
      <c r="A59" s="1626"/>
      <c r="B59" s="811" t="str" cm="1">
        <f t="array" ref="B59">IFBLANK(_CF!F59,"")</f>
        <v>Dividend Payments</v>
      </c>
      <c r="C59" s="811" t="str" cm="1">
        <f t="array" ref="C59">IFBLANK(_CF!C59,"")</f>
        <v>Dividend Payments (Company View)</v>
      </c>
      <c r="D59" s="1549"/>
      <c r="E59" s="574"/>
      <c r="F59" s="574"/>
      <c r="G59" s="574"/>
      <c r="H59" s="3280">
        <v>1</v>
      </c>
      <c r="I59" s="3280">
        <v>1</v>
      </c>
      <c r="J59" s="401"/>
      <c r="K59" s="401"/>
      <c r="N59" s="158"/>
      <c r="O59" s="101"/>
      <c r="P59" s="52"/>
      <c r="Q59" s="101"/>
      <c r="R59" s="126"/>
      <c r="S59" s="101"/>
      <c r="T59" s="101"/>
      <c r="U59" s="39"/>
      <c r="W59" s="932" t="str">
        <f t="shared" si="8"/>
        <v>Budget</v>
      </c>
      <c r="X59" s="815">
        <f>_CF!X59</f>
        <v>-1</v>
      </c>
      <c r="Y59" s="3192">
        <f t="shared" si="6"/>
        <v>2</v>
      </c>
      <c r="Z59" s="3291" cm="1">
        <f t="array" ref="Z59">_xlfn.SWITCH(TRUE,_CF!$L59=TRUE,1,_CF!$L59=FALSE,-1,_CF!$L59=-1,0,"n/a")</f>
        <v>1</v>
      </c>
      <c r="AA59" s="200"/>
      <c r="AB59" s="88" t="str">
        <f>_CF!AB59</f>
        <v>Dividend payments</v>
      </c>
      <c r="AC59" s="88" t="e" vm="5" cm="1">
        <f t="array" ca="1" aca="1" ref="AC59">_xlfn.LET(_xlpm._termname,$AB59,_xlpm._iconname,"find",_xlpm._icon,fx_getIcon(_xlpm._iconname),_xlpm._location,_xlfn.XLOOKUP(LOWER(_xlpm._termname),LOWER(tbl_acctDef[Term]),tbl_acctDef[Term]),_xlpm._hyperlink,HYPERLINK("#"&amp;CELL("address",_xlpm._location),_xlpm._icon),IFERROR(_xlpm._hyperlink,""))</f>
        <v>#VALUE!</v>
      </c>
      <c r="AD59" s="3232">
        <v>1</v>
      </c>
      <c r="AE59" s="3232">
        <v>1</v>
      </c>
      <c r="AF59" s="3232">
        <v>1</v>
      </c>
      <c r="AG59" s="3232">
        <v>1</v>
      </c>
      <c r="AH59" s="3232">
        <v>1</v>
      </c>
      <c r="AI59" s="3232">
        <v>1</v>
      </c>
      <c r="AJ59" s="3232">
        <v>1</v>
      </c>
      <c r="AK59" s="3232">
        <v>1</v>
      </c>
      <c r="AL59" s="3232">
        <v>1</v>
      </c>
      <c r="AM59" s="3232">
        <v>1</v>
      </c>
      <c r="AN59" s="3232">
        <v>1</v>
      </c>
      <c r="AO59" s="3232">
        <v>1</v>
      </c>
      <c r="AP59" s="3232">
        <v>1</v>
      </c>
      <c r="AQ59" s="3232">
        <v>1</v>
      </c>
      <c r="AR59" s="3232">
        <v>1</v>
      </c>
      <c r="AS59" s="3232">
        <v>1</v>
      </c>
      <c r="AT59" s="3232">
        <v>1</v>
      </c>
      <c r="AU59" s="3232">
        <v>1</v>
      </c>
      <c r="AV59" s="3232">
        <v>1</v>
      </c>
      <c r="AW59" s="3232">
        <v>1</v>
      </c>
      <c r="AX59" s="3232">
        <v>1</v>
      </c>
      <c r="AY59" s="3232">
        <v>1</v>
      </c>
      <c r="AZ59" s="3232">
        <v>1</v>
      </c>
      <c r="BA59" s="3232">
        <v>1</v>
      </c>
      <c r="BB59" s="3232">
        <v>1</v>
      </c>
      <c r="BC59" s="3232">
        <v>1</v>
      </c>
      <c r="BD59" s="3232">
        <v>1</v>
      </c>
      <c r="BE59" s="3232">
        <v>1</v>
      </c>
      <c r="BF59" s="3232">
        <v>1</v>
      </c>
      <c r="BG59" s="3232">
        <v>1</v>
      </c>
      <c r="BH59" s="3232">
        <v>1</v>
      </c>
      <c r="BI59" s="3232">
        <v>1</v>
      </c>
      <c r="BJ59" s="3232">
        <v>1</v>
      </c>
      <c r="BK59" s="3232">
        <v>1</v>
      </c>
      <c r="BL59" s="3232">
        <v>1</v>
      </c>
      <c r="BM59" s="3232">
        <v>1</v>
      </c>
      <c r="BN59" s="3232">
        <v>1</v>
      </c>
      <c r="BO59" s="2115"/>
      <c r="BP59" s="2115"/>
      <c r="BQ59" s="2115"/>
      <c r="BR59" s="2115"/>
      <c r="BS59" s="2115"/>
      <c r="BT59" s="2115"/>
      <c r="BU59" s="2115"/>
      <c r="BV59" s="2115"/>
      <c r="BW59" s="2115"/>
      <c r="BX59" s="2115"/>
      <c r="BY59" s="2115"/>
      <c r="BZ59" s="2115"/>
      <c r="CA59" s="1330"/>
      <c r="CB59" s="537"/>
      <c r="CC59" s="1484"/>
      <c r="CD59" s="1461" t="e" cm="1">
        <f t="array" ca="1" aca="1" ref="CD59">_xlfn.LET(_xlpm.CheckBlank,SUM(CF!$AD59:$BN59)=0,IF(_xlpm.CheckBlank,"",SUM(_xlfn._xlws.FILTER(CF!$AD59:$BN59,(YEAR(CF!$AD$12:$BN$12)=CF!CD$12)*(array_timeline&lt;=CF!CD$11)))))</f>
        <v>#NAME?</v>
      </c>
      <c r="CE59" s="1461" t="e" cm="1">
        <f t="array" ca="1" aca="1" ref="CE59">_xlfn.LET(_xlpm.CheckBlank,SUM(CF!$AD59:$BN59)=0,IF(_xlpm.CheckBlank,"",SUM(_xlfn._xlws.FILTER(CF!$AD59:$BN59,(YEAR(CF!$AD$12:$BN$12)=CF!CE$12)*(array_timeline&lt;=CF!CE$11)))))</f>
        <v>#NAME?</v>
      </c>
      <c r="CF59" s="1314"/>
      <c r="CG59" s="1461" t="e" cm="1">
        <f t="array" ca="1" aca="1" ref="CG59">_xlfn.LET(_xlpm.CheckBlank,SUM(CF!$AD59:$BN59)=0,IF(_xlpm.CheckBlank,"",SUM(_xlfn._xlws.FILTER(CF!$AD59:$BN59,(YEAR(CF!$AD$12:$BN$12)=CF!CG$12)*(array_timeline&lt;=CF!CG$11)))))</f>
        <v>#NAME?</v>
      </c>
      <c r="CH59" s="1461" t="e" cm="1">
        <f t="array" ca="1" aca="1" ref="CH59">_xlfn.LET(_xlpm.CheckBlank,SUM(CF!$AD59:$BN59)=0,IF(_xlpm.CheckBlank,"",SUM(_xlfn._xlws.FILTER(CF!$AD59:$BN59,(YEAR(CF!$AD$12:$BN$12)=CF!CH$12)*(array_timeline&lt;=CF!CH$11)))))</f>
        <v>#NAME?</v>
      </c>
      <c r="CI59" s="1314"/>
      <c r="CJ59" s="1461" cm="1">
        <f t="array" ref="CJ59">_xlfn.LET(_xlpm.CheckBlank,SUM(CF!$AD59:$BN59)=0,IF(_xlpm.CheckBlank,"",SUM(_xlfn.TAKE(_xlfn.DROP(CF!$AD59:$BN59,,-DATEDIFF(CF!CJ$11,val_asOfDate,"M")),1,-12))))</f>
        <v>12</v>
      </c>
      <c r="CK59" s="1461" cm="1">
        <f t="array" ref="CK59">_xlfn.LET(_xlpm.CheckBlank,SUM(CF!$AD59:$BN59)=0,IF(_xlpm.CheckBlank,"",SUM(_xlfn.TAKE(_xlfn.DROP(CF!$AD59:$BN59,,-DATEDIFF(CF!CK$11,val_asOfDate,"M")),1,-12))))</f>
        <v>12</v>
      </c>
      <c r="CL59" s="1314"/>
      <c r="CM59" s="541" t="e">
        <f t="shared" ca="1" si="7"/>
        <v>#NAME?</v>
      </c>
      <c r="CN59" s="541" t="e">
        <f t="shared" ca="1" si="7"/>
        <v>#NAME?</v>
      </c>
      <c r="CO59" s="34"/>
      <c r="CW59" s="1883" t="str" cm="1">
        <f t="array" ca="1" aca="1" ref="CW59">IFERROR(IF(AD59*fxVal_normal=_CF!AD59,"",IF(OR(AD59="",NOT(ISNUMBER(AD59)),ISERROR(AD59),$B59=""),"",IF($I59=1,IFBLANK(_xldudf_CX_PUSH(AD59*fxVal_normal,CX_ENTITY,$B59,AD$11,AD$14,AD$44,),""),IF($I59=2,IFBLANK(_xldudf_CX_PUSH(AD59,CX_ENTITY,$B59,AD$11,AD$14,AD$44,),""),IF($I59=3,"",IFBLANK(_xldudf_CX_PUSH(AD59,CX_ENTITY,$B59,AD$11,AD$14,AD$44,),"")))))),"")</f>
        <v/>
      </c>
      <c r="CX59" s="1883" t="str" cm="1">
        <f t="array" ca="1" aca="1" ref="CX59">IFERROR(IF(AE59*fxVal_normal=_CF!AE59,"",IF(OR(AE59="",NOT(ISNUMBER(AE59)),ISERROR(AE59),$B59=""),"",IF($I59=1,IFBLANK(_xldudf_CX_PUSH(AE59*fxVal_normal,CX_ENTITY,$B59,AE$11,AE$14,AE$44,),""),IF($I59=2,IFBLANK(_xldudf_CX_PUSH(AE59,CX_ENTITY,$B59,AE$11,AE$14,AE$44,),""),IF($I59=3,"",IFBLANK(_xldudf_CX_PUSH(AE59,CX_ENTITY,$B59,AE$11,AE$14,AE$44,),"")))))),"")</f>
        <v/>
      </c>
      <c r="CY59" s="1883" t="str" cm="1">
        <f t="array" ca="1" aca="1" ref="CY59">IFERROR(IF(AF59*fxVal_normal=_CF!AF59,"",IF(OR(AF59="",NOT(ISNUMBER(AF59)),ISERROR(AF59),$B59=""),"",IF($I59=1,IFBLANK(_xldudf_CX_PUSH(AF59*fxVal_normal,CX_ENTITY,$B59,AF$11,AF$14,AF$44,),""),IF($I59=2,IFBLANK(_xldudf_CX_PUSH(AF59,CX_ENTITY,$B59,AF$11,AF$14,AF$44,),""),IF($I59=3,"",IFBLANK(_xldudf_CX_PUSH(AF59,CX_ENTITY,$B59,AF$11,AF$14,AF$44,),"")))))),"")</f>
        <v/>
      </c>
      <c r="CZ59" s="1883" t="str" cm="1">
        <f t="array" ca="1" aca="1" ref="CZ59">IFERROR(IF(AG59*fxVal_normal=_CF!AG59,"",IF(OR(AG59="",NOT(ISNUMBER(AG59)),ISERROR(AG59),$B59=""),"",IF($I59=1,IFBLANK(_xldudf_CX_PUSH(AG59*fxVal_normal,CX_ENTITY,$B59,AG$11,AG$14,AG$44,),""),IF($I59=2,IFBLANK(_xldudf_CX_PUSH(AG59,CX_ENTITY,$B59,AG$11,AG$14,AG$44,),""),IF($I59=3,"",IFBLANK(_xldudf_CX_PUSH(AG59,CX_ENTITY,$B59,AG$11,AG$14,AG$44,),"")))))),"")</f>
        <v/>
      </c>
      <c r="DA59" s="1883" t="str" cm="1">
        <f t="array" ca="1" aca="1" ref="DA59">IFERROR(IF(AH59*fxVal_normal=_CF!AH59,"",IF(OR(AH59="",NOT(ISNUMBER(AH59)),ISERROR(AH59),$B59=""),"",IF($I59=1,IFBLANK(_xldudf_CX_PUSH(AH59*fxVal_normal,CX_ENTITY,$B59,AH$11,AH$14,AH$44,),""),IF($I59=2,IFBLANK(_xldudf_CX_PUSH(AH59,CX_ENTITY,$B59,AH$11,AH$14,AH$44,),""),IF($I59=3,"",IFBLANK(_xldudf_CX_PUSH(AH59,CX_ENTITY,$B59,AH$11,AH$14,AH$44,),"")))))),"")</f>
        <v/>
      </c>
      <c r="DB59" s="1883" t="str" cm="1">
        <f t="array" ca="1" aca="1" ref="DB59">IFERROR(IF(AI59*fxVal_normal=_CF!AI59,"",IF(OR(AI59="",NOT(ISNUMBER(AI59)),ISERROR(AI59),$B59=""),"",IF($I59=1,IFBLANK(_xldudf_CX_PUSH(AI59*fxVal_normal,CX_ENTITY,$B59,AI$11,AI$14,AI$44,),""),IF($I59=2,IFBLANK(_xldudf_CX_PUSH(AI59,CX_ENTITY,$B59,AI$11,AI$14,AI$44,),""),IF($I59=3,"",IFBLANK(_xldudf_CX_PUSH(AI59,CX_ENTITY,$B59,AI$11,AI$14,AI$44,),"")))))),"")</f>
        <v/>
      </c>
      <c r="DC59" s="1883" t="str" cm="1">
        <f t="array" ca="1" aca="1" ref="DC59">IFERROR(IF(AJ59*fxVal_normal=_CF!AJ59,"",IF(OR(AJ59="",NOT(ISNUMBER(AJ59)),ISERROR(AJ59),$B59=""),"",IF($I59=1,IFBLANK(_xldudf_CX_PUSH(AJ59*fxVal_normal,CX_ENTITY,$B59,AJ$11,AJ$14,AJ$44,),""),IF($I59=2,IFBLANK(_xldudf_CX_PUSH(AJ59,CX_ENTITY,$B59,AJ$11,AJ$14,AJ$44,),""),IF($I59=3,"",IFBLANK(_xldudf_CX_PUSH(AJ59,CX_ENTITY,$B59,AJ$11,AJ$14,AJ$44,),"")))))),"")</f>
        <v/>
      </c>
      <c r="DD59" s="1883" t="str" cm="1">
        <f t="array" ca="1" aca="1" ref="DD59">IFERROR(IF(AK59*fxVal_normal=_CF!AK59,"",IF(OR(AK59="",NOT(ISNUMBER(AK59)),ISERROR(AK59),$B59=""),"",IF($I59=1,IFBLANK(_xldudf_CX_PUSH(AK59*fxVal_normal,CX_ENTITY,$B59,AK$11,AK$14,AK$44,),""),IF($I59=2,IFBLANK(_xldudf_CX_PUSH(AK59,CX_ENTITY,$B59,AK$11,AK$14,AK$44,),""),IF($I59=3,"",IFBLANK(_xldudf_CX_PUSH(AK59,CX_ENTITY,$B59,AK$11,AK$14,AK$44,),"")))))),"")</f>
        <v/>
      </c>
      <c r="DE59" s="1883" t="str" cm="1">
        <f t="array" ca="1" aca="1" ref="DE59">IFERROR(IF(AL59*fxVal_normal=_CF!AL59,"",IF(OR(AL59="",NOT(ISNUMBER(AL59)),ISERROR(AL59),$B59=""),"",IF($I59=1,IFBLANK(_xldudf_CX_PUSH(AL59*fxVal_normal,CX_ENTITY,$B59,AL$11,AL$14,AL$44,),""),IF($I59=2,IFBLANK(_xldudf_CX_PUSH(AL59,CX_ENTITY,$B59,AL$11,AL$14,AL$44,),""),IF($I59=3,"",IFBLANK(_xldudf_CX_PUSH(AL59,CX_ENTITY,$B59,AL$11,AL$14,AL$44,),"")))))),"")</f>
        <v/>
      </c>
      <c r="DF59" s="1883" t="str" cm="1">
        <f t="array" ca="1" aca="1" ref="DF59">IFERROR(IF(AM59*fxVal_normal=_CF!AM59,"",IF(OR(AM59="",NOT(ISNUMBER(AM59)),ISERROR(AM59),$B59=""),"",IF($I59=1,IFBLANK(_xldudf_CX_PUSH(AM59*fxVal_normal,CX_ENTITY,$B59,AM$11,AM$14,AM$44,),""),IF($I59=2,IFBLANK(_xldudf_CX_PUSH(AM59,CX_ENTITY,$B59,AM$11,AM$14,AM$44,),""),IF($I59=3,"",IFBLANK(_xldudf_CX_PUSH(AM59,CX_ENTITY,$B59,AM$11,AM$14,AM$44,),"")))))),"")</f>
        <v/>
      </c>
      <c r="DG59" s="1883" t="str" cm="1">
        <f t="array" ca="1" aca="1" ref="DG59">IFERROR(IF(AN59*fxVal_normal=_CF!AN59,"",IF(OR(AN59="",NOT(ISNUMBER(AN59)),ISERROR(AN59),$B59=""),"",IF($I59=1,IFBLANK(_xldudf_CX_PUSH(AN59*fxVal_normal,CX_ENTITY,$B59,AN$11,AN$14,AN$44,),""),IF($I59=2,IFBLANK(_xldudf_CX_PUSH(AN59,CX_ENTITY,$B59,AN$11,AN$14,AN$44,),""),IF($I59=3,"",IFBLANK(_xldudf_CX_PUSH(AN59,CX_ENTITY,$B59,AN$11,AN$14,AN$44,),"")))))),"")</f>
        <v/>
      </c>
      <c r="DH59" s="1883" t="str" cm="1">
        <f t="array" ca="1" aca="1" ref="DH59">IFERROR(IF(AO59*fxVal_normal=_CF!AO59,"",IF(OR(AO59="",NOT(ISNUMBER(AO59)),ISERROR(AO59),$B59=""),"",IF($I59=1,IFBLANK(_xldudf_CX_PUSH(AO59*fxVal_normal,CX_ENTITY,$B59,AO$11,AO$14,AO$44,),""),IF($I59=2,IFBLANK(_xldudf_CX_PUSH(AO59,CX_ENTITY,$B59,AO$11,AO$14,AO$44,),""),IF($I59=3,"",IFBLANK(_xldudf_CX_PUSH(AO59,CX_ENTITY,$B59,AO$11,AO$14,AO$44,),"")))))),"")</f>
        <v/>
      </c>
      <c r="DI59" s="1883" t="str" cm="1">
        <f t="array" ca="1" aca="1" ref="DI59">IFERROR(IF(AP59*fxVal_normal=_CF!AP59,"",IF(OR(AP59="",NOT(ISNUMBER(AP59)),ISERROR(AP59),$B59=""),"",IF($I59=1,IFBLANK(_xldudf_CX_PUSH(AP59*fxVal_normal,CX_ENTITY,$B59,AP$11,AP$14,AP$44,),""),IF($I59=2,IFBLANK(_xldudf_CX_PUSH(AP59,CX_ENTITY,$B59,AP$11,AP$14,AP$44,),""),IF($I59=3,"",IFBLANK(_xldudf_CX_PUSH(AP59,CX_ENTITY,$B59,AP$11,AP$14,AP$44,),"")))))),"")</f>
        <v/>
      </c>
      <c r="DJ59" s="1883" t="str" cm="1">
        <f t="array" ca="1" aca="1" ref="DJ59">IFERROR(IF(AQ59*fxVal_normal=_CF!AQ59,"",IF(OR(AQ59="",NOT(ISNUMBER(AQ59)),ISERROR(AQ59),$B59=""),"",IF($I59=1,IFBLANK(_xldudf_CX_PUSH(AQ59*fxVal_normal,CX_ENTITY,$B59,AQ$11,AQ$14,AQ$44,),""),IF($I59=2,IFBLANK(_xldudf_CX_PUSH(AQ59,CX_ENTITY,$B59,AQ$11,AQ$14,AQ$44,),""),IF($I59=3,"",IFBLANK(_xldudf_CX_PUSH(AQ59,CX_ENTITY,$B59,AQ$11,AQ$14,AQ$44,),"")))))),"")</f>
        <v/>
      </c>
      <c r="DK59" s="1883" t="str" cm="1">
        <f t="array" ca="1" aca="1" ref="DK59">IFERROR(IF(AR59*fxVal_normal=_CF!AR59,"",IF(OR(AR59="",NOT(ISNUMBER(AR59)),ISERROR(AR59),$B59=""),"",IF($I59=1,IFBLANK(_xldudf_CX_PUSH(AR59*fxVal_normal,CX_ENTITY,$B59,AR$11,AR$14,AR$44,),""),IF($I59=2,IFBLANK(_xldudf_CX_PUSH(AR59,CX_ENTITY,$B59,AR$11,AR$14,AR$44,),""),IF($I59=3,"",IFBLANK(_xldudf_CX_PUSH(AR59,CX_ENTITY,$B59,AR$11,AR$14,AR$44,),"")))))),"")</f>
        <v/>
      </c>
      <c r="DL59" s="1883" t="str" cm="1">
        <f t="array" ca="1" aca="1" ref="DL59">IFERROR(IF(AS59*fxVal_normal=_CF!AS59,"",IF(OR(AS59="",NOT(ISNUMBER(AS59)),ISERROR(AS59),$B59=""),"",IF($I59=1,IFBLANK(_xldudf_CX_PUSH(AS59*fxVal_normal,CX_ENTITY,$B59,AS$11,AS$14,AS$44,),""),IF($I59=2,IFBLANK(_xldudf_CX_PUSH(AS59,CX_ENTITY,$B59,AS$11,AS$14,AS$44,),""),IF($I59=3,"",IFBLANK(_xldudf_CX_PUSH(AS59,CX_ENTITY,$B59,AS$11,AS$14,AS$44,),"")))))),"")</f>
        <v/>
      </c>
      <c r="DM59" s="1883" t="str" cm="1">
        <f t="array" ca="1" aca="1" ref="DM59">IFERROR(IF(AT59*fxVal_normal=_CF!AT59,"",IF(OR(AT59="",NOT(ISNUMBER(AT59)),ISERROR(AT59),$B59=""),"",IF($I59=1,IFBLANK(_xldudf_CX_PUSH(AT59*fxVal_normal,CX_ENTITY,$B59,AT$11,AT$14,AT$44,),""),IF($I59=2,IFBLANK(_xldudf_CX_PUSH(AT59,CX_ENTITY,$B59,AT$11,AT$14,AT$44,),""),IF($I59=3,"",IFBLANK(_xldudf_CX_PUSH(AT59,CX_ENTITY,$B59,AT$11,AT$14,AT$44,),"")))))),"")</f>
        <v/>
      </c>
      <c r="DN59" s="1883" t="str" cm="1">
        <f t="array" ca="1" aca="1" ref="DN59">IFERROR(IF(AU59*fxVal_normal=_CF!AU59,"",IF(OR(AU59="",NOT(ISNUMBER(AU59)),ISERROR(AU59),$B59=""),"",IF($I59=1,IFBLANK(_xldudf_CX_PUSH(AU59*fxVal_normal,CX_ENTITY,$B59,AU$11,AU$14,AU$44,),""),IF($I59=2,IFBLANK(_xldudf_CX_PUSH(AU59,CX_ENTITY,$B59,AU$11,AU$14,AU$44,),""),IF($I59=3,"",IFBLANK(_xldudf_CX_PUSH(AU59,CX_ENTITY,$B59,AU$11,AU$14,AU$44,),"")))))),"")</f>
        <v/>
      </c>
      <c r="DO59" s="1883" t="str" cm="1">
        <f t="array" ca="1" aca="1" ref="DO59">IFERROR(IF(AV59*fxVal_normal=_CF!AV59,"",IF(OR(AV59="",NOT(ISNUMBER(AV59)),ISERROR(AV59),$B59=""),"",IF($I59=1,IFBLANK(_xldudf_CX_PUSH(AV59*fxVal_normal,CX_ENTITY,$B59,AV$11,AV$14,AV$44,),""),IF($I59=2,IFBLANK(_xldudf_CX_PUSH(AV59,CX_ENTITY,$B59,AV$11,AV$14,AV$44,),""),IF($I59=3,"",IFBLANK(_xldudf_CX_PUSH(AV59,CX_ENTITY,$B59,AV$11,AV$14,AV$44,),"")))))),"")</f>
        <v/>
      </c>
      <c r="DP59" s="1883" t="str" cm="1">
        <f t="array" ca="1" aca="1" ref="DP59">IFERROR(IF(AW59*fxVal_normal=_CF!AW59,"",IF(OR(AW59="",NOT(ISNUMBER(AW59)),ISERROR(AW59),$B59=""),"",IF($I59=1,IFBLANK(_xldudf_CX_PUSH(AW59*fxVal_normal,CX_ENTITY,$B59,AW$11,AW$14,AW$44,),""),IF($I59=2,IFBLANK(_xldudf_CX_PUSH(AW59,CX_ENTITY,$B59,AW$11,AW$14,AW$44,),""),IF($I59=3,"",IFBLANK(_xldudf_CX_PUSH(AW59,CX_ENTITY,$B59,AW$11,AW$14,AW$44,),"")))))),"")</f>
        <v/>
      </c>
      <c r="DQ59" s="1883" t="str" cm="1">
        <f t="array" ca="1" aca="1" ref="DQ59">IFERROR(IF(AX59*fxVal_normal=_CF!AX59,"",IF(OR(AX59="",NOT(ISNUMBER(AX59)),ISERROR(AX59),$B59=""),"",IF($I59=1,IFBLANK(_xldudf_CX_PUSH(AX59*fxVal_normal,CX_ENTITY,$B59,AX$11,AX$14,AX$44,),""),IF($I59=2,IFBLANK(_xldudf_CX_PUSH(AX59,CX_ENTITY,$B59,AX$11,AX$14,AX$44,),""),IF($I59=3,"",IFBLANK(_xldudf_CX_PUSH(AX59,CX_ENTITY,$B59,AX$11,AX$14,AX$44,),"")))))),"")</f>
        <v/>
      </c>
      <c r="DR59" s="1883" t="str" cm="1">
        <f t="array" ca="1" aca="1" ref="DR59">IFERROR(IF(AY59*fxVal_normal=_CF!AY59,"",IF(OR(AY59="",NOT(ISNUMBER(AY59)),ISERROR(AY59),$B59=""),"",IF($I59=1,IFBLANK(_xldudf_CX_PUSH(AY59*fxVal_normal,CX_ENTITY,$B59,AY$11,AY$14,AY$44,),""),IF($I59=2,IFBLANK(_xldudf_CX_PUSH(AY59,CX_ENTITY,$B59,AY$11,AY$14,AY$44,),""),IF($I59=3,"",IFBLANK(_xldudf_CX_PUSH(AY59,CX_ENTITY,$B59,AY$11,AY$14,AY$44,),"")))))),"")</f>
        <v/>
      </c>
      <c r="DS59" s="1883" t="str" cm="1">
        <f t="array" ca="1" aca="1" ref="DS59">IFERROR(IF(AZ59*fxVal_normal=_CF!AZ59,"",IF(OR(AZ59="",NOT(ISNUMBER(AZ59)),ISERROR(AZ59),$B59=""),"",IF($I59=1,IFBLANK(_xldudf_CX_PUSH(AZ59*fxVal_normal,CX_ENTITY,$B59,AZ$11,AZ$14,AZ$44,),""),IF($I59=2,IFBLANK(_xldudf_CX_PUSH(AZ59,CX_ENTITY,$B59,AZ$11,AZ$14,AZ$44,),""),IF($I59=3,"",IFBLANK(_xldudf_CX_PUSH(AZ59,CX_ENTITY,$B59,AZ$11,AZ$14,AZ$44,),"")))))),"")</f>
        <v/>
      </c>
      <c r="DT59" s="1883" t="str" cm="1">
        <f t="array" ca="1" aca="1" ref="DT59">IFERROR(IF(BA59*fxVal_normal=_CF!BA59,"",IF(OR(BA59="",NOT(ISNUMBER(BA59)),ISERROR(BA59),$B59=""),"",IF($I59=1,IFBLANK(_xldudf_CX_PUSH(BA59*fxVal_normal,CX_ENTITY,$B59,BA$11,BA$14,BA$44,),""),IF($I59=2,IFBLANK(_xldudf_CX_PUSH(BA59,CX_ENTITY,$B59,BA$11,BA$14,BA$44,),""),IF($I59=3,"",IFBLANK(_xldudf_CX_PUSH(BA59,CX_ENTITY,$B59,BA$11,BA$14,BA$44,),"")))))),"")</f>
        <v/>
      </c>
      <c r="DU59" s="1883" t="str" cm="1">
        <f t="array" ca="1" aca="1" ref="DU59">IFERROR(IF(BB59*fxVal_normal=_CF!BB59,"",IF(OR(BB59="",NOT(ISNUMBER(BB59)),ISERROR(BB59),$B59=""),"",IF($I59=1,IFBLANK(_xldudf_CX_PUSH(BB59*fxVal_normal,CX_ENTITY,$B59,BB$11,BB$14,BB$44,),""),IF($I59=2,IFBLANK(_xldudf_CX_PUSH(BB59,CX_ENTITY,$B59,BB$11,BB$14,BB$44,),""),IF($I59=3,"",IFBLANK(_xldudf_CX_PUSH(BB59,CX_ENTITY,$B59,BB$11,BB$14,BB$44,),"")))))),"")</f>
        <v/>
      </c>
      <c r="DV59" s="1883" t="str" cm="1">
        <f t="array" ca="1" aca="1" ref="DV59">IFERROR(IF(BC59*fxVal_normal=_CF!BC59,"",IF(OR(BC59="",NOT(ISNUMBER(BC59)),ISERROR(BC59),$B59=""),"",IF($I59=1,IFBLANK(_xldudf_CX_PUSH(BC59*fxVal_normal,CX_ENTITY,$B59,BC$11,BC$14,BC$44,),""),IF($I59=2,IFBLANK(_xldudf_CX_PUSH(BC59,CX_ENTITY,$B59,BC$11,BC$14,BC$44,),""),IF($I59=3,"",IFBLANK(_xldudf_CX_PUSH(BC59,CX_ENTITY,$B59,BC$11,BC$14,BC$44,),"")))))),"")</f>
        <v/>
      </c>
      <c r="DW59" s="1883" t="str" cm="1">
        <f t="array" ca="1" aca="1" ref="DW59">IFERROR(IF(BD59*fxVal_normal=_CF!BD59,"",IF(OR(BD59="",NOT(ISNUMBER(BD59)),ISERROR(BD59),$B59=""),"",IF($I59=1,IFBLANK(_xldudf_CX_PUSH(BD59*fxVal_normal,CX_ENTITY,$B59,BD$11,BD$14,BD$44,),""),IF($I59=2,IFBLANK(_xldudf_CX_PUSH(BD59,CX_ENTITY,$B59,BD$11,BD$14,BD$44,),""),IF($I59=3,"",IFBLANK(_xldudf_CX_PUSH(BD59,CX_ENTITY,$B59,BD$11,BD$14,BD$44,),"")))))),"")</f>
        <v/>
      </c>
      <c r="DX59" s="1883" t="str" cm="1">
        <f t="array" ca="1" aca="1" ref="DX59">IFERROR(IF(BE59*fxVal_normal=_CF!BE59,"",IF(OR(BE59="",NOT(ISNUMBER(BE59)),ISERROR(BE59),$B59=""),"",IF($I59=1,IFBLANK(_xldudf_CX_PUSH(BE59*fxVal_normal,CX_ENTITY,$B59,BE$11,BE$14,BE$44,),""),IF($I59=2,IFBLANK(_xldudf_CX_PUSH(BE59,CX_ENTITY,$B59,BE$11,BE$14,BE$44,),""),IF($I59=3,"",IFBLANK(_xldudf_CX_PUSH(BE59,CX_ENTITY,$B59,BE$11,BE$14,BE$44,),"")))))),"")</f>
        <v/>
      </c>
      <c r="DY59" s="1883" t="str" cm="1">
        <f t="array" ca="1" aca="1" ref="DY59">IFERROR(IF(BF59*fxVal_normal=_CF!BF59,"",IF(OR(BF59="",NOT(ISNUMBER(BF59)),ISERROR(BF59),$B59=""),"",IF($I59=1,IFBLANK(_xldudf_CX_PUSH(BF59*fxVal_normal,CX_ENTITY,$B59,BF$11,BF$14,BF$44,),""),IF($I59=2,IFBLANK(_xldudf_CX_PUSH(BF59,CX_ENTITY,$B59,BF$11,BF$14,BF$44,),""),IF($I59=3,"",IFBLANK(_xldudf_CX_PUSH(BF59,CX_ENTITY,$B59,BF$11,BF$14,BF$44,),"")))))),"")</f>
        <v/>
      </c>
      <c r="DZ59" s="1883" t="str" cm="1">
        <f t="array" ca="1" aca="1" ref="DZ59">IFERROR(IF(BG59*fxVal_normal=_CF!BG59,"",IF(OR(BG59="",NOT(ISNUMBER(BG59)),ISERROR(BG59),$B59=""),"",IF($I59=1,IFBLANK(_xldudf_CX_PUSH(BG59*fxVal_normal,CX_ENTITY,$B59,BG$11,BG$14,BG$44,),""),IF($I59=2,IFBLANK(_xldudf_CX_PUSH(BG59,CX_ENTITY,$B59,BG$11,BG$14,BG$44,),""),IF($I59=3,"",IFBLANK(_xldudf_CX_PUSH(BG59,CX_ENTITY,$B59,BG$11,BG$14,BG$44,),"")))))),"")</f>
        <v/>
      </c>
      <c r="EA59" s="1883" t="str" cm="1">
        <f t="array" ca="1" aca="1" ref="EA59">IFERROR(IF(BH59*fxVal_normal=_CF!BH59,"",IF(OR(BH59="",NOT(ISNUMBER(BH59)),ISERROR(BH59),$B59=""),"",IF($I59=1,IFBLANK(_xldudf_CX_PUSH(BH59*fxVal_normal,CX_ENTITY,$B59,BH$11,BH$14,BH$44,),""),IF($I59=2,IFBLANK(_xldudf_CX_PUSH(BH59,CX_ENTITY,$B59,BH$11,BH$14,BH$44,),""),IF($I59=3,"",IFBLANK(_xldudf_CX_PUSH(BH59,CX_ENTITY,$B59,BH$11,BH$14,BH$44,),"")))))),"")</f>
        <v/>
      </c>
      <c r="EB59" s="1883" t="str" cm="1">
        <f t="array" ca="1" aca="1" ref="EB59">IFERROR(IF(BI59*fxVal_normal=_CF!BI59,"",IF(OR(BI59="",NOT(ISNUMBER(BI59)),ISERROR(BI59),$B59=""),"",IF($I59=1,IFBLANK(_xldudf_CX_PUSH(BI59*fxVal_normal,CX_ENTITY,$B59,BI$11,BI$14,BI$44,),""),IF($I59=2,IFBLANK(_xldudf_CX_PUSH(BI59,CX_ENTITY,$B59,BI$11,BI$14,BI$44,),""),IF($I59=3,"",IFBLANK(_xldudf_CX_PUSH(BI59,CX_ENTITY,$B59,BI$11,BI$14,BI$44,),"")))))),"")</f>
        <v/>
      </c>
      <c r="EC59" s="1883" t="str" cm="1">
        <f t="array" ca="1" aca="1" ref="EC59">IFERROR(IF(BJ59*fxVal_normal=_CF!BJ59,"",IF(OR(BJ59="",NOT(ISNUMBER(BJ59)),ISERROR(BJ59),$B59=""),"",IF($I59=1,IFBLANK(_xldudf_CX_PUSH(BJ59*fxVal_normal,CX_ENTITY,$B59,BJ$11,BJ$14,BJ$44,),""),IF($I59=2,IFBLANK(_xldudf_CX_PUSH(BJ59,CX_ENTITY,$B59,BJ$11,BJ$14,BJ$44,),""),IF($I59=3,"",IFBLANK(_xldudf_CX_PUSH(BJ59,CX_ENTITY,$B59,BJ$11,BJ$14,BJ$44,),"")))))),"")</f>
        <v/>
      </c>
      <c r="ED59" s="1883" t="str" cm="1">
        <f t="array" ca="1" aca="1" ref="ED59">IFERROR(IF(BK59*fxVal_normal=_CF!BK59,"",IF(OR(BK59="",NOT(ISNUMBER(BK59)),ISERROR(BK59),$B59=""),"",IF($I59=1,IFBLANK(_xldudf_CX_PUSH(BK59*fxVal_normal,CX_ENTITY,$B59,BK$11,BK$14,BK$44,),""),IF($I59=2,IFBLANK(_xldudf_CX_PUSH(BK59,CX_ENTITY,$B59,BK$11,BK$14,BK$44,),""),IF($I59=3,"",IFBLANK(_xldudf_CX_PUSH(BK59,CX_ENTITY,$B59,BK$11,BK$14,BK$44,),"")))))),"")</f>
        <v/>
      </c>
      <c r="EE59" s="1883" t="str" cm="1">
        <f t="array" ca="1" aca="1" ref="EE59">IFERROR(IF(BL59*fxVal_normal=_CF!BL59,"",IF(OR(BL59="",NOT(ISNUMBER(BL59)),ISERROR(BL59),$B59=""),"",IF($I59=1,IFBLANK(_xldudf_CX_PUSH(BL59*fxVal_normal,CX_ENTITY,$B59,BL$11,BL$14,BL$44,),""),IF($I59=2,IFBLANK(_xldudf_CX_PUSH(BL59,CX_ENTITY,$B59,BL$11,BL$14,BL$44,),""),IF($I59=3,"",IFBLANK(_xldudf_CX_PUSH(BL59,CX_ENTITY,$B59,BL$11,BL$14,BL$44,),"")))))),"")</f>
        <v/>
      </c>
      <c r="EF59" s="1883" t="str" cm="1">
        <f t="array" ca="1" aca="1" ref="EF59">IFERROR(IF(BM59*fxVal_normal=_CF!BM59,"",IF(OR(BM59="",NOT(ISNUMBER(BM59)),ISERROR(BM59),$B59=""),"",IF($I59=1,IFBLANK(_xldudf_CX_PUSH(BM59*fxVal_normal,CX_ENTITY,$B59,BM$11,BM$14,BM$44,),""),IF($I59=2,IFBLANK(_xldudf_CX_PUSH(BM59,CX_ENTITY,$B59,BM$11,BM$14,BM$44,),""),IF($I59=3,"",IFBLANK(_xldudf_CX_PUSH(BM59,CX_ENTITY,$B59,BM$11,BM$14,BM$44,),"")))))),"")</f>
        <v/>
      </c>
      <c r="EG59" s="1883" t="str" cm="1">
        <f t="array" ca="1" aca="1" ref="EG59">IFERROR(IF(BN59*fxVal_normal=_CF!BN59,"",IF(OR(BN59="",NOT(ISNUMBER(BN59)),ISERROR(BN59),$B59=""),"",IF($I59=1,IFBLANK(_xldudf_CX_PUSH(BN59*fxVal_normal,CX_ENTITY,$B59,BN$11,BN$14,BN$44,),""),IF($I59=2,IFBLANK(_xldudf_CX_PUSH(BN59,CX_ENTITY,$B59,BN$11,BN$14,BN$44,),""),IF($I59=3,"",IFBLANK(_xldudf_CX_PUSH(BN59,CX_ENTITY,$B59,BN$11,BN$14,BN$44,),"")))))),"")</f>
        <v/>
      </c>
    </row>
    <row r="60" spans="1:137" ht="21" customHeight="1">
      <c r="A60" s="1626"/>
      <c r="B60" s="811" t="str" cm="1">
        <f t="array" ref="B60">IFBLANK(_CF!F60,"")</f>
        <v>Other Financing Cash Flows</v>
      </c>
      <c r="C60" s="811" t="str" cm="1">
        <f t="array" ref="C60">IFBLANK(_CF!C60,"")</f>
        <v>Other Financing Cash Flows (Company View)</v>
      </c>
      <c r="D60" s="1549"/>
      <c r="E60" s="574"/>
      <c r="F60" s="574"/>
      <c r="G60" s="574"/>
      <c r="H60" s="3280">
        <v>1</v>
      </c>
      <c r="I60" s="3280">
        <v>1</v>
      </c>
      <c r="J60" s="401"/>
      <c r="K60" s="401"/>
      <c r="N60" s="158"/>
      <c r="O60" s="101"/>
      <c r="P60" s="52"/>
      <c r="Q60" s="101"/>
      <c r="R60" s="126"/>
      <c r="S60" s="101"/>
      <c r="T60" s="101"/>
      <c r="U60" s="39"/>
      <c r="W60" s="932" t="str">
        <f t="shared" si="8"/>
        <v>Budget</v>
      </c>
      <c r="X60" s="815" t="str">
        <f>_CF!X60</f>
        <v>a</v>
      </c>
      <c r="Y60" s="3192">
        <f t="shared" si="6"/>
        <v>2</v>
      </c>
      <c r="Z60" s="3291" cm="1">
        <f t="array" ref="Z60">_xlfn.SWITCH(TRUE,_CF!$L60=TRUE,1,_CF!$L60=FALSE,-1,_CF!$L60=-1,0,"n/a")</f>
        <v>1</v>
      </c>
      <c r="AA60" s="200"/>
      <c r="AB60" s="88" t="str">
        <f>_CF!AB60</f>
        <v>Other Financing Cash Flows</v>
      </c>
      <c r="AC60" s="88" t="e" vm="5" cm="1">
        <f t="array" ca="1" aca="1" ref="AC60">_xlfn.LET(_xlpm._termname,$AB60,_xlpm._iconname,"find",_xlpm._icon,fx_getIcon(_xlpm._iconname),_xlpm._location,_xlfn.XLOOKUP(LOWER(_xlpm._termname),LOWER(tbl_acctDef[Term]),tbl_acctDef[Term]),_xlpm._hyperlink,HYPERLINK("#"&amp;CELL("address",_xlpm._location),_xlpm._icon),IFERROR(_xlpm._hyperlink,""))</f>
        <v>#VALUE!</v>
      </c>
      <c r="AD60" s="3232">
        <v>1</v>
      </c>
      <c r="AE60" s="3232">
        <v>1</v>
      </c>
      <c r="AF60" s="3232">
        <v>1</v>
      </c>
      <c r="AG60" s="3232">
        <v>1</v>
      </c>
      <c r="AH60" s="3232">
        <v>1</v>
      </c>
      <c r="AI60" s="3232">
        <v>1</v>
      </c>
      <c r="AJ60" s="3232">
        <v>1</v>
      </c>
      <c r="AK60" s="3232">
        <v>1</v>
      </c>
      <c r="AL60" s="3232">
        <v>1</v>
      </c>
      <c r="AM60" s="3232">
        <v>1</v>
      </c>
      <c r="AN60" s="3232">
        <v>1</v>
      </c>
      <c r="AO60" s="3232">
        <v>1</v>
      </c>
      <c r="AP60" s="3232">
        <v>1</v>
      </c>
      <c r="AQ60" s="3232">
        <v>1</v>
      </c>
      <c r="AR60" s="3232">
        <v>1</v>
      </c>
      <c r="AS60" s="3232">
        <v>1</v>
      </c>
      <c r="AT60" s="3232">
        <v>1</v>
      </c>
      <c r="AU60" s="3232">
        <v>1</v>
      </c>
      <c r="AV60" s="3232">
        <v>1</v>
      </c>
      <c r="AW60" s="3232">
        <v>1</v>
      </c>
      <c r="AX60" s="3232">
        <v>1</v>
      </c>
      <c r="AY60" s="3232">
        <v>1</v>
      </c>
      <c r="AZ60" s="3232">
        <v>1</v>
      </c>
      <c r="BA60" s="3232">
        <v>1</v>
      </c>
      <c r="BB60" s="3232">
        <v>1</v>
      </c>
      <c r="BC60" s="3232">
        <v>1</v>
      </c>
      <c r="BD60" s="3232">
        <v>1</v>
      </c>
      <c r="BE60" s="3232">
        <v>1</v>
      </c>
      <c r="BF60" s="3232">
        <v>1</v>
      </c>
      <c r="BG60" s="3232">
        <v>1</v>
      </c>
      <c r="BH60" s="3232">
        <v>1</v>
      </c>
      <c r="BI60" s="3232">
        <v>1</v>
      </c>
      <c r="BJ60" s="3232">
        <v>1</v>
      </c>
      <c r="BK60" s="3232">
        <v>1</v>
      </c>
      <c r="BL60" s="3232">
        <v>1</v>
      </c>
      <c r="BM60" s="3232">
        <v>1</v>
      </c>
      <c r="BN60" s="3232">
        <v>1</v>
      </c>
      <c r="BO60" s="2115"/>
      <c r="BP60" s="2115"/>
      <c r="BQ60" s="2115"/>
      <c r="BR60" s="2115"/>
      <c r="BS60" s="2115"/>
      <c r="BT60" s="2115"/>
      <c r="BU60" s="2115"/>
      <c r="BV60" s="2115"/>
      <c r="BW60" s="2115"/>
      <c r="BX60" s="2115"/>
      <c r="BY60" s="2115"/>
      <c r="BZ60" s="2115"/>
      <c r="CA60" s="1330"/>
      <c r="CB60" s="537"/>
      <c r="CC60" s="1484"/>
      <c r="CD60" s="1461" t="e" cm="1">
        <f t="array" ca="1" aca="1" ref="CD60">_xlfn.LET(_xlpm.CheckBlank,SUM(CF!$AD60:$BN60)=0,IF(_xlpm.CheckBlank,"",SUM(_xlfn._xlws.FILTER(CF!$AD60:$BN60,(YEAR(CF!$AD$12:$BN$12)=CF!CD$12)*(array_timeline&lt;=CF!CD$11)))))</f>
        <v>#NAME?</v>
      </c>
      <c r="CE60" s="1461" t="e" cm="1">
        <f t="array" ca="1" aca="1" ref="CE60">_xlfn.LET(_xlpm.CheckBlank,SUM(CF!$AD60:$BN60)=0,IF(_xlpm.CheckBlank,"",SUM(_xlfn._xlws.FILTER(CF!$AD60:$BN60,(YEAR(CF!$AD$12:$BN$12)=CF!CE$12)*(array_timeline&lt;=CF!CE$11)))))</f>
        <v>#NAME?</v>
      </c>
      <c r="CF60" s="1314"/>
      <c r="CG60" s="1461" t="e" cm="1">
        <f t="array" ca="1" aca="1" ref="CG60">_xlfn.LET(_xlpm.CheckBlank,SUM(CF!$AD60:$BN60)=0,IF(_xlpm.CheckBlank,"",SUM(_xlfn._xlws.FILTER(CF!$AD60:$BN60,(YEAR(CF!$AD$12:$BN$12)=CF!CG$12)*(array_timeline&lt;=CF!CG$11)))))</f>
        <v>#NAME?</v>
      </c>
      <c r="CH60" s="1461" t="e" cm="1">
        <f t="array" ca="1" aca="1" ref="CH60">_xlfn.LET(_xlpm.CheckBlank,SUM(CF!$AD60:$BN60)=0,IF(_xlpm.CheckBlank,"",SUM(_xlfn._xlws.FILTER(CF!$AD60:$BN60,(YEAR(CF!$AD$12:$BN$12)=CF!CH$12)*(array_timeline&lt;=CF!CH$11)))))</f>
        <v>#NAME?</v>
      </c>
      <c r="CI60" s="1314"/>
      <c r="CJ60" s="1461" cm="1">
        <f t="array" ref="CJ60">_xlfn.LET(_xlpm.CheckBlank,SUM(CF!$AD60:$BN60)=0,IF(_xlpm.CheckBlank,"",SUM(_xlfn.TAKE(_xlfn.DROP(CF!$AD60:$BN60,,-DATEDIFF(CF!CJ$11,val_asOfDate,"M")),1,-12))))</f>
        <v>12</v>
      </c>
      <c r="CK60" s="1461" cm="1">
        <f t="array" ref="CK60">_xlfn.LET(_xlpm.CheckBlank,SUM(CF!$AD60:$BN60)=0,IF(_xlpm.CheckBlank,"",SUM(_xlfn.TAKE(_xlfn.DROP(CF!$AD60:$BN60,,-DATEDIFF(CF!CK$11,val_asOfDate,"M")),1,-12))))</f>
        <v>12</v>
      </c>
      <c r="CL60" s="1314"/>
      <c r="CM60" s="541" t="e">
        <f t="shared" ca="1" si="7"/>
        <v>#NAME?</v>
      </c>
      <c r="CN60" s="541" t="e">
        <f t="shared" ca="1" si="7"/>
        <v>#NAME?</v>
      </c>
      <c r="CO60" s="34"/>
      <c r="CW60" s="1883" t="str" cm="1">
        <f t="array" ca="1" aca="1" ref="CW60">IFERROR(IF(AD60*fxVal_normal=_CF!AD60,"",IF(OR(AD60="",NOT(ISNUMBER(AD60)),ISERROR(AD60),$B60=""),"",IF($I60=1,IFBLANK(_xldudf_CX_PUSH(AD60*fxVal_normal,CX_ENTITY,$B60,AD$11,AD$14,AD$44,),""),IF($I60=2,IFBLANK(_xldudf_CX_PUSH(AD60,CX_ENTITY,$B60,AD$11,AD$14,AD$44,),""),IF($I60=3,"",IFBLANK(_xldudf_CX_PUSH(AD60,CX_ENTITY,$B60,AD$11,AD$14,AD$44,),"")))))),"")</f>
        <v/>
      </c>
      <c r="CX60" s="1883" t="str" cm="1">
        <f t="array" ca="1" aca="1" ref="CX60">IFERROR(IF(AE60*fxVal_normal=_CF!AE60,"",IF(OR(AE60="",NOT(ISNUMBER(AE60)),ISERROR(AE60),$B60=""),"",IF($I60=1,IFBLANK(_xldudf_CX_PUSH(AE60*fxVal_normal,CX_ENTITY,$B60,AE$11,AE$14,AE$44,),""),IF($I60=2,IFBLANK(_xldudf_CX_PUSH(AE60,CX_ENTITY,$B60,AE$11,AE$14,AE$44,),""),IF($I60=3,"",IFBLANK(_xldudf_CX_PUSH(AE60,CX_ENTITY,$B60,AE$11,AE$14,AE$44,),"")))))),"")</f>
        <v/>
      </c>
      <c r="CY60" s="1883" t="str" cm="1">
        <f t="array" ca="1" aca="1" ref="CY60">IFERROR(IF(AF60*fxVal_normal=_CF!AF60,"",IF(OR(AF60="",NOT(ISNUMBER(AF60)),ISERROR(AF60),$B60=""),"",IF($I60=1,IFBLANK(_xldudf_CX_PUSH(AF60*fxVal_normal,CX_ENTITY,$B60,AF$11,AF$14,AF$44,),""),IF($I60=2,IFBLANK(_xldudf_CX_PUSH(AF60,CX_ENTITY,$B60,AF$11,AF$14,AF$44,),""),IF($I60=3,"",IFBLANK(_xldudf_CX_PUSH(AF60,CX_ENTITY,$B60,AF$11,AF$14,AF$44,),"")))))),"")</f>
        <v/>
      </c>
      <c r="CZ60" s="1883" t="str" cm="1">
        <f t="array" ca="1" aca="1" ref="CZ60">IFERROR(IF(AG60*fxVal_normal=_CF!AG60,"",IF(OR(AG60="",NOT(ISNUMBER(AG60)),ISERROR(AG60),$B60=""),"",IF($I60=1,IFBLANK(_xldudf_CX_PUSH(AG60*fxVal_normal,CX_ENTITY,$B60,AG$11,AG$14,AG$44,),""),IF($I60=2,IFBLANK(_xldudf_CX_PUSH(AG60,CX_ENTITY,$B60,AG$11,AG$14,AG$44,),""),IF($I60=3,"",IFBLANK(_xldudf_CX_PUSH(AG60,CX_ENTITY,$B60,AG$11,AG$14,AG$44,),"")))))),"")</f>
        <v/>
      </c>
      <c r="DA60" s="1883" t="str" cm="1">
        <f t="array" ca="1" aca="1" ref="DA60">IFERROR(IF(AH60*fxVal_normal=_CF!AH60,"",IF(OR(AH60="",NOT(ISNUMBER(AH60)),ISERROR(AH60),$B60=""),"",IF($I60=1,IFBLANK(_xldudf_CX_PUSH(AH60*fxVal_normal,CX_ENTITY,$B60,AH$11,AH$14,AH$44,),""),IF($I60=2,IFBLANK(_xldudf_CX_PUSH(AH60,CX_ENTITY,$B60,AH$11,AH$14,AH$44,),""),IF($I60=3,"",IFBLANK(_xldudf_CX_PUSH(AH60,CX_ENTITY,$B60,AH$11,AH$14,AH$44,),"")))))),"")</f>
        <v/>
      </c>
      <c r="DB60" s="1883" t="str" cm="1">
        <f t="array" ca="1" aca="1" ref="DB60">IFERROR(IF(AI60*fxVal_normal=_CF!AI60,"",IF(OR(AI60="",NOT(ISNUMBER(AI60)),ISERROR(AI60),$B60=""),"",IF($I60=1,IFBLANK(_xldudf_CX_PUSH(AI60*fxVal_normal,CX_ENTITY,$B60,AI$11,AI$14,AI$44,),""),IF($I60=2,IFBLANK(_xldudf_CX_PUSH(AI60,CX_ENTITY,$B60,AI$11,AI$14,AI$44,),""),IF($I60=3,"",IFBLANK(_xldudf_CX_PUSH(AI60,CX_ENTITY,$B60,AI$11,AI$14,AI$44,),"")))))),"")</f>
        <v/>
      </c>
      <c r="DC60" s="1883" t="str" cm="1">
        <f t="array" ca="1" aca="1" ref="DC60">IFERROR(IF(AJ60*fxVal_normal=_CF!AJ60,"",IF(OR(AJ60="",NOT(ISNUMBER(AJ60)),ISERROR(AJ60),$B60=""),"",IF($I60=1,IFBLANK(_xldudf_CX_PUSH(AJ60*fxVal_normal,CX_ENTITY,$B60,AJ$11,AJ$14,AJ$44,),""),IF($I60=2,IFBLANK(_xldudf_CX_PUSH(AJ60,CX_ENTITY,$B60,AJ$11,AJ$14,AJ$44,),""),IF($I60=3,"",IFBLANK(_xldudf_CX_PUSH(AJ60,CX_ENTITY,$B60,AJ$11,AJ$14,AJ$44,),"")))))),"")</f>
        <v/>
      </c>
      <c r="DD60" s="1883" t="str" cm="1">
        <f t="array" ca="1" aca="1" ref="DD60">IFERROR(IF(AK60*fxVal_normal=_CF!AK60,"",IF(OR(AK60="",NOT(ISNUMBER(AK60)),ISERROR(AK60),$B60=""),"",IF($I60=1,IFBLANK(_xldudf_CX_PUSH(AK60*fxVal_normal,CX_ENTITY,$B60,AK$11,AK$14,AK$44,),""),IF($I60=2,IFBLANK(_xldudf_CX_PUSH(AK60,CX_ENTITY,$B60,AK$11,AK$14,AK$44,),""),IF($I60=3,"",IFBLANK(_xldudf_CX_PUSH(AK60,CX_ENTITY,$B60,AK$11,AK$14,AK$44,),"")))))),"")</f>
        <v/>
      </c>
      <c r="DE60" s="1883" t="str" cm="1">
        <f t="array" ca="1" aca="1" ref="DE60">IFERROR(IF(AL60*fxVal_normal=_CF!AL60,"",IF(OR(AL60="",NOT(ISNUMBER(AL60)),ISERROR(AL60),$B60=""),"",IF($I60=1,IFBLANK(_xldudf_CX_PUSH(AL60*fxVal_normal,CX_ENTITY,$B60,AL$11,AL$14,AL$44,),""),IF($I60=2,IFBLANK(_xldudf_CX_PUSH(AL60,CX_ENTITY,$B60,AL$11,AL$14,AL$44,),""),IF($I60=3,"",IFBLANK(_xldudf_CX_PUSH(AL60,CX_ENTITY,$B60,AL$11,AL$14,AL$44,),"")))))),"")</f>
        <v/>
      </c>
      <c r="DF60" s="1883" t="str" cm="1">
        <f t="array" ca="1" aca="1" ref="DF60">IFERROR(IF(AM60*fxVal_normal=_CF!AM60,"",IF(OR(AM60="",NOT(ISNUMBER(AM60)),ISERROR(AM60),$B60=""),"",IF($I60=1,IFBLANK(_xldudf_CX_PUSH(AM60*fxVal_normal,CX_ENTITY,$B60,AM$11,AM$14,AM$44,),""),IF($I60=2,IFBLANK(_xldudf_CX_PUSH(AM60,CX_ENTITY,$B60,AM$11,AM$14,AM$44,),""),IF($I60=3,"",IFBLANK(_xldudf_CX_PUSH(AM60,CX_ENTITY,$B60,AM$11,AM$14,AM$44,),"")))))),"")</f>
        <v/>
      </c>
      <c r="DG60" s="1883" t="str" cm="1">
        <f t="array" ca="1" aca="1" ref="DG60">IFERROR(IF(AN60*fxVal_normal=_CF!AN60,"",IF(OR(AN60="",NOT(ISNUMBER(AN60)),ISERROR(AN60),$B60=""),"",IF($I60=1,IFBLANK(_xldudf_CX_PUSH(AN60*fxVal_normal,CX_ENTITY,$B60,AN$11,AN$14,AN$44,),""),IF($I60=2,IFBLANK(_xldudf_CX_PUSH(AN60,CX_ENTITY,$B60,AN$11,AN$14,AN$44,),""),IF($I60=3,"",IFBLANK(_xldudf_CX_PUSH(AN60,CX_ENTITY,$B60,AN$11,AN$14,AN$44,),"")))))),"")</f>
        <v/>
      </c>
      <c r="DH60" s="1883" t="str" cm="1">
        <f t="array" ca="1" aca="1" ref="DH60">IFERROR(IF(AO60*fxVal_normal=_CF!AO60,"",IF(OR(AO60="",NOT(ISNUMBER(AO60)),ISERROR(AO60),$B60=""),"",IF($I60=1,IFBLANK(_xldudf_CX_PUSH(AO60*fxVal_normal,CX_ENTITY,$B60,AO$11,AO$14,AO$44,),""),IF($I60=2,IFBLANK(_xldudf_CX_PUSH(AO60,CX_ENTITY,$B60,AO$11,AO$14,AO$44,),""),IF($I60=3,"",IFBLANK(_xldudf_CX_PUSH(AO60,CX_ENTITY,$B60,AO$11,AO$14,AO$44,),"")))))),"")</f>
        <v/>
      </c>
      <c r="DI60" s="1883" t="str" cm="1">
        <f t="array" ca="1" aca="1" ref="DI60">IFERROR(IF(AP60*fxVal_normal=_CF!AP60,"",IF(OR(AP60="",NOT(ISNUMBER(AP60)),ISERROR(AP60),$B60=""),"",IF($I60=1,IFBLANK(_xldudf_CX_PUSH(AP60*fxVal_normal,CX_ENTITY,$B60,AP$11,AP$14,AP$44,),""),IF($I60=2,IFBLANK(_xldudf_CX_PUSH(AP60,CX_ENTITY,$B60,AP$11,AP$14,AP$44,),""),IF($I60=3,"",IFBLANK(_xldudf_CX_PUSH(AP60,CX_ENTITY,$B60,AP$11,AP$14,AP$44,),"")))))),"")</f>
        <v/>
      </c>
      <c r="DJ60" s="1883" t="str" cm="1">
        <f t="array" ca="1" aca="1" ref="DJ60">IFERROR(IF(AQ60*fxVal_normal=_CF!AQ60,"",IF(OR(AQ60="",NOT(ISNUMBER(AQ60)),ISERROR(AQ60),$B60=""),"",IF($I60=1,IFBLANK(_xldudf_CX_PUSH(AQ60*fxVal_normal,CX_ENTITY,$B60,AQ$11,AQ$14,AQ$44,),""),IF($I60=2,IFBLANK(_xldudf_CX_PUSH(AQ60,CX_ENTITY,$B60,AQ$11,AQ$14,AQ$44,),""),IF($I60=3,"",IFBLANK(_xldudf_CX_PUSH(AQ60,CX_ENTITY,$B60,AQ$11,AQ$14,AQ$44,),"")))))),"")</f>
        <v/>
      </c>
      <c r="DK60" s="1883" t="str" cm="1">
        <f t="array" ca="1" aca="1" ref="DK60">IFERROR(IF(AR60*fxVal_normal=_CF!AR60,"",IF(OR(AR60="",NOT(ISNUMBER(AR60)),ISERROR(AR60),$B60=""),"",IF($I60=1,IFBLANK(_xldudf_CX_PUSH(AR60*fxVal_normal,CX_ENTITY,$B60,AR$11,AR$14,AR$44,),""),IF($I60=2,IFBLANK(_xldudf_CX_PUSH(AR60,CX_ENTITY,$B60,AR$11,AR$14,AR$44,),""),IF($I60=3,"",IFBLANK(_xldudf_CX_PUSH(AR60,CX_ENTITY,$B60,AR$11,AR$14,AR$44,),"")))))),"")</f>
        <v/>
      </c>
      <c r="DL60" s="1883" t="str" cm="1">
        <f t="array" ca="1" aca="1" ref="DL60">IFERROR(IF(AS60*fxVal_normal=_CF!AS60,"",IF(OR(AS60="",NOT(ISNUMBER(AS60)),ISERROR(AS60),$B60=""),"",IF($I60=1,IFBLANK(_xldudf_CX_PUSH(AS60*fxVal_normal,CX_ENTITY,$B60,AS$11,AS$14,AS$44,),""),IF($I60=2,IFBLANK(_xldudf_CX_PUSH(AS60,CX_ENTITY,$B60,AS$11,AS$14,AS$44,),""),IF($I60=3,"",IFBLANK(_xldudf_CX_PUSH(AS60,CX_ENTITY,$B60,AS$11,AS$14,AS$44,),"")))))),"")</f>
        <v/>
      </c>
      <c r="DM60" s="1883" t="str" cm="1">
        <f t="array" ca="1" aca="1" ref="DM60">IFERROR(IF(AT60*fxVal_normal=_CF!AT60,"",IF(OR(AT60="",NOT(ISNUMBER(AT60)),ISERROR(AT60),$B60=""),"",IF($I60=1,IFBLANK(_xldudf_CX_PUSH(AT60*fxVal_normal,CX_ENTITY,$B60,AT$11,AT$14,AT$44,),""),IF($I60=2,IFBLANK(_xldudf_CX_PUSH(AT60,CX_ENTITY,$B60,AT$11,AT$14,AT$44,),""),IF($I60=3,"",IFBLANK(_xldudf_CX_PUSH(AT60,CX_ENTITY,$B60,AT$11,AT$14,AT$44,),"")))))),"")</f>
        <v/>
      </c>
      <c r="DN60" s="1883" t="str" cm="1">
        <f t="array" ca="1" aca="1" ref="DN60">IFERROR(IF(AU60*fxVal_normal=_CF!AU60,"",IF(OR(AU60="",NOT(ISNUMBER(AU60)),ISERROR(AU60),$B60=""),"",IF($I60=1,IFBLANK(_xldudf_CX_PUSH(AU60*fxVal_normal,CX_ENTITY,$B60,AU$11,AU$14,AU$44,),""),IF($I60=2,IFBLANK(_xldudf_CX_PUSH(AU60,CX_ENTITY,$B60,AU$11,AU$14,AU$44,),""),IF($I60=3,"",IFBLANK(_xldudf_CX_PUSH(AU60,CX_ENTITY,$B60,AU$11,AU$14,AU$44,),"")))))),"")</f>
        <v/>
      </c>
      <c r="DO60" s="1883" t="str" cm="1">
        <f t="array" ca="1" aca="1" ref="DO60">IFERROR(IF(AV60*fxVal_normal=_CF!AV60,"",IF(OR(AV60="",NOT(ISNUMBER(AV60)),ISERROR(AV60),$B60=""),"",IF($I60=1,IFBLANK(_xldudf_CX_PUSH(AV60*fxVal_normal,CX_ENTITY,$B60,AV$11,AV$14,AV$44,),""),IF($I60=2,IFBLANK(_xldudf_CX_PUSH(AV60,CX_ENTITY,$B60,AV$11,AV$14,AV$44,),""),IF($I60=3,"",IFBLANK(_xldudf_CX_PUSH(AV60,CX_ENTITY,$B60,AV$11,AV$14,AV$44,),"")))))),"")</f>
        <v/>
      </c>
      <c r="DP60" s="1883" t="str" cm="1">
        <f t="array" ca="1" aca="1" ref="DP60">IFERROR(IF(AW60*fxVal_normal=_CF!AW60,"",IF(OR(AW60="",NOT(ISNUMBER(AW60)),ISERROR(AW60),$B60=""),"",IF($I60=1,IFBLANK(_xldudf_CX_PUSH(AW60*fxVal_normal,CX_ENTITY,$B60,AW$11,AW$14,AW$44,),""),IF($I60=2,IFBLANK(_xldudf_CX_PUSH(AW60,CX_ENTITY,$B60,AW$11,AW$14,AW$44,),""),IF($I60=3,"",IFBLANK(_xldudf_CX_PUSH(AW60,CX_ENTITY,$B60,AW$11,AW$14,AW$44,),"")))))),"")</f>
        <v/>
      </c>
      <c r="DQ60" s="1883" t="str" cm="1">
        <f t="array" ca="1" aca="1" ref="DQ60">IFERROR(IF(AX60*fxVal_normal=_CF!AX60,"",IF(OR(AX60="",NOT(ISNUMBER(AX60)),ISERROR(AX60),$B60=""),"",IF($I60=1,IFBLANK(_xldudf_CX_PUSH(AX60*fxVal_normal,CX_ENTITY,$B60,AX$11,AX$14,AX$44,),""),IF($I60=2,IFBLANK(_xldudf_CX_PUSH(AX60,CX_ENTITY,$B60,AX$11,AX$14,AX$44,),""),IF($I60=3,"",IFBLANK(_xldudf_CX_PUSH(AX60,CX_ENTITY,$B60,AX$11,AX$14,AX$44,),"")))))),"")</f>
        <v/>
      </c>
      <c r="DR60" s="1883" t="str" cm="1">
        <f t="array" ca="1" aca="1" ref="DR60">IFERROR(IF(AY60*fxVal_normal=_CF!AY60,"",IF(OR(AY60="",NOT(ISNUMBER(AY60)),ISERROR(AY60),$B60=""),"",IF($I60=1,IFBLANK(_xldudf_CX_PUSH(AY60*fxVal_normal,CX_ENTITY,$B60,AY$11,AY$14,AY$44,),""),IF($I60=2,IFBLANK(_xldudf_CX_PUSH(AY60,CX_ENTITY,$B60,AY$11,AY$14,AY$44,),""),IF($I60=3,"",IFBLANK(_xldudf_CX_PUSH(AY60,CX_ENTITY,$B60,AY$11,AY$14,AY$44,),"")))))),"")</f>
        <v/>
      </c>
      <c r="DS60" s="1883" t="str" cm="1">
        <f t="array" ca="1" aca="1" ref="DS60">IFERROR(IF(AZ60*fxVal_normal=_CF!AZ60,"",IF(OR(AZ60="",NOT(ISNUMBER(AZ60)),ISERROR(AZ60),$B60=""),"",IF($I60=1,IFBLANK(_xldudf_CX_PUSH(AZ60*fxVal_normal,CX_ENTITY,$B60,AZ$11,AZ$14,AZ$44,),""),IF($I60=2,IFBLANK(_xldudf_CX_PUSH(AZ60,CX_ENTITY,$B60,AZ$11,AZ$14,AZ$44,),""),IF($I60=3,"",IFBLANK(_xldudf_CX_PUSH(AZ60,CX_ENTITY,$B60,AZ$11,AZ$14,AZ$44,),"")))))),"")</f>
        <v/>
      </c>
      <c r="DT60" s="1883" t="str" cm="1">
        <f t="array" ca="1" aca="1" ref="DT60">IFERROR(IF(BA60*fxVal_normal=_CF!BA60,"",IF(OR(BA60="",NOT(ISNUMBER(BA60)),ISERROR(BA60),$B60=""),"",IF($I60=1,IFBLANK(_xldudf_CX_PUSH(BA60*fxVal_normal,CX_ENTITY,$B60,BA$11,BA$14,BA$44,),""),IF($I60=2,IFBLANK(_xldudf_CX_PUSH(BA60,CX_ENTITY,$B60,BA$11,BA$14,BA$44,),""),IF($I60=3,"",IFBLANK(_xldudf_CX_PUSH(BA60,CX_ENTITY,$B60,BA$11,BA$14,BA$44,),"")))))),"")</f>
        <v/>
      </c>
      <c r="DU60" s="1883" t="str" cm="1">
        <f t="array" ca="1" aca="1" ref="DU60">IFERROR(IF(BB60*fxVal_normal=_CF!BB60,"",IF(OR(BB60="",NOT(ISNUMBER(BB60)),ISERROR(BB60),$B60=""),"",IF($I60=1,IFBLANK(_xldudf_CX_PUSH(BB60*fxVal_normal,CX_ENTITY,$B60,BB$11,BB$14,BB$44,),""),IF($I60=2,IFBLANK(_xldudf_CX_PUSH(BB60,CX_ENTITY,$B60,BB$11,BB$14,BB$44,),""),IF($I60=3,"",IFBLANK(_xldudf_CX_PUSH(BB60,CX_ENTITY,$B60,BB$11,BB$14,BB$44,),"")))))),"")</f>
        <v/>
      </c>
      <c r="DV60" s="1883" t="str" cm="1">
        <f t="array" ca="1" aca="1" ref="DV60">IFERROR(IF(BC60*fxVal_normal=_CF!BC60,"",IF(OR(BC60="",NOT(ISNUMBER(BC60)),ISERROR(BC60),$B60=""),"",IF($I60=1,IFBLANK(_xldudf_CX_PUSH(BC60*fxVal_normal,CX_ENTITY,$B60,BC$11,BC$14,BC$44,),""),IF($I60=2,IFBLANK(_xldudf_CX_PUSH(BC60,CX_ENTITY,$B60,BC$11,BC$14,BC$44,),""),IF($I60=3,"",IFBLANK(_xldudf_CX_PUSH(BC60,CX_ENTITY,$B60,BC$11,BC$14,BC$44,),"")))))),"")</f>
        <v/>
      </c>
      <c r="DW60" s="1883" t="str" cm="1">
        <f t="array" ca="1" aca="1" ref="DW60">IFERROR(IF(BD60*fxVal_normal=_CF!BD60,"",IF(OR(BD60="",NOT(ISNUMBER(BD60)),ISERROR(BD60),$B60=""),"",IF($I60=1,IFBLANK(_xldudf_CX_PUSH(BD60*fxVal_normal,CX_ENTITY,$B60,BD$11,BD$14,BD$44,),""),IF($I60=2,IFBLANK(_xldudf_CX_PUSH(BD60,CX_ENTITY,$B60,BD$11,BD$14,BD$44,),""),IF($I60=3,"",IFBLANK(_xldudf_CX_PUSH(BD60,CX_ENTITY,$B60,BD$11,BD$14,BD$44,),"")))))),"")</f>
        <v/>
      </c>
      <c r="DX60" s="1883" t="str" cm="1">
        <f t="array" ca="1" aca="1" ref="DX60">IFERROR(IF(BE60*fxVal_normal=_CF!BE60,"",IF(OR(BE60="",NOT(ISNUMBER(BE60)),ISERROR(BE60),$B60=""),"",IF($I60=1,IFBLANK(_xldudf_CX_PUSH(BE60*fxVal_normal,CX_ENTITY,$B60,BE$11,BE$14,BE$44,),""),IF($I60=2,IFBLANK(_xldudf_CX_PUSH(BE60,CX_ENTITY,$B60,BE$11,BE$14,BE$44,),""),IF($I60=3,"",IFBLANK(_xldudf_CX_PUSH(BE60,CX_ENTITY,$B60,BE$11,BE$14,BE$44,),"")))))),"")</f>
        <v/>
      </c>
      <c r="DY60" s="1883" t="str" cm="1">
        <f t="array" ca="1" aca="1" ref="DY60">IFERROR(IF(BF60*fxVal_normal=_CF!BF60,"",IF(OR(BF60="",NOT(ISNUMBER(BF60)),ISERROR(BF60),$B60=""),"",IF($I60=1,IFBLANK(_xldudf_CX_PUSH(BF60*fxVal_normal,CX_ENTITY,$B60,BF$11,BF$14,BF$44,),""),IF($I60=2,IFBLANK(_xldudf_CX_PUSH(BF60,CX_ENTITY,$B60,BF$11,BF$14,BF$44,),""),IF($I60=3,"",IFBLANK(_xldudf_CX_PUSH(BF60,CX_ENTITY,$B60,BF$11,BF$14,BF$44,),"")))))),"")</f>
        <v/>
      </c>
      <c r="DZ60" s="1883" t="str" cm="1">
        <f t="array" ca="1" aca="1" ref="DZ60">IFERROR(IF(BG60*fxVal_normal=_CF!BG60,"",IF(OR(BG60="",NOT(ISNUMBER(BG60)),ISERROR(BG60),$B60=""),"",IF($I60=1,IFBLANK(_xldudf_CX_PUSH(BG60*fxVal_normal,CX_ENTITY,$B60,BG$11,BG$14,BG$44,),""),IF($I60=2,IFBLANK(_xldudf_CX_PUSH(BG60,CX_ENTITY,$B60,BG$11,BG$14,BG$44,),""),IF($I60=3,"",IFBLANK(_xldudf_CX_PUSH(BG60,CX_ENTITY,$B60,BG$11,BG$14,BG$44,),"")))))),"")</f>
        <v/>
      </c>
      <c r="EA60" s="1883" t="str" cm="1">
        <f t="array" ca="1" aca="1" ref="EA60">IFERROR(IF(BH60*fxVal_normal=_CF!BH60,"",IF(OR(BH60="",NOT(ISNUMBER(BH60)),ISERROR(BH60),$B60=""),"",IF($I60=1,IFBLANK(_xldudf_CX_PUSH(BH60*fxVal_normal,CX_ENTITY,$B60,BH$11,BH$14,BH$44,),""),IF($I60=2,IFBLANK(_xldudf_CX_PUSH(BH60,CX_ENTITY,$B60,BH$11,BH$14,BH$44,),""),IF($I60=3,"",IFBLANK(_xldudf_CX_PUSH(BH60,CX_ENTITY,$B60,BH$11,BH$14,BH$44,),"")))))),"")</f>
        <v/>
      </c>
      <c r="EB60" s="1883" t="str" cm="1">
        <f t="array" ca="1" aca="1" ref="EB60">IFERROR(IF(BI60*fxVal_normal=_CF!BI60,"",IF(OR(BI60="",NOT(ISNUMBER(BI60)),ISERROR(BI60),$B60=""),"",IF($I60=1,IFBLANK(_xldudf_CX_PUSH(BI60*fxVal_normal,CX_ENTITY,$B60,BI$11,BI$14,BI$44,),""),IF($I60=2,IFBLANK(_xldudf_CX_PUSH(BI60,CX_ENTITY,$B60,BI$11,BI$14,BI$44,),""),IF($I60=3,"",IFBLANK(_xldudf_CX_PUSH(BI60,CX_ENTITY,$B60,BI$11,BI$14,BI$44,),"")))))),"")</f>
        <v/>
      </c>
      <c r="EC60" s="1883" t="str" cm="1">
        <f t="array" ca="1" aca="1" ref="EC60">IFERROR(IF(BJ60*fxVal_normal=_CF!BJ60,"",IF(OR(BJ60="",NOT(ISNUMBER(BJ60)),ISERROR(BJ60),$B60=""),"",IF($I60=1,IFBLANK(_xldudf_CX_PUSH(BJ60*fxVal_normal,CX_ENTITY,$B60,BJ$11,BJ$14,BJ$44,),""),IF($I60=2,IFBLANK(_xldudf_CX_PUSH(BJ60,CX_ENTITY,$B60,BJ$11,BJ$14,BJ$44,),""),IF($I60=3,"",IFBLANK(_xldudf_CX_PUSH(BJ60,CX_ENTITY,$B60,BJ$11,BJ$14,BJ$44,),"")))))),"")</f>
        <v/>
      </c>
      <c r="ED60" s="1883" t="str" cm="1">
        <f t="array" ca="1" aca="1" ref="ED60">IFERROR(IF(BK60*fxVal_normal=_CF!BK60,"",IF(OR(BK60="",NOT(ISNUMBER(BK60)),ISERROR(BK60),$B60=""),"",IF($I60=1,IFBLANK(_xldudf_CX_PUSH(BK60*fxVal_normal,CX_ENTITY,$B60,BK$11,BK$14,BK$44,),""),IF($I60=2,IFBLANK(_xldudf_CX_PUSH(BK60,CX_ENTITY,$B60,BK$11,BK$14,BK$44,),""),IF($I60=3,"",IFBLANK(_xldudf_CX_PUSH(BK60,CX_ENTITY,$B60,BK$11,BK$14,BK$44,),"")))))),"")</f>
        <v/>
      </c>
      <c r="EE60" s="1883" t="str" cm="1">
        <f t="array" ca="1" aca="1" ref="EE60">IFERROR(IF(BL60*fxVal_normal=_CF!BL60,"",IF(OR(BL60="",NOT(ISNUMBER(BL60)),ISERROR(BL60),$B60=""),"",IF($I60=1,IFBLANK(_xldudf_CX_PUSH(BL60*fxVal_normal,CX_ENTITY,$B60,BL$11,BL$14,BL$44,),""),IF($I60=2,IFBLANK(_xldudf_CX_PUSH(BL60,CX_ENTITY,$B60,BL$11,BL$14,BL$44,),""),IF($I60=3,"",IFBLANK(_xldudf_CX_PUSH(BL60,CX_ENTITY,$B60,BL$11,BL$14,BL$44,),"")))))),"")</f>
        <v/>
      </c>
      <c r="EF60" s="1883" t="str" cm="1">
        <f t="array" ca="1" aca="1" ref="EF60">IFERROR(IF(BM60*fxVal_normal=_CF!BM60,"",IF(OR(BM60="",NOT(ISNUMBER(BM60)),ISERROR(BM60),$B60=""),"",IF($I60=1,IFBLANK(_xldudf_CX_PUSH(BM60*fxVal_normal,CX_ENTITY,$B60,BM$11,BM$14,BM$44,),""),IF($I60=2,IFBLANK(_xldudf_CX_PUSH(BM60,CX_ENTITY,$B60,BM$11,BM$14,BM$44,),""),IF($I60=3,"",IFBLANK(_xldudf_CX_PUSH(BM60,CX_ENTITY,$B60,BM$11,BM$14,BM$44,),"")))))),"")</f>
        <v/>
      </c>
      <c r="EG60" s="1883" t="str" cm="1">
        <f t="array" ca="1" aca="1" ref="EG60">IFERROR(IF(BN60*fxVal_normal=_CF!BN60,"",IF(OR(BN60="",NOT(ISNUMBER(BN60)),ISERROR(BN60),$B60=""),"",IF($I60=1,IFBLANK(_xldudf_CX_PUSH(BN60*fxVal_normal,CX_ENTITY,$B60,BN$11,BN$14,BN$44,),""),IF($I60=2,IFBLANK(_xldudf_CX_PUSH(BN60,CX_ENTITY,$B60,BN$11,BN$14,BN$44,),""),IF($I60=3,"",IFBLANK(_xldudf_CX_PUSH(BN60,CX_ENTITY,$B60,BN$11,BN$14,BN$44,),"")))))),"")</f>
        <v/>
      </c>
    </row>
    <row r="61" spans="1:137" ht="21" customHeight="1">
      <c r="A61" s="1626"/>
      <c r="B61" s="811" t="str" cm="1">
        <f t="array" ref="B61">IFBLANK(_CF!F61,"")</f>
        <v>Unreconciled Cash Flows</v>
      </c>
      <c r="C61" s="811" t="str" cm="1">
        <f t="array" ref="C61">IFBLANK(_CF!C61,"")</f>
        <v>Unreconciled Cash Flows (Company View)</v>
      </c>
      <c r="D61" s="1549"/>
      <c r="E61" s="574"/>
      <c r="F61" s="574"/>
      <c r="G61" s="574"/>
      <c r="H61" s="3280">
        <v>1</v>
      </c>
      <c r="I61" s="3280">
        <v>1</v>
      </c>
      <c r="J61" s="401"/>
      <c r="K61" s="401"/>
      <c r="N61" s="158"/>
      <c r="O61" s="101"/>
      <c r="P61" s="52"/>
      <c r="Q61" s="101"/>
      <c r="R61" s="126"/>
      <c r="S61" s="101"/>
      <c r="T61" s="101"/>
      <c r="U61" s="39"/>
      <c r="W61" s="932" t="str">
        <f t="shared" si="8"/>
        <v>Budget</v>
      </c>
      <c r="X61" s="815" t="str">
        <f>_CF!X61</f>
        <v>a</v>
      </c>
      <c r="Y61" s="709" t="str">
        <f t="shared" si="6"/>
        <v>Unreconciled Cash Flows</v>
      </c>
      <c r="Z61" s="198" cm="1">
        <f t="array" ref="Z61">_xlfn.SWITCH(TRUE,_CF!$L61=TRUE,1,_CF!$L61=FALSE,-1,_CF!$L61=-1,0,"n/a")</f>
        <v>0</v>
      </c>
      <c r="AA61" s="200"/>
      <c r="AB61" s="88" t="str">
        <f>_CF!AB61</f>
        <v>Unreconciled Cash Flows</v>
      </c>
      <c r="AC61" s="88" t="e" vm="5" cm="1">
        <f t="array" ca="1" aca="1" ref="AC61">_xlfn.LET(_xlpm._termname,$AB61,_xlpm._iconname,"find",_xlpm._icon,fx_getIcon(_xlpm._iconname),_xlpm._location,_xlfn.XLOOKUP(LOWER(_xlpm._termname),LOWER(tbl_acctDef[Term]),tbl_acctDef[Term]),_xlpm._hyperlink,HYPERLINK("#"&amp;CELL("address",_xlpm._location),_xlpm._icon),IFERROR(_xlpm._hyperlink,""))</f>
        <v>#VALUE!</v>
      </c>
      <c r="AD61" s="3354" t="str" cm="1">
        <f t="array" ca="1" aca="1" ref="AD61">_xlfn.LET(_xlpm.CashPrev,_xldudf_CX_GET(CX_ENTITY,BS!$E$39,EOMONTH($AD$11,-1),"As of",,fx_scenarioConverter("Actual"))/fxVal_normal*fxVal_sign(CF!$B61),IFERROR(BS!AD65-_xlpm.CashPrev-SUM(AD56:AD60),"-"))</f>
        <v>-</v>
      </c>
      <c r="AE61" s="1487">
        <f>IFERROR((SUM(BS!AE80,-BS!AD80)-SUM(AE56:AE60)),"-")</f>
        <v>-15</v>
      </c>
      <c r="AF61" s="1487">
        <f>IFERROR((SUM(BS!AF80,-BS!AE80)-SUM(AF56:AF60)),"-")</f>
        <v>-15</v>
      </c>
      <c r="AG61" s="1487">
        <f>IFERROR((SUM(BS!AG80,-BS!AF80)-SUM(AG56:AG60)),"-")</f>
        <v>-15</v>
      </c>
      <c r="AH61" s="1487">
        <f>IFERROR((SUM(BS!AH80,-BS!AG80)-SUM(AH56:AH60)),"-")</f>
        <v>-15</v>
      </c>
      <c r="AI61" s="1487">
        <f>IFERROR((SUM(BS!AI80,-BS!AH80)-SUM(AI56:AI60)),"-")</f>
        <v>-15</v>
      </c>
      <c r="AJ61" s="1487">
        <f>IFERROR((SUM(BS!AJ80,-BS!AI80)-SUM(AJ56:AJ60)),"-")</f>
        <v>-15</v>
      </c>
      <c r="AK61" s="1487">
        <f>IFERROR((SUM(BS!AK80,-BS!AJ80)-SUM(AK56:AK60)),"-")</f>
        <v>-15</v>
      </c>
      <c r="AL61" s="1487">
        <f>IFERROR((SUM(BS!AL80,-BS!AK80)-SUM(AL56:AL60)),"-")</f>
        <v>-15</v>
      </c>
      <c r="AM61" s="1487">
        <f>IFERROR((SUM(BS!AM80,-BS!AL80)-SUM(AM56:AM60)),"-")</f>
        <v>-15</v>
      </c>
      <c r="AN61" s="1487">
        <f>IFERROR((SUM(BS!AN80,-BS!AM80)-SUM(AN56:AN60)),"-")</f>
        <v>-15</v>
      </c>
      <c r="AO61" s="1487">
        <f>IFERROR((SUM(BS!AO80,-BS!AN80)-SUM(AO56:AO60)),"-")</f>
        <v>-15</v>
      </c>
      <c r="AP61" s="1487">
        <f>IFERROR((SUM(BS!AP80,-BS!AO80)-SUM(AP56:AP60)),"-")</f>
        <v>-15</v>
      </c>
      <c r="AQ61" s="1487">
        <f>IFERROR((SUM(BS!AQ80,-BS!AP80)-SUM(AQ56:AQ60)),"-")</f>
        <v>-15</v>
      </c>
      <c r="AR61" s="1487">
        <f>IFERROR((SUM(BS!AR80,-BS!AQ80)-SUM(AR56:AR60)),"-")</f>
        <v>-15</v>
      </c>
      <c r="AS61" s="1487">
        <f>IFERROR((SUM(BS!AS80,-BS!AR80)-SUM(AS56:AS60)),"-")</f>
        <v>-15</v>
      </c>
      <c r="AT61" s="1487">
        <f>IFERROR((SUM(BS!AT80,-BS!AS80)-SUM(AT56:AT60)),"-")</f>
        <v>-15</v>
      </c>
      <c r="AU61" s="1487">
        <f>IFERROR((SUM(BS!AU80,-BS!AT80)-SUM(AU56:AU60)),"-")</f>
        <v>-15</v>
      </c>
      <c r="AV61" s="1487">
        <f>IFERROR((SUM(BS!AV80,-BS!AU80)-SUM(AV56:AV60)),"-")</f>
        <v>-15</v>
      </c>
      <c r="AW61" s="1487">
        <f>IFERROR((SUM(BS!AW80,-BS!AV80)-SUM(AW56:AW60)),"-")</f>
        <v>-15</v>
      </c>
      <c r="AX61" s="1487">
        <f>IFERROR((SUM(BS!AX80,-BS!AW80)-SUM(AX56:AX60)),"-")</f>
        <v>-15</v>
      </c>
      <c r="AY61" s="1487">
        <f>IFERROR((SUM(BS!AY80,-BS!AX80)-SUM(AY56:AY60)),"-")</f>
        <v>-15</v>
      </c>
      <c r="AZ61" s="1487">
        <f>IFERROR((SUM(BS!AZ80,-BS!AY80)-SUM(AZ56:AZ60)),"-")</f>
        <v>-15</v>
      </c>
      <c r="BA61" s="1487">
        <f>IFERROR((SUM(BS!BA80,-BS!AZ80)-SUM(BA56:BA60)),"-")</f>
        <v>-15</v>
      </c>
      <c r="BB61" s="1487">
        <f>IFERROR((SUM(BS!BB80,-BS!BA80)-SUM(BB56:BB60)),"-")</f>
        <v>-15</v>
      </c>
      <c r="BC61" s="1487">
        <f>IFERROR((SUM(BS!BC80,-BS!BB80)-SUM(BC56:BC60)),"-")</f>
        <v>-15</v>
      </c>
      <c r="BD61" s="1487">
        <f>IFERROR((SUM(BS!BD80,-BS!BC80)-SUM(BD56:BD60)),"-")</f>
        <v>-15</v>
      </c>
      <c r="BE61" s="1487">
        <f>IFERROR((SUM(BS!BE80,-BS!BD80)-SUM(BE56:BE60)),"-")</f>
        <v>-15</v>
      </c>
      <c r="BF61" s="1487">
        <f>IFERROR((SUM(BS!BF80,-BS!BE80)-SUM(BF56:BF60)),"-")</f>
        <v>-15</v>
      </c>
      <c r="BG61" s="1487">
        <f>IFERROR((SUM(BS!BG80,-BS!BF80)-SUM(BG56:BG60)),"-")</f>
        <v>-15</v>
      </c>
      <c r="BH61" s="1487">
        <f>IFERROR((SUM(BS!BH80,-BS!BG80)-SUM(BH56:BH60)),"-")</f>
        <v>-15</v>
      </c>
      <c r="BI61" s="1487">
        <f>IFERROR((SUM(BS!BI80,-BS!BH80)-SUM(BI56:BI60)),"-")</f>
        <v>-15</v>
      </c>
      <c r="BJ61" s="1487">
        <f>IFERROR((SUM(BS!BJ80,-BS!BI80)-SUM(BJ56:BJ60)),"-")</f>
        <v>-15</v>
      </c>
      <c r="BK61" s="1487">
        <f>IFERROR((SUM(BS!BK80,-BS!BJ80)-SUM(BK56:BK60)),"-")</f>
        <v>-15</v>
      </c>
      <c r="BL61" s="1487">
        <f>IFERROR((SUM(BS!BL80,-BS!BK80)-SUM(BL56:BL60)),"-")</f>
        <v>-15</v>
      </c>
      <c r="BM61" s="1487">
        <f>IFERROR((SUM(BS!BM80,-BS!BL80)-SUM(BM56:BM60)),"-")</f>
        <v>-15</v>
      </c>
      <c r="BN61" s="1487">
        <f>IFERROR((SUM(BS!BN80,-BS!BM80)-SUM(BN56:BN60)),"-")</f>
        <v>-15</v>
      </c>
      <c r="BO61" s="2116"/>
      <c r="BP61" s="2116"/>
      <c r="BQ61" s="2116"/>
      <c r="BR61" s="2116"/>
      <c r="BS61" s="2116"/>
      <c r="BT61" s="2116"/>
      <c r="BU61" s="2116"/>
      <c r="BV61" s="2116"/>
      <c r="BW61" s="2116"/>
      <c r="BX61" s="2116"/>
      <c r="BY61" s="2116"/>
      <c r="BZ61" s="2116"/>
      <c r="CA61" s="1330"/>
      <c r="CB61" s="537"/>
      <c r="CC61" s="1484"/>
      <c r="CD61" s="1461" t="e" cm="1">
        <f t="array" ca="1" aca="1" ref="CD61">_xlfn.LET(_xlpm.CheckBlank,SUM(CF!$AD61:$BN61)=0,IF(_xlpm.CheckBlank,"",SUM(_xlfn._xlws.FILTER(CF!$AD61:$BN61,(YEAR(CF!$AD$12:$BN$12)=CF!CD$12)*(array_timeline&lt;=CF!CD$11)))))</f>
        <v>#NAME?</v>
      </c>
      <c r="CE61" s="1461" t="e" cm="1">
        <f t="array" ca="1" aca="1" ref="CE61">_xlfn.LET(_xlpm.CheckBlank,SUM(CF!$AD61:$BN61)=0,IF(_xlpm.CheckBlank,"",SUM(_xlfn._xlws.FILTER(CF!$AD61:$BN61,(YEAR(CF!$AD$12:$BN$12)=CF!CE$12)*(array_timeline&lt;=CF!CE$11)))))</f>
        <v>#NAME?</v>
      </c>
      <c r="CF61" s="1314"/>
      <c r="CG61" s="1461" t="e" cm="1">
        <f t="array" ca="1" aca="1" ref="CG61">_xlfn.LET(_xlpm.CheckBlank,SUM(CF!$AD61:$BN61)=0,IF(_xlpm.CheckBlank,"",SUM(_xlfn._xlws.FILTER(CF!$AD61:$BN61,(YEAR(CF!$AD$12:$BN$12)=CF!CG$12)*(array_timeline&lt;=CF!CG$11)))))</f>
        <v>#NAME?</v>
      </c>
      <c r="CH61" s="1461" t="e" cm="1">
        <f t="array" ca="1" aca="1" ref="CH61">_xlfn.LET(_xlpm.CheckBlank,SUM(CF!$AD61:$BN61)=0,IF(_xlpm.CheckBlank,"",SUM(_xlfn._xlws.FILTER(CF!$AD61:$BN61,(YEAR(CF!$AD$12:$BN$12)=CF!CH$12)*(array_timeline&lt;=CF!CH$11)))))</f>
        <v>#NAME?</v>
      </c>
      <c r="CI61" s="1314"/>
      <c r="CJ61" s="1461" cm="1">
        <f t="array" ca="1" aca="1" ref="CJ61">_xlfn.LET(_xlpm.CheckBlank,SUM(CF!$AD61:$BN61)=0,IF(_xlpm.CheckBlank,"",SUM(_xlfn.TAKE(_xlfn.DROP(CF!$AD61:$BN61,,-DATEDIFF(CF!CJ$11,val_asOfDate,"M")),1,-12))))</f>
        <v>-180</v>
      </c>
      <c r="CK61" s="1461" cm="1">
        <f t="array" ca="1" aca="1" ref="CK61">_xlfn.LET(_xlpm.CheckBlank,SUM(CF!$AD61:$BN61)=0,IF(_xlpm.CheckBlank,"",SUM(_xlfn.TAKE(_xlfn.DROP(CF!$AD61:$BN61,,-DATEDIFF(CF!CK$11,val_asOfDate,"M")),1,-12))))</f>
        <v>-180</v>
      </c>
      <c r="CL61" s="1314"/>
      <c r="CM61" s="1515" t="e">
        <f ca="1">CM36</f>
        <v>#NAME?</v>
      </c>
      <c r="CN61" s="1516" t="e">
        <f t="shared" ca="1" si="7"/>
        <v>#NAME?</v>
      </c>
      <c r="CO61" s="34"/>
      <c r="CW61" s="1883" t="str" cm="1">
        <f t="array" ca="1" aca="1" ref="CW61">IFERROR(IF(AD61*fxVal_normal=_CF!AD61,"",IF(OR(AD61="",NOT(ISNUMBER(AD61)),ISERROR(AD61),$B61=""),"",IF($I61=1,IFBLANK(_xldudf_CX_PUSH(AD61*fxVal_normal,CX_ENTITY,$B61,AD$11,AD$14,AD$44,),""),IF($I61=2,IFBLANK(_xldudf_CX_PUSH(AD61,CX_ENTITY,$B61,AD$11,AD$14,AD$44,),""),IF($I61=3,"",IFBLANK(_xldudf_CX_PUSH(AD61,CX_ENTITY,$B61,AD$11,AD$14,AD$44,),"")))))),"")</f>
        <v/>
      </c>
      <c r="CX61" s="1883" t="str" cm="1">
        <f t="array" ca="1" aca="1" ref="CX61">IFERROR(IF(AE61*fxVal_normal=_CF!AE61,"",IF(OR(AE61="",NOT(ISNUMBER(AE61)),ISERROR(AE61),$B61=""),"",IF($I61=1,IFBLANK(_xldudf_CX_PUSH(AE61*fxVal_normal,CX_ENTITY,$B61,AE$11,AE$14,AE$44,),""),IF($I61=2,IFBLANK(_xldudf_CX_PUSH(AE61,CX_ENTITY,$B61,AE$11,AE$14,AE$44,),""),IF($I61=3,"",IFBLANK(_xldudf_CX_PUSH(AE61,CX_ENTITY,$B61,AE$11,AE$14,AE$44,),"")))))),"")</f>
        <v/>
      </c>
      <c r="CY61" s="1883" t="str" cm="1">
        <f t="array" ca="1" aca="1" ref="CY61">IFERROR(IF(AF61*fxVal_normal=_CF!AF61,"",IF(OR(AF61="",NOT(ISNUMBER(AF61)),ISERROR(AF61),$B61=""),"",IF($I61=1,IFBLANK(_xldudf_CX_PUSH(AF61*fxVal_normal,CX_ENTITY,$B61,AF$11,AF$14,AF$44,),""),IF($I61=2,IFBLANK(_xldudf_CX_PUSH(AF61,CX_ENTITY,$B61,AF$11,AF$14,AF$44,),""),IF($I61=3,"",IFBLANK(_xldudf_CX_PUSH(AF61,CX_ENTITY,$B61,AF$11,AF$14,AF$44,),"")))))),"")</f>
        <v/>
      </c>
      <c r="CZ61" s="1883" t="str" cm="1">
        <f t="array" ca="1" aca="1" ref="CZ61">IFERROR(IF(AG61*fxVal_normal=_CF!AG61,"",IF(OR(AG61="",NOT(ISNUMBER(AG61)),ISERROR(AG61),$B61=""),"",IF($I61=1,IFBLANK(_xldudf_CX_PUSH(AG61*fxVal_normal,CX_ENTITY,$B61,AG$11,AG$14,AG$44,),""),IF($I61=2,IFBLANK(_xldudf_CX_PUSH(AG61,CX_ENTITY,$B61,AG$11,AG$14,AG$44,),""),IF($I61=3,"",IFBLANK(_xldudf_CX_PUSH(AG61,CX_ENTITY,$B61,AG$11,AG$14,AG$44,),"")))))),"")</f>
        <v/>
      </c>
      <c r="DA61" s="1883" t="str" cm="1">
        <f t="array" ca="1" aca="1" ref="DA61">IFERROR(IF(AH61*fxVal_normal=_CF!AH61,"",IF(OR(AH61="",NOT(ISNUMBER(AH61)),ISERROR(AH61),$B61=""),"",IF($I61=1,IFBLANK(_xldudf_CX_PUSH(AH61*fxVal_normal,CX_ENTITY,$B61,AH$11,AH$14,AH$44,),""),IF($I61=2,IFBLANK(_xldudf_CX_PUSH(AH61,CX_ENTITY,$B61,AH$11,AH$14,AH$44,),""),IF($I61=3,"",IFBLANK(_xldudf_CX_PUSH(AH61,CX_ENTITY,$B61,AH$11,AH$14,AH$44,),"")))))),"")</f>
        <v/>
      </c>
      <c r="DB61" s="1883" t="str" cm="1">
        <f t="array" ca="1" aca="1" ref="DB61">IFERROR(IF(AI61*fxVal_normal=_CF!AI61,"",IF(OR(AI61="",NOT(ISNUMBER(AI61)),ISERROR(AI61),$B61=""),"",IF($I61=1,IFBLANK(_xldudf_CX_PUSH(AI61*fxVal_normal,CX_ENTITY,$B61,AI$11,AI$14,AI$44,),""),IF($I61=2,IFBLANK(_xldudf_CX_PUSH(AI61,CX_ENTITY,$B61,AI$11,AI$14,AI$44,),""),IF($I61=3,"",IFBLANK(_xldudf_CX_PUSH(AI61,CX_ENTITY,$B61,AI$11,AI$14,AI$44,),"")))))),"")</f>
        <v/>
      </c>
      <c r="DC61" s="1883" t="str" cm="1">
        <f t="array" ca="1" aca="1" ref="DC61">IFERROR(IF(AJ61*fxVal_normal=_CF!AJ61,"",IF(OR(AJ61="",NOT(ISNUMBER(AJ61)),ISERROR(AJ61),$B61=""),"",IF($I61=1,IFBLANK(_xldudf_CX_PUSH(AJ61*fxVal_normal,CX_ENTITY,$B61,AJ$11,AJ$14,AJ$44,),""),IF($I61=2,IFBLANK(_xldudf_CX_PUSH(AJ61,CX_ENTITY,$B61,AJ$11,AJ$14,AJ$44,),""),IF($I61=3,"",IFBLANK(_xldudf_CX_PUSH(AJ61,CX_ENTITY,$B61,AJ$11,AJ$14,AJ$44,),"")))))),"")</f>
        <v/>
      </c>
      <c r="DD61" s="1883" t="str" cm="1">
        <f t="array" ca="1" aca="1" ref="DD61">IFERROR(IF(AK61*fxVal_normal=_CF!AK61,"",IF(OR(AK61="",NOT(ISNUMBER(AK61)),ISERROR(AK61),$B61=""),"",IF($I61=1,IFBLANK(_xldudf_CX_PUSH(AK61*fxVal_normal,CX_ENTITY,$B61,AK$11,AK$14,AK$44,),""),IF($I61=2,IFBLANK(_xldudf_CX_PUSH(AK61,CX_ENTITY,$B61,AK$11,AK$14,AK$44,),""),IF($I61=3,"",IFBLANK(_xldudf_CX_PUSH(AK61,CX_ENTITY,$B61,AK$11,AK$14,AK$44,),"")))))),"")</f>
        <v/>
      </c>
      <c r="DE61" s="1883" t="str" cm="1">
        <f t="array" ca="1" aca="1" ref="DE61">IFERROR(IF(AL61*fxVal_normal=_CF!AL61,"",IF(OR(AL61="",NOT(ISNUMBER(AL61)),ISERROR(AL61),$B61=""),"",IF($I61=1,IFBLANK(_xldudf_CX_PUSH(AL61*fxVal_normal,CX_ENTITY,$B61,AL$11,AL$14,AL$44,),""),IF($I61=2,IFBLANK(_xldudf_CX_PUSH(AL61,CX_ENTITY,$B61,AL$11,AL$14,AL$44,),""),IF($I61=3,"",IFBLANK(_xldudf_CX_PUSH(AL61,CX_ENTITY,$B61,AL$11,AL$14,AL$44,),"")))))),"")</f>
        <v/>
      </c>
      <c r="DF61" s="1883" t="str" cm="1">
        <f t="array" ca="1" aca="1" ref="DF61">IFERROR(IF(AM61*fxVal_normal=_CF!AM61,"",IF(OR(AM61="",NOT(ISNUMBER(AM61)),ISERROR(AM61),$B61=""),"",IF($I61=1,IFBLANK(_xldudf_CX_PUSH(AM61*fxVal_normal,CX_ENTITY,$B61,AM$11,AM$14,AM$44,),""),IF($I61=2,IFBLANK(_xldudf_CX_PUSH(AM61,CX_ENTITY,$B61,AM$11,AM$14,AM$44,),""),IF($I61=3,"",IFBLANK(_xldudf_CX_PUSH(AM61,CX_ENTITY,$B61,AM$11,AM$14,AM$44,),"")))))),"")</f>
        <v/>
      </c>
      <c r="DG61" s="1883" t="str" cm="1">
        <f t="array" ca="1" aca="1" ref="DG61">IFERROR(IF(AN61*fxVal_normal=_CF!AN61,"",IF(OR(AN61="",NOT(ISNUMBER(AN61)),ISERROR(AN61),$B61=""),"",IF($I61=1,IFBLANK(_xldudf_CX_PUSH(AN61*fxVal_normal,CX_ENTITY,$B61,AN$11,AN$14,AN$44,),""),IF($I61=2,IFBLANK(_xldudf_CX_PUSH(AN61,CX_ENTITY,$B61,AN$11,AN$14,AN$44,),""),IF($I61=3,"",IFBLANK(_xldudf_CX_PUSH(AN61,CX_ENTITY,$B61,AN$11,AN$14,AN$44,),"")))))),"")</f>
        <v/>
      </c>
      <c r="DH61" s="1883" t="str" cm="1">
        <f t="array" ca="1" aca="1" ref="DH61">IFERROR(IF(AO61*fxVal_normal=_CF!AO61,"",IF(OR(AO61="",NOT(ISNUMBER(AO61)),ISERROR(AO61),$B61=""),"",IF($I61=1,IFBLANK(_xldudf_CX_PUSH(AO61*fxVal_normal,CX_ENTITY,$B61,AO$11,AO$14,AO$44,),""),IF($I61=2,IFBLANK(_xldudf_CX_PUSH(AO61,CX_ENTITY,$B61,AO$11,AO$14,AO$44,),""),IF($I61=3,"",IFBLANK(_xldudf_CX_PUSH(AO61,CX_ENTITY,$B61,AO$11,AO$14,AO$44,),"")))))),"")</f>
        <v/>
      </c>
      <c r="DI61" s="1883" t="str" cm="1">
        <f t="array" ca="1" aca="1" ref="DI61">IFERROR(IF(AP61*fxVal_normal=_CF!AP61,"",IF(OR(AP61="",NOT(ISNUMBER(AP61)),ISERROR(AP61),$B61=""),"",IF($I61=1,IFBLANK(_xldudf_CX_PUSH(AP61*fxVal_normal,CX_ENTITY,$B61,AP$11,AP$14,AP$44,),""),IF($I61=2,IFBLANK(_xldudf_CX_PUSH(AP61,CX_ENTITY,$B61,AP$11,AP$14,AP$44,),""),IF($I61=3,"",IFBLANK(_xldudf_CX_PUSH(AP61,CX_ENTITY,$B61,AP$11,AP$14,AP$44,),"")))))),"")</f>
        <v/>
      </c>
      <c r="DJ61" s="1883" t="str" cm="1">
        <f t="array" ca="1" aca="1" ref="DJ61">IFERROR(IF(AQ61*fxVal_normal=_CF!AQ61,"",IF(OR(AQ61="",NOT(ISNUMBER(AQ61)),ISERROR(AQ61),$B61=""),"",IF($I61=1,IFBLANK(_xldudf_CX_PUSH(AQ61*fxVal_normal,CX_ENTITY,$B61,AQ$11,AQ$14,AQ$44,),""),IF($I61=2,IFBLANK(_xldudf_CX_PUSH(AQ61,CX_ENTITY,$B61,AQ$11,AQ$14,AQ$44,),""),IF($I61=3,"",IFBLANK(_xldudf_CX_PUSH(AQ61,CX_ENTITY,$B61,AQ$11,AQ$14,AQ$44,),"")))))),"")</f>
        <v/>
      </c>
      <c r="DK61" s="1883" t="str" cm="1">
        <f t="array" ca="1" aca="1" ref="DK61">IFERROR(IF(AR61*fxVal_normal=_CF!AR61,"",IF(OR(AR61="",NOT(ISNUMBER(AR61)),ISERROR(AR61),$B61=""),"",IF($I61=1,IFBLANK(_xldudf_CX_PUSH(AR61*fxVal_normal,CX_ENTITY,$B61,AR$11,AR$14,AR$44,),""),IF($I61=2,IFBLANK(_xldudf_CX_PUSH(AR61,CX_ENTITY,$B61,AR$11,AR$14,AR$44,),""),IF($I61=3,"",IFBLANK(_xldudf_CX_PUSH(AR61,CX_ENTITY,$B61,AR$11,AR$14,AR$44,),"")))))),"")</f>
        <v/>
      </c>
      <c r="DL61" s="1883" t="str" cm="1">
        <f t="array" ca="1" aca="1" ref="DL61">IFERROR(IF(AS61*fxVal_normal=_CF!AS61,"",IF(OR(AS61="",NOT(ISNUMBER(AS61)),ISERROR(AS61),$B61=""),"",IF($I61=1,IFBLANK(_xldudf_CX_PUSH(AS61*fxVal_normal,CX_ENTITY,$B61,AS$11,AS$14,AS$44,),""),IF($I61=2,IFBLANK(_xldudf_CX_PUSH(AS61,CX_ENTITY,$B61,AS$11,AS$14,AS$44,),""),IF($I61=3,"",IFBLANK(_xldudf_CX_PUSH(AS61,CX_ENTITY,$B61,AS$11,AS$14,AS$44,),"")))))),"")</f>
        <v/>
      </c>
      <c r="DM61" s="1883" t="str" cm="1">
        <f t="array" ca="1" aca="1" ref="DM61">IFERROR(IF(AT61*fxVal_normal=_CF!AT61,"",IF(OR(AT61="",NOT(ISNUMBER(AT61)),ISERROR(AT61),$B61=""),"",IF($I61=1,IFBLANK(_xldudf_CX_PUSH(AT61*fxVal_normal,CX_ENTITY,$B61,AT$11,AT$14,AT$44,),""),IF($I61=2,IFBLANK(_xldudf_CX_PUSH(AT61,CX_ENTITY,$B61,AT$11,AT$14,AT$44,),""),IF($I61=3,"",IFBLANK(_xldudf_CX_PUSH(AT61,CX_ENTITY,$B61,AT$11,AT$14,AT$44,),"")))))),"")</f>
        <v/>
      </c>
      <c r="DN61" s="1883" t="str" cm="1">
        <f t="array" ca="1" aca="1" ref="DN61">IFERROR(IF(AU61*fxVal_normal=_CF!AU61,"",IF(OR(AU61="",NOT(ISNUMBER(AU61)),ISERROR(AU61),$B61=""),"",IF($I61=1,IFBLANK(_xldudf_CX_PUSH(AU61*fxVal_normal,CX_ENTITY,$B61,AU$11,AU$14,AU$44,),""),IF($I61=2,IFBLANK(_xldudf_CX_PUSH(AU61,CX_ENTITY,$B61,AU$11,AU$14,AU$44,),""),IF($I61=3,"",IFBLANK(_xldudf_CX_PUSH(AU61,CX_ENTITY,$B61,AU$11,AU$14,AU$44,),"")))))),"")</f>
        <v/>
      </c>
      <c r="DO61" s="1883" t="str" cm="1">
        <f t="array" ca="1" aca="1" ref="DO61">IFERROR(IF(AV61*fxVal_normal=_CF!AV61,"",IF(OR(AV61="",NOT(ISNUMBER(AV61)),ISERROR(AV61),$B61=""),"",IF($I61=1,IFBLANK(_xldudf_CX_PUSH(AV61*fxVal_normal,CX_ENTITY,$B61,AV$11,AV$14,AV$44,),""),IF($I61=2,IFBLANK(_xldudf_CX_PUSH(AV61,CX_ENTITY,$B61,AV$11,AV$14,AV$44,),""),IF($I61=3,"",IFBLANK(_xldudf_CX_PUSH(AV61,CX_ENTITY,$B61,AV$11,AV$14,AV$44,),"")))))),"")</f>
        <v/>
      </c>
      <c r="DP61" s="1883" t="str" cm="1">
        <f t="array" ca="1" aca="1" ref="DP61">IFERROR(IF(AW61*fxVal_normal=_CF!AW61,"",IF(OR(AW61="",NOT(ISNUMBER(AW61)),ISERROR(AW61),$B61=""),"",IF($I61=1,IFBLANK(_xldudf_CX_PUSH(AW61*fxVal_normal,CX_ENTITY,$B61,AW$11,AW$14,AW$44,),""),IF($I61=2,IFBLANK(_xldudf_CX_PUSH(AW61,CX_ENTITY,$B61,AW$11,AW$14,AW$44,),""),IF($I61=3,"",IFBLANK(_xldudf_CX_PUSH(AW61,CX_ENTITY,$B61,AW$11,AW$14,AW$44,),"")))))),"")</f>
        <v/>
      </c>
      <c r="DQ61" s="1883" t="str" cm="1">
        <f t="array" ca="1" aca="1" ref="DQ61">IFERROR(IF(AX61*fxVal_normal=_CF!AX61,"",IF(OR(AX61="",NOT(ISNUMBER(AX61)),ISERROR(AX61),$B61=""),"",IF($I61=1,IFBLANK(_xldudf_CX_PUSH(AX61*fxVal_normal,CX_ENTITY,$B61,AX$11,AX$14,AX$44,),""),IF($I61=2,IFBLANK(_xldudf_CX_PUSH(AX61,CX_ENTITY,$B61,AX$11,AX$14,AX$44,),""),IF($I61=3,"",IFBLANK(_xldudf_CX_PUSH(AX61,CX_ENTITY,$B61,AX$11,AX$14,AX$44,),"")))))),"")</f>
        <v/>
      </c>
      <c r="DR61" s="1883" t="str" cm="1">
        <f t="array" ca="1" aca="1" ref="DR61">IFERROR(IF(AY61*fxVal_normal=_CF!AY61,"",IF(OR(AY61="",NOT(ISNUMBER(AY61)),ISERROR(AY61),$B61=""),"",IF($I61=1,IFBLANK(_xldudf_CX_PUSH(AY61*fxVal_normal,CX_ENTITY,$B61,AY$11,AY$14,AY$44,),""),IF($I61=2,IFBLANK(_xldudf_CX_PUSH(AY61,CX_ENTITY,$B61,AY$11,AY$14,AY$44,),""),IF($I61=3,"",IFBLANK(_xldudf_CX_PUSH(AY61,CX_ENTITY,$B61,AY$11,AY$14,AY$44,),"")))))),"")</f>
        <v/>
      </c>
      <c r="DS61" s="1883" t="str" cm="1">
        <f t="array" ca="1" aca="1" ref="DS61">IFERROR(IF(AZ61*fxVal_normal=_CF!AZ61,"",IF(OR(AZ61="",NOT(ISNUMBER(AZ61)),ISERROR(AZ61),$B61=""),"",IF($I61=1,IFBLANK(_xldudf_CX_PUSH(AZ61*fxVal_normal,CX_ENTITY,$B61,AZ$11,AZ$14,AZ$44,),""),IF($I61=2,IFBLANK(_xldudf_CX_PUSH(AZ61,CX_ENTITY,$B61,AZ$11,AZ$14,AZ$44,),""),IF($I61=3,"",IFBLANK(_xldudf_CX_PUSH(AZ61,CX_ENTITY,$B61,AZ$11,AZ$14,AZ$44,),"")))))),"")</f>
        <v/>
      </c>
      <c r="DT61" s="1883" t="str" cm="1">
        <f t="array" ca="1" aca="1" ref="DT61">IFERROR(IF(BA61*fxVal_normal=_CF!BA61,"",IF(OR(BA61="",NOT(ISNUMBER(BA61)),ISERROR(BA61),$B61=""),"",IF($I61=1,IFBLANK(_xldudf_CX_PUSH(BA61*fxVal_normal,CX_ENTITY,$B61,BA$11,BA$14,BA$44,),""),IF($I61=2,IFBLANK(_xldudf_CX_PUSH(BA61,CX_ENTITY,$B61,BA$11,BA$14,BA$44,),""),IF($I61=3,"",IFBLANK(_xldudf_CX_PUSH(BA61,CX_ENTITY,$B61,BA$11,BA$14,BA$44,),"")))))),"")</f>
        <v/>
      </c>
      <c r="DU61" s="1883" t="str" cm="1">
        <f t="array" ca="1" aca="1" ref="DU61">IFERROR(IF(BB61*fxVal_normal=_CF!BB61,"",IF(OR(BB61="",NOT(ISNUMBER(BB61)),ISERROR(BB61),$B61=""),"",IF($I61=1,IFBLANK(_xldudf_CX_PUSH(BB61*fxVal_normal,CX_ENTITY,$B61,BB$11,BB$14,BB$44,),""),IF($I61=2,IFBLANK(_xldudf_CX_PUSH(BB61,CX_ENTITY,$B61,BB$11,BB$14,BB$44,),""),IF($I61=3,"",IFBLANK(_xldudf_CX_PUSH(BB61,CX_ENTITY,$B61,BB$11,BB$14,BB$44,),"")))))),"")</f>
        <v/>
      </c>
      <c r="DV61" s="1883" t="str" cm="1">
        <f t="array" ca="1" aca="1" ref="DV61">IFERROR(IF(BC61*fxVal_normal=_CF!BC61,"",IF(OR(BC61="",NOT(ISNUMBER(BC61)),ISERROR(BC61),$B61=""),"",IF($I61=1,IFBLANK(_xldudf_CX_PUSH(BC61*fxVal_normal,CX_ENTITY,$B61,BC$11,BC$14,BC$44,),""),IF($I61=2,IFBLANK(_xldudf_CX_PUSH(BC61,CX_ENTITY,$B61,BC$11,BC$14,BC$44,),""),IF($I61=3,"",IFBLANK(_xldudf_CX_PUSH(BC61,CX_ENTITY,$B61,BC$11,BC$14,BC$44,),"")))))),"")</f>
        <v/>
      </c>
      <c r="DW61" s="1883" t="str" cm="1">
        <f t="array" ca="1" aca="1" ref="DW61">IFERROR(IF(BD61*fxVal_normal=_CF!BD61,"",IF(OR(BD61="",NOT(ISNUMBER(BD61)),ISERROR(BD61),$B61=""),"",IF($I61=1,IFBLANK(_xldudf_CX_PUSH(BD61*fxVal_normal,CX_ENTITY,$B61,BD$11,BD$14,BD$44,),""),IF($I61=2,IFBLANK(_xldudf_CX_PUSH(BD61,CX_ENTITY,$B61,BD$11,BD$14,BD$44,),""),IF($I61=3,"",IFBLANK(_xldudf_CX_PUSH(BD61,CX_ENTITY,$B61,BD$11,BD$14,BD$44,),"")))))),"")</f>
        <v/>
      </c>
      <c r="DX61" s="1883" t="str" cm="1">
        <f t="array" ca="1" aca="1" ref="DX61">IFERROR(IF(BE61*fxVal_normal=_CF!BE61,"",IF(OR(BE61="",NOT(ISNUMBER(BE61)),ISERROR(BE61),$B61=""),"",IF($I61=1,IFBLANK(_xldudf_CX_PUSH(BE61*fxVal_normal,CX_ENTITY,$B61,BE$11,BE$14,BE$44,),""),IF($I61=2,IFBLANK(_xldudf_CX_PUSH(BE61,CX_ENTITY,$B61,BE$11,BE$14,BE$44,),""),IF($I61=3,"",IFBLANK(_xldudf_CX_PUSH(BE61,CX_ENTITY,$B61,BE$11,BE$14,BE$44,),"")))))),"")</f>
        <v/>
      </c>
      <c r="DY61" s="1883" t="str" cm="1">
        <f t="array" ca="1" aca="1" ref="DY61">IFERROR(IF(BF61*fxVal_normal=_CF!BF61,"",IF(OR(BF61="",NOT(ISNUMBER(BF61)),ISERROR(BF61),$B61=""),"",IF($I61=1,IFBLANK(_xldudf_CX_PUSH(BF61*fxVal_normal,CX_ENTITY,$B61,BF$11,BF$14,BF$44,),""),IF($I61=2,IFBLANK(_xldudf_CX_PUSH(BF61,CX_ENTITY,$B61,BF$11,BF$14,BF$44,),""),IF($I61=3,"",IFBLANK(_xldudf_CX_PUSH(BF61,CX_ENTITY,$B61,BF$11,BF$14,BF$44,),"")))))),"")</f>
        <v/>
      </c>
      <c r="DZ61" s="1883" t="str" cm="1">
        <f t="array" ca="1" aca="1" ref="DZ61">IFERROR(IF(BG61*fxVal_normal=_CF!BG61,"",IF(OR(BG61="",NOT(ISNUMBER(BG61)),ISERROR(BG61),$B61=""),"",IF($I61=1,IFBLANK(_xldudf_CX_PUSH(BG61*fxVal_normal,CX_ENTITY,$B61,BG$11,BG$14,BG$44,),""),IF($I61=2,IFBLANK(_xldudf_CX_PUSH(BG61,CX_ENTITY,$B61,BG$11,BG$14,BG$44,),""),IF($I61=3,"",IFBLANK(_xldudf_CX_PUSH(BG61,CX_ENTITY,$B61,BG$11,BG$14,BG$44,),"")))))),"")</f>
        <v/>
      </c>
      <c r="EA61" s="1883" t="str" cm="1">
        <f t="array" ca="1" aca="1" ref="EA61">IFERROR(IF(BH61*fxVal_normal=_CF!BH61,"",IF(OR(BH61="",NOT(ISNUMBER(BH61)),ISERROR(BH61),$B61=""),"",IF($I61=1,IFBLANK(_xldudf_CX_PUSH(BH61*fxVal_normal,CX_ENTITY,$B61,BH$11,BH$14,BH$44,),""),IF($I61=2,IFBLANK(_xldudf_CX_PUSH(BH61,CX_ENTITY,$B61,BH$11,BH$14,BH$44,),""),IF($I61=3,"",IFBLANK(_xldudf_CX_PUSH(BH61,CX_ENTITY,$B61,BH$11,BH$14,BH$44,),"")))))),"")</f>
        <v/>
      </c>
      <c r="EB61" s="1883" t="str" cm="1">
        <f t="array" ca="1" aca="1" ref="EB61">IFERROR(IF(BI61*fxVal_normal=_CF!BI61,"",IF(OR(BI61="",NOT(ISNUMBER(BI61)),ISERROR(BI61),$B61=""),"",IF($I61=1,IFBLANK(_xldudf_CX_PUSH(BI61*fxVal_normal,CX_ENTITY,$B61,BI$11,BI$14,BI$44,),""),IF($I61=2,IFBLANK(_xldudf_CX_PUSH(BI61,CX_ENTITY,$B61,BI$11,BI$14,BI$44,),""),IF($I61=3,"",IFBLANK(_xldudf_CX_PUSH(BI61,CX_ENTITY,$B61,BI$11,BI$14,BI$44,),"")))))),"")</f>
        <v/>
      </c>
      <c r="EC61" s="1883" t="str" cm="1">
        <f t="array" ca="1" aca="1" ref="EC61">IFERROR(IF(BJ61*fxVal_normal=_CF!BJ61,"",IF(OR(BJ61="",NOT(ISNUMBER(BJ61)),ISERROR(BJ61),$B61=""),"",IF($I61=1,IFBLANK(_xldudf_CX_PUSH(BJ61*fxVal_normal,CX_ENTITY,$B61,BJ$11,BJ$14,BJ$44,),""),IF($I61=2,IFBLANK(_xldudf_CX_PUSH(BJ61,CX_ENTITY,$B61,BJ$11,BJ$14,BJ$44,),""),IF($I61=3,"",IFBLANK(_xldudf_CX_PUSH(BJ61,CX_ENTITY,$B61,BJ$11,BJ$14,BJ$44,),"")))))),"")</f>
        <v/>
      </c>
      <c r="ED61" s="1883" t="str" cm="1">
        <f t="array" ca="1" aca="1" ref="ED61">IFERROR(IF(BK61*fxVal_normal=_CF!BK61,"",IF(OR(BK61="",NOT(ISNUMBER(BK61)),ISERROR(BK61),$B61=""),"",IF($I61=1,IFBLANK(_xldudf_CX_PUSH(BK61*fxVal_normal,CX_ENTITY,$B61,BK$11,BK$14,BK$44,),""),IF($I61=2,IFBLANK(_xldudf_CX_PUSH(BK61,CX_ENTITY,$B61,BK$11,BK$14,BK$44,),""),IF($I61=3,"",IFBLANK(_xldudf_CX_PUSH(BK61,CX_ENTITY,$B61,BK$11,BK$14,BK$44,),"")))))),"")</f>
        <v/>
      </c>
      <c r="EE61" s="1883" t="str" cm="1">
        <f t="array" ca="1" aca="1" ref="EE61">IFERROR(IF(BL61*fxVal_normal=_CF!BL61,"",IF(OR(BL61="",NOT(ISNUMBER(BL61)),ISERROR(BL61),$B61=""),"",IF($I61=1,IFBLANK(_xldudf_CX_PUSH(BL61*fxVal_normal,CX_ENTITY,$B61,BL$11,BL$14,BL$44,),""),IF($I61=2,IFBLANK(_xldudf_CX_PUSH(BL61,CX_ENTITY,$B61,BL$11,BL$14,BL$44,),""),IF($I61=3,"",IFBLANK(_xldudf_CX_PUSH(BL61,CX_ENTITY,$B61,BL$11,BL$14,BL$44,),"")))))),"")</f>
        <v/>
      </c>
      <c r="EF61" s="1883" t="str" cm="1">
        <f t="array" ca="1" aca="1" ref="EF61">IFERROR(IF(BM61*fxVal_normal=_CF!BM61,"",IF(OR(BM61="",NOT(ISNUMBER(BM61)),ISERROR(BM61),$B61=""),"",IF($I61=1,IFBLANK(_xldudf_CX_PUSH(BM61*fxVal_normal,CX_ENTITY,$B61,BM$11,BM$14,BM$44,),""),IF($I61=2,IFBLANK(_xldudf_CX_PUSH(BM61,CX_ENTITY,$B61,BM$11,BM$14,BM$44,),""),IF($I61=3,"",IFBLANK(_xldudf_CX_PUSH(BM61,CX_ENTITY,$B61,BM$11,BM$14,BM$44,),"")))))),"")</f>
        <v/>
      </c>
      <c r="EG61" s="1883" t="str" cm="1">
        <f t="array" ca="1" aca="1" ref="EG61">IFERROR(IF(BN61*fxVal_normal=_CF!BN61,"",IF(OR(BN61="",NOT(ISNUMBER(BN61)),ISERROR(BN61),$B61=""),"",IF($I61=1,IFBLANK(_xldudf_CX_PUSH(BN61*fxVal_normal,CX_ENTITY,$B61,BN$11,BN$14,BN$44,),""),IF($I61=2,IFBLANK(_xldudf_CX_PUSH(BN61,CX_ENTITY,$B61,BN$11,BN$14,BN$44,),""),IF($I61=3,"",IFBLANK(_xldudf_CX_PUSH(BN61,CX_ENTITY,$B61,BN$11,BN$14,BN$44,),"")))))),"")</f>
        <v/>
      </c>
    </row>
    <row r="62" spans="1:137" ht="21" customHeight="1">
      <c r="A62" s="1626" t="s">
        <v>22</v>
      </c>
      <c r="B62" s="811" t="str" cm="1">
        <f t="array" ref="B62">IFBLANK(_CF!F62,"")</f>
        <v>Net Cash Flow</v>
      </c>
      <c r="C62" s="811" t="str" cm="1">
        <f t="array" ref="C62">IFBLANK(_CF!C62,"")</f>
        <v>Net Cash Flow (Company View)</v>
      </c>
      <c r="D62" s="1549"/>
      <c r="E62" s="574"/>
      <c r="F62" s="574"/>
      <c r="G62" s="574"/>
      <c r="H62" s="3280">
        <v>2</v>
      </c>
      <c r="I62" s="3280">
        <v>1</v>
      </c>
      <c r="J62" s="401"/>
      <c r="K62" s="401"/>
      <c r="N62" s="158"/>
      <c r="O62" s="101"/>
      <c r="P62" s="5"/>
      <c r="Q62" s="101"/>
      <c r="R62" s="126"/>
      <c r="S62" s="101"/>
      <c r="T62" s="101"/>
      <c r="U62" s="39"/>
      <c r="W62" s="934" t="str">
        <f t="shared" si="8"/>
        <v>Budget</v>
      </c>
      <c r="X62" s="1832">
        <f>_CF!X62</f>
        <v>0</v>
      </c>
      <c r="Y62" s="709" t="str">
        <f t="shared" si="6"/>
        <v>Net Cash Flow</v>
      </c>
      <c r="Z62" s="538" cm="1">
        <f t="array" ref="Z62">_xlfn.SWITCH(TRUE,_CF!$L62=TRUE,1,_CF!$L62=FALSE,-1,_CF!$L62=-1,0,"n/a")</f>
        <v>0</v>
      </c>
      <c r="AA62" s="787"/>
      <c r="AB62" s="88" t="str">
        <f>_CF!AB62</f>
        <v>Net Cash Flow</v>
      </c>
      <c r="AC62" s="13" t="e" vm="5" cm="1">
        <f t="array" ca="1" aca="1" ref="AC62">_xlfn.LET(_xlpm._termname,$AB62,_xlpm._iconname,"find",_xlpm._icon,fx_getIcon(_xlpm._iconname),_xlpm._location,_xlfn.XLOOKUP(LOWER(_xlpm._termname),LOWER(tbl_acctDef[Term]),tbl_acctDef[Term]),_xlpm._hyperlink,HYPERLINK("#"&amp;CELL("address",_xlpm._location),_xlpm._icon),IFERROR(_xlpm._hyperlink,""))</f>
        <v>#VALUE!</v>
      </c>
      <c r="AD62" s="936">
        <f ca="1">IFERROR(SUBTOTAL(9,AD45:AD61),"")</f>
        <v>15</v>
      </c>
      <c r="AE62" s="936">
        <f>IFERROR(SUBTOTAL(9,AE45:AE61),"")</f>
        <v>0</v>
      </c>
      <c r="AF62" s="936">
        <f t="shared" si="12" ref="AF62:BN62">IFERROR(SUBTOTAL(9,AF45:AF61),"")</f>
        <v>0</v>
      </c>
      <c r="AG62" s="936">
        <f t="shared" si="12"/>
        <v>0</v>
      </c>
      <c r="AH62" s="936">
        <f t="shared" si="12"/>
        <v>0</v>
      </c>
      <c r="AI62" s="936">
        <f t="shared" si="12"/>
        <v>0</v>
      </c>
      <c r="AJ62" s="936">
        <f t="shared" si="12"/>
        <v>0</v>
      </c>
      <c r="AK62" s="936">
        <f t="shared" si="12"/>
        <v>0</v>
      </c>
      <c r="AL62" s="936">
        <f t="shared" si="12"/>
        <v>0</v>
      </c>
      <c r="AM62" s="936">
        <f t="shared" si="12"/>
        <v>0</v>
      </c>
      <c r="AN62" s="936">
        <f t="shared" si="12"/>
        <v>0</v>
      </c>
      <c r="AO62" s="936">
        <f t="shared" si="12"/>
        <v>0</v>
      </c>
      <c r="AP62" s="936">
        <f t="shared" si="12"/>
        <v>0</v>
      </c>
      <c r="AQ62" s="936">
        <f t="shared" si="12"/>
        <v>0</v>
      </c>
      <c r="AR62" s="936">
        <f t="shared" si="12"/>
        <v>0</v>
      </c>
      <c r="AS62" s="936">
        <f t="shared" si="12"/>
        <v>0</v>
      </c>
      <c r="AT62" s="936">
        <f t="shared" si="12"/>
        <v>0</v>
      </c>
      <c r="AU62" s="936">
        <f t="shared" si="12"/>
        <v>0</v>
      </c>
      <c r="AV62" s="936">
        <f t="shared" si="12"/>
        <v>0</v>
      </c>
      <c r="AW62" s="936">
        <f t="shared" si="12"/>
        <v>0</v>
      </c>
      <c r="AX62" s="936">
        <f t="shared" si="12"/>
        <v>0</v>
      </c>
      <c r="AY62" s="936">
        <f t="shared" si="12"/>
        <v>0</v>
      </c>
      <c r="AZ62" s="936">
        <f t="shared" si="12"/>
        <v>0</v>
      </c>
      <c r="BA62" s="936">
        <f t="shared" si="12"/>
        <v>0</v>
      </c>
      <c r="BB62" s="936">
        <f t="shared" si="12"/>
        <v>0</v>
      </c>
      <c r="BC62" s="936">
        <f t="shared" si="12"/>
        <v>0</v>
      </c>
      <c r="BD62" s="936">
        <f t="shared" si="12"/>
        <v>0</v>
      </c>
      <c r="BE62" s="936">
        <f t="shared" si="12"/>
        <v>0</v>
      </c>
      <c r="BF62" s="936">
        <f t="shared" si="12"/>
        <v>0</v>
      </c>
      <c r="BG62" s="936">
        <f t="shared" si="12"/>
        <v>0</v>
      </c>
      <c r="BH62" s="936">
        <f t="shared" si="12"/>
        <v>0</v>
      </c>
      <c r="BI62" s="936">
        <f t="shared" si="12"/>
        <v>0</v>
      </c>
      <c r="BJ62" s="936">
        <f t="shared" si="12"/>
        <v>0</v>
      </c>
      <c r="BK62" s="936">
        <f t="shared" si="12"/>
        <v>0</v>
      </c>
      <c r="BL62" s="936">
        <f t="shared" si="12"/>
        <v>0</v>
      </c>
      <c r="BM62" s="936">
        <f t="shared" si="12"/>
        <v>0</v>
      </c>
      <c r="BN62" s="936">
        <f t="shared" si="12"/>
        <v>0</v>
      </c>
      <c r="BO62" s="2096"/>
      <c r="BP62" s="2096"/>
      <c r="BQ62" s="2096"/>
      <c r="BR62" s="2096"/>
      <c r="BS62" s="2096"/>
      <c r="BT62" s="2096"/>
      <c r="BU62" s="2096"/>
      <c r="BV62" s="2096"/>
      <c r="BW62" s="2096"/>
      <c r="BX62" s="2096"/>
      <c r="BY62" s="2096"/>
      <c r="BZ62" s="2096"/>
      <c r="CA62" s="1330"/>
      <c r="CB62" s="537"/>
      <c r="CC62" s="1484"/>
      <c r="CD62" s="1461" t="e" cm="1">
        <f t="array" ca="1" aca="1" ref="CD62">_xlfn.LET(_xlpm.CheckBlank,SUM(CF!$AD62:$BN62)=0,IF(_xlpm.CheckBlank,"",SUM(_xlfn._xlws.FILTER(CF!$AD62:$BN62,(YEAR(CF!$AD$12:$BN$12)=CF!CD$12)*(array_timeline&lt;=CF!CD$11)))))</f>
        <v>#NAME?</v>
      </c>
      <c r="CE62" s="1461" t="e" cm="1">
        <f t="array" ca="1" aca="1" ref="CE62">_xlfn.LET(_xlpm.CheckBlank,SUM(CF!$AD62:$BN62)=0,IF(_xlpm.CheckBlank,"",SUM(_xlfn._xlws.FILTER(CF!$AD62:$BN62,(YEAR(CF!$AD$12:$BN$12)=CF!CE$12)*(array_timeline&lt;=CF!CE$11)))))</f>
        <v>#NAME?</v>
      </c>
      <c r="CF62" s="1314"/>
      <c r="CG62" s="1462" t="e" cm="1">
        <f t="array" ca="1" aca="1" ref="CG62">_xlfn.LET(_xlpm.CheckBlank,SUM(CF!$AD62:$BN62)=0,IF(_xlpm.CheckBlank,"",SUM(_xlfn._xlws.FILTER(CF!$AD62:$BN62,(YEAR(CF!$AD$12:$BN$12)=CF!CG$12)*(array_timeline&lt;=CF!CG$11)))))</f>
        <v>#NAME?</v>
      </c>
      <c r="CH62" s="1462" t="e" cm="1">
        <f t="array" ca="1" aca="1" ref="CH62">_xlfn.LET(_xlpm.CheckBlank,SUM(CF!$AD62:$BN62)=0,IF(_xlpm.CheckBlank,"",SUM(_xlfn._xlws.FILTER(CF!$AD62:$BN62,(YEAR(CF!$AD$12:$BN$12)=CF!CH$12)*(array_timeline&lt;=CF!CH$11)))))</f>
        <v>#NAME?</v>
      </c>
      <c r="CI62" s="1314"/>
      <c r="CJ62" s="1461" cm="1">
        <f t="array" ca="1" aca="1" ref="CJ62">_xlfn.LET(_xlpm.CheckBlank,SUM(CF!$AD62:$BN62)=0,IF(_xlpm.CheckBlank,"",SUM(_xlfn.TAKE(_xlfn.DROP(CF!$AD62:$BN62,,-DATEDIFF(CF!CJ$11,val_asOfDate,"M")),1,-12))))</f>
        <v>0</v>
      </c>
      <c r="CK62" s="1461" cm="1">
        <f t="array" ca="1" aca="1" ref="CK62">_xlfn.LET(_xlpm.CheckBlank,SUM(CF!$AD62:$BN62)=0,IF(_xlpm.CheckBlank,"",SUM(_xlfn.TAKE(_xlfn.DROP(CF!$AD62:$BN62,,-DATEDIFF(CF!CK$11,val_asOfDate,"M")),1,-12))))</f>
        <v>0</v>
      </c>
      <c r="CL62" s="1314"/>
      <c r="CM62" s="541" t="str">
        <f t="shared" ca="1" si="7"/>
        <v/>
      </c>
      <c r="CN62" s="541" t="str">
        <f t="shared" ca="1" si="7"/>
        <v/>
      </c>
      <c r="CO62" s="34"/>
      <c r="CW62" s="1883" t="str" cm="1">
        <f t="array" ca="1" aca="1" ref="CW62">IFERROR(IF(AD62*fxVal_normal=_CF!AD62,"",IF(OR(AD62="",NOT(ISNUMBER(AD62)),ISERROR(AD62),$B62=""),"",IF($I62=1,IFBLANK(_xldudf_CX_PUSH(AD62*fxVal_normal,CX_ENTITY,$B62,AD$11,AD$14,AD$44,),""),IF($I62=2,IFBLANK(_xldudf_CX_PUSH(AD62,CX_ENTITY,$B62,AD$11,AD$14,AD$44,),""),IF($I62=3,"",IFBLANK(_xldudf_CX_PUSH(AD62,CX_ENTITY,$B62,AD$11,AD$14,AD$44,),"")))))),"")</f>
        <v/>
      </c>
      <c r="CX62" s="1883" t="str" cm="1">
        <f t="array" ca="1" aca="1" ref="CX62">IFERROR(IF(AE62*fxVal_normal=_CF!AE62,"",IF(OR(AE62="",NOT(ISNUMBER(AE62)),ISERROR(AE62),$B62=""),"",IF($I62=1,IFBLANK(_xldudf_CX_PUSH(AE62*fxVal_normal,CX_ENTITY,$B62,AE$11,AE$14,AE$44,),""),IF($I62=2,IFBLANK(_xldudf_CX_PUSH(AE62,CX_ENTITY,$B62,AE$11,AE$14,AE$44,),""),IF($I62=3,"",IFBLANK(_xldudf_CX_PUSH(AE62,CX_ENTITY,$B62,AE$11,AE$14,AE$44,),"")))))),"")</f>
        <v/>
      </c>
      <c r="CY62" s="1883" t="str" cm="1">
        <f t="array" ca="1" aca="1" ref="CY62">IFERROR(IF(AF62*fxVal_normal=_CF!AF62,"",IF(OR(AF62="",NOT(ISNUMBER(AF62)),ISERROR(AF62),$B62=""),"",IF($I62=1,IFBLANK(_xldudf_CX_PUSH(AF62*fxVal_normal,CX_ENTITY,$B62,AF$11,AF$14,AF$44,),""),IF($I62=2,IFBLANK(_xldudf_CX_PUSH(AF62,CX_ENTITY,$B62,AF$11,AF$14,AF$44,),""),IF($I62=3,"",IFBLANK(_xldudf_CX_PUSH(AF62,CX_ENTITY,$B62,AF$11,AF$14,AF$44,),"")))))),"")</f>
        <v/>
      </c>
      <c r="CZ62" s="1883" t="str" cm="1">
        <f t="array" ca="1" aca="1" ref="CZ62">IFERROR(IF(AG62*fxVal_normal=_CF!AG62,"",IF(OR(AG62="",NOT(ISNUMBER(AG62)),ISERROR(AG62),$B62=""),"",IF($I62=1,IFBLANK(_xldudf_CX_PUSH(AG62*fxVal_normal,CX_ENTITY,$B62,AG$11,AG$14,AG$44,),""),IF($I62=2,IFBLANK(_xldudf_CX_PUSH(AG62,CX_ENTITY,$B62,AG$11,AG$14,AG$44,),""),IF($I62=3,"",IFBLANK(_xldudf_CX_PUSH(AG62,CX_ENTITY,$B62,AG$11,AG$14,AG$44,),"")))))),"")</f>
        <v/>
      </c>
      <c r="DA62" s="1883" t="str" cm="1">
        <f t="array" ca="1" aca="1" ref="DA62">IFERROR(IF(AH62*fxVal_normal=_CF!AH62,"",IF(OR(AH62="",NOT(ISNUMBER(AH62)),ISERROR(AH62),$B62=""),"",IF($I62=1,IFBLANK(_xldudf_CX_PUSH(AH62*fxVal_normal,CX_ENTITY,$B62,AH$11,AH$14,AH$44,),""),IF($I62=2,IFBLANK(_xldudf_CX_PUSH(AH62,CX_ENTITY,$B62,AH$11,AH$14,AH$44,),""),IF($I62=3,"",IFBLANK(_xldudf_CX_PUSH(AH62,CX_ENTITY,$B62,AH$11,AH$14,AH$44,),"")))))),"")</f>
        <v/>
      </c>
      <c r="DB62" s="1883" t="str" cm="1">
        <f t="array" ca="1" aca="1" ref="DB62">IFERROR(IF(AI62*fxVal_normal=_CF!AI62,"",IF(OR(AI62="",NOT(ISNUMBER(AI62)),ISERROR(AI62),$B62=""),"",IF($I62=1,IFBLANK(_xldudf_CX_PUSH(AI62*fxVal_normal,CX_ENTITY,$B62,AI$11,AI$14,AI$44,),""),IF($I62=2,IFBLANK(_xldudf_CX_PUSH(AI62,CX_ENTITY,$B62,AI$11,AI$14,AI$44,),""),IF($I62=3,"",IFBLANK(_xldudf_CX_PUSH(AI62,CX_ENTITY,$B62,AI$11,AI$14,AI$44,),"")))))),"")</f>
        <v/>
      </c>
      <c r="DC62" s="1883" t="str" cm="1">
        <f t="array" ca="1" aca="1" ref="DC62">IFERROR(IF(AJ62*fxVal_normal=_CF!AJ62,"",IF(OR(AJ62="",NOT(ISNUMBER(AJ62)),ISERROR(AJ62),$B62=""),"",IF($I62=1,IFBLANK(_xldudf_CX_PUSH(AJ62*fxVal_normal,CX_ENTITY,$B62,AJ$11,AJ$14,AJ$44,),""),IF($I62=2,IFBLANK(_xldudf_CX_PUSH(AJ62,CX_ENTITY,$B62,AJ$11,AJ$14,AJ$44,),""),IF($I62=3,"",IFBLANK(_xldudf_CX_PUSH(AJ62,CX_ENTITY,$B62,AJ$11,AJ$14,AJ$44,),"")))))),"")</f>
        <v/>
      </c>
      <c r="DD62" s="1883" t="str" cm="1">
        <f t="array" ca="1" aca="1" ref="DD62">IFERROR(IF(AK62*fxVal_normal=_CF!AK62,"",IF(OR(AK62="",NOT(ISNUMBER(AK62)),ISERROR(AK62),$B62=""),"",IF($I62=1,IFBLANK(_xldudf_CX_PUSH(AK62*fxVal_normal,CX_ENTITY,$B62,AK$11,AK$14,AK$44,),""),IF($I62=2,IFBLANK(_xldudf_CX_PUSH(AK62,CX_ENTITY,$B62,AK$11,AK$14,AK$44,),""),IF($I62=3,"",IFBLANK(_xldudf_CX_PUSH(AK62,CX_ENTITY,$B62,AK$11,AK$14,AK$44,),"")))))),"")</f>
        <v/>
      </c>
      <c r="DE62" s="1883" t="str" cm="1">
        <f t="array" ca="1" aca="1" ref="DE62">IFERROR(IF(AL62*fxVal_normal=_CF!AL62,"",IF(OR(AL62="",NOT(ISNUMBER(AL62)),ISERROR(AL62),$B62=""),"",IF($I62=1,IFBLANK(_xldudf_CX_PUSH(AL62*fxVal_normal,CX_ENTITY,$B62,AL$11,AL$14,AL$44,),""),IF($I62=2,IFBLANK(_xldudf_CX_PUSH(AL62,CX_ENTITY,$B62,AL$11,AL$14,AL$44,),""),IF($I62=3,"",IFBLANK(_xldudf_CX_PUSH(AL62,CX_ENTITY,$B62,AL$11,AL$14,AL$44,),"")))))),"")</f>
        <v/>
      </c>
      <c r="DF62" s="1883" t="str" cm="1">
        <f t="array" ca="1" aca="1" ref="DF62">IFERROR(IF(AM62*fxVal_normal=_CF!AM62,"",IF(OR(AM62="",NOT(ISNUMBER(AM62)),ISERROR(AM62),$B62=""),"",IF($I62=1,IFBLANK(_xldudf_CX_PUSH(AM62*fxVal_normal,CX_ENTITY,$B62,AM$11,AM$14,AM$44,),""),IF($I62=2,IFBLANK(_xldudf_CX_PUSH(AM62,CX_ENTITY,$B62,AM$11,AM$14,AM$44,),""),IF($I62=3,"",IFBLANK(_xldudf_CX_PUSH(AM62,CX_ENTITY,$B62,AM$11,AM$14,AM$44,),"")))))),"")</f>
        <v/>
      </c>
      <c r="DG62" s="1883" t="str" cm="1">
        <f t="array" ca="1" aca="1" ref="DG62">IFERROR(IF(AN62*fxVal_normal=_CF!AN62,"",IF(OR(AN62="",NOT(ISNUMBER(AN62)),ISERROR(AN62),$B62=""),"",IF($I62=1,IFBLANK(_xldudf_CX_PUSH(AN62*fxVal_normal,CX_ENTITY,$B62,AN$11,AN$14,AN$44,),""),IF($I62=2,IFBLANK(_xldudf_CX_PUSH(AN62,CX_ENTITY,$B62,AN$11,AN$14,AN$44,),""),IF($I62=3,"",IFBLANK(_xldudf_CX_PUSH(AN62,CX_ENTITY,$B62,AN$11,AN$14,AN$44,),"")))))),"")</f>
        <v/>
      </c>
      <c r="DH62" s="1883" t="str" cm="1">
        <f t="array" ca="1" aca="1" ref="DH62">IFERROR(IF(AO62*fxVal_normal=_CF!AO62,"",IF(OR(AO62="",NOT(ISNUMBER(AO62)),ISERROR(AO62),$B62=""),"",IF($I62=1,IFBLANK(_xldudf_CX_PUSH(AO62*fxVal_normal,CX_ENTITY,$B62,AO$11,AO$14,AO$44,),""),IF($I62=2,IFBLANK(_xldudf_CX_PUSH(AO62,CX_ENTITY,$B62,AO$11,AO$14,AO$44,),""),IF($I62=3,"",IFBLANK(_xldudf_CX_PUSH(AO62,CX_ENTITY,$B62,AO$11,AO$14,AO$44,),"")))))),"")</f>
        <v/>
      </c>
      <c r="DI62" s="1883" t="str" cm="1">
        <f t="array" ca="1" aca="1" ref="DI62">IFERROR(IF(AP62*fxVal_normal=_CF!AP62,"",IF(OR(AP62="",NOT(ISNUMBER(AP62)),ISERROR(AP62),$B62=""),"",IF($I62=1,IFBLANK(_xldudf_CX_PUSH(AP62*fxVal_normal,CX_ENTITY,$B62,AP$11,AP$14,AP$44,),""),IF($I62=2,IFBLANK(_xldudf_CX_PUSH(AP62,CX_ENTITY,$B62,AP$11,AP$14,AP$44,),""),IF($I62=3,"",IFBLANK(_xldudf_CX_PUSH(AP62,CX_ENTITY,$B62,AP$11,AP$14,AP$44,),"")))))),"")</f>
        <v/>
      </c>
      <c r="DJ62" s="1883" t="str" cm="1">
        <f t="array" ca="1" aca="1" ref="DJ62">IFERROR(IF(AQ62*fxVal_normal=_CF!AQ62,"",IF(OR(AQ62="",NOT(ISNUMBER(AQ62)),ISERROR(AQ62),$B62=""),"",IF($I62=1,IFBLANK(_xldudf_CX_PUSH(AQ62*fxVal_normal,CX_ENTITY,$B62,AQ$11,AQ$14,AQ$44,),""),IF($I62=2,IFBLANK(_xldudf_CX_PUSH(AQ62,CX_ENTITY,$B62,AQ$11,AQ$14,AQ$44,),""),IF($I62=3,"",IFBLANK(_xldudf_CX_PUSH(AQ62,CX_ENTITY,$B62,AQ$11,AQ$14,AQ$44,),"")))))),"")</f>
        <v/>
      </c>
      <c r="DK62" s="1883" t="str" cm="1">
        <f t="array" ca="1" aca="1" ref="DK62">IFERROR(IF(AR62*fxVal_normal=_CF!AR62,"",IF(OR(AR62="",NOT(ISNUMBER(AR62)),ISERROR(AR62),$B62=""),"",IF($I62=1,IFBLANK(_xldudf_CX_PUSH(AR62*fxVal_normal,CX_ENTITY,$B62,AR$11,AR$14,AR$44,),""),IF($I62=2,IFBLANK(_xldudf_CX_PUSH(AR62,CX_ENTITY,$B62,AR$11,AR$14,AR$44,),""),IF($I62=3,"",IFBLANK(_xldudf_CX_PUSH(AR62,CX_ENTITY,$B62,AR$11,AR$14,AR$44,),"")))))),"")</f>
        <v/>
      </c>
      <c r="DL62" s="1883" t="str" cm="1">
        <f t="array" ca="1" aca="1" ref="DL62">IFERROR(IF(AS62*fxVal_normal=_CF!AS62,"",IF(OR(AS62="",NOT(ISNUMBER(AS62)),ISERROR(AS62),$B62=""),"",IF($I62=1,IFBLANK(_xldudf_CX_PUSH(AS62*fxVal_normal,CX_ENTITY,$B62,AS$11,AS$14,AS$44,),""),IF($I62=2,IFBLANK(_xldudf_CX_PUSH(AS62,CX_ENTITY,$B62,AS$11,AS$14,AS$44,),""),IF($I62=3,"",IFBLANK(_xldudf_CX_PUSH(AS62,CX_ENTITY,$B62,AS$11,AS$14,AS$44,),"")))))),"")</f>
        <v/>
      </c>
      <c r="DM62" s="1883" t="str" cm="1">
        <f t="array" ca="1" aca="1" ref="DM62">IFERROR(IF(AT62*fxVal_normal=_CF!AT62,"",IF(OR(AT62="",NOT(ISNUMBER(AT62)),ISERROR(AT62),$B62=""),"",IF($I62=1,IFBLANK(_xldudf_CX_PUSH(AT62*fxVal_normal,CX_ENTITY,$B62,AT$11,AT$14,AT$44,),""),IF($I62=2,IFBLANK(_xldudf_CX_PUSH(AT62,CX_ENTITY,$B62,AT$11,AT$14,AT$44,),""),IF($I62=3,"",IFBLANK(_xldudf_CX_PUSH(AT62,CX_ENTITY,$B62,AT$11,AT$14,AT$44,),"")))))),"")</f>
        <v/>
      </c>
      <c r="DN62" s="1883" t="str" cm="1">
        <f t="array" ca="1" aca="1" ref="DN62">IFERROR(IF(AU62*fxVal_normal=_CF!AU62,"",IF(OR(AU62="",NOT(ISNUMBER(AU62)),ISERROR(AU62),$B62=""),"",IF($I62=1,IFBLANK(_xldudf_CX_PUSH(AU62*fxVal_normal,CX_ENTITY,$B62,AU$11,AU$14,AU$44,),""),IF($I62=2,IFBLANK(_xldudf_CX_PUSH(AU62,CX_ENTITY,$B62,AU$11,AU$14,AU$44,),""),IF($I62=3,"",IFBLANK(_xldudf_CX_PUSH(AU62,CX_ENTITY,$B62,AU$11,AU$14,AU$44,),"")))))),"")</f>
        <v/>
      </c>
      <c r="DO62" s="1883" t="str" cm="1">
        <f t="array" ca="1" aca="1" ref="DO62">IFERROR(IF(AV62*fxVal_normal=_CF!AV62,"",IF(OR(AV62="",NOT(ISNUMBER(AV62)),ISERROR(AV62),$B62=""),"",IF($I62=1,IFBLANK(_xldudf_CX_PUSH(AV62*fxVal_normal,CX_ENTITY,$B62,AV$11,AV$14,AV$44,),""),IF($I62=2,IFBLANK(_xldudf_CX_PUSH(AV62,CX_ENTITY,$B62,AV$11,AV$14,AV$44,),""),IF($I62=3,"",IFBLANK(_xldudf_CX_PUSH(AV62,CX_ENTITY,$B62,AV$11,AV$14,AV$44,),"")))))),"")</f>
        <v/>
      </c>
      <c r="DP62" s="1883" t="str" cm="1">
        <f t="array" ca="1" aca="1" ref="DP62">IFERROR(IF(AW62*fxVal_normal=_CF!AW62,"",IF(OR(AW62="",NOT(ISNUMBER(AW62)),ISERROR(AW62),$B62=""),"",IF($I62=1,IFBLANK(_xldudf_CX_PUSH(AW62*fxVal_normal,CX_ENTITY,$B62,AW$11,AW$14,AW$44,),""),IF($I62=2,IFBLANK(_xldudf_CX_PUSH(AW62,CX_ENTITY,$B62,AW$11,AW$14,AW$44,),""),IF($I62=3,"",IFBLANK(_xldudf_CX_PUSH(AW62,CX_ENTITY,$B62,AW$11,AW$14,AW$44,),"")))))),"")</f>
        <v/>
      </c>
      <c r="DQ62" s="1883" t="str" cm="1">
        <f t="array" ca="1" aca="1" ref="DQ62">IFERROR(IF(AX62*fxVal_normal=_CF!AX62,"",IF(OR(AX62="",NOT(ISNUMBER(AX62)),ISERROR(AX62),$B62=""),"",IF($I62=1,IFBLANK(_xldudf_CX_PUSH(AX62*fxVal_normal,CX_ENTITY,$B62,AX$11,AX$14,AX$44,),""),IF($I62=2,IFBLANK(_xldudf_CX_PUSH(AX62,CX_ENTITY,$B62,AX$11,AX$14,AX$44,),""),IF($I62=3,"",IFBLANK(_xldudf_CX_PUSH(AX62,CX_ENTITY,$B62,AX$11,AX$14,AX$44,),"")))))),"")</f>
        <v/>
      </c>
      <c r="DR62" s="1883" t="str" cm="1">
        <f t="array" ca="1" aca="1" ref="DR62">IFERROR(IF(AY62*fxVal_normal=_CF!AY62,"",IF(OR(AY62="",NOT(ISNUMBER(AY62)),ISERROR(AY62),$B62=""),"",IF($I62=1,IFBLANK(_xldudf_CX_PUSH(AY62*fxVal_normal,CX_ENTITY,$B62,AY$11,AY$14,AY$44,),""),IF($I62=2,IFBLANK(_xldudf_CX_PUSH(AY62,CX_ENTITY,$B62,AY$11,AY$14,AY$44,),""),IF($I62=3,"",IFBLANK(_xldudf_CX_PUSH(AY62,CX_ENTITY,$B62,AY$11,AY$14,AY$44,),"")))))),"")</f>
        <v/>
      </c>
      <c r="DS62" s="1883" t="str" cm="1">
        <f t="array" ca="1" aca="1" ref="DS62">IFERROR(IF(AZ62*fxVal_normal=_CF!AZ62,"",IF(OR(AZ62="",NOT(ISNUMBER(AZ62)),ISERROR(AZ62),$B62=""),"",IF($I62=1,IFBLANK(_xldudf_CX_PUSH(AZ62*fxVal_normal,CX_ENTITY,$B62,AZ$11,AZ$14,AZ$44,),""),IF($I62=2,IFBLANK(_xldudf_CX_PUSH(AZ62,CX_ENTITY,$B62,AZ$11,AZ$14,AZ$44,),""),IF($I62=3,"",IFBLANK(_xldudf_CX_PUSH(AZ62,CX_ENTITY,$B62,AZ$11,AZ$14,AZ$44,),"")))))),"")</f>
        <v/>
      </c>
      <c r="DT62" s="1883" t="str" cm="1">
        <f t="array" ca="1" aca="1" ref="DT62">IFERROR(IF(BA62*fxVal_normal=_CF!BA62,"",IF(OR(BA62="",NOT(ISNUMBER(BA62)),ISERROR(BA62),$B62=""),"",IF($I62=1,IFBLANK(_xldudf_CX_PUSH(BA62*fxVal_normal,CX_ENTITY,$B62,BA$11,BA$14,BA$44,),""),IF($I62=2,IFBLANK(_xldudf_CX_PUSH(BA62,CX_ENTITY,$B62,BA$11,BA$14,BA$44,),""),IF($I62=3,"",IFBLANK(_xldudf_CX_PUSH(BA62,CX_ENTITY,$B62,BA$11,BA$14,BA$44,),"")))))),"")</f>
        <v/>
      </c>
      <c r="DU62" s="1883" t="str" cm="1">
        <f t="array" ca="1" aca="1" ref="DU62">IFERROR(IF(BB62*fxVal_normal=_CF!BB62,"",IF(OR(BB62="",NOT(ISNUMBER(BB62)),ISERROR(BB62),$B62=""),"",IF($I62=1,IFBLANK(_xldudf_CX_PUSH(BB62*fxVal_normal,CX_ENTITY,$B62,BB$11,BB$14,BB$44,),""),IF($I62=2,IFBLANK(_xldudf_CX_PUSH(BB62,CX_ENTITY,$B62,BB$11,BB$14,BB$44,),""),IF($I62=3,"",IFBLANK(_xldudf_CX_PUSH(BB62,CX_ENTITY,$B62,BB$11,BB$14,BB$44,),"")))))),"")</f>
        <v/>
      </c>
      <c r="DV62" s="1883" t="str" cm="1">
        <f t="array" ca="1" aca="1" ref="DV62">IFERROR(IF(BC62*fxVal_normal=_CF!BC62,"",IF(OR(BC62="",NOT(ISNUMBER(BC62)),ISERROR(BC62),$B62=""),"",IF($I62=1,IFBLANK(_xldudf_CX_PUSH(BC62*fxVal_normal,CX_ENTITY,$B62,BC$11,BC$14,BC$44,),""),IF($I62=2,IFBLANK(_xldudf_CX_PUSH(BC62,CX_ENTITY,$B62,BC$11,BC$14,BC$44,),""),IF($I62=3,"",IFBLANK(_xldudf_CX_PUSH(BC62,CX_ENTITY,$B62,BC$11,BC$14,BC$44,),"")))))),"")</f>
        <v/>
      </c>
      <c r="DW62" s="1883" t="str" cm="1">
        <f t="array" ca="1" aca="1" ref="DW62">IFERROR(IF(BD62*fxVal_normal=_CF!BD62,"",IF(OR(BD62="",NOT(ISNUMBER(BD62)),ISERROR(BD62),$B62=""),"",IF($I62=1,IFBLANK(_xldudf_CX_PUSH(BD62*fxVal_normal,CX_ENTITY,$B62,BD$11,BD$14,BD$44,),""),IF($I62=2,IFBLANK(_xldudf_CX_PUSH(BD62,CX_ENTITY,$B62,BD$11,BD$14,BD$44,),""),IF($I62=3,"",IFBLANK(_xldudf_CX_PUSH(BD62,CX_ENTITY,$B62,BD$11,BD$14,BD$44,),"")))))),"")</f>
        <v/>
      </c>
      <c r="DX62" s="1883" t="str" cm="1">
        <f t="array" ca="1" aca="1" ref="DX62">IFERROR(IF(BE62*fxVal_normal=_CF!BE62,"",IF(OR(BE62="",NOT(ISNUMBER(BE62)),ISERROR(BE62),$B62=""),"",IF($I62=1,IFBLANK(_xldudf_CX_PUSH(BE62*fxVal_normal,CX_ENTITY,$B62,BE$11,BE$14,BE$44,),""),IF($I62=2,IFBLANK(_xldudf_CX_PUSH(BE62,CX_ENTITY,$B62,BE$11,BE$14,BE$44,),""),IF($I62=3,"",IFBLANK(_xldudf_CX_PUSH(BE62,CX_ENTITY,$B62,BE$11,BE$14,BE$44,),"")))))),"")</f>
        <v/>
      </c>
      <c r="DY62" s="1883" t="str" cm="1">
        <f t="array" ca="1" aca="1" ref="DY62">IFERROR(IF(BF62*fxVal_normal=_CF!BF62,"",IF(OR(BF62="",NOT(ISNUMBER(BF62)),ISERROR(BF62),$B62=""),"",IF($I62=1,IFBLANK(_xldudf_CX_PUSH(BF62*fxVal_normal,CX_ENTITY,$B62,BF$11,BF$14,BF$44,),""),IF($I62=2,IFBLANK(_xldudf_CX_PUSH(BF62,CX_ENTITY,$B62,BF$11,BF$14,BF$44,),""),IF($I62=3,"",IFBLANK(_xldudf_CX_PUSH(BF62,CX_ENTITY,$B62,BF$11,BF$14,BF$44,),"")))))),"")</f>
        <v/>
      </c>
      <c r="DZ62" s="1883" t="str" cm="1">
        <f t="array" ca="1" aca="1" ref="DZ62">IFERROR(IF(BG62*fxVal_normal=_CF!BG62,"",IF(OR(BG62="",NOT(ISNUMBER(BG62)),ISERROR(BG62),$B62=""),"",IF($I62=1,IFBLANK(_xldudf_CX_PUSH(BG62*fxVal_normal,CX_ENTITY,$B62,BG$11,BG$14,BG$44,),""),IF($I62=2,IFBLANK(_xldudf_CX_PUSH(BG62,CX_ENTITY,$B62,BG$11,BG$14,BG$44,),""),IF($I62=3,"",IFBLANK(_xldudf_CX_PUSH(BG62,CX_ENTITY,$B62,BG$11,BG$14,BG$44,),"")))))),"")</f>
        <v/>
      </c>
      <c r="EA62" s="1883" t="str" cm="1">
        <f t="array" ca="1" aca="1" ref="EA62">IFERROR(IF(BH62*fxVal_normal=_CF!BH62,"",IF(OR(BH62="",NOT(ISNUMBER(BH62)),ISERROR(BH62),$B62=""),"",IF($I62=1,IFBLANK(_xldudf_CX_PUSH(BH62*fxVal_normal,CX_ENTITY,$B62,BH$11,BH$14,BH$44,),""),IF($I62=2,IFBLANK(_xldudf_CX_PUSH(BH62,CX_ENTITY,$B62,BH$11,BH$14,BH$44,),""),IF($I62=3,"",IFBLANK(_xldudf_CX_PUSH(BH62,CX_ENTITY,$B62,BH$11,BH$14,BH$44,),"")))))),"")</f>
        <v/>
      </c>
      <c r="EB62" s="1883" t="str" cm="1">
        <f t="array" ca="1" aca="1" ref="EB62">IFERROR(IF(BI62*fxVal_normal=_CF!BI62,"",IF(OR(BI62="",NOT(ISNUMBER(BI62)),ISERROR(BI62),$B62=""),"",IF($I62=1,IFBLANK(_xldudf_CX_PUSH(BI62*fxVal_normal,CX_ENTITY,$B62,BI$11,BI$14,BI$44,),""),IF($I62=2,IFBLANK(_xldudf_CX_PUSH(BI62,CX_ENTITY,$B62,BI$11,BI$14,BI$44,),""),IF($I62=3,"",IFBLANK(_xldudf_CX_PUSH(BI62,CX_ENTITY,$B62,BI$11,BI$14,BI$44,),"")))))),"")</f>
        <v/>
      </c>
      <c r="EC62" s="1883" t="str" cm="1">
        <f t="array" ca="1" aca="1" ref="EC62">IFERROR(IF(BJ62*fxVal_normal=_CF!BJ62,"",IF(OR(BJ62="",NOT(ISNUMBER(BJ62)),ISERROR(BJ62),$B62=""),"",IF($I62=1,IFBLANK(_xldudf_CX_PUSH(BJ62*fxVal_normal,CX_ENTITY,$B62,BJ$11,BJ$14,BJ$44,),""),IF($I62=2,IFBLANK(_xldudf_CX_PUSH(BJ62,CX_ENTITY,$B62,BJ$11,BJ$14,BJ$44,),""),IF($I62=3,"",IFBLANK(_xldudf_CX_PUSH(BJ62,CX_ENTITY,$B62,BJ$11,BJ$14,BJ$44,),"")))))),"")</f>
        <v/>
      </c>
      <c r="ED62" s="1883" t="str" cm="1">
        <f t="array" ca="1" aca="1" ref="ED62">IFERROR(IF(BK62*fxVal_normal=_CF!BK62,"",IF(OR(BK62="",NOT(ISNUMBER(BK62)),ISERROR(BK62),$B62=""),"",IF($I62=1,IFBLANK(_xldudf_CX_PUSH(BK62*fxVal_normal,CX_ENTITY,$B62,BK$11,BK$14,BK$44,),""),IF($I62=2,IFBLANK(_xldudf_CX_PUSH(BK62,CX_ENTITY,$B62,BK$11,BK$14,BK$44,),""),IF($I62=3,"",IFBLANK(_xldudf_CX_PUSH(BK62,CX_ENTITY,$B62,BK$11,BK$14,BK$44,),"")))))),"")</f>
        <v/>
      </c>
      <c r="EE62" s="1883" t="str" cm="1">
        <f t="array" ca="1" aca="1" ref="EE62">IFERROR(IF(BL62*fxVal_normal=_CF!BL62,"",IF(OR(BL62="",NOT(ISNUMBER(BL62)),ISERROR(BL62),$B62=""),"",IF($I62=1,IFBLANK(_xldudf_CX_PUSH(BL62*fxVal_normal,CX_ENTITY,$B62,BL$11,BL$14,BL$44,),""),IF($I62=2,IFBLANK(_xldudf_CX_PUSH(BL62,CX_ENTITY,$B62,BL$11,BL$14,BL$44,),""),IF($I62=3,"",IFBLANK(_xldudf_CX_PUSH(BL62,CX_ENTITY,$B62,BL$11,BL$14,BL$44,),"")))))),"")</f>
        <v/>
      </c>
      <c r="EF62" s="1883" t="str" cm="1">
        <f t="array" ca="1" aca="1" ref="EF62">IFERROR(IF(BM62*fxVal_normal=_CF!BM62,"",IF(OR(BM62="",NOT(ISNUMBER(BM62)),ISERROR(BM62),$B62=""),"",IF($I62=1,IFBLANK(_xldudf_CX_PUSH(BM62*fxVal_normal,CX_ENTITY,$B62,BM$11,BM$14,BM$44,),""),IF($I62=2,IFBLANK(_xldudf_CX_PUSH(BM62,CX_ENTITY,$B62,BM$11,BM$14,BM$44,),""),IF($I62=3,"",IFBLANK(_xldudf_CX_PUSH(BM62,CX_ENTITY,$B62,BM$11,BM$14,BM$44,),"")))))),"")</f>
        <v/>
      </c>
      <c r="EG62" s="1883" t="str" cm="1">
        <f t="array" ca="1" aca="1" ref="EG62">IFERROR(IF(BN62*fxVal_normal=_CF!BN62,"",IF(OR(BN62="",NOT(ISNUMBER(BN62)),ISERROR(BN62),$B62=""),"",IF($I62=1,IFBLANK(_xldudf_CX_PUSH(BN62*fxVal_normal,CX_ENTITY,$B62,BN$11,BN$14,BN$44,),""),IF($I62=2,IFBLANK(_xldudf_CX_PUSH(BN62,CX_ENTITY,$B62,BN$11,BN$14,BN$44,),""),IF($I62=3,"",IFBLANK(_xldudf_CX_PUSH(BN62,CX_ENTITY,$B62,BN$11,BN$14,BN$44,),"")))))),"")</f>
        <v/>
      </c>
    </row>
    <row r="63" spans="1:93" ht="15.5">
      <c r="A63" s="1626"/>
      <c r="B63" s="811"/>
      <c r="C63" s="811"/>
      <c r="D63" s="1549"/>
      <c r="E63" s="574"/>
      <c r="F63" s="574"/>
      <c r="G63" s="574"/>
      <c r="H63" s="401"/>
      <c r="I63" s="401"/>
      <c r="J63" s="401"/>
      <c r="K63" s="401"/>
      <c r="N63" s="158"/>
      <c r="O63" s="101"/>
      <c r="P63" s="52"/>
      <c r="Q63" s="101"/>
      <c r="R63" s="126"/>
      <c r="S63" s="153"/>
      <c r="T63" s="153"/>
      <c r="U63" s="39"/>
      <c r="W63" s="945"/>
      <c r="X63" s="946"/>
      <c r="Y63" s="946"/>
      <c r="Z63" s="946"/>
      <c r="AA63" s="946"/>
      <c r="AB63" s="946"/>
      <c r="AC63" s="946"/>
      <c r="AD63" s="946"/>
      <c r="AE63" s="946"/>
      <c r="AF63" s="946"/>
      <c r="AG63" s="946"/>
      <c r="AH63" s="946"/>
      <c r="AI63" s="946"/>
      <c r="AJ63" s="946"/>
      <c r="AK63" s="946"/>
      <c r="AL63" s="946"/>
      <c r="AM63" s="946"/>
      <c r="AN63" s="946"/>
      <c r="AO63" s="946"/>
      <c r="AP63" s="946"/>
      <c r="AQ63" s="946"/>
      <c r="AR63" s="946"/>
      <c r="AS63" s="946"/>
      <c r="AT63" s="946"/>
      <c r="AU63" s="946"/>
      <c r="AV63" s="946"/>
      <c r="AW63" s="946"/>
      <c r="AX63" s="946"/>
      <c r="AY63" s="946"/>
      <c r="AZ63" s="946"/>
      <c r="BA63" s="946"/>
      <c r="BB63" s="946"/>
      <c r="BC63" s="946"/>
      <c r="BD63" s="946"/>
      <c r="BE63" s="946"/>
      <c r="BF63" s="946"/>
      <c r="BG63" s="946"/>
      <c r="BH63" s="946"/>
      <c r="BI63" s="946"/>
      <c r="BJ63" s="946"/>
      <c r="BK63" s="946"/>
      <c r="BL63" s="946"/>
      <c r="BM63" s="946"/>
      <c r="BN63" s="947"/>
      <c r="BO63" s="947"/>
      <c r="BP63" s="947"/>
      <c r="BQ63" s="947"/>
      <c r="BR63" s="947"/>
      <c r="BS63" s="947"/>
      <c r="BT63" s="947"/>
      <c r="BU63" s="947"/>
      <c r="BV63" s="947"/>
      <c r="BW63" s="947"/>
      <c r="BX63" s="947"/>
      <c r="BY63" s="947"/>
      <c r="BZ63" s="947"/>
      <c r="CA63" s="948"/>
      <c r="CC63" s="949"/>
      <c r="CD63" s="947"/>
      <c r="CE63" s="947"/>
      <c r="CF63" s="947"/>
      <c r="CG63" s="947"/>
      <c r="CH63" s="947"/>
      <c r="CI63" s="947"/>
      <c r="CJ63" s="947"/>
      <c r="CK63" s="947"/>
      <c r="CL63" s="13"/>
      <c r="CM63" s="13"/>
      <c r="CN63" s="13"/>
      <c r="CO63" s="41"/>
    </row>
    <row r="64" spans="1:26" ht="15.5">
      <c r="A64"/>
      <c r="B64"/>
      <c r="C64"/>
      <c r="D64"/>
      <c r="E64"/>
      <c r="F64"/>
      <c r="G64"/>
      <c r="H64"/>
      <c r="I64"/>
      <c r="J64"/>
      <c r="K64"/>
      <c r="Z64"/>
    </row>
    <row r="65" s="0" customFormat="1" ht="15.5"/>
    <row r="66" s="0" customFormat="1" ht="15.5"/>
    <row r="67" s="0" customFormat="1" ht="15.5"/>
    <row r="68" s="0" customFormat="1" ht="15.5"/>
    <row r="69" s="0" customFormat="1" ht="15.5"/>
    <row r="70" s="0" customFormat="1" ht="15.5"/>
    <row r="71" s="0" customFormat="1" ht="15.5"/>
    <row r="72" s="0" customFormat="1" ht="15.5"/>
    <row r="73" s="0" customFormat="1" ht="15.5"/>
    <row r="74" s="0" customFormat="1" ht="15.5"/>
    <row r="75" s="0" customFormat="1" ht="15.5"/>
    <row r="76" s="0" customFormat="1" ht="15.5"/>
    <row r="77" s="0" customFormat="1" ht="15.5"/>
    <row r="78" s="0" customFormat="1" ht="15.5"/>
    <row r="79" s="0" customFormat="1" ht="15.5"/>
    <row r="80" s="0" customFormat="1" ht="15.5"/>
    <row r="81" s="0" customFormat="1" ht="15.5"/>
    <row r="82" s="0" customFormat="1" ht="15.5"/>
    <row r="83" s="0" customFormat="1" ht="15.5"/>
    <row r="84" s="0" customFormat="1" ht="15.5"/>
    <row r="85" s="0" customFormat="1" ht="15.5"/>
    <row r="86" s="0" customFormat="1" ht="15.5"/>
    <row r="87" s="0" customFormat="1" ht="15.5"/>
    <row r="88" s="0" customFormat="1" ht="15.5"/>
    <row r="89" s="0" customFormat="1" ht="15.5"/>
    <row r="90" s="0" customFormat="1" ht="15.5"/>
    <row r="91" s="0" customFormat="1" ht="15.5"/>
    <row r="92" s="0" customFormat="1" ht="15.5"/>
    <row r="93" s="0" customFormat="1" ht="15.5"/>
    <row r="94" s="0" customFormat="1" ht="15.5"/>
    <row r="95" s="0" customFormat="1" ht="15.5"/>
    <row r="96" s="0" customFormat="1" ht="15.5"/>
    <row r="97" s="0" customFormat="1" ht="15.5"/>
    <row r="98" s="0" customFormat="1" ht="15.5"/>
    <row r="99" s="0" customFormat="1" ht="15.5"/>
    <row r="100" s="0" customFormat="1" ht="15.5"/>
    <row r="101" s="0" customFormat="1" ht="15.5"/>
    <row r="102" s="0" customFormat="1" ht="15.5"/>
    <row r="103" s="0" customFormat="1" ht="15.5"/>
    <row r="104" s="0" customFormat="1" ht="15.5"/>
    <row r="105" s="0" customFormat="1" ht="15.5"/>
    <row r="106" s="0" customFormat="1" ht="15.5"/>
    <row r="107" s="0" customFormat="1" ht="15.5"/>
    <row r="108" s="0" customFormat="1" ht="15.5"/>
    <row r="109" s="0" customFormat="1" ht="15.5"/>
    <row r="110" s="0" customFormat="1" ht="15.5"/>
    <row r="111" s="0" customFormat="1" ht="15.5"/>
    <row r="112" s="0" customFormat="1" ht="15.5"/>
    <row r="113" s="0" customFormat="1" ht="15.5"/>
    <row r="114" s="0" customFormat="1" ht="15.5"/>
    <row r="115" s="0" customFormat="1" ht="15.5"/>
    <row r="116" s="0" customFormat="1" ht="15.5"/>
    <row r="117" s="0" customFormat="1" ht="15.5"/>
    <row r="118" s="0" customFormat="1" ht="15.5"/>
    <row r="119" s="0" customFormat="1" ht="15.5"/>
    <row r="120" s="0" customFormat="1" ht="15.5"/>
    <row r="121" s="0" customFormat="1" ht="15.5"/>
    <row r="122" s="0" customFormat="1" ht="15.5"/>
    <row r="123" s="0" customFormat="1" ht="15.5"/>
    <row r="124" s="0" customFormat="1" ht="15.5"/>
    <row r="125" s="0" customFormat="1" ht="15.5"/>
    <row r="126" s="0" customFormat="1" ht="15.5"/>
    <row r="127" s="0" customFormat="1" ht="15.5"/>
    <row r="128" s="0" customFormat="1" ht="15.5"/>
    <row r="129" s="0" customFormat="1" ht="15.5"/>
    <row r="130" s="0" customFormat="1" ht="15.5"/>
    <row r="131" s="0" customFormat="1" ht="15.5"/>
    <row r="132" s="0" customFormat="1" ht="15.5"/>
    <row r="133" s="0" customFormat="1" ht="15.5"/>
    <row r="134" s="0" customFormat="1" ht="15.5"/>
    <row r="135" s="0" customFormat="1" ht="15.5"/>
    <row r="136" s="0" customFormat="1" ht="15.5"/>
    <row r="137" s="0" customFormat="1" ht="15.5"/>
    <row r="138" s="0" customFormat="1" ht="15.5"/>
    <row r="139" s="0" customFormat="1" ht="15.5"/>
    <row r="140" s="0" customFormat="1" ht="15.5"/>
    <row r="141" s="0" customFormat="1" ht="15.5"/>
    <row r="142" s="0" customFormat="1" ht="15.5"/>
    <row r="143" s="0" customFormat="1" ht="15.5"/>
    <row r="144" s="0" customFormat="1" ht="15.5"/>
    <row r="145" s="0" customFormat="1" ht="15.5"/>
    <row r="146" s="0" customFormat="1" ht="15.5"/>
    <row r="147" s="0" customFormat="1" ht="15.5"/>
    <row r="148" s="0" customFormat="1" ht="15.5"/>
    <row r="149" s="0" customFormat="1" ht="15.5"/>
    <row r="150" s="0" customFormat="1" ht="15.5"/>
    <row r="151" s="0" customFormat="1" ht="15.5"/>
    <row r="152" s="0" customFormat="1" ht="15.5"/>
    <row r="153" s="0" customFormat="1" ht="15.5"/>
    <row r="154" s="0" customFormat="1" ht="15.5"/>
    <row r="155" s="0" customFormat="1" ht="15.5"/>
    <row r="156" s="0" customFormat="1" ht="15.5"/>
    <row r="157" s="0" customFormat="1" ht="15.5"/>
    <row r="158" s="0" customFormat="1" ht="15.5"/>
    <row r="159" s="0" customFormat="1" ht="15.5"/>
    <row r="160" s="0" customFormat="1" ht="15.5"/>
    <row r="161" s="0" customFormat="1" ht="15.5"/>
    <row r="162" s="0" customFormat="1" ht="15.5"/>
    <row r="163" s="0" customFormat="1" ht="15.5"/>
    <row r="164" s="0" customFormat="1" ht="15.5"/>
    <row r="165" s="0" customFormat="1" ht="15.5"/>
    <row r="166" s="0" customFormat="1" ht="15.5"/>
    <row r="167" s="0" customFormat="1" ht="15.5"/>
    <row r="168" s="0" customFormat="1" ht="15.5"/>
    <row r="169" s="0" customFormat="1" ht="15.5"/>
    <row r="170" s="0" customFormat="1" ht="15.5"/>
    <row r="171" s="0" customFormat="1" ht="15.5"/>
    <row r="172" s="0" customFormat="1" ht="15.5"/>
    <row r="173" s="0" customFormat="1" ht="15.5"/>
    <row r="174" s="0" customFormat="1" ht="15.5"/>
    <row r="175" s="0" customFormat="1" ht="15.5"/>
    <row r="176" s="0" customFormat="1" ht="15.5"/>
    <row r="177" s="0" customFormat="1" ht="15.5"/>
    <row r="178" s="0" customFormat="1" ht="15.5"/>
    <row r="179" s="0" customFormat="1" ht="15.5"/>
    <row r="180" s="0" customFormat="1" ht="15.5"/>
    <row r="181" s="0" customFormat="1" ht="15.5"/>
    <row r="182" s="0" customFormat="1" ht="15.5"/>
    <row r="183" s="0" customFormat="1" ht="15.5"/>
    <row r="184" s="0" customFormat="1" ht="15.5"/>
    <row r="185" s="0" customFormat="1" ht="15.5"/>
    <row r="186" s="0" customFormat="1" ht="15.5"/>
    <row r="187" s="0" customFormat="1" ht="15.5"/>
    <row r="188" s="0" customFormat="1" ht="15.5"/>
    <row r="189" s="0" customFormat="1" ht="15.5"/>
    <row r="190" s="0" customFormat="1" ht="15.5"/>
    <row r="191" s="0" customFormat="1" ht="15.5"/>
    <row r="192" s="0" customFormat="1" ht="15.5"/>
    <row r="193" s="0" customFormat="1" ht="15.5"/>
    <row r="194" s="0" customFormat="1" ht="15.5"/>
    <row r="195" s="0" customFormat="1" ht="15.5"/>
    <row r="196" s="0" customFormat="1" ht="15.5"/>
    <row r="197" s="0" customFormat="1" ht="15.5"/>
    <row r="198" s="0" customFormat="1" ht="15.5"/>
    <row r="199" s="0" customFormat="1" ht="15.5"/>
    <row r="200" s="0" customFormat="1" ht="15.5"/>
    <row r="201" s="0" customFormat="1" ht="15.5"/>
    <row r="202" s="0" customFormat="1" ht="15.5"/>
    <row r="203" s="0" customFormat="1" ht="15.5"/>
    <row r="204" s="0" customFormat="1" ht="15.5"/>
    <row r="205" s="0" customFormat="1" ht="15.5"/>
    <row r="206" s="0" customFormat="1" ht="15.5"/>
    <row r="207" s="0" customFormat="1" ht="15.5"/>
    <row r="208" s="0" customFormat="1" ht="15.5"/>
    <row r="209" s="0" customFormat="1" ht="15.5"/>
    <row r="210" s="0" customFormat="1" ht="15.5"/>
    <row r="211" s="0" customFormat="1" ht="15.5"/>
    <row r="212" s="0" customFormat="1" ht="15.5"/>
    <row r="213" s="0" customFormat="1" ht="15.5"/>
    <row r="214" s="0" customFormat="1" ht="15.5"/>
    <row r="215" s="0" customFormat="1" ht="15.5"/>
    <row r="216" s="0" customFormat="1" ht="15.5"/>
    <row r="217" s="0" customFormat="1" ht="15.5"/>
    <row r="218" s="0" customFormat="1" ht="15.5"/>
    <row r="219" s="0" customFormat="1" ht="15.5"/>
    <row r="220" s="0" customFormat="1" ht="15.5"/>
    <row r="221" s="0" customFormat="1" ht="15.5"/>
    <row r="222" s="0" customFormat="1" ht="15.5"/>
    <row r="223" s="0" customFormat="1" ht="15.5"/>
    <row r="224" s="0" customFormat="1" ht="15.5"/>
    <row r="225" s="0" customFormat="1" ht="15.5"/>
    <row r="226" s="0" customFormat="1" ht="15.5"/>
    <row r="227" s="0" customFormat="1" ht="15.5"/>
    <row r="228" s="0" customFormat="1" ht="15.5"/>
    <row r="229" s="0" customFormat="1" ht="15.5"/>
    <row r="230" s="0" customFormat="1" ht="15.5"/>
    <row r="231" s="0" customFormat="1" ht="15.5"/>
    <row r="232" s="0" customFormat="1" ht="15.5"/>
    <row r="233" s="0" customFormat="1" ht="15.5"/>
    <row r="234" s="0" customFormat="1" ht="15.5"/>
    <row r="235" s="0" customFormat="1" ht="15.5"/>
    <row r="236" s="0" customFormat="1" ht="15.5"/>
    <row r="237" s="0" customFormat="1" ht="15.5"/>
    <row r="238" s="0" customFormat="1" ht="15.5"/>
    <row r="239" s="0" customFormat="1" ht="15.5"/>
    <row r="240" s="0" customFormat="1" ht="15.5"/>
    <row r="241" s="0" customFormat="1" ht="15.5"/>
    <row r="242" s="0" customFormat="1" ht="15.5"/>
    <row r="243" s="0" customFormat="1" ht="15.5"/>
    <row r="244" s="0" customFormat="1" ht="15.5"/>
    <row r="245" s="0" customFormat="1" ht="15.5"/>
    <row r="246" s="0" customFormat="1" ht="15.5"/>
    <row r="247" s="0" customFormat="1" ht="15.5"/>
    <row r="248" s="0" customFormat="1" ht="15.5"/>
    <row r="249" s="0" customFormat="1" ht="15.5"/>
    <row r="250" s="0" customFormat="1" ht="15.5"/>
    <row r="251" s="0" customFormat="1" ht="15.5"/>
    <row r="252" s="0" customFormat="1" ht="15.5"/>
    <row r="253" s="0" customFormat="1" ht="15.5"/>
    <row r="254" s="0" customFormat="1" ht="15.5"/>
    <row r="255" s="0" customFormat="1" ht="15.5"/>
    <row r="256" s="0" customFormat="1" ht="15.5"/>
    <row r="257" s="0" customFormat="1" ht="15.5"/>
    <row r="258" s="0" customFormat="1" ht="15.5"/>
    <row r="259" s="0" customFormat="1" ht="15.5"/>
    <row r="260" s="0" customFormat="1" ht="15.5"/>
    <row r="261" s="0" customFormat="1" ht="15.5"/>
    <row r="262" s="0" customFormat="1" ht="15.5"/>
    <row r="263" s="0" customFormat="1" ht="15.5"/>
    <row r="264" s="0" customFormat="1" ht="15.5"/>
    <row r="265" s="0" customFormat="1" ht="15.5"/>
    <row r="266" s="0" customFormat="1" ht="15.5"/>
    <row r="267" s="0" customFormat="1" ht="15.5"/>
    <row r="268" s="0" customFormat="1" ht="15.5"/>
    <row r="269" s="0" customFormat="1" ht="15.5"/>
    <row r="270" s="0" customFormat="1" ht="15.5"/>
    <row r="271" s="0" customFormat="1" ht="15.5"/>
    <row r="272" s="0" customFormat="1" ht="15.5"/>
    <row r="273" s="0" customFormat="1" ht="15.5"/>
    <row r="274" s="0" customFormat="1" ht="15.5"/>
    <row r="275" s="0" customFormat="1" ht="15.5"/>
    <row r="276" s="0" customFormat="1" ht="15.5"/>
    <row r="277" s="0" customFormat="1" ht="15.5"/>
    <row r="278" s="0" customFormat="1" ht="15.5"/>
    <row r="279" s="0" customFormat="1" ht="15.5"/>
    <row r="280" s="0" customFormat="1" ht="15.5"/>
    <row r="281" s="0" customFormat="1" ht="15.5"/>
    <row r="282" s="0" customFormat="1" ht="15.5"/>
    <row r="283" s="0" customFormat="1" ht="15.5"/>
    <row r="284" s="0" customFormat="1" ht="15.5"/>
    <row r="285" s="0" customFormat="1" ht="15.5"/>
    <row r="286" s="0" customFormat="1" ht="15.5"/>
    <row r="287" s="0" customFormat="1" ht="15.5"/>
    <row r="288" s="0" customFormat="1" ht="15.5"/>
    <row r="289" s="0" customFormat="1" ht="15.5"/>
    <row r="290" s="0" customFormat="1" ht="15.5"/>
    <row r="291" s="0" customFormat="1" ht="15.5"/>
    <row r="292" s="0" customFormat="1" ht="15.5"/>
    <row r="293" s="0" customFormat="1" ht="15.5"/>
    <row r="294" s="0" customFormat="1" ht="15.5"/>
    <row r="295" s="0" customFormat="1" ht="15.5"/>
    <row r="296" s="0" customFormat="1" ht="15.5"/>
    <row r="297" s="0" customFormat="1" ht="15.5"/>
    <row r="298" s="0" customFormat="1" ht="15.5"/>
    <row r="299" s="0" customFormat="1" ht="15.5"/>
    <row r="300" s="0" customFormat="1" ht="15.5"/>
    <row r="301" s="0" customFormat="1" ht="15.5"/>
    <row r="302" s="0" customFormat="1" ht="15.5"/>
    <row r="303" s="0" customFormat="1" ht="15.5"/>
    <row r="304" s="0" customFormat="1" ht="15.5"/>
    <row r="305" s="0" customFormat="1" ht="15.5"/>
    <row r="306" s="0" customFormat="1" ht="15.5"/>
    <row r="307" s="0" customFormat="1" ht="15.5"/>
    <row r="308" s="0" customFormat="1" ht="15.5"/>
    <row r="309" s="0" customFormat="1" ht="15.5"/>
    <row r="310" s="0" customFormat="1" ht="15.5"/>
    <row r="311" s="0" customFormat="1" ht="15.5"/>
    <row r="312" s="0" customFormat="1" ht="15.5"/>
    <row r="313" s="0" customFormat="1" ht="15.5"/>
    <row r="314" s="0" customFormat="1" ht="15.5"/>
    <row r="315" s="0" customFormat="1" ht="15.5"/>
    <row r="316" s="0" customFormat="1" ht="15.5"/>
    <row r="317" s="0" customFormat="1" ht="15.5"/>
    <row r="318" s="0" customFormat="1" ht="15.5"/>
    <row r="319" s="0" customFormat="1" ht="15.5"/>
    <row r="320" s="0" customFormat="1" ht="15.5"/>
    <row r="321" s="0" customFormat="1" ht="15.5"/>
    <row r="322" s="0" customFormat="1" ht="15.5"/>
    <row r="323" s="0" customFormat="1" ht="15.5"/>
    <row r="324" s="0" customFormat="1" ht="15.5"/>
    <row r="325" s="0" customFormat="1" ht="15.5"/>
    <row r="326" s="0" customFormat="1" ht="15.5"/>
    <row r="327" s="0" customFormat="1" ht="15.5"/>
    <row r="328" s="0" customFormat="1" ht="15.5"/>
    <row r="329" s="0" customFormat="1" ht="15.5"/>
    <row r="330" s="0" customFormat="1" ht="15.5"/>
    <row r="331" s="0" customFormat="1" ht="15.5"/>
    <row r="332" s="0" customFormat="1" ht="15.5"/>
    <row r="333" s="0" customFormat="1" ht="15.5"/>
    <row r="334" s="0" customFormat="1" ht="15.5"/>
    <row r="335" s="0" customFormat="1" ht="15.5"/>
    <row r="336" s="0" customFormat="1" ht="15.5"/>
    <row r="337" s="0" customFormat="1" ht="15.5"/>
    <row r="338" s="0" customFormat="1" ht="15.5"/>
    <row r="339" s="0" customFormat="1" ht="15.5"/>
    <row r="340" s="0" customFormat="1" ht="15.5"/>
    <row r="341" s="0" customFormat="1" ht="15.5"/>
    <row r="342" s="0" customFormat="1" ht="15.5"/>
    <row r="343" s="0" customFormat="1" ht="15.5"/>
    <row r="344" s="0" customFormat="1" ht="15.5"/>
    <row r="345" s="0" customFormat="1" ht="15.5"/>
    <row r="346" s="0" customFormat="1" ht="15.5"/>
    <row r="347" s="0" customFormat="1" ht="15.5"/>
    <row r="348" s="0" customFormat="1" ht="15.5"/>
    <row r="349" s="0" customFormat="1" ht="15.5"/>
    <row r="350" s="0" customFormat="1" ht="15.5"/>
    <row r="351" s="0" customFormat="1" ht="15.5"/>
    <row r="352" s="0" customFormat="1" ht="15.5"/>
    <row r="353" s="0" customFormat="1" ht="15.5"/>
    <row r="354" s="0" customFormat="1" ht="15.5"/>
    <row r="355" s="0" customFormat="1" ht="15.5"/>
    <row r="356" s="0" customFormat="1" ht="15.5"/>
    <row r="357" s="0" customFormat="1" ht="15.5"/>
    <row r="358" s="0" customFormat="1" ht="15.5"/>
    <row r="359" s="0" customFormat="1" ht="15.5"/>
    <row r="360" s="0" customFormat="1" ht="15.5"/>
    <row r="361" s="0" customFormat="1" ht="15.5"/>
    <row r="362" s="0" customFormat="1" ht="15.5"/>
    <row r="363" s="0" customFormat="1" ht="15.5"/>
    <row r="364" s="0" customFormat="1" ht="15.5"/>
    <row r="365" s="0" customFormat="1" ht="15.5"/>
    <row r="366" s="0" customFormat="1" ht="15.5"/>
    <row r="367" s="0" customFormat="1" ht="15.5"/>
    <row r="368" s="0" customFormat="1" ht="15.5"/>
    <row r="369" s="0" customFormat="1" ht="15.5"/>
    <row r="370" s="0" customFormat="1" ht="15.5"/>
    <row r="371" s="0" customFormat="1" ht="15.5"/>
    <row r="372" s="0" customFormat="1" ht="15.5"/>
    <row r="373" s="0" customFormat="1" ht="15.5"/>
    <row r="374" s="0" customFormat="1" ht="15.5"/>
    <row r="375" s="0" customFormat="1" ht="15.5"/>
    <row r="376" s="0" customFormat="1" ht="15.5"/>
    <row r="377" s="0" customFormat="1" ht="15.5"/>
    <row r="378" s="0" customFormat="1" ht="15.5"/>
    <row r="379" s="0" customFormat="1" ht="15.5"/>
    <row r="380" s="0" customFormat="1" ht="15.5"/>
    <row r="381" s="0" customFormat="1" ht="15.5"/>
    <row r="382" s="0" customFormat="1" ht="15.5"/>
    <row r="383" s="0" customFormat="1" ht="15.5"/>
    <row r="384" s="0" customFormat="1" ht="15.5"/>
    <row r="385" s="0" customFormat="1" ht="15.5"/>
    <row r="386" s="0" customFormat="1" ht="15.5"/>
    <row r="387" s="0" customFormat="1" ht="15.5"/>
    <row r="388" s="0" customFormat="1" ht="15.5"/>
    <row r="389" s="0" customFormat="1" ht="15.5"/>
    <row r="390" s="0" customFormat="1" ht="15.5"/>
    <row r="391" s="0" customFormat="1" ht="15.5"/>
    <row r="392" s="0" customFormat="1" ht="15.5"/>
    <row r="393" s="0" customFormat="1" ht="15.5"/>
    <row r="394" s="0" customFormat="1" ht="15.5"/>
    <row r="395" s="0" customFormat="1" ht="15.5"/>
    <row r="396" s="0" customFormat="1" ht="15.5"/>
    <row r="397" s="0" customFormat="1" ht="15.5"/>
    <row r="398" s="0" customFormat="1" ht="15.5"/>
    <row r="399" s="0" customFormat="1" ht="15.5"/>
    <row r="400" s="0" customFormat="1" ht="15.5"/>
    <row r="401" s="0" customFormat="1" ht="15.5"/>
    <row r="402" s="0" customFormat="1" ht="15.5"/>
    <row r="403" s="0" customFormat="1" ht="15.5"/>
    <row r="404" s="0" customFormat="1" ht="15.5"/>
    <row r="405" s="0" customFormat="1" ht="15.5"/>
    <row r="406" s="0" customFormat="1" ht="15.5"/>
    <row r="407" s="0" customFormat="1" ht="15.5"/>
    <row r="408" s="0" customFormat="1" ht="15.5"/>
    <row r="409" s="0" customFormat="1" ht="15.5"/>
    <row r="410" s="0" customFormat="1" ht="15.5"/>
    <row r="411" s="0" customFormat="1" ht="15.5"/>
    <row r="412" s="0" customFormat="1" ht="15.5"/>
    <row r="413" s="0" customFormat="1" ht="15.5"/>
    <row r="414" s="0" customFormat="1" ht="15.5"/>
    <row r="415" s="0" customFormat="1" ht="15.5"/>
    <row r="416" s="0" customFormat="1" ht="15.5"/>
    <row r="417" s="0" customFormat="1" ht="15.5"/>
    <row r="418" s="0" customFormat="1" ht="15.5"/>
    <row r="419" s="0" customFormat="1" ht="15.5"/>
    <row r="420" s="0" customFormat="1" ht="15.5"/>
    <row r="421" s="0" customFormat="1" ht="15.5"/>
    <row r="422" s="0" customFormat="1" ht="15.5"/>
    <row r="423" s="0" customFormat="1" ht="15.5"/>
    <row r="424" s="0" customFormat="1" ht="15.5"/>
    <row r="425" s="0" customFormat="1" ht="15.5"/>
    <row r="426" s="0" customFormat="1" ht="15.5"/>
    <row r="427" s="0" customFormat="1" ht="15.5"/>
    <row r="428" s="0" customFormat="1" ht="15.5"/>
    <row r="429" s="0" customFormat="1" ht="15.5"/>
    <row r="430" s="0" customFormat="1" ht="15.5"/>
    <row r="431" s="0" customFormat="1" ht="15.5"/>
    <row r="432" s="0" customFormat="1" ht="15.5"/>
    <row r="433" s="0" customFormat="1" ht="15.5"/>
    <row r="434" s="0" customFormat="1" ht="15.5"/>
    <row r="435" s="0" customFormat="1" ht="15.5"/>
    <row r="436" s="0" customFormat="1" ht="15.5"/>
    <row r="437" s="0" customFormat="1" ht="15.5"/>
    <row r="438" s="0" customFormat="1" ht="15.5"/>
    <row r="439" s="0" customFormat="1" ht="15.5"/>
    <row r="440" s="0" customFormat="1" ht="15.5"/>
    <row r="441" s="0" customFormat="1" ht="15.5"/>
    <row r="442" s="0" customFormat="1" ht="15.5"/>
    <row r="443" s="0" customFormat="1" ht="15.5"/>
    <row r="444" s="0" customFormat="1" ht="15.5"/>
    <row r="445" s="0" customFormat="1" ht="15.5"/>
    <row r="446" s="0" customFormat="1" ht="15.5"/>
    <row r="447" s="0" customFormat="1" ht="15.5"/>
    <row r="448" s="0" customFormat="1" ht="15.5"/>
    <row r="449" s="0" customFormat="1" ht="15.5"/>
    <row r="450" s="0" customFormat="1" ht="15.5"/>
    <row r="451" s="0" customFormat="1" ht="15.5"/>
    <row r="452" s="0" customFormat="1" ht="15.5"/>
    <row r="453" s="0" customFormat="1" ht="15.5"/>
    <row r="454" s="0" customFormat="1" ht="15.5"/>
    <row r="455" s="0" customFormat="1" ht="15.5"/>
    <row r="456" s="0" customFormat="1" ht="15.5"/>
    <row r="457" s="0" customFormat="1" ht="15.5"/>
    <row r="458" s="0" customFormat="1" ht="15.5"/>
    <row r="459" s="0" customFormat="1" ht="15.5"/>
    <row r="460" s="0" customFormat="1" ht="15.5"/>
    <row r="461" s="0" customFormat="1" ht="15.5"/>
    <row r="462" s="0" customFormat="1" ht="15.5"/>
    <row r="463" s="0" customFormat="1" ht="15.5"/>
    <row r="464" s="0" customFormat="1" ht="15.5"/>
    <row r="465" s="0" customFormat="1" ht="15.5"/>
    <row r="466" s="0" customFormat="1" ht="15.5"/>
    <row r="467" s="0" customFormat="1" ht="15.5"/>
    <row r="468" s="0" customFormat="1" ht="15.5"/>
    <row r="469" s="0" customFormat="1" ht="15.5"/>
    <row r="470" s="0" customFormat="1" ht="15.5"/>
    <row r="471" s="0" customFormat="1" ht="15.5"/>
    <row r="472" s="0" customFormat="1" ht="15.5"/>
    <row r="473" s="0" customFormat="1" ht="15.5"/>
    <row r="474" s="0" customFormat="1" ht="15.5"/>
    <row r="475" s="0" customFormat="1" ht="15.5"/>
    <row r="476" s="0" customFormat="1" ht="15.5"/>
    <row r="477" s="0" customFormat="1" ht="15.5"/>
    <row r="478" s="0" customFormat="1" ht="15.5"/>
    <row r="479" s="0" customFormat="1" ht="15.5"/>
    <row r="480" s="0" customFormat="1" ht="15.5"/>
    <row r="481" s="0" customFormat="1" ht="15.5"/>
    <row r="482" s="0" customFormat="1" ht="15.5"/>
    <row r="483" s="0" customFormat="1" ht="15.5"/>
    <row r="484" s="0" customFormat="1" ht="15.5"/>
    <row r="485" s="0" customFormat="1" ht="15.5"/>
    <row r="486" s="0" customFormat="1" ht="15.5"/>
    <row r="487" s="0" customFormat="1" ht="15.5"/>
    <row r="488" s="0" customFormat="1" ht="15.5"/>
    <row r="489" s="0" customFormat="1" ht="15.5"/>
    <row r="490" s="0" customFormat="1" ht="15.5"/>
    <row r="491" s="0" customFormat="1" ht="15.5"/>
    <row r="492" s="0" customFormat="1" ht="15.5"/>
    <row r="493" s="0" customFormat="1" ht="15.5"/>
    <row r="494" s="0" customFormat="1" ht="15.5"/>
    <row r="495" s="0" customFormat="1" ht="15.5"/>
    <row r="496" s="0" customFormat="1" ht="15.5"/>
    <row r="497" s="0" customFormat="1" ht="15.5"/>
    <row r="498" s="0" customFormat="1" ht="15.5"/>
    <row r="499" s="0" customFormat="1" ht="15.5"/>
    <row r="500" s="0" customFormat="1" ht="15.5"/>
    <row r="501" s="0" customFormat="1" ht="15.5"/>
    <row r="502" s="0" customFormat="1" ht="15.5"/>
    <row r="503" s="0" customFormat="1" ht="15.5"/>
    <row r="504" s="0" customFormat="1" ht="15.5"/>
    <row r="505" s="0" customFormat="1" ht="15.5"/>
    <row r="506" s="0" customFormat="1" ht="15.5"/>
    <row r="507" s="0" customFormat="1" ht="15.5"/>
    <row r="508" s="0" customFormat="1" ht="15.5"/>
    <row r="509" s="0" customFormat="1" ht="15.5"/>
    <row r="510" s="0" customFormat="1" ht="15.5"/>
    <row r="511" s="0" customFormat="1" ht="15.5"/>
    <row r="512" s="0" customFormat="1" ht="15.5"/>
    <row r="513" s="0" customFormat="1" ht="15.5"/>
    <row r="514" s="0" customFormat="1" ht="15.5"/>
    <row r="515" s="0" customFormat="1" ht="15.5"/>
    <row r="516" s="0" customFormat="1" ht="15.5"/>
    <row r="517" s="0" customFormat="1" ht="15.5"/>
    <row r="518" s="0" customFormat="1" ht="15.5"/>
    <row r="519" s="0" customFormat="1" ht="15.5"/>
    <row r="520" s="0" customFormat="1" ht="15.5"/>
    <row r="521" s="0" customFormat="1" ht="15.5"/>
    <row r="522" s="0" customFormat="1" ht="15.5"/>
    <row r="523" s="0" customFormat="1" ht="15.5"/>
    <row r="524" s="0" customFormat="1" ht="15.5"/>
    <row r="525" s="0" customFormat="1" ht="15.5"/>
    <row r="526" s="0" customFormat="1" ht="15.5"/>
    <row r="527" s="0" customFormat="1" ht="15.5"/>
    <row r="528" s="0" customFormat="1" ht="15.5"/>
    <row r="529" s="0" customFormat="1" ht="15.5"/>
    <row r="530" s="0" customFormat="1" ht="15.5"/>
    <row r="531" s="0" customFormat="1" ht="15.5"/>
    <row r="532" s="0" customFormat="1" ht="15.5"/>
    <row r="533" s="0" customFormat="1" ht="15.5"/>
    <row r="534" s="0" customFormat="1" ht="15.5"/>
    <row r="535" s="0" customFormat="1" ht="15.5"/>
    <row r="536" s="0" customFormat="1" ht="15.5"/>
    <row r="537" s="0" customFormat="1" ht="15.5"/>
    <row r="538" s="0" customFormat="1" ht="15.5"/>
    <row r="539" s="0" customFormat="1" ht="15.5"/>
    <row r="540" s="0" customFormat="1" ht="15.5"/>
    <row r="541" s="0" customFormat="1" ht="15.5"/>
    <row r="542" s="0" customFormat="1" ht="15.5"/>
    <row r="543" s="0" customFormat="1" ht="15.5"/>
    <row r="544" s="0" customFormat="1" ht="15.5"/>
    <row r="545" s="0" customFormat="1" ht="15.5"/>
    <row r="546" s="0" customFormat="1" ht="15.5"/>
    <row r="547" s="0" customFormat="1" ht="15.5"/>
    <row r="548" s="0" customFormat="1" ht="15.5"/>
    <row r="549" s="0" customFormat="1" ht="15.5"/>
    <row r="550" s="0" customFormat="1" ht="15.5"/>
    <row r="551" s="0" customFormat="1" ht="15.5"/>
    <row r="552" s="0" customFormat="1" ht="15.5"/>
    <row r="553" s="0" customFormat="1" ht="15.5"/>
    <row r="554" s="0" customFormat="1" ht="15.5"/>
    <row r="555" s="0" customFormat="1" ht="15.5"/>
    <row r="556" s="0" customFormat="1" ht="15.5"/>
    <row r="557" s="0" customFormat="1" ht="15.5"/>
    <row r="558" s="0" customFormat="1" ht="15.5"/>
    <row r="559" s="0" customFormat="1" ht="15.5"/>
    <row r="560" s="0" customFormat="1" ht="15.5"/>
    <row r="561" s="0" customFormat="1" ht="15.5"/>
    <row r="562" s="0" customFormat="1" ht="15.5"/>
    <row r="563" s="0" customFormat="1" ht="15.5"/>
    <row r="564" s="0" customFormat="1" ht="15.5"/>
    <row r="565" s="0" customFormat="1" ht="15.5"/>
    <row r="566" s="0" customFormat="1" ht="15.5"/>
    <row r="567" s="0" customFormat="1" ht="15.5"/>
    <row r="568" s="0" customFormat="1" ht="15.5"/>
    <row r="569" s="0" customFormat="1" ht="15.5"/>
    <row r="570" s="0" customFormat="1" ht="15.5"/>
    <row r="571" s="0" customFormat="1" ht="15.5"/>
    <row r="572" s="0" customFormat="1" ht="15.5"/>
    <row r="573" s="0" customFormat="1" ht="15.5"/>
    <row r="574" s="0" customFormat="1" ht="15.5"/>
    <row r="575" s="0" customFormat="1" ht="15.5"/>
    <row r="576" s="0" customFormat="1" ht="15.5"/>
    <row r="577" s="0" customFormat="1" ht="15.5"/>
    <row r="578" s="0" customFormat="1" ht="15.5"/>
    <row r="579" s="0" customFormat="1" ht="15.5"/>
    <row r="580" s="0" customFormat="1" ht="15.5"/>
    <row r="581" s="0" customFormat="1" ht="15.5"/>
    <row r="582" s="0" customFormat="1" ht="15.5"/>
    <row r="583" s="0" customFormat="1" ht="15.5"/>
    <row r="584" s="0" customFormat="1" ht="15.5"/>
    <row r="585" s="0" customFormat="1" ht="15.5"/>
    <row r="586" s="0" customFormat="1" ht="15.5"/>
    <row r="587" s="0" customFormat="1" ht="15.5"/>
    <row r="588" s="0" customFormat="1" ht="15.5"/>
    <row r="589" s="0" customFormat="1" ht="15.5"/>
    <row r="590" s="0" customFormat="1" ht="15.5"/>
    <row r="591" s="0" customFormat="1" ht="15.5"/>
    <row r="592" s="0" customFormat="1" ht="15.5"/>
    <row r="593" s="0" customFormat="1" ht="15.5"/>
    <row r="594" s="0" customFormat="1" ht="15.5"/>
    <row r="595" s="0" customFormat="1" ht="15.5"/>
    <row r="596" s="0" customFormat="1" ht="15.5"/>
    <row r="597" s="0" customFormat="1" ht="15.5"/>
    <row r="598" s="0" customFormat="1" ht="15.5"/>
    <row r="599" s="0" customFormat="1" ht="15.5"/>
    <row r="600" s="0" customFormat="1" ht="15.5"/>
    <row r="601" s="0" customFormat="1" ht="15.5"/>
    <row r="602" s="0" customFormat="1" ht="15.5"/>
    <row r="603" s="0" customFormat="1" ht="15.5"/>
    <row r="604" s="0" customFormat="1" ht="15.5"/>
    <row r="605" s="0" customFormat="1" ht="15.5"/>
    <row r="606" s="0" customFormat="1" ht="15.5"/>
    <row r="607" s="0" customFormat="1" ht="15.5"/>
    <row r="608" s="0" customFormat="1" ht="15.5"/>
    <row r="609" s="0" customFormat="1" ht="15.5"/>
    <row r="610" s="0" customFormat="1" ht="15.5"/>
    <row r="611" s="0" customFormat="1" ht="15.5"/>
    <row r="612" s="0" customFormat="1" ht="15.5"/>
    <row r="613" s="0" customFormat="1" ht="15.5"/>
    <row r="614" s="0" customFormat="1" ht="15.5"/>
    <row r="615" s="0" customFormat="1" ht="15.5"/>
    <row r="616" s="0" customFormat="1" ht="15.5"/>
    <row r="617" s="0" customFormat="1" ht="15.5"/>
    <row r="618" s="0" customFormat="1" ht="15.5"/>
    <row r="619" s="0" customFormat="1" ht="15.5"/>
    <row r="620" s="0" customFormat="1" ht="15.5"/>
    <row r="621" s="0" customFormat="1" ht="15.5"/>
    <row r="622" s="0" customFormat="1" ht="15.5"/>
    <row r="623" s="0" customFormat="1" ht="15.5"/>
    <row r="624" s="0" customFormat="1" ht="15.5"/>
    <row r="625" s="0" customFormat="1" ht="15.5"/>
    <row r="626" s="0" customFormat="1" ht="15.5"/>
    <row r="627" s="0" customFormat="1" ht="15.5"/>
    <row r="628" s="0" customFormat="1" ht="15.5"/>
    <row r="629" s="0" customFormat="1" ht="15.5"/>
    <row r="630" s="0" customFormat="1" ht="15.5"/>
    <row r="631" s="0" customFormat="1" ht="15.5"/>
    <row r="632" s="0" customFormat="1" ht="15.5"/>
    <row r="633" s="0" customFormat="1" ht="15.5"/>
    <row r="634" s="0" customFormat="1" ht="15.5"/>
    <row r="635" s="0" customFormat="1" ht="15.5"/>
  </sheetData>
  <sheetProtection formatColumns="0" formatRows="0" autoFilter="0" pivotTables="0"/>
  <mergeCells count="16">
    <mergeCell ref="N3:N9"/>
    <mergeCell ref="O4:Q4"/>
    <mergeCell ref="CM10:CN10"/>
    <mergeCell ref="CD41:CE41"/>
    <mergeCell ref="CG41:CH41"/>
    <mergeCell ref="CJ41:CK41"/>
    <mergeCell ref="S5:T6"/>
    <mergeCell ref="CD10:CE10"/>
    <mergeCell ref="CG10:CH10"/>
    <mergeCell ref="CJ10:CK10"/>
    <mergeCell ref="Y5:Y6"/>
    <mergeCell ref="W17:W18"/>
    <mergeCell ref="Y17:Y18"/>
    <mergeCell ref="W41:W42"/>
    <mergeCell ref="Y41:Y42"/>
    <mergeCell ref="CM41:CN41"/>
  </mergeCells>
  <conditionalFormatting sqref="A20:I37 K20:K37 A38:K63">
    <cfRule type="expression" priority="118" dxfId="4217">
      <formula>$A20="F"</formula>
    </cfRule>
  </conditionalFormatting>
  <conditionalFormatting sqref="A20:K63">
    <cfRule type="expression" priority="99" dxfId="4220">
      <formula>$A20="L"</formula>
    </cfRule>
  </conditionalFormatting>
  <conditionalFormatting sqref="D45">
    <cfRule type="expression" priority="119" dxfId="4199">
      <formula>fx_hasCX(D45)</formula>
    </cfRule>
  </conditionalFormatting>
  <conditionalFormatting sqref="G45:G51 E53:E58 G53:G58 D59:G63">
    <cfRule type="expression" priority="120" dxfId="4199">
      <formula>fx_hasCX(D45)</formula>
    </cfRule>
  </conditionalFormatting>
  <conditionalFormatting sqref="J20:J37">
    <cfRule type="expression" priority="98" dxfId="4110">
      <formula>$A20="F"</formula>
    </cfRule>
  </conditionalFormatting>
  <conditionalFormatting sqref="W17:CN18 W19:CL19 CO19 W20:CO43 W44:CL44 CO44 W45:CO63">
    <cfRule type="expression" priority="37" dxfId="2589">
      <formula>IF($A$14,IF(CELL("protect",W17)=0,TRUE,FALSE))</formula>
    </cfRule>
  </conditionalFormatting>
  <conditionalFormatting sqref="X20:BZ40 X43:AC43 X45:BZ62">
    <cfRule type="expression" priority="136" dxfId="4191">
      <formula>INDEX($H$1:$H$300,ROW(X20))=2</formula>
    </cfRule>
  </conditionalFormatting>
  <conditionalFormatting sqref="AD11:BZ11">
    <cfRule type="expression" priority="130" dxfId="4189">
      <formula>AD$15=1</formula>
    </cfRule>
    <cfRule type="expression" priority="129" dxfId="4188">
      <formula>AD$15=2</formula>
    </cfRule>
  </conditionalFormatting>
  <conditionalFormatting sqref="AD43:BZ43">
    <cfRule type="expression" priority="128" dxfId="4189">
      <formula>AD$15=1</formula>
    </cfRule>
    <cfRule type="expression" priority="127" dxfId="4188">
      <formula>AD$15=2</formula>
    </cfRule>
  </conditionalFormatting>
  <conditionalFormatting sqref="AD19:CC62 CL20:CN43 CL45:CN62">
    <cfRule type="expression" priority="132" dxfId="4185">
      <formula>INDEX($I$1:$I$300,ROW(AD18))=2</formula>
    </cfRule>
    <cfRule type="expression" priority="131" dxfId="4186">
      <formula>INDEX($I$1:$I$300,ROW(AD18))=3</formula>
    </cfRule>
    <cfRule type="expression" priority="133" dxfId="4166">
      <formula>INDEX($I$1:$I$300,ROW(AD18))=1</formula>
    </cfRule>
  </conditionalFormatting>
  <conditionalFormatting sqref="CD10:CE11 CG10:CH11 CJ10:CK11">
    <cfRule type="expression" priority="44" dxfId="4191">
      <formula>INDEX($H$1:$H$300,ROW($X10))=2</formula>
    </cfRule>
  </conditionalFormatting>
  <conditionalFormatting sqref="CD10:CE11 CG10:CH11 CJ10:CN11">
    <cfRule type="expression" priority="40" dxfId="4186">
      <formula>INDEX($I$1:$I$300,ROW(CD10))=3</formula>
    </cfRule>
    <cfRule type="expression" priority="41" dxfId="4166">
      <formula>INDEX($I$1:$I$300,ROW(CD10))=1</formula>
    </cfRule>
    <cfRule type="expression" priority="42" dxfId="4185">
      <formula>INDEX($I$1:$I$300,ROW(CD10))=2</formula>
    </cfRule>
    <cfRule type="expression" priority="43" dxfId="4165">
      <formula>_xlfn.SWITCH(INDEX($X$1:$X$300,ROW(CD10)),-1,SIGN(CD10)&gt;0,1,SIGN(CD10)&lt;0)</formula>
    </cfRule>
  </conditionalFormatting>
  <conditionalFormatting sqref="CD20:CE20 CG20:CH43 CD22:CE43 CJ36:CK43 CD45:CE62 CG45:CH62">
    <cfRule type="expression" priority="97" dxfId="4191">
      <formula>INDEX($H$1:$H$300,ROW(CD20))=2</formula>
    </cfRule>
  </conditionalFormatting>
  <conditionalFormatting sqref="CD20:CE37">
    <cfRule type="expression" priority="92" dxfId="4191">
      <formula>INDEX($H$1:$H$300,ROW($X20))=2</formula>
    </cfRule>
    <cfRule type="expression" priority="91" dxfId="4165">
      <formula>_xlfn.SWITCH(INDEX($X$1:$X$300,ROW(CD20)),-1,SIGN(CD20)&gt;0,1,SIGN(CD20)&lt;0)</formula>
    </cfRule>
    <cfRule type="expression" priority="90" dxfId="4185">
      <formula>INDEX($I$1:$I$300,ROW(CD20))=2</formula>
    </cfRule>
    <cfRule type="expression" priority="89" dxfId="4166">
      <formula>INDEX($I$1:$I$300,ROW(CD20))=1</formula>
    </cfRule>
    <cfRule type="expression" priority="88" dxfId="4186">
      <formula>INDEX($I$1:$I$300,ROW(CD20))=3</formula>
    </cfRule>
  </conditionalFormatting>
  <conditionalFormatting sqref="CD21:CE23">
    <cfRule type="expression" priority="33" dxfId="4185">
      <formula>INDEX($I$1:$I$300,ROW(CD20))=2</formula>
    </cfRule>
    <cfRule type="expression" priority="34" dxfId="4166">
      <formula>INDEX($I$1:$I$300,ROW(CD20))=1</formula>
    </cfRule>
    <cfRule type="expression" priority="35" dxfId="4191">
      <formula>INDEX($H$1:$H$300,ROW(CD21))=2</formula>
    </cfRule>
    <cfRule type="expression" priority="31" dxfId="2566">
      <formula>_xlfn.SWITCH(INDEX($X$1:$X$300,ROW(CD21)),-1,SIGN(CD21)&gt;0,1,SIGN(CD21)&lt;0)</formula>
    </cfRule>
  </conditionalFormatting>
  <conditionalFormatting sqref="CD45:CE62">
    <cfRule type="expression" priority="86" dxfId="4165">
      <formula>_xlfn.SWITCH(INDEX($X$1:$X$300,ROW(CD45)),-1,SIGN(CD45)&gt;0,1,SIGN(CD45)&lt;0)</formula>
    </cfRule>
    <cfRule type="expression" priority="85" dxfId="4185">
      <formula>INDEX($I$1:$I$300,ROW(CD45))=2</formula>
    </cfRule>
    <cfRule type="expression" priority="84" dxfId="4166">
      <formula>INDEX($I$1:$I$300,ROW(CD45))=1</formula>
    </cfRule>
    <cfRule type="expression" priority="83" dxfId="4186">
      <formula>INDEX($I$1:$I$300,ROW(CD45))=3</formula>
    </cfRule>
    <cfRule type="expression" priority="87" dxfId="4191">
      <formula>INDEX($H$1:$H$300,ROW($X45))=2</formula>
    </cfRule>
  </conditionalFormatting>
  <conditionalFormatting sqref="CD20:CI20 CF21:CI35 CD22:CE35 CD36:CK43 CD45:CI62">
    <cfRule type="expression" priority="93" dxfId="2566">
      <formula>_xlfn.SWITCH(INDEX($X$1:$X$300,ROW(CD20)),-1,SIGN(CD20)&gt;0,1,SIGN(CD20)&lt;0)</formula>
    </cfRule>
  </conditionalFormatting>
  <conditionalFormatting sqref="CD20:CI20 CG21:CH23 CD22:CE35 CF24:CI35 CD36:CK43 CD45:CI62">
    <cfRule type="expression" priority="94" dxfId="4186">
      <formula>INDEX($I$1:$I$300,ROW(CD19))=3</formula>
    </cfRule>
  </conditionalFormatting>
  <conditionalFormatting sqref="CD20:CI20 CF21:CI35 CD22:CE35 CD36:CK43 CD45:CI62">
    <cfRule type="expression" priority="95" dxfId="4185">
      <formula>INDEX($I$1:$I$300,ROW(CD19))=2</formula>
    </cfRule>
    <cfRule type="expression" priority="96" dxfId="4166">
      <formula>INDEX($I$1:$I$300,ROW(CD19))=1</formula>
    </cfRule>
  </conditionalFormatting>
  <conditionalFormatting sqref="CD21:CI23">
    <cfRule type="expression" priority="32" dxfId="4186">
      <formula>INDEX($I$1:$I$300,ROW(CD20))=3</formula>
    </cfRule>
  </conditionalFormatting>
  <conditionalFormatting sqref="CJ20:CK37">
    <cfRule type="expression" priority="79" dxfId="4166">
      <formula>INDEX($I$1:$I$300,ROW(CJ20))=1</formula>
    </cfRule>
    <cfRule type="expression" priority="80" dxfId="4185">
      <formula>INDEX($I$1:$I$300,ROW(CJ20))=2</formula>
    </cfRule>
    <cfRule type="expression" priority="81" dxfId="4165">
      <formula>_xlfn.SWITCH(INDEX($X$1:$X$300,ROW(CJ20)),-1,SIGN(CJ20)&gt;0,1,SIGN(CJ20)&lt;0)</formula>
    </cfRule>
    <cfRule type="expression" priority="82" dxfId="4191">
      <formula>INDEX($H$1:$H$300,ROW($X20))=2</formula>
    </cfRule>
    <cfRule type="expression" priority="78" dxfId="4186">
      <formula>INDEX($I$1:$I$300,ROW(CJ20))=3</formula>
    </cfRule>
  </conditionalFormatting>
  <conditionalFormatting sqref="CJ45:CK62">
    <cfRule type="expression" priority="76" dxfId="4165">
      <formula>_xlfn.SWITCH(INDEX($X$1:$X$300,ROW(CJ45)),-1,SIGN(CJ45)&gt;0,1,SIGN(CJ45)&lt;0)</formula>
    </cfRule>
    <cfRule type="expression" priority="75" dxfId="4185">
      <formula>INDEX($I$1:$I$300,ROW(CJ45))=2</formula>
    </cfRule>
    <cfRule type="expression" priority="74" dxfId="4166">
      <formula>INDEX($I$1:$I$300,ROW(CJ45))=1</formula>
    </cfRule>
    <cfRule type="expression" priority="73" dxfId="4186">
      <formula>INDEX($I$1:$I$300,ROW(CJ45))=3</formula>
    </cfRule>
    <cfRule type="expression" priority="29" dxfId="4165">
      <formula>_xlfn.SWITCH(INDEX($X$1:$X$300,ROW(CJ45)),-1,SIGN(CJ45)&gt;0,1,SIGN(CJ45)&lt;0)</formula>
    </cfRule>
    <cfRule type="expression" priority="28" dxfId="4185">
      <formula>INDEX($I$1:$I$300,ROW(CJ45))=2</formula>
    </cfRule>
    <cfRule type="expression" priority="27" dxfId="4166">
      <formula>INDEX($I$1:$I$300,ROW(CJ45))=1</formula>
    </cfRule>
    <cfRule type="expression" priority="26" dxfId="4186">
      <formula>INDEX($I$1:$I$300,ROW(CJ45))=3</formula>
    </cfRule>
    <cfRule type="expression" priority="30" dxfId="4191">
      <formula>INDEX($H$1:$H$300,ROW($X45))=2</formula>
    </cfRule>
    <cfRule type="expression" priority="77" dxfId="4191">
      <formula>INDEX($H$1:$H$300,ROW($X45))=2</formula>
    </cfRule>
  </conditionalFormatting>
  <conditionalFormatting sqref="CL19">
    <cfRule type="expression" priority="50" dxfId="4165">
      <formula>_xlfn.SWITCH(INDEX($X$1:$X$300,ROW(CL19)),-1,SIGN(CL19)&gt;0,1,SIGN(CL19)&lt;0)</formula>
    </cfRule>
  </conditionalFormatting>
  <conditionalFormatting sqref="CL19:CN19">
    <cfRule type="expression" priority="14" dxfId="4166">
      <formula>INDEX($I$1:$I$300,ROW(CL19))=1</formula>
    </cfRule>
    <cfRule type="expression" priority="13" dxfId="4186">
      <formula>INDEX($I$1:$I$300,ROW(CL19))=3</formula>
    </cfRule>
    <cfRule type="expression" priority="15" dxfId="4185">
      <formula>INDEX($I$1:$I$300,ROW(CL19))=2</formula>
    </cfRule>
  </conditionalFormatting>
  <conditionalFormatting sqref="AD19:CC62 CL20:CN43 CL45:CN62">
    <cfRule type="expression" priority="113" dxfId="2566">
      <formula>_xlfn.SWITCH(INDEX($X$1:$X$300,ROW(AD19)),-1,SIGN(AD19)&gt;0,1,SIGN(AD19)&lt;0)</formula>
    </cfRule>
  </conditionalFormatting>
  <conditionalFormatting sqref="CL44:CN44">
    <cfRule type="expression" priority="5" dxfId="4185">
      <formula>INDEX($I$1:$I$300,ROW(CL44))=2</formula>
    </cfRule>
    <cfRule type="expression" priority="4" dxfId="4166">
      <formula>INDEX($I$1:$I$300,ROW(CL44))=1</formula>
    </cfRule>
    <cfRule type="expression" priority="3" dxfId="4186">
      <formula>INDEX($I$1:$I$300,ROW(CL44))=3</formula>
    </cfRule>
    <cfRule type="expression" priority="2" dxfId="4165">
      <formula>_xlfn.SWITCH(INDEX($X$1:$X$300,ROW(CL44)),-1,SIGN(CL44)&gt;0,1,SIGN(CL44)&lt;0)</formula>
    </cfRule>
  </conditionalFormatting>
  <conditionalFormatting sqref="CM10:CN11">
    <cfRule type="expression" priority="45" dxfId="4167">
      <formula>INDEX($H$1:$H$300,ROW($CM10))=2</formula>
    </cfRule>
  </conditionalFormatting>
  <conditionalFormatting sqref="CM11:CN11">
    <cfRule type="expression" priority="46" dxfId="4167">
      <formula>fmt_shadeOn(CM11)</formula>
    </cfRule>
  </conditionalFormatting>
  <conditionalFormatting sqref="CM19:CN19">
    <cfRule type="expression" priority="16" dxfId="4167">
      <formula>INDEX($H$1:$H$300,ROW($CM19))=2</formula>
    </cfRule>
    <cfRule type="expression" priority="12" dxfId="4165">
      <formula>_xlfn.SWITCH(INDEX($X$1:$X$300,ROW(CM19)),-1,SIGN(CM19)&gt;0,1,SIGN(CM19)&lt;0)</formula>
    </cfRule>
    <cfRule type="expression" priority="11" dxfId="4194">
      <formula>IF($A$14,IF(CELL("protect",CM19)=0,TRUE,FALSE))</formula>
    </cfRule>
  </conditionalFormatting>
  <conditionalFormatting sqref="CM20:CN43 CM45:CN62">
    <cfRule type="expression" priority="114" dxfId="4167">
      <formula>INDEX($H$1:$H$300,ROW(CM20))=2</formula>
    </cfRule>
  </conditionalFormatting>
  <conditionalFormatting sqref="CM21:CN23">
    <cfRule type="expression" priority="24" dxfId="4191">
      <formula>INDEX($H$1:$H$300,ROW(CM21))=2</formula>
    </cfRule>
    <cfRule type="expression" priority="112" dxfId="4191">
      <formula>INDEX($H$1:$H$300,ROW(CM21))=2</formula>
    </cfRule>
  </conditionalFormatting>
  <conditionalFormatting sqref="CM25:CN27">
    <cfRule type="expression" priority="22" dxfId="4191">
      <formula>INDEX($H$1:$H$300,ROW(CM25))=2</formula>
    </cfRule>
    <cfRule type="expression" priority="111" dxfId="4191">
      <formula>INDEX($H$1:$H$300,ROW(CM25))=2</formula>
    </cfRule>
  </conditionalFormatting>
  <conditionalFormatting sqref="CM29:CN30">
    <cfRule type="expression" priority="17" dxfId="4191">
      <formula>INDEX($H$1:$H$300,ROW(CM29))=2</formula>
    </cfRule>
    <cfRule type="expression" priority="110" dxfId="4191">
      <formula>INDEX($H$1:$H$300,ROW(CM29))=2</formula>
    </cfRule>
  </conditionalFormatting>
  <conditionalFormatting sqref="CM32:CN35">
    <cfRule type="expression" priority="109" dxfId="4191">
      <formula>INDEX($H$1:$H$300,ROW(CM32))=2</formula>
    </cfRule>
    <cfRule type="expression" priority="20" dxfId="4191">
      <formula>INDEX($H$1:$H$300,ROW(CM32))=2</formula>
    </cfRule>
  </conditionalFormatting>
  <conditionalFormatting sqref="CM44:CN44">
    <cfRule type="expression" priority="6" dxfId="4167">
      <formula>INDEX($H$1:$H$300,ROW($CM44))=2</formula>
    </cfRule>
    <cfRule type="expression" priority="1" dxfId="4194">
      <formula>IF($A$14,IF(CELL("protect",CM44)=0,TRUE,FALSE))</formula>
    </cfRule>
  </conditionalFormatting>
  <conditionalFormatting sqref="CM46:CN48">
    <cfRule type="expression" priority="108" dxfId="4191">
      <formula>INDEX($H$1:$H$300,ROW(CM46))=2</formula>
    </cfRule>
  </conditionalFormatting>
  <conditionalFormatting sqref="CM50:CN52">
    <cfRule type="expression" priority="107" dxfId="4191">
      <formula>INDEX($H$1:$H$300,ROW(CM50))=2</formula>
    </cfRule>
  </conditionalFormatting>
  <conditionalFormatting sqref="CM54:CN55">
    <cfRule type="expression" priority="106" dxfId="4191">
      <formula>INDEX($H$1:$H$300,ROW(CM54))=2</formula>
    </cfRule>
  </conditionalFormatting>
  <conditionalFormatting sqref="CM57:CN60">
    <cfRule type="expression" priority="105" dxfId="4191">
      <formula>INDEX($H$1:$H$300,ROW(CM57))=2</formula>
    </cfRule>
  </conditionalFormatting>
  <dataValidations count="8">
    <dataValidation allowBlank="1" showInputMessage="1" sqref="AD4 AF4:BZ4 CM4:CN4 AG5:AG6 AH5:AK5 AM5:AN6 AO5:BZ7 CM5 AH6:AJ6 AJ7:AN7 AD8:AD15 AF8:BZ8 AE9:BZ15 CM11:CN20 CD12:CE15 CF12:CK12 CF13:CI14 CJ13:CK38 CF15 CG15:CH38 CI15:CI19 AD16:BZ20 CC16 CD16:CF40 CB20:CB43 AD24:BZ24 CM24:CN24 AD28:BZ28 CM28:CN28 AD31:BZ31 CM31:CN31 AD36:BZ37 CM36:CN38 CG39:CL40 AD41:BZ45 CL43:CN43 CD44:CF44 CG44:CH62 CI44 CJ44:CK62 CM44:CN62 CB45:CB63 CD45:CE62 CL45:CL63 CF46:CF62 AD49:BZ49 AD53:BZ53 AD56:BZ56 AD61:BZ62"/>
    <dataValidation allowBlank="1" showInputMessage="1" promptTitle="Company Reporting Currency" prompt="You are not supposed to change the currency display here. " sqref="AM5:AM6"/>
    <dataValidation allowBlank="1" promptTitle="What is this for?" prompt="You can overwrite the system year end to test the model. Please remove them or switch it to the factual (provided below) to avoid confusion. " sqref="AK6"/>
    <dataValidation type="whole" allowBlank="1" showInputMessage="1" promptTitle="Sign" prompt="1=Positive/Plus, -1 = Negatives/Minus; 0 =Equal_x000a_" sqref="X41:X42">
      <formula1>-1</formula1>
      <formula2>1</formula2>
    </dataValidation>
    <dataValidation allowBlank="1" showInputMessage="1" prompt="Display Unit can be changed in the PL sheet only. " sqref="AL5:AL6"/>
    <dataValidation type="decimal" operator="notEqual" allowBlank="1" showInputMessage="1" sqref="AD21:BZ23 CM21:CN23 AD25:BZ27 CM25:CN27 AD29:BZ30 CM29:CN30 AD32:BZ35 CM32:CN35 AD46:BZ48 AD50:BZ52 AD54:BZ55 AD57:BZ60">
      <formula1>9999999999999990000</formula1>
    </dataValidation>
    <dataValidation type="list" allowBlank="1" showInputMessage="1" showErrorMessage="1" sqref="K10">
      <formula1>"1,0"</formula1>
    </dataValidation>
    <dataValidation type="list" allowBlank="1" showInputMessage="1" sqref="AL6">
      <formula1>Developer!$B$52:$B$55</formula1>
    </dataValidation>
  </dataValidations>
  <hyperlinks>
    <hyperlink ref="AE6" location="val_company" display="val_company"/>
    <hyperlink ref="AL6" location="val_displayUnit" display="val_displayUnit"/>
  </hyperlinks>
  <pageMargins left="0.25" right="0.25" top="0.75" bottom="0.75" header="0.3" footer="0.3"/>
  <pageSetup fitToHeight="0" orientation="portrait" paperSize="8" r:id="rId3"/>
  <drawing r:id="rId1"/>
  <picture r:id="rId2"/>
  <extLst>
    <ext xmlns:x14="http://schemas.microsoft.com/office/spreadsheetml/2009/9/main" uri="{78C0D931-6437-407d-A8EE-F0AAD7539E65}">
      <x14:conditionalFormattings>
        <x14:conditionalFormatting xmlns:xm="http://schemas.microsoft.com/office/excel/2006/main">
          <x14:cfRule type="iconSet" priority="138" id="{92AEEE6D-C0D0-4031-A3D3-EC3466FAFB07}">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Z12:Z14 Z20:Z40 Z45:Z62</xm:sqref>
        </x14:conditionalFormatting>
        <x14:conditionalFormatting xmlns:xm="http://schemas.microsoft.com/office/excel/2006/main">
          <x14:cfRule type="iconSet" priority="125" id="{19AD92CB-4C5A-401F-9A82-E0E3775C5CF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AD17:BZ17</xm:sqref>
        </x14:conditionalFormatting>
        <x14:conditionalFormatting xmlns:xm="http://schemas.microsoft.com/office/excel/2006/main">
          <x14:cfRule type="iconSet" priority="126" id="{A00C3569-ACE4-4B31-ACFC-08FB4943C8F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AD41:BZ41</xm:sqref>
        </x14:conditionalFormatting>
        <x14:conditionalFormatting xmlns:xm="http://schemas.microsoft.com/office/excel/2006/main">
          <x14:cfRule type="iconSet" priority="52" id="{EEEBE5C5-8777-4A64-BFFA-E59815A2DB2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CM17:CN17</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069AECE-9711-4F24-A44D-5FE32D84D87F}">
  <sheetPr codeName="Sheet8">
    <tabColor rgb="FF92D050"/>
  </sheetPr>
  <dimension ref="A1:DO50"/>
  <sheetViews>
    <sheetView zoomScale="70" zoomScaleNormal="70" workbookViewId="0" topLeftCell="AA9">
      <selection pane="topLeft" activeCell="AI34" sqref="AI34:BS49"/>
    </sheetView>
  </sheetViews>
  <sheetFormatPr defaultColWidth="12.3077777777778" defaultRowHeight="15.5" outlineLevelCol="1"/>
  <cols>
    <col min="1" max="11" width="19.3333333333333" customWidth="1" outlineLevel="1"/>
    <col min="12" max="14" width="4.11111111111111" customWidth="1" outlineLevel="1"/>
    <col min="15" max="15" width="6.66666666666667" customWidth="1"/>
    <col min="16" max="17" width="2.66666666666667" customWidth="1" outlineLevel="1"/>
    <col min="18" max="18" width="2.55555555555556" customWidth="1" outlineLevel="1"/>
    <col min="19" max="19" width="2.66666666666667" customWidth="1" outlineLevel="1"/>
    <col min="20" max="20" width="55.7777777777778" customWidth="1" outlineLevel="1"/>
    <col min="21" max="21" width="66" customWidth="1" outlineLevel="1"/>
    <col min="22" max="22" width="1.88888888888889" customWidth="1" outlineLevel="1"/>
    <col min="23" max="23" width="2.33333333333333" customWidth="1"/>
    <col min="24" max="24" width="11.3333333333333" customWidth="1"/>
    <col min="25" max="25" width="4.22222222222222" customWidth="1"/>
    <col min="26" max="26" width="44.6666666666667" customWidth="1"/>
    <col min="27" max="27" width="4.22222222222222" customWidth="1"/>
    <col min="28" max="28" width="4.55555555555556" customWidth="1"/>
    <col min="29" max="29" width="44.6666666666667" customWidth="1"/>
    <col min="30" max="30" width="12.5555555555556" customWidth="1"/>
    <col min="31" max="33" width="17.8888888888889" customWidth="1"/>
    <col min="34" max="34" width="4.88888888888889" customWidth="1"/>
    <col min="35" max="66" width="17.8888888888889" customWidth="1"/>
    <col min="67" max="67" width="17.8888888888889" customWidth="1" outlineLevel="1"/>
    <col min="68" max="70" width="12.3333333333333" customWidth="1" outlineLevel="1"/>
    <col min="71" max="72" width="17.8888888888889" customWidth="1" outlineLevel="1"/>
    <col min="73" max="73" width="23.7777777777778" customWidth="1" outlineLevel="1"/>
    <col min="74" max="78" width="17.8888888888889" customWidth="1" outlineLevel="1"/>
    <col min="79" max="82" width="17.8888888888889" customWidth="1"/>
    <col min="83" max="83" width="15.3333333333333" customWidth="1"/>
    <col min="84" max="85" width="17.8888888888889" customWidth="1"/>
    <col min="86" max="86" width="12.3333333333333" customWidth="1"/>
    <col min="87" max="88" width="17.8888888888889" customWidth="1"/>
    <col min="89" max="89" width="12.3333333333333" customWidth="1"/>
    <col min="90" max="91" width="17.8888888888889" customWidth="1"/>
    <col min="92" max="97" width="12.3333333333333" customWidth="1"/>
    <col min="98" max="128" width="12.3333333333333" customWidth="1" outlineLevel="1"/>
    <col min="129" max="129" width="12.3333333333333" outlineLevel="1" collapsed="1"/>
    <col min="130" max="146" width="12.3333333333333" outlineLevel="1"/>
  </cols>
  <sheetData>
    <row r="1" spans="1:32" ht="5.5" customHeight="1">
      <c r="A1" s="2050" t="s">
        <v>1857</v>
      </c>
      <c r="B1" s="2046" t="s">
        <v>1856</v>
      </c>
      <c r="C1" s="2046"/>
      <c r="E1" s="37"/>
      <c r="F1" s="37"/>
      <c r="G1" s="821"/>
      <c r="H1" s="821"/>
      <c r="I1" s="821"/>
      <c r="J1" s="822"/>
      <c r="K1" s="822"/>
      <c r="L1" s="108"/>
      <c r="M1" s="108"/>
      <c r="N1" s="108"/>
      <c r="O1" s="115"/>
      <c r="X1" s="37"/>
      <c r="Y1" s="37"/>
      <c r="AD1" s="37"/>
      <c r="AE1" s="537"/>
      <c r="AF1" s="37"/>
    </row>
    <row r="2" spans="1:32" ht="9" customHeight="1" hidden="1">
      <c r="A2" s="2050" t="s">
        <v>255</v>
      </c>
      <c r="B2" s="2046"/>
      <c r="C2" s="2046"/>
      <c r="E2" s="37"/>
      <c r="F2" s="37"/>
      <c r="G2" s="821"/>
      <c r="H2" s="821"/>
      <c r="I2" s="821"/>
      <c r="J2" s="822"/>
      <c r="K2" s="822"/>
      <c r="L2" s="108"/>
      <c r="M2" s="108"/>
      <c r="N2" s="108"/>
      <c r="O2" s="115"/>
      <c r="X2" s="37"/>
      <c r="Y2" s="37"/>
      <c r="AD2" s="37"/>
      <c r="AE2" s="537"/>
      <c r="AF2" s="37"/>
    </row>
    <row r="3" spans="1:71" ht="4.15" customHeight="1" collapsed="1">
      <c r="A3" s="2050" t="s">
        <v>256</v>
      </c>
      <c r="B3" s="2046"/>
      <c r="C3" s="2046"/>
      <c r="E3" s="37"/>
      <c r="F3" s="37"/>
      <c r="G3" s="821"/>
      <c r="H3" s="821"/>
      <c r="I3" s="821"/>
      <c r="J3" s="822"/>
      <c r="K3" s="822"/>
      <c r="L3" s="108"/>
      <c r="M3" s="108"/>
      <c r="N3" s="108"/>
      <c r="O3" s="3003" t="s">
        <v>23</v>
      </c>
      <c r="P3" s="15"/>
      <c r="Q3" s="15" t="s">
        <v>257</v>
      </c>
      <c r="R3" s="15" t="s">
        <v>257</v>
      </c>
      <c r="S3" s="15" t="s">
        <v>257</v>
      </c>
      <c r="T3" s="15" t="s">
        <v>257</v>
      </c>
      <c r="U3" s="152" t="s">
        <v>257</v>
      </c>
      <c r="V3" s="38"/>
      <c r="X3" s="1152"/>
      <c r="Y3" s="144"/>
      <c r="Z3" s="15"/>
      <c r="AA3" s="15"/>
      <c r="AB3" s="15"/>
      <c r="AC3" s="143"/>
      <c r="AD3" s="144"/>
      <c r="AE3" s="535"/>
      <c r="AF3" s="144"/>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row>
    <row r="4" spans="1:71" ht="72" customHeight="1">
      <c r="A4" s="2050"/>
      <c r="B4" s="2046"/>
      <c r="C4" s="2046"/>
      <c r="M4" s="108"/>
      <c r="N4" s="108"/>
      <c r="O4" s="3004"/>
      <c r="P4" s="3008" t="e" vm="2" cm="1">
        <f t="array" ref="P4">IF(LEFT($A$1,3)="unp",icon_unlock,icon_lock)</f>
        <v>#VALUE!</v>
      </c>
      <c r="Q4" s="3008"/>
      <c r="R4" s="3008"/>
      <c r="S4" s="153" t="s">
        <v>257</v>
      </c>
      <c r="T4" s="153" t="e" vm="8">
        <f>PL!S4</f>
        <v>#VALUE!</v>
      </c>
      <c r="U4" s="153"/>
      <c r="V4" s="39"/>
      <c r="X4" s="3000"/>
      <c r="Y4" s="3000"/>
      <c r="Z4" s="3001" t="e" vm="1">
        <f ca="1">_xlfn.IMAGE(INDEX(PM_Support[COMPANY_LOGO_URL],MATCH(val_company,PM_Support[COMPANY_NAME],0)))</f>
        <v>#VALUE!</v>
      </c>
      <c r="AA4" s="3001"/>
      <c r="AB4" s="2"/>
      <c r="AC4" s="734"/>
      <c r="AD4" s="101"/>
      <c r="AE4" s="734"/>
      <c r="AF4" s="734"/>
      <c r="AG4" s="734"/>
      <c r="AH4" s="734"/>
      <c r="AI4" s="734"/>
      <c r="AJ4" s="138"/>
      <c r="AK4" s="138"/>
      <c r="AL4" s="138"/>
      <c r="AM4" s="138"/>
      <c r="AN4" s="138"/>
      <c r="AO4" s="138"/>
      <c r="AP4" s="146"/>
      <c r="AQ4" s="146"/>
      <c r="AR4" s="146"/>
      <c r="AS4" s="146"/>
      <c r="AT4" s="146"/>
      <c r="AU4" s="146"/>
      <c r="AV4" s="146"/>
      <c r="AW4" s="146"/>
      <c r="AX4" s="146"/>
      <c r="AY4" s="138"/>
      <c r="AZ4" s="138"/>
      <c r="BA4" s="138"/>
      <c r="BB4" s="138"/>
      <c r="BC4" s="138"/>
      <c r="BD4" s="138"/>
      <c r="BE4" s="138"/>
      <c r="BF4" s="138"/>
      <c r="BG4" s="138"/>
      <c r="BH4" s="138"/>
      <c r="BI4" s="138"/>
      <c r="BJ4" s="138"/>
      <c r="BK4" s="138"/>
      <c r="BL4" s="138"/>
      <c r="BM4" s="138"/>
      <c r="BN4" s="138"/>
      <c r="BO4" s="138"/>
      <c r="BP4" s="138"/>
      <c r="BQ4" s="138"/>
      <c r="BR4" s="138"/>
      <c r="BS4" s="138"/>
    </row>
    <row r="5" spans="1:71" ht="48.65" customHeight="1">
      <c r="A5" s="31"/>
      <c r="E5" s="37"/>
      <c r="F5" s="37"/>
      <c r="G5" s="821"/>
      <c r="H5" s="821"/>
      <c r="I5" s="821"/>
      <c r="J5" s="822"/>
      <c r="K5" s="822"/>
      <c r="L5" s="108"/>
      <c r="M5" s="108"/>
      <c r="N5" s="108"/>
      <c r="O5" s="3004"/>
      <c r="P5" s="101"/>
      <c r="Q5" s="153" t="s">
        <v>257</v>
      </c>
      <c r="R5" s="101" t="s">
        <v>257</v>
      </c>
      <c r="S5" s="153" t="s">
        <v>257</v>
      </c>
      <c r="T5" s="3005" t="s">
        <v>25</v>
      </c>
      <c r="U5" s="3005"/>
      <c r="V5" s="39"/>
      <c r="X5" s="1153"/>
      <c r="Y5" s="805"/>
      <c r="Z5" s="210" t="s">
        <v>258</v>
      </c>
      <c r="AA5" s="2"/>
      <c r="AB5" s="2"/>
      <c r="AC5" s="734"/>
      <c r="AD5" s="126"/>
      <c r="AE5" s="734"/>
      <c r="AF5" s="734"/>
      <c r="AG5" s="734"/>
      <c r="AH5" s="734"/>
      <c r="AI5" s="734"/>
      <c r="AJ5" s="138"/>
      <c r="AK5" s="138"/>
      <c r="AL5" s="22"/>
      <c r="AM5" s="22"/>
      <c r="AN5" s="22"/>
      <c r="AO5" s="22"/>
      <c r="AP5" s="22"/>
      <c r="AQ5" s="22"/>
      <c r="AR5" s="22"/>
      <c r="AS5" s="22"/>
      <c r="AT5" s="22"/>
      <c r="AU5" s="22"/>
      <c r="AV5" s="22"/>
      <c r="AW5" s="22"/>
      <c r="AX5" s="22"/>
      <c r="AY5" s="138"/>
      <c r="AZ5" s="138"/>
      <c r="BA5" s="138"/>
      <c r="BB5" s="138"/>
      <c r="BC5" s="138"/>
      <c r="BD5" s="138"/>
      <c r="BE5" s="138"/>
      <c r="BF5" s="138"/>
      <c r="BG5" s="138"/>
      <c r="BH5" s="138"/>
      <c r="BI5" s="148"/>
      <c r="BJ5" s="138"/>
      <c r="BK5" s="138"/>
      <c r="BL5" s="138"/>
      <c r="BM5" s="138"/>
      <c r="BN5" s="138"/>
      <c r="BO5" s="138"/>
      <c r="BP5" s="138"/>
      <c r="BQ5" s="138"/>
      <c r="BR5" s="138"/>
      <c r="BS5" s="138"/>
    </row>
    <row r="6" spans="1:71" ht="21.75" customHeight="1">
      <c r="A6" s="1359"/>
      <c r="B6" s="1075"/>
      <c r="C6" s="1075"/>
      <c r="D6" s="1075"/>
      <c r="E6" s="586"/>
      <c r="F6" s="585"/>
      <c r="G6" s="585"/>
      <c r="H6" s="585"/>
      <c r="I6" s="586"/>
      <c r="J6" s="586"/>
      <c r="K6" s="586"/>
      <c r="L6" s="108"/>
      <c r="M6" s="108"/>
      <c r="N6" s="108"/>
      <c r="O6" s="3004"/>
      <c r="P6" s="101"/>
      <c r="Q6" s="153" t="s">
        <v>257</v>
      </c>
      <c r="R6" s="153" t="s">
        <v>257</v>
      </c>
      <c r="S6" s="153" t="s">
        <v>257</v>
      </c>
      <c r="T6" s="3005"/>
      <c r="U6" s="3005"/>
      <c r="V6" s="39"/>
      <c r="X6" s="1154"/>
      <c r="Y6" s="805"/>
      <c r="Z6" s="734"/>
      <c r="AA6" s="734"/>
      <c r="AB6" s="734"/>
      <c r="AC6" s="734"/>
      <c r="AD6" s="126"/>
      <c r="AE6" s="734"/>
      <c r="AF6" s="734"/>
      <c r="AG6" s="734"/>
      <c r="AH6" s="734"/>
      <c r="AI6" s="734"/>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8"/>
      <c r="BK6" s="138"/>
      <c r="BL6" s="138"/>
      <c r="BM6" s="138"/>
      <c r="BN6" s="138"/>
      <c r="BO6" s="138"/>
      <c r="BP6" s="138"/>
      <c r="BQ6" s="138"/>
      <c r="BR6" s="138"/>
      <c r="BS6" s="138"/>
    </row>
    <row r="7" spans="1:71" ht="39" customHeight="1">
      <c r="A7" s="1299"/>
      <c r="B7" s="1299"/>
      <c r="C7" s="1692" t="s">
        <v>259</v>
      </c>
      <c r="D7" s="1690" t="s">
        <v>260</v>
      </c>
      <c r="E7" s="3322">
        <v>2</v>
      </c>
      <c r="F7" s="1360"/>
      <c r="G7" s="823"/>
      <c r="H7" s="823"/>
      <c r="I7" s="731"/>
      <c r="J7" s="731"/>
      <c r="K7" s="824"/>
      <c r="L7" s="108"/>
      <c r="M7" s="108"/>
      <c r="N7" s="108"/>
      <c r="O7" s="3004"/>
      <c r="P7" s="101"/>
      <c r="Q7" s="126" t="s">
        <v>257</v>
      </c>
      <c r="R7" s="126" t="s">
        <v>257</v>
      </c>
      <c r="S7" s="126" t="s">
        <v>257</v>
      </c>
      <c r="T7" s="2283" t="s">
        <v>32</v>
      </c>
      <c r="U7" s="154" t="s">
        <v>257</v>
      </c>
      <c r="V7" s="39"/>
      <c r="X7" s="94"/>
      <c r="Y7" s="264"/>
      <c r="Z7" s="264"/>
      <c r="AA7" s="264"/>
      <c r="AB7" s="264"/>
      <c r="AC7" s="264"/>
      <c r="AD7" s="123"/>
      <c r="AE7" s="593"/>
      <c r="AF7" s="123"/>
      <c r="AG7" s="101"/>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row>
    <row r="8" spans="1:71" ht="12" customHeight="1">
      <c r="A8" s="1299"/>
      <c r="B8" s="1303"/>
      <c r="C8" s="1303"/>
      <c r="D8" s="697"/>
      <c r="E8" s="697"/>
      <c r="F8" s="1361"/>
      <c r="G8" s="823"/>
      <c r="H8" s="823"/>
      <c r="I8" s="572"/>
      <c r="J8" s="572"/>
      <c r="K8" s="572"/>
      <c r="O8" s="3004"/>
      <c r="P8" s="101"/>
      <c r="Q8" s="18" t="s">
        <v>257</v>
      </c>
      <c r="R8" s="18" t="s">
        <v>257</v>
      </c>
      <c r="S8" s="101" t="s">
        <v>257</v>
      </c>
      <c r="T8" s="101" t="s">
        <v>257</v>
      </c>
      <c r="U8" s="101" t="s">
        <v>257</v>
      </c>
      <c r="V8" s="39"/>
      <c r="X8" s="767"/>
      <c r="Y8" s="126"/>
      <c r="Z8" s="101"/>
      <c r="AA8" s="101"/>
      <c r="AB8" s="101"/>
      <c r="AC8" s="101"/>
      <c r="AD8" s="126"/>
      <c r="AE8" s="1064"/>
      <c r="AF8" s="126"/>
      <c r="AG8" s="101"/>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138"/>
      <c r="BK8" s="138"/>
      <c r="BL8" s="138"/>
      <c r="BM8" s="138"/>
      <c r="BN8" s="138"/>
      <c r="BO8" s="138"/>
      <c r="BP8" s="138"/>
      <c r="BQ8" s="138"/>
      <c r="BR8" s="138"/>
      <c r="BS8" s="138"/>
    </row>
    <row r="9" spans="1:71" ht="25">
      <c r="A9" s="1299"/>
      <c r="B9" s="1303"/>
      <c r="C9" s="1303"/>
      <c r="D9" s="697"/>
      <c r="E9" s="697"/>
      <c r="F9" s="1361"/>
      <c r="G9" s="823"/>
      <c r="H9" s="823"/>
      <c r="I9" s="572"/>
      <c r="J9" s="572"/>
      <c r="K9" s="572"/>
      <c r="O9" s="3004"/>
      <c r="P9" s="101"/>
      <c r="Q9" s="373"/>
      <c r="R9" s="373"/>
      <c r="S9" s="101"/>
      <c r="T9" s="3009" t="s">
        <v>261</v>
      </c>
      <c r="U9" s="3009"/>
      <c r="V9" s="39"/>
      <c r="X9" s="2053" t="s">
        <v>262</v>
      </c>
      <c r="Y9" s="236"/>
      <c r="Z9" s="236"/>
      <c r="AA9" s="236"/>
      <c r="AB9" s="236"/>
      <c r="AC9" s="236"/>
      <c r="AD9" s="236"/>
      <c r="AE9" s="236"/>
      <c r="AF9" s="236"/>
      <c r="AG9" s="534"/>
      <c r="AH9" s="534"/>
      <c r="AI9" s="236"/>
      <c r="AJ9" s="236"/>
      <c r="AK9" s="236"/>
      <c r="AL9" s="236"/>
      <c r="AM9" s="720"/>
      <c r="AN9" s="720"/>
      <c r="AO9" s="720"/>
      <c r="AP9" s="720"/>
      <c r="AQ9" s="534"/>
      <c r="AR9" s="534"/>
      <c r="AS9" s="534"/>
      <c r="AT9" s="534"/>
      <c r="AU9" s="534"/>
      <c r="AV9" s="534"/>
      <c r="AW9" s="534"/>
      <c r="AX9" s="534"/>
      <c r="AY9" s="534"/>
      <c r="AZ9" s="534"/>
      <c r="BA9" s="534"/>
      <c r="BB9" s="534"/>
      <c r="BC9" s="534"/>
      <c r="BD9" s="534"/>
      <c r="BE9" s="534"/>
      <c r="BF9" s="534"/>
      <c r="BG9" s="534"/>
      <c r="BH9" s="705"/>
      <c r="BI9" s="705"/>
      <c r="BJ9" s="705"/>
      <c r="BK9" s="705"/>
      <c r="BL9" s="705"/>
      <c r="BM9" s="705"/>
      <c r="BN9" s="705"/>
      <c r="BO9" s="705"/>
      <c r="BP9" s="705"/>
      <c r="BQ9" s="705"/>
      <c r="BR9" s="705"/>
      <c r="BS9" s="705"/>
    </row>
    <row r="10" spans="1:113" s="1376" customFormat="1" ht="24.65" customHeight="1">
      <c r="A10" s="1374"/>
      <c r="B10" s="1303"/>
      <c r="C10" s="1691" t="s">
        <v>263</v>
      </c>
      <c r="D10" s="1689" t="s">
        <v>263</v>
      </c>
      <c r="E10" s="1691" t="s">
        <v>264</v>
      </c>
      <c r="F10" s="1361"/>
      <c r="G10" s="1375"/>
      <c r="H10" s="1375"/>
      <c r="I10" s="719" t="s">
        <v>265</v>
      </c>
      <c r="J10" s="852"/>
      <c r="K10" s="852"/>
      <c r="L10" s="1671"/>
      <c r="M10" s="1671"/>
      <c r="N10" s="1671"/>
      <c r="O10" s="1679"/>
      <c r="P10" s="1680"/>
      <c r="Q10" s="1681"/>
      <c r="R10" s="1681"/>
      <c r="S10" s="1680"/>
      <c r="T10" s="3009"/>
      <c r="U10" s="3009"/>
      <c r="V10" s="1682"/>
      <c r="W10" s="1671"/>
      <c r="X10" s="1377"/>
      <c r="Y10" s="1378"/>
      <c r="Z10" s="2174" t="s">
        <v>266</v>
      </c>
      <c r="AA10" s="1378"/>
      <c r="AB10" s="1378"/>
      <c r="AC10" s="1378"/>
      <c r="AD10" s="1378"/>
      <c r="AE10" s="1378"/>
      <c r="AF10" s="1378"/>
      <c r="AG10" s="1379"/>
      <c r="AH10" s="1379"/>
      <c r="AI10" s="1378"/>
      <c r="AJ10" s="1378"/>
      <c r="AK10" s="1378"/>
      <c r="AL10" s="1378"/>
      <c r="AM10" s="1380"/>
      <c r="AN10" s="1380"/>
      <c r="AO10" s="1380"/>
      <c r="AP10" s="1380"/>
      <c r="AQ10" s="1379"/>
      <c r="AR10" s="1379"/>
      <c r="AS10" s="1379"/>
      <c r="AT10" s="1379"/>
      <c r="AU10" s="1379"/>
      <c r="AV10" s="1379"/>
      <c r="AW10" s="1379"/>
      <c r="AX10" s="1379"/>
      <c r="AY10" s="1379"/>
      <c r="AZ10" s="1379"/>
      <c r="BA10" s="1379"/>
      <c r="BB10" s="1379"/>
      <c r="BC10" s="1379"/>
      <c r="BD10" s="1379"/>
      <c r="BE10" s="1379"/>
      <c r="BF10" s="1379"/>
      <c r="BG10" s="1379"/>
      <c r="BH10" s="1381"/>
      <c r="BI10" s="1381"/>
      <c r="BJ10" s="1381"/>
      <c r="BK10" s="1381"/>
      <c r="BL10" s="1381"/>
      <c r="BM10" s="1381"/>
      <c r="BN10" s="1381"/>
      <c r="BO10" s="1381"/>
      <c r="BP10" s="1381"/>
      <c r="BQ10" s="1381"/>
      <c r="BR10" s="1381"/>
      <c r="BS10" s="1381"/>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row>
    <row r="11" spans="1:71" ht="25">
      <c r="A11" s="1382"/>
      <c r="B11" s="1303"/>
      <c r="C11" s="1692" t="s">
        <v>259</v>
      </c>
      <c r="D11" s="1690" t="s">
        <v>260</v>
      </c>
      <c r="E11" s="3330">
        <v>1</v>
      </c>
      <c r="F11" s="1361"/>
      <c r="G11" s="823"/>
      <c r="H11" s="823"/>
      <c r="I11" s="731"/>
      <c r="J11" s="1383"/>
      <c r="K11" s="1383"/>
      <c r="O11" s="372"/>
      <c r="P11" s="101"/>
      <c r="Q11" s="101"/>
      <c r="R11" s="101"/>
      <c r="S11" s="101"/>
      <c r="T11" s="1833"/>
      <c r="U11" s="1834"/>
      <c r="V11" s="39"/>
      <c r="X11" s="1387" t="s">
        <v>199</v>
      </c>
      <c r="Y11" s="1384"/>
      <c r="Z11" s="495" t="s">
        <v>267</v>
      </c>
      <c r="AA11" s="495"/>
      <c r="AB11" s="495"/>
      <c r="AC11" s="1384"/>
      <c r="AD11" s="1384"/>
      <c r="AE11" s="1384"/>
      <c r="AF11" s="1384"/>
      <c r="AG11" s="1385"/>
      <c r="AH11" s="1385"/>
      <c r="AI11" s="1384"/>
      <c r="AJ11" s="1384"/>
      <c r="AK11" s="1384"/>
      <c r="AL11" s="1384"/>
      <c r="AM11" s="1386"/>
      <c r="AN11" s="1386"/>
      <c r="AO11" s="1386"/>
      <c r="AP11" s="1386"/>
      <c r="AQ11" s="1385"/>
      <c r="AR11" s="1385"/>
      <c r="AS11" s="1385"/>
      <c r="AT11" s="1385"/>
      <c r="AU11" s="1385"/>
      <c r="AV11" s="1385"/>
      <c r="AW11" s="1385"/>
      <c r="AX11" s="1385"/>
      <c r="AY11" s="1385"/>
      <c r="AZ11" s="1385"/>
      <c r="BA11" s="1385"/>
      <c r="BB11" s="1385"/>
      <c r="BC11" s="1385"/>
      <c r="BD11" s="1385"/>
      <c r="BE11" s="1385"/>
      <c r="BF11" s="1385"/>
      <c r="BG11" s="1385"/>
      <c r="BH11" s="705"/>
      <c r="BI11" s="705"/>
      <c r="BJ11" s="705"/>
      <c r="BK11" s="705"/>
      <c r="BL11" s="705"/>
      <c r="BM11" s="705"/>
      <c r="BN11" s="705"/>
      <c r="BO11" s="705"/>
      <c r="BP11" s="705"/>
      <c r="BQ11" s="705"/>
      <c r="BR11" s="705"/>
      <c r="BS11" s="705"/>
    </row>
    <row r="12" spans="1:71" ht="25">
      <c r="A12" s="1382"/>
      <c r="B12" s="1303"/>
      <c r="C12" s="1692" t="s">
        <v>268</v>
      </c>
      <c r="D12" s="1690" t="s">
        <v>269</v>
      </c>
      <c r="E12" s="3322">
        <v>2</v>
      </c>
      <c r="F12" s="1361"/>
      <c r="G12" s="823"/>
      <c r="H12" s="823"/>
      <c r="I12" s="32" t="str" cm="1">
        <f t="array" ref="I12">_xlfn.LAMBDA(_xlpm.KPIName,_xlpm.Value,_xlfn.LET(_xlpm.Fmt,_xlfn.XLOOKUP(_xlpm.KPIName,$Z$33:$Z$51,$AD$33:$AD$51,"Integer"),_xlpm.FormatString,_xlfn.XLOOKUP(_xlpm.Fmt,$C$11:$C$16,$D$11:$D$16,"#,###"),_xlpm.ApplyFmt,TEXT(_xlpm.Value,_xlpm.FormatString),_xlpm.ApplyFmt))(Z34,25)</f>
        <v>25</v>
      </c>
      <c r="J12" s="1383"/>
      <c r="K12" s="1383"/>
      <c r="O12" s="372"/>
      <c r="P12" s="101"/>
      <c r="Q12" s="52"/>
      <c r="R12" s="101"/>
      <c r="S12" s="101"/>
      <c r="T12" s="1833"/>
      <c r="U12" s="1834"/>
      <c r="V12" s="39"/>
      <c r="X12" s="1387"/>
      <c r="Y12" s="1384"/>
      <c r="Z12" s="495" t="s">
        <v>270</v>
      </c>
      <c r="AA12" s="495"/>
      <c r="AB12" s="495"/>
      <c r="AC12" s="1384"/>
      <c r="AD12" s="1384"/>
      <c r="AE12" s="1384"/>
      <c r="AF12" s="1384"/>
      <c r="AG12" s="1385"/>
      <c r="AH12" s="1385"/>
      <c r="AI12" s="1384"/>
      <c r="AJ12" s="1384"/>
      <c r="AK12" s="1384"/>
      <c r="AL12" s="1384"/>
      <c r="AM12" s="1386"/>
      <c r="AN12" s="1386"/>
      <c r="AO12" s="1386"/>
      <c r="AP12" s="1386"/>
      <c r="AQ12" s="1385"/>
      <c r="AR12" s="1385"/>
      <c r="AS12" s="1385"/>
      <c r="AT12" s="1385"/>
      <c r="AU12" s="1385"/>
      <c r="AV12" s="1385"/>
      <c r="AW12" s="1385"/>
      <c r="AX12" s="1385"/>
      <c r="AY12" s="1385"/>
      <c r="AZ12" s="1385"/>
      <c r="BA12" s="1385"/>
      <c r="BB12" s="1385"/>
      <c r="BC12" s="1385"/>
      <c r="BD12" s="1385"/>
      <c r="BE12" s="1385"/>
      <c r="BF12" s="1385"/>
      <c r="BG12" s="1385"/>
      <c r="BH12" s="705"/>
      <c r="BI12" s="705"/>
      <c r="BJ12" s="705"/>
      <c r="BK12" s="705"/>
      <c r="BL12" s="705"/>
      <c r="BM12" s="705"/>
      <c r="BN12" s="705"/>
      <c r="BO12" s="705"/>
      <c r="BP12" s="705"/>
      <c r="BQ12" s="705"/>
      <c r="BR12" s="705"/>
      <c r="BS12" s="705"/>
    </row>
    <row r="13" spans="1:71" ht="16.4" customHeight="1">
      <c r="A13" s="1299"/>
      <c r="B13" s="1303"/>
      <c r="C13" s="1692" t="s">
        <v>271</v>
      </c>
      <c r="D13" s="1690" t="s">
        <v>272</v>
      </c>
      <c r="E13" s="1692">
        <v>3</v>
      </c>
      <c r="F13" s="1361"/>
      <c r="G13" s="823"/>
      <c r="H13" s="823"/>
      <c r="I13" s="572"/>
      <c r="J13" s="572"/>
      <c r="K13" s="572"/>
      <c r="O13" s="372"/>
      <c r="P13" s="101"/>
      <c r="Q13" s="52"/>
      <c r="R13" s="101"/>
      <c r="S13" s="101"/>
      <c r="T13" s="1834"/>
      <c r="U13" s="1834"/>
      <c r="V13" s="39"/>
      <c r="X13" s="1067"/>
      <c r="Y13" s="23"/>
      <c r="Z13" s="1388" t="s">
        <v>273</v>
      </c>
      <c r="AA13" s="1388"/>
      <c r="AB13" s="1388"/>
      <c r="AC13" s="23"/>
      <c r="AD13" s="88"/>
      <c r="AE13" s="23"/>
      <c r="AF13" s="88"/>
      <c r="AG13" s="23"/>
      <c r="AH13" s="324"/>
      <c r="AI13" s="2087" t="str">
        <f>$X$14</f>
        <v>Actual</v>
      </c>
      <c r="AJ13" s="2087" t="str">
        <f t="shared" si="0" ref="AJ13:BS13">$X$14</f>
        <v>Actual</v>
      </c>
      <c r="AK13" s="2087" t="str">
        <f t="shared" si="0"/>
        <v>Actual</v>
      </c>
      <c r="AL13" s="2087" t="str">
        <f t="shared" si="0"/>
        <v>Actual</v>
      </c>
      <c r="AM13" s="2087" t="str">
        <f t="shared" si="0"/>
        <v>Actual</v>
      </c>
      <c r="AN13" s="2087" t="str">
        <f t="shared" si="0"/>
        <v>Actual</v>
      </c>
      <c r="AO13" s="2087" t="str">
        <f t="shared" si="0"/>
        <v>Actual</v>
      </c>
      <c r="AP13" s="2087" t="str">
        <f t="shared" si="0"/>
        <v>Actual</v>
      </c>
      <c r="AQ13" s="2087" t="str">
        <f t="shared" si="0"/>
        <v>Actual</v>
      </c>
      <c r="AR13" s="2087" t="str">
        <f t="shared" si="0"/>
        <v>Actual</v>
      </c>
      <c r="AS13" s="2087" t="str">
        <f t="shared" si="0"/>
        <v>Actual</v>
      </c>
      <c r="AT13" s="2087" t="str">
        <f t="shared" si="0"/>
        <v>Actual</v>
      </c>
      <c r="AU13" s="2087" t="str">
        <f t="shared" si="0"/>
        <v>Actual</v>
      </c>
      <c r="AV13" s="2087" t="str">
        <f t="shared" si="0"/>
        <v>Actual</v>
      </c>
      <c r="AW13" s="2087" t="str">
        <f t="shared" si="0"/>
        <v>Actual</v>
      </c>
      <c r="AX13" s="2087" t="str">
        <f t="shared" si="0"/>
        <v>Actual</v>
      </c>
      <c r="AY13" s="2087" t="str">
        <f t="shared" si="0"/>
        <v>Actual</v>
      </c>
      <c r="AZ13" s="2087" t="str">
        <f t="shared" si="0"/>
        <v>Actual</v>
      </c>
      <c r="BA13" s="2087" t="str">
        <f t="shared" si="0"/>
        <v>Actual</v>
      </c>
      <c r="BB13" s="2087" t="str">
        <f t="shared" si="0"/>
        <v>Actual</v>
      </c>
      <c r="BC13" s="2087" t="str">
        <f t="shared" si="0"/>
        <v>Actual</v>
      </c>
      <c r="BD13" s="2087" t="str">
        <f t="shared" si="0"/>
        <v>Actual</v>
      </c>
      <c r="BE13" s="2087" t="str">
        <f t="shared" si="0"/>
        <v>Actual</v>
      </c>
      <c r="BF13" s="2087" t="str">
        <f t="shared" si="0"/>
        <v>Actual</v>
      </c>
      <c r="BG13" s="2087" t="str">
        <f t="shared" si="0"/>
        <v>Actual</v>
      </c>
      <c r="BH13" s="2087" t="str">
        <f t="shared" si="0"/>
        <v>Actual</v>
      </c>
      <c r="BI13" s="2087" t="str">
        <f t="shared" si="0"/>
        <v>Actual</v>
      </c>
      <c r="BJ13" s="2087" t="str">
        <f t="shared" si="0"/>
        <v>Actual</v>
      </c>
      <c r="BK13" s="2087" t="str">
        <f t="shared" si="0"/>
        <v>Actual</v>
      </c>
      <c r="BL13" s="2087" t="str">
        <f t="shared" si="0"/>
        <v>Actual</v>
      </c>
      <c r="BM13" s="2087" t="str">
        <f t="shared" si="0"/>
        <v>Actual</v>
      </c>
      <c r="BN13" s="2087" t="str">
        <f t="shared" si="0"/>
        <v>Actual</v>
      </c>
      <c r="BO13" s="2087" t="str">
        <f t="shared" si="0"/>
        <v>Actual</v>
      </c>
      <c r="BP13" s="2087" t="str">
        <f t="shared" si="0"/>
        <v>Actual</v>
      </c>
      <c r="BQ13" s="2087" t="str">
        <f t="shared" si="0"/>
        <v>Actual</v>
      </c>
      <c r="BR13" s="2087" t="str">
        <f t="shared" si="0"/>
        <v>Actual</v>
      </c>
      <c r="BS13" s="2087" t="str">
        <f t="shared" si="0"/>
        <v>Actual</v>
      </c>
    </row>
    <row r="14" spans="1:71" ht="16.4" customHeight="1">
      <c r="A14" s="1845" t="b">
        <v>0</v>
      </c>
      <c r="B14" s="811" t="s">
        <v>66</v>
      </c>
      <c r="C14" s="1692" t="s">
        <v>274</v>
      </c>
      <c r="D14" s="1690" t="s">
        <v>275</v>
      </c>
      <c r="E14" s="1692">
        <v>4</v>
      </c>
      <c r="F14" s="1361"/>
      <c r="G14" s="823"/>
      <c r="H14" s="823"/>
      <c r="I14" s="572"/>
      <c r="J14" s="572"/>
      <c r="K14" s="572"/>
      <c r="O14" s="372"/>
      <c r="P14" s="101"/>
      <c r="Q14" s="151"/>
      <c r="R14" s="151"/>
      <c r="S14" s="101"/>
      <c r="T14" s="3006" t="s">
        <v>276</v>
      </c>
      <c r="U14" s="3006"/>
      <c r="V14" s="39"/>
      <c r="X14" s="1219" t="str" cm="1">
        <f t="array" ref="X14">fx_scenarioConverter("Actual")</f>
        <v>Actual</v>
      </c>
      <c r="Y14" s="23"/>
      <c r="Z14" s="23"/>
      <c r="AA14" s="23"/>
      <c r="AB14" s="23"/>
      <c r="AC14" s="23"/>
      <c r="AD14" s="88"/>
      <c r="AE14" s="23"/>
      <c r="AF14" s="88"/>
      <c r="AG14" s="23"/>
      <c r="AH14" s="324"/>
      <c r="AI14" s="88"/>
      <c r="AJ14" s="95"/>
      <c r="AK14" s="706"/>
      <c r="AL14" s="706"/>
      <c r="AM14" s="704"/>
      <c r="AN14" s="704"/>
      <c r="AO14" s="704"/>
      <c r="AP14" s="704"/>
      <c r="AQ14" s="704"/>
      <c r="AR14" s="704"/>
      <c r="AS14" s="704"/>
      <c r="AT14" s="704"/>
      <c r="AU14" s="704"/>
      <c r="AV14" s="704"/>
      <c r="AW14" s="704"/>
      <c r="AX14" s="704"/>
      <c r="AY14" s="704"/>
      <c r="AZ14" s="704"/>
      <c r="BA14" s="704"/>
      <c r="BB14" s="704"/>
      <c r="BC14" s="704"/>
      <c r="BD14" s="705"/>
      <c r="BE14" s="705"/>
      <c r="BF14" s="705"/>
      <c r="BG14" s="705"/>
      <c r="BH14" s="705"/>
      <c r="BI14" s="705"/>
      <c r="BJ14" s="705"/>
      <c r="BK14" s="705"/>
      <c r="BL14" s="705"/>
      <c r="BM14" s="705"/>
      <c r="BN14" s="705"/>
      <c r="BO14" s="705"/>
      <c r="BP14" s="705"/>
      <c r="BQ14" s="705"/>
      <c r="BR14" s="705"/>
      <c r="BS14" s="705"/>
    </row>
    <row r="15" spans="1:71" ht="30.65" customHeight="1">
      <c r="A15" s="1299"/>
      <c r="B15" s="1303"/>
      <c r="C15" s="1692" t="s">
        <v>31</v>
      </c>
      <c r="D15" s="1690" t="e">
        <f ca="1">_xlfn.XLOOKUP(val_reportingCurrency,tbl_currency[Currency],tbl_currency[Format string],"###,0")</f>
        <v>#NAME?</v>
      </c>
      <c r="E15" s="1692">
        <v>3</v>
      </c>
      <c r="F15" s="1361"/>
      <c r="G15" s="823"/>
      <c r="H15" s="823"/>
      <c r="I15" s="572"/>
      <c r="J15" s="572"/>
      <c r="K15" s="572"/>
      <c r="O15" s="372"/>
      <c r="P15" s="101"/>
      <c r="Q15" s="151"/>
      <c r="R15" s="151"/>
      <c r="S15" s="101"/>
      <c r="T15" s="3007"/>
      <c r="U15" s="3007"/>
      <c r="V15" s="197"/>
      <c r="X15" s="1068" t="s">
        <v>75</v>
      </c>
      <c r="Y15" s="2054"/>
      <c r="Z15" s="711" t="s">
        <v>277</v>
      </c>
      <c r="AA15" s="711"/>
      <c r="AB15" s="711"/>
      <c r="AC15" s="711" t="s">
        <v>278</v>
      </c>
      <c r="AD15" s="711" t="s">
        <v>279</v>
      </c>
      <c r="AE15" s="711" t="s">
        <v>280</v>
      </c>
      <c r="AF15" s="711" t="s">
        <v>281</v>
      </c>
      <c r="AG15" s="549"/>
      <c r="AH15" s="1158"/>
      <c r="AI15" s="1362" cm="1">
        <f t="array" ref="AI15:BS15">array_timeline</f>
        <v>44926</v>
      </c>
      <c r="AJ15" s="1362">
        <v>44957</v>
      </c>
      <c r="AK15" s="1362">
        <v>44985</v>
      </c>
      <c r="AL15" s="1362">
        <v>45016</v>
      </c>
      <c r="AM15" s="1362">
        <v>45046</v>
      </c>
      <c r="AN15" s="1362">
        <v>45077</v>
      </c>
      <c r="AO15" s="1362">
        <v>45107</v>
      </c>
      <c r="AP15" s="1197">
        <v>45138</v>
      </c>
      <c r="AQ15" s="1197">
        <v>45169</v>
      </c>
      <c r="AR15" s="1197">
        <v>45199</v>
      </c>
      <c r="AS15" s="1197">
        <v>45230</v>
      </c>
      <c r="AT15" s="1197">
        <v>45260</v>
      </c>
      <c r="AU15" s="1197">
        <v>45291</v>
      </c>
      <c r="AV15" s="1197">
        <v>45322</v>
      </c>
      <c r="AW15" s="1197">
        <v>45351</v>
      </c>
      <c r="AX15" s="1197">
        <v>45382</v>
      </c>
      <c r="AY15" s="1197">
        <v>45412</v>
      </c>
      <c r="AZ15" s="1197">
        <v>45443</v>
      </c>
      <c r="BA15" s="1197">
        <v>45473</v>
      </c>
      <c r="BB15" s="1197">
        <v>45504</v>
      </c>
      <c r="BC15" s="1197">
        <v>45535</v>
      </c>
      <c r="BD15" s="1197">
        <v>45565</v>
      </c>
      <c r="BE15" s="1197">
        <v>45596</v>
      </c>
      <c r="BF15" s="1197">
        <v>45626</v>
      </c>
      <c r="BG15" s="1197">
        <v>45657</v>
      </c>
      <c r="BH15" s="1197">
        <v>45688</v>
      </c>
      <c r="BI15" s="1197">
        <v>45716</v>
      </c>
      <c r="BJ15" s="1197">
        <v>45747</v>
      </c>
      <c r="BK15" s="1197">
        <v>45777</v>
      </c>
      <c r="BL15" s="1197">
        <v>45808</v>
      </c>
      <c r="BM15" s="1197">
        <v>45838</v>
      </c>
      <c r="BN15" s="1197">
        <v>45869</v>
      </c>
      <c r="BO15" s="1197">
        <v>45900</v>
      </c>
      <c r="BP15" s="1197">
        <v>45930</v>
      </c>
      <c r="BQ15" s="1197">
        <v>45961</v>
      </c>
      <c r="BR15" s="1197">
        <v>45991</v>
      </c>
      <c r="BS15" s="1197">
        <v>46022</v>
      </c>
    </row>
    <row r="16" spans="1:71" ht="14.25" customHeight="1">
      <c r="A16" s="1299"/>
      <c r="B16" s="1303"/>
      <c r="C16" s="1692" t="s">
        <v>282</v>
      </c>
      <c r="D16" s="1690" t="s">
        <v>283</v>
      </c>
      <c r="E16" s="3454">
        <v>6</v>
      </c>
      <c r="F16" s="1361"/>
      <c r="G16" s="823"/>
      <c r="H16" s="823"/>
      <c r="I16" s="572"/>
      <c r="J16" s="572"/>
      <c r="K16" s="572"/>
      <c r="O16" s="372"/>
      <c r="P16" s="101"/>
      <c r="Q16" s="101"/>
      <c r="R16" s="101"/>
      <c r="S16" s="101"/>
      <c r="T16" s="101"/>
      <c r="U16" s="101"/>
      <c r="V16" s="39"/>
      <c r="X16" s="2054"/>
      <c r="Y16" s="2054"/>
      <c r="Z16" s="710"/>
      <c r="AA16" s="549"/>
      <c r="AB16" s="549"/>
      <c r="AC16" s="711"/>
      <c r="AD16" s="549"/>
      <c r="AE16" s="711"/>
      <c r="AF16" s="825"/>
      <c r="AG16" s="826"/>
      <c r="AH16" s="1069"/>
      <c r="AI16" s="1069"/>
      <c r="AJ16" s="1069"/>
      <c r="AK16" s="1069"/>
      <c r="AL16" s="1069"/>
      <c r="AM16" s="1069"/>
      <c r="AN16" s="1069"/>
      <c r="AO16" s="1069"/>
      <c r="AP16" s="1069"/>
      <c r="AQ16" s="1069"/>
      <c r="AR16" s="1069"/>
      <c r="AS16" s="1069"/>
      <c r="AT16" s="1069"/>
      <c r="AU16" s="1069"/>
      <c r="AV16" s="1069"/>
      <c r="AW16" s="1069"/>
      <c r="AX16" s="1069"/>
      <c r="AY16" s="1069"/>
      <c r="AZ16" s="1069"/>
      <c r="BA16" s="1069"/>
      <c r="BB16" s="1069"/>
      <c r="BC16" s="1069"/>
      <c r="BD16" s="1069"/>
      <c r="BE16" s="1069"/>
      <c r="BF16" s="1069"/>
      <c r="BG16" s="1069"/>
      <c r="BH16" s="1069"/>
      <c r="BI16" s="1069"/>
      <c r="BJ16" s="1069"/>
      <c r="BK16" s="1069"/>
      <c r="BL16" s="1069"/>
      <c r="BM16" s="1069"/>
      <c r="BN16" s="1069"/>
      <c r="BO16" s="1069"/>
      <c r="BP16" s="1069"/>
      <c r="BQ16" s="1069"/>
      <c r="BR16" s="1069"/>
      <c r="BS16" s="1069"/>
    </row>
    <row r="17" spans="1:71" ht="16" customHeight="1">
      <c r="A17" s="1299"/>
      <c r="B17" s="1303"/>
      <c r="C17" s="1692" t="s">
        <v>284</v>
      </c>
      <c r="D17" s="1693" t="s">
        <v>285</v>
      </c>
      <c r="E17" s="3454">
        <v>7</v>
      </c>
      <c r="F17" s="1361"/>
      <c r="G17" s="823"/>
      <c r="H17" s="823"/>
      <c r="I17" s="572"/>
      <c r="J17" s="572"/>
      <c r="K17" s="572"/>
      <c r="O17" s="372"/>
      <c r="P17" s="101"/>
      <c r="Q17" s="101"/>
      <c r="R17" s="101"/>
      <c r="S17" s="101"/>
      <c r="T17" s="101"/>
      <c r="U17" s="101"/>
      <c r="V17" s="39"/>
      <c r="X17" s="1809" t="s">
        <v>286</v>
      </c>
      <c r="Y17" s="714"/>
      <c r="Z17" s="1065" t="s">
        <v>52</v>
      </c>
      <c r="AA17" s="1065"/>
      <c r="AB17" s="1065"/>
      <c r="AC17" s="1065" t="s">
        <v>52</v>
      </c>
      <c r="AD17" s="1065" t="s">
        <v>52</v>
      </c>
      <c r="AE17" s="1065" t="s">
        <v>63</v>
      </c>
      <c r="AF17" s="1066" t="s">
        <v>63</v>
      </c>
      <c r="AG17" s="716"/>
      <c r="AH17" s="1158"/>
      <c r="AI17" s="26" t="e" cm="1">
        <f t="array" ca="1" aca="1" ref="AI17">EOMONTH(AI15,12-MONTH(val_currentFYE))</f>
        <v>#NAME?</v>
      </c>
      <c r="AJ17" s="26" t="e" cm="1">
        <f t="array" ca="1" aca="1" ref="AJ17">EOMONTH(AJ15,12-MONTH(val_currentFYE))</f>
        <v>#NAME?</v>
      </c>
      <c r="AK17" s="26" t="e" cm="1">
        <f t="array" ca="1" aca="1" ref="AK17">EOMONTH(AK15,12-MONTH(val_currentFYE))</f>
        <v>#NAME?</v>
      </c>
      <c r="AL17" s="26" t="e" cm="1">
        <f t="array" ca="1" aca="1" ref="AL17">EOMONTH(AL15,12-MONTH(val_currentFYE))</f>
        <v>#NAME?</v>
      </c>
      <c r="AM17" s="26" t="e" cm="1">
        <f t="array" ca="1" aca="1" ref="AM17">EOMONTH(AM15,12-MONTH(val_currentFYE))</f>
        <v>#NAME?</v>
      </c>
      <c r="AN17" s="26" t="e" cm="1">
        <f t="array" ca="1" aca="1" ref="AN17">EOMONTH(AN15,12-MONTH(val_currentFYE))</f>
        <v>#NAME?</v>
      </c>
      <c r="AO17" s="26" t="e" cm="1">
        <f t="array" ca="1" aca="1" ref="AO17">EOMONTH(AO15,12-MONTH(val_currentFYE))</f>
        <v>#NAME?</v>
      </c>
      <c r="AP17" s="26" t="e" cm="1">
        <f t="array" ca="1" aca="1" ref="AP17">EOMONTH(AP15,12-MONTH(val_currentFYE))</f>
        <v>#NAME?</v>
      </c>
      <c r="AQ17" s="26" t="e" cm="1">
        <f t="array" ca="1" aca="1" ref="AQ17">EOMONTH(AQ15,12-MONTH(val_currentFYE))</f>
        <v>#NAME?</v>
      </c>
      <c r="AR17" s="26" t="e" cm="1">
        <f t="array" ca="1" aca="1" ref="AR17">EOMONTH(AR15,12-MONTH(val_currentFYE))</f>
        <v>#NAME?</v>
      </c>
      <c r="AS17" s="26" t="e" cm="1">
        <f t="array" ca="1" aca="1" ref="AS17">EOMONTH(AS15,12-MONTH(val_currentFYE))</f>
        <v>#NAME?</v>
      </c>
      <c r="AT17" s="26" t="e" cm="1">
        <f t="array" ca="1" aca="1" ref="AT17">EOMONTH(AT15,12-MONTH(val_currentFYE))</f>
        <v>#NAME?</v>
      </c>
      <c r="AU17" s="26" t="e" cm="1">
        <f t="array" ca="1" aca="1" ref="AU17">EOMONTH(AU15,12-MONTH(val_currentFYE))</f>
        <v>#NAME?</v>
      </c>
      <c r="AV17" s="26" t="e" cm="1">
        <f t="array" ca="1" aca="1" ref="AV17">EOMONTH(AV15,12-MONTH(val_currentFYE))</f>
        <v>#NAME?</v>
      </c>
      <c r="AW17" s="26" t="e" cm="1">
        <f t="array" ca="1" aca="1" ref="AW17">EOMONTH(AW15,12-MONTH(val_currentFYE))</f>
        <v>#NAME?</v>
      </c>
      <c r="AX17" s="26" t="e" cm="1">
        <f t="array" ca="1" aca="1" ref="AX17">EOMONTH(AX15,12-MONTH(val_currentFYE))</f>
        <v>#NAME?</v>
      </c>
      <c r="AY17" s="26" t="e" cm="1">
        <f t="array" ca="1" aca="1" ref="AY17">EOMONTH(AY15,12-MONTH(val_currentFYE))</f>
        <v>#NAME?</v>
      </c>
      <c r="AZ17" s="26" t="e" cm="1">
        <f t="array" ca="1" aca="1" ref="AZ17">EOMONTH(AZ15,12-MONTH(val_currentFYE))</f>
        <v>#NAME?</v>
      </c>
      <c r="BA17" s="26" t="e" cm="1">
        <f t="array" ca="1" aca="1" ref="BA17">EOMONTH(BA15,12-MONTH(val_currentFYE))</f>
        <v>#NAME?</v>
      </c>
      <c r="BB17" s="26" t="e" cm="1">
        <f t="array" ca="1" aca="1" ref="BB17">EOMONTH(BB15,12-MONTH(val_currentFYE))</f>
        <v>#NAME?</v>
      </c>
      <c r="BC17" s="26" t="e" cm="1">
        <f t="array" ca="1" aca="1" ref="BC17">EOMONTH(BC15,12-MONTH(val_currentFYE))</f>
        <v>#NAME?</v>
      </c>
      <c r="BD17" s="26" t="e" cm="1">
        <f t="array" ca="1" aca="1" ref="BD17">EOMONTH(BD15,12-MONTH(val_currentFYE))</f>
        <v>#NAME?</v>
      </c>
      <c r="BE17" s="26" t="e" cm="1">
        <f t="array" ca="1" aca="1" ref="BE17">EOMONTH(BE15,12-MONTH(val_currentFYE))</f>
        <v>#NAME?</v>
      </c>
      <c r="BF17" s="26" t="e" cm="1">
        <f t="array" ca="1" aca="1" ref="BF17">EOMONTH(BF15,12-MONTH(val_currentFYE))</f>
        <v>#NAME?</v>
      </c>
      <c r="BG17" s="26" t="e" cm="1">
        <f t="array" ca="1" aca="1" ref="BG17">EOMONTH(BG15,12-MONTH(val_currentFYE))</f>
        <v>#NAME?</v>
      </c>
      <c r="BH17" s="26" t="e" cm="1">
        <f t="array" ca="1" aca="1" ref="BH17">EOMONTH(BH15,12-MONTH(val_currentFYE))</f>
        <v>#NAME?</v>
      </c>
      <c r="BI17" s="26" t="e" cm="1">
        <f t="array" ca="1" aca="1" ref="BI17">EOMONTH(BI15,12-MONTH(val_currentFYE))</f>
        <v>#NAME?</v>
      </c>
      <c r="BJ17" s="26" t="e" cm="1">
        <f t="array" ca="1" aca="1" ref="BJ17">EOMONTH(BJ15,12-MONTH(val_currentFYE))</f>
        <v>#NAME?</v>
      </c>
      <c r="BK17" s="26" t="e" cm="1">
        <f t="array" ca="1" aca="1" ref="BK17">EOMONTH(BK15,12-MONTH(val_currentFYE))</f>
        <v>#NAME?</v>
      </c>
      <c r="BL17" s="26" t="e" cm="1">
        <f t="array" ca="1" aca="1" ref="BL17">EOMONTH(BL15,12-MONTH(val_currentFYE))</f>
        <v>#NAME?</v>
      </c>
      <c r="BM17" s="26" t="e" cm="1">
        <f t="array" ca="1" aca="1" ref="BM17">EOMONTH(BM15,12-MONTH(val_currentFYE))</f>
        <v>#NAME?</v>
      </c>
      <c r="BN17" s="26" t="e" cm="1">
        <f t="array" ca="1" aca="1" ref="BN17">EOMONTH(BN15,12-MONTH(val_currentFYE))</f>
        <v>#NAME?</v>
      </c>
      <c r="BO17" s="26" t="e" cm="1">
        <f t="array" ca="1" aca="1" ref="BO17">EOMONTH(BO15,12-MONTH(val_currentFYE))</f>
        <v>#NAME?</v>
      </c>
      <c r="BP17" s="26" t="e" cm="1">
        <f t="array" ca="1" aca="1" ref="BP17">EOMONTH(BP15,12-MONTH(val_currentFYE))</f>
        <v>#NAME?</v>
      </c>
      <c r="BQ17" s="26" t="e" cm="1">
        <f t="array" ca="1" aca="1" ref="BQ17">EOMONTH(BQ15,12-MONTH(val_currentFYE))</f>
        <v>#NAME?</v>
      </c>
      <c r="BR17" s="26" t="e" cm="1">
        <f t="array" ca="1" aca="1" ref="BR17">EOMONTH(BR15,12-MONTH(val_currentFYE))</f>
        <v>#NAME?</v>
      </c>
      <c r="BS17" s="26" t="e" cm="1">
        <f t="array" ca="1" aca="1" ref="BS17">EOMONTH(BS15,12-MONTH(val_currentFYE))</f>
        <v>#NAME?</v>
      </c>
    </row>
    <row r="18" spans="1:71" ht="16" customHeight="1">
      <c r="A18" s="731"/>
      <c r="B18" s="810"/>
      <c r="C18" s="811"/>
      <c r="D18" s="1694"/>
      <c r="E18" s="574"/>
      <c r="F18" s="574"/>
      <c r="G18" s="574"/>
      <c r="H18" s="574"/>
      <c r="I18" s="401"/>
      <c r="J18" s="401"/>
      <c r="K18" s="401"/>
      <c r="O18" s="372"/>
      <c r="P18" s="101"/>
      <c r="Q18" s="52"/>
      <c r="R18" s="101"/>
      <c r="S18" s="140"/>
      <c r="T18" s="2"/>
      <c r="U18" s="2"/>
      <c r="V18" s="39"/>
      <c r="X18" s="828" t="s">
        <v>286</v>
      </c>
      <c r="Y18" s="828"/>
      <c r="Z18" s="828" t="s">
        <v>287</v>
      </c>
      <c r="AA18" s="828"/>
      <c r="AB18" s="828"/>
      <c r="AC18" s="829"/>
      <c r="AD18" s="750"/>
      <c r="AE18" s="829"/>
      <c r="AF18" s="829"/>
      <c r="AG18" s="750"/>
      <c r="AH18" s="1158"/>
      <c r="AI18" s="542" t="e" cm="1">
        <f t="array" ca="1" aca="1" ref="AI18">IF(MONTH(AI15)=MONTH(val_currentFYE),1,IF(MOD(MONTH(AI$15)-MONTH(val_currentFYE),3)=0,2,0))</f>
        <v>#NAME?</v>
      </c>
      <c r="AJ18" s="542" t="e" cm="1">
        <f t="array" ca="1" aca="1" ref="AJ18">IF(MONTH(AJ15)=MONTH(val_currentFYE),1,IF(MOD(MONTH(AJ$15)-MONTH(val_currentFYE),3)=0,2,0))</f>
        <v>#NAME?</v>
      </c>
      <c r="AK18" s="542" t="e" cm="1">
        <f t="array" ca="1" aca="1" ref="AK18">IF(MONTH(AK15)=MONTH(val_currentFYE),1,IF(MOD(MONTH(AK$15)-MONTH(val_currentFYE),3)=0,2,0))</f>
        <v>#NAME?</v>
      </c>
      <c r="AL18" s="542" t="e" cm="1">
        <f t="array" ca="1" aca="1" ref="AL18">IF(MONTH(AL15)=MONTH(val_currentFYE),1,IF(MOD(MONTH(AL$15)-MONTH(val_currentFYE),3)=0,2,0))</f>
        <v>#NAME?</v>
      </c>
      <c r="AM18" s="542" t="e" cm="1">
        <f t="array" ca="1" aca="1" ref="AM18">IF(MONTH(AM15)=MONTH(val_currentFYE),1,IF(MOD(MONTH(AM$15)-MONTH(val_currentFYE),3)=0,2,0))</f>
        <v>#NAME?</v>
      </c>
      <c r="AN18" s="542" t="e" cm="1">
        <f t="array" ca="1" aca="1" ref="AN18">IF(MONTH(AN15)=MONTH(val_currentFYE),1,IF(MOD(MONTH(AN$15)-MONTH(val_currentFYE),3)=0,2,0))</f>
        <v>#NAME?</v>
      </c>
      <c r="AO18" s="542" t="e" cm="1">
        <f t="array" ca="1" aca="1" ref="AO18">IF(MONTH(AO15)=MONTH(val_currentFYE),1,IF(MOD(MONTH(AO$15)-MONTH(val_currentFYE),3)=0,2,0))</f>
        <v>#NAME?</v>
      </c>
      <c r="AP18" s="542" t="e" cm="1">
        <f t="array" ca="1" aca="1" ref="AP18">IF(MONTH(AP15)=MONTH(val_currentFYE),1,IF(MOD(MONTH(AP$15)-MONTH(val_currentFYE),3)=0,2,0))</f>
        <v>#NAME?</v>
      </c>
      <c r="AQ18" s="542" t="e" cm="1">
        <f t="array" ca="1" aca="1" ref="AQ18">IF(MONTH(AQ15)=MONTH(val_currentFYE),1,IF(MOD(MONTH(AQ$15)-MONTH(val_currentFYE),3)=0,2,0))</f>
        <v>#NAME?</v>
      </c>
      <c r="AR18" s="542" t="e" cm="1">
        <f t="array" ca="1" aca="1" ref="AR18">IF(MONTH(AR15)=MONTH(val_currentFYE),1,IF(MOD(MONTH(AR$15)-MONTH(val_currentFYE),3)=0,2,0))</f>
        <v>#NAME?</v>
      </c>
      <c r="AS18" s="542" t="e" cm="1">
        <f t="array" ca="1" aca="1" ref="AS18">IF(MONTH(AS15)=MONTH(val_currentFYE),1,IF(MOD(MONTH(AS$15)-MONTH(val_currentFYE),3)=0,2,0))</f>
        <v>#NAME?</v>
      </c>
      <c r="AT18" s="542" t="e" cm="1">
        <f t="array" ca="1" aca="1" ref="AT18">IF(MONTH(AT15)=MONTH(val_currentFYE),1,IF(MOD(MONTH(AT$15)-MONTH(val_currentFYE),3)=0,2,0))</f>
        <v>#NAME?</v>
      </c>
      <c r="AU18" s="542" t="e" cm="1">
        <f t="array" ca="1" aca="1" ref="AU18">IF(MONTH(AU15)=MONTH(val_currentFYE),1,IF(MOD(MONTH(AU$15)-MONTH(val_currentFYE),3)=0,2,0))</f>
        <v>#NAME?</v>
      </c>
      <c r="AV18" s="542" t="e" cm="1">
        <f t="array" ca="1" aca="1" ref="AV18">IF(MONTH(AV15)=MONTH(val_currentFYE),1,IF(MOD(MONTH(AV$15)-MONTH(val_currentFYE),3)=0,2,0))</f>
        <v>#NAME?</v>
      </c>
      <c r="AW18" s="542" t="e" cm="1">
        <f t="array" ca="1" aca="1" ref="AW18">IF(MONTH(AW15)=MONTH(val_currentFYE),1,IF(MOD(MONTH(AW$15)-MONTH(val_currentFYE),3)=0,2,0))</f>
        <v>#NAME?</v>
      </c>
      <c r="AX18" s="542" t="e" cm="1">
        <f t="array" ca="1" aca="1" ref="AX18">IF(MONTH(AX15)=MONTH(val_currentFYE),1,IF(MOD(MONTH(AX$15)-MONTH(val_currentFYE),3)=0,2,0))</f>
        <v>#NAME?</v>
      </c>
      <c r="AY18" s="542" t="e" cm="1">
        <f t="array" ca="1" aca="1" ref="AY18">IF(MONTH(AY15)=MONTH(val_currentFYE),1,IF(MOD(MONTH(AY$15)-MONTH(val_currentFYE),3)=0,2,0))</f>
        <v>#NAME?</v>
      </c>
      <c r="AZ18" s="542" t="e" cm="1">
        <f t="array" ca="1" aca="1" ref="AZ18">IF(MONTH(AZ15)=MONTH(val_currentFYE),1,IF(MOD(MONTH(AZ$15)-MONTH(val_currentFYE),3)=0,2,0))</f>
        <v>#NAME?</v>
      </c>
      <c r="BA18" s="542" t="e" cm="1">
        <f t="array" ca="1" aca="1" ref="BA18">IF(MONTH(BA15)=MONTH(val_currentFYE),1,IF(MOD(MONTH(BA$15)-MONTH(val_currentFYE),3)=0,2,0))</f>
        <v>#NAME?</v>
      </c>
      <c r="BB18" s="542" t="e" cm="1">
        <f t="array" ca="1" aca="1" ref="BB18">IF(MONTH(BB15)=MONTH(val_currentFYE),1,IF(MOD(MONTH(BB$15)-MONTH(val_currentFYE),3)=0,2,0))</f>
        <v>#NAME?</v>
      </c>
      <c r="BC18" s="542" t="e" cm="1">
        <f t="array" ca="1" aca="1" ref="BC18">IF(MONTH(BC15)=MONTH(val_currentFYE),1,IF(MOD(MONTH(BC$15)-MONTH(val_currentFYE),3)=0,2,0))</f>
        <v>#NAME?</v>
      </c>
      <c r="BD18" s="542" t="e" cm="1">
        <f t="array" ca="1" aca="1" ref="BD18">IF(MONTH(BD15)=MONTH(val_currentFYE),1,IF(MOD(MONTH(BD$15)-MONTH(val_currentFYE),3)=0,2,0))</f>
        <v>#NAME?</v>
      </c>
      <c r="BE18" s="542" t="e" cm="1">
        <f t="array" ca="1" aca="1" ref="BE18">IF(MONTH(BE15)=MONTH(val_currentFYE),1,IF(MOD(MONTH(BE$15)-MONTH(val_currentFYE),3)=0,2,0))</f>
        <v>#NAME?</v>
      </c>
      <c r="BF18" s="542" t="e" cm="1">
        <f t="array" ca="1" aca="1" ref="BF18">IF(MONTH(BF15)=MONTH(val_currentFYE),1,IF(MOD(MONTH(BF$15)-MONTH(val_currentFYE),3)=0,2,0))</f>
        <v>#NAME?</v>
      </c>
      <c r="BG18" s="542" t="e" cm="1">
        <f t="array" ca="1" aca="1" ref="BG18">IF(MONTH(BG15)=MONTH(val_currentFYE),1,IF(MOD(MONTH(BG$15)-MONTH(val_currentFYE),3)=0,2,0))</f>
        <v>#NAME?</v>
      </c>
      <c r="BH18" s="542" t="e" cm="1">
        <f t="array" ca="1" aca="1" ref="BH18">IF(MONTH(BH15)=MONTH(val_currentFYE),1,IF(MOD(MONTH(BH$15)-MONTH(val_currentFYE),3)=0,2,0))</f>
        <v>#NAME?</v>
      </c>
      <c r="BI18" s="542" t="e" cm="1">
        <f t="array" ca="1" aca="1" ref="BI18">IF(MONTH(BI15)=MONTH(val_currentFYE),1,IF(MOD(MONTH(BI$15)-MONTH(val_currentFYE),3)=0,2,0))</f>
        <v>#NAME?</v>
      </c>
      <c r="BJ18" s="542" t="e" cm="1">
        <f t="array" ca="1" aca="1" ref="BJ18">IF(MONTH(BJ15)=MONTH(val_currentFYE),1,IF(MOD(MONTH(BJ$15)-MONTH(val_currentFYE),3)=0,2,0))</f>
        <v>#NAME?</v>
      </c>
      <c r="BK18" s="542" t="e" cm="1">
        <f t="array" ca="1" aca="1" ref="BK18">IF(MONTH(BK15)=MONTH(val_currentFYE),1,IF(MOD(MONTH(BK$15)-MONTH(val_currentFYE),3)=0,2,0))</f>
        <v>#NAME?</v>
      </c>
      <c r="BL18" s="542" t="e" cm="1">
        <f t="array" ca="1" aca="1" ref="BL18">IF(MONTH(BL15)=MONTH(val_currentFYE),1,IF(MOD(MONTH(BL$15)-MONTH(val_currentFYE),3)=0,2,0))</f>
        <v>#NAME?</v>
      </c>
      <c r="BM18" s="542" t="e" cm="1">
        <f t="array" ca="1" aca="1" ref="BM18">IF(MONTH(BM15)=MONTH(val_currentFYE),1,IF(MOD(MONTH(BM$15)-MONTH(val_currentFYE),3)=0,2,0))</f>
        <v>#NAME?</v>
      </c>
      <c r="BN18" s="542" t="e" cm="1">
        <f t="array" ca="1" aca="1" ref="BN18">IF(MONTH(BN15)=MONTH(val_currentFYE),1,IF(MOD(MONTH(BN$15)-MONTH(val_currentFYE),3)=0,2,0))</f>
        <v>#NAME?</v>
      </c>
      <c r="BO18" s="542" t="e" cm="1">
        <f t="array" ca="1" aca="1" ref="BO18">IF(MONTH(BO15)=MONTH(val_currentFYE),1,IF(MOD(MONTH(BO$15)-MONTH(val_currentFYE),3)=0,2,0))</f>
        <v>#NAME?</v>
      </c>
      <c r="BP18" s="542" t="e" cm="1">
        <f t="array" ca="1" aca="1" ref="BP18">IF(MONTH(BP15)=MONTH(val_currentFYE),1,IF(MOD(MONTH(BP$15)-MONTH(val_currentFYE),3)=0,2,0))</f>
        <v>#NAME?</v>
      </c>
      <c r="BQ18" s="542" t="e" cm="1">
        <f t="array" ca="1" aca="1" ref="BQ18">IF(MONTH(BQ15)=MONTH(val_currentFYE),1,IF(MOD(MONTH(BQ$15)-MONTH(val_currentFYE),3)=0,2,0))</f>
        <v>#NAME?</v>
      </c>
      <c r="BR18" s="542" t="e" cm="1">
        <f t="array" ca="1" aca="1" ref="BR18">IF(MONTH(BR15)=MONTH(val_currentFYE),1,IF(MOD(MONTH(BR$15)-MONTH(val_currentFYE),3)=0,2,0))</f>
        <v>#NAME?</v>
      </c>
      <c r="BS18" s="542" t="e" cm="1">
        <f t="array" ca="1" aca="1" ref="BS18">IF(MONTH(BS15)=MONTH(val_currentFYE),1,IF(MOD(MONTH(BS$15)-MONTH(val_currentFYE),3)=0,2,0))</f>
        <v>#NAME?</v>
      </c>
    </row>
    <row r="19" spans="1:71" ht="18.75" customHeight="1">
      <c r="A19" s="731"/>
      <c r="B19" s="1695"/>
      <c r="C19" s="1696"/>
      <c r="D19" s="1696"/>
      <c r="E19" s="1697"/>
      <c r="F19" s="1696"/>
      <c r="G19" s="1697"/>
      <c r="H19" s="1697"/>
      <c r="I19" s="1698"/>
      <c r="J19" s="401"/>
      <c r="K19" s="401"/>
      <c r="O19" s="372"/>
      <c r="P19" s="101"/>
      <c r="Q19" s="52"/>
      <c r="R19" s="101"/>
      <c r="S19" s="126"/>
      <c r="T19" s="2"/>
      <c r="U19" s="2"/>
      <c r="V19" s="39"/>
      <c r="X19" s="830"/>
      <c r="Y19" s="830"/>
      <c r="Z19" s="830"/>
      <c r="AA19" s="1701"/>
      <c r="AB19" s="1701"/>
      <c r="AC19" s="831"/>
      <c r="AD19" s="832"/>
      <c r="AE19" s="831"/>
      <c r="AF19" s="831"/>
      <c r="AG19" s="833"/>
      <c r="AH19" s="718"/>
      <c r="AI19" s="718"/>
      <c r="AJ19" s="718"/>
      <c r="AK19" s="718"/>
      <c r="AL19" s="718"/>
      <c r="AM19" s="718"/>
      <c r="AN19" s="718"/>
      <c r="AO19" s="718"/>
      <c r="AP19" s="718"/>
      <c r="AQ19" s="718"/>
      <c r="AR19" s="718"/>
      <c r="AS19" s="718"/>
      <c r="AT19" s="718"/>
      <c r="AU19" s="718"/>
      <c r="AV19" s="718"/>
      <c r="AW19" s="718"/>
      <c r="AX19" s="718"/>
      <c r="AY19" s="718"/>
      <c r="AZ19" s="718"/>
      <c r="BA19" s="718"/>
      <c r="BB19" s="718"/>
      <c r="BC19" s="718"/>
      <c r="BD19" s="718"/>
      <c r="BE19" s="718"/>
      <c r="BF19" s="718"/>
      <c r="BG19" s="718"/>
      <c r="BH19" s="718"/>
      <c r="BI19" s="718"/>
      <c r="BJ19" s="718"/>
      <c r="BK19" s="718"/>
      <c r="BL19" s="718"/>
      <c r="BM19" s="718"/>
      <c r="BN19" s="718"/>
      <c r="BO19" s="718"/>
      <c r="BP19" s="718"/>
      <c r="BQ19" s="718"/>
      <c r="BR19" s="718"/>
      <c r="BS19" s="718"/>
    </row>
    <row r="20" spans="1:71" ht="31">
      <c r="A20" s="731"/>
      <c r="B20" s="1695"/>
      <c r="C20" s="1696"/>
      <c r="D20" s="1696"/>
      <c r="E20" s="1697"/>
      <c r="F20" s="1696"/>
      <c r="G20" s="1697"/>
      <c r="H20" s="1697"/>
      <c r="I20" s="1698"/>
      <c r="J20" s="401"/>
      <c r="K20" s="401"/>
      <c r="O20" s="158"/>
      <c r="P20" s="101"/>
      <c r="Q20" s="52"/>
      <c r="R20" s="101"/>
      <c r="S20" s="126"/>
      <c r="T20" s="2"/>
      <c r="U20" s="2"/>
      <c r="V20" s="39"/>
      <c r="X20" s="729"/>
      <c r="Y20" s="729"/>
      <c r="Z20" s="729"/>
      <c r="AA20" s="1702"/>
      <c r="AB20" s="1702"/>
      <c r="AC20" s="1366" t="s">
        <v>288</v>
      </c>
      <c r="AD20" s="1363" t="s">
        <v>288</v>
      </c>
      <c r="AE20" s="1369" t="s">
        <v>288</v>
      </c>
      <c r="AF20" s="1373" t="s">
        <v>288</v>
      </c>
      <c r="AG20" s="834"/>
      <c r="AH20" s="718"/>
      <c r="AI20" s="718"/>
      <c r="AJ20" s="718"/>
      <c r="AK20" s="718"/>
      <c r="AL20" s="718"/>
      <c r="AM20" s="718"/>
      <c r="AN20" s="718"/>
      <c r="AO20" s="718"/>
      <c r="AP20" s="718"/>
      <c r="AQ20" s="718"/>
      <c r="AR20" s="718"/>
      <c r="AS20" s="718"/>
      <c r="AT20" s="718"/>
      <c r="AU20" s="718"/>
      <c r="AV20" s="718"/>
      <c r="AW20" s="718"/>
      <c r="AX20" s="718"/>
      <c r="AY20" s="718"/>
      <c r="AZ20" s="718"/>
      <c r="BA20" s="718"/>
      <c r="BB20" s="718"/>
      <c r="BC20" s="718"/>
      <c r="BD20" s="718"/>
      <c r="BE20" s="718"/>
      <c r="BF20" s="718"/>
      <c r="BG20" s="718"/>
      <c r="BH20" s="718"/>
      <c r="BI20" s="718"/>
      <c r="BJ20" s="718"/>
      <c r="BK20" s="718"/>
      <c r="BL20" s="718"/>
      <c r="BM20" s="718"/>
      <c r="BN20" s="718"/>
      <c r="BO20" s="718"/>
      <c r="BP20" s="718"/>
      <c r="BQ20" s="718"/>
      <c r="BR20" s="718"/>
      <c r="BS20" s="718"/>
    </row>
    <row r="21" spans="1:71" ht="16" customHeight="1">
      <c r="A21" s="731"/>
      <c r="B21" s="1699"/>
      <c r="C21" s="1696"/>
      <c r="D21" s="1700"/>
      <c r="E21" s="1697"/>
      <c r="F21" s="1697"/>
      <c r="G21" s="1697"/>
      <c r="H21" s="1697"/>
      <c r="I21" s="1698"/>
      <c r="J21" s="401"/>
      <c r="K21" s="401"/>
      <c r="O21" s="158"/>
      <c r="P21" s="101"/>
      <c r="Q21" s="52"/>
      <c r="R21" s="101"/>
      <c r="S21" s="126"/>
      <c r="T21" s="2"/>
      <c r="U21" s="2"/>
      <c r="V21" s="39"/>
      <c r="X21" s="1146"/>
      <c r="Y21" s="1146"/>
      <c r="Z21" s="1146"/>
      <c r="AA21" s="1146"/>
      <c r="AB21" s="1703"/>
      <c r="AC21" s="1364" t="s">
        <v>289</v>
      </c>
      <c r="AD21" s="1364" t="str" cm="1">
        <f t="array" ref="AD21:AD27">$C$11:$C$17</f>
        <v>Integer</v>
      </c>
      <c r="AE21" s="1370" t="s">
        <v>290</v>
      </c>
      <c r="AF21" s="1370" t="s">
        <v>291</v>
      </c>
      <c r="AG21" s="835"/>
      <c r="AH21" s="718"/>
      <c r="AI21" s="718"/>
      <c r="AJ21" s="718"/>
      <c r="AK21" s="718"/>
      <c r="AL21" s="718"/>
      <c r="AM21" s="718"/>
      <c r="AN21" s="718"/>
      <c r="AO21" s="718"/>
      <c r="AP21" s="718"/>
      <c r="AQ21" s="718"/>
      <c r="AR21" s="718"/>
      <c r="AS21" s="718"/>
      <c r="AT21" s="718"/>
      <c r="AU21" s="718"/>
      <c r="AV21" s="718"/>
      <c r="AW21" s="718"/>
      <c r="AX21" s="718"/>
      <c r="AY21" s="718"/>
      <c r="AZ21" s="718"/>
      <c r="BA21" s="718"/>
      <c r="BB21" s="718"/>
      <c r="BC21" s="718"/>
      <c r="BD21" s="718"/>
      <c r="BE21" s="718"/>
      <c r="BF21" s="718"/>
      <c r="BG21" s="718"/>
      <c r="BH21" s="718"/>
      <c r="BI21" s="718"/>
      <c r="BJ21" s="718"/>
      <c r="BK21" s="718"/>
      <c r="BL21" s="718"/>
      <c r="BM21" s="718"/>
      <c r="BN21" s="718"/>
      <c r="BO21" s="718"/>
      <c r="BP21" s="718"/>
      <c r="BQ21" s="718"/>
      <c r="BR21" s="718"/>
      <c r="BS21" s="718"/>
    </row>
    <row r="22" spans="1:71" ht="16" customHeight="1">
      <c r="A22" s="32"/>
      <c r="B22" s="1695"/>
      <c r="C22" s="1696"/>
      <c r="D22" s="1696"/>
      <c r="E22" s="1697"/>
      <c r="F22" s="1696"/>
      <c r="G22" s="1697"/>
      <c r="H22" s="1697"/>
      <c r="I22" s="1698"/>
      <c r="J22" s="401"/>
      <c r="K22" s="401"/>
      <c r="O22" s="158"/>
      <c r="P22" s="101"/>
      <c r="Q22" s="52"/>
      <c r="R22" s="101"/>
      <c r="S22" s="126"/>
      <c r="T22" s="2"/>
      <c r="U22" s="2"/>
      <c r="V22" s="39"/>
      <c r="X22" s="1146"/>
      <c r="Y22" s="1146"/>
      <c r="Z22" s="1146"/>
      <c r="AA22" s="1146"/>
      <c r="AB22" s="1703"/>
      <c r="AC22" s="1365" t="s">
        <v>292</v>
      </c>
      <c r="AD22" s="1365" t="str">
        <v>Date</v>
      </c>
      <c r="AE22" s="1371" t="s">
        <v>293</v>
      </c>
      <c r="AF22" s="1371" t="s">
        <v>294</v>
      </c>
      <c r="AG22" s="835"/>
      <c r="AH22" s="718"/>
      <c r="AI22" s="718"/>
      <c r="AJ22" s="718"/>
      <c r="AK22" s="718"/>
      <c r="AL22" s="718"/>
      <c r="AM22" s="718"/>
      <c r="AN22" s="718"/>
      <c r="AO22" s="718"/>
      <c r="AP22" s="718"/>
      <c r="AQ22" s="718"/>
      <c r="AR22" s="718"/>
      <c r="AS22" s="718"/>
      <c r="AT22" s="718"/>
      <c r="AU22" s="718"/>
      <c r="AV22" s="718"/>
      <c r="AW22" s="718"/>
      <c r="AX22" s="718"/>
      <c r="AY22" s="718"/>
      <c r="AZ22" s="718"/>
      <c r="BA22" s="718"/>
      <c r="BB22" s="718"/>
      <c r="BC22" s="718"/>
      <c r="BD22" s="718"/>
      <c r="BE22" s="718"/>
      <c r="BF22" s="718"/>
      <c r="BG22" s="718"/>
      <c r="BH22" s="718"/>
      <c r="BI22" s="718"/>
      <c r="BJ22" s="718"/>
      <c r="BK22" s="718"/>
      <c r="BL22" s="718"/>
      <c r="BM22" s="718"/>
      <c r="BN22" s="718"/>
      <c r="BO22" s="718"/>
      <c r="BP22" s="718"/>
      <c r="BQ22" s="718"/>
      <c r="BR22" s="718"/>
      <c r="BS22" s="718"/>
    </row>
    <row r="23" spans="1:71" ht="16" customHeight="1">
      <c r="A23" s="32"/>
      <c r="B23" s="1695"/>
      <c r="C23" s="1696"/>
      <c r="D23" s="1696"/>
      <c r="E23" s="1697"/>
      <c r="F23" s="1696"/>
      <c r="G23" s="1697"/>
      <c r="H23" s="1697"/>
      <c r="I23" s="1698"/>
      <c r="J23" s="401"/>
      <c r="K23" s="401"/>
      <c r="O23" s="158"/>
      <c r="P23" s="2"/>
      <c r="Q23" s="52"/>
      <c r="R23" s="101"/>
      <c r="S23" s="539"/>
      <c r="T23" s="2"/>
      <c r="U23" s="2"/>
      <c r="V23" s="39"/>
      <c r="X23" s="1145"/>
      <c r="Y23" s="1145"/>
      <c r="Z23" s="1145"/>
      <c r="AA23" s="1145"/>
      <c r="AB23" s="1704"/>
      <c r="AC23" s="1365" t="s">
        <v>295</v>
      </c>
      <c r="AD23" s="1365" t="str">
        <v>Decimal</v>
      </c>
      <c r="AE23" s="1371" t="s">
        <v>296</v>
      </c>
      <c r="AF23" s="1371" t="s">
        <v>297</v>
      </c>
      <c r="AG23" s="835"/>
      <c r="AH23" s="718"/>
      <c r="AI23" s="718"/>
      <c r="AJ23" s="718"/>
      <c r="AK23" s="718"/>
      <c r="AL23" s="718"/>
      <c r="AM23" s="718"/>
      <c r="AN23" s="718"/>
      <c r="AO23" s="718"/>
      <c r="AP23" s="718"/>
      <c r="AQ23" s="718"/>
      <c r="AR23" s="718"/>
      <c r="AS23" s="718"/>
      <c r="AT23" s="718"/>
      <c r="AU23" s="718"/>
      <c r="AV23" s="718"/>
      <c r="AW23" s="718"/>
      <c r="AX23" s="718"/>
      <c r="AY23" s="718"/>
      <c r="AZ23" s="718"/>
      <c r="BA23" s="718"/>
      <c r="BB23" s="718"/>
      <c r="BC23" s="718"/>
      <c r="BD23" s="718"/>
      <c r="BE23" s="718"/>
      <c r="BF23" s="718"/>
      <c r="BG23" s="718"/>
      <c r="BH23" s="718"/>
      <c r="BI23" s="718"/>
      <c r="BJ23" s="718"/>
      <c r="BK23" s="718"/>
      <c r="BL23" s="718"/>
      <c r="BM23" s="718"/>
      <c r="BN23" s="718"/>
      <c r="BO23" s="718"/>
      <c r="BP23" s="718"/>
      <c r="BQ23" s="718"/>
      <c r="BR23" s="718"/>
      <c r="BS23" s="718"/>
    </row>
    <row r="24" spans="1:71" ht="16" customHeight="1">
      <c r="A24" s="32"/>
      <c r="B24" s="1699"/>
      <c r="C24" s="1696"/>
      <c r="D24" s="1700"/>
      <c r="E24" s="1697"/>
      <c r="F24" s="1697"/>
      <c r="G24" s="1697"/>
      <c r="H24" s="1697"/>
      <c r="I24" s="1698"/>
      <c r="J24" s="401"/>
      <c r="K24" s="401"/>
      <c r="O24" s="158"/>
      <c r="P24" s="2"/>
      <c r="Q24" s="52"/>
      <c r="R24" s="2"/>
      <c r="S24" s="539"/>
      <c r="T24" s="2"/>
      <c r="U24" s="2"/>
      <c r="V24" s="39"/>
      <c r="X24" s="1145"/>
      <c r="Y24" s="1145"/>
      <c r="Z24" s="1145"/>
      <c r="AA24" s="1145"/>
      <c r="AB24" s="1704"/>
      <c r="AC24" s="1365" t="s">
        <v>298</v>
      </c>
      <c r="AD24" s="1365" t="str">
        <v>Percentage</v>
      </c>
      <c r="AE24" s="1371" t="s">
        <v>299</v>
      </c>
      <c r="AF24" s="1371" t="s">
        <v>300</v>
      </c>
      <c r="AG24" s="835"/>
      <c r="AH24" s="718"/>
      <c r="AI24" s="718"/>
      <c r="AJ24" s="718"/>
      <c r="AK24" s="718"/>
      <c r="AL24" s="718"/>
      <c r="AM24" s="718"/>
      <c r="AN24" s="718"/>
      <c r="AO24" s="718"/>
      <c r="AP24" s="718"/>
      <c r="AQ24" s="718"/>
      <c r="AR24" s="718"/>
      <c r="AS24" s="718"/>
      <c r="AT24" s="718"/>
      <c r="AU24" s="718"/>
      <c r="AV24" s="718"/>
      <c r="AW24" s="718"/>
      <c r="AX24" s="718"/>
      <c r="AY24" s="718"/>
      <c r="AZ24" s="718"/>
      <c r="BA24" s="718"/>
      <c r="BB24" s="718"/>
      <c r="BC24" s="718"/>
      <c r="BD24" s="718"/>
      <c r="BE24" s="718"/>
      <c r="BF24" s="718"/>
      <c r="BG24" s="718"/>
      <c r="BH24" s="718"/>
      <c r="BI24" s="718"/>
      <c r="BJ24" s="718"/>
      <c r="BK24" s="718"/>
      <c r="BL24" s="718"/>
      <c r="BM24" s="718"/>
      <c r="BN24" s="718"/>
      <c r="BO24" s="718"/>
      <c r="BP24" s="718"/>
      <c r="BQ24" s="718"/>
      <c r="BR24" s="718"/>
      <c r="BS24" s="718"/>
    </row>
    <row r="25" spans="1:71" ht="16" customHeight="1">
      <c r="A25" s="32"/>
      <c r="B25" s="1695"/>
      <c r="C25" s="1696"/>
      <c r="D25" s="1696"/>
      <c r="E25" s="1697"/>
      <c r="F25" s="1696"/>
      <c r="G25" s="1697"/>
      <c r="H25" s="1697"/>
      <c r="I25" s="1698"/>
      <c r="J25" s="401"/>
      <c r="K25" s="401"/>
      <c r="O25" s="158"/>
      <c r="P25" s="2"/>
      <c r="Q25" s="52"/>
      <c r="R25" s="2"/>
      <c r="S25" s="539"/>
      <c r="T25" s="2"/>
      <c r="U25" s="2"/>
      <c r="V25" s="39"/>
      <c r="X25" s="1145"/>
      <c r="Y25" s="1145"/>
      <c r="Z25" s="1145"/>
      <c r="AA25" s="1145"/>
      <c r="AB25" s="1704"/>
      <c r="AC25" s="1365" t="s">
        <v>301</v>
      </c>
      <c r="AD25" s="1365" t="str">
        <v>Currency</v>
      </c>
      <c r="AE25" s="1371" t="s">
        <v>302</v>
      </c>
      <c r="AF25" s="1371" t="s">
        <v>303</v>
      </c>
      <c r="AG25" s="835"/>
      <c r="AH25" s="718"/>
      <c r="AI25" s="718"/>
      <c r="AJ25" s="718"/>
      <c r="AK25" s="718"/>
      <c r="AL25" s="718"/>
      <c r="AM25" s="718"/>
      <c r="AN25" s="718"/>
      <c r="AO25" s="718"/>
      <c r="AP25" s="718"/>
      <c r="AQ25" s="718"/>
      <c r="AR25" s="718"/>
      <c r="AS25" s="718"/>
      <c r="AT25" s="718"/>
      <c r="AU25" s="718"/>
      <c r="AV25" s="718"/>
      <c r="AW25" s="718"/>
      <c r="AX25" s="718"/>
      <c r="AY25" s="718"/>
      <c r="AZ25" s="718"/>
      <c r="BA25" s="718"/>
      <c r="BB25" s="718"/>
      <c r="BC25" s="718"/>
      <c r="BD25" s="718"/>
      <c r="BE25" s="718"/>
      <c r="BF25" s="718"/>
      <c r="BG25" s="718"/>
      <c r="BH25" s="718"/>
      <c r="BI25" s="718"/>
      <c r="BJ25" s="718"/>
      <c r="BK25" s="718"/>
      <c r="BL25" s="718"/>
      <c r="BM25" s="718"/>
      <c r="BN25" s="718"/>
      <c r="BO25" s="718"/>
      <c r="BP25" s="718"/>
      <c r="BQ25" s="718"/>
      <c r="BR25" s="718"/>
      <c r="BS25" s="718"/>
    </row>
    <row r="26" spans="1:71" ht="16" customHeight="1">
      <c r="A26" s="32"/>
      <c r="B26" s="1695"/>
      <c r="C26" s="1696"/>
      <c r="D26" s="1696"/>
      <c r="E26" s="1697"/>
      <c r="F26" s="1696"/>
      <c r="G26" s="1697"/>
      <c r="H26" s="1697"/>
      <c r="I26" s="1698"/>
      <c r="J26" s="401"/>
      <c r="K26" s="401"/>
      <c r="O26" s="158"/>
      <c r="P26" s="2"/>
      <c r="Q26" s="52"/>
      <c r="R26" s="2"/>
      <c r="S26" s="539"/>
      <c r="T26" s="2"/>
      <c r="U26" s="2"/>
      <c r="V26" s="39"/>
      <c r="X26" s="1145"/>
      <c r="Y26" s="1145"/>
      <c r="Z26" s="1145"/>
      <c r="AA26" s="1145"/>
      <c r="AB26" s="1704"/>
      <c r="AC26" s="1365" t="s">
        <v>304</v>
      </c>
      <c r="AD26" s="1365" t="str">
        <v>Binary</v>
      </c>
      <c r="AE26" s="1371" t="s">
        <v>305</v>
      </c>
      <c r="AF26" s="1371" t="s">
        <v>306</v>
      </c>
      <c r="AG26" s="835"/>
      <c r="AH26" s="718"/>
      <c r="AI26" s="718"/>
      <c r="AJ26" s="718"/>
      <c r="AK26" s="718"/>
      <c r="AL26" s="718"/>
      <c r="AM26" s="718"/>
      <c r="AN26" s="718"/>
      <c r="AO26" s="718"/>
      <c r="AP26" s="718"/>
      <c r="AQ26" s="718"/>
      <c r="AR26" s="718"/>
      <c r="AS26" s="718"/>
      <c r="AT26" s="718"/>
      <c r="AU26" s="718"/>
      <c r="AV26" s="718"/>
      <c r="AW26" s="718"/>
      <c r="AX26" s="718"/>
      <c r="AY26" s="718"/>
      <c r="AZ26" s="718"/>
      <c r="BA26" s="718"/>
      <c r="BB26" s="718"/>
      <c r="BC26" s="718"/>
      <c r="BD26" s="718"/>
      <c r="BE26" s="718"/>
      <c r="BF26" s="718"/>
      <c r="BG26" s="718"/>
      <c r="BH26" s="718"/>
      <c r="BI26" s="718"/>
      <c r="BJ26" s="718"/>
      <c r="BK26" s="718"/>
      <c r="BL26" s="718"/>
      <c r="BM26" s="718"/>
      <c r="BN26" s="718"/>
      <c r="BO26" s="718"/>
      <c r="BP26" s="718"/>
      <c r="BQ26" s="718"/>
      <c r="BR26" s="718"/>
      <c r="BS26" s="718"/>
    </row>
    <row r="27" spans="1:71" ht="16" customHeight="1">
      <c r="A27" s="32"/>
      <c r="B27" s="1699"/>
      <c r="C27" s="1696"/>
      <c r="D27" s="1700"/>
      <c r="E27" s="1697"/>
      <c r="F27" s="1697"/>
      <c r="G27" s="1697"/>
      <c r="H27" s="1697"/>
      <c r="I27" s="1698"/>
      <c r="J27" s="401"/>
      <c r="K27" s="401"/>
      <c r="O27" s="158"/>
      <c r="P27" s="2"/>
      <c r="Q27" s="52"/>
      <c r="R27" s="2"/>
      <c r="S27" s="539"/>
      <c r="T27" s="2"/>
      <c r="U27" s="2"/>
      <c r="V27" s="39"/>
      <c r="X27" s="1145"/>
      <c r="Y27" s="1145"/>
      <c r="Z27" s="1145"/>
      <c r="AA27" s="1145"/>
      <c r="AB27" s="1704"/>
      <c r="AC27" s="1365" t="s">
        <v>307</v>
      </c>
      <c r="AD27" s="1365" t="str">
        <v>Multiple</v>
      </c>
      <c r="AE27" s="1371"/>
      <c r="AF27" s="1371" t="s">
        <v>308</v>
      </c>
      <c r="AG27" s="835"/>
      <c r="AH27" s="718"/>
      <c r="AI27" s="718"/>
      <c r="AJ27" s="718"/>
      <c r="AK27" s="718"/>
      <c r="AL27" s="718"/>
      <c r="AM27" s="718"/>
      <c r="AN27" s="718"/>
      <c r="AO27" s="718"/>
      <c r="AP27" s="718"/>
      <c r="AQ27" s="718"/>
      <c r="AR27" s="718"/>
      <c r="AS27" s="718"/>
      <c r="AT27" s="718"/>
      <c r="AU27" s="718"/>
      <c r="AV27" s="718"/>
      <c r="AW27" s="718"/>
      <c r="AX27" s="718"/>
      <c r="AY27" s="718"/>
      <c r="AZ27" s="718"/>
      <c r="BA27" s="718"/>
      <c r="BB27" s="718"/>
      <c r="BC27" s="718"/>
      <c r="BD27" s="718"/>
      <c r="BE27" s="718"/>
      <c r="BF27" s="718"/>
      <c r="BG27" s="718"/>
      <c r="BH27" s="718"/>
      <c r="BI27" s="718"/>
      <c r="BJ27" s="718"/>
      <c r="BK27" s="718"/>
      <c r="BL27" s="718"/>
      <c r="BM27" s="718"/>
      <c r="BN27" s="718"/>
      <c r="BO27" s="718"/>
      <c r="BP27" s="718"/>
      <c r="BQ27" s="718"/>
      <c r="BR27" s="718"/>
      <c r="BS27" s="718"/>
    </row>
    <row r="28" spans="1:71" ht="16" customHeight="1">
      <c r="A28" s="32"/>
      <c r="B28" s="1695"/>
      <c r="C28" s="1696"/>
      <c r="D28" s="1696"/>
      <c r="E28" s="1697"/>
      <c r="F28" s="1696"/>
      <c r="G28" s="1697"/>
      <c r="H28" s="1697"/>
      <c r="I28" s="1698"/>
      <c r="J28" s="401"/>
      <c r="K28" s="401"/>
      <c r="O28" s="158"/>
      <c r="P28" s="2"/>
      <c r="Q28" s="52"/>
      <c r="R28" s="2"/>
      <c r="S28" s="539"/>
      <c r="T28" s="2"/>
      <c r="U28" s="2"/>
      <c r="V28" s="39"/>
      <c r="X28" s="1145"/>
      <c r="Y28" s="1145"/>
      <c r="Z28" s="1145"/>
      <c r="AA28" s="1145"/>
      <c r="AB28" s="1704"/>
      <c r="AC28" s="1365" t="s">
        <v>309</v>
      </c>
      <c r="AD28" s="1365"/>
      <c r="AE28" s="1371"/>
      <c r="AF28" s="1371" t="s">
        <v>310</v>
      </c>
      <c r="AG28" s="835"/>
      <c r="AH28" s="718"/>
      <c r="AI28" s="718"/>
      <c r="AJ28" s="718"/>
      <c r="AK28" s="718"/>
      <c r="AL28" s="718"/>
      <c r="AM28" s="718"/>
      <c r="AN28" s="718"/>
      <c r="AO28" s="718"/>
      <c r="AP28" s="718"/>
      <c r="AQ28" s="718"/>
      <c r="AR28" s="718"/>
      <c r="AS28" s="718"/>
      <c r="AT28" s="718"/>
      <c r="AU28" s="718"/>
      <c r="AV28" s="718"/>
      <c r="AW28" s="718"/>
      <c r="AX28" s="718"/>
      <c r="AY28" s="718"/>
      <c r="AZ28" s="718"/>
      <c r="BA28" s="718"/>
      <c r="BB28" s="718"/>
      <c r="BC28" s="718"/>
      <c r="BD28" s="718"/>
      <c r="BE28" s="718"/>
      <c r="BF28" s="718"/>
      <c r="BG28" s="718"/>
      <c r="BH28" s="718"/>
      <c r="BI28" s="718"/>
      <c r="BJ28" s="718"/>
      <c r="BK28" s="718"/>
      <c r="BL28" s="718"/>
      <c r="BM28" s="718"/>
      <c r="BN28" s="718"/>
      <c r="BO28" s="718"/>
      <c r="BP28" s="718"/>
      <c r="BQ28" s="718"/>
      <c r="BR28" s="718"/>
      <c r="BS28" s="718"/>
    </row>
    <row r="29" spans="1:71" ht="16" customHeight="1">
      <c r="A29" s="32"/>
      <c r="B29" s="1695"/>
      <c r="C29" s="1696"/>
      <c r="D29" s="1696"/>
      <c r="E29" s="1697"/>
      <c r="F29" s="1696"/>
      <c r="G29" s="1697"/>
      <c r="H29" s="1697"/>
      <c r="I29" s="1698"/>
      <c r="J29" s="401"/>
      <c r="K29" s="401"/>
      <c r="O29" s="158"/>
      <c r="P29" s="2"/>
      <c r="Q29" s="52"/>
      <c r="R29" s="2"/>
      <c r="S29" s="539"/>
      <c r="T29" s="2"/>
      <c r="U29" s="2"/>
      <c r="V29" s="39"/>
      <c r="X29" s="729"/>
      <c r="Y29" s="729"/>
      <c r="Z29" s="729"/>
      <c r="AA29" s="1702"/>
      <c r="AB29" s="1702"/>
      <c r="AC29" s="1367" t="s">
        <v>311</v>
      </c>
      <c r="AD29" s="1372"/>
      <c r="AE29" s="1372"/>
      <c r="AF29" s="1372" t="s">
        <v>312</v>
      </c>
      <c r="AG29" s="835"/>
      <c r="AH29" s="718"/>
      <c r="AI29" s="718"/>
      <c r="AJ29" s="718"/>
      <c r="AK29" s="718"/>
      <c r="AL29" s="718"/>
      <c r="AM29" s="718"/>
      <c r="AN29" s="718"/>
      <c r="AO29" s="718"/>
      <c r="AP29" s="718"/>
      <c r="AQ29" s="718"/>
      <c r="AR29" s="718"/>
      <c r="AS29" s="718"/>
      <c r="AT29" s="718"/>
      <c r="AU29" s="718"/>
      <c r="AV29" s="718"/>
      <c r="AW29" s="718"/>
      <c r="AX29" s="718"/>
      <c r="AY29" s="718"/>
      <c r="AZ29" s="718"/>
      <c r="BA29" s="718"/>
      <c r="BB29" s="718"/>
      <c r="BC29" s="718"/>
      <c r="BD29" s="718"/>
      <c r="BE29" s="718"/>
      <c r="BF29" s="718"/>
      <c r="BG29" s="718"/>
      <c r="BH29" s="718"/>
      <c r="BI29" s="718"/>
      <c r="BJ29" s="718"/>
      <c r="BK29" s="718"/>
      <c r="BL29" s="718"/>
      <c r="BM29" s="718"/>
      <c r="BN29" s="718"/>
      <c r="BO29" s="718"/>
      <c r="BP29" s="718"/>
      <c r="BQ29" s="718"/>
      <c r="BR29" s="718"/>
      <c r="BS29" s="718"/>
    </row>
    <row r="30" spans="1:73" ht="16" customHeight="1">
      <c r="A30" s="32"/>
      <c r="B30" s="1699"/>
      <c r="C30" s="1696"/>
      <c r="D30" s="1700"/>
      <c r="E30" s="1697"/>
      <c r="F30" s="1697"/>
      <c r="G30" s="1697"/>
      <c r="H30" s="1697"/>
      <c r="I30" s="1698"/>
      <c r="J30" s="401"/>
      <c r="K30" s="401"/>
      <c r="O30" s="158"/>
      <c r="P30" s="2"/>
      <c r="Q30" s="52"/>
      <c r="R30" s="2"/>
      <c r="S30" s="539"/>
      <c r="T30" s="540"/>
      <c r="U30" s="2"/>
      <c r="V30" s="39"/>
      <c r="X30" s="836"/>
      <c r="Y30" s="836"/>
      <c r="Z30" s="836"/>
      <c r="AA30" s="730"/>
      <c r="AB30" s="730"/>
      <c r="AC30" s="1368"/>
      <c r="AD30" s="730"/>
      <c r="AE30" s="730"/>
      <c r="AF30" s="730"/>
      <c r="AG30" s="835"/>
      <c r="AH30" s="718"/>
      <c r="AI30" s="718"/>
      <c r="AJ30" s="718"/>
      <c r="AK30" s="718"/>
      <c r="AL30" s="718"/>
      <c r="AM30" s="718"/>
      <c r="AN30" s="718"/>
      <c r="AO30" s="718"/>
      <c r="AP30" s="718"/>
      <c r="AQ30" s="718"/>
      <c r="AR30" s="718"/>
      <c r="AS30" s="718"/>
      <c r="AT30" s="718"/>
      <c r="AU30" s="718"/>
      <c r="AV30" s="718"/>
      <c r="AW30" s="718"/>
      <c r="AX30" s="718"/>
      <c r="AY30" s="718"/>
      <c r="AZ30" s="718"/>
      <c r="BA30" s="718"/>
      <c r="BB30" s="718"/>
      <c r="BC30" s="718"/>
      <c r="BD30" s="718"/>
      <c r="BE30" s="718"/>
      <c r="BF30" s="718"/>
      <c r="BG30" s="718"/>
      <c r="BH30" s="718"/>
      <c r="BI30" s="718"/>
      <c r="BJ30" s="718"/>
      <c r="BK30" s="718"/>
      <c r="BL30" s="718"/>
      <c r="BM30" s="718"/>
      <c r="BN30" s="718"/>
      <c r="BO30" s="718"/>
      <c r="BP30" s="718"/>
      <c r="BQ30" s="718"/>
      <c r="BR30" s="718"/>
      <c r="BS30" s="718"/>
      <c r="BU30" s="1895" t="str" cm="1">
        <f t="array" ca="1" aca="1" ref="BU30">"There are "&amp;SUMPRODUCT(--ISNUMBER(SEARCH("ready to push",BU34:DN49&amp;"")))&amp;" values ready to be pushed"</f>
        <v>There are 0 values ready to be pushed</v>
      </c>
    </row>
    <row r="31" spans="1:71" ht="16" customHeight="1">
      <c r="A31" s="32"/>
      <c r="B31" s="1695"/>
      <c r="C31" s="1696"/>
      <c r="D31" s="1696"/>
      <c r="E31" s="1697"/>
      <c r="F31" s="1696"/>
      <c r="G31" s="1697"/>
      <c r="H31" s="1697"/>
      <c r="I31" s="1698"/>
      <c r="J31" s="401"/>
      <c r="K31" s="401"/>
      <c r="O31" s="158"/>
      <c r="P31" s="2"/>
      <c r="Q31" s="52"/>
      <c r="R31" s="2"/>
      <c r="S31" s="539"/>
      <c r="T31" s="540"/>
      <c r="U31" s="2"/>
      <c r="V31" s="39"/>
      <c r="X31" s="837"/>
      <c r="Y31" s="837"/>
      <c r="Z31" s="837"/>
      <c r="AA31" s="728"/>
      <c r="AB31" s="728"/>
      <c r="AC31" s="728"/>
      <c r="AD31" s="728"/>
      <c r="AE31" s="728"/>
      <c r="AF31" s="728"/>
      <c r="AG31" s="838"/>
      <c r="AH31" s="718"/>
      <c r="AI31" s="718"/>
      <c r="AJ31" s="718"/>
      <c r="AK31" s="718"/>
      <c r="AL31" s="718"/>
      <c r="AM31" s="718"/>
      <c r="AN31" s="718"/>
      <c r="AO31" s="718"/>
      <c r="AP31" s="718"/>
      <c r="AQ31" s="718"/>
      <c r="AR31" s="718"/>
      <c r="AS31" s="718"/>
      <c r="AT31" s="718"/>
      <c r="AU31" s="718"/>
      <c r="AV31" s="718"/>
      <c r="AW31" s="718"/>
      <c r="AX31" s="718"/>
      <c r="AY31" s="718"/>
      <c r="AZ31" s="718"/>
      <c r="BA31" s="718"/>
      <c r="BB31" s="718"/>
      <c r="BC31" s="718"/>
      <c r="BD31" s="718"/>
      <c r="BE31" s="718"/>
      <c r="BF31" s="718"/>
      <c r="BG31" s="718"/>
      <c r="BH31" s="718"/>
      <c r="BI31" s="718"/>
      <c r="BJ31" s="718"/>
      <c r="BK31" s="718"/>
      <c r="BL31" s="718"/>
      <c r="BM31" s="718"/>
      <c r="BN31" s="718"/>
      <c r="BO31" s="718"/>
      <c r="BP31" s="718"/>
      <c r="BQ31" s="718"/>
      <c r="BR31" s="718"/>
      <c r="BS31" s="718"/>
    </row>
    <row r="32" spans="1:83" ht="16" customHeight="1">
      <c r="A32" s="32"/>
      <c r="B32" s="1695"/>
      <c r="C32" s="1696"/>
      <c r="D32" s="1696"/>
      <c r="E32" s="1697"/>
      <c r="F32" s="1696"/>
      <c r="G32" s="1697"/>
      <c r="H32" s="1697"/>
      <c r="I32" s="1698" t="s">
        <v>313</v>
      </c>
      <c r="J32" s="401" t="s">
        <v>38</v>
      </c>
      <c r="K32" s="401" t="s">
        <v>39</v>
      </c>
      <c r="O32" s="158"/>
      <c r="P32" s="2"/>
      <c r="Q32" s="2"/>
      <c r="R32" s="2"/>
      <c r="S32" s="539"/>
      <c r="T32" s="540"/>
      <c r="U32" s="8"/>
      <c r="V32" s="39"/>
      <c r="X32" s="1389"/>
      <c r="Y32" s="1390"/>
      <c r="Z32" s="1390"/>
      <c r="AA32" s="1390"/>
      <c r="AB32" s="1390"/>
      <c r="AC32" s="1390"/>
      <c r="AD32" s="1390"/>
      <c r="AE32" s="1390"/>
      <c r="AF32" s="1390"/>
      <c r="AG32" s="1390"/>
      <c r="AH32" s="1391"/>
      <c r="AI32" s="1159"/>
      <c r="AJ32" s="1159"/>
      <c r="AK32" s="1159"/>
      <c r="AL32" s="1159"/>
      <c r="AM32" s="1159"/>
      <c r="AN32" s="1159"/>
      <c r="AO32" s="1159"/>
      <c r="AP32" s="1159"/>
      <c r="AQ32" s="1159"/>
      <c r="AR32" s="1159"/>
      <c r="AS32" s="1159"/>
      <c r="AT32" s="1159"/>
      <c r="AU32" s="1159"/>
      <c r="AV32" s="1159"/>
      <c r="AW32" s="1159"/>
      <c r="AX32" s="1159"/>
      <c r="AY32" s="1159"/>
      <c r="AZ32" s="1159"/>
      <c r="BA32" s="1159"/>
      <c r="BB32" s="1159"/>
      <c r="BC32" s="1159"/>
      <c r="BD32" s="1159"/>
      <c r="BE32" s="1159"/>
      <c r="BF32" s="1159"/>
      <c r="BG32" s="1159"/>
      <c r="BH32" s="1159"/>
      <c r="BI32" s="1159"/>
      <c r="BJ32" s="1159"/>
      <c r="BK32" s="1159"/>
      <c r="BL32" s="1159"/>
      <c r="BM32" s="1159"/>
      <c r="BN32" s="1159"/>
      <c r="BO32" s="1159"/>
      <c r="BP32" s="1159"/>
      <c r="BQ32" s="1159"/>
      <c r="BR32" s="1159"/>
      <c r="BS32" s="1159"/>
      <c r="BU32" s="2088">
        <f>val_asOfDate</f>
        <v>46022</v>
      </c>
      <c r="BV32" s="2088">
        <f>val_asOfDate</f>
        <v>46022</v>
      </c>
      <c r="BW32" s="2088">
        <f>EOMONTH(val_asOfDate,1)</f>
        <v>46053</v>
      </c>
      <c r="BX32" s="2088">
        <f>EOMONTH(val_asOfDate,1)</f>
        <v>46053</v>
      </c>
      <c r="BY32" s="2088">
        <f>val_asOfDate</f>
        <v>46022</v>
      </c>
      <c r="BZ32" s="2088">
        <f>EOMONTH(val_asOfDate,1)</f>
        <v>46053</v>
      </c>
      <c r="CA32" s="2088">
        <f>val_asOfDate</f>
        <v>46022</v>
      </c>
      <c r="CB32" s="2088">
        <f>EOMONTH(val_asOfDate,1)</f>
        <v>46053</v>
      </c>
      <c r="CC32" s="2088">
        <f>val_asOfDate</f>
        <v>46022</v>
      </c>
      <c r="CD32" s="2088">
        <f>EOMONTH(val_asOfDate,1)</f>
        <v>46053</v>
      </c>
      <c r="CE32" s="286"/>
    </row>
    <row r="33" spans="1:119" ht="17.25" customHeight="1">
      <c r="A33" s="32"/>
      <c r="B33" s="810"/>
      <c r="C33" s="811"/>
      <c r="D33" s="1694"/>
      <c r="E33" s="574"/>
      <c r="F33" s="574"/>
      <c r="G33" s="574"/>
      <c r="H33" s="574"/>
      <c r="I33" s="401"/>
      <c r="J33" s="1955" t="s">
        <v>92</v>
      </c>
      <c r="K33" s="401"/>
      <c r="O33" s="158"/>
      <c r="P33" s="2"/>
      <c r="Q33" s="2"/>
      <c r="R33" s="2"/>
      <c r="S33" s="539"/>
      <c r="T33" s="540"/>
      <c r="U33" s="8"/>
      <c r="V33" s="39"/>
      <c r="X33" s="1394" t="s">
        <v>314</v>
      </c>
      <c r="Y33" s="1395"/>
      <c r="Z33" s="1886" t="s">
        <v>315</v>
      </c>
      <c r="AA33" s="198">
        <v>-1</v>
      </c>
      <c r="AB33" s="198"/>
      <c r="AC33" s="1890" t="s">
        <v>307</v>
      </c>
      <c r="AD33" s="1396"/>
      <c r="AE33" s="1397" t="s">
        <v>307</v>
      </c>
      <c r="AF33" s="1397"/>
      <c r="AG33" s="1397"/>
      <c r="AH33" s="1398"/>
      <c r="AI33" s="1399"/>
      <c r="AJ33" s="1399"/>
      <c r="AK33" s="1399"/>
      <c r="AL33" s="1399"/>
      <c r="AM33" s="1399"/>
      <c r="AN33" s="1399"/>
      <c r="AO33" s="1399"/>
      <c r="AP33" s="1399"/>
      <c r="AQ33" s="1399"/>
      <c r="AR33" s="1399"/>
      <c r="AS33" s="1399"/>
      <c r="AT33" s="1399"/>
      <c r="AU33" s="1399"/>
      <c r="AV33" s="1399"/>
      <c r="AW33" s="1399"/>
      <c r="AX33" s="1399"/>
      <c r="AY33" s="1399"/>
      <c r="AZ33" s="1399"/>
      <c r="BA33" s="1399"/>
      <c r="BB33" s="1399"/>
      <c r="BC33" s="1399"/>
      <c r="BD33" s="1399"/>
      <c r="BE33" s="1399"/>
      <c r="BF33" s="1399"/>
      <c r="BG33" s="1399"/>
      <c r="BH33" s="1399"/>
      <c r="BI33" s="1399"/>
      <c r="BJ33" s="1399"/>
      <c r="BK33" s="1399"/>
      <c r="BL33" s="1399"/>
      <c r="BM33" s="1399"/>
      <c r="BN33" s="1399"/>
      <c r="BO33" s="1399"/>
      <c r="BP33" s="1399"/>
      <c r="BQ33" s="1399"/>
      <c r="BR33" s="1399"/>
      <c r="BS33" s="1400"/>
      <c r="BU33" s="1884" t="str" cm="1">
        <f t="array" ca="1" aca="1" ref="BU33">RIGHT(CELL("filename",$A$1),LEN(CELL("filename",$A$1))-FIND("]",CELL("filename",$A$1)))&amp;" Label PUSH"</f>
        <v>KPI Label PUSH</v>
      </c>
      <c r="BV33" s="1884" t="str" cm="1">
        <f t="array" ca="1" aca="1" ref="BV33">RIGHT(CELL("filename",$A$1),LEN(CELL("filename",$A$1))-FIND("]",CELL("filename",$A$1)))&amp;" Collect Period PUSH"</f>
        <v>KPI Collect Period PUSH</v>
      </c>
      <c r="BW33" s="1884" t="str" cm="1">
        <f t="array" ca="1" aca="1" ref="BW33">RIGHT(CELL("filename",$A$1),LEN(CELL("filename",$A$1))-FIND("]",CELL("filename",$A$1)))&amp;" Label PUSH"</f>
        <v>KPI Label PUSH</v>
      </c>
      <c r="BX33" s="1884" t="str" cm="1">
        <f t="array" ca="1" aca="1" ref="BX33">RIGHT(CELL("filename",$A$1),LEN(CELL("filename",$A$1))-FIND("]",CELL("filename",$A$1)))&amp;" Collect Period PUSH"</f>
        <v>KPI Collect Period PUSH</v>
      </c>
      <c r="BY33" s="1884" t="str" cm="1">
        <f t="array" ca="1" aca="1" ref="BY33">RIGHT(CELL("filename",$A$1),LEN(CELL("filename",$A$1))-FIND("]",CELL("filename",$A$1)))&amp;" Data Type PUSH"</f>
        <v>KPI Data Type PUSH</v>
      </c>
      <c r="BZ33" s="1884" t="str" cm="1">
        <f t="array" ca="1" aca="1" ref="BZ33">RIGHT(CELL("filename",$A$1),LEN(CELL("filename",$A$1))-FIND("]",CELL("filename",$A$1)))&amp;" Data Type PUSH"</f>
        <v>KPI Data Type PUSH</v>
      </c>
      <c r="CA33" s="1884" t="str" cm="1">
        <f t="array" ca="1" aca="1" ref="CA33">RIGHT(CELL("filename",$A$1),LEN(CELL("filename",$A$1))-FIND("]",CELL("filename",$A$1)))&amp;" Comparison PUSH"</f>
        <v>KPI Comparison PUSH</v>
      </c>
      <c r="CB33" s="1884" t="str" cm="1">
        <f t="array" ca="1" aca="1" ref="CB33">RIGHT(CELL("filename",$A$1),LEN(CELL("filename",$A$1))-FIND("]",CELL("filename",$A$1)))&amp;" Comparison PUSH"</f>
        <v>KPI Comparison PUSH</v>
      </c>
      <c r="CC33" s="1884" t="str" cm="1">
        <f t="array" ca="1" aca="1" ref="CC33">RIGHT(CELL("filename",$A$1),LEN(CELL("filename",$A$1))-FIND("]",CELL("filename",$A$1)))&amp;" Rollup PUSH"</f>
        <v>KPI Rollup PUSH</v>
      </c>
      <c r="CD33" s="1884" t="str" cm="1">
        <f t="array" ca="1" aca="1" ref="CD33">RIGHT(CELL("filename",$A$1),LEN(CELL("filename",$A$1))-FIND("]",CELL("filename",$A$1)))&amp;" Rollup PUSH"</f>
        <v>KPI Rollup PUSH</v>
      </c>
      <c r="CE33" s="1878" t="str" cm="1">
        <f t="array" ca="1" aca="1" ref="CE33">RIGHT(CELL("filename",$A$1),LEN(CELL("filename",$A$1))-FIND("]",CELL("filename",$A$1)))&amp;" PUSH"</f>
        <v>KPI PUSH</v>
      </c>
      <c r="CF33" s="1878" t="str" cm="1">
        <f t="array" ca="1" aca="1" ref="CF33">RIGHT(CELL("filename",$A$1),LEN(CELL("filename",$A$1))-FIND("]",CELL("filename",$A$1)))&amp;" PUSH"</f>
        <v>KPI PUSH</v>
      </c>
      <c r="CG33" s="1878" t="str" cm="1">
        <f t="array" ca="1" aca="1" ref="CG33">RIGHT(CELL("filename",$A$1),LEN(CELL("filename",$A$1))-FIND("]",CELL("filename",$A$1)))&amp;" PUSH"</f>
        <v>KPI PUSH</v>
      </c>
      <c r="CH33" s="1878" t="str" cm="1">
        <f t="array" ca="1" aca="1" ref="CH33">RIGHT(CELL("filename",$A$1),LEN(CELL("filename",$A$1))-FIND("]",CELL("filename",$A$1)))&amp;" PUSH"</f>
        <v>KPI PUSH</v>
      </c>
      <c r="CI33" s="1878" t="str" cm="1">
        <f t="array" ca="1" aca="1" ref="CI33">RIGHT(CELL("filename",$A$1),LEN(CELL("filename",$A$1))-FIND("]",CELL("filename",$A$1)))&amp;" PUSH"</f>
        <v>KPI PUSH</v>
      </c>
      <c r="CJ33" s="1878" t="str" cm="1">
        <f t="array" ca="1" aca="1" ref="CJ33">RIGHT(CELL("filename",$A$1),LEN(CELL("filename",$A$1))-FIND("]",CELL("filename",$A$1)))&amp;" PUSH"</f>
        <v>KPI PUSH</v>
      </c>
      <c r="CK33" s="1878" t="str" cm="1">
        <f t="array" ca="1" aca="1" ref="CK33">RIGHT(CELL("filename",$A$1),LEN(CELL("filename",$A$1))-FIND("]",CELL("filename",$A$1)))&amp;" PUSH"</f>
        <v>KPI PUSH</v>
      </c>
      <c r="CL33" s="1878" t="str" cm="1">
        <f t="array" ca="1" aca="1" ref="CL33">RIGHT(CELL("filename",$A$1),LEN(CELL("filename",$A$1))-FIND("]",CELL("filename",$A$1)))&amp;" PUSH"</f>
        <v>KPI PUSH</v>
      </c>
      <c r="CM33" s="1878" t="str" cm="1">
        <f t="array" ca="1" aca="1" ref="CM33">RIGHT(CELL("filename",$A$1),LEN(CELL("filename",$A$1))-FIND("]",CELL("filename",$A$1)))&amp;" PUSH"</f>
        <v>KPI PUSH</v>
      </c>
      <c r="CN33" s="1878" t="str" cm="1">
        <f t="array" ca="1" aca="1" ref="CN33">RIGHT(CELL("filename",$A$1),LEN(CELL("filename",$A$1))-FIND("]",CELL("filename",$A$1)))&amp;" PUSH"</f>
        <v>KPI PUSH</v>
      </c>
      <c r="CO33" s="1878" t="str" cm="1">
        <f t="array" ca="1" aca="1" ref="CO33">RIGHT(CELL("filename",$A$1),LEN(CELL("filename",$A$1))-FIND("]",CELL("filename",$A$1)))&amp;" PUSH"</f>
        <v>KPI PUSH</v>
      </c>
      <c r="CP33" s="1878" t="str" cm="1">
        <f t="array" ca="1" aca="1" ref="CP33">RIGHT(CELL("filename",$A$1),LEN(CELL("filename",$A$1))-FIND("]",CELL("filename",$A$1)))&amp;" PUSH"</f>
        <v>KPI PUSH</v>
      </c>
      <c r="CQ33" s="1878" t="str" cm="1">
        <f t="array" ca="1" aca="1" ref="CQ33">RIGHT(CELL("filename",$A$1),LEN(CELL("filename",$A$1))-FIND("]",CELL("filename",$A$1)))&amp;" PUSH"</f>
        <v>KPI PUSH</v>
      </c>
      <c r="CR33" s="1878" t="str" cm="1">
        <f t="array" ca="1" aca="1" ref="CR33">RIGHT(CELL("filename",$A$1),LEN(CELL("filename",$A$1))-FIND("]",CELL("filename",$A$1)))&amp;" PUSH"</f>
        <v>KPI PUSH</v>
      </c>
      <c r="CS33" s="1878" t="str" cm="1">
        <f t="array" ca="1" aca="1" ref="CS33">RIGHT(CELL("filename",$A$1),LEN(CELL("filename",$A$1))-FIND("]",CELL("filename",$A$1)))&amp;" PUSH"</f>
        <v>KPI PUSH</v>
      </c>
      <c r="CT33" s="1878" t="str" cm="1">
        <f t="array" ca="1" aca="1" ref="CT33">RIGHT(CELL("filename",$A$1),LEN(CELL("filename",$A$1))-FIND("]",CELL("filename",$A$1)))&amp;" PUSH"</f>
        <v>KPI PUSH</v>
      </c>
      <c r="CU33" s="1878" t="str" cm="1">
        <f t="array" ca="1" aca="1" ref="CU33">RIGHT(CELL("filename",$A$1),LEN(CELL("filename",$A$1))-FIND("]",CELL("filename",$A$1)))&amp;" PUSH"</f>
        <v>KPI PUSH</v>
      </c>
      <c r="CV33" s="1878" t="str" cm="1">
        <f t="array" ca="1" aca="1" ref="CV33">RIGHT(CELL("filename",$A$1),LEN(CELL("filename",$A$1))-FIND("]",CELL("filename",$A$1)))&amp;" PUSH"</f>
        <v>KPI PUSH</v>
      </c>
      <c r="CW33" s="1878" t="str" cm="1">
        <f t="array" ca="1" aca="1" ref="CW33">RIGHT(CELL("filename",$A$1),LEN(CELL("filename",$A$1))-FIND("]",CELL("filename",$A$1)))&amp;" PUSH"</f>
        <v>KPI PUSH</v>
      </c>
      <c r="CX33" s="1878" t="str" cm="1">
        <f t="array" ca="1" aca="1" ref="CX33">RIGHT(CELL("filename",$A$1),LEN(CELL("filename",$A$1))-FIND("]",CELL("filename",$A$1)))&amp;" PUSH"</f>
        <v>KPI PUSH</v>
      </c>
      <c r="CY33" s="1878" t="str" cm="1">
        <f t="array" ca="1" aca="1" ref="CY33">RIGHT(CELL("filename",$A$1),LEN(CELL("filename",$A$1))-FIND("]",CELL("filename",$A$1)))&amp;" PUSH"</f>
        <v>KPI PUSH</v>
      </c>
      <c r="CZ33" s="1878" t="str" cm="1">
        <f t="array" ca="1" aca="1" ref="CZ33">RIGHT(CELL("filename",$A$1),LEN(CELL("filename",$A$1))-FIND("]",CELL("filename",$A$1)))&amp;" PUSH"</f>
        <v>KPI PUSH</v>
      </c>
      <c r="DA33" s="1878" t="str" cm="1">
        <f t="array" ca="1" aca="1" ref="DA33">RIGHT(CELL("filename",$A$1),LEN(CELL("filename",$A$1))-FIND("]",CELL("filename",$A$1)))&amp;" PUSH"</f>
        <v>KPI PUSH</v>
      </c>
      <c r="DB33" s="1878" t="str" cm="1">
        <f t="array" ca="1" aca="1" ref="DB33">RIGHT(CELL("filename",$A$1),LEN(CELL("filename",$A$1))-FIND("]",CELL("filename",$A$1)))&amp;" PUSH"</f>
        <v>KPI PUSH</v>
      </c>
      <c r="DC33" s="1878" t="str" cm="1">
        <f t="array" ca="1" aca="1" ref="DC33">RIGHT(CELL("filename",$A$1),LEN(CELL("filename",$A$1))-FIND("]",CELL("filename",$A$1)))&amp;" PUSH"</f>
        <v>KPI PUSH</v>
      </c>
      <c r="DD33" s="1878" t="str" cm="1">
        <f t="array" ca="1" aca="1" ref="DD33">RIGHT(CELL("filename",$A$1),LEN(CELL("filename",$A$1))-FIND("]",CELL("filename",$A$1)))&amp;" PUSH"</f>
        <v>KPI PUSH</v>
      </c>
      <c r="DE33" s="1878" t="str" cm="1">
        <f t="array" ca="1" aca="1" ref="DE33">RIGHT(CELL("filename",$A$1),LEN(CELL("filename",$A$1))-FIND("]",CELL("filename",$A$1)))&amp;" PUSH"</f>
        <v>KPI PUSH</v>
      </c>
      <c r="DF33" s="1878" t="str" cm="1">
        <f t="array" ca="1" aca="1" ref="DF33">RIGHT(CELL("filename",$A$1),LEN(CELL("filename",$A$1))-FIND("]",CELL("filename",$A$1)))&amp;" PUSH"</f>
        <v>KPI PUSH</v>
      </c>
      <c r="DG33" s="1878" t="str" cm="1">
        <f t="array" ca="1" aca="1" ref="DG33">RIGHT(CELL("filename",$A$1),LEN(CELL("filename",$A$1))-FIND("]",CELL("filename",$A$1)))&amp;" PUSH"</f>
        <v>KPI PUSH</v>
      </c>
      <c r="DH33" s="1878" t="str" cm="1">
        <f t="array" ca="1" aca="1" ref="DH33">RIGHT(CELL("filename",$A$1),LEN(CELL("filename",$A$1))-FIND("]",CELL("filename",$A$1)))&amp;" PUSH"</f>
        <v>KPI PUSH</v>
      </c>
      <c r="DI33" s="1878" t="str" cm="1">
        <f t="array" ca="1" aca="1" ref="DI33">RIGHT(CELL("filename",$A$1),LEN(CELL("filename",$A$1))-FIND("]",CELL("filename",$A$1)))&amp;" PUSH"</f>
        <v>KPI PUSH</v>
      </c>
      <c r="DJ33" s="1878" t="str" cm="1">
        <f t="array" ca="1" aca="1" ref="DJ33">RIGHT(CELL("filename",$A$1),LEN(CELL("filename",$A$1))-FIND("]",CELL("filename",$A$1)))&amp;" PUSH"</f>
        <v>KPI PUSH</v>
      </c>
      <c r="DK33" s="1878" t="str" cm="1">
        <f t="array" ca="1" aca="1" ref="DK33">RIGHT(CELL("filename",$A$1),LEN(CELL("filename",$A$1))-FIND("]",CELL("filename",$A$1)))&amp;" PUSH"</f>
        <v>KPI PUSH</v>
      </c>
      <c r="DL33" s="1878" t="str" cm="1">
        <f t="array" ca="1" aca="1" ref="DL33">RIGHT(CELL("filename",$A$1),LEN(CELL("filename",$A$1))-FIND("]",CELL("filename",$A$1)))&amp;" PUSH"</f>
        <v>KPI PUSH</v>
      </c>
      <c r="DM33" s="1878" t="str" cm="1">
        <f t="array" ca="1" aca="1" ref="DM33">RIGHT(CELL("filename",$A$1),LEN(CELL("filename",$A$1))-FIND("]",CELL("filename",$A$1)))&amp;" PUSH"</f>
        <v>KPI PUSH</v>
      </c>
      <c r="DN33" s="1878" t="str" cm="1">
        <f t="array" ca="1" aca="1" ref="DN33">RIGHT(CELL("filename",$A$1),LEN(CELL("filename",$A$1))-FIND("]",CELL("filename",$A$1)))&amp;" PUSH"</f>
        <v>KPI PUSH</v>
      </c>
      <c r="DO33" s="1878" t="str" cm="1">
        <f t="array" ca="1" aca="1" ref="DO33">RIGHT(CELL("filename",$A$1),LEN(CELL("filename",$A$1))-FIND("]",CELL("filename",$A$1)))&amp;" PUSH"</f>
        <v>KPI PUSH</v>
      </c>
    </row>
    <row r="34" spans="1:119" ht="33" customHeight="1">
      <c r="A34" s="32" t="s">
        <v>96</v>
      </c>
      <c r="B34" s="580" t="s">
        <v>316</v>
      </c>
      <c r="C34" s="1885" t="s">
        <v>317</v>
      </c>
      <c r="D34" s="1885" t="s">
        <v>318</v>
      </c>
      <c r="E34" s="1885" t="s">
        <v>319</v>
      </c>
      <c r="F34" s="1885" t="s">
        <v>320</v>
      </c>
      <c r="G34" s="574" t="s">
        <v>321</v>
      </c>
      <c r="H34" s="574" t="s">
        <v>322</v>
      </c>
      <c r="I34" s="401">
        <v>0</v>
      </c>
      <c r="J34" s="401">
        <f>_xlfn.XLOOKUP($AD34,$C$11:$C$17,$E$11:$E$17,0)</f>
        <v>0</v>
      </c>
      <c r="K34" s="401"/>
      <c r="O34" s="158"/>
      <c r="P34" s="2"/>
      <c r="Q34" s="51"/>
      <c r="R34" s="51"/>
      <c r="S34" s="89"/>
      <c r="T34" s="3002" t="s">
        <v>323</v>
      </c>
      <c r="U34" s="3002"/>
      <c r="V34" s="39"/>
      <c r="X34" s="3233" cm="1">
        <f t="array" ref="X34:X49">_xlfn.LAMBDA(_xlpm.rng,_xlfn.LET(_xlpm.nonBlanks,_xlfn._xlws.FILTER(_xlpm.rng,_xlpm.rng&lt;&gt;""),_xlfn.BYROW(_xlpm.rng,_xlfn.LAMBDA(_xlpm.x,IF(_xlpm.x&lt;&gt;"",_xlfn.XMATCH(_xlpm.x,_xlpm.nonBlanks,0),"")))))(Z34:Z49)</f>
        <v>1</v>
      </c>
      <c r="Y34" s="1393"/>
      <c r="Z34" s="3234">
        <v>2</v>
      </c>
      <c r="AA34" s="198">
        <v>-1</v>
      </c>
      <c r="AB34" s="198"/>
      <c r="AC34" s="3235">
        <v>2</v>
      </c>
      <c r="AD34" s="3236">
        <v>2</v>
      </c>
      <c r="AE34" s="3237">
        <v>2</v>
      </c>
      <c r="AF34" s="3235">
        <v>2</v>
      </c>
      <c r="AG34" s="1566"/>
      <c r="AH34" s="1830"/>
      <c r="AI34" s="3238">
        <v>1</v>
      </c>
      <c r="AJ34" s="3238">
        <v>1</v>
      </c>
      <c r="AK34" s="3238">
        <v>1</v>
      </c>
      <c r="AL34" s="3238">
        <v>1</v>
      </c>
      <c r="AM34" s="3238">
        <v>1</v>
      </c>
      <c r="AN34" s="3238">
        <v>1</v>
      </c>
      <c r="AO34" s="3238">
        <v>1</v>
      </c>
      <c r="AP34" s="3238">
        <v>1</v>
      </c>
      <c r="AQ34" s="3238">
        <v>1</v>
      </c>
      <c r="AR34" s="3238">
        <v>1</v>
      </c>
      <c r="AS34" s="3238">
        <v>1</v>
      </c>
      <c r="AT34" s="3238">
        <v>1</v>
      </c>
      <c r="AU34" s="3238">
        <v>1</v>
      </c>
      <c r="AV34" s="3238">
        <v>1</v>
      </c>
      <c r="AW34" s="3238">
        <v>1</v>
      </c>
      <c r="AX34" s="3238">
        <v>1</v>
      </c>
      <c r="AY34" s="3238">
        <v>1</v>
      </c>
      <c r="AZ34" s="3238">
        <v>1</v>
      </c>
      <c r="BA34" s="3238">
        <v>1</v>
      </c>
      <c r="BB34" s="3238">
        <v>1</v>
      </c>
      <c r="BC34" s="3238">
        <v>1</v>
      </c>
      <c r="BD34" s="3238">
        <v>1</v>
      </c>
      <c r="BE34" s="3238">
        <v>1</v>
      </c>
      <c r="BF34" s="3238">
        <v>1</v>
      </c>
      <c r="BG34" s="3238">
        <v>1</v>
      </c>
      <c r="BH34" s="3238">
        <v>1</v>
      </c>
      <c r="BI34" s="3238">
        <v>1</v>
      </c>
      <c r="BJ34" s="3238">
        <v>1</v>
      </c>
      <c r="BK34" s="3238">
        <v>1</v>
      </c>
      <c r="BL34" s="3238">
        <v>1</v>
      </c>
      <c r="BM34" s="3238">
        <v>1</v>
      </c>
      <c r="BN34" s="3238">
        <v>1</v>
      </c>
      <c r="BO34" s="3238">
        <v>1</v>
      </c>
      <c r="BP34" s="3238">
        <v>1</v>
      </c>
      <c r="BQ34" s="3238">
        <v>1</v>
      </c>
      <c r="BR34" s="3238">
        <v>1</v>
      </c>
      <c r="BS34" s="3238">
        <v>1</v>
      </c>
      <c r="BU34" s="2276" t="str" cm="1">
        <f t="array" ca="1" aca="1" ref="BU34">IFERROR(IF(Z34="","",_xldudf_CX_PUSH($Z34,CX_ENTITY,$B34,val_asOfDate,,,)),"")</f>
        <v/>
      </c>
      <c r="BV34" s="2276" t="str" cm="1">
        <f t="array" ca="1" aca="1" ref="BV34">IFERROR(IF(AC34="","",_xldudf_CX_PUSH($AC34,CX_ENTITY,$D34,val_asOfDate,,,)),"")</f>
        <v/>
      </c>
      <c r="BW34" s="2276" t="str" cm="1">
        <f t="array" ca="1" aca="1" ref="BW34">IFERROR(IF(Z34="","",_xldudf_CX_PUSH($Z34,CX_ENTITY,$B34,EOMONTH(val_asOfDate,1),,,)),"")</f>
        <v/>
      </c>
      <c r="BX34" s="2276" t="str" cm="1">
        <f t="array" ca="1" aca="1" ref="BX34">IFERROR(IF(AC34="","",_xldudf_CX_PUSH($AC34,CX_ENTITY,$D34,EOMONTH(val_asOfDate,1),,)),"")</f>
        <v/>
      </c>
      <c r="BY34" s="2276" t="str" cm="1">
        <f t="array" ca="1" aca="1" ref="BY34">IFERROR(IF(AD34="","",_xldudf_CX_PUSH($AD34,CX_ENTITY,$E34,val_asOfDate,,,)),"")</f>
        <v/>
      </c>
      <c r="BZ34" s="2276" t="str" cm="1">
        <f t="array" ca="1" aca="1" ref="BZ34">IFERROR(IF(AD34="","",_xldudf_CX_PUSH($AD34,CX_ENTITY,$E34,EOMONTH(val_asOfDate,1),,)),"")</f>
        <v/>
      </c>
      <c r="CA34" s="1879" t="str" cm="1">
        <f t="array" ca="1" aca="1" ref="CA34">IFERROR(IF(AE34="","",_xldudf_CX_PUSH($AE34,CX_ENTITY,$G34,val_asOfDate,,,)),"")</f>
        <v/>
      </c>
      <c r="CB34" s="1879" t="str" cm="1">
        <f t="array" ca="1" aca="1" ref="CB34">IFERROR(IF(AE34="","",_xldudf_CX_PUSH($AE34,CX_ENTITY,$G34,EOMONTH(val_asOfDate,1),,,)),"")</f>
        <v/>
      </c>
      <c r="CC34" s="1879" t="str" cm="1">
        <f t="array" ca="1" aca="1" ref="CC34">IFERROR(IF(AF34="","",_xldudf_CX_PUSH($AF34,CX_ENTITY,$H34,val_asOfDate,,,)),"")</f>
        <v/>
      </c>
      <c r="CD34" s="1879" t="str" cm="1">
        <f t="array" ca="1" aca="1" ref="CD34">IFERROR(IF(AF34="","",_xldudf_CX_PUSH($AF34,CX_ENTITY,$H34,EOMONTH(val_asOfDate,1),,,)),"")</f>
        <v/>
      </c>
      <c r="CE34" s="1883" t="str" cm="1">
        <f t="array" ca="1" aca="1" ref="CE34">IFERROR(IF($Z34="","",IF($J34=3,_xldudf_CX_PUSH(AI34*fxVal_normal,CX_ENTITY,$F34,AI$15,$X$15,AI$13),_xldudf_CX_PUSH(AI34,CX_ENTITY,$F34,AI$15,$X$15,AI$13))),"")</f>
        <v/>
      </c>
      <c r="CF34" s="1883" t="str" cm="1">
        <f t="array" ca="1" aca="1" ref="CF34">IFERROR(IF($Z34="","",IF($J34=3,_xldudf_CX_PUSH(AJ34*fxVal_normal,CX_ENTITY,$F34,AJ$15,$X$15,AJ$13),_xldudf_CX_PUSH(AJ34,CX_ENTITY,$F34,AJ$15,$X$15,AJ$13))),"")</f>
        <v/>
      </c>
      <c r="CG34" s="1883" t="str" cm="1">
        <f t="array" ca="1" aca="1" ref="CG34">IFERROR(IF($Z34="","",IF($J34=3,_xldudf_CX_PUSH(AK34*fxVal_normal,CX_ENTITY,$F34,AK$15,$X$15,AK$13),_xldudf_CX_PUSH(AK34,CX_ENTITY,$F34,AK$15,$X$15,AK$13))),"")</f>
        <v/>
      </c>
      <c r="CH34" s="1883" t="str" cm="1">
        <f t="array" ca="1" aca="1" ref="CH34">IFERROR(IF($Z34="","",IF($J34=3,_xldudf_CX_PUSH(AL34*fxVal_normal,CX_ENTITY,$F34,AL$15,$X$15,AL$13),_xldudf_CX_PUSH(AL34,CX_ENTITY,$F34,AL$15,$X$15,AL$13))),"")</f>
        <v/>
      </c>
      <c r="CI34" s="1883" t="str" cm="1">
        <f t="array" ca="1" aca="1" ref="CI34">IFERROR(IF($Z34="","",IF($J34=3,_xldudf_CX_PUSH(AM34*fxVal_normal,CX_ENTITY,$F34,AM$15,$X$15,AM$13),_xldudf_CX_PUSH(AM34,CX_ENTITY,$F34,AM$15,$X$15,AM$13))),"")</f>
        <v/>
      </c>
      <c r="CJ34" s="1883" t="str" cm="1">
        <f t="array" ca="1" aca="1" ref="CJ34">IFERROR(IF($Z34="","",IF($J34=3,_xldudf_CX_PUSH(AN34*fxVal_normal,CX_ENTITY,$F34,AN$15,$X$15,AN$13),_xldudf_CX_PUSH(AN34,CX_ENTITY,$F34,AN$15,$X$15,AN$13))),"")</f>
        <v/>
      </c>
      <c r="CK34" s="1883" t="str" cm="1">
        <f t="array" ca="1" aca="1" ref="CK34">IFERROR(IF($Z34="","",IF($J34=3,_xldudf_CX_PUSH(AO34*fxVal_normal,CX_ENTITY,$F34,AO$15,$X$15,AO$13),_xldudf_CX_PUSH(AO34,CX_ENTITY,$F34,AO$15,$X$15,AO$13))),"")</f>
        <v/>
      </c>
      <c r="CL34" s="1883" t="str" cm="1">
        <f t="array" ca="1" aca="1" ref="CL34">IFERROR(IF($Z34="","",IF($J34=3,_xldudf_CX_PUSH(AP34*fxVal_normal,CX_ENTITY,$F34,AP$15,$X$15,AP$13),_xldudf_CX_PUSH(AP34,CX_ENTITY,$F34,AP$15,$X$15,AP$13))),"")</f>
        <v/>
      </c>
      <c r="CM34" s="1883" t="str" cm="1">
        <f t="array" ca="1" aca="1" ref="CM34">IFERROR(IF($Z34="","",IF($J34=3,_xldudf_CX_PUSH(AQ34*fxVal_normal,CX_ENTITY,$F34,AQ$15,$X$15,AQ$13),_xldudf_CX_PUSH(AQ34,CX_ENTITY,$F34,AQ$15,$X$15,AQ$13))),"")</f>
        <v/>
      </c>
      <c r="CN34" s="1883" t="str" cm="1">
        <f t="array" ca="1" aca="1" ref="CN34">IFERROR(IF($Z34="","",IF($J34=3,_xldudf_CX_PUSH(AR34*fxVal_normal,CX_ENTITY,$F34,AR$15,$X$15,AR$13),_xldudf_CX_PUSH(AR34,CX_ENTITY,$F34,AR$15,$X$15,AR$13))),"")</f>
        <v/>
      </c>
      <c r="CO34" s="1883" t="str" cm="1">
        <f t="array" ca="1" aca="1" ref="CO34">IFERROR(IF($Z34="","",IF($J34=3,_xldudf_CX_PUSH(AS34*fxVal_normal,CX_ENTITY,$F34,AS$15,$X$15,AS$13),_xldudf_CX_PUSH(AS34,CX_ENTITY,$F34,AS$15,$X$15,AS$13))),"")</f>
        <v/>
      </c>
      <c r="CP34" s="1883" t="str" cm="1">
        <f t="array" ca="1" aca="1" ref="CP34">IFERROR(IF($Z34="","",IF($J34=3,_xldudf_CX_PUSH(AT34*fxVal_normal,CX_ENTITY,$F34,AT$15,$X$15,AT$13),_xldudf_CX_PUSH(AT34,CX_ENTITY,$F34,AT$15,$X$15,AT$13))),"")</f>
        <v/>
      </c>
      <c r="CQ34" s="1883" t="str" cm="1">
        <f t="array" ca="1" aca="1" ref="CQ34">IFERROR(IF($Z34="","",IF($J34=3,_xldudf_CX_PUSH(AU34*fxVal_normal,CX_ENTITY,$F34,AU$15,$X$15,AU$13),_xldudf_CX_PUSH(AU34,CX_ENTITY,$F34,AU$15,$X$15,AU$13))),"")</f>
        <v/>
      </c>
      <c r="CR34" s="1883" t="str" cm="1">
        <f t="array" ca="1" aca="1" ref="CR34">IFERROR(IF($Z34="","",IF($J34=3,_xldudf_CX_PUSH(AV34*fxVal_normal,CX_ENTITY,$F34,AV$15,$X$15,AV$13),_xldudf_CX_PUSH(AV34,CX_ENTITY,$F34,AV$15,$X$15,AV$13))),"")</f>
        <v/>
      </c>
      <c r="CS34" s="1883" t="str" cm="1">
        <f t="array" ca="1" aca="1" ref="CS34">IFERROR(IF($Z34="","",IF($J34=3,_xldudf_CX_PUSH(AW34*fxVal_normal,CX_ENTITY,$F34,AW$15,$X$15,AW$13),_xldudf_CX_PUSH(AW34,CX_ENTITY,$F34,AW$15,$X$15,AW$13))),"")</f>
        <v/>
      </c>
      <c r="CT34" s="1883" t="str" cm="1">
        <f t="array" ca="1" aca="1" ref="CT34">IFERROR(IF($Z34="","",IF($J34=3,_xldudf_CX_PUSH(AX34*fxVal_normal,CX_ENTITY,$F34,AX$15,$X$15,AX$13),_xldudf_CX_PUSH(AX34,CX_ENTITY,$F34,AX$15,$X$15,AX$13))),"")</f>
        <v/>
      </c>
      <c r="CU34" s="1883" t="str" cm="1">
        <f t="array" ca="1" aca="1" ref="CU34">IFERROR(IF($Z34="","",IF($J34=3,_xldudf_CX_PUSH(AY34*fxVal_normal,CX_ENTITY,$F34,AY$15,$X$15,AY$13),_xldudf_CX_PUSH(AY34,CX_ENTITY,$F34,AY$15,$X$15,AY$13))),"")</f>
        <v/>
      </c>
      <c r="CV34" s="1883" t="str" cm="1">
        <f t="array" ca="1" aca="1" ref="CV34">IFERROR(IF($Z34="","",IF($J34=3,_xldudf_CX_PUSH(AZ34*fxVal_normal,CX_ENTITY,$F34,AZ$15,$X$15,AZ$13),_xldudf_CX_PUSH(AZ34,CX_ENTITY,$F34,AZ$15,$X$15,AZ$13))),"")</f>
        <v/>
      </c>
      <c r="CW34" s="1883" t="str" cm="1">
        <f t="array" ca="1" aca="1" ref="CW34">IFERROR(IF($Z34="","",IF($J34=3,_xldudf_CX_PUSH(BA34*fxVal_normal,CX_ENTITY,$F34,BA$15,$X$15,BA$13),_xldudf_CX_PUSH(BA34,CX_ENTITY,$F34,BA$15,$X$15,BA$13))),"")</f>
        <v/>
      </c>
      <c r="CX34" s="1883" t="str" cm="1">
        <f t="array" ca="1" aca="1" ref="CX34">IFERROR(IF($Z34="","",IF($J34=3,_xldudf_CX_PUSH(BB34*fxVal_normal,CX_ENTITY,$F34,BB$15,$X$15,BB$13),_xldudf_CX_PUSH(BB34,CX_ENTITY,$F34,BB$15,$X$15,BB$13))),"")</f>
        <v/>
      </c>
      <c r="CY34" s="1883" t="str" cm="1">
        <f t="array" ca="1" aca="1" ref="CY34">IFERROR(IF($Z34="","",IF($J34=3,_xldudf_CX_PUSH(BC34*fxVal_normal,CX_ENTITY,$F34,BC$15,$X$15,BC$13),_xldudf_CX_PUSH(BC34,CX_ENTITY,$F34,BC$15,$X$15,BC$13))),"")</f>
        <v/>
      </c>
      <c r="CZ34" s="1883" t="str" cm="1">
        <f t="array" ca="1" aca="1" ref="CZ34">IFERROR(IF($Z34="","",IF($J34=3,_xldudf_CX_PUSH(BD34*fxVal_normal,CX_ENTITY,$F34,BD$15,$X$15,BD$13),_xldudf_CX_PUSH(BD34,CX_ENTITY,$F34,BD$15,$X$15,BD$13))),"")</f>
        <v/>
      </c>
      <c r="DA34" s="1883" t="str" cm="1">
        <f t="array" ca="1" aca="1" ref="DA34">IFERROR(IF($Z34="","",IF($J34=3,_xldudf_CX_PUSH(BE34*fxVal_normal,CX_ENTITY,$F34,BE$15,$X$15,BE$13),_xldudf_CX_PUSH(BE34,CX_ENTITY,$F34,BE$15,$X$15,BE$13))),"")</f>
        <v/>
      </c>
      <c r="DB34" s="1883" t="str" cm="1">
        <f t="array" ca="1" aca="1" ref="DB34">IFERROR(IF($Z34="","",IF($J34=3,_xldudf_CX_PUSH(BF34*fxVal_normal,CX_ENTITY,$F34,BF$15,$X$15,BF$13),_xldudf_CX_PUSH(BF34,CX_ENTITY,$F34,BF$15,$X$15,BF$13))),"")</f>
        <v/>
      </c>
      <c r="DC34" s="1883" t="str" cm="1">
        <f t="array" ca="1" aca="1" ref="DC34">IFERROR(IF($Z34="","",IF($J34=3,_xldudf_CX_PUSH(BG34*fxVal_normal,CX_ENTITY,$F34,BG$15,$X$15,BG$13),_xldudf_CX_PUSH(BG34,CX_ENTITY,$F34,BG$15,$X$15,BG$13))),"")</f>
        <v/>
      </c>
      <c r="DD34" s="1883" t="str" cm="1">
        <f t="array" ca="1" aca="1" ref="DD34">IFERROR(IF($Z34="","",IF($J34=3,_xldudf_CX_PUSH(BH34*fxVal_normal,CX_ENTITY,$F34,BH$15,$X$15,BH$13),_xldudf_CX_PUSH(BH34,CX_ENTITY,$F34,BH$15,$X$15,BH$13))),"")</f>
        <v/>
      </c>
      <c r="DE34" s="1883" t="str" cm="1">
        <f t="array" ca="1" aca="1" ref="DE34">IFERROR(IF($Z34="","",IF($J34=3,_xldudf_CX_PUSH(BI34*fxVal_normal,CX_ENTITY,$F34,BI$15,$X$15,BI$13),_xldudf_CX_PUSH(BI34,CX_ENTITY,$F34,BI$15,$X$15,BI$13))),"")</f>
        <v/>
      </c>
      <c r="DF34" s="1883" t="str" cm="1">
        <f t="array" ca="1" aca="1" ref="DF34">IFERROR(IF($Z34="","",IF($J34=3,_xldudf_CX_PUSH(BJ34*fxVal_normal,CX_ENTITY,$F34,BJ$15,$X$15,BJ$13),_xldudf_CX_PUSH(BJ34,CX_ENTITY,$F34,BJ$15,$X$15,BJ$13))),"")</f>
        <v/>
      </c>
      <c r="DG34" s="1883" t="str" cm="1">
        <f t="array" ca="1" aca="1" ref="DG34">IFERROR(IF($Z34="","",IF($J34=3,_xldudf_CX_PUSH(BK34*fxVal_normal,CX_ENTITY,$F34,BK$15,$X$15,BK$13),_xldudf_CX_PUSH(BK34,CX_ENTITY,$F34,BK$15,$X$15,BK$13))),"")</f>
        <v/>
      </c>
      <c r="DH34" s="1883" t="str" cm="1">
        <f t="array" ca="1" aca="1" ref="DH34">IFERROR(IF($Z34="","",IF($J34=3,_xldudf_CX_PUSH(BL34*fxVal_normal,CX_ENTITY,$F34,BL$15,$X$15,BL$13),_xldudf_CX_PUSH(BL34,CX_ENTITY,$F34,BL$15,$X$15,BL$13))),"")</f>
        <v/>
      </c>
      <c r="DI34" s="1883" t="str" cm="1">
        <f t="array" ca="1" aca="1" ref="DI34">IFERROR(IF($Z34="","",IF($J34=3,_xldudf_CX_PUSH(BM34*fxVal_normal,CX_ENTITY,$F34,BM$15,$X$15,BM$13),_xldudf_CX_PUSH(BM34,CX_ENTITY,$F34,BM$15,$X$15,BM$13))),"")</f>
        <v/>
      </c>
      <c r="DJ34" s="1883" t="str" cm="1">
        <f t="array" ca="1" aca="1" ref="DJ34">IFERROR(IF($Z34="","",IF($J34=3,_xldudf_CX_PUSH(BN34*fxVal_normal,CX_ENTITY,$F34,BN$15,$X$15,BN$13),_xldudf_CX_PUSH(BN34,CX_ENTITY,$F34,BN$15,$X$15,BN$13))),"")</f>
        <v/>
      </c>
      <c r="DK34" s="1883" t="str" cm="1">
        <f t="array" ca="1" aca="1" ref="DK34">IFERROR(IF($Z34="","",IF($J34=3,_xldudf_CX_PUSH(BO34*fxVal_normal,CX_ENTITY,$F34,BO$15,$X$15,BO$13),_xldudf_CX_PUSH(BO34,CX_ENTITY,$F34,BO$15,$X$15,BO$13))),"")</f>
        <v/>
      </c>
      <c r="DL34" s="1883" t="str" cm="1">
        <f t="array" ca="1" aca="1" ref="DL34">IFERROR(IF($Z34="","",IF($J34=3,_xldudf_CX_PUSH(BP34*fxVal_normal,CX_ENTITY,$F34,BP$15,$X$15,BP$13),_xldudf_CX_PUSH(BP34,CX_ENTITY,$F34,BP$15,$X$15,BP$13))),"")</f>
        <v/>
      </c>
      <c r="DM34" s="1883" t="str" cm="1">
        <f t="array" ca="1" aca="1" ref="DM34">IFERROR(IF($Z34="","",IF($J34=3,_xldudf_CX_PUSH(BQ34*fxVal_normal,CX_ENTITY,$F34,BQ$15,$X$15,BQ$13),_xldudf_CX_PUSH(BQ34,CX_ENTITY,$F34,BQ$15,$X$15,BQ$13))),"")</f>
        <v/>
      </c>
      <c r="DN34" s="1883" t="str" cm="1">
        <f t="array" ca="1" aca="1" ref="DN34">IFERROR(IF($Z34="","",IF($J34=3,_xldudf_CX_PUSH(BR34*fxVal_normal,CX_ENTITY,$F34,BR$15,$X$15,BR$13),_xldudf_CX_PUSH(BR34,CX_ENTITY,$F34,BR$15,$X$15,BR$13))),"")</f>
        <v/>
      </c>
      <c r="DO34" s="1883" t="str" cm="1">
        <f t="array" ca="1" aca="1" ref="DO34">IFERROR(IF($Z34="","",IF($J34=3,_xldudf_CX_PUSH(BS34*fxVal_normal,CX_ENTITY,$F34,BS$15,$X$15,BS$13),_xldudf_CX_PUSH(BS34,CX_ENTITY,$F34,BS$15,$X$15,BS$13))),"")</f>
        <v/>
      </c>
    </row>
    <row r="35" spans="1:119" ht="33" customHeight="1">
      <c r="A35" s="32"/>
      <c r="B35" s="580" t="s">
        <v>324</v>
      </c>
      <c r="C35" s="1885" t="s">
        <v>325</v>
      </c>
      <c r="D35" s="1885" t="s">
        <v>326</v>
      </c>
      <c r="E35" s="1885" t="s">
        <v>327</v>
      </c>
      <c r="F35" s="1885" t="s">
        <v>328</v>
      </c>
      <c r="G35" s="574" t="s">
        <v>329</v>
      </c>
      <c r="H35" s="574" t="s">
        <v>330</v>
      </c>
      <c r="I35" s="3280">
        <v>1</v>
      </c>
      <c r="J35" s="401">
        <f t="shared" si="1" ref="J35:J49">_xlfn.XLOOKUP($AD35,$C$11:$C$17,$E$11:$E$17,0)</f>
        <v>0</v>
      </c>
      <c r="K35" s="401"/>
      <c r="O35" s="158"/>
      <c r="P35" s="2"/>
      <c r="Q35" s="2"/>
      <c r="R35" s="2"/>
      <c r="S35" s="539"/>
      <c r="T35" s="2"/>
      <c r="U35" s="2"/>
      <c r="V35" s="39"/>
      <c r="X35" s="3239">
        <v>1</v>
      </c>
      <c r="Y35" s="708"/>
      <c r="Z35" s="3240">
        <v>2</v>
      </c>
      <c r="AA35" s="198">
        <v>-1</v>
      </c>
      <c r="AB35" s="198"/>
      <c r="AC35" s="3241">
        <v>2</v>
      </c>
      <c r="AD35" s="3242">
        <v>2</v>
      </c>
      <c r="AE35" s="3241">
        <v>2</v>
      </c>
      <c r="AF35" s="3241">
        <v>2</v>
      </c>
      <c r="AG35" s="1568"/>
      <c r="AH35" s="1830"/>
      <c r="AI35" s="3243">
        <v>1</v>
      </c>
      <c r="AJ35" s="3243">
        <v>1</v>
      </c>
      <c r="AK35" s="3243">
        <v>1</v>
      </c>
      <c r="AL35" s="3243">
        <v>1</v>
      </c>
      <c r="AM35" s="3243">
        <v>1</v>
      </c>
      <c r="AN35" s="3243">
        <v>1</v>
      </c>
      <c r="AO35" s="3243">
        <v>1</v>
      </c>
      <c r="AP35" s="3243">
        <v>1</v>
      </c>
      <c r="AQ35" s="3243">
        <v>1</v>
      </c>
      <c r="AR35" s="3243">
        <v>1</v>
      </c>
      <c r="AS35" s="3243">
        <v>1</v>
      </c>
      <c r="AT35" s="3243">
        <v>1</v>
      </c>
      <c r="AU35" s="3243">
        <v>1</v>
      </c>
      <c r="AV35" s="3243">
        <v>1</v>
      </c>
      <c r="AW35" s="3243">
        <v>1</v>
      </c>
      <c r="AX35" s="3243">
        <v>1</v>
      </c>
      <c r="AY35" s="3243">
        <v>1</v>
      </c>
      <c r="AZ35" s="3243">
        <v>1</v>
      </c>
      <c r="BA35" s="3243">
        <v>1</v>
      </c>
      <c r="BB35" s="3243">
        <v>1</v>
      </c>
      <c r="BC35" s="3243">
        <v>1</v>
      </c>
      <c r="BD35" s="3243">
        <v>1</v>
      </c>
      <c r="BE35" s="3243">
        <v>1</v>
      </c>
      <c r="BF35" s="3243">
        <v>1</v>
      </c>
      <c r="BG35" s="3243">
        <v>1</v>
      </c>
      <c r="BH35" s="3243">
        <v>1</v>
      </c>
      <c r="BI35" s="3243">
        <v>1</v>
      </c>
      <c r="BJ35" s="3243">
        <v>1</v>
      </c>
      <c r="BK35" s="3243">
        <v>1</v>
      </c>
      <c r="BL35" s="3243">
        <v>1</v>
      </c>
      <c r="BM35" s="3243">
        <v>1</v>
      </c>
      <c r="BN35" s="3243">
        <v>1</v>
      </c>
      <c r="BO35" s="3243">
        <v>1</v>
      </c>
      <c r="BP35" s="3243">
        <v>1</v>
      </c>
      <c r="BQ35" s="3243">
        <v>1</v>
      </c>
      <c r="BR35" s="3243">
        <v>1</v>
      </c>
      <c r="BS35" s="3243">
        <v>1</v>
      </c>
      <c r="BU35" s="2276" t="str" cm="1">
        <f t="array" ca="1" aca="1" ref="BU35">IFERROR(IF(Z35="","",_xldudf_CX_PUSH($Z35,CX_ENTITY,$B35,val_asOfDate,,,)),"")</f>
        <v/>
      </c>
      <c r="BV35" s="2276" t="str" cm="1">
        <f t="array" ca="1" aca="1" ref="BV35">IFERROR(IF(AC35="","",_xldudf_CX_PUSH($AC35,CX_ENTITY,$D35,val_asOfDate,,,)),"")</f>
        <v/>
      </c>
      <c r="BW35" s="2276" t="str" cm="1">
        <f t="array" ca="1" aca="1" ref="BW35">IFERROR(IF(Z35="","",_xldudf_CX_PUSH($Z35,CX_ENTITY,$B35,EOMONTH(val_asOfDate,1),,,)),"")</f>
        <v/>
      </c>
      <c r="BX35" s="2276" t="str" cm="1">
        <f t="array" ca="1" aca="1" ref="BX35">IFERROR(IF(AC35="","",_xldudf_CX_PUSH($AC35,CX_ENTITY,$D35,EOMONTH(val_asOfDate,1),,)),"")</f>
        <v/>
      </c>
      <c r="BY35" s="2276" t="str" cm="1">
        <f t="array" ca="1" aca="1" ref="BY35">IFERROR(IF(AD35="","",_xldudf_CX_PUSH($AD35,CX_ENTITY,$E35,val_asOfDate,,,)),"")</f>
        <v/>
      </c>
      <c r="BZ35" s="2276" t="str" cm="1">
        <f t="array" ca="1" aca="1" ref="BZ35">IFERROR(IF(AD35="","",_xldudf_CX_PUSH($AD35,CX_ENTITY,$E35,EOMONTH(val_asOfDate,1),,)),"")</f>
        <v/>
      </c>
      <c r="CA35" s="1879" t="str" cm="1">
        <f t="array" ca="1" aca="1" ref="CA35">IFERROR(IF(AE35="","",_xldudf_CX_PUSH($AE35,CX_ENTITY,$G35,val_asOfDate,,,)),"")</f>
        <v/>
      </c>
      <c r="CB35" s="1879" t="str" cm="1">
        <f t="array" ca="1" aca="1" ref="CB35">IFERROR(IF(AE35="","",_xldudf_CX_PUSH($AE35,CX_ENTITY,$G35,EOMONTH(val_asOfDate,1),,,)),"")</f>
        <v/>
      </c>
      <c r="CC35" s="1879" t="str" cm="1">
        <f t="array" ca="1" aca="1" ref="CC35">IFERROR(IF(AF35="","",_xldudf_CX_PUSH($AF35,CX_ENTITY,$H35,val_asOfDate,,,)),"")</f>
        <v/>
      </c>
      <c r="CD35" s="1879" t="str" cm="1">
        <f t="array" ca="1" aca="1" ref="CD35">IFERROR(IF(AF35="","",_xldudf_CX_PUSH($AF35,CX_ENTITY,$H35,EOMONTH(val_asOfDate,1),,,)),"")</f>
        <v/>
      </c>
      <c r="CE35" s="1883" t="str" cm="1">
        <f t="array" ca="1" aca="1" ref="CE35">IFERROR(IF($Z35="","",IF($J35=3,_xldudf_CX_PUSH(AI35*fxVal_normal,CX_ENTITY,$F35,AI$15,$X$15,AI$13),_xldudf_CX_PUSH(AI35,CX_ENTITY,$F35,AI$15,$X$15,AI$13))),"")</f>
        <v/>
      </c>
      <c r="CF35" s="1883" t="str" cm="1">
        <f t="array" ca="1" aca="1" ref="CF35">IFERROR(IF($Z35="","",IF($J35=3,_xldudf_CX_PUSH(AJ35*fxVal_normal,CX_ENTITY,$F35,AJ$15,$X$15,AJ$13),_xldudf_CX_PUSH(AJ35,CX_ENTITY,$F35,AJ$15,$X$15,AJ$13))),"")</f>
        <v/>
      </c>
      <c r="CG35" s="1883" t="str" cm="1">
        <f t="array" ca="1" aca="1" ref="CG35">IFERROR(IF($Z35="","",IF($J35=3,_xldudf_CX_PUSH(AK35*fxVal_normal,CX_ENTITY,$F35,AK$15,$X$15,AK$13),_xldudf_CX_PUSH(AK35,CX_ENTITY,$F35,AK$15,$X$15,AK$13))),"")</f>
        <v/>
      </c>
      <c r="CH35" s="1883" t="str" cm="1">
        <f t="array" ca="1" aca="1" ref="CH35">IFERROR(IF($Z35="","",IF($J35=3,_xldudf_CX_PUSH(AL35*fxVal_normal,CX_ENTITY,$F35,AL$15,$X$15,AL$13),_xldudf_CX_PUSH(AL35,CX_ENTITY,$F35,AL$15,$X$15,AL$13))),"")</f>
        <v/>
      </c>
      <c r="CI35" s="1883" t="str" cm="1">
        <f t="array" ca="1" aca="1" ref="CI35">IFERROR(IF($Z35="","",IF($J35=3,_xldudf_CX_PUSH(AM35*fxVal_normal,CX_ENTITY,$F35,AM$15,$X$15,AM$13),_xldudf_CX_PUSH(AM35,CX_ENTITY,$F35,AM$15,$X$15,AM$13))),"")</f>
        <v/>
      </c>
      <c r="CJ35" s="1883" t="str" cm="1">
        <f t="array" ca="1" aca="1" ref="CJ35">IFERROR(IF($Z35="","",IF($J35=3,_xldudf_CX_PUSH(AN35*fxVal_normal,CX_ENTITY,$F35,AN$15,$X$15,AN$13),_xldudf_CX_PUSH(AN35,CX_ENTITY,$F35,AN$15,$X$15,AN$13))),"")</f>
        <v/>
      </c>
      <c r="CK35" s="1883" t="str" cm="1">
        <f t="array" ca="1" aca="1" ref="CK35">IFERROR(IF($Z35="","",IF($J35=3,_xldudf_CX_PUSH(AO35*fxVal_normal,CX_ENTITY,$F35,AO$15,$X$15,AO$13),_xldudf_CX_PUSH(AO35,CX_ENTITY,$F35,AO$15,$X$15,AO$13))),"")</f>
        <v/>
      </c>
      <c r="CL35" s="1883" t="str" cm="1">
        <f t="array" ca="1" aca="1" ref="CL35">IFERROR(IF($Z35="","",IF($J35=3,_xldudf_CX_PUSH(AP35*fxVal_normal,CX_ENTITY,$F35,AP$15,$X$15,AP$13),_xldudf_CX_PUSH(AP35,CX_ENTITY,$F35,AP$15,$X$15,AP$13))),"")</f>
        <v/>
      </c>
      <c r="CM35" s="1883" t="str" cm="1">
        <f t="array" ca="1" aca="1" ref="CM35">IFERROR(IF($Z35="","",IF($J35=3,_xldudf_CX_PUSH(AQ35*fxVal_normal,CX_ENTITY,$F35,AQ$15,$X$15,AQ$13),_xldudf_CX_PUSH(AQ35,CX_ENTITY,$F35,AQ$15,$X$15,AQ$13))),"")</f>
        <v/>
      </c>
      <c r="CN35" s="1883" t="str" cm="1">
        <f t="array" ca="1" aca="1" ref="CN35">IFERROR(IF($Z35="","",IF($J35=3,_xldudf_CX_PUSH(AR35*fxVal_normal,CX_ENTITY,$F35,AR$15,$X$15,AR$13),_xldudf_CX_PUSH(AR35,CX_ENTITY,$F35,AR$15,$X$15,AR$13))),"")</f>
        <v/>
      </c>
      <c r="CO35" s="1883" t="str" cm="1">
        <f t="array" ca="1" aca="1" ref="CO35">IFERROR(IF($Z35="","",IF($J35=3,_xldudf_CX_PUSH(AS35*fxVal_normal,CX_ENTITY,$F35,AS$15,$X$15,AS$13),_xldudf_CX_PUSH(AS35,CX_ENTITY,$F35,AS$15,$X$15,AS$13))),"")</f>
        <v/>
      </c>
      <c r="CP35" s="1883" t="str" cm="1">
        <f t="array" ca="1" aca="1" ref="CP35">IFERROR(IF($Z35="","",IF($J35=3,_xldudf_CX_PUSH(AT35*fxVal_normal,CX_ENTITY,$F35,AT$15,$X$15,AT$13),_xldudf_CX_PUSH(AT35,CX_ENTITY,$F35,AT$15,$X$15,AT$13))),"")</f>
        <v/>
      </c>
      <c r="CQ35" s="1883" t="str" cm="1">
        <f t="array" ca="1" aca="1" ref="CQ35">IFERROR(IF($Z35="","",IF($J35=3,_xldudf_CX_PUSH(AU35*fxVal_normal,CX_ENTITY,$F35,AU$15,$X$15,AU$13),_xldudf_CX_PUSH(AU35,CX_ENTITY,$F35,AU$15,$X$15,AU$13))),"")</f>
        <v/>
      </c>
      <c r="CR35" s="1883" t="str" cm="1">
        <f t="array" ca="1" aca="1" ref="CR35">IFERROR(IF($Z35="","",IF($J35=3,_xldudf_CX_PUSH(AV35*fxVal_normal,CX_ENTITY,$F35,AV$15,$X$15,AV$13),_xldudf_CX_PUSH(AV35,CX_ENTITY,$F35,AV$15,$X$15,AV$13))),"")</f>
        <v/>
      </c>
      <c r="CS35" s="1883" t="str" cm="1">
        <f t="array" ca="1" aca="1" ref="CS35">IFERROR(IF($Z35="","",IF($J35=3,_xldudf_CX_PUSH(AW35*fxVal_normal,CX_ENTITY,$F35,AW$15,$X$15,AW$13),_xldudf_CX_PUSH(AW35,CX_ENTITY,$F35,AW$15,$X$15,AW$13))),"")</f>
        <v/>
      </c>
      <c r="CT35" s="1883" t="str" cm="1">
        <f t="array" ca="1" aca="1" ref="CT35">IFERROR(IF($Z35="","",IF($J35=3,_xldudf_CX_PUSH(AX35*fxVal_normal,CX_ENTITY,$F35,AX$15,$X$15,AX$13),_xldudf_CX_PUSH(AX35,CX_ENTITY,$F35,AX$15,$X$15,AX$13))),"")</f>
        <v/>
      </c>
      <c r="CU35" s="1883" t="str" cm="1">
        <f t="array" ca="1" aca="1" ref="CU35">IFERROR(IF($Z35="","",IF($J35=3,_xldudf_CX_PUSH(AY35*fxVal_normal,CX_ENTITY,$F35,AY$15,$X$15,AY$13),_xldudf_CX_PUSH(AY35,CX_ENTITY,$F35,AY$15,$X$15,AY$13))),"")</f>
        <v/>
      </c>
      <c r="CV35" s="1883" t="str" cm="1">
        <f t="array" ca="1" aca="1" ref="CV35">IFERROR(IF($Z35="","",IF($J35=3,_xldudf_CX_PUSH(AZ35*fxVal_normal,CX_ENTITY,$F35,AZ$15,$X$15,AZ$13),_xldudf_CX_PUSH(AZ35,CX_ENTITY,$F35,AZ$15,$X$15,AZ$13))),"")</f>
        <v/>
      </c>
      <c r="CW35" s="1883" t="str" cm="1">
        <f t="array" ca="1" aca="1" ref="CW35">IFERROR(IF($Z35="","",IF($J35=3,_xldudf_CX_PUSH(BA35*fxVal_normal,CX_ENTITY,$F35,BA$15,$X$15,BA$13),_xldudf_CX_PUSH(BA35,CX_ENTITY,$F35,BA$15,$X$15,BA$13))),"")</f>
        <v/>
      </c>
      <c r="CX35" s="1883" t="str" cm="1">
        <f t="array" ca="1" aca="1" ref="CX35">IFERROR(IF($Z35="","",IF($J35=3,_xldudf_CX_PUSH(BB35*fxVal_normal,CX_ENTITY,$F35,BB$15,$X$15,BB$13),_xldudf_CX_PUSH(BB35,CX_ENTITY,$F35,BB$15,$X$15,BB$13))),"")</f>
        <v/>
      </c>
      <c r="CY35" s="1883" t="str" cm="1">
        <f t="array" ca="1" aca="1" ref="CY35">IFERROR(IF($Z35="","",IF($J35=3,_xldudf_CX_PUSH(BC35*fxVal_normal,CX_ENTITY,$F35,BC$15,$X$15,BC$13),_xldudf_CX_PUSH(BC35,CX_ENTITY,$F35,BC$15,$X$15,BC$13))),"")</f>
        <v/>
      </c>
      <c r="CZ35" s="1883" t="str" cm="1">
        <f t="array" ca="1" aca="1" ref="CZ35">IFERROR(IF($Z35="","",IF($J35=3,_xldudf_CX_PUSH(BD35*fxVal_normal,CX_ENTITY,$F35,BD$15,$X$15,BD$13),_xldudf_CX_PUSH(BD35,CX_ENTITY,$F35,BD$15,$X$15,BD$13))),"")</f>
        <v/>
      </c>
      <c r="DA35" s="1883" t="str" cm="1">
        <f t="array" ca="1" aca="1" ref="DA35">IFERROR(IF($Z35="","",IF($J35=3,_xldudf_CX_PUSH(BE35*fxVal_normal,CX_ENTITY,$F35,BE$15,$X$15,BE$13),_xldudf_CX_PUSH(BE35,CX_ENTITY,$F35,BE$15,$X$15,BE$13))),"")</f>
        <v/>
      </c>
      <c r="DB35" s="1883" t="str" cm="1">
        <f t="array" ca="1" aca="1" ref="DB35">IFERROR(IF($Z35="","",IF($J35=3,_xldudf_CX_PUSH(BF35*fxVal_normal,CX_ENTITY,$F35,BF$15,$X$15,BF$13),_xldudf_CX_PUSH(BF35,CX_ENTITY,$F35,BF$15,$X$15,BF$13))),"")</f>
        <v/>
      </c>
      <c r="DC35" s="1883" t="str" cm="1">
        <f t="array" ca="1" aca="1" ref="DC35">IFERROR(IF($Z35="","",IF($J35=3,_xldudf_CX_PUSH(BG35*fxVal_normal,CX_ENTITY,$F35,BG$15,$X$15,BG$13),_xldudf_CX_PUSH(BG35,CX_ENTITY,$F35,BG$15,$X$15,BG$13))),"")</f>
        <v/>
      </c>
      <c r="DD35" s="1883" t="str" cm="1">
        <f t="array" ca="1" aca="1" ref="DD35">IFERROR(IF($Z35="","",IF($J35=3,_xldudf_CX_PUSH(BH35*fxVal_normal,CX_ENTITY,$F35,BH$15,$X$15,BH$13),_xldudf_CX_PUSH(BH35,CX_ENTITY,$F35,BH$15,$X$15,BH$13))),"")</f>
        <v/>
      </c>
      <c r="DE35" s="1883" t="str" cm="1">
        <f t="array" ca="1" aca="1" ref="DE35">IFERROR(IF($Z35="","",IF($J35=3,_xldudf_CX_PUSH(BI35*fxVal_normal,CX_ENTITY,$F35,BI$15,$X$15,BI$13),_xldudf_CX_PUSH(BI35,CX_ENTITY,$F35,BI$15,$X$15,BI$13))),"")</f>
        <v/>
      </c>
      <c r="DF35" s="1883" t="str" cm="1">
        <f t="array" ca="1" aca="1" ref="DF35">IFERROR(IF($Z35="","",IF($J35=3,_xldudf_CX_PUSH(BJ35*fxVal_normal,CX_ENTITY,$F35,BJ$15,$X$15,BJ$13),_xldudf_CX_PUSH(BJ35,CX_ENTITY,$F35,BJ$15,$X$15,BJ$13))),"")</f>
        <v/>
      </c>
      <c r="DG35" s="1883" t="str" cm="1">
        <f t="array" ca="1" aca="1" ref="DG35">IFERROR(IF($Z35="","",IF($J35=3,_xldudf_CX_PUSH(BK35*fxVal_normal,CX_ENTITY,$F35,BK$15,$X$15,BK$13),_xldudf_CX_PUSH(BK35,CX_ENTITY,$F35,BK$15,$X$15,BK$13))),"")</f>
        <v/>
      </c>
      <c r="DH35" s="1883" t="str" cm="1">
        <f t="array" ca="1" aca="1" ref="DH35">IFERROR(IF($Z35="","",IF($J35=3,_xldudf_CX_PUSH(BL35*fxVal_normal,CX_ENTITY,$F35,BL$15,$X$15,BL$13),_xldudf_CX_PUSH(BL35,CX_ENTITY,$F35,BL$15,$X$15,BL$13))),"")</f>
        <v/>
      </c>
      <c r="DI35" s="1883" t="str" cm="1">
        <f t="array" ca="1" aca="1" ref="DI35">IFERROR(IF($Z35="","",IF($J35=3,_xldudf_CX_PUSH(BM35*fxVal_normal,CX_ENTITY,$F35,BM$15,$X$15,BM$13),_xldudf_CX_PUSH(BM35,CX_ENTITY,$F35,BM$15,$X$15,BM$13))),"")</f>
        <v/>
      </c>
      <c r="DJ35" s="1883" t="str" cm="1">
        <f t="array" ca="1" aca="1" ref="DJ35">IFERROR(IF($Z35="","",IF($J35=3,_xldudf_CX_PUSH(BN35*fxVal_normal,CX_ENTITY,$F35,BN$15,$X$15,BN$13),_xldudf_CX_PUSH(BN35,CX_ENTITY,$F35,BN$15,$X$15,BN$13))),"")</f>
        <v/>
      </c>
      <c r="DK35" s="1883" t="str" cm="1">
        <f t="array" ca="1" aca="1" ref="DK35">IFERROR(IF($Z35="","",IF($J35=3,_xldudf_CX_PUSH(BO35*fxVal_normal,CX_ENTITY,$F35,BO$15,$X$15,BO$13),_xldudf_CX_PUSH(BO35,CX_ENTITY,$F35,BO$15,$X$15,BO$13))),"")</f>
        <v/>
      </c>
      <c r="DL35" s="1883" t="str" cm="1">
        <f t="array" ca="1" aca="1" ref="DL35">IFERROR(IF($Z35="","",IF($J35=3,_xldudf_CX_PUSH(BP35*fxVal_normal,CX_ENTITY,$F35,BP$15,$X$15,BP$13),_xldudf_CX_PUSH(BP35,CX_ENTITY,$F35,BP$15,$X$15,BP$13))),"")</f>
        <v/>
      </c>
      <c r="DM35" s="1883" t="str" cm="1">
        <f t="array" ca="1" aca="1" ref="DM35">IFERROR(IF($Z35="","",IF($J35=3,_xldudf_CX_PUSH(BQ35*fxVal_normal,CX_ENTITY,$F35,BQ$15,$X$15,BQ$13),_xldudf_CX_PUSH(BQ35,CX_ENTITY,$F35,BQ$15,$X$15,BQ$13))),"")</f>
        <v/>
      </c>
      <c r="DN35" s="1883" t="str" cm="1">
        <f t="array" ca="1" aca="1" ref="DN35">IFERROR(IF($Z35="","",IF($J35=3,_xldudf_CX_PUSH(BR35*fxVal_normal,CX_ENTITY,$F35,BR$15,$X$15,BR$13),_xldudf_CX_PUSH(BR35,CX_ENTITY,$F35,BR$15,$X$15,BR$13))),"")</f>
        <v/>
      </c>
      <c r="DO35" s="1883" t="str" cm="1">
        <f t="array" ca="1" aca="1" ref="DO35">IFERROR(IF($Z35="","",IF($J35=3,_xldudf_CX_PUSH(BS35*fxVal_normal,CX_ENTITY,$F35,BS$15,$X$15,BS$13),_xldudf_CX_PUSH(BS35,CX_ENTITY,$F35,BS$15,$X$15,BS$13))),"")</f>
        <v/>
      </c>
    </row>
    <row r="36" spans="1:119" ht="33" customHeight="1">
      <c r="A36" s="32"/>
      <c r="B36" s="580" t="s">
        <v>331</v>
      </c>
      <c r="C36" s="1885" t="s">
        <v>332</v>
      </c>
      <c r="D36" s="1694" t="s">
        <v>333</v>
      </c>
      <c r="E36" s="1885" t="s">
        <v>334</v>
      </c>
      <c r="F36" s="1892" t="s">
        <v>335</v>
      </c>
      <c r="G36" s="574" t="s">
        <v>336</v>
      </c>
      <c r="H36" s="574" t="s">
        <v>337</v>
      </c>
      <c r="I36" s="401">
        <v>0</v>
      </c>
      <c r="J36" s="401">
        <f t="shared" si="1"/>
        <v>0</v>
      </c>
      <c r="K36" s="401"/>
      <c r="O36" s="158"/>
      <c r="P36" s="2"/>
      <c r="Q36" s="52"/>
      <c r="R36" s="2"/>
      <c r="S36" s="539"/>
      <c r="T36" s="2"/>
      <c r="U36" s="2"/>
      <c r="V36" s="39"/>
      <c r="X36" s="3239">
        <v>1</v>
      </c>
      <c r="Y36" s="708"/>
      <c r="Z36" s="3244">
        <v>2</v>
      </c>
      <c r="AA36" s="198">
        <v>-1</v>
      </c>
      <c r="AB36" s="198"/>
      <c r="AC36" s="3241">
        <v>2</v>
      </c>
      <c r="AD36" s="3242">
        <v>2</v>
      </c>
      <c r="AE36" s="3241">
        <v>2</v>
      </c>
      <c r="AF36" s="3241">
        <v>2</v>
      </c>
      <c r="AG36" s="1568"/>
      <c r="AH36" s="1830"/>
      <c r="AI36" s="3243">
        <v>1</v>
      </c>
      <c r="AJ36" s="3243">
        <v>1</v>
      </c>
      <c r="AK36" s="3243">
        <v>1</v>
      </c>
      <c r="AL36" s="3243">
        <v>1</v>
      </c>
      <c r="AM36" s="3243">
        <v>1</v>
      </c>
      <c r="AN36" s="3243">
        <v>1</v>
      </c>
      <c r="AO36" s="3243">
        <v>1</v>
      </c>
      <c r="AP36" s="3243">
        <v>1</v>
      </c>
      <c r="AQ36" s="3243">
        <v>1</v>
      </c>
      <c r="AR36" s="3243">
        <v>1</v>
      </c>
      <c r="AS36" s="3243">
        <v>1</v>
      </c>
      <c r="AT36" s="3243">
        <v>1</v>
      </c>
      <c r="AU36" s="3243">
        <v>1</v>
      </c>
      <c r="AV36" s="3243">
        <v>1</v>
      </c>
      <c r="AW36" s="3243">
        <v>1</v>
      </c>
      <c r="AX36" s="3243">
        <v>1</v>
      </c>
      <c r="AY36" s="3243">
        <v>1</v>
      </c>
      <c r="AZ36" s="3243">
        <v>1</v>
      </c>
      <c r="BA36" s="3243">
        <v>1</v>
      </c>
      <c r="BB36" s="3243">
        <v>1</v>
      </c>
      <c r="BC36" s="3243">
        <v>1</v>
      </c>
      <c r="BD36" s="3243">
        <v>1</v>
      </c>
      <c r="BE36" s="3243">
        <v>1</v>
      </c>
      <c r="BF36" s="3243">
        <v>1</v>
      </c>
      <c r="BG36" s="3243">
        <v>1</v>
      </c>
      <c r="BH36" s="3243">
        <v>1</v>
      </c>
      <c r="BI36" s="3243">
        <v>1</v>
      </c>
      <c r="BJ36" s="3243">
        <v>1</v>
      </c>
      <c r="BK36" s="3243">
        <v>1</v>
      </c>
      <c r="BL36" s="3243">
        <v>1</v>
      </c>
      <c r="BM36" s="3243">
        <v>1</v>
      </c>
      <c r="BN36" s="3243">
        <v>1</v>
      </c>
      <c r="BO36" s="3243">
        <v>1</v>
      </c>
      <c r="BP36" s="3243">
        <v>1</v>
      </c>
      <c r="BQ36" s="3243">
        <v>1</v>
      </c>
      <c r="BR36" s="3243">
        <v>1</v>
      </c>
      <c r="BS36" s="3243">
        <v>1</v>
      </c>
      <c r="BU36" s="2276" t="str" cm="1">
        <f t="array" ca="1" aca="1" ref="BU36">IFERROR(IF(Z36="","",_xldudf_CX_PUSH($Z36,CX_ENTITY,$B36,val_asOfDate,,,)),"")</f>
        <v/>
      </c>
      <c r="BV36" s="2276" t="str" cm="1">
        <f t="array" ca="1" aca="1" ref="BV36">IFERROR(IF(AC36="","",_xldudf_CX_PUSH($AC36,CX_ENTITY,$D36,val_asOfDate,,,)),"")</f>
        <v/>
      </c>
      <c r="BW36" s="2276" t="str" cm="1">
        <f t="array" ca="1" aca="1" ref="BW36">IFERROR(IF(Z36="","",_xldudf_CX_PUSH($Z36,CX_ENTITY,$B36,EOMONTH(val_asOfDate,1),,,)),"")</f>
        <v/>
      </c>
      <c r="BX36" s="2276" t="str" cm="1">
        <f t="array" ca="1" aca="1" ref="BX36">IFERROR(IF(AC36="","",_xldudf_CX_PUSH($AC36,CX_ENTITY,$D36,EOMONTH(val_asOfDate,1),,)),"")</f>
        <v/>
      </c>
      <c r="BY36" s="2276" t="str" cm="1">
        <f t="array" ca="1" aca="1" ref="BY36">IFERROR(IF(AD36="","",_xldudf_CX_PUSH($AD36,CX_ENTITY,$E36,val_asOfDate,,,)),"")</f>
        <v/>
      </c>
      <c r="BZ36" s="2276" t="str" cm="1">
        <f t="array" ca="1" aca="1" ref="BZ36">IFERROR(IF(AD36="","",_xldudf_CX_PUSH($AD36,CX_ENTITY,$E36,EOMONTH(val_asOfDate,1),,)),"")</f>
        <v/>
      </c>
      <c r="CA36" s="1879" t="str" cm="1">
        <f t="array" ca="1" aca="1" ref="CA36">IFERROR(IF(AE36="","",_xldudf_CX_PUSH($AE36,CX_ENTITY,$G36,val_asOfDate,,,)),"")</f>
        <v/>
      </c>
      <c r="CB36" s="1879" t="str" cm="1">
        <f t="array" ca="1" aca="1" ref="CB36">IFERROR(IF(AE36="","",_xldudf_CX_PUSH($AE36,CX_ENTITY,$G36,EOMONTH(val_asOfDate,1),,,)),"")</f>
        <v/>
      </c>
      <c r="CC36" s="1879" t="str" cm="1">
        <f t="array" ca="1" aca="1" ref="CC36">IFERROR(IF(AF36="","",_xldudf_CX_PUSH($AF36,CX_ENTITY,$H36,val_asOfDate,,,)),"")</f>
        <v/>
      </c>
      <c r="CD36" s="1879" t="str" cm="1">
        <f t="array" ca="1" aca="1" ref="CD36">IFERROR(IF(AF36="","",_xldudf_CX_PUSH($AF36,CX_ENTITY,$H36,EOMONTH(val_asOfDate,1),,,)),"")</f>
        <v/>
      </c>
      <c r="CE36" s="1883" t="str" cm="1">
        <f t="array" ca="1" aca="1" ref="CE36">IFERROR(IF($Z36="","",IF($J36=3,_xldudf_CX_PUSH(AI36*fxVal_normal,CX_ENTITY,$F36,AI$15,$X$15,AI$13),_xldudf_CX_PUSH(AI36,CX_ENTITY,$F36,AI$15,$X$15,AI$13))),"")</f>
        <v/>
      </c>
      <c r="CF36" s="1883" t="str" cm="1">
        <f t="array" ca="1" aca="1" ref="CF36">IFERROR(IF($Z36="","",IF($J36=3,_xldudf_CX_PUSH(AJ36*fxVal_normal,CX_ENTITY,$F36,AJ$15,$X$15,AJ$13),_xldudf_CX_PUSH(AJ36,CX_ENTITY,$F36,AJ$15,$X$15,AJ$13))),"")</f>
        <v/>
      </c>
      <c r="CG36" s="1883" t="str" cm="1">
        <f t="array" ca="1" aca="1" ref="CG36">IFERROR(IF($Z36="","",IF($J36=3,_xldudf_CX_PUSH(AK36*fxVal_normal,CX_ENTITY,$F36,AK$15,$X$15,AK$13),_xldudf_CX_PUSH(AK36,CX_ENTITY,$F36,AK$15,$X$15,AK$13))),"")</f>
        <v/>
      </c>
      <c r="CH36" s="1883" t="str" cm="1">
        <f t="array" ca="1" aca="1" ref="CH36">IFERROR(IF($Z36="","",IF($J36=3,_xldudf_CX_PUSH(AL36*fxVal_normal,CX_ENTITY,$F36,AL$15,$X$15,AL$13),_xldudf_CX_PUSH(AL36,CX_ENTITY,$F36,AL$15,$X$15,AL$13))),"")</f>
        <v/>
      </c>
      <c r="CI36" s="1883" t="str" cm="1">
        <f t="array" ca="1" aca="1" ref="CI36">IFERROR(IF($Z36="","",IF($J36=3,_xldudf_CX_PUSH(AM36*fxVal_normal,CX_ENTITY,$F36,AM$15,$X$15,AM$13),_xldudf_CX_PUSH(AM36,CX_ENTITY,$F36,AM$15,$X$15,AM$13))),"")</f>
        <v/>
      </c>
      <c r="CJ36" s="1883" t="str" cm="1">
        <f t="array" ca="1" aca="1" ref="CJ36">IFERROR(IF($Z36="","",IF($J36=3,_xldudf_CX_PUSH(AN36*fxVal_normal,CX_ENTITY,$F36,AN$15,$X$15,AN$13),_xldudf_CX_PUSH(AN36,CX_ENTITY,$F36,AN$15,$X$15,AN$13))),"")</f>
        <v/>
      </c>
      <c r="CK36" s="1883" t="str" cm="1">
        <f t="array" ca="1" aca="1" ref="CK36">IFERROR(IF($Z36="","",IF($J36=3,_xldudf_CX_PUSH(AO36*fxVal_normal,CX_ENTITY,$F36,AO$15,$X$15,AO$13),_xldudf_CX_PUSH(AO36,CX_ENTITY,$F36,AO$15,$X$15,AO$13))),"")</f>
        <v/>
      </c>
      <c r="CL36" s="1883" t="str" cm="1">
        <f t="array" ca="1" aca="1" ref="CL36">IFERROR(IF($Z36="","",IF($J36=3,_xldudf_CX_PUSH(AP36*fxVal_normal,CX_ENTITY,$F36,AP$15,$X$15,AP$13),_xldudf_CX_PUSH(AP36,CX_ENTITY,$F36,AP$15,$X$15,AP$13))),"")</f>
        <v/>
      </c>
      <c r="CM36" s="1883" t="str" cm="1">
        <f t="array" ca="1" aca="1" ref="CM36">IFERROR(IF($Z36="","",IF($J36=3,_xldudf_CX_PUSH(AQ36*fxVal_normal,CX_ENTITY,$F36,AQ$15,$X$15,AQ$13),_xldudf_CX_PUSH(AQ36,CX_ENTITY,$F36,AQ$15,$X$15,AQ$13))),"")</f>
        <v/>
      </c>
      <c r="CN36" s="1883" t="str" cm="1">
        <f t="array" ca="1" aca="1" ref="CN36">IFERROR(IF($Z36="","",IF($J36=3,_xldudf_CX_PUSH(AR36*fxVal_normal,CX_ENTITY,$F36,AR$15,$X$15,AR$13),_xldudf_CX_PUSH(AR36,CX_ENTITY,$F36,AR$15,$X$15,AR$13))),"")</f>
        <v/>
      </c>
      <c r="CO36" s="1883" t="str" cm="1">
        <f t="array" ca="1" aca="1" ref="CO36">IFERROR(IF($Z36="","",IF($J36=3,_xldudf_CX_PUSH(AS36*fxVal_normal,CX_ENTITY,$F36,AS$15,$X$15,AS$13),_xldudf_CX_PUSH(AS36,CX_ENTITY,$F36,AS$15,$X$15,AS$13))),"")</f>
        <v/>
      </c>
      <c r="CP36" s="1883" t="str" cm="1">
        <f t="array" ca="1" aca="1" ref="CP36">IFERROR(IF($Z36="","",IF($J36=3,_xldudf_CX_PUSH(AT36*fxVal_normal,CX_ENTITY,$F36,AT$15,$X$15,AT$13),_xldudf_CX_PUSH(AT36,CX_ENTITY,$F36,AT$15,$X$15,AT$13))),"")</f>
        <v/>
      </c>
      <c r="CQ36" s="1883" t="str" cm="1">
        <f t="array" ca="1" aca="1" ref="CQ36">IFERROR(IF($Z36="","",IF($J36=3,_xldudf_CX_PUSH(AU36*fxVal_normal,CX_ENTITY,$F36,AU$15,$X$15,AU$13),_xldudf_CX_PUSH(AU36,CX_ENTITY,$F36,AU$15,$X$15,AU$13))),"")</f>
        <v/>
      </c>
      <c r="CR36" s="1883" t="str" cm="1">
        <f t="array" ca="1" aca="1" ref="CR36">IFERROR(IF($Z36="","",IF($J36=3,_xldudf_CX_PUSH(AV36*fxVal_normal,CX_ENTITY,$F36,AV$15,$X$15,AV$13),_xldudf_CX_PUSH(AV36,CX_ENTITY,$F36,AV$15,$X$15,AV$13))),"")</f>
        <v/>
      </c>
      <c r="CS36" s="1883" t="str" cm="1">
        <f t="array" ca="1" aca="1" ref="CS36">IFERROR(IF($Z36="","",IF($J36=3,_xldudf_CX_PUSH(AW36*fxVal_normal,CX_ENTITY,$F36,AW$15,$X$15,AW$13),_xldudf_CX_PUSH(AW36,CX_ENTITY,$F36,AW$15,$X$15,AW$13))),"")</f>
        <v/>
      </c>
      <c r="CT36" s="1883" t="str" cm="1">
        <f t="array" ca="1" aca="1" ref="CT36">IFERROR(IF($Z36="","",IF($J36=3,_xldudf_CX_PUSH(AX36*fxVal_normal,CX_ENTITY,$F36,AX$15,$X$15,AX$13),_xldudf_CX_PUSH(AX36,CX_ENTITY,$F36,AX$15,$X$15,AX$13))),"")</f>
        <v/>
      </c>
      <c r="CU36" s="1883" t="str" cm="1">
        <f t="array" ca="1" aca="1" ref="CU36">IFERROR(IF($Z36="","",IF($J36=3,_xldudf_CX_PUSH(AY36*fxVal_normal,CX_ENTITY,$F36,AY$15,$X$15,AY$13),_xldudf_CX_PUSH(AY36,CX_ENTITY,$F36,AY$15,$X$15,AY$13))),"")</f>
        <v/>
      </c>
      <c r="CV36" s="1883" t="str" cm="1">
        <f t="array" ca="1" aca="1" ref="CV36">IFERROR(IF($Z36="","",IF($J36=3,_xldudf_CX_PUSH(AZ36*fxVal_normal,CX_ENTITY,$F36,AZ$15,$X$15,AZ$13),_xldudf_CX_PUSH(AZ36,CX_ENTITY,$F36,AZ$15,$X$15,AZ$13))),"")</f>
        <v/>
      </c>
      <c r="CW36" s="1883" t="str" cm="1">
        <f t="array" ca="1" aca="1" ref="CW36">IFERROR(IF($Z36="","",IF($J36=3,_xldudf_CX_PUSH(BA36*fxVal_normal,CX_ENTITY,$F36,BA$15,$X$15,BA$13),_xldudf_CX_PUSH(BA36,CX_ENTITY,$F36,BA$15,$X$15,BA$13))),"")</f>
        <v/>
      </c>
      <c r="CX36" s="1883" t="str" cm="1">
        <f t="array" ca="1" aca="1" ref="CX36">IFERROR(IF($Z36="","",IF($J36=3,_xldudf_CX_PUSH(BB36*fxVal_normal,CX_ENTITY,$F36,BB$15,$X$15,BB$13),_xldudf_CX_PUSH(BB36,CX_ENTITY,$F36,BB$15,$X$15,BB$13))),"")</f>
        <v/>
      </c>
      <c r="CY36" s="1883" t="str" cm="1">
        <f t="array" ca="1" aca="1" ref="CY36">IFERROR(IF($Z36="","",IF($J36=3,_xldudf_CX_PUSH(BC36*fxVal_normal,CX_ENTITY,$F36,BC$15,$X$15,BC$13),_xldudf_CX_PUSH(BC36,CX_ENTITY,$F36,BC$15,$X$15,BC$13))),"")</f>
        <v/>
      </c>
      <c r="CZ36" s="1883" t="str" cm="1">
        <f t="array" ca="1" aca="1" ref="CZ36">IFERROR(IF($Z36="","",IF($J36=3,_xldudf_CX_PUSH(BD36*fxVal_normal,CX_ENTITY,$F36,BD$15,$X$15,BD$13),_xldudf_CX_PUSH(BD36,CX_ENTITY,$F36,BD$15,$X$15,BD$13))),"")</f>
        <v/>
      </c>
      <c r="DA36" s="1883" t="str" cm="1">
        <f t="array" ca="1" aca="1" ref="DA36">IFERROR(IF($Z36="","",IF($J36=3,_xldudf_CX_PUSH(BE36*fxVal_normal,CX_ENTITY,$F36,BE$15,$X$15,BE$13),_xldudf_CX_PUSH(BE36,CX_ENTITY,$F36,BE$15,$X$15,BE$13))),"")</f>
        <v/>
      </c>
      <c r="DB36" s="1883" t="str" cm="1">
        <f t="array" ca="1" aca="1" ref="DB36">IFERROR(IF($Z36="","",IF($J36=3,_xldudf_CX_PUSH(BF36*fxVal_normal,CX_ENTITY,$F36,BF$15,$X$15,BF$13),_xldudf_CX_PUSH(BF36,CX_ENTITY,$F36,BF$15,$X$15,BF$13))),"")</f>
        <v/>
      </c>
      <c r="DC36" s="1883" t="str" cm="1">
        <f t="array" ca="1" aca="1" ref="DC36">IFERROR(IF($Z36="","",IF($J36=3,_xldudf_CX_PUSH(BG36*fxVal_normal,CX_ENTITY,$F36,BG$15,$X$15,BG$13),_xldudf_CX_PUSH(BG36,CX_ENTITY,$F36,BG$15,$X$15,BG$13))),"")</f>
        <v/>
      </c>
      <c r="DD36" s="1883" t="str" cm="1">
        <f t="array" ca="1" aca="1" ref="DD36">IFERROR(IF($Z36="","",IF($J36=3,_xldudf_CX_PUSH(BH36*fxVal_normal,CX_ENTITY,$F36,BH$15,$X$15,BH$13),_xldudf_CX_PUSH(BH36,CX_ENTITY,$F36,BH$15,$X$15,BH$13))),"")</f>
        <v/>
      </c>
      <c r="DE36" s="1883" t="str" cm="1">
        <f t="array" ca="1" aca="1" ref="DE36">IFERROR(IF($Z36="","",IF($J36=3,_xldudf_CX_PUSH(BI36*fxVal_normal,CX_ENTITY,$F36,BI$15,$X$15,BI$13),_xldudf_CX_PUSH(BI36,CX_ENTITY,$F36,BI$15,$X$15,BI$13))),"")</f>
        <v/>
      </c>
      <c r="DF36" s="1883" t="str" cm="1">
        <f t="array" ca="1" aca="1" ref="DF36">IFERROR(IF($Z36="","",IF($J36=3,_xldudf_CX_PUSH(BJ36*fxVal_normal,CX_ENTITY,$F36,BJ$15,$X$15,BJ$13),_xldudf_CX_PUSH(BJ36,CX_ENTITY,$F36,BJ$15,$X$15,BJ$13))),"")</f>
        <v/>
      </c>
      <c r="DG36" s="1883" t="str" cm="1">
        <f t="array" ca="1" aca="1" ref="DG36">IFERROR(IF($Z36="","",IF($J36=3,_xldudf_CX_PUSH(BK36*fxVal_normal,CX_ENTITY,$F36,BK$15,$X$15,BK$13),_xldudf_CX_PUSH(BK36,CX_ENTITY,$F36,BK$15,$X$15,BK$13))),"")</f>
        <v/>
      </c>
      <c r="DH36" s="1883" t="str" cm="1">
        <f t="array" ca="1" aca="1" ref="DH36">IFERROR(IF($Z36="","",IF($J36=3,_xldudf_CX_PUSH(BL36*fxVal_normal,CX_ENTITY,$F36,BL$15,$X$15,BL$13),_xldudf_CX_PUSH(BL36,CX_ENTITY,$F36,BL$15,$X$15,BL$13))),"")</f>
        <v/>
      </c>
      <c r="DI36" s="1883" t="str" cm="1">
        <f t="array" ca="1" aca="1" ref="DI36">IFERROR(IF($Z36="","",IF($J36=3,_xldudf_CX_PUSH(BM36*fxVal_normal,CX_ENTITY,$F36,BM$15,$X$15,BM$13),_xldudf_CX_PUSH(BM36,CX_ENTITY,$F36,BM$15,$X$15,BM$13))),"")</f>
        <v/>
      </c>
      <c r="DJ36" s="1883" t="str" cm="1">
        <f t="array" ca="1" aca="1" ref="DJ36">IFERROR(IF($Z36="","",IF($J36=3,_xldudf_CX_PUSH(BN36*fxVal_normal,CX_ENTITY,$F36,BN$15,$X$15,BN$13),_xldudf_CX_PUSH(BN36,CX_ENTITY,$F36,BN$15,$X$15,BN$13))),"")</f>
        <v/>
      </c>
      <c r="DK36" s="1883" t="str" cm="1">
        <f t="array" ca="1" aca="1" ref="DK36">IFERROR(IF($Z36="","",IF($J36=3,_xldudf_CX_PUSH(BO36*fxVal_normal,CX_ENTITY,$F36,BO$15,$X$15,BO$13),_xldudf_CX_PUSH(BO36,CX_ENTITY,$F36,BO$15,$X$15,BO$13))),"")</f>
        <v/>
      </c>
      <c r="DL36" s="1883" t="str" cm="1">
        <f t="array" ca="1" aca="1" ref="DL36">IFERROR(IF($Z36="","",IF($J36=3,_xldudf_CX_PUSH(BP36*fxVal_normal,CX_ENTITY,$F36,BP$15,$X$15,BP$13),_xldudf_CX_PUSH(BP36,CX_ENTITY,$F36,BP$15,$X$15,BP$13))),"")</f>
        <v/>
      </c>
      <c r="DM36" s="1883" t="str" cm="1">
        <f t="array" ca="1" aca="1" ref="DM36">IFERROR(IF($Z36="","",IF($J36=3,_xldudf_CX_PUSH(BQ36*fxVal_normal,CX_ENTITY,$F36,BQ$15,$X$15,BQ$13),_xldudf_CX_PUSH(BQ36,CX_ENTITY,$F36,BQ$15,$X$15,BQ$13))),"")</f>
        <v/>
      </c>
      <c r="DN36" s="1883" t="str" cm="1">
        <f t="array" ca="1" aca="1" ref="DN36">IFERROR(IF($Z36="","",IF($J36=3,_xldudf_CX_PUSH(BR36*fxVal_normal,CX_ENTITY,$F36,BR$15,$X$15,BR$13),_xldudf_CX_PUSH(BR36,CX_ENTITY,$F36,BR$15,$X$15,BR$13))),"")</f>
        <v/>
      </c>
      <c r="DO36" s="1883" t="str" cm="1">
        <f t="array" ca="1" aca="1" ref="DO36">IFERROR(IF($Z36="","",IF($J36=3,_xldudf_CX_PUSH(BS36*fxVal_normal,CX_ENTITY,$F36,BS$15,$X$15,BS$13),_xldudf_CX_PUSH(BS36,CX_ENTITY,$F36,BS$15,$X$15,BS$13))),"")</f>
        <v/>
      </c>
    </row>
    <row r="37" spans="1:119" ht="33" customHeight="1">
      <c r="A37" s="32"/>
      <c r="B37" s="580" t="s">
        <v>338</v>
      </c>
      <c r="C37" s="1885" t="s">
        <v>339</v>
      </c>
      <c r="D37" s="1885" t="s">
        <v>340</v>
      </c>
      <c r="E37" s="1885" t="s">
        <v>341</v>
      </c>
      <c r="F37" s="1885" t="s">
        <v>342</v>
      </c>
      <c r="G37" s="574" t="s">
        <v>343</v>
      </c>
      <c r="H37" s="574" t="s">
        <v>344</v>
      </c>
      <c r="I37" s="3280">
        <v>1</v>
      </c>
      <c r="J37" s="401">
        <f t="shared" si="1"/>
        <v>0</v>
      </c>
      <c r="K37" s="401"/>
      <c r="O37" s="158"/>
      <c r="P37" s="2"/>
      <c r="Q37" s="52"/>
      <c r="R37" s="2"/>
      <c r="S37" s="539"/>
      <c r="T37" s="2"/>
      <c r="U37" s="2"/>
      <c r="V37" s="39"/>
      <c r="X37" s="3239">
        <v>1</v>
      </c>
      <c r="Y37" s="708"/>
      <c r="Z37" s="3245">
        <v>2</v>
      </c>
      <c r="AA37" s="198">
        <v>-1</v>
      </c>
      <c r="AB37" s="198"/>
      <c r="AC37" s="3241">
        <v>2</v>
      </c>
      <c r="AD37" s="3242">
        <v>2</v>
      </c>
      <c r="AE37" s="3241">
        <v>2</v>
      </c>
      <c r="AF37" s="3241">
        <v>2</v>
      </c>
      <c r="AG37" s="1568"/>
      <c r="AH37" s="1830"/>
      <c r="AI37" s="3243">
        <v>1</v>
      </c>
      <c r="AJ37" s="3243">
        <v>1</v>
      </c>
      <c r="AK37" s="3243">
        <v>1</v>
      </c>
      <c r="AL37" s="3243">
        <v>1</v>
      </c>
      <c r="AM37" s="3243">
        <v>1</v>
      </c>
      <c r="AN37" s="3243">
        <v>1</v>
      </c>
      <c r="AO37" s="3243">
        <v>1</v>
      </c>
      <c r="AP37" s="3243">
        <v>1</v>
      </c>
      <c r="AQ37" s="3243">
        <v>1</v>
      </c>
      <c r="AR37" s="3243">
        <v>1</v>
      </c>
      <c r="AS37" s="3243">
        <v>1</v>
      </c>
      <c r="AT37" s="3243">
        <v>1</v>
      </c>
      <c r="AU37" s="3243">
        <v>1</v>
      </c>
      <c r="AV37" s="3243">
        <v>1</v>
      </c>
      <c r="AW37" s="3243">
        <v>1</v>
      </c>
      <c r="AX37" s="3243">
        <v>1</v>
      </c>
      <c r="AY37" s="3243">
        <v>1</v>
      </c>
      <c r="AZ37" s="3243">
        <v>1</v>
      </c>
      <c r="BA37" s="3243">
        <v>1</v>
      </c>
      <c r="BB37" s="3243">
        <v>1</v>
      </c>
      <c r="BC37" s="3243">
        <v>1</v>
      </c>
      <c r="BD37" s="3243">
        <v>1</v>
      </c>
      <c r="BE37" s="3243">
        <v>1</v>
      </c>
      <c r="BF37" s="3243">
        <v>1</v>
      </c>
      <c r="BG37" s="3243">
        <v>1</v>
      </c>
      <c r="BH37" s="3243">
        <v>1</v>
      </c>
      <c r="BI37" s="3243">
        <v>1</v>
      </c>
      <c r="BJ37" s="3243">
        <v>1</v>
      </c>
      <c r="BK37" s="3243">
        <v>1</v>
      </c>
      <c r="BL37" s="3243">
        <v>1</v>
      </c>
      <c r="BM37" s="3243">
        <v>1</v>
      </c>
      <c r="BN37" s="3243">
        <v>1</v>
      </c>
      <c r="BO37" s="3243">
        <v>1</v>
      </c>
      <c r="BP37" s="3243">
        <v>1</v>
      </c>
      <c r="BQ37" s="3243">
        <v>1</v>
      </c>
      <c r="BR37" s="3243">
        <v>1</v>
      </c>
      <c r="BS37" s="3243">
        <v>1</v>
      </c>
      <c r="BU37" s="2276" t="str" cm="1">
        <f t="array" ca="1" aca="1" ref="BU37">IFERROR(IF(Z37="","",_xldudf_CX_PUSH($Z37,CX_ENTITY,$B37,val_asOfDate,,,)),"")</f>
        <v/>
      </c>
      <c r="BV37" s="2276" t="str" cm="1">
        <f t="array" ca="1" aca="1" ref="BV37">IFERROR(IF(AC37="","",_xldudf_CX_PUSH($AC37,CX_ENTITY,$D37,val_asOfDate,,,)),"")</f>
        <v/>
      </c>
      <c r="BW37" s="2276" t="str" cm="1">
        <f t="array" ca="1" aca="1" ref="BW37">IFERROR(IF(Z37="","",_xldudf_CX_PUSH($Z37,CX_ENTITY,$B37,EOMONTH(val_asOfDate,1),,,)),"")</f>
        <v/>
      </c>
      <c r="BX37" s="2276" t="str" cm="1">
        <f t="array" ca="1" aca="1" ref="BX37">IFERROR(IF(AC37="","",_xldudf_CX_PUSH($AC37,CX_ENTITY,$D37,EOMONTH(val_asOfDate,1),,)),"")</f>
        <v/>
      </c>
      <c r="BY37" s="2276" t="str" cm="1">
        <f t="array" ca="1" aca="1" ref="BY37">IFERROR(IF(AD37="","",_xldudf_CX_PUSH($AD37,CX_ENTITY,$E37,val_asOfDate,,,)),"")</f>
        <v/>
      </c>
      <c r="BZ37" s="2276" t="str" cm="1">
        <f t="array" ca="1" aca="1" ref="BZ37">IFERROR(IF(AD37="","",_xldudf_CX_PUSH($AD37,CX_ENTITY,$E37,EOMONTH(val_asOfDate,1),,)),"")</f>
        <v/>
      </c>
      <c r="CA37" s="1879" t="str" cm="1">
        <f t="array" ca="1" aca="1" ref="CA37">IFERROR(IF(AE37="","",_xldudf_CX_PUSH($AE37,CX_ENTITY,$G37,val_asOfDate,,,)),"")</f>
        <v/>
      </c>
      <c r="CB37" s="1879" t="str" cm="1">
        <f t="array" ca="1" aca="1" ref="CB37">IFERROR(IF(AE37="","",_xldudf_CX_PUSH($AE37,CX_ENTITY,$G37,EOMONTH(val_asOfDate,1),,,)),"")</f>
        <v/>
      </c>
      <c r="CC37" s="1879" t="str" cm="1">
        <f t="array" ca="1" aca="1" ref="CC37">IFERROR(IF(AF37="","",_xldudf_CX_PUSH($AF37,CX_ENTITY,$H37,val_asOfDate,,,)),"")</f>
        <v/>
      </c>
      <c r="CD37" s="1879" t="str" cm="1">
        <f t="array" ca="1" aca="1" ref="CD37">IFERROR(IF(AF37="","",_xldudf_CX_PUSH($AF37,CX_ENTITY,$H37,EOMONTH(val_asOfDate,1),,,)),"")</f>
        <v/>
      </c>
      <c r="CE37" s="1883" t="str" cm="1">
        <f t="array" ca="1" aca="1" ref="CE37">IFERROR(IF($Z37="","",IF($J37=3,_xldudf_CX_PUSH(AI37*fxVal_normal,CX_ENTITY,$F37,AI$15,$X$15,AI$13),_xldudf_CX_PUSH(AI37,CX_ENTITY,$F37,AI$15,$X$15,AI$13))),"")</f>
        <v/>
      </c>
      <c r="CF37" s="1883" t="str" cm="1">
        <f t="array" ca="1" aca="1" ref="CF37">IFERROR(IF($Z37="","",IF($J37=3,_xldudf_CX_PUSH(AJ37*fxVal_normal,CX_ENTITY,$F37,AJ$15,$X$15,AJ$13),_xldudf_CX_PUSH(AJ37,CX_ENTITY,$F37,AJ$15,$X$15,AJ$13))),"")</f>
        <v/>
      </c>
      <c r="CG37" s="1883" t="str" cm="1">
        <f t="array" ca="1" aca="1" ref="CG37">IFERROR(IF($Z37="","",IF($J37=3,_xldudf_CX_PUSH(AK37*fxVal_normal,CX_ENTITY,$F37,AK$15,$X$15,AK$13),_xldudf_CX_PUSH(AK37,CX_ENTITY,$F37,AK$15,$X$15,AK$13))),"")</f>
        <v/>
      </c>
      <c r="CH37" s="1883" t="str" cm="1">
        <f t="array" ca="1" aca="1" ref="CH37">IFERROR(IF($Z37="","",IF($J37=3,_xldudf_CX_PUSH(AL37*fxVal_normal,CX_ENTITY,$F37,AL$15,$X$15,AL$13),_xldudf_CX_PUSH(AL37,CX_ENTITY,$F37,AL$15,$X$15,AL$13))),"")</f>
        <v/>
      </c>
      <c r="CI37" s="1883" t="str" cm="1">
        <f t="array" ca="1" aca="1" ref="CI37">IFERROR(IF($Z37="","",IF($J37=3,_xldudf_CX_PUSH(AM37*fxVal_normal,CX_ENTITY,$F37,AM$15,$X$15,AM$13),_xldudf_CX_PUSH(AM37,CX_ENTITY,$F37,AM$15,$X$15,AM$13))),"")</f>
        <v/>
      </c>
      <c r="CJ37" s="1883" t="str" cm="1">
        <f t="array" ca="1" aca="1" ref="CJ37">IFERROR(IF($Z37="","",IF($J37=3,_xldudf_CX_PUSH(AN37*fxVal_normal,CX_ENTITY,$F37,AN$15,$X$15,AN$13),_xldudf_CX_PUSH(AN37,CX_ENTITY,$F37,AN$15,$X$15,AN$13))),"")</f>
        <v/>
      </c>
      <c r="CK37" s="1883" t="str" cm="1">
        <f t="array" ca="1" aca="1" ref="CK37">IFERROR(IF($Z37="","",IF($J37=3,_xldudf_CX_PUSH(AO37*fxVal_normal,CX_ENTITY,$F37,AO$15,$X$15,AO$13),_xldudf_CX_PUSH(AO37,CX_ENTITY,$F37,AO$15,$X$15,AO$13))),"")</f>
        <v/>
      </c>
      <c r="CL37" s="1883" t="str" cm="1">
        <f t="array" ca="1" aca="1" ref="CL37">IFERROR(IF($Z37="","",IF($J37=3,_xldudf_CX_PUSH(AP37*fxVal_normal,CX_ENTITY,$F37,AP$15,$X$15,AP$13),_xldudf_CX_PUSH(AP37,CX_ENTITY,$F37,AP$15,$X$15,AP$13))),"")</f>
        <v/>
      </c>
      <c r="CM37" s="1883" t="str" cm="1">
        <f t="array" ca="1" aca="1" ref="CM37">IFERROR(IF($Z37="","",IF($J37=3,_xldudf_CX_PUSH(AQ37*fxVal_normal,CX_ENTITY,$F37,AQ$15,$X$15,AQ$13),_xldudf_CX_PUSH(AQ37,CX_ENTITY,$F37,AQ$15,$X$15,AQ$13))),"")</f>
        <v/>
      </c>
      <c r="CN37" s="1883" t="str" cm="1">
        <f t="array" ca="1" aca="1" ref="CN37">IFERROR(IF($Z37="","",IF($J37=3,_xldudf_CX_PUSH(AR37*fxVal_normal,CX_ENTITY,$F37,AR$15,$X$15,AR$13),_xldudf_CX_PUSH(AR37,CX_ENTITY,$F37,AR$15,$X$15,AR$13))),"")</f>
        <v/>
      </c>
      <c r="CO37" s="1883" t="str" cm="1">
        <f t="array" ca="1" aca="1" ref="CO37">IFERROR(IF($Z37="","",IF($J37=3,_xldudf_CX_PUSH(AS37*fxVal_normal,CX_ENTITY,$F37,AS$15,$X$15,AS$13),_xldudf_CX_PUSH(AS37,CX_ENTITY,$F37,AS$15,$X$15,AS$13))),"")</f>
        <v/>
      </c>
      <c r="CP37" s="1883" t="str" cm="1">
        <f t="array" ca="1" aca="1" ref="CP37">IFERROR(IF($Z37="","",IF($J37=3,_xldudf_CX_PUSH(AT37*fxVal_normal,CX_ENTITY,$F37,AT$15,$X$15,AT$13),_xldudf_CX_PUSH(AT37,CX_ENTITY,$F37,AT$15,$X$15,AT$13))),"")</f>
        <v/>
      </c>
      <c r="CQ37" s="1883" t="str" cm="1">
        <f t="array" ca="1" aca="1" ref="CQ37">IFERROR(IF($Z37="","",IF($J37=3,_xldudf_CX_PUSH(AU37*fxVal_normal,CX_ENTITY,$F37,AU$15,$X$15,AU$13),_xldudf_CX_PUSH(AU37,CX_ENTITY,$F37,AU$15,$X$15,AU$13))),"")</f>
        <v/>
      </c>
      <c r="CR37" s="1883" t="str" cm="1">
        <f t="array" ca="1" aca="1" ref="CR37">IFERROR(IF($Z37="","",IF($J37=3,_xldudf_CX_PUSH(AV37*fxVal_normal,CX_ENTITY,$F37,AV$15,$X$15,AV$13),_xldudf_CX_PUSH(AV37,CX_ENTITY,$F37,AV$15,$X$15,AV$13))),"")</f>
        <v/>
      </c>
      <c r="CS37" s="1883" t="str" cm="1">
        <f t="array" ca="1" aca="1" ref="CS37">IFERROR(IF($Z37="","",IF($J37=3,_xldudf_CX_PUSH(AW37*fxVal_normal,CX_ENTITY,$F37,AW$15,$X$15,AW$13),_xldudf_CX_PUSH(AW37,CX_ENTITY,$F37,AW$15,$X$15,AW$13))),"")</f>
        <v/>
      </c>
      <c r="CT37" s="1883" t="str" cm="1">
        <f t="array" ca="1" aca="1" ref="CT37">IFERROR(IF($Z37="","",IF($J37=3,_xldudf_CX_PUSH(AX37*fxVal_normal,CX_ENTITY,$F37,AX$15,$X$15,AX$13),_xldudf_CX_PUSH(AX37,CX_ENTITY,$F37,AX$15,$X$15,AX$13))),"")</f>
        <v/>
      </c>
      <c r="CU37" s="1883" t="str" cm="1">
        <f t="array" ca="1" aca="1" ref="CU37">IFERROR(IF($Z37="","",IF($J37=3,_xldudf_CX_PUSH(AY37*fxVal_normal,CX_ENTITY,$F37,AY$15,$X$15,AY$13),_xldudf_CX_PUSH(AY37,CX_ENTITY,$F37,AY$15,$X$15,AY$13))),"")</f>
        <v/>
      </c>
      <c r="CV37" s="1883" t="str" cm="1">
        <f t="array" ca="1" aca="1" ref="CV37">IFERROR(IF($Z37="","",IF($J37=3,_xldudf_CX_PUSH(AZ37*fxVal_normal,CX_ENTITY,$F37,AZ$15,$X$15,AZ$13),_xldudf_CX_PUSH(AZ37,CX_ENTITY,$F37,AZ$15,$X$15,AZ$13))),"")</f>
        <v/>
      </c>
      <c r="CW37" s="1883" t="str" cm="1">
        <f t="array" ca="1" aca="1" ref="CW37">IFERROR(IF($Z37="","",IF($J37=3,_xldudf_CX_PUSH(BA37*fxVal_normal,CX_ENTITY,$F37,BA$15,$X$15,BA$13),_xldudf_CX_PUSH(BA37,CX_ENTITY,$F37,BA$15,$X$15,BA$13))),"")</f>
        <v/>
      </c>
      <c r="CX37" s="1883" t="str" cm="1">
        <f t="array" ca="1" aca="1" ref="CX37">IFERROR(IF($Z37="","",IF($J37=3,_xldudf_CX_PUSH(BB37*fxVal_normal,CX_ENTITY,$F37,BB$15,$X$15,BB$13),_xldudf_CX_PUSH(BB37,CX_ENTITY,$F37,BB$15,$X$15,BB$13))),"")</f>
        <v/>
      </c>
      <c r="CY37" s="1883" t="str" cm="1">
        <f t="array" ca="1" aca="1" ref="CY37">IFERROR(IF($Z37="","",IF($J37=3,_xldudf_CX_PUSH(BC37*fxVal_normal,CX_ENTITY,$F37,BC$15,$X$15,BC$13),_xldudf_CX_PUSH(BC37,CX_ENTITY,$F37,BC$15,$X$15,BC$13))),"")</f>
        <v/>
      </c>
      <c r="CZ37" s="1883" t="str" cm="1">
        <f t="array" ca="1" aca="1" ref="CZ37">IFERROR(IF($Z37="","",IF($J37=3,_xldudf_CX_PUSH(BD37*fxVal_normal,CX_ENTITY,$F37,BD$15,$X$15,BD$13),_xldudf_CX_PUSH(BD37,CX_ENTITY,$F37,BD$15,$X$15,BD$13))),"")</f>
        <v/>
      </c>
      <c r="DA37" s="1883" t="str" cm="1">
        <f t="array" ca="1" aca="1" ref="DA37">IFERROR(IF($Z37="","",IF($J37=3,_xldudf_CX_PUSH(BE37*fxVal_normal,CX_ENTITY,$F37,BE$15,$X$15,BE$13),_xldudf_CX_PUSH(BE37,CX_ENTITY,$F37,BE$15,$X$15,BE$13))),"")</f>
        <v/>
      </c>
      <c r="DB37" s="1883" t="str" cm="1">
        <f t="array" ca="1" aca="1" ref="DB37">IFERROR(IF($Z37="","",IF($J37=3,_xldudf_CX_PUSH(BF37*fxVal_normal,CX_ENTITY,$F37,BF$15,$X$15,BF$13),_xldudf_CX_PUSH(BF37,CX_ENTITY,$F37,BF$15,$X$15,BF$13))),"")</f>
        <v/>
      </c>
      <c r="DC37" s="1883" t="str" cm="1">
        <f t="array" ca="1" aca="1" ref="DC37">IFERROR(IF($Z37="","",IF($J37=3,_xldudf_CX_PUSH(BG37*fxVal_normal,CX_ENTITY,$F37,BG$15,$X$15,BG$13),_xldudf_CX_PUSH(BG37,CX_ENTITY,$F37,BG$15,$X$15,BG$13))),"")</f>
        <v/>
      </c>
      <c r="DD37" s="1883" t="str" cm="1">
        <f t="array" ca="1" aca="1" ref="DD37">IFERROR(IF($Z37="","",IF($J37=3,_xldudf_CX_PUSH(BH37*fxVal_normal,CX_ENTITY,$F37,BH$15,$X$15,BH$13),_xldudf_CX_PUSH(BH37,CX_ENTITY,$F37,BH$15,$X$15,BH$13))),"")</f>
        <v/>
      </c>
      <c r="DE37" s="1883" t="str" cm="1">
        <f t="array" ca="1" aca="1" ref="DE37">IFERROR(IF($Z37="","",IF($J37=3,_xldudf_CX_PUSH(BI37*fxVal_normal,CX_ENTITY,$F37,BI$15,$X$15,BI$13),_xldudf_CX_PUSH(BI37,CX_ENTITY,$F37,BI$15,$X$15,BI$13))),"")</f>
        <v/>
      </c>
      <c r="DF37" s="1883" t="str" cm="1">
        <f t="array" ca="1" aca="1" ref="DF37">IFERROR(IF($Z37="","",IF($J37=3,_xldudf_CX_PUSH(BJ37*fxVal_normal,CX_ENTITY,$F37,BJ$15,$X$15,BJ$13),_xldudf_CX_PUSH(BJ37,CX_ENTITY,$F37,BJ$15,$X$15,BJ$13))),"")</f>
        <v/>
      </c>
      <c r="DG37" s="1883" t="str" cm="1">
        <f t="array" ca="1" aca="1" ref="DG37">IFERROR(IF($Z37="","",IF($J37=3,_xldudf_CX_PUSH(BK37*fxVal_normal,CX_ENTITY,$F37,BK$15,$X$15,BK$13),_xldudf_CX_PUSH(BK37,CX_ENTITY,$F37,BK$15,$X$15,BK$13))),"")</f>
        <v/>
      </c>
      <c r="DH37" s="1883" t="str" cm="1">
        <f t="array" ca="1" aca="1" ref="DH37">IFERROR(IF($Z37="","",IF($J37=3,_xldudf_CX_PUSH(BL37*fxVal_normal,CX_ENTITY,$F37,BL$15,$X$15,BL$13),_xldudf_CX_PUSH(BL37,CX_ENTITY,$F37,BL$15,$X$15,BL$13))),"")</f>
        <v/>
      </c>
      <c r="DI37" s="1883" t="str" cm="1">
        <f t="array" ca="1" aca="1" ref="DI37">IFERROR(IF($Z37="","",IF($J37=3,_xldudf_CX_PUSH(BM37*fxVal_normal,CX_ENTITY,$F37,BM$15,$X$15,BM$13),_xldudf_CX_PUSH(BM37,CX_ENTITY,$F37,BM$15,$X$15,BM$13))),"")</f>
        <v/>
      </c>
      <c r="DJ37" s="1883" t="str" cm="1">
        <f t="array" ca="1" aca="1" ref="DJ37">IFERROR(IF($Z37="","",IF($J37=3,_xldudf_CX_PUSH(BN37*fxVal_normal,CX_ENTITY,$F37,BN$15,$X$15,BN$13),_xldudf_CX_PUSH(BN37,CX_ENTITY,$F37,BN$15,$X$15,BN$13))),"")</f>
        <v/>
      </c>
      <c r="DK37" s="1883" t="str" cm="1">
        <f t="array" ca="1" aca="1" ref="DK37">IFERROR(IF($Z37="","",IF($J37=3,_xldudf_CX_PUSH(BO37*fxVal_normal,CX_ENTITY,$F37,BO$15,$X$15,BO$13),_xldudf_CX_PUSH(BO37,CX_ENTITY,$F37,BO$15,$X$15,BO$13))),"")</f>
        <v/>
      </c>
      <c r="DL37" s="1883" t="str" cm="1">
        <f t="array" ca="1" aca="1" ref="DL37">IFERROR(IF($Z37="","",IF($J37=3,_xldudf_CX_PUSH(BP37*fxVal_normal,CX_ENTITY,$F37,BP$15,$X$15,BP$13),_xldudf_CX_PUSH(BP37,CX_ENTITY,$F37,BP$15,$X$15,BP$13))),"")</f>
        <v/>
      </c>
      <c r="DM37" s="1883" t="str" cm="1">
        <f t="array" ca="1" aca="1" ref="DM37">IFERROR(IF($Z37="","",IF($J37=3,_xldudf_CX_PUSH(BQ37*fxVal_normal,CX_ENTITY,$F37,BQ$15,$X$15,BQ$13),_xldudf_CX_PUSH(BQ37,CX_ENTITY,$F37,BQ$15,$X$15,BQ$13))),"")</f>
        <v/>
      </c>
      <c r="DN37" s="1883" t="str" cm="1">
        <f t="array" ca="1" aca="1" ref="DN37">IFERROR(IF($Z37="","",IF($J37=3,_xldudf_CX_PUSH(BR37*fxVal_normal,CX_ENTITY,$F37,BR$15,$X$15,BR$13),_xldudf_CX_PUSH(BR37,CX_ENTITY,$F37,BR$15,$X$15,BR$13))),"")</f>
        <v/>
      </c>
      <c r="DO37" s="1883" t="str" cm="1">
        <f t="array" ca="1" aca="1" ref="DO37">IFERROR(IF($Z37="","",IF($J37=3,_xldudf_CX_PUSH(BS37*fxVal_normal,CX_ENTITY,$F37,BS$15,$X$15,BS$13),_xldudf_CX_PUSH(BS37,CX_ENTITY,$F37,BS$15,$X$15,BS$13))),"")</f>
        <v/>
      </c>
    </row>
    <row r="38" spans="1:119" ht="33" customHeight="1">
      <c r="A38" s="32"/>
      <c r="B38" s="580" t="s">
        <v>345</v>
      </c>
      <c r="C38" s="1885" t="s">
        <v>346</v>
      </c>
      <c r="D38" s="1885" t="s">
        <v>347</v>
      </c>
      <c r="E38" s="1885" t="s">
        <v>348</v>
      </c>
      <c r="F38" s="1885" t="s">
        <v>349</v>
      </c>
      <c r="G38" s="574" t="s">
        <v>350</v>
      </c>
      <c r="H38" s="574" t="s">
        <v>351</v>
      </c>
      <c r="I38" s="401">
        <v>0</v>
      </c>
      <c r="J38" s="401">
        <f t="shared" si="1"/>
        <v>0</v>
      </c>
      <c r="K38" s="401"/>
      <c r="O38" s="158"/>
      <c r="P38" s="2"/>
      <c r="Q38" s="52"/>
      <c r="R38" s="2"/>
      <c r="S38" s="539"/>
      <c r="T38" s="2"/>
      <c r="U38" s="2"/>
      <c r="V38" s="39"/>
      <c r="X38" s="3239">
        <v>1</v>
      </c>
      <c r="Y38" s="708"/>
      <c r="Z38" s="3246">
        <v>2</v>
      </c>
      <c r="AA38" s="198">
        <v>-1</v>
      </c>
      <c r="AB38" s="198"/>
      <c r="AC38" s="3241">
        <v>2</v>
      </c>
      <c r="AD38" s="3242">
        <v>2</v>
      </c>
      <c r="AE38" s="3241">
        <v>2</v>
      </c>
      <c r="AF38" s="3241">
        <v>2</v>
      </c>
      <c r="AG38" s="1568"/>
      <c r="AH38" s="1830"/>
      <c r="AI38" s="3243">
        <v>1</v>
      </c>
      <c r="AJ38" s="3243">
        <v>1</v>
      </c>
      <c r="AK38" s="3243">
        <v>1</v>
      </c>
      <c r="AL38" s="3243">
        <v>1</v>
      </c>
      <c r="AM38" s="3243">
        <v>1</v>
      </c>
      <c r="AN38" s="3243">
        <v>1</v>
      </c>
      <c r="AO38" s="3243">
        <v>1</v>
      </c>
      <c r="AP38" s="3243">
        <v>1</v>
      </c>
      <c r="AQ38" s="3243">
        <v>1</v>
      </c>
      <c r="AR38" s="3243">
        <v>1</v>
      </c>
      <c r="AS38" s="3243">
        <v>1</v>
      </c>
      <c r="AT38" s="3243">
        <v>1</v>
      </c>
      <c r="AU38" s="3243">
        <v>1</v>
      </c>
      <c r="AV38" s="3243">
        <v>1</v>
      </c>
      <c r="AW38" s="3243">
        <v>1</v>
      </c>
      <c r="AX38" s="3243">
        <v>1</v>
      </c>
      <c r="AY38" s="3243">
        <v>1</v>
      </c>
      <c r="AZ38" s="3243">
        <v>1</v>
      </c>
      <c r="BA38" s="3243">
        <v>1</v>
      </c>
      <c r="BB38" s="3243">
        <v>1</v>
      </c>
      <c r="BC38" s="3243">
        <v>1</v>
      </c>
      <c r="BD38" s="3243">
        <v>1</v>
      </c>
      <c r="BE38" s="3243">
        <v>1</v>
      </c>
      <c r="BF38" s="3243">
        <v>1</v>
      </c>
      <c r="BG38" s="3243">
        <v>1</v>
      </c>
      <c r="BH38" s="3243">
        <v>1</v>
      </c>
      <c r="BI38" s="3243">
        <v>1</v>
      </c>
      <c r="BJ38" s="3243">
        <v>1</v>
      </c>
      <c r="BK38" s="3243">
        <v>1</v>
      </c>
      <c r="BL38" s="3243">
        <v>1</v>
      </c>
      <c r="BM38" s="3243">
        <v>1</v>
      </c>
      <c r="BN38" s="3243">
        <v>1</v>
      </c>
      <c r="BO38" s="3243">
        <v>1</v>
      </c>
      <c r="BP38" s="3243">
        <v>1</v>
      </c>
      <c r="BQ38" s="3243">
        <v>1</v>
      </c>
      <c r="BR38" s="3243">
        <v>1</v>
      </c>
      <c r="BS38" s="3243">
        <v>1</v>
      </c>
      <c r="BU38" s="2276" t="str" cm="1">
        <f t="array" ca="1" aca="1" ref="BU38">IFERROR(IF(Z38="","",_xldudf_CX_PUSH($Z38,CX_ENTITY,$B38,val_asOfDate,,,)),"")</f>
        <v/>
      </c>
      <c r="BV38" s="2276" t="str" cm="1">
        <f t="array" ca="1" aca="1" ref="BV38">IFERROR(IF(AC38="","",_xldudf_CX_PUSH($AC38,CX_ENTITY,$D38,val_asOfDate,,,)),"")</f>
        <v/>
      </c>
      <c r="BW38" s="2276" t="str" cm="1">
        <f t="array" ca="1" aca="1" ref="BW38">IFERROR(IF(Z38="","",_xldudf_CX_PUSH($Z38,CX_ENTITY,$B38,EOMONTH(val_asOfDate,1),,,)),"")</f>
        <v/>
      </c>
      <c r="BX38" s="2276" t="str" cm="1">
        <f t="array" ca="1" aca="1" ref="BX38">IFERROR(IF(AC38="","",_xldudf_CX_PUSH($AC38,CX_ENTITY,$D38,EOMONTH(val_asOfDate,1),,)),"")</f>
        <v/>
      </c>
      <c r="BY38" s="2276" t="str" cm="1">
        <f t="array" ca="1" aca="1" ref="BY38">IFERROR(IF(AD38="","",_xldudf_CX_PUSH($AD38,CX_ENTITY,$E38,val_asOfDate,,,)),"")</f>
        <v/>
      </c>
      <c r="BZ38" s="2276" t="str" cm="1">
        <f t="array" ca="1" aca="1" ref="BZ38">IFERROR(IF(AD38="","",_xldudf_CX_PUSH($AD38,CX_ENTITY,$E38,EOMONTH(val_asOfDate,1),,)),"")</f>
        <v/>
      </c>
      <c r="CA38" s="1879" t="str" cm="1">
        <f t="array" ca="1" aca="1" ref="CA38">IFERROR(IF(AE38="","",_xldudf_CX_PUSH($AE38,CX_ENTITY,$G38,val_asOfDate,,,)),"")</f>
        <v/>
      </c>
      <c r="CB38" s="1879" t="str" cm="1">
        <f t="array" ca="1" aca="1" ref="CB38">IFERROR(IF(AE38="","",_xldudf_CX_PUSH($AE38,CX_ENTITY,$G38,EOMONTH(val_asOfDate,1),,,)),"")</f>
        <v/>
      </c>
      <c r="CC38" s="1879" t="str" cm="1">
        <f t="array" ca="1" aca="1" ref="CC38">IFERROR(IF(AF38="","",_xldudf_CX_PUSH($AF38,CX_ENTITY,$H38,val_asOfDate,,,)),"")</f>
        <v/>
      </c>
      <c r="CD38" s="1879" t="str" cm="1">
        <f t="array" ca="1" aca="1" ref="CD38">IFERROR(IF(AF38="","",_xldudf_CX_PUSH($AF38,CX_ENTITY,$H38,EOMONTH(val_asOfDate,1),,,)),"")</f>
        <v/>
      </c>
      <c r="CE38" s="1883" t="str" cm="1">
        <f t="array" ca="1" aca="1" ref="CE38">IFERROR(IF($Z38="","",IF($J38=3,_xldudf_CX_PUSH(AI38*fxVal_normal,CX_ENTITY,$F38,AI$15,$X$15,AI$13),_xldudf_CX_PUSH(AI38,CX_ENTITY,$F38,AI$15,$X$15,AI$13))),"")</f>
        <v/>
      </c>
      <c r="CF38" s="1883" t="str" cm="1">
        <f t="array" ca="1" aca="1" ref="CF38">IFERROR(IF($Z38="","",IF($J38=3,_xldudf_CX_PUSH(AJ38*fxVal_normal,CX_ENTITY,$F38,AJ$15,$X$15,AJ$13),_xldudf_CX_PUSH(AJ38,CX_ENTITY,$F38,AJ$15,$X$15,AJ$13))),"")</f>
        <v/>
      </c>
      <c r="CG38" s="1883" t="str" cm="1">
        <f t="array" ca="1" aca="1" ref="CG38">IFERROR(IF($Z38="","",IF($J38=3,_xldudf_CX_PUSH(AK38*fxVal_normal,CX_ENTITY,$F38,AK$15,$X$15,AK$13),_xldudf_CX_PUSH(AK38,CX_ENTITY,$F38,AK$15,$X$15,AK$13))),"")</f>
        <v/>
      </c>
      <c r="CH38" s="1883" t="str" cm="1">
        <f t="array" ca="1" aca="1" ref="CH38">IFERROR(IF($Z38="","",IF($J38=3,_xldudf_CX_PUSH(AL38*fxVal_normal,CX_ENTITY,$F38,AL$15,$X$15,AL$13),_xldudf_CX_PUSH(AL38,CX_ENTITY,$F38,AL$15,$X$15,AL$13))),"")</f>
        <v/>
      </c>
      <c r="CI38" s="1883" t="str" cm="1">
        <f t="array" ca="1" aca="1" ref="CI38">IFERROR(IF($Z38="","",IF($J38=3,_xldudf_CX_PUSH(AM38*fxVal_normal,CX_ENTITY,$F38,AM$15,$X$15,AM$13),_xldudf_CX_PUSH(AM38,CX_ENTITY,$F38,AM$15,$X$15,AM$13))),"")</f>
        <v/>
      </c>
      <c r="CJ38" s="1883" t="str" cm="1">
        <f t="array" ca="1" aca="1" ref="CJ38">IFERROR(IF($Z38="","",IF($J38=3,_xldudf_CX_PUSH(AN38*fxVal_normal,CX_ENTITY,$F38,AN$15,$X$15,AN$13),_xldudf_CX_PUSH(AN38,CX_ENTITY,$F38,AN$15,$X$15,AN$13))),"")</f>
        <v/>
      </c>
      <c r="CK38" s="1883" t="str" cm="1">
        <f t="array" ca="1" aca="1" ref="CK38">IFERROR(IF($Z38="","",IF($J38=3,_xldudf_CX_PUSH(AO38*fxVal_normal,CX_ENTITY,$F38,AO$15,$X$15,AO$13),_xldudf_CX_PUSH(AO38,CX_ENTITY,$F38,AO$15,$X$15,AO$13))),"")</f>
        <v/>
      </c>
      <c r="CL38" s="1883" t="str" cm="1">
        <f t="array" ca="1" aca="1" ref="CL38">IFERROR(IF($Z38="","",IF($J38=3,_xldudf_CX_PUSH(AP38*fxVal_normal,CX_ENTITY,$F38,AP$15,$X$15,AP$13),_xldudf_CX_PUSH(AP38,CX_ENTITY,$F38,AP$15,$X$15,AP$13))),"")</f>
        <v/>
      </c>
      <c r="CM38" s="1883" t="str" cm="1">
        <f t="array" ca="1" aca="1" ref="CM38">IFERROR(IF($Z38="","",IF($J38=3,_xldudf_CX_PUSH(AQ38*fxVal_normal,CX_ENTITY,$F38,AQ$15,$X$15,AQ$13),_xldudf_CX_PUSH(AQ38,CX_ENTITY,$F38,AQ$15,$X$15,AQ$13))),"")</f>
        <v/>
      </c>
      <c r="CN38" s="1883" t="str" cm="1">
        <f t="array" ca="1" aca="1" ref="CN38">IFERROR(IF($Z38="","",IF($J38=3,_xldudf_CX_PUSH(AR38*fxVal_normal,CX_ENTITY,$F38,AR$15,$X$15,AR$13),_xldudf_CX_PUSH(AR38,CX_ENTITY,$F38,AR$15,$X$15,AR$13))),"")</f>
        <v/>
      </c>
      <c r="CO38" s="1883" t="str" cm="1">
        <f t="array" ca="1" aca="1" ref="CO38">IFERROR(IF($Z38="","",IF($J38=3,_xldudf_CX_PUSH(AS38*fxVal_normal,CX_ENTITY,$F38,AS$15,$X$15,AS$13),_xldudf_CX_PUSH(AS38,CX_ENTITY,$F38,AS$15,$X$15,AS$13))),"")</f>
        <v/>
      </c>
      <c r="CP38" s="1883" t="str" cm="1">
        <f t="array" ca="1" aca="1" ref="CP38">IFERROR(IF($Z38="","",IF($J38=3,_xldudf_CX_PUSH(AT38*fxVal_normal,CX_ENTITY,$F38,AT$15,$X$15,AT$13),_xldudf_CX_PUSH(AT38,CX_ENTITY,$F38,AT$15,$X$15,AT$13))),"")</f>
        <v/>
      </c>
      <c r="CQ38" s="1883" t="str" cm="1">
        <f t="array" ca="1" aca="1" ref="CQ38">IFERROR(IF($Z38="","",IF($J38=3,_xldudf_CX_PUSH(AU38*fxVal_normal,CX_ENTITY,$F38,AU$15,$X$15,AU$13),_xldudf_CX_PUSH(AU38,CX_ENTITY,$F38,AU$15,$X$15,AU$13))),"")</f>
        <v/>
      </c>
      <c r="CR38" s="1883" t="str" cm="1">
        <f t="array" ca="1" aca="1" ref="CR38">IFERROR(IF($Z38="","",IF($J38=3,_xldudf_CX_PUSH(AV38*fxVal_normal,CX_ENTITY,$F38,AV$15,$X$15,AV$13),_xldudf_CX_PUSH(AV38,CX_ENTITY,$F38,AV$15,$X$15,AV$13))),"")</f>
        <v/>
      </c>
      <c r="CS38" s="1883" t="str" cm="1">
        <f t="array" ca="1" aca="1" ref="CS38">IFERROR(IF($Z38="","",IF($J38=3,_xldudf_CX_PUSH(AW38*fxVal_normal,CX_ENTITY,$F38,AW$15,$X$15,AW$13),_xldudf_CX_PUSH(AW38,CX_ENTITY,$F38,AW$15,$X$15,AW$13))),"")</f>
        <v/>
      </c>
      <c r="CT38" s="1883" t="str" cm="1">
        <f t="array" ca="1" aca="1" ref="CT38">IFERROR(IF($Z38="","",IF($J38=3,_xldudf_CX_PUSH(AX38*fxVal_normal,CX_ENTITY,$F38,AX$15,$X$15,AX$13),_xldudf_CX_PUSH(AX38,CX_ENTITY,$F38,AX$15,$X$15,AX$13))),"")</f>
        <v/>
      </c>
      <c r="CU38" s="1883" t="str" cm="1">
        <f t="array" ca="1" aca="1" ref="CU38">IFERROR(IF($Z38="","",IF($J38=3,_xldudf_CX_PUSH(AY38*fxVal_normal,CX_ENTITY,$F38,AY$15,$X$15,AY$13),_xldudf_CX_PUSH(AY38,CX_ENTITY,$F38,AY$15,$X$15,AY$13))),"")</f>
        <v/>
      </c>
      <c r="CV38" s="1883" t="str" cm="1">
        <f t="array" ca="1" aca="1" ref="CV38">IFERROR(IF($Z38="","",IF($J38=3,_xldudf_CX_PUSH(AZ38*fxVal_normal,CX_ENTITY,$F38,AZ$15,$X$15,AZ$13),_xldudf_CX_PUSH(AZ38,CX_ENTITY,$F38,AZ$15,$X$15,AZ$13))),"")</f>
        <v/>
      </c>
      <c r="CW38" s="1883" t="str" cm="1">
        <f t="array" ca="1" aca="1" ref="CW38">IFERROR(IF($Z38="","",IF($J38=3,_xldudf_CX_PUSH(BA38*fxVal_normal,CX_ENTITY,$F38,BA$15,$X$15,BA$13),_xldudf_CX_PUSH(BA38,CX_ENTITY,$F38,BA$15,$X$15,BA$13))),"")</f>
        <v/>
      </c>
      <c r="CX38" s="1883" t="str" cm="1">
        <f t="array" ca="1" aca="1" ref="CX38">IFERROR(IF($Z38="","",IF($J38=3,_xldudf_CX_PUSH(BB38*fxVal_normal,CX_ENTITY,$F38,BB$15,$X$15,BB$13),_xldudf_CX_PUSH(BB38,CX_ENTITY,$F38,BB$15,$X$15,BB$13))),"")</f>
        <v/>
      </c>
      <c r="CY38" s="1883" t="str" cm="1">
        <f t="array" ca="1" aca="1" ref="CY38">IFERROR(IF($Z38="","",IF($J38=3,_xldudf_CX_PUSH(BC38*fxVal_normal,CX_ENTITY,$F38,BC$15,$X$15,BC$13),_xldudf_CX_PUSH(BC38,CX_ENTITY,$F38,BC$15,$X$15,BC$13))),"")</f>
        <v/>
      </c>
      <c r="CZ38" s="1883" t="str" cm="1">
        <f t="array" ca="1" aca="1" ref="CZ38">IFERROR(IF($Z38="","",IF($J38=3,_xldudf_CX_PUSH(BD38*fxVal_normal,CX_ENTITY,$F38,BD$15,$X$15,BD$13),_xldudf_CX_PUSH(BD38,CX_ENTITY,$F38,BD$15,$X$15,BD$13))),"")</f>
        <v/>
      </c>
      <c r="DA38" s="1883" t="str" cm="1">
        <f t="array" ca="1" aca="1" ref="DA38">IFERROR(IF($Z38="","",IF($J38=3,_xldudf_CX_PUSH(BE38*fxVal_normal,CX_ENTITY,$F38,BE$15,$X$15,BE$13),_xldudf_CX_PUSH(BE38,CX_ENTITY,$F38,BE$15,$X$15,BE$13))),"")</f>
        <v/>
      </c>
      <c r="DB38" s="1883" t="str" cm="1">
        <f t="array" ca="1" aca="1" ref="DB38">IFERROR(IF($Z38="","",IF($J38=3,_xldudf_CX_PUSH(BF38*fxVal_normal,CX_ENTITY,$F38,BF$15,$X$15,BF$13),_xldudf_CX_PUSH(BF38,CX_ENTITY,$F38,BF$15,$X$15,BF$13))),"")</f>
        <v/>
      </c>
      <c r="DC38" s="1883" t="str" cm="1">
        <f t="array" ca="1" aca="1" ref="DC38">IFERROR(IF($Z38="","",IF($J38=3,_xldudf_CX_PUSH(BG38*fxVal_normal,CX_ENTITY,$F38,BG$15,$X$15,BG$13),_xldudf_CX_PUSH(BG38,CX_ENTITY,$F38,BG$15,$X$15,BG$13))),"")</f>
        <v/>
      </c>
      <c r="DD38" s="1883" t="str" cm="1">
        <f t="array" ca="1" aca="1" ref="DD38">IFERROR(IF($Z38="","",IF($J38=3,_xldudf_CX_PUSH(BH38*fxVal_normal,CX_ENTITY,$F38,BH$15,$X$15,BH$13),_xldudf_CX_PUSH(BH38,CX_ENTITY,$F38,BH$15,$X$15,BH$13))),"")</f>
        <v/>
      </c>
      <c r="DE38" s="1883" t="str" cm="1">
        <f t="array" ca="1" aca="1" ref="DE38">IFERROR(IF($Z38="","",IF($J38=3,_xldudf_CX_PUSH(BI38*fxVal_normal,CX_ENTITY,$F38,BI$15,$X$15,BI$13),_xldudf_CX_PUSH(BI38,CX_ENTITY,$F38,BI$15,$X$15,BI$13))),"")</f>
        <v/>
      </c>
      <c r="DF38" s="1883" t="str" cm="1">
        <f t="array" ca="1" aca="1" ref="DF38">IFERROR(IF($Z38="","",IF($J38=3,_xldudf_CX_PUSH(BJ38*fxVal_normal,CX_ENTITY,$F38,BJ$15,$X$15,BJ$13),_xldudf_CX_PUSH(BJ38,CX_ENTITY,$F38,BJ$15,$X$15,BJ$13))),"")</f>
        <v/>
      </c>
      <c r="DG38" s="1883" t="str" cm="1">
        <f t="array" ca="1" aca="1" ref="DG38">IFERROR(IF($Z38="","",IF($J38=3,_xldudf_CX_PUSH(BK38*fxVal_normal,CX_ENTITY,$F38,BK$15,$X$15,BK$13),_xldudf_CX_PUSH(BK38,CX_ENTITY,$F38,BK$15,$X$15,BK$13))),"")</f>
        <v/>
      </c>
      <c r="DH38" s="1883" t="str" cm="1">
        <f t="array" ca="1" aca="1" ref="DH38">IFERROR(IF($Z38="","",IF($J38=3,_xldudf_CX_PUSH(BL38*fxVal_normal,CX_ENTITY,$F38,BL$15,$X$15,BL$13),_xldudf_CX_PUSH(BL38,CX_ENTITY,$F38,BL$15,$X$15,BL$13))),"")</f>
        <v/>
      </c>
      <c r="DI38" s="1883" t="str" cm="1">
        <f t="array" ca="1" aca="1" ref="DI38">IFERROR(IF($Z38="","",IF($J38=3,_xldudf_CX_PUSH(BM38*fxVal_normal,CX_ENTITY,$F38,BM$15,$X$15,BM$13),_xldudf_CX_PUSH(BM38,CX_ENTITY,$F38,BM$15,$X$15,BM$13))),"")</f>
        <v/>
      </c>
      <c r="DJ38" s="1883" t="str" cm="1">
        <f t="array" ca="1" aca="1" ref="DJ38">IFERROR(IF($Z38="","",IF($J38=3,_xldudf_CX_PUSH(BN38*fxVal_normal,CX_ENTITY,$F38,BN$15,$X$15,BN$13),_xldudf_CX_PUSH(BN38,CX_ENTITY,$F38,BN$15,$X$15,BN$13))),"")</f>
        <v/>
      </c>
      <c r="DK38" s="1883" t="str" cm="1">
        <f t="array" ca="1" aca="1" ref="DK38">IFERROR(IF($Z38="","",IF($J38=3,_xldudf_CX_PUSH(BO38*fxVal_normal,CX_ENTITY,$F38,BO$15,$X$15,BO$13),_xldudf_CX_PUSH(BO38,CX_ENTITY,$F38,BO$15,$X$15,BO$13))),"")</f>
        <v/>
      </c>
      <c r="DL38" s="1883" t="str" cm="1">
        <f t="array" ca="1" aca="1" ref="DL38">IFERROR(IF($Z38="","",IF($J38=3,_xldudf_CX_PUSH(BP38*fxVal_normal,CX_ENTITY,$F38,BP$15,$X$15,BP$13),_xldudf_CX_PUSH(BP38,CX_ENTITY,$F38,BP$15,$X$15,BP$13))),"")</f>
        <v/>
      </c>
      <c r="DM38" s="1883" t="str" cm="1">
        <f t="array" ca="1" aca="1" ref="DM38">IFERROR(IF($Z38="","",IF($J38=3,_xldudf_CX_PUSH(BQ38*fxVal_normal,CX_ENTITY,$F38,BQ$15,$X$15,BQ$13),_xldudf_CX_PUSH(BQ38,CX_ENTITY,$F38,BQ$15,$X$15,BQ$13))),"")</f>
        <v/>
      </c>
      <c r="DN38" s="1883" t="str" cm="1">
        <f t="array" ca="1" aca="1" ref="DN38">IFERROR(IF($Z38="","",IF($J38=3,_xldudf_CX_PUSH(BR38*fxVal_normal,CX_ENTITY,$F38,BR$15,$X$15,BR$13),_xldudf_CX_PUSH(BR38,CX_ENTITY,$F38,BR$15,$X$15,BR$13))),"")</f>
        <v/>
      </c>
      <c r="DO38" s="1883" t="str" cm="1">
        <f t="array" ca="1" aca="1" ref="DO38">IFERROR(IF($Z38="","",IF($J38=3,_xldudf_CX_PUSH(BS38*fxVal_normal,CX_ENTITY,$F38,BS$15,$X$15,BS$13),_xldudf_CX_PUSH(BS38,CX_ENTITY,$F38,BS$15,$X$15,BS$13))),"")</f>
        <v/>
      </c>
    </row>
    <row r="39" spans="1:119" ht="33" customHeight="1">
      <c r="A39" s="32"/>
      <c r="B39" s="580" t="s">
        <v>352</v>
      </c>
      <c r="C39" s="1885" t="s">
        <v>353</v>
      </c>
      <c r="D39" s="1885" t="s">
        <v>354</v>
      </c>
      <c r="E39" s="1885" t="s">
        <v>355</v>
      </c>
      <c r="F39" s="1885" t="s">
        <v>356</v>
      </c>
      <c r="G39" s="574" t="s">
        <v>357</v>
      </c>
      <c r="H39" s="574" t="s">
        <v>358</v>
      </c>
      <c r="I39" s="3280">
        <v>1</v>
      </c>
      <c r="J39" s="401">
        <f t="shared" si="1"/>
        <v>0</v>
      </c>
      <c r="K39" s="401"/>
      <c r="O39" s="158"/>
      <c r="P39" s="2"/>
      <c r="Q39" s="52"/>
      <c r="R39" s="2"/>
      <c r="S39" s="539"/>
      <c r="T39" s="2"/>
      <c r="U39" s="2"/>
      <c r="V39" s="39"/>
      <c r="X39" s="3239">
        <v>1</v>
      </c>
      <c r="Y39" s="708"/>
      <c r="Z39" s="3247">
        <v>2</v>
      </c>
      <c r="AA39" s="198">
        <v>-1</v>
      </c>
      <c r="AB39" s="198"/>
      <c r="AC39" s="3241">
        <v>2</v>
      </c>
      <c r="AD39" s="3242">
        <v>2</v>
      </c>
      <c r="AE39" s="3241">
        <v>2</v>
      </c>
      <c r="AF39" s="3241">
        <v>2</v>
      </c>
      <c r="AG39" s="1568"/>
      <c r="AH39" s="1830"/>
      <c r="AI39" s="3243">
        <v>1</v>
      </c>
      <c r="AJ39" s="3243">
        <v>1</v>
      </c>
      <c r="AK39" s="3243">
        <v>1</v>
      </c>
      <c r="AL39" s="3243">
        <v>1</v>
      </c>
      <c r="AM39" s="3243">
        <v>1</v>
      </c>
      <c r="AN39" s="3243">
        <v>1</v>
      </c>
      <c r="AO39" s="3243">
        <v>1</v>
      </c>
      <c r="AP39" s="3243">
        <v>1</v>
      </c>
      <c r="AQ39" s="3243">
        <v>1</v>
      </c>
      <c r="AR39" s="3243">
        <v>1</v>
      </c>
      <c r="AS39" s="3243">
        <v>1</v>
      </c>
      <c r="AT39" s="3243">
        <v>1</v>
      </c>
      <c r="AU39" s="3243">
        <v>1</v>
      </c>
      <c r="AV39" s="3243">
        <v>1</v>
      </c>
      <c r="AW39" s="3243">
        <v>1</v>
      </c>
      <c r="AX39" s="3243">
        <v>1</v>
      </c>
      <c r="AY39" s="3243">
        <v>1</v>
      </c>
      <c r="AZ39" s="3243">
        <v>1</v>
      </c>
      <c r="BA39" s="3243">
        <v>1</v>
      </c>
      <c r="BB39" s="3243">
        <v>1</v>
      </c>
      <c r="BC39" s="3243">
        <v>1</v>
      </c>
      <c r="BD39" s="3243">
        <v>1</v>
      </c>
      <c r="BE39" s="3243">
        <v>1</v>
      </c>
      <c r="BF39" s="3243">
        <v>1</v>
      </c>
      <c r="BG39" s="3243">
        <v>1</v>
      </c>
      <c r="BH39" s="3243">
        <v>1</v>
      </c>
      <c r="BI39" s="3243">
        <v>1</v>
      </c>
      <c r="BJ39" s="3243">
        <v>1</v>
      </c>
      <c r="BK39" s="3243">
        <v>1</v>
      </c>
      <c r="BL39" s="3243">
        <v>1</v>
      </c>
      <c r="BM39" s="3243">
        <v>1</v>
      </c>
      <c r="BN39" s="3243">
        <v>1</v>
      </c>
      <c r="BO39" s="3243">
        <v>1</v>
      </c>
      <c r="BP39" s="3243">
        <v>1</v>
      </c>
      <c r="BQ39" s="3243">
        <v>1</v>
      </c>
      <c r="BR39" s="3243">
        <v>1</v>
      </c>
      <c r="BS39" s="3243">
        <v>1</v>
      </c>
      <c r="BU39" s="2276" t="str" cm="1">
        <f t="array" ca="1" aca="1" ref="BU39">IFERROR(IF(Z39="","",_xldudf_CX_PUSH($Z39,CX_ENTITY,$B39,val_asOfDate,,,)),"")</f>
        <v/>
      </c>
      <c r="BV39" s="2276" t="str" cm="1">
        <f t="array" ca="1" aca="1" ref="BV39">IFERROR(IF(AC39="","",_xldudf_CX_PUSH($AC39,CX_ENTITY,$D39,val_asOfDate,,,)),"")</f>
        <v/>
      </c>
      <c r="BW39" s="2276" t="str" cm="1">
        <f t="array" ca="1" aca="1" ref="BW39">IFERROR(IF(Z39="","",_xldudf_CX_PUSH($Z39,CX_ENTITY,$B39,EOMONTH(val_asOfDate,1),,,)),"")</f>
        <v/>
      </c>
      <c r="BX39" s="2276" t="str" cm="1">
        <f t="array" ca="1" aca="1" ref="BX39">IFERROR(IF(AC39="","",_xldudf_CX_PUSH($AC39,CX_ENTITY,$D39,EOMONTH(val_asOfDate,1),,)),"")</f>
        <v/>
      </c>
      <c r="BY39" s="2276" t="str" cm="1">
        <f t="array" ca="1" aca="1" ref="BY39">IFERROR(IF(AD39="","",_xldudf_CX_PUSH($AD39,CX_ENTITY,$E39,val_asOfDate,,,)),"")</f>
        <v/>
      </c>
      <c r="BZ39" s="2276" t="str" cm="1">
        <f t="array" ca="1" aca="1" ref="BZ39">IFERROR(IF(AD39="","",_xldudf_CX_PUSH($AD39,CX_ENTITY,$E39,EOMONTH(val_asOfDate,1),,)),"")</f>
        <v/>
      </c>
      <c r="CA39" s="1879" t="str" cm="1">
        <f t="array" ca="1" aca="1" ref="CA39">IFERROR(IF(AE39="","",_xldudf_CX_PUSH($AE39,CX_ENTITY,$G39,val_asOfDate,,,)),"")</f>
        <v/>
      </c>
      <c r="CB39" s="1879" t="str" cm="1">
        <f t="array" ca="1" aca="1" ref="CB39">IFERROR(IF(AE39="","",_xldudf_CX_PUSH($AE39,CX_ENTITY,$G39,EOMONTH(val_asOfDate,1),,,)),"")</f>
        <v/>
      </c>
      <c r="CC39" s="1879" t="str" cm="1">
        <f t="array" ca="1" aca="1" ref="CC39">IFERROR(IF(AF39="","",_xldudf_CX_PUSH($AF39,CX_ENTITY,$H39,val_asOfDate,,,)),"")</f>
        <v/>
      </c>
      <c r="CD39" s="1879" t="str" cm="1">
        <f t="array" ca="1" aca="1" ref="CD39">IFERROR(IF(AF39="","",_xldudf_CX_PUSH($AF39,CX_ENTITY,$H39,EOMONTH(val_asOfDate,1),,,)),"")</f>
        <v/>
      </c>
      <c r="CE39" s="1883" t="str" cm="1">
        <f t="array" ca="1" aca="1" ref="CE39">IFERROR(IF($Z39="","",IF($J39=3,_xldudf_CX_PUSH(AI39*fxVal_normal,CX_ENTITY,$F39,AI$15,$X$15,AI$13),_xldudf_CX_PUSH(AI39,CX_ENTITY,$F39,AI$15,$X$15,AI$13))),"")</f>
        <v/>
      </c>
      <c r="CF39" s="1883" t="str" cm="1">
        <f t="array" ca="1" aca="1" ref="CF39">IFERROR(IF($Z39="","",IF($J39=3,_xldudf_CX_PUSH(AJ39*fxVal_normal,CX_ENTITY,$F39,AJ$15,$X$15,AJ$13),_xldudf_CX_PUSH(AJ39,CX_ENTITY,$F39,AJ$15,$X$15,AJ$13))),"")</f>
        <v/>
      </c>
      <c r="CG39" s="1883" t="str" cm="1">
        <f t="array" ca="1" aca="1" ref="CG39">IFERROR(IF($Z39="","",IF($J39=3,_xldudf_CX_PUSH(AK39*fxVal_normal,CX_ENTITY,$F39,AK$15,$X$15,AK$13),_xldudf_CX_PUSH(AK39,CX_ENTITY,$F39,AK$15,$X$15,AK$13))),"")</f>
        <v/>
      </c>
      <c r="CH39" s="1883" t="str" cm="1">
        <f t="array" ca="1" aca="1" ref="CH39">IFERROR(IF($Z39="","",IF($J39=3,_xldudf_CX_PUSH(AL39*fxVal_normal,CX_ENTITY,$F39,AL$15,$X$15,AL$13),_xldudf_CX_PUSH(AL39,CX_ENTITY,$F39,AL$15,$X$15,AL$13))),"")</f>
        <v/>
      </c>
      <c r="CI39" s="1883" t="str" cm="1">
        <f t="array" ca="1" aca="1" ref="CI39">IFERROR(IF($Z39="","",IF($J39=3,_xldudf_CX_PUSH(AM39*fxVal_normal,CX_ENTITY,$F39,AM$15,$X$15,AM$13),_xldudf_CX_PUSH(AM39,CX_ENTITY,$F39,AM$15,$X$15,AM$13))),"")</f>
        <v/>
      </c>
      <c r="CJ39" s="1883" t="str" cm="1">
        <f t="array" ca="1" aca="1" ref="CJ39">IFERROR(IF($Z39="","",IF($J39=3,_xldudf_CX_PUSH(AN39*fxVal_normal,CX_ENTITY,$F39,AN$15,$X$15,AN$13),_xldudf_CX_PUSH(AN39,CX_ENTITY,$F39,AN$15,$X$15,AN$13))),"")</f>
        <v/>
      </c>
      <c r="CK39" s="1883" t="str" cm="1">
        <f t="array" ca="1" aca="1" ref="CK39">IFERROR(IF($Z39="","",IF($J39=3,_xldudf_CX_PUSH(AO39*fxVal_normal,CX_ENTITY,$F39,AO$15,$X$15,AO$13),_xldudf_CX_PUSH(AO39,CX_ENTITY,$F39,AO$15,$X$15,AO$13))),"")</f>
        <v/>
      </c>
      <c r="CL39" s="1883" t="str" cm="1">
        <f t="array" ca="1" aca="1" ref="CL39">IFERROR(IF($Z39="","",IF($J39=3,_xldudf_CX_PUSH(AP39*fxVal_normal,CX_ENTITY,$F39,AP$15,$X$15,AP$13),_xldudf_CX_PUSH(AP39,CX_ENTITY,$F39,AP$15,$X$15,AP$13))),"")</f>
        <v/>
      </c>
      <c r="CM39" s="1883" t="str" cm="1">
        <f t="array" ca="1" aca="1" ref="CM39">IFERROR(IF($Z39="","",IF($J39=3,_xldudf_CX_PUSH(AQ39*fxVal_normal,CX_ENTITY,$F39,AQ$15,$X$15,AQ$13),_xldudf_CX_PUSH(AQ39,CX_ENTITY,$F39,AQ$15,$X$15,AQ$13))),"")</f>
        <v/>
      </c>
      <c r="CN39" s="1883" t="str" cm="1">
        <f t="array" ca="1" aca="1" ref="CN39">IFERROR(IF($Z39="","",IF($J39=3,_xldudf_CX_PUSH(AR39*fxVal_normal,CX_ENTITY,$F39,AR$15,$X$15,AR$13),_xldudf_CX_PUSH(AR39,CX_ENTITY,$F39,AR$15,$X$15,AR$13))),"")</f>
        <v/>
      </c>
      <c r="CO39" s="1883" t="str" cm="1">
        <f t="array" ca="1" aca="1" ref="CO39">IFERROR(IF($Z39="","",IF($J39=3,_xldudf_CX_PUSH(AS39*fxVal_normal,CX_ENTITY,$F39,AS$15,$X$15,AS$13),_xldudf_CX_PUSH(AS39,CX_ENTITY,$F39,AS$15,$X$15,AS$13))),"")</f>
        <v/>
      </c>
      <c r="CP39" s="1883" t="str" cm="1">
        <f t="array" ca="1" aca="1" ref="CP39">IFERROR(IF($Z39="","",IF($J39=3,_xldudf_CX_PUSH(AT39*fxVal_normal,CX_ENTITY,$F39,AT$15,$X$15,AT$13),_xldudf_CX_PUSH(AT39,CX_ENTITY,$F39,AT$15,$X$15,AT$13))),"")</f>
        <v/>
      </c>
      <c r="CQ39" s="1883" t="str" cm="1">
        <f t="array" ca="1" aca="1" ref="CQ39">IFERROR(IF($Z39="","",IF($J39=3,_xldudf_CX_PUSH(AU39*fxVal_normal,CX_ENTITY,$F39,AU$15,$X$15,AU$13),_xldudf_CX_PUSH(AU39,CX_ENTITY,$F39,AU$15,$X$15,AU$13))),"")</f>
        <v/>
      </c>
      <c r="CR39" s="1883" t="str" cm="1">
        <f t="array" ca="1" aca="1" ref="CR39">IFERROR(IF($Z39="","",IF($J39=3,_xldudf_CX_PUSH(AV39*fxVal_normal,CX_ENTITY,$F39,AV$15,$X$15,AV$13),_xldudf_CX_PUSH(AV39,CX_ENTITY,$F39,AV$15,$X$15,AV$13))),"")</f>
        <v/>
      </c>
      <c r="CS39" s="1883" t="str" cm="1">
        <f t="array" ca="1" aca="1" ref="CS39">IFERROR(IF($Z39="","",IF($J39=3,_xldudf_CX_PUSH(AW39*fxVal_normal,CX_ENTITY,$F39,AW$15,$X$15,AW$13),_xldudf_CX_PUSH(AW39,CX_ENTITY,$F39,AW$15,$X$15,AW$13))),"")</f>
        <v/>
      </c>
      <c r="CT39" s="1883" t="str" cm="1">
        <f t="array" ca="1" aca="1" ref="CT39">IFERROR(IF($Z39="","",IF($J39=3,_xldudf_CX_PUSH(AX39*fxVal_normal,CX_ENTITY,$F39,AX$15,$X$15,AX$13),_xldudf_CX_PUSH(AX39,CX_ENTITY,$F39,AX$15,$X$15,AX$13))),"")</f>
        <v/>
      </c>
      <c r="CU39" s="1883" t="str" cm="1">
        <f t="array" ca="1" aca="1" ref="CU39">IFERROR(IF($Z39="","",IF($J39=3,_xldudf_CX_PUSH(AY39*fxVal_normal,CX_ENTITY,$F39,AY$15,$X$15,AY$13),_xldudf_CX_PUSH(AY39,CX_ENTITY,$F39,AY$15,$X$15,AY$13))),"")</f>
        <v/>
      </c>
      <c r="CV39" s="1883" t="str" cm="1">
        <f t="array" ca="1" aca="1" ref="CV39">IFERROR(IF($Z39="","",IF($J39=3,_xldudf_CX_PUSH(AZ39*fxVal_normal,CX_ENTITY,$F39,AZ$15,$X$15,AZ$13),_xldudf_CX_PUSH(AZ39,CX_ENTITY,$F39,AZ$15,$X$15,AZ$13))),"")</f>
        <v/>
      </c>
      <c r="CW39" s="1883" t="str" cm="1">
        <f t="array" ca="1" aca="1" ref="CW39">IFERROR(IF($Z39="","",IF($J39=3,_xldudf_CX_PUSH(BA39*fxVal_normal,CX_ENTITY,$F39,BA$15,$X$15,BA$13),_xldudf_CX_PUSH(BA39,CX_ENTITY,$F39,BA$15,$X$15,BA$13))),"")</f>
        <v/>
      </c>
      <c r="CX39" s="1883" t="str" cm="1">
        <f t="array" ca="1" aca="1" ref="CX39">IFERROR(IF($Z39="","",IF($J39=3,_xldudf_CX_PUSH(BB39*fxVal_normal,CX_ENTITY,$F39,BB$15,$X$15,BB$13),_xldudf_CX_PUSH(BB39,CX_ENTITY,$F39,BB$15,$X$15,BB$13))),"")</f>
        <v/>
      </c>
      <c r="CY39" s="1883" t="str" cm="1">
        <f t="array" ca="1" aca="1" ref="CY39">IFERROR(IF($Z39="","",IF($J39=3,_xldudf_CX_PUSH(BC39*fxVal_normal,CX_ENTITY,$F39,BC$15,$X$15,BC$13),_xldudf_CX_PUSH(BC39,CX_ENTITY,$F39,BC$15,$X$15,BC$13))),"")</f>
        <v/>
      </c>
      <c r="CZ39" s="1883" t="str" cm="1">
        <f t="array" ca="1" aca="1" ref="CZ39">IFERROR(IF($Z39="","",IF($J39=3,_xldudf_CX_PUSH(BD39*fxVal_normal,CX_ENTITY,$F39,BD$15,$X$15,BD$13),_xldudf_CX_PUSH(BD39,CX_ENTITY,$F39,BD$15,$X$15,BD$13))),"")</f>
        <v/>
      </c>
      <c r="DA39" s="1883" t="str" cm="1">
        <f t="array" ca="1" aca="1" ref="DA39">IFERROR(IF($Z39="","",IF($J39=3,_xldudf_CX_PUSH(BE39*fxVal_normal,CX_ENTITY,$F39,BE$15,$X$15,BE$13),_xldudf_CX_PUSH(BE39,CX_ENTITY,$F39,BE$15,$X$15,BE$13))),"")</f>
        <v/>
      </c>
      <c r="DB39" s="1883" t="str" cm="1">
        <f t="array" ca="1" aca="1" ref="DB39">IFERROR(IF($Z39="","",IF($J39=3,_xldudf_CX_PUSH(BF39*fxVal_normal,CX_ENTITY,$F39,BF$15,$X$15,BF$13),_xldudf_CX_PUSH(BF39,CX_ENTITY,$F39,BF$15,$X$15,BF$13))),"")</f>
        <v/>
      </c>
      <c r="DC39" s="1883" t="str" cm="1">
        <f t="array" ca="1" aca="1" ref="DC39">IFERROR(IF($Z39="","",IF($J39=3,_xldudf_CX_PUSH(BG39*fxVal_normal,CX_ENTITY,$F39,BG$15,$X$15,BG$13),_xldudf_CX_PUSH(BG39,CX_ENTITY,$F39,BG$15,$X$15,BG$13))),"")</f>
        <v/>
      </c>
      <c r="DD39" s="1883" t="str" cm="1">
        <f t="array" ca="1" aca="1" ref="DD39">IFERROR(IF($Z39="","",IF($J39=3,_xldudf_CX_PUSH(BH39*fxVal_normal,CX_ENTITY,$F39,BH$15,$X$15,BH$13),_xldudf_CX_PUSH(BH39,CX_ENTITY,$F39,BH$15,$X$15,BH$13))),"")</f>
        <v/>
      </c>
      <c r="DE39" s="1883" t="str" cm="1">
        <f t="array" ca="1" aca="1" ref="DE39">IFERROR(IF($Z39="","",IF($J39=3,_xldudf_CX_PUSH(BI39*fxVal_normal,CX_ENTITY,$F39,BI$15,$X$15,BI$13),_xldudf_CX_PUSH(BI39,CX_ENTITY,$F39,BI$15,$X$15,BI$13))),"")</f>
        <v/>
      </c>
      <c r="DF39" s="1883" t="str" cm="1">
        <f t="array" ca="1" aca="1" ref="DF39">IFERROR(IF($Z39="","",IF($J39=3,_xldudf_CX_PUSH(BJ39*fxVal_normal,CX_ENTITY,$F39,BJ$15,$X$15,BJ$13),_xldudf_CX_PUSH(BJ39,CX_ENTITY,$F39,BJ$15,$X$15,BJ$13))),"")</f>
        <v/>
      </c>
      <c r="DG39" s="1883" t="str" cm="1">
        <f t="array" ca="1" aca="1" ref="DG39">IFERROR(IF($Z39="","",IF($J39=3,_xldudf_CX_PUSH(BK39*fxVal_normal,CX_ENTITY,$F39,BK$15,$X$15,BK$13),_xldudf_CX_PUSH(BK39,CX_ENTITY,$F39,BK$15,$X$15,BK$13))),"")</f>
        <v/>
      </c>
      <c r="DH39" s="1883" t="str" cm="1">
        <f t="array" ca="1" aca="1" ref="DH39">IFERROR(IF($Z39="","",IF($J39=3,_xldudf_CX_PUSH(BL39*fxVal_normal,CX_ENTITY,$F39,BL$15,$X$15,BL$13),_xldudf_CX_PUSH(BL39,CX_ENTITY,$F39,BL$15,$X$15,BL$13))),"")</f>
        <v/>
      </c>
      <c r="DI39" s="1883" t="str" cm="1">
        <f t="array" ca="1" aca="1" ref="DI39">IFERROR(IF($Z39="","",IF($J39=3,_xldudf_CX_PUSH(BM39*fxVal_normal,CX_ENTITY,$F39,BM$15,$X$15,BM$13),_xldudf_CX_PUSH(BM39,CX_ENTITY,$F39,BM$15,$X$15,BM$13))),"")</f>
        <v/>
      </c>
      <c r="DJ39" s="1883" t="str" cm="1">
        <f t="array" ca="1" aca="1" ref="DJ39">IFERROR(IF($Z39="","",IF($J39=3,_xldudf_CX_PUSH(BN39*fxVal_normal,CX_ENTITY,$F39,BN$15,$X$15,BN$13),_xldudf_CX_PUSH(BN39,CX_ENTITY,$F39,BN$15,$X$15,BN$13))),"")</f>
        <v/>
      </c>
      <c r="DK39" s="1883" t="str" cm="1">
        <f t="array" ca="1" aca="1" ref="DK39">IFERROR(IF($Z39="","",IF($J39=3,_xldudf_CX_PUSH(BO39*fxVal_normal,CX_ENTITY,$F39,BO$15,$X$15,BO$13),_xldudf_CX_PUSH(BO39,CX_ENTITY,$F39,BO$15,$X$15,BO$13))),"")</f>
        <v/>
      </c>
      <c r="DL39" s="1883" t="str" cm="1">
        <f t="array" ca="1" aca="1" ref="DL39">IFERROR(IF($Z39="","",IF($J39=3,_xldudf_CX_PUSH(BP39*fxVal_normal,CX_ENTITY,$F39,BP$15,$X$15,BP$13),_xldudf_CX_PUSH(BP39,CX_ENTITY,$F39,BP$15,$X$15,BP$13))),"")</f>
        <v/>
      </c>
      <c r="DM39" s="1883" t="str" cm="1">
        <f t="array" ca="1" aca="1" ref="DM39">IFERROR(IF($Z39="","",IF($J39=3,_xldudf_CX_PUSH(BQ39*fxVal_normal,CX_ENTITY,$F39,BQ$15,$X$15,BQ$13),_xldudf_CX_PUSH(BQ39,CX_ENTITY,$F39,BQ$15,$X$15,BQ$13))),"")</f>
        <v/>
      </c>
      <c r="DN39" s="1883" t="str" cm="1">
        <f t="array" ca="1" aca="1" ref="DN39">IFERROR(IF($Z39="","",IF($J39=3,_xldudf_CX_PUSH(BR39*fxVal_normal,CX_ENTITY,$F39,BR$15,$X$15,BR$13),_xldudf_CX_PUSH(BR39,CX_ENTITY,$F39,BR$15,$X$15,BR$13))),"")</f>
        <v/>
      </c>
      <c r="DO39" s="1883" t="str" cm="1">
        <f t="array" ca="1" aca="1" ref="DO39">IFERROR(IF($Z39="","",IF($J39=3,_xldudf_CX_PUSH(BS39*fxVal_normal,CX_ENTITY,$F39,BS$15,$X$15,BS$13),_xldudf_CX_PUSH(BS39,CX_ENTITY,$F39,BS$15,$X$15,BS$13))),"")</f>
        <v/>
      </c>
    </row>
    <row r="40" spans="1:119" ht="33" customHeight="1">
      <c r="A40" s="32"/>
      <c r="B40" s="580" t="s">
        <v>359</v>
      </c>
      <c r="C40" s="1885" t="s">
        <v>360</v>
      </c>
      <c r="D40" s="1885" t="s">
        <v>361</v>
      </c>
      <c r="E40" s="1885" t="s">
        <v>362</v>
      </c>
      <c r="F40" s="1885" t="s">
        <v>363</v>
      </c>
      <c r="G40" s="574" t="s">
        <v>364</v>
      </c>
      <c r="H40" s="574" t="s">
        <v>365</v>
      </c>
      <c r="I40" s="401">
        <v>0</v>
      </c>
      <c r="J40" s="401">
        <f t="shared" si="1"/>
        <v>0</v>
      </c>
      <c r="K40" s="401"/>
      <c r="O40" s="158"/>
      <c r="P40" s="2"/>
      <c r="Q40" s="52"/>
      <c r="R40" s="2"/>
      <c r="S40" s="539"/>
      <c r="T40" s="2"/>
      <c r="U40" s="2"/>
      <c r="V40" s="39"/>
      <c r="X40" s="3239">
        <v>1</v>
      </c>
      <c r="Y40" s="708"/>
      <c r="Z40" s="3247">
        <v>2</v>
      </c>
      <c r="AA40" s="198">
        <v>-1</v>
      </c>
      <c r="AB40" s="198"/>
      <c r="AC40" s="3241">
        <v>2</v>
      </c>
      <c r="AD40" s="3242">
        <v>2</v>
      </c>
      <c r="AE40" s="3241">
        <v>2</v>
      </c>
      <c r="AF40" s="3241">
        <v>2</v>
      </c>
      <c r="AG40" s="1568"/>
      <c r="AH40" s="1830"/>
      <c r="AI40" s="3243">
        <v>1</v>
      </c>
      <c r="AJ40" s="3243">
        <v>1</v>
      </c>
      <c r="AK40" s="3243">
        <v>1</v>
      </c>
      <c r="AL40" s="3243">
        <v>1</v>
      </c>
      <c r="AM40" s="3243">
        <v>1</v>
      </c>
      <c r="AN40" s="3243">
        <v>1</v>
      </c>
      <c r="AO40" s="3243">
        <v>1</v>
      </c>
      <c r="AP40" s="3243">
        <v>1</v>
      </c>
      <c r="AQ40" s="3243">
        <v>1</v>
      </c>
      <c r="AR40" s="3243">
        <v>1</v>
      </c>
      <c r="AS40" s="3243">
        <v>1</v>
      </c>
      <c r="AT40" s="3243">
        <v>1</v>
      </c>
      <c r="AU40" s="3243">
        <v>1</v>
      </c>
      <c r="AV40" s="3243">
        <v>1</v>
      </c>
      <c r="AW40" s="3243">
        <v>1</v>
      </c>
      <c r="AX40" s="3243">
        <v>1</v>
      </c>
      <c r="AY40" s="3243">
        <v>1</v>
      </c>
      <c r="AZ40" s="3243">
        <v>1</v>
      </c>
      <c r="BA40" s="3243">
        <v>1</v>
      </c>
      <c r="BB40" s="3243">
        <v>1</v>
      </c>
      <c r="BC40" s="3243">
        <v>1</v>
      </c>
      <c r="BD40" s="3243">
        <v>1</v>
      </c>
      <c r="BE40" s="3243">
        <v>1</v>
      </c>
      <c r="BF40" s="3243">
        <v>1</v>
      </c>
      <c r="BG40" s="3243">
        <v>1</v>
      </c>
      <c r="BH40" s="3243">
        <v>1</v>
      </c>
      <c r="BI40" s="3243">
        <v>1</v>
      </c>
      <c r="BJ40" s="3243">
        <v>1</v>
      </c>
      <c r="BK40" s="3243">
        <v>1</v>
      </c>
      <c r="BL40" s="3243">
        <v>1</v>
      </c>
      <c r="BM40" s="3243">
        <v>1</v>
      </c>
      <c r="BN40" s="3243">
        <v>1</v>
      </c>
      <c r="BO40" s="3243">
        <v>1</v>
      </c>
      <c r="BP40" s="3243">
        <v>1</v>
      </c>
      <c r="BQ40" s="3243">
        <v>1</v>
      </c>
      <c r="BR40" s="3243">
        <v>1</v>
      </c>
      <c r="BS40" s="3243">
        <v>1</v>
      </c>
      <c r="BU40" s="2276" t="str" cm="1">
        <f t="array" ca="1" aca="1" ref="BU40">IFERROR(IF(Z40="","",_xldudf_CX_PUSH($Z40,CX_ENTITY,$B40,val_asOfDate,,,)),"")</f>
        <v/>
      </c>
      <c r="BV40" s="2276" t="str" cm="1">
        <f t="array" ca="1" aca="1" ref="BV40">IFERROR(IF(AC40="","",_xldudf_CX_PUSH($AC40,CX_ENTITY,$D40,val_asOfDate,,,)),"")</f>
        <v/>
      </c>
      <c r="BW40" s="2276" t="str" cm="1">
        <f t="array" ca="1" aca="1" ref="BW40">IFERROR(IF(Z40="","",_xldudf_CX_PUSH($Z40,CX_ENTITY,$B40,EOMONTH(val_asOfDate,1),,,)),"")</f>
        <v/>
      </c>
      <c r="BX40" s="2276" t="str" cm="1">
        <f t="array" ca="1" aca="1" ref="BX40">IFERROR(IF(AC40="","",_xldudf_CX_PUSH($AC40,CX_ENTITY,$D40,EOMONTH(val_asOfDate,1),,)),"")</f>
        <v/>
      </c>
      <c r="BY40" s="2276" t="str" cm="1">
        <f t="array" ca="1" aca="1" ref="BY40">IFERROR(IF(AD40="","",_xldudf_CX_PUSH($AD40,CX_ENTITY,$E40,val_asOfDate,,,)),"")</f>
        <v/>
      </c>
      <c r="BZ40" s="2276" t="str" cm="1">
        <f t="array" ca="1" aca="1" ref="BZ40">IFERROR(IF(AD40="","",_xldudf_CX_PUSH($AD40,CX_ENTITY,$E40,EOMONTH(val_asOfDate,1),,)),"")</f>
        <v/>
      </c>
      <c r="CA40" s="1879" t="str" cm="1">
        <f t="array" ca="1" aca="1" ref="CA40">IFERROR(IF(AE40="","",_xldudf_CX_PUSH($AE40,CX_ENTITY,$G40,val_asOfDate,,,)),"")</f>
        <v/>
      </c>
      <c r="CB40" s="1879" t="str" cm="1">
        <f t="array" ca="1" aca="1" ref="CB40">IFERROR(IF(AE40="","",_xldudf_CX_PUSH($AE40,CX_ENTITY,$G40,EOMONTH(val_asOfDate,1),,,)),"")</f>
        <v/>
      </c>
      <c r="CC40" s="1879" t="str" cm="1">
        <f t="array" ca="1" aca="1" ref="CC40">IFERROR(IF(AF40="","",_xldudf_CX_PUSH($AF40,CX_ENTITY,$H40,val_asOfDate,,,)),"")</f>
        <v/>
      </c>
      <c r="CD40" s="1879" t="str" cm="1">
        <f t="array" ca="1" aca="1" ref="CD40">IFERROR(IF(AF40="","",_xldudf_CX_PUSH($AF40,CX_ENTITY,$H40,EOMONTH(val_asOfDate,1),,,)),"")</f>
        <v/>
      </c>
      <c r="CE40" s="1883" t="str" cm="1">
        <f t="array" ca="1" aca="1" ref="CE40">IFERROR(IF($Z40="","",IF($J40=3,_xldudf_CX_PUSH(AI40*fxVal_normal,CX_ENTITY,$F40,AI$15,$X$15,AI$13),_xldudf_CX_PUSH(AI40,CX_ENTITY,$F40,AI$15,$X$15,AI$13))),"")</f>
        <v/>
      </c>
      <c r="CF40" s="1883" t="str" cm="1">
        <f t="array" ca="1" aca="1" ref="CF40">IFERROR(IF($Z40="","",IF($J40=3,_xldudf_CX_PUSH(AJ40*fxVal_normal,CX_ENTITY,$F40,AJ$15,$X$15,AJ$13),_xldudf_CX_PUSH(AJ40,CX_ENTITY,$F40,AJ$15,$X$15,AJ$13))),"")</f>
        <v/>
      </c>
      <c r="CG40" s="1883" t="str" cm="1">
        <f t="array" ca="1" aca="1" ref="CG40">IFERROR(IF($Z40="","",IF($J40=3,_xldudf_CX_PUSH(AK40*fxVal_normal,CX_ENTITY,$F40,AK$15,$X$15,AK$13),_xldudf_CX_PUSH(AK40,CX_ENTITY,$F40,AK$15,$X$15,AK$13))),"")</f>
        <v/>
      </c>
      <c r="CH40" s="1883" t="str" cm="1">
        <f t="array" ca="1" aca="1" ref="CH40">IFERROR(IF($Z40="","",IF($J40=3,_xldudf_CX_PUSH(AL40*fxVal_normal,CX_ENTITY,$F40,AL$15,$X$15,AL$13),_xldudf_CX_PUSH(AL40,CX_ENTITY,$F40,AL$15,$X$15,AL$13))),"")</f>
        <v/>
      </c>
      <c r="CI40" s="1883" t="str" cm="1">
        <f t="array" ca="1" aca="1" ref="CI40">IFERROR(IF($Z40="","",IF($J40=3,_xldudf_CX_PUSH(AM40*fxVal_normal,CX_ENTITY,$F40,AM$15,$X$15,AM$13),_xldudf_CX_PUSH(AM40,CX_ENTITY,$F40,AM$15,$X$15,AM$13))),"")</f>
        <v/>
      </c>
      <c r="CJ40" s="1883" t="str" cm="1">
        <f t="array" ca="1" aca="1" ref="CJ40">IFERROR(IF($Z40="","",IF($J40=3,_xldudf_CX_PUSH(AN40*fxVal_normal,CX_ENTITY,$F40,AN$15,$X$15,AN$13),_xldudf_CX_PUSH(AN40,CX_ENTITY,$F40,AN$15,$X$15,AN$13))),"")</f>
        <v/>
      </c>
      <c r="CK40" s="1883" t="str" cm="1">
        <f t="array" ca="1" aca="1" ref="CK40">IFERROR(IF($Z40="","",IF($J40=3,_xldudf_CX_PUSH(AO40*fxVal_normal,CX_ENTITY,$F40,AO$15,$X$15,AO$13),_xldudf_CX_PUSH(AO40,CX_ENTITY,$F40,AO$15,$X$15,AO$13))),"")</f>
        <v/>
      </c>
      <c r="CL40" s="1883" t="str" cm="1">
        <f t="array" ca="1" aca="1" ref="CL40">IFERROR(IF($Z40="","",IF($J40=3,_xldudf_CX_PUSH(AP40*fxVal_normal,CX_ENTITY,$F40,AP$15,$X$15,AP$13),_xldudf_CX_PUSH(AP40,CX_ENTITY,$F40,AP$15,$X$15,AP$13))),"")</f>
        <v/>
      </c>
      <c r="CM40" s="1883" t="str" cm="1">
        <f t="array" ca="1" aca="1" ref="CM40">IFERROR(IF($Z40="","",IF($J40=3,_xldudf_CX_PUSH(AQ40*fxVal_normal,CX_ENTITY,$F40,AQ$15,$X$15,AQ$13),_xldudf_CX_PUSH(AQ40,CX_ENTITY,$F40,AQ$15,$X$15,AQ$13))),"")</f>
        <v/>
      </c>
      <c r="CN40" s="1883" t="str" cm="1">
        <f t="array" ca="1" aca="1" ref="CN40">IFERROR(IF($Z40="","",IF($J40=3,_xldudf_CX_PUSH(AR40*fxVal_normal,CX_ENTITY,$F40,AR$15,$X$15,AR$13),_xldudf_CX_PUSH(AR40,CX_ENTITY,$F40,AR$15,$X$15,AR$13))),"")</f>
        <v/>
      </c>
      <c r="CO40" s="1883" t="str" cm="1">
        <f t="array" ca="1" aca="1" ref="CO40">IFERROR(IF($Z40="","",IF($J40=3,_xldudf_CX_PUSH(AS40*fxVal_normal,CX_ENTITY,$F40,AS$15,$X$15,AS$13),_xldudf_CX_PUSH(AS40,CX_ENTITY,$F40,AS$15,$X$15,AS$13))),"")</f>
        <v/>
      </c>
      <c r="CP40" s="1883" t="str" cm="1">
        <f t="array" ca="1" aca="1" ref="CP40">IFERROR(IF($Z40="","",IF($J40=3,_xldudf_CX_PUSH(AT40*fxVal_normal,CX_ENTITY,$F40,AT$15,$X$15,AT$13),_xldudf_CX_PUSH(AT40,CX_ENTITY,$F40,AT$15,$X$15,AT$13))),"")</f>
        <v/>
      </c>
      <c r="CQ40" s="1883" t="str" cm="1">
        <f t="array" ca="1" aca="1" ref="CQ40">IFERROR(IF($Z40="","",IF($J40=3,_xldudf_CX_PUSH(AU40*fxVal_normal,CX_ENTITY,$F40,AU$15,$X$15,AU$13),_xldudf_CX_PUSH(AU40,CX_ENTITY,$F40,AU$15,$X$15,AU$13))),"")</f>
        <v/>
      </c>
      <c r="CR40" s="1883" t="str" cm="1">
        <f t="array" ca="1" aca="1" ref="CR40">IFERROR(IF($Z40="","",IF($J40=3,_xldudf_CX_PUSH(AV40*fxVal_normal,CX_ENTITY,$F40,AV$15,$X$15,AV$13),_xldudf_CX_PUSH(AV40,CX_ENTITY,$F40,AV$15,$X$15,AV$13))),"")</f>
        <v/>
      </c>
      <c r="CS40" s="1883" t="str" cm="1">
        <f t="array" ca="1" aca="1" ref="CS40">IFERROR(IF($Z40="","",IF($J40=3,_xldudf_CX_PUSH(AW40*fxVal_normal,CX_ENTITY,$F40,AW$15,$X$15,AW$13),_xldudf_CX_PUSH(AW40,CX_ENTITY,$F40,AW$15,$X$15,AW$13))),"")</f>
        <v/>
      </c>
      <c r="CT40" s="1883" t="str" cm="1">
        <f t="array" ca="1" aca="1" ref="CT40">IFERROR(IF($Z40="","",IF($J40=3,_xldudf_CX_PUSH(AX40*fxVal_normal,CX_ENTITY,$F40,AX$15,$X$15,AX$13),_xldudf_CX_PUSH(AX40,CX_ENTITY,$F40,AX$15,$X$15,AX$13))),"")</f>
        <v/>
      </c>
      <c r="CU40" s="1883" t="str" cm="1">
        <f t="array" ca="1" aca="1" ref="CU40">IFERROR(IF($Z40="","",IF($J40=3,_xldudf_CX_PUSH(AY40*fxVal_normal,CX_ENTITY,$F40,AY$15,$X$15,AY$13),_xldudf_CX_PUSH(AY40,CX_ENTITY,$F40,AY$15,$X$15,AY$13))),"")</f>
        <v/>
      </c>
      <c r="CV40" s="1883" t="str" cm="1">
        <f t="array" ca="1" aca="1" ref="CV40">IFERROR(IF($Z40="","",IF($J40=3,_xldudf_CX_PUSH(AZ40*fxVal_normal,CX_ENTITY,$F40,AZ$15,$X$15,AZ$13),_xldudf_CX_PUSH(AZ40,CX_ENTITY,$F40,AZ$15,$X$15,AZ$13))),"")</f>
        <v/>
      </c>
      <c r="CW40" s="1883" t="str" cm="1">
        <f t="array" ca="1" aca="1" ref="CW40">IFERROR(IF($Z40="","",IF($J40=3,_xldudf_CX_PUSH(BA40*fxVal_normal,CX_ENTITY,$F40,BA$15,$X$15,BA$13),_xldudf_CX_PUSH(BA40,CX_ENTITY,$F40,BA$15,$X$15,BA$13))),"")</f>
        <v/>
      </c>
      <c r="CX40" s="1883" t="str" cm="1">
        <f t="array" ca="1" aca="1" ref="CX40">IFERROR(IF($Z40="","",IF($J40=3,_xldudf_CX_PUSH(BB40*fxVal_normal,CX_ENTITY,$F40,BB$15,$X$15,BB$13),_xldudf_CX_PUSH(BB40,CX_ENTITY,$F40,BB$15,$X$15,BB$13))),"")</f>
        <v/>
      </c>
      <c r="CY40" s="1883" t="str" cm="1">
        <f t="array" ca="1" aca="1" ref="CY40">IFERROR(IF($Z40="","",IF($J40=3,_xldudf_CX_PUSH(BC40*fxVal_normal,CX_ENTITY,$F40,BC$15,$X$15,BC$13),_xldudf_CX_PUSH(BC40,CX_ENTITY,$F40,BC$15,$X$15,BC$13))),"")</f>
        <v/>
      </c>
      <c r="CZ40" s="1883" t="str" cm="1">
        <f t="array" ca="1" aca="1" ref="CZ40">IFERROR(IF($Z40="","",IF($J40=3,_xldudf_CX_PUSH(BD40*fxVal_normal,CX_ENTITY,$F40,BD$15,$X$15,BD$13),_xldudf_CX_PUSH(BD40,CX_ENTITY,$F40,BD$15,$X$15,BD$13))),"")</f>
        <v/>
      </c>
      <c r="DA40" s="1883" t="str" cm="1">
        <f t="array" ca="1" aca="1" ref="DA40">IFERROR(IF($Z40="","",IF($J40=3,_xldudf_CX_PUSH(BE40*fxVal_normal,CX_ENTITY,$F40,BE$15,$X$15,BE$13),_xldudf_CX_PUSH(BE40,CX_ENTITY,$F40,BE$15,$X$15,BE$13))),"")</f>
        <v/>
      </c>
      <c r="DB40" s="1883" t="str" cm="1">
        <f t="array" ca="1" aca="1" ref="DB40">IFERROR(IF($Z40="","",IF($J40=3,_xldudf_CX_PUSH(BF40*fxVal_normal,CX_ENTITY,$F40,BF$15,$X$15,BF$13),_xldudf_CX_PUSH(BF40,CX_ENTITY,$F40,BF$15,$X$15,BF$13))),"")</f>
        <v/>
      </c>
      <c r="DC40" s="1883" t="str" cm="1">
        <f t="array" ca="1" aca="1" ref="DC40">IFERROR(IF($Z40="","",IF($J40=3,_xldudf_CX_PUSH(BG40*fxVal_normal,CX_ENTITY,$F40,BG$15,$X$15,BG$13),_xldudf_CX_PUSH(BG40,CX_ENTITY,$F40,BG$15,$X$15,BG$13))),"")</f>
        <v/>
      </c>
      <c r="DD40" s="1883" t="str" cm="1">
        <f t="array" ca="1" aca="1" ref="DD40">IFERROR(IF($Z40="","",IF($J40=3,_xldudf_CX_PUSH(BH40*fxVal_normal,CX_ENTITY,$F40,BH$15,$X$15,BH$13),_xldudf_CX_PUSH(BH40,CX_ENTITY,$F40,BH$15,$X$15,BH$13))),"")</f>
        <v/>
      </c>
      <c r="DE40" s="1883" t="str" cm="1">
        <f t="array" ca="1" aca="1" ref="DE40">IFERROR(IF($Z40="","",IF($J40=3,_xldudf_CX_PUSH(BI40*fxVal_normal,CX_ENTITY,$F40,BI$15,$X$15,BI$13),_xldudf_CX_PUSH(BI40,CX_ENTITY,$F40,BI$15,$X$15,BI$13))),"")</f>
        <v/>
      </c>
      <c r="DF40" s="1883" t="str" cm="1">
        <f t="array" ca="1" aca="1" ref="DF40">IFERROR(IF($Z40="","",IF($J40=3,_xldudf_CX_PUSH(BJ40*fxVal_normal,CX_ENTITY,$F40,BJ$15,$X$15,BJ$13),_xldudf_CX_PUSH(BJ40,CX_ENTITY,$F40,BJ$15,$X$15,BJ$13))),"")</f>
        <v/>
      </c>
      <c r="DG40" s="1883" t="str" cm="1">
        <f t="array" ca="1" aca="1" ref="DG40">IFERROR(IF($Z40="","",IF($J40=3,_xldudf_CX_PUSH(BK40*fxVal_normal,CX_ENTITY,$F40,BK$15,$X$15,BK$13),_xldudf_CX_PUSH(BK40,CX_ENTITY,$F40,BK$15,$X$15,BK$13))),"")</f>
        <v/>
      </c>
      <c r="DH40" s="1883" t="str" cm="1">
        <f t="array" ca="1" aca="1" ref="DH40">IFERROR(IF($Z40="","",IF($J40=3,_xldudf_CX_PUSH(BL40*fxVal_normal,CX_ENTITY,$F40,BL$15,$X$15,BL$13),_xldudf_CX_PUSH(BL40,CX_ENTITY,$F40,BL$15,$X$15,BL$13))),"")</f>
        <v/>
      </c>
      <c r="DI40" s="1883" t="str" cm="1">
        <f t="array" ca="1" aca="1" ref="DI40">IFERROR(IF($Z40="","",IF($J40=3,_xldudf_CX_PUSH(BM40*fxVal_normal,CX_ENTITY,$F40,BM$15,$X$15,BM$13),_xldudf_CX_PUSH(BM40,CX_ENTITY,$F40,BM$15,$X$15,BM$13))),"")</f>
        <v/>
      </c>
      <c r="DJ40" s="1883" t="str" cm="1">
        <f t="array" ca="1" aca="1" ref="DJ40">IFERROR(IF($Z40="","",IF($J40=3,_xldudf_CX_PUSH(BN40*fxVal_normal,CX_ENTITY,$F40,BN$15,$X$15,BN$13),_xldudf_CX_PUSH(BN40,CX_ENTITY,$F40,BN$15,$X$15,BN$13))),"")</f>
        <v/>
      </c>
      <c r="DK40" s="1883" t="str" cm="1">
        <f t="array" ca="1" aca="1" ref="DK40">IFERROR(IF($Z40="","",IF($J40=3,_xldudf_CX_PUSH(BO40*fxVal_normal,CX_ENTITY,$F40,BO$15,$X$15,BO$13),_xldudf_CX_PUSH(BO40,CX_ENTITY,$F40,BO$15,$X$15,BO$13))),"")</f>
        <v/>
      </c>
      <c r="DL40" s="1883" t="str" cm="1">
        <f t="array" ca="1" aca="1" ref="DL40">IFERROR(IF($Z40="","",IF($J40=3,_xldudf_CX_PUSH(BP40*fxVal_normal,CX_ENTITY,$F40,BP$15,$X$15,BP$13),_xldudf_CX_PUSH(BP40,CX_ENTITY,$F40,BP$15,$X$15,BP$13))),"")</f>
        <v/>
      </c>
      <c r="DM40" s="1883" t="str" cm="1">
        <f t="array" ca="1" aca="1" ref="DM40">IFERROR(IF($Z40="","",IF($J40=3,_xldudf_CX_PUSH(BQ40*fxVal_normal,CX_ENTITY,$F40,BQ$15,$X$15,BQ$13),_xldudf_CX_PUSH(BQ40,CX_ENTITY,$F40,BQ$15,$X$15,BQ$13))),"")</f>
        <v/>
      </c>
      <c r="DN40" s="1883" t="str" cm="1">
        <f t="array" ca="1" aca="1" ref="DN40">IFERROR(IF($Z40="","",IF($J40=3,_xldudf_CX_PUSH(BR40*fxVal_normal,CX_ENTITY,$F40,BR$15,$X$15,BR$13),_xldudf_CX_PUSH(BR40,CX_ENTITY,$F40,BR$15,$X$15,BR$13))),"")</f>
        <v/>
      </c>
      <c r="DO40" s="1883" t="str" cm="1">
        <f t="array" ca="1" aca="1" ref="DO40">IFERROR(IF($Z40="","",IF($J40=3,_xldudf_CX_PUSH(BS40*fxVal_normal,CX_ENTITY,$F40,BS$15,$X$15,BS$13),_xldudf_CX_PUSH(BS40,CX_ENTITY,$F40,BS$15,$X$15,BS$13))),"")</f>
        <v/>
      </c>
    </row>
    <row r="41" spans="1:119" ht="33" customHeight="1">
      <c r="A41" s="32"/>
      <c r="B41" s="580" t="s">
        <v>366</v>
      </c>
      <c r="C41" s="1885" t="s">
        <v>367</v>
      </c>
      <c r="D41" s="1885" t="s">
        <v>368</v>
      </c>
      <c r="E41" s="1885" t="s">
        <v>369</v>
      </c>
      <c r="F41" s="1885" t="s">
        <v>370</v>
      </c>
      <c r="G41" s="574" t="s">
        <v>371</v>
      </c>
      <c r="H41" s="574" t="s">
        <v>372</v>
      </c>
      <c r="I41" s="3280">
        <v>1</v>
      </c>
      <c r="J41" s="401">
        <f t="shared" si="1"/>
        <v>0</v>
      </c>
      <c r="K41" s="401"/>
      <c r="O41" s="158"/>
      <c r="P41" s="2"/>
      <c r="Q41" s="52"/>
      <c r="R41" s="2"/>
      <c r="S41" s="539"/>
      <c r="T41" s="2"/>
      <c r="U41" s="2"/>
      <c r="V41" s="39"/>
      <c r="X41" s="3239">
        <v>1</v>
      </c>
      <c r="Y41" s="708"/>
      <c r="Z41" s="3247">
        <v>2</v>
      </c>
      <c r="AA41" s="198">
        <v>-1</v>
      </c>
      <c r="AB41" s="198"/>
      <c r="AC41" s="3241">
        <v>2</v>
      </c>
      <c r="AD41" s="3242">
        <v>2</v>
      </c>
      <c r="AE41" s="3241">
        <v>2</v>
      </c>
      <c r="AF41" s="3241">
        <v>2</v>
      </c>
      <c r="AG41" s="1568"/>
      <c r="AH41" s="1830"/>
      <c r="AI41" s="3243">
        <v>1</v>
      </c>
      <c r="AJ41" s="3243">
        <v>1</v>
      </c>
      <c r="AK41" s="3243">
        <v>1</v>
      </c>
      <c r="AL41" s="3243">
        <v>1</v>
      </c>
      <c r="AM41" s="3243">
        <v>1</v>
      </c>
      <c r="AN41" s="3243">
        <v>1</v>
      </c>
      <c r="AO41" s="3243">
        <v>1</v>
      </c>
      <c r="AP41" s="3243">
        <v>1</v>
      </c>
      <c r="AQ41" s="3243">
        <v>1</v>
      </c>
      <c r="AR41" s="3243">
        <v>1</v>
      </c>
      <c r="AS41" s="3243">
        <v>1</v>
      </c>
      <c r="AT41" s="3243">
        <v>1</v>
      </c>
      <c r="AU41" s="3243">
        <v>1</v>
      </c>
      <c r="AV41" s="3243">
        <v>1</v>
      </c>
      <c r="AW41" s="3243">
        <v>1</v>
      </c>
      <c r="AX41" s="3243">
        <v>1</v>
      </c>
      <c r="AY41" s="3243">
        <v>1</v>
      </c>
      <c r="AZ41" s="3243">
        <v>1</v>
      </c>
      <c r="BA41" s="3243">
        <v>1</v>
      </c>
      <c r="BB41" s="3243">
        <v>1</v>
      </c>
      <c r="BC41" s="3243">
        <v>1</v>
      </c>
      <c r="BD41" s="3243">
        <v>1</v>
      </c>
      <c r="BE41" s="3243">
        <v>1</v>
      </c>
      <c r="BF41" s="3243">
        <v>1</v>
      </c>
      <c r="BG41" s="3243">
        <v>1</v>
      </c>
      <c r="BH41" s="3243">
        <v>1</v>
      </c>
      <c r="BI41" s="3243">
        <v>1</v>
      </c>
      <c r="BJ41" s="3243">
        <v>1</v>
      </c>
      <c r="BK41" s="3243">
        <v>1</v>
      </c>
      <c r="BL41" s="3243">
        <v>1</v>
      </c>
      <c r="BM41" s="3243">
        <v>1</v>
      </c>
      <c r="BN41" s="3243">
        <v>1</v>
      </c>
      <c r="BO41" s="3243">
        <v>1</v>
      </c>
      <c r="BP41" s="3243">
        <v>1</v>
      </c>
      <c r="BQ41" s="3243">
        <v>1</v>
      </c>
      <c r="BR41" s="3243">
        <v>1</v>
      </c>
      <c r="BS41" s="3243">
        <v>1</v>
      </c>
      <c r="BU41" s="2276" t="str" cm="1">
        <f t="array" ca="1" aca="1" ref="BU41">IFERROR(IF(Z41="","",_xldudf_CX_PUSH($Z41,CX_ENTITY,$B41,val_asOfDate,,,)),"")</f>
        <v/>
      </c>
      <c r="BV41" s="2276" t="str" cm="1">
        <f t="array" ca="1" aca="1" ref="BV41">IFERROR(IF(AC41="","",_xldudf_CX_PUSH($AC41,CX_ENTITY,$D41,val_asOfDate,,,)),"")</f>
        <v/>
      </c>
      <c r="BW41" s="2276" t="str" cm="1">
        <f t="array" ca="1" aca="1" ref="BW41">IFERROR(IF(Z41="","",_xldudf_CX_PUSH($Z41,CX_ENTITY,$B41,EOMONTH(val_asOfDate,1),,,)),"")</f>
        <v/>
      </c>
      <c r="BX41" s="2276" t="str" cm="1">
        <f t="array" ca="1" aca="1" ref="BX41">IFERROR(IF(AC41="","",_xldudf_CX_PUSH($AC41,CX_ENTITY,$D41,EOMONTH(val_asOfDate,1),,)),"")</f>
        <v/>
      </c>
      <c r="BY41" s="2276" t="str" cm="1">
        <f t="array" ca="1" aca="1" ref="BY41">IFERROR(IF(AD41="","",_xldudf_CX_PUSH($AD41,CX_ENTITY,$E41,val_asOfDate,,,)),"")</f>
        <v/>
      </c>
      <c r="BZ41" s="2276" t="str" cm="1">
        <f t="array" ca="1" aca="1" ref="BZ41">IFERROR(IF(AD41="","",_xldudf_CX_PUSH($AD41,CX_ENTITY,$E41,EOMONTH(val_asOfDate,1),,)),"")</f>
        <v/>
      </c>
      <c r="CA41" s="1879" t="str" cm="1">
        <f t="array" ca="1" aca="1" ref="CA41">IFERROR(IF(AE41="","",_xldudf_CX_PUSH($AE41,CX_ENTITY,$G41,val_asOfDate,,,)),"")</f>
        <v/>
      </c>
      <c r="CB41" s="1879" t="str" cm="1">
        <f t="array" ca="1" aca="1" ref="CB41">IFERROR(IF(AE41="","",_xldudf_CX_PUSH($AE41,CX_ENTITY,$G41,EOMONTH(val_asOfDate,1),,,)),"")</f>
        <v/>
      </c>
      <c r="CC41" s="1879" t="str" cm="1">
        <f t="array" ca="1" aca="1" ref="CC41">IFERROR(IF(AF41="","",_xldudf_CX_PUSH($AF41,CX_ENTITY,$H41,val_asOfDate,,,)),"")</f>
        <v/>
      </c>
      <c r="CD41" s="1879" t="str" cm="1">
        <f t="array" ca="1" aca="1" ref="CD41">IFERROR(IF(AF41="","",_xldudf_CX_PUSH($AF41,CX_ENTITY,$H41,EOMONTH(val_asOfDate,1),,,)),"")</f>
        <v/>
      </c>
      <c r="CE41" s="1883" t="str" cm="1">
        <f t="array" ca="1" aca="1" ref="CE41">IFERROR(IF($Z41="","",IF($J41=3,_xldudf_CX_PUSH(AI41*fxVal_normal,CX_ENTITY,$F41,AI$15,$X$15,AI$13),_xldudf_CX_PUSH(AI41,CX_ENTITY,$F41,AI$15,$X$15,AI$13))),"")</f>
        <v/>
      </c>
      <c r="CF41" s="1883" t="str" cm="1">
        <f t="array" ca="1" aca="1" ref="CF41">IFERROR(IF($Z41="","",IF($J41=3,_xldudf_CX_PUSH(AJ41*fxVal_normal,CX_ENTITY,$F41,AJ$15,$X$15,AJ$13),_xldudf_CX_PUSH(AJ41,CX_ENTITY,$F41,AJ$15,$X$15,AJ$13))),"")</f>
        <v/>
      </c>
      <c r="CG41" s="1883" t="str" cm="1">
        <f t="array" ca="1" aca="1" ref="CG41">IFERROR(IF($Z41="","",IF($J41=3,_xldudf_CX_PUSH(AK41*fxVal_normal,CX_ENTITY,$F41,AK$15,$X$15,AK$13),_xldudf_CX_PUSH(AK41,CX_ENTITY,$F41,AK$15,$X$15,AK$13))),"")</f>
        <v/>
      </c>
      <c r="CH41" s="1883" t="str" cm="1">
        <f t="array" ca="1" aca="1" ref="CH41">IFERROR(IF($Z41="","",IF($J41=3,_xldudf_CX_PUSH(AL41*fxVal_normal,CX_ENTITY,$F41,AL$15,$X$15,AL$13),_xldudf_CX_PUSH(AL41,CX_ENTITY,$F41,AL$15,$X$15,AL$13))),"")</f>
        <v/>
      </c>
      <c r="CI41" s="1883" t="str" cm="1">
        <f t="array" ca="1" aca="1" ref="CI41">IFERROR(IF($Z41="","",IF($J41=3,_xldudf_CX_PUSH(AM41*fxVal_normal,CX_ENTITY,$F41,AM$15,$X$15,AM$13),_xldudf_CX_PUSH(AM41,CX_ENTITY,$F41,AM$15,$X$15,AM$13))),"")</f>
        <v/>
      </c>
      <c r="CJ41" s="1883" t="str" cm="1">
        <f t="array" ca="1" aca="1" ref="CJ41">IFERROR(IF($Z41="","",IF($J41=3,_xldudf_CX_PUSH(AN41*fxVal_normal,CX_ENTITY,$F41,AN$15,$X$15,AN$13),_xldudf_CX_PUSH(AN41,CX_ENTITY,$F41,AN$15,$X$15,AN$13))),"")</f>
        <v/>
      </c>
      <c r="CK41" s="1883" t="str" cm="1">
        <f t="array" ca="1" aca="1" ref="CK41">IFERROR(IF($Z41="","",IF($J41=3,_xldudf_CX_PUSH(AO41*fxVal_normal,CX_ENTITY,$F41,AO$15,$X$15,AO$13),_xldudf_CX_PUSH(AO41,CX_ENTITY,$F41,AO$15,$X$15,AO$13))),"")</f>
        <v/>
      </c>
      <c r="CL41" s="1883" t="str" cm="1">
        <f t="array" ca="1" aca="1" ref="CL41">IFERROR(IF($Z41="","",IF($J41=3,_xldudf_CX_PUSH(AP41*fxVal_normal,CX_ENTITY,$F41,AP$15,$X$15,AP$13),_xldudf_CX_PUSH(AP41,CX_ENTITY,$F41,AP$15,$X$15,AP$13))),"")</f>
        <v/>
      </c>
      <c r="CM41" s="1883" t="str" cm="1">
        <f t="array" ca="1" aca="1" ref="CM41">IFERROR(IF($Z41="","",IF($J41=3,_xldudf_CX_PUSH(AQ41*fxVal_normal,CX_ENTITY,$F41,AQ$15,$X$15,AQ$13),_xldudf_CX_PUSH(AQ41,CX_ENTITY,$F41,AQ$15,$X$15,AQ$13))),"")</f>
        <v/>
      </c>
      <c r="CN41" s="1883" t="str" cm="1">
        <f t="array" ca="1" aca="1" ref="CN41">IFERROR(IF($Z41="","",IF($J41=3,_xldudf_CX_PUSH(AR41*fxVal_normal,CX_ENTITY,$F41,AR$15,$X$15,AR$13),_xldudf_CX_PUSH(AR41,CX_ENTITY,$F41,AR$15,$X$15,AR$13))),"")</f>
        <v/>
      </c>
      <c r="CO41" s="1883" t="str" cm="1">
        <f t="array" ca="1" aca="1" ref="CO41">IFERROR(IF($Z41="","",IF($J41=3,_xldudf_CX_PUSH(AS41*fxVal_normal,CX_ENTITY,$F41,AS$15,$X$15,AS$13),_xldudf_CX_PUSH(AS41,CX_ENTITY,$F41,AS$15,$X$15,AS$13))),"")</f>
        <v/>
      </c>
      <c r="CP41" s="1883" t="str" cm="1">
        <f t="array" ca="1" aca="1" ref="CP41">IFERROR(IF($Z41="","",IF($J41=3,_xldudf_CX_PUSH(AT41*fxVal_normal,CX_ENTITY,$F41,AT$15,$X$15,AT$13),_xldudf_CX_PUSH(AT41,CX_ENTITY,$F41,AT$15,$X$15,AT$13))),"")</f>
        <v/>
      </c>
      <c r="CQ41" s="1883" t="str" cm="1">
        <f t="array" ca="1" aca="1" ref="CQ41">IFERROR(IF($Z41="","",IF($J41=3,_xldudf_CX_PUSH(AU41*fxVal_normal,CX_ENTITY,$F41,AU$15,$X$15,AU$13),_xldudf_CX_PUSH(AU41,CX_ENTITY,$F41,AU$15,$X$15,AU$13))),"")</f>
        <v/>
      </c>
      <c r="CR41" s="1883" t="str" cm="1">
        <f t="array" ca="1" aca="1" ref="CR41">IFERROR(IF($Z41="","",IF($J41=3,_xldudf_CX_PUSH(AV41*fxVal_normal,CX_ENTITY,$F41,AV$15,$X$15,AV$13),_xldudf_CX_PUSH(AV41,CX_ENTITY,$F41,AV$15,$X$15,AV$13))),"")</f>
        <v/>
      </c>
      <c r="CS41" s="1883" t="str" cm="1">
        <f t="array" ca="1" aca="1" ref="CS41">IFERROR(IF($Z41="","",IF($J41=3,_xldudf_CX_PUSH(AW41*fxVal_normal,CX_ENTITY,$F41,AW$15,$X$15,AW$13),_xldudf_CX_PUSH(AW41,CX_ENTITY,$F41,AW$15,$X$15,AW$13))),"")</f>
        <v/>
      </c>
      <c r="CT41" s="1883" t="str" cm="1">
        <f t="array" ca="1" aca="1" ref="CT41">IFERROR(IF($Z41="","",IF($J41=3,_xldudf_CX_PUSH(AX41*fxVal_normal,CX_ENTITY,$F41,AX$15,$X$15,AX$13),_xldudf_CX_PUSH(AX41,CX_ENTITY,$F41,AX$15,$X$15,AX$13))),"")</f>
        <v/>
      </c>
      <c r="CU41" s="1883" t="str" cm="1">
        <f t="array" ca="1" aca="1" ref="CU41">IFERROR(IF($Z41="","",IF($J41=3,_xldudf_CX_PUSH(AY41*fxVal_normal,CX_ENTITY,$F41,AY$15,$X$15,AY$13),_xldudf_CX_PUSH(AY41,CX_ENTITY,$F41,AY$15,$X$15,AY$13))),"")</f>
        <v/>
      </c>
      <c r="CV41" s="1883" t="str" cm="1">
        <f t="array" ca="1" aca="1" ref="CV41">IFERROR(IF($Z41="","",IF($J41=3,_xldudf_CX_PUSH(AZ41*fxVal_normal,CX_ENTITY,$F41,AZ$15,$X$15,AZ$13),_xldudf_CX_PUSH(AZ41,CX_ENTITY,$F41,AZ$15,$X$15,AZ$13))),"")</f>
        <v/>
      </c>
      <c r="CW41" s="1883" t="str" cm="1">
        <f t="array" ca="1" aca="1" ref="CW41">IFERROR(IF($Z41="","",IF($J41=3,_xldudf_CX_PUSH(BA41*fxVal_normal,CX_ENTITY,$F41,BA$15,$X$15,BA$13),_xldudf_CX_PUSH(BA41,CX_ENTITY,$F41,BA$15,$X$15,BA$13))),"")</f>
        <v/>
      </c>
      <c r="CX41" s="1883" t="str" cm="1">
        <f t="array" ca="1" aca="1" ref="CX41">IFERROR(IF($Z41="","",IF($J41=3,_xldudf_CX_PUSH(BB41*fxVal_normal,CX_ENTITY,$F41,BB$15,$X$15,BB$13),_xldudf_CX_PUSH(BB41,CX_ENTITY,$F41,BB$15,$X$15,BB$13))),"")</f>
        <v/>
      </c>
      <c r="CY41" s="1883" t="str" cm="1">
        <f t="array" ca="1" aca="1" ref="CY41">IFERROR(IF($Z41="","",IF($J41=3,_xldudf_CX_PUSH(BC41*fxVal_normal,CX_ENTITY,$F41,BC$15,$X$15,BC$13),_xldudf_CX_PUSH(BC41,CX_ENTITY,$F41,BC$15,$X$15,BC$13))),"")</f>
        <v/>
      </c>
      <c r="CZ41" s="1883" t="str" cm="1">
        <f t="array" ca="1" aca="1" ref="CZ41">IFERROR(IF($Z41="","",IF($J41=3,_xldudf_CX_PUSH(BD41*fxVal_normal,CX_ENTITY,$F41,BD$15,$X$15,BD$13),_xldudf_CX_PUSH(BD41,CX_ENTITY,$F41,BD$15,$X$15,BD$13))),"")</f>
        <v/>
      </c>
      <c r="DA41" s="1883" t="str" cm="1">
        <f t="array" ca="1" aca="1" ref="DA41">IFERROR(IF($Z41="","",IF($J41=3,_xldudf_CX_PUSH(BE41*fxVal_normal,CX_ENTITY,$F41,BE$15,$X$15,BE$13),_xldudf_CX_PUSH(BE41,CX_ENTITY,$F41,BE$15,$X$15,BE$13))),"")</f>
        <v/>
      </c>
      <c r="DB41" s="1883" t="str" cm="1">
        <f t="array" ca="1" aca="1" ref="DB41">IFERROR(IF($Z41="","",IF($J41=3,_xldudf_CX_PUSH(BF41*fxVal_normal,CX_ENTITY,$F41,BF$15,$X$15,BF$13),_xldudf_CX_PUSH(BF41,CX_ENTITY,$F41,BF$15,$X$15,BF$13))),"")</f>
        <v/>
      </c>
      <c r="DC41" s="1883" t="str" cm="1">
        <f t="array" ca="1" aca="1" ref="DC41">IFERROR(IF($Z41="","",IF($J41=3,_xldudf_CX_PUSH(BG41*fxVal_normal,CX_ENTITY,$F41,BG$15,$X$15,BG$13),_xldudf_CX_PUSH(BG41,CX_ENTITY,$F41,BG$15,$X$15,BG$13))),"")</f>
        <v/>
      </c>
      <c r="DD41" s="1883" t="str" cm="1">
        <f t="array" ca="1" aca="1" ref="DD41">IFERROR(IF($Z41="","",IF($J41=3,_xldudf_CX_PUSH(BH41*fxVal_normal,CX_ENTITY,$F41,BH$15,$X$15,BH$13),_xldudf_CX_PUSH(BH41,CX_ENTITY,$F41,BH$15,$X$15,BH$13))),"")</f>
        <v/>
      </c>
      <c r="DE41" s="1883" t="str" cm="1">
        <f t="array" ca="1" aca="1" ref="DE41">IFERROR(IF($Z41="","",IF($J41=3,_xldudf_CX_PUSH(BI41*fxVal_normal,CX_ENTITY,$F41,BI$15,$X$15,BI$13),_xldudf_CX_PUSH(BI41,CX_ENTITY,$F41,BI$15,$X$15,BI$13))),"")</f>
        <v/>
      </c>
      <c r="DF41" s="1883" t="str" cm="1">
        <f t="array" ca="1" aca="1" ref="DF41">IFERROR(IF($Z41="","",IF($J41=3,_xldudf_CX_PUSH(BJ41*fxVal_normal,CX_ENTITY,$F41,BJ$15,$X$15,BJ$13),_xldudf_CX_PUSH(BJ41,CX_ENTITY,$F41,BJ$15,$X$15,BJ$13))),"")</f>
        <v/>
      </c>
      <c r="DG41" s="1883" t="str" cm="1">
        <f t="array" ca="1" aca="1" ref="DG41">IFERROR(IF($Z41="","",IF($J41=3,_xldudf_CX_PUSH(BK41*fxVal_normal,CX_ENTITY,$F41,BK$15,$X$15,BK$13),_xldudf_CX_PUSH(BK41,CX_ENTITY,$F41,BK$15,$X$15,BK$13))),"")</f>
        <v/>
      </c>
      <c r="DH41" s="1883" t="str" cm="1">
        <f t="array" ca="1" aca="1" ref="DH41">IFERROR(IF($Z41="","",IF($J41=3,_xldudf_CX_PUSH(BL41*fxVal_normal,CX_ENTITY,$F41,BL$15,$X$15,BL$13),_xldudf_CX_PUSH(BL41,CX_ENTITY,$F41,BL$15,$X$15,BL$13))),"")</f>
        <v/>
      </c>
      <c r="DI41" s="1883" t="str" cm="1">
        <f t="array" ca="1" aca="1" ref="DI41">IFERROR(IF($Z41="","",IF($J41=3,_xldudf_CX_PUSH(BM41*fxVal_normal,CX_ENTITY,$F41,BM$15,$X$15,BM$13),_xldudf_CX_PUSH(BM41,CX_ENTITY,$F41,BM$15,$X$15,BM$13))),"")</f>
        <v/>
      </c>
      <c r="DJ41" s="1883" t="str" cm="1">
        <f t="array" ca="1" aca="1" ref="DJ41">IFERROR(IF($Z41="","",IF($J41=3,_xldudf_CX_PUSH(BN41*fxVal_normal,CX_ENTITY,$F41,BN$15,$X$15,BN$13),_xldudf_CX_PUSH(BN41,CX_ENTITY,$F41,BN$15,$X$15,BN$13))),"")</f>
        <v/>
      </c>
      <c r="DK41" s="1883" t="str" cm="1">
        <f t="array" ca="1" aca="1" ref="DK41">IFERROR(IF($Z41="","",IF($J41=3,_xldudf_CX_PUSH(BO41*fxVal_normal,CX_ENTITY,$F41,BO$15,$X$15,BO$13),_xldudf_CX_PUSH(BO41,CX_ENTITY,$F41,BO$15,$X$15,BO$13))),"")</f>
        <v/>
      </c>
      <c r="DL41" s="1883" t="str" cm="1">
        <f t="array" ca="1" aca="1" ref="DL41">IFERROR(IF($Z41="","",IF($J41=3,_xldudf_CX_PUSH(BP41*fxVal_normal,CX_ENTITY,$F41,BP$15,$X$15,BP$13),_xldudf_CX_PUSH(BP41,CX_ENTITY,$F41,BP$15,$X$15,BP$13))),"")</f>
        <v/>
      </c>
      <c r="DM41" s="1883" t="str" cm="1">
        <f t="array" ca="1" aca="1" ref="DM41">IFERROR(IF($Z41="","",IF($J41=3,_xldudf_CX_PUSH(BQ41*fxVal_normal,CX_ENTITY,$F41,BQ$15,$X$15,BQ$13),_xldudf_CX_PUSH(BQ41,CX_ENTITY,$F41,BQ$15,$X$15,BQ$13))),"")</f>
        <v/>
      </c>
      <c r="DN41" s="1883" t="str" cm="1">
        <f t="array" ca="1" aca="1" ref="DN41">IFERROR(IF($Z41="","",IF($J41=3,_xldudf_CX_PUSH(BR41*fxVal_normal,CX_ENTITY,$F41,BR$15,$X$15,BR$13),_xldudf_CX_PUSH(BR41,CX_ENTITY,$F41,BR$15,$X$15,BR$13))),"")</f>
        <v/>
      </c>
      <c r="DO41" s="1883" t="str" cm="1">
        <f t="array" ca="1" aca="1" ref="DO41">IFERROR(IF($Z41="","",IF($J41=3,_xldudf_CX_PUSH(BS41*fxVal_normal,CX_ENTITY,$F41,BS$15,$X$15,BS$13),_xldudf_CX_PUSH(BS41,CX_ENTITY,$F41,BS$15,$X$15,BS$13))),"")</f>
        <v/>
      </c>
    </row>
    <row r="42" spans="1:119" ht="33" customHeight="1">
      <c r="A42" s="32"/>
      <c r="B42" s="580" t="s">
        <v>373</v>
      </c>
      <c r="C42" s="1885" t="s">
        <v>374</v>
      </c>
      <c r="D42" s="1885" t="s">
        <v>375</v>
      </c>
      <c r="E42" s="1885" t="s">
        <v>376</v>
      </c>
      <c r="F42" s="1885" t="s">
        <v>377</v>
      </c>
      <c r="G42" s="574" t="s">
        <v>378</v>
      </c>
      <c r="H42" s="574" t="s">
        <v>379</v>
      </c>
      <c r="I42" s="401">
        <v>0</v>
      </c>
      <c r="J42" s="401">
        <f t="shared" si="1"/>
        <v>0</v>
      </c>
      <c r="K42" s="401"/>
      <c r="O42" s="158"/>
      <c r="P42" s="2"/>
      <c r="Q42" s="51"/>
      <c r="R42" s="51"/>
      <c r="S42" s="2"/>
      <c r="T42" s="3002" t="s">
        <v>380</v>
      </c>
      <c r="U42" s="3002"/>
      <c r="V42" s="39"/>
      <c r="X42" s="3239">
        <v>1</v>
      </c>
      <c r="Y42" s="708"/>
      <c r="Z42" s="3247">
        <v>2</v>
      </c>
      <c r="AA42" s="198">
        <v>-1</v>
      </c>
      <c r="AB42" s="198"/>
      <c r="AC42" s="3241">
        <v>2</v>
      </c>
      <c r="AD42" s="3242">
        <v>2</v>
      </c>
      <c r="AE42" s="3241">
        <v>2</v>
      </c>
      <c r="AF42" s="3241">
        <v>2</v>
      </c>
      <c r="AG42" s="1568"/>
      <c r="AH42" s="1830"/>
      <c r="AI42" s="3243">
        <v>1</v>
      </c>
      <c r="AJ42" s="3243">
        <v>1</v>
      </c>
      <c r="AK42" s="3243">
        <v>1</v>
      </c>
      <c r="AL42" s="3243">
        <v>1</v>
      </c>
      <c r="AM42" s="3243">
        <v>1</v>
      </c>
      <c r="AN42" s="3243">
        <v>1</v>
      </c>
      <c r="AO42" s="3243">
        <v>1</v>
      </c>
      <c r="AP42" s="3243">
        <v>1</v>
      </c>
      <c r="AQ42" s="3243">
        <v>1</v>
      </c>
      <c r="AR42" s="3243">
        <v>1</v>
      </c>
      <c r="AS42" s="3243">
        <v>1</v>
      </c>
      <c r="AT42" s="3243">
        <v>1</v>
      </c>
      <c r="AU42" s="3243">
        <v>1</v>
      </c>
      <c r="AV42" s="3243">
        <v>1</v>
      </c>
      <c r="AW42" s="3243">
        <v>1</v>
      </c>
      <c r="AX42" s="3243">
        <v>1</v>
      </c>
      <c r="AY42" s="3243">
        <v>1</v>
      </c>
      <c r="AZ42" s="3243">
        <v>1</v>
      </c>
      <c r="BA42" s="3243">
        <v>1</v>
      </c>
      <c r="BB42" s="3243">
        <v>1</v>
      </c>
      <c r="BC42" s="3243">
        <v>1</v>
      </c>
      <c r="BD42" s="3243">
        <v>1</v>
      </c>
      <c r="BE42" s="3243">
        <v>1</v>
      </c>
      <c r="BF42" s="3243">
        <v>1</v>
      </c>
      <c r="BG42" s="3243">
        <v>1</v>
      </c>
      <c r="BH42" s="3243">
        <v>1</v>
      </c>
      <c r="BI42" s="3243">
        <v>1</v>
      </c>
      <c r="BJ42" s="3243">
        <v>1</v>
      </c>
      <c r="BK42" s="3243">
        <v>1</v>
      </c>
      <c r="BL42" s="3243">
        <v>1</v>
      </c>
      <c r="BM42" s="3243">
        <v>1</v>
      </c>
      <c r="BN42" s="3243">
        <v>1</v>
      </c>
      <c r="BO42" s="3243">
        <v>1</v>
      </c>
      <c r="BP42" s="3243">
        <v>1</v>
      </c>
      <c r="BQ42" s="3243">
        <v>1</v>
      </c>
      <c r="BR42" s="3243">
        <v>1</v>
      </c>
      <c r="BS42" s="3243">
        <v>1</v>
      </c>
      <c r="BU42" s="2276" t="str" cm="1">
        <f t="array" ca="1" aca="1" ref="BU42">IFERROR(IF(Z42="","",_xldudf_CX_PUSH($Z42,CX_ENTITY,$B42,val_asOfDate,,,)),"")</f>
        <v/>
      </c>
      <c r="BV42" s="2276" t="str" cm="1">
        <f t="array" ca="1" aca="1" ref="BV42">IFERROR(IF(AC42="","",_xldudf_CX_PUSH($AC42,CX_ENTITY,$D42,val_asOfDate,,,)),"")</f>
        <v/>
      </c>
      <c r="BW42" s="2276" t="str" cm="1">
        <f t="array" ca="1" aca="1" ref="BW42">IFERROR(IF(Z42="","",_xldudf_CX_PUSH($Z42,CX_ENTITY,$B42,EOMONTH(val_asOfDate,1),,,)),"")</f>
        <v/>
      </c>
      <c r="BX42" s="2276" t="str" cm="1">
        <f t="array" ca="1" aca="1" ref="BX42">IFERROR(IF(AC42="","",_xldudf_CX_PUSH($AC42,CX_ENTITY,$D42,EOMONTH(val_asOfDate,1),,)),"")</f>
        <v/>
      </c>
      <c r="BY42" s="2276" t="str" cm="1">
        <f t="array" ca="1" aca="1" ref="BY42">IFERROR(IF(AD42="","",_xldudf_CX_PUSH($AD42,CX_ENTITY,$E42,val_asOfDate,,,)),"")</f>
        <v/>
      </c>
      <c r="BZ42" s="2276" t="str" cm="1">
        <f t="array" ca="1" aca="1" ref="BZ42">IFERROR(IF(AD42="","",_xldudf_CX_PUSH($AD42,CX_ENTITY,$E42,EOMONTH(val_asOfDate,1),,)),"")</f>
        <v/>
      </c>
      <c r="CA42" s="1879" t="str" cm="1">
        <f t="array" ca="1" aca="1" ref="CA42">IFERROR(IF(AE42="","",_xldudf_CX_PUSH($AE42,CX_ENTITY,$G42,val_asOfDate,,,)),"")</f>
        <v/>
      </c>
      <c r="CB42" s="1879" t="str" cm="1">
        <f t="array" ca="1" aca="1" ref="CB42">IFERROR(IF(AE42="","",_xldudf_CX_PUSH($AE42,CX_ENTITY,$G42,EOMONTH(val_asOfDate,1),,,)),"")</f>
        <v/>
      </c>
      <c r="CC42" s="1879" t="str" cm="1">
        <f t="array" ca="1" aca="1" ref="CC42">IFERROR(IF(AF42="","",_xldudf_CX_PUSH($AF42,CX_ENTITY,$H42,val_asOfDate,,,)),"")</f>
        <v/>
      </c>
      <c r="CD42" s="1879" t="str" cm="1">
        <f t="array" ca="1" aca="1" ref="CD42">IFERROR(IF(AF42="","",_xldudf_CX_PUSH($AF42,CX_ENTITY,$H42,EOMONTH(val_asOfDate,1),,,)),"")</f>
        <v/>
      </c>
      <c r="CE42" s="1883" t="str" cm="1">
        <f t="array" ca="1" aca="1" ref="CE42">IFERROR(IF($Z42="","",IF($J42=3,_xldudf_CX_PUSH(AI42*fxVal_normal,CX_ENTITY,$F42,AI$15,$X$15,AI$13),_xldudf_CX_PUSH(AI42,CX_ENTITY,$F42,AI$15,$X$15,AI$13))),"")</f>
        <v/>
      </c>
      <c r="CF42" s="1883" t="str" cm="1">
        <f t="array" ca="1" aca="1" ref="CF42">IFERROR(IF($Z42="","",IF($J42=3,_xldudf_CX_PUSH(AJ42*fxVal_normal,CX_ENTITY,$F42,AJ$15,$X$15,AJ$13),_xldudf_CX_PUSH(AJ42,CX_ENTITY,$F42,AJ$15,$X$15,AJ$13))),"")</f>
        <v/>
      </c>
      <c r="CG42" s="1883" t="str" cm="1">
        <f t="array" ca="1" aca="1" ref="CG42">IFERROR(IF($Z42="","",IF($J42=3,_xldudf_CX_PUSH(AK42*fxVal_normal,CX_ENTITY,$F42,AK$15,$X$15,AK$13),_xldudf_CX_PUSH(AK42,CX_ENTITY,$F42,AK$15,$X$15,AK$13))),"")</f>
        <v/>
      </c>
      <c r="CH42" s="1883" t="str" cm="1">
        <f t="array" ca="1" aca="1" ref="CH42">IFERROR(IF($Z42="","",IF($J42=3,_xldudf_CX_PUSH(AL42*fxVal_normal,CX_ENTITY,$F42,AL$15,$X$15,AL$13),_xldudf_CX_PUSH(AL42,CX_ENTITY,$F42,AL$15,$X$15,AL$13))),"")</f>
        <v/>
      </c>
      <c r="CI42" s="1883" t="str" cm="1">
        <f t="array" ca="1" aca="1" ref="CI42">IFERROR(IF($Z42="","",IF($J42=3,_xldudf_CX_PUSH(AM42*fxVal_normal,CX_ENTITY,$F42,AM$15,$X$15,AM$13),_xldudf_CX_PUSH(AM42,CX_ENTITY,$F42,AM$15,$X$15,AM$13))),"")</f>
        <v/>
      </c>
      <c r="CJ42" s="1883" t="str" cm="1">
        <f t="array" ca="1" aca="1" ref="CJ42">IFERROR(IF($Z42="","",IF($J42=3,_xldudf_CX_PUSH(AN42*fxVal_normal,CX_ENTITY,$F42,AN$15,$X$15,AN$13),_xldudf_CX_PUSH(AN42,CX_ENTITY,$F42,AN$15,$X$15,AN$13))),"")</f>
        <v/>
      </c>
      <c r="CK42" s="1883" t="str" cm="1">
        <f t="array" ca="1" aca="1" ref="CK42">IFERROR(IF($Z42="","",IF($J42=3,_xldudf_CX_PUSH(AO42*fxVal_normal,CX_ENTITY,$F42,AO$15,$X$15,AO$13),_xldudf_CX_PUSH(AO42,CX_ENTITY,$F42,AO$15,$X$15,AO$13))),"")</f>
        <v/>
      </c>
      <c r="CL42" s="1883" t="str" cm="1">
        <f t="array" ca="1" aca="1" ref="CL42">IFERROR(IF($Z42="","",IF($J42=3,_xldudf_CX_PUSH(AP42*fxVal_normal,CX_ENTITY,$F42,AP$15,$X$15,AP$13),_xldudf_CX_PUSH(AP42,CX_ENTITY,$F42,AP$15,$X$15,AP$13))),"")</f>
        <v/>
      </c>
      <c r="CM42" s="1883" t="str" cm="1">
        <f t="array" ca="1" aca="1" ref="CM42">IFERROR(IF($Z42="","",IF($J42=3,_xldudf_CX_PUSH(AQ42*fxVal_normal,CX_ENTITY,$F42,AQ$15,$X$15,AQ$13),_xldudf_CX_PUSH(AQ42,CX_ENTITY,$F42,AQ$15,$X$15,AQ$13))),"")</f>
        <v/>
      </c>
      <c r="CN42" s="1883" t="str" cm="1">
        <f t="array" ca="1" aca="1" ref="CN42">IFERROR(IF($Z42="","",IF($J42=3,_xldudf_CX_PUSH(AR42*fxVal_normal,CX_ENTITY,$F42,AR$15,$X$15,AR$13),_xldudf_CX_PUSH(AR42,CX_ENTITY,$F42,AR$15,$X$15,AR$13))),"")</f>
        <v/>
      </c>
      <c r="CO42" s="1883" t="str" cm="1">
        <f t="array" ca="1" aca="1" ref="CO42">IFERROR(IF($Z42="","",IF($J42=3,_xldudf_CX_PUSH(AS42*fxVal_normal,CX_ENTITY,$F42,AS$15,$X$15,AS$13),_xldudf_CX_PUSH(AS42,CX_ENTITY,$F42,AS$15,$X$15,AS$13))),"")</f>
        <v/>
      </c>
      <c r="CP42" s="1883" t="str" cm="1">
        <f t="array" ca="1" aca="1" ref="CP42">IFERROR(IF($Z42="","",IF($J42=3,_xldudf_CX_PUSH(AT42*fxVal_normal,CX_ENTITY,$F42,AT$15,$X$15,AT$13),_xldudf_CX_PUSH(AT42,CX_ENTITY,$F42,AT$15,$X$15,AT$13))),"")</f>
        <v/>
      </c>
      <c r="CQ42" s="1883" t="str" cm="1">
        <f t="array" ca="1" aca="1" ref="CQ42">IFERROR(IF($Z42="","",IF($J42=3,_xldudf_CX_PUSH(AU42*fxVal_normal,CX_ENTITY,$F42,AU$15,$X$15,AU$13),_xldudf_CX_PUSH(AU42,CX_ENTITY,$F42,AU$15,$X$15,AU$13))),"")</f>
        <v/>
      </c>
      <c r="CR42" s="1883" t="str" cm="1">
        <f t="array" ca="1" aca="1" ref="CR42">IFERROR(IF($Z42="","",IF($J42=3,_xldudf_CX_PUSH(AV42*fxVal_normal,CX_ENTITY,$F42,AV$15,$X$15,AV$13),_xldudf_CX_PUSH(AV42,CX_ENTITY,$F42,AV$15,$X$15,AV$13))),"")</f>
        <v/>
      </c>
      <c r="CS42" s="1883" t="str" cm="1">
        <f t="array" ca="1" aca="1" ref="CS42">IFERROR(IF($Z42="","",IF($J42=3,_xldudf_CX_PUSH(AW42*fxVal_normal,CX_ENTITY,$F42,AW$15,$X$15,AW$13),_xldudf_CX_PUSH(AW42,CX_ENTITY,$F42,AW$15,$X$15,AW$13))),"")</f>
        <v/>
      </c>
      <c r="CT42" s="1883" t="str" cm="1">
        <f t="array" ca="1" aca="1" ref="CT42">IFERROR(IF($Z42="","",IF($J42=3,_xldudf_CX_PUSH(AX42*fxVal_normal,CX_ENTITY,$F42,AX$15,$X$15,AX$13),_xldudf_CX_PUSH(AX42,CX_ENTITY,$F42,AX$15,$X$15,AX$13))),"")</f>
        <v/>
      </c>
      <c r="CU42" s="1883" t="str" cm="1">
        <f t="array" ca="1" aca="1" ref="CU42">IFERROR(IF($Z42="","",IF($J42=3,_xldudf_CX_PUSH(AY42*fxVal_normal,CX_ENTITY,$F42,AY$15,$X$15,AY$13),_xldudf_CX_PUSH(AY42,CX_ENTITY,$F42,AY$15,$X$15,AY$13))),"")</f>
        <v/>
      </c>
      <c r="CV42" s="1883" t="str" cm="1">
        <f t="array" ca="1" aca="1" ref="CV42">IFERROR(IF($Z42="","",IF($J42=3,_xldudf_CX_PUSH(AZ42*fxVal_normal,CX_ENTITY,$F42,AZ$15,$X$15,AZ$13),_xldudf_CX_PUSH(AZ42,CX_ENTITY,$F42,AZ$15,$X$15,AZ$13))),"")</f>
        <v/>
      </c>
      <c r="CW42" s="1883" t="str" cm="1">
        <f t="array" ca="1" aca="1" ref="CW42">IFERROR(IF($Z42="","",IF($J42=3,_xldudf_CX_PUSH(BA42*fxVal_normal,CX_ENTITY,$F42,BA$15,$X$15,BA$13),_xldudf_CX_PUSH(BA42,CX_ENTITY,$F42,BA$15,$X$15,BA$13))),"")</f>
        <v/>
      </c>
      <c r="CX42" s="1883" t="str" cm="1">
        <f t="array" ca="1" aca="1" ref="CX42">IFERROR(IF($Z42="","",IF($J42=3,_xldudf_CX_PUSH(BB42*fxVal_normal,CX_ENTITY,$F42,BB$15,$X$15,BB$13),_xldudf_CX_PUSH(BB42,CX_ENTITY,$F42,BB$15,$X$15,BB$13))),"")</f>
        <v/>
      </c>
      <c r="CY42" s="1883" t="str" cm="1">
        <f t="array" ca="1" aca="1" ref="CY42">IFERROR(IF($Z42="","",IF($J42=3,_xldudf_CX_PUSH(BC42*fxVal_normal,CX_ENTITY,$F42,BC$15,$X$15,BC$13),_xldudf_CX_PUSH(BC42,CX_ENTITY,$F42,BC$15,$X$15,BC$13))),"")</f>
        <v/>
      </c>
      <c r="CZ42" s="1883" t="str" cm="1">
        <f t="array" ca="1" aca="1" ref="CZ42">IFERROR(IF($Z42="","",IF($J42=3,_xldudf_CX_PUSH(BD42*fxVal_normal,CX_ENTITY,$F42,BD$15,$X$15,BD$13),_xldudf_CX_PUSH(BD42,CX_ENTITY,$F42,BD$15,$X$15,BD$13))),"")</f>
        <v/>
      </c>
      <c r="DA42" s="1883" t="str" cm="1">
        <f t="array" ca="1" aca="1" ref="DA42">IFERROR(IF($Z42="","",IF($J42=3,_xldudf_CX_PUSH(BE42*fxVal_normal,CX_ENTITY,$F42,BE$15,$X$15,BE$13),_xldudf_CX_PUSH(BE42,CX_ENTITY,$F42,BE$15,$X$15,BE$13))),"")</f>
        <v/>
      </c>
      <c r="DB42" s="1883" t="str" cm="1">
        <f t="array" ca="1" aca="1" ref="DB42">IFERROR(IF($Z42="","",IF($J42=3,_xldudf_CX_PUSH(BF42*fxVal_normal,CX_ENTITY,$F42,BF$15,$X$15,BF$13),_xldudf_CX_PUSH(BF42,CX_ENTITY,$F42,BF$15,$X$15,BF$13))),"")</f>
        <v/>
      </c>
      <c r="DC42" s="1883" t="str" cm="1">
        <f t="array" ca="1" aca="1" ref="DC42">IFERROR(IF($Z42="","",IF($J42=3,_xldudf_CX_PUSH(BG42*fxVal_normal,CX_ENTITY,$F42,BG$15,$X$15,BG$13),_xldudf_CX_PUSH(BG42,CX_ENTITY,$F42,BG$15,$X$15,BG$13))),"")</f>
        <v/>
      </c>
      <c r="DD42" s="1883" t="str" cm="1">
        <f t="array" ca="1" aca="1" ref="DD42">IFERROR(IF($Z42="","",IF($J42=3,_xldudf_CX_PUSH(BH42*fxVal_normal,CX_ENTITY,$F42,BH$15,$X$15,BH$13),_xldudf_CX_PUSH(BH42,CX_ENTITY,$F42,BH$15,$X$15,BH$13))),"")</f>
        <v/>
      </c>
      <c r="DE42" s="1883" t="str" cm="1">
        <f t="array" ca="1" aca="1" ref="DE42">IFERROR(IF($Z42="","",IF($J42=3,_xldudf_CX_PUSH(BI42*fxVal_normal,CX_ENTITY,$F42,BI$15,$X$15,BI$13),_xldudf_CX_PUSH(BI42,CX_ENTITY,$F42,BI$15,$X$15,BI$13))),"")</f>
        <v/>
      </c>
      <c r="DF42" s="1883" t="str" cm="1">
        <f t="array" ca="1" aca="1" ref="DF42">IFERROR(IF($Z42="","",IF($J42=3,_xldudf_CX_PUSH(BJ42*fxVal_normal,CX_ENTITY,$F42,BJ$15,$X$15,BJ$13),_xldudf_CX_PUSH(BJ42,CX_ENTITY,$F42,BJ$15,$X$15,BJ$13))),"")</f>
        <v/>
      </c>
      <c r="DG42" s="1883" t="str" cm="1">
        <f t="array" ca="1" aca="1" ref="DG42">IFERROR(IF($Z42="","",IF($J42=3,_xldudf_CX_PUSH(BK42*fxVal_normal,CX_ENTITY,$F42,BK$15,$X$15,BK$13),_xldudf_CX_PUSH(BK42,CX_ENTITY,$F42,BK$15,$X$15,BK$13))),"")</f>
        <v/>
      </c>
      <c r="DH42" s="1883" t="str" cm="1">
        <f t="array" ca="1" aca="1" ref="DH42">IFERROR(IF($Z42="","",IF($J42=3,_xldudf_CX_PUSH(BL42*fxVal_normal,CX_ENTITY,$F42,BL$15,$X$15,BL$13),_xldudf_CX_PUSH(BL42,CX_ENTITY,$F42,BL$15,$X$15,BL$13))),"")</f>
        <v/>
      </c>
      <c r="DI42" s="1883" t="str" cm="1">
        <f t="array" ca="1" aca="1" ref="DI42">IFERROR(IF($Z42="","",IF($J42=3,_xldudf_CX_PUSH(BM42*fxVal_normal,CX_ENTITY,$F42,BM$15,$X$15,BM$13),_xldudf_CX_PUSH(BM42,CX_ENTITY,$F42,BM$15,$X$15,BM$13))),"")</f>
        <v/>
      </c>
      <c r="DJ42" s="1883" t="str" cm="1">
        <f t="array" ca="1" aca="1" ref="DJ42">IFERROR(IF($Z42="","",IF($J42=3,_xldudf_CX_PUSH(BN42*fxVal_normal,CX_ENTITY,$F42,BN$15,$X$15,BN$13),_xldudf_CX_PUSH(BN42,CX_ENTITY,$F42,BN$15,$X$15,BN$13))),"")</f>
        <v/>
      </c>
      <c r="DK42" s="1883" t="str" cm="1">
        <f t="array" ca="1" aca="1" ref="DK42">IFERROR(IF($Z42="","",IF($J42=3,_xldudf_CX_PUSH(BO42*fxVal_normal,CX_ENTITY,$F42,BO$15,$X$15,BO$13),_xldudf_CX_PUSH(BO42,CX_ENTITY,$F42,BO$15,$X$15,BO$13))),"")</f>
        <v/>
      </c>
      <c r="DL42" s="1883" t="str" cm="1">
        <f t="array" ca="1" aca="1" ref="DL42">IFERROR(IF($Z42="","",IF($J42=3,_xldudf_CX_PUSH(BP42*fxVal_normal,CX_ENTITY,$F42,BP$15,$X$15,BP$13),_xldudf_CX_PUSH(BP42,CX_ENTITY,$F42,BP$15,$X$15,BP$13))),"")</f>
        <v/>
      </c>
      <c r="DM42" s="1883" t="str" cm="1">
        <f t="array" ca="1" aca="1" ref="DM42">IFERROR(IF($Z42="","",IF($J42=3,_xldudf_CX_PUSH(BQ42*fxVal_normal,CX_ENTITY,$F42,BQ$15,$X$15,BQ$13),_xldudf_CX_PUSH(BQ42,CX_ENTITY,$F42,BQ$15,$X$15,BQ$13))),"")</f>
        <v/>
      </c>
      <c r="DN42" s="1883" t="str" cm="1">
        <f t="array" ca="1" aca="1" ref="DN42">IFERROR(IF($Z42="","",IF($J42=3,_xldudf_CX_PUSH(BR42*fxVal_normal,CX_ENTITY,$F42,BR$15,$X$15,BR$13),_xldudf_CX_PUSH(BR42,CX_ENTITY,$F42,BR$15,$X$15,BR$13))),"")</f>
        <v/>
      </c>
      <c r="DO42" s="1883" t="str" cm="1">
        <f t="array" ca="1" aca="1" ref="DO42">IFERROR(IF($Z42="","",IF($J42=3,_xldudf_CX_PUSH(BS42*fxVal_normal,CX_ENTITY,$F42,BS$15,$X$15,BS$13),_xldudf_CX_PUSH(BS42,CX_ENTITY,$F42,BS$15,$X$15,BS$13))),"")</f>
        <v/>
      </c>
    </row>
    <row r="43" spans="1:119" ht="33" customHeight="1">
      <c r="A43" s="32"/>
      <c r="B43" s="580" t="s">
        <v>381</v>
      </c>
      <c r="C43" s="1885" t="s">
        <v>382</v>
      </c>
      <c r="D43" s="1885" t="s">
        <v>383</v>
      </c>
      <c r="E43" s="1885" t="s">
        <v>384</v>
      </c>
      <c r="F43" s="1885" t="s">
        <v>385</v>
      </c>
      <c r="G43" s="574" t="s">
        <v>386</v>
      </c>
      <c r="H43" s="574" t="s">
        <v>387</v>
      </c>
      <c r="I43" s="3280">
        <v>1</v>
      </c>
      <c r="J43" s="401">
        <f t="shared" si="1"/>
        <v>0</v>
      </c>
      <c r="K43" s="401"/>
      <c r="O43" s="158"/>
      <c r="P43" s="2"/>
      <c r="Q43" s="52"/>
      <c r="R43" s="2"/>
      <c r="S43" s="2"/>
      <c r="T43" s="2"/>
      <c r="U43" s="2"/>
      <c r="V43" s="39"/>
      <c r="X43" s="3239">
        <v>1</v>
      </c>
      <c r="Y43" s="708"/>
      <c r="Z43" s="3247">
        <v>2</v>
      </c>
      <c r="AA43" s="198">
        <v>-1</v>
      </c>
      <c r="AB43" s="198"/>
      <c r="AC43" s="3241">
        <v>2</v>
      </c>
      <c r="AD43" s="3242">
        <v>2</v>
      </c>
      <c r="AE43" s="3241">
        <v>2</v>
      </c>
      <c r="AF43" s="3241">
        <v>2</v>
      </c>
      <c r="AG43" s="1568"/>
      <c r="AH43" s="1830"/>
      <c r="AI43" s="3243">
        <v>1</v>
      </c>
      <c r="AJ43" s="3243">
        <v>1</v>
      </c>
      <c r="AK43" s="3243">
        <v>1</v>
      </c>
      <c r="AL43" s="3243">
        <v>1</v>
      </c>
      <c r="AM43" s="3243">
        <v>1</v>
      </c>
      <c r="AN43" s="3243">
        <v>1</v>
      </c>
      <c r="AO43" s="3243">
        <v>1</v>
      </c>
      <c r="AP43" s="3243">
        <v>1</v>
      </c>
      <c r="AQ43" s="3243">
        <v>1</v>
      </c>
      <c r="AR43" s="3243">
        <v>1</v>
      </c>
      <c r="AS43" s="3243">
        <v>1</v>
      </c>
      <c r="AT43" s="3243">
        <v>1</v>
      </c>
      <c r="AU43" s="3243">
        <v>1</v>
      </c>
      <c r="AV43" s="3243">
        <v>1</v>
      </c>
      <c r="AW43" s="3243">
        <v>1</v>
      </c>
      <c r="AX43" s="3243">
        <v>1</v>
      </c>
      <c r="AY43" s="3243">
        <v>1</v>
      </c>
      <c r="AZ43" s="3243">
        <v>1</v>
      </c>
      <c r="BA43" s="3243">
        <v>1</v>
      </c>
      <c r="BB43" s="3243">
        <v>1</v>
      </c>
      <c r="BC43" s="3243">
        <v>1</v>
      </c>
      <c r="BD43" s="3243">
        <v>1</v>
      </c>
      <c r="BE43" s="3243">
        <v>1</v>
      </c>
      <c r="BF43" s="3243">
        <v>1</v>
      </c>
      <c r="BG43" s="3243">
        <v>1</v>
      </c>
      <c r="BH43" s="3243">
        <v>1</v>
      </c>
      <c r="BI43" s="3243">
        <v>1</v>
      </c>
      <c r="BJ43" s="3243">
        <v>1</v>
      </c>
      <c r="BK43" s="3243">
        <v>1</v>
      </c>
      <c r="BL43" s="3243">
        <v>1</v>
      </c>
      <c r="BM43" s="3243">
        <v>1</v>
      </c>
      <c r="BN43" s="3243">
        <v>1</v>
      </c>
      <c r="BO43" s="3243">
        <v>1</v>
      </c>
      <c r="BP43" s="3243">
        <v>1</v>
      </c>
      <c r="BQ43" s="3243">
        <v>1</v>
      </c>
      <c r="BR43" s="3243">
        <v>1</v>
      </c>
      <c r="BS43" s="3243">
        <v>1</v>
      </c>
      <c r="BU43" s="2276" t="str" cm="1">
        <f t="array" ca="1" aca="1" ref="BU43">IFERROR(IF(Z43="","",_xldudf_CX_PUSH($Z43,CX_ENTITY,$B43,val_asOfDate,,,)),"")</f>
        <v/>
      </c>
      <c r="BV43" s="2276" t="str" cm="1">
        <f t="array" ca="1" aca="1" ref="BV43">IFERROR(IF(AC43="","",_xldudf_CX_PUSH($AC43,CX_ENTITY,$D43,val_asOfDate,,,)),"")</f>
        <v/>
      </c>
      <c r="BW43" s="2276" t="str" cm="1">
        <f t="array" ca="1" aca="1" ref="BW43">IFERROR(IF(Z43="","",_xldudf_CX_PUSH($Z43,CX_ENTITY,$B43,EOMONTH(val_asOfDate,1),,,)),"")</f>
        <v/>
      </c>
      <c r="BX43" s="2276" t="str" cm="1">
        <f t="array" ca="1" aca="1" ref="BX43">IFERROR(IF(AC43="","",_xldudf_CX_PUSH($AC43,CX_ENTITY,$D43,EOMONTH(val_asOfDate,1),,)),"")</f>
        <v/>
      </c>
      <c r="BY43" s="2276" t="str" cm="1">
        <f t="array" ca="1" aca="1" ref="BY43">IFERROR(IF(AD43="","",_xldudf_CX_PUSH($AD43,CX_ENTITY,$E43,val_asOfDate,,,)),"")</f>
        <v/>
      </c>
      <c r="BZ43" s="2276" t="str" cm="1">
        <f t="array" ca="1" aca="1" ref="BZ43">IFERROR(IF(AD43="","",_xldudf_CX_PUSH($AD43,CX_ENTITY,$E43,EOMONTH(val_asOfDate,1),,)),"")</f>
        <v/>
      </c>
      <c r="CA43" s="1879" t="str" cm="1">
        <f t="array" ca="1" aca="1" ref="CA43">IFERROR(IF(AE43="","",_xldudf_CX_PUSH($AE43,CX_ENTITY,$G43,val_asOfDate,,,)),"")</f>
        <v/>
      </c>
      <c r="CB43" s="1879" t="str" cm="1">
        <f t="array" ca="1" aca="1" ref="CB43">IFERROR(IF(AE43="","",_xldudf_CX_PUSH($AE43,CX_ENTITY,$G43,EOMONTH(val_asOfDate,1),,,)),"")</f>
        <v/>
      </c>
      <c r="CC43" s="1879" t="str" cm="1">
        <f t="array" ca="1" aca="1" ref="CC43">IFERROR(IF(AF43="","",_xldudf_CX_PUSH($AF43,CX_ENTITY,$H43,val_asOfDate,,,)),"")</f>
        <v/>
      </c>
      <c r="CD43" s="1879" t="str" cm="1">
        <f t="array" ca="1" aca="1" ref="CD43">IFERROR(IF(AF43="","",_xldudf_CX_PUSH($AF43,CX_ENTITY,$H43,EOMONTH(val_asOfDate,1),,,)),"")</f>
        <v/>
      </c>
      <c r="CE43" s="1883" t="str" cm="1">
        <f t="array" ca="1" aca="1" ref="CE43">IFERROR(IF($Z43="","",IF($J43=3,_xldudf_CX_PUSH(AI43*fxVal_normal,CX_ENTITY,$F43,AI$15,$X$15,AI$13),_xldudf_CX_PUSH(AI43,CX_ENTITY,$F43,AI$15,$X$15,AI$13))),"")</f>
        <v/>
      </c>
      <c r="CF43" s="1883" t="str" cm="1">
        <f t="array" ca="1" aca="1" ref="CF43">IFERROR(IF($Z43="","",IF($J43=3,_xldudf_CX_PUSH(AJ43*fxVal_normal,CX_ENTITY,$F43,AJ$15,$X$15,AJ$13),_xldudf_CX_PUSH(AJ43,CX_ENTITY,$F43,AJ$15,$X$15,AJ$13))),"")</f>
        <v/>
      </c>
      <c r="CG43" s="1883" t="str" cm="1">
        <f t="array" ca="1" aca="1" ref="CG43">IFERROR(IF($Z43="","",IF($J43=3,_xldudf_CX_PUSH(AK43*fxVal_normal,CX_ENTITY,$F43,AK$15,$X$15,AK$13),_xldudf_CX_PUSH(AK43,CX_ENTITY,$F43,AK$15,$X$15,AK$13))),"")</f>
        <v/>
      </c>
      <c r="CH43" s="1883" t="str" cm="1">
        <f t="array" ca="1" aca="1" ref="CH43">IFERROR(IF($Z43="","",IF($J43=3,_xldudf_CX_PUSH(AL43*fxVal_normal,CX_ENTITY,$F43,AL$15,$X$15,AL$13),_xldudf_CX_PUSH(AL43,CX_ENTITY,$F43,AL$15,$X$15,AL$13))),"")</f>
        <v/>
      </c>
      <c r="CI43" s="1883" t="str" cm="1">
        <f t="array" ca="1" aca="1" ref="CI43">IFERROR(IF($Z43="","",IF($J43=3,_xldudf_CX_PUSH(AM43*fxVal_normal,CX_ENTITY,$F43,AM$15,$X$15,AM$13),_xldudf_CX_PUSH(AM43,CX_ENTITY,$F43,AM$15,$X$15,AM$13))),"")</f>
        <v/>
      </c>
      <c r="CJ43" s="1883" t="str" cm="1">
        <f t="array" ca="1" aca="1" ref="CJ43">IFERROR(IF($Z43="","",IF($J43=3,_xldudf_CX_PUSH(AN43*fxVal_normal,CX_ENTITY,$F43,AN$15,$X$15,AN$13),_xldudf_CX_PUSH(AN43,CX_ENTITY,$F43,AN$15,$X$15,AN$13))),"")</f>
        <v/>
      </c>
      <c r="CK43" s="1883" t="str" cm="1">
        <f t="array" ca="1" aca="1" ref="CK43">IFERROR(IF($Z43="","",IF($J43=3,_xldudf_CX_PUSH(AO43*fxVal_normal,CX_ENTITY,$F43,AO$15,$X$15,AO$13),_xldudf_CX_PUSH(AO43,CX_ENTITY,$F43,AO$15,$X$15,AO$13))),"")</f>
        <v/>
      </c>
      <c r="CL43" s="1883" t="str" cm="1">
        <f t="array" ca="1" aca="1" ref="CL43">IFERROR(IF($Z43="","",IF($J43=3,_xldudf_CX_PUSH(AP43*fxVal_normal,CX_ENTITY,$F43,AP$15,$X$15,AP$13),_xldudf_CX_PUSH(AP43,CX_ENTITY,$F43,AP$15,$X$15,AP$13))),"")</f>
        <v/>
      </c>
      <c r="CM43" s="1883" t="str" cm="1">
        <f t="array" ca="1" aca="1" ref="CM43">IFERROR(IF($Z43="","",IF($J43=3,_xldudf_CX_PUSH(AQ43*fxVal_normal,CX_ENTITY,$F43,AQ$15,$X$15,AQ$13),_xldudf_CX_PUSH(AQ43,CX_ENTITY,$F43,AQ$15,$X$15,AQ$13))),"")</f>
        <v/>
      </c>
      <c r="CN43" s="1883" t="str" cm="1">
        <f t="array" ca="1" aca="1" ref="CN43">IFERROR(IF($Z43="","",IF($J43=3,_xldudf_CX_PUSH(AR43*fxVal_normal,CX_ENTITY,$F43,AR$15,$X$15,AR$13),_xldudf_CX_PUSH(AR43,CX_ENTITY,$F43,AR$15,$X$15,AR$13))),"")</f>
        <v/>
      </c>
      <c r="CO43" s="1883" t="str" cm="1">
        <f t="array" ca="1" aca="1" ref="CO43">IFERROR(IF($Z43="","",IF($J43=3,_xldudf_CX_PUSH(AS43*fxVal_normal,CX_ENTITY,$F43,AS$15,$X$15,AS$13),_xldudf_CX_PUSH(AS43,CX_ENTITY,$F43,AS$15,$X$15,AS$13))),"")</f>
        <v/>
      </c>
      <c r="CP43" s="1883" t="str" cm="1">
        <f t="array" ca="1" aca="1" ref="CP43">IFERROR(IF($Z43="","",IF($J43=3,_xldudf_CX_PUSH(AT43*fxVal_normal,CX_ENTITY,$F43,AT$15,$X$15,AT$13),_xldudf_CX_PUSH(AT43,CX_ENTITY,$F43,AT$15,$X$15,AT$13))),"")</f>
        <v/>
      </c>
      <c r="CQ43" s="1883" t="str" cm="1">
        <f t="array" ca="1" aca="1" ref="CQ43">IFERROR(IF($Z43="","",IF($J43=3,_xldudf_CX_PUSH(AU43*fxVal_normal,CX_ENTITY,$F43,AU$15,$X$15,AU$13),_xldudf_CX_PUSH(AU43,CX_ENTITY,$F43,AU$15,$X$15,AU$13))),"")</f>
        <v/>
      </c>
      <c r="CR43" s="1883" t="str" cm="1">
        <f t="array" ca="1" aca="1" ref="CR43">IFERROR(IF($Z43="","",IF($J43=3,_xldudf_CX_PUSH(AV43*fxVal_normal,CX_ENTITY,$F43,AV$15,$X$15,AV$13),_xldudf_CX_PUSH(AV43,CX_ENTITY,$F43,AV$15,$X$15,AV$13))),"")</f>
        <v/>
      </c>
      <c r="CS43" s="1883" t="str" cm="1">
        <f t="array" ca="1" aca="1" ref="CS43">IFERROR(IF($Z43="","",IF($J43=3,_xldudf_CX_PUSH(AW43*fxVal_normal,CX_ENTITY,$F43,AW$15,$X$15,AW$13),_xldudf_CX_PUSH(AW43,CX_ENTITY,$F43,AW$15,$X$15,AW$13))),"")</f>
        <v/>
      </c>
      <c r="CT43" s="1883" t="str" cm="1">
        <f t="array" ca="1" aca="1" ref="CT43">IFERROR(IF($Z43="","",IF($J43=3,_xldudf_CX_PUSH(AX43*fxVal_normal,CX_ENTITY,$F43,AX$15,$X$15,AX$13),_xldudf_CX_PUSH(AX43,CX_ENTITY,$F43,AX$15,$X$15,AX$13))),"")</f>
        <v/>
      </c>
      <c r="CU43" s="1883" t="str" cm="1">
        <f t="array" ca="1" aca="1" ref="CU43">IFERROR(IF($Z43="","",IF($J43=3,_xldudf_CX_PUSH(AY43*fxVal_normal,CX_ENTITY,$F43,AY$15,$X$15,AY$13),_xldudf_CX_PUSH(AY43,CX_ENTITY,$F43,AY$15,$X$15,AY$13))),"")</f>
        <v/>
      </c>
      <c r="CV43" s="1883" t="str" cm="1">
        <f t="array" ca="1" aca="1" ref="CV43">IFERROR(IF($Z43="","",IF($J43=3,_xldudf_CX_PUSH(AZ43*fxVal_normal,CX_ENTITY,$F43,AZ$15,$X$15,AZ$13),_xldudf_CX_PUSH(AZ43,CX_ENTITY,$F43,AZ$15,$X$15,AZ$13))),"")</f>
        <v/>
      </c>
      <c r="CW43" s="1883" t="str" cm="1">
        <f t="array" ca="1" aca="1" ref="CW43">IFERROR(IF($Z43="","",IF($J43=3,_xldudf_CX_PUSH(BA43*fxVal_normal,CX_ENTITY,$F43,BA$15,$X$15,BA$13),_xldudf_CX_PUSH(BA43,CX_ENTITY,$F43,BA$15,$X$15,BA$13))),"")</f>
        <v/>
      </c>
      <c r="CX43" s="1883" t="str" cm="1">
        <f t="array" ca="1" aca="1" ref="CX43">IFERROR(IF($Z43="","",IF($J43=3,_xldudf_CX_PUSH(BB43*fxVal_normal,CX_ENTITY,$F43,BB$15,$X$15,BB$13),_xldudf_CX_PUSH(BB43,CX_ENTITY,$F43,BB$15,$X$15,BB$13))),"")</f>
        <v/>
      </c>
      <c r="CY43" s="1883" t="str" cm="1">
        <f t="array" ca="1" aca="1" ref="CY43">IFERROR(IF($Z43="","",IF($J43=3,_xldudf_CX_PUSH(BC43*fxVal_normal,CX_ENTITY,$F43,BC$15,$X$15,BC$13),_xldudf_CX_PUSH(BC43,CX_ENTITY,$F43,BC$15,$X$15,BC$13))),"")</f>
        <v/>
      </c>
      <c r="CZ43" s="1883" t="str" cm="1">
        <f t="array" ca="1" aca="1" ref="CZ43">IFERROR(IF($Z43="","",IF($J43=3,_xldudf_CX_PUSH(BD43*fxVal_normal,CX_ENTITY,$F43,BD$15,$X$15,BD$13),_xldudf_CX_PUSH(BD43,CX_ENTITY,$F43,BD$15,$X$15,BD$13))),"")</f>
        <v/>
      </c>
      <c r="DA43" s="1883" t="str" cm="1">
        <f t="array" ca="1" aca="1" ref="DA43">IFERROR(IF($Z43="","",IF($J43=3,_xldudf_CX_PUSH(BE43*fxVal_normal,CX_ENTITY,$F43,BE$15,$X$15,BE$13),_xldudf_CX_PUSH(BE43,CX_ENTITY,$F43,BE$15,$X$15,BE$13))),"")</f>
        <v/>
      </c>
      <c r="DB43" s="1883" t="str" cm="1">
        <f t="array" ca="1" aca="1" ref="DB43">IFERROR(IF($Z43="","",IF($J43=3,_xldudf_CX_PUSH(BF43*fxVal_normal,CX_ENTITY,$F43,BF$15,$X$15,BF$13),_xldudf_CX_PUSH(BF43,CX_ENTITY,$F43,BF$15,$X$15,BF$13))),"")</f>
        <v/>
      </c>
      <c r="DC43" s="1883" t="str" cm="1">
        <f t="array" ca="1" aca="1" ref="DC43">IFERROR(IF($Z43="","",IF($J43=3,_xldudf_CX_PUSH(BG43*fxVal_normal,CX_ENTITY,$F43,BG$15,$X$15,BG$13),_xldudf_CX_PUSH(BG43,CX_ENTITY,$F43,BG$15,$X$15,BG$13))),"")</f>
        <v/>
      </c>
      <c r="DD43" s="1883" t="str" cm="1">
        <f t="array" ca="1" aca="1" ref="DD43">IFERROR(IF($Z43="","",IF($J43=3,_xldudf_CX_PUSH(BH43*fxVal_normal,CX_ENTITY,$F43,BH$15,$X$15,BH$13),_xldudf_CX_PUSH(BH43,CX_ENTITY,$F43,BH$15,$X$15,BH$13))),"")</f>
        <v/>
      </c>
      <c r="DE43" s="1883" t="str" cm="1">
        <f t="array" ca="1" aca="1" ref="DE43">IFERROR(IF($Z43="","",IF($J43=3,_xldudf_CX_PUSH(BI43*fxVal_normal,CX_ENTITY,$F43,BI$15,$X$15,BI$13),_xldudf_CX_PUSH(BI43,CX_ENTITY,$F43,BI$15,$X$15,BI$13))),"")</f>
        <v/>
      </c>
      <c r="DF43" s="1883" t="str" cm="1">
        <f t="array" ca="1" aca="1" ref="DF43">IFERROR(IF($Z43="","",IF($J43=3,_xldudf_CX_PUSH(BJ43*fxVal_normal,CX_ENTITY,$F43,BJ$15,$X$15,BJ$13),_xldudf_CX_PUSH(BJ43,CX_ENTITY,$F43,BJ$15,$X$15,BJ$13))),"")</f>
        <v/>
      </c>
      <c r="DG43" s="1883" t="str" cm="1">
        <f t="array" ca="1" aca="1" ref="DG43">IFERROR(IF($Z43="","",IF($J43=3,_xldudf_CX_PUSH(BK43*fxVal_normal,CX_ENTITY,$F43,BK$15,$X$15,BK$13),_xldudf_CX_PUSH(BK43,CX_ENTITY,$F43,BK$15,$X$15,BK$13))),"")</f>
        <v/>
      </c>
      <c r="DH43" s="1883" t="str" cm="1">
        <f t="array" ca="1" aca="1" ref="DH43">IFERROR(IF($Z43="","",IF($J43=3,_xldudf_CX_PUSH(BL43*fxVal_normal,CX_ENTITY,$F43,BL$15,$X$15,BL$13),_xldudf_CX_PUSH(BL43,CX_ENTITY,$F43,BL$15,$X$15,BL$13))),"")</f>
        <v/>
      </c>
      <c r="DI43" s="1883" t="str" cm="1">
        <f t="array" ca="1" aca="1" ref="DI43">IFERROR(IF($Z43="","",IF($J43=3,_xldudf_CX_PUSH(BM43*fxVal_normal,CX_ENTITY,$F43,BM$15,$X$15,BM$13),_xldudf_CX_PUSH(BM43,CX_ENTITY,$F43,BM$15,$X$15,BM$13))),"")</f>
        <v/>
      </c>
      <c r="DJ43" s="1883" t="str" cm="1">
        <f t="array" ca="1" aca="1" ref="DJ43">IFERROR(IF($Z43="","",IF($J43=3,_xldudf_CX_PUSH(BN43*fxVal_normal,CX_ENTITY,$F43,BN$15,$X$15,BN$13),_xldudf_CX_PUSH(BN43,CX_ENTITY,$F43,BN$15,$X$15,BN$13))),"")</f>
        <v/>
      </c>
      <c r="DK43" s="1883" t="str" cm="1">
        <f t="array" ca="1" aca="1" ref="DK43">IFERROR(IF($Z43="","",IF($J43=3,_xldudf_CX_PUSH(BO43*fxVal_normal,CX_ENTITY,$F43,BO$15,$X$15,BO$13),_xldudf_CX_PUSH(BO43,CX_ENTITY,$F43,BO$15,$X$15,BO$13))),"")</f>
        <v/>
      </c>
      <c r="DL43" s="1883" t="str" cm="1">
        <f t="array" ca="1" aca="1" ref="DL43">IFERROR(IF($Z43="","",IF($J43=3,_xldudf_CX_PUSH(BP43*fxVal_normal,CX_ENTITY,$F43,BP$15,$X$15,BP$13),_xldudf_CX_PUSH(BP43,CX_ENTITY,$F43,BP$15,$X$15,BP$13))),"")</f>
        <v/>
      </c>
      <c r="DM43" s="1883" t="str" cm="1">
        <f t="array" ca="1" aca="1" ref="DM43">IFERROR(IF($Z43="","",IF($J43=3,_xldudf_CX_PUSH(BQ43*fxVal_normal,CX_ENTITY,$F43,BQ$15,$X$15,BQ$13),_xldudf_CX_PUSH(BQ43,CX_ENTITY,$F43,BQ$15,$X$15,BQ$13))),"")</f>
        <v/>
      </c>
      <c r="DN43" s="1883" t="str" cm="1">
        <f t="array" ca="1" aca="1" ref="DN43">IFERROR(IF($Z43="","",IF($J43=3,_xldudf_CX_PUSH(BR43*fxVal_normal,CX_ENTITY,$F43,BR$15,$X$15,BR$13),_xldudf_CX_PUSH(BR43,CX_ENTITY,$F43,BR$15,$X$15,BR$13))),"")</f>
        <v/>
      </c>
      <c r="DO43" s="1883" t="str" cm="1">
        <f t="array" ca="1" aca="1" ref="DO43">IFERROR(IF($Z43="","",IF($J43=3,_xldudf_CX_PUSH(BS43*fxVal_normal,CX_ENTITY,$F43,BS$15,$X$15,BS$13),_xldudf_CX_PUSH(BS43,CX_ENTITY,$F43,BS$15,$X$15,BS$13))),"")</f>
        <v/>
      </c>
    </row>
    <row r="44" spans="1:119" ht="33" customHeight="1">
      <c r="A44" s="32"/>
      <c r="B44" s="580" t="s">
        <v>388</v>
      </c>
      <c r="C44" s="1885" t="s">
        <v>389</v>
      </c>
      <c r="D44" s="1885" t="s">
        <v>390</v>
      </c>
      <c r="E44" s="1885" t="s">
        <v>391</v>
      </c>
      <c r="F44" s="1885" t="s">
        <v>392</v>
      </c>
      <c r="G44" s="574" t="s">
        <v>393</v>
      </c>
      <c r="H44" s="574" t="s">
        <v>394</v>
      </c>
      <c r="I44" s="401">
        <v>0</v>
      </c>
      <c r="J44" s="401">
        <f t="shared" si="1"/>
        <v>0</v>
      </c>
      <c r="K44" s="401"/>
      <c r="O44" s="158"/>
      <c r="P44" s="2"/>
      <c r="Q44" s="52"/>
      <c r="R44" s="2"/>
      <c r="S44" s="89"/>
      <c r="T44" s="1835"/>
      <c r="U44" s="1835"/>
      <c r="V44" s="39"/>
      <c r="X44" s="3239">
        <v>1</v>
      </c>
      <c r="Y44" s="708"/>
      <c r="Z44" s="3247">
        <v>2</v>
      </c>
      <c r="AA44" s="198">
        <v>-1</v>
      </c>
      <c r="AB44" s="198"/>
      <c r="AC44" s="3241">
        <v>2</v>
      </c>
      <c r="AD44" s="3242">
        <v>2</v>
      </c>
      <c r="AE44" s="3241">
        <v>2</v>
      </c>
      <c r="AF44" s="3241">
        <v>2</v>
      </c>
      <c r="AG44" s="1568"/>
      <c r="AH44" s="1830"/>
      <c r="AI44" s="3243">
        <v>1</v>
      </c>
      <c r="AJ44" s="3243">
        <v>1</v>
      </c>
      <c r="AK44" s="3243">
        <v>1</v>
      </c>
      <c r="AL44" s="3243">
        <v>1</v>
      </c>
      <c r="AM44" s="3243">
        <v>1</v>
      </c>
      <c r="AN44" s="3243">
        <v>1</v>
      </c>
      <c r="AO44" s="3243">
        <v>1</v>
      </c>
      <c r="AP44" s="3243">
        <v>1</v>
      </c>
      <c r="AQ44" s="3243">
        <v>1</v>
      </c>
      <c r="AR44" s="3243">
        <v>1</v>
      </c>
      <c r="AS44" s="3243">
        <v>1</v>
      </c>
      <c r="AT44" s="3243">
        <v>1</v>
      </c>
      <c r="AU44" s="3243">
        <v>1</v>
      </c>
      <c r="AV44" s="3243">
        <v>1</v>
      </c>
      <c r="AW44" s="3243">
        <v>1</v>
      </c>
      <c r="AX44" s="3243">
        <v>1</v>
      </c>
      <c r="AY44" s="3243">
        <v>1</v>
      </c>
      <c r="AZ44" s="3243">
        <v>1</v>
      </c>
      <c r="BA44" s="3243">
        <v>1</v>
      </c>
      <c r="BB44" s="3243">
        <v>1</v>
      </c>
      <c r="BC44" s="3243">
        <v>1</v>
      </c>
      <c r="BD44" s="3243">
        <v>1</v>
      </c>
      <c r="BE44" s="3243">
        <v>1</v>
      </c>
      <c r="BF44" s="3243">
        <v>1</v>
      </c>
      <c r="BG44" s="3243">
        <v>1</v>
      </c>
      <c r="BH44" s="3243">
        <v>1</v>
      </c>
      <c r="BI44" s="3243">
        <v>1</v>
      </c>
      <c r="BJ44" s="3243">
        <v>1</v>
      </c>
      <c r="BK44" s="3243">
        <v>1</v>
      </c>
      <c r="BL44" s="3243">
        <v>1</v>
      </c>
      <c r="BM44" s="3243">
        <v>1</v>
      </c>
      <c r="BN44" s="3243">
        <v>1</v>
      </c>
      <c r="BO44" s="3243">
        <v>1</v>
      </c>
      <c r="BP44" s="3243">
        <v>1</v>
      </c>
      <c r="BQ44" s="3243">
        <v>1</v>
      </c>
      <c r="BR44" s="3243">
        <v>1</v>
      </c>
      <c r="BS44" s="3243">
        <v>1</v>
      </c>
      <c r="BU44" s="2276" t="str" cm="1">
        <f t="array" ca="1" aca="1" ref="BU44">IFERROR(IF(Z44="","",_xldudf_CX_PUSH($Z44,CX_ENTITY,$B44,val_asOfDate,,,)),"")</f>
        <v/>
      </c>
      <c r="BV44" s="2276" t="str" cm="1">
        <f t="array" ca="1" aca="1" ref="BV44">IFERROR(IF(AC44="","",_xldudf_CX_PUSH($AC44,CX_ENTITY,$D44,val_asOfDate,,,)),"")</f>
        <v/>
      </c>
      <c r="BW44" s="2276" t="str" cm="1">
        <f t="array" ca="1" aca="1" ref="BW44">IFERROR(IF(Z44="","",_xldudf_CX_PUSH($Z44,CX_ENTITY,$B44,EOMONTH(val_asOfDate,1),,,)),"")</f>
        <v/>
      </c>
      <c r="BX44" s="2276" t="str" cm="1">
        <f t="array" ca="1" aca="1" ref="BX44">IFERROR(IF(AC44="","",_xldudf_CX_PUSH($AC44,CX_ENTITY,$D44,EOMONTH(val_asOfDate,1),,)),"")</f>
        <v/>
      </c>
      <c r="BY44" s="2276" t="str" cm="1">
        <f t="array" ca="1" aca="1" ref="BY44">IFERROR(IF(AD44="","",_xldudf_CX_PUSH($AD44,CX_ENTITY,$E44,val_asOfDate,,,)),"")</f>
        <v/>
      </c>
      <c r="BZ44" s="2276" t="str" cm="1">
        <f t="array" ca="1" aca="1" ref="BZ44">IFERROR(IF(AD44="","",_xldudf_CX_PUSH($AD44,CX_ENTITY,$E44,EOMONTH(val_asOfDate,1),,)),"")</f>
        <v/>
      </c>
      <c r="CA44" s="1879" t="str" cm="1">
        <f t="array" ca="1" aca="1" ref="CA44">IFERROR(IF(AE44="","",_xldudf_CX_PUSH($AE44,CX_ENTITY,$G44,val_asOfDate,,,)),"")</f>
        <v/>
      </c>
      <c r="CB44" s="1879" t="str" cm="1">
        <f t="array" ca="1" aca="1" ref="CB44">IFERROR(IF(AE44="","",_xldudf_CX_PUSH($AE44,CX_ENTITY,$G44,EOMONTH(val_asOfDate,1),,,)),"")</f>
        <v/>
      </c>
      <c r="CC44" s="1879" t="str" cm="1">
        <f t="array" ca="1" aca="1" ref="CC44">IFERROR(IF(AF44="","",_xldudf_CX_PUSH($AF44,CX_ENTITY,$H44,val_asOfDate,,,)),"")</f>
        <v/>
      </c>
      <c r="CD44" s="1879" t="str" cm="1">
        <f t="array" ca="1" aca="1" ref="CD44">IFERROR(IF(AF44="","",_xldudf_CX_PUSH($AF44,CX_ENTITY,$H44,EOMONTH(val_asOfDate,1),,,)),"")</f>
        <v/>
      </c>
      <c r="CE44" s="1883" t="str" cm="1">
        <f t="array" ca="1" aca="1" ref="CE44">IFERROR(IF($Z44="","",IF($J44=3,_xldudf_CX_PUSH(AI44*fxVal_normal,CX_ENTITY,$F44,AI$15,$X$15,AI$13),_xldudf_CX_PUSH(AI44,CX_ENTITY,$F44,AI$15,$X$15,AI$13))),"")</f>
        <v/>
      </c>
      <c r="CF44" s="1883" t="str" cm="1">
        <f t="array" ca="1" aca="1" ref="CF44">IFERROR(IF($Z44="","",IF($J44=3,_xldudf_CX_PUSH(AJ44*fxVal_normal,CX_ENTITY,$F44,AJ$15,$X$15,AJ$13),_xldudf_CX_PUSH(AJ44,CX_ENTITY,$F44,AJ$15,$X$15,AJ$13))),"")</f>
        <v/>
      </c>
      <c r="CG44" s="1883" t="str" cm="1">
        <f t="array" ca="1" aca="1" ref="CG44">IFERROR(IF($Z44="","",IF($J44=3,_xldudf_CX_PUSH(AK44*fxVal_normal,CX_ENTITY,$F44,AK$15,$X$15,AK$13),_xldudf_CX_PUSH(AK44,CX_ENTITY,$F44,AK$15,$X$15,AK$13))),"")</f>
        <v/>
      </c>
      <c r="CH44" s="1883" t="str" cm="1">
        <f t="array" ca="1" aca="1" ref="CH44">IFERROR(IF($Z44="","",IF($J44=3,_xldudf_CX_PUSH(AL44*fxVal_normal,CX_ENTITY,$F44,AL$15,$X$15,AL$13),_xldudf_CX_PUSH(AL44,CX_ENTITY,$F44,AL$15,$X$15,AL$13))),"")</f>
        <v/>
      </c>
      <c r="CI44" s="1883" t="str" cm="1">
        <f t="array" ca="1" aca="1" ref="CI44">IFERROR(IF($Z44="","",IF($J44=3,_xldudf_CX_PUSH(AM44*fxVal_normal,CX_ENTITY,$F44,AM$15,$X$15,AM$13),_xldudf_CX_PUSH(AM44,CX_ENTITY,$F44,AM$15,$X$15,AM$13))),"")</f>
        <v/>
      </c>
      <c r="CJ44" s="1883" t="str" cm="1">
        <f t="array" ca="1" aca="1" ref="CJ44">IFERROR(IF($Z44="","",IF($J44=3,_xldudf_CX_PUSH(AN44*fxVal_normal,CX_ENTITY,$F44,AN$15,$X$15,AN$13),_xldudf_CX_PUSH(AN44,CX_ENTITY,$F44,AN$15,$X$15,AN$13))),"")</f>
        <v/>
      </c>
      <c r="CK44" s="1883" t="str" cm="1">
        <f t="array" ca="1" aca="1" ref="CK44">IFERROR(IF($Z44="","",IF($J44=3,_xldudf_CX_PUSH(AO44*fxVal_normal,CX_ENTITY,$F44,AO$15,$X$15,AO$13),_xldudf_CX_PUSH(AO44,CX_ENTITY,$F44,AO$15,$X$15,AO$13))),"")</f>
        <v/>
      </c>
      <c r="CL44" s="1883" t="str" cm="1">
        <f t="array" ca="1" aca="1" ref="CL44">IFERROR(IF($Z44="","",IF($J44=3,_xldudf_CX_PUSH(AP44*fxVal_normal,CX_ENTITY,$F44,AP$15,$X$15,AP$13),_xldudf_CX_PUSH(AP44,CX_ENTITY,$F44,AP$15,$X$15,AP$13))),"")</f>
        <v/>
      </c>
      <c r="CM44" s="1883" t="str" cm="1">
        <f t="array" ca="1" aca="1" ref="CM44">IFERROR(IF($Z44="","",IF($J44=3,_xldudf_CX_PUSH(AQ44*fxVal_normal,CX_ENTITY,$F44,AQ$15,$X$15,AQ$13),_xldudf_CX_PUSH(AQ44,CX_ENTITY,$F44,AQ$15,$X$15,AQ$13))),"")</f>
        <v/>
      </c>
      <c r="CN44" s="1883" t="str" cm="1">
        <f t="array" ca="1" aca="1" ref="CN44">IFERROR(IF($Z44="","",IF($J44=3,_xldudf_CX_PUSH(AR44*fxVal_normal,CX_ENTITY,$F44,AR$15,$X$15,AR$13),_xldudf_CX_PUSH(AR44,CX_ENTITY,$F44,AR$15,$X$15,AR$13))),"")</f>
        <v/>
      </c>
      <c r="CO44" s="1883" t="str" cm="1">
        <f t="array" ca="1" aca="1" ref="CO44">IFERROR(IF($Z44="","",IF($J44=3,_xldudf_CX_PUSH(AS44*fxVal_normal,CX_ENTITY,$F44,AS$15,$X$15,AS$13),_xldudf_CX_PUSH(AS44,CX_ENTITY,$F44,AS$15,$X$15,AS$13))),"")</f>
        <v/>
      </c>
      <c r="CP44" s="1883" t="str" cm="1">
        <f t="array" ca="1" aca="1" ref="CP44">IFERROR(IF($Z44="","",IF($J44=3,_xldudf_CX_PUSH(AT44*fxVal_normal,CX_ENTITY,$F44,AT$15,$X$15,AT$13),_xldudf_CX_PUSH(AT44,CX_ENTITY,$F44,AT$15,$X$15,AT$13))),"")</f>
        <v/>
      </c>
      <c r="CQ44" s="1883" t="str" cm="1">
        <f t="array" ca="1" aca="1" ref="CQ44">IFERROR(IF($Z44="","",IF($J44=3,_xldudf_CX_PUSH(AU44*fxVal_normal,CX_ENTITY,$F44,AU$15,$X$15,AU$13),_xldudf_CX_PUSH(AU44,CX_ENTITY,$F44,AU$15,$X$15,AU$13))),"")</f>
        <v/>
      </c>
      <c r="CR44" s="1883" t="str" cm="1">
        <f t="array" ca="1" aca="1" ref="CR44">IFERROR(IF($Z44="","",IF($J44=3,_xldudf_CX_PUSH(AV44*fxVal_normal,CX_ENTITY,$F44,AV$15,$X$15,AV$13),_xldudf_CX_PUSH(AV44,CX_ENTITY,$F44,AV$15,$X$15,AV$13))),"")</f>
        <v/>
      </c>
      <c r="CS44" s="1883" t="str" cm="1">
        <f t="array" ca="1" aca="1" ref="CS44">IFERROR(IF($Z44="","",IF($J44=3,_xldudf_CX_PUSH(AW44*fxVal_normal,CX_ENTITY,$F44,AW$15,$X$15,AW$13),_xldudf_CX_PUSH(AW44,CX_ENTITY,$F44,AW$15,$X$15,AW$13))),"")</f>
        <v/>
      </c>
      <c r="CT44" s="1883" t="str" cm="1">
        <f t="array" ca="1" aca="1" ref="CT44">IFERROR(IF($Z44="","",IF($J44=3,_xldudf_CX_PUSH(AX44*fxVal_normal,CX_ENTITY,$F44,AX$15,$X$15,AX$13),_xldudf_CX_PUSH(AX44,CX_ENTITY,$F44,AX$15,$X$15,AX$13))),"")</f>
        <v/>
      </c>
      <c r="CU44" s="1883" t="str" cm="1">
        <f t="array" ca="1" aca="1" ref="CU44">IFERROR(IF($Z44="","",IF($J44=3,_xldudf_CX_PUSH(AY44*fxVal_normal,CX_ENTITY,$F44,AY$15,$X$15,AY$13),_xldudf_CX_PUSH(AY44,CX_ENTITY,$F44,AY$15,$X$15,AY$13))),"")</f>
        <v/>
      </c>
      <c r="CV44" s="1883" t="str" cm="1">
        <f t="array" ca="1" aca="1" ref="CV44">IFERROR(IF($Z44="","",IF($J44=3,_xldudf_CX_PUSH(AZ44*fxVal_normal,CX_ENTITY,$F44,AZ$15,$X$15,AZ$13),_xldudf_CX_PUSH(AZ44,CX_ENTITY,$F44,AZ$15,$X$15,AZ$13))),"")</f>
        <v/>
      </c>
      <c r="CW44" s="1883" t="str" cm="1">
        <f t="array" ca="1" aca="1" ref="CW44">IFERROR(IF($Z44="","",IF($J44=3,_xldudf_CX_PUSH(BA44*fxVal_normal,CX_ENTITY,$F44,BA$15,$X$15,BA$13),_xldudf_CX_PUSH(BA44,CX_ENTITY,$F44,BA$15,$X$15,BA$13))),"")</f>
        <v/>
      </c>
      <c r="CX44" s="1883" t="str" cm="1">
        <f t="array" ca="1" aca="1" ref="CX44">IFERROR(IF($Z44="","",IF($J44=3,_xldudf_CX_PUSH(BB44*fxVal_normal,CX_ENTITY,$F44,BB$15,$X$15,BB$13),_xldudf_CX_PUSH(BB44,CX_ENTITY,$F44,BB$15,$X$15,BB$13))),"")</f>
        <v/>
      </c>
      <c r="CY44" s="1883" t="str" cm="1">
        <f t="array" ca="1" aca="1" ref="CY44">IFERROR(IF($Z44="","",IF($J44=3,_xldudf_CX_PUSH(BC44*fxVal_normal,CX_ENTITY,$F44,BC$15,$X$15,BC$13),_xldudf_CX_PUSH(BC44,CX_ENTITY,$F44,BC$15,$X$15,BC$13))),"")</f>
        <v/>
      </c>
      <c r="CZ44" s="1883" t="str" cm="1">
        <f t="array" ca="1" aca="1" ref="CZ44">IFERROR(IF($Z44="","",IF($J44=3,_xldudf_CX_PUSH(BD44*fxVal_normal,CX_ENTITY,$F44,BD$15,$X$15,BD$13),_xldudf_CX_PUSH(BD44,CX_ENTITY,$F44,BD$15,$X$15,BD$13))),"")</f>
        <v/>
      </c>
      <c r="DA44" s="1883" t="str" cm="1">
        <f t="array" ca="1" aca="1" ref="DA44">IFERROR(IF($Z44="","",IF($J44=3,_xldudf_CX_PUSH(BE44*fxVal_normal,CX_ENTITY,$F44,BE$15,$X$15,BE$13),_xldudf_CX_PUSH(BE44,CX_ENTITY,$F44,BE$15,$X$15,BE$13))),"")</f>
        <v/>
      </c>
      <c r="DB44" s="1883" t="str" cm="1">
        <f t="array" ca="1" aca="1" ref="DB44">IFERROR(IF($Z44="","",IF($J44=3,_xldudf_CX_PUSH(BF44*fxVal_normal,CX_ENTITY,$F44,BF$15,$X$15,BF$13),_xldudf_CX_PUSH(BF44,CX_ENTITY,$F44,BF$15,$X$15,BF$13))),"")</f>
        <v/>
      </c>
      <c r="DC44" s="1883" t="str" cm="1">
        <f t="array" ca="1" aca="1" ref="DC44">IFERROR(IF($Z44="","",IF($J44=3,_xldudf_CX_PUSH(BG44*fxVal_normal,CX_ENTITY,$F44,BG$15,$X$15,BG$13),_xldudf_CX_PUSH(BG44,CX_ENTITY,$F44,BG$15,$X$15,BG$13))),"")</f>
        <v/>
      </c>
      <c r="DD44" s="1883" t="str" cm="1">
        <f t="array" ca="1" aca="1" ref="DD44">IFERROR(IF($Z44="","",IF($J44=3,_xldudf_CX_PUSH(BH44*fxVal_normal,CX_ENTITY,$F44,BH$15,$X$15,BH$13),_xldudf_CX_PUSH(BH44,CX_ENTITY,$F44,BH$15,$X$15,BH$13))),"")</f>
        <v/>
      </c>
      <c r="DE44" s="1883" t="str" cm="1">
        <f t="array" ca="1" aca="1" ref="DE44">IFERROR(IF($Z44="","",IF($J44=3,_xldudf_CX_PUSH(BI44*fxVal_normal,CX_ENTITY,$F44,BI$15,$X$15,BI$13),_xldudf_CX_PUSH(BI44,CX_ENTITY,$F44,BI$15,$X$15,BI$13))),"")</f>
        <v/>
      </c>
      <c r="DF44" s="1883" t="str" cm="1">
        <f t="array" ca="1" aca="1" ref="DF44">IFERROR(IF($Z44="","",IF($J44=3,_xldudf_CX_PUSH(BJ44*fxVal_normal,CX_ENTITY,$F44,BJ$15,$X$15,BJ$13),_xldudf_CX_PUSH(BJ44,CX_ENTITY,$F44,BJ$15,$X$15,BJ$13))),"")</f>
        <v/>
      </c>
      <c r="DG44" s="1883" t="str" cm="1">
        <f t="array" ca="1" aca="1" ref="DG44">IFERROR(IF($Z44="","",IF($J44=3,_xldudf_CX_PUSH(BK44*fxVal_normal,CX_ENTITY,$F44,BK$15,$X$15,BK$13),_xldudf_CX_PUSH(BK44,CX_ENTITY,$F44,BK$15,$X$15,BK$13))),"")</f>
        <v/>
      </c>
      <c r="DH44" s="1883" t="str" cm="1">
        <f t="array" ca="1" aca="1" ref="DH44">IFERROR(IF($Z44="","",IF($J44=3,_xldudf_CX_PUSH(BL44*fxVal_normal,CX_ENTITY,$F44,BL$15,$X$15,BL$13),_xldudf_CX_PUSH(BL44,CX_ENTITY,$F44,BL$15,$X$15,BL$13))),"")</f>
        <v/>
      </c>
      <c r="DI44" s="1883" t="str" cm="1">
        <f t="array" ca="1" aca="1" ref="DI44">IFERROR(IF($Z44="","",IF($J44=3,_xldudf_CX_PUSH(BM44*fxVal_normal,CX_ENTITY,$F44,BM$15,$X$15,BM$13),_xldudf_CX_PUSH(BM44,CX_ENTITY,$F44,BM$15,$X$15,BM$13))),"")</f>
        <v/>
      </c>
      <c r="DJ44" s="1883" t="str" cm="1">
        <f t="array" ca="1" aca="1" ref="DJ44">IFERROR(IF($Z44="","",IF($J44=3,_xldudf_CX_PUSH(BN44*fxVal_normal,CX_ENTITY,$F44,BN$15,$X$15,BN$13),_xldudf_CX_PUSH(BN44,CX_ENTITY,$F44,BN$15,$X$15,BN$13))),"")</f>
        <v/>
      </c>
      <c r="DK44" s="1883" t="str" cm="1">
        <f t="array" ca="1" aca="1" ref="DK44">IFERROR(IF($Z44="","",IF($J44=3,_xldudf_CX_PUSH(BO44*fxVal_normal,CX_ENTITY,$F44,BO$15,$X$15,BO$13),_xldudf_CX_PUSH(BO44,CX_ENTITY,$F44,BO$15,$X$15,BO$13))),"")</f>
        <v/>
      </c>
      <c r="DL44" s="1883" t="str" cm="1">
        <f t="array" ca="1" aca="1" ref="DL44">IFERROR(IF($Z44="","",IF($J44=3,_xldudf_CX_PUSH(BP44*fxVal_normal,CX_ENTITY,$F44,BP$15,$X$15,BP$13),_xldudf_CX_PUSH(BP44,CX_ENTITY,$F44,BP$15,$X$15,BP$13))),"")</f>
        <v/>
      </c>
      <c r="DM44" s="1883" t="str" cm="1">
        <f t="array" ca="1" aca="1" ref="DM44">IFERROR(IF($Z44="","",IF($J44=3,_xldudf_CX_PUSH(BQ44*fxVal_normal,CX_ENTITY,$F44,BQ$15,$X$15,BQ$13),_xldudf_CX_PUSH(BQ44,CX_ENTITY,$F44,BQ$15,$X$15,BQ$13))),"")</f>
        <v/>
      </c>
      <c r="DN44" s="1883" t="str" cm="1">
        <f t="array" ca="1" aca="1" ref="DN44">IFERROR(IF($Z44="","",IF($J44=3,_xldudf_CX_PUSH(BR44*fxVal_normal,CX_ENTITY,$F44,BR$15,$X$15,BR$13),_xldudf_CX_PUSH(BR44,CX_ENTITY,$F44,BR$15,$X$15,BR$13))),"")</f>
        <v/>
      </c>
      <c r="DO44" s="1883" t="str" cm="1">
        <f t="array" ca="1" aca="1" ref="DO44">IFERROR(IF($Z44="","",IF($J44=3,_xldudf_CX_PUSH(BS44*fxVal_normal,CX_ENTITY,$F44,BS$15,$X$15,BS$13),_xldudf_CX_PUSH(BS44,CX_ENTITY,$F44,BS$15,$X$15,BS$13))),"")</f>
        <v/>
      </c>
    </row>
    <row r="45" spans="1:119" ht="33" customHeight="1">
      <c r="A45" s="32"/>
      <c r="B45" s="580" t="s">
        <v>395</v>
      </c>
      <c r="C45" s="1885" t="s">
        <v>396</v>
      </c>
      <c r="D45" s="1885" t="s">
        <v>397</v>
      </c>
      <c r="E45" s="1885" t="s">
        <v>398</v>
      </c>
      <c r="F45" s="1885" t="s">
        <v>399</v>
      </c>
      <c r="G45" s="574" t="s">
        <v>400</v>
      </c>
      <c r="H45" s="574" t="s">
        <v>401</v>
      </c>
      <c r="I45" s="3280">
        <v>1</v>
      </c>
      <c r="J45" s="401">
        <f t="shared" si="1"/>
        <v>0</v>
      </c>
      <c r="K45" s="401"/>
      <c r="O45" s="158"/>
      <c r="P45" s="2"/>
      <c r="Q45" s="52"/>
      <c r="R45" s="2"/>
      <c r="S45" s="89"/>
      <c r="T45" s="1835"/>
      <c r="U45" s="1835"/>
      <c r="V45" s="39"/>
      <c r="X45" s="3239">
        <v>1</v>
      </c>
      <c r="Y45" s="708"/>
      <c r="Z45" s="3247">
        <v>2</v>
      </c>
      <c r="AA45" s="198">
        <v>-1</v>
      </c>
      <c r="AB45" s="198"/>
      <c r="AC45" s="3241">
        <v>2</v>
      </c>
      <c r="AD45" s="3242">
        <v>2</v>
      </c>
      <c r="AE45" s="3241">
        <v>2</v>
      </c>
      <c r="AF45" s="3241">
        <v>2</v>
      </c>
      <c r="AG45" s="1568"/>
      <c r="AH45" s="1830"/>
      <c r="AI45" s="3243">
        <v>1</v>
      </c>
      <c r="AJ45" s="3243">
        <v>1</v>
      </c>
      <c r="AK45" s="3243">
        <v>1</v>
      </c>
      <c r="AL45" s="3243">
        <v>1</v>
      </c>
      <c r="AM45" s="3243">
        <v>1</v>
      </c>
      <c r="AN45" s="3243">
        <v>1</v>
      </c>
      <c r="AO45" s="3243">
        <v>1</v>
      </c>
      <c r="AP45" s="3243">
        <v>1</v>
      </c>
      <c r="AQ45" s="3243">
        <v>1</v>
      </c>
      <c r="AR45" s="3243">
        <v>1</v>
      </c>
      <c r="AS45" s="3243">
        <v>1</v>
      </c>
      <c r="AT45" s="3243">
        <v>1</v>
      </c>
      <c r="AU45" s="3243">
        <v>1</v>
      </c>
      <c r="AV45" s="3243">
        <v>1</v>
      </c>
      <c r="AW45" s="3243">
        <v>1</v>
      </c>
      <c r="AX45" s="3243">
        <v>1</v>
      </c>
      <c r="AY45" s="3243">
        <v>1</v>
      </c>
      <c r="AZ45" s="3243">
        <v>1</v>
      </c>
      <c r="BA45" s="3243">
        <v>1</v>
      </c>
      <c r="BB45" s="3243">
        <v>1</v>
      </c>
      <c r="BC45" s="3243">
        <v>1</v>
      </c>
      <c r="BD45" s="3243">
        <v>1</v>
      </c>
      <c r="BE45" s="3243">
        <v>1</v>
      </c>
      <c r="BF45" s="3243">
        <v>1</v>
      </c>
      <c r="BG45" s="3243">
        <v>1</v>
      </c>
      <c r="BH45" s="3243">
        <v>1</v>
      </c>
      <c r="BI45" s="3243">
        <v>1</v>
      </c>
      <c r="BJ45" s="3243">
        <v>1</v>
      </c>
      <c r="BK45" s="3243">
        <v>1</v>
      </c>
      <c r="BL45" s="3243">
        <v>1</v>
      </c>
      <c r="BM45" s="3243">
        <v>1</v>
      </c>
      <c r="BN45" s="3243">
        <v>1</v>
      </c>
      <c r="BO45" s="3243">
        <v>1</v>
      </c>
      <c r="BP45" s="3243">
        <v>1</v>
      </c>
      <c r="BQ45" s="3243">
        <v>1</v>
      </c>
      <c r="BR45" s="3243">
        <v>1</v>
      </c>
      <c r="BS45" s="3243">
        <v>1</v>
      </c>
      <c r="BU45" s="2276" t="str" cm="1">
        <f t="array" ca="1" aca="1" ref="BU45">IFERROR(IF(Z45="","",_xldudf_CX_PUSH($Z45,CX_ENTITY,$B45,val_asOfDate,,,)),"")</f>
        <v/>
      </c>
      <c r="BV45" s="2276" t="str" cm="1">
        <f t="array" ca="1" aca="1" ref="BV45">IFERROR(IF(AC45="","",_xldudf_CX_PUSH($AC45,CX_ENTITY,$D45,val_asOfDate,,,)),"")</f>
        <v/>
      </c>
      <c r="BW45" s="2276" t="str" cm="1">
        <f t="array" ca="1" aca="1" ref="BW45">IFERROR(IF(Z45="","",_xldudf_CX_PUSH($Z45,CX_ENTITY,$B45,EOMONTH(val_asOfDate,1),,,)),"")</f>
        <v/>
      </c>
      <c r="BX45" s="2276" t="str" cm="1">
        <f t="array" ca="1" aca="1" ref="BX45">IFERROR(IF(AC45="","",_xldudf_CX_PUSH($AC45,CX_ENTITY,$D45,EOMONTH(val_asOfDate,1),,)),"")</f>
        <v/>
      </c>
      <c r="BY45" s="2276" t="str" cm="1">
        <f t="array" ca="1" aca="1" ref="BY45">IFERROR(IF(AD45="","",_xldudf_CX_PUSH($AD45,CX_ENTITY,$E45,val_asOfDate,,,)),"")</f>
        <v/>
      </c>
      <c r="BZ45" s="2276" t="str" cm="1">
        <f t="array" ca="1" aca="1" ref="BZ45">IFERROR(IF(AD45="","",_xldudf_CX_PUSH($AD45,CX_ENTITY,$E45,EOMONTH(val_asOfDate,1),,)),"")</f>
        <v/>
      </c>
      <c r="CA45" s="1879" t="str" cm="1">
        <f t="array" ca="1" aca="1" ref="CA45">IFERROR(IF(AE45="","",_xldudf_CX_PUSH($AE45,CX_ENTITY,$G45,val_asOfDate,,,)),"")</f>
        <v/>
      </c>
      <c r="CB45" s="1879" t="str" cm="1">
        <f t="array" ca="1" aca="1" ref="CB45">IFERROR(IF(AE45="","",_xldudf_CX_PUSH($AE45,CX_ENTITY,$G45,EOMONTH(val_asOfDate,1),,,)),"")</f>
        <v/>
      </c>
      <c r="CC45" s="1879" t="str" cm="1">
        <f t="array" ca="1" aca="1" ref="CC45">IFERROR(IF(AF45="","",_xldudf_CX_PUSH($AF45,CX_ENTITY,$H45,val_asOfDate,,,)),"")</f>
        <v/>
      </c>
      <c r="CD45" s="1879" t="str" cm="1">
        <f t="array" ca="1" aca="1" ref="CD45">IFERROR(IF(AF45="","",_xldudf_CX_PUSH($AF45,CX_ENTITY,$H45,EOMONTH(val_asOfDate,1),,,)),"")</f>
        <v/>
      </c>
      <c r="CE45" s="1883" t="str" cm="1">
        <f t="array" ca="1" aca="1" ref="CE45">IFERROR(IF($Z45="","",IF($J45=3,_xldudf_CX_PUSH(AI45*fxVal_normal,CX_ENTITY,$F45,AI$15,$X$15,AI$13),_xldudf_CX_PUSH(AI45,CX_ENTITY,$F45,AI$15,$X$15,AI$13))),"")</f>
        <v/>
      </c>
      <c r="CF45" s="1883" t="str" cm="1">
        <f t="array" ca="1" aca="1" ref="CF45">IFERROR(IF($Z45="","",IF($J45=3,_xldudf_CX_PUSH(AJ45*fxVal_normal,CX_ENTITY,$F45,AJ$15,$X$15,AJ$13),_xldudf_CX_PUSH(AJ45,CX_ENTITY,$F45,AJ$15,$X$15,AJ$13))),"")</f>
        <v/>
      </c>
      <c r="CG45" s="1883" t="str" cm="1">
        <f t="array" ca="1" aca="1" ref="CG45">IFERROR(IF($Z45="","",IF($J45=3,_xldudf_CX_PUSH(AK45*fxVal_normal,CX_ENTITY,$F45,AK$15,$X$15,AK$13),_xldudf_CX_PUSH(AK45,CX_ENTITY,$F45,AK$15,$X$15,AK$13))),"")</f>
        <v/>
      </c>
      <c r="CH45" s="1883" t="str" cm="1">
        <f t="array" ca="1" aca="1" ref="CH45">IFERROR(IF($Z45="","",IF($J45=3,_xldudf_CX_PUSH(AL45*fxVal_normal,CX_ENTITY,$F45,AL$15,$X$15,AL$13),_xldudf_CX_PUSH(AL45,CX_ENTITY,$F45,AL$15,$X$15,AL$13))),"")</f>
        <v/>
      </c>
      <c r="CI45" s="1883" t="str" cm="1">
        <f t="array" ca="1" aca="1" ref="CI45">IFERROR(IF($Z45="","",IF($J45=3,_xldudf_CX_PUSH(AM45*fxVal_normal,CX_ENTITY,$F45,AM$15,$X$15,AM$13),_xldudf_CX_PUSH(AM45,CX_ENTITY,$F45,AM$15,$X$15,AM$13))),"")</f>
        <v/>
      </c>
      <c r="CJ45" s="1883" t="str" cm="1">
        <f t="array" ca="1" aca="1" ref="CJ45">IFERROR(IF($Z45="","",IF($J45=3,_xldudf_CX_PUSH(AN45*fxVal_normal,CX_ENTITY,$F45,AN$15,$X$15,AN$13),_xldudf_CX_PUSH(AN45,CX_ENTITY,$F45,AN$15,$X$15,AN$13))),"")</f>
        <v/>
      </c>
      <c r="CK45" s="1883" t="str" cm="1">
        <f t="array" ca="1" aca="1" ref="CK45">IFERROR(IF($Z45="","",IF($J45=3,_xldudf_CX_PUSH(AO45*fxVal_normal,CX_ENTITY,$F45,AO$15,$X$15,AO$13),_xldudf_CX_PUSH(AO45,CX_ENTITY,$F45,AO$15,$X$15,AO$13))),"")</f>
        <v/>
      </c>
      <c r="CL45" s="1883" t="str" cm="1">
        <f t="array" ca="1" aca="1" ref="CL45">IFERROR(IF($Z45="","",IF($J45=3,_xldudf_CX_PUSH(AP45*fxVal_normal,CX_ENTITY,$F45,AP$15,$X$15,AP$13),_xldudf_CX_PUSH(AP45,CX_ENTITY,$F45,AP$15,$X$15,AP$13))),"")</f>
        <v/>
      </c>
      <c r="CM45" s="1883" t="str" cm="1">
        <f t="array" ca="1" aca="1" ref="CM45">IFERROR(IF($Z45="","",IF($J45=3,_xldudf_CX_PUSH(AQ45*fxVal_normal,CX_ENTITY,$F45,AQ$15,$X$15,AQ$13),_xldudf_CX_PUSH(AQ45,CX_ENTITY,$F45,AQ$15,$X$15,AQ$13))),"")</f>
        <v/>
      </c>
      <c r="CN45" s="1883" t="str" cm="1">
        <f t="array" ca="1" aca="1" ref="CN45">IFERROR(IF($Z45="","",IF($J45=3,_xldudf_CX_PUSH(AR45*fxVal_normal,CX_ENTITY,$F45,AR$15,$X$15,AR$13),_xldudf_CX_PUSH(AR45,CX_ENTITY,$F45,AR$15,$X$15,AR$13))),"")</f>
        <v/>
      </c>
      <c r="CO45" s="1883" t="str" cm="1">
        <f t="array" ca="1" aca="1" ref="CO45">IFERROR(IF($Z45="","",IF($J45=3,_xldudf_CX_PUSH(AS45*fxVal_normal,CX_ENTITY,$F45,AS$15,$X$15,AS$13),_xldudf_CX_PUSH(AS45,CX_ENTITY,$F45,AS$15,$X$15,AS$13))),"")</f>
        <v/>
      </c>
      <c r="CP45" s="1883" t="str" cm="1">
        <f t="array" ca="1" aca="1" ref="CP45">IFERROR(IF($Z45="","",IF($J45=3,_xldudf_CX_PUSH(AT45*fxVal_normal,CX_ENTITY,$F45,AT$15,$X$15,AT$13),_xldudf_CX_PUSH(AT45,CX_ENTITY,$F45,AT$15,$X$15,AT$13))),"")</f>
        <v/>
      </c>
      <c r="CQ45" s="1883" t="str" cm="1">
        <f t="array" ca="1" aca="1" ref="CQ45">IFERROR(IF($Z45="","",IF($J45=3,_xldudf_CX_PUSH(AU45*fxVal_normal,CX_ENTITY,$F45,AU$15,$X$15,AU$13),_xldudf_CX_PUSH(AU45,CX_ENTITY,$F45,AU$15,$X$15,AU$13))),"")</f>
        <v/>
      </c>
      <c r="CR45" s="1883" t="str" cm="1">
        <f t="array" ca="1" aca="1" ref="CR45">IFERROR(IF($Z45="","",IF($J45=3,_xldudf_CX_PUSH(AV45*fxVal_normal,CX_ENTITY,$F45,AV$15,$X$15,AV$13),_xldudf_CX_PUSH(AV45,CX_ENTITY,$F45,AV$15,$X$15,AV$13))),"")</f>
        <v/>
      </c>
      <c r="CS45" s="1883" t="str" cm="1">
        <f t="array" ca="1" aca="1" ref="CS45">IFERROR(IF($Z45="","",IF($J45=3,_xldudf_CX_PUSH(AW45*fxVal_normal,CX_ENTITY,$F45,AW$15,$X$15,AW$13),_xldudf_CX_PUSH(AW45,CX_ENTITY,$F45,AW$15,$X$15,AW$13))),"")</f>
        <v/>
      </c>
      <c r="CT45" s="1883" t="str" cm="1">
        <f t="array" ca="1" aca="1" ref="CT45">IFERROR(IF($Z45="","",IF($J45=3,_xldudf_CX_PUSH(AX45*fxVal_normal,CX_ENTITY,$F45,AX$15,$X$15,AX$13),_xldudf_CX_PUSH(AX45,CX_ENTITY,$F45,AX$15,$X$15,AX$13))),"")</f>
        <v/>
      </c>
      <c r="CU45" s="1883" t="str" cm="1">
        <f t="array" ca="1" aca="1" ref="CU45">IFERROR(IF($Z45="","",IF($J45=3,_xldudf_CX_PUSH(AY45*fxVal_normal,CX_ENTITY,$F45,AY$15,$X$15,AY$13),_xldudf_CX_PUSH(AY45,CX_ENTITY,$F45,AY$15,$X$15,AY$13))),"")</f>
        <v/>
      </c>
      <c r="CV45" s="1883" t="str" cm="1">
        <f t="array" ca="1" aca="1" ref="CV45">IFERROR(IF($Z45="","",IF($J45=3,_xldudf_CX_PUSH(AZ45*fxVal_normal,CX_ENTITY,$F45,AZ$15,$X$15,AZ$13),_xldudf_CX_PUSH(AZ45,CX_ENTITY,$F45,AZ$15,$X$15,AZ$13))),"")</f>
        <v/>
      </c>
      <c r="CW45" s="1883" t="str" cm="1">
        <f t="array" ca="1" aca="1" ref="CW45">IFERROR(IF($Z45="","",IF($J45=3,_xldudf_CX_PUSH(BA45*fxVal_normal,CX_ENTITY,$F45,BA$15,$X$15,BA$13),_xldudf_CX_PUSH(BA45,CX_ENTITY,$F45,BA$15,$X$15,BA$13))),"")</f>
        <v/>
      </c>
      <c r="CX45" s="1883" t="str" cm="1">
        <f t="array" ca="1" aca="1" ref="CX45">IFERROR(IF($Z45="","",IF($J45=3,_xldudf_CX_PUSH(BB45*fxVal_normal,CX_ENTITY,$F45,BB$15,$X$15,BB$13),_xldudf_CX_PUSH(BB45,CX_ENTITY,$F45,BB$15,$X$15,BB$13))),"")</f>
        <v/>
      </c>
      <c r="CY45" s="1883" t="str" cm="1">
        <f t="array" ca="1" aca="1" ref="CY45">IFERROR(IF($Z45="","",IF($J45=3,_xldudf_CX_PUSH(BC45*fxVal_normal,CX_ENTITY,$F45,BC$15,$X$15,BC$13),_xldudf_CX_PUSH(BC45,CX_ENTITY,$F45,BC$15,$X$15,BC$13))),"")</f>
        <v/>
      </c>
      <c r="CZ45" s="1883" t="str" cm="1">
        <f t="array" ca="1" aca="1" ref="CZ45">IFERROR(IF($Z45="","",IF($J45=3,_xldudf_CX_PUSH(BD45*fxVal_normal,CX_ENTITY,$F45,BD$15,$X$15,BD$13),_xldudf_CX_PUSH(BD45,CX_ENTITY,$F45,BD$15,$X$15,BD$13))),"")</f>
        <v/>
      </c>
      <c r="DA45" s="1883" t="str" cm="1">
        <f t="array" ca="1" aca="1" ref="DA45">IFERROR(IF($Z45="","",IF($J45=3,_xldudf_CX_PUSH(BE45*fxVal_normal,CX_ENTITY,$F45,BE$15,$X$15,BE$13),_xldudf_CX_PUSH(BE45,CX_ENTITY,$F45,BE$15,$X$15,BE$13))),"")</f>
        <v/>
      </c>
      <c r="DB45" s="1883" t="str" cm="1">
        <f t="array" ca="1" aca="1" ref="DB45">IFERROR(IF($Z45="","",IF($J45=3,_xldudf_CX_PUSH(BF45*fxVal_normal,CX_ENTITY,$F45,BF$15,$X$15,BF$13),_xldudf_CX_PUSH(BF45,CX_ENTITY,$F45,BF$15,$X$15,BF$13))),"")</f>
        <v/>
      </c>
      <c r="DC45" s="1883" t="str" cm="1">
        <f t="array" ca="1" aca="1" ref="DC45">IFERROR(IF($Z45="","",IF($J45=3,_xldudf_CX_PUSH(BG45*fxVal_normal,CX_ENTITY,$F45,BG$15,$X$15,BG$13),_xldudf_CX_PUSH(BG45,CX_ENTITY,$F45,BG$15,$X$15,BG$13))),"")</f>
        <v/>
      </c>
      <c r="DD45" s="1883" t="str" cm="1">
        <f t="array" ca="1" aca="1" ref="DD45">IFERROR(IF($Z45="","",IF($J45=3,_xldudf_CX_PUSH(BH45*fxVal_normal,CX_ENTITY,$F45,BH$15,$X$15,BH$13),_xldudf_CX_PUSH(BH45,CX_ENTITY,$F45,BH$15,$X$15,BH$13))),"")</f>
        <v/>
      </c>
      <c r="DE45" s="1883" t="str" cm="1">
        <f t="array" ca="1" aca="1" ref="DE45">IFERROR(IF($Z45="","",IF($J45=3,_xldudf_CX_PUSH(BI45*fxVal_normal,CX_ENTITY,$F45,BI$15,$X$15,BI$13),_xldudf_CX_PUSH(BI45,CX_ENTITY,$F45,BI$15,$X$15,BI$13))),"")</f>
        <v/>
      </c>
      <c r="DF45" s="1883" t="str" cm="1">
        <f t="array" ca="1" aca="1" ref="DF45">IFERROR(IF($Z45="","",IF($J45=3,_xldudf_CX_PUSH(BJ45*fxVal_normal,CX_ENTITY,$F45,BJ$15,$X$15,BJ$13),_xldudf_CX_PUSH(BJ45,CX_ENTITY,$F45,BJ$15,$X$15,BJ$13))),"")</f>
        <v/>
      </c>
      <c r="DG45" s="1883" t="str" cm="1">
        <f t="array" ca="1" aca="1" ref="DG45">IFERROR(IF($Z45="","",IF($J45=3,_xldudf_CX_PUSH(BK45*fxVal_normal,CX_ENTITY,$F45,BK$15,$X$15,BK$13),_xldudf_CX_PUSH(BK45,CX_ENTITY,$F45,BK$15,$X$15,BK$13))),"")</f>
        <v/>
      </c>
      <c r="DH45" s="1883" t="str" cm="1">
        <f t="array" ca="1" aca="1" ref="DH45">IFERROR(IF($Z45="","",IF($J45=3,_xldudf_CX_PUSH(BL45*fxVal_normal,CX_ENTITY,$F45,BL$15,$X$15,BL$13),_xldudf_CX_PUSH(BL45,CX_ENTITY,$F45,BL$15,$X$15,BL$13))),"")</f>
        <v/>
      </c>
      <c r="DI45" s="1883" t="str" cm="1">
        <f t="array" ca="1" aca="1" ref="DI45">IFERROR(IF($Z45="","",IF($J45=3,_xldudf_CX_PUSH(BM45*fxVal_normal,CX_ENTITY,$F45,BM$15,$X$15,BM$13),_xldudf_CX_PUSH(BM45,CX_ENTITY,$F45,BM$15,$X$15,BM$13))),"")</f>
        <v/>
      </c>
      <c r="DJ45" s="1883" t="str" cm="1">
        <f t="array" ca="1" aca="1" ref="DJ45">IFERROR(IF($Z45="","",IF($J45=3,_xldudf_CX_PUSH(BN45*fxVal_normal,CX_ENTITY,$F45,BN$15,$X$15,BN$13),_xldudf_CX_PUSH(BN45,CX_ENTITY,$F45,BN$15,$X$15,BN$13))),"")</f>
        <v/>
      </c>
      <c r="DK45" s="1883" t="str" cm="1">
        <f t="array" ca="1" aca="1" ref="DK45">IFERROR(IF($Z45="","",IF($J45=3,_xldudf_CX_PUSH(BO45*fxVal_normal,CX_ENTITY,$F45,BO$15,$X$15,BO$13),_xldudf_CX_PUSH(BO45,CX_ENTITY,$F45,BO$15,$X$15,BO$13))),"")</f>
        <v/>
      </c>
      <c r="DL45" s="1883" t="str" cm="1">
        <f t="array" ca="1" aca="1" ref="DL45">IFERROR(IF($Z45="","",IF($J45=3,_xldudf_CX_PUSH(BP45*fxVal_normal,CX_ENTITY,$F45,BP$15,$X$15,BP$13),_xldudf_CX_PUSH(BP45,CX_ENTITY,$F45,BP$15,$X$15,BP$13))),"")</f>
        <v/>
      </c>
      <c r="DM45" s="1883" t="str" cm="1">
        <f t="array" ca="1" aca="1" ref="DM45">IFERROR(IF($Z45="","",IF($J45=3,_xldudf_CX_PUSH(BQ45*fxVal_normal,CX_ENTITY,$F45,BQ$15,$X$15,BQ$13),_xldudf_CX_PUSH(BQ45,CX_ENTITY,$F45,BQ$15,$X$15,BQ$13))),"")</f>
        <v/>
      </c>
      <c r="DN45" s="1883" t="str" cm="1">
        <f t="array" ca="1" aca="1" ref="DN45">IFERROR(IF($Z45="","",IF($J45=3,_xldudf_CX_PUSH(BR45*fxVal_normal,CX_ENTITY,$F45,BR$15,$X$15,BR$13),_xldudf_CX_PUSH(BR45,CX_ENTITY,$F45,BR$15,$X$15,BR$13))),"")</f>
        <v/>
      </c>
      <c r="DO45" s="1883" t="str" cm="1">
        <f t="array" ca="1" aca="1" ref="DO45">IFERROR(IF($Z45="","",IF($J45=3,_xldudf_CX_PUSH(BS45*fxVal_normal,CX_ENTITY,$F45,BS$15,$X$15,BS$13),_xldudf_CX_PUSH(BS45,CX_ENTITY,$F45,BS$15,$X$15,BS$13))),"")</f>
        <v/>
      </c>
    </row>
    <row r="46" spans="1:119" ht="33" customHeight="1">
      <c r="A46" s="32"/>
      <c r="B46" s="1626" t="s">
        <v>402</v>
      </c>
      <c r="C46" s="1885" t="s">
        <v>403</v>
      </c>
      <c r="D46" s="1885" t="s">
        <v>404</v>
      </c>
      <c r="E46" s="1885" t="s">
        <v>405</v>
      </c>
      <c r="F46" s="1885" t="s">
        <v>406</v>
      </c>
      <c r="G46" s="574" t="s">
        <v>407</v>
      </c>
      <c r="H46" s="574" t="s">
        <v>408</v>
      </c>
      <c r="I46" s="401">
        <v>0</v>
      </c>
      <c r="J46" s="401">
        <f t="shared" si="1"/>
        <v>0</v>
      </c>
      <c r="K46" s="401"/>
      <c r="O46" s="158"/>
      <c r="P46" s="2"/>
      <c r="Q46" s="52"/>
      <c r="R46" s="2"/>
      <c r="S46" s="89"/>
      <c r="T46" s="1835"/>
      <c r="U46" s="1835"/>
      <c r="V46" s="39"/>
      <c r="X46" s="3239">
        <v>1</v>
      </c>
      <c r="Y46" s="708"/>
      <c r="Z46" s="3247">
        <v>2</v>
      </c>
      <c r="AA46" s="198">
        <v>-1</v>
      </c>
      <c r="AB46" s="198"/>
      <c r="AC46" s="3241">
        <v>2</v>
      </c>
      <c r="AD46" s="3242">
        <v>2</v>
      </c>
      <c r="AE46" s="3241">
        <v>2</v>
      </c>
      <c r="AF46" s="3241">
        <v>2</v>
      </c>
      <c r="AG46" s="1568"/>
      <c r="AH46" s="1830"/>
      <c r="AI46" s="3243">
        <v>1</v>
      </c>
      <c r="AJ46" s="3243">
        <v>1</v>
      </c>
      <c r="AK46" s="3243">
        <v>1</v>
      </c>
      <c r="AL46" s="3243">
        <v>1</v>
      </c>
      <c r="AM46" s="3243">
        <v>1</v>
      </c>
      <c r="AN46" s="3243">
        <v>1</v>
      </c>
      <c r="AO46" s="3243">
        <v>1</v>
      </c>
      <c r="AP46" s="3243">
        <v>1</v>
      </c>
      <c r="AQ46" s="3243">
        <v>1</v>
      </c>
      <c r="AR46" s="3243">
        <v>1</v>
      </c>
      <c r="AS46" s="3243">
        <v>1</v>
      </c>
      <c r="AT46" s="3243">
        <v>1</v>
      </c>
      <c r="AU46" s="3243">
        <v>1</v>
      </c>
      <c r="AV46" s="3243">
        <v>1</v>
      </c>
      <c r="AW46" s="3243">
        <v>1</v>
      </c>
      <c r="AX46" s="3243">
        <v>1</v>
      </c>
      <c r="AY46" s="3243">
        <v>1</v>
      </c>
      <c r="AZ46" s="3243">
        <v>1</v>
      </c>
      <c r="BA46" s="3243">
        <v>1</v>
      </c>
      <c r="BB46" s="3243">
        <v>1</v>
      </c>
      <c r="BC46" s="3243">
        <v>1</v>
      </c>
      <c r="BD46" s="3243">
        <v>1</v>
      </c>
      <c r="BE46" s="3243">
        <v>1</v>
      </c>
      <c r="BF46" s="3243">
        <v>1</v>
      </c>
      <c r="BG46" s="3243">
        <v>1</v>
      </c>
      <c r="BH46" s="3243">
        <v>1</v>
      </c>
      <c r="BI46" s="3243">
        <v>1</v>
      </c>
      <c r="BJ46" s="3243">
        <v>1</v>
      </c>
      <c r="BK46" s="3243">
        <v>1</v>
      </c>
      <c r="BL46" s="3243">
        <v>1</v>
      </c>
      <c r="BM46" s="3243">
        <v>1</v>
      </c>
      <c r="BN46" s="3243">
        <v>1</v>
      </c>
      <c r="BO46" s="3243">
        <v>1</v>
      </c>
      <c r="BP46" s="3243">
        <v>1</v>
      </c>
      <c r="BQ46" s="3243">
        <v>1</v>
      </c>
      <c r="BR46" s="3243">
        <v>1</v>
      </c>
      <c r="BS46" s="3243">
        <v>1</v>
      </c>
      <c r="BU46" s="2276" t="str" cm="1">
        <f t="array" ca="1" aca="1" ref="BU46">IFERROR(IF(Z46="","",_xldudf_CX_PUSH($Z46,CX_ENTITY,$B46,val_asOfDate,,,)),"")</f>
        <v/>
      </c>
      <c r="BV46" s="2276" t="str" cm="1">
        <f t="array" ca="1" aca="1" ref="BV46">IFERROR(IF(AC46="","",_xldudf_CX_PUSH($AC46,CX_ENTITY,$D46,val_asOfDate,,,)),"")</f>
        <v/>
      </c>
      <c r="BW46" s="2276" t="str" cm="1">
        <f t="array" ca="1" aca="1" ref="BW46">IFERROR(IF(Z46="","",_xldudf_CX_PUSH($Z46,CX_ENTITY,$B46,EOMONTH(val_asOfDate,1),,,)),"")</f>
        <v/>
      </c>
      <c r="BX46" s="2276" t="str" cm="1">
        <f t="array" ca="1" aca="1" ref="BX46">IFERROR(IF(AC46="","",_xldudf_CX_PUSH($AC46,CX_ENTITY,$D46,EOMONTH(val_asOfDate,1),,)),"")</f>
        <v/>
      </c>
      <c r="BY46" s="2276" t="str" cm="1">
        <f t="array" ca="1" aca="1" ref="BY46">IFERROR(IF(AD46="","",_xldudf_CX_PUSH($AD46,CX_ENTITY,$E46,val_asOfDate,,,)),"")</f>
        <v/>
      </c>
      <c r="BZ46" s="2276" t="str" cm="1">
        <f t="array" ca="1" aca="1" ref="BZ46">IFERROR(IF(AD46="","",_xldudf_CX_PUSH($AD46,CX_ENTITY,$E46,EOMONTH(val_asOfDate,1),,)),"")</f>
        <v/>
      </c>
      <c r="CA46" s="1879" t="str" cm="1">
        <f t="array" ca="1" aca="1" ref="CA46">IFERROR(IF(AE46="","",_xldudf_CX_PUSH($AE46,CX_ENTITY,$G46,val_asOfDate,,,)),"")</f>
        <v/>
      </c>
      <c r="CB46" s="1879" t="str" cm="1">
        <f t="array" ca="1" aca="1" ref="CB46">IFERROR(IF(AE46="","",_xldudf_CX_PUSH($AE46,CX_ENTITY,$G46,EOMONTH(val_asOfDate,1),,,)),"")</f>
        <v/>
      </c>
      <c r="CC46" s="1879" t="str" cm="1">
        <f t="array" ca="1" aca="1" ref="CC46">IFERROR(IF(AF46="","",_xldudf_CX_PUSH($AF46,CX_ENTITY,$H46,val_asOfDate,,,)),"")</f>
        <v/>
      </c>
      <c r="CD46" s="1879" t="str" cm="1">
        <f t="array" ca="1" aca="1" ref="CD46">IFERROR(IF(AF46="","",_xldudf_CX_PUSH($AF46,CX_ENTITY,$H46,EOMONTH(val_asOfDate,1),,,)),"")</f>
        <v/>
      </c>
      <c r="CE46" s="1883" t="str" cm="1">
        <f t="array" ca="1" aca="1" ref="CE46">IFERROR(IF($Z46="","",IF($J46=3,_xldudf_CX_PUSH(AI46*fxVal_normal,CX_ENTITY,$F46,AI$15,$X$15,AI$13),_xldudf_CX_PUSH(AI46,CX_ENTITY,$F46,AI$15,$X$15,AI$13))),"")</f>
        <v/>
      </c>
      <c r="CF46" s="1883" t="str" cm="1">
        <f t="array" ca="1" aca="1" ref="CF46">IFERROR(IF($Z46="","",IF($J46=3,_xldudf_CX_PUSH(AJ46*fxVal_normal,CX_ENTITY,$F46,AJ$15,$X$15,AJ$13),_xldudf_CX_PUSH(AJ46,CX_ENTITY,$F46,AJ$15,$X$15,AJ$13))),"")</f>
        <v/>
      </c>
      <c r="CG46" s="1883" t="str" cm="1">
        <f t="array" ca="1" aca="1" ref="CG46">IFERROR(IF($Z46="","",IF($J46=3,_xldudf_CX_PUSH(AK46*fxVal_normal,CX_ENTITY,$F46,AK$15,$X$15,AK$13),_xldudf_CX_PUSH(AK46,CX_ENTITY,$F46,AK$15,$X$15,AK$13))),"")</f>
        <v/>
      </c>
      <c r="CH46" s="1883" t="str" cm="1">
        <f t="array" ca="1" aca="1" ref="CH46">IFERROR(IF($Z46="","",IF($J46=3,_xldudf_CX_PUSH(AL46*fxVal_normal,CX_ENTITY,$F46,AL$15,$X$15,AL$13),_xldudf_CX_PUSH(AL46,CX_ENTITY,$F46,AL$15,$X$15,AL$13))),"")</f>
        <v/>
      </c>
      <c r="CI46" s="1883" t="str" cm="1">
        <f t="array" ca="1" aca="1" ref="CI46">IFERROR(IF($Z46="","",IF($J46=3,_xldudf_CX_PUSH(AM46*fxVal_normal,CX_ENTITY,$F46,AM$15,$X$15,AM$13),_xldudf_CX_PUSH(AM46,CX_ENTITY,$F46,AM$15,$X$15,AM$13))),"")</f>
        <v/>
      </c>
      <c r="CJ46" s="1883" t="str" cm="1">
        <f t="array" ca="1" aca="1" ref="CJ46">IFERROR(IF($Z46="","",IF($J46=3,_xldudf_CX_PUSH(AN46*fxVal_normal,CX_ENTITY,$F46,AN$15,$X$15,AN$13),_xldudf_CX_PUSH(AN46,CX_ENTITY,$F46,AN$15,$X$15,AN$13))),"")</f>
        <v/>
      </c>
      <c r="CK46" s="1883" t="str" cm="1">
        <f t="array" ca="1" aca="1" ref="CK46">IFERROR(IF($Z46="","",IF($J46=3,_xldudf_CX_PUSH(AO46*fxVal_normal,CX_ENTITY,$F46,AO$15,$X$15,AO$13),_xldudf_CX_PUSH(AO46,CX_ENTITY,$F46,AO$15,$X$15,AO$13))),"")</f>
        <v/>
      </c>
      <c r="CL46" s="1883" t="str" cm="1">
        <f t="array" ca="1" aca="1" ref="CL46">IFERROR(IF($Z46="","",IF($J46=3,_xldudf_CX_PUSH(AP46*fxVal_normal,CX_ENTITY,$F46,AP$15,$X$15,AP$13),_xldudf_CX_PUSH(AP46,CX_ENTITY,$F46,AP$15,$X$15,AP$13))),"")</f>
        <v/>
      </c>
      <c r="CM46" s="1883" t="str" cm="1">
        <f t="array" ca="1" aca="1" ref="CM46">IFERROR(IF($Z46="","",IF($J46=3,_xldudf_CX_PUSH(AQ46*fxVal_normal,CX_ENTITY,$F46,AQ$15,$X$15,AQ$13),_xldudf_CX_PUSH(AQ46,CX_ENTITY,$F46,AQ$15,$X$15,AQ$13))),"")</f>
        <v/>
      </c>
      <c r="CN46" s="1883" t="str" cm="1">
        <f t="array" ca="1" aca="1" ref="CN46">IFERROR(IF($Z46="","",IF($J46=3,_xldudf_CX_PUSH(AR46*fxVal_normal,CX_ENTITY,$F46,AR$15,$X$15,AR$13),_xldudf_CX_PUSH(AR46,CX_ENTITY,$F46,AR$15,$X$15,AR$13))),"")</f>
        <v/>
      </c>
      <c r="CO46" s="1883" t="str" cm="1">
        <f t="array" ca="1" aca="1" ref="CO46">IFERROR(IF($Z46="","",IF($J46=3,_xldudf_CX_PUSH(AS46*fxVal_normal,CX_ENTITY,$F46,AS$15,$X$15,AS$13),_xldudf_CX_PUSH(AS46,CX_ENTITY,$F46,AS$15,$X$15,AS$13))),"")</f>
        <v/>
      </c>
      <c r="CP46" s="1883" t="str" cm="1">
        <f t="array" ca="1" aca="1" ref="CP46">IFERROR(IF($Z46="","",IF($J46=3,_xldudf_CX_PUSH(AT46*fxVal_normal,CX_ENTITY,$F46,AT$15,$X$15,AT$13),_xldudf_CX_PUSH(AT46,CX_ENTITY,$F46,AT$15,$X$15,AT$13))),"")</f>
        <v/>
      </c>
      <c r="CQ46" s="1883" t="str" cm="1">
        <f t="array" ca="1" aca="1" ref="CQ46">IFERROR(IF($Z46="","",IF($J46=3,_xldudf_CX_PUSH(AU46*fxVal_normal,CX_ENTITY,$F46,AU$15,$X$15,AU$13),_xldudf_CX_PUSH(AU46,CX_ENTITY,$F46,AU$15,$X$15,AU$13))),"")</f>
        <v/>
      </c>
      <c r="CR46" s="1883" t="str" cm="1">
        <f t="array" ca="1" aca="1" ref="CR46">IFERROR(IF($Z46="","",IF($J46=3,_xldudf_CX_PUSH(AV46*fxVal_normal,CX_ENTITY,$F46,AV$15,$X$15,AV$13),_xldudf_CX_PUSH(AV46,CX_ENTITY,$F46,AV$15,$X$15,AV$13))),"")</f>
        <v/>
      </c>
      <c r="CS46" s="1883" t="str" cm="1">
        <f t="array" ca="1" aca="1" ref="CS46">IFERROR(IF($Z46="","",IF($J46=3,_xldudf_CX_PUSH(AW46*fxVal_normal,CX_ENTITY,$F46,AW$15,$X$15,AW$13),_xldudf_CX_PUSH(AW46,CX_ENTITY,$F46,AW$15,$X$15,AW$13))),"")</f>
        <v/>
      </c>
      <c r="CT46" s="1883" t="str" cm="1">
        <f t="array" ca="1" aca="1" ref="CT46">IFERROR(IF($Z46="","",IF($J46=3,_xldudf_CX_PUSH(AX46*fxVal_normal,CX_ENTITY,$F46,AX$15,$X$15,AX$13),_xldudf_CX_PUSH(AX46,CX_ENTITY,$F46,AX$15,$X$15,AX$13))),"")</f>
        <v/>
      </c>
      <c r="CU46" s="1883" t="str" cm="1">
        <f t="array" ca="1" aca="1" ref="CU46">IFERROR(IF($Z46="","",IF($J46=3,_xldudf_CX_PUSH(AY46*fxVal_normal,CX_ENTITY,$F46,AY$15,$X$15,AY$13),_xldudf_CX_PUSH(AY46,CX_ENTITY,$F46,AY$15,$X$15,AY$13))),"")</f>
        <v/>
      </c>
      <c r="CV46" s="1883" t="str" cm="1">
        <f t="array" ca="1" aca="1" ref="CV46">IFERROR(IF($Z46="","",IF($J46=3,_xldudf_CX_PUSH(AZ46*fxVal_normal,CX_ENTITY,$F46,AZ$15,$X$15,AZ$13),_xldudf_CX_PUSH(AZ46,CX_ENTITY,$F46,AZ$15,$X$15,AZ$13))),"")</f>
        <v/>
      </c>
      <c r="CW46" s="1883" t="str" cm="1">
        <f t="array" ca="1" aca="1" ref="CW46">IFERROR(IF($Z46="","",IF($J46=3,_xldudf_CX_PUSH(BA46*fxVal_normal,CX_ENTITY,$F46,BA$15,$X$15,BA$13),_xldudf_CX_PUSH(BA46,CX_ENTITY,$F46,BA$15,$X$15,BA$13))),"")</f>
        <v/>
      </c>
      <c r="CX46" s="1883" t="str" cm="1">
        <f t="array" ca="1" aca="1" ref="CX46">IFERROR(IF($Z46="","",IF($J46=3,_xldudf_CX_PUSH(BB46*fxVal_normal,CX_ENTITY,$F46,BB$15,$X$15,BB$13),_xldudf_CX_PUSH(BB46,CX_ENTITY,$F46,BB$15,$X$15,BB$13))),"")</f>
        <v/>
      </c>
      <c r="CY46" s="1883" t="str" cm="1">
        <f t="array" ca="1" aca="1" ref="CY46">IFERROR(IF($Z46="","",IF($J46=3,_xldudf_CX_PUSH(BC46*fxVal_normal,CX_ENTITY,$F46,BC$15,$X$15,BC$13),_xldudf_CX_PUSH(BC46,CX_ENTITY,$F46,BC$15,$X$15,BC$13))),"")</f>
        <v/>
      </c>
      <c r="CZ46" s="1883" t="str" cm="1">
        <f t="array" ca="1" aca="1" ref="CZ46">IFERROR(IF($Z46="","",IF($J46=3,_xldudf_CX_PUSH(BD46*fxVal_normal,CX_ENTITY,$F46,BD$15,$X$15,BD$13),_xldudf_CX_PUSH(BD46,CX_ENTITY,$F46,BD$15,$X$15,BD$13))),"")</f>
        <v/>
      </c>
      <c r="DA46" s="1883" t="str" cm="1">
        <f t="array" ca="1" aca="1" ref="DA46">IFERROR(IF($Z46="","",IF($J46=3,_xldudf_CX_PUSH(BE46*fxVal_normal,CX_ENTITY,$F46,BE$15,$X$15,BE$13),_xldudf_CX_PUSH(BE46,CX_ENTITY,$F46,BE$15,$X$15,BE$13))),"")</f>
        <v/>
      </c>
      <c r="DB46" s="1883" t="str" cm="1">
        <f t="array" ca="1" aca="1" ref="DB46">IFERROR(IF($Z46="","",IF($J46=3,_xldudf_CX_PUSH(BF46*fxVal_normal,CX_ENTITY,$F46,BF$15,$X$15,BF$13),_xldudf_CX_PUSH(BF46,CX_ENTITY,$F46,BF$15,$X$15,BF$13))),"")</f>
        <v/>
      </c>
      <c r="DC46" s="1883" t="str" cm="1">
        <f t="array" ca="1" aca="1" ref="DC46">IFERROR(IF($Z46="","",IF($J46=3,_xldudf_CX_PUSH(BG46*fxVal_normal,CX_ENTITY,$F46,BG$15,$X$15,BG$13),_xldudf_CX_PUSH(BG46,CX_ENTITY,$F46,BG$15,$X$15,BG$13))),"")</f>
        <v/>
      </c>
      <c r="DD46" s="1883" t="str" cm="1">
        <f t="array" ca="1" aca="1" ref="DD46">IFERROR(IF($Z46="","",IF($J46=3,_xldudf_CX_PUSH(BH46*fxVal_normal,CX_ENTITY,$F46,BH$15,$X$15,BH$13),_xldudf_CX_PUSH(BH46,CX_ENTITY,$F46,BH$15,$X$15,BH$13))),"")</f>
        <v/>
      </c>
      <c r="DE46" s="1883" t="str" cm="1">
        <f t="array" ca="1" aca="1" ref="DE46">IFERROR(IF($Z46="","",IF($J46=3,_xldudf_CX_PUSH(BI46*fxVal_normal,CX_ENTITY,$F46,BI$15,$X$15,BI$13),_xldudf_CX_PUSH(BI46,CX_ENTITY,$F46,BI$15,$X$15,BI$13))),"")</f>
        <v/>
      </c>
      <c r="DF46" s="1883" t="str" cm="1">
        <f t="array" ca="1" aca="1" ref="DF46">IFERROR(IF($Z46="","",IF($J46=3,_xldudf_CX_PUSH(BJ46*fxVal_normal,CX_ENTITY,$F46,BJ$15,$X$15,BJ$13),_xldudf_CX_PUSH(BJ46,CX_ENTITY,$F46,BJ$15,$X$15,BJ$13))),"")</f>
        <v/>
      </c>
      <c r="DG46" s="1883" t="str" cm="1">
        <f t="array" ca="1" aca="1" ref="DG46">IFERROR(IF($Z46="","",IF($J46=3,_xldudf_CX_PUSH(BK46*fxVal_normal,CX_ENTITY,$F46,BK$15,$X$15,BK$13),_xldudf_CX_PUSH(BK46,CX_ENTITY,$F46,BK$15,$X$15,BK$13))),"")</f>
        <v/>
      </c>
      <c r="DH46" s="1883" t="str" cm="1">
        <f t="array" ca="1" aca="1" ref="DH46">IFERROR(IF($Z46="","",IF($J46=3,_xldudf_CX_PUSH(BL46*fxVal_normal,CX_ENTITY,$F46,BL$15,$X$15,BL$13),_xldudf_CX_PUSH(BL46,CX_ENTITY,$F46,BL$15,$X$15,BL$13))),"")</f>
        <v/>
      </c>
      <c r="DI46" s="1883" t="str" cm="1">
        <f t="array" ca="1" aca="1" ref="DI46">IFERROR(IF($Z46="","",IF($J46=3,_xldudf_CX_PUSH(BM46*fxVal_normal,CX_ENTITY,$F46,BM$15,$X$15,BM$13),_xldudf_CX_PUSH(BM46,CX_ENTITY,$F46,BM$15,$X$15,BM$13))),"")</f>
        <v/>
      </c>
      <c r="DJ46" s="1883" t="str" cm="1">
        <f t="array" ca="1" aca="1" ref="DJ46">IFERROR(IF($Z46="","",IF($J46=3,_xldudf_CX_PUSH(BN46*fxVal_normal,CX_ENTITY,$F46,BN$15,$X$15,BN$13),_xldudf_CX_PUSH(BN46,CX_ENTITY,$F46,BN$15,$X$15,BN$13))),"")</f>
        <v/>
      </c>
      <c r="DK46" s="1883" t="str" cm="1">
        <f t="array" ca="1" aca="1" ref="DK46">IFERROR(IF($Z46="","",IF($J46=3,_xldudf_CX_PUSH(BO46*fxVal_normal,CX_ENTITY,$F46,BO$15,$X$15,BO$13),_xldudf_CX_PUSH(BO46,CX_ENTITY,$F46,BO$15,$X$15,BO$13))),"")</f>
        <v/>
      </c>
      <c r="DL46" s="1883" t="str" cm="1">
        <f t="array" ca="1" aca="1" ref="DL46">IFERROR(IF($Z46="","",IF($J46=3,_xldudf_CX_PUSH(BP46*fxVal_normal,CX_ENTITY,$F46,BP$15,$X$15,BP$13),_xldudf_CX_PUSH(BP46,CX_ENTITY,$F46,BP$15,$X$15,BP$13))),"")</f>
        <v/>
      </c>
      <c r="DM46" s="1883" t="str" cm="1">
        <f t="array" ca="1" aca="1" ref="DM46">IFERROR(IF($Z46="","",IF($J46=3,_xldudf_CX_PUSH(BQ46*fxVal_normal,CX_ENTITY,$F46,BQ$15,$X$15,BQ$13),_xldudf_CX_PUSH(BQ46,CX_ENTITY,$F46,BQ$15,$X$15,BQ$13))),"")</f>
        <v/>
      </c>
      <c r="DN46" s="1883" t="str" cm="1">
        <f t="array" ca="1" aca="1" ref="DN46">IFERROR(IF($Z46="","",IF($J46=3,_xldudf_CX_PUSH(BR46*fxVal_normal,CX_ENTITY,$F46,BR$15,$X$15,BR$13),_xldudf_CX_PUSH(BR46,CX_ENTITY,$F46,BR$15,$X$15,BR$13))),"")</f>
        <v/>
      </c>
      <c r="DO46" s="1883" t="str" cm="1">
        <f t="array" ca="1" aca="1" ref="DO46">IFERROR(IF($Z46="","",IF($J46=3,_xldudf_CX_PUSH(BS46*fxVal_normal,CX_ENTITY,$F46,BS$15,$X$15,BS$13),_xldudf_CX_PUSH(BS46,CX_ENTITY,$F46,BS$15,$X$15,BS$13))),"")</f>
        <v/>
      </c>
    </row>
    <row r="47" spans="1:119" ht="33" customHeight="1">
      <c r="A47" s="32"/>
      <c r="B47" s="1626" t="s">
        <v>409</v>
      </c>
      <c r="C47" s="1885" t="s">
        <v>410</v>
      </c>
      <c r="D47" s="1885" t="s">
        <v>411</v>
      </c>
      <c r="E47" s="1885" t="s">
        <v>412</v>
      </c>
      <c r="F47" s="1885" t="s">
        <v>413</v>
      </c>
      <c r="G47" s="574" t="s">
        <v>414</v>
      </c>
      <c r="H47" s="574" t="s">
        <v>415</v>
      </c>
      <c r="I47" s="3280">
        <v>1</v>
      </c>
      <c r="J47" s="401">
        <f t="shared" si="1"/>
        <v>0</v>
      </c>
      <c r="K47" s="401"/>
      <c r="O47" s="158"/>
      <c r="P47" s="2"/>
      <c r="Q47" s="52"/>
      <c r="R47" s="2"/>
      <c r="S47" s="89"/>
      <c r="T47" s="1835"/>
      <c r="U47" s="1835"/>
      <c r="V47" s="39"/>
      <c r="X47" s="3239">
        <v>1</v>
      </c>
      <c r="Y47" s="708"/>
      <c r="Z47" s="3247">
        <v>2</v>
      </c>
      <c r="AA47" s="198">
        <v>-1</v>
      </c>
      <c r="AB47" s="198"/>
      <c r="AC47" s="3241">
        <v>2</v>
      </c>
      <c r="AD47" s="3242">
        <v>2</v>
      </c>
      <c r="AE47" s="3241">
        <v>2</v>
      </c>
      <c r="AF47" s="3241">
        <v>2</v>
      </c>
      <c r="AG47" s="1568"/>
      <c r="AH47" s="1830"/>
      <c r="AI47" s="3243">
        <v>1</v>
      </c>
      <c r="AJ47" s="3243">
        <v>1</v>
      </c>
      <c r="AK47" s="3243">
        <v>1</v>
      </c>
      <c r="AL47" s="3243">
        <v>1</v>
      </c>
      <c r="AM47" s="3243">
        <v>1</v>
      </c>
      <c r="AN47" s="3243">
        <v>1</v>
      </c>
      <c r="AO47" s="3243">
        <v>1</v>
      </c>
      <c r="AP47" s="3243">
        <v>1</v>
      </c>
      <c r="AQ47" s="3243">
        <v>1</v>
      </c>
      <c r="AR47" s="3243">
        <v>1</v>
      </c>
      <c r="AS47" s="3243">
        <v>1</v>
      </c>
      <c r="AT47" s="3243">
        <v>1</v>
      </c>
      <c r="AU47" s="3243">
        <v>1</v>
      </c>
      <c r="AV47" s="3243">
        <v>1</v>
      </c>
      <c r="AW47" s="3243">
        <v>1</v>
      </c>
      <c r="AX47" s="3243">
        <v>1</v>
      </c>
      <c r="AY47" s="3243">
        <v>1</v>
      </c>
      <c r="AZ47" s="3243">
        <v>1</v>
      </c>
      <c r="BA47" s="3243">
        <v>1</v>
      </c>
      <c r="BB47" s="3243">
        <v>1</v>
      </c>
      <c r="BC47" s="3243">
        <v>1</v>
      </c>
      <c r="BD47" s="3243">
        <v>1</v>
      </c>
      <c r="BE47" s="3243">
        <v>1</v>
      </c>
      <c r="BF47" s="3243">
        <v>1</v>
      </c>
      <c r="BG47" s="3243">
        <v>1</v>
      </c>
      <c r="BH47" s="3243">
        <v>1</v>
      </c>
      <c r="BI47" s="3243">
        <v>1</v>
      </c>
      <c r="BJ47" s="3243">
        <v>1</v>
      </c>
      <c r="BK47" s="3243">
        <v>1</v>
      </c>
      <c r="BL47" s="3243">
        <v>1</v>
      </c>
      <c r="BM47" s="3243">
        <v>1</v>
      </c>
      <c r="BN47" s="3243">
        <v>1</v>
      </c>
      <c r="BO47" s="3243">
        <v>1</v>
      </c>
      <c r="BP47" s="3243">
        <v>1</v>
      </c>
      <c r="BQ47" s="3243">
        <v>1</v>
      </c>
      <c r="BR47" s="3243">
        <v>1</v>
      </c>
      <c r="BS47" s="3243">
        <v>1</v>
      </c>
      <c r="BU47" s="2276" t="str" cm="1">
        <f t="array" ca="1" aca="1" ref="BU47">IFERROR(IF(Z47="","",_xldudf_CX_PUSH($Z47,CX_ENTITY,$B47,val_asOfDate,,,)),"")</f>
        <v/>
      </c>
      <c r="BV47" s="2276" t="str" cm="1">
        <f t="array" ca="1" aca="1" ref="BV47">IFERROR(IF(AC47="","",_xldudf_CX_PUSH($AC47,CX_ENTITY,$D47,val_asOfDate,,,)),"")</f>
        <v/>
      </c>
      <c r="BW47" s="2276" t="str" cm="1">
        <f t="array" ca="1" aca="1" ref="BW47">IFERROR(IF(Z47="","",_xldudf_CX_PUSH($Z47,CX_ENTITY,$B47,EOMONTH(val_asOfDate,1),,,)),"")</f>
        <v/>
      </c>
      <c r="BX47" s="2276" t="str" cm="1">
        <f t="array" ca="1" aca="1" ref="BX47">IFERROR(IF(AC47="","",_xldudf_CX_PUSH($AC47,CX_ENTITY,$D47,EOMONTH(val_asOfDate,1),,)),"")</f>
        <v/>
      </c>
      <c r="BY47" s="2276" t="str" cm="1">
        <f t="array" ca="1" aca="1" ref="BY47">IFERROR(IF(AD47="","",_xldudf_CX_PUSH($AD47,CX_ENTITY,$E47,val_asOfDate,,,)),"")</f>
        <v/>
      </c>
      <c r="BZ47" s="2276" t="str" cm="1">
        <f t="array" ca="1" aca="1" ref="BZ47">IFERROR(IF(AD47="","",_xldudf_CX_PUSH($AD47,CX_ENTITY,$E47,EOMONTH(val_asOfDate,1),,)),"")</f>
        <v/>
      </c>
      <c r="CA47" s="1879" t="str" cm="1">
        <f t="array" ca="1" aca="1" ref="CA47">IFERROR(IF(AE47="","",_xldudf_CX_PUSH($AE47,CX_ENTITY,$G47,val_asOfDate,,,)),"")</f>
        <v/>
      </c>
      <c r="CB47" s="1879" t="str" cm="1">
        <f t="array" ca="1" aca="1" ref="CB47">IFERROR(IF(AE47="","",_xldudf_CX_PUSH($AE47,CX_ENTITY,$G47,EOMONTH(val_asOfDate,1),,,)),"")</f>
        <v/>
      </c>
      <c r="CC47" s="1879" t="str" cm="1">
        <f t="array" ca="1" aca="1" ref="CC47">IFERROR(IF(AF47="","",_xldudf_CX_PUSH($AF47,CX_ENTITY,$H47,val_asOfDate,,,)),"")</f>
        <v/>
      </c>
      <c r="CD47" s="1879" t="str" cm="1">
        <f t="array" ca="1" aca="1" ref="CD47">IFERROR(IF(AF47="","",_xldudf_CX_PUSH($AF47,CX_ENTITY,$H47,EOMONTH(val_asOfDate,1),,,)),"")</f>
        <v/>
      </c>
      <c r="CE47" s="1883" t="str" cm="1">
        <f t="array" ca="1" aca="1" ref="CE47">IFERROR(IF($Z47="","",IF($J47=3,_xldudf_CX_PUSH(AI47*fxVal_normal,CX_ENTITY,$F47,AI$15,$X$15,AI$13),_xldudf_CX_PUSH(AI47,CX_ENTITY,$F47,AI$15,$X$15,AI$13))),"")</f>
        <v/>
      </c>
      <c r="CF47" s="1883" t="str" cm="1">
        <f t="array" ca="1" aca="1" ref="CF47">IFERROR(IF($Z47="","",IF($J47=3,_xldudf_CX_PUSH(AJ47*fxVal_normal,CX_ENTITY,$F47,AJ$15,$X$15,AJ$13),_xldudf_CX_PUSH(AJ47,CX_ENTITY,$F47,AJ$15,$X$15,AJ$13))),"")</f>
        <v/>
      </c>
      <c r="CG47" s="1883" t="str" cm="1">
        <f t="array" ca="1" aca="1" ref="CG47">IFERROR(IF($Z47="","",IF($J47=3,_xldudf_CX_PUSH(AK47*fxVal_normal,CX_ENTITY,$F47,AK$15,$X$15,AK$13),_xldudf_CX_PUSH(AK47,CX_ENTITY,$F47,AK$15,$X$15,AK$13))),"")</f>
        <v/>
      </c>
      <c r="CH47" s="1883" t="str" cm="1">
        <f t="array" ca="1" aca="1" ref="CH47">IFERROR(IF($Z47="","",IF($J47=3,_xldudf_CX_PUSH(AL47*fxVal_normal,CX_ENTITY,$F47,AL$15,$X$15,AL$13),_xldudf_CX_PUSH(AL47,CX_ENTITY,$F47,AL$15,$X$15,AL$13))),"")</f>
        <v/>
      </c>
      <c r="CI47" s="1883" t="str" cm="1">
        <f t="array" ca="1" aca="1" ref="CI47">IFERROR(IF($Z47="","",IF($J47=3,_xldudf_CX_PUSH(AM47*fxVal_normal,CX_ENTITY,$F47,AM$15,$X$15,AM$13),_xldudf_CX_PUSH(AM47,CX_ENTITY,$F47,AM$15,$X$15,AM$13))),"")</f>
        <v/>
      </c>
      <c r="CJ47" s="1883" t="str" cm="1">
        <f t="array" ca="1" aca="1" ref="CJ47">IFERROR(IF($Z47="","",IF($J47=3,_xldudf_CX_PUSH(AN47*fxVal_normal,CX_ENTITY,$F47,AN$15,$X$15,AN$13),_xldudf_CX_PUSH(AN47,CX_ENTITY,$F47,AN$15,$X$15,AN$13))),"")</f>
        <v/>
      </c>
      <c r="CK47" s="1883" t="str" cm="1">
        <f t="array" ca="1" aca="1" ref="CK47">IFERROR(IF($Z47="","",IF($J47=3,_xldudf_CX_PUSH(AO47*fxVal_normal,CX_ENTITY,$F47,AO$15,$X$15,AO$13),_xldudf_CX_PUSH(AO47,CX_ENTITY,$F47,AO$15,$X$15,AO$13))),"")</f>
        <v/>
      </c>
      <c r="CL47" s="1883" t="str" cm="1">
        <f t="array" ca="1" aca="1" ref="CL47">IFERROR(IF($Z47="","",IF($J47=3,_xldudf_CX_PUSH(AP47*fxVal_normal,CX_ENTITY,$F47,AP$15,$X$15,AP$13),_xldudf_CX_PUSH(AP47,CX_ENTITY,$F47,AP$15,$X$15,AP$13))),"")</f>
        <v/>
      </c>
      <c r="CM47" s="1883" t="str" cm="1">
        <f t="array" ca="1" aca="1" ref="CM47">IFERROR(IF($Z47="","",IF($J47=3,_xldudf_CX_PUSH(AQ47*fxVal_normal,CX_ENTITY,$F47,AQ$15,$X$15,AQ$13),_xldudf_CX_PUSH(AQ47,CX_ENTITY,$F47,AQ$15,$X$15,AQ$13))),"")</f>
        <v/>
      </c>
      <c r="CN47" s="1883" t="str" cm="1">
        <f t="array" ca="1" aca="1" ref="CN47">IFERROR(IF($Z47="","",IF($J47=3,_xldudf_CX_PUSH(AR47*fxVal_normal,CX_ENTITY,$F47,AR$15,$X$15,AR$13),_xldudf_CX_PUSH(AR47,CX_ENTITY,$F47,AR$15,$X$15,AR$13))),"")</f>
        <v/>
      </c>
      <c r="CO47" s="1883" t="str" cm="1">
        <f t="array" ca="1" aca="1" ref="CO47">IFERROR(IF($Z47="","",IF($J47=3,_xldudf_CX_PUSH(AS47*fxVal_normal,CX_ENTITY,$F47,AS$15,$X$15,AS$13),_xldudf_CX_PUSH(AS47,CX_ENTITY,$F47,AS$15,$X$15,AS$13))),"")</f>
        <v/>
      </c>
      <c r="CP47" s="1883" t="str" cm="1">
        <f t="array" ca="1" aca="1" ref="CP47">IFERROR(IF($Z47="","",IF($J47=3,_xldudf_CX_PUSH(AT47*fxVal_normal,CX_ENTITY,$F47,AT$15,$X$15,AT$13),_xldudf_CX_PUSH(AT47,CX_ENTITY,$F47,AT$15,$X$15,AT$13))),"")</f>
        <v/>
      </c>
      <c r="CQ47" s="1883" t="str" cm="1">
        <f t="array" ca="1" aca="1" ref="CQ47">IFERROR(IF($Z47="","",IF($J47=3,_xldudf_CX_PUSH(AU47*fxVal_normal,CX_ENTITY,$F47,AU$15,$X$15,AU$13),_xldudf_CX_PUSH(AU47,CX_ENTITY,$F47,AU$15,$X$15,AU$13))),"")</f>
        <v/>
      </c>
      <c r="CR47" s="1883" t="str" cm="1">
        <f t="array" ca="1" aca="1" ref="CR47">IFERROR(IF($Z47="","",IF($J47=3,_xldudf_CX_PUSH(AV47*fxVal_normal,CX_ENTITY,$F47,AV$15,$X$15,AV$13),_xldudf_CX_PUSH(AV47,CX_ENTITY,$F47,AV$15,$X$15,AV$13))),"")</f>
        <v/>
      </c>
      <c r="CS47" s="1883" t="str" cm="1">
        <f t="array" ca="1" aca="1" ref="CS47">IFERROR(IF($Z47="","",IF($J47=3,_xldudf_CX_PUSH(AW47*fxVal_normal,CX_ENTITY,$F47,AW$15,$X$15,AW$13),_xldudf_CX_PUSH(AW47,CX_ENTITY,$F47,AW$15,$X$15,AW$13))),"")</f>
        <v/>
      </c>
      <c r="CT47" s="1883" t="str" cm="1">
        <f t="array" ca="1" aca="1" ref="CT47">IFERROR(IF($Z47="","",IF($J47=3,_xldudf_CX_PUSH(AX47*fxVal_normal,CX_ENTITY,$F47,AX$15,$X$15,AX$13),_xldudf_CX_PUSH(AX47,CX_ENTITY,$F47,AX$15,$X$15,AX$13))),"")</f>
        <v/>
      </c>
      <c r="CU47" s="1883" t="str" cm="1">
        <f t="array" ca="1" aca="1" ref="CU47">IFERROR(IF($Z47="","",IF($J47=3,_xldudf_CX_PUSH(AY47*fxVal_normal,CX_ENTITY,$F47,AY$15,$X$15,AY$13),_xldudf_CX_PUSH(AY47,CX_ENTITY,$F47,AY$15,$X$15,AY$13))),"")</f>
        <v/>
      </c>
      <c r="CV47" s="1883" t="str" cm="1">
        <f t="array" ca="1" aca="1" ref="CV47">IFERROR(IF($Z47="","",IF($J47=3,_xldudf_CX_PUSH(AZ47*fxVal_normal,CX_ENTITY,$F47,AZ$15,$X$15,AZ$13),_xldudf_CX_PUSH(AZ47,CX_ENTITY,$F47,AZ$15,$X$15,AZ$13))),"")</f>
        <v/>
      </c>
      <c r="CW47" s="1883" t="str" cm="1">
        <f t="array" ca="1" aca="1" ref="CW47">IFERROR(IF($Z47="","",IF($J47=3,_xldudf_CX_PUSH(BA47*fxVal_normal,CX_ENTITY,$F47,BA$15,$X$15,BA$13),_xldudf_CX_PUSH(BA47,CX_ENTITY,$F47,BA$15,$X$15,BA$13))),"")</f>
        <v/>
      </c>
      <c r="CX47" s="1883" t="str" cm="1">
        <f t="array" ca="1" aca="1" ref="CX47">IFERROR(IF($Z47="","",IF($J47=3,_xldudf_CX_PUSH(BB47*fxVal_normal,CX_ENTITY,$F47,BB$15,$X$15,BB$13),_xldudf_CX_PUSH(BB47,CX_ENTITY,$F47,BB$15,$X$15,BB$13))),"")</f>
        <v/>
      </c>
      <c r="CY47" s="1883" t="str" cm="1">
        <f t="array" ca="1" aca="1" ref="CY47">IFERROR(IF($Z47="","",IF($J47=3,_xldudf_CX_PUSH(BC47*fxVal_normal,CX_ENTITY,$F47,BC$15,$X$15,BC$13),_xldudf_CX_PUSH(BC47,CX_ENTITY,$F47,BC$15,$X$15,BC$13))),"")</f>
        <v/>
      </c>
      <c r="CZ47" s="1883" t="str" cm="1">
        <f t="array" ca="1" aca="1" ref="CZ47">IFERROR(IF($Z47="","",IF($J47=3,_xldudf_CX_PUSH(BD47*fxVal_normal,CX_ENTITY,$F47,BD$15,$X$15,BD$13),_xldudf_CX_PUSH(BD47,CX_ENTITY,$F47,BD$15,$X$15,BD$13))),"")</f>
        <v/>
      </c>
      <c r="DA47" s="1883" t="str" cm="1">
        <f t="array" ca="1" aca="1" ref="DA47">IFERROR(IF($Z47="","",IF($J47=3,_xldudf_CX_PUSH(BE47*fxVal_normal,CX_ENTITY,$F47,BE$15,$X$15,BE$13),_xldudf_CX_PUSH(BE47,CX_ENTITY,$F47,BE$15,$X$15,BE$13))),"")</f>
        <v/>
      </c>
      <c r="DB47" s="1883" t="str" cm="1">
        <f t="array" ca="1" aca="1" ref="DB47">IFERROR(IF($Z47="","",IF($J47=3,_xldudf_CX_PUSH(BF47*fxVal_normal,CX_ENTITY,$F47,BF$15,$X$15,BF$13),_xldudf_CX_PUSH(BF47,CX_ENTITY,$F47,BF$15,$X$15,BF$13))),"")</f>
        <v/>
      </c>
      <c r="DC47" s="1883" t="str" cm="1">
        <f t="array" ca="1" aca="1" ref="DC47">IFERROR(IF($Z47="","",IF($J47=3,_xldudf_CX_PUSH(BG47*fxVal_normal,CX_ENTITY,$F47,BG$15,$X$15,BG$13),_xldudf_CX_PUSH(BG47,CX_ENTITY,$F47,BG$15,$X$15,BG$13))),"")</f>
        <v/>
      </c>
      <c r="DD47" s="1883" t="str" cm="1">
        <f t="array" ca="1" aca="1" ref="DD47">IFERROR(IF($Z47="","",IF($J47=3,_xldudf_CX_PUSH(BH47*fxVal_normal,CX_ENTITY,$F47,BH$15,$X$15,BH$13),_xldudf_CX_PUSH(BH47,CX_ENTITY,$F47,BH$15,$X$15,BH$13))),"")</f>
        <v/>
      </c>
      <c r="DE47" s="1883" t="str" cm="1">
        <f t="array" ca="1" aca="1" ref="DE47">IFERROR(IF($Z47="","",IF($J47=3,_xldudf_CX_PUSH(BI47*fxVal_normal,CX_ENTITY,$F47,BI$15,$X$15,BI$13),_xldudf_CX_PUSH(BI47,CX_ENTITY,$F47,BI$15,$X$15,BI$13))),"")</f>
        <v/>
      </c>
      <c r="DF47" s="1883" t="str" cm="1">
        <f t="array" ca="1" aca="1" ref="DF47">IFERROR(IF($Z47="","",IF($J47=3,_xldudf_CX_PUSH(BJ47*fxVal_normal,CX_ENTITY,$F47,BJ$15,$X$15,BJ$13),_xldudf_CX_PUSH(BJ47,CX_ENTITY,$F47,BJ$15,$X$15,BJ$13))),"")</f>
        <v/>
      </c>
      <c r="DG47" s="1883" t="str" cm="1">
        <f t="array" ca="1" aca="1" ref="DG47">IFERROR(IF($Z47="","",IF($J47=3,_xldudf_CX_PUSH(BK47*fxVal_normal,CX_ENTITY,$F47,BK$15,$X$15,BK$13),_xldudf_CX_PUSH(BK47,CX_ENTITY,$F47,BK$15,$X$15,BK$13))),"")</f>
        <v/>
      </c>
      <c r="DH47" s="1883" t="str" cm="1">
        <f t="array" ca="1" aca="1" ref="DH47">IFERROR(IF($Z47="","",IF($J47=3,_xldudf_CX_PUSH(BL47*fxVal_normal,CX_ENTITY,$F47,BL$15,$X$15,BL$13),_xldudf_CX_PUSH(BL47,CX_ENTITY,$F47,BL$15,$X$15,BL$13))),"")</f>
        <v/>
      </c>
      <c r="DI47" s="1883" t="str" cm="1">
        <f t="array" ca="1" aca="1" ref="DI47">IFERROR(IF($Z47="","",IF($J47=3,_xldudf_CX_PUSH(BM47*fxVal_normal,CX_ENTITY,$F47,BM$15,$X$15,BM$13),_xldudf_CX_PUSH(BM47,CX_ENTITY,$F47,BM$15,$X$15,BM$13))),"")</f>
        <v/>
      </c>
      <c r="DJ47" s="1883" t="str" cm="1">
        <f t="array" ca="1" aca="1" ref="DJ47">IFERROR(IF($Z47="","",IF($J47=3,_xldudf_CX_PUSH(BN47*fxVal_normal,CX_ENTITY,$F47,BN$15,$X$15,BN$13),_xldudf_CX_PUSH(BN47,CX_ENTITY,$F47,BN$15,$X$15,BN$13))),"")</f>
        <v/>
      </c>
      <c r="DK47" s="1883" t="str" cm="1">
        <f t="array" ca="1" aca="1" ref="DK47">IFERROR(IF($Z47="","",IF($J47=3,_xldudf_CX_PUSH(BO47*fxVal_normal,CX_ENTITY,$F47,BO$15,$X$15,BO$13),_xldudf_CX_PUSH(BO47,CX_ENTITY,$F47,BO$15,$X$15,BO$13))),"")</f>
        <v/>
      </c>
      <c r="DL47" s="1883" t="str" cm="1">
        <f t="array" ca="1" aca="1" ref="DL47">IFERROR(IF($Z47="","",IF($J47=3,_xldudf_CX_PUSH(BP47*fxVal_normal,CX_ENTITY,$F47,BP$15,$X$15,BP$13),_xldudf_CX_PUSH(BP47,CX_ENTITY,$F47,BP$15,$X$15,BP$13))),"")</f>
        <v/>
      </c>
      <c r="DM47" s="1883" t="str" cm="1">
        <f t="array" ca="1" aca="1" ref="DM47">IFERROR(IF($Z47="","",IF($J47=3,_xldudf_CX_PUSH(BQ47*fxVal_normal,CX_ENTITY,$F47,BQ$15,$X$15,BQ$13),_xldudf_CX_PUSH(BQ47,CX_ENTITY,$F47,BQ$15,$X$15,BQ$13))),"")</f>
        <v/>
      </c>
      <c r="DN47" s="1883" t="str" cm="1">
        <f t="array" ca="1" aca="1" ref="DN47">IFERROR(IF($Z47="","",IF($J47=3,_xldudf_CX_PUSH(BR47*fxVal_normal,CX_ENTITY,$F47,BR$15,$X$15,BR$13),_xldudf_CX_PUSH(BR47,CX_ENTITY,$F47,BR$15,$X$15,BR$13))),"")</f>
        <v/>
      </c>
      <c r="DO47" s="1883" t="str" cm="1">
        <f t="array" ca="1" aca="1" ref="DO47">IFERROR(IF($Z47="","",IF($J47=3,_xldudf_CX_PUSH(BS47*fxVal_normal,CX_ENTITY,$F47,BS$15,$X$15,BS$13),_xldudf_CX_PUSH(BS47,CX_ENTITY,$F47,BS$15,$X$15,BS$13))),"")</f>
        <v/>
      </c>
    </row>
    <row r="48" spans="1:119" ht="33" customHeight="1">
      <c r="A48" s="32"/>
      <c r="B48" s="1626" t="s">
        <v>416</v>
      </c>
      <c r="C48" s="1885" t="s">
        <v>417</v>
      </c>
      <c r="D48" s="1694" t="s">
        <v>418</v>
      </c>
      <c r="E48" s="1885" t="s">
        <v>419</v>
      </c>
      <c r="F48" s="1892" t="s">
        <v>420</v>
      </c>
      <c r="G48" s="574" t="s">
        <v>421</v>
      </c>
      <c r="H48" s="574" t="s">
        <v>422</v>
      </c>
      <c r="I48" s="401">
        <v>0</v>
      </c>
      <c r="J48" s="401">
        <f t="shared" si="1"/>
        <v>0</v>
      </c>
      <c r="K48" s="401"/>
      <c r="O48" s="158"/>
      <c r="P48" s="2"/>
      <c r="Q48" s="52"/>
      <c r="R48" s="2"/>
      <c r="S48" s="89"/>
      <c r="T48" s="1835"/>
      <c r="U48" s="1835"/>
      <c r="V48" s="39"/>
      <c r="X48" s="3239">
        <v>1</v>
      </c>
      <c r="Y48" s="708"/>
      <c r="Z48" s="3247">
        <v>2</v>
      </c>
      <c r="AA48" s="198">
        <v>-1</v>
      </c>
      <c r="AB48" s="198"/>
      <c r="AC48" s="3241">
        <v>2</v>
      </c>
      <c r="AD48" s="3242">
        <v>2</v>
      </c>
      <c r="AE48" s="3241">
        <v>2</v>
      </c>
      <c r="AF48" s="3241">
        <v>2</v>
      </c>
      <c r="AG48" s="1568"/>
      <c r="AH48" s="1830"/>
      <c r="AI48" s="3243">
        <v>1</v>
      </c>
      <c r="AJ48" s="3243">
        <v>1</v>
      </c>
      <c r="AK48" s="3243">
        <v>1</v>
      </c>
      <c r="AL48" s="3243">
        <v>1</v>
      </c>
      <c r="AM48" s="3243">
        <v>1</v>
      </c>
      <c r="AN48" s="3243">
        <v>1</v>
      </c>
      <c r="AO48" s="3243">
        <v>1</v>
      </c>
      <c r="AP48" s="3243">
        <v>1</v>
      </c>
      <c r="AQ48" s="3243">
        <v>1</v>
      </c>
      <c r="AR48" s="3243">
        <v>1</v>
      </c>
      <c r="AS48" s="3243">
        <v>1</v>
      </c>
      <c r="AT48" s="3243">
        <v>1</v>
      </c>
      <c r="AU48" s="3243">
        <v>1</v>
      </c>
      <c r="AV48" s="3243">
        <v>1</v>
      </c>
      <c r="AW48" s="3243">
        <v>1</v>
      </c>
      <c r="AX48" s="3243">
        <v>1</v>
      </c>
      <c r="AY48" s="3243">
        <v>1</v>
      </c>
      <c r="AZ48" s="3243">
        <v>1</v>
      </c>
      <c r="BA48" s="3243">
        <v>1</v>
      </c>
      <c r="BB48" s="3243">
        <v>1</v>
      </c>
      <c r="BC48" s="3243">
        <v>1</v>
      </c>
      <c r="BD48" s="3243">
        <v>1</v>
      </c>
      <c r="BE48" s="3243">
        <v>1</v>
      </c>
      <c r="BF48" s="3243">
        <v>1</v>
      </c>
      <c r="BG48" s="3243">
        <v>1</v>
      </c>
      <c r="BH48" s="3243">
        <v>1</v>
      </c>
      <c r="BI48" s="3243">
        <v>1</v>
      </c>
      <c r="BJ48" s="3243">
        <v>1</v>
      </c>
      <c r="BK48" s="3243">
        <v>1</v>
      </c>
      <c r="BL48" s="3243">
        <v>1</v>
      </c>
      <c r="BM48" s="3243">
        <v>1</v>
      </c>
      <c r="BN48" s="3243">
        <v>1</v>
      </c>
      <c r="BO48" s="3243">
        <v>1</v>
      </c>
      <c r="BP48" s="3243">
        <v>1</v>
      </c>
      <c r="BQ48" s="3243">
        <v>1</v>
      </c>
      <c r="BR48" s="3243">
        <v>1</v>
      </c>
      <c r="BS48" s="3243">
        <v>1</v>
      </c>
      <c r="BU48" s="2276" t="str" cm="1">
        <f t="array" ca="1" aca="1" ref="BU48">IFERROR(IF(Z48="","",_xldudf_CX_PUSH($Z48,CX_ENTITY,$B48,val_asOfDate,,,)),"")</f>
        <v/>
      </c>
      <c r="BV48" s="2276" t="str" cm="1">
        <f t="array" ca="1" aca="1" ref="BV48">IFERROR(IF(AC48="","",_xldudf_CX_PUSH($AC48,CX_ENTITY,$D48,val_asOfDate,,,)),"")</f>
        <v/>
      </c>
      <c r="BW48" s="2276" t="str" cm="1">
        <f t="array" ca="1" aca="1" ref="BW48">IFERROR(IF(Z48="","",_xldudf_CX_PUSH($Z48,CX_ENTITY,$B48,EOMONTH(val_asOfDate,1),,,)),"")</f>
        <v/>
      </c>
      <c r="BX48" s="2276" t="str" cm="1">
        <f t="array" ca="1" aca="1" ref="BX48">IFERROR(IF(AC48="","",_xldudf_CX_PUSH($AC48,CX_ENTITY,$D48,EOMONTH(val_asOfDate,1),,)),"")</f>
        <v/>
      </c>
      <c r="BY48" s="2276" t="str" cm="1">
        <f t="array" ca="1" aca="1" ref="BY48">IFERROR(IF(AD48="","",_xldudf_CX_PUSH($AD48,CX_ENTITY,$E48,val_asOfDate,,,)),"")</f>
        <v/>
      </c>
      <c r="BZ48" s="2276" t="str" cm="1">
        <f t="array" ca="1" aca="1" ref="BZ48">IFERROR(IF(AD48="","",_xldudf_CX_PUSH($AD48,CX_ENTITY,$E48,EOMONTH(val_asOfDate,1),,)),"")</f>
        <v/>
      </c>
      <c r="CA48" s="1879" t="str" cm="1">
        <f t="array" ca="1" aca="1" ref="CA48">IFERROR(IF(AE48="","",_xldudf_CX_PUSH($AE48,CX_ENTITY,$G48,val_asOfDate,,,)),"")</f>
        <v/>
      </c>
      <c r="CB48" s="1879" t="str" cm="1">
        <f t="array" ca="1" aca="1" ref="CB48">IFERROR(IF(AE48="","",_xldudf_CX_PUSH($AE48,CX_ENTITY,$G48,EOMONTH(val_asOfDate,1),,,)),"")</f>
        <v/>
      </c>
      <c r="CC48" s="1879" t="str" cm="1">
        <f t="array" ca="1" aca="1" ref="CC48">IFERROR(IF(AF48="","",_xldudf_CX_PUSH($AF48,CX_ENTITY,$H48,val_asOfDate,,,)),"")</f>
        <v/>
      </c>
      <c r="CD48" s="1879" t="str" cm="1">
        <f t="array" ca="1" aca="1" ref="CD48">IFERROR(IF(AF48="","",_xldudf_CX_PUSH($AF48,CX_ENTITY,$H48,EOMONTH(val_asOfDate,1),,,)),"")</f>
        <v/>
      </c>
      <c r="CE48" s="1883" t="str" cm="1">
        <f t="array" ca="1" aca="1" ref="CE48">IFERROR(IF($Z48="","",IF($J48=3,_xldudf_CX_PUSH(AI48*fxVal_normal,CX_ENTITY,$F48,AI$15,$X$15,AI$13),_xldudf_CX_PUSH(AI48,CX_ENTITY,$F48,AI$15,$X$15,AI$13))),"")</f>
        <v/>
      </c>
      <c r="CF48" s="1883" t="str" cm="1">
        <f t="array" ca="1" aca="1" ref="CF48">IFERROR(IF($Z48="","",IF($J48=3,_xldudf_CX_PUSH(AJ48*fxVal_normal,CX_ENTITY,$F48,AJ$15,$X$15,AJ$13),_xldudf_CX_PUSH(AJ48,CX_ENTITY,$F48,AJ$15,$X$15,AJ$13))),"")</f>
        <v/>
      </c>
      <c r="CG48" s="1883" t="str" cm="1">
        <f t="array" ca="1" aca="1" ref="CG48">IFERROR(IF($Z48="","",IF($J48=3,_xldudf_CX_PUSH(AK48*fxVal_normal,CX_ENTITY,$F48,AK$15,$X$15,AK$13),_xldudf_CX_PUSH(AK48,CX_ENTITY,$F48,AK$15,$X$15,AK$13))),"")</f>
        <v/>
      </c>
      <c r="CH48" s="1883" t="str" cm="1">
        <f t="array" ca="1" aca="1" ref="CH48">IFERROR(IF($Z48="","",IF($J48=3,_xldudf_CX_PUSH(AL48*fxVal_normal,CX_ENTITY,$F48,AL$15,$X$15,AL$13),_xldudf_CX_PUSH(AL48,CX_ENTITY,$F48,AL$15,$X$15,AL$13))),"")</f>
        <v/>
      </c>
      <c r="CI48" s="1883" t="str" cm="1">
        <f t="array" ca="1" aca="1" ref="CI48">IFERROR(IF($Z48="","",IF($J48=3,_xldudf_CX_PUSH(AM48*fxVal_normal,CX_ENTITY,$F48,AM$15,$X$15,AM$13),_xldudf_CX_PUSH(AM48,CX_ENTITY,$F48,AM$15,$X$15,AM$13))),"")</f>
        <v/>
      </c>
      <c r="CJ48" s="1883" t="str" cm="1">
        <f t="array" ca="1" aca="1" ref="CJ48">IFERROR(IF($Z48="","",IF($J48=3,_xldudf_CX_PUSH(AN48*fxVal_normal,CX_ENTITY,$F48,AN$15,$X$15,AN$13),_xldudf_CX_PUSH(AN48,CX_ENTITY,$F48,AN$15,$X$15,AN$13))),"")</f>
        <v/>
      </c>
      <c r="CK48" s="1883" t="str" cm="1">
        <f t="array" ca="1" aca="1" ref="CK48">IFERROR(IF($Z48="","",IF($J48=3,_xldudf_CX_PUSH(AO48*fxVal_normal,CX_ENTITY,$F48,AO$15,$X$15,AO$13),_xldudf_CX_PUSH(AO48,CX_ENTITY,$F48,AO$15,$X$15,AO$13))),"")</f>
        <v/>
      </c>
      <c r="CL48" s="1883" t="str" cm="1">
        <f t="array" ca="1" aca="1" ref="CL48">IFERROR(IF($Z48="","",IF($J48=3,_xldudf_CX_PUSH(AP48*fxVal_normal,CX_ENTITY,$F48,AP$15,$X$15,AP$13),_xldudf_CX_PUSH(AP48,CX_ENTITY,$F48,AP$15,$X$15,AP$13))),"")</f>
        <v/>
      </c>
      <c r="CM48" s="1883" t="str" cm="1">
        <f t="array" ca="1" aca="1" ref="CM48">IFERROR(IF($Z48="","",IF($J48=3,_xldudf_CX_PUSH(AQ48*fxVal_normal,CX_ENTITY,$F48,AQ$15,$X$15,AQ$13),_xldudf_CX_PUSH(AQ48,CX_ENTITY,$F48,AQ$15,$X$15,AQ$13))),"")</f>
        <v/>
      </c>
      <c r="CN48" s="1883" t="str" cm="1">
        <f t="array" ca="1" aca="1" ref="CN48">IFERROR(IF($Z48="","",IF($J48=3,_xldudf_CX_PUSH(AR48*fxVal_normal,CX_ENTITY,$F48,AR$15,$X$15,AR$13),_xldudf_CX_PUSH(AR48,CX_ENTITY,$F48,AR$15,$X$15,AR$13))),"")</f>
        <v/>
      </c>
      <c r="CO48" s="1883" t="str" cm="1">
        <f t="array" ca="1" aca="1" ref="CO48">IFERROR(IF($Z48="","",IF($J48=3,_xldudf_CX_PUSH(AS48*fxVal_normal,CX_ENTITY,$F48,AS$15,$X$15,AS$13),_xldudf_CX_PUSH(AS48,CX_ENTITY,$F48,AS$15,$X$15,AS$13))),"")</f>
        <v/>
      </c>
      <c r="CP48" s="1883" t="str" cm="1">
        <f t="array" ca="1" aca="1" ref="CP48">IFERROR(IF($Z48="","",IF($J48=3,_xldudf_CX_PUSH(AT48*fxVal_normal,CX_ENTITY,$F48,AT$15,$X$15,AT$13),_xldudf_CX_PUSH(AT48,CX_ENTITY,$F48,AT$15,$X$15,AT$13))),"")</f>
        <v/>
      </c>
      <c r="CQ48" s="1883" t="str" cm="1">
        <f t="array" ca="1" aca="1" ref="CQ48">IFERROR(IF($Z48="","",IF($J48=3,_xldudf_CX_PUSH(AU48*fxVal_normal,CX_ENTITY,$F48,AU$15,$X$15,AU$13),_xldudf_CX_PUSH(AU48,CX_ENTITY,$F48,AU$15,$X$15,AU$13))),"")</f>
        <v/>
      </c>
      <c r="CR48" s="1883" t="str" cm="1">
        <f t="array" ca="1" aca="1" ref="CR48">IFERROR(IF($Z48="","",IF($J48=3,_xldudf_CX_PUSH(AV48*fxVal_normal,CX_ENTITY,$F48,AV$15,$X$15,AV$13),_xldudf_CX_PUSH(AV48,CX_ENTITY,$F48,AV$15,$X$15,AV$13))),"")</f>
        <v/>
      </c>
      <c r="CS48" s="1883" t="str" cm="1">
        <f t="array" ca="1" aca="1" ref="CS48">IFERROR(IF($Z48="","",IF($J48=3,_xldudf_CX_PUSH(AW48*fxVal_normal,CX_ENTITY,$F48,AW$15,$X$15,AW$13),_xldudf_CX_PUSH(AW48,CX_ENTITY,$F48,AW$15,$X$15,AW$13))),"")</f>
        <v/>
      </c>
      <c r="CT48" s="1883" t="str" cm="1">
        <f t="array" ca="1" aca="1" ref="CT48">IFERROR(IF($Z48="","",IF($J48=3,_xldudf_CX_PUSH(AX48*fxVal_normal,CX_ENTITY,$F48,AX$15,$X$15,AX$13),_xldudf_CX_PUSH(AX48,CX_ENTITY,$F48,AX$15,$X$15,AX$13))),"")</f>
        <v/>
      </c>
      <c r="CU48" s="1883" t="str" cm="1">
        <f t="array" ca="1" aca="1" ref="CU48">IFERROR(IF($Z48="","",IF($J48=3,_xldudf_CX_PUSH(AY48*fxVal_normal,CX_ENTITY,$F48,AY$15,$X$15,AY$13),_xldudf_CX_PUSH(AY48,CX_ENTITY,$F48,AY$15,$X$15,AY$13))),"")</f>
        <v/>
      </c>
      <c r="CV48" s="1883" t="str" cm="1">
        <f t="array" ca="1" aca="1" ref="CV48">IFERROR(IF($Z48="","",IF($J48=3,_xldudf_CX_PUSH(AZ48*fxVal_normal,CX_ENTITY,$F48,AZ$15,$X$15,AZ$13),_xldudf_CX_PUSH(AZ48,CX_ENTITY,$F48,AZ$15,$X$15,AZ$13))),"")</f>
        <v/>
      </c>
      <c r="CW48" s="1883" t="str" cm="1">
        <f t="array" ca="1" aca="1" ref="CW48">IFERROR(IF($Z48="","",IF($J48=3,_xldudf_CX_PUSH(BA48*fxVal_normal,CX_ENTITY,$F48,BA$15,$X$15,BA$13),_xldudf_CX_PUSH(BA48,CX_ENTITY,$F48,BA$15,$X$15,BA$13))),"")</f>
        <v/>
      </c>
      <c r="CX48" s="1883" t="str" cm="1">
        <f t="array" ca="1" aca="1" ref="CX48">IFERROR(IF($Z48="","",IF($J48=3,_xldudf_CX_PUSH(BB48*fxVal_normal,CX_ENTITY,$F48,BB$15,$X$15,BB$13),_xldudf_CX_PUSH(BB48,CX_ENTITY,$F48,BB$15,$X$15,BB$13))),"")</f>
        <v/>
      </c>
      <c r="CY48" s="1883" t="str" cm="1">
        <f t="array" ca="1" aca="1" ref="CY48">IFERROR(IF($Z48="","",IF($J48=3,_xldudf_CX_PUSH(BC48*fxVal_normal,CX_ENTITY,$F48,BC$15,$X$15,BC$13),_xldudf_CX_PUSH(BC48,CX_ENTITY,$F48,BC$15,$X$15,BC$13))),"")</f>
        <v/>
      </c>
      <c r="CZ48" s="1883" t="str" cm="1">
        <f t="array" ca="1" aca="1" ref="CZ48">IFERROR(IF($Z48="","",IF($J48=3,_xldudf_CX_PUSH(BD48*fxVal_normal,CX_ENTITY,$F48,BD$15,$X$15,BD$13),_xldudf_CX_PUSH(BD48,CX_ENTITY,$F48,BD$15,$X$15,BD$13))),"")</f>
        <v/>
      </c>
      <c r="DA48" s="1883" t="str" cm="1">
        <f t="array" ca="1" aca="1" ref="DA48">IFERROR(IF($Z48="","",IF($J48=3,_xldudf_CX_PUSH(BE48*fxVal_normal,CX_ENTITY,$F48,BE$15,$X$15,BE$13),_xldudf_CX_PUSH(BE48,CX_ENTITY,$F48,BE$15,$X$15,BE$13))),"")</f>
        <v/>
      </c>
      <c r="DB48" s="1883" t="str" cm="1">
        <f t="array" ca="1" aca="1" ref="DB48">IFERROR(IF($Z48="","",IF($J48=3,_xldudf_CX_PUSH(BF48*fxVal_normal,CX_ENTITY,$F48,BF$15,$X$15,BF$13),_xldudf_CX_PUSH(BF48,CX_ENTITY,$F48,BF$15,$X$15,BF$13))),"")</f>
        <v/>
      </c>
      <c r="DC48" s="1883" t="str" cm="1">
        <f t="array" ca="1" aca="1" ref="DC48">IFERROR(IF($Z48="","",IF($J48=3,_xldudf_CX_PUSH(BG48*fxVal_normal,CX_ENTITY,$F48,BG$15,$X$15,BG$13),_xldudf_CX_PUSH(BG48,CX_ENTITY,$F48,BG$15,$X$15,BG$13))),"")</f>
        <v/>
      </c>
      <c r="DD48" s="1883" t="str" cm="1">
        <f t="array" ca="1" aca="1" ref="DD48">IFERROR(IF($Z48="","",IF($J48=3,_xldudf_CX_PUSH(BH48*fxVal_normal,CX_ENTITY,$F48,BH$15,$X$15,BH$13),_xldudf_CX_PUSH(BH48,CX_ENTITY,$F48,BH$15,$X$15,BH$13))),"")</f>
        <v/>
      </c>
      <c r="DE48" s="1883" t="str" cm="1">
        <f t="array" ca="1" aca="1" ref="DE48">IFERROR(IF($Z48="","",IF($J48=3,_xldudf_CX_PUSH(BI48*fxVal_normal,CX_ENTITY,$F48,BI$15,$X$15,BI$13),_xldudf_CX_PUSH(BI48,CX_ENTITY,$F48,BI$15,$X$15,BI$13))),"")</f>
        <v/>
      </c>
      <c r="DF48" s="1883" t="str" cm="1">
        <f t="array" ca="1" aca="1" ref="DF48">IFERROR(IF($Z48="","",IF($J48=3,_xldudf_CX_PUSH(BJ48*fxVal_normal,CX_ENTITY,$F48,BJ$15,$X$15,BJ$13),_xldudf_CX_PUSH(BJ48,CX_ENTITY,$F48,BJ$15,$X$15,BJ$13))),"")</f>
        <v/>
      </c>
      <c r="DG48" s="1883" t="str" cm="1">
        <f t="array" ca="1" aca="1" ref="DG48">IFERROR(IF($Z48="","",IF($J48=3,_xldudf_CX_PUSH(BK48*fxVal_normal,CX_ENTITY,$F48,BK$15,$X$15,BK$13),_xldudf_CX_PUSH(BK48,CX_ENTITY,$F48,BK$15,$X$15,BK$13))),"")</f>
        <v/>
      </c>
      <c r="DH48" s="1883" t="str" cm="1">
        <f t="array" ca="1" aca="1" ref="DH48">IFERROR(IF($Z48="","",IF($J48=3,_xldudf_CX_PUSH(BL48*fxVal_normal,CX_ENTITY,$F48,BL$15,$X$15,BL$13),_xldudf_CX_PUSH(BL48,CX_ENTITY,$F48,BL$15,$X$15,BL$13))),"")</f>
        <v/>
      </c>
      <c r="DI48" s="1883" t="str" cm="1">
        <f t="array" ca="1" aca="1" ref="DI48">IFERROR(IF($Z48="","",IF($J48=3,_xldudf_CX_PUSH(BM48*fxVal_normal,CX_ENTITY,$F48,BM$15,$X$15,BM$13),_xldudf_CX_PUSH(BM48,CX_ENTITY,$F48,BM$15,$X$15,BM$13))),"")</f>
        <v/>
      </c>
      <c r="DJ48" s="1883" t="str" cm="1">
        <f t="array" ca="1" aca="1" ref="DJ48">IFERROR(IF($Z48="","",IF($J48=3,_xldudf_CX_PUSH(BN48*fxVal_normal,CX_ENTITY,$F48,BN$15,$X$15,BN$13),_xldudf_CX_PUSH(BN48,CX_ENTITY,$F48,BN$15,$X$15,BN$13))),"")</f>
        <v/>
      </c>
      <c r="DK48" s="1883" t="str" cm="1">
        <f t="array" ca="1" aca="1" ref="DK48">IFERROR(IF($Z48="","",IF($J48=3,_xldudf_CX_PUSH(BO48*fxVal_normal,CX_ENTITY,$F48,BO$15,$X$15,BO$13),_xldudf_CX_PUSH(BO48,CX_ENTITY,$F48,BO$15,$X$15,BO$13))),"")</f>
        <v/>
      </c>
      <c r="DL48" s="1883" t="str" cm="1">
        <f t="array" ca="1" aca="1" ref="DL48">IFERROR(IF($Z48="","",IF($J48=3,_xldudf_CX_PUSH(BP48*fxVal_normal,CX_ENTITY,$F48,BP$15,$X$15,BP$13),_xldudf_CX_PUSH(BP48,CX_ENTITY,$F48,BP$15,$X$15,BP$13))),"")</f>
        <v/>
      </c>
      <c r="DM48" s="1883" t="str" cm="1">
        <f t="array" ca="1" aca="1" ref="DM48">IFERROR(IF($Z48="","",IF($J48=3,_xldudf_CX_PUSH(BQ48*fxVal_normal,CX_ENTITY,$F48,BQ$15,$X$15,BQ$13),_xldudf_CX_PUSH(BQ48,CX_ENTITY,$F48,BQ$15,$X$15,BQ$13))),"")</f>
        <v/>
      </c>
      <c r="DN48" s="1883" t="str" cm="1">
        <f t="array" ca="1" aca="1" ref="DN48">IFERROR(IF($Z48="","",IF($J48=3,_xldudf_CX_PUSH(BR48*fxVal_normal,CX_ENTITY,$F48,BR$15,$X$15,BR$13),_xldudf_CX_PUSH(BR48,CX_ENTITY,$F48,BR$15,$X$15,BR$13))),"")</f>
        <v/>
      </c>
      <c r="DO48" s="1883" t="str" cm="1">
        <f t="array" ca="1" aca="1" ref="DO48">IFERROR(IF($Z48="","",IF($J48=3,_xldudf_CX_PUSH(BS48*fxVal_normal,CX_ENTITY,$F48,BS$15,$X$15,BS$13),_xldudf_CX_PUSH(BS48,CX_ENTITY,$F48,BS$15,$X$15,BS$13))),"")</f>
        <v/>
      </c>
    </row>
    <row r="49" spans="1:119" ht="33" customHeight="1">
      <c r="A49" s="32" t="s">
        <v>22</v>
      </c>
      <c r="B49" s="1626" t="s">
        <v>423</v>
      </c>
      <c r="C49" s="1885" t="s">
        <v>424</v>
      </c>
      <c r="D49" s="1885" t="s">
        <v>425</v>
      </c>
      <c r="E49" s="1885" t="s">
        <v>426</v>
      </c>
      <c r="F49" s="1885" t="s">
        <v>427</v>
      </c>
      <c r="G49" s="574" t="s">
        <v>428</v>
      </c>
      <c r="H49" s="574" t="s">
        <v>429</v>
      </c>
      <c r="I49" s="3280">
        <v>1</v>
      </c>
      <c r="J49" s="401">
        <f t="shared" si="1"/>
        <v>0</v>
      </c>
      <c r="K49" s="401"/>
      <c r="O49" s="158"/>
      <c r="P49" s="101"/>
      <c r="Q49" s="52"/>
      <c r="R49" s="101"/>
      <c r="S49" s="126"/>
      <c r="T49" s="101"/>
      <c r="U49" s="101"/>
      <c r="V49" s="39"/>
      <c r="X49" s="3239">
        <v>1</v>
      </c>
      <c r="Y49" s="708"/>
      <c r="Z49" s="3247">
        <v>2</v>
      </c>
      <c r="AA49" s="198">
        <v>-1</v>
      </c>
      <c r="AB49" s="198"/>
      <c r="AC49" s="3241">
        <v>2</v>
      </c>
      <c r="AD49" s="3242">
        <v>2</v>
      </c>
      <c r="AE49" s="3241">
        <v>2</v>
      </c>
      <c r="AF49" s="3241">
        <v>2</v>
      </c>
      <c r="AG49" s="1570"/>
      <c r="AH49" s="1830"/>
      <c r="AI49" s="3243">
        <v>1</v>
      </c>
      <c r="AJ49" s="3243">
        <v>1</v>
      </c>
      <c r="AK49" s="3243">
        <v>1</v>
      </c>
      <c r="AL49" s="3243">
        <v>1</v>
      </c>
      <c r="AM49" s="3243">
        <v>1</v>
      </c>
      <c r="AN49" s="3243">
        <v>1</v>
      </c>
      <c r="AO49" s="3243">
        <v>1</v>
      </c>
      <c r="AP49" s="3243">
        <v>1</v>
      </c>
      <c r="AQ49" s="3243">
        <v>1</v>
      </c>
      <c r="AR49" s="3243">
        <v>1</v>
      </c>
      <c r="AS49" s="3243">
        <v>1</v>
      </c>
      <c r="AT49" s="3243">
        <v>1</v>
      </c>
      <c r="AU49" s="3243">
        <v>1</v>
      </c>
      <c r="AV49" s="3243">
        <v>1</v>
      </c>
      <c r="AW49" s="3243">
        <v>1</v>
      </c>
      <c r="AX49" s="3243">
        <v>1</v>
      </c>
      <c r="AY49" s="3243">
        <v>1</v>
      </c>
      <c r="AZ49" s="3243">
        <v>1</v>
      </c>
      <c r="BA49" s="3243">
        <v>1</v>
      </c>
      <c r="BB49" s="3243">
        <v>1</v>
      </c>
      <c r="BC49" s="3243">
        <v>1</v>
      </c>
      <c r="BD49" s="3243">
        <v>1</v>
      </c>
      <c r="BE49" s="3243">
        <v>1</v>
      </c>
      <c r="BF49" s="3243">
        <v>1</v>
      </c>
      <c r="BG49" s="3243">
        <v>1</v>
      </c>
      <c r="BH49" s="3243">
        <v>1</v>
      </c>
      <c r="BI49" s="3243">
        <v>1</v>
      </c>
      <c r="BJ49" s="3243">
        <v>1</v>
      </c>
      <c r="BK49" s="3243">
        <v>1</v>
      </c>
      <c r="BL49" s="3243">
        <v>1</v>
      </c>
      <c r="BM49" s="3243">
        <v>1</v>
      </c>
      <c r="BN49" s="3243">
        <v>1</v>
      </c>
      <c r="BO49" s="3243">
        <v>1</v>
      </c>
      <c r="BP49" s="3243">
        <v>1</v>
      </c>
      <c r="BQ49" s="3243">
        <v>1</v>
      </c>
      <c r="BR49" s="3243">
        <v>1</v>
      </c>
      <c r="BS49" s="3243">
        <v>1</v>
      </c>
      <c r="BU49" s="2276" t="str" cm="1">
        <f t="array" ca="1" aca="1" ref="BU49">IFERROR(IF(Z49="","",_xldudf_CX_PUSH($Z49,CX_ENTITY,$B49,val_asOfDate,,,)),"")</f>
        <v/>
      </c>
      <c r="BV49" s="2276" t="str" cm="1">
        <f t="array" ca="1" aca="1" ref="BV49">IFERROR(IF(AC49="","",_xldudf_CX_PUSH($AC49,CX_ENTITY,$D49,val_asOfDate,,,)),"")</f>
        <v/>
      </c>
      <c r="BW49" s="2276" t="str" cm="1">
        <f t="array" ca="1" aca="1" ref="BW49">IFERROR(IF(Z49="","",_xldudf_CX_PUSH($Z49,CX_ENTITY,$B49,EOMONTH(val_asOfDate,1),,,)),"")</f>
        <v/>
      </c>
      <c r="BX49" s="2276" t="str" cm="1">
        <f t="array" ca="1" aca="1" ref="BX49">IFERROR(IF(AC49="","",_xldudf_CX_PUSH($AC49,CX_ENTITY,$D49,EOMONTH(val_asOfDate,1),,)),"")</f>
        <v/>
      </c>
      <c r="BY49" s="2276" t="str" cm="1">
        <f t="array" ca="1" aca="1" ref="BY49">IFERROR(IF(AD49="","",_xldudf_CX_PUSH($AD49,CX_ENTITY,$E49,val_asOfDate,,,)),"")</f>
        <v/>
      </c>
      <c r="BZ49" s="2276" t="str" cm="1">
        <f t="array" ca="1" aca="1" ref="BZ49">IFERROR(IF(AD49="","",_xldudf_CX_PUSH($AD49,CX_ENTITY,$E49,EOMONTH(val_asOfDate,1),,)),"")</f>
        <v/>
      </c>
      <c r="CA49" s="1879" t="str" cm="1">
        <f t="array" ca="1" aca="1" ref="CA49">IFERROR(IF(AE49="","",_xldudf_CX_PUSH($AE49,CX_ENTITY,$G49,val_asOfDate,,,)),"")</f>
        <v/>
      </c>
      <c r="CB49" s="1879" t="str" cm="1">
        <f t="array" ca="1" aca="1" ref="CB49">IFERROR(IF(AE49="","",_xldudf_CX_PUSH($AE49,CX_ENTITY,$G49,EOMONTH(val_asOfDate,1),,,)),"")</f>
        <v/>
      </c>
      <c r="CC49" s="1879" t="str" cm="1">
        <f t="array" ca="1" aca="1" ref="CC49">IFERROR(IF(AF49="","",_xldudf_CX_PUSH($AF49,CX_ENTITY,$H49,val_asOfDate,,,)),"")</f>
        <v/>
      </c>
      <c r="CD49" s="1879" t="str" cm="1">
        <f t="array" ca="1" aca="1" ref="CD49">IFERROR(IF(AF49="","",_xldudf_CX_PUSH($AF49,CX_ENTITY,$H49,EOMONTH(val_asOfDate,1),,,)),"")</f>
        <v/>
      </c>
      <c r="CE49" s="1883" t="str" cm="1">
        <f t="array" ca="1" aca="1" ref="CE49">IFERROR(IF($Z49="","",IF($J49=3,_xldudf_CX_PUSH(AI49*fxVal_normal,CX_ENTITY,$F49,AI$15,$X$15,AI$13),_xldudf_CX_PUSH(AI49,CX_ENTITY,$F49,AI$15,$X$15,AI$13))),"")</f>
        <v/>
      </c>
      <c r="CF49" s="1883" t="str" cm="1">
        <f t="array" ca="1" aca="1" ref="CF49">IFERROR(IF($Z49="","",IF($J49=3,_xldudf_CX_PUSH(AJ49*fxVal_normal,CX_ENTITY,$F49,AJ$15,$X$15,AJ$13),_xldudf_CX_PUSH(AJ49,CX_ENTITY,$F49,AJ$15,$X$15,AJ$13))),"")</f>
        <v/>
      </c>
      <c r="CG49" s="1883" t="str" cm="1">
        <f t="array" ca="1" aca="1" ref="CG49">IFERROR(IF($Z49="","",IF($J49=3,_xldudf_CX_PUSH(AK49*fxVal_normal,CX_ENTITY,$F49,AK$15,$X$15,AK$13),_xldudf_CX_PUSH(AK49,CX_ENTITY,$F49,AK$15,$X$15,AK$13))),"")</f>
        <v/>
      </c>
      <c r="CH49" s="1883" t="str" cm="1">
        <f t="array" ca="1" aca="1" ref="CH49">IFERROR(IF($Z49="","",IF($J49=3,_xldudf_CX_PUSH(AL49*fxVal_normal,CX_ENTITY,$F49,AL$15,$X$15,AL$13),_xldudf_CX_PUSH(AL49,CX_ENTITY,$F49,AL$15,$X$15,AL$13))),"")</f>
        <v/>
      </c>
      <c r="CI49" s="1883" t="str" cm="1">
        <f t="array" ca="1" aca="1" ref="CI49">IFERROR(IF($Z49="","",IF($J49=3,_xldudf_CX_PUSH(AM49*fxVal_normal,CX_ENTITY,$F49,AM$15,$X$15,AM$13),_xldudf_CX_PUSH(AM49,CX_ENTITY,$F49,AM$15,$X$15,AM$13))),"")</f>
        <v/>
      </c>
      <c r="CJ49" s="1883" t="str" cm="1">
        <f t="array" ca="1" aca="1" ref="CJ49">IFERROR(IF($Z49="","",IF($J49=3,_xldudf_CX_PUSH(AN49*fxVal_normal,CX_ENTITY,$F49,AN$15,$X$15,AN$13),_xldudf_CX_PUSH(AN49,CX_ENTITY,$F49,AN$15,$X$15,AN$13))),"")</f>
        <v/>
      </c>
      <c r="CK49" s="1883" t="str" cm="1">
        <f t="array" ca="1" aca="1" ref="CK49">IFERROR(IF($Z49="","",IF($J49=3,_xldudf_CX_PUSH(AO49*fxVal_normal,CX_ENTITY,$F49,AO$15,$X$15,AO$13),_xldudf_CX_PUSH(AO49,CX_ENTITY,$F49,AO$15,$X$15,AO$13))),"")</f>
        <v/>
      </c>
      <c r="CL49" s="1883" t="str" cm="1">
        <f t="array" ca="1" aca="1" ref="CL49">IFERROR(IF($Z49="","",IF($J49=3,_xldudf_CX_PUSH(AP49*fxVal_normal,CX_ENTITY,$F49,AP$15,$X$15,AP$13),_xldudf_CX_PUSH(AP49,CX_ENTITY,$F49,AP$15,$X$15,AP$13))),"")</f>
        <v/>
      </c>
      <c r="CM49" s="1883" t="str" cm="1">
        <f t="array" ca="1" aca="1" ref="CM49">IFERROR(IF($Z49="","",IF($J49=3,_xldudf_CX_PUSH(AQ49*fxVal_normal,CX_ENTITY,$F49,AQ$15,$X$15,AQ$13),_xldudf_CX_PUSH(AQ49,CX_ENTITY,$F49,AQ$15,$X$15,AQ$13))),"")</f>
        <v/>
      </c>
      <c r="CN49" s="1883" t="str" cm="1">
        <f t="array" ca="1" aca="1" ref="CN49">IFERROR(IF($Z49="","",IF($J49=3,_xldudf_CX_PUSH(AR49*fxVal_normal,CX_ENTITY,$F49,AR$15,$X$15,AR$13),_xldudf_CX_PUSH(AR49,CX_ENTITY,$F49,AR$15,$X$15,AR$13))),"")</f>
        <v/>
      </c>
      <c r="CO49" s="1883" t="str" cm="1">
        <f t="array" ca="1" aca="1" ref="CO49">IFERROR(IF($Z49="","",IF($J49=3,_xldudf_CX_PUSH(AS49*fxVal_normal,CX_ENTITY,$F49,AS$15,$X$15,AS$13),_xldudf_CX_PUSH(AS49,CX_ENTITY,$F49,AS$15,$X$15,AS$13))),"")</f>
        <v/>
      </c>
      <c r="CP49" s="1883" t="str" cm="1">
        <f t="array" ca="1" aca="1" ref="CP49">IFERROR(IF($Z49="","",IF($J49=3,_xldudf_CX_PUSH(AT49*fxVal_normal,CX_ENTITY,$F49,AT$15,$X$15,AT$13),_xldudf_CX_PUSH(AT49,CX_ENTITY,$F49,AT$15,$X$15,AT$13))),"")</f>
        <v/>
      </c>
      <c r="CQ49" s="1883" t="str" cm="1">
        <f t="array" ca="1" aca="1" ref="CQ49">IFERROR(IF($Z49="","",IF($J49=3,_xldudf_CX_PUSH(AU49*fxVal_normal,CX_ENTITY,$F49,AU$15,$X$15,AU$13),_xldudf_CX_PUSH(AU49,CX_ENTITY,$F49,AU$15,$X$15,AU$13))),"")</f>
        <v/>
      </c>
      <c r="CR49" s="1883" t="str" cm="1">
        <f t="array" ca="1" aca="1" ref="CR49">IFERROR(IF($Z49="","",IF($J49=3,_xldudf_CX_PUSH(AV49*fxVal_normal,CX_ENTITY,$F49,AV$15,$X$15,AV$13),_xldudf_CX_PUSH(AV49,CX_ENTITY,$F49,AV$15,$X$15,AV$13))),"")</f>
        <v/>
      </c>
      <c r="CS49" s="1883" t="str" cm="1">
        <f t="array" ca="1" aca="1" ref="CS49">IFERROR(IF($Z49="","",IF($J49=3,_xldudf_CX_PUSH(AW49*fxVal_normal,CX_ENTITY,$F49,AW$15,$X$15,AW$13),_xldudf_CX_PUSH(AW49,CX_ENTITY,$F49,AW$15,$X$15,AW$13))),"")</f>
        <v/>
      </c>
      <c r="CT49" s="1883" t="str" cm="1">
        <f t="array" ca="1" aca="1" ref="CT49">IFERROR(IF($Z49="","",IF($J49=3,_xldudf_CX_PUSH(AX49*fxVal_normal,CX_ENTITY,$F49,AX$15,$X$15,AX$13),_xldudf_CX_PUSH(AX49,CX_ENTITY,$F49,AX$15,$X$15,AX$13))),"")</f>
        <v/>
      </c>
      <c r="CU49" s="1883" t="str" cm="1">
        <f t="array" ca="1" aca="1" ref="CU49">IFERROR(IF($Z49="","",IF($J49=3,_xldudf_CX_PUSH(AY49*fxVal_normal,CX_ENTITY,$F49,AY$15,$X$15,AY$13),_xldudf_CX_PUSH(AY49,CX_ENTITY,$F49,AY$15,$X$15,AY$13))),"")</f>
        <v/>
      </c>
      <c r="CV49" s="1883" t="str" cm="1">
        <f t="array" ca="1" aca="1" ref="CV49">IFERROR(IF($Z49="","",IF($J49=3,_xldudf_CX_PUSH(AZ49*fxVal_normal,CX_ENTITY,$F49,AZ$15,$X$15,AZ$13),_xldudf_CX_PUSH(AZ49,CX_ENTITY,$F49,AZ$15,$X$15,AZ$13))),"")</f>
        <v/>
      </c>
      <c r="CW49" s="1883" t="str" cm="1">
        <f t="array" ca="1" aca="1" ref="CW49">IFERROR(IF($Z49="","",IF($J49=3,_xldudf_CX_PUSH(BA49*fxVal_normal,CX_ENTITY,$F49,BA$15,$X$15,BA$13),_xldudf_CX_PUSH(BA49,CX_ENTITY,$F49,BA$15,$X$15,BA$13))),"")</f>
        <v/>
      </c>
      <c r="CX49" s="1883" t="str" cm="1">
        <f t="array" ca="1" aca="1" ref="CX49">IFERROR(IF($Z49="","",IF($J49=3,_xldudf_CX_PUSH(BB49*fxVal_normal,CX_ENTITY,$F49,BB$15,$X$15,BB$13),_xldudf_CX_PUSH(BB49,CX_ENTITY,$F49,BB$15,$X$15,BB$13))),"")</f>
        <v/>
      </c>
      <c r="CY49" s="1883" t="str" cm="1">
        <f t="array" ca="1" aca="1" ref="CY49">IFERROR(IF($Z49="","",IF($J49=3,_xldudf_CX_PUSH(BC49*fxVal_normal,CX_ENTITY,$F49,BC$15,$X$15,BC$13),_xldudf_CX_PUSH(BC49,CX_ENTITY,$F49,BC$15,$X$15,BC$13))),"")</f>
        <v/>
      </c>
      <c r="CZ49" s="1883" t="str" cm="1">
        <f t="array" ca="1" aca="1" ref="CZ49">IFERROR(IF($Z49="","",IF($J49=3,_xldudf_CX_PUSH(BD49*fxVal_normal,CX_ENTITY,$F49,BD$15,$X$15,BD$13),_xldudf_CX_PUSH(BD49,CX_ENTITY,$F49,BD$15,$X$15,BD$13))),"")</f>
        <v/>
      </c>
      <c r="DA49" s="1883" t="str" cm="1">
        <f t="array" ca="1" aca="1" ref="DA49">IFERROR(IF($Z49="","",IF($J49=3,_xldudf_CX_PUSH(BE49*fxVal_normal,CX_ENTITY,$F49,BE$15,$X$15,BE$13),_xldudf_CX_PUSH(BE49,CX_ENTITY,$F49,BE$15,$X$15,BE$13))),"")</f>
        <v/>
      </c>
      <c r="DB49" s="1883" t="str" cm="1">
        <f t="array" ca="1" aca="1" ref="DB49">IFERROR(IF($Z49="","",IF($J49=3,_xldudf_CX_PUSH(BF49*fxVal_normal,CX_ENTITY,$F49,BF$15,$X$15,BF$13),_xldudf_CX_PUSH(BF49,CX_ENTITY,$F49,BF$15,$X$15,BF$13))),"")</f>
        <v/>
      </c>
      <c r="DC49" s="1883" t="str" cm="1">
        <f t="array" ca="1" aca="1" ref="DC49">IFERROR(IF($Z49="","",IF($J49=3,_xldudf_CX_PUSH(BG49*fxVal_normal,CX_ENTITY,$F49,BG$15,$X$15,BG$13),_xldudf_CX_PUSH(BG49,CX_ENTITY,$F49,BG$15,$X$15,BG$13))),"")</f>
        <v/>
      </c>
      <c r="DD49" s="1883" t="str" cm="1">
        <f t="array" ca="1" aca="1" ref="DD49">IFERROR(IF($Z49="","",IF($J49=3,_xldudf_CX_PUSH(BH49*fxVal_normal,CX_ENTITY,$F49,BH$15,$X$15,BH$13),_xldudf_CX_PUSH(BH49,CX_ENTITY,$F49,BH$15,$X$15,BH$13))),"")</f>
        <v/>
      </c>
      <c r="DE49" s="1883" t="str" cm="1">
        <f t="array" ca="1" aca="1" ref="DE49">IFERROR(IF($Z49="","",IF($J49=3,_xldudf_CX_PUSH(BI49*fxVal_normal,CX_ENTITY,$F49,BI$15,$X$15,BI$13),_xldudf_CX_PUSH(BI49,CX_ENTITY,$F49,BI$15,$X$15,BI$13))),"")</f>
        <v/>
      </c>
      <c r="DF49" s="1883" t="str" cm="1">
        <f t="array" ca="1" aca="1" ref="DF49">IFERROR(IF($Z49="","",IF($J49=3,_xldudf_CX_PUSH(BJ49*fxVal_normal,CX_ENTITY,$F49,BJ$15,$X$15,BJ$13),_xldudf_CX_PUSH(BJ49,CX_ENTITY,$F49,BJ$15,$X$15,BJ$13))),"")</f>
        <v/>
      </c>
      <c r="DG49" s="1883" t="str" cm="1">
        <f t="array" ca="1" aca="1" ref="DG49">IFERROR(IF($Z49="","",IF($J49=3,_xldudf_CX_PUSH(BK49*fxVal_normal,CX_ENTITY,$F49,BK$15,$X$15,BK$13),_xldudf_CX_PUSH(BK49,CX_ENTITY,$F49,BK$15,$X$15,BK$13))),"")</f>
        <v/>
      </c>
      <c r="DH49" s="1883" t="str" cm="1">
        <f t="array" ca="1" aca="1" ref="DH49">IFERROR(IF($Z49="","",IF($J49=3,_xldudf_CX_PUSH(BL49*fxVal_normal,CX_ENTITY,$F49,BL$15,$X$15,BL$13),_xldudf_CX_PUSH(BL49,CX_ENTITY,$F49,BL$15,$X$15,BL$13))),"")</f>
        <v/>
      </c>
      <c r="DI49" s="1883" t="str" cm="1">
        <f t="array" ca="1" aca="1" ref="DI49">IFERROR(IF($Z49="","",IF($J49=3,_xldudf_CX_PUSH(BM49*fxVal_normal,CX_ENTITY,$F49,BM$15,$X$15,BM$13),_xldudf_CX_PUSH(BM49,CX_ENTITY,$F49,BM$15,$X$15,BM$13))),"")</f>
        <v/>
      </c>
      <c r="DJ49" s="1883" t="str" cm="1">
        <f t="array" ca="1" aca="1" ref="DJ49">IFERROR(IF($Z49="","",IF($J49=3,_xldudf_CX_PUSH(BN49*fxVal_normal,CX_ENTITY,$F49,BN$15,$X$15,BN$13),_xldudf_CX_PUSH(BN49,CX_ENTITY,$F49,BN$15,$X$15,BN$13))),"")</f>
        <v/>
      </c>
      <c r="DK49" s="1883" t="str" cm="1">
        <f t="array" ca="1" aca="1" ref="DK49">IFERROR(IF($Z49="","",IF($J49=3,_xldudf_CX_PUSH(BO49*fxVal_normal,CX_ENTITY,$F49,BO$15,$X$15,BO$13),_xldudf_CX_PUSH(BO49,CX_ENTITY,$F49,BO$15,$X$15,BO$13))),"")</f>
        <v/>
      </c>
      <c r="DL49" s="1883" t="str" cm="1">
        <f t="array" ca="1" aca="1" ref="DL49">IFERROR(IF($Z49="","",IF($J49=3,_xldudf_CX_PUSH(BP49*fxVal_normal,CX_ENTITY,$F49,BP$15,$X$15,BP$13),_xldudf_CX_PUSH(BP49,CX_ENTITY,$F49,BP$15,$X$15,BP$13))),"")</f>
        <v/>
      </c>
      <c r="DM49" s="1883" t="str" cm="1">
        <f t="array" ca="1" aca="1" ref="DM49">IFERROR(IF($Z49="","",IF($J49=3,_xldudf_CX_PUSH(BQ49*fxVal_normal,CX_ENTITY,$F49,BQ$15,$X$15,BQ$13),_xldudf_CX_PUSH(BQ49,CX_ENTITY,$F49,BQ$15,$X$15,BQ$13))),"")</f>
        <v/>
      </c>
      <c r="DN49" s="1883" t="str" cm="1">
        <f t="array" ca="1" aca="1" ref="DN49">IFERROR(IF($Z49="","",IF($J49=3,_xldudf_CX_PUSH(BR49*fxVal_normal,CX_ENTITY,$F49,BR$15,$X$15,BR$13),_xldudf_CX_PUSH(BR49,CX_ENTITY,$F49,BR$15,$X$15,BR$13))),"")</f>
        <v/>
      </c>
      <c r="DO49" s="1883" t="str" cm="1">
        <f t="array" ca="1" aca="1" ref="DO49">IFERROR(IF($Z49="","",IF($J49=3,_xldudf_CX_PUSH(BS49*fxVal_normal,CX_ENTITY,$F49,BS$15,$X$15,BS$13),_xldudf_CX_PUSH(BS49,CX_ENTITY,$F49,BS$15,$X$15,BS$13))),"")</f>
        <v/>
      </c>
    </row>
    <row r="50" spans="1:71" ht="21.75" customHeight="1">
      <c r="A50" s="32"/>
      <c r="B50" s="827"/>
      <c r="C50" s="827"/>
      <c r="D50" s="827"/>
      <c r="E50" s="827"/>
      <c r="F50" s="827"/>
      <c r="G50" s="827"/>
      <c r="H50" s="827"/>
      <c r="I50" s="32"/>
      <c r="J50" s="827"/>
      <c r="K50" s="827"/>
      <c r="O50" s="158"/>
      <c r="P50" s="101"/>
      <c r="Q50" s="52"/>
      <c r="R50" s="101"/>
      <c r="S50" s="126"/>
      <c r="T50" s="101"/>
      <c r="U50" s="101"/>
      <c r="V50" s="39"/>
      <c r="X50" s="1071"/>
      <c r="Y50" s="806"/>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row>
    <row r="51" ht="21.75" customHeight="1"/>
    <row r="52" ht="21.75" customHeight="1"/>
    <row r="53" ht="21.75"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sheetData>
  <sheetProtection formatColumns="0" formatRows="0" autoFilter="0" pivotTables="0"/>
  <mergeCells count="9">
    <mergeCell ref="X4:Y4"/>
    <mergeCell ref="Z4:AA4"/>
    <mergeCell ref="T34:U34"/>
    <mergeCell ref="T42:U42"/>
    <mergeCell ref="O3:O9"/>
    <mergeCell ref="T5:U6"/>
    <mergeCell ref="T14:U15"/>
    <mergeCell ref="P4:R4"/>
    <mergeCell ref="T9:U10"/>
  </mergeCells>
  <conditionalFormatting sqref="B48">
    <cfRule type="expression" priority="1" dxfId="4220">
      <formula>$A48="L"</formula>
    </cfRule>
    <cfRule type="expression" priority="2" dxfId="4217">
      <formula>$A48="F"</formula>
    </cfRule>
  </conditionalFormatting>
  <conditionalFormatting sqref="B19:I19 K19:K20 B20:D20 E20:E32 F20:I20 B22:D23 F22:I23 K22:K23 B25:D26 F25:I26 K25:K26 B28:D29 F28:I29 K28:K29 B31:D32 F31:I32 K31:K32 B34:K34 B35:B45 C35:D35 E35:E38 F35 G35:H49 I35 J35:K49 C37:D45 F37:F38 I37:I38 E39:F45 I41:I42 I45:I46 B46:D47 E46:E49 F46:F47 B49:D49 F49 I49">
    <cfRule type="expression" priority="20" dxfId="4220">
      <formula>$A19="L"</formula>
    </cfRule>
    <cfRule type="expression" priority="21" dxfId="4217">
      <formula>$A19="F"</formula>
    </cfRule>
  </conditionalFormatting>
  <conditionalFormatting sqref="X14">
    <cfRule type="expression" priority="8" dxfId="4192">
      <formula>IF($A$14,IF(CELL("protect",X14)=0,TRUE,FALSE))</formula>
    </cfRule>
  </conditionalFormatting>
  <conditionalFormatting sqref="X17:BS50">
    <cfRule type="expression" priority="9" dxfId="2589">
      <formula>IF($A$14,IF(CELL("protect",X17)=0,TRUE,FALSE))</formula>
    </cfRule>
  </conditionalFormatting>
  <conditionalFormatting sqref="X33:BS49">
    <cfRule type="expression" priority="10" dxfId="2505">
      <formula>INDEX($I$1:$I$300,ROW(X33))=1</formula>
    </cfRule>
  </conditionalFormatting>
  <conditionalFormatting sqref="AA33:AB49">
    <cfRule type="expression" priority="18" dxfId="4191">
      <formula>INDEX($I$1:$I$300,ROW(AA33))=2</formula>
    </cfRule>
  </conditionalFormatting>
  <conditionalFormatting sqref="AC15:BS15">
    <cfRule type="expression" priority="8365" dxfId="4191">
      <formula>AC$18=2</formula>
    </cfRule>
  </conditionalFormatting>
  <conditionalFormatting sqref="AD34:AD49">
    <cfRule type="expression" priority="22" dxfId="2566">
      <formula>AND(OR($AI34:$BS34&lt;&gt;""),$AD34="")</formula>
    </cfRule>
  </conditionalFormatting>
  <conditionalFormatting sqref="AI15:BS15">
    <cfRule type="expression" priority="8366" dxfId="2501">
      <formula>AI$18=1</formula>
    </cfRule>
  </conditionalFormatting>
  <conditionalFormatting sqref="AI33:BS49">
    <cfRule type="expression" priority="12" dxfId="2500">
      <formula>INDEX($J$1:$J$300,ROW(AI33))=6</formula>
    </cfRule>
    <cfRule type="expression" priority="13" dxfId="2499">
      <formula>INDEX($J$1:$J$300,ROW(AI33))=7</formula>
    </cfRule>
    <cfRule type="expression" priority="14" dxfId="4185">
      <formula>INDEX($J$1:$J$300,ROW(AI33))=4</formula>
    </cfRule>
    <cfRule type="expression" priority="15" dxfId="2497">
      <formula>INDEX($J$1:$J$300,ROW(AI33))=3</formula>
    </cfRule>
    <cfRule type="expression" priority="16" dxfId="2496">
      <formula>INDEX($J$1:$J$300,ROW(AI33))=1</formula>
    </cfRule>
    <cfRule type="expression" priority="17" dxfId="4186">
      <formula>INDEX($J$1:$J$300,ROW(AI33))=2</formula>
    </cfRule>
  </conditionalFormatting>
  <dataValidations count="7">
    <dataValidation allowBlank="1" showInputMessage="1" sqref="AG3:AI3 AJ3:BS8 AG7:AI8 AM9:BS12 AM14:BS14 AI15:BS15 AI17:BS18 AN19:BS32"/>
    <dataValidation type="list" allowBlank="1" showInputMessage="1" showErrorMessage="1" sqref="AC33">
      <formula1>$AC$20:$AC$29</formula1>
    </dataValidation>
    <dataValidation type="list" allowBlank="1" showInputMessage="1" showErrorMessage="1" sqref="AG33:AG49">
      <formula1>#REF!</formula1>
    </dataValidation>
    <dataValidation type="list" allowBlank="1" showInputMessage="1" showErrorMessage="1" sqref="AF33">
      <formula1>$AF$20:$AF$29</formula1>
    </dataValidation>
    <dataValidation type="list" allowBlank="1" showInputMessage="1" showErrorMessage="1" sqref="K3">
      <formula1>"POC,Live Data"</formula1>
    </dataValidation>
    <dataValidation type="list" allowBlank="1" showInputMessage="1" showErrorMessage="1" sqref="AD33">
      <formula1>$AD$20:$AD$30</formula1>
    </dataValidation>
    <dataValidation type="list" allowBlank="1" showInputMessage="1" showErrorMessage="1" sqref="AE33">
      <formula1>$AE$20:$AE$30</formula1>
    </dataValidation>
  </dataValidations>
  <pageMargins left="0.25" right="0.25" top="0.75" bottom="0.75" header="0.3" footer="0.3"/>
  <pageSetup fitToHeight="0" orientation="landscape" paperSize="8" r:id="rId3"/>
  <drawing r:id="rId1"/>
  <picture r:id="rId2"/>
  <extLst>
    <ext xmlns:x14="http://schemas.microsoft.com/office/spreadsheetml/2009/9/main" uri="{78C0D931-6437-407d-A8EE-F0AAD7539E65}">
      <x14:conditionalFormattings>
        <x14:conditionalFormatting xmlns:xm="http://schemas.microsoft.com/office/excel/2006/main">
          <x14:cfRule type="iconSet" priority="19" id="{27FF6792-710D-4DF8-A0BA-CB943823A9CB}">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AA33:AB49</xm:sqref>
        </x14:conditionalFormatting>
        <x14:conditionalFormatting xmlns:xm="http://schemas.microsoft.com/office/excel/2006/main">
          <x14:cfRule type="iconSet" priority="80" id="{7127B84B-AE2F-4157-83ED-0614542FB61F}">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AI18:BS18</xm:sqref>
        </x14:conditionalFormatting>
      </x14:conditionalFormattings>
    </ex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array_kpi_LTM</xm:f>
              <xm:sqref>AH34</xm:sqref>
            </x14:sparkline>
            <x14:sparkline>
              <xm:f>array_kpi_LTM</xm:f>
              <xm:sqref>AH35</xm:sqref>
            </x14:sparkline>
            <x14:sparkline>
              <xm:f>array_kpi_LTM</xm:f>
              <xm:sqref>AH36</xm:sqref>
            </x14:sparkline>
            <x14:sparkline>
              <xm:f>array_kpi_LTM</xm:f>
              <xm:sqref>AH37</xm:sqref>
            </x14:sparkline>
            <x14:sparkline>
              <xm:f>array_kpi_LTM</xm:f>
              <xm:sqref>AH38</xm:sqref>
            </x14:sparkline>
            <x14:sparkline>
              <xm:f>array_kpi_LTM</xm:f>
              <xm:sqref>AH39</xm:sqref>
            </x14:sparkline>
            <x14:sparkline>
              <xm:f>array_kpi_LTM</xm:f>
              <xm:sqref>AH40</xm:sqref>
            </x14:sparkline>
            <x14:sparkline>
              <xm:f>array_kpi_LTM</xm:f>
              <xm:sqref>AH41</xm:sqref>
            </x14:sparkline>
            <x14:sparkline>
              <xm:f>array_kpi_LTM</xm:f>
              <xm:sqref>AH42</xm:sqref>
            </x14:sparkline>
            <x14:sparkline>
              <xm:f>array_kpi_LTM</xm:f>
              <xm:sqref>AH43</xm:sqref>
            </x14:sparkline>
            <x14:sparkline>
              <xm:f>array_kpi_LTM</xm:f>
              <xm:sqref>AH44</xm:sqref>
            </x14:sparkline>
            <x14:sparkline>
              <xm:f>array_kpi_LTM</xm:f>
              <xm:sqref>AH45</xm:sqref>
            </x14:sparkline>
            <x14:sparkline>
              <xm:f>array_kpi_LTM</xm:f>
              <xm:sqref>AH46</xm:sqref>
            </x14:sparkline>
            <x14:sparkline>
              <xm:f>array_kpi_LTM</xm:f>
              <xm:sqref>AH47</xm:sqref>
            </x14:sparkline>
            <x14:sparkline>
              <xm:f>array_kpi_LTM</xm:f>
              <xm:sqref>AH48</xm:sqref>
            </x14:sparkline>
            <x14:sparkline>
              <xm:f>array_kpi_LTM</xm:f>
              <xm:sqref>AH49</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E9FFFE-143D-4D73-81F5-4467B7D2C944}">
  <sheetPr codeName="Sheet18">
    <tabColor rgb="FF92D050"/>
  </sheetPr>
  <dimension ref="A1:CE224"/>
  <sheetViews>
    <sheetView zoomScale="70" zoomScaleNormal="70" workbookViewId="0" topLeftCell="I161">
      <selection pane="topLeft" activeCell="AL211" sqref="AL211"/>
    </sheetView>
  </sheetViews>
  <sheetFormatPr defaultColWidth="8.84777777777778" defaultRowHeight="15.5" outlineLevelCol="1"/>
  <cols>
    <col min="1" max="1" width="8.33333333333333" customWidth="1" outlineLevel="1"/>
    <col min="2" max="2" width="24.7777777777778" customWidth="1" outlineLevel="1"/>
    <col min="3" max="3" width="25.5555555555556" customWidth="1" outlineLevel="1"/>
    <col min="4" max="4" width="15.5555555555556" customWidth="1" outlineLevel="1"/>
    <col min="5" max="5" width="3.55555555555556" customWidth="1" outlineLevel="1"/>
    <col min="6" max="6" width="3.66666666666667" customWidth="1" outlineLevel="1"/>
    <col min="7" max="12" width="12" customWidth="1" outlineLevel="1"/>
    <col min="13" max="13" width="1.66666666666667" customWidth="1" outlineLevel="1"/>
    <col min="14" max="14" width="10.6666666666667" customWidth="1" outlineLevel="1"/>
    <col min="15" max="15" width="11.3333333333333" customWidth="1" outlineLevel="1"/>
    <col min="16" max="16" width="2.88888888888889" customWidth="1" outlineLevel="1"/>
    <col min="17" max="18" width="2.33333333333333" customWidth="1" outlineLevel="1"/>
    <col min="19" max="20" width="2.33333333333333" hidden="1" customWidth="1"/>
    <col min="21" max="21" width="2.66666666666667" customWidth="1"/>
    <col min="22" max="22" width="5.22222222222222" customWidth="1"/>
    <col min="23" max="23" width="2.22222222222222" hidden="1" customWidth="1" outlineLevel="1"/>
    <col min="24" max="25" width="2.66666666666667" hidden="1" customWidth="1" outlineLevel="1"/>
    <col min="26" max="26" width="2.22222222222222" hidden="1" customWidth="1" outlineLevel="1"/>
    <col min="27" max="27" width="41.8888888888889" hidden="1" customWidth="1" outlineLevel="1"/>
    <col min="28" max="28" width="65.8888888888889" hidden="1" customWidth="1" outlineLevel="1"/>
    <col min="29" max="29" width="1.33333333333333" hidden="1" customWidth="1" outlineLevel="1"/>
    <col min="30" max="30" width="0.777777777777778" customWidth="1" collapsed="1"/>
    <col min="31" max="31" width="4.33333333333333" customWidth="1"/>
    <col min="32" max="32" width="3.66666666666667" customWidth="1"/>
    <col min="33" max="33" width="2.44444444444444" customWidth="1"/>
    <col min="34" max="34" width="1.55555555555556" customWidth="1"/>
    <col min="35" max="35" width="3.33333333333333" customWidth="1"/>
    <col min="36" max="38" width="25" customWidth="1"/>
    <col min="39" max="39" width="2.55555555555556" customWidth="1"/>
    <col min="40" max="40" width="28.8888888888889" customWidth="1"/>
    <col min="41" max="41" width="5.22222222222222" customWidth="1"/>
    <col min="42" max="42" width="28.8888888888889" customWidth="1"/>
    <col min="43" max="43" width="4.55555555555556" customWidth="1"/>
    <col min="44" max="44" width="25.8888888888889" customWidth="1"/>
    <col min="45" max="45" width="2.77777777777778" customWidth="1"/>
    <col min="46" max="49" width="1.66666666666667" customWidth="1"/>
    <col min="50" max="50" width="3.66666666666667" customWidth="1"/>
    <col min="51" max="51" width="3.55555555555556" customWidth="1" outlineLevel="1"/>
    <col min="52" max="55" width="12" style="2851" customWidth="1" outlineLevel="1"/>
    <col min="56" max="56" width="28" style="2851" customWidth="1" outlineLevel="1"/>
    <col min="57" max="57" width="12" style="2851" customWidth="1" outlineLevel="1"/>
    <col min="58" max="59" width="12" customWidth="1" outlineLevel="1"/>
    <col min="60" max="60" width="3" customWidth="1"/>
    <col min="61" max="61" width="3.55555555555556" customWidth="1" outlineLevel="1"/>
    <col min="62" max="62" width="16.3333333333333" style="2851" customWidth="1" outlineLevel="1"/>
    <col min="63" max="63" width="42" style="2930" customWidth="1" outlineLevel="1"/>
    <col min="64" max="64" width="16.3333333333333" style="2851" customWidth="1" outlineLevel="1"/>
    <col min="65" max="65" width="13.5555555555556" style="2851" customWidth="1" outlineLevel="1"/>
    <col min="66" max="66" width="39.4444444444444" style="2869" customWidth="1" outlineLevel="1"/>
    <col min="67" max="67" width="33.3333333333333" style="2868" customWidth="1" outlineLevel="1"/>
    <col min="68" max="68" width="13.5555555555556" style="2868" customWidth="1" outlineLevel="1"/>
    <col min="69" max="69" width="13.5555555555556" style="2851" customWidth="1" outlineLevel="1"/>
    <col min="70" max="77" width="13.5555555555556" style="2869" customWidth="1" outlineLevel="1"/>
    <col min="78" max="78" width="33.5555555555556" style="2869" customWidth="1" outlineLevel="1"/>
    <col min="79" max="79" width="34.4444444444444" style="2869" customWidth="1" outlineLevel="1"/>
    <col min="80" max="80" width="24.1111111111111" style="2869" customWidth="1" outlineLevel="1"/>
    <col min="81" max="83" width="14.3333333333333" style="2869" customWidth="1" outlineLevel="1"/>
    <col min="110" max="152" width="0" hidden="1" customWidth="1"/>
  </cols>
  <sheetData>
    <row r="1" spans="1:83" ht="22.5" customHeight="1">
      <c r="A1" s="2676" t="s">
        <v>1857</v>
      </c>
      <c r="B1" s="2667"/>
      <c r="C1" s="2664" t="s">
        <v>1856</v>
      </c>
      <c r="D1" s="2667"/>
      <c r="E1" s="2677"/>
      <c r="F1" s="2677"/>
      <c r="G1" s="1906"/>
      <c r="H1" s="1906"/>
      <c r="I1" s="1906"/>
      <c r="J1" s="1906"/>
      <c r="K1" s="1910"/>
      <c r="L1" s="1907"/>
      <c r="M1" s="405"/>
      <c r="N1" s="405"/>
      <c r="O1" s="405"/>
      <c r="P1" s="2677"/>
      <c r="AD1" s="406"/>
      <c r="AE1" s="406"/>
      <c r="AF1" s="406"/>
      <c r="AG1" s="406"/>
      <c r="AH1" s="406"/>
      <c r="AI1" s="406"/>
      <c r="AJ1" s="1994"/>
      <c r="AK1" s="1994"/>
      <c r="AL1" s="406"/>
      <c r="AM1" s="406"/>
      <c r="AN1" s="1968"/>
      <c r="AO1" s="407"/>
      <c r="AP1" s="406"/>
      <c r="AQ1" s="406"/>
      <c r="AR1" s="406"/>
      <c r="AS1" s="406"/>
      <c r="AT1" s="406"/>
      <c r="AU1" s="406"/>
      <c r="AV1" s="408"/>
      <c r="AW1" s="408"/>
      <c r="AX1" s="408"/>
      <c r="AY1" s="408"/>
      <c r="AZ1" s="2809"/>
      <c r="BA1" s="2809"/>
      <c r="BB1" s="2809"/>
      <c r="BC1" s="2809"/>
      <c r="BD1" s="2809"/>
      <c r="BE1" s="2809"/>
      <c r="BF1" s="408"/>
      <c r="BG1" s="408"/>
      <c r="BH1" s="408"/>
      <c r="BI1" s="408"/>
      <c r="BJ1" s="2935"/>
      <c r="BK1" s="2915"/>
      <c r="BL1" s="2935"/>
      <c r="BM1" s="2809"/>
      <c r="BN1" s="2896"/>
      <c r="BO1" s="2809"/>
      <c r="BP1" s="2809"/>
      <c r="BQ1" s="2809"/>
      <c r="BR1" s="2852"/>
      <c r="BS1" s="2852"/>
      <c r="BT1" s="2852"/>
      <c r="BU1" s="2852"/>
      <c r="BV1" s="2852"/>
      <c r="BW1" s="2852"/>
      <c r="BX1" s="2852"/>
      <c r="BY1" s="2852"/>
      <c r="BZ1" s="2852"/>
      <c r="CA1" s="2852"/>
      <c r="CB1" s="2852"/>
      <c r="CC1" s="2852"/>
      <c r="CD1" s="2852"/>
      <c r="CE1" s="2852"/>
    </row>
    <row r="2" spans="1:83" ht="37.5" customHeight="1">
      <c r="A2" s="1921" t="s">
        <v>1775</v>
      </c>
      <c r="B2" s="2667"/>
      <c r="C2" s="1906"/>
      <c r="D2" s="2667"/>
      <c r="E2" s="2677"/>
      <c r="F2" s="2677"/>
      <c r="G2" s="1906"/>
      <c r="H2" s="1906"/>
      <c r="I2" s="1906"/>
      <c r="J2" s="1906"/>
      <c r="K2" s="1910"/>
      <c r="L2" s="1907"/>
      <c r="M2" s="405"/>
      <c r="N2" s="405"/>
      <c r="O2" s="405"/>
      <c r="P2" s="2677"/>
      <c r="AD2" s="406"/>
      <c r="AE2" s="406"/>
      <c r="AF2" s="406"/>
      <c r="AG2" s="406"/>
      <c r="AH2" s="406"/>
      <c r="AI2" s="406"/>
      <c r="AJ2" s="1994"/>
      <c r="AK2" s="1994"/>
      <c r="AL2" s="406"/>
      <c r="AM2" s="406"/>
      <c r="AN2" s="1968"/>
      <c r="AO2" s="407"/>
      <c r="AP2" s="406"/>
      <c r="AQ2" s="406"/>
      <c r="AR2" s="406"/>
      <c r="AS2" s="406"/>
      <c r="AT2" s="406"/>
      <c r="AU2" s="406"/>
      <c r="AV2" s="408"/>
      <c r="AW2" s="408"/>
      <c r="AX2" s="408"/>
      <c r="AY2" s="408"/>
      <c r="AZ2" s="2809"/>
      <c r="BA2" s="2809"/>
      <c r="BB2" s="2809"/>
      <c r="BC2" s="2809"/>
      <c r="BD2" s="2809"/>
      <c r="BE2" s="2809"/>
      <c r="BF2" s="408"/>
      <c r="BG2" s="408"/>
      <c r="BH2" s="408"/>
      <c r="BI2" s="408"/>
      <c r="BJ2" s="2935"/>
      <c r="BK2" s="2915"/>
      <c r="BL2" s="2935"/>
      <c r="BM2" s="2809"/>
      <c r="BN2" s="2896"/>
      <c r="BO2" s="2809"/>
      <c r="BP2" s="2809"/>
      <c r="BQ2" s="2809"/>
      <c r="BR2" s="2852"/>
      <c r="BS2" s="2852"/>
      <c r="BT2" s="2852"/>
      <c r="BU2" s="2852"/>
      <c r="BV2" s="2852"/>
      <c r="BW2" s="2852"/>
      <c r="BX2" s="2852"/>
      <c r="BY2" s="2852"/>
      <c r="BZ2" s="2852"/>
      <c r="CA2" s="2852"/>
      <c r="CB2" s="2852"/>
      <c r="CC2" s="2852"/>
      <c r="CD2" s="2852"/>
      <c r="CE2" s="2852"/>
    </row>
    <row r="3" spans="1:83" ht="22.5" customHeight="1" collapsed="1">
      <c r="A3" s="2678" t="s">
        <v>1776</v>
      </c>
      <c r="B3" s="2667"/>
      <c r="C3" s="1906"/>
      <c r="D3" s="2667"/>
      <c r="E3" s="2677"/>
      <c r="F3" s="2677"/>
      <c r="G3" s="2679"/>
      <c r="H3" s="2679"/>
      <c r="I3" s="2679"/>
      <c r="J3" s="2679"/>
      <c r="K3" s="1910"/>
      <c r="L3" s="1907"/>
      <c r="M3" s="405"/>
      <c r="N3" s="405"/>
      <c r="O3" s="405"/>
      <c r="P3" s="2677"/>
      <c r="V3" s="3085" t="s">
        <v>23</v>
      </c>
      <c r="W3" s="15"/>
      <c r="X3" s="15"/>
      <c r="Y3" s="15"/>
      <c r="Z3" s="15"/>
      <c r="AA3" s="15"/>
      <c r="AB3" s="152"/>
      <c r="AC3" s="38"/>
      <c r="AD3" s="406"/>
      <c r="AE3" s="1522"/>
      <c r="AF3" s="411"/>
      <c r="AG3" s="410"/>
      <c r="AH3" s="410"/>
      <c r="AI3" s="411"/>
      <c r="AJ3" s="1995"/>
      <c r="AK3" s="1995"/>
      <c r="AL3" s="411"/>
      <c r="AM3" s="411"/>
      <c r="AN3" s="1969"/>
      <c r="AO3" s="412"/>
      <c r="AP3" s="411"/>
      <c r="AQ3" s="411"/>
      <c r="AR3" s="411"/>
      <c r="AS3" s="411"/>
      <c r="AT3" s="411"/>
      <c r="AU3" s="411"/>
      <c r="AV3" s="413"/>
      <c r="AX3" s="1080"/>
      <c r="AY3" s="1676"/>
      <c r="AZ3" s="2810"/>
      <c r="BA3" s="2810"/>
      <c r="BB3" s="2810"/>
      <c r="BC3" s="2810"/>
      <c r="BD3" s="2810"/>
      <c r="BE3" s="2810"/>
      <c r="BF3" s="1676"/>
      <c r="BG3" s="1676"/>
      <c r="BH3" s="1080"/>
      <c r="BI3" s="1676"/>
      <c r="BJ3" s="2810"/>
      <c r="BK3" s="2916"/>
      <c r="BL3" s="2810"/>
      <c r="BM3" s="2810"/>
      <c r="BN3" s="2854"/>
      <c r="BO3" s="2853"/>
      <c r="BP3" s="2853"/>
      <c r="BQ3" s="2810"/>
      <c r="BR3" s="2854"/>
      <c r="BS3" s="2854"/>
      <c r="BT3" s="2854"/>
      <c r="BU3" s="2854"/>
      <c r="BV3" s="2854"/>
      <c r="BW3" s="2854"/>
      <c r="BX3" s="2854"/>
      <c r="BY3" s="2854"/>
      <c r="BZ3" s="2854"/>
      <c r="CA3" s="2854"/>
      <c r="CB3" s="2854"/>
      <c r="CC3" s="2854"/>
      <c r="CD3" s="2854"/>
      <c r="CE3" s="2854"/>
    </row>
    <row r="4" spans="1:83" ht="23.25" customHeight="1">
      <c r="A4" s="2676"/>
      <c r="B4" s="2667"/>
      <c r="C4" s="1906"/>
      <c r="D4" s="2667"/>
      <c r="E4" s="2677"/>
      <c r="F4" s="2677"/>
      <c r="G4" s="2679"/>
      <c r="H4" s="2679"/>
      <c r="I4" s="2679"/>
      <c r="J4" s="2679"/>
      <c r="K4" s="1910"/>
      <c r="L4" s="1907"/>
      <c r="M4" s="405"/>
      <c r="N4" s="405"/>
      <c r="O4" s="405"/>
      <c r="P4" s="2677"/>
      <c r="V4" s="3086"/>
      <c r="W4" s="3008" t="e" vm="9" cm="1">
        <f t="array" ref="W4">IF($B$1="unprotected",icon_unlock,icon_lock)</f>
        <v>#VALUE!</v>
      </c>
      <c r="X4" s="3008"/>
      <c r="Y4" s="3008"/>
      <c r="Z4" s="153"/>
      <c r="AA4" s="153" t="e" vm="3">
        <v>#VALUE!</v>
      </c>
      <c r="AB4" s="153"/>
      <c r="AC4" s="39"/>
      <c r="AD4" s="406"/>
      <c r="AE4" s="419"/>
      <c r="AF4" s="415"/>
      <c r="AG4" s="414"/>
      <c r="AH4" s="414"/>
      <c r="AI4" s="415"/>
      <c r="AJ4" s="1996"/>
      <c r="AK4" s="1996"/>
      <c r="AL4" s="409"/>
      <c r="AM4" s="416"/>
      <c r="AN4" s="1846" t="s">
        <v>1777</v>
      </c>
      <c r="AO4" s="1847"/>
      <c r="AP4" s="1125" t="s">
        <v>30</v>
      </c>
      <c r="AQ4" s="417"/>
      <c r="AR4" s="415"/>
      <c r="AS4" s="415"/>
      <c r="AT4" s="415"/>
      <c r="AU4" s="415"/>
      <c r="AV4" s="418"/>
      <c r="AX4" s="1080"/>
      <c r="AY4" s="1676"/>
      <c r="AZ4" s="2810"/>
      <c r="BA4" s="2810"/>
      <c r="BB4" s="2810"/>
      <c r="BC4" s="2810"/>
      <c r="BD4" s="2810"/>
      <c r="BE4" s="2810"/>
      <c r="BF4" s="1676"/>
      <c r="BG4" s="1676"/>
      <c r="BH4" s="1080"/>
      <c r="BI4" s="1676"/>
      <c r="BJ4" s="2810"/>
      <c r="BK4" s="2916"/>
      <c r="BL4" s="2810"/>
      <c r="BM4" s="2810"/>
      <c r="BN4" s="2854"/>
      <c r="BO4" s="2853"/>
      <c r="BP4" s="2853"/>
      <c r="BQ4" s="2810"/>
      <c r="BR4" s="2854"/>
      <c r="BS4" s="2854"/>
      <c r="BT4" s="2854"/>
      <c r="BU4" s="2854"/>
      <c r="BV4" s="2854"/>
      <c r="BW4" s="2854"/>
      <c r="BX4" s="2854"/>
      <c r="BY4" s="2854"/>
      <c r="BZ4" s="2854"/>
      <c r="CA4" s="2854"/>
      <c r="CB4" s="2854"/>
      <c r="CC4" s="2854"/>
      <c r="CD4" s="2854"/>
      <c r="CE4" s="2854"/>
    </row>
    <row r="5" spans="1:83" ht="44.5">
      <c r="A5" s="2676"/>
      <c r="B5" s="2667"/>
      <c r="C5" s="2675" t="s">
        <v>1868</v>
      </c>
      <c r="D5" s="2667"/>
      <c r="E5" s="2677"/>
      <c r="F5" s="2677"/>
      <c r="G5" s="2679"/>
      <c r="H5" s="2679"/>
      <c r="I5" s="2679"/>
      <c r="J5" s="2679"/>
      <c r="K5" s="1910"/>
      <c r="L5" s="1907"/>
      <c r="M5" s="1675"/>
      <c r="N5" s="1675"/>
      <c r="O5" s="1675"/>
      <c r="P5" s="2677"/>
      <c r="V5" s="3086"/>
      <c r="W5" s="101"/>
      <c r="X5" s="153"/>
      <c r="Y5" s="101"/>
      <c r="Z5" s="153"/>
      <c r="AA5" s="3005" t="s">
        <v>25</v>
      </c>
      <c r="AB5" s="3005"/>
      <c r="AC5" s="39"/>
      <c r="AD5" s="406"/>
      <c r="AE5" s="419"/>
      <c r="AF5" s="415"/>
      <c r="AG5" s="1523" t="s">
        <v>1778</v>
      </c>
      <c r="AH5" s="1524"/>
      <c r="AI5" s="420"/>
      <c r="AJ5" s="1997"/>
      <c r="AK5" s="1997"/>
      <c r="AL5" s="409"/>
      <c r="AM5" s="421"/>
      <c r="AN5" s="1970">
        <f>val_asOfDate</f>
        <v>46022</v>
      </c>
      <c r="AO5" s="417"/>
      <c r="AP5" s="1403" t="s">
        <v>33</v>
      </c>
      <c r="AQ5" s="417"/>
      <c r="AR5" s="415"/>
      <c r="AS5" s="415"/>
      <c r="AT5" s="415"/>
      <c r="AU5" s="415"/>
      <c r="AV5" s="1541"/>
      <c r="AX5" s="1080"/>
      <c r="AY5" s="2949" t="s">
        <v>1973</v>
      </c>
      <c r="AZ5" s="2950"/>
      <c r="BA5" s="2950"/>
      <c r="BB5" s="2950"/>
      <c r="BC5" s="2950"/>
      <c r="BD5" s="2950"/>
      <c r="BE5" s="2950"/>
      <c r="BF5" s="2951"/>
      <c r="BG5" s="2951"/>
      <c r="BH5" s="1080"/>
      <c r="BI5" s="1676"/>
      <c r="BJ5" s="2810"/>
      <c r="BK5" s="2916"/>
      <c r="BL5" s="2810"/>
      <c r="BM5" s="2810"/>
      <c r="BN5" s="2854"/>
      <c r="BO5" s="2853"/>
      <c r="BP5" s="2853"/>
      <c r="BQ5" s="2810"/>
      <c r="BR5" s="2854"/>
      <c r="BS5" s="2854"/>
      <c r="BT5" s="2854"/>
      <c r="BU5" s="2854"/>
      <c r="BV5" s="2854"/>
      <c r="BW5" s="2854"/>
      <c r="BX5" s="2854"/>
      <c r="BY5" s="2854"/>
      <c r="BZ5" s="2854"/>
      <c r="CA5" s="2854"/>
      <c r="CB5" s="2854"/>
      <c r="CC5" s="2854"/>
      <c r="CD5" s="2854"/>
      <c r="CE5" s="2854"/>
    </row>
    <row r="6" spans="1:83" ht="26.25" customHeight="1">
      <c r="A6" s="2676"/>
      <c r="B6" s="2667"/>
      <c r="C6" s="1906"/>
      <c r="D6" s="2667"/>
      <c r="E6" s="2677"/>
      <c r="F6" s="2677"/>
      <c r="G6" s="2679"/>
      <c r="H6" s="2679"/>
      <c r="I6" s="2679"/>
      <c r="J6" s="2679"/>
      <c r="K6" s="1910"/>
      <c r="L6" s="1907"/>
      <c r="M6" s="1675"/>
      <c r="N6" s="1675"/>
      <c r="O6" s="1675"/>
      <c r="P6" s="2677"/>
      <c r="V6" s="3086"/>
      <c r="W6" s="101"/>
      <c r="X6" s="153"/>
      <c r="Y6" s="153"/>
      <c r="Z6" s="153"/>
      <c r="AA6" s="3005"/>
      <c r="AB6" s="3005"/>
      <c r="AC6" s="39"/>
      <c r="AD6" s="406"/>
      <c r="AE6" s="422"/>
      <c r="AF6" s="423"/>
      <c r="AG6" s="424"/>
      <c r="AH6" s="424"/>
      <c r="AI6" s="424"/>
      <c r="AJ6" s="1998"/>
      <c r="AK6" s="1998"/>
      <c r="AL6" s="424"/>
      <c r="AM6" s="423"/>
      <c r="AN6" s="1971"/>
      <c r="AO6" s="425"/>
      <c r="AP6" s="423"/>
      <c r="AQ6" s="423"/>
      <c r="AR6" s="423"/>
      <c r="AS6" s="423"/>
      <c r="AT6" s="423"/>
      <c r="AU6" s="423"/>
      <c r="AV6" s="1542"/>
      <c r="AX6" s="1080"/>
      <c r="AY6" s="3336">
        <v>1</v>
      </c>
      <c r="AZ6" s="2810" t="s">
        <v>1769</v>
      </c>
      <c r="BA6" s="2810"/>
      <c r="BB6" s="2810" t="s">
        <v>1974</v>
      </c>
      <c r="BC6" s="2810"/>
      <c r="BD6" s="2810"/>
      <c r="BE6" s="2810"/>
      <c r="BF6" s="1676"/>
      <c r="BG6" s="1676"/>
      <c r="BH6" s="1080"/>
      <c r="BI6" s="1676"/>
      <c r="BJ6" s="2810"/>
      <c r="BK6" s="2916"/>
      <c r="BL6" s="2810"/>
      <c r="BM6" s="2810"/>
      <c r="BN6" s="2854"/>
      <c r="BO6" s="2853"/>
      <c r="BP6" s="2853"/>
      <c r="BQ6" s="2810"/>
      <c r="BR6" s="2854"/>
      <c r="BS6" s="2854"/>
      <c r="BT6" s="2854"/>
      <c r="BU6" s="2854"/>
      <c r="BV6" s="2854"/>
      <c r="BW6" s="2854"/>
      <c r="BX6" s="2854"/>
      <c r="BY6" s="2854"/>
      <c r="BZ6" s="2854"/>
      <c r="CA6" s="2854"/>
      <c r="CB6" s="2854"/>
      <c r="CC6" s="2854"/>
      <c r="CD6" s="2854"/>
      <c r="CE6" s="2854"/>
    </row>
    <row r="7" spans="1:83" ht="15" customHeight="1">
      <c r="A7" s="2676"/>
      <c r="B7" s="2667"/>
      <c r="C7" s="1913" t="s">
        <v>430</v>
      </c>
      <c r="D7" s="2667"/>
      <c r="E7" s="2677"/>
      <c r="F7" s="2677"/>
      <c r="G7" s="2679"/>
      <c r="H7" s="2679"/>
      <c r="I7" s="2679"/>
      <c r="J7" s="2679"/>
      <c r="K7" s="1910"/>
      <c r="L7" s="1907"/>
      <c r="M7" s="405"/>
      <c r="N7" s="405"/>
      <c r="O7" s="405"/>
      <c r="P7" s="2677"/>
      <c r="V7" s="3086"/>
      <c r="W7" s="101"/>
      <c r="X7" s="126"/>
      <c r="Y7" s="126"/>
      <c r="Z7" s="126"/>
      <c r="AA7" s="101"/>
      <c r="AB7" s="154"/>
      <c r="AC7" s="39"/>
      <c r="AD7" s="406"/>
      <c r="AE7" s="426"/>
      <c r="AF7" s="427"/>
      <c r="AG7" s="427"/>
      <c r="AH7" s="427"/>
      <c r="AI7" s="427"/>
      <c r="AJ7" s="1999"/>
      <c r="AK7" s="1999"/>
      <c r="AL7" s="427"/>
      <c r="AM7" s="427"/>
      <c r="AN7" s="1526"/>
      <c r="AO7" s="427"/>
      <c r="AP7" s="427"/>
      <c r="AQ7" s="427"/>
      <c r="AR7" s="427"/>
      <c r="AS7" s="427"/>
      <c r="AT7" s="427"/>
      <c r="AU7" s="427"/>
      <c r="AV7" s="432"/>
      <c r="AX7" s="1080"/>
      <c r="AY7" s="3304">
        <v>2</v>
      </c>
      <c r="AZ7" s="2810" t="s">
        <v>1975</v>
      </c>
      <c r="BA7" s="2810"/>
      <c r="BB7" s="2810" t="s">
        <v>1976</v>
      </c>
      <c r="BC7" s="2810"/>
      <c r="BD7" s="2810"/>
      <c r="BE7" s="2810"/>
      <c r="BF7" s="1676"/>
      <c r="BG7" s="1676"/>
      <c r="BH7" s="1080"/>
      <c r="BI7" s="1676"/>
      <c r="BJ7" s="2810"/>
      <c r="BK7" s="2916"/>
      <c r="BL7" s="2810"/>
      <c r="BM7" s="2810"/>
      <c r="BN7" s="2854"/>
      <c r="BO7" s="2853"/>
      <c r="BP7" s="2853"/>
      <c r="BQ7" s="2810"/>
      <c r="BR7" s="2854"/>
      <c r="BS7" s="2854"/>
      <c r="BT7" s="2854"/>
      <c r="BU7" s="2854"/>
      <c r="BV7" s="2854"/>
      <c r="BW7" s="2854"/>
      <c r="BX7" s="2854"/>
      <c r="BY7" s="2854"/>
      <c r="BZ7" s="2854"/>
      <c r="CA7" s="2854"/>
      <c r="CB7" s="2854"/>
      <c r="CC7" s="2854"/>
      <c r="CD7" s="2854"/>
      <c r="CE7" s="2854"/>
    </row>
    <row r="8" spans="1:83" ht="32.5">
      <c r="A8" s="2676"/>
      <c r="B8" s="2667"/>
      <c r="C8" s="2709">
        <f>_xlfn.XLOOKUP(AP5,tbl_displayUnit[UnitName],tbl_displayUnit[Number])</f>
        <v>1000000</v>
      </c>
      <c r="D8" s="2906" t="b">
        <v>0</v>
      </c>
      <c r="E8" s="2677"/>
      <c r="F8" s="2677"/>
      <c r="G8" s="2679"/>
      <c r="H8" s="2679"/>
      <c r="I8" s="2679"/>
      <c r="J8" s="2679"/>
      <c r="K8" s="1910"/>
      <c r="L8" s="1908"/>
      <c r="M8" s="1676"/>
      <c r="N8" s="1676"/>
      <c r="O8" s="1676"/>
      <c r="P8" s="2677"/>
      <c r="V8" s="3086"/>
      <c r="W8" s="101"/>
      <c r="X8" s="18"/>
      <c r="Y8" s="18"/>
      <c r="Z8" s="101"/>
      <c r="AA8" s="101"/>
      <c r="AB8" s="101"/>
      <c r="AC8" s="39"/>
      <c r="AD8" s="406"/>
      <c r="AE8" s="428"/>
      <c r="AF8" s="653"/>
      <c r="AG8" s="654"/>
      <c r="AH8" s="429"/>
      <c r="AI8" s="2646" t="s">
        <v>1779</v>
      </c>
      <c r="AJ8" s="2000"/>
      <c r="AK8" s="2000"/>
      <c r="AL8" s="2646"/>
      <c r="AM8" s="429"/>
      <c r="AN8" s="1527"/>
      <c r="AO8" s="430"/>
      <c r="AP8" s="431"/>
      <c r="AQ8" s="431"/>
      <c r="AR8" s="431"/>
      <c r="AS8" s="429"/>
      <c r="AT8" s="429"/>
      <c r="AU8" s="429"/>
      <c r="AV8" s="432"/>
      <c r="AX8" s="1080"/>
      <c r="AY8" s="2947">
        <v>3</v>
      </c>
      <c r="AZ8" s="2810" t="s">
        <v>1977</v>
      </c>
      <c r="BA8" s="2810"/>
      <c r="BB8" s="2810" t="s">
        <v>1978</v>
      </c>
      <c r="BC8" s="2810"/>
      <c r="BD8" s="2810"/>
      <c r="BE8" s="2810"/>
      <c r="BF8" s="1676"/>
      <c r="BG8" s="1676"/>
      <c r="BH8" s="1080"/>
      <c r="BI8" s="1676"/>
      <c r="BJ8" s="2810"/>
      <c r="BK8" s="2916"/>
      <c r="BL8" s="2810"/>
      <c r="BM8" s="2810"/>
      <c r="BN8" s="2854"/>
      <c r="BO8" s="2853"/>
      <c r="BP8" s="2853"/>
      <c r="BQ8" s="2810"/>
      <c r="BR8" s="2854"/>
      <c r="BS8" s="2854"/>
      <c r="BT8" s="2854"/>
      <c r="BU8" s="2854"/>
      <c r="BV8" s="2854"/>
      <c r="BW8" s="2854"/>
      <c r="BX8" s="2854"/>
      <c r="BY8" s="2854"/>
      <c r="BZ8" s="2854"/>
      <c r="CA8" s="2854"/>
      <c r="CB8" s="2854"/>
      <c r="CC8" s="2854"/>
      <c r="CD8" s="2854"/>
      <c r="CE8" s="2854"/>
    </row>
    <row r="9" spans="1:83" ht="18.75" customHeight="1">
      <c r="A9" s="2676"/>
      <c r="B9" s="2667"/>
      <c r="C9" s="1906"/>
      <c r="D9" s="2667"/>
      <c r="E9" s="2677"/>
      <c r="F9" s="2677"/>
      <c r="G9" s="2679"/>
      <c r="H9" s="2679"/>
      <c r="I9" s="2679"/>
      <c r="J9" s="2679"/>
      <c r="K9" s="1910"/>
      <c r="L9" s="1908"/>
      <c r="M9" s="1676"/>
      <c r="N9" s="1676"/>
      <c r="O9" s="1676"/>
      <c r="P9" s="2677"/>
      <c r="V9" s="3086"/>
      <c r="W9" s="101"/>
      <c r="X9" s="373"/>
      <c r="Y9" s="373"/>
      <c r="Z9" s="101"/>
      <c r="AA9" s="3047"/>
      <c r="AB9" s="3009"/>
      <c r="AC9" s="39"/>
      <c r="AD9" s="406"/>
      <c r="AE9" s="428"/>
      <c r="AF9" s="433"/>
      <c r="AG9" s="433"/>
      <c r="AH9" s="433"/>
      <c r="AI9" s="3081"/>
      <c r="AJ9" s="3081"/>
      <c r="AK9" s="3081"/>
      <c r="AL9" s="3081"/>
      <c r="AM9" s="3081"/>
      <c r="AN9" s="3081"/>
      <c r="AO9" s="3081"/>
      <c r="AP9" s="3081"/>
      <c r="AQ9" s="3081"/>
      <c r="AR9" s="3081"/>
      <c r="AS9" s="429"/>
      <c r="AT9" s="429"/>
      <c r="AU9" s="429"/>
      <c r="AV9" s="432"/>
      <c r="AX9" s="1080"/>
      <c r="AY9" s="2947">
        <v>4</v>
      </c>
      <c r="AZ9" s="2810" t="s">
        <v>1979</v>
      </c>
      <c r="BA9" s="2810"/>
      <c r="BB9" s="2810" t="s">
        <v>1980</v>
      </c>
      <c r="BC9" s="2810"/>
      <c r="BD9" s="2810"/>
      <c r="BE9" s="2810"/>
      <c r="BF9" s="1676"/>
      <c r="BG9" s="1676"/>
      <c r="BH9" s="1080"/>
      <c r="BI9" s="1676"/>
      <c r="BJ9" s="2810"/>
      <c r="BK9" s="2916"/>
      <c r="BL9" s="2810"/>
      <c r="BM9" s="2810"/>
      <c r="BN9" s="2854"/>
      <c r="BO9" s="2853"/>
      <c r="BP9" s="2853"/>
      <c r="BQ9" s="2810"/>
      <c r="BR9" s="2854"/>
      <c r="BS9" s="2854"/>
      <c r="BT9" s="2854"/>
      <c r="BU9" s="2854"/>
      <c r="BV9" s="2854"/>
      <c r="BW9" s="2854"/>
      <c r="BX9" s="2854"/>
      <c r="BY9" s="2854"/>
      <c r="BZ9" s="2854"/>
      <c r="CA9" s="2854"/>
      <c r="CB9" s="2854"/>
      <c r="CC9" s="2854"/>
      <c r="CD9" s="2854"/>
      <c r="CE9" s="2854"/>
    </row>
    <row r="10" spans="1:83" ht="18.75" customHeight="1">
      <c r="A10" s="2676"/>
      <c r="B10" s="2667"/>
      <c r="C10" s="1906"/>
      <c r="D10" s="2667"/>
      <c r="E10" s="2677"/>
      <c r="F10" s="2677"/>
      <c r="G10" s="2679"/>
      <c r="H10" s="2679"/>
      <c r="I10" s="2679"/>
      <c r="J10" s="2679"/>
      <c r="K10" s="1910"/>
      <c r="L10" s="1908"/>
      <c r="M10" s="1676"/>
      <c r="N10" s="1676"/>
      <c r="O10" s="1676"/>
      <c r="P10" s="2677"/>
      <c r="V10" s="372"/>
      <c r="W10" s="101"/>
      <c r="X10" s="373"/>
      <c r="Y10" s="373"/>
      <c r="Z10" s="101"/>
      <c r="AA10" s="3009"/>
      <c r="AB10" s="3009"/>
      <c r="AC10" s="39"/>
      <c r="AD10" s="406"/>
      <c r="AE10" s="428"/>
      <c r="AF10" s="433"/>
      <c r="AG10" s="657"/>
      <c r="AH10" s="433"/>
      <c r="AI10" s="3081"/>
      <c r="AJ10" s="3081"/>
      <c r="AK10" s="3081"/>
      <c r="AL10" s="3081"/>
      <c r="AM10" s="3081"/>
      <c r="AN10" s="3081"/>
      <c r="AO10" s="3081"/>
      <c r="AP10" s="3081"/>
      <c r="AQ10" s="3081"/>
      <c r="AR10" s="3081"/>
      <c r="AS10" s="429"/>
      <c r="AT10" s="429"/>
      <c r="AU10" s="429"/>
      <c r="AV10" s="432"/>
      <c r="AX10" s="1080"/>
      <c r="AY10" s="2947">
        <v>5</v>
      </c>
      <c r="AZ10" s="2810" t="s">
        <v>1981</v>
      </c>
      <c r="BA10" s="2810"/>
      <c r="BB10" s="2810" t="s">
        <v>1984</v>
      </c>
      <c r="BC10" s="2810"/>
      <c r="BD10" s="2810"/>
      <c r="BE10" s="2810"/>
      <c r="BF10" s="1676"/>
      <c r="BG10" s="1676"/>
      <c r="BH10" s="1080"/>
      <c r="BI10" s="1676"/>
      <c r="BJ10" s="2810"/>
      <c r="BK10" s="2916"/>
      <c r="BL10" s="2810"/>
      <c r="BM10" s="2810"/>
      <c r="BN10" s="2854"/>
      <c r="BO10" s="2853"/>
      <c r="BP10" s="2853"/>
      <c r="BQ10" s="2810"/>
      <c r="BR10" s="2854"/>
      <c r="BS10" s="2854"/>
      <c r="BT10" s="2854"/>
      <c r="BU10" s="2854"/>
      <c r="BV10" s="2854"/>
      <c r="BW10" s="2854"/>
      <c r="BX10" s="2854"/>
      <c r="BY10" s="2854"/>
      <c r="BZ10" s="2854"/>
      <c r="CA10" s="2854"/>
      <c r="CB10" s="2854"/>
      <c r="CC10" s="2854"/>
      <c r="CD10" s="2854"/>
      <c r="CE10" s="2854"/>
    </row>
    <row r="11" spans="1:83" ht="18.75" customHeight="1">
      <c r="A11" s="2676"/>
      <c r="B11" s="2667"/>
      <c r="C11" s="1906"/>
      <c r="D11" s="2667"/>
      <c r="E11" s="2677"/>
      <c r="F11" s="2677"/>
      <c r="G11" s="2679"/>
      <c r="H11" s="2679"/>
      <c r="I11" s="2679"/>
      <c r="J11" s="2679"/>
      <c r="K11" s="1910"/>
      <c r="L11" s="1908"/>
      <c r="M11" s="1676"/>
      <c r="N11" s="1676"/>
      <c r="O11" s="1676"/>
      <c r="P11" s="2677"/>
      <c r="V11" s="372"/>
      <c r="W11" s="101"/>
      <c r="X11" s="126"/>
      <c r="Y11" s="126"/>
      <c r="Z11" s="126"/>
      <c r="AA11" s="2"/>
      <c r="AB11" s="2"/>
      <c r="AC11" s="197"/>
      <c r="AD11" s="406"/>
      <c r="AE11" s="428"/>
      <c r="AF11" s="433"/>
      <c r="AG11" s="657"/>
      <c r="AH11" s="433"/>
      <c r="AI11" s="3081"/>
      <c r="AJ11" s="3081"/>
      <c r="AK11" s="3081"/>
      <c r="AL11" s="3081"/>
      <c r="AM11" s="3081"/>
      <c r="AN11" s="3081"/>
      <c r="AO11" s="3081"/>
      <c r="AP11" s="3081"/>
      <c r="AQ11" s="3081"/>
      <c r="AR11" s="3081"/>
      <c r="AS11" s="429"/>
      <c r="AT11" s="429"/>
      <c r="AU11" s="429"/>
      <c r="AV11" s="432"/>
      <c r="AX11" s="1080"/>
      <c r="AY11" s="1676"/>
      <c r="AZ11" s="2948" t="s">
        <v>1983</v>
      </c>
      <c r="BA11" s="2810"/>
      <c r="BB11" s="2810"/>
      <c r="BC11" s="2810"/>
      <c r="BD11" s="2810"/>
      <c r="BE11" s="2810"/>
      <c r="BF11" s="1676"/>
      <c r="BG11" s="1676"/>
      <c r="BH11" s="1080"/>
      <c r="BI11" s="1676"/>
      <c r="BJ11" s="2810"/>
      <c r="BK11" s="2916"/>
      <c r="BL11" s="2810"/>
      <c r="BM11" s="2810"/>
      <c r="BN11" s="2854"/>
      <c r="BO11" s="2853"/>
      <c r="BP11" s="2853"/>
      <c r="BQ11" s="2810"/>
      <c r="BR11" s="2854"/>
      <c r="BS11" s="2854"/>
      <c r="BT11" s="2854"/>
      <c r="BU11" s="2854"/>
      <c r="BV11" s="2854"/>
      <c r="BW11" s="2854"/>
      <c r="BX11" s="2854"/>
      <c r="BY11" s="2854"/>
      <c r="BZ11" s="2854"/>
      <c r="CA11" s="2854"/>
      <c r="CB11" s="2854"/>
      <c r="CC11" s="2854"/>
      <c r="CD11" s="2854"/>
      <c r="CE11" s="2854"/>
    </row>
    <row r="12" spans="1:83" ht="18.75" customHeight="1">
      <c r="A12" s="2676"/>
      <c r="B12" s="2667"/>
      <c r="C12" s="1906"/>
      <c r="D12" s="2667"/>
      <c r="E12" s="2677"/>
      <c r="F12" s="2677"/>
      <c r="G12" s="2679"/>
      <c r="H12" s="2679"/>
      <c r="I12" s="2679"/>
      <c r="J12" s="2679"/>
      <c r="K12" s="1910"/>
      <c r="L12" s="1908"/>
      <c r="M12" s="1676"/>
      <c r="N12" s="1676"/>
      <c r="O12" s="1676"/>
      <c r="P12" s="2677"/>
      <c r="V12" s="372"/>
      <c r="W12" s="101"/>
      <c r="X12" s="52"/>
      <c r="Y12" s="101"/>
      <c r="Z12" s="126"/>
      <c r="AA12" s="2"/>
      <c r="AB12" s="2"/>
      <c r="AC12" s="39"/>
      <c r="AD12" s="406"/>
      <c r="AE12" s="428"/>
      <c r="AF12" s="433"/>
      <c r="AG12" s="657"/>
      <c r="AH12" s="433"/>
      <c r="AI12" s="433"/>
      <c r="AJ12" s="434"/>
      <c r="AK12" s="434"/>
      <c r="AL12" s="434"/>
      <c r="AM12" s="429"/>
      <c r="AN12" s="1972"/>
      <c r="AO12" s="430"/>
      <c r="AP12" s="429"/>
      <c r="AQ12" s="429"/>
      <c r="AR12" s="429"/>
      <c r="AS12" s="429"/>
      <c r="AT12" s="429"/>
      <c r="AU12" s="429"/>
      <c r="AV12" s="432"/>
      <c r="AX12" s="1080"/>
      <c r="AY12" s="1676"/>
      <c r="AZ12" s="2948" t="s">
        <v>1982</v>
      </c>
      <c r="BA12" s="2810"/>
      <c r="BB12" s="2810"/>
      <c r="BC12" s="2810"/>
      <c r="BD12" s="2810"/>
      <c r="BE12" s="2810"/>
      <c r="BF12" s="1676"/>
      <c r="BG12" s="1676"/>
      <c r="BH12" s="1080"/>
      <c r="BI12" s="1676"/>
      <c r="BJ12" s="2810"/>
      <c r="BK12" s="2916"/>
      <c r="BL12" s="2810"/>
      <c r="BM12" s="2810"/>
      <c r="BN12" s="2854"/>
      <c r="BO12" s="2853"/>
      <c r="BP12" s="2853"/>
      <c r="BQ12" s="2810"/>
      <c r="BR12" s="2854"/>
      <c r="BS12" s="2854"/>
      <c r="BT12" s="2854"/>
      <c r="BU12" s="2854"/>
      <c r="BV12" s="2854"/>
      <c r="BW12" s="2854"/>
      <c r="BX12" s="2854"/>
      <c r="BY12" s="2854"/>
      <c r="BZ12" s="2854"/>
      <c r="CA12" s="2854"/>
      <c r="CB12" s="2854"/>
      <c r="CC12" s="2854"/>
      <c r="CD12" s="2854"/>
      <c r="CE12" s="2854"/>
    </row>
    <row r="13" spans="1:83" ht="15.5">
      <c r="A13" s="2676"/>
      <c r="B13" s="2667"/>
      <c r="C13" s="1906"/>
      <c r="D13" s="2667"/>
      <c r="E13" s="2677"/>
      <c r="F13" s="2677"/>
      <c r="G13" s="2679"/>
      <c r="H13" s="2679"/>
      <c r="I13" s="2679"/>
      <c r="J13" s="2679"/>
      <c r="K13" s="1910"/>
      <c r="L13" s="1908"/>
      <c r="M13" s="1676"/>
      <c r="N13" s="1676"/>
      <c r="O13" s="1676"/>
      <c r="P13" s="2677"/>
      <c r="V13" s="372"/>
      <c r="W13" s="101"/>
      <c r="X13" s="52"/>
      <c r="Y13" s="101"/>
      <c r="Z13" s="139"/>
      <c r="AA13" s="2"/>
      <c r="AB13" s="2"/>
      <c r="AC13" s="39"/>
      <c r="AD13" s="406"/>
      <c r="AE13" s="428"/>
      <c r="AF13" s="429"/>
      <c r="AG13" s="658"/>
      <c r="AH13" s="435"/>
      <c r="AI13" s="436"/>
      <c r="AJ13" s="2001"/>
      <c r="AK13" s="2001"/>
      <c r="AL13" s="436"/>
      <c r="AM13" s="429"/>
      <c r="AN13" s="1972"/>
      <c r="AO13" s="430"/>
      <c r="AP13" s="429"/>
      <c r="AQ13" s="429"/>
      <c r="AR13" s="429"/>
      <c r="AS13" s="429"/>
      <c r="AT13" s="429"/>
      <c r="AU13" s="429"/>
      <c r="AV13" s="432"/>
      <c r="AX13" s="1080"/>
      <c r="AY13" s="1676"/>
      <c r="AZ13" s="2810"/>
      <c r="BA13" s="2810"/>
      <c r="BB13" s="2810"/>
      <c r="BC13" s="2810"/>
      <c r="BD13" s="2810"/>
      <c r="BE13" s="2810"/>
      <c r="BF13" s="1676"/>
      <c r="BG13" s="1676"/>
      <c r="BH13" s="1080"/>
      <c r="BI13" s="1676"/>
      <c r="BJ13" s="2810"/>
      <c r="BK13" s="2916"/>
      <c r="BL13" s="2810"/>
      <c r="BM13" s="2810"/>
      <c r="BN13" s="2854"/>
      <c r="BO13" s="2853"/>
      <c r="BP13" s="2853"/>
      <c r="BQ13" s="2810"/>
      <c r="BR13" s="2854"/>
      <c r="BS13" s="2854"/>
      <c r="BT13" s="2854"/>
      <c r="BU13" s="2854"/>
      <c r="BV13" s="2854"/>
      <c r="BW13" s="2854"/>
      <c r="BX13" s="2854"/>
      <c r="BY13" s="2854"/>
      <c r="BZ13" s="2854"/>
      <c r="CA13" s="2854"/>
      <c r="CB13" s="2854"/>
      <c r="CC13" s="2854"/>
      <c r="CD13" s="2854"/>
      <c r="CE13" s="2854"/>
    </row>
    <row r="14" spans="1:83" ht="15.5">
      <c r="A14" s="2710" t="b">
        <v>0</v>
      </c>
      <c r="B14" s="2667"/>
      <c r="C14" s="2680" t="s">
        <v>66</v>
      </c>
      <c r="D14" s="2667"/>
      <c r="E14" s="2677"/>
      <c r="F14" s="2677"/>
      <c r="G14" s="2679"/>
      <c r="H14" s="2679"/>
      <c r="I14" s="2679"/>
      <c r="J14" s="2679"/>
      <c r="K14" s="1910"/>
      <c r="L14" s="1908"/>
      <c r="M14" s="1676"/>
      <c r="N14" s="1676"/>
      <c r="O14" s="1676"/>
      <c r="P14" s="2677"/>
      <c r="V14" s="372"/>
      <c r="W14" s="101"/>
      <c r="X14" s="52"/>
      <c r="Y14" s="101"/>
      <c r="Z14" s="139"/>
      <c r="AA14" s="2"/>
      <c r="AB14" s="2"/>
      <c r="AC14" s="39"/>
      <c r="AD14" s="406"/>
      <c r="AE14" s="428"/>
      <c r="AF14" s="429"/>
      <c r="AG14" s="435"/>
      <c r="AH14" s="435"/>
      <c r="AI14" s="436"/>
      <c r="AJ14" s="2001"/>
      <c r="AK14" s="2001"/>
      <c r="AL14" s="436"/>
      <c r="AM14" s="429"/>
      <c r="AN14" s="1972"/>
      <c r="AO14" s="430"/>
      <c r="AP14" s="429"/>
      <c r="AQ14" s="429"/>
      <c r="AR14" s="429"/>
      <c r="AS14" s="429"/>
      <c r="AT14" s="429"/>
      <c r="AU14" s="429"/>
      <c r="AV14" s="432"/>
      <c r="AX14" s="1080"/>
      <c r="AY14" s="1676"/>
      <c r="AZ14" s="2810"/>
      <c r="BA14" s="2810"/>
      <c r="BB14" s="2810"/>
      <c r="BC14" s="2810"/>
      <c r="BD14" s="2810"/>
      <c r="BE14" s="2810"/>
      <c r="BF14" s="1676"/>
      <c r="BG14" s="1676"/>
      <c r="BH14" s="1080"/>
      <c r="BI14" s="1676"/>
      <c r="BJ14" s="2810"/>
      <c r="BK14" s="2916"/>
      <c r="BL14" s="2810"/>
      <c r="BM14" s="2810"/>
      <c r="BN14" s="2854"/>
      <c r="BO14" s="2853"/>
      <c r="BP14" s="2853"/>
      <c r="BQ14" s="2810"/>
      <c r="BR14" s="2854"/>
      <c r="BS14" s="2854"/>
      <c r="BT14" s="2854"/>
      <c r="BU14" s="2854"/>
      <c r="BV14" s="2854"/>
      <c r="BW14" s="2854"/>
      <c r="BX14" s="2854"/>
      <c r="BY14" s="2854"/>
      <c r="BZ14" s="2854"/>
      <c r="CA14" s="2854"/>
      <c r="CB14" s="2854"/>
      <c r="CC14" s="2854"/>
      <c r="CD14" s="2854"/>
      <c r="CE14" s="2854"/>
    </row>
    <row r="15" spans="1:83" ht="15" customHeight="1">
      <c r="A15" s="2676"/>
      <c r="B15" s="2667"/>
      <c r="C15" s="1906"/>
      <c r="D15" s="2667"/>
      <c r="E15" s="2677"/>
      <c r="F15" s="2677"/>
      <c r="G15" s="2679"/>
      <c r="H15" s="2679"/>
      <c r="I15" s="2679"/>
      <c r="J15" s="2679"/>
      <c r="K15" s="1910"/>
      <c r="L15" s="1908"/>
      <c r="M15" s="1676"/>
      <c r="N15" s="1676"/>
      <c r="O15" s="1676"/>
      <c r="P15" s="2677"/>
      <c r="V15" s="372"/>
      <c r="W15" s="101"/>
      <c r="X15" s="52"/>
      <c r="Y15" s="101"/>
      <c r="Z15" s="140"/>
      <c r="AA15" s="2"/>
      <c r="AB15" s="2"/>
      <c r="AC15" s="39"/>
      <c r="AD15" s="406"/>
      <c r="AE15" s="428"/>
      <c r="AF15" s="655"/>
      <c r="AG15" s="655"/>
      <c r="AH15" s="433"/>
      <c r="AI15" s="437"/>
      <c r="AJ15" s="2002"/>
      <c r="AK15" s="2002"/>
      <c r="AL15" s="437"/>
      <c r="AM15" s="429"/>
      <c r="AN15" s="1972"/>
      <c r="AO15" s="430"/>
      <c r="AP15" s="429"/>
      <c r="AQ15" s="429"/>
      <c r="AR15" s="429"/>
      <c r="AS15" s="429"/>
      <c r="AT15" s="429"/>
      <c r="AU15" s="429"/>
      <c r="AV15" s="432"/>
      <c r="AX15" s="1080"/>
      <c r="AY15" s="1676"/>
      <c r="AZ15" s="2810"/>
      <c r="BA15" s="2810"/>
      <c r="BB15" s="2810"/>
      <c r="BC15" s="2810"/>
      <c r="BD15" s="2810"/>
      <c r="BE15" s="2810"/>
      <c r="BF15" s="1676"/>
      <c r="BG15" s="1676"/>
      <c r="BH15" s="1080"/>
      <c r="BI15" s="1676"/>
      <c r="BJ15" s="2810"/>
      <c r="BK15" s="2916"/>
      <c r="BL15" s="2810"/>
      <c r="BM15" s="2810"/>
      <c r="BN15" s="2854"/>
      <c r="BO15" s="2853"/>
      <c r="BP15" s="2853"/>
      <c r="BQ15" s="2810"/>
      <c r="BR15" s="2854"/>
      <c r="BS15" s="2854"/>
      <c r="BT15" s="2854"/>
      <c r="BU15" s="2854"/>
      <c r="BV15" s="2854"/>
      <c r="BW15" s="2854"/>
      <c r="BX15" s="2854"/>
      <c r="BY15" s="2854"/>
      <c r="BZ15" s="2854"/>
      <c r="CA15" s="2854"/>
      <c r="CB15" s="2854"/>
      <c r="CC15" s="2854"/>
      <c r="CD15" s="2854"/>
      <c r="CE15" s="2854"/>
    </row>
    <row r="16" spans="1:83" ht="32.5">
      <c r="A16" s="2676"/>
      <c r="B16" s="2667"/>
      <c r="C16" s="1906"/>
      <c r="D16" s="2667"/>
      <c r="E16" s="2677"/>
      <c r="F16" s="2677"/>
      <c r="G16" s="2679"/>
      <c r="H16" s="2679"/>
      <c r="I16" s="2679"/>
      <c r="J16" s="2679"/>
      <c r="K16" s="1910"/>
      <c r="L16" s="1909"/>
      <c r="M16" s="1676"/>
      <c r="N16" s="1676"/>
      <c r="O16" s="1676"/>
      <c r="P16" s="2677"/>
      <c r="V16" s="158"/>
      <c r="W16" s="101"/>
      <c r="X16" s="288"/>
      <c r="Y16" s="288"/>
      <c r="Z16" s="126"/>
      <c r="AA16" s="2"/>
      <c r="AB16" s="2"/>
      <c r="AC16" s="39"/>
      <c r="AD16" s="406"/>
      <c r="AE16" s="428"/>
      <c r="AF16" s="656"/>
      <c r="AG16" s="656"/>
      <c r="AH16" s="433"/>
      <c r="AI16" s="24" t="s">
        <v>1780</v>
      </c>
      <c r="AJ16" s="2000"/>
      <c r="AK16" s="2000"/>
      <c r="AL16" s="2646"/>
      <c r="AM16" s="429"/>
      <c r="AN16" s="1527"/>
      <c r="AO16" s="430"/>
      <c r="AP16" s="429"/>
      <c r="AQ16" s="429"/>
      <c r="AR16" s="429"/>
      <c r="AS16" s="429"/>
      <c r="AT16" s="429"/>
      <c r="AU16" s="429"/>
      <c r="AV16" s="432"/>
      <c r="AX16" s="1080"/>
      <c r="AY16" s="1676"/>
      <c r="AZ16" s="2810"/>
      <c r="BA16" s="2810"/>
      <c r="BB16" s="2810"/>
      <c r="BC16" s="2810"/>
      <c r="BD16" s="2810"/>
      <c r="BE16" s="2810"/>
      <c r="BF16" s="1676"/>
      <c r="BG16" s="1676"/>
      <c r="BH16" s="1080"/>
      <c r="BI16" s="1676"/>
      <c r="BJ16" s="2810"/>
      <c r="BK16" s="2916" t="e">
        <f ca="1">PL!F10</f>
        <v>#NAME?</v>
      </c>
      <c r="BL16" s="2810"/>
      <c r="BM16" s="2810"/>
      <c r="BN16" s="2854"/>
      <c r="BO16" s="2853"/>
      <c r="BP16" s="2853"/>
      <c r="BQ16" s="2810"/>
      <c r="BR16" s="2854"/>
      <c r="BS16" s="2854"/>
      <c r="BT16" s="2854"/>
      <c r="BU16" s="2854"/>
      <c r="BV16" s="2854"/>
      <c r="BW16" s="2854"/>
      <c r="BX16" s="2854"/>
      <c r="BY16" s="2854"/>
      <c r="BZ16" s="2854"/>
      <c r="CA16" s="2854"/>
      <c r="CB16" s="2854"/>
      <c r="CC16" s="2854"/>
      <c r="CD16" s="2854"/>
      <c r="CE16" s="2854"/>
    </row>
    <row r="17" spans="1:83" ht="18.75" customHeight="1">
      <c r="A17" s="2676"/>
      <c r="B17" s="2667"/>
      <c r="C17" s="1906"/>
      <c r="D17" s="2667"/>
      <c r="E17" s="2677"/>
      <c r="F17" s="2677"/>
      <c r="G17" s="2679"/>
      <c r="H17" s="2679"/>
      <c r="I17" s="2679"/>
      <c r="J17" s="2679"/>
      <c r="K17" s="1910"/>
      <c r="L17" s="1909"/>
      <c r="M17" s="1676"/>
      <c r="N17" s="1676"/>
      <c r="O17" s="1676"/>
      <c r="P17" s="2677"/>
      <c r="V17" s="158"/>
      <c r="W17" s="101"/>
      <c r="X17" s="52"/>
      <c r="Y17" s="101"/>
      <c r="Z17" s="101"/>
      <c r="AA17" s="101"/>
      <c r="AB17" s="101"/>
      <c r="AC17" s="39"/>
      <c r="AD17" s="406"/>
      <c r="AE17" s="428"/>
      <c r="AF17" s="433"/>
      <c r="AG17" s="433"/>
      <c r="AH17" s="433"/>
      <c r="AI17" s="594" t="s">
        <v>1781</v>
      </c>
      <c r="AJ17" s="434"/>
      <c r="AK17" s="434"/>
      <c r="AL17" s="434"/>
      <c r="AM17" s="429"/>
      <c r="AN17" s="1972"/>
      <c r="AO17" s="430"/>
      <c r="AP17" s="429"/>
      <c r="AQ17" s="429"/>
      <c r="AR17" s="429"/>
      <c r="AS17" s="429"/>
      <c r="AT17" s="429"/>
      <c r="AU17" s="429"/>
      <c r="AV17" s="432"/>
      <c r="AX17" s="1080"/>
      <c r="AY17" s="1676"/>
      <c r="AZ17" s="2810"/>
      <c r="BA17" s="2810"/>
      <c r="BB17" s="2810"/>
      <c r="BC17" s="2810"/>
      <c r="BD17" s="2810"/>
      <c r="BE17" s="2810"/>
      <c r="BF17" s="1676"/>
      <c r="BG17" s="1676"/>
      <c r="BH17" s="1080"/>
      <c r="BI17" s="1676"/>
      <c r="BJ17" s="2810"/>
      <c r="BK17" s="2916"/>
      <c r="BL17" s="2810"/>
      <c r="BM17" s="2810"/>
      <c r="BN17" s="2854"/>
      <c r="BO17" s="2853"/>
      <c r="BP17" s="2853"/>
      <c r="BQ17" s="2810"/>
      <c r="BR17" s="2854"/>
      <c r="BS17" s="2854"/>
      <c r="BT17" s="2854"/>
      <c r="BU17" s="2854"/>
      <c r="BV17" s="2854"/>
      <c r="BW17" s="2854"/>
      <c r="BX17" s="2854"/>
      <c r="BY17" s="2854"/>
      <c r="BZ17" s="2854"/>
      <c r="CA17" s="2854"/>
      <c r="CB17" s="2854"/>
      <c r="CC17" s="2854"/>
      <c r="CD17" s="2854"/>
      <c r="CE17" s="2854"/>
    </row>
    <row r="18" spans="1:83" ht="15.5">
      <c r="A18" s="2676"/>
      <c r="B18" s="2667"/>
      <c r="C18" s="1906"/>
      <c r="D18" s="2667"/>
      <c r="E18" s="2677"/>
      <c r="F18" s="2677"/>
      <c r="G18" s="2679"/>
      <c r="H18" s="2679"/>
      <c r="I18" s="2679"/>
      <c r="J18" s="2679"/>
      <c r="K18" s="1910"/>
      <c r="L18" s="1909"/>
      <c r="M18" s="1676"/>
      <c r="N18" s="1676"/>
      <c r="O18" s="1676"/>
      <c r="P18" s="2677"/>
      <c r="V18" s="158"/>
      <c r="W18" s="101"/>
      <c r="X18" s="52"/>
      <c r="Y18" s="101"/>
      <c r="Z18" s="101"/>
      <c r="AA18" s="101"/>
      <c r="AB18" s="101"/>
      <c r="AC18" s="39"/>
      <c r="AD18" s="406"/>
      <c r="AE18" s="428"/>
      <c r="AF18" s="429"/>
      <c r="AG18" s="435"/>
      <c r="AH18" s="435"/>
      <c r="AI18" s="436"/>
      <c r="AJ18" s="2001"/>
      <c r="AK18" s="2001"/>
      <c r="AL18" s="436"/>
      <c r="AM18" s="429"/>
      <c r="AN18" s="1972"/>
      <c r="AO18" s="430"/>
      <c r="AP18" s="429"/>
      <c r="AQ18" s="429"/>
      <c r="AR18" s="429"/>
      <c r="AS18" s="429"/>
      <c r="AT18" s="429"/>
      <c r="AU18" s="429"/>
      <c r="AV18" s="432"/>
      <c r="AX18" s="1080"/>
      <c r="AY18" s="1676"/>
      <c r="AZ18" s="2810"/>
      <c r="BA18" s="2810"/>
      <c r="BB18" s="2810"/>
      <c r="BC18" s="2810"/>
      <c r="BD18" s="2810"/>
      <c r="BE18" s="2810"/>
      <c r="BF18" s="1676"/>
      <c r="BG18" s="1676"/>
      <c r="BH18" s="1080"/>
      <c r="BI18" s="1676"/>
      <c r="BJ18" s="2810"/>
      <c r="BK18" s="2932"/>
      <c r="BL18" s="2810"/>
      <c r="BM18" s="2810"/>
      <c r="BN18" s="2854"/>
      <c r="BO18" s="2853"/>
      <c r="BP18" s="2853"/>
      <c r="BQ18" s="2810"/>
      <c r="BR18" s="2854"/>
      <c r="BS18" s="2854"/>
      <c r="BT18" s="2854"/>
      <c r="BU18" s="2854"/>
      <c r="BV18" s="2854"/>
      <c r="BW18" s="2854"/>
      <c r="BX18" s="2854"/>
      <c r="BY18" s="2854"/>
      <c r="BZ18" s="2854"/>
      <c r="CA18" s="2854"/>
      <c r="CB18" s="2854"/>
      <c r="CC18" s="2854"/>
      <c r="CD18" s="2854"/>
      <c r="CE18" s="2854"/>
    </row>
    <row r="19" spans="1:83" ht="37.9" customHeight="1">
      <c r="A19" s="2681"/>
      <c r="B19" s="2682" t="s">
        <v>1863</v>
      </c>
      <c r="C19" s="2666" t="s">
        <v>1862</v>
      </c>
      <c r="D19" s="2666" t="s">
        <v>1865</v>
      </c>
      <c r="E19" s="2677"/>
      <c r="F19" s="2725"/>
      <c r="G19" s="2711" t="s">
        <v>1874</v>
      </c>
      <c r="H19" s="2711"/>
      <c r="I19" s="2711"/>
      <c r="J19" s="2711"/>
      <c r="K19" s="2711"/>
      <c r="L19" s="2711"/>
      <c r="M19" s="2711"/>
      <c r="N19" s="2711"/>
      <c r="O19" s="2711"/>
      <c r="P19" s="2677"/>
      <c r="V19" s="158"/>
      <c r="W19" s="101"/>
      <c r="X19" s="52"/>
      <c r="Y19" s="101"/>
      <c r="Z19" s="101"/>
      <c r="AA19" s="101"/>
      <c r="AB19" s="101"/>
      <c r="AC19" s="39"/>
      <c r="AD19" s="406"/>
      <c r="AE19" s="428"/>
      <c r="AF19" s="650"/>
      <c r="AG19" s="651"/>
      <c r="AH19" s="440"/>
      <c r="AI19" s="3084" t="s">
        <v>1782</v>
      </c>
      <c r="AJ19" s="3084"/>
      <c r="AK19" s="3084"/>
      <c r="AL19" s="3084"/>
      <c r="AM19" s="736"/>
      <c r="AN19" s="1528"/>
      <c r="AO19" s="736"/>
      <c r="AP19" s="2794" t="s">
        <v>1783</v>
      </c>
      <c r="AQ19" s="737"/>
      <c r="AR19" s="809">
        <f>_xlfn.LET(_xlpm.W,_xlfn.VSTACK(AN23,AN39,AN55,AN71),_xlpm.M,_xlfn.VSTACK(AR23,AR39,AR55,AR71),IF(SUM(_xlpm.W)=0,"n/a",SUMPRODUCT(_xlpm.M,_xlpm.W)/SUM(_xlpm.W)))</f>
        <v>0</v>
      </c>
      <c r="AS19" s="736"/>
      <c r="AT19" s="429"/>
      <c r="AU19" s="429"/>
      <c r="AV19" s="432"/>
      <c r="AX19" s="1080"/>
      <c r="AY19" s="2725"/>
      <c r="AZ19" s="2811" t="s">
        <v>1871</v>
      </c>
      <c r="BA19" s="2811"/>
      <c r="BB19" s="2811"/>
      <c r="BC19" s="2811"/>
      <c r="BD19" s="2811"/>
      <c r="BE19" s="2811"/>
      <c r="BF19" s="2711"/>
      <c r="BG19" s="2711"/>
      <c r="BH19" s="1080"/>
      <c r="BI19" s="2778"/>
      <c r="BJ19" s="2936"/>
      <c r="BK19" s="2933" t="s">
        <v>1872</v>
      </c>
      <c r="BL19" s="2936"/>
      <c r="BM19" s="2811"/>
      <c r="BN19" s="2897"/>
      <c r="BO19" s="2855"/>
      <c r="BP19" s="2855"/>
      <c r="BQ19" s="2811"/>
      <c r="BR19" s="2856"/>
      <c r="BS19" s="2856"/>
      <c r="BT19" s="2856"/>
      <c r="BU19" s="2856"/>
      <c r="BV19" s="2856"/>
      <c r="BW19" s="2856"/>
      <c r="BX19" s="2856"/>
      <c r="BY19" s="2856"/>
      <c r="BZ19" s="2856"/>
      <c r="CA19" s="2856"/>
      <c r="CB19" s="2856"/>
      <c r="CC19" s="2856"/>
      <c r="CD19" s="2856"/>
      <c r="CE19" s="2856"/>
    </row>
    <row r="20" spans="1:83" ht="33.75" customHeight="1">
      <c r="A20" s="1677"/>
      <c r="B20" s="2670"/>
      <c r="C20" s="1677"/>
      <c r="D20" s="2668"/>
      <c r="E20" s="2677"/>
      <c r="F20" s="2725"/>
      <c r="G20" s="2704"/>
      <c r="H20" s="2705"/>
      <c r="I20" s="2705"/>
      <c r="J20" s="2706"/>
      <c r="K20" s="2707"/>
      <c r="L20" s="2708"/>
      <c r="M20" s="2668"/>
      <c r="N20" s="2738"/>
      <c r="O20" s="2739"/>
      <c r="P20" s="2677"/>
      <c r="V20" s="158"/>
      <c r="W20" s="101"/>
      <c r="X20" s="52"/>
      <c r="Y20" s="101"/>
      <c r="Z20" s="126"/>
      <c r="AA20" s="101"/>
      <c r="AB20" s="101"/>
      <c r="AC20" s="39"/>
      <c r="AD20" s="406"/>
      <c r="AE20" s="428"/>
      <c r="AF20" s="429"/>
      <c r="AG20" s="429"/>
      <c r="AH20" s="440"/>
      <c r="AI20" s="2648"/>
      <c r="AJ20" s="2003"/>
      <c r="AK20" s="2003"/>
      <c r="AL20" s="2648"/>
      <c r="AM20" s="736"/>
      <c r="AN20" s="1528"/>
      <c r="AO20" s="736"/>
      <c r="AP20" s="736"/>
      <c r="AQ20" s="736"/>
      <c r="AR20" s="736"/>
      <c r="AS20" s="736"/>
      <c r="AT20" s="429"/>
      <c r="AU20" s="429"/>
      <c r="AV20" s="432"/>
      <c r="AX20" s="1080"/>
      <c r="AY20" s="2725"/>
      <c r="AZ20" s="2805" t="s">
        <v>1784</v>
      </c>
      <c r="BA20" s="2812" t="s">
        <v>431</v>
      </c>
      <c r="BB20" s="2812" t="s">
        <v>1785</v>
      </c>
      <c r="BC20" s="2813" t="s">
        <v>31</v>
      </c>
      <c r="BD20" s="2814" t="s">
        <v>1786</v>
      </c>
      <c r="BE20" s="2807" t="s">
        <v>268</v>
      </c>
      <c r="BF20" s="2780" t="s">
        <v>115</v>
      </c>
      <c r="BG20" s="2781"/>
      <c r="BH20" s="1080"/>
      <c r="BI20" s="2778"/>
      <c r="BJ20" s="2937"/>
      <c r="BK20" s="2931" t="s">
        <v>1970</v>
      </c>
      <c r="BL20" s="2937"/>
      <c r="BM20" s="2804"/>
      <c r="BN20" s="2859"/>
      <c r="BO20" s="2805"/>
      <c r="BP20" s="2873"/>
      <c r="BQ20" s="2807"/>
      <c r="BR20" s="2808"/>
      <c r="BS20" s="2808"/>
      <c r="BT20" s="2808"/>
      <c r="BU20" s="2808"/>
      <c r="BV20" s="2808"/>
      <c r="BW20" s="2808"/>
      <c r="BX20" s="2808"/>
      <c r="BY20" s="2808"/>
      <c r="BZ20" s="2808"/>
      <c r="CA20" s="2808"/>
      <c r="CB20" s="2808"/>
      <c r="CC20" s="2808"/>
      <c r="CD20" s="2808"/>
      <c r="CE20" s="2808"/>
    </row>
    <row r="21" spans="1:83" ht="18" customHeight="1">
      <c r="A21" s="2676"/>
      <c r="B21" s="2669"/>
      <c r="C21" s="1905"/>
      <c r="D21" s="2751"/>
      <c r="E21" s="2677"/>
      <c r="F21" s="2726"/>
      <c r="G21" s="2686"/>
      <c r="H21" s="2686"/>
      <c r="I21" s="2686"/>
      <c r="J21" s="2686"/>
      <c r="K21" s="2687"/>
      <c r="L21" s="2688"/>
      <c r="M21" s="2712"/>
      <c r="N21" s="2727"/>
      <c r="O21" s="2727"/>
      <c r="P21" s="2677"/>
      <c r="V21" s="158"/>
      <c r="W21" s="101"/>
      <c r="X21" s="52"/>
      <c r="Y21" s="101"/>
      <c r="Z21" s="126"/>
      <c r="AA21" s="101"/>
      <c r="AB21" s="101"/>
      <c r="AC21" s="39"/>
      <c r="AD21" s="406"/>
      <c r="AE21" s="438"/>
      <c r="AF21" s="439"/>
      <c r="AG21" s="659"/>
      <c r="AH21" s="435"/>
      <c r="AI21" s="446"/>
      <c r="AJ21" s="2004"/>
      <c r="AK21" s="2004"/>
      <c r="AL21" s="446"/>
      <c r="AM21" s="447"/>
      <c r="AN21" s="1529" t="s">
        <v>1788</v>
      </c>
      <c r="AO21" s="600"/>
      <c r="AP21" s="599" t="s">
        <v>225</v>
      </c>
      <c r="AQ21" s="601"/>
      <c r="AR21" s="599" t="s">
        <v>1789</v>
      </c>
      <c r="AS21" s="429"/>
      <c r="AT21" s="429"/>
      <c r="AU21" s="429"/>
      <c r="AV21" s="445"/>
      <c r="AX21" s="1080"/>
      <c r="AY21" s="2726"/>
      <c r="AZ21" s="2815"/>
      <c r="BA21" s="2815"/>
      <c r="BB21" s="2815"/>
      <c r="BC21" s="2815"/>
      <c r="BD21" s="2806"/>
      <c r="BE21" s="2816"/>
      <c r="BF21" s="2688"/>
      <c r="BG21" s="2686"/>
      <c r="BH21" s="1080"/>
      <c r="BI21" s="2778"/>
      <c r="BJ21" s="2804"/>
      <c r="BK21" s="2918"/>
      <c r="BL21" s="2804"/>
      <c r="BM21" s="2804"/>
      <c r="BN21" s="2893"/>
      <c r="BO21" s="2893"/>
      <c r="BP21" s="2873"/>
      <c r="BQ21" s="2807"/>
      <c r="BR21" s="2808"/>
      <c r="BS21" s="2808"/>
      <c r="BT21" s="2808"/>
      <c r="BU21" s="2857"/>
      <c r="BV21" s="2857"/>
      <c r="BW21" s="2857"/>
      <c r="BX21" s="2857"/>
      <c r="BY21" s="2857"/>
      <c r="BZ21" s="2857"/>
      <c r="CA21" s="2857"/>
      <c r="CB21" s="2857"/>
      <c r="CC21" s="2857"/>
      <c r="CD21" s="2857"/>
      <c r="CE21" s="2857"/>
    </row>
    <row r="22" spans="1:83" ht="9.75" customHeight="1">
      <c r="A22" s="2676"/>
      <c r="B22" s="2669"/>
      <c r="C22" s="1905"/>
      <c r="D22" s="2751"/>
      <c r="E22" s="2677"/>
      <c r="F22" s="2726"/>
      <c r="G22" s="2686"/>
      <c r="H22" s="2686"/>
      <c r="I22" s="2686"/>
      <c r="J22" s="2686"/>
      <c r="K22" s="2687"/>
      <c r="L22" s="2688"/>
      <c r="M22" s="2712"/>
      <c r="N22" s="2727"/>
      <c r="O22" s="2727"/>
      <c r="P22" s="2677"/>
      <c r="V22" s="158"/>
      <c r="W22" s="101"/>
      <c r="X22" s="52"/>
      <c r="Y22" s="101"/>
      <c r="Z22" s="126"/>
      <c r="AA22" s="101"/>
      <c r="AB22" s="101"/>
      <c r="AC22" s="39"/>
      <c r="AD22" s="406"/>
      <c r="AE22" s="438"/>
      <c r="AF22" s="439"/>
      <c r="AG22" s="659"/>
      <c r="AH22" s="449"/>
      <c r="AI22" s="450"/>
      <c r="AJ22" s="450"/>
      <c r="AK22" s="450"/>
      <c r="AL22" s="450"/>
      <c r="AM22" s="439"/>
      <c r="AN22" s="1530"/>
      <c r="AO22" s="451"/>
      <c r="AP22" s="451"/>
      <c r="AQ22" s="451"/>
      <c r="AR22" s="451"/>
      <c r="AS22" s="452"/>
      <c r="AT22" s="448"/>
      <c r="AU22" s="439"/>
      <c r="AV22" s="445"/>
      <c r="AX22" s="1080"/>
      <c r="AY22" s="2726"/>
      <c r="AZ22" s="2815"/>
      <c r="BA22" s="2815"/>
      <c r="BB22" s="2815"/>
      <c r="BC22" s="2815"/>
      <c r="BD22" s="2806"/>
      <c r="BE22" s="2816"/>
      <c r="BF22" s="2688"/>
      <c r="BG22" s="2686"/>
      <c r="BH22" s="1080"/>
      <c r="BI22" s="2778"/>
      <c r="BJ22" s="2879"/>
      <c r="BK22" s="2919" t="s">
        <v>15</v>
      </c>
      <c r="BL22" s="2879" t="s">
        <v>1875</v>
      </c>
      <c r="BM22" s="2884" t="s">
        <v>1937</v>
      </c>
      <c r="BN22" s="2895" t="s">
        <v>1985</v>
      </c>
      <c r="BO22" s="2895" t="s">
        <v>1990</v>
      </c>
      <c r="BP22" s="2880" t="s">
        <v>1969</v>
      </c>
      <c r="BQ22" s="2879" t="s">
        <v>1876</v>
      </c>
      <c r="BR22" s="2879" t="s">
        <v>1870</v>
      </c>
      <c r="BS22" s="2882"/>
      <c r="BT22" s="2808"/>
      <c r="BU22" s="2857"/>
      <c r="BV22" s="2857"/>
      <c r="BW22" s="2857"/>
      <c r="BX22" s="2857"/>
      <c r="BY22" s="2857"/>
      <c r="BZ22" s="2857"/>
      <c r="CA22" s="2857"/>
      <c r="CB22" s="2857"/>
      <c r="CC22" s="2857"/>
      <c r="CD22" s="2857"/>
      <c r="CE22" s="2857"/>
    </row>
    <row r="23" spans="1:83" ht="18">
      <c r="A23" s="2676"/>
      <c r="B23" s="2787" t="s">
        <v>1875</v>
      </c>
      <c r="C23" s="1912" t="s">
        <v>1790</v>
      </c>
      <c r="D23" s="2943" t="e" cm="1">
        <f t="array" ca="1" aca="1" ref="D23">_xldudf_CX_GET(CX_ENTITY,fx_attrConverter(C23),val_asOfDate,"As of",,fx_scenarioConverter("Actual"))</f>
        <v>#NAME?</v>
      </c>
      <c r="E23" s="2677"/>
      <c r="F23" s="2726"/>
      <c r="G23" s="2741" t="s">
        <v>1784</v>
      </c>
      <c r="H23" s="2742" t="s">
        <v>431</v>
      </c>
      <c r="I23" s="2742" t="s">
        <v>1785</v>
      </c>
      <c r="J23" s="2743" t="s">
        <v>31</v>
      </c>
      <c r="K23" s="2744" t="s">
        <v>1786</v>
      </c>
      <c r="L23" s="2745" t="s">
        <v>268</v>
      </c>
      <c r="M23" s="2746"/>
      <c r="N23" s="2747" t="s">
        <v>1787</v>
      </c>
      <c r="O23" s="2748" t="s">
        <v>1869</v>
      </c>
      <c r="P23" s="2677"/>
      <c r="V23" s="158"/>
      <c r="W23" s="2"/>
      <c r="X23" s="52"/>
      <c r="Y23" s="2"/>
      <c r="Z23" s="539"/>
      <c r="AA23" s="2"/>
      <c r="AB23" s="101"/>
      <c r="AC23" s="39"/>
      <c r="AD23" s="406"/>
      <c r="AE23" s="428"/>
      <c r="AF23" s="439"/>
      <c r="AG23" s="659"/>
      <c r="AH23" s="453"/>
      <c r="AI23" s="595" t="s">
        <v>432</v>
      </c>
      <c r="AJ23" s="2005"/>
      <c r="AK23" s="2005"/>
      <c r="AL23" s="595"/>
      <c r="AM23" s="596"/>
      <c r="AN23" s="3248" cm="1">
        <f t="array" ref="AN23">ABS(N(_xlfn.XLOOKUP(C23,BS!$B$19:$B$50,_xlfn.XLOOKUP($AN$5,_xlfn.ANCHORARRAY(BS!$AD$11),BS!$AD$19:$BN$50))))*fxVal_normal/$C$8</f>
        <v>1</v>
      </c>
      <c r="AO23" s="2870">
        <f>IF(BG26,0,IF(BG28,1,-1))</f>
        <v>-1</v>
      </c>
      <c r="AP23" s="2272">
        <f>$AN$5</f>
        <v>46022</v>
      </c>
      <c r="AQ23" s="3249">
        <f>IF(BG26,0,IF(BG27,1,-1))</f>
        <v>1</v>
      </c>
      <c r="AR23" s="690" t="str">
        <f>IF(N(AN23=0),"n/a",AR26)</f>
        <v>n/a</v>
      </c>
      <c r="AS23" s="598"/>
      <c r="AT23" s="448"/>
      <c r="AU23" s="455"/>
      <c r="AV23" s="432"/>
      <c r="AX23" s="1080"/>
      <c r="AY23" s="2726"/>
      <c r="AZ23" s="2805"/>
      <c r="BA23" s="2812"/>
      <c r="BB23" s="2812"/>
      <c r="BC23" s="2813"/>
      <c r="BD23" s="2814"/>
      <c r="BE23" s="2807"/>
      <c r="BF23" s="2745"/>
      <c r="BG23" s="2741"/>
      <c r="BH23" s="1080"/>
      <c r="BI23" s="2778"/>
      <c r="BJ23" s="2938"/>
      <c r="BK23" s="3293">
        <v>1</v>
      </c>
      <c r="BL23" s="2938" t="str" cm="1">
        <f t="array" ref="BL23:BL32">_xlfn._xlws.FILTER($C$19:$C$224,$B$19:$B$224=BL22)</f>
        <v>Senior instrument(s) amortising</v>
      </c>
      <c r="BM23" s="2859" cm="1">
        <f t="array" ref="BM23:BM32">IF(ISNUMBER(_xlfn.XLOOKUP(_xlfn.ANCHORARRAY(BL23),C19:C223,AN19:AN223)),_xlfn.XLOOKUP(_xlfn.ANCHORARRAY(BL23),C19:C223,AN19:AN223)*DebtOverview!fxVal_normal)</f>
        <v>1000000</v>
      </c>
      <c r="BN23" s="2893" t="s">
        <v>1986</v>
      </c>
      <c r="BO23" s="2893" t="s">
        <v>1991</v>
      </c>
      <c r="BP23" s="3250" t="b">
        <v>1</v>
      </c>
      <c r="BQ23" s="2858" t="s">
        <v>1794</v>
      </c>
      <c r="BR23" s="2858" t="e" cm="1">
        <f t="array" ca="1" aca="1" ref="BR23:BR32">_xlfn.LET(_xlpm.BlankRow,_xlfn.MAKEARRAY(1,COLUMNS(Head),_xlfn.LAMBDA(_xlpm.x,_xlpm.y,"")),_xlpm.Unpacker,_xlfn.LAMBDA(_xlpm.packed,IFERROR(_xlfn.TEXTSPLIT(_xlpm.packed,"|","¶",FALSE),_xlpm.BlankRow)),_xlpm.ActionCol,$D$19:$D$222,_xlpm.CXObjCol,$C$19:$C$222,_xlpm.TypeCol,$B$19:$B$222,_xlpm.VersToTake,$BR$22,_xlpm.LineAttrList,$BQ$23:$BQ$32,_xlpm.LineInplaceValue,_xlfn.XLOOKUP(_xlpm.VersToTake&amp;_xlpm.LineAttrList,_xlpm.TypeCol&amp;_xlpm.CXObjCol,_xlpm.ActionCol,"Not Found",2),_xlpm.LineInplaceValue)</f>
        <v>#NAME?</v>
      </c>
      <c r="BS23" s="2808"/>
      <c r="BT23" s="2859"/>
      <c r="BU23" s="2808"/>
      <c r="BV23" s="2808"/>
      <c r="BW23" s="2808"/>
      <c r="BX23" s="2808"/>
      <c r="BY23" s="2808"/>
      <c r="BZ23" s="2808"/>
      <c r="CA23" s="2808"/>
      <c r="CB23" s="2808"/>
      <c r="CC23" s="2808"/>
      <c r="CD23" s="2808"/>
      <c r="CE23" s="2808"/>
    </row>
    <row r="24" spans="1:83" ht="18">
      <c r="A24" s="2676"/>
      <c r="B24" s="2670"/>
      <c r="C24" s="1677"/>
      <c r="D24" s="2752"/>
      <c r="E24" s="2677"/>
      <c r="F24" s="2726"/>
      <c r="G24" s="2684"/>
      <c r="H24" s="2684"/>
      <c r="I24" s="2689"/>
      <c r="J24" s="2684"/>
      <c r="K24" s="2687"/>
      <c r="L24" s="2685"/>
      <c r="M24" s="2715"/>
      <c r="N24" s="2729"/>
      <c r="O24" s="2729"/>
      <c r="P24" s="2677"/>
      <c r="V24" s="158"/>
      <c r="W24" s="101"/>
      <c r="X24" s="52"/>
      <c r="Y24" s="101"/>
      <c r="Z24" s="126"/>
      <c r="AA24" s="101"/>
      <c r="AB24" s="101"/>
      <c r="AC24" s="39"/>
      <c r="AD24" s="406"/>
      <c r="AE24" s="2654"/>
      <c r="AF24" s="439"/>
      <c r="AG24" s="660"/>
      <c r="AH24" s="609"/>
      <c r="AI24" s="607"/>
      <c r="AJ24" s="2006"/>
      <c r="AK24" s="2007"/>
      <c r="AL24" s="456"/>
      <c r="AM24" s="457"/>
      <c r="AN24" s="1531"/>
      <c r="AO24" s="457"/>
      <c r="AP24" s="457"/>
      <c r="AQ24" s="458"/>
      <c r="AR24" s="458"/>
      <c r="AS24" s="459"/>
      <c r="AT24" s="494"/>
      <c r="AU24" s="2655"/>
      <c r="AV24" s="2656"/>
      <c r="AX24" s="1080"/>
      <c r="AY24" s="2726"/>
      <c r="AZ24" s="2804"/>
      <c r="BA24" s="2804"/>
      <c r="BB24" s="2817"/>
      <c r="BC24" s="2804"/>
      <c r="BD24" s="2806"/>
      <c r="BE24" s="2807"/>
      <c r="BF24" s="2685"/>
      <c r="BG24" s="2684"/>
      <c r="BH24" s="1080"/>
      <c r="BI24" s="2778"/>
      <c r="BJ24" s="2938"/>
      <c r="BK24" s="3293">
        <v>2</v>
      </c>
      <c r="BL24" s="2938" t="str">
        <v>Senior Instrument(s) 1</v>
      </c>
      <c r="BM24" s="2859">
        <v>1000000</v>
      </c>
      <c r="BN24" s="2893" t="s">
        <v>1987</v>
      </c>
      <c r="BO24" s="2893" t="s">
        <v>1991</v>
      </c>
      <c r="BP24" s="3250" t="b">
        <v>1</v>
      </c>
      <c r="BQ24" s="2858" t="s">
        <v>1796</v>
      </c>
      <c r="BR24" s="2858" t="str">
        <f ca="1"/>
        <v/>
      </c>
      <c r="BS24" s="2808"/>
      <c r="BT24" s="2859"/>
      <c r="BU24" s="2808"/>
      <c r="BV24" s="2808"/>
      <c r="BW24" s="2808"/>
      <c r="BX24" s="2808"/>
      <c r="BY24" s="2808"/>
      <c r="BZ24" s="2808"/>
      <c r="CA24" s="2808"/>
      <c r="CB24" s="2808"/>
      <c r="CC24" s="2808"/>
      <c r="CD24" s="2808"/>
      <c r="CE24" s="2808"/>
    </row>
    <row r="25" spans="1:83" ht="17.25" customHeight="1">
      <c r="A25" s="2676"/>
      <c r="B25" s="2787" t="s">
        <v>1876</v>
      </c>
      <c r="C25" s="1677"/>
      <c r="D25" s="2752"/>
      <c r="E25" s="2677"/>
      <c r="F25" s="2726"/>
      <c r="G25" s="2684"/>
      <c r="H25" s="2684"/>
      <c r="I25" s="2684"/>
      <c r="J25" s="2684"/>
      <c r="K25" s="2687"/>
      <c r="L25" s="2685"/>
      <c r="M25" s="2712"/>
      <c r="N25" s="2733"/>
      <c r="O25" s="2734"/>
      <c r="P25" s="2677"/>
      <c r="V25" s="158"/>
      <c r="W25" s="101"/>
      <c r="X25" s="52"/>
      <c r="Y25" s="101"/>
      <c r="Z25" s="126"/>
      <c r="AA25" s="101"/>
      <c r="AB25" s="101"/>
      <c r="AC25" s="39"/>
      <c r="AD25" s="406"/>
      <c r="AE25" s="428"/>
      <c r="AF25" s="439"/>
      <c r="AG25" s="661"/>
      <c r="AH25" s="610"/>
      <c r="AI25" s="3080"/>
      <c r="AJ25" s="2008"/>
      <c r="AK25" s="2009"/>
      <c r="AL25" s="602"/>
      <c r="AM25" s="460"/>
      <c r="AN25" s="1532" t="s">
        <v>1791</v>
      </c>
      <c r="AO25" s="461"/>
      <c r="AP25" s="1525" t="s">
        <v>1792</v>
      </c>
      <c r="AQ25" s="462"/>
      <c r="AR25" s="463" t="s">
        <v>1793</v>
      </c>
      <c r="AS25" s="464"/>
      <c r="AT25" s="431"/>
      <c r="AU25" s="429"/>
      <c r="AV25" s="432"/>
      <c r="AX25" s="1080"/>
      <c r="AY25" s="2726"/>
      <c r="AZ25" s="2805" t="s">
        <v>1784</v>
      </c>
      <c r="BA25" s="2812" t="s">
        <v>431</v>
      </c>
      <c r="BB25" s="2812" t="s">
        <v>1785</v>
      </c>
      <c r="BC25" s="2813" t="s">
        <v>31</v>
      </c>
      <c r="BD25" s="2814" t="s">
        <v>1786</v>
      </c>
      <c r="BE25" s="2807" t="s">
        <v>268</v>
      </c>
      <c r="BF25" s="2780"/>
      <c r="BG25" s="3355"/>
      <c r="BH25" s="1080"/>
      <c r="BI25" s="2778"/>
      <c r="BJ25" s="2886"/>
      <c r="BK25" s="2920">
        <v>3</v>
      </c>
      <c r="BL25" s="2886" t="str">
        <v>Junior Instrument(s)</v>
      </c>
      <c r="BM25" s="2859">
        <v>1000000</v>
      </c>
      <c r="BN25" s="2893" t="s">
        <v>1988</v>
      </c>
      <c r="BO25" s="2893" t="s">
        <v>1991</v>
      </c>
      <c r="BP25" s="3250" t="b">
        <v>1</v>
      </c>
      <c r="BQ25" s="2858" t="s">
        <v>1797</v>
      </c>
      <c r="BR25" s="2858" t="e">
        <f ca="1"/>
        <v>#NAME?</v>
      </c>
      <c r="BS25" s="2808"/>
      <c r="BT25" s="2859"/>
      <c r="BU25" s="2808"/>
      <c r="BV25" s="2808"/>
      <c r="BW25" s="2808"/>
      <c r="BX25" s="2808"/>
      <c r="BY25" s="2808"/>
      <c r="BZ25" s="2808"/>
      <c r="CA25" s="2808"/>
      <c r="CB25" s="2808"/>
      <c r="CC25" s="2808"/>
      <c r="CD25" s="2808"/>
      <c r="CE25" s="2808"/>
    </row>
    <row r="26" spans="1:83" ht="21.65" customHeight="1">
      <c r="A26" s="2676"/>
      <c r="B26" s="2670" t="s">
        <v>1879</v>
      </c>
      <c r="C26" s="3356" t="s">
        <v>1794</v>
      </c>
      <c r="D26" s="2753" t="e" cm="1">
        <f t="array" ca="1" aca="1" ref="D26">_xldudf_CX_GET(CX_ENTITY,fx_attrConverter(C26),val_asOfDate)</f>
        <v>#NAME?</v>
      </c>
      <c r="E26" s="2677"/>
      <c r="F26" s="3317">
        <v>1</v>
      </c>
      <c r="G26" s="2690" t="e" cm="1">
        <f t="array" ca="1" aca="1" ref="G26">IF(D26="","",_xlfn.TEXTSPLIT(D26,"|","¶",FALSE))</f>
        <v>#NAME?</v>
      </c>
      <c r="H26" s="2691"/>
      <c r="I26" s="2692"/>
      <c r="J26" s="2693"/>
      <c r="K26" s="2687"/>
      <c r="L26" s="2803"/>
      <c r="M26" s="2668"/>
      <c r="N26" s="3306" cm="1">
        <f t="array" ref="N26">_xlfn.LET(_xlpm.cf,AN26:AN36,_xlpm.Res,_xlfn.BYROW(_xlpm.cf,_xlfn.LAMBDA(_xlpm.x,IF(AND(ISNUMBER(_xlpm.x),ISERROR(_xlpm.x)=FALSE),_xlpm.x/SUM(_xlpm.cf),""))),_xlfn._xlws.FILTER(_xlpm.Res,_xlpm.Res&lt;&gt;""))</f>
        <v>1</v>
      </c>
      <c r="O26" s="2736" t="e" vm="10" cm="1">
        <f t="array" ref="O26">_xlfn.LET(_xlpm.repay,_xlfn.ANCHORARRAY(N26),_xlpm.date,AP26:AP36,_xlpm.date_,_xlfn._xlws.FILTER(_xlpm.date,_xlpm.date&lt;&gt;""),IF((_xlpm.date_&gt;val_asOfDate),DATEDIF(val_asOfDate,_xlpm.date_,"M")/12,0))</f>
        <v>#VALUE!</v>
      </c>
      <c r="P26" s="2677"/>
      <c r="V26" s="158"/>
      <c r="W26" s="101"/>
      <c r="X26" s="52"/>
      <c r="Y26" s="101"/>
      <c r="Z26" s="126"/>
      <c r="AA26" s="101"/>
      <c r="AB26" s="101"/>
      <c r="AC26" s="39"/>
      <c r="AD26" s="406"/>
      <c r="AE26" s="428"/>
      <c r="AF26" s="439"/>
      <c r="AG26" s="661"/>
      <c r="AH26" s="610"/>
      <c r="AI26" s="3080"/>
      <c r="AJ26" s="2008"/>
      <c r="AK26" s="2009"/>
      <c r="AL26" s="602"/>
      <c r="AM26" s="460"/>
      <c r="AN26" s="3357">
        <v>3079.8406749999999</v>
      </c>
      <c r="AO26" s="465"/>
      <c r="AP26" s="2273" t="str">
        <f t="shared" si="0" ref="AP26:AP36">IF(L26="","",DATEVALUE(TEXT(VALUE(L26),"mmm-yyyy")))</f>
        <v/>
      </c>
      <c r="AQ26" s="639"/>
      <c r="AR26" s="3082" t="str">
        <f>IFERROR(SUMPRODUCT(_xlfn.ANCHORARRAY(N26),_xlfn.ANCHORARRAY(O26)),"n/a")</f>
        <v>n/a</v>
      </c>
      <c r="AS26" s="464"/>
      <c r="AT26" s="431"/>
      <c r="AU26" s="429"/>
      <c r="AV26" s="432"/>
      <c r="AX26" s="1080"/>
      <c r="AY26" s="2726"/>
      <c r="AZ26" s="2818" t="str" cm="1">
        <f t="array" ca="1" aca="1" ref="AZ26:BE26">_xlfn.LET(_xlpm._amt,AN26:AN36,_xlpm._dates,AP26:AP36,_xlpm.attribute,C26,_xlpm.entity,val_company,_xlpm.lookthru,1,_xlpm._cf,_xlfn.BYROW(_xlpm._amt,_xlfn.LAMBDA(_xlpm.x,IF(ISNUMBER(_xlpm.x),fxVal_normal*(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Therme Horizon</v>
      </c>
      <c r="BA26" s="2819" t="str">
        <f ca="1"/>
        <v>Senior instrument(s) amortising Line</v>
      </c>
      <c r="BB26" s="3323">
        <f ca="1"/>
        <v>1</v>
      </c>
      <c r="BC26" s="2821" t="e">
        <f ca="1"/>
        <v>#NAME?</v>
      </c>
      <c r="BD26" s="2822">
        <f ca="1"/>
        <v>3079840675</v>
      </c>
      <c r="BE26" s="2823" t="str">
        <f ca="1"/>
        <v/>
      </c>
      <c r="BF26" s="2685" t="s">
        <v>1956</v>
      </c>
      <c r="BG26" s="2694" t="b" cm="1">
        <f t="array" ref="BG26">AND(OR(AND((AN26:AP36=0),AND(AN26:AP36="")),AN23=0))</f>
        <v>0</v>
      </c>
      <c r="BH26" s="1080"/>
      <c r="BI26" s="2778"/>
      <c r="BJ26" s="2886"/>
      <c r="BK26" s="2920">
        <v>4</v>
      </c>
      <c r="BL26" s="2886" t="str">
        <v>Others Instrument(s)</v>
      </c>
      <c r="BM26" s="2859">
        <v>1000000</v>
      </c>
      <c r="BN26" s="2893" t="s">
        <v>1989</v>
      </c>
      <c r="BO26" s="2893" t="s">
        <v>1991</v>
      </c>
      <c r="BP26" s="3251" t="b">
        <v>1</v>
      </c>
      <c r="BQ26" s="2858" t="s">
        <v>1798</v>
      </c>
      <c r="BR26" s="2858" t="str">
        <f ca="1"/>
        <v/>
      </c>
      <c r="BS26" s="2808"/>
      <c r="BT26" s="2859"/>
      <c r="BU26" s="2859"/>
      <c r="BV26" s="2859"/>
      <c r="BW26" s="2859"/>
      <c r="BX26" s="2859"/>
      <c r="BY26" s="2859"/>
      <c r="BZ26" s="2859"/>
      <c r="CA26" s="2859"/>
      <c r="CB26" s="2859"/>
      <c r="CC26" s="2859"/>
      <c r="CD26" s="2859"/>
      <c r="CE26" s="2859"/>
    </row>
    <row r="27" spans="1:83" ht="21.75" customHeight="1">
      <c r="A27" s="2676"/>
      <c r="B27" s="2670" t="s">
        <v>1870</v>
      </c>
      <c r="C27" s="1912" t="s">
        <v>1794</v>
      </c>
      <c r="D27" s="2685" t="e">
        <f ca="1">IF(D28,_xlfn.TEXTJOIN("¶",FALSE,_xlfn.BYROW(_xlfn.ANCHORARRAY(AZ26),_xlfn.LAMBDA(_xlpm.row,_xlfn.TEXTJOIN("|",FALSE,_xlpm.row)))),"")</f>
        <v>#NAME?</v>
      </c>
      <c r="E27" s="2677"/>
      <c r="F27" s="3317">
        <v>2</v>
      </c>
      <c r="G27" s="2694"/>
      <c r="H27" s="2691"/>
      <c r="I27" s="2691"/>
      <c r="J27" s="2695"/>
      <c r="K27" s="2687"/>
      <c r="L27" s="2803"/>
      <c r="M27" s="2668"/>
      <c r="N27" s="2735"/>
      <c r="O27" s="2736"/>
      <c r="P27" s="2677"/>
      <c r="V27" s="158"/>
      <c r="W27" s="101"/>
      <c r="X27" s="52"/>
      <c r="Y27" s="101"/>
      <c r="Z27" s="126"/>
      <c r="AA27" s="101"/>
      <c r="AB27" s="101"/>
      <c r="AC27" s="39"/>
      <c r="AD27" s="406"/>
      <c r="AE27" s="428"/>
      <c r="AF27" s="439"/>
      <c r="AG27" s="661"/>
      <c r="AH27" s="610"/>
      <c r="AI27" s="3080"/>
      <c r="AJ27" s="2008"/>
      <c r="AK27" s="2009"/>
      <c r="AL27" s="602"/>
      <c r="AM27" s="460"/>
      <c r="AN27" s="3357"/>
      <c r="AO27" s="465"/>
      <c r="AP27" s="2273" t="str">
        <f t="shared" si="0"/>
        <v/>
      </c>
      <c r="AQ27" s="639"/>
      <c r="AR27" s="3083"/>
      <c r="AS27" s="464"/>
      <c r="AT27" s="448"/>
      <c r="AU27" s="429"/>
      <c r="AV27" s="432"/>
      <c r="AX27" s="1080"/>
      <c r="AY27" s="2726"/>
      <c r="AZ27" s="2824"/>
      <c r="BA27" s="2819"/>
      <c r="BB27" s="2819"/>
      <c r="BC27" s="2825"/>
      <c r="BD27" s="2822"/>
      <c r="BE27" s="2823"/>
      <c r="BF27" s="2685" t="s">
        <v>1954</v>
      </c>
      <c r="BG27" s="3252" t="b">
        <f>ROWS(_xlfn.ANCHORARRAY(N26))=ROWS(_xlfn.ANCHORARRAY(O26))</f>
        <v>1</v>
      </c>
      <c r="BH27" s="1080"/>
      <c r="BI27" s="2778"/>
      <c r="BJ27" s="2938"/>
      <c r="BK27" s="2920">
        <v>5</v>
      </c>
      <c r="BL27" s="2938" t="str">
        <v>Accrued Interest</v>
      </c>
      <c r="BM27" s="2859">
        <v>1000000</v>
      </c>
      <c r="BN27" s="2893"/>
      <c r="BO27" s="2893"/>
      <c r="BP27" s="2952" t="b">
        <v>0</v>
      </c>
      <c r="BQ27" s="2858" t="s">
        <v>1800</v>
      </c>
      <c r="BR27" s="2858" t="str">
        <f ca="1"/>
        <v/>
      </c>
      <c r="BS27" s="2808"/>
      <c r="BT27" s="2859"/>
      <c r="BU27" s="2859"/>
      <c r="BV27" s="2859"/>
      <c r="BW27" s="2859"/>
      <c r="BX27" s="2859"/>
      <c r="BY27" s="2859"/>
      <c r="BZ27" s="2859"/>
      <c r="CA27" s="2859"/>
      <c r="CB27" s="2859"/>
      <c r="CC27" s="2859"/>
      <c r="CD27" s="2859"/>
      <c r="CE27" s="2859"/>
    </row>
    <row r="28" spans="1:83" ht="21.75" customHeight="1">
      <c r="A28" s="2676"/>
      <c r="B28" s="2670" t="s">
        <v>1864</v>
      </c>
      <c r="C28" s="1912" t="s">
        <v>1794</v>
      </c>
      <c r="D28" s="2755" t="e" cm="1">
        <f t="array" ca="1" aca="1" ref="D28">IF(ISERROR(AZ26),FALSE,OR(AZ26:BE26&lt;&gt;""))</f>
        <v>#NAME?</v>
      </c>
      <c r="E28" s="2677"/>
      <c r="F28" s="2726">
        <v>3</v>
      </c>
      <c r="G28" s="2694"/>
      <c r="H28" s="2689"/>
      <c r="I28" s="2691"/>
      <c r="J28" s="2695"/>
      <c r="K28" s="2687"/>
      <c r="L28" s="2803"/>
      <c r="M28" s="2668"/>
      <c r="N28" s="2735"/>
      <c r="O28" s="2736"/>
      <c r="P28" s="2677"/>
      <c r="V28" s="158"/>
      <c r="W28" s="101"/>
      <c r="X28" s="52"/>
      <c r="Y28" s="101"/>
      <c r="Z28" s="126"/>
      <c r="AA28" s="101"/>
      <c r="AB28" s="101"/>
      <c r="AC28" s="39"/>
      <c r="AD28" s="406"/>
      <c r="AE28" s="428"/>
      <c r="AF28" s="439"/>
      <c r="AG28" s="661"/>
      <c r="AH28" s="610"/>
      <c r="AI28" s="3080"/>
      <c r="AJ28" s="2008"/>
      <c r="AK28" s="2009"/>
      <c r="AL28" s="602"/>
      <c r="AM28" s="460"/>
      <c r="AN28" s="3357"/>
      <c r="AO28" s="465"/>
      <c r="AP28" s="2273" t="str">
        <f t="shared" si="0"/>
        <v/>
      </c>
      <c r="AQ28" s="639"/>
      <c r="AR28" s="3083"/>
      <c r="AS28" s="464"/>
      <c r="AT28" s="448"/>
      <c r="AU28" s="429"/>
      <c r="AV28" s="432"/>
      <c r="AX28" s="1080"/>
      <c r="AY28" s="2726"/>
      <c r="AZ28" s="2824"/>
      <c r="BA28" s="2826"/>
      <c r="BB28" s="2819"/>
      <c r="BC28" s="2825"/>
      <c r="BD28" s="2822"/>
      <c r="BE28" s="2823"/>
      <c r="BF28" s="2685" t="s">
        <v>1955</v>
      </c>
      <c r="BG28" s="2690" t="b" cm="1">
        <f t="array" ref="BG28">ABS(SUM(_xlfn._xlws.FILTER(AN26:AN36,AP26:AP36&gt;=val_asOfDate))-AN23)&lt;1</f>
        <v>0</v>
      </c>
      <c r="BH28" s="1080"/>
      <c r="BI28" s="2778"/>
      <c r="BJ28" s="2886"/>
      <c r="BK28" s="2920">
        <v>6</v>
      </c>
      <c r="BL28" s="2886" t="str">
        <v>Drawn RCF</v>
      </c>
      <c r="BM28" s="2859">
        <v>1000000</v>
      </c>
      <c r="BN28" s="2893"/>
      <c r="BO28" s="2893"/>
      <c r="BP28" s="2952" t="b">
        <v>0</v>
      </c>
      <c r="BQ28" s="2858" t="s">
        <v>1801</v>
      </c>
      <c r="BR28" s="2858" t="str">
        <f ca="1"/>
        <v/>
      </c>
      <c r="BS28" s="2808"/>
      <c r="BT28" s="2859"/>
      <c r="BU28" s="2859"/>
      <c r="BV28" s="2859"/>
      <c r="BW28" s="2859"/>
      <c r="BX28" s="2859"/>
      <c r="BY28" s="2859"/>
      <c r="BZ28" s="2859"/>
      <c r="CA28" s="2859"/>
      <c r="CB28" s="2859"/>
      <c r="CC28" s="2859"/>
      <c r="CD28" s="2859"/>
      <c r="CE28" s="2859"/>
    </row>
    <row r="29" spans="1:83" ht="21.75" customHeight="1">
      <c r="A29" s="2676"/>
      <c r="B29" s="2674" t="s">
        <v>1867</v>
      </c>
      <c r="C29" s="1912" t="s">
        <v>1794</v>
      </c>
      <c r="D29" s="2754" t="str" cm="1">
        <f t="array" ref="D29">IF(BG25,_xldudf_CX_PUSH(D27,CX_ENTITY,fx_attrConverter(C26),val_asOfDate),"No Push")</f>
        <v>No Push</v>
      </c>
      <c r="E29" s="2677"/>
      <c r="F29" s="2726">
        <v>4</v>
      </c>
      <c r="G29" s="2694"/>
      <c r="H29" s="2689"/>
      <c r="I29" s="2691"/>
      <c r="J29" s="2695"/>
      <c r="K29" s="2687"/>
      <c r="L29" s="2803"/>
      <c r="M29" s="2668"/>
      <c r="N29" s="2735"/>
      <c r="O29" s="2736"/>
      <c r="P29" s="2677"/>
      <c r="V29" s="158"/>
      <c r="W29" s="101"/>
      <c r="X29" s="52"/>
      <c r="Y29" s="101"/>
      <c r="Z29" s="126"/>
      <c r="AA29" s="101"/>
      <c r="AB29" s="101"/>
      <c r="AC29" s="39"/>
      <c r="AD29" s="406"/>
      <c r="AE29" s="428"/>
      <c r="AF29" s="439"/>
      <c r="AG29" s="661"/>
      <c r="AH29" s="610"/>
      <c r="AI29" s="3080"/>
      <c r="AJ29" s="2008"/>
      <c r="AK29" s="2009"/>
      <c r="AL29" s="602"/>
      <c r="AM29" s="460"/>
      <c r="AN29" s="3357"/>
      <c r="AO29" s="465"/>
      <c r="AP29" s="2273" t="str">
        <f t="shared" si="0"/>
        <v/>
      </c>
      <c r="AQ29" s="639"/>
      <c r="AR29" s="3083"/>
      <c r="AS29" s="464"/>
      <c r="AT29" s="448"/>
      <c r="AU29" s="429"/>
      <c r="AV29" s="432"/>
      <c r="AX29" s="1080"/>
      <c r="AY29" s="2726"/>
      <c r="AZ29" s="2824"/>
      <c r="BA29" s="2826"/>
      <c r="BB29" s="2819"/>
      <c r="BC29" s="2825"/>
      <c r="BD29" s="2822"/>
      <c r="BE29" s="2823"/>
      <c r="BF29" s="2685"/>
      <c r="BG29" s="2694"/>
      <c r="BH29" s="1080"/>
      <c r="BI29" s="2778"/>
      <c r="BJ29" s="2886"/>
      <c r="BK29" s="2920">
        <v>7</v>
      </c>
      <c r="BL29" s="2886" t="str">
        <v>OpCo Hedged / Fixed Rate Acquisition Debt</v>
      </c>
      <c r="BM29" s="2859">
        <v>2500908161.1855998</v>
      </c>
      <c r="BN29" s="2893" t="s">
        <v>1994</v>
      </c>
      <c r="BO29" s="2893" t="s">
        <v>1996</v>
      </c>
      <c r="BP29" s="3251" t="b">
        <v>1</v>
      </c>
      <c r="BQ29" s="2858" t="s">
        <v>1806</v>
      </c>
      <c r="BR29" s="2858" t="e">
        <f ca="1"/>
        <v>#NAME?</v>
      </c>
      <c r="BS29" s="2808"/>
      <c r="BT29" s="2859"/>
      <c r="BU29" s="2859"/>
      <c r="BV29" s="2859"/>
      <c r="BW29" s="2859"/>
      <c r="BX29" s="2859"/>
      <c r="BY29" s="2859"/>
      <c r="BZ29" s="2859"/>
      <c r="CA29" s="2859"/>
      <c r="CB29" s="2859"/>
      <c r="CC29" s="2859"/>
      <c r="CD29" s="2859"/>
      <c r="CE29" s="2859"/>
    </row>
    <row r="30" spans="1:83" ht="21.75" customHeight="1">
      <c r="A30" s="2676"/>
      <c r="B30" s="2670" t="s">
        <v>1867</v>
      </c>
      <c r="C30" s="1912" t="s">
        <v>1794</v>
      </c>
      <c r="D30" s="2754" t="str" cm="1">
        <f t="array" ref="D30">IF(BG25,_xldudf_CX_PUSH(D27,CX_ENTITY,fx_attrConverter(C26),EOMONTH(val_asOfDate,3)),"No Push")</f>
        <v>No Push</v>
      </c>
      <c r="E30" s="2677"/>
      <c r="F30" s="2726">
        <v>5</v>
      </c>
      <c r="G30" s="2694"/>
      <c r="H30" s="2689"/>
      <c r="I30" s="2691"/>
      <c r="J30" s="2695"/>
      <c r="K30" s="2687"/>
      <c r="L30" s="2803"/>
      <c r="M30" s="2668"/>
      <c r="N30" s="2735"/>
      <c r="O30" s="2736"/>
      <c r="P30" s="2677"/>
      <c r="V30" s="158"/>
      <c r="W30" s="101"/>
      <c r="X30" s="52"/>
      <c r="Y30" s="101"/>
      <c r="Z30" s="126"/>
      <c r="AA30" s="101"/>
      <c r="AB30" s="101"/>
      <c r="AC30" s="39"/>
      <c r="AD30" s="406"/>
      <c r="AE30" s="428"/>
      <c r="AF30" s="439"/>
      <c r="AG30" s="661"/>
      <c r="AH30" s="610"/>
      <c r="AI30" s="3080"/>
      <c r="AJ30" s="2008"/>
      <c r="AK30" s="2009"/>
      <c r="AL30" s="602"/>
      <c r="AM30" s="460"/>
      <c r="AN30" s="3357"/>
      <c r="AO30" s="465"/>
      <c r="AP30" s="2273" t="str">
        <f t="shared" si="0"/>
        <v/>
      </c>
      <c r="AQ30" s="639"/>
      <c r="AR30" s="606" t="s">
        <v>1795</v>
      </c>
      <c r="AS30" s="464"/>
      <c r="AT30" s="448"/>
      <c r="AU30" s="429"/>
      <c r="AV30" s="432"/>
      <c r="AX30" s="1080"/>
      <c r="AY30" s="2726"/>
      <c r="AZ30" s="2824"/>
      <c r="BA30" s="2826"/>
      <c r="BB30" s="2819"/>
      <c r="BC30" s="2825"/>
      <c r="BD30" s="2822"/>
      <c r="BE30" s="2823"/>
      <c r="BF30" s="2685"/>
      <c r="BG30" s="2694"/>
      <c r="BH30" s="1080"/>
      <c r="BI30" s="2778"/>
      <c r="BJ30" s="2886"/>
      <c r="BK30" s="2920">
        <v>8</v>
      </c>
      <c r="BL30" s="2886" t="str">
        <v>Holdco External Debt</v>
      </c>
      <c r="BM30" s="2860">
        <v>0</v>
      </c>
      <c r="BN30" s="2893" t="s">
        <v>1992</v>
      </c>
      <c r="BO30" s="2893" t="s">
        <v>1997</v>
      </c>
      <c r="BP30" s="3251" t="b">
        <v>1</v>
      </c>
      <c r="BQ30" s="2858" t="s">
        <v>1813</v>
      </c>
      <c r="BR30" s="2858" t="str">
        <f ca="1"/>
        <v/>
      </c>
      <c r="BS30" s="2808"/>
      <c r="BT30" s="2859"/>
      <c r="BU30" s="2859"/>
      <c r="BV30" s="2859"/>
      <c r="BW30" s="2859"/>
      <c r="BX30" s="2859"/>
      <c r="BY30" s="2859"/>
      <c r="BZ30" s="2859"/>
      <c r="CA30" s="2859"/>
      <c r="CB30" s="2859"/>
      <c r="CC30" s="2859"/>
      <c r="CD30" s="2859"/>
      <c r="CE30" s="2859"/>
    </row>
    <row r="31" spans="1:83" ht="21.75" customHeight="1">
      <c r="A31" s="2676"/>
      <c r="B31" s="2670" t="s">
        <v>1867</v>
      </c>
      <c r="C31" s="1912" t="s">
        <v>1794</v>
      </c>
      <c r="D31" s="2754" t="str" cm="1">
        <f t="array" ref="D31">IF(BG25,_xldudf_CX_PUSH(D27,CX_ENTITY,fx_attrConverter(C26),EOMONTH(val_asOfDate,2)),"No Push")</f>
        <v>No Push</v>
      </c>
      <c r="E31" s="2677"/>
      <c r="F31" s="2726">
        <v>6</v>
      </c>
      <c r="G31" s="2694"/>
      <c r="H31" s="2689"/>
      <c r="I31" s="2691"/>
      <c r="J31" s="2695"/>
      <c r="K31" s="2687"/>
      <c r="L31" s="2803"/>
      <c r="M31" s="2668"/>
      <c r="N31" s="2735"/>
      <c r="O31" s="2736"/>
      <c r="P31" s="2677"/>
      <c r="V31" s="158"/>
      <c r="W31" s="101"/>
      <c r="X31" s="52"/>
      <c r="Y31" s="101"/>
      <c r="Z31" s="126"/>
      <c r="AA31" s="101"/>
      <c r="AB31" s="101"/>
      <c r="AC31" s="39"/>
      <c r="AD31" s="406"/>
      <c r="AE31" s="428"/>
      <c r="AF31" s="439"/>
      <c r="AG31" s="661"/>
      <c r="AH31" s="610"/>
      <c r="AI31" s="3080"/>
      <c r="AJ31" s="2008"/>
      <c r="AK31" s="2009"/>
      <c r="AL31" s="602"/>
      <c r="AM31" s="460"/>
      <c r="AN31" s="3357"/>
      <c r="AO31" s="465"/>
      <c r="AP31" s="2273" t="str">
        <f t="shared" si="0"/>
        <v/>
      </c>
      <c r="AQ31" s="639"/>
      <c r="AR31" s="504"/>
      <c r="AS31" s="464"/>
      <c r="AT31" s="448"/>
      <c r="AU31" s="429"/>
      <c r="AV31" s="432"/>
      <c r="AX31" s="1080"/>
      <c r="AY31" s="2726"/>
      <c r="AZ31" s="2824"/>
      <c r="BA31" s="2826"/>
      <c r="BB31" s="2819"/>
      <c r="BC31" s="2825"/>
      <c r="BD31" s="2822"/>
      <c r="BE31" s="2823"/>
      <c r="BF31" s="2685"/>
      <c r="BG31" s="2694"/>
      <c r="BH31" s="1080"/>
      <c r="BI31" s="2778"/>
      <c r="BJ31" s="2886"/>
      <c r="BK31" s="2920">
        <v>9</v>
      </c>
      <c r="BL31" s="2886" t="str">
        <v>HoldCo Drawn RCF and Cash</v>
      </c>
      <c r="BM31" s="2860">
        <v>0</v>
      </c>
      <c r="BN31" s="2893" t="s">
        <v>1993</v>
      </c>
      <c r="BO31" s="2893" t="s">
        <v>1997</v>
      </c>
      <c r="BP31" s="3251" t="b">
        <v>1</v>
      </c>
      <c r="BQ31" s="2858" t="s">
        <v>1824</v>
      </c>
      <c r="BR31" s="2858" t="str">
        <f ca="1"/>
        <v/>
      </c>
      <c r="BS31" s="2808"/>
      <c r="BT31" s="2859"/>
      <c r="BU31" s="2859"/>
      <c r="BV31" s="2859"/>
      <c r="BW31" s="2859"/>
      <c r="BX31" s="2859"/>
      <c r="BY31" s="2859"/>
      <c r="BZ31" s="2859"/>
      <c r="CA31" s="2859"/>
      <c r="CB31" s="2859"/>
      <c r="CC31" s="2859"/>
      <c r="CD31" s="2859"/>
      <c r="CE31" s="2859"/>
    </row>
    <row r="32" spans="1:83" ht="21.75" customHeight="1">
      <c r="A32" s="2676"/>
      <c r="B32" s="2670" t="s">
        <v>1867</v>
      </c>
      <c r="C32" s="1912" t="s">
        <v>1794</v>
      </c>
      <c r="D32" s="2755" t="str" cm="1">
        <f t="array" ref="D32">IF(BG25,_xldudf_CX_PUSH(D27,CX_ENTITY,fx_attrConverter(C26),EOMONTH(val_asOfDate,13)),"No Push")</f>
        <v>No Push</v>
      </c>
      <c r="E32" s="2677"/>
      <c r="F32" s="2726">
        <v>7</v>
      </c>
      <c r="G32" s="2694"/>
      <c r="H32" s="2689"/>
      <c r="I32" s="2691"/>
      <c r="J32" s="2695"/>
      <c r="K32" s="2687"/>
      <c r="L32" s="2803"/>
      <c r="M32" s="2668"/>
      <c r="N32" s="2735"/>
      <c r="O32" s="2736"/>
      <c r="P32" s="2677"/>
      <c r="V32" s="158"/>
      <c r="W32" s="101"/>
      <c r="X32" s="52"/>
      <c r="Y32" s="101"/>
      <c r="Z32" s="101" t="e" vm="11">
        <v>#VALUE!</v>
      </c>
      <c r="AA32" s="101"/>
      <c r="AB32" s="101"/>
      <c r="AC32" s="39"/>
      <c r="AD32" s="406"/>
      <c r="AE32" s="428"/>
      <c r="AF32" s="439"/>
      <c r="AG32" s="661"/>
      <c r="AH32" s="610"/>
      <c r="AI32" s="3080"/>
      <c r="AJ32" s="2008"/>
      <c r="AK32" s="2009"/>
      <c r="AL32" s="602"/>
      <c r="AM32" s="460"/>
      <c r="AN32" s="3357"/>
      <c r="AO32" s="465"/>
      <c r="AP32" s="2273" t="str">
        <f t="shared" si="0"/>
        <v/>
      </c>
      <c r="AQ32" s="639"/>
      <c r="AR32" s="504"/>
      <c r="AS32" s="464"/>
      <c r="AT32" s="448"/>
      <c r="AU32" s="429"/>
      <c r="AV32" s="432"/>
      <c r="AX32" s="1080"/>
      <c r="AY32" s="2726"/>
      <c r="AZ32" s="2824"/>
      <c r="BA32" s="2826"/>
      <c r="BB32" s="2819"/>
      <c r="BC32" s="2825"/>
      <c r="BD32" s="2822"/>
      <c r="BE32" s="2823"/>
      <c r="BF32" s="2685"/>
      <c r="BG32" s="2694"/>
      <c r="BH32" s="1080"/>
      <c r="BI32" s="2778"/>
      <c r="BJ32" s="2886"/>
      <c r="BK32" s="2920">
        <v>10</v>
      </c>
      <c r="BL32" s="2886" t="str">
        <v>HoldCo Hedged / Fixed Rate Acquisition Debt</v>
      </c>
      <c r="BM32" s="2859">
        <v>0</v>
      </c>
      <c r="BN32" s="2893" t="s">
        <v>1995</v>
      </c>
      <c r="BO32" s="2893" t="s">
        <v>1996</v>
      </c>
      <c r="BP32" s="3251" t="b">
        <v>1</v>
      </c>
      <c r="BQ32" s="2858" t="s">
        <v>1827</v>
      </c>
      <c r="BR32" s="2858" t="str">
        <f ca="1"/>
        <v/>
      </c>
      <c r="BS32" s="2808"/>
      <c r="BT32" s="2859"/>
      <c r="BU32" s="2859"/>
      <c r="BV32" s="2859"/>
      <c r="BW32" s="2859"/>
      <c r="BX32" s="2859"/>
      <c r="BY32" s="2859"/>
      <c r="BZ32" s="2859"/>
      <c r="CA32" s="2859"/>
      <c r="CB32" s="2859"/>
      <c r="CC32" s="2859"/>
      <c r="CD32" s="2859"/>
      <c r="CE32" s="2859"/>
    </row>
    <row r="33" spans="1:83" ht="21.75" customHeight="1">
      <c r="A33" s="2676"/>
      <c r="B33" s="2670"/>
      <c r="C33" s="1912"/>
      <c r="D33" s="2760"/>
      <c r="E33" s="2677"/>
      <c r="F33" s="2726">
        <v>8</v>
      </c>
      <c r="G33" s="2694"/>
      <c r="H33" s="2689"/>
      <c r="I33" s="2691"/>
      <c r="J33" s="2695"/>
      <c r="K33" s="2687"/>
      <c r="L33" s="2803"/>
      <c r="M33" s="2668"/>
      <c r="N33" s="2735"/>
      <c r="O33" s="2736"/>
      <c r="P33" s="2677"/>
      <c r="V33" s="158"/>
      <c r="W33" s="2"/>
      <c r="X33" s="52"/>
      <c r="Y33" s="2"/>
      <c r="Z33" s="539"/>
      <c r="AA33" s="2"/>
      <c r="AB33" s="101"/>
      <c r="AC33" s="39"/>
      <c r="AD33" s="406"/>
      <c r="AE33" s="428"/>
      <c r="AF33" s="439"/>
      <c r="AG33" s="661"/>
      <c r="AH33" s="610"/>
      <c r="AI33" s="3080"/>
      <c r="AJ33" s="2008"/>
      <c r="AK33" s="2009"/>
      <c r="AL33" s="602"/>
      <c r="AM33" s="460"/>
      <c r="AN33" s="3357"/>
      <c r="AO33" s="465"/>
      <c r="AP33" s="2273" t="str">
        <f t="shared" si="0"/>
        <v/>
      </c>
      <c r="AQ33" s="639"/>
      <c r="AR33" s="504"/>
      <c r="AS33" s="464"/>
      <c r="AT33" s="448"/>
      <c r="AU33" s="429"/>
      <c r="AV33" s="432"/>
      <c r="AX33" s="1080"/>
      <c r="AY33" s="2726"/>
      <c r="AZ33" s="2824"/>
      <c r="BA33" s="2826"/>
      <c r="BB33" s="2819"/>
      <c r="BC33" s="2825"/>
      <c r="BD33" s="2822"/>
      <c r="BE33" s="2823"/>
      <c r="BF33" s="2685"/>
      <c r="BG33" s="2694"/>
      <c r="BH33" s="1080"/>
      <c r="BI33" s="2778"/>
      <c r="BJ33" s="2886"/>
      <c r="BK33" s="2920"/>
      <c r="BL33" s="2886"/>
      <c r="BM33" s="2859"/>
      <c r="BN33" s="2893"/>
      <c r="BO33" s="2893"/>
      <c r="BP33" s="2858"/>
      <c r="BQ33" s="2858"/>
      <c r="BR33" s="2808"/>
      <c r="BS33" s="2859"/>
      <c r="BT33" s="2859"/>
      <c r="BU33" s="2859"/>
      <c r="BV33" s="2859"/>
      <c r="BW33" s="2859"/>
      <c r="BX33" s="2859"/>
      <c r="BY33" s="2859"/>
      <c r="BZ33" s="2859"/>
      <c r="CA33" s="2859"/>
      <c r="CB33" s="2859"/>
      <c r="CC33" s="2859"/>
      <c r="CD33" s="2859"/>
      <c r="CE33" s="2859"/>
    </row>
    <row r="34" spans="1:83" ht="21.75" customHeight="1">
      <c r="A34" s="2676"/>
      <c r="B34" s="2670"/>
      <c r="C34" s="1912"/>
      <c r="D34" s="2756"/>
      <c r="E34" s="2677"/>
      <c r="F34" s="2726">
        <v>9</v>
      </c>
      <c r="G34" s="2694"/>
      <c r="H34" s="2689"/>
      <c r="I34" s="2691"/>
      <c r="J34" s="2695"/>
      <c r="K34" s="2687"/>
      <c r="L34" s="2803"/>
      <c r="M34" s="2668"/>
      <c r="N34" s="2735"/>
      <c r="O34" s="2736"/>
      <c r="P34" s="2677"/>
      <c r="V34" s="158"/>
      <c r="W34" s="101"/>
      <c r="X34" s="52"/>
      <c r="Y34" s="101"/>
      <c r="Z34" s="126"/>
      <c r="AA34" s="101"/>
      <c r="AB34" s="101"/>
      <c r="AC34" s="39"/>
      <c r="AD34" s="406"/>
      <c r="AE34" s="428"/>
      <c r="AF34" s="439"/>
      <c r="AG34" s="661"/>
      <c r="AH34" s="610"/>
      <c r="AI34" s="3080"/>
      <c r="AJ34" s="2008"/>
      <c r="AK34" s="2009"/>
      <c r="AL34" s="602"/>
      <c r="AM34" s="460"/>
      <c r="AN34" s="3357"/>
      <c r="AO34" s="465"/>
      <c r="AP34" s="2273" t="str">
        <f t="shared" si="0"/>
        <v/>
      </c>
      <c r="AQ34" s="639"/>
      <c r="AR34" s="504"/>
      <c r="AS34" s="464"/>
      <c r="AT34" s="448"/>
      <c r="AU34" s="429"/>
      <c r="AV34" s="432"/>
      <c r="AX34" s="1080"/>
      <c r="AY34" s="2726"/>
      <c r="AZ34" s="2824"/>
      <c r="BA34" s="2826"/>
      <c r="BB34" s="2819"/>
      <c r="BC34" s="2825"/>
      <c r="BD34" s="2822"/>
      <c r="BE34" s="2823"/>
      <c r="BF34" s="2685"/>
      <c r="BG34" s="2694"/>
      <c r="BH34" s="1080"/>
      <c r="BI34" s="2778"/>
      <c r="BJ34" s="2960"/>
      <c r="BK34" s="2960"/>
      <c r="BL34" s="2960" t="e" cm="1">
        <f t="array" ca="1" aca="1" ref="BL34">_xlfn.LET(_xlpm.date,_xlfn.DROP(_xlfn.CHOOSEROWS(_xlfn.ANCHORARRAY(DebtOverview!BK54),2,4),,1),_xlpm.Year,_xlfn.TAKE(_xlpm.date,1),_xlpm.Type,_xlfn.CHOOSEROWS(_xlpm.date,2),_xlpm.Type_,_xlfn.BYCOL(_xlpm.Type,_xlfn.LAMBDA(_xlpm.x,IF(_xlpm.x="Value 1","A","MD"))),_xlpm.Combined,_xlfn.VSTACK(_xlpm.Type_,_xlpm.Year),_xlpm.Flatten,_xlfn.BYCOL(_xlpm.Combined,_xlfn.LAMBDA(_xlpm.Col,_xlfn.TEXTJOIN("",FALSE,_xlpm.Col))),_xlpm.Flatten)</f>
        <v>#VALUE!</v>
      </c>
      <c r="BM34" s="2960"/>
      <c r="BN34" s="2960"/>
      <c r="BO34" s="2960"/>
      <c r="BP34" s="2960"/>
      <c r="BQ34" s="2960"/>
      <c r="BR34" s="2960"/>
      <c r="BS34" s="2960"/>
      <c r="BT34" s="2960"/>
      <c r="BU34" s="2960"/>
      <c r="BV34" s="2960"/>
      <c r="BW34" s="2960"/>
      <c r="BX34" s="2960"/>
      <c r="BY34" s="2960"/>
      <c r="BZ34" s="2960"/>
      <c r="CA34" s="2961"/>
      <c r="CB34" s="2859"/>
      <c r="CC34" s="2859"/>
      <c r="CD34" s="2859"/>
      <c r="CE34" s="2859"/>
    </row>
    <row r="35" spans="1:83" ht="21.75" customHeight="1">
      <c r="A35" s="2676"/>
      <c r="B35" s="1912"/>
      <c r="C35" s="1912"/>
      <c r="D35" s="2756"/>
      <c r="E35" s="2677"/>
      <c r="F35" s="2726">
        <v>10</v>
      </c>
      <c r="G35" s="2694"/>
      <c r="H35" s="2689"/>
      <c r="I35" s="2691"/>
      <c r="J35" s="2695"/>
      <c r="K35" s="2687"/>
      <c r="L35" s="2803"/>
      <c r="M35" s="2668"/>
      <c r="N35" s="2735"/>
      <c r="O35" s="2736"/>
      <c r="P35" s="2677"/>
      <c r="V35" s="158"/>
      <c r="W35" s="101"/>
      <c r="X35" s="52"/>
      <c r="Y35" s="101"/>
      <c r="Z35" s="126"/>
      <c r="AA35" s="101"/>
      <c r="AB35" s="101"/>
      <c r="AC35" s="39"/>
      <c r="AD35" s="406"/>
      <c r="AE35" s="428"/>
      <c r="AF35" s="439"/>
      <c r="AG35" s="661"/>
      <c r="AH35" s="610"/>
      <c r="AI35" s="3080"/>
      <c r="AJ35" s="2008"/>
      <c r="AK35" s="2009"/>
      <c r="AL35" s="602"/>
      <c r="AM35" s="460"/>
      <c r="AN35" s="3357"/>
      <c r="AO35" s="465"/>
      <c r="AP35" s="2273" t="str">
        <f t="shared" si="0"/>
        <v/>
      </c>
      <c r="AQ35" s="639"/>
      <c r="AR35" s="504"/>
      <c r="AS35" s="464"/>
      <c r="AT35" s="448"/>
      <c r="AU35" s="429"/>
      <c r="AV35" s="432"/>
      <c r="AX35" s="1080"/>
      <c r="AY35" s="2726"/>
      <c r="AZ35" s="2824"/>
      <c r="BA35" s="2826"/>
      <c r="BB35" s="2819"/>
      <c r="BC35" s="2825"/>
      <c r="BD35" s="2822"/>
      <c r="BE35" s="2823"/>
      <c r="BF35" s="2685"/>
      <c r="BG35" s="2694"/>
      <c r="BH35" s="1080"/>
      <c r="BI35" s="2778"/>
      <c r="BJ35" s="2955"/>
      <c r="BK35" s="2955" t="s">
        <v>1986</v>
      </c>
      <c r="BL35" s="2962" t="str" cm="1">
        <f t="array" ca="1" aca="1" ref="BL35">_xlfn.LET(_xlpm.Data,_xlfn.DROP(_xlfn.ANCHORARRAY(DebtOverview!$BK$54),4,1),_xlpm.layer,_xlfn.TAKE(_xlfn.DROP(_xlfn.ANCHORARRAY(DebtOverview!$BK$54),4),,1),_xlpm.Res,_xlfn.CHOOSEROWS(_xlpm.Data,_xlfn.XMATCH($BK35,_xlpm.layer,0)),IFERROR(_xlpm.Res,""))</f>
        <v/>
      </c>
      <c r="BM35" s="2964"/>
      <c r="BN35" s="2962"/>
      <c r="BO35" s="2964"/>
      <c r="BP35" s="2962"/>
      <c r="BQ35" s="2964"/>
      <c r="BR35" s="2962"/>
      <c r="BS35" s="2964"/>
      <c r="BT35" s="2962"/>
      <c r="BU35" s="2964"/>
      <c r="BV35" s="2962"/>
      <c r="BW35" s="2964"/>
      <c r="BX35" s="2962"/>
      <c r="BY35" s="2964"/>
      <c r="BZ35" s="2955"/>
      <c r="CA35" s="2883"/>
      <c r="CB35" s="2859"/>
      <c r="CC35" s="2859"/>
      <c r="CD35" s="2859"/>
      <c r="CE35" s="2859"/>
    </row>
    <row r="36" spans="1:83" ht="21.75" customHeight="1">
      <c r="A36" s="2676"/>
      <c r="B36" s="1912"/>
      <c r="C36" s="1912"/>
      <c r="D36" s="2756"/>
      <c r="E36" s="2677"/>
      <c r="F36" s="2726">
        <v>11</v>
      </c>
      <c r="G36" s="2694"/>
      <c r="H36" s="2689"/>
      <c r="I36" s="2691"/>
      <c r="J36" s="2695"/>
      <c r="K36" s="2687"/>
      <c r="L36" s="2803"/>
      <c r="M36" s="2668"/>
      <c r="N36" s="2735"/>
      <c r="O36" s="2736"/>
      <c r="P36" s="2677"/>
      <c r="V36" s="158"/>
      <c r="W36" s="101"/>
      <c r="X36" s="52"/>
      <c r="Y36" s="101"/>
      <c r="Z36" s="126"/>
      <c r="AA36" s="101"/>
      <c r="AB36" s="101"/>
      <c r="AC36" s="39"/>
      <c r="AD36" s="406"/>
      <c r="AE36" s="428"/>
      <c r="AF36" s="439"/>
      <c r="AG36" s="661"/>
      <c r="AH36" s="610"/>
      <c r="AI36" s="3080"/>
      <c r="AJ36" s="2008"/>
      <c r="AK36" s="2009"/>
      <c r="AL36" s="602"/>
      <c r="AM36" s="460"/>
      <c r="AN36" s="3357"/>
      <c r="AO36" s="465"/>
      <c r="AP36" s="2273" t="str">
        <f t="shared" si="0"/>
        <v/>
      </c>
      <c r="AQ36" s="639"/>
      <c r="AR36" s="505"/>
      <c r="AS36" s="464"/>
      <c r="AT36" s="448"/>
      <c r="AU36" s="429"/>
      <c r="AV36" s="432"/>
      <c r="AX36" s="1080"/>
      <c r="AY36" s="2726"/>
      <c r="AZ36" s="2824"/>
      <c r="BA36" s="2826"/>
      <c r="BB36" s="2819"/>
      <c r="BC36" s="2825"/>
      <c r="BD36" s="2822"/>
      <c r="BE36" s="2823"/>
      <c r="BF36" s="2685"/>
      <c r="BG36" s="2694"/>
      <c r="BH36" s="1080"/>
      <c r="BI36" s="2778"/>
      <c r="BJ36" s="2955"/>
      <c r="BK36" s="2955" t="s">
        <v>1987</v>
      </c>
      <c r="BL36" s="2968" t="str" cm="1">
        <f t="array" ca="1" aca="1" ref="BL36">_xlfn.LET(_xlpm.Data,_xlfn.DROP(_xlfn.ANCHORARRAY(DebtOverview!$BK$54),4,1),_xlpm.layer,_xlfn.TAKE(_xlfn.DROP(_xlfn.ANCHORARRAY(DebtOverview!$BK$54),4),,1),_xlpm.Res,_xlfn.CHOOSEROWS(_xlpm.Data,_xlfn.XMATCH($BK36,_xlpm.layer,0)),IFERROR(_xlpm.Res,""))</f>
        <v/>
      </c>
      <c r="BM36" s="2969"/>
      <c r="BN36" s="2968"/>
      <c r="BO36" s="2969"/>
      <c r="BP36" s="2968"/>
      <c r="BQ36" s="2969"/>
      <c r="BR36" s="2968"/>
      <c r="BS36" s="2969"/>
      <c r="BT36" s="2968"/>
      <c r="BU36" s="2969"/>
      <c r="BV36" s="2968"/>
      <c r="BW36" s="2969"/>
      <c r="BX36" s="2968"/>
      <c r="BY36" s="2969"/>
      <c r="BZ36" s="2955"/>
      <c r="CA36" s="2883"/>
      <c r="CB36" s="2859"/>
      <c r="CC36" s="2859"/>
      <c r="CD36" s="2859"/>
      <c r="CE36" s="2859"/>
    </row>
    <row r="37" spans="1:83" ht="21" customHeight="1">
      <c r="A37" s="2676"/>
      <c r="B37" s="2670"/>
      <c r="C37" s="1913"/>
      <c r="D37" s="2752"/>
      <c r="E37" s="2677"/>
      <c r="F37" s="2740"/>
      <c r="G37" s="2689"/>
      <c r="H37" s="2689"/>
      <c r="I37" s="2689"/>
      <c r="J37" s="2689"/>
      <c r="K37" s="2687"/>
      <c r="L37" s="2803"/>
      <c r="M37" s="2668"/>
      <c r="N37" s="2728"/>
      <c r="O37" s="2736"/>
      <c r="P37" s="2677"/>
      <c r="V37" s="158"/>
      <c r="W37" s="101"/>
      <c r="X37" s="52"/>
      <c r="Y37" s="101"/>
      <c r="Z37" s="126"/>
      <c r="AA37" s="101"/>
      <c r="AB37" s="101"/>
      <c r="AC37" s="39"/>
      <c r="AD37" s="406"/>
      <c r="AE37" s="428"/>
      <c r="AF37" s="439"/>
      <c r="AG37" s="661"/>
      <c r="AH37" s="610"/>
      <c r="AI37" s="608"/>
      <c r="AJ37" s="2010"/>
      <c r="AK37" s="2010"/>
      <c r="AL37" s="466"/>
      <c r="AM37" s="467"/>
      <c r="AN37" s="1533" cm="1">
        <f t="array" ref="AN37">IF(N(AN23)=0,0,IFERROR(SUM(_xlfn._xlws.FILTER(AN26:AN36,AP26:AP36&gt;val_asOfDate)),0))</f>
        <v>3079.8406749999999</v>
      </c>
      <c r="AO37" s="469"/>
      <c r="AP37" s="467"/>
      <c r="AQ37" s="467"/>
      <c r="AR37" s="467"/>
      <c r="AS37" s="470"/>
      <c r="AT37" s="448"/>
      <c r="AU37" s="429"/>
      <c r="AV37" s="432"/>
      <c r="AX37" s="1080"/>
      <c r="AY37" s="2740"/>
      <c r="AZ37" s="2817"/>
      <c r="BA37" s="2817"/>
      <c r="BB37" s="2817"/>
      <c r="BC37" s="2817"/>
      <c r="BD37" s="2806"/>
      <c r="BE37" s="2807"/>
      <c r="BF37" s="2685"/>
      <c r="BG37" s="2689"/>
      <c r="BH37" s="1080"/>
      <c r="BI37" s="2778"/>
      <c r="BJ37" s="2955"/>
      <c r="BK37" s="2955" t="s">
        <v>1988</v>
      </c>
      <c r="BL37" s="2968" t="str" cm="1">
        <f t="array" ca="1" aca="1" ref="BL37">_xlfn.LET(_xlpm.Data,_xlfn.DROP(_xlfn.ANCHORARRAY(DebtOverview!$BK$54),4,1),_xlpm.layer,_xlfn.TAKE(_xlfn.DROP(_xlfn.ANCHORARRAY(DebtOverview!$BK$54),4),,1),_xlpm.Res,_xlfn.CHOOSEROWS(_xlpm.Data,_xlfn.XMATCH($BK37,_xlpm.layer,0)),IFERROR(_xlpm.Res,""))</f>
        <v/>
      </c>
      <c r="BM37" s="2969"/>
      <c r="BN37" s="2968"/>
      <c r="BO37" s="2969"/>
      <c r="BP37" s="2968"/>
      <c r="BQ37" s="2969"/>
      <c r="BR37" s="2968"/>
      <c r="BS37" s="2969"/>
      <c r="BT37" s="2968"/>
      <c r="BU37" s="2969"/>
      <c r="BV37" s="2968"/>
      <c r="BW37" s="2969"/>
      <c r="BX37" s="2968"/>
      <c r="BY37" s="2969"/>
      <c r="BZ37" s="2955"/>
      <c r="CA37" s="2882"/>
      <c r="CB37" s="2808"/>
      <c r="CC37" s="2808"/>
      <c r="CD37" s="2808"/>
      <c r="CE37" s="2808"/>
    </row>
    <row r="38" spans="1:83" ht="15" customHeight="1">
      <c r="A38" s="2676"/>
      <c r="B38" s="2670"/>
      <c r="C38" s="1913"/>
      <c r="D38" s="2752"/>
      <c r="E38" s="2677"/>
      <c r="F38" s="2749"/>
      <c r="G38" s="2689"/>
      <c r="H38" s="2689"/>
      <c r="I38" s="2689"/>
      <c r="J38" s="2689"/>
      <c r="K38" s="2687"/>
      <c r="L38" s="2685"/>
      <c r="M38" s="2668"/>
      <c r="N38" s="2728"/>
      <c r="O38" s="2736"/>
      <c r="P38" s="2677"/>
      <c r="V38" s="158"/>
      <c r="W38" s="101"/>
      <c r="X38" s="52"/>
      <c r="Y38" s="101"/>
      <c r="Z38" s="126"/>
      <c r="AA38" s="101"/>
      <c r="AB38" s="101"/>
      <c r="AC38" s="39"/>
      <c r="AD38" s="406"/>
      <c r="AE38" s="428"/>
      <c r="AF38" s="439"/>
      <c r="AG38" s="661"/>
      <c r="AH38" s="453"/>
      <c r="AI38" s="471"/>
      <c r="AJ38" s="2002"/>
      <c r="AK38" s="2002"/>
      <c r="AL38" s="471"/>
      <c r="AM38" s="437"/>
      <c r="AN38" s="1974"/>
      <c r="AO38" s="472"/>
      <c r="AP38" s="473"/>
      <c r="AQ38" s="473"/>
      <c r="AR38" s="474"/>
      <c r="AS38" s="474"/>
      <c r="AT38" s="448"/>
      <c r="AU38" s="429"/>
      <c r="AV38" s="432"/>
      <c r="AX38" s="1080"/>
      <c r="AY38" s="2749"/>
      <c r="AZ38" s="2817"/>
      <c r="BA38" s="2817"/>
      <c r="BB38" s="2817"/>
      <c r="BC38" s="2817"/>
      <c r="BD38" s="2806"/>
      <c r="BE38" s="2807"/>
      <c r="BF38" s="2685"/>
      <c r="BG38" s="2689"/>
      <c r="BH38" s="1080"/>
      <c r="BI38" s="2779"/>
      <c r="BJ38" s="2956"/>
      <c r="BK38" s="2955" t="s">
        <v>1989</v>
      </c>
      <c r="BL38" s="2970" t="str" cm="1">
        <f t="array" ca="1" aca="1" ref="BL38">_xlfn.LET(_xlpm.Data,_xlfn.DROP(_xlfn.ANCHORARRAY(DebtOverview!$BK$54),4,1),_xlpm.layer,_xlfn.TAKE(_xlfn.DROP(_xlfn.ANCHORARRAY(DebtOverview!$BK$54),4),,1),_xlpm.Res,_xlfn.CHOOSEROWS(_xlpm.Data,_xlfn.XMATCH($BK38,_xlpm.layer,0)),IFERROR(_xlpm.Res,""))</f>
        <v/>
      </c>
      <c r="BM38" s="2971"/>
      <c r="BN38" s="2970"/>
      <c r="BO38" s="2971"/>
      <c r="BP38" s="2970"/>
      <c r="BQ38" s="2971"/>
      <c r="BR38" s="2970"/>
      <c r="BS38" s="2971"/>
      <c r="BT38" s="2970"/>
      <c r="BU38" s="2971"/>
      <c r="BV38" s="2970"/>
      <c r="BW38" s="2971"/>
      <c r="BX38" s="2970"/>
      <c r="BY38" s="2971"/>
      <c r="BZ38" s="2956"/>
      <c r="CA38" s="2957"/>
      <c r="CB38" s="2690"/>
      <c r="CC38" s="2690"/>
      <c r="CD38" s="2690"/>
      <c r="CE38" s="2690"/>
    </row>
    <row r="39" spans="1:83" ht="18">
      <c r="A39" s="2676"/>
      <c r="B39" s="2787" t="s">
        <v>1875</v>
      </c>
      <c r="C39" s="1912" t="s">
        <v>433</v>
      </c>
      <c r="D39" s="2943" t="e" cm="1">
        <f t="array" ca="1" aca="1" ref="D39">_xldudf_CX_GET(CX_ENTITY,fx_attrConverter(C39),val_asOfDate,"As of",,fx_scenarioConverter("Actual"))</f>
        <v>#NAME?</v>
      </c>
      <c r="E39" s="2677"/>
      <c r="F39" s="2750"/>
      <c r="G39" s="2741" t="s">
        <v>1784</v>
      </c>
      <c r="H39" s="2742" t="s">
        <v>431</v>
      </c>
      <c r="I39" s="2742" t="s">
        <v>1785</v>
      </c>
      <c r="J39" s="2743" t="s">
        <v>31</v>
      </c>
      <c r="K39" s="2744" t="s">
        <v>1786</v>
      </c>
      <c r="L39" s="2745" t="s">
        <v>268</v>
      </c>
      <c r="M39" s="2668"/>
      <c r="N39" s="2747" t="s">
        <v>1787</v>
      </c>
      <c r="O39" s="2736" t="s">
        <v>1869</v>
      </c>
      <c r="P39" s="2677"/>
      <c r="V39" s="158"/>
      <c r="W39" s="101"/>
      <c r="X39" s="52"/>
      <c r="Y39" s="101"/>
      <c r="Z39" s="126"/>
      <c r="AA39" s="101"/>
      <c r="AB39" s="101"/>
      <c r="AC39" s="39"/>
      <c r="AD39" s="406"/>
      <c r="AE39" s="428"/>
      <c r="AF39" s="439"/>
      <c r="AG39" s="661"/>
      <c r="AH39" s="453"/>
      <c r="AI39" s="3253">
        <f>BS!Y32</f>
        <v>2</v>
      </c>
      <c r="AJ39" s="2005"/>
      <c r="AK39" s="2005"/>
      <c r="AL39" s="595"/>
      <c r="AM39" s="596"/>
      <c r="AN39" s="3248" cm="1">
        <f t="array" ref="AN39">ABS(N(_xlfn.XLOOKUP(C39,BS!$B$19:$B$50,_xlfn.XLOOKUP($AN$5,_xlfn.ANCHORARRAY(BS!$AD$11),BS!$AD$19:$BN$50))))*fxVal_normal/$C$8</f>
        <v>1</v>
      </c>
      <c r="AO39" s="2870">
        <f>IF(BG42,0,IF(BG44,1,-1))</f>
        <v>-1</v>
      </c>
      <c r="AP39" s="2272">
        <f>$AN$5</f>
        <v>46022</v>
      </c>
      <c r="AQ39" s="3249">
        <f>IF(BG42,0,IF(BG43,1,-1))</f>
        <v>1</v>
      </c>
      <c r="AR39" s="690" t="str">
        <f>IF(N(AN39=0),"n/a",AR42)</f>
        <v>n/a</v>
      </c>
      <c r="AS39" s="598"/>
      <c r="AT39" s="448"/>
      <c r="AU39" s="455"/>
      <c r="AV39" s="432"/>
      <c r="AX39" s="1080"/>
      <c r="AY39" s="2750"/>
      <c r="AZ39" s="2805"/>
      <c r="BA39" s="2812"/>
      <c r="BB39" s="2812"/>
      <c r="BC39" s="2813"/>
      <c r="BD39" s="2814"/>
      <c r="BE39" s="2807"/>
      <c r="BF39" s="2745"/>
      <c r="BG39" s="2741"/>
      <c r="BH39" s="1080"/>
      <c r="BI39" s="2779"/>
      <c r="BJ39" s="2956"/>
      <c r="BK39" s="2955" t="s">
        <v>1991</v>
      </c>
      <c r="BL39" s="2970" t="str" cm="1">
        <f t="array" ca="1" aca="1" ref="BL39">_xlfn.LET(_xlpm.Data,_xlfn.DROP(_xlfn.ANCHORARRAY(DebtOverview!$BK$54),4,1),_xlpm.layer,_xlfn.TAKE(_xlfn.DROP(_xlfn.ANCHORARRAY(DebtOverview!$BK$54),4),,1),_xlpm.Res,_xlfn.CHOOSEROWS(_xlpm.Data,_xlfn.XMATCH($BK39,_xlpm.layer,0)),IFERROR(_xlpm.Res,""))</f>
        <v/>
      </c>
      <c r="BM39" s="2971"/>
      <c r="BN39" s="2970"/>
      <c r="BO39" s="2971"/>
      <c r="BP39" s="2970"/>
      <c r="BQ39" s="2971"/>
      <c r="BR39" s="2970"/>
      <c r="BS39" s="2971"/>
      <c r="BT39" s="2970"/>
      <c r="BU39" s="2971"/>
      <c r="BV39" s="2970"/>
      <c r="BW39" s="2971"/>
      <c r="BX39" s="2970"/>
      <c r="BY39" s="2971"/>
      <c r="BZ39" s="2956"/>
      <c r="CA39" s="2957"/>
      <c r="CB39" s="2690"/>
      <c r="CC39" s="2690"/>
      <c r="CD39" s="2690"/>
      <c r="CE39" s="2690"/>
    </row>
    <row r="40" spans="1:83" ht="21" customHeight="1">
      <c r="A40" s="2676"/>
      <c r="B40" s="2670"/>
      <c r="C40" s="1677"/>
      <c r="D40" s="2752"/>
      <c r="E40" s="2677"/>
      <c r="F40" s="2726"/>
      <c r="G40" s="2684"/>
      <c r="H40" s="2684"/>
      <c r="I40" s="2684"/>
      <c r="J40" s="2684"/>
      <c r="K40" s="2687"/>
      <c r="L40" s="2685"/>
      <c r="M40" s="2668"/>
      <c r="N40" s="2728"/>
      <c r="O40" s="2736"/>
      <c r="P40" s="2677"/>
      <c r="V40" s="158"/>
      <c r="W40" s="101"/>
      <c r="X40" s="52"/>
      <c r="Y40" s="101"/>
      <c r="Z40" s="126"/>
      <c r="AA40" s="101"/>
      <c r="AB40" s="101"/>
      <c r="AC40" s="39"/>
      <c r="AD40" s="406"/>
      <c r="AE40" s="2654"/>
      <c r="AF40" s="439"/>
      <c r="AG40" s="660"/>
      <c r="AH40" s="609"/>
      <c r="AI40" s="652"/>
      <c r="AJ40" s="2009"/>
      <c r="AK40" s="2009"/>
      <c r="AL40" s="602"/>
      <c r="AM40" s="603"/>
      <c r="AN40" s="1534"/>
      <c r="AO40" s="603"/>
      <c r="AP40" s="603"/>
      <c r="AQ40" s="604"/>
      <c r="AR40" s="604"/>
      <c r="AS40" s="605"/>
      <c r="AT40" s="448"/>
      <c r="AU40" s="2655"/>
      <c r="AV40" s="2656"/>
      <c r="AX40" s="1080"/>
      <c r="AY40" s="2726"/>
      <c r="AZ40" s="2804"/>
      <c r="BA40" s="2804"/>
      <c r="BB40" s="2804"/>
      <c r="BC40" s="2804"/>
      <c r="BD40" s="2806"/>
      <c r="BE40" s="2807"/>
      <c r="BF40" s="2685"/>
      <c r="BG40" s="2684"/>
      <c r="BH40" s="1080"/>
      <c r="BI40" s="2778"/>
      <c r="BJ40" s="2934"/>
      <c r="BK40" s="2955" t="s">
        <v>1992</v>
      </c>
      <c r="BL40" s="2963" t="str" cm="1">
        <f t="array" ca="1" aca="1" ref="BL40">_xlfn.LET(_xlpm.Data,_xlfn.DROP(_xlfn.ANCHORARRAY(DebtOverview!$BK$54),4,1),_xlpm.layer,_xlfn.TAKE(_xlfn.DROP(_xlfn.ANCHORARRAY(DebtOverview!$BK$54),4),,1),_xlpm.Res,_xlfn.CHOOSEROWS(_xlpm.Data,_xlfn.XMATCH($BK40,_xlpm.layer,0)),IFERROR(_xlpm.Res,""))</f>
        <v/>
      </c>
      <c r="BM40" s="2965"/>
      <c r="BN40" s="2963"/>
      <c r="BO40" s="2965"/>
      <c r="BP40" s="2963"/>
      <c r="BQ40" s="2965"/>
      <c r="BR40" s="2963"/>
      <c r="BS40" s="2965"/>
      <c r="BT40" s="2963"/>
      <c r="BU40" s="2965"/>
      <c r="BV40" s="2963"/>
      <c r="BW40" s="2965"/>
      <c r="BX40" s="2963"/>
      <c r="BY40" s="2965"/>
      <c r="BZ40" s="2934"/>
      <c r="CA40" s="2934"/>
      <c r="CB40" s="2883"/>
      <c r="CC40" s="2883"/>
      <c r="CD40" s="2883"/>
      <c r="CE40" s="2883"/>
    </row>
    <row r="41" spans="1:83" ht="20.25" customHeight="1">
      <c r="A41" s="2676"/>
      <c r="B41" s="2787" t="s">
        <v>1876</v>
      </c>
      <c r="C41" s="1914"/>
      <c r="D41" s="2757"/>
      <c r="E41" s="2677"/>
      <c r="F41" s="2726"/>
      <c r="G41" s="2696"/>
      <c r="H41" s="2691"/>
      <c r="I41" s="2691"/>
      <c r="J41" s="2695"/>
      <c r="K41" s="2687"/>
      <c r="L41" s="2685"/>
      <c r="M41" s="2668"/>
      <c r="N41" s="2728"/>
      <c r="O41" s="2736"/>
      <c r="P41" s="2677"/>
      <c r="V41" s="158"/>
      <c r="W41" s="101"/>
      <c r="X41" s="52"/>
      <c r="Y41" s="101"/>
      <c r="Z41" s="126"/>
      <c r="AA41" s="101"/>
      <c r="AB41" s="2275" t="str">
        <f>AP42</f>
        <v/>
      </c>
      <c r="AC41" s="39"/>
      <c r="AD41" s="406"/>
      <c r="AE41" s="428"/>
      <c r="AF41" s="439"/>
      <c r="AG41" s="661"/>
      <c r="AH41" s="610"/>
      <c r="AI41" s="3080"/>
      <c r="AJ41" s="2008"/>
      <c r="AK41" s="2009"/>
      <c r="AL41" s="602"/>
      <c r="AM41" s="460"/>
      <c r="AN41" s="1535" t="s">
        <v>1791</v>
      </c>
      <c r="AO41" s="458"/>
      <c r="AP41" s="458" t="s">
        <v>1792</v>
      </c>
      <c r="AQ41" s="502"/>
      <c r="AR41" s="507" t="s">
        <v>1789</v>
      </c>
      <c r="AS41" s="500"/>
      <c r="AT41" s="448"/>
      <c r="AU41" s="429"/>
      <c r="AV41" s="432"/>
      <c r="AX41" s="1080"/>
      <c r="AY41" s="2726"/>
      <c r="AZ41" s="2805" t="s">
        <v>1784</v>
      </c>
      <c r="BA41" s="2812" t="s">
        <v>431</v>
      </c>
      <c r="BB41" s="2812" t="s">
        <v>1785</v>
      </c>
      <c r="BC41" s="2813" t="s">
        <v>31</v>
      </c>
      <c r="BD41" s="2814" t="s">
        <v>1786</v>
      </c>
      <c r="BE41" s="2807" t="s">
        <v>268</v>
      </c>
      <c r="BF41" s="2780"/>
      <c r="BG41" s="2781"/>
      <c r="BH41" s="1080"/>
      <c r="BI41" s="2778"/>
      <c r="BJ41" s="2958"/>
      <c r="BK41" s="2955" t="s">
        <v>1993</v>
      </c>
      <c r="BL41" s="2958" t="str" cm="1">
        <f t="array" ca="1" aca="1" ref="BL41">_xlfn.LET(_xlpm.Data,_xlfn.DROP(_xlfn.ANCHORARRAY(DebtOverview!$BK$54),4,1),_xlpm.layer,_xlfn.TAKE(_xlfn.DROP(_xlfn.ANCHORARRAY(DebtOverview!$BK$54),4),,1),_xlpm.Res,_xlfn.CHOOSEROWS(_xlpm.Data,_xlfn.XMATCH($BK41,_xlpm.layer,0)),IFERROR(_xlpm.Res,""))</f>
        <v/>
      </c>
      <c r="BM41" s="2966"/>
      <c r="BN41" s="2958"/>
      <c r="BO41" s="2966"/>
      <c r="BP41" s="2958"/>
      <c r="BQ41" s="2966"/>
      <c r="BR41" s="2958"/>
      <c r="BS41" s="2966"/>
      <c r="BT41" s="2958"/>
      <c r="BU41" s="2966"/>
      <c r="BV41" s="2958"/>
      <c r="BW41" s="2966"/>
      <c r="BX41" s="2958"/>
      <c r="BY41" s="2966"/>
      <c r="BZ41" s="2958"/>
      <c r="CA41" s="2958"/>
      <c r="CB41" s="2909"/>
      <c r="CC41" s="2909"/>
      <c r="CD41" s="2909"/>
      <c r="CE41" s="2909"/>
    </row>
    <row r="42" spans="1:83" ht="15.5">
      <c r="A42" s="2676"/>
      <c r="B42" s="2670" t="s">
        <v>1879</v>
      </c>
      <c r="C42" s="3356" t="s">
        <v>1796</v>
      </c>
      <c r="D42" s="2758" t="e" cm="1">
        <f t="array" ca="1" aca="1" ref="D42">_xldudf_CX_GET(CX_ENTITY,fx_attrConverter(C42),val_asOfDate)</f>
        <v>#NAME?</v>
      </c>
      <c r="E42" s="2677"/>
      <c r="F42" s="3317">
        <v>1</v>
      </c>
      <c r="G42" s="2690" t="e" cm="1">
        <f t="array" ca="1" aca="1" ref="G42">IF(D42="","",_xlfn.TEXTSPLIT(D42,"|","¶",FALSE))</f>
        <v>#NAME?</v>
      </c>
      <c r="H42" s="2697"/>
      <c r="I42" s="2691"/>
      <c r="J42" s="2695"/>
      <c r="K42" s="2687"/>
      <c r="L42" s="2685"/>
      <c r="M42" s="2668"/>
      <c r="N42" s="2735" t="e" vm="10" cm="1">
        <f t="array" ref="N42">_xlfn.LET(_xlpm.cf,AN42:AN52,_xlpm.Res,_xlfn.BYROW(_xlpm.cf,_xlfn.LAMBDA(_xlpm.x,IF(AND(ISNUMBER(_xlpm.x),ISERROR(_xlpm.x)=FALSE),_xlpm.x/SUM(_xlpm.cf),""))),_xlfn._xlws.FILTER(_xlpm.Res,_xlpm.Res&lt;&gt;""))</f>
        <v>#VALUE!</v>
      </c>
      <c r="O42" s="2736" t="e" vm="10" cm="1">
        <f t="array" ref="O42">_xlfn.LET(_xlpm.repay,_xlfn.ANCHORARRAY(N42),_xlpm.date,AP42:AP52,_xlpm.date_,_xlfn._xlws.FILTER(_xlpm.date,_xlpm.date&lt;&gt;""),IF((_xlpm.date_&gt;val_asOfDate),DATEDIF(val_asOfDate,_xlpm.date_,"M")/12,0))</f>
        <v>#VALUE!</v>
      </c>
      <c r="P42" s="2677"/>
      <c r="V42" s="158"/>
      <c r="W42" s="101"/>
      <c r="X42" s="52"/>
      <c r="Y42" s="101"/>
      <c r="Z42" s="126"/>
      <c r="AA42" s="101"/>
      <c r="AB42" s="101"/>
      <c r="AC42" s="39"/>
      <c r="AD42" s="406"/>
      <c r="AE42" s="428"/>
      <c r="AF42" s="2270"/>
      <c r="AG42" s="661"/>
      <c r="AH42" s="610"/>
      <c r="AI42" s="3080"/>
      <c r="AJ42" s="2269"/>
      <c r="AK42" s="2009"/>
      <c r="AL42" s="602"/>
      <c r="AM42" s="460"/>
      <c r="AN42" s="3357"/>
      <c r="AO42" s="465"/>
      <c r="AP42" s="2273" t="str">
        <f t="shared" si="1" ref="AP42:AP52">IF(L42="","",DATEVALUE(TEXT(VALUE(L42),"mmm-yyyy")))</f>
        <v/>
      </c>
      <c r="AQ42" s="639"/>
      <c r="AR42" s="3082" t="str">
        <f>IFERROR(SUMPRODUCT(_xlfn.ANCHORARRAY(N42),_xlfn.ANCHORARRAY(O42)),"n/a")</f>
        <v>n/a</v>
      </c>
      <c r="AS42" s="501"/>
      <c r="AT42" s="448"/>
      <c r="AU42" s="429"/>
      <c r="AV42" s="432"/>
      <c r="AX42" s="1080"/>
      <c r="AY42" s="2726"/>
      <c r="AZ42" s="2818" t="e" vm="10" cm="1">
        <f t="array" ref="AZ42">_xlfn.LET(_xlpm._amt,AN42:AN52,_xlpm._dates,AP42:AP52,_xlpm.attribute,C42,_xlpm.entity,val_company,_xlpm.lookthru,1,_xlpm._cf,_xlfn.BYROW(_xlpm._amt,_xlfn.LAMBDA(_xlpm.x,IF(ISNUMBER(_xlpm.x),fxVal_normal*(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#VALUE!</v>
      </c>
      <c r="BA42" s="2827"/>
      <c r="BB42" s="2819"/>
      <c r="BC42" s="2825"/>
      <c r="BD42" s="2904"/>
      <c r="BE42" s="2823"/>
      <c r="BF42" s="2685" t="s">
        <v>1956</v>
      </c>
      <c r="BG42" s="2694" t="b" cm="1">
        <f t="array" ref="BG42">AND(OR(AND((AN42:AP52=0),AND(AN42:AP52="")),AN39=0))</f>
        <v>0</v>
      </c>
      <c r="BH42" s="1080"/>
      <c r="BI42" s="2778"/>
      <c r="BJ42" s="2959"/>
      <c r="BK42" s="2955" t="s">
        <v>1998</v>
      </c>
      <c r="BL42" s="2958" t="str" cm="1">
        <f t="array" ca="1" aca="1" ref="BL42">_xlfn.LET(_xlpm.Data,_xlfn.DROP(_xlfn.ANCHORARRAY(DebtOverview!$BK$54),4,1),_xlpm.layer,_xlfn.TAKE(_xlfn.DROP(_xlfn.ANCHORARRAY(DebtOverview!$BK$54),4),,1),_xlpm.Res,_xlfn.CHOOSEROWS(_xlpm.Data,_xlfn.XMATCH($BK42,_xlpm.layer,0)),IFERROR(_xlpm.Res,""))</f>
        <v/>
      </c>
      <c r="BM42" s="2966"/>
      <c r="BN42" s="2958"/>
      <c r="BO42" s="2966"/>
      <c r="BP42" s="2958"/>
      <c r="BQ42" s="2966"/>
      <c r="BR42" s="2958"/>
      <c r="BS42" s="2966"/>
      <c r="BT42" s="2958"/>
      <c r="BU42" s="2966"/>
      <c r="BV42" s="2958"/>
      <c r="BW42" s="2966"/>
      <c r="BX42" s="2958"/>
      <c r="BY42" s="2966"/>
      <c r="BZ42" s="2959"/>
      <c r="CA42" s="2959"/>
      <c r="CB42" s="2909"/>
      <c r="CC42" s="2909"/>
      <c r="CD42" s="2909"/>
      <c r="CE42" s="2909"/>
    </row>
    <row r="43" spans="1:83" ht="15.5">
      <c r="A43" s="2676"/>
      <c r="B43" s="2670" t="s">
        <v>1870</v>
      </c>
      <c r="C43" s="1912" t="s">
        <v>1796</v>
      </c>
      <c r="D43" s="2758" t="str">
        <f>IF(D44,_xlfn.TEXTJOIN("¶",FALSE,_xlfn.BYROW(_xlfn.ANCHORARRAY(AZ42),_xlfn.LAMBDA(_xlpm.row,_xlfn.TEXTJOIN("|",FALSE,_xlpm.row)))),"")</f>
        <v/>
      </c>
      <c r="E43" s="2677"/>
      <c r="F43" s="3317">
        <v>2</v>
      </c>
      <c r="G43" s="2690"/>
      <c r="H43" s="2698"/>
      <c r="I43" s="2691"/>
      <c r="J43" s="2695"/>
      <c r="K43" s="2687"/>
      <c r="L43" s="2685"/>
      <c r="M43" s="2668"/>
      <c r="N43" s="2735"/>
      <c r="O43" s="2736"/>
      <c r="P43" s="2677"/>
      <c r="V43" s="158"/>
      <c r="W43" s="2"/>
      <c r="X43" s="52"/>
      <c r="Y43" s="2"/>
      <c r="Z43" s="539"/>
      <c r="AA43" s="2"/>
      <c r="AB43" s="2"/>
      <c r="AC43" s="39"/>
      <c r="AD43" s="406"/>
      <c r="AE43" s="428"/>
      <c r="AF43" s="439"/>
      <c r="AG43" s="661"/>
      <c r="AH43" s="610"/>
      <c r="AI43" s="3080"/>
      <c r="AJ43" s="2008"/>
      <c r="AK43" s="2009"/>
      <c r="AL43" s="602"/>
      <c r="AM43" s="460"/>
      <c r="AN43" s="3357"/>
      <c r="AO43" s="465"/>
      <c r="AP43" s="2273" t="str">
        <f t="shared" si="1"/>
        <v/>
      </c>
      <c r="AQ43" s="639"/>
      <c r="AR43" s="3083"/>
      <c r="AS43" s="501"/>
      <c r="AT43" s="448"/>
      <c r="AU43" s="429"/>
      <c r="AV43" s="432"/>
      <c r="AX43" s="1080"/>
      <c r="AY43" s="2726"/>
      <c r="AZ43" s="2818"/>
      <c r="BA43" s="2828"/>
      <c r="BB43" s="2819"/>
      <c r="BC43" s="2825"/>
      <c r="BD43" s="2904"/>
      <c r="BE43" s="2823"/>
      <c r="BF43" s="2685" t="s">
        <v>1954</v>
      </c>
      <c r="BG43" s="3252" t="b">
        <f>ROWS(_xlfn.ANCHORARRAY(N42))=ROWS(_xlfn.ANCHORARRAY(O42))</f>
        <v>1</v>
      </c>
      <c r="BH43" s="1080"/>
      <c r="BI43" s="2778"/>
      <c r="BJ43" s="2959"/>
      <c r="BK43" s="2955" t="s">
        <v>1997</v>
      </c>
      <c r="BL43" s="2958" t="str" cm="1">
        <f t="array" ca="1" aca="1" ref="BL43">_xlfn.LET(_xlpm.Data,_xlfn.DROP(_xlfn.ANCHORARRAY(DebtOverview!$BK$54),4,1),_xlpm.layer,_xlfn.TAKE(_xlfn.DROP(_xlfn.ANCHORARRAY(DebtOverview!$BK$54),4),,1),_xlpm.Res,_xlfn.CHOOSEROWS(_xlpm.Data,_xlfn.XMATCH($BK43,_xlpm.layer,0)),IFERROR(_xlpm.Res,""))</f>
        <v/>
      </c>
      <c r="BM43" s="2966"/>
      <c r="BN43" s="2958"/>
      <c r="BO43" s="2966"/>
      <c r="BP43" s="2958"/>
      <c r="BQ43" s="2966"/>
      <c r="BR43" s="2958"/>
      <c r="BS43" s="2966"/>
      <c r="BT43" s="2958"/>
      <c r="BU43" s="2966"/>
      <c r="BV43" s="2958"/>
      <c r="BW43" s="2966"/>
      <c r="BX43" s="2958"/>
      <c r="BY43" s="2966"/>
      <c r="BZ43" s="2959"/>
      <c r="CA43" s="2959"/>
      <c r="CB43" s="2909"/>
      <c r="CC43" s="2909"/>
      <c r="CD43" s="2909"/>
      <c r="CE43" s="2909"/>
    </row>
    <row r="44" spans="1:83" ht="15.5">
      <c r="A44" s="2676"/>
      <c r="B44" s="2670" t="s">
        <v>1864</v>
      </c>
      <c r="C44" s="1912" t="s">
        <v>1796</v>
      </c>
      <c r="D44" s="2755" t="b" cm="1">
        <f t="array" ref="D44">IF(ISERROR(AZ42),FALSE,OR(AZ42:BE42&lt;&gt;""))</f>
        <v>0</v>
      </c>
      <c r="E44" s="2677"/>
      <c r="F44" s="2726">
        <v>3</v>
      </c>
      <c r="G44" s="2690"/>
      <c r="H44" s="2698"/>
      <c r="I44" s="2691"/>
      <c r="J44" s="2695"/>
      <c r="K44" s="2687"/>
      <c r="L44" s="2685"/>
      <c r="M44" s="2668"/>
      <c r="N44" s="2735"/>
      <c r="O44" s="2736"/>
      <c r="P44" s="2677"/>
      <c r="V44" s="158"/>
      <c r="W44" s="101"/>
      <c r="X44" s="52"/>
      <c r="Y44" s="101"/>
      <c r="Z44" s="126"/>
      <c r="AA44" s="101"/>
      <c r="AB44" s="101"/>
      <c r="AC44" s="39"/>
      <c r="AD44" s="406"/>
      <c r="AE44" s="428"/>
      <c r="AF44" s="439"/>
      <c r="AG44" s="661"/>
      <c r="AH44" s="610"/>
      <c r="AI44" s="3080"/>
      <c r="AJ44" s="2008"/>
      <c r="AK44" s="2009"/>
      <c r="AL44" s="602"/>
      <c r="AM44" s="460"/>
      <c r="AN44" s="3357"/>
      <c r="AO44" s="465"/>
      <c r="AP44" s="2273" t="str">
        <f t="shared" si="1"/>
        <v/>
      </c>
      <c r="AQ44" s="639"/>
      <c r="AR44" s="3083"/>
      <c r="AS44" s="501"/>
      <c r="AT44" s="448"/>
      <c r="AU44" s="429"/>
      <c r="AV44" s="432"/>
      <c r="AX44" s="1080"/>
      <c r="AY44" s="2726"/>
      <c r="AZ44" s="2818"/>
      <c r="BA44" s="2828"/>
      <c r="BB44" s="2819"/>
      <c r="BC44" s="2825"/>
      <c r="BD44" s="2904"/>
      <c r="BE44" s="2823"/>
      <c r="BF44" s="2685" t="s">
        <v>1955</v>
      </c>
      <c r="BG44" s="2690" t="b" cm="1">
        <f t="array" ref="BG44">ABS(SUM(_xlfn._xlws.FILTER(AN42:AN52,AP42:AP52&gt;=val_asOfDate))-AN39)&lt;1</f>
        <v>0</v>
      </c>
      <c r="BH44" s="1080"/>
      <c r="BI44" s="2778"/>
      <c r="BJ44" s="2959"/>
      <c r="BK44" s="2955" t="s">
        <v>1994</v>
      </c>
      <c r="BL44" s="2958" t="str" cm="1">
        <f t="array" ca="1" aca="1" ref="BL44">_xlfn.LET(_xlpm.Data,_xlfn.DROP(_xlfn.ANCHORARRAY(DebtOverview!$BK$54),4,1),_xlpm.layer,_xlfn.TAKE(_xlfn.DROP(_xlfn.ANCHORARRAY(DebtOverview!$BK$54),4),,1),_xlpm.Res,_xlfn.CHOOSEROWS(_xlpm.Data,_xlfn.XMATCH($BK44,_xlpm.layer,0)),IFERROR(_xlpm.Res,""))</f>
        <v/>
      </c>
      <c r="BM44" s="2966"/>
      <c r="BN44" s="2958"/>
      <c r="BO44" s="2966"/>
      <c r="BP44" s="2958"/>
      <c r="BQ44" s="2966"/>
      <c r="BR44" s="2958"/>
      <c r="BS44" s="2966"/>
      <c r="BT44" s="2958"/>
      <c r="BU44" s="2966"/>
      <c r="BV44" s="2958"/>
      <c r="BW44" s="2966"/>
      <c r="BX44" s="2958"/>
      <c r="BY44" s="2966"/>
      <c r="BZ44" s="2959"/>
      <c r="CA44" s="2959"/>
      <c r="CB44" s="2909"/>
      <c r="CC44" s="2909"/>
      <c r="CD44" s="2909"/>
      <c r="CE44" s="2909"/>
    </row>
    <row r="45" spans="1:83" ht="15.5">
      <c r="A45" s="2676"/>
      <c r="B45" s="2670" t="s">
        <v>1867</v>
      </c>
      <c r="C45" s="1912" t="s">
        <v>1796</v>
      </c>
      <c r="D45" s="2755" t="str" cm="1">
        <f t="array" ref="D45">IF(D44,_xldudf_CX_PUSH(D43,CX_ENTITY,fx_attrConverter(C42),val_asOfDate),"No Push")</f>
        <v>No Push</v>
      </c>
      <c r="E45" s="2677"/>
      <c r="F45" s="2726">
        <v>4</v>
      </c>
      <c r="G45" s="2690"/>
      <c r="H45" s="2689"/>
      <c r="I45" s="2691"/>
      <c r="J45" s="2695"/>
      <c r="K45" s="2687"/>
      <c r="L45" s="2685"/>
      <c r="M45" s="2668"/>
      <c r="N45" s="2735"/>
      <c r="O45" s="2736"/>
      <c r="P45" s="2677"/>
      <c r="V45" s="158"/>
      <c r="W45" s="101"/>
      <c r="X45" s="52"/>
      <c r="Y45" s="101"/>
      <c r="Z45" s="126"/>
      <c r="AA45" s="101"/>
      <c r="AB45" s="101"/>
      <c r="AC45" s="39"/>
      <c r="AD45" s="406"/>
      <c r="AE45" s="428"/>
      <c r="AF45" s="439"/>
      <c r="AG45" s="661"/>
      <c r="AH45" s="610"/>
      <c r="AI45" s="3080"/>
      <c r="AJ45" s="2008"/>
      <c r="AK45" s="2009"/>
      <c r="AL45" s="602"/>
      <c r="AM45" s="460"/>
      <c r="AN45" s="3357"/>
      <c r="AO45" s="465"/>
      <c r="AP45" s="2273" t="str">
        <f t="shared" si="1"/>
        <v/>
      </c>
      <c r="AQ45" s="639"/>
      <c r="AR45" s="3083"/>
      <c r="AS45" s="501"/>
      <c r="AT45" s="448"/>
      <c r="AU45" s="429"/>
      <c r="AV45" s="432"/>
      <c r="AX45" s="1080"/>
      <c r="AY45" s="2726"/>
      <c r="AZ45" s="2818"/>
      <c r="BA45" s="2826"/>
      <c r="BB45" s="2819"/>
      <c r="BC45" s="2825"/>
      <c r="BD45" s="2904"/>
      <c r="BE45" s="2823"/>
      <c r="BF45" s="2685"/>
      <c r="BG45" s="2690"/>
      <c r="BH45" s="1080"/>
      <c r="BI45" s="2778"/>
      <c r="BJ45" s="2959"/>
      <c r="BK45" s="2955" t="s">
        <v>1995</v>
      </c>
      <c r="BL45" s="2958" t="str" cm="1">
        <f t="array" ca="1" aca="1" ref="BL45">_xlfn.LET(_xlpm.Data,_xlfn.DROP(_xlfn.ANCHORARRAY(DebtOverview!$BK$54),4,1),_xlpm.layer,_xlfn.TAKE(_xlfn.DROP(_xlfn.ANCHORARRAY(DebtOverview!$BK$54),4),,1),_xlpm.Res,_xlfn.CHOOSEROWS(_xlpm.Data,_xlfn.XMATCH($BK45,_xlpm.layer,0)),IFERROR(_xlpm.Res,""))</f>
        <v/>
      </c>
      <c r="BM45" s="2966"/>
      <c r="BN45" s="2958"/>
      <c r="BO45" s="2966"/>
      <c r="BP45" s="2958"/>
      <c r="BQ45" s="2966"/>
      <c r="BR45" s="2958"/>
      <c r="BS45" s="2966"/>
      <c r="BT45" s="2958"/>
      <c r="BU45" s="2966"/>
      <c r="BV45" s="2958"/>
      <c r="BW45" s="2966"/>
      <c r="BX45" s="2958"/>
      <c r="BY45" s="2966"/>
      <c r="BZ45" s="2959"/>
      <c r="CA45" s="2959"/>
      <c r="CB45" s="2909"/>
      <c r="CC45" s="2909"/>
      <c r="CD45" s="2909"/>
      <c r="CE45" s="2909"/>
    </row>
    <row r="46" spans="1:83" ht="15.5">
      <c r="A46" s="2676"/>
      <c r="B46" s="2670" t="s">
        <v>1867</v>
      </c>
      <c r="C46" s="1912" t="s">
        <v>1796</v>
      </c>
      <c r="D46" s="2755" t="str" cm="1">
        <f t="array" ref="D46">IF(D44,_xldudf_CX_PUSH(D43,CX_ENTITY,fx_attrConverter(C42),EOMONTH(val_asOfDate,3)),"No Push")</f>
        <v>No Push</v>
      </c>
      <c r="E46" s="2677"/>
      <c r="F46" s="2726">
        <v>5</v>
      </c>
      <c r="G46" s="2690"/>
      <c r="H46" s="2689"/>
      <c r="I46" s="2691"/>
      <c r="J46" s="2695"/>
      <c r="K46" s="2687"/>
      <c r="L46" s="2685"/>
      <c r="M46" s="2668"/>
      <c r="N46" s="2735"/>
      <c r="O46" s="2736"/>
      <c r="P46" s="2677"/>
      <c r="V46" s="158"/>
      <c r="W46" s="101"/>
      <c r="X46" s="52"/>
      <c r="Y46" s="101"/>
      <c r="Z46" s="126"/>
      <c r="AA46" s="101"/>
      <c r="AB46" s="101"/>
      <c r="AC46" s="39"/>
      <c r="AD46" s="406"/>
      <c r="AE46" s="428"/>
      <c r="AF46" s="439"/>
      <c r="AG46" s="661"/>
      <c r="AH46" s="610"/>
      <c r="AI46" s="3080"/>
      <c r="AJ46" s="2008"/>
      <c r="AK46" s="2009"/>
      <c r="AL46" s="602"/>
      <c r="AM46" s="460"/>
      <c r="AN46" s="3357"/>
      <c r="AO46" s="465"/>
      <c r="AP46" s="2273" t="str">
        <f t="shared" si="1"/>
        <v/>
      </c>
      <c r="AQ46" s="639"/>
      <c r="AR46" s="606" t="s">
        <v>1795</v>
      </c>
      <c r="AS46" s="501"/>
      <c r="AT46" s="448"/>
      <c r="AU46" s="429"/>
      <c r="AV46" s="432"/>
      <c r="AX46" s="1080"/>
      <c r="AY46" s="2726"/>
      <c r="AZ46" s="2818"/>
      <c r="BA46" s="2826"/>
      <c r="BB46" s="2819"/>
      <c r="BC46" s="2825"/>
      <c r="BD46" s="2904"/>
      <c r="BE46" s="2823"/>
      <c r="BF46" s="2685"/>
      <c r="BG46" s="2690"/>
      <c r="BH46" s="1080"/>
      <c r="BI46" s="2778"/>
      <c r="BJ46" s="2959"/>
      <c r="BK46" s="2955" t="s">
        <v>1996</v>
      </c>
      <c r="BL46" s="2958" t="str" cm="1">
        <f t="array" ca="1" aca="1" ref="BL46">_xlfn.LET(_xlpm.Data,_xlfn.DROP(_xlfn.ANCHORARRAY(DebtOverview!$BK$54),4,1),_xlpm.layer,_xlfn.TAKE(_xlfn.DROP(_xlfn.ANCHORARRAY(DebtOverview!$BK$54),4),,1),_xlpm.Res,_xlfn.CHOOSEROWS(_xlpm.Data,_xlfn.XMATCH($BK46,_xlpm.layer,0)),IFERROR(_xlpm.Res,""))</f>
        <v/>
      </c>
      <c r="BM46" s="2966"/>
      <c r="BN46" s="2958"/>
      <c r="BO46" s="2966"/>
      <c r="BP46" s="2958"/>
      <c r="BQ46" s="2966"/>
      <c r="BR46" s="2958"/>
      <c r="BS46" s="2966"/>
      <c r="BT46" s="2958"/>
      <c r="BU46" s="2966"/>
      <c r="BV46" s="2958"/>
      <c r="BW46" s="2966"/>
      <c r="BX46" s="2958"/>
      <c r="BY46" s="2966"/>
      <c r="BZ46" s="2959"/>
      <c r="CA46" s="2959"/>
      <c r="CB46" s="2909"/>
      <c r="CC46" s="2909"/>
      <c r="CD46" s="2909"/>
      <c r="CE46" s="2909"/>
    </row>
    <row r="47" spans="1:83" ht="45">
      <c r="A47" s="2676"/>
      <c r="B47" s="2670" t="s">
        <v>1867</v>
      </c>
      <c r="C47" s="1912" t="s">
        <v>1796</v>
      </c>
      <c r="D47" s="2755" t="str" cm="1">
        <f t="array" ref="D47">IF(D44,_xldudf_CX_PUSH(D43,CX_ENTITY,fx_attrConverter(C42),EOMONTH(val_asOfDate,2)),"No Push")</f>
        <v>No Push</v>
      </c>
      <c r="E47" s="2677"/>
      <c r="F47" s="2726">
        <v>6</v>
      </c>
      <c r="G47" s="2690"/>
      <c r="H47" s="2689"/>
      <c r="I47" s="2691"/>
      <c r="J47" s="2695"/>
      <c r="K47" s="2687"/>
      <c r="L47" s="2788"/>
      <c r="M47" s="2668"/>
      <c r="N47" s="2735"/>
      <c r="O47" s="2737"/>
      <c r="P47" s="2677"/>
      <c r="V47" s="158"/>
      <c r="W47" s="101"/>
      <c r="X47" s="52"/>
      <c r="Y47" s="101"/>
      <c r="Z47" s="126"/>
      <c r="AA47" s="101"/>
      <c r="AB47" s="101"/>
      <c r="AC47" s="39"/>
      <c r="AD47" s="406"/>
      <c r="AE47" s="428"/>
      <c r="AF47" s="439"/>
      <c r="AG47" s="661"/>
      <c r="AH47" s="610"/>
      <c r="AI47" s="3080"/>
      <c r="AJ47" s="2008"/>
      <c r="AK47" s="2009"/>
      <c r="AL47" s="602"/>
      <c r="AM47" s="460"/>
      <c r="AN47" s="1967" t="str">
        <f>IF(K47="","",_xlfn.NUMBERVALUE(K47)/IF($D$8,DebtOverview!fxVal_normal,1))</f>
        <v/>
      </c>
      <c r="AO47" s="465"/>
      <c r="AP47" s="2273" t="str">
        <f t="shared" si="1"/>
        <v/>
      </c>
      <c r="AQ47" s="639"/>
      <c r="AR47" s="504"/>
      <c r="AS47" s="501"/>
      <c r="AT47" s="448"/>
      <c r="AU47" s="429"/>
      <c r="AV47" s="432"/>
      <c r="AX47" s="1080"/>
      <c r="AY47" s="2726"/>
      <c r="AZ47" s="2818"/>
      <c r="BA47" s="2826"/>
      <c r="BB47" s="2819"/>
      <c r="BC47" s="2825"/>
      <c r="BD47" s="2904"/>
      <c r="BE47" s="2823"/>
      <c r="BF47" s="2685"/>
      <c r="BG47" s="2690"/>
      <c r="BH47" s="1080"/>
      <c r="BI47" s="2778"/>
      <c r="BJ47" s="2909"/>
      <c r="BK47" s="2909"/>
      <c r="BL47" s="2909"/>
      <c r="BM47" s="2967"/>
      <c r="BN47" s="2909"/>
      <c r="BO47" s="2967"/>
      <c r="BP47" s="2909"/>
      <c r="BQ47" s="2967"/>
      <c r="BR47" s="2909"/>
      <c r="BS47" s="2967"/>
      <c r="BT47" s="2909"/>
      <c r="BU47" s="2967"/>
      <c r="BV47" s="2909"/>
      <c r="BW47" s="2967"/>
      <c r="BX47" s="2909"/>
      <c r="BY47" s="2967"/>
      <c r="BZ47" s="2909"/>
      <c r="CA47" s="2909"/>
      <c r="CB47" s="2909"/>
      <c r="CC47" s="2909"/>
      <c r="CD47" s="2909"/>
      <c r="CE47" s="2909"/>
    </row>
    <row r="48" spans="1:83" ht="21" customHeight="1">
      <c r="A48" s="2676"/>
      <c r="B48" s="2670" t="s">
        <v>1867</v>
      </c>
      <c r="C48" s="1912" t="s">
        <v>1796</v>
      </c>
      <c r="D48" s="2755" t="str" cm="1">
        <f t="array" ref="D48">IF(D44,_xldudf_CX_PUSH(D43,CX_ENTITY,fx_attrConverter(C42),EOMONTH(val_asOfDate,13)),"No Push")</f>
        <v>No Push</v>
      </c>
      <c r="E48" s="2677"/>
      <c r="F48" s="2726">
        <v>7</v>
      </c>
      <c r="G48" s="2690"/>
      <c r="H48" s="2689"/>
      <c r="I48" s="2691"/>
      <c r="J48" s="2695"/>
      <c r="K48" s="2687"/>
      <c r="L48" s="2788"/>
      <c r="M48" s="2668"/>
      <c r="N48" s="2735"/>
      <c r="O48" s="2737"/>
      <c r="P48" s="2677"/>
      <c r="V48" s="158"/>
      <c r="W48" s="101"/>
      <c r="X48" s="52"/>
      <c r="Y48" s="101"/>
      <c r="Z48" s="126"/>
      <c r="AA48" s="101"/>
      <c r="AB48" s="101"/>
      <c r="AC48" s="39"/>
      <c r="AD48" s="406"/>
      <c r="AE48" s="428"/>
      <c r="AF48" s="439"/>
      <c r="AG48" s="661"/>
      <c r="AH48" s="610"/>
      <c r="AI48" s="3080"/>
      <c r="AJ48" s="2008"/>
      <c r="AK48" s="2009"/>
      <c r="AL48" s="602"/>
      <c r="AM48" s="460"/>
      <c r="AN48" s="1967" t="str">
        <f>IF(K48="","",_xlfn.NUMBERVALUE(K48)/IF($D$8,DebtOverview!fxVal_normal,1))</f>
        <v/>
      </c>
      <c r="AO48" s="465"/>
      <c r="AP48" s="2273" t="str">
        <f t="shared" si="1"/>
        <v/>
      </c>
      <c r="AQ48" s="639"/>
      <c r="AR48" s="504"/>
      <c r="AS48" s="501"/>
      <c r="AT48" s="448"/>
      <c r="AU48" s="429"/>
      <c r="AV48" s="432"/>
      <c r="AX48" s="1080"/>
      <c r="AY48" s="2726"/>
      <c r="AZ48" s="2818"/>
      <c r="BA48" s="2826"/>
      <c r="BB48" s="2819"/>
      <c r="BC48" s="2825"/>
      <c r="BD48" s="2904"/>
      <c r="BE48" s="2823"/>
      <c r="BF48" s="2685"/>
      <c r="BG48" s="2690"/>
      <c r="BH48" s="1080"/>
      <c r="BI48" s="2778"/>
      <c r="BJ48" s="2944"/>
      <c r="BK48" s="2944"/>
      <c r="BL48" s="2944"/>
      <c r="BM48" s="2944"/>
      <c r="BN48" s="2944"/>
      <c r="BO48" s="2944"/>
      <c r="BP48" s="2944"/>
      <c r="BQ48" s="2944"/>
      <c r="BR48" s="2944"/>
      <c r="BS48" s="2944"/>
      <c r="BT48" s="2944"/>
      <c r="BU48" s="2944"/>
      <c r="BV48" s="2944"/>
      <c r="BW48" s="2944"/>
      <c r="BX48" s="2944"/>
      <c r="BY48" s="2944"/>
      <c r="BZ48" s="2944"/>
      <c r="CA48" s="2944"/>
      <c r="CB48" s="2908"/>
      <c r="CC48" s="2908"/>
      <c r="CD48" s="2908"/>
      <c r="CE48" s="2908"/>
    </row>
    <row r="49" spans="1:83" ht="21" customHeight="1">
      <c r="A49" s="2676"/>
      <c r="B49" s="1912"/>
      <c r="C49" s="1912"/>
      <c r="D49" s="2758"/>
      <c r="E49" s="2677"/>
      <c r="F49" s="2726">
        <v>8</v>
      </c>
      <c r="G49" s="2690"/>
      <c r="H49" s="2689"/>
      <c r="I49" s="2691"/>
      <c r="J49" s="2695"/>
      <c r="K49" s="2687"/>
      <c r="L49" s="2685"/>
      <c r="M49" s="2668"/>
      <c r="N49" s="2735"/>
      <c r="O49" s="2736"/>
      <c r="P49" s="2677"/>
      <c r="V49" s="158"/>
      <c r="W49" s="101"/>
      <c r="X49" s="52"/>
      <c r="Y49" s="101"/>
      <c r="Z49" s="126"/>
      <c r="AA49" s="101"/>
      <c r="AB49" s="101"/>
      <c r="AC49" s="39"/>
      <c r="AD49" s="406"/>
      <c r="AE49" s="428"/>
      <c r="AF49" s="439"/>
      <c r="AG49" s="661"/>
      <c r="AH49" s="610"/>
      <c r="AI49" s="3080"/>
      <c r="AJ49" s="2008"/>
      <c r="AK49" s="2009"/>
      <c r="AL49" s="602"/>
      <c r="AM49" s="460"/>
      <c r="AN49" s="1967" t="str">
        <f>IF(K49="","",_xlfn.NUMBERVALUE(K49)/IF($D$8,DebtOverview!fxVal_normal,1))</f>
        <v/>
      </c>
      <c r="AO49" s="465"/>
      <c r="AP49" s="2273" t="str">
        <f t="shared" si="1"/>
        <v/>
      </c>
      <c r="AQ49" s="639"/>
      <c r="AR49" s="504"/>
      <c r="AS49" s="501"/>
      <c r="AT49" s="448"/>
      <c r="AU49" s="429"/>
      <c r="AV49" s="432"/>
      <c r="AX49" s="1080"/>
      <c r="AY49" s="2726"/>
      <c r="AZ49" s="2818"/>
      <c r="BA49" s="2826"/>
      <c r="BB49" s="2819"/>
      <c r="BC49" s="2825"/>
      <c r="BD49" s="2904"/>
      <c r="BE49" s="2823"/>
      <c r="BF49" s="2685"/>
      <c r="BG49" s="2690"/>
      <c r="BH49" s="1080"/>
      <c r="BI49" s="2778"/>
      <c r="BJ49" s="2944"/>
      <c r="BK49" s="2944"/>
      <c r="BL49" s="2944"/>
      <c r="BM49" s="2944"/>
      <c r="BN49" s="2944"/>
      <c r="BO49" s="2944"/>
      <c r="BP49" s="2944"/>
      <c r="BQ49" s="2944"/>
      <c r="BR49" s="2944"/>
      <c r="BS49" s="2944"/>
      <c r="BT49" s="2944"/>
      <c r="BU49" s="2944"/>
      <c r="BV49" s="2944"/>
      <c r="BW49" s="2944"/>
      <c r="BX49" s="2944"/>
      <c r="BY49" s="2944"/>
      <c r="BZ49" s="2944"/>
      <c r="CA49" s="2944"/>
      <c r="CB49" s="2769"/>
      <c r="CC49" s="2769"/>
      <c r="CD49" s="2769"/>
      <c r="CE49" s="2769"/>
    </row>
    <row r="50" spans="1:83" ht="21" customHeight="1">
      <c r="A50" s="2676"/>
      <c r="B50" s="1912"/>
      <c r="C50" s="1912"/>
      <c r="D50" s="2758"/>
      <c r="E50" s="2677"/>
      <c r="F50" s="2726">
        <v>9</v>
      </c>
      <c r="G50" s="2690"/>
      <c r="H50" s="2689"/>
      <c r="I50" s="2691"/>
      <c r="J50" s="2695"/>
      <c r="K50" s="2687"/>
      <c r="L50" s="2685"/>
      <c r="M50" s="2668"/>
      <c r="N50" s="2735"/>
      <c r="O50" s="2736"/>
      <c r="P50" s="2677"/>
      <c r="V50" s="158"/>
      <c r="W50" s="101"/>
      <c r="X50" s="52"/>
      <c r="Y50" s="101"/>
      <c r="Z50" s="126"/>
      <c r="AA50" s="101"/>
      <c r="AB50" s="101"/>
      <c r="AC50" s="39"/>
      <c r="AD50" s="406"/>
      <c r="AE50" s="428"/>
      <c r="AF50" s="439"/>
      <c r="AG50" s="661"/>
      <c r="AH50" s="610"/>
      <c r="AI50" s="3080"/>
      <c r="AJ50" s="2008"/>
      <c r="AK50" s="2009"/>
      <c r="AL50" s="602"/>
      <c r="AM50" s="460"/>
      <c r="AN50" s="1967" t="str">
        <f>IF(K50="","",_xlfn.NUMBERVALUE(K50)/IF($D$8,DebtOverview!fxVal_normal,1))</f>
        <v/>
      </c>
      <c r="AO50" s="465"/>
      <c r="AP50" s="2273" t="str">
        <f t="shared" si="1"/>
        <v/>
      </c>
      <c r="AQ50" s="639"/>
      <c r="AR50" s="504"/>
      <c r="AS50" s="501"/>
      <c r="AT50" s="448"/>
      <c r="AU50" s="429"/>
      <c r="AV50" s="432"/>
      <c r="AX50" s="1080"/>
      <c r="AY50" s="2726"/>
      <c r="AZ50" s="2818"/>
      <c r="BA50" s="2826"/>
      <c r="BB50" s="2819"/>
      <c r="BC50" s="2825"/>
      <c r="BD50" s="2904"/>
      <c r="BE50" s="2823"/>
      <c r="BF50" s="2685"/>
      <c r="BG50" s="2690"/>
      <c r="BH50" s="1080"/>
      <c r="BI50" s="2778"/>
      <c r="BJ50" s="2944"/>
      <c r="BK50" s="2944"/>
      <c r="BL50" s="2944"/>
      <c r="BM50" s="2944"/>
      <c r="BN50" s="2944"/>
      <c r="BO50" s="2944"/>
      <c r="BP50" s="2944"/>
      <c r="BQ50" s="2944"/>
      <c r="BR50" s="2944"/>
      <c r="BS50" s="2944"/>
      <c r="BT50" s="2944"/>
      <c r="BU50" s="2944"/>
      <c r="BV50" s="2944"/>
      <c r="BW50" s="2944"/>
      <c r="BX50" s="2944"/>
      <c r="BY50" s="2944"/>
      <c r="BZ50" s="2944"/>
      <c r="CA50" s="2944"/>
      <c r="CB50" s="2769"/>
      <c r="CC50" s="2769"/>
      <c r="CD50" s="2769"/>
      <c r="CE50" s="2769"/>
    </row>
    <row r="51" spans="1:83" ht="21" customHeight="1">
      <c r="A51" s="2676"/>
      <c r="B51" s="1912"/>
      <c r="C51" s="1912"/>
      <c r="D51" s="2758"/>
      <c r="E51" s="2677"/>
      <c r="F51" s="2726">
        <v>10</v>
      </c>
      <c r="G51" s="2690"/>
      <c r="H51" s="2689"/>
      <c r="I51" s="2691"/>
      <c r="J51" s="2695"/>
      <c r="K51" s="2687"/>
      <c r="L51" s="2685"/>
      <c r="M51" s="2668"/>
      <c r="N51" s="2735"/>
      <c r="O51" s="2736"/>
      <c r="P51" s="2677"/>
      <c r="V51" s="158"/>
      <c r="W51" s="101"/>
      <c r="X51" s="52"/>
      <c r="Y51" s="101"/>
      <c r="Z51" s="101"/>
      <c r="AA51" s="101"/>
      <c r="AB51" s="101"/>
      <c r="AC51" s="39"/>
      <c r="AD51" s="406"/>
      <c r="AE51" s="428"/>
      <c r="AF51" s="439"/>
      <c r="AG51" s="661"/>
      <c r="AH51" s="610"/>
      <c r="AI51" s="3080"/>
      <c r="AJ51" s="2008"/>
      <c r="AK51" s="2009"/>
      <c r="AL51" s="602"/>
      <c r="AM51" s="460"/>
      <c r="AN51" s="1967" t="str">
        <f>IF(K51="","",_xlfn.NUMBERVALUE(K51)/IF($D$8,DebtOverview!fxVal_normal,1))</f>
        <v/>
      </c>
      <c r="AO51" s="465"/>
      <c r="AP51" s="2273" t="str">
        <f t="shared" si="1"/>
        <v/>
      </c>
      <c r="AQ51" s="639"/>
      <c r="AR51" s="504"/>
      <c r="AS51" s="501"/>
      <c r="AT51" s="448"/>
      <c r="AU51" s="429"/>
      <c r="AV51" s="432"/>
      <c r="AX51" s="1080"/>
      <c r="AY51" s="2726"/>
      <c r="AZ51" s="2818"/>
      <c r="BA51" s="2826"/>
      <c r="BB51" s="2819"/>
      <c r="BC51" s="2825"/>
      <c r="BD51" s="2904"/>
      <c r="BE51" s="2823"/>
      <c r="BF51" s="2685"/>
      <c r="BG51" s="2690"/>
      <c r="BH51" s="1080"/>
      <c r="BI51" s="2778"/>
      <c r="BJ51" s="2944"/>
      <c r="BK51" s="2944"/>
      <c r="BL51" s="2944"/>
      <c r="BM51" s="2944"/>
      <c r="BN51" s="2944"/>
      <c r="BO51" s="2944"/>
      <c r="BP51" s="2944"/>
      <c r="BQ51" s="2944"/>
      <c r="BR51" s="2944"/>
      <c r="BS51" s="2944"/>
      <c r="BT51" s="2944"/>
      <c r="BU51" s="2944"/>
      <c r="BV51" s="2944"/>
      <c r="BW51" s="2944"/>
      <c r="BX51" s="2944"/>
      <c r="BY51" s="2944"/>
      <c r="BZ51" s="2944"/>
      <c r="CA51" s="2944"/>
      <c r="CB51" s="2769"/>
      <c r="CC51" s="2769"/>
      <c r="CD51" s="2769"/>
      <c r="CE51" s="2769"/>
    </row>
    <row r="52" spans="1:83" ht="21" customHeight="1">
      <c r="A52" s="2676"/>
      <c r="B52" s="1912"/>
      <c r="C52" s="1912"/>
      <c r="D52" s="2758"/>
      <c r="E52" s="2677"/>
      <c r="F52" s="2726">
        <v>11</v>
      </c>
      <c r="G52" s="2690"/>
      <c r="H52" s="2689"/>
      <c r="I52" s="2691"/>
      <c r="J52" s="2695"/>
      <c r="K52" s="2687"/>
      <c r="L52" s="2685"/>
      <c r="M52" s="2668"/>
      <c r="N52" s="2735"/>
      <c r="O52" s="2736"/>
      <c r="P52" s="2677"/>
      <c r="V52" s="158"/>
      <c r="W52" s="101"/>
      <c r="X52" s="52"/>
      <c r="Y52" s="101"/>
      <c r="Z52" s="101"/>
      <c r="AA52" s="101"/>
      <c r="AB52" s="101"/>
      <c r="AC52" s="39"/>
      <c r="AD52" s="406"/>
      <c r="AE52" s="428"/>
      <c r="AF52" s="439"/>
      <c r="AG52" s="661"/>
      <c r="AH52" s="610"/>
      <c r="AI52" s="3080"/>
      <c r="AJ52" s="2008"/>
      <c r="AK52" s="2009"/>
      <c r="AL52" s="602"/>
      <c r="AM52" s="460"/>
      <c r="AN52" s="1967" t="str">
        <f>IF(K52="","",_xlfn.NUMBERVALUE(K52)/IF($D$8,DebtOverview!fxVal_normal,1))</f>
        <v/>
      </c>
      <c r="AO52" s="465"/>
      <c r="AP52" s="2273" t="str">
        <f t="shared" si="1"/>
        <v/>
      </c>
      <c r="AQ52" s="639"/>
      <c r="AR52" s="505"/>
      <c r="AS52" s="501"/>
      <c r="AT52" s="448"/>
      <c r="AU52" s="429"/>
      <c r="AV52" s="432"/>
      <c r="AX52" s="1080"/>
      <c r="AY52" s="2726"/>
      <c r="AZ52" s="2818"/>
      <c r="BA52" s="2826"/>
      <c r="BB52" s="2819"/>
      <c r="BC52" s="2825"/>
      <c r="BD52" s="2904"/>
      <c r="BE52" s="2823"/>
      <c r="BF52" s="2685"/>
      <c r="BG52" s="2690"/>
      <c r="BH52" s="1080"/>
      <c r="BI52" s="2778"/>
      <c r="BJ52" s="2944"/>
      <c r="BK52" s="2931" t="s">
        <v>1971</v>
      </c>
      <c r="BL52" s="2784"/>
      <c r="BM52" s="2690"/>
      <c r="BN52" s="2942"/>
      <c r="BO52" s="2690"/>
      <c r="BP52" s="2690"/>
      <c r="BQ52" s="2690"/>
      <c r="BR52" s="2690"/>
      <c r="BS52" s="2690"/>
      <c r="BT52" s="2690"/>
      <c r="BU52" s="2690"/>
      <c r="BV52" s="2690"/>
      <c r="BW52" s="2690"/>
      <c r="BX52" s="2690"/>
      <c r="BY52" s="2690"/>
      <c r="BZ52" s="2944"/>
      <c r="CA52" s="2944"/>
      <c r="CB52" s="2769"/>
      <c r="CC52" s="2769"/>
      <c r="CD52" s="2769"/>
      <c r="CE52" s="2769"/>
    </row>
    <row r="53" spans="1:83" ht="16.5" customHeight="1">
      <c r="A53" s="2676"/>
      <c r="B53" s="2670"/>
      <c r="C53" s="1913"/>
      <c r="D53" s="2752"/>
      <c r="E53" s="2677"/>
      <c r="F53" s="2726"/>
      <c r="G53" s="2689"/>
      <c r="H53" s="2689"/>
      <c r="I53" s="2689"/>
      <c r="J53" s="2689"/>
      <c r="K53" s="2687"/>
      <c r="L53" s="2685"/>
      <c r="M53" s="2712"/>
      <c r="N53" s="2713"/>
      <c r="O53" s="2717"/>
      <c r="P53" s="2677"/>
      <c r="V53" s="158"/>
      <c r="W53" s="101"/>
      <c r="X53" s="52"/>
      <c r="Y53" s="101"/>
      <c r="Z53" s="101"/>
      <c r="AA53" s="101"/>
      <c r="AB53" s="101"/>
      <c r="AC53" s="39"/>
      <c r="AD53" s="406"/>
      <c r="AE53" s="428"/>
      <c r="AF53" s="439"/>
      <c r="AG53" s="661"/>
      <c r="AH53" s="610"/>
      <c r="AI53" s="608"/>
      <c r="AJ53" s="2010"/>
      <c r="AK53" s="2010"/>
      <c r="AL53" s="466"/>
      <c r="AM53" s="467"/>
      <c r="AN53" s="1533" cm="1">
        <f t="array" ref="AN53">IF(N(AN39)=0,0,IFERROR(SUM(_xlfn._xlws.FILTER(AN42:AN52,AP42:AP52&gt;val_asOfDate)),0))</f>
        <v>0</v>
      </c>
      <c r="AO53" s="469"/>
      <c r="AP53" s="468"/>
      <c r="AQ53" s="468"/>
      <c r="AR53" s="506"/>
      <c r="AS53" s="470"/>
      <c r="AT53" s="448"/>
      <c r="AU53" s="429"/>
      <c r="AV53" s="432"/>
      <c r="AX53" s="1080"/>
      <c r="AY53" s="2726"/>
      <c r="AZ53" s="2817"/>
      <c r="BA53" s="2817"/>
      <c r="BB53" s="2817"/>
      <c r="BC53" s="2817"/>
      <c r="BD53" s="2905"/>
      <c r="BE53" s="2807"/>
      <c r="BF53" s="2685"/>
      <c r="BG53" s="2689"/>
      <c r="BH53" s="1080"/>
      <c r="BI53" s="2778"/>
      <c r="BJ53" s="2944"/>
      <c r="BK53" s="2922"/>
      <c r="BL53" s="2784"/>
      <c r="BM53" s="2690"/>
      <c r="BN53" s="2942"/>
      <c r="BO53" s="2690"/>
      <c r="BP53" s="2690"/>
      <c r="BQ53" s="2690"/>
      <c r="BR53" s="2690"/>
      <c r="BS53" s="2690"/>
      <c r="BT53" s="2690"/>
      <c r="BU53" s="2690"/>
      <c r="BV53" s="2690"/>
      <c r="BW53" s="2690"/>
      <c r="BX53" s="2690"/>
      <c r="BY53" s="2690"/>
      <c r="BZ53" s="2944"/>
      <c r="CA53" s="2944"/>
      <c r="CB53" s="2769"/>
      <c r="CC53" s="2769"/>
      <c r="CD53" s="2769"/>
      <c r="CE53" s="2769"/>
    </row>
    <row r="54" spans="1:83" ht="15.5">
      <c r="A54" s="2676" t="s">
        <v>22</v>
      </c>
      <c r="B54" s="2670"/>
      <c r="C54" s="1913"/>
      <c r="D54" s="2752"/>
      <c r="E54" s="2677"/>
      <c r="F54" s="2726"/>
      <c r="G54" s="2689"/>
      <c r="H54" s="2689"/>
      <c r="I54" s="2689"/>
      <c r="J54" s="2689"/>
      <c r="K54" s="2687"/>
      <c r="L54" s="2685"/>
      <c r="M54" s="2712"/>
      <c r="N54" s="2713"/>
      <c r="O54" s="2717"/>
      <c r="P54" s="2677"/>
      <c r="V54" s="158"/>
      <c r="W54" s="101"/>
      <c r="X54" s="52"/>
      <c r="Y54" s="101"/>
      <c r="Z54" s="140"/>
      <c r="AA54" s="101"/>
      <c r="AB54" s="101"/>
      <c r="AC54" s="39"/>
      <c r="AD54" s="406"/>
      <c r="AE54" s="428"/>
      <c r="AF54" s="439"/>
      <c r="AG54" s="661"/>
      <c r="AH54" s="453"/>
      <c r="AI54" s="475"/>
      <c r="AJ54" s="2011"/>
      <c r="AK54" s="2011"/>
      <c r="AL54" s="475"/>
      <c r="AM54" s="429"/>
      <c r="AN54" s="1975"/>
      <c r="AO54" s="476"/>
      <c r="AP54" s="477"/>
      <c r="AQ54" s="477"/>
      <c r="AR54" s="478"/>
      <c r="AS54" s="479"/>
      <c r="AT54" s="480"/>
      <c r="AU54" s="429"/>
      <c r="AV54" s="432"/>
      <c r="AX54" s="1080"/>
      <c r="AY54" s="2726"/>
      <c r="AZ54" s="2817"/>
      <c r="BA54" s="2817"/>
      <c r="BB54" s="2817"/>
      <c r="BC54" s="2817"/>
      <c r="BD54" s="2806"/>
      <c r="BE54" s="2807"/>
      <c r="BF54" s="2685"/>
      <c r="BG54" s="2689"/>
      <c r="BH54" s="1080"/>
      <c r="BI54" s="2778"/>
      <c r="BJ54" s="2944"/>
      <c r="BK54" s="2934" t="e" vm="10" cm="1">
        <f t="array" ca="1" aca="1" ref="BK54">_xlfn.LET(_xlpm.data_,_xlfn.DROP(_xlfn.ANCHORARRAY(DebtOverview!BK67),1,1),_xlpm.array_,_xlfn._xlws.FILTER(_xlpm.data_,_xlfn.CHOOSECOLS(_xlpm.data_,6)="O"),_xlpm.comp_,_xlfn.CHOOSECOLS(_xlpm.array_,1),_xlpm.items_,_xlfn.CHOOSECOLS(_xlpm.array_,2),_xlpm.code_,_xlfn.XLOOKUP(_xlpm.items_,DebtOverview!$BQ$23:$BQ$32,DebtOverview!$BN$23:$BN$32),_xlpm.parent_,_xlfn.XLOOKUP(_xlpm.items_,DebtOverview!$BQ$23:$BQ$32,DebtOverview!$BO$23:$BO$32),_xlpm.rows_,_xlfn.HSTACK(_xlpm.comp_,_xlpm.code_,_xlpm.parent_),_xlpm.repaydate_,DATEVALUE(_xlfn.CHOOSECOLS(_xlpm.array_,5)),_xlpm.year_,YEAR(_xlpm.repaydate_),_xlpm.Amt_,_xlfn.NUMBERVALUE(_xlfn.CHOOSECOLS(_xlpm.array_,7)),_xlpm.date_amt,_xlpm.repaydate_*_xlpm.Amt_,_xlpm.bi_table_1,_xlfn.GROUPBY(_xlfn.HSTACK(_xlpm.code_,_xlpm.year_),_xlfn.HSTACK(_xlpm.Amt_,_xlpm.date_amt),_xlfn.HSTACK(_xleta.SUM,_xleta.SUM),,0),_xlpm.weightedDate_1,_xlfn.DROP(_xlfn.CHOOSECOLS(_xlpm.bi_table_1,-1),1)/_xlfn.DROP(_xlfn.CHOOSECOLS(_xlpm.bi_table_1,-2),1),_xlpm.bi_table_1_,_xlfn.HSTACK(_xlfn.DROP(_xlpm.bi_table_1,1,-1),_xlpm.weightedDate_1),_xlpm.bi_table_2,_xlfn.GROUPBY(_xlfn.HSTACK(_xlpm.parent_,_xlpm.year_),_xlfn.HSTACK(_xlpm.Amt_,_xlpm.date_amt),_xlfn.HSTACK(_xleta.SUM,_xleta.SUM),,0),_xlpm.weightedDate_2,_xlfn.DROP(_xlfn.CHOOSECOLS(_xlpm.bi_table_2,-1),1)/_xlfn.DROP(_xlfn.CHOOSECOLS(_xlpm.bi_table_2,-2),1),_xlpm.bi_table_2_,_xlfn.HSTACK(_xlfn.DROP(_xlpm.bi_table_2,1,-1),_xlpm.weightedDate_2),_xlpm.bi_table,_xlfn.VSTACK(_xlpm.bi_table_1_,_xlpm.bi_table_2_),_xlpm.bi_rows,_xlfn.CHOOSECOLS(_xlpm.bi_table,1),_xlpm.bi_cols,_xlfn.CHOOSECOLS(_xlpm.bi_table,2),_xlpm.bi_data,_xlfn.CHOOSECOLS(_xlpm.bi_table,3,4),_xlpm.basepvt,_xlfn.PIVOTBY(_xlpm.bi_rows,_xlpm.bi_cols,_xlpm.bi_data,_xlfn.HSTACK(_xleta.SUM,_xleta.SUM),2,0,,0,,,),_xlpm.YearLabel,_xlfn.CHOOSEROWS(_xlpm.basepvt,2),_xlpm.Label3,_xlfn.BYCOL(_xlfn.CHOOSEROWS(_xlpm.basepvt,3),_xlfn.LAMBDA(_xlpm.x,_xlfn.SWITCH(_xlpm.x,"Value 1","AMT","Value 2","MDATE","Row Field 1","COMPANY","Row Field 2","ITEM"))),_xlpm.format_df,_xlfn.VSTACK(TEXT(_xlpm.YearLabel,"####"),_xlpm.Label3,_xlfn.DROP(_xlpm.basepvt,3)),_xlpm.col_1,_xlfn.CHOOSECOLS(_xlpm.basepvt,1),_xlpm.all_codes,_xlfn.UNIQUE(_xlfn.VSTACK(_xlpm.code_,_xlpm.parent_)),_xlpm.seq,_xlfn.XMATCH(_xlpm.all_codes,_xlpm.col_1,0),_xlpm.basepvt)</f>
        <v>#VALUE!</v>
      </c>
      <c r="BL54" s="2934"/>
      <c r="BM54" s="2934"/>
      <c r="BN54" s="2934"/>
      <c r="BO54" s="2934"/>
      <c r="BP54" s="2934"/>
      <c r="BQ54" s="2934"/>
      <c r="BR54" s="2934"/>
      <c r="BS54" s="2934"/>
      <c r="BT54" s="2934"/>
      <c r="BU54" s="2934"/>
      <c r="BV54" s="2934"/>
      <c r="BW54" s="2934"/>
      <c r="BX54" s="2934"/>
      <c r="BY54" s="2934"/>
      <c r="BZ54" s="2944"/>
      <c r="CA54" s="2944"/>
      <c r="CB54" s="2769"/>
      <c r="CC54" s="2769"/>
      <c r="CD54" s="2769"/>
      <c r="CE54" s="2769"/>
    </row>
    <row r="55" spans="1:83" ht="18">
      <c r="A55" s="2676"/>
      <c r="B55" s="2787" t="s">
        <v>1875</v>
      </c>
      <c r="C55" s="1912" t="s">
        <v>434</v>
      </c>
      <c r="D55" s="2943" t="e" cm="1">
        <f t="array" ca="1" aca="1" ref="D55">_xldudf_CX_GET(CX_ENTITY,fx_attrConverter(C55),val_asOfDate,"As of",,fx_scenarioConverter("Actual"))</f>
        <v>#NAME?</v>
      </c>
      <c r="E55" s="2677"/>
      <c r="F55" s="2726"/>
      <c r="G55" s="2741" t="s">
        <v>1784</v>
      </c>
      <c r="H55" s="2742" t="s">
        <v>431</v>
      </c>
      <c r="I55" s="2742" t="s">
        <v>1785</v>
      </c>
      <c r="J55" s="2743" t="s">
        <v>31</v>
      </c>
      <c r="K55" s="2744" t="s">
        <v>1786</v>
      </c>
      <c r="L55" s="2745" t="s">
        <v>268</v>
      </c>
      <c r="M55" s="2668"/>
      <c r="N55" s="2747" t="s">
        <v>1787</v>
      </c>
      <c r="O55" s="2748" t="s">
        <v>1869</v>
      </c>
      <c r="P55" s="2677"/>
      <c r="V55" s="158"/>
      <c r="W55" s="101"/>
      <c r="X55" s="52"/>
      <c r="Y55" s="101"/>
      <c r="Z55" s="101"/>
      <c r="AA55" s="101"/>
      <c r="AB55" s="101"/>
      <c r="AC55" s="39"/>
      <c r="AD55" s="406"/>
      <c r="AE55" s="428"/>
      <c r="AF55" s="439"/>
      <c r="AG55" s="661"/>
      <c r="AH55" s="453"/>
      <c r="AI55" s="3253">
        <f>BS!$Y$33</f>
        <v>2</v>
      </c>
      <c r="AJ55" s="2005"/>
      <c r="AK55" s="2005"/>
      <c r="AL55" s="595"/>
      <c r="AM55" s="596"/>
      <c r="AN55" s="3248" cm="1">
        <f t="array" ref="AN55">ABS(N(_xlfn.XLOOKUP(C55,BS!$B$19:$B$50,_xlfn.XLOOKUP($AN$5,_xlfn.ANCHORARRAY(BS!$AD$11),BS!$AD$19:$BN$50))))*fxVal_normal/$C$8</f>
        <v>1</v>
      </c>
      <c r="AO55" s="2870">
        <f>IF(BG58,0,IF(BG60,1,-1))</f>
        <v>-1</v>
      </c>
      <c r="AP55" s="2272">
        <f>$AN$5</f>
        <v>46022</v>
      </c>
      <c r="AQ55" s="3249">
        <f>IF(BG58,0,IF(BG59,1,-1))</f>
        <v>1</v>
      </c>
      <c r="AR55" s="690" t="str">
        <f>IF(N(AN55=0),"n/a",AR58)</f>
        <v>n/a</v>
      </c>
      <c r="AS55" s="598"/>
      <c r="AT55" s="448"/>
      <c r="AU55" s="455"/>
      <c r="AV55" s="432"/>
      <c r="AX55" s="1080"/>
      <c r="AY55" s="2726"/>
      <c r="AZ55" s="2805"/>
      <c r="BA55" s="2812"/>
      <c r="BB55" s="2812"/>
      <c r="BC55" s="2813"/>
      <c r="BD55" s="2814"/>
      <c r="BE55" s="2807"/>
      <c r="BF55" s="2745"/>
      <c r="BG55" s="2741"/>
      <c r="BH55" s="1080"/>
      <c r="BI55" s="2778"/>
      <c r="BJ55" s="2944"/>
      <c r="BK55" s="2954"/>
      <c r="BL55" s="2954"/>
      <c r="BM55" s="2954"/>
      <c r="BN55" s="2954"/>
      <c r="BO55" s="2954"/>
      <c r="BP55" s="2954"/>
      <c r="BQ55" s="2954"/>
      <c r="BR55" s="2954"/>
      <c r="BS55" s="2954"/>
      <c r="BT55" s="2954"/>
      <c r="BU55" s="2954"/>
      <c r="BV55" s="2954"/>
      <c r="BW55" s="2954"/>
      <c r="BX55" s="2954"/>
      <c r="BY55" s="2954"/>
      <c r="BZ55" s="2944"/>
      <c r="CA55" s="2944"/>
      <c r="CB55" s="2769"/>
      <c r="CC55" s="2769"/>
      <c r="CD55" s="2769"/>
      <c r="CE55" s="2769"/>
    </row>
    <row r="56" spans="1:83" ht="21" customHeight="1">
      <c r="A56" s="2676"/>
      <c r="B56" s="2787"/>
      <c r="C56" s="1677"/>
      <c r="D56" s="2752"/>
      <c r="E56" s="2677"/>
      <c r="F56" s="2726"/>
      <c r="G56" s="2684"/>
      <c r="H56" s="2684"/>
      <c r="I56" s="2684"/>
      <c r="J56" s="2684"/>
      <c r="K56" s="2687"/>
      <c r="L56" s="2685"/>
      <c r="M56" s="2715"/>
      <c r="N56" s="2720"/>
      <c r="O56" s="2721"/>
      <c r="P56" s="2677"/>
      <c r="V56" s="158"/>
      <c r="W56" s="101"/>
      <c r="X56" s="52"/>
      <c r="Y56" s="101"/>
      <c r="Z56" s="101"/>
      <c r="AA56" s="101"/>
      <c r="AB56" s="101"/>
      <c r="AC56" s="39"/>
      <c r="AD56" s="406"/>
      <c r="AE56" s="2654"/>
      <c r="AF56" s="439"/>
      <c r="AG56" s="660"/>
      <c r="AH56" s="609"/>
      <c r="AI56" s="607"/>
      <c r="AJ56" s="2007"/>
      <c r="AK56" s="2007"/>
      <c r="AL56" s="456"/>
      <c r="AM56" s="457"/>
      <c r="AN56" s="1531"/>
      <c r="AO56" s="457"/>
      <c r="AP56" s="457"/>
      <c r="AQ56" s="458"/>
      <c r="AR56" s="458"/>
      <c r="AS56" s="499"/>
      <c r="AT56" s="448"/>
      <c r="AU56" s="2655"/>
      <c r="AV56" s="2656"/>
      <c r="AX56" s="1080"/>
      <c r="AY56" s="2726"/>
      <c r="AZ56" s="2804"/>
      <c r="BA56" s="2804"/>
      <c r="BB56" s="2804"/>
      <c r="BC56" s="2804"/>
      <c r="BD56" s="2806"/>
      <c r="BE56" s="2807"/>
      <c r="BF56" s="2685"/>
      <c r="BG56" s="2684"/>
      <c r="BH56" s="1080"/>
      <c r="BI56" s="2778"/>
      <c r="BJ56" s="2944"/>
      <c r="BK56" s="2909"/>
      <c r="BL56" s="2909"/>
      <c r="BM56" s="2909"/>
      <c r="BN56" s="2909"/>
      <c r="BO56" s="2909"/>
      <c r="BP56" s="2909"/>
      <c r="BQ56" s="2909"/>
      <c r="BR56" s="2909"/>
      <c r="BS56" s="2909"/>
      <c r="BT56" s="2909"/>
      <c r="BU56" s="2909"/>
      <c r="BV56" s="2909"/>
      <c r="BW56" s="2909"/>
      <c r="BX56" s="2909"/>
      <c r="BY56" s="2909"/>
      <c r="BZ56" s="2944"/>
      <c r="CA56" s="2944"/>
      <c r="CB56" s="2769"/>
      <c r="CC56" s="2769"/>
      <c r="CD56" s="2769"/>
      <c r="CE56" s="2769"/>
    </row>
    <row r="57" spans="1:83" ht="20.25" customHeight="1">
      <c r="A57" s="2676"/>
      <c r="B57" s="2787" t="s">
        <v>1876</v>
      </c>
      <c r="C57" s="1914"/>
      <c r="D57" s="2757"/>
      <c r="E57" s="2677"/>
      <c r="F57" s="2726"/>
      <c r="G57" s="2696"/>
      <c r="H57" s="2691"/>
      <c r="I57" s="2691"/>
      <c r="J57" s="2695"/>
      <c r="K57" s="2687"/>
      <c r="L57" s="2685"/>
      <c r="M57" s="2712"/>
      <c r="N57" s="2716"/>
      <c r="O57" s="2717"/>
      <c r="P57" s="2677"/>
      <c r="V57" s="158"/>
      <c r="W57" s="101"/>
      <c r="X57" s="52"/>
      <c r="Y57" s="101"/>
      <c r="Z57" s="101"/>
      <c r="AA57" s="101"/>
      <c r="AB57" s="101"/>
      <c r="AC57" s="39"/>
      <c r="AD57" s="406"/>
      <c r="AE57" s="428"/>
      <c r="AF57" s="439"/>
      <c r="AG57" s="661"/>
      <c r="AH57" s="610"/>
      <c r="AI57" s="3080"/>
      <c r="AJ57" s="2008"/>
      <c r="AK57" s="2009"/>
      <c r="AL57" s="602"/>
      <c r="AM57" s="460"/>
      <c r="AN57" s="1535" t="s">
        <v>1791</v>
      </c>
      <c r="AO57" s="458"/>
      <c r="AP57" s="458" t="s">
        <v>1792</v>
      </c>
      <c r="AQ57" s="502"/>
      <c r="AR57" s="507" t="s">
        <v>1789</v>
      </c>
      <c r="AS57" s="500"/>
      <c r="AT57" s="448"/>
      <c r="AU57" s="429"/>
      <c r="AV57" s="432"/>
      <c r="AX57" s="1080"/>
      <c r="AY57" s="2726"/>
      <c r="AZ57" s="2805" t="s">
        <v>1784</v>
      </c>
      <c r="BA57" s="2812" t="s">
        <v>431</v>
      </c>
      <c r="BB57" s="2812" t="s">
        <v>1785</v>
      </c>
      <c r="BC57" s="2813" t="s">
        <v>31</v>
      </c>
      <c r="BD57" s="2814" t="s">
        <v>1786</v>
      </c>
      <c r="BE57" s="2807" t="s">
        <v>268</v>
      </c>
      <c r="BF57" s="2780"/>
      <c r="BG57" s="2781"/>
      <c r="BH57" s="1080"/>
      <c r="BI57" s="2778"/>
      <c r="BJ57" s="2944"/>
      <c r="BK57" s="2909"/>
      <c r="BL57" s="2909"/>
      <c r="BM57" s="2909"/>
      <c r="BN57" s="2909"/>
      <c r="BO57" s="2909"/>
      <c r="BP57" s="2909"/>
      <c r="BQ57" s="2909"/>
      <c r="BR57" s="2909"/>
      <c r="BS57" s="2909"/>
      <c r="BT57" s="2909"/>
      <c r="BU57" s="2909"/>
      <c r="BV57" s="2909"/>
      <c r="BW57" s="2909"/>
      <c r="BX57" s="2909"/>
      <c r="BY57" s="2909"/>
      <c r="BZ57" s="2944"/>
      <c r="CA57" s="2944"/>
      <c r="CB57" s="2769"/>
      <c r="CC57" s="2769"/>
      <c r="CD57" s="2769"/>
      <c r="CE57" s="2769"/>
    </row>
    <row r="58" spans="1:83" ht="24.75" customHeight="1">
      <c r="A58" s="2676"/>
      <c r="B58" s="2670" t="s">
        <v>1879</v>
      </c>
      <c r="C58" s="3356" t="s">
        <v>1797</v>
      </c>
      <c r="D58" s="2758" t="e" cm="1">
        <f t="array" ca="1" aca="1" ref="D58">_xldudf_CX_GET(CX_ENTITY,fx_attrConverter(C58),val_asOfDate)</f>
        <v>#NAME?</v>
      </c>
      <c r="E58" s="2677"/>
      <c r="F58" s="2726"/>
      <c r="G58" s="2690" t="e" cm="1">
        <f t="array" ca="1" aca="1" ref="G58">IF(D58="","",_xlfn.TEXTSPLIT(D58,"|","¶",FALSE))</f>
        <v>#NAME?</v>
      </c>
      <c r="H58" s="2691"/>
      <c r="I58" s="2691"/>
      <c r="J58" s="2695"/>
      <c r="K58" s="2687"/>
      <c r="L58" s="2685"/>
      <c r="M58" s="2712"/>
      <c r="N58" s="3306" cm="1">
        <f t="array" ref="N58">_xlfn.LET(_xlpm.cf,AN58:AN68,_xlpm.Res,_xlfn.BYROW(_xlpm.cf,_xlfn.LAMBDA(_xlpm.x,IF(AND(ISNUMBER(_xlpm.x),ISERROR(_xlpm.x)=FALSE),_xlpm.x/SUM(_xlpm.cf),""))),_xlfn._xlws.FILTER(_xlpm.Res,_xlpm.Res&lt;&gt;""))</f>
        <v>1</v>
      </c>
      <c r="O58" s="2736" t="e" vm="10" cm="1">
        <f t="array" ref="O58">_xlfn.LET(_xlpm.repay,_xlfn.ANCHORARRAY(N58),_xlpm.date,AP58:AP68,_xlpm.date_,_xlfn._xlws.FILTER(_xlpm.date,_xlpm.date&lt;&gt;""),IF((_xlpm.date_&gt;val_asOfDate),DATEDIF(val_asOfDate,_xlpm.date_,"M")/12,0))</f>
        <v>#VALUE!</v>
      </c>
      <c r="P58" s="2677"/>
      <c r="V58" s="158"/>
      <c r="W58" s="101"/>
      <c r="X58" s="52"/>
      <c r="Y58" s="101"/>
      <c r="Z58" s="101"/>
      <c r="AA58" s="101"/>
      <c r="AB58" s="101"/>
      <c r="AC58" s="39"/>
      <c r="AD58" s="406"/>
      <c r="AE58" s="428"/>
      <c r="AF58" s="439"/>
      <c r="AG58" s="661"/>
      <c r="AH58" s="610"/>
      <c r="AI58" s="3080"/>
      <c r="AJ58" s="2008"/>
      <c r="AK58" s="2009"/>
      <c r="AL58" s="602"/>
      <c r="AM58" s="460"/>
      <c r="AN58" s="3358">
        <v>511</v>
      </c>
      <c r="AO58" s="465"/>
      <c r="AP58" s="2273" t="str">
        <f t="shared" si="2" ref="AP58:AP68">IF(L58="","",DATEVALUE(TEXT(VALUE(L58),"mmm-yyyy")))</f>
        <v/>
      </c>
      <c r="AQ58" s="639"/>
      <c r="AR58" s="3082" t="str">
        <f>IFERROR(SUMPRODUCT(_xlfn.ANCHORARRAY(N58),_xlfn.ANCHORARRAY(O58)),"n/a")</f>
        <v>n/a</v>
      </c>
      <c r="AS58" s="501"/>
      <c r="AT58" s="448"/>
      <c r="AU58" s="429"/>
      <c r="AV58" s="432"/>
      <c r="AX58" s="1080"/>
      <c r="AY58" s="2726"/>
      <c r="AZ58" s="2818" t="str" cm="1">
        <f t="array" ca="1" aca="1" ref="AZ58:BE58">_xlfn.LET(_xlpm._amt,AN58:AN68,_xlpm._dates,AP58:AP68,_xlpm.attribute,C58,_xlpm.entity,val_company,_xlpm.lookthru,1,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Therme Horizon</v>
      </c>
      <c r="BA58" s="2819" t="str">
        <f ca="1"/>
        <v>Junior Instrument(s) Line</v>
      </c>
      <c r="BB58" s="3337">
        <f ca="1"/>
        <v>1</v>
      </c>
      <c r="BC58" s="2825" t="e">
        <f ca="1"/>
        <v>#NAME?</v>
      </c>
      <c r="BD58" s="2822">
        <f ca="1"/>
        <v>511000000</v>
      </c>
      <c r="BE58" s="2823" t="str">
        <f ca="1"/>
        <v/>
      </c>
      <c r="BF58" s="2685" t="s">
        <v>1956</v>
      </c>
      <c r="BG58" s="2694" t="b" cm="1">
        <f t="array" ref="BG58">AND(OR(AND((AN58:AP68=0),AND(AN58:AP68="")),AN55=0))</f>
        <v>0</v>
      </c>
      <c r="BH58" s="1080"/>
      <c r="BI58" s="2778"/>
      <c r="BJ58" s="2944"/>
      <c r="BK58" s="2909"/>
      <c r="BL58" s="2909"/>
      <c r="BM58" s="2909"/>
      <c r="BN58" s="2909"/>
      <c r="BO58" s="2909"/>
      <c r="BP58" s="2909"/>
      <c r="BQ58" s="2909"/>
      <c r="BR58" s="2909"/>
      <c r="BS58" s="2909"/>
      <c r="BT58" s="2909"/>
      <c r="BU58" s="2909"/>
      <c r="BV58" s="2909"/>
      <c r="BW58" s="2909"/>
      <c r="BX58" s="2909"/>
      <c r="BY58" s="2909"/>
      <c r="BZ58" s="2944"/>
      <c r="CA58" s="2944"/>
      <c r="CB58" s="2769"/>
      <c r="CC58" s="2769"/>
      <c r="CD58" s="2769"/>
      <c r="CE58" s="2769"/>
    </row>
    <row r="59" spans="1:83" ht="24.75" customHeight="1">
      <c r="A59" s="2676"/>
      <c r="B59" s="2670" t="s">
        <v>1870</v>
      </c>
      <c r="C59" s="1912" t="s">
        <v>1797</v>
      </c>
      <c r="D59" s="2758" t="e">
        <f ca="1">IF(D60,_xlfn.TEXTJOIN("¶",FALSE,_xlfn.BYROW(_xlfn.ANCHORARRAY(AZ58),_xlfn.LAMBDA(_xlpm.row,_xlfn.TEXTJOIN("|",FALSE,_xlpm.row)))),"")</f>
        <v>#NAME?</v>
      </c>
      <c r="E59" s="2677"/>
      <c r="F59" s="2726"/>
      <c r="G59" s="2690"/>
      <c r="H59" s="2689"/>
      <c r="I59" s="2691"/>
      <c r="J59" s="2695"/>
      <c r="K59" s="2687"/>
      <c r="L59" s="2685"/>
      <c r="M59" s="2712"/>
      <c r="N59" s="2730"/>
      <c r="O59" s="2731"/>
      <c r="P59" s="2677"/>
      <c r="V59" s="158"/>
      <c r="W59" s="101"/>
      <c r="X59" s="52"/>
      <c r="Y59" s="101"/>
      <c r="Z59" s="101"/>
      <c r="AA59" s="101"/>
      <c r="AB59" s="101"/>
      <c r="AC59" s="39"/>
      <c r="AD59" s="406"/>
      <c r="AE59" s="428"/>
      <c r="AF59" s="439"/>
      <c r="AG59" s="661"/>
      <c r="AH59" s="610"/>
      <c r="AI59" s="3080"/>
      <c r="AJ59" s="2008"/>
      <c r="AK59" s="2009"/>
      <c r="AL59" s="602"/>
      <c r="AM59" s="460"/>
      <c r="AN59" s="3357"/>
      <c r="AO59" s="465"/>
      <c r="AP59" s="2273" t="str">
        <f t="shared" si="2"/>
        <v/>
      </c>
      <c r="AQ59" s="639"/>
      <c r="AR59" s="3083"/>
      <c r="AS59" s="501"/>
      <c r="AT59" s="448"/>
      <c r="AU59" s="429"/>
      <c r="AV59" s="432"/>
      <c r="AX59" s="1080"/>
      <c r="AY59" s="2726"/>
      <c r="AZ59" s="2818"/>
      <c r="BA59" s="2826"/>
      <c r="BB59" s="2819"/>
      <c r="BC59" s="2825"/>
      <c r="BD59" s="2822"/>
      <c r="BE59" s="2823"/>
      <c r="BF59" s="2685" t="s">
        <v>1954</v>
      </c>
      <c r="BG59" s="3252" t="b">
        <f>ROWS(_xlfn.ANCHORARRAY(N58))=ROWS(_xlfn.ANCHORARRAY(O58))</f>
        <v>1</v>
      </c>
      <c r="BH59" s="1080"/>
      <c r="BI59" s="2778"/>
      <c r="BJ59" s="2945"/>
      <c r="BK59" s="2909"/>
      <c r="BL59" s="2909"/>
      <c r="BM59" s="2909"/>
      <c r="BN59" s="2909"/>
      <c r="BO59" s="2909"/>
      <c r="BP59" s="2909"/>
      <c r="BQ59" s="2909"/>
      <c r="BR59" s="2909"/>
      <c r="BS59" s="2909"/>
      <c r="BT59" s="2909"/>
      <c r="BU59" s="2909"/>
      <c r="BV59" s="2909"/>
      <c r="BW59" s="2909"/>
      <c r="BX59" s="2909"/>
      <c r="BY59" s="2909"/>
      <c r="BZ59" s="2945"/>
      <c r="CA59" s="2945"/>
      <c r="CB59" s="2769"/>
      <c r="CC59" s="2769"/>
      <c r="CD59" s="2769"/>
      <c r="CE59" s="2769"/>
    </row>
    <row r="60" spans="1:83" ht="24.75" customHeight="1">
      <c r="A60" s="2676"/>
      <c r="B60" s="2670" t="s">
        <v>1864</v>
      </c>
      <c r="C60" s="1912" t="s">
        <v>1797</v>
      </c>
      <c r="D60" s="2755" t="e" cm="1">
        <f t="array" ca="1" aca="1" ref="D60">IF(ISERROR(AZ58),FALSE,OR(AZ58:BE58&lt;&gt;""))</f>
        <v>#NAME?</v>
      </c>
      <c r="E60" s="2677"/>
      <c r="F60" s="2726"/>
      <c r="G60" s="2690"/>
      <c r="H60" s="2689"/>
      <c r="I60" s="2691"/>
      <c r="J60" s="2695"/>
      <c r="K60" s="2687"/>
      <c r="L60" s="2685"/>
      <c r="M60" s="2712"/>
      <c r="N60" s="2730"/>
      <c r="O60" s="2731"/>
      <c r="P60" s="2677"/>
      <c r="V60" s="158"/>
      <c r="W60" s="101"/>
      <c r="X60" s="52"/>
      <c r="Y60" s="101"/>
      <c r="Z60" s="101"/>
      <c r="AA60" s="101"/>
      <c r="AB60" s="101"/>
      <c r="AC60" s="39"/>
      <c r="AD60" s="406"/>
      <c r="AE60" s="428"/>
      <c r="AF60" s="439"/>
      <c r="AG60" s="661"/>
      <c r="AH60" s="610"/>
      <c r="AI60" s="3080"/>
      <c r="AJ60" s="2008"/>
      <c r="AK60" s="2009"/>
      <c r="AL60" s="602"/>
      <c r="AM60" s="460"/>
      <c r="AN60" s="3357"/>
      <c r="AO60" s="465"/>
      <c r="AP60" s="2273" t="str">
        <f t="shared" si="2"/>
        <v/>
      </c>
      <c r="AQ60" s="639"/>
      <c r="AR60" s="3083"/>
      <c r="AS60" s="501"/>
      <c r="AT60" s="448"/>
      <c r="AU60" s="429"/>
      <c r="AV60" s="432"/>
      <c r="AX60" s="1080"/>
      <c r="AY60" s="2726"/>
      <c r="AZ60" s="2818"/>
      <c r="BA60" s="2826"/>
      <c r="BB60" s="2819"/>
      <c r="BC60" s="2825"/>
      <c r="BD60" s="2822"/>
      <c r="BE60" s="2823"/>
      <c r="BF60" s="2685" t="s">
        <v>1955</v>
      </c>
      <c r="BG60" s="2690" t="b" cm="1">
        <f t="array" ref="BG60">ABS(SUM(_xlfn._xlws.FILTER(AN58:AN68,AP58:AP68&gt;=val_asOfDate))-AN55)&lt;1</f>
        <v>0</v>
      </c>
      <c r="BH60" s="1080"/>
      <c r="BI60" s="2778"/>
      <c r="BJ60" s="2945"/>
      <c r="BK60" s="2909"/>
      <c r="BL60" s="2909"/>
      <c r="BM60" s="2909"/>
      <c r="BN60" s="2909"/>
      <c r="BO60" s="2909"/>
      <c r="BP60" s="2909"/>
      <c r="BQ60" s="2909"/>
      <c r="BR60" s="2909"/>
      <c r="BS60" s="2909"/>
      <c r="BT60" s="2909"/>
      <c r="BU60" s="2909"/>
      <c r="BV60" s="2909"/>
      <c r="BW60" s="2909"/>
      <c r="BX60" s="2909"/>
      <c r="BY60" s="2909"/>
      <c r="BZ60" s="2945"/>
      <c r="CA60" s="2945"/>
      <c r="CB60" s="2769"/>
      <c r="CC60" s="2769"/>
      <c r="CD60" s="2769"/>
      <c r="CE60" s="2769"/>
    </row>
    <row r="61" spans="1:83" ht="24.75" customHeight="1">
      <c r="A61" s="2676"/>
      <c r="B61" s="2670" t="s">
        <v>1867</v>
      </c>
      <c r="C61" s="1912" t="s">
        <v>1797</v>
      </c>
      <c r="D61" s="2755" t="e" cm="1">
        <f t="array" ca="1" aca="1" ref="D61">IF(D60,_xldudf_CX_PUSH(D59,CX_ENTITY,fx_attrConverter(C58),val_asOfDate),"No Push")</f>
        <v>#NAME?</v>
      </c>
      <c r="E61" s="2677"/>
      <c r="F61" s="2726"/>
      <c r="G61" s="2690"/>
      <c r="H61" s="2689"/>
      <c r="I61" s="2691"/>
      <c r="J61" s="2695"/>
      <c r="K61" s="2687"/>
      <c r="L61" s="2685"/>
      <c r="M61" s="2712"/>
      <c r="N61" s="2730"/>
      <c r="O61" s="2732"/>
      <c r="P61" s="2677"/>
      <c r="V61" s="158"/>
      <c r="W61" s="101"/>
      <c r="X61" s="52"/>
      <c r="Y61" s="101"/>
      <c r="Z61" s="126"/>
      <c r="AA61" s="101"/>
      <c r="AB61" s="101"/>
      <c r="AC61" s="39"/>
      <c r="AD61" s="406"/>
      <c r="AE61" s="428"/>
      <c r="AF61" s="439"/>
      <c r="AG61" s="661"/>
      <c r="AH61" s="610"/>
      <c r="AI61" s="3080"/>
      <c r="AJ61" s="2008"/>
      <c r="AK61" s="2009"/>
      <c r="AL61" s="602"/>
      <c r="AM61" s="460"/>
      <c r="AN61" s="3357"/>
      <c r="AO61" s="465"/>
      <c r="AP61" s="2273" t="str">
        <f t="shared" si="2"/>
        <v/>
      </c>
      <c r="AQ61" s="639"/>
      <c r="AR61" s="3083"/>
      <c r="AS61" s="501"/>
      <c r="AT61" s="448"/>
      <c r="AU61" s="429"/>
      <c r="AV61" s="432"/>
      <c r="AX61" s="1080"/>
      <c r="AY61" s="2726"/>
      <c r="AZ61" s="2818"/>
      <c r="BA61" s="2826"/>
      <c r="BB61" s="2819"/>
      <c r="BC61" s="2825"/>
      <c r="BD61" s="2822"/>
      <c r="BE61" s="2823"/>
      <c r="BF61" s="2685"/>
      <c r="BG61" s="2690"/>
      <c r="BH61" s="1080"/>
      <c r="BI61" s="2778"/>
      <c r="BJ61" s="2913"/>
      <c r="BK61" s="2909"/>
      <c r="BL61" s="2909"/>
      <c r="BM61" s="2909"/>
      <c r="BN61" s="2909"/>
      <c r="BO61" s="2909"/>
      <c r="BP61" s="2909"/>
      <c r="BQ61" s="2909"/>
      <c r="BR61" s="2909"/>
      <c r="BS61" s="2909"/>
      <c r="BT61" s="2909"/>
      <c r="BU61" s="2909"/>
      <c r="BV61" s="2909"/>
      <c r="BW61" s="2909"/>
      <c r="BX61" s="2909"/>
      <c r="BY61" s="2909"/>
      <c r="BZ61" s="2913"/>
      <c r="CA61" s="2913"/>
      <c r="CB61" s="2769"/>
      <c r="CC61" s="2769"/>
      <c r="CD61" s="2769"/>
      <c r="CE61" s="2769"/>
    </row>
    <row r="62" spans="1:83" ht="24.75" customHeight="1">
      <c r="A62" s="2676"/>
      <c r="B62" s="2670" t="s">
        <v>1867</v>
      </c>
      <c r="C62" s="1912" t="s">
        <v>1797</v>
      </c>
      <c r="D62" s="2755" t="e" cm="1">
        <f t="array" ca="1" aca="1" ref="D62">IF(D60,_xldudf_CX_PUSH(D59,CX_ENTITY,fx_attrConverter(C58),EOMONTH(val_asOfDate,3)),"No Push")</f>
        <v>#NAME?</v>
      </c>
      <c r="E62" s="2677"/>
      <c r="F62" s="2726"/>
      <c r="G62" s="2690"/>
      <c r="H62" s="2689"/>
      <c r="I62" s="2691"/>
      <c r="J62" s="2695"/>
      <c r="K62" s="2687"/>
      <c r="L62" s="2685"/>
      <c r="M62" s="2712"/>
      <c r="N62" s="2730"/>
      <c r="O62" s="2732"/>
      <c r="P62" s="2677"/>
      <c r="V62" s="158"/>
      <c r="W62" s="101"/>
      <c r="X62" s="52"/>
      <c r="Y62" s="101"/>
      <c r="Z62" s="126"/>
      <c r="AA62" s="101"/>
      <c r="AB62" s="101"/>
      <c r="AC62" s="39"/>
      <c r="AD62" s="406"/>
      <c r="AE62" s="428"/>
      <c r="AF62" s="439"/>
      <c r="AG62" s="661"/>
      <c r="AH62" s="610"/>
      <c r="AI62" s="3080"/>
      <c r="AJ62" s="2008"/>
      <c r="AK62" s="2009"/>
      <c r="AL62" s="602"/>
      <c r="AM62" s="460"/>
      <c r="AN62" s="3357"/>
      <c r="AO62" s="465"/>
      <c r="AP62" s="2273" t="str">
        <f t="shared" si="2"/>
        <v/>
      </c>
      <c r="AQ62" s="639"/>
      <c r="AR62" s="503" t="s">
        <v>1795</v>
      </c>
      <c r="AS62" s="501"/>
      <c r="AT62" s="448"/>
      <c r="AU62" s="429"/>
      <c r="AV62" s="432"/>
      <c r="AX62" s="1080"/>
      <c r="AY62" s="2726"/>
      <c r="AZ62" s="2818"/>
      <c r="BA62" s="2826"/>
      <c r="BB62" s="2819"/>
      <c r="BC62" s="2825"/>
      <c r="BD62" s="2822"/>
      <c r="BE62" s="2823"/>
      <c r="BF62" s="2685"/>
      <c r="BG62" s="2690"/>
      <c r="BH62" s="1080"/>
      <c r="BI62" s="2778"/>
      <c r="BJ62" s="2913"/>
      <c r="BK62" s="2944"/>
      <c r="BL62" s="2944"/>
      <c r="BM62" s="2944"/>
      <c r="BN62" s="2944"/>
      <c r="BO62" s="2944"/>
      <c r="BP62" s="2944"/>
      <c r="BQ62" s="2944"/>
      <c r="BR62" s="2944"/>
      <c r="BS62" s="2944"/>
      <c r="BT62" s="2944"/>
      <c r="BU62" s="2944"/>
      <c r="BV62" s="2944"/>
      <c r="BW62" s="2944"/>
      <c r="BX62" s="2944"/>
      <c r="BY62" s="2944"/>
      <c r="BZ62" s="2913"/>
      <c r="CA62" s="2913"/>
      <c r="CB62" s="2769"/>
      <c r="CC62" s="2769"/>
      <c r="CD62" s="2769"/>
      <c r="CE62" s="2769"/>
    </row>
    <row r="63" spans="1:83" ht="24.75" customHeight="1">
      <c r="A63" s="2676"/>
      <c r="B63" s="2670" t="s">
        <v>1867</v>
      </c>
      <c r="C63" s="1912" t="s">
        <v>1797</v>
      </c>
      <c r="D63" s="2755" t="e" cm="1">
        <f t="array" ca="1" aca="1" ref="D63">IF(D60,_xldudf_CX_PUSH(D59,CX_ENTITY,fx_attrConverter(C58),EOMONTH(val_asOfDate,2)),"No Push")</f>
        <v>#NAME?</v>
      </c>
      <c r="E63" s="2677"/>
      <c r="F63" s="2726"/>
      <c r="G63" s="2690"/>
      <c r="H63" s="2689"/>
      <c r="I63" s="2691"/>
      <c r="J63" s="2695"/>
      <c r="K63" s="2687"/>
      <c r="L63" s="2685"/>
      <c r="M63" s="2712"/>
      <c r="N63" s="2730"/>
      <c r="O63" s="2732"/>
      <c r="P63" s="2677"/>
      <c r="V63" s="158"/>
      <c r="W63" s="101"/>
      <c r="X63" s="52"/>
      <c r="Y63" s="101"/>
      <c r="Z63" s="126"/>
      <c r="AA63" s="101"/>
      <c r="AB63" s="101"/>
      <c r="AC63" s="39"/>
      <c r="AD63" s="406"/>
      <c r="AE63" s="428"/>
      <c r="AF63" s="439"/>
      <c r="AG63" s="661"/>
      <c r="AH63" s="610"/>
      <c r="AI63" s="3080"/>
      <c r="AJ63" s="2008"/>
      <c r="AK63" s="2009"/>
      <c r="AL63" s="602"/>
      <c r="AM63" s="460"/>
      <c r="AN63" s="3357"/>
      <c r="AO63" s="465"/>
      <c r="AP63" s="2273" t="str">
        <f t="shared" si="2"/>
        <v/>
      </c>
      <c r="AQ63" s="639"/>
      <c r="AR63" s="504"/>
      <c r="AS63" s="501"/>
      <c r="AT63" s="448"/>
      <c r="AU63" s="429"/>
      <c r="AV63" s="432"/>
      <c r="AX63" s="1080"/>
      <c r="AY63" s="2726"/>
      <c r="AZ63" s="2818"/>
      <c r="BA63" s="2826"/>
      <c r="BB63" s="2819"/>
      <c r="BC63" s="2825"/>
      <c r="BD63" s="2822"/>
      <c r="BE63" s="2823"/>
      <c r="BF63" s="2685"/>
      <c r="BG63" s="2690"/>
      <c r="BH63" s="1080"/>
      <c r="BI63" s="2778"/>
      <c r="BJ63" s="2913"/>
      <c r="BK63" s="2944"/>
      <c r="BL63" s="2944"/>
      <c r="BM63" s="2944"/>
      <c r="BN63" s="2944"/>
      <c r="BO63" s="2944"/>
      <c r="BP63" s="2944"/>
      <c r="BQ63" s="2944"/>
      <c r="BR63" s="2944"/>
      <c r="BS63" s="2944"/>
      <c r="BT63" s="2944"/>
      <c r="BU63" s="2944"/>
      <c r="BV63" s="2944"/>
      <c r="BW63" s="2944"/>
      <c r="BX63" s="2944"/>
      <c r="BY63" s="2944"/>
      <c r="BZ63" s="2913"/>
      <c r="CA63" s="2913"/>
      <c r="CB63" s="2769"/>
      <c r="CC63" s="2769"/>
      <c r="CD63" s="2769"/>
      <c r="CE63" s="2769"/>
    </row>
    <row r="64" spans="1:83" ht="24.75" customHeight="1">
      <c r="A64" s="2676"/>
      <c r="B64" s="2670" t="s">
        <v>1867</v>
      </c>
      <c r="C64" s="1912" t="s">
        <v>1797</v>
      </c>
      <c r="D64" s="2755" t="e" cm="1">
        <f t="array" ca="1" aca="1" ref="D64">IF(D60,_xldudf_CX_PUSH(D59,CX_ENTITY,fx_attrConverter(C58),EOMONTH(val_asOfDate,13)),"No Push")</f>
        <v>#NAME?</v>
      </c>
      <c r="E64" s="2677"/>
      <c r="F64" s="2726"/>
      <c r="G64" s="2690"/>
      <c r="H64" s="2689"/>
      <c r="I64" s="2691"/>
      <c r="J64" s="2695"/>
      <c r="K64" s="2687"/>
      <c r="L64" s="2685"/>
      <c r="M64" s="2712"/>
      <c r="N64" s="2730"/>
      <c r="O64" s="2732"/>
      <c r="P64" s="2677"/>
      <c r="V64" s="158"/>
      <c r="W64" s="101"/>
      <c r="X64" s="52"/>
      <c r="Y64" s="101"/>
      <c r="Z64" s="539"/>
      <c r="AA64" s="101"/>
      <c r="AB64" s="101"/>
      <c r="AC64" s="39"/>
      <c r="AD64" s="406"/>
      <c r="AE64" s="428"/>
      <c r="AF64" s="439"/>
      <c r="AG64" s="661"/>
      <c r="AH64" s="610"/>
      <c r="AI64" s="3080"/>
      <c r="AJ64" s="2008"/>
      <c r="AK64" s="2009"/>
      <c r="AL64" s="602"/>
      <c r="AM64" s="460"/>
      <c r="AN64" s="3357"/>
      <c r="AO64" s="465"/>
      <c r="AP64" s="2273" t="str">
        <f t="shared" si="2"/>
        <v/>
      </c>
      <c r="AQ64" s="639"/>
      <c r="AR64" s="504"/>
      <c r="AS64" s="501"/>
      <c r="AT64" s="448"/>
      <c r="AU64" s="429"/>
      <c r="AV64" s="432"/>
      <c r="AX64" s="1080"/>
      <c r="AY64" s="2726"/>
      <c r="AZ64" s="2818"/>
      <c r="BA64" s="2826"/>
      <c r="BB64" s="2819"/>
      <c r="BC64" s="2825"/>
      <c r="BD64" s="2822"/>
      <c r="BE64" s="2823"/>
      <c r="BF64" s="2685"/>
      <c r="BG64" s="2690"/>
      <c r="BH64" s="1080"/>
      <c r="BI64" s="2778"/>
      <c r="BJ64" s="2913"/>
      <c r="BK64" s="2924"/>
      <c r="BL64" s="2913"/>
      <c r="BM64" s="2912"/>
      <c r="BN64" s="2911"/>
      <c r="BO64" s="2914"/>
      <c r="BP64" s="2910"/>
      <c r="BQ64" s="2910"/>
      <c r="BR64" s="2910"/>
      <c r="BS64" s="2910"/>
      <c r="BT64" s="2910"/>
      <c r="BU64" s="2910"/>
      <c r="BV64" s="2910"/>
      <c r="BW64" s="2769"/>
      <c r="BX64" s="2769"/>
      <c r="BY64" s="2769"/>
      <c r="BZ64" s="2913"/>
      <c r="CA64" s="2769"/>
      <c r="CB64" s="2769"/>
      <c r="CC64" s="2769"/>
      <c r="CD64" s="2769"/>
      <c r="CE64" s="2769"/>
    </row>
    <row r="65" spans="1:83" ht="24.75" customHeight="1">
      <c r="A65" s="2676"/>
      <c r="B65" s="1912"/>
      <c r="C65" s="1912"/>
      <c r="D65" s="2758"/>
      <c r="E65" s="2677"/>
      <c r="F65" s="2726"/>
      <c r="G65" s="2690"/>
      <c r="H65" s="2689"/>
      <c r="I65" s="2691"/>
      <c r="J65" s="2695"/>
      <c r="K65" s="2687"/>
      <c r="L65" s="2685"/>
      <c r="M65" s="2712"/>
      <c r="N65" s="2730"/>
      <c r="O65" s="2731"/>
      <c r="P65" s="2677"/>
      <c r="V65" s="158"/>
      <c r="W65" s="101"/>
      <c r="X65" s="52"/>
      <c r="Y65" s="101"/>
      <c r="Z65" s="126"/>
      <c r="AA65" s="101"/>
      <c r="AB65" s="101"/>
      <c r="AC65" s="39"/>
      <c r="AD65" s="406"/>
      <c r="AE65" s="428"/>
      <c r="AF65" s="439"/>
      <c r="AG65" s="661"/>
      <c r="AH65" s="610"/>
      <c r="AI65" s="3080"/>
      <c r="AJ65" s="2008"/>
      <c r="AK65" s="2009"/>
      <c r="AL65" s="602"/>
      <c r="AM65" s="460"/>
      <c r="AN65" s="3357"/>
      <c r="AO65" s="465"/>
      <c r="AP65" s="2273" t="str">
        <f t="shared" si="2"/>
        <v/>
      </c>
      <c r="AQ65" s="639"/>
      <c r="AR65" s="504"/>
      <c r="AS65" s="501"/>
      <c r="AT65" s="448"/>
      <c r="AU65" s="429"/>
      <c r="AV65" s="432"/>
      <c r="AX65" s="1080"/>
      <c r="AY65" s="2726"/>
      <c r="AZ65" s="2818"/>
      <c r="BA65" s="2826"/>
      <c r="BB65" s="2819"/>
      <c r="BC65" s="2825"/>
      <c r="BD65" s="2822"/>
      <c r="BE65" s="2823"/>
      <c r="BF65" s="2685"/>
      <c r="BG65" s="2690"/>
      <c r="BH65" s="1080"/>
      <c r="BI65" s="2778"/>
      <c r="BJ65" s="2784"/>
      <c r="BK65" s="2931" t="s">
        <v>1972</v>
      </c>
      <c r="BL65" s="2784"/>
      <c r="BM65" s="2690"/>
      <c r="BN65" s="2942"/>
      <c r="BO65" s="2690"/>
      <c r="BP65" s="2690"/>
      <c r="BQ65" s="2690"/>
      <c r="BR65" s="2690"/>
      <c r="BS65" s="2690"/>
      <c r="BT65" s="2690"/>
      <c r="BU65" s="2690"/>
      <c r="BV65" s="2690"/>
      <c r="BW65" s="2690"/>
      <c r="BX65" s="2690"/>
      <c r="BY65" s="2690"/>
      <c r="BZ65" s="2694"/>
      <c r="CA65" s="2690"/>
      <c r="CB65" s="2690"/>
      <c r="CC65" s="2690"/>
      <c r="CD65" s="2690"/>
      <c r="CE65" s="2690"/>
    </row>
    <row r="66" spans="1:83" ht="24.75" customHeight="1">
      <c r="A66" s="2676"/>
      <c r="B66" s="1912"/>
      <c r="C66" s="1912"/>
      <c r="D66" s="2758"/>
      <c r="E66" s="2677"/>
      <c r="F66" s="2726"/>
      <c r="G66" s="2690"/>
      <c r="H66" s="2689"/>
      <c r="I66" s="2691"/>
      <c r="J66" s="2695"/>
      <c r="K66" s="2687"/>
      <c r="L66" s="2685"/>
      <c r="M66" s="2712"/>
      <c r="N66" s="2730"/>
      <c r="O66" s="2731"/>
      <c r="P66" s="2677"/>
      <c r="V66" s="158"/>
      <c r="W66" s="101"/>
      <c r="X66" s="52"/>
      <c r="Y66" s="101"/>
      <c r="Z66" s="126"/>
      <c r="AA66" s="101"/>
      <c r="AB66" s="101"/>
      <c r="AC66" s="39"/>
      <c r="AD66" s="406"/>
      <c r="AE66" s="428"/>
      <c r="AF66" s="439"/>
      <c r="AG66" s="661"/>
      <c r="AH66" s="610"/>
      <c r="AI66" s="3080"/>
      <c r="AJ66" s="2008"/>
      <c r="AK66" s="2009"/>
      <c r="AL66" s="602"/>
      <c r="AM66" s="460"/>
      <c r="AN66" s="3357"/>
      <c r="AO66" s="465"/>
      <c r="AP66" s="2273" t="str">
        <f t="shared" si="2"/>
        <v/>
      </c>
      <c r="AQ66" s="639"/>
      <c r="AR66" s="504"/>
      <c r="AS66" s="501"/>
      <c r="AT66" s="448"/>
      <c r="AU66" s="429"/>
      <c r="AV66" s="432"/>
      <c r="AX66" s="1080"/>
      <c r="AY66" s="2726"/>
      <c r="AZ66" s="2818"/>
      <c r="BA66" s="2826"/>
      <c r="BB66" s="2819"/>
      <c r="BC66" s="2825"/>
      <c r="BD66" s="2822"/>
      <c r="BE66" s="2823"/>
      <c r="BF66" s="2685"/>
      <c r="BG66" s="2690"/>
      <c r="BH66" s="1080"/>
      <c r="BI66" s="2778"/>
      <c r="BJ66" s="2784"/>
      <c r="BK66" s="2922"/>
      <c r="BL66" s="2784"/>
      <c r="BM66" s="2690"/>
      <c r="BN66" s="2942"/>
      <c r="BO66" s="2690"/>
      <c r="BP66" s="2690"/>
      <c r="BQ66" s="2690"/>
      <c r="BR66" s="2690"/>
      <c r="BS66" s="2690"/>
      <c r="BT66" s="2690"/>
      <c r="BU66" s="2690"/>
      <c r="BV66" s="2690"/>
      <c r="BW66" s="2690"/>
      <c r="BX66" s="2690"/>
      <c r="BY66" s="2690"/>
      <c r="BZ66" s="2694"/>
      <c r="CA66" s="2690"/>
      <c r="CB66" s="2690"/>
      <c r="CC66" s="2690"/>
      <c r="CD66" s="2690"/>
      <c r="CE66" s="2690"/>
    </row>
    <row r="67" spans="1:83" ht="24.75" customHeight="1">
      <c r="A67" s="2676"/>
      <c r="B67" s="1912"/>
      <c r="C67" s="1912"/>
      <c r="D67" s="2758"/>
      <c r="E67" s="2677"/>
      <c r="F67" s="2726"/>
      <c r="G67" s="2690"/>
      <c r="H67" s="2689"/>
      <c r="I67" s="2691"/>
      <c r="J67" s="2695"/>
      <c r="K67" s="2687"/>
      <c r="L67" s="2685"/>
      <c r="M67" s="2712"/>
      <c r="N67" s="2730"/>
      <c r="O67" s="2731"/>
      <c r="P67" s="2677"/>
      <c r="V67" s="158"/>
      <c r="W67" s="101"/>
      <c r="X67" s="52"/>
      <c r="Y67" s="101"/>
      <c r="Z67" s="126"/>
      <c r="AA67" s="101"/>
      <c r="AB67" s="101"/>
      <c r="AC67" s="39"/>
      <c r="AD67" s="406"/>
      <c r="AE67" s="428"/>
      <c r="AF67" s="439"/>
      <c r="AG67" s="661"/>
      <c r="AH67" s="610"/>
      <c r="AI67" s="3080"/>
      <c r="AJ67" s="2008"/>
      <c r="AK67" s="2009"/>
      <c r="AL67" s="602"/>
      <c r="AM67" s="460"/>
      <c r="AN67" s="1967" t="str">
        <f>IF(K67="","",_xlfn.NUMBERVALUE(K67)/IF($D$8,DebtOverview!fxVal_normal,1))</f>
        <v/>
      </c>
      <c r="AO67" s="465"/>
      <c r="AP67" s="2273" t="str">
        <f t="shared" si="2"/>
        <v/>
      </c>
      <c r="AQ67" s="639"/>
      <c r="AR67" s="504"/>
      <c r="AS67" s="501"/>
      <c r="AT67" s="448"/>
      <c r="AU67" s="429"/>
      <c r="AV67" s="432"/>
      <c r="AX67" s="1080"/>
      <c r="AY67" s="2726"/>
      <c r="AZ67" s="2818"/>
      <c r="BA67" s="2826"/>
      <c r="BB67" s="2819"/>
      <c r="BC67" s="2825"/>
      <c r="BD67" s="2822"/>
      <c r="BE67" s="2823"/>
      <c r="BF67" s="2685"/>
      <c r="BG67" s="2690"/>
      <c r="BH67" s="1080"/>
      <c r="BI67" s="2778"/>
      <c r="BJ67" s="2894"/>
      <c r="BK67" s="2946" t="e" cm="1">
        <f t="array" ca="1" aca="1" ref="BK67">_xlfn.LET(_xlpm.Head,_xlfn.TEXTSPLIT("LegalEntity,Type,LookThrough,Currency,Amt,Date,LookThrough",",",FALSE),_xlpm.BlankArray,_xlfn.LAMBDA(_xlpm.x,_xlpm.y,_xlfn.MAKEARRAY(_xlpm.x,_xlpm.y,_xlfn.LAMBDA(_xlpm.x,_xlpm.y,""))),_xlpm.UNPACK_,_xlfn.LAMBDA(_xlpm.packed,IFERROR(_xlfn.TEXTSPLIT(_xlpm.packed,"|","¶",FALSE),BlankRow)),_xlpm.PACK_,_xlfn.LAMBDA(_xlpm.tbl,_xlfn.TEXTJOIN("¶",FALSE,_xlfn.BYROW(_xlpm.tbl,_xlfn.LAMBDA(_xlpm.row,_xlfn.TEXTJOIN("|",FALSE,_xlpm.row))))),_xlpm.ISBLANKTAB_,_xlfn.LAMBDA(_xlpm.tableStr,TRIM(SUBSTITUTE(SUBSTITUTE(_xlpm.tableStr,"|",""),"¶",""))=""),_xlpm.filtList,$BP$23:$BP$32,_xlpm.LineAttrList,_xlfn._xlws.FILTER(_xlfn.ANCHORARRAY($BR$23),_xlpm.filtList),_xlpm.TotalList,_xlfn._xlws.FILTER($BM$23:$BM$32,_xlpm.filtList),_xlpm.FullTable,_xlfn.REDUCE(_xlpm.Head,_xlpm.LineAttrList,_xlfn.LAMBDA(_xlpm.acc,_xlpm.curr,_xlfn.LET(_xlpm.curr_Date,val_asOfDate,_xlpm.total_amt,_xlfn.XLOOKUP(_xlpm.curr,_xlpm.LineAttrList,_xlpm.TotalList),_xlpm.cond,OR(ISERROR(_xlpm.curr),_xlpm.curr=""),_xlpm.currArray_,IF(_xlpm.cond=FALSE,UNPACK(_xlpm.curr)),_xlpm.dateCol,DATEVALUE(_xlfn.CHOOSECOLS(_xlpm.currArray_,6)),_xlpm.currArray,_xlfn.SORTBY(_xlpm.currArray_,_xlpm.dateCol,1),_xlpm.amtCol,_xlfn.CHOOSECOLS(_xlpm.currArray_,5),_xlpm.Amt_Sort_by_date,_xlfn.SORTBY(_xlpm.amtCol,_xlpm.dateCol,-1),_xlpm.RunTotal_rev,_xlfn.SCAN(0,_xlpm.Amt_Sort_by_date,_xleta.SUM)-_xlpm.Amt_Sort_by_date,_xlpm.RunTotal,_xlfn.SORTBY(_xlpm.RunTotal_rev,_xlfn.SEQUENCE(ROWS(_xlpm.RunTotal_rev)),-1),_xlpm.AddMeta,IF(_xlfn.SEQUENCE(ROWS(_xlpm.currArray)),_xlfn.HSTACK(_xlpm.curr_Date,_xlpm.total_amt,val_company)),_xlpm.full_curr,_xlfn.HSTACK(_xlpm.currArray,_xlpm.RunTotal,_xlpm.AddMeta),_xlpm.RESULT,IF(_xlpm.cond,UNPACK(_xlpm.acc),_xlfn.VSTACK(UNPACK(_xlpm.acc),_xlpm.full_curr)),_xlpm.RESULT))),_xlpm.FullData,_xlfn.DROP(_xlpm.FullTable,1),_xlpm._Ent,_xlfn.CHOOSECOLS(_xlpm.FullData,1),_xlpm._type,_xlfn.CHOOSECOLS(_xlpm.FullData,2),_xlpm._LookThru,TEXT(_xlfn.NUMBERVALUE(_xlfn.CHOOSECOLS(_xlpm.FullData,3)),"0.0%"),_xlpm._Currency,_xlfn.CHOOSECOLS(_xlpm.FullData,4),_xlpm._amt,_xlfn.NUMBERVALUE(_xlfn.CHOOSECOLS(_xlpm.FullData,5)),_xlpm._date,TEXT(_xlfn.CHOOSECOLS(_xlpm.FullData,6),"dd/mm/yyyy"),_xlpm._Runtotal,_xlfn.NUMBERVALUE(_xlfn.CHOOSECOLS(_xlpm.FullData,7)),_xlpm._AsofDate,TEXT(_xlfn.CHOOSECOLS(_xlpm.FullData,8),"dd/mm/yyyy"),_xlpm._total,_xlfn.NUMBERVALUE(_xlfn.CHOOSECOLS(_xlpm.FullData,9)),_xlpm._company,_xlfn.CHOOSECOLS(_xlpm.FullData,10),_xlpm._status,_xlfn.BYROW(_xlpm._date,_xlfn.LAMBDA(_xlpm.x,IFERROR(IF(DATEVALUE(_xlpm.x)&lt;=val_asOfDate,"C","O"),"C"))),_xlpm._finalHeader,_xlfn.TEXTSPLIT("COMPANY|INSTRUMENT|CURRENT_BALANCE|AS_OF_DATE|PAYMENT_DATE|STATUS|AMOUNT|FORECAST_BALANC|LOOK_THRU|LOOK_THRU_AMOUNT|CURRENCY|ENTITY","|"),_xlpm._result,_xlfn.VSTACK(_xlpm._finalHeader,_xlfn.HSTACK(_xlpm._company,_xlpm._type,_xlpm._total,_xlpm._AsofDate,_xlpm._date,_xlpm._status,_xlpm._amt,_xlpm._Runtotal,_xlpm._LookThru,_xlpm._LookThru*_xlpm._amt,_xlpm._Currency,_xlpm._Ent)),_xlfn.HSTACK(_xlfn.SEQUENCE(ROWS(_xlpm._result),1,0),_xlpm._result))</f>
        <v>#NAME?</v>
      </c>
      <c r="BL67" s="2894"/>
      <c r="BM67" s="2894"/>
      <c r="BN67" s="2895"/>
      <c r="BO67" s="2881"/>
      <c r="BP67" s="2885"/>
      <c r="BQ67" s="2882"/>
      <c r="BR67" s="2882"/>
      <c r="BS67" s="2883"/>
      <c r="BT67" s="2883"/>
      <c r="BU67" s="2883"/>
      <c r="BV67" s="2883"/>
      <c r="BW67" s="2690"/>
      <c r="BX67" s="2690"/>
      <c r="BY67" s="2690"/>
      <c r="BZ67" s="2694"/>
      <c r="CA67" s="2690"/>
      <c r="CB67" s="2690"/>
      <c r="CC67" s="2690"/>
      <c r="CD67" s="2690"/>
      <c r="CE67" s="2690"/>
    </row>
    <row r="68" spans="1:83" ht="24.75" customHeight="1">
      <c r="A68" s="2676"/>
      <c r="B68" s="1912"/>
      <c r="C68" s="1912"/>
      <c r="D68" s="2758"/>
      <c r="E68" s="2677"/>
      <c r="F68" s="2726"/>
      <c r="G68" s="2690"/>
      <c r="H68" s="2689"/>
      <c r="I68" s="2691"/>
      <c r="J68" s="2695"/>
      <c r="K68" s="2687"/>
      <c r="L68" s="2685"/>
      <c r="M68" s="2712"/>
      <c r="N68" s="2730"/>
      <c r="O68" s="2731"/>
      <c r="P68" s="2677"/>
      <c r="V68" s="158"/>
      <c r="W68" s="101"/>
      <c r="X68" s="52"/>
      <c r="Y68" s="101"/>
      <c r="Z68" s="126"/>
      <c r="AA68" s="101"/>
      <c r="AB68" s="101"/>
      <c r="AC68" s="39"/>
      <c r="AD68" s="406"/>
      <c r="AE68" s="428"/>
      <c r="AF68" s="439"/>
      <c r="AG68" s="661"/>
      <c r="AH68" s="610"/>
      <c r="AI68" s="3080"/>
      <c r="AJ68" s="2008"/>
      <c r="AK68" s="2009"/>
      <c r="AL68" s="602"/>
      <c r="AM68" s="460"/>
      <c r="AN68" s="1967" t="str">
        <f>IF(K68="","",_xlfn.NUMBERVALUE(K68)/IF($D$8,DebtOverview!fxVal_normal,1))</f>
        <v/>
      </c>
      <c r="AO68" s="465"/>
      <c r="AP68" s="2273" t="str">
        <f t="shared" si="2"/>
        <v/>
      </c>
      <c r="AQ68" s="639"/>
      <c r="AR68" s="505"/>
      <c r="AS68" s="501"/>
      <c r="AT68" s="448"/>
      <c r="AU68" s="429"/>
      <c r="AV68" s="432"/>
      <c r="AX68" s="1080"/>
      <c r="AY68" s="2726"/>
      <c r="AZ68" s="2818"/>
      <c r="BA68" s="2826"/>
      <c r="BB68" s="2819"/>
      <c r="BC68" s="2825"/>
      <c r="BD68" s="2822"/>
      <c r="BE68" s="2823"/>
      <c r="BF68" s="2685"/>
      <c r="BG68" s="2690"/>
      <c r="BH68" s="1080"/>
      <c r="BI68" s="2778"/>
      <c r="BJ68" s="2913"/>
      <c r="BK68" s="2924"/>
      <c r="BL68" s="2913"/>
      <c r="BM68" s="2912"/>
      <c r="BN68" s="2911"/>
      <c r="BO68" s="2914"/>
      <c r="BP68" s="2910"/>
      <c r="BQ68" s="2910"/>
      <c r="BR68" s="2910"/>
      <c r="BS68" s="2910"/>
      <c r="BT68" s="2910"/>
      <c r="BU68" s="2910"/>
      <c r="BV68" s="2910"/>
      <c r="BW68" s="2769"/>
      <c r="BX68" s="2769"/>
      <c r="BY68" s="2769"/>
      <c r="BZ68" s="2953"/>
      <c r="CA68" s="2769"/>
      <c r="CB68" s="2769"/>
      <c r="CC68" s="2769"/>
      <c r="CD68" s="2769"/>
      <c r="CE68" s="2769"/>
    </row>
    <row r="69" spans="1:83" ht="16.5" customHeight="1">
      <c r="A69" s="2676"/>
      <c r="B69" s="2670"/>
      <c r="C69" s="1913"/>
      <c r="D69" s="2752"/>
      <c r="E69" s="2677"/>
      <c r="F69" s="2726"/>
      <c r="G69" s="2689"/>
      <c r="H69" s="2689"/>
      <c r="I69" s="2689"/>
      <c r="J69" s="2689"/>
      <c r="K69" s="2687"/>
      <c r="L69" s="2685"/>
      <c r="M69" s="2712"/>
      <c r="N69" s="2713"/>
      <c r="O69" s="2717"/>
      <c r="P69" s="2677"/>
      <c r="V69" s="158"/>
      <c r="W69" s="101"/>
      <c r="X69" s="52"/>
      <c r="Y69" s="101"/>
      <c r="Z69" s="126"/>
      <c r="AA69" s="101"/>
      <c r="AB69" s="101"/>
      <c r="AC69" s="39"/>
      <c r="AD69" s="406"/>
      <c r="AE69" s="428"/>
      <c r="AF69" s="439"/>
      <c r="AG69" s="661"/>
      <c r="AH69" s="610"/>
      <c r="AI69" s="608"/>
      <c r="AJ69" s="2010"/>
      <c r="AK69" s="2010"/>
      <c r="AL69" s="466"/>
      <c r="AM69" s="467"/>
      <c r="AN69" s="1533" cm="1">
        <f t="array" ref="AN69">IF(N(AN55)=0,0,IFERROR(SUM(_xlfn._xlws.FILTER(AN58:AN68,AP58:AP68&gt;val_asOfDate)),0))</f>
        <v>511</v>
      </c>
      <c r="AO69" s="469"/>
      <c r="AP69" s="468"/>
      <c r="AQ69" s="468"/>
      <c r="AR69" s="506"/>
      <c r="AS69" s="470"/>
      <c r="AT69" s="448"/>
      <c r="AU69" s="429"/>
      <c r="AV69" s="432"/>
      <c r="AX69" s="1080"/>
      <c r="AY69" s="2726"/>
      <c r="AZ69" s="2817"/>
      <c r="BA69" s="2817"/>
      <c r="BB69" s="2817"/>
      <c r="BC69" s="2817"/>
      <c r="BD69" s="2806"/>
      <c r="BE69" s="2807"/>
      <c r="BF69" s="2685"/>
      <c r="BG69" s="2689"/>
      <c r="BH69" s="1080"/>
      <c r="BI69" s="2778"/>
      <c r="BJ69" s="2913"/>
      <c r="BK69" s="2924"/>
      <c r="BL69" s="2913"/>
      <c r="BM69" s="2912"/>
      <c r="BN69" s="2911"/>
      <c r="BO69" s="2914"/>
      <c r="BP69" s="2910"/>
      <c r="BQ69" s="2910"/>
      <c r="BR69" s="2910"/>
      <c r="BS69" s="2910"/>
      <c r="BT69" s="2910"/>
      <c r="BU69" s="2910"/>
      <c r="BV69" s="2910"/>
      <c r="BW69" s="2769"/>
      <c r="BX69" s="2769"/>
      <c r="BY69" s="2769"/>
      <c r="BZ69" s="2953"/>
      <c r="CA69" s="2769"/>
      <c r="CB69" s="2769"/>
      <c r="CC69" s="2769"/>
      <c r="CD69" s="2769"/>
      <c r="CE69" s="2769"/>
    </row>
    <row r="70" spans="1:83" ht="15.5">
      <c r="A70" s="2676" t="s">
        <v>22</v>
      </c>
      <c r="B70" s="2670"/>
      <c r="C70" s="1913"/>
      <c r="D70" s="2752"/>
      <c r="E70" s="2677"/>
      <c r="F70" s="2726"/>
      <c r="G70" s="2689"/>
      <c r="H70" s="2689"/>
      <c r="I70" s="2689"/>
      <c r="J70" s="2689"/>
      <c r="K70" s="2687"/>
      <c r="L70" s="2685"/>
      <c r="M70" s="2712"/>
      <c r="N70" s="2713"/>
      <c r="O70" s="2717"/>
      <c r="P70" s="2677"/>
      <c r="V70" s="158"/>
      <c r="W70" s="101"/>
      <c r="X70" s="52"/>
      <c r="Y70" s="101"/>
      <c r="Z70" s="126"/>
      <c r="AA70" s="101"/>
      <c r="AB70" s="101"/>
      <c r="AC70" s="39"/>
      <c r="AD70" s="406"/>
      <c r="AE70" s="428"/>
      <c r="AF70" s="439"/>
      <c r="AG70" s="661"/>
      <c r="AH70" s="453"/>
      <c r="AI70" s="475"/>
      <c r="AJ70" s="2011"/>
      <c r="AK70" s="2011"/>
      <c r="AL70" s="475"/>
      <c r="AM70" s="429"/>
      <c r="AN70" s="1975"/>
      <c r="AO70" s="476"/>
      <c r="AP70" s="477"/>
      <c r="AQ70" s="477"/>
      <c r="AR70" s="478"/>
      <c r="AS70" s="479"/>
      <c r="AT70" s="480"/>
      <c r="AU70" s="429"/>
      <c r="AV70" s="432"/>
      <c r="AX70" s="1080"/>
      <c r="AY70" s="2726"/>
      <c r="AZ70" s="2817"/>
      <c r="BA70" s="2817"/>
      <c r="BB70" s="2817"/>
      <c r="BC70" s="2817"/>
      <c r="BD70" s="2806"/>
      <c r="BE70" s="2807"/>
      <c r="BF70" s="2685"/>
      <c r="BG70" s="2689"/>
      <c r="BH70" s="1080"/>
      <c r="BI70" s="2778"/>
      <c r="BJ70" s="2888"/>
      <c r="BK70" s="2925"/>
      <c r="BL70" s="2888"/>
      <c r="BM70" s="2899"/>
      <c r="BN70" s="2872"/>
      <c r="BO70" s="2889"/>
      <c r="BP70" s="2808"/>
      <c r="BQ70" s="2808"/>
      <c r="BR70" s="2808"/>
      <c r="BS70" s="2808"/>
      <c r="BT70" s="2808"/>
      <c r="BU70" s="2808"/>
      <c r="BV70" s="2808"/>
      <c r="BW70" s="2690"/>
      <c r="BX70" s="2690"/>
      <c r="BY70" s="2690"/>
      <c r="BZ70" s="2694"/>
      <c r="CA70" s="2690"/>
      <c r="CB70" s="2690"/>
      <c r="CC70" s="2690"/>
      <c r="CD70" s="2690"/>
      <c r="CE70" s="2690"/>
    </row>
    <row r="71" spans="1:83" ht="18">
      <c r="A71" s="2676"/>
      <c r="B71" s="2787" t="s">
        <v>1875</v>
      </c>
      <c r="C71" s="1912" t="s">
        <v>435</v>
      </c>
      <c r="D71" s="2943" t="e" cm="1">
        <f t="array" ca="1" aca="1" ref="D71">_xldudf_CX_GET(CX_ENTITY,fx_attrConverter(C71),val_asOfDate,"As of",,fx_scenarioConverter("Actual"))</f>
        <v>#NAME?</v>
      </c>
      <c r="E71" s="2677"/>
      <c r="F71" s="2726"/>
      <c r="G71" s="2741" t="s">
        <v>1784</v>
      </c>
      <c r="H71" s="2742" t="s">
        <v>431</v>
      </c>
      <c r="I71" s="2742" t="s">
        <v>1785</v>
      </c>
      <c r="J71" s="2743" t="s">
        <v>31</v>
      </c>
      <c r="K71" s="2744" t="s">
        <v>1786</v>
      </c>
      <c r="L71" s="2745" t="s">
        <v>268</v>
      </c>
      <c r="M71" s="2668"/>
      <c r="N71" s="2747" t="s">
        <v>1787</v>
      </c>
      <c r="O71" s="2748" t="s">
        <v>1869</v>
      </c>
      <c r="P71" s="2677"/>
      <c r="V71" s="1245"/>
      <c r="W71" s="101"/>
      <c r="X71" s="52"/>
      <c r="Y71" s="101"/>
      <c r="Z71" s="126"/>
      <c r="AA71" s="101"/>
      <c r="AB71" s="101"/>
      <c r="AC71" s="39"/>
      <c r="AD71" s="406"/>
      <c r="AE71" s="428"/>
      <c r="AF71" s="439"/>
      <c r="AG71" s="661"/>
      <c r="AH71" s="453"/>
      <c r="AI71" s="3253">
        <f>BS!$Y$34</f>
        <v>2</v>
      </c>
      <c r="AJ71" s="2005"/>
      <c r="AK71" s="2005"/>
      <c r="AL71" s="595"/>
      <c r="AM71" s="596"/>
      <c r="AN71" s="3248" cm="1">
        <f t="array" ref="AN71">ABS(N(_xlfn.XLOOKUP(C71,BS!$B$19:$B$50,_xlfn.XLOOKUP($AN$5,_xlfn.ANCHORARRAY(BS!$AD$11),BS!$AD$19:$BN$50))))*fxVal_normal/$C$8</f>
        <v>1</v>
      </c>
      <c r="AO71" s="2870">
        <f>IF(BG74,0,IF(BG76,1,-1))</f>
        <v>-1</v>
      </c>
      <c r="AP71" s="2272">
        <f>$AN$5</f>
        <v>46022</v>
      </c>
      <c r="AQ71" s="3249">
        <f>IF(BG74,0,IF(BG75,1,-1))</f>
        <v>1</v>
      </c>
      <c r="AR71" s="690" t="str">
        <f>IF(N(AN71=0),"n/a",AR74)</f>
        <v>n/a</v>
      </c>
      <c r="AS71" s="598"/>
      <c r="AT71" s="448"/>
      <c r="AU71" s="455"/>
      <c r="AV71" s="432"/>
      <c r="AX71" s="1080"/>
      <c r="AY71" s="2726"/>
      <c r="AZ71" s="2805"/>
      <c r="BA71" s="2812"/>
      <c r="BB71" s="2812"/>
      <c r="BC71" s="2813"/>
      <c r="BD71" s="2814"/>
      <c r="BE71" s="2807"/>
      <c r="BF71" s="2745"/>
      <c r="BG71" s="2741"/>
      <c r="BH71" s="1080"/>
      <c r="BI71" s="2778"/>
      <c r="BJ71" s="2888"/>
      <c r="BK71" s="2925"/>
      <c r="BL71" s="2888"/>
      <c r="BM71" s="2899"/>
      <c r="BN71" s="2872"/>
      <c r="BO71" s="2889"/>
      <c r="BP71" s="2808"/>
      <c r="BQ71" s="2808"/>
      <c r="BR71" s="2808"/>
      <c r="BS71" s="2808"/>
      <c r="BT71" s="2808"/>
      <c r="BU71" s="2808"/>
      <c r="BV71" s="2808"/>
      <c r="BW71" s="2690"/>
      <c r="BX71" s="2690"/>
      <c r="BY71" s="2690"/>
      <c r="BZ71" s="2694"/>
      <c r="CA71" s="2690"/>
      <c r="CB71" s="2690"/>
      <c r="CC71" s="2690"/>
      <c r="CD71" s="2690"/>
      <c r="CE71" s="2690"/>
    </row>
    <row r="72" spans="1:83" ht="21" customHeight="1">
      <c r="A72" s="2676"/>
      <c r="B72" s="2787"/>
      <c r="C72" s="1677"/>
      <c r="D72" s="2752"/>
      <c r="E72" s="2677"/>
      <c r="F72" s="2726"/>
      <c r="G72" s="2684"/>
      <c r="H72" s="2684"/>
      <c r="I72" s="2684"/>
      <c r="J72" s="2684"/>
      <c r="K72" s="2687"/>
      <c r="L72" s="2685"/>
      <c r="M72" s="2715"/>
      <c r="N72" s="2720"/>
      <c r="O72" s="2721"/>
      <c r="P72" s="2677"/>
      <c r="V72" s="158"/>
      <c r="W72" s="101"/>
      <c r="X72" s="52"/>
      <c r="Y72" s="101"/>
      <c r="Z72" s="126"/>
      <c r="AA72" s="101"/>
      <c r="AB72" s="101"/>
      <c r="AC72" s="39"/>
      <c r="AD72" s="406"/>
      <c r="AE72" s="2654"/>
      <c r="AF72" s="439"/>
      <c r="AG72" s="660"/>
      <c r="AH72" s="609"/>
      <c r="AI72" s="607"/>
      <c r="AJ72" s="2007"/>
      <c r="AK72" s="2007"/>
      <c r="AL72" s="456"/>
      <c r="AM72" s="457"/>
      <c r="AN72" s="1531"/>
      <c r="AO72" s="457"/>
      <c r="AP72" s="457"/>
      <c r="AQ72" s="458"/>
      <c r="AR72" s="458"/>
      <c r="AS72" s="499"/>
      <c r="AT72" s="448"/>
      <c r="AU72" s="2655"/>
      <c r="AV72" s="2656"/>
      <c r="AX72" s="1080"/>
      <c r="AY72" s="2726"/>
      <c r="AZ72" s="2804"/>
      <c r="BA72" s="2804"/>
      <c r="BB72" s="2804"/>
      <c r="BC72" s="2804"/>
      <c r="BD72" s="2806"/>
      <c r="BE72" s="2807"/>
      <c r="BF72" s="2685"/>
      <c r="BG72" s="2684"/>
      <c r="BH72" s="1080"/>
      <c r="BI72" s="2778"/>
      <c r="BJ72" s="2888"/>
      <c r="BK72" s="2925"/>
      <c r="BL72" s="2888"/>
      <c r="BM72" s="2899"/>
      <c r="BN72" s="2872"/>
      <c r="BO72" s="2889"/>
      <c r="BP72" s="2808"/>
      <c r="BQ72" s="2808"/>
      <c r="BR72" s="2808"/>
      <c r="BS72" s="2808"/>
      <c r="BT72" s="2808"/>
      <c r="BU72" s="2808"/>
      <c r="BV72" s="2808"/>
      <c r="BW72" s="2690"/>
      <c r="BX72" s="2690"/>
      <c r="BY72" s="2690"/>
      <c r="BZ72" s="2694"/>
      <c r="CA72" s="2690"/>
      <c r="CB72" s="2690"/>
      <c r="CC72" s="2690"/>
      <c r="CD72" s="2690"/>
      <c r="CE72" s="2690"/>
    </row>
    <row r="73" spans="1:83" ht="20.25" customHeight="1">
      <c r="A73" s="2676"/>
      <c r="B73" s="2787" t="s">
        <v>1876</v>
      </c>
      <c r="C73" s="1914"/>
      <c r="D73" s="2757"/>
      <c r="E73" s="2677"/>
      <c r="F73" s="2726"/>
      <c r="G73" s="2696"/>
      <c r="H73" s="2691"/>
      <c r="I73" s="2691"/>
      <c r="J73" s="2695"/>
      <c r="K73" s="2687"/>
      <c r="L73" s="2685"/>
      <c r="M73" s="2712"/>
      <c r="N73" s="2716"/>
      <c r="O73" s="2717"/>
      <c r="P73" s="2677"/>
      <c r="V73" s="158"/>
      <c r="W73" s="101"/>
      <c r="X73" s="52"/>
      <c r="Y73" s="101"/>
      <c r="Z73" s="126"/>
      <c r="AA73" s="101"/>
      <c r="AB73" s="101"/>
      <c r="AC73" s="39"/>
      <c r="AD73" s="406"/>
      <c r="AE73" s="428"/>
      <c r="AF73" s="439"/>
      <c r="AG73" s="661"/>
      <c r="AH73" s="610"/>
      <c r="AI73" s="3080"/>
      <c r="AJ73" s="2008"/>
      <c r="AK73" s="2009"/>
      <c r="AL73" s="602"/>
      <c r="AM73" s="460"/>
      <c r="AN73" s="1535" t="s">
        <v>1791</v>
      </c>
      <c r="AO73" s="458"/>
      <c r="AP73" s="458" t="s">
        <v>1792</v>
      </c>
      <c r="AQ73" s="502"/>
      <c r="AR73" s="507" t="s">
        <v>1789</v>
      </c>
      <c r="AS73" s="500"/>
      <c r="AT73" s="448"/>
      <c r="AU73" s="429"/>
      <c r="AV73" s="432"/>
      <c r="AX73" s="1080"/>
      <c r="AY73" s="2726"/>
      <c r="AZ73" s="2805" t="s">
        <v>1784</v>
      </c>
      <c r="BA73" s="2812" t="s">
        <v>431</v>
      </c>
      <c r="BB73" s="2812" t="s">
        <v>1785</v>
      </c>
      <c r="BC73" s="2813" t="s">
        <v>31</v>
      </c>
      <c r="BD73" s="2814" t="s">
        <v>1786</v>
      </c>
      <c r="BE73" s="2807" t="s">
        <v>268</v>
      </c>
      <c r="BF73" s="2780"/>
      <c r="BG73" s="2781"/>
      <c r="BH73" s="1080"/>
      <c r="BI73" s="2778"/>
      <c r="BJ73" s="2888"/>
      <c r="BK73" s="2925"/>
      <c r="BL73" s="2888"/>
      <c r="BM73" s="2899"/>
      <c r="BN73" s="2872"/>
      <c r="BO73" s="2889"/>
      <c r="BP73" s="2808"/>
      <c r="BQ73" s="2808"/>
      <c r="BR73" s="2808"/>
      <c r="BS73" s="2808"/>
      <c r="BT73" s="2808"/>
      <c r="BU73" s="2808"/>
      <c r="BV73" s="2808"/>
      <c r="BW73" s="2690"/>
      <c r="BX73" s="2690"/>
      <c r="BY73" s="2690"/>
      <c r="BZ73" s="2694"/>
      <c r="CA73" s="2690"/>
      <c r="CB73" s="2690"/>
      <c r="CC73" s="2690"/>
      <c r="CD73" s="2690"/>
      <c r="CE73" s="2690"/>
    </row>
    <row r="74" spans="1:83" ht="24.75" customHeight="1">
      <c r="A74" s="2676"/>
      <c r="B74" s="2670" t="s">
        <v>1879</v>
      </c>
      <c r="C74" s="3356" t="s">
        <v>1798</v>
      </c>
      <c r="D74" s="2758" t="e" cm="1">
        <f t="array" ca="1" aca="1" ref="D74">_xldudf_CX_GET(CX_ENTITY,fx_attrConverter(C74),val_asOfDate)</f>
        <v>#NAME?</v>
      </c>
      <c r="E74" s="2677"/>
      <c r="F74" s="2726"/>
      <c r="G74" s="2690" t="e" cm="1">
        <f t="array" ca="1" aca="1" ref="G74">IF(D74="","",_xlfn.TEXTSPLIT(D74,"|","¶",FALSE))</f>
        <v>#NAME?</v>
      </c>
      <c r="H74" s="2691"/>
      <c r="I74" s="2691"/>
      <c r="J74" s="2695"/>
      <c r="K74" s="2687"/>
      <c r="L74" s="2685"/>
      <c r="M74" s="2712"/>
      <c r="N74" s="2735" t="e" vm="10" cm="1">
        <f t="array" ref="N74">_xlfn.LET(_xlpm.cf,AN74:AN84,_xlpm.Res,_xlfn.BYROW(_xlpm.cf,_xlfn.LAMBDA(_xlpm.x,IF(AND(ISNUMBER(_xlpm.x),ISERROR(_xlpm.x)=FALSE),_xlpm.x/SUM(_xlpm.cf),""))),_xlfn._xlws.FILTER(_xlpm.Res,_xlpm.Res&lt;&gt;""))</f>
        <v>#VALUE!</v>
      </c>
      <c r="O74" s="2736" t="e" vm="10" cm="1">
        <f t="array" ref="O74">_xlfn.LET(_xlpm.repay,_xlfn.ANCHORARRAY(N74),_xlpm.date,AP74:AP84,_xlpm.date_,_xlfn._xlws.FILTER(_xlpm.date,_xlpm.date&lt;&gt;""),IF((_xlpm.date_&gt;val_asOfDate),DATEDIF(val_asOfDate,_xlpm.date_,"M")/12,0))</f>
        <v>#VALUE!</v>
      </c>
      <c r="P74" s="2677"/>
      <c r="V74" s="158"/>
      <c r="W74" s="2"/>
      <c r="X74" s="52"/>
      <c r="Y74" s="2"/>
      <c r="Z74" s="539"/>
      <c r="AA74" s="2"/>
      <c r="AB74" s="2"/>
      <c r="AC74" s="39"/>
      <c r="AD74" s="406"/>
      <c r="AE74" s="428"/>
      <c r="AF74" s="439"/>
      <c r="AG74" s="661"/>
      <c r="AH74" s="610"/>
      <c r="AI74" s="3080"/>
      <c r="AJ74" s="2008"/>
      <c r="AK74" s="2009"/>
      <c r="AL74" s="602"/>
      <c r="AM74" s="460"/>
      <c r="AN74" s="3357"/>
      <c r="AO74" s="465"/>
      <c r="AP74" s="3359"/>
      <c r="AQ74" s="639"/>
      <c r="AR74" s="3082" t="str">
        <f>IFERROR(SUMPRODUCT(_xlfn.ANCHORARRAY(N74),_xlfn.ANCHORARRAY(O74)),"n/a")</f>
        <v>n/a</v>
      </c>
      <c r="AS74" s="501"/>
      <c r="AT74" s="448"/>
      <c r="AU74" s="429"/>
      <c r="AV74" s="432"/>
      <c r="AX74" s="1080"/>
      <c r="AY74" s="2726"/>
      <c r="AZ74" s="2818" t="e" vm="10" cm="1">
        <f t="array" ref="AZ74">_xlfn.LET(_xlpm._amt,AN74:AN84,_xlpm._dates,AP74:AP84,_xlpm.attribute,C74,_xlpm.entity,val_company,_xlpm.lookthru,1,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#VALUE!</v>
      </c>
      <c r="BA74" s="2819"/>
      <c r="BB74" s="2819"/>
      <c r="BC74" s="2825"/>
      <c r="BD74" s="2822"/>
      <c r="BE74" s="2823"/>
      <c r="BF74" s="2685" t="s">
        <v>1956</v>
      </c>
      <c r="BG74" s="2694" t="b" cm="1">
        <f t="array" ref="BG74">AND(OR(AND((AN74:AP84=0),AND(AN74:AP84="")),AN71=0))</f>
        <v>0</v>
      </c>
      <c r="BH74" s="1080"/>
      <c r="BI74" s="2778"/>
      <c r="BJ74" s="2888"/>
      <c r="BK74" s="2925"/>
      <c r="BL74" s="2888"/>
      <c r="BM74" s="2899"/>
      <c r="BN74" s="2872"/>
      <c r="BO74" s="2889"/>
      <c r="BP74" s="2808"/>
      <c r="BQ74" s="2808"/>
      <c r="BR74" s="2808"/>
      <c r="BS74" s="2808"/>
      <c r="BT74" s="2808"/>
      <c r="BU74" s="2808"/>
      <c r="BV74" s="2808"/>
      <c r="BW74" s="2690"/>
      <c r="BX74" s="2690"/>
      <c r="BY74" s="2690"/>
      <c r="BZ74" s="2694"/>
      <c r="CA74" s="2690"/>
      <c r="CB74" s="2690"/>
      <c r="CC74" s="2690"/>
      <c r="CD74" s="2690"/>
      <c r="CE74" s="2690"/>
    </row>
    <row r="75" spans="1:83" ht="24.75" customHeight="1">
      <c r="A75" s="2676"/>
      <c r="B75" s="2670" t="s">
        <v>1870</v>
      </c>
      <c r="C75" s="1912" t="s">
        <v>1798</v>
      </c>
      <c r="D75" s="2758" t="str">
        <f>IF(D76,_xlfn.TEXTJOIN("¶",FALSE,_xlfn.BYROW(_xlfn.ANCHORARRAY(AZ74),_xlfn.LAMBDA(_xlpm.row,_xlfn.TEXTJOIN("|",FALSE,_xlpm.row)))),"")</f>
        <v/>
      </c>
      <c r="E75" s="2677"/>
      <c r="F75" s="2726"/>
      <c r="G75" s="2690"/>
      <c r="H75" s="2689"/>
      <c r="I75" s="2691"/>
      <c r="J75" s="2695"/>
      <c r="K75" s="2687"/>
      <c r="L75" s="2685"/>
      <c r="M75" s="2712"/>
      <c r="N75" s="2730"/>
      <c r="O75" s="2731"/>
      <c r="P75" s="2677"/>
      <c r="V75" s="158"/>
      <c r="W75" s="101"/>
      <c r="X75" s="52"/>
      <c r="Y75" s="101"/>
      <c r="Z75" s="126"/>
      <c r="AA75" s="101"/>
      <c r="AB75" s="101"/>
      <c r="AC75" s="39"/>
      <c r="AD75" s="406"/>
      <c r="AE75" s="428"/>
      <c r="AF75" s="439"/>
      <c r="AG75" s="661"/>
      <c r="AH75" s="610"/>
      <c r="AI75" s="3080"/>
      <c r="AJ75" s="2008"/>
      <c r="AK75" s="2009"/>
      <c r="AL75" s="602"/>
      <c r="AM75" s="460"/>
      <c r="AN75" s="3357"/>
      <c r="AO75" s="465"/>
      <c r="AP75" s="3359"/>
      <c r="AQ75" s="639"/>
      <c r="AR75" s="3083"/>
      <c r="AS75" s="501"/>
      <c r="AT75" s="448"/>
      <c r="AU75" s="429"/>
      <c r="AV75" s="432"/>
      <c r="AX75" s="1080"/>
      <c r="AY75" s="2726"/>
      <c r="AZ75" s="2818"/>
      <c r="BA75" s="2826"/>
      <c r="BB75" s="2819"/>
      <c r="BC75" s="2825"/>
      <c r="BD75" s="2822"/>
      <c r="BE75" s="2823"/>
      <c r="BF75" s="2685" t="s">
        <v>1954</v>
      </c>
      <c r="BG75" s="3252" t="b">
        <f>ROWS(_xlfn.ANCHORARRAY(N74))=ROWS(_xlfn.ANCHORARRAY(O74))</f>
        <v>1</v>
      </c>
      <c r="BH75" s="1080"/>
      <c r="BI75" s="2778"/>
      <c r="BJ75" s="2888"/>
      <c r="BK75" s="2925"/>
      <c r="BL75" s="2888"/>
      <c r="BM75" s="2899"/>
      <c r="BN75" s="2872"/>
      <c r="BO75" s="2889"/>
      <c r="BP75" s="2808"/>
      <c r="BQ75" s="2808"/>
      <c r="BR75" s="2808"/>
      <c r="BS75" s="2808"/>
      <c r="BT75" s="2808"/>
      <c r="BU75" s="2808"/>
      <c r="BV75" s="2808"/>
      <c r="BW75" s="2690"/>
      <c r="BX75" s="2690"/>
      <c r="BY75" s="2690"/>
      <c r="BZ75" s="2694"/>
      <c r="CA75" s="2690"/>
      <c r="CB75" s="2690"/>
      <c r="CC75" s="2690"/>
      <c r="CD75" s="2690"/>
      <c r="CE75" s="2690"/>
    </row>
    <row r="76" spans="1:83" ht="24.75" customHeight="1">
      <c r="A76" s="2676"/>
      <c r="B76" s="2670" t="s">
        <v>1864</v>
      </c>
      <c r="C76" s="1912" t="s">
        <v>1798</v>
      </c>
      <c r="D76" s="2755" t="b" cm="1">
        <f t="array" ref="D76">IF(ISERROR(AZ74),FALSE,OR(AZ74:BE74&lt;&gt;""))</f>
        <v>0</v>
      </c>
      <c r="E76" s="2677"/>
      <c r="F76" s="2726"/>
      <c r="G76" s="2690"/>
      <c r="H76" s="2689"/>
      <c r="I76" s="2691"/>
      <c r="J76" s="2695"/>
      <c r="K76" s="2687"/>
      <c r="L76" s="2685"/>
      <c r="M76" s="2712"/>
      <c r="N76" s="2730"/>
      <c r="O76" s="2731"/>
      <c r="P76" s="2677"/>
      <c r="V76" s="158"/>
      <c r="W76" s="101"/>
      <c r="X76" s="52"/>
      <c r="Y76" s="101"/>
      <c r="Z76" s="126"/>
      <c r="AA76" s="101"/>
      <c r="AB76" s="101"/>
      <c r="AC76" s="39"/>
      <c r="AD76" s="406"/>
      <c r="AE76" s="428"/>
      <c r="AF76" s="439"/>
      <c r="AG76" s="661"/>
      <c r="AH76" s="610"/>
      <c r="AI76" s="3080"/>
      <c r="AJ76" s="2008"/>
      <c r="AK76" s="2009"/>
      <c r="AL76" s="602"/>
      <c r="AM76" s="460"/>
      <c r="AN76" s="1967" t="str">
        <f>IF(K76="","",_xlfn.NUMBERVALUE(K76)/IF($D$8,DebtOverview!fxVal_normal,1))</f>
        <v/>
      </c>
      <c r="AO76" s="465"/>
      <c r="AP76" s="3359"/>
      <c r="AQ76" s="639"/>
      <c r="AR76" s="3083"/>
      <c r="AS76" s="501"/>
      <c r="AT76" s="448"/>
      <c r="AU76" s="429"/>
      <c r="AV76" s="432"/>
      <c r="AX76" s="1080"/>
      <c r="AY76" s="2726"/>
      <c r="AZ76" s="2818"/>
      <c r="BA76" s="2826"/>
      <c r="BB76" s="2819"/>
      <c r="BC76" s="2825"/>
      <c r="BD76" s="2822"/>
      <c r="BE76" s="2823"/>
      <c r="BF76" s="2685" t="s">
        <v>1955</v>
      </c>
      <c r="BG76" s="2690" t="b" cm="1">
        <f t="array" ref="BG76">ABS(SUM(_xlfn._xlws.FILTER(AN74:AN84,AP74:AP84&gt;=val_asOfDate))-AN71)&lt;1</f>
        <v>0</v>
      </c>
      <c r="BH76" s="1080"/>
      <c r="BI76" s="2778"/>
      <c r="BJ76" s="2888"/>
      <c r="BK76" s="2925"/>
      <c r="BL76" s="2888"/>
      <c r="BM76" s="2899"/>
      <c r="BN76" s="2872"/>
      <c r="BO76" s="2889"/>
      <c r="BP76" s="2808"/>
      <c r="BQ76" s="2808"/>
      <c r="BR76" s="2808"/>
      <c r="BS76" s="2808"/>
      <c r="BT76" s="2808"/>
      <c r="BU76" s="2808"/>
      <c r="BV76" s="2808"/>
      <c r="BW76" s="2690"/>
      <c r="BX76" s="2690"/>
      <c r="BY76" s="2690"/>
      <c r="BZ76" s="2694"/>
      <c r="CA76" s="2690"/>
      <c r="CB76" s="2690"/>
      <c r="CC76" s="2690"/>
      <c r="CD76" s="2690"/>
      <c r="CE76" s="2690"/>
    </row>
    <row r="77" spans="1:74" ht="24.75" customHeight="1">
      <c r="A77" s="2676"/>
      <c r="B77" s="2670" t="s">
        <v>1867</v>
      </c>
      <c r="C77" s="1912" t="s">
        <v>1798</v>
      </c>
      <c r="D77" s="2755" t="str" cm="1">
        <f t="array" ref="D77">IF(D76,_xldudf_CX_PUSH(D75,CX_ENTITY,fx_attrConverter(C74),val_asOfDate),"No Push")</f>
        <v>No Push</v>
      </c>
      <c r="E77" s="2677"/>
      <c r="F77" s="2726"/>
      <c r="G77" s="2690"/>
      <c r="H77" s="2689"/>
      <c r="I77" s="2691"/>
      <c r="J77" s="2695"/>
      <c r="K77" s="2687"/>
      <c r="L77" s="2685"/>
      <c r="M77" s="2712"/>
      <c r="N77" s="2730"/>
      <c r="O77" s="2732"/>
      <c r="P77" s="2677"/>
      <c r="V77" s="158"/>
      <c r="W77" s="101"/>
      <c r="X77" s="52"/>
      <c r="Y77" s="101"/>
      <c r="Z77" s="126"/>
      <c r="AA77" s="101"/>
      <c r="AB77" s="101"/>
      <c r="AC77" s="39"/>
      <c r="AD77" s="406"/>
      <c r="AE77" s="428"/>
      <c r="AF77" s="439"/>
      <c r="AG77" s="661"/>
      <c r="AH77" s="610"/>
      <c r="AI77" s="3080"/>
      <c r="AJ77" s="2008"/>
      <c r="AK77" s="2009"/>
      <c r="AL77" s="602"/>
      <c r="AM77" s="460"/>
      <c r="AN77" s="1967" t="str">
        <f>IF(K77="","",_xlfn.NUMBERVALUE(K77)/IF($D$8,DebtOverview!fxVal_normal,1))</f>
        <v/>
      </c>
      <c r="AO77" s="465"/>
      <c r="AP77" s="2273" t="str">
        <f t="shared" si="3" ref="AP77:AP84">IF(L77="","",DATEVALUE(TEXT(VALUE(L77),"mmm-yyyy")))</f>
        <v/>
      </c>
      <c r="AQ77" s="639"/>
      <c r="AR77" s="3083"/>
      <c r="AS77" s="501"/>
      <c r="AT77" s="448"/>
      <c r="AU77" s="429"/>
      <c r="AV77" s="432"/>
      <c r="AX77" s="1080"/>
      <c r="AY77" s="2726"/>
      <c r="AZ77" s="2818"/>
      <c r="BA77" s="2826"/>
      <c r="BB77" s="2819"/>
      <c r="BC77" s="2825"/>
      <c r="BD77" s="2822"/>
      <c r="BE77" s="2823"/>
      <c r="BF77" s="2685"/>
      <c r="BG77" s="2690"/>
      <c r="BH77" s="1080"/>
      <c r="BI77" s="2778"/>
      <c r="BJ77" s="2888"/>
      <c r="BK77" s="2925"/>
      <c r="BL77" s="2888"/>
      <c r="BM77" s="2899"/>
      <c r="BN77" s="2872"/>
      <c r="BO77" s="2889"/>
      <c r="BP77" s="2808"/>
      <c r="BQ77" s="2808"/>
      <c r="BR77" s="2808"/>
      <c r="BS77" s="2808"/>
      <c r="BT77" s="2808"/>
      <c r="BU77" s="2808"/>
      <c r="BV77" s="2808"/>
    </row>
    <row r="78" spans="1:74" ht="24.75" customHeight="1">
      <c r="A78" s="2676"/>
      <c r="B78" s="2670" t="s">
        <v>1867</v>
      </c>
      <c r="C78" s="1912" t="s">
        <v>1798</v>
      </c>
      <c r="D78" s="2755" t="str" cm="1">
        <f t="array" ref="D78">IF(D76,_xldudf_CX_PUSH(D75,CX_ENTITY,fx_attrConverter(C74),EOMONTH(val_asOfDate,3)),"No Push")</f>
        <v>No Push</v>
      </c>
      <c r="E78" s="2677"/>
      <c r="F78" s="2726"/>
      <c r="G78" s="2690"/>
      <c r="H78" s="2689"/>
      <c r="I78" s="2691"/>
      <c r="J78" s="2695"/>
      <c r="K78" s="2687"/>
      <c r="L78" s="2685"/>
      <c r="M78" s="2712"/>
      <c r="N78" s="2730"/>
      <c r="O78" s="2732"/>
      <c r="P78" s="2677"/>
      <c r="V78" s="158"/>
      <c r="W78" s="101"/>
      <c r="X78" s="52"/>
      <c r="Y78" s="101"/>
      <c r="Z78" s="126"/>
      <c r="AA78" s="101"/>
      <c r="AB78" s="101"/>
      <c r="AC78" s="39"/>
      <c r="AD78" s="406"/>
      <c r="AE78" s="428"/>
      <c r="AF78" s="439"/>
      <c r="AG78" s="661"/>
      <c r="AH78" s="610"/>
      <c r="AI78" s="3080"/>
      <c r="AJ78" s="2008"/>
      <c r="AK78" s="2009"/>
      <c r="AL78" s="602"/>
      <c r="AM78" s="460"/>
      <c r="AN78" s="1967" t="str">
        <f>IF(K78="","",_xlfn.NUMBERVALUE(K78)/IF($D$8,DebtOverview!fxVal_normal,1))</f>
        <v/>
      </c>
      <c r="AO78" s="465"/>
      <c r="AP78" s="2273" t="str">
        <f t="shared" si="3"/>
        <v/>
      </c>
      <c r="AQ78" s="639"/>
      <c r="AR78" s="503" t="s">
        <v>1795</v>
      </c>
      <c r="AS78" s="501"/>
      <c r="AT78" s="448"/>
      <c r="AU78" s="429"/>
      <c r="AV78" s="432"/>
      <c r="AX78" s="1080"/>
      <c r="AY78" s="2726"/>
      <c r="AZ78" s="2818"/>
      <c r="BA78" s="2826"/>
      <c r="BB78" s="2819"/>
      <c r="BC78" s="2825"/>
      <c r="BD78" s="2822"/>
      <c r="BE78" s="2823"/>
      <c r="BF78" s="2685"/>
      <c r="BG78" s="2690"/>
      <c r="BH78" s="1080"/>
      <c r="BI78" s="2778"/>
      <c r="BJ78" s="2888"/>
      <c r="BK78" s="2925"/>
      <c r="BL78" s="2888"/>
      <c r="BM78" s="2899"/>
      <c r="BN78" s="2872"/>
      <c r="BO78" s="2889"/>
      <c r="BP78" s="2808"/>
      <c r="BQ78" s="2808"/>
      <c r="BR78" s="2808"/>
      <c r="BS78" s="2808"/>
      <c r="BT78" s="2808"/>
      <c r="BU78" s="2808"/>
      <c r="BV78" s="2808"/>
    </row>
    <row r="79" spans="1:74" ht="24.75" customHeight="1">
      <c r="A79" s="2676"/>
      <c r="B79" s="2670" t="s">
        <v>1867</v>
      </c>
      <c r="C79" s="1912" t="s">
        <v>1798</v>
      </c>
      <c r="D79" s="2755" t="str" cm="1">
        <f t="array" ref="D79">IF(D76,_xldudf_CX_PUSH(D75,CX_ENTITY,fx_attrConverter(C74),EOMONTH(val_asOfDate,2)),"No Push")</f>
        <v>No Push</v>
      </c>
      <c r="E79" s="2677"/>
      <c r="F79" s="2726"/>
      <c r="G79" s="2690"/>
      <c r="H79" s="2689"/>
      <c r="I79" s="2691"/>
      <c r="J79" s="2695"/>
      <c r="K79" s="2687"/>
      <c r="L79" s="2685"/>
      <c r="M79" s="2712"/>
      <c r="N79" s="2730"/>
      <c r="O79" s="2732"/>
      <c r="P79" s="2677"/>
      <c r="V79" s="158"/>
      <c r="W79" s="101"/>
      <c r="X79" s="52"/>
      <c r="Y79" s="101"/>
      <c r="Z79" s="126"/>
      <c r="AA79" s="101"/>
      <c r="AB79" s="101"/>
      <c r="AC79" s="39"/>
      <c r="AD79" s="406"/>
      <c r="AE79" s="428"/>
      <c r="AF79" s="439"/>
      <c r="AG79" s="661"/>
      <c r="AH79" s="610"/>
      <c r="AI79" s="3080"/>
      <c r="AJ79" s="2008"/>
      <c r="AK79" s="2009"/>
      <c r="AL79" s="602"/>
      <c r="AM79" s="460"/>
      <c r="AN79" s="1967" t="str">
        <f>IF(K79="","",_xlfn.NUMBERVALUE(K79)/IF($D$8,DebtOverview!fxVal_normal,1))</f>
        <v/>
      </c>
      <c r="AO79" s="465"/>
      <c r="AP79" s="2273" t="str">
        <f t="shared" si="3"/>
        <v/>
      </c>
      <c r="AQ79" s="639"/>
      <c r="AR79" s="504"/>
      <c r="AS79" s="501"/>
      <c r="AT79" s="448"/>
      <c r="AU79" s="429"/>
      <c r="AV79" s="432"/>
      <c r="AX79" s="1080"/>
      <c r="AY79" s="2726"/>
      <c r="AZ79" s="2818"/>
      <c r="BA79" s="2826"/>
      <c r="BB79" s="2819"/>
      <c r="BC79" s="2825"/>
      <c r="BD79" s="2822"/>
      <c r="BE79" s="2823"/>
      <c r="BF79" s="2685"/>
      <c r="BG79" s="2690"/>
      <c r="BH79" s="1080"/>
      <c r="BI79" s="2778"/>
      <c r="BJ79" s="2888"/>
      <c r="BK79" s="2925"/>
      <c r="BL79" s="2888"/>
      <c r="BM79" s="2899"/>
      <c r="BN79" s="2872"/>
      <c r="BO79" s="2889"/>
      <c r="BP79" s="2808"/>
      <c r="BQ79" s="2808"/>
      <c r="BR79" s="2808"/>
      <c r="BS79" s="2808"/>
      <c r="BT79" s="2808"/>
      <c r="BU79" s="2808"/>
      <c r="BV79" s="2808"/>
    </row>
    <row r="80" spans="1:74" ht="24.75" customHeight="1">
      <c r="A80" s="2676"/>
      <c r="B80" s="2670" t="s">
        <v>1867</v>
      </c>
      <c r="C80" s="1912" t="s">
        <v>1798</v>
      </c>
      <c r="D80" s="2755" t="str" cm="1">
        <f t="array" ref="D80">IF(D76,_xldudf_CX_PUSH(D75,CX_ENTITY,fx_attrConverter(C74),EOMONTH(val_asOfDate,13)),"No Push")</f>
        <v>No Push</v>
      </c>
      <c r="E80" s="2677"/>
      <c r="F80" s="2726"/>
      <c r="G80" s="2690"/>
      <c r="H80" s="2689"/>
      <c r="I80" s="2691"/>
      <c r="J80" s="2695"/>
      <c r="K80" s="2687"/>
      <c r="L80" s="2685"/>
      <c r="M80" s="2712"/>
      <c r="N80" s="2730"/>
      <c r="O80" s="2732"/>
      <c r="P80" s="2677"/>
      <c r="V80" s="158"/>
      <c r="W80" s="101"/>
      <c r="X80" s="52"/>
      <c r="Y80" s="101"/>
      <c r="Z80" s="126"/>
      <c r="AA80" s="101"/>
      <c r="AB80" s="101"/>
      <c r="AC80" s="39"/>
      <c r="AD80" s="406"/>
      <c r="AE80" s="428"/>
      <c r="AF80" s="439"/>
      <c r="AG80" s="661"/>
      <c r="AH80" s="610"/>
      <c r="AI80" s="3080"/>
      <c r="AJ80" s="2008"/>
      <c r="AK80" s="2009"/>
      <c r="AL80" s="602"/>
      <c r="AM80" s="460"/>
      <c r="AN80" s="1967" t="str">
        <f>IF(K80="","",_xlfn.NUMBERVALUE(K80)/IF($D$8,DebtOverview!fxVal_normal,1))</f>
        <v/>
      </c>
      <c r="AO80" s="465"/>
      <c r="AP80" s="2273" t="str">
        <f t="shared" si="3"/>
        <v/>
      </c>
      <c r="AQ80" s="639"/>
      <c r="AR80" s="504"/>
      <c r="AS80" s="501"/>
      <c r="AT80" s="448"/>
      <c r="AU80" s="429"/>
      <c r="AV80" s="432"/>
      <c r="AX80" s="1080"/>
      <c r="AY80" s="2726"/>
      <c r="AZ80" s="2818"/>
      <c r="BA80" s="2826"/>
      <c r="BB80" s="2819"/>
      <c r="BC80" s="2825"/>
      <c r="BD80" s="2822"/>
      <c r="BE80" s="2823"/>
      <c r="BF80" s="2685"/>
      <c r="BG80" s="2690"/>
      <c r="BH80" s="1080"/>
      <c r="BI80" s="2778"/>
      <c r="BJ80" s="2888"/>
      <c r="BK80" s="2925"/>
      <c r="BL80" s="2888"/>
      <c r="BM80" s="2899"/>
      <c r="BN80" s="2872"/>
      <c r="BO80" s="2889"/>
      <c r="BP80" s="2808"/>
      <c r="BQ80" s="2808"/>
      <c r="BR80" s="2808"/>
      <c r="BS80" s="2808"/>
      <c r="BT80" s="2808"/>
      <c r="BU80" s="2808"/>
      <c r="BV80" s="2808"/>
    </row>
    <row r="81" spans="1:74" ht="24.75" customHeight="1">
      <c r="A81" s="2676"/>
      <c r="B81" s="1912"/>
      <c r="C81" s="1912"/>
      <c r="D81" s="2758"/>
      <c r="E81" s="2677"/>
      <c r="F81" s="2726"/>
      <c r="G81" s="2690"/>
      <c r="H81" s="2689"/>
      <c r="I81" s="2691"/>
      <c r="J81" s="2695"/>
      <c r="K81" s="2687"/>
      <c r="L81" s="2685"/>
      <c r="M81" s="2712"/>
      <c r="N81" s="2730"/>
      <c r="O81" s="2731"/>
      <c r="P81" s="2677"/>
      <c r="V81" s="158"/>
      <c r="W81" s="101"/>
      <c r="X81" s="52"/>
      <c r="Y81" s="101"/>
      <c r="Z81" s="126"/>
      <c r="AA81" s="101"/>
      <c r="AB81" s="101"/>
      <c r="AC81" s="39"/>
      <c r="AD81" s="406"/>
      <c r="AE81" s="428"/>
      <c r="AF81" s="439"/>
      <c r="AG81" s="661"/>
      <c r="AH81" s="610"/>
      <c r="AI81" s="3080"/>
      <c r="AJ81" s="2008"/>
      <c r="AK81" s="2009"/>
      <c r="AL81" s="602"/>
      <c r="AM81" s="460"/>
      <c r="AN81" s="1967" t="str">
        <f>IF(K81="","",_xlfn.NUMBERVALUE(K81)/IF($D$8,DebtOverview!fxVal_normal,1))</f>
        <v/>
      </c>
      <c r="AO81" s="465"/>
      <c r="AP81" s="2273" t="str">
        <f t="shared" si="3"/>
        <v/>
      </c>
      <c r="AQ81" s="639"/>
      <c r="AR81" s="504"/>
      <c r="AS81" s="501"/>
      <c r="AT81" s="448"/>
      <c r="AU81" s="429"/>
      <c r="AV81" s="432"/>
      <c r="AX81" s="1080"/>
      <c r="AY81" s="2726"/>
      <c r="AZ81" s="2818"/>
      <c r="BA81" s="2826"/>
      <c r="BB81" s="2819"/>
      <c r="BC81" s="2825"/>
      <c r="BD81" s="2822"/>
      <c r="BE81" s="2823"/>
      <c r="BF81" s="2685"/>
      <c r="BG81" s="2690"/>
      <c r="BH81" s="1080"/>
      <c r="BI81" s="2778"/>
      <c r="BJ81" s="2888"/>
      <c r="BK81" s="2925"/>
      <c r="BL81" s="2888"/>
      <c r="BM81" s="2899"/>
      <c r="BN81" s="2890"/>
      <c r="BO81" s="2889"/>
      <c r="BP81" s="2808"/>
      <c r="BQ81" s="2808"/>
      <c r="BR81" s="2808"/>
      <c r="BS81" s="2808"/>
      <c r="BT81" s="2808"/>
      <c r="BU81" s="2808"/>
      <c r="BV81" s="2808"/>
    </row>
    <row r="82" spans="1:83" ht="24.75" customHeight="1">
      <c r="A82" s="2676"/>
      <c r="B82" s="1912"/>
      <c r="C82" s="1912"/>
      <c r="D82" s="2758"/>
      <c r="E82" s="2677"/>
      <c r="F82" s="2726"/>
      <c r="G82" s="2690"/>
      <c r="H82" s="2689"/>
      <c r="I82" s="2691"/>
      <c r="J82" s="2695"/>
      <c r="K82" s="2687"/>
      <c r="L82" s="2685"/>
      <c r="M82" s="2712"/>
      <c r="N82" s="2730"/>
      <c r="O82" s="2731"/>
      <c r="P82" s="2677"/>
      <c r="V82" s="158"/>
      <c r="W82" s="101"/>
      <c r="X82" s="52"/>
      <c r="Y82" s="101"/>
      <c r="Z82" s="126"/>
      <c r="AA82" s="101"/>
      <c r="AB82" s="101"/>
      <c r="AC82" s="39"/>
      <c r="AD82" s="406"/>
      <c r="AE82" s="428"/>
      <c r="AF82" s="439"/>
      <c r="AG82" s="661"/>
      <c r="AH82" s="610"/>
      <c r="AI82" s="3080"/>
      <c r="AJ82" s="2008"/>
      <c r="AK82" s="2009"/>
      <c r="AL82" s="602"/>
      <c r="AM82" s="460"/>
      <c r="AN82" s="1967" t="str">
        <f>IF(K82="","",_xlfn.NUMBERVALUE(K82)/IF($D$8,DebtOverview!fxVal_normal,1))</f>
        <v/>
      </c>
      <c r="AO82" s="465"/>
      <c r="AP82" s="2273" t="str">
        <f t="shared" si="3"/>
        <v/>
      </c>
      <c r="AQ82" s="639"/>
      <c r="AR82" s="504"/>
      <c r="AS82" s="501"/>
      <c r="AT82" s="448"/>
      <c r="AU82" s="429"/>
      <c r="AV82" s="432"/>
      <c r="AX82" s="1080"/>
      <c r="AY82" s="2726"/>
      <c r="AZ82" s="2818"/>
      <c r="BA82" s="2826"/>
      <c r="BB82" s="2819"/>
      <c r="BC82" s="2825"/>
      <c r="BD82" s="2822"/>
      <c r="BE82" s="2823"/>
      <c r="BF82" s="2685"/>
      <c r="BG82" s="2690"/>
      <c r="BH82" s="1080"/>
      <c r="BI82" s="2778"/>
      <c r="BJ82" s="2888"/>
      <c r="BK82" s="2925"/>
      <c r="BL82" s="2888"/>
      <c r="BM82" s="2899"/>
      <c r="BN82" s="2890"/>
      <c r="BO82" s="2889"/>
      <c r="BP82" s="2808"/>
      <c r="BQ82" s="2808"/>
      <c r="BR82" s="2808"/>
      <c r="BS82" s="2808"/>
      <c r="BT82" s="2808"/>
      <c r="BU82" s="2808"/>
      <c r="BV82" s="2808"/>
      <c r="BW82" s="2808"/>
      <c r="BX82" s="2808"/>
      <c r="BY82" s="2808"/>
      <c r="BZ82" s="2808"/>
      <c r="CA82" s="2808"/>
      <c r="CB82" s="2808"/>
      <c r="CC82" s="2808"/>
      <c r="CD82" s="2808"/>
      <c r="CE82" s="2808"/>
    </row>
    <row r="83" spans="1:83" ht="24.75" customHeight="1">
      <c r="A83" s="2676"/>
      <c r="B83" s="1912"/>
      <c r="C83" s="1912"/>
      <c r="D83" s="2758"/>
      <c r="E83" s="2677"/>
      <c r="F83" s="2726"/>
      <c r="G83" s="2690"/>
      <c r="H83" s="2689"/>
      <c r="I83" s="2691"/>
      <c r="J83" s="2695"/>
      <c r="K83" s="2687"/>
      <c r="L83" s="2685"/>
      <c r="M83" s="2712"/>
      <c r="N83" s="2730"/>
      <c r="O83" s="2731"/>
      <c r="P83" s="2677"/>
      <c r="V83" s="158"/>
      <c r="W83" s="101"/>
      <c r="X83" s="52"/>
      <c r="Y83" s="101"/>
      <c r="Z83" s="126"/>
      <c r="AA83" s="101"/>
      <c r="AB83" s="101"/>
      <c r="AC83" s="39"/>
      <c r="AD83" s="406"/>
      <c r="AE83" s="428"/>
      <c r="AF83" s="439"/>
      <c r="AG83" s="661"/>
      <c r="AH83" s="610"/>
      <c r="AI83" s="3080"/>
      <c r="AJ83" s="2008"/>
      <c r="AK83" s="2009"/>
      <c r="AL83" s="602"/>
      <c r="AM83" s="460"/>
      <c r="AN83" s="1967" t="str">
        <f>IF(K83="","",_xlfn.NUMBERVALUE(K83)/IF($D$8,DebtOverview!fxVal_normal,1))</f>
        <v/>
      </c>
      <c r="AO83" s="465"/>
      <c r="AP83" s="2273" t="str">
        <f t="shared" si="3"/>
        <v/>
      </c>
      <c r="AQ83" s="639"/>
      <c r="AR83" s="504"/>
      <c r="AS83" s="501"/>
      <c r="AT83" s="448"/>
      <c r="AU83" s="429"/>
      <c r="AV83" s="432"/>
      <c r="AX83" s="1080"/>
      <c r="AY83" s="2726"/>
      <c r="AZ83" s="2818"/>
      <c r="BA83" s="2826"/>
      <c r="BB83" s="2819"/>
      <c r="BC83" s="2825"/>
      <c r="BD83" s="2822"/>
      <c r="BE83" s="2823"/>
      <c r="BF83" s="2685"/>
      <c r="BG83" s="2690"/>
      <c r="BH83" s="1080"/>
      <c r="BI83" s="2778"/>
      <c r="BJ83" s="2888"/>
      <c r="BK83" s="2925"/>
      <c r="BL83" s="2888"/>
      <c r="BM83" s="2899"/>
      <c r="BN83" s="2890"/>
      <c r="BO83" s="2889"/>
      <c r="BP83" s="2808"/>
      <c r="BQ83" s="2808"/>
      <c r="BR83" s="2808"/>
      <c r="BS83" s="2808"/>
      <c r="BT83" s="2808"/>
      <c r="BU83" s="2808"/>
      <c r="BV83" s="2808"/>
      <c r="BW83" s="2808"/>
      <c r="BX83" s="2808"/>
      <c r="BY83" s="2808"/>
      <c r="BZ83" s="2808"/>
      <c r="CA83" s="2808"/>
      <c r="CB83" s="2808"/>
      <c r="CC83" s="2808"/>
      <c r="CD83" s="2808"/>
      <c r="CE83" s="2808"/>
    </row>
    <row r="84" spans="1:83" ht="24.75" customHeight="1">
      <c r="A84" s="2676"/>
      <c r="B84" s="1912"/>
      <c r="C84" s="1912"/>
      <c r="D84" s="2758"/>
      <c r="E84" s="2677"/>
      <c r="F84" s="2726"/>
      <c r="G84" s="2690"/>
      <c r="H84" s="2689"/>
      <c r="I84" s="2691"/>
      <c r="J84" s="2695"/>
      <c r="K84" s="2687"/>
      <c r="L84" s="2685"/>
      <c r="M84" s="2712"/>
      <c r="N84" s="2730"/>
      <c r="O84" s="2731"/>
      <c r="P84" s="2677"/>
      <c r="V84" s="158"/>
      <c r="W84" s="101"/>
      <c r="X84" s="52"/>
      <c r="Y84" s="101"/>
      <c r="Z84" s="126"/>
      <c r="AA84" s="101"/>
      <c r="AB84" s="101"/>
      <c r="AC84" s="39"/>
      <c r="AD84" s="406"/>
      <c r="AE84" s="428"/>
      <c r="AF84" s="439"/>
      <c r="AG84" s="661"/>
      <c r="AH84" s="610"/>
      <c r="AI84" s="3080"/>
      <c r="AJ84" s="2008"/>
      <c r="AK84" s="2009"/>
      <c r="AL84" s="602"/>
      <c r="AM84" s="460"/>
      <c r="AN84" s="1967" t="str">
        <f>IF(K84="","",_xlfn.NUMBERVALUE(K84)/IF($D$8,DebtOverview!fxVal_normal,1))</f>
        <v/>
      </c>
      <c r="AO84" s="465"/>
      <c r="AP84" s="2273" t="str">
        <f t="shared" si="3"/>
        <v/>
      </c>
      <c r="AQ84" s="639"/>
      <c r="AR84" s="505"/>
      <c r="AS84" s="501"/>
      <c r="AT84" s="448"/>
      <c r="AU84" s="429"/>
      <c r="AV84" s="432"/>
      <c r="AX84" s="1080"/>
      <c r="AY84" s="2726"/>
      <c r="AZ84" s="2818"/>
      <c r="BA84" s="2826"/>
      <c r="BB84" s="2819"/>
      <c r="BC84" s="2825"/>
      <c r="BD84" s="2822"/>
      <c r="BE84" s="2823"/>
      <c r="BF84" s="2685"/>
      <c r="BG84" s="2690"/>
      <c r="BH84" s="1080"/>
      <c r="BI84" s="2778"/>
      <c r="BJ84" s="2888"/>
      <c r="BK84" s="2925"/>
      <c r="BL84" s="2888"/>
      <c r="BM84" s="2900"/>
      <c r="BN84" s="2891"/>
      <c r="BO84" s="2889"/>
      <c r="BP84" s="2808"/>
      <c r="BQ84" s="2808"/>
      <c r="BR84" s="2808"/>
      <c r="BS84" s="2808"/>
      <c r="BT84" s="2808"/>
      <c r="BU84" s="2808"/>
      <c r="BV84" s="2808"/>
      <c r="BW84" s="2808"/>
      <c r="BX84" s="2808"/>
      <c r="BY84" s="2808"/>
      <c r="BZ84" s="2808"/>
      <c r="CA84" s="2808"/>
      <c r="CB84" s="2808"/>
      <c r="CC84" s="2808"/>
      <c r="CD84" s="2808"/>
      <c r="CE84" s="2808"/>
    </row>
    <row r="85" spans="1:83" ht="16.5" customHeight="1">
      <c r="A85" s="2676"/>
      <c r="B85" s="2670"/>
      <c r="C85" s="1913"/>
      <c r="D85" s="2752"/>
      <c r="E85" s="2677"/>
      <c r="F85" s="2726"/>
      <c r="G85" s="2689"/>
      <c r="H85" s="2689"/>
      <c r="I85" s="2689"/>
      <c r="J85" s="2689"/>
      <c r="K85" s="2687"/>
      <c r="L85" s="2685"/>
      <c r="M85" s="2712"/>
      <c r="N85" s="2713"/>
      <c r="O85" s="2717"/>
      <c r="P85" s="2677"/>
      <c r="V85" s="158"/>
      <c r="W85" s="101"/>
      <c r="X85" s="52"/>
      <c r="Y85" s="101"/>
      <c r="Z85" s="126"/>
      <c r="AA85" s="101"/>
      <c r="AB85" s="101"/>
      <c r="AC85" s="39"/>
      <c r="AD85" s="406"/>
      <c r="AE85" s="428"/>
      <c r="AF85" s="439"/>
      <c r="AG85" s="661"/>
      <c r="AH85" s="610"/>
      <c r="AI85" s="608"/>
      <c r="AJ85" s="2010"/>
      <c r="AK85" s="2010"/>
      <c r="AL85" s="466"/>
      <c r="AM85" s="467"/>
      <c r="AN85" s="1533" cm="1">
        <f t="array" ref="AN85">IF(N(AN71)=0,0,IFERROR(SUM(_xlfn._xlws.FILTER(AN74:AN84,AP74:AP84&gt;val_asOfDate)),0))</f>
        <v>0</v>
      </c>
      <c r="AO85" s="469"/>
      <c r="AP85" s="468"/>
      <c r="AQ85" s="468"/>
      <c r="AR85" s="506"/>
      <c r="AS85" s="470"/>
      <c r="AT85" s="448"/>
      <c r="AU85" s="429"/>
      <c r="AV85" s="432"/>
      <c r="AX85" s="1080"/>
      <c r="AY85" s="2726"/>
      <c r="AZ85" s="2817"/>
      <c r="BA85" s="2817"/>
      <c r="BB85" s="2817"/>
      <c r="BC85" s="2817"/>
      <c r="BD85" s="2806"/>
      <c r="BE85" s="2807"/>
      <c r="BF85" s="2685"/>
      <c r="BG85" s="2689"/>
      <c r="BH85" s="1080"/>
      <c r="BI85" s="2778"/>
      <c r="BJ85" s="2939"/>
      <c r="BK85" s="2926"/>
      <c r="BL85" s="2939"/>
      <c r="BM85" s="2888"/>
      <c r="BN85" s="2900"/>
      <c r="BO85" s="2891"/>
      <c r="BP85" s="2889"/>
      <c r="BQ85" s="2892"/>
      <c r="BR85" s="2808"/>
      <c r="BS85" s="2808"/>
      <c r="BT85" s="2808"/>
      <c r="BU85" s="2808"/>
      <c r="BV85" s="2808"/>
      <c r="BW85" s="2808"/>
      <c r="BX85" s="2808"/>
      <c r="BY85" s="2808"/>
      <c r="BZ85" s="2808"/>
      <c r="CA85" s="2808"/>
      <c r="CB85" s="2808"/>
      <c r="CC85" s="2808"/>
      <c r="CD85" s="2808"/>
      <c r="CE85" s="2808"/>
    </row>
    <row r="86" spans="1:83" ht="15.5">
      <c r="A86" s="2676" t="s">
        <v>22</v>
      </c>
      <c r="B86" s="2670"/>
      <c r="C86" s="1913"/>
      <c r="D86" s="2752"/>
      <c r="E86" s="2677"/>
      <c r="F86" s="2726"/>
      <c r="G86" s="2689"/>
      <c r="H86" s="2689"/>
      <c r="I86" s="2689"/>
      <c r="J86" s="2689"/>
      <c r="K86" s="2687"/>
      <c r="L86" s="2685"/>
      <c r="M86" s="2712"/>
      <c r="N86" s="2713"/>
      <c r="O86" s="2717"/>
      <c r="P86" s="2677"/>
      <c r="V86" s="158"/>
      <c r="W86" s="101"/>
      <c r="X86" s="52"/>
      <c r="Y86" s="101"/>
      <c r="Z86" s="126"/>
      <c r="AA86" s="101"/>
      <c r="AB86" s="101"/>
      <c r="AC86" s="39"/>
      <c r="AD86" s="406"/>
      <c r="AE86" s="428"/>
      <c r="AF86" s="439"/>
      <c r="AG86" s="661"/>
      <c r="AH86" s="453"/>
      <c r="AI86" s="475"/>
      <c r="AJ86" s="2011"/>
      <c r="AK86" s="2011"/>
      <c r="AL86" s="475"/>
      <c r="AM86" s="429"/>
      <c r="AN86" s="1975"/>
      <c r="AO86" s="476"/>
      <c r="AP86" s="477"/>
      <c r="AQ86" s="477"/>
      <c r="AR86" s="478"/>
      <c r="AS86" s="479"/>
      <c r="AT86" s="480"/>
      <c r="AU86" s="429"/>
      <c r="AV86" s="432"/>
      <c r="AX86" s="1080"/>
      <c r="AY86" s="2726"/>
      <c r="AZ86" s="2817"/>
      <c r="BA86" s="2817"/>
      <c r="BB86" s="2817"/>
      <c r="BC86" s="2817"/>
      <c r="BD86" s="2806"/>
      <c r="BE86" s="2807"/>
      <c r="BF86" s="2685"/>
      <c r="BG86" s="2689"/>
      <c r="BH86" s="1080"/>
      <c r="BI86" s="2778"/>
      <c r="BJ86" s="2939"/>
      <c r="BK86" s="2926"/>
      <c r="BL86" s="2939"/>
      <c r="BM86" s="2888"/>
      <c r="BN86" s="2900"/>
      <c r="BO86" s="2891"/>
      <c r="BP86" s="2889"/>
      <c r="BQ86" s="2892"/>
      <c r="BR86" s="2808"/>
      <c r="BS86" s="2808"/>
      <c r="BT86" s="2808"/>
      <c r="BU86" s="2808"/>
      <c r="BV86" s="2808"/>
      <c r="BW86" s="2808"/>
      <c r="BX86" s="2808"/>
      <c r="BY86" s="2808"/>
      <c r="BZ86" s="2808"/>
      <c r="CA86" s="2808"/>
      <c r="CB86" s="2808"/>
      <c r="CC86" s="2808"/>
      <c r="CD86" s="2808"/>
      <c r="CE86" s="2808"/>
    </row>
    <row r="87" spans="1:83" ht="18">
      <c r="A87" s="2676"/>
      <c r="B87" s="2787" t="s">
        <v>1875</v>
      </c>
      <c r="C87" s="1912" t="s">
        <v>436</v>
      </c>
      <c r="D87" s="2943" t="e" cm="1">
        <f t="array" ca="1" aca="1" ref="D87">_xldudf_CX_GET(CX_ENTITY,fx_attrConverter(C87),val_asOfDate,"As of",,fx_scenarioConverter("Actual"))</f>
        <v>#NAME?</v>
      </c>
      <c r="E87" s="2677"/>
      <c r="F87" s="2726"/>
      <c r="G87" s="2741" t="s">
        <v>1784</v>
      </c>
      <c r="H87" s="2742" t="s">
        <v>431</v>
      </c>
      <c r="I87" s="2742" t="s">
        <v>1785</v>
      </c>
      <c r="J87" s="2743" t="s">
        <v>31</v>
      </c>
      <c r="K87" s="2744" t="s">
        <v>1786</v>
      </c>
      <c r="L87" s="2745" t="s">
        <v>268</v>
      </c>
      <c r="M87" s="2668"/>
      <c r="N87" s="2747" t="s">
        <v>1787</v>
      </c>
      <c r="O87" s="2748" t="s">
        <v>1869</v>
      </c>
      <c r="P87" s="2677"/>
      <c r="V87" s="158"/>
      <c r="W87" s="101"/>
      <c r="X87" s="52"/>
      <c r="Y87" s="101"/>
      <c r="Z87" s="126"/>
      <c r="AA87" s="101"/>
      <c r="AB87" s="101"/>
      <c r="AC87" s="39"/>
      <c r="AD87" s="406"/>
      <c r="AE87" s="428"/>
      <c r="AF87" s="439"/>
      <c r="AG87" s="661"/>
      <c r="AH87" s="453"/>
      <c r="AI87" s="3253">
        <f>BS!$Y$36</f>
        <v>2</v>
      </c>
      <c r="AJ87" s="2005"/>
      <c r="AK87" s="2005"/>
      <c r="AL87" s="595"/>
      <c r="AM87" s="596"/>
      <c r="AN87" s="3248" cm="1">
        <f t="array" ref="AN87">ABS(N(_xlfn.XLOOKUP(C87,BS!$B$19:$B$50,_xlfn.XLOOKUP($AN$5,_xlfn.ANCHORARRAY(BS!$AD$11),BS!$AD$19:$BN$50))))*fxVal_normal/$C$8</f>
        <v>1</v>
      </c>
      <c r="AO87" s="2870">
        <f>IF(BG90,0,IF(BG92,1,-1))</f>
        <v>-1</v>
      </c>
      <c r="AP87" s="2272">
        <f>$AN$5</f>
        <v>46022</v>
      </c>
      <c r="AQ87" s="3249">
        <f>IF(BG90,0,IF(BG91,1,-1))</f>
        <v>1</v>
      </c>
      <c r="AR87" s="690" t="s">
        <v>1799</v>
      </c>
      <c r="AS87" s="598"/>
      <c r="AT87" s="448"/>
      <c r="AU87" s="455"/>
      <c r="AV87" s="432"/>
      <c r="AX87" s="1080"/>
      <c r="AY87" s="2726"/>
      <c r="AZ87" s="2805"/>
      <c r="BA87" s="2812"/>
      <c r="BB87" s="2812"/>
      <c r="BC87" s="2813"/>
      <c r="BD87" s="2814"/>
      <c r="BE87" s="2807"/>
      <c r="BF87" s="2745"/>
      <c r="BG87" s="2741"/>
      <c r="BH87" s="1080"/>
      <c r="BI87" s="2778"/>
      <c r="BJ87" s="2939"/>
      <c r="BK87" s="2917"/>
      <c r="BL87" s="2939"/>
      <c r="BM87" s="2887"/>
      <c r="BN87" s="2899"/>
      <c r="BO87" s="2891"/>
      <c r="BP87" s="2889"/>
      <c r="BQ87" s="2892"/>
      <c r="BR87" s="2808"/>
      <c r="BS87" s="2808"/>
      <c r="BT87" s="2808"/>
      <c r="BU87" s="2808"/>
      <c r="BV87" s="2808"/>
      <c r="BW87" s="2808"/>
      <c r="BX87" s="2808"/>
      <c r="BY87" s="2808"/>
      <c r="BZ87" s="2808"/>
      <c r="CA87" s="2808"/>
      <c r="CB87" s="2808"/>
      <c r="CC87" s="2808"/>
      <c r="CD87" s="2808"/>
      <c r="CE87" s="2808"/>
    </row>
    <row r="88" spans="1:83" ht="21" customHeight="1">
      <c r="A88" s="2676"/>
      <c r="B88" s="2787"/>
      <c r="C88" s="2683"/>
      <c r="D88" s="2752"/>
      <c r="E88" s="2677"/>
      <c r="F88" s="2726"/>
      <c r="G88" s="2684"/>
      <c r="H88" s="2684"/>
      <c r="I88" s="2684"/>
      <c r="J88" s="2684"/>
      <c r="K88" s="2687"/>
      <c r="L88" s="2685"/>
      <c r="M88" s="2712"/>
      <c r="N88" s="2720"/>
      <c r="O88" s="2721"/>
      <c r="P88" s="2677"/>
      <c r="V88" s="158"/>
      <c r="W88" s="101"/>
      <c r="X88" s="52"/>
      <c r="Y88" s="101"/>
      <c r="Z88" s="126"/>
      <c r="AA88" s="101"/>
      <c r="AB88" s="101"/>
      <c r="AC88" s="39"/>
      <c r="AD88" s="406"/>
      <c r="AE88" s="2654"/>
      <c r="AF88" s="439"/>
      <c r="AG88" s="660"/>
      <c r="AH88" s="609"/>
      <c r="AI88" s="607"/>
      <c r="AJ88" s="2007"/>
      <c r="AK88" s="2007"/>
      <c r="AL88" s="456"/>
      <c r="AM88" s="457"/>
      <c r="AN88" s="1531"/>
      <c r="AO88" s="457"/>
      <c r="AP88" s="457"/>
      <c r="AQ88" s="458"/>
      <c r="AR88" s="458"/>
      <c r="AS88" s="499"/>
      <c r="AT88" s="448"/>
      <c r="AU88" s="2655"/>
      <c r="AV88" s="2656"/>
      <c r="AX88" s="1080"/>
      <c r="AY88" s="2726"/>
      <c r="AZ88" s="2804"/>
      <c r="BA88" s="2804"/>
      <c r="BB88" s="2804"/>
      <c r="BC88" s="2804"/>
      <c r="BD88" s="2806"/>
      <c r="BE88" s="2807"/>
      <c r="BF88" s="2685"/>
      <c r="BG88" s="2684"/>
      <c r="BH88" s="1080"/>
      <c r="BI88" s="2778"/>
      <c r="BJ88" s="2939"/>
      <c r="BK88" s="2918"/>
      <c r="BL88" s="2939"/>
      <c r="BM88" s="2888"/>
      <c r="BN88" s="2900"/>
      <c r="BO88" s="2891"/>
      <c r="BP88" s="2889"/>
      <c r="BQ88" s="2892"/>
      <c r="BR88" s="2808"/>
      <c r="BS88" s="2808"/>
      <c r="BT88" s="2808"/>
      <c r="BU88" s="2808"/>
      <c r="BV88" s="2808"/>
      <c r="BW88" s="2808"/>
      <c r="BX88" s="2808"/>
      <c r="BY88" s="2808"/>
      <c r="BZ88" s="2808"/>
      <c r="CA88" s="2808"/>
      <c r="CB88" s="2808"/>
      <c r="CC88" s="2808"/>
      <c r="CD88" s="2808"/>
      <c r="CE88" s="2808"/>
    </row>
    <row r="89" spans="1:83" ht="20.25" customHeight="1">
      <c r="A89" s="2676"/>
      <c r="B89" s="2787" t="s">
        <v>1876</v>
      </c>
      <c r="C89" s="2683"/>
      <c r="D89" s="2757"/>
      <c r="E89" s="2677"/>
      <c r="F89" s="2726"/>
      <c r="G89" s="2696"/>
      <c r="H89" s="2691"/>
      <c r="I89" s="2691"/>
      <c r="J89" s="2695"/>
      <c r="K89" s="2687"/>
      <c r="L89" s="2685"/>
      <c r="M89" s="2712"/>
      <c r="N89" s="2716"/>
      <c r="O89" s="2717"/>
      <c r="P89" s="2677"/>
      <c r="V89" s="158"/>
      <c r="W89" s="101"/>
      <c r="X89" s="52"/>
      <c r="Y89" s="101"/>
      <c r="Z89" s="126"/>
      <c r="AA89" s="101"/>
      <c r="AB89" s="101"/>
      <c r="AC89" s="39"/>
      <c r="AD89" s="406"/>
      <c r="AE89" s="428"/>
      <c r="AF89" s="439"/>
      <c r="AG89" s="661"/>
      <c r="AH89" s="610"/>
      <c r="AI89" s="3080"/>
      <c r="AJ89" s="2008"/>
      <c r="AK89" s="2009"/>
      <c r="AL89" s="602"/>
      <c r="AM89" s="460"/>
      <c r="AN89" s="1535" t="s">
        <v>1791</v>
      </c>
      <c r="AO89" s="458"/>
      <c r="AP89" s="458" t="s">
        <v>1792</v>
      </c>
      <c r="AQ89" s="502"/>
      <c r="AR89" s="507"/>
      <c r="AS89" s="500"/>
      <c r="AT89" s="448"/>
      <c r="AU89" s="429"/>
      <c r="AV89" s="432"/>
      <c r="AX89" s="1080"/>
      <c r="AY89" s="2726"/>
      <c r="AZ89" s="2805" t="s">
        <v>1784</v>
      </c>
      <c r="BA89" s="2812" t="s">
        <v>431</v>
      </c>
      <c r="BB89" s="2812" t="s">
        <v>1785</v>
      </c>
      <c r="BC89" s="2813" t="s">
        <v>31</v>
      </c>
      <c r="BD89" s="2814" t="s">
        <v>1786</v>
      </c>
      <c r="BE89" s="2807" t="s">
        <v>268</v>
      </c>
      <c r="BF89" s="2780"/>
      <c r="BG89" s="2781"/>
      <c r="BH89" s="1080"/>
      <c r="BI89" s="2778"/>
      <c r="BJ89" s="2937"/>
      <c r="BK89" s="2921"/>
      <c r="BL89" s="2937"/>
      <c r="BM89" s="2887"/>
      <c r="BN89" s="2899"/>
      <c r="BO89" s="2890"/>
      <c r="BP89" s="2889"/>
      <c r="BQ89" s="2892"/>
      <c r="BR89" s="2808"/>
      <c r="BS89" s="2808"/>
      <c r="BT89" s="2808"/>
      <c r="BU89" s="2808"/>
      <c r="BV89" s="2808"/>
      <c r="BW89" s="2808"/>
      <c r="BX89" s="2808"/>
      <c r="BY89" s="2808"/>
      <c r="BZ89" s="2808"/>
      <c r="CA89" s="2808"/>
      <c r="CB89" s="2808"/>
      <c r="CC89" s="2808"/>
      <c r="CD89" s="2808"/>
      <c r="CE89" s="2808"/>
    </row>
    <row r="90" spans="1:83" ht="24.75" customHeight="1">
      <c r="A90" s="2676"/>
      <c r="B90" s="2670" t="s">
        <v>1879</v>
      </c>
      <c r="C90" s="3356" t="s">
        <v>1800</v>
      </c>
      <c r="D90" s="2758" t="e" cm="1">
        <f t="array" ca="1" aca="1" ref="D90">_xldudf_CX_GET(CX_ENTITY,fx_attrConverter(C90),val_asOfDate)</f>
        <v>#NAME?</v>
      </c>
      <c r="E90" s="2677"/>
      <c r="F90" s="2726"/>
      <c r="G90" s="2690" t="e" cm="1">
        <f t="array" ca="1" aca="1" ref="G90">IF(D90="","",_xlfn.TEXTSPLIT(D90,"|","¶",FALSE))</f>
        <v>#NAME?</v>
      </c>
      <c r="H90" s="2692"/>
      <c r="I90" s="2691"/>
      <c r="J90" s="2695"/>
      <c r="K90" s="2687"/>
      <c r="L90" s="2685"/>
      <c r="M90" s="2712"/>
      <c r="N90" s="2735" t="e" vm="10" cm="1">
        <f t="array" ref="N90">_xlfn.LET(_xlpm.cf,AN90:AN100,_xlpm.Res,_xlfn.BYROW(_xlpm.cf,_xlfn.LAMBDA(_xlpm.x,IF(AND(ISNUMBER(_xlpm.x),ISERROR(_xlpm.x)=FALSE),_xlpm.x/SUM(_xlpm.cf),""))),_xlfn._xlws.FILTER(_xlpm.Res,_xlpm.Res&lt;&gt;""))</f>
        <v>#VALUE!</v>
      </c>
      <c r="O90" s="2736" t="e" vm="10" cm="1">
        <f t="array" ref="O90">_xlfn.LET(_xlpm.repay,_xlfn.ANCHORARRAY(N90),_xlpm.date,AP90:AP100,_xlpm.date_,_xlfn._xlws.FILTER(_xlpm.date,_xlpm.date&lt;&gt;""),IF((_xlpm.date_&gt;val_asOfDate),DATEDIF(val_asOfDate,_xlpm.date_,"M")/12,0))</f>
        <v>#VALUE!</v>
      </c>
      <c r="P90" s="2677"/>
      <c r="V90" s="158"/>
      <c r="W90" s="101"/>
      <c r="X90" s="52"/>
      <c r="Y90" s="101"/>
      <c r="Z90" s="126"/>
      <c r="AA90" s="101"/>
      <c r="AB90" s="101"/>
      <c r="AC90" s="39"/>
      <c r="AD90" s="406"/>
      <c r="AE90" s="428"/>
      <c r="AF90" s="439"/>
      <c r="AG90" s="661"/>
      <c r="AH90" s="610"/>
      <c r="AI90" s="3080"/>
      <c r="AJ90" s="2008"/>
      <c r="AK90" s="2009"/>
      <c r="AL90" s="602"/>
      <c r="AM90" s="460"/>
      <c r="AN90" s="1967" t="str">
        <f>IF(K90="","",_xlfn.NUMBERVALUE(K90)/IF($D$8,DebtOverview!fxVal_normal,1))</f>
        <v/>
      </c>
      <c r="AO90" s="465"/>
      <c r="AP90" s="2273" t="str">
        <f t="shared" si="4" ref="AP90:AP100">IF(L90="","",DATEVALUE(TEXT(VALUE(L90),"mmm-yyyy")))</f>
        <v/>
      </c>
      <c r="AQ90" s="639"/>
      <c r="AR90" s="602"/>
      <c r="AS90" s="501"/>
      <c r="AT90" s="448"/>
      <c r="AU90" s="429"/>
      <c r="AV90" s="432"/>
      <c r="AX90" s="1080"/>
      <c r="AY90" s="2726"/>
      <c r="AZ90" s="2818" t="e" vm="10" cm="1">
        <f t="array" ref="AZ90">_xlfn.LET(_xlpm._amt,AN90:AN100,_xlpm._dates,AP90:AP100,_xlpm.attribute,C90,_xlpm.entity,val_company,_xlpm.lookthru,1,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#VALUE!</v>
      </c>
      <c r="BA90" s="2820"/>
      <c r="BB90" s="2819"/>
      <c r="BC90" s="2825"/>
      <c r="BD90" s="2822"/>
      <c r="BE90" s="2823"/>
      <c r="BF90" s="2685" t="s">
        <v>1956</v>
      </c>
      <c r="BG90" s="2694" t="b" cm="1">
        <f t="array" ref="BG90">AND(OR(AND((AN90:AP100=0),AND(AN90:AP100="")),AN87=0))</f>
        <v>0</v>
      </c>
      <c r="BH90" s="1080"/>
      <c r="BI90" s="2778"/>
      <c r="BJ90" s="2939"/>
      <c r="BK90" s="2922"/>
      <c r="BL90" s="2939"/>
      <c r="BM90" s="2888"/>
      <c r="BN90" s="2899"/>
      <c r="BO90" s="2890"/>
      <c r="BP90" s="2889"/>
      <c r="BQ90" s="2892"/>
      <c r="BR90" s="2808"/>
      <c r="BS90" s="2808"/>
      <c r="BT90" s="2808"/>
      <c r="BU90" s="2808"/>
      <c r="BV90" s="2808"/>
      <c r="BW90" s="2808"/>
      <c r="BX90" s="2808"/>
      <c r="BY90" s="2808"/>
      <c r="BZ90" s="2808"/>
      <c r="CA90" s="2808"/>
      <c r="CB90" s="2808"/>
      <c r="CC90" s="2808"/>
      <c r="CD90" s="2808"/>
      <c r="CE90" s="2808"/>
    </row>
    <row r="91" spans="1:83" ht="24.75" customHeight="1">
      <c r="A91" s="2676"/>
      <c r="B91" s="2670" t="s">
        <v>1870</v>
      </c>
      <c r="C91" s="1912" t="s">
        <v>1800</v>
      </c>
      <c r="D91" s="2685" t="str">
        <f>IF(D92,_xlfn.TEXTJOIN("¶",FALSE,_xlfn.BYROW(_xlfn.ANCHORARRAY(AZ90),_xlfn.LAMBDA(_xlpm.row,_xlfn.TEXTJOIN("|",FALSE,_xlpm.row)))),"")</f>
        <v/>
      </c>
      <c r="E91" s="2677"/>
      <c r="F91" s="2726"/>
      <c r="G91" s="2690"/>
      <c r="H91" s="2689"/>
      <c r="I91" s="2691"/>
      <c r="J91" s="2695"/>
      <c r="K91" s="2687"/>
      <c r="L91" s="2685"/>
      <c r="M91" s="2712"/>
      <c r="N91" s="2730"/>
      <c r="O91" s="2731"/>
      <c r="P91" s="2677"/>
      <c r="V91" s="158"/>
      <c r="W91" s="101"/>
      <c r="X91" s="52"/>
      <c r="Y91" s="101"/>
      <c r="Z91" s="126"/>
      <c r="AA91" s="101"/>
      <c r="AB91" s="101"/>
      <c r="AC91" s="39"/>
      <c r="AD91" s="406"/>
      <c r="AE91" s="428"/>
      <c r="AF91" s="439"/>
      <c r="AG91" s="661"/>
      <c r="AH91" s="610"/>
      <c r="AI91" s="3080"/>
      <c r="AJ91" s="2008"/>
      <c r="AK91" s="2009"/>
      <c r="AL91" s="602"/>
      <c r="AM91" s="460"/>
      <c r="AN91" s="1967" t="str">
        <f>IF(K91="","",_xlfn.NUMBERVALUE(K91)/IF($D$8,DebtOverview!fxVal_normal,1))</f>
        <v/>
      </c>
      <c r="AO91" s="465"/>
      <c r="AP91" s="2273" t="str">
        <f t="shared" si="4"/>
        <v/>
      </c>
      <c r="AQ91" s="639"/>
      <c r="AR91" s="602"/>
      <c r="AS91" s="501"/>
      <c r="AT91" s="448"/>
      <c r="AU91" s="429"/>
      <c r="AV91" s="432"/>
      <c r="AX91" s="1080"/>
      <c r="AY91" s="2726"/>
      <c r="AZ91" s="2818"/>
      <c r="BA91" s="2826"/>
      <c r="BB91" s="2819"/>
      <c r="BC91" s="2825"/>
      <c r="BD91" s="2822"/>
      <c r="BE91" s="2823"/>
      <c r="BF91" s="2685" t="s">
        <v>1954</v>
      </c>
      <c r="BG91" s="3252" t="b">
        <f>ROWS(_xlfn.ANCHORARRAY(N90))=ROWS(_xlfn.ANCHORARRAY(O90))</f>
        <v>1</v>
      </c>
      <c r="BH91" s="1080"/>
      <c r="BI91" s="2778"/>
      <c r="BJ91" s="2939"/>
      <c r="BK91" s="2922"/>
      <c r="BL91" s="2939"/>
      <c r="BM91" s="2888"/>
      <c r="BN91" s="2899"/>
      <c r="BO91" s="2890"/>
      <c r="BP91" s="2889"/>
      <c r="BQ91" s="2892"/>
      <c r="BR91" s="2808"/>
      <c r="BS91" s="2808"/>
      <c r="BT91" s="2808"/>
      <c r="BU91" s="2808"/>
      <c r="BV91" s="2808"/>
      <c r="BW91" s="2808"/>
      <c r="BX91" s="2808"/>
      <c r="BY91" s="2808"/>
      <c r="BZ91" s="2808"/>
      <c r="CA91" s="2808"/>
      <c r="CB91" s="2808"/>
      <c r="CC91" s="2808"/>
      <c r="CD91" s="2808"/>
      <c r="CE91" s="2808"/>
    </row>
    <row r="92" spans="1:83" ht="24.75" customHeight="1">
      <c r="A92" s="2676"/>
      <c r="B92" s="2670" t="s">
        <v>1864</v>
      </c>
      <c r="C92" s="1912" t="s">
        <v>1800</v>
      </c>
      <c r="D92" s="2755" t="b" cm="1">
        <f t="array" ref="D92">IF(ISERROR(AZ90),FALSE,OR(AZ90:BE90&lt;&gt;""))</f>
        <v>0</v>
      </c>
      <c r="E92" s="2677"/>
      <c r="F92" s="2726"/>
      <c r="G92" s="2690"/>
      <c r="H92" s="2689"/>
      <c r="I92" s="2691"/>
      <c r="J92" s="2695"/>
      <c r="K92" s="2687"/>
      <c r="L92" s="2685"/>
      <c r="M92" s="2712"/>
      <c r="N92" s="2730"/>
      <c r="O92" s="2731"/>
      <c r="P92" s="2677"/>
      <c r="V92" s="1278"/>
      <c r="W92" s="101"/>
      <c r="X92" s="52"/>
      <c r="Y92" s="101"/>
      <c r="Z92" s="126"/>
      <c r="AA92" s="101"/>
      <c r="AB92" s="101"/>
      <c r="AC92" s="39"/>
      <c r="AD92" s="406"/>
      <c r="AE92" s="428"/>
      <c r="AF92" s="439"/>
      <c r="AG92" s="661"/>
      <c r="AH92" s="610"/>
      <c r="AI92" s="3080"/>
      <c r="AJ92" s="2008"/>
      <c r="AK92" s="2009"/>
      <c r="AL92" s="602"/>
      <c r="AM92" s="460"/>
      <c r="AN92" s="1967" t="str">
        <f>IF(K92="","",_xlfn.NUMBERVALUE(K92)/IF($D$8,DebtOverview!fxVal_normal,1))</f>
        <v/>
      </c>
      <c r="AO92" s="465"/>
      <c r="AP92" s="2273" t="str">
        <f t="shared" si="4"/>
        <v/>
      </c>
      <c r="AQ92" s="639"/>
      <c r="AR92" s="602"/>
      <c r="AS92" s="501"/>
      <c r="AT92" s="448"/>
      <c r="AU92" s="429"/>
      <c r="AV92" s="432"/>
      <c r="AX92" s="1080"/>
      <c r="AY92" s="2726"/>
      <c r="AZ92" s="2818"/>
      <c r="BA92" s="2826"/>
      <c r="BB92" s="2819"/>
      <c r="BC92" s="2825"/>
      <c r="BD92" s="2822"/>
      <c r="BE92" s="2823"/>
      <c r="BF92" s="2685" t="s">
        <v>1955</v>
      </c>
      <c r="BG92" s="2690" t="b" cm="1">
        <f t="array" ref="BG92">ABS(SUM(_xlfn._xlws.FILTER(AN90:AN100,AP90:AP100&gt;=val_asOfDate))-AN87)&lt;1</f>
        <v>0</v>
      </c>
      <c r="BH92" s="1080"/>
      <c r="BI92" s="2778"/>
      <c r="BJ92" s="2939"/>
      <c r="BK92" s="2922"/>
      <c r="BL92" s="2939"/>
      <c r="BM92" s="2888"/>
      <c r="BN92" s="2899"/>
      <c r="BO92" s="2890"/>
      <c r="BP92" s="2889"/>
      <c r="BQ92" s="2892"/>
      <c r="BR92" s="2808"/>
      <c r="BS92" s="2808"/>
      <c r="BT92" s="2808"/>
      <c r="BU92" s="2808"/>
      <c r="BV92" s="2808"/>
      <c r="BW92" s="2808"/>
      <c r="BX92" s="2808"/>
      <c r="BY92" s="2808"/>
      <c r="BZ92" s="2808"/>
      <c r="CA92" s="2808"/>
      <c r="CB92" s="2808"/>
      <c r="CC92" s="2808"/>
      <c r="CD92" s="2808"/>
      <c r="CE92" s="2808"/>
    </row>
    <row r="93" spans="1:83" ht="24.75" customHeight="1">
      <c r="A93" s="2676"/>
      <c r="B93" s="2670" t="s">
        <v>1867</v>
      </c>
      <c r="C93" s="1912" t="s">
        <v>1800</v>
      </c>
      <c r="D93" s="2755" t="str" cm="1">
        <f t="array" ref="D93">IF(D92,_xldudf_CX_PUSH(D91,CX_ENTITY,fx_attrConverter(C90),val_asOfDate),"No Push")</f>
        <v>No Push</v>
      </c>
      <c r="E93" s="2677"/>
      <c r="F93" s="2726"/>
      <c r="G93" s="2690"/>
      <c r="H93" s="2689"/>
      <c r="I93" s="2691"/>
      <c r="J93" s="2695"/>
      <c r="K93" s="2687"/>
      <c r="L93" s="2685"/>
      <c r="M93" s="2712"/>
      <c r="N93" s="2730"/>
      <c r="O93" s="2732"/>
      <c r="P93" s="2677"/>
      <c r="V93" s="158"/>
      <c r="W93" s="101"/>
      <c r="X93" s="52"/>
      <c r="Y93" s="101"/>
      <c r="Z93" s="126"/>
      <c r="AA93" s="101"/>
      <c r="AB93" s="101"/>
      <c r="AC93" s="39"/>
      <c r="AD93" s="406"/>
      <c r="AE93" s="428"/>
      <c r="AF93" s="439"/>
      <c r="AG93" s="661"/>
      <c r="AH93" s="610"/>
      <c r="AI93" s="3080"/>
      <c r="AJ93" s="2008"/>
      <c r="AK93" s="2009"/>
      <c r="AL93" s="602"/>
      <c r="AM93" s="460"/>
      <c r="AN93" s="1967" t="str">
        <f>IF(K93="","",_xlfn.NUMBERVALUE(K93)/IF($D$8,DebtOverview!fxVal_normal,1))</f>
        <v/>
      </c>
      <c r="AO93" s="465"/>
      <c r="AP93" s="2273" t="str">
        <f t="shared" si="4"/>
        <v/>
      </c>
      <c r="AQ93" s="639"/>
      <c r="AR93" s="602"/>
      <c r="AS93" s="501"/>
      <c r="AT93" s="448"/>
      <c r="AU93" s="429"/>
      <c r="AV93" s="432"/>
      <c r="AX93" s="1080"/>
      <c r="AY93" s="2726"/>
      <c r="AZ93" s="2818"/>
      <c r="BA93" s="2826"/>
      <c r="BB93" s="2819"/>
      <c r="BC93" s="2825"/>
      <c r="BD93" s="2822"/>
      <c r="BE93" s="2823"/>
      <c r="BF93" s="2685"/>
      <c r="BG93" s="2690"/>
      <c r="BH93" s="1080"/>
      <c r="BI93" s="2778"/>
      <c r="BJ93" s="2939"/>
      <c r="BK93" s="2922"/>
      <c r="BL93" s="2939"/>
      <c r="BM93" s="2888"/>
      <c r="BN93" s="2899"/>
      <c r="BO93" s="2890"/>
      <c r="BP93" s="2889"/>
      <c r="BQ93" s="2892"/>
      <c r="BR93" s="2808"/>
      <c r="BS93" s="2808"/>
      <c r="BT93" s="2808"/>
      <c r="BU93" s="2808"/>
      <c r="BV93" s="2808"/>
      <c r="BW93" s="2808"/>
      <c r="BX93" s="2808"/>
      <c r="BY93" s="2808"/>
      <c r="BZ93" s="2808"/>
      <c r="CA93" s="2808"/>
      <c r="CB93" s="2808"/>
      <c r="CC93" s="2808"/>
      <c r="CD93" s="2808"/>
      <c r="CE93" s="2808"/>
    </row>
    <row r="94" spans="1:83" ht="24.75" customHeight="1">
      <c r="A94" s="2676"/>
      <c r="B94" s="2670" t="s">
        <v>1867</v>
      </c>
      <c r="C94" s="1912" t="s">
        <v>1800</v>
      </c>
      <c r="D94" s="2755" t="str" cm="1">
        <f t="array" ref="D94">IF(D92,_xldudf_CX_PUSH(D91,CX_ENTITY,fx_attrConverter(C90),EOMONTH(val_asOfDate,3)),"No Push")</f>
        <v>No Push</v>
      </c>
      <c r="E94" s="2677"/>
      <c r="F94" s="2726"/>
      <c r="G94" s="2690"/>
      <c r="H94" s="2689"/>
      <c r="I94" s="2691"/>
      <c r="J94" s="2695"/>
      <c r="K94" s="2687"/>
      <c r="L94" s="2685"/>
      <c r="M94" s="2712"/>
      <c r="N94" s="2730"/>
      <c r="O94" s="2732"/>
      <c r="P94" s="2677"/>
      <c r="V94" s="158"/>
      <c r="W94" s="101"/>
      <c r="X94" s="52"/>
      <c r="Y94" s="101"/>
      <c r="Z94" s="126"/>
      <c r="AA94" s="101"/>
      <c r="AB94" s="101"/>
      <c r="AC94" s="39"/>
      <c r="AD94" s="406"/>
      <c r="AE94" s="428"/>
      <c r="AF94" s="439"/>
      <c r="AG94" s="661"/>
      <c r="AH94" s="610"/>
      <c r="AI94" s="3080"/>
      <c r="AJ94" s="2008"/>
      <c r="AK94" s="2009"/>
      <c r="AL94" s="602"/>
      <c r="AM94" s="460"/>
      <c r="AN94" s="1967" t="str">
        <f>IF(K94="","",_xlfn.NUMBERVALUE(K94)/IF($D$8,DebtOverview!fxVal_normal,1))</f>
        <v/>
      </c>
      <c r="AO94" s="465"/>
      <c r="AP94" s="2273" t="str">
        <f t="shared" si="4"/>
        <v/>
      </c>
      <c r="AQ94" s="639"/>
      <c r="AR94" s="602"/>
      <c r="AS94" s="501"/>
      <c r="AT94" s="448"/>
      <c r="AU94" s="429"/>
      <c r="AV94" s="432"/>
      <c r="AX94" s="1080"/>
      <c r="AY94" s="2726"/>
      <c r="AZ94" s="2818"/>
      <c r="BA94" s="2826"/>
      <c r="BB94" s="2819"/>
      <c r="BC94" s="2825"/>
      <c r="BD94" s="2822"/>
      <c r="BE94" s="2823"/>
      <c r="BF94" s="2685"/>
      <c r="BG94" s="2690"/>
      <c r="BH94" s="1080"/>
      <c r="BI94" s="2778"/>
      <c r="BJ94" s="2939"/>
      <c r="BK94" s="2922"/>
      <c r="BL94" s="2939"/>
      <c r="BM94" s="2888"/>
      <c r="BN94" s="2899"/>
      <c r="BO94" s="2890"/>
      <c r="BP94" s="2889"/>
      <c r="BQ94" s="2892"/>
      <c r="BR94" s="2808"/>
      <c r="BS94" s="2808"/>
      <c r="BT94" s="2808"/>
      <c r="BU94" s="2808"/>
      <c r="BV94" s="2808"/>
      <c r="BW94" s="2808"/>
      <c r="BX94" s="2808"/>
      <c r="BY94" s="2808"/>
      <c r="BZ94" s="2808"/>
      <c r="CA94" s="2808"/>
      <c r="CB94" s="2808"/>
      <c r="CC94" s="2808"/>
      <c r="CD94" s="2808"/>
      <c r="CE94" s="2808"/>
    </row>
    <row r="95" spans="1:83" ht="24.75" customHeight="1">
      <c r="A95" s="2676"/>
      <c r="B95" s="2670" t="s">
        <v>1867</v>
      </c>
      <c r="C95" s="1912" t="s">
        <v>1800</v>
      </c>
      <c r="D95" s="2755" t="str" cm="1">
        <f t="array" ref="D95">IF(D92,_xldudf_CX_PUSH(D91,CX_ENTITY,fx_attrConverter(C90),EOMONTH(val_asOfDate,2)),"No Push")</f>
        <v>No Push</v>
      </c>
      <c r="E95" s="2677"/>
      <c r="F95" s="2726"/>
      <c r="G95" s="2690"/>
      <c r="H95" s="2689"/>
      <c r="I95" s="2691"/>
      <c r="J95" s="2695"/>
      <c r="K95" s="2687"/>
      <c r="L95" s="2685"/>
      <c r="M95" s="2712"/>
      <c r="N95" s="2730"/>
      <c r="O95" s="2732"/>
      <c r="P95" s="2677"/>
      <c r="V95" s="158"/>
      <c r="W95" s="101"/>
      <c r="X95" s="52"/>
      <c r="Y95" s="101"/>
      <c r="Z95" s="126"/>
      <c r="AA95" s="101"/>
      <c r="AB95" s="101"/>
      <c r="AC95" s="39"/>
      <c r="AD95" s="406"/>
      <c r="AE95" s="428"/>
      <c r="AF95" s="439"/>
      <c r="AG95" s="661"/>
      <c r="AH95" s="610"/>
      <c r="AI95" s="3080"/>
      <c r="AJ95" s="2008"/>
      <c r="AK95" s="2009"/>
      <c r="AL95" s="602"/>
      <c r="AM95" s="460"/>
      <c r="AN95" s="1967" t="str">
        <f>IF(K95="","",_xlfn.NUMBERVALUE(K95)/IF($D$8,DebtOverview!fxVal_normal,1))</f>
        <v/>
      </c>
      <c r="AO95" s="465"/>
      <c r="AP95" s="2273" t="str">
        <f t="shared" si="4"/>
        <v/>
      </c>
      <c r="AQ95" s="639"/>
      <c r="AR95" s="602"/>
      <c r="AS95" s="501"/>
      <c r="AT95" s="448"/>
      <c r="AU95" s="429"/>
      <c r="AV95" s="432"/>
      <c r="AX95" s="1080"/>
      <c r="AY95" s="2726"/>
      <c r="AZ95" s="2818"/>
      <c r="BA95" s="2826"/>
      <c r="BB95" s="2819"/>
      <c r="BC95" s="2825"/>
      <c r="BD95" s="2822"/>
      <c r="BE95" s="2823"/>
      <c r="BF95" s="2685"/>
      <c r="BG95" s="2690"/>
      <c r="BH95" s="1080"/>
      <c r="BI95" s="2778"/>
      <c r="BJ95" s="2939"/>
      <c r="BK95" s="2922"/>
      <c r="BL95" s="2939"/>
      <c r="BM95" s="2888"/>
      <c r="BN95" s="2899"/>
      <c r="BO95" s="2890"/>
      <c r="BP95" s="2889"/>
      <c r="BQ95" s="2892"/>
      <c r="BR95" s="2808"/>
      <c r="BS95" s="2808"/>
      <c r="BT95" s="2808"/>
      <c r="BU95" s="2808"/>
      <c r="BV95" s="2808"/>
      <c r="BW95" s="2808"/>
      <c r="BX95" s="2808"/>
      <c r="BY95" s="2808"/>
      <c r="BZ95" s="2808"/>
      <c r="CA95" s="2808"/>
      <c r="CB95" s="2808"/>
      <c r="CC95" s="2808"/>
      <c r="CD95" s="2808"/>
      <c r="CE95" s="2808"/>
    </row>
    <row r="96" spans="1:83" ht="24.75" customHeight="1">
      <c r="A96" s="2676"/>
      <c r="B96" s="2670" t="s">
        <v>1867</v>
      </c>
      <c r="C96" s="1912" t="s">
        <v>1800</v>
      </c>
      <c r="D96" s="2755" t="str" cm="1">
        <f t="array" ref="D96">IF(D92,_xldudf_CX_PUSH(D91,CX_ENTITY,fx_attrConverter(C90),EOMONTH(val_asOfDate,13)),"No Push")</f>
        <v>No Push</v>
      </c>
      <c r="E96" s="2677"/>
      <c r="F96" s="2726"/>
      <c r="G96" s="2690"/>
      <c r="H96" s="2689"/>
      <c r="I96" s="2691"/>
      <c r="J96" s="2695"/>
      <c r="K96" s="2687"/>
      <c r="L96" s="2685"/>
      <c r="M96" s="2712"/>
      <c r="N96" s="2730"/>
      <c r="O96" s="2732"/>
      <c r="P96" s="2677"/>
      <c r="V96" s="158"/>
      <c r="W96" s="101"/>
      <c r="X96" s="52"/>
      <c r="Y96" s="101"/>
      <c r="Z96" s="126"/>
      <c r="AA96" s="101"/>
      <c r="AB96" s="101"/>
      <c r="AC96" s="39"/>
      <c r="AD96" s="406"/>
      <c r="AE96" s="428"/>
      <c r="AF96" s="439"/>
      <c r="AG96" s="661"/>
      <c r="AH96" s="610"/>
      <c r="AI96" s="3080"/>
      <c r="AJ96" s="2008"/>
      <c r="AK96" s="2009"/>
      <c r="AL96" s="602"/>
      <c r="AM96" s="460"/>
      <c r="AN96" s="1967" t="str">
        <f>IF(K96="","",_xlfn.NUMBERVALUE(K96)/IF($D$8,DebtOverview!fxVal_normal,1))</f>
        <v/>
      </c>
      <c r="AO96" s="465"/>
      <c r="AP96" s="2273" t="str">
        <f t="shared" si="4"/>
        <v/>
      </c>
      <c r="AQ96" s="639"/>
      <c r="AR96" s="602"/>
      <c r="AS96" s="501"/>
      <c r="AT96" s="448"/>
      <c r="AU96" s="429"/>
      <c r="AV96" s="432"/>
      <c r="AX96" s="1080"/>
      <c r="AY96" s="2726"/>
      <c r="AZ96" s="2818"/>
      <c r="BA96" s="2826"/>
      <c r="BB96" s="2819"/>
      <c r="BC96" s="2825"/>
      <c r="BD96" s="2822"/>
      <c r="BE96" s="2823"/>
      <c r="BF96" s="2685"/>
      <c r="BG96" s="2690"/>
      <c r="BH96" s="1080"/>
      <c r="BI96" s="2778"/>
      <c r="BJ96" s="2939"/>
      <c r="BK96" s="2922"/>
      <c r="BL96" s="2939"/>
      <c r="BM96" s="2888"/>
      <c r="BN96" s="2899"/>
      <c r="BO96" s="2890"/>
      <c r="BP96" s="2889"/>
      <c r="BQ96" s="2892"/>
      <c r="BR96" s="2808"/>
      <c r="BS96" s="2808"/>
      <c r="BT96" s="2808"/>
      <c r="BU96" s="2808"/>
      <c r="BV96" s="2808"/>
      <c r="BW96" s="2808"/>
      <c r="BX96" s="2808"/>
      <c r="BY96" s="2808"/>
      <c r="BZ96" s="2808"/>
      <c r="CA96" s="2808"/>
      <c r="CB96" s="2808"/>
      <c r="CC96" s="2808"/>
      <c r="CD96" s="2808"/>
      <c r="CE96" s="2808"/>
    </row>
    <row r="97" spans="1:83" ht="24.75" customHeight="1">
      <c r="A97" s="2676"/>
      <c r="B97" s="2670"/>
      <c r="C97" s="1912"/>
      <c r="D97" s="2758"/>
      <c r="E97" s="2677"/>
      <c r="F97" s="2726"/>
      <c r="G97" s="2690"/>
      <c r="H97" s="2689"/>
      <c r="I97" s="2691"/>
      <c r="J97" s="2695"/>
      <c r="K97" s="2687"/>
      <c r="L97" s="2685"/>
      <c r="M97" s="2712"/>
      <c r="N97" s="2730"/>
      <c r="O97" s="2731"/>
      <c r="P97" s="2677"/>
      <c r="V97" s="158"/>
      <c r="W97" s="101"/>
      <c r="X97" s="52"/>
      <c r="Y97" s="101"/>
      <c r="Z97" s="126"/>
      <c r="AA97" s="101"/>
      <c r="AB97" s="101"/>
      <c r="AC97" s="39"/>
      <c r="AD97" s="406"/>
      <c r="AE97" s="428"/>
      <c r="AF97" s="439"/>
      <c r="AG97" s="661"/>
      <c r="AH97" s="610"/>
      <c r="AI97" s="3080"/>
      <c r="AJ97" s="2008"/>
      <c r="AK97" s="2009"/>
      <c r="AL97" s="602"/>
      <c r="AM97" s="460"/>
      <c r="AN97" s="1967" t="str">
        <f>IF(K97="","",_xlfn.NUMBERVALUE(K97)/IF($D$8,DebtOverview!fxVal_normal,1))</f>
        <v/>
      </c>
      <c r="AO97" s="465"/>
      <c r="AP97" s="2273" t="str">
        <f t="shared" si="4"/>
        <v/>
      </c>
      <c r="AQ97" s="639"/>
      <c r="AR97" s="602"/>
      <c r="AS97" s="501"/>
      <c r="AT97" s="448"/>
      <c r="AU97" s="429"/>
      <c r="AV97" s="432"/>
      <c r="AX97" s="1080"/>
      <c r="AY97" s="2726"/>
      <c r="AZ97" s="2818"/>
      <c r="BA97" s="2826"/>
      <c r="BB97" s="2819"/>
      <c r="BC97" s="2825"/>
      <c r="BD97" s="2822"/>
      <c r="BE97" s="2823"/>
      <c r="BF97" s="2685"/>
      <c r="BG97" s="2690"/>
      <c r="BH97" s="1080"/>
      <c r="BI97" s="2778"/>
      <c r="BJ97" s="2939"/>
      <c r="BK97" s="2922"/>
      <c r="BL97" s="2939"/>
      <c r="BM97" s="2888"/>
      <c r="BN97" s="2899"/>
      <c r="BO97" s="2890"/>
      <c r="BP97" s="2889"/>
      <c r="BQ97" s="2892"/>
      <c r="BR97" s="2808"/>
      <c r="BS97" s="2808"/>
      <c r="BT97" s="2808"/>
      <c r="BU97" s="2808"/>
      <c r="BV97" s="2808"/>
      <c r="BW97" s="2808"/>
      <c r="BX97" s="2808"/>
      <c r="BY97" s="2808"/>
      <c r="BZ97" s="2808"/>
      <c r="CA97" s="2808"/>
      <c r="CB97" s="2808"/>
      <c r="CC97" s="2808"/>
      <c r="CD97" s="2808"/>
      <c r="CE97" s="2808"/>
    </row>
    <row r="98" spans="1:83" ht="24.75" customHeight="1">
      <c r="A98" s="2676"/>
      <c r="B98" s="1912"/>
      <c r="C98" s="1912"/>
      <c r="D98" s="2758"/>
      <c r="E98" s="2677"/>
      <c r="F98" s="2726"/>
      <c r="G98" s="2690"/>
      <c r="H98" s="2689"/>
      <c r="I98" s="2691"/>
      <c r="J98" s="2695"/>
      <c r="K98" s="2687"/>
      <c r="L98" s="2685"/>
      <c r="M98" s="2712"/>
      <c r="N98" s="2730"/>
      <c r="O98" s="2731"/>
      <c r="P98" s="2677"/>
      <c r="V98" s="158"/>
      <c r="W98" s="101"/>
      <c r="X98" s="52"/>
      <c r="Y98" s="101"/>
      <c r="Z98" s="126"/>
      <c r="AA98" s="101"/>
      <c r="AB98" s="101"/>
      <c r="AC98" s="39"/>
      <c r="AD98" s="406"/>
      <c r="AE98" s="428"/>
      <c r="AF98" s="439"/>
      <c r="AG98" s="661"/>
      <c r="AH98" s="610"/>
      <c r="AI98" s="3080"/>
      <c r="AJ98" s="2008"/>
      <c r="AK98" s="2009"/>
      <c r="AL98" s="602"/>
      <c r="AM98" s="460"/>
      <c r="AN98" s="1967" t="str">
        <f>IF(K98="","",_xlfn.NUMBERVALUE(K98)/IF($D$8,DebtOverview!fxVal_normal,1))</f>
        <v/>
      </c>
      <c r="AO98" s="465"/>
      <c r="AP98" s="2273" t="str">
        <f t="shared" si="4"/>
        <v/>
      </c>
      <c r="AQ98" s="639"/>
      <c r="AR98" s="602"/>
      <c r="AS98" s="501"/>
      <c r="AT98" s="448"/>
      <c r="AU98" s="429"/>
      <c r="AV98" s="432"/>
      <c r="AX98" s="1080"/>
      <c r="AY98" s="2726"/>
      <c r="AZ98" s="2818"/>
      <c r="BA98" s="2826"/>
      <c r="BB98" s="2819"/>
      <c r="BC98" s="2825"/>
      <c r="BD98" s="2822"/>
      <c r="BE98" s="2823"/>
      <c r="BF98" s="2685"/>
      <c r="BG98" s="2690"/>
      <c r="BH98" s="1080"/>
      <c r="BI98" s="2778"/>
      <c r="BJ98" s="2939"/>
      <c r="BK98" s="2922"/>
      <c r="BL98" s="2939"/>
      <c r="BM98" s="2888"/>
      <c r="BN98" s="2899"/>
      <c r="BO98" s="2890"/>
      <c r="BP98" s="2889"/>
      <c r="BQ98" s="2892"/>
      <c r="BR98" s="2808"/>
      <c r="BS98" s="2808"/>
      <c r="BT98" s="2808"/>
      <c r="BU98" s="2808"/>
      <c r="BV98" s="2808"/>
      <c r="BW98" s="2808"/>
      <c r="BX98" s="2808"/>
      <c r="BY98" s="2808"/>
      <c r="BZ98" s="2808"/>
      <c r="CA98" s="2808"/>
      <c r="CB98" s="2808"/>
      <c r="CC98" s="2808"/>
      <c r="CD98" s="2808"/>
      <c r="CE98" s="2808"/>
    </row>
    <row r="99" spans="1:83" ht="24.75" customHeight="1">
      <c r="A99" s="2676"/>
      <c r="B99" s="1912"/>
      <c r="C99" s="1912"/>
      <c r="D99" s="2758"/>
      <c r="E99" s="2677"/>
      <c r="F99" s="2726"/>
      <c r="G99" s="2690"/>
      <c r="H99" s="2689"/>
      <c r="I99" s="2691"/>
      <c r="J99" s="2695"/>
      <c r="K99" s="2687"/>
      <c r="L99" s="2685"/>
      <c r="M99" s="2712"/>
      <c r="N99" s="2730"/>
      <c r="O99" s="2731"/>
      <c r="P99" s="2677"/>
      <c r="V99" s="158"/>
      <c r="W99" s="101"/>
      <c r="X99" s="52"/>
      <c r="Y99" s="101"/>
      <c r="Z99" s="126"/>
      <c r="AA99" s="101"/>
      <c r="AB99" s="101"/>
      <c r="AC99" s="39"/>
      <c r="AD99" s="406"/>
      <c r="AE99" s="428"/>
      <c r="AF99" s="439"/>
      <c r="AG99" s="661"/>
      <c r="AH99" s="610"/>
      <c r="AI99" s="3080"/>
      <c r="AJ99" s="2008"/>
      <c r="AK99" s="2009"/>
      <c r="AL99" s="602"/>
      <c r="AM99" s="460"/>
      <c r="AN99" s="1967" t="str">
        <f>IF(K99="","",_xlfn.NUMBERVALUE(K99)/IF($D$8,DebtOverview!fxVal_normal,1))</f>
        <v/>
      </c>
      <c r="AO99" s="465"/>
      <c r="AP99" s="2273" t="str">
        <f t="shared" si="4"/>
        <v/>
      </c>
      <c r="AQ99" s="639"/>
      <c r="AR99" s="602"/>
      <c r="AS99" s="501"/>
      <c r="AT99" s="448"/>
      <c r="AU99" s="429"/>
      <c r="AV99" s="432"/>
      <c r="AX99" s="1080"/>
      <c r="AY99" s="2726"/>
      <c r="AZ99" s="2818"/>
      <c r="BA99" s="2826"/>
      <c r="BB99" s="2819"/>
      <c r="BC99" s="2825"/>
      <c r="BD99" s="2822"/>
      <c r="BE99" s="2823"/>
      <c r="BF99" s="2685"/>
      <c r="BG99" s="2690"/>
      <c r="BH99" s="1080"/>
      <c r="BI99" s="2778"/>
      <c r="BJ99" s="2939"/>
      <c r="BK99" s="2922"/>
      <c r="BL99" s="2939"/>
      <c r="BM99" s="2888"/>
      <c r="BN99" s="2899"/>
      <c r="BO99" s="2890"/>
      <c r="BP99" s="2889"/>
      <c r="BQ99" s="2892"/>
      <c r="BR99" s="2808"/>
      <c r="BS99" s="2808"/>
      <c r="BT99" s="2808"/>
      <c r="BU99" s="2808"/>
      <c r="BV99" s="2808"/>
      <c r="BW99" s="2808"/>
      <c r="BX99" s="2808"/>
      <c r="BY99" s="2808"/>
      <c r="BZ99" s="2808"/>
      <c r="CA99" s="2808"/>
      <c r="CB99" s="2808"/>
      <c r="CC99" s="2808"/>
      <c r="CD99" s="2808"/>
      <c r="CE99" s="2808"/>
    </row>
    <row r="100" spans="1:83" ht="24.75" customHeight="1">
      <c r="A100" s="2676"/>
      <c r="B100" s="1912"/>
      <c r="C100" s="1912"/>
      <c r="D100" s="2758"/>
      <c r="E100" s="2677"/>
      <c r="F100" s="2726"/>
      <c r="G100" s="2690"/>
      <c r="H100" s="2689"/>
      <c r="I100" s="2691"/>
      <c r="J100" s="2695"/>
      <c r="K100" s="2687"/>
      <c r="L100" s="2685"/>
      <c r="M100" s="2712"/>
      <c r="N100" s="2730"/>
      <c r="O100" s="2731"/>
      <c r="P100" s="2677"/>
      <c r="V100" s="158"/>
      <c r="W100" s="101"/>
      <c r="X100" s="52"/>
      <c r="Y100" s="101"/>
      <c r="Z100" s="126"/>
      <c r="AA100" s="101"/>
      <c r="AB100" s="101"/>
      <c r="AC100" s="39"/>
      <c r="AD100" s="406"/>
      <c r="AE100" s="428"/>
      <c r="AF100" s="439"/>
      <c r="AG100" s="661"/>
      <c r="AH100" s="610"/>
      <c r="AI100" s="3080"/>
      <c r="AJ100" s="2008"/>
      <c r="AK100" s="2009"/>
      <c r="AL100" s="602"/>
      <c r="AM100" s="460"/>
      <c r="AN100" s="1967" t="str">
        <f>IF(K100="","",_xlfn.NUMBERVALUE(K100)/IF($D$8,DebtOverview!fxVal_normal,1))</f>
        <v/>
      </c>
      <c r="AO100" s="465"/>
      <c r="AP100" s="2273" t="str">
        <f t="shared" si="4"/>
        <v/>
      </c>
      <c r="AQ100" s="639"/>
      <c r="AR100" s="602"/>
      <c r="AS100" s="501"/>
      <c r="AT100" s="448"/>
      <c r="AU100" s="429"/>
      <c r="AV100" s="432"/>
      <c r="AX100" s="1080"/>
      <c r="AY100" s="2726"/>
      <c r="AZ100" s="2818"/>
      <c r="BA100" s="2826"/>
      <c r="BB100" s="2819"/>
      <c r="BC100" s="2825"/>
      <c r="BD100" s="2822"/>
      <c r="BE100" s="2823"/>
      <c r="BF100" s="2685"/>
      <c r="BG100" s="2690"/>
      <c r="BH100" s="1080"/>
      <c r="BI100" s="2778"/>
      <c r="BJ100" s="2939"/>
      <c r="BK100" s="2922"/>
      <c r="BL100" s="2939"/>
      <c r="BM100" s="2888"/>
      <c r="BN100" s="2899"/>
      <c r="BO100" s="2890"/>
      <c r="BP100" s="2889"/>
      <c r="BQ100" s="2892"/>
      <c r="BR100" s="2808"/>
      <c r="BS100" s="2808"/>
      <c r="BT100" s="2808"/>
      <c r="BU100" s="2808"/>
      <c r="BV100" s="2808"/>
      <c r="BW100" s="2808"/>
      <c r="BX100" s="2808"/>
      <c r="BY100" s="2808"/>
      <c r="BZ100" s="2808"/>
      <c r="CA100" s="2808"/>
      <c r="CB100" s="2808"/>
      <c r="CC100" s="2808"/>
      <c r="CD100" s="2808"/>
      <c r="CE100" s="2808"/>
    </row>
    <row r="101" spans="1:83" ht="16.5" customHeight="1">
      <c r="A101" s="2676"/>
      <c r="B101" s="2670"/>
      <c r="C101" s="1913"/>
      <c r="D101" s="2752"/>
      <c r="E101" s="2677"/>
      <c r="F101" s="2726"/>
      <c r="G101" s="2689"/>
      <c r="H101" s="2689"/>
      <c r="I101" s="2689"/>
      <c r="J101" s="2689"/>
      <c r="K101" s="2687"/>
      <c r="L101" s="2685"/>
      <c r="M101" s="2712"/>
      <c r="N101" s="2766"/>
      <c r="O101" s="2767"/>
      <c r="P101" s="2677"/>
      <c r="V101" s="158"/>
      <c r="W101" s="101"/>
      <c r="X101" s="52"/>
      <c r="Y101" s="101"/>
      <c r="Z101" s="126"/>
      <c r="AA101" s="101"/>
      <c r="AB101" s="101"/>
      <c r="AC101" s="39"/>
      <c r="AD101" s="406"/>
      <c r="AE101" s="428"/>
      <c r="AF101" s="439"/>
      <c r="AG101" s="661"/>
      <c r="AH101" s="610"/>
      <c r="AI101" s="608"/>
      <c r="AJ101" s="2010"/>
      <c r="AK101" s="2010"/>
      <c r="AL101" s="466"/>
      <c r="AM101" s="467"/>
      <c r="AN101" s="1533" cm="1">
        <f t="array" ref="AN101">IF(N(AN87)=0,0,IFERROR(SUM(_xlfn._xlws.FILTER(AN90:AN100,AP90:AP100&gt;val_asOfDate)),0))</f>
        <v>0</v>
      </c>
      <c r="AO101" s="469"/>
      <c r="AP101" s="468"/>
      <c r="AQ101" s="468"/>
      <c r="AR101" s="506"/>
      <c r="AS101" s="470"/>
      <c r="AT101" s="448"/>
      <c r="AU101" s="429"/>
      <c r="AV101" s="432"/>
      <c r="AX101" s="1080"/>
      <c r="AY101" s="2726"/>
      <c r="AZ101" s="2817"/>
      <c r="BA101" s="2817"/>
      <c r="BB101" s="2817"/>
      <c r="BC101" s="2817"/>
      <c r="BD101" s="2806"/>
      <c r="BE101" s="2807"/>
      <c r="BF101" s="2685"/>
      <c r="BG101" s="2689"/>
      <c r="BH101" s="1080"/>
      <c r="BI101" s="2778"/>
      <c r="BJ101" s="2939"/>
      <c r="BK101" s="2926"/>
      <c r="BL101" s="2939"/>
      <c r="BM101" s="2888"/>
      <c r="BN101" s="2900"/>
      <c r="BO101" s="2891"/>
      <c r="BP101" s="2889"/>
      <c r="BQ101" s="2892"/>
      <c r="BR101" s="2808"/>
      <c r="BS101" s="2808"/>
      <c r="BT101" s="2808"/>
      <c r="BU101" s="2808"/>
      <c r="BV101" s="2808"/>
      <c r="BW101" s="2808"/>
      <c r="BX101" s="2808"/>
      <c r="BY101" s="2808"/>
      <c r="BZ101" s="2808"/>
      <c r="CA101" s="2808"/>
      <c r="CB101" s="2808"/>
      <c r="CC101" s="2808"/>
      <c r="CD101" s="2808"/>
      <c r="CE101" s="2808"/>
    </row>
    <row r="102" spans="1:83" ht="15.5">
      <c r="A102" s="2676" t="s">
        <v>22</v>
      </c>
      <c r="B102" s="2670"/>
      <c r="C102" s="1913"/>
      <c r="D102" s="2752"/>
      <c r="E102" s="2677"/>
      <c r="F102" s="2726"/>
      <c r="G102" s="2689"/>
      <c r="H102" s="2689"/>
      <c r="I102" s="2689"/>
      <c r="J102" s="2689"/>
      <c r="K102" s="2687"/>
      <c r="L102" s="2685"/>
      <c r="M102" s="2712"/>
      <c r="N102" s="2713"/>
      <c r="O102" s="2717"/>
      <c r="P102" s="2677"/>
      <c r="V102" s="158"/>
      <c r="W102" s="101"/>
      <c r="X102" s="52"/>
      <c r="Y102" s="101"/>
      <c r="Z102" s="126"/>
      <c r="AA102" s="101"/>
      <c r="AB102" s="101"/>
      <c r="AC102" s="39"/>
      <c r="AD102" s="406"/>
      <c r="AE102" s="428"/>
      <c r="AF102" s="439"/>
      <c r="AG102" s="661"/>
      <c r="AH102" s="453"/>
      <c r="AI102" s="475"/>
      <c r="AJ102" s="2011"/>
      <c r="AK102" s="2011"/>
      <c r="AL102" s="475"/>
      <c r="AM102" s="429"/>
      <c r="AN102" s="1975"/>
      <c r="AO102" s="476"/>
      <c r="AP102" s="477"/>
      <c r="AQ102" s="477"/>
      <c r="AR102" s="478"/>
      <c r="AS102" s="479"/>
      <c r="AT102" s="480"/>
      <c r="AU102" s="429"/>
      <c r="AV102" s="432"/>
      <c r="AX102" s="1080"/>
      <c r="AY102" s="2726"/>
      <c r="AZ102" s="2817"/>
      <c r="BA102" s="2817"/>
      <c r="BB102" s="2817"/>
      <c r="BC102" s="2817"/>
      <c r="BD102" s="2806"/>
      <c r="BE102" s="2807"/>
      <c r="BF102" s="2685"/>
      <c r="BG102" s="2689"/>
      <c r="BH102" s="1080"/>
      <c r="BI102" s="2778"/>
      <c r="BJ102" s="2939"/>
      <c r="BK102" s="2926"/>
      <c r="BL102" s="2939"/>
      <c r="BM102" s="2888"/>
      <c r="BN102" s="2900"/>
      <c r="BO102" s="2891"/>
      <c r="BP102" s="2889"/>
      <c r="BQ102" s="2892"/>
      <c r="BR102" s="2808"/>
      <c r="BS102" s="2808"/>
      <c r="BT102" s="2808"/>
      <c r="BU102" s="2808"/>
      <c r="BV102" s="2808"/>
      <c r="BW102" s="2808"/>
      <c r="BX102" s="2808"/>
      <c r="BY102" s="2808"/>
      <c r="BZ102" s="2808"/>
      <c r="CA102" s="2808"/>
      <c r="CB102" s="2808"/>
      <c r="CC102" s="2808"/>
      <c r="CD102" s="2808"/>
      <c r="CE102" s="2808"/>
    </row>
    <row r="103" spans="1:83" ht="18">
      <c r="A103" s="2676"/>
      <c r="B103" s="2787" t="s">
        <v>1875</v>
      </c>
      <c r="C103" s="1913" t="s">
        <v>437</v>
      </c>
      <c r="D103" s="2943" t="e" cm="1">
        <f t="array" ca="1" aca="1" ref="D103">_xldudf_CX_GET(CX_ENTITY,fx_attrConverter(C103),val_asOfDate,"As of",,fx_scenarioConverter("Actual"))</f>
        <v>#NAME?</v>
      </c>
      <c r="E103" s="2677"/>
      <c r="F103" s="2726"/>
      <c r="G103" s="2741" t="s">
        <v>1784</v>
      </c>
      <c r="H103" s="2742" t="s">
        <v>431</v>
      </c>
      <c r="I103" s="2742" t="s">
        <v>1785</v>
      </c>
      <c r="J103" s="2743" t="s">
        <v>31</v>
      </c>
      <c r="K103" s="2744" t="s">
        <v>1786</v>
      </c>
      <c r="L103" s="2745" t="s">
        <v>268</v>
      </c>
      <c r="M103" s="2668"/>
      <c r="N103" s="2747" t="s">
        <v>1787</v>
      </c>
      <c r="O103" s="2748" t="s">
        <v>1869</v>
      </c>
      <c r="P103" s="2677"/>
      <c r="V103" s="158"/>
      <c r="W103" s="101"/>
      <c r="X103" s="52"/>
      <c r="Y103" s="101"/>
      <c r="Z103" s="126"/>
      <c r="AA103" s="101"/>
      <c r="AB103" s="101"/>
      <c r="AC103" s="39"/>
      <c r="AD103" s="406"/>
      <c r="AE103" s="428"/>
      <c r="AF103" s="439"/>
      <c r="AG103" s="661"/>
      <c r="AH103" s="453"/>
      <c r="AI103" s="3253">
        <f>BS!$Y$37</f>
        <v>2</v>
      </c>
      <c r="AJ103" s="2005"/>
      <c r="AK103" s="2005"/>
      <c r="AL103" s="595"/>
      <c r="AM103" s="596"/>
      <c r="AN103" s="3248" cm="1">
        <f t="array" ref="AN103">ABS(N(_xlfn.XLOOKUP(C103,BS!$B$19:$B$50,_xlfn.XLOOKUP($AN$5,_xlfn.ANCHORARRAY(BS!$AD$11),BS!$AD$19:$BN$50))))*fxVal_normal/$C$8</f>
        <v>1</v>
      </c>
      <c r="AO103" s="2870">
        <f>IF(BG106,0,IF(BG108,1,-1))</f>
        <v>-1</v>
      </c>
      <c r="AP103" s="2272">
        <f>$AN$5</f>
        <v>46022</v>
      </c>
      <c r="AQ103" s="3249">
        <f>IF(BG106,0,IF(BG107,1,-1))</f>
        <v>1</v>
      </c>
      <c r="AR103" s="690" t="str">
        <f>IF(N(AN103=0),"n/a",AR106)</f>
        <v>n/a</v>
      </c>
      <c r="AS103" s="598"/>
      <c r="AT103" s="448"/>
      <c r="AU103" s="455"/>
      <c r="AV103" s="432"/>
      <c r="AX103" s="1080"/>
      <c r="AY103" s="2726"/>
      <c r="AZ103" s="2805"/>
      <c r="BA103" s="2812"/>
      <c r="BB103" s="2812"/>
      <c r="BC103" s="2813"/>
      <c r="BD103" s="2814"/>
      <c r="BE103" s="2807"/>
      <c r="BF103" s="2745"/>
      <c r="BG103" s="2741"/>
      <c r="BH103" s="1080"/>
      <c r="BI103" s="2778"/>
      <c r="BJ103" s="2939"/>
      <c r="BK103" s="2917"/>
      <c r="BL103" s="2939"/>
      <c r="BM103" s="2887"/>
      <c r="BN103" s="2899"/>
      <c r="BO103" s="2891"/>
      <c r="BP103" s="2889"/>
      <c r="BQ103" s="2892"/>
      <c r="BR103" s="2808"/>
      <c r="BS103" s="2808"/>
      <c r="BT103" s="2808"/>
      <c r="BU103" s="2808"/>
      <c r="BV103" s="2808"/>
      <c r="BW103" s="2808"/>
      <c r="BX103" s="2808"/>
      <c r="BY103" s="2808"/>
      <c r="BZ103" s="2808"/>
      <c r="CA103" s="2808"/>
      <c r="CB103" s="2808"/>
      <c r="CC103" s="2808"/>
      <c r="CD103" s="2808"/>
      <c r="CE103" s="2808"/>
    </row>
    <row r="104" spans="1:83" ht="21" customHeight="1">
      <c r="A104" s="2676"/>
      <c r="B104" s="2787"/>
      <c r="C104" s="2683"/>
      <c r="D104" s="2752"/>
      <c r="E104" s="2677"/>
      <c r="F104" s="2726"/>
      <c r="G104" s="2684"/>
      <c r="H104" s="2684"/>
      <c r="I104" s="2684"/>
      <c r="J104" s="2684"/>
      <c r="K104" s="2687"/>
      <c r="L104" s="2685"/>
      <c r="M104" s="2712"/>
      <c r="N104" s="2720"/>
      <c r="O104" s="2721"/>
      <c r="P104" s="2677"/>
      <c r="V104" s="158"/>
      <c r="W104" s="101"/>
      <c r="X104" s="52"/>
      <c r="Y104" s="101"/>
      <c r="Z104" s="126"/>
      <c r="AA104" s="101"/>
      <c r="AB104" s="101"/>
      <c r="AC104" s="39"/>
      <c r="AD104" s="406"/>
      <c r="AE104" s="2654"/>
      <c r="AF104" s="439"/>
      <c r="AG104" s="660"/>
      <c r="AH104" s="609"/>
      <c r="AI104" s="607"/>
      <c r="AJ104" s="2007"/>
      <c r="AK104" s="2007"/>
      <c r="AL104" s="456"/>
      <c r="AM104" s="457"/>
      <c r="AN104" s="1531"/>
      <c r="AO104" s="457"/>
      <c r="AP104" s="457"/>
      <c r="AQ104" s="458"/>
      <c r="AR104" s="458"/>
      <c r="AS104" s="499"/>
      <c r="AT104" s="448"/>
      <c r="AU104" s="2655"/>
      <c r="AV104" s="2656"/>
      <c r="AX104" s="1080"/>
      <c r="AY104" s="2726"/>
      <c r="AZ104" s="2804"/>
      <c r="BA104" s="2804"/>
      <c r="BB104" s="2804"/>
      <c r="BC104" s="2804"/>
      <c r="BD104" s="2806"/>
      <c r="BE104" s="2807"/>
      <c r="BF104" s="2685"/>
      <c r="BG104" s="2684"/>
      <c r="BH104" s="1080"/>
      <c r="BI104" s="2778"/>
      <c r="BJ104" s="2939"/>
      <c r="BK104" s="2918"/>
      <c r="BL104" s="2939"/>
      <c r="BM104" s="2888"/>
      <c r="BN104" s="2900"/>
      <c r="BO104" s="2891"/>
      <c r="BP104" s="2889"/>
      <c r="BQ104" s="2892"/>
      <c r="BR104" s="2808"/>
      <c r="BS104" s="2808"/>
      <c r="BT104" s="2808"/>
      <c r="BU104" s="2808"/>
      <c r="BV104" s="2808"/>
      <c r="BW104" s="2808"/>
      <c r="BX104" s="2808"/>
      <c r="BY104" s="2808"/>
      <c r="BZ104" s="2808"/>
      <c r="CA104" s="2808"/>
      <c r="CB104" s="2808"/>
      <c r="CC104" s="2808"/>
      <c r="CD104" s="2808"/>
      <c r="CE104" s="2808"/>
    </row>
    <row r="105" spans="1:83" ht="20.25" customHeight="1">
      <c r="A105" s="2676"/>
      <c r="B105" s="2787" t="s">
        <v>1876</v>
      </c>
      <c r="C105" s="2683"/>
      <c r="D105" s="2758"/>
      <c r="E105" s="2677"/>
      <c r="F105" s="2726"/>
      <c r="G105" s="2690"/>
      <c r="H105" s="2691"/>
      <c r="I105" s="2691"/>
      <c r="J105" s="2695"/>
      <c r="K105" s="2687"/>
      <c r="L105" s="2685"/>
      <c r="M105" s="2712"/>
      <c r="N105" s="2716"/>
      <c r="O105" s="2717"/>
      <c r="P105" s="2677"/>
      <c r="V105" s="158"/>
      <c r="W105" s="101"/>
      <c r="X105" s="52"/>
      <c r="Y105" s="101"/>
      <c r="Z105" s="126"/>
      <c r="AA105" s="101"/>
      <c r="AB105" s="101"/>
      <c r="AC105" s="39"/>
      <c r="AD105" s="406"/>
      <c r="AE105" s="428"/>
      <c r="AF105" s="439"/>
      <c r="AG105" s="661"/>
      <c r="AH105" s="610"/>
      <c r="AI105" s="3080"/>
      <c r="AJ105" s="2008"/>
      <c r="AK105" s="2009"/>
      <c r="AL105" s="602"/>
      <c r="AM105" s="460"/>
      <c r="AN105" s="1535" t="s">
        <v>1791</v>
      </c>
      <c r="AO105" s="458"/>
      <c r="AP105" s="458" t="s">
        <v>1792</v>
      </c>
      <c r="AQ105" s="502"/>
      <c r="AR105" s="507" t="s">
        <v>1789</v>
      </c>
      <c r="AS105" s="500"/>
      <c r="AT105" s="448"/>
      <c r="AU105" s="429"/>
      <c r="AV105" s="432"/>
      <c r="AX105" s="1080"/>
      <c r="AY105" s="2726"/>
      <c r="AZ105" s="2805" t="s">
        <v>1784</v>
      </c>
      <c r="BA105" s="2812" t="s">
        <v>431</v>
      </c>
      <c r="BB105" s="2812" t="s">
        <v>1785</v>
      </c>
      <c r="BC105" s="2813" t="s">
        <v>31</v>
      </c>
      <c r="BD105" s="2814" t="s">
        <v>1786</v>
      </c>
      <c r="BE105" s="2807" t="s">
        <v>268</v>
      </c>
      <c r="BF105" s="2780"/>
      <c r="BG105" s="2781"/>
      <c r="BH105" s="1080"/>
      <c r="BI105" s="2778"/>
      <c r="BJ105" s="2939"/>
      <c r="BK105" s="2922"/>
      <c r="BL105" s="2939"/>
      <c r="BM105" s="2887"/>
      <c r="BN105" s="2899"/>
      <c r="BO105" s="2890"/>
      <c r="BP105" s="2889"/>
      <c r="BQ105" s="2892"/>
      <c r="BR105" s="2808"/>
      <c r="BS105" s="2808"/>
      <c r="BT105" s="2808"/>
      <c r="BU105" s="2808"/>
      <c r="BV105" s="2808"/>
      <c r="BW105" s="2808"/>
      <c r="BX105" s="2808"/>
      <c r="BY105" s="2808"/>
      <c r="BZ105" s="2808"/>
      <c r="CA105" s="2808"/>
      <c r="CB105" s="2808"/>
      <c r="CC105" s="2808"/>
      <c r="CD105" s="2808"/>
      <c r="CE105" s="2808"/>
    </row>
    <row r="106" spans="1:83" ht="24.75" customHeight="1">
      <c r="A106" s="2676"/>
      <c r="B106" s="2670" t="s">
        <v>1879</v>
      </c>
      <c r="C106" s="3360" t="s">
        <v>1801</v>
      </c>
      <c r="D106" s="2758" t="e" cm="1">
        <f t="array" ca="1" aca="1" ref="D106">_xldudf_CX_GET(CX_ENTITY,fx_attrConverter(C106),val_asOfDate)</f>
        <v>#NAME?</v>
      </c>
      <c r="E106" s="2677"/>
      <c r="F106" s="2726"/>
      <c r="G106" s="2690" t="e" cm="1">
        <f t="array" ca="1" aca="1" ref="G106">IF(D106="","",_xlfn.TEXTSPLIT(D106,"|","¶",FALSE))</f>
        <v>#NAME?</v>
      </c>
      <c r="H106" s="2699"/>
      <c r="I106" s="2691"/>
      <c r="J106" s="2695"/>
      <c r="K106" s="2687"/>
      <c r="L106" s="2685"/>
      <c r="M106" s="2712"/>
      <c r="N106" s="2735" t="e" vm="10" cm="1">
        <f t="array" ref="N106">_xlfn.LET(_xlpm.cf,AN106:AN116,_xlpm.Res,_xlfn.BYROW(_xlpm.cf,_xlfn.LAMBDA(_xlpm.x,IF(AND(ISNUMBER(_xlpm.x),ISERROR(_xlpm.x)=FALSE),_xlpm.x/SUM(_xlpm.cf),""))),_xlfn._xlws.FILTER(_xlpm.Res,_xlpm.Res&lt;&gt;""))</f>
        <v>#VALUE!</v>
      </c>
      <c r="O106" s="2736" t="e" vm="10" cm="1">
        <f t="array" ref="O106">_xlfn.LET(_xlpm.repay,_xlfn.ANCHORARRAY(N106),_xlpm.date,AP106:AP116,_xlpm.date_,_xlfn._xlws.FILTER(_xlpm.date,_xlpm.date&lt;&gt;""),IF((_xlpm.date_&gt;val_asOfDate),DATEDIF(val_asOfDate,_xlpm.date_,"M")/12,0))</f>
        <v>#VALUE!</v>
      </c>
      <c r="P106" s="2677"/>
      <c r="V106" s="158"/>
      <c r="W106" s="101"/>
      <c r="X106" s="52"/>
      <c r="Y106" s="101"/>
      <c r="Z106" s="126"/>
      <c r="AA106" s="101"/>
      <c r="AB106" s="101"/>
      <c r="AC106" s="39"/>
      <c r="AD106" s="406"/>
      <c r="AE106" s="428"/>
      <c r="AF106" s="439"/>
      <c r="AG106" s="661"/>
      <c r="AH106" s="610"/>
      <c r="AI106" s="3080"/>
      <c r="AJ106" s="2008"/>
      <c r="AK106" s="2009"/>
      <c r="AL106" s="602"/>
      <c r="AM106" s="460"/>
      <c r="AN106" s="1967" t="str">
        <f>IF(K106="","",_xlfn.NUMBERVALUE(K106)/IF($D$8,DebtOverview!fxVal_normal,1))</f>
        <v/>
      </c>
      <c r="AO106" s="465"/>
      <c r="AP106" s="2273" t="str">
        <f t="shared" si="5" ref="AP106:AP116">IF(L106="","",DATEVALUE(TEXT(VALUE(L106),"mmm-yyyy")))</f>
        <v/>
      </c>
      <c r="AQ106" s="639"/>
      <c r="AR106" s="3082" t="str">
        <f>IFERROR(SUMPRODUCT(_xlfn.ANCHORARRAY(N106),_xlfn.ANCHORARRAY(O106)),"n/a")</f>
        <v>n/a</v>
      </c>
      <c r="AS106" s="501"/>
      <c r="AT106" s="448"/>
      <c r="AU106" s="429"/>
      <c r="AV106" s="432"/>
      <c r="AX106" s="1080"/>
      <c r="AY106" s="2726"/>
      <c r="AZ106" s="2818" t="e" vm="10" cm="1">
        <f t="array" ref="AZ106">_xlfn.LET(_xlpm._amt,AN106:AN116,_xlpm._dates,AP106:AP116,_xlpm.attribute,C106,_xlpm.entity,val_company,_xlpm.lookthru,1,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#VALUE!</v>
      </c>
      <c r="BA106" s="2829"/>
      <c r="BB106" s="2819"/>
      <c r="BC106" s="2825"/>
      <c r="BD106" s="2822"/>
      <c r="BE106" s="2823"/>
      <c r="BF106" s="2685" t="s">
        <v>1956</v>
      </c>
      <c r="BG106" s="2694" t="b" cm="1">
        <f t="array" ref="BG106">AND(OR(AND((AN106:AP116=0),AND(AN106:AP116="")),AN103=0))</f>
        <v>0</v>
      </c>
      <c r="BH106" s="1080"/>
      <c r="BI106" s="2778"/>
      <c r="BJ106" s="2939"/>
      <c r="BK106" s="2922"/>
      <c r="BL106" s="2939"/>
      <c r="BM106" s="2888"/>
      <c r="BN106" s="2899"/>
      <c r="BO106" s="2890"/>
      <c r="BP106" s="2889"/>
      <c r="BQ106" s="2892"/>
      <c r="BR106" s="2808"/>
      <c r="BS106" s="2808"/>
      <c r="BT106" s="2808"/>
      <c r="BU106" s="2808"/>
      <c r="BV106" s="2808"/>
      <c r="BW106" s="2808"/>
      <c r="BX106" s="2808"/>
      <c r="BY106" s="2808"/>
      <c r="BZ106" s="2808"/>
      <c r="CA106" s="2808"/>
      <c r="CB106" s="2808"/>
      <c r="CC106" s="2808"/>
      <c r="CD106" s="2808"/>
      <c r="CE106" s="2808"/>
    </row>
    <row r="107" spans="1:83" ht="24.75" customHeight="1">
      <c r="A107" s="2676"/>
      <c r="B107" s="2670" t="s">
        <v>1870</v>
      </c>
      <c r="C107" s="1916" t="s">
        <v>1801</v>
      </c>
      <c r="D107" s="2685" t="str">
        <f>IF(D108,_xlfn.TEXTJOIN("¶",FALSE,_xlfn.BYROW(_xlfn.ANCHORARRAY(AZ106),_xlfn.LAMBDA(_xlpm.row,_xlfn.TEXTJOIN("|",FALSE,_xlpm.row)))),"")</f>
        <v/>
      </c>
      <c r="E107" s="2677"/>
      <c r="F107" s="2726"/>
      <c r="G107" s="2690"/>
      <c r="H107" s="2689"/>
      <c r="I107" s="2691"/>
      <c r="J107" s="2695"/>
      <c r="K107" s="2687"/>
      <c r="L107" s="2685"/>
      <c r="M107" s="2712"/>
      <c r="N107" s="2730"/>
      <c r="O107" s="2731"/>
      <c r="P107" s="2677"/>
      <c r="V107" s="158"/>
      <c r="W107" s="101"/>
      <c r="X107" s="52"/>
      <c r="Y107" s="101"/>
      <c r="Z107" s="126"/>
      <c r="AA107" s="101"/>
      <c r="AB107" s="101"/>
      <c r="AC107" s="39"/>
      <c r="AD107" s="406"/>
      <c r="AE107" s="428"/>
      <c r="AF107" s="439"/>
      <c r="AG107" s="661"/>
      <c r="AH107" s="610"/>
      <c r="AI107" s="3080"/>
      <c r="AJ107" s="2008"/>
      <c r="AK107" s="2009"/>
      <c r="AL107" s="602"/>
      <c r="AM107" s="460"/>
      <c r="AN107" s="1967" t="str">
        <f>IF(K107="","",_xlfn.NUMBERVALUE(K107)/IF($D$8,DebtOverview!fxVal_normal,1))</f>
        <v/>
      </c>
      <c r="AO107" s="465"/>
      <c r="AP107" s="2273" t="str">
        <f t="shared" si="5"/>
        <v/>
      </c>
      <c r="AQ107" s="639"/>
      <c r="AR107" s="3083"/>
      <c r="AS107" s="501"/>
      <c r="AT107" s="448"/>
      <c r="AU107" s="429"/>
      <c r="AV107" s="432"/>
      <c r="AX107" s="1080"/>
      <c r="AY107" s="2726"/>
      <c r="AZ107" s="2818"/>
      <c r="BA107" s="2826"/>
      <c r="BB107" s="2819"/>
      <c r="BC107" s="2825"/>
      <c r="BD107" s="2822"/>
      <c r="BE107" s="2823"/>
      <c r="BF107" s="2685" t="s">
        <v>1954</v>
      </c>
      <c r="BG107" s="3252" t="b">
        <f>ROWS(_xlfn.ANCHORARRAY(N106))=ROWS(_xlfn.ANCHORARRAY(O106))</f>
        <v>1</v>
      </c>
      <c r="BH107" s="1080"/>
      <c r="BI107" s="2778"/>
      <c r="BJ107" s="2939"/>
      <c r="BK107" s="2922"/>
      <c r="BL107" s="2939"/>
      <c r="BM107" s="2888"/>
      <c r="BN107" s="2899"/>
      <c r="BO107" s="2890"/>
      <c r="BP107" s="2889"/>
      <c r="BQ107" s="2892"/>
      <c r="BR107" s="2808"/>
      <c r="BS107" s="2808"/>
      <c r="BT107" s="2808"/>
      <c r="BU107" s="2808"/>
      <c r="BV107" s="2808"/>
      <c r="BW107" s="2808"/>
      <c r="BX107" s="2808"/>
      <c r="BY107" s="2808"/>
      <c r="BZ107" s="2808"/>
      <c r="CA107" s="2808"/>
      <c r="CB107" s="2808"/>
      <c r="CC107" s="2808"/>
      <c r="CD107" s="2808"/>
      <c r="CE107" s="2808"/>
    </row>
    <row r="108" spans="1:83" ht="24.75" customHeight="1">
      <c r="A108" s="2676"/>
      <c r="B108" s="2670" t="s">
        <v>1864</v>
      </c>
      <c r="C108" s="1916" t="s">
        <v>1801</v>
      </c>
      <c r="D108" s="2755" t="b" cm="1">
        <f t="array" ref="D108">IF(ISERROR(AZ106),FALSE,OR(AZ106:BE106&lt;&gt;""))</f>
        <v>0</v>
      </c>
      <c r="E108" s="2677"/>
      <c r="F108" s="2726"/>
      <c r="G108" s="2690"/>
      <c r="H108" s="2689"/>
      <c r="I108" s="2691"/>
      <c r="J108" s="2695"/>
      <c r="K108" s="2687"/>
      <c r="L108" s="2685"/>
      <c r="M108" s="2712"/>
      <c r="N108" s="2730"/>
      <c r="O108" s="2731"/>
      <c r="P108" s="2677"/>
      <c r="V108" s="158"/>
      <c r="W108" s="101"/>
      <c r="X108" s="52"/>
      <c r="Y108" s="101"/>
      <c r="Z108" s="126"/>
      <c r="AA108" s="101"/>
      <c r="AB108" s="101"/>
      <c r="AC108" s="39"/>
      <c r="AD108" s="406"/>
      <c r="AE108" s="428"/>
      <c r="AF108" s="439"/>
      <c r="AG108" s="661"/>
      <c r="AH108" s="610"/>
      <c r="AI108" s="3080"/>
      <c r="AJ108" s="2008"/>
      <c r="AK108" s="2009"/>
      <c r="AL108" s="602"/>
      <c r="AM108" s="460"/>
      <c r="AN108" s="1967" t="str">
        <f>IF(K108="","",_xlfn.NUMBERVALUE(K108)/IF($D$8,DebtOverview!fxVal_normal,1))</f>
        <v/>
      </c>
      <c r="AO108" s="465"/>
      <c r="AP108" s="2273" t="str">
        <f t="shared" si="5"/>
        <v/>
      </c>
      <c r="AQ108" s="639"/>
      <c r="AR108" s="3083"/>
      <c r="AS108" s="501"/>
      <c r="AT108" s="448"/>
      <c r="AU108" s="429"/>
      <c r="AV108" s="432"/>
      <c r="AX108" s="1080"/>
      <c r="AY108" s="2726"/>
      <c r="AZ108" s="2818"/>
      <c r="BA108" s="2826"/>
      <c r="BB108" s="2819"/>
      <c r="BC108" s="2825"/>
      <c r="BD108" s="2822"/>
      <c r="BE108" s="2823"/>
      <c r="BF108" s="2685" t="s">
        <v>1955</v>
      </c>
      <c r="BG108" s="2690" t="b" cm="1">
        <f t="array" ref="BG108">ABS(SUM(_xlfn._xlws.FILTER(AN106:AN116,AP106:AP116&gt;=val_asOfDate))-AN103)&lt;1</f>
        <v>0</v>
      </c>
      <c r="BH108" s="1080"/>
      <c r="BI108" s="2778"/>
      <c r="BJ108" s="2939"/>
      <c r="BK108" s="2922"/>
      <c r="BL108" s="2939"/>
      <c r="BM108" s="2888"/>
      <c r="BN108" s="2899"/>
      <c r="BO108" s="2890"/>
      <c r="BP108" s="2889"/>
      <c r="BQ108" s="2892"/>
      <c r="BR108" s="2808"/>
      <c r="BS108" s="2808"/>
      <c r="BT108" s="2808"/>
      <c r="BU108" s="2808"/>
      <c r="BV108" s="2808"/>
      <c r="BW108" s="2808"/>
      <c r="BX108" s="2808"/>
      <c r="BY108" s="2808"/>
      <c r="BZ108" s="2808"/>
      <c r="CA108" s="2808"/>
      <c r="CB108" s="2808"/>
      <c r="CC108" s="2808"/>
      <c r="CD108" s="2808"/>
      <c r="CE108" s="2808"/>
    </row>
    <row r="109" spans="1:83" ht="24.75" customHeight="1">
      <c r="A109" s="2676"/>
      <c r="B109" s="2670" t="s">
        <v>1867</v>
      </c>
      <c r="C109" s="1916" t="s">
        <v>1801</v>
      </c>
      <c r="D109" s="2755" t="str" cm="1">
        <f t="array" ref="D109">IF(D108,_xldudf_CX_PUSH(D107,CX_ENTITY,fx_attrConverter(C106),val_asOfDate),"No Push")</f>
        <v>No Push</v>
      </c>
      <c r="E109" s="2677"/>
      <c r="F109" s="2726"/>
      <c r="G109" s="2690"/>
      <c r="H109" s="2689"/>
      <c r="I109" s="2691"/>
      <c r="J109" s="2695"/>
      <c r="K109" s="2687"/>
      <c r="L109" s="2685"/>
      <c r="M109" s="2712"/>
      <c r="N109" s="2730"/>
      <c r="O109" s="2732"/>
      <c r="P109" s="2677"/>
      <c r="V109" s="158"/>
      <c r="W109" s="101"/>
      <c r="X109" s="52"/>
      <c r="Y109" s="101"/>
      <c r="Z109" s="126"/>
      <c r="AA109" s="101"/>
      <c r="AB109" s="101"/>
      <c r="AC109" s="39"/>
      <c r="AD109" s="406"/>
      <c r="AE109" s="428"/>
      <c r="AF109" s="439"/>
      <c r="AG109" s="661"/>
      <c r="AH109" s="610"/>
      <c r="AI109" s="3080"/>
      <c r="AJ109" s="2008"/>
      <c r="AK109" s="2009"/>
      <c r="AL109" s="602"/>
      <c r="AM109" s="460"/>
      <c r="AN109" s="1967" t="str">
        <f>IF(K109="","",_xlfn.NUMBERVALUE(K109)/IF($D$8,DebtOverview!fxVal_normal,1))</f>
        <v/>
      </c>
      <c r="AO109" s="465"/>
      <c r="AP109" s="2273" t="str">
        <f t="shared" si="5"/>
        <v/>
      </c>
      <c r="AQ109" s="639"/>
      <c r="AR109" s="3083"/>
      <c r="AS109" s="501"/>
      <c r="AT109" s="448"/>
      <c r="AU109" s="429"/>
      <c r="AV109" s="432"/>
      <c r="AX109" s="1080"/>
      <c r="AY109" s="2726"/>
      <c r="AZ109" s="2818"/>
      <c r="BA109" s="2826"/>
      <c r="BB109" s="2819"/>
      <c r="BC109" s="2825"/>
      <c r="BD109" s="2822"/>
      <c r="BE109" s="2823"/>
      <c r="BF109" s="2685"/>
      <c r="BG109" s="2690"/>
      <c r="BH109" s="1080"/>
      <c r="BI109" s="2778"/>
      <c r="BJ109" s="2939"/>
      <c r="BK109" s="2922"/>
      <c r="BL109" s="2939"/>
      <c r="BM109" s="2888"/>
      <c r="BN109" s="2899"/>
      <c r="BO109" s="2890"/>
      <c r="BP109" s="2889"/>
      <c r="BQ109" s="2892"/>
      <c r="BR109" s="2808"/>
      <c r="BS109" s="2808"/>
      <c r="BT109" s="2808"/>
      <c r="BU109" s="2808"/>
      <c r="BV109" s="2808"/>
      <c r="BW109" s="2808"/>
      <c r="BX109" s="2808"/>
      <c r="BY109" s="2808"/>
      <c r="BZ109" s="2808"/>
      <c r="CA109" s="2808"/>
      <c r="CB109" s="2808"/>
      <c r="CC109" s="2808"/>
      <c r="CD109" s="2808"/>
      <c r="CE109" s="2808"/>
    </row>
    <row r="110" spans="1:83" ht="24.75" customHeight="1">
      <c r="A110" s="2676"/>
      <c r="B110" s="2670" t="s">
        <v>1867</v>
      </c>
      <c r="C110" s="1916" t="s">
        <v>1801</v>
      </c>
      <c r="D110" s="2755" t="str" cm="1">
        <f t="array" ref="D110">IF(D108,_xldudf_CX_PUSH(D107,CX_ENTITY,fx_attrConverter(C106),EOMONTH(val_asOfDate,3)),"No Push")</f>
        <v>No Push</v>
      </c>
      <c r="E110" s="2677"/>
      <c r="F110" s="2726"/>
      <c r="G110" s="2690"/>
      <c r="H110" s="2689"/>
      <c r="I110" s="2691"/>
      <c r="J110" s="2695"/>
      <c r="K110" s="2687"/>
      <c r="L110" s="2685"/>
      <c r="M110" s="2712"/>
      <c r="N110" s="2730"/>
      <c r="O110" s="2732"/>
      <c r="P110" s="2677"/>
      <c r="V110" s="158"/>
      <c r="W110" s="101"/>
      <c r="X110" s="52"/>
      <c r="Y110" s="101"/>
      <c r="Z110" s="126"/>
      <c r="AA110" s="101"/>
      <c r="AB110" s="101"/>
      <c r="AC110" s="39"/>
      <c r="AD110" s="406"/>
      <c r="AE110" s="428"/>
      <c r="AF110" s="439"/>
      <c r="AG110" s="661"/>
      <c r="AH110" s="610"/>
      <c r="AI110" s="3080"/>
      <c r="AJ110" s="2008"/>
      <c r="AK110" s="2009"/>
      <c r="AL110" s="602"/>
      <c r="AM110" s="460"/>
      <c r="AN110" s="1967" t="str">
        <f>IF(K110="","",_xlfn.NUMBERVALUE(K110)/IF($D$8,DebtOverview!fxVal_normal,1))</f>
        <v/>
      </c>
      <c r="AO110" s="465"/>
      <c r="AP110" s="2273" t="str">
        <f t="shared" si="5"/>
        <v/>
      </c>
      <c r="AQ110" s="639"/>
      <c r="AR110" s="611" t="s">
        <v>1795</v>
      </c>
      <c r="AS110" s="501"/>
      <c r="AT110" s="448"/>
      <c r="AU110" s="429"/>
      <c r="AV110" s="432"/>
      <c r="AX110" s="1080"/>
      <c r="AY110" s="2726"/>
      <c r="AZ110" s="2818"/>
      <c r="BA110" s="2826"/>
      <c r="BB110" s="2819"/>
      <c r="BC110" s="2825"/>
      <c r="BD110" s="2822"/>
      <c r="BE110" s="2823"/>
      <c r="BF110" s="2685"/>
      <c r="BG110" s="2690"/>
      <c r="BH110" s="1080"/>
      <c r="BI110" s="2778"/>
      <c r="BJ110" s="2939"/>
      <c r="BK110" s="2922"/>
      <c r="BL110" s="2939"/>
      <c r="BM110" s="2888"/>
      <c r="BN110" s="2899"/>
      <c r="BO110" s="2890"/>
      <c r="BP110" s="2889"/>
      <c r="BQ110" s="2892"/>
      <c r="BR110" s="2808"/>
      <c r="BS110" s="2808"/>
      <c r="BT110" s="2808"/>
      <c r="BU110" s="2808"/>
      <c r="BV110" s="2808"/>
      <c r="BW110" s="2808"/>
      <c r="BX110" s="2808"/>
      <c r="BY110" s="2808"/>
      <c r="BZ110" s="2808"/>
      <c r="CA110" s="2808"/>
      <c r="CB110" s="2808"/>
      <c r="CC110" s="2808"/>
      <c r="CD110" s="2808"/>
      <c r="CE110" s="2808"/>
    </row>
    <row r="111" spans="1:83" ht="24.75" customHeight="1">
      <c r="A111" s="2676"/>
      <c r="B111" s="2670" t="s">
        <v>1867</v>
      </c>
      <c r="C111" s="1916" t="s">
        <v>1801</v>
      </c>
      <c r="D111" s="2755" t="str" cm="1">
        <f t="array" ref="D111">IF(D108,_xldudf_CX_PUSH(D107,CX_ENTITY,fx_attrConverter(C106),EOMONTH(val_asOfDate,2)),"No Push")</f>
        <v>No Push</v>
      </c>
      <c r="E111" s="2677"/>
      <c r="F111" s="2726"/>
      <c r="G111" s="2690"/>
      <c r="H111" s="2689"/>
      <c r="I111" s="2691"/>
      <c r="J111" s="2695"/>
      <c r="K111" s="2687"/>
      <c r="L111" s="2685"/>
      <c r="M111" s="2712"/>
      <c r="N111" s="2730"/>
      <c r="O111" s="2732"/>
      <c r="P111" s="2677"/>
      <c r="V111" s="158"/>
      <c r="W111" s="101"/>
      <c r="X111" s="52"/>
      <c r="Y111" s="101"/>
      <c r="Z111" s="126"/>
      <c r="AA111" s="101"/>
      <c r="AB111" s="101"/>
      <c r="AC111" s="39"/>
      <c r="AD111" s="406"/>
      <c r="AE111" s="428"/>
      <c r="AF111" s="439"/>
      <c r="AG111" s="661"/>
      <c r="AH111" s="610"/>
      <c r="AI111" s="3080"/>
      <c r="AJ111" s="2008"/>
      <c r="AK111" s="2009"/>
      <c r="AL111" s="602"/>
      <c r="AM111" s="460"/>
      <c r="AN111" s="1967" t="str">
        <f>IF(K111="","",_xlfn.NUMBERVALUE(K111)/IF($D$8,DebtOverview!fxVal_normal,1))</f>
        <v/>
      </c>
      <c r="AO111" s="465"/>
      <c r="AP111" s="2273" t="str">
        <f t="shared" si="5"/>
        <v/>
      </c>
      <c r="AQ111" s="639"/>
      <c r="AR111" s="504"/>
      <c r="AS111" s="501"/>
      <c r="AT111" s="448"/>
      <c r="AU111" s="429"/>
      <c r="AV111" s="432"/>
      <c r="AX111" s="1080"/>
      <c r="AY111" s="2726"/>
      <c r="AZ111" s="2818"/>
      <c r="BA111" s="2826"/>
      <c r="BB111" s="2819"/>
      <c r="BC111" s="2825"/>
      <c r="BD111" s="2822"/>
      <c r="BE111" s="2823"/>
      <c r="BF111" s="2685"/>
      <c r="BG111" s="2690"/>
      <c r="BH111" s="1080"/>
      <c r="BI111" s="2778"/>
      <c r="BJ111" s="2939"/>
      <c r="BK111" s="2922"/>
      <c r="BL111" s="2939"/>
      <c r="BM111" s="2888"/>
      <c r="BN111" s="2899"/>
      <c r="BO111" s="2890"/>
      <c r="BP111" s="2889"/>
      <c r="BQ111" s="2892"/>
      <c r="BR111" s="2808"/>
      <c r="BS111" s="2808"/>
      <c r="BT111" s="2808"/>
      <c r="BU111" s="2808"/>
      <c r="BV111" s="2808"/>
      <c r="BW111" s="2808"/>
      <c r="BX111" s="2808"/>
      <c r="BY111" s="2808"/>
      <c r="BZ111" s="2808"/>
      <c r="CA111" s="2808"/>
      <c r="CB111" s="2808"/>
      <c r="CC111" s="2808"/>
      <c r="CD111" s="2808"/>
      <c r="CE111" s="2808"/>
    </row>
    <row r="112" spans="1:83" ht="24.75" customHeight="1">
      <c r="A112" s="2676"/>
      <c r="B112" s="2670" t="s">
        <v>1867</v>
      </c>
      <c r="C112" s="1916" t="s">
        <v>1801</v>
      </c>
      <c r="D112" s="2755" t="str" cm="1">
        <f t="array" ref="D112">IF(D108,_xldudf_CX_PUSH(D107,CX_ENTITY,fx_attrConverter(C106),EOMONTH(val_asOfDate,13)),"No Push")</f>
        <v>No Push</v>
      </c>
      <c r="E112" s="2677"/>
      <c r="F112" s="2726"/>
      <c r="G112" s="2690"/>
      <c r="H112" s="2689"/>
      <c r="I112" s="2691"/>
      <c r="J112" s="2695"/>
      <c r="K112" s="2687"/>
      <c r="L112" s="2685"/>
      <c r="M112" s="2712"/>
      <c r="N112" s="2730"/>
      <c r="O112" s="2732"/>
      <c r="P112" s="2677"/>
      <c r="V112" s="158"/>
      <c r="W112" s="101"/>
      <c r="X112" s="52"/>
      <c r="Y112" s="101"/>
      <c r="Z112" s="126"/>
      <c r="AA112" s="101"/>
      <c r="AB112" s="101"/>
      <c r="AC112" s="39"/>
      <c r="AD112" s="406"/>
      <c r="AE112" s="428"/>
      <c r="AF112" s="439"/>
      <c r="AG112" s="661"/>
      <c r="AH112" s="610"/>
      <c r="AI112" s="3080"/>
      <c r="AJ112" s="2008"/>
      <c r="AK112" s="2009"/>
      <c r="AL112" s="602"/>
      <c r="AM112" s="460"/>
      <c r="AN112" s="1967" t="str">
        <f>IF(K112="","",_xlfn.NUMBERVALUE(K112)/IF($D$8,DebtOverview!fxVal_normal,1))</f>
        <v/>
      </c>
      <c r="AO112" s="465"/>
      <c r="AP112" s="2273" t="str">
        <f t="shared" si="5"/>
        <v/>
      </c>
      <c r="AQ112" s="639"/>
      <c r="AR112" s="504"/>
      <c r="AS112" s="501"/>
      <c r="AT112" s="448"/>
      <c r="AU112" s="429"/>
      <c r="AV112" s="432"/>
      <c r="AX112" s="1080"/>
      <c r="AY112" s="2726"/>
      <c r="AZ112" s="2818"/>
      <c r="BA112" s="2826"/>
      <c r="BB112" s="2819"/>
      <c r="BC112" s="2825"/>
      <c r="BD112" s="2822"/>
      <c r="BE112" s="2823"/>
      <c r="BF112" s="2685"/>
      <c r="BG112" s="2690"/>
      <c r="BH112" s="1080"/>
      <c r="BI112" s="2778"/>
      <c r="BJ112" s="2939"/>
      <c r="BK112" s="2922"/>
      <c r="BL112" s="2939"/>
      <c r="BM112" s="2888"/>
      <c r="BN112" s="2899"/>
      <c r="BO112" s="2890"/>
      <c r="BP112" s="2889"/>
      <c r="BQ112" s="2892"/>
      <c r="BR112" s="2808"/>
      <c r="BS112" s="2808"/>
      <c r="BT112" s="2808"/>
      <c r="BU112" s="2808"/>
      <c r="BV112" s="2808"/>
      <c r="BW112" s="2808"/>
      <c r="BX112" s="2808"/>
      <c r="BY112" s="2808"/>
      <c r="BZ112" s="2808"/>
      <c r="CA112" s="2808"/>
      <c r="CB112" s="2808"/>
      <c r="CC112" s="2808"/>
      <c r="CD112" s="2808"/>
      <c r="CE112" s="2808"/>
    </row>
    <row r="113" spans="1:83" ht="24.75" customHeight="1">
      <c r="A113" s="2676"/>
      <c r="B113" s="2671"/>
      <c r="C113" s="1915"/>
      <c r="D113" s="2760"/>
      <c r="E113" s="2677"/>
      <c r="F113" s="2726"/>
      <c r="G113" s="2690"/>
      <c r="H113" s="2689"/>
      <c r="I113" s="2691"/>
      <c r="J113" s="2695"/>
      <c r="K113" s="2687"/>
      <c r="L113" s="2685"/>
      <c r="M113" s="2712"/>
      <c r="N113" s="2730"/>
      <c r="O113" s="2731"/>
      <c r="P113" s="2677"/>
      <c r="V113" s="158"/>
      <c r="W113" s="101"/>
      <c r="X113" s="52"/>
      <c r="Y113" s="101"/>
      <c r="Z113" s="126"/>
      <c r="AA113" s="101"/>
      <c r="AB113" s="101"/>
      <c r="AC113" s="39"/>
      <c r="AD113" s="406"/>
      <c r="AE113" s="428"/>
      <c r="AF113" s="439"/>
      <c r="AG113" s="661"/>
      <c r="AH113" s="610"/>
      <c r="AI113" s="3080"/>
      <c r="AJ113" s="2008"/>
      <c r="AK113" s="2009"/>
      <c r="AL113" s="602"/>
      <c r="AM113" s="460"/>
      <c r="AN113" s="1967" t="str">
        <f>IF(K113="","",_xlfn.NUMBERVALUE(K113)/IF($D$8,DebtOverview!fxVal_normal,1))</f>
        <v/>
      </c>
      <c r="AO113" s="465"/>
      <c r="AP113" s="2273" t="str">
        <f t="shared" si="5"/>
        <v/>
      </c>
      <c r="AQ113" s="639"/>
      <c r="AR113" s="504"/>
      <c r="AS113" s="501"/>
      <c r="AT113" s="448"/>
      <c r="AU113" s="429"/>
      <c r="AV113" s="432"/>
      <c r="AX113" s="1080"/>
      <c r="AY113" s="2726"/>
      <c r="AZ113" s="2818"/>
      <c r="BA113" s="2826"/>
      <c r="BB113" s="2819"/>
      <c r="BC113" s="2825"/>
      <c r="BD113" s="2822"/>
      <c r="BE113" s="2823"/>
      <c r="BF113" s="2685"/>
      <c r="BG113" s="2690"/>
      <c r="BH113" s="1080"/>
      <c r="BI113" s="2778"/>
      <c r="BJ113" s="2939"/>
      <c r="BK113" s="2922"/>
      <c r="BL113" s="2939"/>
      <c r="BM113" s="2888"/>
      <c r="BN113" s="2899"/>
      <c r="BO113" s="2890"/>
      <c r="BP113" s="2889"/>
      <c r="BQ113" s="2892"/>
      <c r="BR113" s="2808"/>
      <c r="BS113" s="2808"/>
      <c r="BT113" s="2808"/>
      <c r="BU113" s="2808"/>
      <c r="BV113" s="2808"/>
      <c r="BW113" s="2808"/>
      <c r="BX113" s="2808"/>
      <c r="BY113" s="2808"/>
      <c r="BZ113" s="2808"/>
      <c r="CA113" s="2808"/>
      <c r="CB113" s="2808"/>
      <c r="CC113" s="2808"/>
      <c r="CD113" s="2808"/>
      <c r="CE113" s="2808"/>
    </row>
    <row r="114" spans="1:83" ht="24.75" customHeight="1">
      <c r="A114" s="2676"/>
      <c r="B114" s="2671"/>
      <c r="C114" s="1915"/>
      <c r="D114" s="2758"/>
      <c r="E114" s="2677"/>
      <c r="F114" s="2726"/>
      <c r="G114" s="2690"/>
      <c r="H114" s="2689"/>
      <c r="I114" s="2691"/>
      <c r="J114" s="2695"/>
      <c r="K114" s="2687"/>
      <c r="L114" s="2685"/>
      <c r="M114" s="2712"/>
      <c r="N114" s="2730"/>
      <c r="O114" s="2731"/>
      <c r="P114" s="2677"/>
      <c r="V114" s="158"/>
      <c r="W114" s="101"/>
      <c r="X114" s="52"/>
      <c r="Y114" s="101"/>
      <c r="Z114" s="126"/>
      <c r="AA114" s="101"/>
      <c r="AB114" s="101"/>
      <c r="AC114" s="39"/>
      <c r="AD114" s="406"/>
      <c r="AE114" s="428"/>
      <c r="AF114" s="439"/>
      <c r="AG114" s="661"/>
      <c r="AH114" s="610"/>
      <c r="AI114" s="3080"/>
      <c r="AJ114" s="2008"/>
      <c r="AK114" s="2009"/>
      <c r="AL114" s="602"/>
      <c r="AM114" s="460"/>
      <c r="AN114" s="1967" t="str">
        <f>IF(K114="","",_xlfn.NUMBERVALUE(K114)/IF($D$8,DebtOverview!fxVal_normal,1))</f>
        <v/>
      </c>
      <c r="AO114" s="465"/>
      <c r="AP114" s="2273" t="str">
        <f t="shared" si="5"/>
        <v/>
      </c>
      <c r="AQ114" s="639"/>
      <c r="AR114" s="504"/>
      <c r="AS114" s="501"/>
      <c r="AT114" s="448"/>
      <c r="AU114" s="429"/>
      <c r="AV114" s="432"/>
      <c r="AX114" s="1080"/>
      <c r="AY114" s="2726"/>
      <c r="AZ114" s="2818"/>
      <c r="BA114" s="2826"/>
      <c r="BB114" s="2819"/>
      <c r="BC114" s="2825"/>
      <c r="BD114" s="2822"/>
      <c r="BE114" s="2823"/>
      <c r="BF114" s="2685"/>
      <c r="BG114" s="2690"/>
      <c r="BH114" s="1080"/>
      <c r="BI114" s="2778"/>
      <c r="BJ114" s="2939"/>
      <c r="BK114" s="2922"/>
      <c r="BL114" s="2939"/>
      <c r="BM114" s="2888"/>
      <c r="BN114" s="2899"/>
      <c r="BO114" s="2890"/>
      <c r="BP114" s="2889"/>
      <c r="BQ114" s="2892"/>
      <c r="BR114" s="2808"/>
      <c r="BS114" s="2808"/>
      <c r="BT114" s="2808"/>
      <c r="BU114" s="2808"/>
      <c r="BV114" s="2808"/>
      <c r="BW114" s="2808"/>
      <c r="BX114" s="2808"/>
      <c r="BY114" s="2808"/>
      <c r="BZ114" s="2808"/>
      <c r="CA114" s="2808"/>
      <c r="CB114" s="2808"/>
      <c r="CC114" s="2808"/>
      <c r="CD114" s="2808"/>
      <c r="CE114" s="2808"/>
    </row>
    <row r="115" spans="1:83" ht="24.75" customHeight="1">
      <c r="A115" s="2676"/>
      <c r="B115" s="2671"/>
      <c r="C115" s="1915"/>
      <c r="D115" s="2758"/>
      <c r="E115" s="2677"/>
      <c r="F115" s="2726"/>
      <c r="G115" s="2690"/>
      <c r="H115" s="2689"/>
      <c r="I115" s="2691"/>
      <c r="J115" s="2695"/>
      <c r="K115" s="2687"/>
      <c r="L115" s="2685"/>
      <c r="M115" s="2712"/>
      <c r="N115" s="2730"/>
      <c r="O115" s="2731"/>
      <c r="P115" s="2677"/>
      <c r="V115" s="158"/>
      <c r="W115" s="101"/>
      <c r="X115" s="52"/>
      <c r="Y115" s="101"/>
      <c r="Z115" s="126"/>
      <c r="AA115" s="101"/>
      <c r="AB115" s="101"/>
      <c r="AC115" s="39"/>
      <c r="AD115" s="406"/>
      <c r="AE115" s="428"/>
      <c r="AF115" s="439"/>
      <c r="AG115" s="661"/>
      <c r="AH115" s="610"/>
      <c r="AI115" s="3080"/>
      <c r="AJ115" s="2008"/>
      <c r="AK115" s="2009"/>
      <c r="AL115" s="602"/>
      <c r="AM115" s="460"/>
      <c r="AN115" s="1967" t="str">
        <f>IF(K115="","",_xlfn.NUMBERVALUE(K115)/IF($D$8,DebtOverview!fxVal_normal,1))</f>
        <v/>
      </c>
      <c r="AO115" s="465"/>
      <c r="AP115" s="2273" t="str">
        <f t="shared" si="5"/>
        <v/>
      </c>
      <c r="AQ115" s="639"/>
      <c r="AR115" s="504"/>
      <c r="AS115" s="501"/>
      <c r="AT115" s="448"/>
      <c r="AU115" s="429"/>
      <c r="AV115" s="432"/>
      <c r="AX115" s="1080"/>
      <c r="AY115" s="2726"/>
      <c r="AZ115" s="2818"/>
      <c r="BA115" s="2826"/>
      <c r="BB115" s="2819"/>
      <c r="BC115" s="2825"/>
      <c r="BD115" s="2822"/>
      <c r="BE115" s="2823"/>
      <c r="BF115" s="2685"/>
      <c r="BG115" s="2690"/>
      <c r="BH115" s="1080"/>
      <c r="BI115" s="2778"/>
      <c r="BJ115" s="2939"/>
      <c r="BK115" s="2922"/>
      <c r="BL115" s="2939"/>
      <c r="BM115" s="2888"/>
      <c r="BN115" s="2899"/>
      <c r="BO115" s="2890"/>
      <c r="BP115" s="2889"/>
      <c r="BQ115" s="2892"/>
      <c r="BR115" s="2808"/>
      <c r="BS115" s="2808"/>
      <c r="BT115" s="2808"/>
      <c r="BU115" s="2808"/>
      <c r="BV115" s="2808"/>
      <c r="BW115" s="2808"/>
      <c r="BX115" s="2808"/>
      <c r="BY115" s="2808"/>
      <c r="BZ115" s="2808"/>
      <c r="CA115" s="2808"/>
      <c r="CB115" s="2808"/>
      <c r="CC115" s="2808"/>
      <c r="CD115" s="2808"/>
      <c r="CE115" s="2808"/>
    </row>
    <row r="116" spans="1:83" ht="24.75" customHeight="1">
      <c r="A116" s="2676"/>
      <c r="B116" s="2670"/>
      <c r="C116" s="1913"/>
      <c r="D116" s="2758"/>
      <c r="E116" s="2677"/>
      <c r="F116" s="2726"/>
      <c r="G116" s="2690"/>
      <c r="H116" s="2689"/>
      <c r="I116" s="2691"/>
      <c r="J116" s="2695"/>
      <c r="K116" s="2687"/>
      <c r="L116" s="2685"/>
      <c r="M116" s="2712"/>
      <c r="N116" s="2730"/>
      <c r="O116" s="2731"/>
      <c r="P116" s="2677"/>
      <c r="V116" s="158"/>
      <c r="W116" s="101"/>
      <c r="X116" s="52"/>
      <c r="Y116" s="101"/>
      <c r="Z116" s="126"/>
      <c r="AA116" s="101"/>
      <c r="AB116" s="101"/>
      <c r="AC116" s="39"/>
      <c r="AD116" s="406"/>
      <c r="AE116" s="428"/>
      <c r="AF116" s="439"/>
      <c r="AG116" s="661"/>
      <c r="AH116" s="610"/>
      <c r="AI116" s="3080"/>
      <c r="AJ116" s="2008"/>
      <c r="AK116" s="2009"/>
      <c r="AL116" s="602"/>
      <c r="AM116" s="460"/>
      <c r="AN116" s="1967" t="str">
        <f>IF(K116="","",_xlfn.NUMBERVALUE(K116)/IF($D$8,DebtOverview!fxVal_normal,1))</f>
        <v/>
      </c>
      <c r="AO116" s="465"/>
      <c r="AP116" s="2273" t="str">
        <f t="shared" si="5"/>
        <v/>
      </c>
      <c r="AQ116" s="639"/>
      <c r="AR116" s="505"/>
      <c r="AS116" s="501"/>
      <c r="AT116" s="448"/>
      <c r="AU116" s="429"/>
      <c r="AV116" s="432"/>
      <c r="AX116" s="1080"/>
      <c r="AY116" s="2726"/>
      <c r="AZ116" s="2818"/>
      <c r="BA116" s="2826"/>
      <c r="BB116" s="2819"/>
      <c r="BC116" s="2825"/>
      <c r="BD116" s="2822"/>
      <c r="BE116" s="2823"/>
      <c r="BF116" s="2685"/>
      <c r="BG116" s="2690"/>
      <c r="BH116" s="1080"/>
      <c r="BI116" s="2778"/>
      <c r="BJ116" s="2939"/>
      <c r="BK116" s="2922"/>
      <c r="BL116" s="2939"/>
      <c r="BM116" s="2888"/>
      <c r="BN116" s="2899"/>
      <c r="BO116" s="2890"/>
      <c r="BP116" s="2889"/>
      <c r="BQ116" s="2892"/>
      <c r="BR116" s="2808"/>
      <c r="BS116" s="2808"/>
      <c r="BT116" s="2808"/>
      <c r="BU116" s="2808"/>
      <c r="BV116" s="2808"/>
      <c r="BW116" s="2808"/>
      <c r="BX116" s="2808"/>
      <c r="BY116" s="2808"/>
      <c r="BZ116" s="2808"/>
      <c r="CA116" s="2808"/>
      <c r="CB116" s="2808"/>
      <c r="CC116" s="2808"/>
      <c r="CD116" s="2808"/>
      <c r="CE116" s="2808"/>
    </row>
    <row r="117" spans="1:83" ht="16.5" customHeight="1">
      <c r="A117" s="2676"/>
      <c r="B117" s="2670"/>
      <c r="C117" s="1913"/>
      <c r="D117" s="2752"/>
      <c r="E117" s="2677"/>
      <c r="F117" s="2726"/>
      <c r="G117" s="2689"/>
      <c r="H117" s="2689"/>
      <c r="I117" s="2689"/>
      <c r="J117" s="2695"/>
      <c r="K117" s="2687"/>
      <c r="L117" s="2685"/>
      <c r="M117" s="2712"/>
      <c r="N117" s="2766"/>
      <c r="O117" s="2767"/>
      <c r="P117" s="2677"/>
      <c r="V117" s="158"/>
      <c r="W117" s="101"/>
      <c r="X117" s="52"/>
      <c r="Y117" s="101"/>
      <c r="Z117" s="126"/>
      <c r="AA117" s="101"/>
      <c r="AB117" s="101"/>
      <c r="AC117" s="39"/>
      <c r="AD117" s="406"/>
      <c r="AE117" s="428"/>
      <c r="AF117" s="439"/>
      <c r="AG117" s="661"/>
      <c r="AH117" s="610"/>
      <c r="AI117" s="608"/>
      <c r="AJ117" s="2010"/>
      <c r="AK117" s="2010"/>
      <c r="AL117" s="466"/>
      <c r="AM117" s="467"/>
      <c r="AN117" s="1533" cm="1">
        <f t="array" ref="AN117">IF(N(AN103)=0,0,IFERROR(SUM(_xlfn._xlws.FILTER(AN106:AN116,AP106:AP116&gt;val_asOfDate)),0))</f>
        <v>0</v>
      </c>
      <c r="AO117" s="469"/>
      <c r="AP117" s="468"/>
      <c r="AQ117" s="468"/>
      <c r="AR117" s="506"/>
      <c r="AS117" s="470"/>
      <c r="AT117" s="448"/>
      <c r="AU117" s="429"/>
      <c r="AV117" s="432"/>
      <c r="AX117" s="1080"/>
      <c r="AY117" s="2726"/>
      <c r="AZ117" s="2817"/>
      <c r="BA117" s="2817"/>
      <c r="BB117" s="2817"/>
      <c r="BC117" s="2812"/>
      <c r="BD117" s="2806"/>
      <c r="BE117" s="2807"/>
      <c r="BF117" s="2685"/>
      <c r="BG117" s="2689"/>
      <c r="BH117" s="1080"/>
      <c r="BI117" s="2778"/>
      <c r="BJ117" s="2939"/>
      <c r="BK117" s="2926"/>
      <c r="BL117" s="2939"/>
      <c r="BM117" s="2888"/>
      <c r="BN117" s="2900"/>
      <c r="BO117" s="2890"/>
      <c r="BP117" s="2889"/>
      <c r="BQ117" s="2892"/>
      <c r="BR117" s="2808"/>
      <c r="BS117" s="2808"/>
      <c r="BT117" s="2808"/>
      <c r="BU117" s="2808"/>
      <c r="BV117" s="2808"/>
      <c r="BW117" s="2808"/>
      <c r="BX117" s="2808"/>
      <c r="BY117" s="2808"/>
      <c r="BZ117" s="2808"/>
      <c r="CA117" s="2808"/>
      <c r="CB117" s="2808"/>
      <c r="CC117" s="2808"/>
      <c r="CD117" s="2808"/>
      <c r="CE117" s="2808"/>
    </row>
    <row r="118" spans="1:83" ht="15.5">
      <c r="A118" s="2676"/>
      <c r="B118" s="2670"/>
      <c r="C118" s="1913"/>
      <c r="D118" s="2752"/>
      <c r="E118" s="2677"/>
      <c r="F118" s="2726"/>
      <c r="G118" s="2689"/>
      <c r="H118" s="2689"/>
      <c r="I118" s="2689"/>
      <c r="J118" s="2695"/>
      <c r="K118" s="2687"/>
      <c r="L118" s="2685"/>
      <c r="M118" s="2712"/>
      <c r="N118" s="2713"/>
      <c r="O118" s="2717"/>
      <c r="P118" s="2677"/>
      <c r="V118" s="158"/>
      <c r="W118" s="101"/>
      <c r="X118" s="52"/>
      <c r="Y118" s="101"/>
      <c r="Z118" s="126"/>
      <c r="AA118" s="101"/>
      <c r="AB118" s="101"/>
      <c r="AC118" s="39"/>
      <c r="AD118" s="406"/>
      <c r="AE118" s="428"/>
      <c r="AF118" s="439"/>
      <c r="AG118" s="453"/>
      <c r="AH118" s="453"/>
      <c r="AI118" s="475"/>
      <c r="AJ118" s="2011"/>
      <c r="AK118" s="2011"/>
      <c r="AL118" s="475"/>
      <c r="AM118" s="429"/>
      <c r="AN118" s="1975"/>
      <c r="AO118" s="476"/>
      <c r="AP118" s="477"/>
      <c r="AQ118" s="477"/>
      <c r="AR118" s="478"/>
      <c r="AS118" s="735"/>
      <c r="AT118" s="481"/>
      <c r="AU118" s="429"/>
      <c r="AV118" s="432"/>
      <c r="AX118" s="1080"/>
      <c r="AY118" s="2726"/>
      <c r="AZ118" s="2817"/>
      <c r="BA118" s="2817"/>
      <c r="BB118" s="2817"/>
      <c r="BC118" s="2812"/>
      <c r="BD118" s="2806"/>
      <c r="BE118" s="2807"/>
      <c r="BF118" s="2685"/>
      <c r="BG118" s="2689"/>
      <c r="BH118" s="1080"/>
      <c r="BI118" s="2778"/>
      <c r="BJ118" s="2939"/>
      <c r="BK118" s="2926"/>
      <c r="BL118" s="2939"/>
      <c r="BM118" s="2888"/>
      <c r="BN118" s="2900"/>
      <c r="BO118" s="2890"/>
      <c r="BP118" s="2889"/>
      <c r="BQ118" s="2892"/>
      <c r="BR118" s="2808"/>
      <c r="BS118" s="2808"/>
      <c r="BT118" s="2808"/>
      <c r="BU118" s="2808"/>
      <c r="BV118" s="2808"/>
      <c r="BW118" s="2808"/>
      <c r="BX118" s="2808"/>
      <c r="BY118" s="2808"/>
      <c r="BZ118" s="2808"/>
      <c r="CA118" s="2808"/>
      <c r="CB118" s="2808"/>
      <c r="CC118" s="2808"/>
      <c r="CD118" s="2808"/>
      <c r="CE118" s="2808"/>
    </row>
    <row r="119" spans="1:83" ht="27.75" customHeight="1">
      <c r="A119" s="2676"/>
      <c r="B119" s="2670"/>
      <c r="C119" s="1913"/>
      <c r="D119" s="2752"/>
      <c r="E119" s="2677"/>
      <c r="F119" s="2726"/>
      <c r="G119" s="2689"/>
      <c r="H119" s="2689"/>
      <c r="I119" s="2689"/>
      <c r="J119" s="2695"/>
      <c r="K119" s="2687"/>
      <c r="L119" s="2685"/>
      <c r="M119" s="2712"/>
      <c r="N119" s="2713"/>
      <c r="O119" s="2717"/>
      <c r="P119" s="2677"/>
      <c r="V119" s="158"/>
      <c r="W119" s="101"/>
      <c r="X119" s="288"/>
      <c r="Y119" s="288"/>
      <c r="Z119" s="126"/>
      <c r="AA119" s="101"/>
      <c r="AB119" s="101"/>
      <c r="AC119" s="39"/>
      <c r="AD119" s="406"/>
      <c r="AE119" s="428"/>
      <c r="AF119" s="650"/>
      <c r="AG119" s="651"/>
      <c r="AH119" s="440"/>
      <c r="AI119" s="441" t="s">
        <v>1802</v>
      </c>
      <c r="AJ119" s="2012"/>
      <c r="AK119" s="2012"/>
      <c r="AL119" s="441"/>
      <c r="AM119" s="442"/>
      <c r="AN119" s="1976"/>
      <c r="AO119" s="443"/>
      <c r="AP119" s="444"/>
      <c r="AQ119" s="444"/>
      <c r="AR119" s="444"/>
      <c r="AS119" s="429"/>
      <c r="AT119" s="429"/>
      <c r="AU119" s="429"/>
      <c r="AV119" s="445"/>
      <c r="AX119" s="1080"/>
      <c r="AY119" s="2726"/>
      <c r="AZ119" s="2817"/>
      <c r="BA119" s="2817"/>
      <c r="BB119" s="2817"/>
      <c r="BC119" s="2812"/>
      <c r="BD119" s="2806"/>
      <c r="BE119" s="2807"/>
      <c r="BF119" s="2685"/>
      <c r="BG119" s="2689"/>
      <c r="BH119" s="1080"/>
      <c r="BI119" s="2778"/>
      <c r="BJ119" s="2939"/>
      <c r="BK119" s="2926"/>
      <c r="BL119" s="2939"/>
      <c r="BM119" s="2888"/>
      <c r="BN119" s="2900"/>
      <c r="BO119" s="2890"/>
      <c r="BP119" s="2889"/>
      <c r="BQ119" s="2892"/>
      <c r="BR119" s="2808"/>
      <c r="BS119" s="2808"/>
      <c r="BT119" s="2808"/>
      <c r="BU119" s="2808"/>
      <c r="BV119" s="2808"/>
      <c r="BW119" s="2808"/>
      <c r="BX119" s="2808"/>
      <c r="BY119" s="2808"/>
      <c r="BZ119" s="2808"/>
      <c r="CA119" s="2808"/>
      <c r="CB119" s="2808"/>
      <c r="CC119" s="2808"/>
      <c r="CD119" s="2808"/>
      <c r="CE119" s="2808"/>
    </row>
    <row r="120" spans="1:83" ht="15.5">
      <c r="A120" s="2676" t="s">
        <v>22</v>
      </c>
      <c r="B120" s="2670"/>
      <c r="C120" s="1913"/>
      <c r="D120" s="2752"/>
      <c r="E120" s="2677"/>
      <c r="F120" s="2726"/>
      <c r="G120" s="2689"/>
      <c r="H120" s="2689"/>
      <c r="I120" s="2689"/>
      <c r="J120" s="2695"/>
      <c r="K120" s="2687"/>
      <c r="L120" s="2685"/>
      <c r="M120" s="2712"/>
      <c r="N120" s="2713"/>
      <c r="O120" s="2717"/>
      <c r="P120" s="2677"/>
      <c r="V120" s="158"/>
      <c r="W120" s="101"/>
      <c r="X120" s="52"/>
      <c r="Y120" s="101"/>
      <c r="Z120" s="126"/>
      <c r="AA120" s="101"/>
      <c r="AB120" s="101"/>
      <c r="AC120" s="39"/>
      <c r="AD120" s="406"/>
      <c r="AE120" s="428"/>
      <c r="AF120" s="439"/>
      <c r="AG120" s="453"/>
      <c r="AH120" s="453"/>
      <c r="AI120" s="475"/>
      <c r="AJ120" s="2011"/>
      <c r="AK120" s="2011"/>
      <c r="AL120" s="475"/>
      <c r="AM120" s="429"/>
      <c r="AN120" s="1975"/>
      <c r="AO120" s="476"/>
      <c r="AP120" s="477"/>
      <c r="AQ120" s="477"/>
      <c r="AR120" s="478"/>
      <c r="AS120" s="477"/>
      <c r="AT120" s="481"/>
      <c r="AU120" s="429"/>
      <c r="AV120" s="432"/>
      <c r="AX120" s="1080"/>
      <c r="AY120" s="2726"/>
      <c r="AZ120" s="2817"/>
      <c r="BA120" s="2817"/>
      <c r="BB120" s="2817"/>
      <c r="BC120" s="2812"/>
      <c r="BD120" s="2806"/>
      <c r="BE120" s="2807"/>
      <c r="BF120" s="2685"/>
      <c r="BG120" s="2689"/>
      <c r="BH120" s="1080"/>
      <c r="BI120" s="2778"/>
      <c r="BJ120" s="2939"/>
      <c r="BK120" s="2926"/>
      <c r="BL120" s="2939"/>
      <c r="BM120" s="2888"/>
      <c r="BN120" s="2900"/>
      <c r="BO120" s="2890"/>
      <c r="BP120" s="2889"/>
      <c r="BQ120" s="2892"/>
      <c r="BR120" s="2808"/>
      <c r="BS120" s="2808"/>
      <c r="BT120" s="2808"/>
      <c r="BU120" s="2808"/>
      <c r="BV120" s="2808"/>
      <c r="BW120" s="2808"/>
      <c r="BX120" s="2808"/>
      <c r="BY120" s="2808"/>
      <c r="BZ120" s="2808"/>
      <c r="CA120" s="2808"/>
      <c r="CB120" s="2808"/>
      <c r="CC120" s="2808"/>
      <c r="CD120" s="2808"/>
      <c r="CE120" s="2808"/>
    </row>
    <row r="121" spans="1:83" ht="18">
      <c r="A121" s="2676"/>
      <c r="B121" s="2787" t="s">
        <v>1875</v>
      </c>
      <c r="C121" s="3361" t="s">
        <v>1803</v>
      </c>
      <c r="D121" s="2759" t="e" cm="1">
        <f t="array" ca="1" aca="1" ref="D121">_xldudf_CX_PUSH(AN121,CX_ENTITY,fx_attrConverter(C121),val_asOfDate,"As of",fx_scenarioConverter("Actual"))</f>
        <v>#NAME?</v>
      </c>
      <c r="E121" s="2677"/>
      <c r="F121" s="2726"/>
      <c r="G121" s="2741" t="s">
        <v>1784</v>
      </c>
      <c r="H121" s="2742" t="s">
        <v>431</v>
      </c>
      <c r="I121" s="2742" t="s">
        <v>1785</v>
      </c>
      <c r="J121" s="2743" t="s">
        <v>31</v>
      </c>
      <c r="K121" s="2744" t="s">
        <v>1786</v>
      </c>
      <c r="L121" s="2745" t="s">
        <v>268</v>
      </c>
      <c r="M121" s="2668"/>
      <c r="N121" s="2747" t="s">
        <v>1787</v>
      </c>
      <c r="O121" s="2748" t="s">
        <v>1869</v>
      </c>
      <c r="P121" s="2677"/>
      <c r="V121" s="158"/>
      <c r="W121" s="101"/>
      <c r="X121" s="52"/>
      <c r="Y121" s="101"/>
      <c r="Z121" s="126"/>
      <c r="AA121" s="101"/>
      <c r="AB121" s="101"/>
      <c r="AC121" s="39"/>
      <c r="AD121" s="406"/>
      <c r="AE121" s="428"/>
      <c r="AF121" s="439"/>
      <c r="AG121" s="661"/>
      <c r="AH121" s="453"/>
      <c r="AI121" s="595" t="s">
        <v>1804</v>
      </c>
      <c r="AJ121" s="2005"/>
      <c r="AK121" s="2005"/>
      <c r="AL121" s="595"/>
      <c r="AM121" s="596"/>
      <c r="AN121" s="1973" cm="1">
        <f t="array" ref="AN121">IF(SUM(AN124:AN134)&lt;&gt;0,SUM(_xlfn._xlws.FILTER(AN124:AN134,AP124:AP134&gt;val_asOfDate)),"")</f>
        <v>2500.9081611856</v>
      </c>
      <c r="AO121" s="3315">
        <f>IF(BG124,0,IF(BG126,1,-1))</f>
        <v>1</v>
      </c>
      <c r="AP121" s="2272">
        <f>$AN$5</f>
        <v>46022</v>
      </c>
      <c r="AQ121" s="3315">
        <f>IF(BG124,0,IF(BG125,1,-1))</f>
        <v>1</v>
      </c>
      <c r="AR121" s="690" t="str">
        <f>IF(N(AN121=0),"",AR124)</f>
        <v>n/a</v>
      </c>
      <c r="AS121" s="598"/>
      <c r="AT121" s="448"/>
      <c r="AU121" s="455"/>
      <c r="AV121" s="432"/>
      <c r="AX121" s="1080"/>
      <c r="AY121" s="2726"/>
      <c r="AZ121" s="2805"/>
      <c r="BA121" s="2812"/>
      <c r="BB121" s="2812"/>
      <c r="BC121" s="2813"/>
      <c r="BD121" s="2814"/>
      <c r="BE121" s="2807"/>
      <c r="BF121" s="2745"/>
      <c r="BG121" s="2741"/>
      <c r="BH121" s="1080"/>
      <c r="BI121" s="2778"/>
      <c r="BJ121" s="2939"/>
      <c r="BK121" s="2917"/>
      <c r="BL121" s="2939"/>
      <c r="BM121" s="2887"/>
      <c r="BN121" s="2899"/>
      <c r="BO121" s="2891"/>
      <c r="BP121" s="2889"/>
      <c r="BQ121" s="2892"/>
      <c r="BR121" s="2808"/>
      <c r="BS121" s="2808"/>
      <c r="BT121" s="2808"/>
      <c r="BU121" s="2808"/>
      <c r="BV121" s="2808"/>
      <c r="BW121" s="2808"/>
      <c r="BX121" s="2808"/>
      <c r="BY121" s="2808"/>
      <c r="BZ121" s="2808"/>
      <c r="CA121" s="2808"/>
      <c r="CB121" s="2808"/>
      <c r="CC121" s="2808"/>
      <c r="CD121" s="2808"/>
      <c r="CE121" s="2808"/>
    </row>
    <row r="122" spans="1:83" ht="21" customHeight="1">
      <c r="A122" s="2676"/>
      <c r="B122" s="2787"/>
      <c r="C122" s="1917"/>
      <c r="D122" s="2757"/>
      <c r="E122" s="2677"/>
      <c r="F122" s="2726"/>
      <c r="G122" s="2684"/>
      <c r="H122" s="2684"/>
      <c r="I122" s="2684"/>
      <c r="J122" s="2695"/>
      <c r="K122" s="2687"/>
      <c r="L122" s="2685"/>
      <c r="M122" s="2712"/>
      <c r="N122" s="2720"/>
      <c r="O122" s="2721"/>
      <c r="P122" s="2677"/>
      <c r="V122" s="158"/>
      <c r="W122" s="101"/>
      <c r="X122" s="52"/>
      <c r="Y122" s="101"/>
      <c r="Z122" s="126"/>
      <c r="AA122" s="101"/>
      <c r="AB122" s="101"/>
      <c r="AC122" s="39"/>
      <c r="AD122" s="406"/>
      <c r="AE122" s="428"/>
      <c r="AF122" s="439"/>
      <c r="AG122" s="660"/>
      <c r="AH122" s="612"/>
      <c r="AI122" s="614"/>
      <c r="AJ122" s="2013"/>
      <c r="AK122" s="2013"/>
      <c r="AL122" s="613"/>
      <c r="AM122" s="628"/>
      <c r="AN122" s="1536"/>
      <c r="AO122" s="628"/>
      <c r="AP122" s="628"/>
      <c r="AQ122" s="688"/>
      <c r="AR122" s="688"/>
      <c r="AS122" s="689"/>
      <c r="AT122" s="448"/>
      <c r="AU122" s="2655"/>
      <c r="AV122" s="2656"/>
      <c r="AX122" s="1080"/>
      <c r="AY122" s="2726"/>
      <c r="AZ122" s="2804"/>
      <c r="BA122" s="2804"/>
      <c r="BB122" s="2804"/>
      <c r="BC122" s="2812"/>
      <c r="BD122" s="2806"/>
      <c r="BE122" s="2807"/>
      <c r="BF122" s="2685"/>
      <c r="BG122" s="2684"/>
      <c r="BH122" s="1080"/>
      <c r="BI122" s="2778"/>
      <c r="BJ122" s="2939"/>
      <c r="BK122" s="2918"/>
      <c r="BL122" s="2939"/>
      <c r="BM122" s="2888"/>
      <c r="BN122" s="2900"/>
      <c r="BO122" s="2890"/>
      <c r="BP122" s="2889"/>
      <c r="BQ122" s="2892"/>
      <c r="BR122" s="2808"/>
      <c r="BS122" s="2808"/>
      <c r="BT122" s="2808"/>
      <c r="BU122" s="2808"/>
      <c r="BV122" s="2808"/>
      <c r="BW122" s="2808"/>
      <c r="BX122" s="2808"/>
      <c r="BY122" s="2808"/>
      <c r="BZ122" s="2808"/>
      <c r="CA122" s="2808"/>
      <c r="CB122" s="2808"/>
      <c r="CC122" s="2808"/>
      <c r="CD122" s="2808"/>
      <c r="CE122" s="2808"/>
    </row>
    <row r="123" spans="1:83" ht="20.25" customHeight="1">
      <c r="A123" s="2676"/>
      <c r="B123" s="2787" t="s">
        <v>1876</v>
      </c>
      <c r="C123" s="1917"/>
      <c r="D123" s="2757"/>
      <c r="E123" s="2677"/>
      <c r="F123" s="2726"/>
      <c r="G123" s="2696"/>
      <c r="H123" s="2691"/>
      <c r="I123" s="2691"/>
      <c r="J123" s="2695"/>
      <c r="K123" s="2687"/>
      <c r="L123" s="2685"/>
      <c r="M123" s="2712"/>
      <c r="N123" s="2716"/>
      <c r="O123" s="2717"/>
      <c r="P123" s="2677"/>
      <c r="V123" s="158"/>
      <c r="W123" s="101"/>
      <c r="X123" s="52"/>
      <c r="Y123" s="101"/>
      <c r="Z123" s="126"/>
      <c r="AA123" s="101"/>
      <c r="AB123" s="101"/>
      <c r="AC123" s="39"/>
      <c r="AD123" s="406"/>
      <c r="AE123" s="428"/>
      <c r="AF123" s="439"/>
      <c r="AG123" s="661"/>
      <c r="AH123" s="485"/>
      <c r="AI123" s="615"/>
      <c r="AJ123" s="2014"/>
      <c r="AK123" s="2015"/>
      <c r="AL123" s="813"/>
      <c r="AM123" s="515"/>
      <c r="AN123" s="1977" t="s">
        <v>1791</v>
      </c>
      <c r="AO123" s="514"/>
      <c r="AP123" s="514" t="s">
        <v>1805</v>
      </c>
      <c r="AQ123" s="516"/>
      <c r="AR123" s="517" t="s">
        <v>1789</v>
      </c>
      <c r="AS123" s="620"/>
      <c r="AT123" s="448"/>
      <c r="AU123" s="429"/>
      <c r="AV123" s="432"/>
      <c r="AX123" s="1080"/>
      <c r="AY123" s="2726"/>
      <c r="AZ123" s="2805" t="s">
        <v>1784</v>
      </c>
      <c r="BA123" s="2812" t="s">
        <v>431</v>
      </c>
      <c r="BB123" s="2812" t="s">
        <v>1785</v>
      </c>
      <c r="BC123" s="2813" t="s">
        <v>31</v>
      </c>
      <c r="BD123" s="2814" t="s">
        <v>1786</v>
      </c>
      <c r="BE123" s="2807" t="s">
        <v>268</v>
      </c>
      <c r="BF123" s="2780"/>
      <c r="BG123" s="2781"/>
      <c r="BH123" s="1080"/>
      <c r="BI123" s="2778"/>
      <c r="BJ123" s="2937"/>
      <c r="BK123" s="2921"/>
      <c r="BL123" s="2937"/>
      <c r="BM123" s="2887"/>
      <c r="BN123" s="2899"/>
      <c r="BO123" s="2890"/>
      <c r="BP123" s="2889"/>
      <c r="BQ123" s="2892"/>
      <c r="BR123" s="2808"/>
      <c r="BS123" s="2808"/>
      <c r="BT123" s="2808"/>
      <c r="BU123" s="2808"/>
      <c r="BV123" s="2808"/>
      <c r="BW123" s="2808"/>
      <c r="BX123" s="2808"/>
      <c r="BY123" s="2808"/>
      <c r="BZ123" s="2808"/>
      <c r="CA123" s="2808"/>
      <c r="CB123" s="2808"/>
      <c r="CC123" s="2808"/>
      <c r="CD123" s="2808"/>
      <c r="CE123" s="2808"/>
    </row>
    <row r="124" spans="1:83" ht="24.75" customHeight="1">
      <c r="A124" s="2676"/>
      <c r="B124" s="2670" t="s">
        <v>1879</v>
      </c>
      <c r="C124" s="3362" t="s">
        <v>1806</v>
      </c>
      <c r="D124" s="2758" t="e" cm="1">
        <f t="array" ca="1" aca="1" ref="D124">_xldudf_CX_GET(CX_ENTITY,fx_attrConverter(C124),val_asOfDate)</f>
        <v>#NAME?</v>
      </c>
      <c r="E124" s="2677"/>
      <c r="F124" s="2726"/>
      <c r="G124" s="2690" t="e" cm="1">
        <f t="array" ca="1" aca="1" ref="G124">IF(D124="","",_xlfn.TEXTSPLIT(D124,"|","¶",FALSE))</f>
        <v>#NAME?</v>
      </c>
      <c r="H124" s="2689"/>
      <c r="I124" s="2907"/>
      <c r="J124" s="2695"/>
      <c r="K124" s="2687"/>
      <c r="L124" s="2685"/>
      <c r="M124" s="2712"/>
      <c r="N124" s="3306" cm="1">
        <f t="array" ref="N124">_xlfn.LET(_xlpm.cf,AN124:AN134,_xlpm.Res,_xlfn.BYROW(_xlpm.cf,_xlfn.LAMBDA(_xlpm.x,IF(AND(ISNUMBER(_xlpm.x),ISERROR(_xlpm.x)=FALSE),_xlpm.x/SUM(_xlpm.cf),""))),_xlfn._xlws.FILTER(_xlpm.Res,_xlpm.Res&lt;&gt;""))</f>
        <v>1</v>
      </c>
      <c r="O124" s="2736" t="e" vm="10" cm="1">
        <f t="array" ref="O124">_xlfn.LET(_xlpm.repay,_xlfn.ANCHORARRAY(N124),_xlpm.date,AP124:AP134,_xlpm.date_,_xlfn._xlws.FILTER(_xlpm.date,_xlpm.date&lt;&gt;""),IF((_xlpm.date_&gt;val_asOfDate),DATEDIF(val_asOfDate,_xlpm.date_,"M")/12,0))</f>
        <v>#VALUE!</v>
      </c>
      <c r="P124" s="2677"/>
      <c r="V124" s="158"/>
      <c r="W124" s="101"/>
      <c r="X124" s="52"/>
      <c r="Y124" s="101"/>
      <c r="Z124" s="126"/>
      <c r="AA124" s="101"/>
      <c r="AB124" s="101"/>
      <c r="AC124" s="39"/>
      <c r="AD124" s="406"/>
      <c r="AE124" s="428"/>
      <c r="AF124" s="439"/>
      <c r="AG124" s="661"/>
      <c r="AH124" s="485"/>
      <c r="AI124" s="615"/>
      <c r="AJ124" s="3091"/>
      <c r="AK124" s="3091"/>
      <c r="AL124" s="3087"/>
      <c r="AM124" s="515"/>
      <c r="AN124" s="3358">
        <v>2500.9081611856</v>
      </c>
      <c r="AO124" s="518"/>
      <c r="AP124" s="2273" t="str">
        <f t="shared" si="6" ref="AP124:AP134">IF(L124="","",DATEVALUE(TEXT(VALUE(L124),"mmm-yyyy")))</f>
        <v/>
      </c>
      <c r="AQ124" s="638"/>
      <c r="AR124" s="3082" t="str">
        <f>IFERROR(SUMPRODUCT(_xlfn.ANCHORARRAY(N124),_xlfn.ANCHORARRAY(O124)),"n/a")</f>
        <v>n/a</v>
      </c>
      <c r="AS124" s="621"/>
      <c r="AT124" s="448"/>
      <c r="AU124" s="429"/>
      <c r="AV124" s="432"/>
      <c r="AX124" s="1080"/>
      <c r="AY124" s="2726"/>
      <c r="AZ124" s="2818" t="str" cm="1">
        <f t="array" ca="1" aca="1" ref="AZ124:BE124">_xlfn.LET(_xlpm._amt,AN124:AN134,_xlpm._dates,AP124:AP134,_xlpm.attribute,C124,_xlpm.entity,val_company,_xlpm.lookthru,1,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Therme Horizon</v>
      </c>
      <c r="BA124" s="2826" t="str">
        <f ca="1"/>
        <v>Hedged /Fixed Rate Acquisition Debt Line</v>
      </c>
      <c r="BB124" s="3328">
        <f ca="1"/>
        <v>1</v>
      </c>
      <c r="BC124" s="2825" t="e">
        <f ca="1"/>
        <v>#NAME?</v>
      </c>
      <c r="BD124" s="2822">
        <f ca="1"/>
        <v>2500908161.1855998</v>
      </c>
      <c r="BE124" s="2823" t="str">
        <f ca="1"/>
        <v/>
      </c>
      <c r="BF124" s="2685" t="s">
        <v>1956</v>
      </c>
      <c r="BG124" s="2694" t="b" cm="1">
        <f t="array" ref="BG124">AND(OR(AND((AN124:AP134=0),AND(AN124:AP134="")),AN121=0))</f>
        <v>0</v>
      </c>
      <c r="BH124" s="1080"/>
      <c r="BI124" s="2778"/>
      <c r="BJ124" s="2939"/>
      <c r="BK124" s="2922"/>
      <c r="BL124" s="2939"/>
      <c r="BM124" s="2888"/>
      <c r="BN124" s="2900"/>
      <c r="BO124" s="2890"/>
      <c r="BP124" s="2889"/>
      <c r="BQ124" s="2892"/>
      <c r="BR124" s="2808"/>
      <c r="BS124" s="2808"/>
      <c r="BT124" s="2808"/>
      <c r="BU124" s="2808"/>
      <c r="BV124" s="2808"/>
      <c r="BW124" s="2808"/>
      <c r="BX124" s="2808"/>
      <c r="BY124" s="2808"/>
      <c r="BZ124" s="2808"/>
      <c r="CA124" s="2808"/>
      <c r="CB124" s="2808"/>
      <c r="CC124" s="2808"/>
      <c r="CD124" s="2808"/>
      <c r="CE124" s="2808"/>
    </row>
    <row r="125" spans="1:83" ht="24.75" customHeight="1">
      <c r="A125" s="2676"/>
      <c r="B125" s="2786" t="s">
        <v>1870</v>
      </c>
      <c r="C125" s="1913" t="s">
        <v>1806</v>
      </c>
      <c r="D125" s="2758" t="e">
        <f ca="1">IF(D126,_xlfn.TEXTJOIN("¶",FALSE,_xlfn.BYROW(_xlfn.ANCHORARRAY(AZ124),_xlfn.LAMBDA(_xlpm.row,_xlfn.TEXTJOIN("|",FALSE,_xlpm.row)))),"")</f>
        <v>#NAME?</v>
      </c>
      <c r="E125" s="2677"/>
      <c r="F125" s="2726"/>
      <c r="G125" s="2690"/>
      <c r="H125" s="2689"/>
      <c r="I125" s="2700"/>
      <c r="J125" s="2695"/>
      <c r="K125" s="2687"/>
      <c r="L125" s="2685"/>
      <c r="M125" s="2712"/>
      <c r="N125" s="2730"/>
      <c r="O125" s="2731"/>
      <c r="P125" s="2677"/>
      <c r="V125" s="158"/>
      <c r="W125" s="101"/>
      <c r="X125" s="52"/>
      <c r="Y125" s="101"/>
      <c r="Z125" s="126"/>
      <c r="AA125" s="101"/>
      <c r="AB125" s="101"/>
      <c r="AC125" s="39"/>
      <c r="AD125" s="406"/>
      <c r="AE125" s="428"/>
      <c r="AF125" s="439"/>
      <c r="AG125" s="661"/>
      <c r="AH125" s="485"/>
      <c r="AI125" s="615"/>
      <c r="AJ125" s="3091"/>
      <c r="AK125" s="3091"/>
      <c r="AL125" s="3087"/>
      <c r="AM125" s="515"/>
      <c r="AN125" s="3357"/>
      <c r="AO125" s="518"/>
      <c r="AP125" s="2273" t="str">
        <f t="shared" si="6"/>
        <v/>
      </c>
      <c r="AQ125" s="638"/>
      <c r="AR125" s="3083"/>
      <c r="AS125" s="621"/>
      <c r="AT125" s="448"/>
      <c r="AU125" s="429"/>
      <c r="AV125" s="432"/>
      <c r="AX125" s="1080"/>
      <c r="AY125" s="2726"/>
      <c r="AZ125" s="2818"/>
      <c r="BA125" s="2826"/>
      <c r="BB125" s="2831"/>
      <c r="BC125" s="2825"/>
      <c r="BD125" s="2822"/>
      <c r="BE125" s="2823"/>
      <c r="BF125" s="2685" t="s">
        <v>1954</v>
      </c>
      <c r="BG125" s="3252" t="b">
        <f>ROWS(_xlfn.ANCHORARRAY(N124))=ROWS(_xlfn.ANCHORARRAY(O124))</f>
        <v>1</v>
      </c>
      <c r="BH125" s="1080"/>
      <c r="BI125" s="2778"/>
      <c r="BJ125" s="2939"/>
      <c r="BK125" s="2922"/>
      <c r="BL125" s="2939"/>
      <c r="BM125" s="2888"/>
      <c r="BN125" s="2899"/>
      <c r="BO125" s="2890"/>
      <c r="BP125" s="2889"/>
      <c r="BQ125" s="2892"/>
      <c r="BR125" s="2808"/>
      <c r="BS125" s="2808"/>
      <c r="BT125" s="2808"/>
      <c r="BU125" s="2808"/>
      <c r="BV125" s="2808"/>
      <c r="BW125" s="2808"/>
      <c r="BX125" s="2808"/>
      <c r="BY125" s="2808"/>
      <c r="BZ125" s="2808"/>
      <c r="CA125" s="2808"/>
      <c r="CB125" s="2808"/>
      <c r="CC125" s="2808"/>
      <c r="CD125" s="2808"/>
      <c r="CE125" s="2808"/>
    </row>
    <row r="126" spans="1:83" ht="24.75" customHeight="1">
      <c r="A126" s="2676"/>
      <c r="B126" s="2670" t="s">
        <v>1864</v>
      </c>
      <c r="C126" s="1913" t="s">
        <v>1806</v>
      </c>
      <c r="D126" s="2755" t="e" cm="1">
        <f t="array" ca="1" aca="1" ref="D126">IF(ISERROR(AZ124),FALSE,OR(AZ124:BE124&lt;&gt;""))</f>
        <v>#NAME?</v>
      </c>
      <c r="E126" s="2677"/>
      <c r="F126" s="2726"/>
      <c r="G126" s="2690"/>
      <c r="H126" s="2689"/>
      <c r="I126" s="2700"/>
      <c r="J126" s="2695"/>
      <c r="K126" s="2687"/>
      <c r="L126" s="2685"/>
      <c r="M126" s="2712"/>
      <c r="N126" s="2730"/>
      <c r="O126" s="2731"/>
      <c r="P126" s="2677"/>
      <c r="V126" s="158"/>
      <c r="W126" s="101"/>
      <c r="X126" s="52"/>
      <c r="Y126" s="101"/>
      <c r="Z126" s="126"/>
      <c r="AA126" s="101"/>
      <c r="AB126" s="101"/>
      <c r="AC126" s="39"/>
      <c r="AD126" s="406"/>
      <c r="AE126" s="428"/>
      <c r="AF126" s="439"/>
      <c r="AG126" s="661"/>
      <c r="AH126" s="485"/>
      <c r="AI126" s="615"/>
      <c r="AJ126" s="3091"/>
      <c r="AK126" s="3091"/>
      <c r="AL126" s="3087"/>
      <c r="AM126" s="515"/>
      <c r="AN126" s="3357"/>
      <c r="AO126" s="518"/>
      <c r="AP126" s="2273" t="str">
        <f t="shared" si="6"/>
        <v/>
      </c>
      <c r="AQ126" s="638"/>
      <c r="AR126" s="3083"/>
      <c r="AS126" s="621"/>
      <c r="AT126" s="448"/>
      <c r="AU126" s="429"/>
      <c r="AV126" s="432"/>
      <c r="AX126" s="1080"/>
      <c r="AY126" s="2726"/>
      <c r="AZ126" s="2818"/>
      <c r="BA126" s="2826"/>
      <c r="BB126" s="2831"/>
      <c r="BC126" s="2825"/>
      <c r="BD126" s="2822"/>
      <c r="BE126" s="2823"/>
      <c r="BF126" s="2685" t="s">
        <v>1955</v>
      </c>
      <c r="BG126" s="3252" t="b" cm="1">
        <f t="array" ref="BG126">ABS(SUM(_xlfn._xlws.FILTER(AN124:AN134,AP124:AP134&gt;=val_asOfDate))-AN121)&lt;1</f>
        <v>1</v>
      </c>
      <c r="BH126" s="1080"/>
      <c r="BI126" s="2778"/>
      <c r="BJ126" s="2939"/>
      <c r="BK126" s="2922"/>
      <c r="BL126" s="2939"/>
      <c r="BM126" s="2888"/>
      <c r="BN126" s="2899"/>
      <c r="BO126" s="2890"/>
      <c r="BP126" s="2889"/>
      <c r="BQ126" s="2892"/>
      <c r="BR126" s="2808"/>
      <c r="BS126" s="2808"/>
      <c r="BT126" s="2808"/>
      <c r="BU126" s="2808"/>
      <c r="BV126" s="2808"/>
      <c r="BW126" s="2808"/>
      <c r="BX126" s="2808"/>
      <c r="BY126" s="2808"/>
      <c r="BZ126" s="2808"/>
      <c r="CA126" s="2808"/>
      <c r="CB126" s="2808"/>
      <c r="CC126" s="2808"/>
      <c r="CD126" s="2808"/>
      <c r="CE126" s="2808"/>
    </row>
    <row r="127" spans="1:83" ht="24.75" customHeight="1">
      <c r="A127" s="2676"/>
      <c r="B127" s="2670" t="s">
        <v>1866</v>
      </c>
      <c r="C127" s="1913" t="s">
        <v>1806</v>
      </c>
      <c r="D127" s="2755" t="e" cm="1">
        <f t="array" ca="1" aca="1" ref="D127">IF(D126,_xldudf_CX_PUSH(D125,CX_ENTITY,fx_attrConverter(C124),val_asOfDate),"No Push")</f>
        <v>#NAME?</v>
      </c>
      <c r="E127" s="2677"/>
      <c r="F127" s="2726"/>
      <c r="G127" s="2690"/>
      <c r="H127" s="2689"/>
      <c r="I127" s="2700"/>
      <c r="J127" s="2695"/>
      <c r="K127" s="2687"/>
      <c r="L127" s="2685"/>
      <c r="M127" s="2712"/>
      <c r="N127" s="2730"/>
      <c r="O127" s="2732"/>
      <c r="P127" s="2677"/>
      <c r="V127" s="158"/>
      <c r="W127" s="101"/>
      <c r="X127" s="52"/>
      <c r="Y127" s="101"/>
      <c r="Z127" s="126"/>
      <c r="AA127" s="101"/>
      <c r="AB127" s="101"/>
      <c r="AC127" s="39"/>
      <c r="AD127" s="406"/>
      <c r="AE127" s="428"/>
      <c r="AF127" s="439"/>
      <c r="AG127" s="661"/>
      <c r="AH127" s="485"/>
      <c r="AI127" s="615"/>
      <c r="AJ127" s="3091"/>
      <c r="AK127" s="3091"/>
      <c r="AL127" s="3087"/>
      <c r="AM127" s="515"/>
      <c r="AN127" s="3357"/>
      <c r="AO127" s="518"/>
      <c r="AP127" s="2273" t="str">
        <f t="shared" si="6"/>
        <v/>
      </c>
      <c r="AQ127" s="638"/>
      <c r="AR127" s="3083"/>
      <c r="AS127" s="621"/>
      <c r="AT127" s="448"/>
      <c r="AU127" s="429"/>
      <c r="AV127" s="432"/>
      <c r="AX127" s="1080"/>
      <c r="AY127" s="2726"/>
      <c r="AZ127" s="2818"/>
      <c r="BA127" s="2826"/>
      <c r="BB127" s="2831"/>
      <c r="BC127" s="2825"/>
      <c r="BD127" s="2822"/>
      <c r="BE127" s="2823"/>
      <c r="BF127" s="2685"/>
      <c r="BG127" s="2690"/>
      <c r="BH127" s="1080"/>
      <c r="BI127" s="2778"/>
      <c r="BJ127" s="2939"/>
      <c r="BK127" s="2922"/>
      <c r="BL127" s="2939"/>
      <c r="BM127" s="2888"/>
      <c r="BN127" s="2899"/>
      <c r="BO127" s="2890"/>
      <c r="BP127" s="2889"/>
      <c r="BQ127" s="2892"/>
      <c r="BR127" s="2808"/>
      <c r="BS127" s="2808"/>
      <c r="BT127" s="2808"/>
      <c r="BU127" s="2808"/>
      <c r="BV127" s="2808"/>
      <c r="BW127" s="2808"/>
      <c r="BX127" s="2808"/>
      <c r="BY127" s="2808"/>
      <c r="BZ127" s="2808"/>
      <c r="CA127" s="2808"/>
      <c r="CB127" s="2808"/>
      <c r="CC127" s="2808"/>
      <c r="CD127" s="2808"/>
      <c r="CE127" s="2808"/>
    </row>
    <row r="128" spans="1:83" ht="24.75" customHeight="1">
      <c r="A128" s="2676"/>
      <c r="B128" s="2670" t="s">
        <v>1867</v>
      </c>
      <c r="C128" s="1913" t="s">
        <v>1806</v>
      </c>
      <c r="D128" s="2755" t="e" cm="1">
        <f t="array" ca="1" aca="1" ref="D128">IF(D126,_xldudf_CX_PUSH(D125,CX_ENTITY,fx_attrConverter(C124),EOMONTH(val_asOfDate,3)),"No Push")</f>
        <v>#NAME?</v>
      </c>
      <c r="E128" s="2677"/>
      <c r="F128" s="2726"/>
      <c r="G128" s="2690"/>
      <c r="H128" s="2689"/>
      <c r="I128" s="2700"/>
      <c r="J128" s="2695"/>
      <c r="K128" s="2687"/>
      <c r="L128" s="2685"/>
      <c r="M128" s="2712"/>
      <c r="N128" s="2730"/>
      <c r="O128" s="2732"/>
      <c r="P128" s="2677"/>
      <c r="V128" s="158"/>
      <c r="W128" s="101"/>
      <c r="X128" s="52"/>
      <c r="Y128" s="101"/>
      <c r="Z128" s="126"/>
      <c r="AA128" s="101"/>
      <c r="AB128" s="101"/>
      <c r="AC128" s="39"/>
      <c r="AD128" s="406"/>
      <c r="AE128" s="428"/>
      <c r="AF128" s="439"/>
      <c r="AG128" s="661"/>
      <c r="AH128" s="485"/>
      <c r="AI128" s="615"/>
      <c r="AJ128" s="2016"/>
      <c r="AK128" s="2017"/>
      <c r="AL128" s="814"/>
      <c r="AM128" s="515"/>
      <c r="AN128" s="3357"/>
      <c r="AO128" s="518"/>
      <c r="AP128" s="2273" t="str">
        <f t="shared" si="6"/>
        <v/>
      </c>
      <c r="AQ128" s="638"/>
      <c r="AR128" s="611" t="s">
        <v>1795</v>
      </c>
      <c r="AS128" s="621"/>
      <c r="AT128" s="448"/>
      <c r="AU128" s="429"/>
      <c r="AV128" s="432"/>
      <c r="AX128" s="1080"/>
      <c r="AY128" s="2726"/>
      <c r="AZ128" s="2818"/>
      <c r="BA128" s="2826"/>
      <c r="BB128" s="2831"/>
      <c r="BC128" s="2825"/>
      <c r="BD128" s="2822"/>
      <c r="BE128" s="2823"/>
      <c r="BF128" s="2685"/>
      <c r="BG128" s="2690"/>
      <c r="BH128" s="1080"/>
      <c r="BI128" s="2778"/>
      <c r="BJ128" s="2939"/>
      <c r="BK128" s="2922"/>
      <c r="BL128" s="2939"/>
      <c r="BM128" s="2888"/>
      <c r="BN128" s="2899"/>
      <c r="BO128" s="2890"/>
      <c r="BP128" s="2889"/>
      <c r="BQ128" s="2892"/>
      <c r="BR128" s="2808"/>
      <c r="BS128" s="2808"/>
      <c r="BT128" s="2808"/>
      <c r="BU128" s="2808"/>
      <c r="BV128" s="2808"/>
      <c r="BW128" s="2808"/>
      <c r="BX128" s="2808"/>
      <c r="BY128" s="2808"/>
      <c r="BZ128" s="2808"/>
      <c r="CA128" s="2808"/>
      <c r="CB128" s="2808"/>
      <c r="CC128" s="2808"/>
      <c r="CD128" s="2808"/>
      <c r="CE128" s="2808"/>
    </row>
    <row r="129" spans="1:83" ht="24.75" customHeight="1">
      <c r="A129" s="2676"/>
      <c r="B129" s="2670" t="s">
        <v>1867</v>
      </c>
      <c r="C129" s="1913" t="s">
        <v>1806</v>
      </c>
      <c r="D129" s="2755" t="e" cm="1">
        <f t="array" ca="1" aca="1" ref="D129">IF(D126,_xldudf_CX_PUSH(D125,CX_ENTITY,fx_attrConverter(C124),EOMONTH(val_asOfDate,2)),"No Push")</f>
        <v>#NAME?</v>
      </c>
      <c r="E129" s="2677"/>
      <c r="F129" s="2726"/>
      <c r="G129" s="2690"/>
      <c r="H129" s="2689"/>
      <c r="I129" s="2700"/>
      <c r="J129" s="2695"/>
      <c r="K129" s="2687"/>
      <c r="L129" s="2685"/>
      <c r="M129" s="2712"/>
      <c r="N129" s="2730"/>
      <c r="O129" s="2732"/>
      <c r="P129" s="2677"/>
      <c r="V129" s="158"/>
      <c r="W129" s="101"/>
      <c r="X129" s="52"/>
      <c r="Y129" s="101"/>
      <c r="Z129" s="126"/>
      <c r="AA129" s="101"/>
      <c r="AB129" s="101"/>
      <c r="AC129" s="39"/>
      <c r="AD129" s="406"/>
      <c r="AE129" s="428"/>
      <c r="AF129" s="439"/>
      <c r="AG129" s="661"/>
      <c r="AH129" s="485"/>
      <c r="AI129" s="615"/>
      <c r="AJ129" s="2016"/>
      <c r="AK129" s="2017"/>
      <c r="AL129" s="814"/>
      <c r="AM129" s="515"/>
      <c r="AN129" s="3357"/>
      <c r="AO129" s="518"/>
      <c r="AP129" s="2273" t="str">
        <f t="shared" si="6"/>
        <v/>
      </c>
      <c r="AQ129" s="638"/>
      <c r="AR129" s="504"/>
      <c r="AS129" s="621"/>
      <c r="AT129" s="448"/>
      <c r="AU129" s="429"/>
      <c r="AV129" s="432"/>
      <c r="AX129" s="1080"/>
      <c r="AY129" s="2726"/>
      <c r="AZ129" s="2818"/>
      <c r="BA129" s="2826"/>
      <c r="BB129" s="2831"/>
      <c r="BC129" s="2825"/>
      <c r="BD129" s="2822"/>
      <c r="BE129" s="2823"/>
      <c r="BF129" s="2685"/>
      <c r="BG129" s="2690"/>
      <c r="BH129" s="1080"/>
      <c r="BI129" s="2778"/>
      <c r="BJ129" s="2939"/>
      <c r="BK129" s="2922"/>
      <c r="BL129" s="2939"/>
      <c r="BM129" s="2888"/>
      <c r="BN129" s="2899"/>
      <c r="BO129" s="2890"/>
      <c r="BP129" s="2889"/>
      <c r="BQ129" s="2892"/>
      <c r="BR129" s="2808"/>
      <c r="BS129" s="2808"/>
      <c r="BT129" s="2808"/>
      <c r="BU129" s="2808"/>
      <c r="BV129" s="2808"/>
      <c r="BW129" s="2808"/>
      <c r="BX129" s="2808"/>
      <c r="BY129" s="2808"/>
      <c r="BZ129" s="2808"/>
      <c r="CA129" s="2808"/>
      <c r="CB129" s="2808"/>
      <c r="CC129" s="2808"/>
      <c r="CD129" s="2808"/>
      <c r="CE129" s="2808"/>
    </row>
    <row r="130" spans="1:83" ht="24.75" customHeight="1">
      <c r="A130" s="2676"/>
      <c r="B130" s="2670" t="s">
        <v>1867</v>
      </c>
      <c r="C130" s="1913" t="s">
        <v>1806</v>
      </c>
      <c r="D130" s="2755" t="e" cm="1">
        <f t="array" ca="1" aca="1" ref="D130">IF(D126,_xldudf_CX_PUSH(D125,CX_ENTITY,fx_attrConverter(C124),EOMONTH(val_asOfDate,13)),"No Push")</f>
        <v>#NAME?</v>
      </c>
      <c r="E130" s="2677"/>
      <c r="F130" s="2726"/>
      <c r="G130" s="2690"/>
      <c r="H130" s="2689"/>
      <c r="I130" s="2700"/>
      <c r="J130" s="2695"/>
      <c r="K130" s="2687"/>
      <c r="L130" s="2685"/>
      <c r="M130" s="2712"/>
      <c r="N130" s="2730"/>
      <c r="O130" s="2732"/>
      <c r="P130" s="2677"/>
      <c r="V130" s="158"/>
      <c r="W130" s="101"/>
      <c r="X130" s="52"/>
      <c r="Y130" s="101"/>
      <c r="Z130" s="126"/>
      <c r="AA130" s="101"/>
      <c r="AB130" s="101"/>
      <c r="AC130" s="39"/>
      <c r="AD130" s="406"/>
      <c r="AE130" s="428"/>
      <c r="AF130" s="439"/>
      <c r="AG130" s="661"/>
      <c r="AH130" s="485"/>
      <c r="AI130" s="615"/>
      <c r="AJ130" s="2016"/>
      <c r="AK130" s="2017"/>
      <c r="AL130" s="814"/>
      <c r="AM130" s="515"/>
      <c r="AN130" s="3357"/>
      <c r="AO130" s="518"/>
      <c r="AP130" s="2273" t="str">
        <f t="shared" si="6"/>
        <v/>
      </c>
      <c r="AQ130" s="638"/>
      <c r="AR130" s="504"/>
      <c r="AS130" s="621"/>
      <c r="AT130" s="448"/>
      <c r="AU130" s="429"/>
      <c r="AV130" s="432"/>
      <c r="AX130" s="1080"/>
      <c r="AY130" s="2726"/>
      <c r="AZ130" s="2818"/>
      <c r="BA130" s="2826"/>
      <c r="BB130" s="2831"/>
      <c r="BC130" s="2825"/>
      <c r="BD130" s="2822"/>
      <c r="BE130" s="2823"/>
      <c r="BF130" s="2685"/>
      <c r="BG130" s="2690"/>
      <c r="BH130" s="1080"/>
      <c r="BI130" s="2778"/>
      <c r="BJ130" s="2939"/>
      <c r="BK130" s="2922"/>
      <c r="BL130" s="2939"/>
      <c r="BM130" s="2888"/>
      <c r="BN130" s="2899"/>
      <c r="BO130" s="2890"/>
      <c r="BP130" s="2889"/>
      <c r="BQ130" s="2892"/>
      <c r="BR130" s="2808"/>
      <c r="BS130" s="2808"/>
      <c r="BT130" s="2808"/>
      <c r="BU130" s="2808"/>
      <c r="BV130" s="2808"/>
      <c r="BW130" s="2808"/>
      <c r="BX130" s="2808"/>
      <c r="BY130" s="2808"/>
      <c r="BZ130" s="2808"/>
      <c r="CA130" s="2808"/>
      <c r="CB130" s="2808"/>
      <c r="CC130" s="2808"/>
      <c r="CD130" s="2808"/>
      <c r="CE130" s="2808"/>
    </row>
    <row r="131" spans="1:83" ht="24.75" customHeight="1">
      <c r="A131" s="2676"/>
      <c r="B131" s="2671"/>
      <c r="C131" s="1915"/>
      <c r="D131" s="2760"/>
      <c r="E131" s="2677"/>
      <c r="F131" s="2726"/>
      <c r="G131" s="2690"/>
      <c r="H131" s="2689"/>
      <c r="I131" s="2700"/>
      <c r="J131" s="2695"/>
      <c r="K131" s="2687"/>
      <c r="L131" s="2685"/>
      <c r="M131" s="2712"/>
      <c r="N131" s="2730"/>
      <c r="O131" s="2731"/>
      <c r="P131" s="2677"/>
      <c r="V131" s="158"/>
      <c r="W131" s="101"/>
      <c r="X131" s="52"/>
      <c r="Y131" s="101"/>
      <c r="Z131" s="126"/>
      <c r="AA131" s="101"/>
      <c r="AB131" s="101"/>
      <c r="AC131" s="39"/>
      <c r="AD131" s="406"/>
      <c r="AE131" s="428"/>
      <c r="AF131" s="439"/>
      <c r="AG131" s="661"/>
      <c r="AH131" s="485"/>
      <c r="AI131" s="615"/>
      <c r="AJ131" s="2016"/>
      <c r="AK131" s="2017"/>
      <c r="AL131" s="814"/>
      <c r="AM131" s="515"/>
      <c r="AN131" s="3357"/>
      <c r="AO131" s="518"/>
      <c r="AP131" s="2273" t="str">
        <f t="shared" si="6"/>
        <v/>
      </c>
      <c r="AQ131" s="638"/>
      <c r="AR131" s="504"/>
      <c r="AS131" s="621"/>
      <c r="AT131" s="448"/>
      <c r="AU131" s="429"/>
      <c r="AV131" s="432"/>
      <c r="AX131" s="1080"/>
      <c r="AY131" s="2726"/>
      <c r="AZ131" s="2818"/>
      <c r="BA131" s="2826"/>
      <c r="BB131" s="2831"/>
      <c r="BC131" s="2825"/>
      <c r="BD131" s="2822"/>
      <c r="BE131" s="2823"/>
      <c r="BF131" s="2685"/>
      <c r="BG131" s="2690"/>
      <c r="BH131" s="1080"/>
      <c r="BI131" s="2778"/>
      <c r="BJ131" s="2939"/>
      <c r="BK131" s="2922"/>
      <c r="BL131" s="2939"/>
      <c r="BM131" s="2888"/>
      <c r="BN131" s="2899"/>
      <c r="BO131" s="2890"/>
      <c r="BP131" s="2889"/>
      <c r="BQ131" s="2892"/>
      <c r="BR131" s="2808"/>
      <c r="BS131" s="2808"/>
      <c r="BT131" s="2808"/>
      <c r="BU131" s="2808"/>
      <c r="BV131" s="2808"/>
      <c r="BW131" s="2808"/>
      <c r="BX131" s="2808"/>
      <c r="BY131" s="2808"/>
      <c r="BZ131" s="2808"/>
      <c r="CA131" s="2808"/>
      <c r="CB131" s="2808"/>
      <c r="CC131" s="2808"/>
      <c r="CD131" s="2808"/>
      <c r="CE131" s="2808"/>
    </row>
    <row r="132" spans="1:83" ht="24.75" customHeight="1">
      <c r="A132" s="2676"/>
      <c r="B132" s="2671"/>
      <c r="C132" s="1915"/>
      <c r="D132" s="2758"/>
      <c r="E132" s="2677"/>
      <c r="F132" s="2726"/>
      <c r="G132" s="2690"/>
      <c r="H132" s="2689"/>
      <c r="I132" s="2700"/>
      <c r="J132" s="2695"/>
      <c r="K132" s="2687"/>
      <c r="L132" s="2685"/>
      <c r="M132" s="2712"/>
      <c r="N132" s="2730"/>
      <c r="O132" s="2731"/>
      <c r="P132" s="2677"/>
      <c r="V132" s="158"/>
      <c r="W132" s="101"/>
      <c r="X132" s="52"/>
      <c r="Y132" s="101"/>
      <c r="Z132" s="126"/>
      <c r="AA132" s="101"/>
      <c r="AB132" s="101"/>
      <c r="AC132" s="39"/>
      <c r="AD132" s="406"/>
      <c r="AE132" s="428"/>
      <c r="AF132" s="439"/>
      <c r="AG132" s="661"/>
      <c r="AH132" s="485"/>
      <c r="AI132" s="615"/>
      <c r="AJ132" s="2016"/>
      <c r="AK132" s="2017"/>
      <c r="AL132" s="814"/>
      <c r="AM132" s="515"/>
      <c r="AN132" s="1967" t="str">
        <f>IF(K132="","",_xlfn.NUMBERVALUE(K132)/IF($D$8,DebtOverview!fxVal_normal,1))</f>
        <v/>
      </c>
      <c r="AO132" s="518"/>
      <c r="AP132" s="2273" t="str">
        <f t="shared" si="6"/>
        <v/>
      </c>
      <c r="AQ132" s="638"/>
      <c r="AR132" s="504"/>
      <c r="AS132" s="621"/>
      <c r="AT132" s="448"/>
      <c r="AU132" s="429"/>
      <c r="AV132" s="432"/>
      <c r="AX132" s="1080"/>
      <c r="AY132" s="2726"/>
      <c r="AZ132" s="2818"/>
      <c r="BA132" s="2826"/>
      <c r="BB132" s="2831"/>
      <c r="BC132" s="2825"/>
      <c r="BD132" s="2822"/>
      <c r="BE132" s="2823"/>
      <c r="BF132" s="2685"/>
      <c r="BG132" s="2690"/>
      <c r="BH132" s="1080"/>
      <c r="BI132" s="2778"/>
      <c r="BJ132" s="2939"/>
      <c r="BK132" s="2922"/>
      <c r="BL132" s="2939"/>
      <c r="BM132" s="2888"/>
      <c r="BN132" s="2899"/>
      <c r="BO132" s="2890"/>
      <c r="BP132" s="2889"/>
      <c r="BQ132" s="2892"/>
      <c r="BR132" s="2808"/>
      <c r="BS132" s="2808"/>
      <c r="BT132" s="2808"/>
      <c r="BU132" s="2808"/>
      <c r="BV132" s="2808"/>
      <c r="BW132" s="2808"/>
      <c r="BX132" s="2808"/>
      <c r="BY132" s="2808"/>
      <c r="BZ132" s="2808"/>
      <c r="CA132" s="2808"/>
      <c r="CB132" s="2808"/>
      <c r="CC132" s="2808"/>
      <c r="CD132" s="2808"/>
      <c r="CE132" s="2808"/>
    </row>
    <row r="133" spans="1:83" ht="24.75" customHeight="1">
      <c r="A133" s="2676"/>
      <c r="B133" s="2671"/>
      <c r="C133" s="1915"/>
      <c r="D133" s="2758"/>
      <c r="E133" s="2677"/>
      <c r="F133" s="2726"/>
      <c r="G133" s="2690"/>
      <c r="H133" s="2689"/>
      <c r="I133" s="2700"/>
      <c r="J133" s="2695"/>
      <c r="K133" s="2687"/>
      <c r="L133" s="2685"/>
      <c r="M133" s="2712"/>
      <c r="N133" s="2730"/>
      <c r="O133" s="2731"/>
      <c r="P133" s="2677"/>
      <c r="V133" s="158"/>
      <c r="W133" s="101"/>
      <c r="X133" s="52"/>
      <c r="Y133" s="101"/>
      <c r="Z133" s="126"/>
      <c r="AA133" s="101"/>
      <c r="AB133" s="101"/>
      <c r="AC133" s="39"/>
      <c r="AD133" s="406"/>
      <c r="AE133" s="428"/>
      <c r="AF133" s="439"/>
      <c r="AG133" s="661"/>
      <c r="AH133" s="485"/>
      <c r="AI133" s="615"/>
      <c r="AJ133" s="2016"/>
      <c r="AK133" s="2017"/>
      <c r="AL133" s="814"/>
      <c r="AM133" s="515"/>
      <c r="AN133" s="1967" t="str">
        <f>IF(K133="","",_xlfn.NUMBERVALUE(K133)/IF($D$8,DebtOverview!fxVal_normal,1))</f>
        <v/>
      </c>
      <c r="AO133" s="518"/>
      <c r="AP133" s="2273" t="str">
        <f t="shared" si="6"/>
        <v/>
      </c>
      <c r="AQ133" s="638"/>
      <c r="AR133" s="504"/>
      <c r="AS133" s="621"/>
      <c r="AT133" s="448"/>
      <c r="AU133" s="429"/>
      <c r="AV133" s="432"/>
      <c r="AX133" s="1080"/>
      <c r="AY133" s="2726"/>
      <c r="AZ133" s="2818"/>
      <c r="BA133" s="2826"/>
      <c r="BB133" s="2831"/>
      <c r="BC133" s="2825"/>
      <c r="BD133" s="2822"/>
      <c r="BE133" s="2823"/>
      <c r="BF133" s="2685"/>
      <c r="BG133" s="2690"/>
      <c r="BH133" s="1080"/>
      <c r="BI133" s="2778"/>
      <c r="BJ133" s="2939"/>
      <c r="BK133" s="2922"/>
      <c r="BL133" s="2939"/>
      <c r="BM133" s="2888"/>
      <c r="BN133" s="2899"/>
      <c r="BO133" s="2890"/>
      <c r="BP133" s="2889"/>
      <c r="BQ133" s="2892"/>
      <c r="BR133" s="2808"/>
      <c r="BS133" s="2808"/>
      <c r="BT133" s="2808"/>
      <c r="BU133" s="2808"/>
      <c r="BV133" s="2808"/>
      <c r="BW133" s="2808"/>
      <c r="BX133" s="2808"/>
      <c r="BY133" s="2808"/>
      <c r="BZ133" s="2808"/>
      <c r="CA133" s="2808"/>
      <c r="CB133" s="2808"/>
      <c r="CC133" s="2808"/>
      <c r="CD133" s="2808"/>
      <c r="CE133" s="2808"/>
    </row>
    <row r="134" spans="1:83" ht="24.75" customHeight="1">
      <c r="A134" s="2676"/>
      <c r="B134" s="2670"/>
      <c r="C134" s="1913"/>
      <c r="D134" s="2758"/>
      <c r="E134" s="2677"/>
      <c r="F134" s="2726"/>
      <c r="G134" s="2690"/>
      <c r="H134" s="2689"/>
      <c r="I134" s="2700"/>
      <c r="J134" s="2695"/>
      <c r="K134" s="2687"/>
      <c r="L134" s="2685"/>
      <c r="M134" s="2712"/>
      <c r="N134" s="2768"/>
      <c r="O134" s="2732"/>
      <c r="P134" s="2677"/>
      <c r="V134" s="158"/>
      <c r="W134" s="101"/>
      <c r="X134" s="52"/>
      <c r="Y134" s="101"/>
      <c r="Z134" s="126"/>
      <c r="AA134" s="101"/>
      <c r="AB134" s="101"/>
      <c r="AC134" s="39"/>
      <c r="AD134" s="406"/>
      <c r="AE134" s="428"/>
      <c r="AF134" s="439"/>
      <c r="AG134" s="661"/>
      <c r="AH134" s="485"/>
      <c r="AI134" s="615"/>
      <c r="AJ134" s="2016"/>
      <c r="AK134" s="2017"/>
      <c r="AL134" s="814"/>
      <c r="AM134" s="515"/>
      <c r="AN134" s="1967" t="str">
        <f>IF(K134="","",_xlfn.NUMBERVALUE(K134)/IF($D$8,DebtOverview!fxVal_normal,1))</f>
        <v/>
      </c>
      <c r="AO134" s="518"/>
      <c r="AP134" s="2273" t="str">
        <f t="shared" si="6"/>
        <v/>
      </c>
      <c r="AQ134" s="638"/>
      <c r="AR134" s="505"/>
      <c r="AS134" s="621"/>
      <c r="AT134" s="448"/>
      <c r="AU134" s="429"/>
      <c r="AV134" s="432"/>
      <c r="AX134" s="1080"/>
      <c r="AY134" s="2726"/>
      <c r="AZ134" s="2818"/>
      <c r="BA134" s="2826"/>
      <c r="BB134" s="2831"/>
      <c r="BC134" s="2825"/>
      <c r="BD134" s="2822"/>
      <c r="BE134" s="2823"/>
      <c r="BF134" s="2685"/>
      <c r="BG134" s="2690"/>
      <c r="BH134" s="1080"/>
      <c r="BI134" s="2778"/>
      <c r="BJ134" s="2939"/>
      <c r="BK134" s="2922"/>
      <c r="BL134" s="2939"/>
      <c r="BM134" s="2888"/>
      <c r="BN134" s="2899"/>
      <c r="BO134" s="2890"/>
      <c r="BP134" s="2889"/>
      <c r="BQ134" s="2892"/>
      <c r="BR134" s="2808"/>
      <c r="BS134" s="2808"/>
      <c r="BT134" s="2808"/>
      <c r="BU134" s="2808"/>
      <c r="BV134" s="2808"/>
      <c r="BW134" s="2808"/>
      <c r="BX134" s="2808"/>
      <c r="BY134" s="2808"/>
      <c r="BZ134" s="2808"/>
      <c r="CA134" s="2808"/>
      <c r="CB134" s="2808"/>
      <c r="CC134" s="2808"/>
      <c r="CD134" s="2808"/>
      <c r="CE134" s="2808"/>
    </row>
    <row r="135" spans="1:83" ht="16.5" customHeight="1">
      <c r="A135" s="2676"/>
      <c r="B135" s="2670"/>
      <c r="C135" s="1913"/>
      <c r="D135" s="2752"/>
      <c r="E135" s="2677"/>
      <c r="F135" s="2726"/>
      <c r="G135" s="2689"/>
      <c r="H135" s="2689"/>
      <c r="I135" s="2689"/>
      <c r="J135" s="2689"/>
      <c r="K135" s="2687"/>
      <c r="L135" s="2685"/>
      <c r="M135" s="2712"/>
      <c r="N135" s="2713"/>
      <c r="O135" s="2717"/>
      <c r="P135" s="2677"/>
      <c r="V135" s="158"/>
      <c r="W135" s="101"/>
      <c r="X135" s="52"/>
      <c r="Y135" s="101"/>
      <c r="Z135" s="126"/>
      <c r="AA135" s="101"/>
      <c r="AB135" s="101"/>
      <c r="AC135" s="39"/>
      <c r="AD135" s="406"/>
      <c r="AE135" s="428"/>
      <c r="AF135" s="439"/>
      <c r="AG135" s="661"/>
      <c r="AH135" s="485"/>
      <c r="AI135" s="622"/>
      <c r="AJ135" s="2018"/>
      <c r="AK135" s="2018"/>
      <c r="AL135" s="618"/>
      <c r="AM135" s="623"/>
      <c r="AN135" s="1978"/>
      <c r="AO135" s="624"/>
      <c r="AP135" s="625"/>
      <c r="AQ135" s="625"/>
      <c r="AR135" s="626"/>
      <c r="AS135" s="627"/>
      <c r="AT135" s="448"/>
      <c r="AU135" s="429"/>
      <c r="AV135" s="432"/>
      <c r="AX135" s="1080"/>
      <c r="AY135" s="2726"/>
      <c r="AZ135" s="2817"/>
      <c r="BA135" s="2817"/>
      <c r="BB135" s="2817"/>
      <c r="BC135" s="2817"/>
      <c r="BD135" s="2806"/>
      <c r="BE135" s="2807"/>
      <c r="BF135" s="2685"/>
      <c r="BG135" s="2689"/>
      <c r="BH135" s="1080"/>
      <c r="BI135" s="2778"/>
      <c r="BJ135" s="2939"/>
      <c r="BK135" s="2926"/>
      <c r="BL135" s="2939"/>
      <c r="BM135" s="2888"/>
      <c r="BN135" s="2900"/>
      <c r="BO135" s="2891"/>
      <c r="BP135" s="2889"/>
      <c r="BQ135" s="2892"/>
      <c r="BR135" s="2808"/>
      <c r="BS135" s="2808"/>
      <c r="BT135" s="2808"/>
      <c r="BU135" s="2808"/>
      <c r="BV135" s="2808"/>
      <c r="BW135" s="2808"/>
      <c r="BX135" s="2808"/>
      <c r="BY135" s="2808"/>
      <c r="BZ135" s="2808"/>
      <c r="CA135" s="2808"/>
      <c r="CB135" s="2808"/>
      <c r="CC135" s="2808"/>
      <c r="CD135" s="2808"/>
      <c r="CE135" s="2808"/>
    </row>
    <row r="136" spans="1:83" ht="16.5" customHeight="1">
      <c r="A136" s="2676"/>
      <c r="B136" s="2670"/>
      <c r="C136" s="1913"/>
      <c r="D136" s="2752"/>
      <c r="E136" s="2677"/>
      <c r="F136" s="2726"/>
      <c r="G136" s="2689"/>
      <c r="H136" s="2689"/>
      <c r="I136" s="2689"/>
      <c r="J136" s="2689"/>
      <c r="K136" s="2687"/>
      <c r="L136" s="2685"/>
      <c r="M136" s="2712"/>
      <c r="N136" s="2713"/>
      <c r="O136" s="2717"/>
      <c r="P136" s="2677"/>
      <c r="V136" s="158"/>
      <c r="W136" s="101"/>
      <c r="X136" s="52"/>
      <c r="Y136" s="101"/>
      <c r="Z136" s="126"/>
      <c r="AA136" s="101"/>
      <c r="AB136" s="101"/>
      <c r="AC136" s="39"/>
      <c r="AD136" s="406"/>
      <c r="AE136" s="428"/>
      <c r="AF136" s="439"/>
      <c r="AG136" s="661"/>
      <c r="AH136" s="453"/>
      <c r="AI136" s="453"/>
      <c r="AJ136" s="453"/>
      <c r="AK136" s="453"/>
      <c r="AL136" s="453"/>
      <c r="AM136" s="453"/>
      <c r="AN136" s="1979"/>
      <c r="AO136" s="453"/>
      <c r="AP136" s="453"/>
      <c r="AQ136" s="453"/>
      <c r="AR136" s="453"/>
      <c r="AS136" s="453"/>
      <c r="AT136" s="453"/>
      <c r="AU136" s="429"/>
      <c r="AV136" s="432"/>
      <c r="AX136" s="1080"/>
      <c r="AY136" s="2726"/>
      <c r="AZ136" s="2817"/>
      <c r="BA136" s="2817"/>
      <c r="BB136" s="2817"/>
      <c r="BC136" s="2817"/>
      <c r="BD136" s="2806"/>
      <c r="BE136" s="2807"/>
      <c r="BF136" s="2685"/>
      <c r="BG136" s="2689"/>
      <c r="BH136" s="1080"/>
      <c r="BI136" s="2778"/>
      <c r="BJ136" s="2939"/>
      <c r="BK136" s="2926"/>
      <c r="BL136" s="2939"/>
      <c r="BM136" s="2888"/>
      <c r="BN136" s="2900"/>
      <c r="BO136" s="2891"/>
      <c r="BP136" s="2889"/>
      <c r="BQ136" s="2892"/>
      <c r="BR136" s="2808"/>
      <c r="BS136" s="2808"/>
      <c r="BT136" s="2808"/>
      <c r="BU136" s="2808"/>
      <c r="BV136" s="2808"/>
      <c r="BW136" s="2808"/>
      <c r="BX136" s="2808"/>
      <c r="BY136" s="2808"/>
      <c r="BZ136" s="2808"/>
      <c r="CA136" s="2808"/>
      <c r="CB136" s="2808"/>
      <c r="CC136" s="2808"/>
      <c r="CD136" s="2808"/>
      <c r="CE136" s="2808"/>
    </row>
    <row r="137" spans="1:83" ht="15.5">
      <c r="A137" s="2676"/>
      <c r="B137" s="2670"/>
      <c r="C137" s="1913"/>
      <c r="D137" s="2752"/>
      <c r="E137" s="2677"/>
      <c r="F137" s="2726"/>
      <c r="G137" s="2689"/>
      <c r="H137" s="2689"/>
      <c r="I137" s="2689"/>
      <c r="J137" s="2689"/>
      <c r="K137" s="2687"/>
      <c r="L137" s="2685"/>
      <c r="M137" s="2712"/>
      <c r="N137" s="2713"/>
      <c r="O137" s="2722"/>
      <c r="P137" s="2677"/>
      <c r="V137" s="158"/>
      <c r="W137" s="101"/>
      <c r="X137" s="52"/>
      <c r="Y137" s="101"/>
      <c r="Z137" s="126"/>
      <c r="AA137" s="101"/>
      <c r="AB137" s="101"/>
      <c r="AC137" s="39"/>
      <c r="AD137" s="406"/>
      <c r="AE137" s="428"/>
      <c r="AF137" s="439"/>
      <c r="AG137" s="663"/>
      <c r="AH137" s="485"/>
      <c r="AI137" s="475"/>
      <c r="AJ137" s="2011"/>
      <c r="AK137" s="2011"/>
      <c r="AL137" s="475"/>
      <c r="AM137" s="429"/>
      <c r="AN137" s="1975"/>
      <c r="AO137" s="476"/>
      <c r="AP137" s="486"/>
      <c r="AQ137" s="486"/>
      <c r="AR137" s="486"/>
      <c r="AS137" s="477"/>
      <c r="AT137" s="481"/>
      <c r="AU137" s="429"/>
      <c r="AV137" s="432"/>
      <c r="AX137" s="1080"/>
      <c r="AY137" s="2726"/>
      <c r="AZ137" s="2817"/>
      <c r="BA137" s="2817"/>
      <c r="BB137" s="2817"/>
      <c r="BC137" s="2817"/>
      <c r="BD137" s="2806"/>
      <c r="BE137" s="2807"/>
      <c r="BF137" s="2685"/>
      <c r="BG137" s="2689"/>
      <c r="BH137" s="1080"/>
      <c r="BI137" s="2778"/>
      <c r="BJ137" s="2939"/>
      <c r="BK137" s="2926"/>
      <c r="BL137" s="2939"/>
      <c r="BM137" s="2888"/>
      <c r="BN137" s="2900"/>
      <c r="BO137" s="2891"/>
      <c r="BP137" s="2889"/>
      <c r="BQ137" s="2892"/>
      <c r="BR137" s="2808"/>
      <c r="BS137" s="2808"/>
      <c r="BT137" s="2808"/>
      <c r="BU137" s="2808"/>
      <c r="BV137" s="2808"/>
      <c r="BW137" s="2808"/>
      <c r="BX137" s="2808"/>
      <c r="BY137" s="2808"/>
      <c r="BZ137" s="2808"/>
      <c r="CA137" s="2808"/>
      <c r="CB137" s="2808"/>
      <c r="CC137" s="2808"/>
      <c r="CD137" s="2808"/>
      <c r="CE137" s="2808"/>
    </row>
    <row r="138" spans="1:83" ht="15.5">
      <c r="A138" s="2676"/>
      <c r="B138" s="2670"/>
      <c r="C138" s="1913"/>
      <c r="D138" s="2752"/>
      <c r="E138" s="2677"/>
      <c r="F138" s="2726"/>
      <c r="G138" s="2689"/>
      <c r="H138" s="2689"/>
      <c r="I138" s="2689"/>
      <c r="J138" s="2689"/>
      <c r="K138" s="2687"/>
      <c r="L138" s="2685"/>
      <c r="M138" s="2712"/>
      <c r="N138" s="2713"/>
      <c r="O138" s="2722"/>
      <c r="P138" s="2677"/>
      <c r="V138" s="158"/>
      <c r="W138" s="101"/>
      <c r="X138" s="52"/>
      <c r="Y138" s="101"/>
      <c r="Z138" s="126"/>
      <c r="AA138" s="101"/>
      <c r="AB138" s="101"/>
      <c r="AC138" s="39"/>
      <c r="AD138" s="406"/>
      <c r="AE138" s="428"/>
      <c r="AF138" s="439"/>
      <c r="AG138" s="485"/>
      <c r="AH138" s="485"/>
      <c r="AI138" s="475"/>
      <c r="AJ138" s="2011"/>
      <c r="AK138" s="2011"/>
      <c r="AL138" s="475"/>
      <c r="AM138" s="429"/>
      <c r="AN138" s="1975"/>
      <c r="AO138" s="476"/>
      <c r="AP138" s="486"/>
      <c r="AQ138" s="486"/>
      <c r="AR138" s="487"/>
      <c r="AS138" s="477"/>
      <c r="AT138" s="481"/>
      <c r="AU138" s="429"/>
      <c r="AV138" s="432"/>
      <c r="AX138" s="1080"/>
      <c r="AY138" s="2726"/>
      <c r="AZ138" s="2817"/>
      <c r="BA138" s="2817"/>
      <c r="BB138" s="2817"/>
      <c r="BC138" s="2817"/>
      <c r="BD138" s="2806"/>
      <c r="BE138" s="2807"/>
      <c r="BF138" s="2685"/>
      <c r="BG138" s="2689"/>
      <c r="BH138" s="1080"/>
      <c r="BI138" s="2778"/>
      <c r="BJ138" s="2939"/>
      <c r="BK138" s="2926"/>
      <c r="BL138" s="2939"/>
      <c r="BM138" s="2888"/>
      <c r="BN138" s="2900"/>
      <c r="BO138" s="2891"/>
      <c r="BP138" s="2889"/>
      <c r="BQ138" s="2892"/>
      <c r="BR138" s="2808"/>
      <c r="BS138" s="2808"/>
      <c r="BT138" s="2808"/>
      <c r="BU138" s="2808"/>
      <c r="BV138" s="2808"/>
      <c r="BW138" s="2808"/>
      <c r="BX138" s="2808"/>
      <c r="BY138" s="2808"/>
      <c r="BZ138" s="2808"/>
      <c r="CA138" s="2808"/>
      <c r="CB138" s="2808"/>
      <c r="CC138" s="2808"/>
      <c r="CD138" s="2808"/>
      <c r="CE138" s="2808"/>
    </row>
    <row r="139" spans="1:83" ht="32.5">
      <c r="A139" s="2676"/>
      <c r="B139" s="2670"/>
      <c r="C139" s="1913"/>
      <c r="D139" s="2752"/>
      <c r="E139" s="2677"/>
      <c r="F139" s="2726"/>
      <c r="G139" s="2689"/>
      <c r="H139" s="2689"/>
      <c r="I139" s="2689"/>
      <c r="J139" s="2689"/>
      <c r="K139" s="2687"/>
      <c r="L139" s="2685"/>
      <c r="M139" s="2712"/>
      <c r="N139" s="2713"/>
      <c r="O139" s="2722"/>
      <c r="P139" s="2677"/>
      <c r="V139" s="158"/>
      <c r="W139" s="101"/>
      <c r="X139" s="288"/>
      <c r="Y139" s="288"/>
      <c r="Z139" s="126"/>
      <c r="AA139" s="101"/>
      <c r="AB139" s="101"/>
      <c r="AC139" s="39"/>
      <c r="AD139" s="406"/>
      <c r="AE139" s="428"/>
      <c r="AF139" s="648"/>
      <c r="AG139" s="649"/>
      <c r="AH139" s="440"/>
      <c r="AI139" s="2646" t="s">
        <v>1807</v>
      </c>
      <c r="AJ139" s="2000"/>
      <c r="AK139" s="2000"/>
      <c r="AL139" s="2646"/>
      <c r="AM139" s="429"/>
      <c r="AN139" s="1972"/>
      <c r="AO139" s="430"/>
      <c r="AP139" s="429"/>
      <c r="AQ139" s="429"/>
      <c r="AR139" s="429"/>
      <c r="AS139" s="429"/>
      <c r="AT139" s="429"/>
      <c r="AU139" s="429"/>
      <c r="AV139" s="432"/>
      <c r="AX139" s="1080"/>
      <c r="AY139" s="2726"/>
      <c r="AZ139" s="2817"/>
      <c r="BA139" s="2817"/>
      <c r="BB139" s="2817"/>
      <c r="BC139" s="2817"/>
      <c r="BD139" s="2806"/>
      <c r="BE139" s="2807"/>
      <c r="BF139" s="2685"/>
      <c r="BG139" s="2689"/>
      <c r="BH139" s="1080"/>
      <c r="BI139" s="2778"/>
      <c r="BJ139" s="2939"/>
      <c r="BK139" s="2926"/>
      <c r="BL139" s="2939"/>
      <c r="BM139" s="2888"/>
      <c r="BN139" s="2900"/>
      <c r="BO139" s="2891"/>
      <c r="BP139" s="2889"/>
      <c r="BQ139" s="2892"/>
      <c r="BR139" s="2808"/>
      <c r="BS139" s="2808"/>
      <c r="BT139" s="2808"/>
      <c r="BU139" s="2808"/>
      <c r="BV139" s="2808"/>
      <c r="BW139" s="2808"/>
      <c r="BX139" s="2808"/>
      <c r="BY139" s="2808"/>
      <c r="BZ139" s="2808"/>
      <c r="CA139" s="2808"/>
      <c r="CB139" s="2808"/>
      <c r="CC139" s="2808"/>
      <c r="CD139" s="2808"/>
      <c r="CE139" s="2808"/>
    </row>
    <row r="140" spans="1:83" ht="15.5">
      <c r="A140" s="2676"/>
      <c r="B140" s="2670"/>
      <c r="C140" s="1913"/>
      <c r="D140" s="2752"/>
      <c r="E140" s="2677"/>
      <c r="F140" s="2726"/>
      <c r="G140" s="2689"/>
      <c r="H140" s="2689"/>
      <c r="I140" s="2689"/>
      <c r="J140" s="2689"/>
      <c r="K140" s="2687"/>
      <c r="L140" s="2685"/>
      <c r="M140" s="2712"/>
      <c r="N140" s="2713"/>
      <c r="O140" s="2722"/>
      <c r="P140" s="2677"/>
      <c r="V140" s="158"/>
      <c r="W140" s="101"/>
      <c r="X140" s="52"/>
      <c r="Y140" s="101"/>
      <c r="Z140" s="126"/>
      <c r="AA140" s="101"/>
      <c r="AB140" s="101"/>
      <c r="AC140" s="39"/>
      <c r="AD140" s="406"/>
      <c r="AE140" s="428"/>
      <c r="AF140" s="439"/>
      <c r="AG140" s="437"/>
      <c r="AH140" s="437"/>
      <c r="AI140" s="475"/>
      <c r="AJ140" s="2011"/>
      <c r="AK140" s="2011"/>
      <c r="AL140" s="475"/>
      <c r="AM140" s="429"/>
      <c r="AN140" s="1975"/>
      <c r="AO140" s="476"/>
      <c r="AP140" s="486"/>
      <c r="AQ140" s="486"/>
      <c r="AR140" s="487"/>
      <c r="AS140" s="477"/>
      <c r="AT140" s="481"/>
      <c r="AU140" s="429"/>
      <c r="AV140" s="432"/>
      <c r="AX140" s="1080"/>
      <c r="AY140" s="2726"/>
      <c r="AZ140" s="2817"/>
      <c r="BA140" s="2817"/>
      <c r="BB140" s="2817"/>
      <c r="BC140" s="2817"/>
      <c r="BD140" s="2806"/>
      <c r="BE140" s="2807"/>
      <c r="BF140" s="2685"/>
      <c r="BG140" s="2689"/>
      <c r="BH140" s="1080"/>
      <c r="BI140" s="2778"/>
      <c r="BJ140" s="2939"/>
      <c r="BK140" s="2926"/>
      <c r="BL140" s="2939"/>
      <c r="BM140" s="2888"/>
      <c r="BN140" s="2900"/>
      <c r="BO140" s="2891"/>
      <c r="BP140" s="2889"/>
      <c r="BQ140" s="2892"/>
      <c r="BR140" s="2808"/>
      <c r="BS140" s="2808"/>
      <c r="BT140" s="2808"/>
      <c r="BU140" s="2808"/>
      <c r="BV140" s="2808"/>
      <c r="BW140" s="2808"/>
      <c r="BX140" s="2808"/>
      <c r="BY140" s="2808"/>
      <c r="BZ140" s="2808"/>
      <c r="CA140" s="2808"/>
      <c r="CB140" s="2808"/>
      <c r="CC140" s="2808"/>
      <c r="CD140" s="2808"/>
      <c r="CE140" s="2808"/>
    </row>
    <row r="141" spans="1:83" ht="27.75" customHeight="1">
      <c r="A141" s="2676"/>
      <c r="B141" s="2670"/>
      <c r="C141" s="1913"/>
      <c r="D141" s="2752"/>
      <c r="E141" s="2677"/>
      <c r="F141" s="2726"/>
      <c r="G141" s="2689"/>
      <c r="H141" s="2689"/>
      <c r="I141" s="2689"/>
      <c r="J141" s="2689"/>
      <c r="K141" s="2687"/>
      <c r="L141" s="2685"/>
      <c r="M141" s="2712"/>
      <c r="N141" s="2713"/>
      <c r="O141" s="2717"/>
      <c r="P141" s="2677"/>
      <c r="V141" s="158"/>
      <c r="W141" s="101"/>
      <c r="X141" s="52"/>
      <c r="Y141" s="101"/>
      <c r="Z141" s="126"/>
      <c r="AA141" s="101"/>
      <c r="AB141" s="101"/>
      <c r="AC141" s="39"/>
      <c r="AD141" s="406"/>
      <c r="AE141" s="428"/>
      <c r="AF141" s="650"/>
      <c r="AG141" s="651"/>
      <c r="AH141" s="440"/>
      <c r="AI141" s="441" t="s">
        <v>1808</v>
      </c>
      <c r="AJ141" s="2012"/>
      <c r="AK141" s="2012"/>
      <c r="AL141" s="441"/>
      <c r="AM141" s="442"/>
      <c r="AN141" s="1537" t="str">
        <f>"Outstanding Amount"</f>
        <v>Outstanding Amount</v>
      </c>
      <c r="AO141" s="981"/>
      <c r="AP141" s="980" t="s">
        <v>225</v>
      </c>
      <c r="AQ141" s="444"/>
      <c r="AR141" s="493" t="s">
        <v>1789</v>
      </c>
      <c r="AS141" s="429"/>
      <c r="AT141" s="429"/>
      <c r="AU141" s="429"/>
      <c r="AV141" s="445"/>
      <c r="AX141" s="1080"/>
      <c r="AY141" s="2726"/>
      <c r="AZ141" s="2817"/>
      <c r="BA141" s="2817"/>
      <c r="BB141" s="2817"/>
      <c r="BC141" s="2817"/>
      <c r="BD141" s="2806"/>
      <c r="BE141" s="2807"/>
      <c r="BF141" s="2685"/>
      <c r="BG141" s="2689"/>
      <c r="BH141" s="1080"/>
      <c r="BI141" s="2778"/>
      <c r="BJ141" s="2939"/>
      <c r="BK141" s="2926"/>
      <c r="BL141" s="2939"/>
      <c r="BM141" s="2888"/>
      <c r="BN141" s="2900"/>
      <c r="BO141" s="2891"/>
      <c r="BP141" s="2889"/>
      <c r="BQ141" s="2892"/>
      <c r="BR141" s="2808"/>
      <c r="BS141" s="2808"/>
      <c r="BT141" s="2808"/>
      <c r="BU141" s="2808"/>
      <c r="BV141" s="2808"/>
      <c r="BW141" s="2808"/>
      <c r="BX141" s="2808"/>
      <c r="BY141" s="2808"/>
      <c r="BZ141" s="2808"/>
      <c r="CA141" s="2808"/>
      <c r="CB141" s="2808"/>
      <c r="CC141" s="2808"/>
      <c r="CD141" s="2808"/>
      <c r="CE141" s="2808"/>
    </row>
    <row r="142" spans="1:83" ht="15.5">
      <c r="A142" s="2676" t="s">
        <v>22</v>
      </c>
      <c r="B142" s="2670"/>
      <c r="C142" s="1913"/>
      <c r="D142" s="2752"/>
      <c r="E142" s="2677"/>
      <c r="F142" s="2726"/>
      <c r="G142" s="2689"/>
      <c r="H142" s="2689"/>
      <c r="I142" s="2689"/>
      <c r="J142" s="2689"/>
      <c r="K142" s="2687"/>
      <c r="L142" s="2685"/>
      <c r="M142" s="2712"/>
      <c r="N142" s="2713"/>
      <c r="O142" s="2717"/>
      <c r="P142" s="2677"/>
      <c r="V142" s="158"/>
      <c r="W142" s="101"/>
      <c r="X142" s="52"/>
      <c r="Y142" s="101"/>
      <c r="Z142" s="126"/>
      <c r="AA142" s="101"/>
      <c r="AB142" s="101"/>
      <c r="AC142" s="39"/>
      <c r="AD142" s="406"/>
      <c r="AE142" s="428"/>
      <c r="AF142" s="439"/>
      <c r="AG142" s="453"/>
      <c r="AH142" s="453"/>
      <c r="AI142" s="475"/>
      <c r="AJ142" s="2011"/>
      <c r="AK142" s="2011"/>
      <c r="AL142" s="475"/>
      <c r="AM142" s="429"/>
      <c r="AN142" s="1975"/>
      <c r="AO142" s="430"/>
      <c r="AP142" s="477"/>
      <c r="AQ142" s="477"/>
      <c r="AR142" s="478"/>
      <c r="AS142" s="477"/>
      <c r="AT142" s="481"/>
      <c r="AU142" s="429"/>
      <c r="AV142" s="432"/>
      <c r="AX142" s="1080"/>
      <c r="AY142" s="2726"/>
      <c r="AZ142" s="2817"/>
      <c r="BA142" s="2817"/>
      <c r="BB142" s="2817"/>
      <c r="BC142" s="2817"/>
      <c r="BD142" s="2806"/>
      <c r="BE142" s="2807"/>
      <c r="BF142" s="2685"/>
      <c r="BG142" s="2689"/>
      <c r="BH142" s="1080"/>
      <c r="BI142" s="2778"/>
      <c r="BJ142" s="2939"/>
      <c r="BK142" s="2926"/>
      <c r="BL142" s="2939"/>
      <c r="BM142" s="2888"/>
      <c r="BN142" s="2900"/>
      <c r="BO142" s="2891"/>
      <c r="BP142" s="2889"/>
      <c r="BQ142" s="2892"/>
      <c r="BR142" s="2808"/>
      <c r="BS142" s="2808"/>
      <c r="BT142" s="2808"/>
      <c r="BU142" s="2808"/>
      <c r="BV142" s="2808"/>
      <c r="BW142" s="2808"/>
      <c r="BX142" s="2808"/>
      <c r="BY142" s="2808"/>
      <c r="BZ142" s="2808"/>
      <c r="CA142" s="2808"/>
      <c r="CB142" s="2808"/>
      <c r="CC142" s="2808"/>
      <c r="CD142" s="2808"/>
      <c r="CE142" s="2808"/>
    </row>
    <row r="143" spans="1:83" ht="18">
      <c r="A143" s="2676"/>
      <c r="B143" s="2787" t="s">
        <v>1878</v>
      </c>
      <c r="C143" s="3363" t="s">
        <v>1811</v>
      </c>
      <c r="D143" s="2759" t="e" cm="1">
        <f t="array" ca="1" aca="1" ref="D143">_xldudf_CX_PUSH(AN143*DebtOverview!fxVal_normal,CX_ENTITY,fx_attrConverter(C143),val_asOfDate,"As of",fx_scenarioConverter("Actual"))</f>
        <v>#NAME?</v>
      </c>
      <c r="E143" s="2677"/>
      <c r="F143" s="2726"/>
      <c r="G143" s="2689"/>
      <c r="H143" s="2684"/>
      <c r="I143" s="2691"/>
      <c r="J143" s="2695"/>
      <c r="K143" s="2687"/>
      <c r="L143" s="2685"/>
      <c r="M143" s="2712"/>
      <c r="N143" s="2720"/>
      <c r="O143" s="2721"/>
      <c r="P143" s="2677"/>
      <c r="V143" s="158"/>
      <c r="W143" s="101"/>
      <c r="X143" s="52"/>
      <c r="Y143" s="101"/>
      <c r="Z143" s="126"/>
      <c r="AA143" s="101"/>
      <c r="AB143" s="101"/>
      <c r="AC143" s="39"/>
      <c r="AD143" s="406"/>
      <c r="AE143" s="428"/>
      <c r="AF143" s="439"/>
      <c r="AG143" s="663"/>
      <c r="AH143" s="485"/>
      <c r="AI143" s="742" t="s">
        <v>1812</v>
      </c>
      <c r="AJ143" s="738"/>
      <c r="AK143" s="738"/>
      <c r="AL143" s="738"/>
      <c r="AM143" s="1176"/>
      <c r="AN143" s="1980">
        <f>AN144*AK153</f>
        <v>0</v>
      </c>
      <c r="AO143" s="430"/>
      <c r="AP143" s="2274">
        <f>$AN$5</f>
        <v>46022</v>
      </c>
      <c r="AQ143" s="454"/>
      <c r="AR143" s="740"/>
      <c r="AS143" s="477"/>
      <c r="AT143" s="481"/>
      <c r="AU143" s="429"/>
      <c r="AV143" s="432"/>
      <c r="AX143" s="1080"/>
      <c r="AY143" s="2726"/>
      <c r="AZ143" s="2817"/>
      <c r="BA143" s="2804"/>
      <c r="BB143" s="2832"/>
      <c r="BC143" s="2812"/>
      <c r="BD143" s="2806"/>
      <c r="BE143" s="2807"/>
      <c r="BF143" s="2685"/>
      <c r="BG143" s="2689"/>
      <c r="BH143" s="1080"/>
      <c r="BI143" s="2778"/>
      <c r="BJ143" s="2939"/>
      <c r="BK143" s="2926"/>
      <c r="BL143" s="2939"/>
      <c r="BM143" s="2888"/>
      <c r="BN143" s="2899"/>
      <c r="BO143" s="2890"/>
      <c r="BP143" s="2889"/>
      <c r="BQ143" s="2892"/>
      <c r="BR143" s="2808"/>
      <c r="BS143" s="2808"/>
      <c r="BT143" s="2808"/>
      <c r="BU143" s="2808"/>
      <c r="BV143" s="2808"/>
      <c r="BW143" s="2808"/>
      <c r="BX143" s="2808"/>
      <c r="BY143" s="2808"/>
      <c r="BZ143" s="2808"/>
      <c r="CA143" s="2808"/>
      <c r="CB143" s="2808"/>
      <c r="CC143" s="2808"/>
      <c r="CD143" s="2808"/>
      <c r="CE143" s="2808"/>
    </row>
    <row r="144" spans="1:83" ht="18">
      <c r="A144" s="2676"/>
      <c r="B144" s="2787" t="s">
        <v>1875</v>
      </c>
      <c r="C144" s="3363" t="s">
        <v>1809</v>
      </c>
      <c r="D144" s="2759" t="e" cm="1">
        <f t="array" ca="1" aca="1" ref="D144">_xldudf_CX_PUSH(AN144*DebtOverview!fxVal_normal,CX_ENTITY,fx_attrConverter(C144),val_asOfDate,"As of",fx_scenarioConverter("Actual"))</f>
        <v>#NAME?</v>
      </c>
      <c r="E144" s="2677"/>
      <c r="F144" s="2726"/>
      <c r="G144" s="2741" t="s">
        <v>1784</v>
      </c>
      <c r="H144" s="2742" t="s">
        <v>431</v>
      </c>
      <c r="I144" s="2742" t="s">
        <v>1785</v>
      </c>
      <c r="J144" s="2743" t="s">
        <v>31</v>
      </c>
      <c r="K144" s="2744" t="s">
        <v>1786</v>
      </c>
      <c r="L144" s="2745" t="s">
        <v>268</v>
      </c>
      <c r="M144" s="2668"/>
      <c r="N144" s="2747" t="s">
        <v>1787</v>
      </c>
      <c r="O144" s="2748" t="s">
        <v>1869</v>
      </c>
      <c r="P144" s="2677"/>
      <c r="V144" s="158"/>
      <c r="W144" s="101"/>
      <c r="X144" s="52"/>
      <c r="Y144" s="101"/>
      <c r="Z144" s="126"/>
      <c r="AA144" s="101"/>
      <c r="AB144" s="101"/>
      <c r="AC144" s="39"/>
      <c r="AD144" s="406"/>
      <c r="AE144" s="428"/>
      <c r="AF144" s="439"/>
      <c r="AG144" s="663"/>
      <c r="AH144" s="485"/>
      <c r="AI144" s="742" t="s">
        <v>1810</v>
      </c>
      <c r="AJ144" s="738"/>
      <c r="AK144" s="738"/>
      <c r="AL144" s="738"/>
      <c r="AM144" s="1176"/>
      <c r="AN144" s="1980" cm="1">
        <f t="array" ref="AN144">IF(N(SUM(AN147:AN157))=0,0,IFERROR(SUM(_xlfn._xlws.FILTER(AN147:AN157,AP147:AP157&gt;val_asOfDate)),0))</f>
        <v>0</v>
      </c>
      <c r="AO144" s="2871">
        <f>IF(BG147,0,IF(BG149,1,-1))</f>
        <v>0</v>
      </c>
      <c r="AP144" s="2274">
        <f>$AN$5</f>
        <v>46022</v>
      </c>
      <c r="AQ144" s="2871">
        <f>IF(BG147,0,IF(BG148,1,-1))</f>
        <v>0</v>
      </c>
      <c r="AR144" s="740" t="str">
        <f>IF(N(AN144=0),"",AR147)</f>
        <v/>
      </c>
      <c r="AS144" s="477"/>
      <c r="AT144" s="481"/>
      <c r="AU144" s="429"/>
      <c r="AV144" s="432"/>
      <c r="AX144" s="1080"/>
      <c r="AY144" s="2726"/>
      <c r="AZ144" s="2805"/>
      <c r="BA144" s="2812"/>
      <c r="BB144" s="2812"/>
      <c r="BC144" s="2813"/>
      <c r="BD144" s="2814"/>
      <c r="BE144" s="2807"/>
      <c r="BF144" s="2745"/>
      <c r="BG144" s="2741"/>
      <c r="BH144" s="1080"/>
      <c r="BI144" s="2778"/>
      <c r="BJ144" s="2939"/>
      <c r="BK144" s="2917"/>
      <c r="BL144" s="2939"/>
      <c r="BM144" s="2887"/>
      <c r="BN144" s="2899"/>
      <c r="BO144" s="2891"/>
      <c r="BP144" s="2889"/>
      <c r="BQ144" s="2892"/>
      <c r="BR144" s="2808"/>
      <c r="BS144" s="2808"/>
      <c r="BT144" s="2808"/>
      <c r="BU144" s="2808"/>
      <c r="BV144" s="2808"/>
      <c r="BW144" s="2808"/>
      <c r="BX144" s="2808"/>
      <c r="BY144" s="2808"/>
      <c r="BZ144" s="2808"/>
      <c r="CA144" s="2808"/>
      <c r="CB144" s="2808"/>
      <c r="CC144" s="2808"/>
      <c r="CD144" s="2808"/>
      <c r="CE144" s="2808"/>
    </row>
    <row r="145" spans="1:83" ht="18">
      <c r="A145" s="2676"/>
      <c r="B145" s="2676"/>
      <c r="C145" s="2676"/>
      <c r="D145" s="2752"/>
      <c r="E145" s="2677"/>
      <c r="F145" s="2726"/>
      <c r="G145" s="2689"/>
      <c r="H145" s="2684"/>
      <c r="I145" s="2691"/>
      <c r="J145" s="2695"/>
      <c r="K145" s="2687"/>
      <c r="L145" s="2685"/>
      <c r="M145" s="2712"/>
      <c r="N145" s="2720"/>
      <c r="O145" s="2721"/>
      <c r="P145" s="2677"/>
      <c r="V145" s="158"/>
      <c r="W145" s="101"/>
      <c r="X145" s="52"/>
      <c r="Y145" s="101"/>
      <c r="Z145" s="126"/>
      <c r="AA145" s="101"/>
      <c r="AB145" s="101"/>
      <c r="AC145" s="39"/>
      <c r="AD145" s="406"/>
      <c r="AE145" s="428"/>
      <c r="AF145" s="439"/>
      <c r="AG145" s="663"/>
      <c r="AH145" s="485"/>
      <c r="AI145" s="742"/>
      <c r="AJ145" s="738"/>
      <c r="AK145" s="738"/>
      <c r="AL145" s="738"/>
      <c r="AM145" s="1176"/>
      <c r="AN145" s="1980"/>
      <c r="AO145" s="454"/>
      <c r="AP145" s="1172"/>
      <c r="AQ145" s="454"/>
      <c r="AR145" s="740"/>
      <c r="AS145" s="477"/>
      <c r="AT145" s="481"/>
      <c r="AU145" s="429"/>
      <c r="AV145" s="432"/>
      <c r="AX145" s="1080"/>
      <c r="AY145" s="2726"/>
      <c r="AZ145" s="2817"/>
      <c r="BA145" s="2804"/>
      <c r="BB145" s="2832"/>
      <c r="BC145" s="2812"/>
      <c r="BD145" s="2806"/>
      <c r="BE145" s="2807"/>
      <c r="BF145" s="2685"/>
      <c r="BG145" s="2689"/>
      <c r="BH145" s="1080"/>
      <c r="BI145" s="2778"/>
      <c r="BJ145" s="2939"/>
      <c r="BK145" s="2926"/>
      <c r="BL145" s="2939"/>
      <c r="BM145" s="2888"/>
      <c r="BN145" s="2899"/>
      <c r="BO145" s="2890"/>
      <c r="BP145" s="2889"/>
      <c r="BQ145" s="2892"/>
      <c r="BR145" s="2808"/>
      <c r="BS145" s="2808"/>
      <c r="BT145" s="2808"/>
      <c r="BU145" s="2808"/>
      <c r="BV145" s="2808"/>
      <c r="BW145" s="2808"/>
      <c r="BX145" s="2808"/>
      <c r="BY145" s="2808"/>
      <c r="BZ145" s="2808"/>
      <c r="CA145" s="2808"/>
      <c r="CB145" s="2808"/>
      <c r="CC145" s="2808"/>
      <c r="CD145" s="2808"/>
      <c r="CE145" s="2808"/>
    </row>
    <row r="146" spans="1:83" ht="17">
      <c r="A146" s="2676"/>
      <c r="B146" s="2787" t="s">
        <v>1876</v>
      </c>
      <c r="C146" s="2676"/>
      <c r="D146" s="2752"/>
      <c r="E146" s="2677"/>
      <c r="F146" s="2726"/>
      <c r="G146" s="2689"/>
      <c r="H146" s="2689"/>
      <c r="I146" s="2689"/>
      <c r="J146" s="2689"/>
      <c r="K146" s="2687"/>
      <c r="L146" s="2685"/>
      <c r="M146" s="2712"/>
      <c r="N146" s="2714"/>
      <c r="O146" s="2714"/>
      <c r="P146" s="2677"/>
      <c r="V146" s="158"/>
      <c r="W146" s="101"/>
      <c r="X146" s="52"/>
      <c r="Y146" s="101"/>
      <c r="Z146" s="126"/>
      <c r="AA146" s="101"/>
      <c r="AB146" s="101"/>
      <c r="AC146" s="39"/>
      <c r="AD146" s="406"/>
      <c r="AE146" s="428"/>
      <c r="AF146" s="439"/>
      <c r="AG146" s="664"/>
      <c r="AH146" s="612"/>
      <c r="AI146" s="1177"/>
      <c r="AJ146" s="2019"/>
      <c r="AK146" s="2020"/>
      <c r="AL146" s="1178"/>
      <c r="AM146" s="1179"/>
      <c r="AN146" s="1981" t="s">
        <v>1791</v>
      </c>
      <c r="AO146" s="1180"/>
      <c r="AP146" s="1180" t="s">
        <v>1792</v>
      </c>
      <c r="AQ146" s="1180"/>
      <c r="AR146" s="1180" t="s">
        <v>1792</v>
      </c>
      <c r="AS146" s="1181"/>
      <c r="AT146" s="2657"/>
      <c r="AU146" s="2655"/>
      <c r="AV146" s="2658"/>
      <c r="AX146" s="1080"/>
      <c r="AY146" s="2726"/>
      <c r="AZ146" s="2805" t="s">
        <v>1784</v>
      </c>
      <c r="BA146" s="2812" t="s">
        <v>431</v>
      </c>
      <c r="BB146" s="2812" t="s">
        <v>1785</v>
      </c>
      <c r="BC146" s="2813" t="s">
        <v>31</v>
      </c>
      <c r="BD146" s="2814" t="s">
        <v>1786</v>
      </c>
      <c r="BE146" s="2807" t="s">
        <v>268</v>
      </c>
      <c r="BF146" s="2780"/>
      <c r="BG146" s="2781"/>
      <c r="BH146" s="1080"/>
      <c r="BI146" s="2778"/>
      <c r="BJ146" s="2939"/>
      <c r="BK146" s="2926"/>
      <c r="BL146" s="2939"/>
      <c r="BM146" s="2888"/>
      <c r="BN146" s="2900"/>
      <c r="BO146" s="2891"/>
      <c r="BP146" s="2889"/>
      <c r="BQ146" s="2892"/>
      <c r="BR146" s="2808"/>
      <c r="BS146" s="2808"/>
      <c r="BT146" s="2808"/>
      <c r="BU146" s="2808"/>
      <c r="BV146" s="2808"/>
      <c r="BW146" s="2808"/>
      <c r="BX146" s="2808"/>
      <c r="BY146" s="2808"/>
      <c r="BZ146" s="2808"/>
      <c r="CA146" s="2808"/>
      <c r="CB146" s="2808"/>
      <c r="CC146" s="2808"/>
      <c r="CD146" s="2808"/>
      <c r="CE146" s="2808"/>
    </row>
    <row r="147" spans="1:83" ht="24.75" customHeight="1">
      <c r="A147" s="2676"/>
      <c r="B147" s="2670" t="s">
        <v>1879</v>
      </c>
      <c r="C147" s="3364" t="s">
        <v>1813</v>
      </c>
      <c r="D147" s="2758" t="e" cm="1">
        <f t="array" ca="1" aca="1" ref="D147">_xldudf_CX_GET(CX_ENTITY,fx_attrConverter(C147),val_asOfDate)</f>
        <v>#NAME?</v>
      </c>
      <c r="E147" s="2677"/>
      <c r="F147" s="2726"/>
      <c r="G147" s="2795" t="e" cm="1">
        <f t="array" ca="1" aca="1" ref="G147">IF(D147="","",_xlfn.TEXTSPLIT(D147,"|","¶",FALSE))</f>
        <v>#NAME?</v>
      </c>
      <c r="H147" s="2795"/>
      <c r="I147" s="2789"/>
      <c r="J147" s="2789"/>
      <c r="K147" s="2790"/>
      <c r="L147" s="2791"/>
      <c r="M147" s="2712"/>
      <c r="N147" s="2735" t="e" vm="10" cm="1">
        <f t="array" ref="N147">_xlfn.LET(_xlpm.cf,AN147:AN157,_xlpm.Res,_xlfn.BYROW(_xlpm.cf,_xlfn.LAMBDA(_xlpm.x,IF(AND(ISNUMBER(_xlpm.x),ISERROR(_xlpm.x)=FALSE),_xlpm.x/SUM(_xlpm.cf),""))),_xlfn._xlws.FILTER(_xlpm.Res,_xlpm.Res&lt;&gt;""))</f>
        <v>#VALUE!</v>
      </c>
      <c r="O147" s="2736" t="e" vm="10" cm="1">
        <f t="array" ref="O147">_xlfn.LET(_xlpm.repay,_xlfn.ANCHORARRAY(N147),_xlpm.date,AP147:AP157,_xlpm.date_,_xlfn._xlws.FILTER(_xlpm.date,_xlpm.date&lt;&gt;""),IF((_xlpm.date_&gt;val_asOfDate),DATEDIF(val_asOfDate,_xlpm.date_,"M")/12,0))</f>
        <v>#VALUE!</v>
      </c>
      <c r="P147" s="2677"/>
      <c r="V147" s="158"/>
      <c r="W147" s="101"/>
      <c r="X147" s="52"/>
      <c r="Y147" s="101"/>
      <c r="Z147" s="126"/>
      <c r="AA147" s="101"/>
      <c r="AB147" s="101"/>
      <c r="AC147" s="39"/>
      <c r="AD147" s="406"/>
      <c r="AE147" s="428"/>
      <c r="AF147" s="439"/>
      <c r="AG147" s="663"/>
      <c r="AH147" s="485"/>
      <c r="AI147" s="630"/>
      <c r="AJ147" s="2021"/>
      <c r="AK147" s="1182"/>
      <c r="AL147" s="1182"/>
      <c r="AM147" s="631"/>
      <c r="AN147" s="1967" t="str">
        <f>IF(K147="","",_xlfn.NUMBERVALUE(K147)/IF($D$8,DebtOverview!fxVal_normal,1))</f>
        <v/>
      </c>
      <c r="AO147" s="632"/>
      <c r="AP147" s="2273" t="str">
        <f t="shared" si="7" ref="AP147:AP157">IF(L147="","",DATEVALUE(TEXT(VALUE(L147),"mmm-yyyy")))</f>
        <v/>
      </c>
      <c r="AQ147" s="641"/>
      <c r="AR147" s="3365">
        <v>0</v>
      </c>
      <c r="AS147" s="633"/>
      <c r="AT147" s="481"/>
      <c r="AU147" s="429"/>
      <c r="AV147" s="432"/>
      <c r="AX147" s="1080"/>
      <c r="AY147" s="2726"/>
      <c r="AZ147" s="2818" t="e" vm="10" cm="1">
        <f t="array" ref="AZ147">_xlfn.LET(_xlpm._amt,AN147:AN157,_xlpm._dates,AP147:AP157,_xlpm.attribute,C147,_xlpm.entity,$AK$149,_xlpm.lookthru,$AK$153,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#VALUE!</v>
      </c>
      <c r="BA147" s="2833"/>
      <c r="BB147" s="2834"/>
      <c r="BC147" s="2835"/>
      <c r="BD147" s="2822"/>
      <c r="BE147" s="2836"/>
      <c r="BF147" s="2685" t="s">
        <v>1956</v>
      </c>
      <c r="BG147" s="3254" t="b" cm="1">
        <f t="array" ref="BG147">AND(OR(AND((AN147:AP157=0),AND(AN147:AP157="")),AN144=0))</f>
        <v>1</v>
      </c>
      <c r="BH147" s="1080"/>
      <c r="BI147" s="2778"/>
      <c r="BJ147" s="2939"/>
      <c r="BK147" s="2922"/>
      <c r="BL147" s="2939"/>
      <c r="BM147" s="2887"/>
      <c r="BN147" s="2899"/>
      <c r="BO147" s="2890"/>
      <c r="BP147" s="2889"/>
      <c r="BQ147" s="2892"/>
      <c r="BR147" s="2808"/>
      <c r="BS147" s="2808"/>
      <c r="BT147" s="2808"/>
      <c r="BU147" s="2808"/>
      <c r="BV147" s="2808"/>
      <c r="BW147" s="2808"/>
      <c r="BX147" s="2808"/>
      <c r="BY147" s="2808"/>
      <c r="BZ147" s="2808"/>
      <c r="CA147" s="2808"/>
      <c r="CB147" s="2808"/>
      <c r="CC147" s="2808"/>
      <c r="CD147" s="2808"/>
      <c r="CE147" s="2808"/>
    </row>
    <row r="148" spans="1:83" ht="24.75" customHeight="1">
      <c r="A148" s="2676"/>
      <c r="B148" s="2670" t="s">
        <v>1870</v>
      </c>
      <c r="C148" s="1677" t="s">
        <v>1813</v>
      </c>
      <c r="D148" s="2758" t="str">
        <f>IF(D149,_xlfn.TEXTJOIN("¶",FALSE,_xlfn.BYROW(_xlfn.ANCHORARRAY(AZ147),_xlfn.LAMBDA(_xlpm.row,_xlfn.TEXTJOIN("|",FALSE,_xlpm.row)))),"")</f>
        <v/>
      </c>
      <c r="E148" s="2677"/>
      <c r="F148" s="2726"/>
      <c r="G148" s="2795"/>
      <c r="H148" s="2795"/>
      <c r="I148" s="2789"/>
      <c r="J148" s="2789"/>
      <c r="K148" s="2790"/>
      <c r="L148" s="2791"/>
      <c r="M148" s="2712"/>
      <c r="N148" s="2730"/>
      <c r="O148" s="2731"/>
      <c r="P148" s="2677"/>
      <c r="V148" s="158"/>
      <c r="W148" s="101"/>
      <c r="X148" s="52"/>
      <c r="Y148" s="101"/>
      <c r="Z148" s="126"/>
      <c r="AA148" s="101"/>
      <c r="AB148" s="101"/>
      <c r="AC148" s="39"/>
      <c r="AD148" s="406"/>
      <c r="AE148" s="428"/>
      <c r="AF148" s="439"/>
      <c r="AG148" s="663"/>
      <c r="AH148" s="485"/>
      <c r="AI148" s="630"/>
      <c r="AJ148" s="2022"/>
      <c r="AK148" s="2022"/>
      <c r="AL148" s="1182"/>
      <c r="AM148" s="631"/>
      <c r="AN148" s="1967" t="str">
        <f>IF(K148="","",_xlfn.NUMBERVALUE(K148)/IF($D$8,DebtOverview!fxVal_normal,1))</f>
        <v/>
      </c>
      <c r="AO148" s="632"/>
      <c r="AP148" s="2273" t="str">
        <f t="shared" si="7"/>
        <v/>
      </c>
      <c r="AQ148" s="641"/>
      <c r="AR148" s="3089"/>
      <c r="AS148" s="633"/>
      <c r="AT148" s="481"/>
      <c r="AU148" s="429"/>
      <c r="AV148" s="432"/>
      <c r="AX148" s="1080"/>
      <c r="AY148" s="2726"/>
      <c r="AZ148" s="2837"/>
      <c r="BA148" s="2838"/>
      <c r="BB148" s="2819"/>
      <c r="BC148" s="2825"/>
      <c r="BD148" s="2822"/>
      <c r="BE148" s="2823"/>
      <c r="BF148" s="2685" t="s">
        <v>1954</v>
      </c>
      <c r="BG148" s="3252" t="b">
        <f>ROWS(_xlfn.ANCHORARRAY(N147))=ROWS(_xlfn.ANCHORARRAY(O147))</f>
        <v>1</v>
      </c>
      <c r="BH148" s="1080"/>
      <c r="BI148" s="2778"/>
      <c r="BJ148" s="2939"/>
      <c r="BK148" s="2918"/>
      <c r="BL148" s="2939"/>
      <c r="BM148" s="2887"/>
      <c r="BN148" s="2899"/>
      <c r="BO148" s="2890"/>
      <c r="BP148" s="2889"/>
      <c r="BQ148" s="2892"/>
      <c r="BR148" s="2808"/>
      <c r="BS148" s="2808"/>
      <c r="BT148" s="2808"/>
      <c r="BU148" s="2808"/>
      <c r="BV148" s="2808"/>
      <c r="BW148" s="2808"/>
      <c r="BX148" s="2808"/>
      <c r="BY148" s="2808"/>
      <c r="BZ148" s="2808"/>
      <c r="CA148" s="2808"/>
      <c r="CB148" s="2808"/>
      <c r="CC148" s="2808"/>
      <c r="CD148" s="2808"/>
      <c r="CE148" s="2808"/>
    </row>
    <row r="149" spans="1:83" ht="24.75" customHeight="1">
      <c r="A149" s="2676"/>
      <c r="B149" s="2670" t="s">
        <v>1864</v>
      </c>
      <c r="C149" s="1677" t="s">
        <v>1813</v>
      </c>
      <c r="D149" s="2755" t="b" cm="1">
        <f t="array" ref="D149">IF(ISERROR(AZ147),FALSE,OR(AZ147:BE147&lt;&gt;""))</f>
        <v>0</v>
      </c>
      <c r="E149" s="2677"/>
      <c r="F149" s="2726"/>
      <c r="G149" s="2795"/>
      <c r="H149" s="2795"/>
      <c r="I149" s="2789"/>
      <c r="J149" s="2789"/>
      <c r="K149" s="2790"/>
      <c r="L149" s="2791"/>
      <c r="M149" s="2712"/>
      <c r="N149" s="2730"/>
      <c r="O149" s="2731"/>
      <c r="P149" s="2677"/>
      <c r="V149" s="158"/>
      <c r="W149" s="101"/>
      <c r="X149" s="52"/>
      <c r="Y149" s="101"/>
      <c r="Z149" s="126"/>
      <c r="AA149" s="101"/>
      <c r="AB149" s="101"/>
      <c r="AC149" s="39"/>
      <c r="AD149" s="406"/>
      <c r="AE149" s="428"/>
      <c r="AF149" s="439"/>
      <c r="AG149" s="663"/>
      <c r="AH149" s="485"/>
      <c r="AI149" s="630"/>
      <c r="AJ149" s="2023" t="s">
        <v>1814</v>
      </c>
      <c r="AK149" s="3366" t="s">
        <v>1815</v>
      </c>
      <c r="AL149" s="1182"/>
      <c r="AM149" s="631"/>
      <c r="AN149" s="1967" t="str">
        <f>IF(K149="","",_xlfn.NUMBERVALUE(K149)/IF($D$8,DebtOverview!fxVal_normal,1))</f>
        <v/>
      </c>
      <c r="AO149" s="632"/>
      <c r="AP149" s="2273" t="str">
        <f t="shared" si="7"/>
        <v/>
      </c>
      <c r="AQ149" s="641"/>
      <c r="AR149" s="3089"/>
      <c r="AS149" s="633"/>
      <c r="AT149" s="481"/>
      <c r="AU149" s="429"/>
      <c r="AV149" s="432"/>
      <c r="AX149" s="1080"/>
      <c r="AY149" s="2726"/>
      <c r="AZ149" s="2839"/>
      <c r="BA149" s="2838"/>
      <c r="BB149" s="2819"/>
      <c r="BC149" s="2825"/>
      <c r="BD149" s="2822"/>
      <c r="BE149" s="2823"/>
      <c r="BF149" s="2685" t="s">
        <v>1955</v>
      </c>
      <c r="BG149" s="3252" t="b" cm="1">
        <f t="array" ref="BG149">(SUM(_xlfn._xlws.FILTER(AN147:AN157,AP147:AP157&gt;=val_asOfDate))-AN144)*DebtOverview!fxVal_normal&lt;1000</f>
        <v>1</v>
      </c>
      <c r="BH149" s="1080"/>
      <c r="BI149" s="2778"/>
      <c r="BJ149" s="2937"/>
      <c r="BK149" s="2921"/>
      <c r="BL149" s="2937"/>
      <c r="BM149" s="2887"/>
      <c r="BN149" s="2899"/>
      <c r="BO149" s="2890"/>
      <c r="BP149" s="2889"/>
      <c r="BQ149" s="2892"/>
      <c r="BR149" s="2808"/>
      <c r="BS149" s="2808"/>
      <c r="BT149" s="2808"/>
      <c r="BU149" s="2808"/>
      <c r="BV149" s="2808"/>
      <c r="BW149" s="2808"/>
      <c r="BX149" s="2808"/>
      <c r="BY149" s="2808"/>
      <c r="BZ149" s="2808"/>
      <c r="CA149" s="2808"/>
      <c r="CB149" s="2808"/>
      <c r="CC149" s="2808"/>
      <c r="CD149" s="2808"/>
      <c r="CE149" s="2808"/>
    </row>
    <row r="150" spans="1:83" ht="24.75" customHeight="1">
      <c r="A150" s="2676"/>
      <c r="B150" s="2670" t="s">
        <v>1867</v>
      </c>
      <c r="C150" s="1677" t="s">
        <v>1813</v>
      </c>
      <c r="D150" s="2755" t="str" cm="1">
        <f t="array" ref="D150">IF(D149,_xldudf_CX_PUSH(D148,CX_ENTITY,fx_attrConverter(C147),val_asOfDate),"No Push")</f>
        <v>No Push</v>
      </c>
      <c r="E150" s="2677"/>
      <c r="F150" s="2726"/>
      <c r="G150" s="2795"/>
      <c r="H150" s="2795"/>
      <c r="I150" s="2789"/>
      <c r="J150" s="2789"/>
      <c r="K150" s="2790"/>
      <c r="L150" s="2791"/>
      <c r="M150" s="2712"/>
      <c r="N150" s="2730"/>
      <c r="O150" s="2732"/>
      <c r="P150" s="2677"/>
      <c r="V150" s="158"/>
      <c r="W150" s="101"/>
      <c r="X150" s="52"/>
      <c r="Y150" s="101"/>
      <c r="Z150" s="126"/>
      <c r="AA150" s="101"/>
      <c r="AB150" s="101"/>
      <c r="AC150" s="39"/>
      <c r="AD150" s="406"/>
      <c r="AE150" s="428"/>
      <c r="AF150" s="439"/>
      <c r="AG150" s="663"/>
      <c r="AH150" s="485"/>
      <c r="AI150" s="630"/>
      <c r="AJ150" s="2024"/>
      <c r="AK150" s="1182"/>
      <c r="AL150" s="1182"/>
      <c r="AM150" s="631"/>
      <c r="AN150" s="1967" t="str">
        <f>IF(K150="","",_xlfn.NUMBERVALUE(K150)/IF($D$8,DebtOverview!fxVal_normal,1))</f>
        <v/>
      </c>
      <c r="AO150" s="1183"/>
      <c r="AP150" s="2273" t="str">
        <f t="shared" si="7"/>
        <v/>
      </c>
      <c r="AQ150" s="641"/>
      <c r="AR150" s="3089"/>
      <c r="AS150" s="633"/>
      <c r="AT150" s="481"/>
      <c r="AU150" s="429"/>
      <c r="AV150" s="432"/>
      <c r="AX150" s="1080"/>
      <c r="AY150" s="2726"/>
      <c r="AZ150" s="2839"/>
      <c r="BA150" s="2840"/>
      <c r="BB150" s="2819"/>
      <c r="BC150" s="2825"/>
      <c r="BD150" s="2822"/>
      <c r="BE150" s="2823"/>
      <c r="BF150" s="2685"/>
      <c r="BG150" s="2696"/>
      <c r="BH150" s="1080"/>
      <c r="BI150" s="2778"/>
      <c r="BJ150" s="2937"/>
      <c r="BK150" s="2921"/>
      <c r="BL150" s="2937"/>
      <c r="BM150" s="2888"/>
      <c r="BN150" s="2899"/>
      <c r="BO150" s="2890"/>
      <c r="BP150" s="2889"/>
      <c r="BQ150" s="2892"/>
      <c r="BR150" s="2808"/>
      <c r="BS150" s="2808"/>
      <c r="BT150" s="2808"/>
      <c r="BU150" s="2808"/>
      <c r="BV150" s="2808"/>
      <c r="BW150" s="2808"/>
      <c r="BX150" s="2808"/>
      <c r="BY150" s="2808"/>
      <c r="BZ150" s="2808"/>
      <c r="CA150" s="2808"/>
      <c r="CB150" s="2808"/>
      <c r="CC150" s="2808"/>
      <c r="CD150" s="2808"/>
      <c r="CE150" s="2808"/>
    </row>
    <row r="151" spans="1:83" ht="24.75" customHeight="1">
      <c r="A151" s="2676"/>
      <c r="B151" s="2670" t="s">
        <v>1867</v>
      </c>
      <c r="C151" s="1677" t="s">
        <v>1813</v>
      </c>
      <c r="D151" s="2755" t="str" cm="1">
        <f t="array" ref="D151">IF(D149,_xldudf_CX_PUSH(D148,CX_ENTITY,fx_attrConverter(C147),EOMONTH(val_asOfDate,3)),"No Push")</f>
        <v>No Push</v>
      </c>
      <c r="E151" s="2677"/>
      <c r="F151" s="2726"/>
      <c r="G151" s="2795"/>
      <c r="H151" s="2795"/>
      <c r="I151" s="2789"/>
      <c r="J151" s="2789"/>
      <c r="K151" s="2790"/>
      <c r="L151" s="2791"/>
      <c r="M151" s="2712"/>
      <c r="N151" s="2730"/>
      <c r="O151" s="2732"/>
      <c r="P151" s="2677"/>
      <c r="V151" s="158"/>
      <c r="W151" s="101"/>
      <c r="X151" s="52"/>
      <c r="Y151" s="101"/>
      <c r="Z151" s="126"/>
      <c r="AA151" s="101"/>
      <c r="AB151" s="101"/>
      <c r="AC151" s="39"/>
      <c r="AD151" s="406"/>
      <c r="AE151" s="428"/>
      <c r="AF151" s="723"/>
      <c r="AG151" s="663"/>
      <c r="AH151" s="724"/>
      <c r="AI151" s="630"/>
      <c r="AJ151" s="2024"/>
      <c r="AK151" s="1182"/>
      <c r="AL151" s="1182"/>
      <c r="AM151" s="631"/>
      <c r="AN151" s="1967" t="str">
        <f>IF(K151="","",_xlfn.NUMBERVALUE(K151)/IF($D$8,DebtOverview!fxVal_normal,1))</f>
        <v/>
      </c>
      <c r="AO151" s="1183"/>
      <c r="AP151" s="2273" t="str">
        <f t="shared" si="7"/>
        <v/>
      </c>
      <c r="AQ151" s="641"/>
      <c r="AR151" s="3089"/>
      <c r="AS151" s="633"/>
      <c r="AT151" s="725"/>
      <c r="AU151" s="726"/>
      <c r="AV151" s="727"/>
      <c r="AX151" s="1080"/>
      <c r="AY151" s="2726"/>
      <c r="AZ151" s="2839"/>
      <c r="BA151" s="2840"/>
      <c r="BB151" s="2819"/>
      <c r="BC151" s="2825"/>
      <c r="BD151" s="2822"/>
      <c r="BE151" s="2823"/>
      <c r="BF151" s="2685"/>
      <c r="BG151" s="2696"/>
      <c r="BH151" s="1080"/>
      <c r="BI151" s="2778"/>
      <c r="BJ151" s="2937"/>
      <c r="BK151" s="2921"/>
      <c r="BL151" s="2937"/>
      <c r="BM151" s="2888"/>
      <c r="BN151" s="2899"/>
      <c r="BO151" s="2890"/>
      <c r="BP151" s="2889"/>
      <c r="BQ151" s="2892"/>
      <c r="BR151" s="2808"/>
      <c r="BS151" s="2808"/>
      <c r="BT151" s="2808"/>
      <c r="BU151" s="2808"/>
      <c r="BV151" s="2808"/>
      <c r="BW151" s="2808"/>
      <c r="BX151" s="2808"/>
      <c r="BY151" s="2808"/>
      <c r="BZ151" s="2808"/>
      <c r="CA151" s="2808"/>
      <c r="CB151" s="2808"/>
      <c r="CC151" s="2808"/>
      <c r="CD151" s="2808"/>
      <c r="CE151" s="2808"/>
    </row>
    <row r="152" spans="1:83" ht="24.75" customHeight="1">
      <c r="A152" s="2676"/>
      <c r="B152" s="2670" t="s">
        <v>1867</v>
      </c>
      <c r="C152" s="1677" t="s">
        <v>1813</v>
      </c>
      <c r="D152" s="2755" t="str" cm="1">
        <f t="array" ref="D152">IF(D149,_xldudf_CX_PUSH(D148,CX_ENTITY,fx_attrConverter(C147),EOMONTH(val_asOfDate,2)),"No Push")</f>
        <v>No Push</v>
      </c>
      <c r="E152" s="2677"/>
      <c r="F152" s="2726"/>
      <c r="G152" s="2795"/>
      <c r="H152" s="2795"/>
      <c r="I152" s="2789"/>
      <c r="J152" s="2789"/>
      <c r="K152" s="2790"/>
      <c r="L152" s="2791"/>
      <c r="M152" s="2712"/>
      <c r="N152" s="2730"/>
      <c r="O152" s="2732"/>
      <c r="P152" s="2677"/>
      <c r="V152" s="158"/>
      <c r="W152" s="101"/>
      <c r="X152" s="52"/>
      <c r="Y152" s="101"/>
      <c r="Z152" s="126"/>
      <c r="AA152" s="101"/>
      <c r="AB152" s="101"/>
      <c r="AC152" s="39"/>
      <c r="AD152" s="406"/>
      <c r="AE152" s="428"/>
      <c r="AF152" s="723"/>
      <c r="AG152" s="663"/>
      <c r="AH152" s="724"/>
      <c r="AI152" s="630"/>
      <c r="AJ152" s="2022"/>
      <c r="AK152" s="2022"/>
      <c r="AL152" s="1182"/>
      <c r="AM152" s="631"/>
      <c r="AN152" s="1967" t="str">
        <f>IF(K152="","",_xlfn.NUMBERVALUE(K152)/IF($D$8,DebtOverview!fxVal_normal,1))</f>
        <v/>
      </c>
      <c r="AO152" s="1183"/>
      <c r="AP152" s="2273" t="str">
        <f t="shared" si="7"/>
        <v/>
      </c>
      <c r="AQ152" s="641"/>
      <c r="AR152" s="3090"/>
      <c r="AS152" s="633"/>
      <c r="AT152" s="725"/>
      <c r="AU152" s="726"/>
      <c r="AV152" s="727"/>
      <c r="AX152" s="1080"/>
      <c r="AY152" s="2726"/>
      <c r="AZ152" s="2839"/>
      <c r="BA152" s="2840"/>
      <c r="BB152" s="2819"/>
      <c r="BC152" s="2825"/>
      <c r="BD152" s="2822"/>
      <c r="BE152" s="2823"/>
      <c r="BF152" s="2685"/>
      <c r="BG152" s="2696"/>
      <c r="BH152" s="1080"/>
      <c r="BI152" s="2778"/>
      <c r="BJ152" s="2937"/>
      <c r="BK152" s="2921"/>
      <c r="BL152" s="2937"/>
      <c r="BM152" s="2888"/>
      <c r="BN152" s="2899"/>
      <c r="BO152" s="2890"/>
      <c r="BP152" s="2889"/>
      <c r="BQ152" s="2892"/>
      <c r="BR152" s="2808"/>
      <c r="BS152" s="2808"/>
      <c r="BT152" s="2808"/>
      <c r="BU152" s="2808"/>
      <c r="BV152" s="2808"/>
      <c r="BW152" s="2808"/>
      <c r="BX152" s="2808"/>
      <c r="BY152" s="2808"/>
      <c r="BZ152" s="2808"/>
      <c r="CA152" s="2808"/>
      <c r="CB152" s="2808"/>
      <c r="CC152" s="2808"/>
      <c r="CD152" s="2808"/>
      <c r="CE152" s="2808"/>
    </row>
    <row r="153" spans="1:83" ht="24.75" customHeight="1">
      <c r="A153" s="2676"/>
      <c r="B153" s="2670" t="s">
        <v>1867</v>
      </c>
      <c r="C153" s="1677" t="s">
        <v>1813</v>
      </c>
      <c r="D153" s="2755" t="str" cm="1">
        <f t="array" ref="D153">IF(D149,_xldudf_CX_PUSH(D148,CX_ENTITY,fx_attrConverter(C147),EOMONTH(val_asOfDate,13)),"No Push")</f>
        <v>No Push</v>
      </c>
      <c r="E153" s="2677"/>
      <c r="F153" s="2726"/>
      <c r="G153" s="2795"/>
      <c r="H153" s="2795"/>
      <c r="I153" s="2789"/>
      <c r="J153" s="2789"/>
      <c r="K153" s="2790"/>
      <c r="L153" s="2791"/>
      <c r="M153" s="2712"/>
      <c r="N153" s="2730"/>
      <c r="O153" s="2732"/>
      <c r="P153" s="2677"/>
      <c r="V153" s="158"/>
      <c r="W153" s="101"/>
      <c r="X153" s="52"/>
      <c r="Y153" s="101"/>
      <c r="Z153" s="126"/>
      <c r="AA153" s="101"/>
      <c r="AB153" s="101"/>
      <c r="AC153" s="39"/>
      <c r="AD153" s="406"/>
      <c r="AE153" s="428"/>
      <c r="AF153" s="439"/>
      <c r="AG153" s="660"/>
      <c r="AH153" s="612"/>
      <c r="AI153" s="630"/>
      <c r="AJ153" s="2023" t="s">
        <v>1816</v>
      </c>
      <c r="AK153" s="2793">
        <f>I147</f>
        <v>0</v>
      </c>
      <c r="AL153" s="1182"/>
      <c r="AM153" s="631"/>
      <c r="AN153" s="1967" t="str">
        <f>IF(K153="","",_xlfn.NUMBERVALUE(K153)/IF($D$8,DebtOverview!fxVal_normal,1))</f>
        <v/>
      </c>
      <c r="AO153" s="1183"/>
      <c r="AP153" s="2273" t="str">
        <f t="shared" si="7"/>
        <v/>
      </c>
      <c r="AQ153" s="641"/>
      <c r="AR153" s="3090"/>
      <c r="AS153" s="633"/>
      <c r="AT153" s="2657"/>
      <c r="AU153" s="2655"/>
      <c r="AV153" s="2658"/>
      <c r="AX153" s="1080"/>
      <c r="AY153" s="2726"/>
      <c r="AZ153" s="2839"/>
      <c r="BA153" s="2826"/>
      <c r="BB153" s="2841"/>
      <c r="BC153" s="2825"/>
      <c r="BD153" s="2822"/>
      <c r="BE153" s="2823"/>
      <c r="BF153" s="2685"/>
      <c r="BG153" s="2696"/>
      <c r="BH153" s="1080"/>
      <c r="BI153" s="2778"/>
      <c r="BJ153" s="2937"/>
      <c r="BK153" s="2921"/>
      <c r="BL153" s="2937"/>
      <c r="BM153" s="2888"/>
      <c r="BN153" s="2899"/>
      <c r="BO153" s="2890"/>
      <c r="BP153" s="2889"/>
      <c r="BQ153" s="2892"/>
      <c r="BR153" s="2808"/>
      <c r="BS153" s="2808"/>
      <c r="BT153" s="2808"/>
      <c r="BU153" s="2808"/>
      <c r="BV153" s="2808"/>
      <c r="BW153" s="2808"/>
      <c r="BX153" s="2808"/>
      <c r="BY153" s="2808"/>
      <c r="BZ153" s="2808"/>
      <c r="CA153" s="2808"/>
      <c r="CB153" s="2808"/>
      <c r="CC153" s="2808"/>
      <c r="CD153" s="2808"/>
      <c r="CE153" s="2808"/>
    </row>
    <row r="154" spans="1:83" ht="24.75" customHeight="1">
      <c r="A154" s="2676"/>
      <c r="B154" s="2672"/>
      <c r="C154" s="1919"/>
      <c r="D154" s="2757"/>
      <c r="E154" s="2677"/>
      <c r="F154" s="2726"/>
      <c r="G154" s="2795"/>
      <c r="H154" s="2795"/>
      <c r="I154" s="2789"/>
      <c r="J154" s="2789"/>
      <c r="K154" s="2790"/>
      <c r="L154" s="2791"/>
      <c r="M154" s="2712"/>
      <c r="N154" s="2730"/>
      <c r="O154" s="2731"/>
      <c r="P154" s="2677"/>
      <c r="V154" s="158"/>
      <c r="W154" s="101"/>
      <c r="X154" s="52"/>
      <c r="Y154" s="101"/>
      <c r="Z154" s="126"/>
      <c r="AA154" s="101"/>
      <c r="AB154" s="101"/>
      <c r="AC154" s="39"/>
      <c r="AD154" s="406"/>
      <c r="AE154" s="428"/>
      <c r="AF154" s="439"/>
      <c r="AG154" s="661"/>
      <c r="AH154" s="485"/>
      <c r="AI154" s="630"/>
      <c r="AJ154" s="2025"/>
      <c r="AK154" s="1182"/>
      <c r="AL154" s="1182"/>
      <c r="AM154" s="631"/>
      <c r="AN154" s="1967" t="str">
        <f>IF(K154="","",_xlfn.NUMBERVALUE(K154)/IF($D$8,DebtOverview!fxVal_normal,1))</f>
        <v/>
      </c>
      <c r="AO154" s="632"/>
      <c r="AP154" s="2273" t="str">
        <f t="shared" si="7"/>
        <v/>
      </c>
      <c r="AQ154" s="641"/>
      <c r="AR154" s="3090"/>
      <c r="AS154" s="633"/>
      <c r="AT154" s="481"/>
      <c r="AU154" s="429"/>
      <c r="AV154" s="432"/>
      <c r="AX154" s="1080"/>
      <c r="AY154" s="2726"/>
      <c r="AZ154" s="2839"/>
      <c r="BA154" s="2838"/>
      <c r="BB154" s="2819"/>
      <c r="BC154" s="2825"/>
      <c r="BD154" s="2822"/>
      <c r="BE154" s="2823"/>
      <c r="BF154" s="2685"/>
      <c r="BG154" s="2696"/>
      <c r="BH154" s="1080"/>
      <c r="BI154" s="2778"/>
      <c r="BJ154" s="2937"/>
      <c r="BK154" s="2921"/>
      <c r="BL154" s="2937"/>
      <c r="BM154" s="2887"/>
      <c r="BN154" s="2899"/>
      <c r="BO154" s="2890"/>
      <c r="BP154" s="2889"/>
      <c r="BQ154" s="2892"/>
      <c r="BR154" s="2808"/>
      <c r="BS154" s="2808"/>
      <c r="BT154" s="2808"/>
      <c r="BU154" s="2808"/>
      <c r="BV154" s="2808"/>
      <c r="BW154" s="2808"/>
      <c r="BX154" s="2808"/>
      <c r="BY154" s="2808"/>
      <c r="BZ154" s="2808"/>
      <c r="CA154" s="2808"/>
      <c r="CB154" s="2808"/>
      <c r="CC154" s="2808"/>
      <c r="CD154" s="2808"/>
      <c r="CE154" s="2808"/>
    </row>
    <row r="155" spans="1:83" ht="24.75" customHeight="1">
      <c r="A155" s="2676"/>
      <c r="B155" s="2672"/>
      <c r="C155" s="1919"/>
      <c r="D155" s="2757"/>
      <c r="E155" s="2677"/>
      <c r="F155" s="2726"/>
      <c r="G155" s="2795"/>
      <c r="H155" s="2795"/>
      <c r="I155" s="2789"/>
      <c r="J155" s="2789"/>
      <c r="K155" s="2790"/>
      <c r="L155" s="2791"/>
      <c r="M155" s="2712"/>
      <c r="N155" s="2730"/>
      <c r="O155" s="2731"/>
      <c r="P155" s="2677"/>
      <c r="V155" s="158"/>
      <c r="W155" s="101"/>
      <c r="X155" s="52"/>
      <c r="Y155" s="101"/>
      <c r="Z155" s="126"/>
      <c r="AA155" s="101"/>
      <c r="AB155" s="101"/>
      <c r="AC155" s="39"/>
      <c r="AD155" s="406"/>
      <c r="AE155" s="428"/>
      <c r="AF155" s="439"/>
      <c r="AG155" s="661"/>
      <c r="AH155" s="485"/>
      <c r="AI155" s="630"/>
      <c r="AJ155" s="2024"/>
      <c r="AK155" s="1182"/>
      <c r="AL155" s="1182"/>
      <c r="AM155" s="631"/>
      <c r="AN155" s="1967" t="str">
        <f>IF(K155="","",_xlfn.NUMBERVALUE(K155)/IF($D$8,DebtOverview!fxVal_normal,1))</f>
        <v/>
      </c>
      <c r="AO155" s="632"/>
      <c r="AP155" s="2273" t="str">
        <f t="shared" si="7"/>
        <v/>
      </c>
      <c r="AQ155" s="641"/>
      <c r="AR155" s="3090"/>
      <c r="AS155" s="633"/>
      <c r="AT155" s="481"/>
      <c r="AU155" s="429"/>
      <c r="AV155" s="432"/>
      <c r="AX155" s="1080"/>
      <c r="AY155" s="2726"/>
      <c r="AZ155" s="2839"/>
      <c r="BA155" s="2838"/>
      <c r="BB155" s="2819"/>
      <c r="BC155" s="2825"/>
      <c r="BD155" s="2822"/>
      <c r="BE155" s="2823"/>
      <c r="BF155" s="2685"/>
      <c r="BG155" s="2696"/>
      <c r="BH155" s="1080"/>
      <c r="BI155" s="2778"/>
      <c r="BJ155" s="2937"/>
      <c r="BK155" s="2921"/>
      <c r="BL155" s="2937"/>
      <c r="BM155" s="2887"/>
      <c r="BN155" s="2899"/>
      <c r="BO155" s="2890"/>
      <c r="BP155" s="2889"/>
      <c r="BQ155" s="2892"/>
      <c r="BR155" s="2808"/>
      <c r="BS155" s="2808"/>
      <c r="BT155" s="2808"/>
      <c r="BU155" s="2808"/>
      <c r="BV155" s="2808"/>
      <c r="BW155" s="2808"/>
      <c r="BX155" s="2808"/>
      <c r="BY155" s="2808"/>
      <c r="BZ155" s="2808"/>
      <c r="CA155" s="2808"/>
      <c r="CB155" s="2808"/>
      <c r="CC155" s="2808"/>
      <c r="CD155" s="2808"/>
      <c r="CE155" s="2808"/>
    </row>
    <row r="156" spans="1:83" ht="24.75" customHeight="1">
      <c r="A156" s="2676"/>
      <c r="B156" s="2672"/>
      <c r="C156" s="1919"/>
      <c r="D156" s="2757"/>
      <c r="E156" s="2677"/>
      <c r="F156" s="2726"/>
      <c r="G156" s="2795"/>
      <c r="H156" s="2795"/>
      <c r="I156" s="2789"/>
      <c r="J156" s="2789"/>
      <c r="K156" s="2790"/>
      <c r="L156" s="2791"/>
      <c r="M156" s="2712"/>
      <c r="N156" s="2730"/>
      <c r="O156" s="2731"/>
      <c r="P156" s="2677"/>
      <c r="V156" s="158"/>
      <c r="W156" s="101"/>
      <c r="X156" s="52"/>
      <c r="Y156" s="101"/>
      <c r="Z156" s="126"/>
      <c r="AA156" s="101"/>
      <c r="AB156" s="101"/>
      <c r="AC156" s="39"/>
      <c r="AD156" s="406"/>
      <c r="AE156" s="428"/>
      <c r="AF156" s="439"/>
      <c r="AG156" s="661"/>
      <c r="AH156" s="485"/>
      <c r="AI156" s="630"/>
      <c r="AJ156" s="2025"/>
      <c r="AK156" s="1182"/>
      <c r="AL156" s="1182"/>
      <c r="AM156" s="631"/>
      <c r="AN156" s="1967" t="str">
        <f>IF(K156="","",_xlfn.NUMBERVALUE(K156)/IF($D$8,DebtOverview!fxVal_normal,1))</f>
        <v/>
      </c>
      <c r="AO156" s="632"/>
      <c r="AP156" s="2273" t="str">
        <f t="shared" si="7"/>
        <v/>
      </c>
      <c r="AQ156" s="641"/>
      <c r="AR156" s="3090"/>
      <c r="AS156" s="633"/>
      <c r="AT156" s="481"/>
      <c r="AU156" s="429"/>
      <c r="AV156" s="432"/>
      <c r="AX156" s="1080"/>
      <c r="AY156" s="2726"/>
      <c r="AZ156" s="2839"/>
      <c r="BA156" s="2838"/>
      <c r="BB156" s="2819"/>
      <c r="BC156" s="2825"/>
      <c r="BD156" s="2822"/>
      <c r="BE156" s="2823"/>
      <c r="BF156" s="2685"/>
      <c r="BG156" s="2696"/>
      <c r="BH156" s="1080"/>
      <c r="BI156" s="2778"/>
      <c r="BJ156" s="2937"/>
      <c r="BK156" s="2921"/>
      <c r="BL156" s="2937"/>
      <c r="BM156" s="2887"/>
      <c r="BN156" s="2899"/>
      <c r="BO156" s="2890"/>
      <c r="BP156" s="2889"/>
      <c r="BQ156" s="2892"/>
      <c r="BR156" s="2808"/>
      <c r="BS156" s="2808"/>
      <c r="BT156" s="2808"/>
      <c r="BU156" s="2808"/>
      <c r="BV156" s="2808"/>
      <c r="BW156" s="2808"/>
      <c r="BX156" s="2808"/>
      <c r="BY156" s="2808"/>
      <c r="BZ156" s="2808"/>
      <c r="CA156" s="2808"/>
      <c r="CB156" s="2808"/>
      <c r="CC156" s="2808"/>
      <c r="CD156" s="2808"/>
      <c r="CE156" s="2808"/>
    </row>
    <row r="157" spans="1:83" ht="24.75" customHeight="1">
      <c r="A157" s="2676"/>
      <c r="B157" s="2672"/>
      <c r="C157" s="1919"/>
      <c r="D157" s="2757"/>
      <c r="E157" s="2677"/>
      <c r="F157" s="2726"/>
      <c r="G157" s="2795"/>
      <c r="H157" s="2795"/>
      <c r="I157" s="2789"/>
      <c r="J157" s="2789"/>
      <c r="K157" s="2790"/>
      <c r="L157" s="2791"/>
      <c r="M157" s="2712"/>
      <c r="N157" s="2768"/>
      <c r="O157" s="2732"/>
      <c r="P157" s="2677"/>
      <c r="V157" s="158"/>
      <c r="W157" s="101"/>
      <c r="X157" s="52"/>
      <c r="Y157" s="101"/>
      <c r="Z157" s="126"/>
      <c r="AA157" s="101"/>
      <c r="AB157" s="101"/>
      <c r="AC157" s="39"/>
      <c r="AD157" s="406"/>
      <c r="AE157" s="428"/>
      <c r="AF157" s="439"/>
      <c r="AG157" s="661"/>
      <c r="AH157" s="485"/>
      <c r="AI157" s="630"/>
      <c r="AJ157" s="2022"/>
      <c r="AK157" s="2022"/>
      <c r="AL157" s="1173"/>
      <c r="AM157" s="1174"/>
      <c r="AN157" s="1967" t="str">
        <f>IF(K157="","",_xlfn.NUMBERVALUE(K157)/IF($D$8,DebtOverview!fxVal_normal,1))</f>
        <v/>
      </c>
      <c r="AO157" s="640"/>
      <c r="AP157" s="2273" t="str">
        <f t="shared" si="7"/>
        <v/>
      </c>
      <c r="AQ157" s="1175"/>
      <c r="AR157" s="1175"/>
      <c r="AS157" s="633"/>
      <c r="AT157" s="481"/>
      <c r="AU157" s="429"/>
      <c r="AV157" s="432"/>
      <c r="AX157" s="1080"/>
      <c r="AY157" s="2726"/>
      <c r="AZ157" s="2839"/>
      <c r="BA157" s="2826"/>
      <c r="BB157" s="2819"/>
      <c r="BC157" s="2825"/>
      <c r="BD157" s="2822"/>
      <c r="BE157" s="2823"/>
      <c r="BF157" s="2685"/>
      <c r="BG157" s="2696"/>
      <c r="BH157" s="1080"/>
      <c r="BI157" s="2778"/>
      <c r="BJ157" s="2937"/>
      <c r="BK157" s="2921"/>
      <c r="BL157" s="2937"/>
      <c r="BM157" s="2887"/>
      <c r="BN157" s="2899"/>
      <c r="BO157" s="2890"/>
      <c r="BP157" s="2889"/>
      <c r="BQ157" s="2892"/>
      <c r="BR157" s="2808"/>
      <c r="BS157" s="2808"/>
      <c r="BT157" s="2808"/>
      <c r="BU157" s="2808"/>
      <c r="BV157" s="2808"/>
      <c r="BW157" s="2808"/>
      <c r="BX157" s="2808"/>
      <c r="BY157" s="2808"/>
      <c r="BZ157" s="2808"/>
      <c r="CA157" s="2808"/>
      <c r="CB157" s="2808"/>
      <c r="CC157" s="2808"/>
      <c r="CD157" s="2808"/>
      <c r="CE157" s="2808"/>
    </row>
    <row r="158" spans="1:83" ht="15.5">
      <c r="A158" s="2676"/>
      <c r="B158" s="2670"/>
      <c r="C158" s="1913"/>
      <c r="D158" s="2752"/>
      <c r="E158" s="2677"/>
      <c r="F158" s="2726"/>
      <c r="G158" s="2689"/>
      <c r="H158" s="2689"/>
      <c r="I158" s="2691"/>
      <c r="J158" s="2695"/>
      <c r="K158" s="2687"/>
      <c r="L158" s="2685"/>
      <c r="M158" s="2712"/>
      <c r="N158" s="2713"/>
      <c r="O158" s="2717"/>
      <c r="P158" s="2677"/>
      <c r="V158" s="158"/>
      <c r="W158" s="101"/>
      <c r="X158" s="52"/>
      <c r="Y158" s="101"/>
      <c r="Z158" s="126"/>
      <c r="AA158" s="101"/>
      <c r="AB158" s="101"/>
      <c r="AC158" s="39"/>
      <c r="AD158" s="406"/>
      <c r="AE158" s="428"/>
      <c r="AF158" s="439"/>
      <c r="AG158" s="661"/>
      <c r="AH158" s="485"/>
      <c r="AI158" s="1185"/>
      <c r="AJ158" s="2026"/>
      <c r="AK158" s="2026"/>
      <c r="AL158" s="634"/>
      <c r="AM158" s="635"/>
      <c r="AN158" s="1538"/>
      <c r="AO158" s="635"/>
      <c r="AP158" s="635"/>
      <c r="AQ158" s="636"/>
      <c r="AR158" s="636"/>
      <c r="AS158" s="637"/>
      <c r="AT158" s="481"/>
      <c r="AU158" s="429"/>
      <c r="AV158" s="432"/>
      <c r="AX158" s="1080"/>
      <c r="AY158" s="2726"/>
      <c r="AZ158" s="2817"/>
      <c r="BA158" s="2817"/>
      <c r="BB158" s="2832"/>
      <c r="BC158" s="2812"/>
      <c r="BD158" s="2806"/>
      <c r="BE158" s="2807"/>
      <c r="BF158" s="2685"/>
      <c r="BG158" s="2689"/>
      <c r="BH158" s="1080"/>
      <c r="BI158" s="2778"/>
      <c r="BJ158" s="2937"/>
      <c r="BK158" s="2921"/>
      <c r="BL158" s="2937"/>
      <c r="BM158" s="2887"/>
      <c r="BN158" s="2899"/>
      <c r="BO158" s="2890"/>
      <c r="BP158" s="2889"/>
      <c r="BQ158" s="2892"/>
      <c r="BR158" s="2808"/>
      <c r="BS158" s="2808"/>
      <c r="BT158" s="2808"/>
      <c r="BU158" s="2808"/>
      <c r="BV158" s="2808"/>
      <c r="BW158" s="2808"/>
      <c r="BX158" s="2808"/>
      <c r="BY158" s="2808"/>
      <c r="BZ158" s="2808"/>
      <c r="CA158" s="2808"/>
      <c r="CB158" s="2808"/>
      <c r="CC158" s="2808"/>
      <c r="CD158" s="2808"/>
      <c r="CE158" s="2808"/>
    </row>
    <row r="159" spans="1:83" ht="17.5">
      <c r="A159" s="2676"/>
      <c r="B159" s="2673"/>
      <c r="C159" s="1920"/>
      <c r="D159" s="2757"/>
      <c r="E159" s="2677"/>
      <c r="F159" s="2726"/>
      <c r="G159" s="2696"/>
      <c r="H159" s="2689"/>
      <c r="I159" s="2691"/>
      <c r="J159" s="2695"/>
      <c r="K159" s="2687"/>
      <c r="L159" s="2685"/>
      <c r="M159" s="2712"/>
      <c r="N159" s="2713"/>
      <c r="O159" s="2717"/>
      <c r="P159" s="2677"/>
      <c r="V159" s="158"/>
      <c r="W159" s="101"/>
      <c r="X159" s="52"/>
      <c r="Y159" s="101"/>
      <c r="Z159" s="126"/>
      <c r="AA159" s="101"/>
      <c r="AB159" s="101"/>
      <c r="AC159" s="39"/>
      <c r="AD159" s="406"/>
      <c r="AE159" s="428"/>
      <c r="AF159" s="439"/>
      <c r="AG159" s="661"/>
      <c r="AH159" s="453"/>
      <c r="AI159" s="2650"/>
      <c r="AJ159" s="2011"/>
      <c r="AK159" s="2011"/>
      <c r="AL159" s="475"/>
      <c r="AM159" s="429"/>
      <c r="AN159" s="1975"/>
      <c r="AO159" s="476"/>
      <c r="AP159" s="477"/>
      <c r="AQ159" s="477"/>
      <c r="AR159" s="478"/>
      <c r="AS159" s="477"/>
      <c r="AT159" s="481"/>
      <c r="AU159" s="429"/>
      <c r="AV159" s="432"/>
      <c r="AX159" s="1080"/>
      <c r="AY159" s="2726"/>
      <c r="AZ159" s="2842"/>
      <c r="BA159" s="2817"/>
      <c r="BB159" s="2832"/>
      <c r="BC159" s="2812"/>
      <c r="BD159" s="2806"/>
      <c r="BE159" s="2807"/>
      <c r="BF159" s="2685"/>
      <c r="BG159" s="2696"/>
      <c r="BH159" s="1080"/>
      <c r="BI159" s="2778"/>
      <c r="BJ159" s="2937"/>
      <c r="BK159" s="2921"/>
      <c r="BL159" s="2937"/>
      <c r="BM159" s="2887"/>
      <c r="BN159" s="2899"/>
      <c r="BO159" s="2890"/>
      <c r="BP159" s="2889"/>
      <c r="BQ159" s="2892"/>
      <c r="BR159" s="2808"/>
      <c r="BS159" s="2808"/>
      <c r="BT159" s="2808"/>
      <c r="BU159" s="2808"/>
      <c r="BV159" s="2808"/>
      <c r="BW159" s="2808"/>
      <c r="BX159" s="2808"/>
      <c r="BY159" s="2808"/>
      <c r="BZ159" s="2808"/>
      <c r="CA159" s="2808"/>
      <c r="CB159" s="2808"/>
      <c r="CC159" s="2808"/>
      <c r="CD159" s="2808"/>
      <c r="CE159" s="2808"/>
    </row>
    <row r="160" spans="1:83" ht="25">
      <c r="A160" s="2676" t="s">
        <v>22</v>
      </c>
      <c r="B160" s="2670"/>
      <c r="C160" s="1677"/>
      <c r="D160" s="2757"/>
      <c r="E160" s="2677"/>
      <c r="F160" s="2726"/>
      <c r="G160" s="2684"/>
      <c r="H160" s="2684"/>
      <c r="I160" s="2691"/>
      <c r="J160" s="2695"/>
      <c r="K160" s="2687"/>
      <c r="L160" s="2685"/>
      <c r="M160" s="2715"/>
      <c r="N160" s="2720"/>
      <c r="O160" s="2721"/>
      <c r="P160" s="2677"/>
      <c r="V160" s="158"/>
      <c r="W160" s="101"/>
      <c r="X160" s="288"/>
      <c r="Y160" s="288"/>
      <c r="Z160" s="126"/>
      <c r="AA160" s="101"/>
      <c r="AB160" s="101"/>
      <c r="AC160" s="39"/>
      <c r="AD160" s="406"/>
      <c r="AE160" s="428"/>
      <c r="AF160" s="439"/>
      <c r="AG160" s="661"/>
      <c r="AH160" s="453"/>
      <c r="AI160" s="534" t="s">
        <v>1817</v>
      </c>
      <c r="AJ160" s="738"/>
      <c r="AK160" s="738"/>
      <c r="AL160" s="738"/>
      <c r="AM160" s="482"/>
      <c r="AN160" s="1980"/>
      <c r="AO160" s="454"/>
      <c r="AP160" s="739"/>
      <c r="AQ160" s="454"/>
      <c r="AR160" s="437"/>
      <c r="AS160" s="477"/>
      <c r="AT160" s="448"/>
      <c r="AU160" s="429"/>
      <c r="AV160" s="432"/>
      <c r="AX160" s="1080"/>
      <c r="AY160" s="2726"/>
      <c r="AZ160" s="2804"/>
      <c r="BA160" s="2804"/>
      <c r="BB160" s="2832"/>
      <c r="BC160" s="2812"/>
      <c r="BD160" s="2806"/>
      <c r="BE160" s="2807"/>
      <c r="BF160" s="2685"/>
      <c r="BG160" s="2684"/>
      <c r="BH160" s="1080"/>
      <c r="BI160" s="2778"/>
      <c r="BJ160" s="2937"/>
      <c r="BK160" s="2921"/>
      <c r="BL160" s="2937"/>
      <c r="BM160" s="2887"/>
      <c r="BN160" s="2899"/>
      <c r="BO160" s="2890"/>
      <c r="BP160" s="2889"/>
      <c r="BQ160" s="2892"/>
      <c r="BR160" s="2808"/>
      <c r="BS160" s="2808"/>
      <c r="BT160" s="2808"/>
      <c r="BU160" s="2808"/>
      <c r="BV160" s="2808"/>
      <c r="BW160" s="2808"/>
      <c r="BX160" s="2808"/>
      <c r="BY160" s="2808"/>
      <c r="BZ160" s="2808"/>
      <c r="CA160" s="2808"/>
      <c r="CB160" s="2808"/>
      <c r="CC160" s="2808"/>
      <c r="CD160" s="2808"/>
      <c r="CE160" s="2808"/>
    </row>
    <row r="161" spans="1:83" ht="18">
      <c r="A161" s="2676"/>
      <c r="B161" s="2787" t="s">
        <v>1875</v>
      </c>
      <c r="C161" s="3367" t="s">
        <v>1818</v>
      </c>
      <c r="D161" s="2759" t="e" cm="1">
        <f t="array" ca="1" aca="1" ref="D161">_xldudf_CX_PUSH(AN161*DebtOverview!fxVal_normal,CX_ENTITY,fx_attrConverter(C161),val_asOfDate,"As of",fx_scenarioConverter("Actual"))</f>
        <v>#NAME?</v>
      </c>
      <c r="E161" s="2677"/>
      <c r="F161" s="2726"/>
      <c r="G161" s="2741" t="s">
        <v>1784</v>
      </c>
      <c r="H161" s="2742" t="s">
        <v>431</v>
      </c>
      <c r="I161" s="2742" t="s">
        <v>1785</v>
      </c>
      <c r="J161" s="2743" t="s">
        <v>31</v>
      </c>
      <c r="K161" s="2744" t="s">
        <v>1786</v>
      </c>
      <c r="L161" s="2745" t="s">
        <v>268</v>
      </c>
      <c r="M161" s="2668"/>
      <c r="N161" s="2747" t="s">
        <v>1787</v>
      </c>
      <c r="O161" s="2748" t="s">
        <v>1869</v>
      </c>
      <c r="P161" s="2677"/>
      <c r="V161" s="158"/>
      <c r="W161" s="101"/>
      <c r="X161" s="52"/>
      <c r="Y161" s="101"/>
      <c r="Z161" s="126"/>
      <c r="AA161" s="101"/>
      <c r="AB161" s="101"/>
      <c r="AC161" s="39"/>
      <c r="AD161" s="406"/>
      <c r="AE161" s="428"/>
      <c r="AF161" s="439"/>
      <c r="AG161" s="661"/>
      <c r="AH161" s="453"/>
      <c r="AI161" s="742" t="s">
        <v>1818</v>
      </c>
      <c r="AJ161" s="738"/>
      <c r="AK161" s="738"/>
      <c r="AL161" s="738"/>
      <c r="AM161" s="482"/>
      <c r="AN161" s="1980">
        <f>SUM(AN166:AN175)</f>
        <v>0</v>
      </c>
      <c r="AO161" s="454"/>
      <c r="AP161" s="2274">
        <f>$AN$5</f>
        <v>46022</v>
      </c>
      <c r="AQ161" s="454"/>
      <c r="AR161" s="740"/>
      <c r="AS161" s="477"/>
      <c r="AT161" s="481"/>
      <c r="AU161" s="429"/>
      <c r="AV161" s="432"/>
      <c r="AX161" s="1080"/>
      <c r="AY161" s="2726"/>
      <c r="AZ161" s="2805"/>
      <c r="BA161" s="2812"/>
      <c r="BB161" s="2812"/>
      <c r="BC161" s="2813"/>
      <c r="BD161" s="2814"/>
      <c r="BE161" s="2807"/>
      <c r="BF161" s="2745"/>
      <c r="BG161" s="2741"/>
      <c r="BH161" s="1080"/>
      <c r="BI161" s="2778"/>
      <c r="BJ161" s="2937"/>
      <c r="BK161" s="2921"/>
      <c r="BL161" s="2937"/>
      <c r="BM161" s="2887"/>
      <c r="BN161" s="2899"/>
      <c r="BO161" s="2891"/>
      <c r="BP161" s="2889"/>
      <c r="BQ161" s="2892"/>
      <c r="BR161" s="2808"/>
      <c r="BS161" s="2808"/>
      <c r="BT161" s="2808"/>
      <c r="BU161" s="2808"/>
      <c r="BV161" s="2808"/>
      <c r="BW161" s="2808"/>
      <c r="BX161" s="2808"/>
      <c r="BY161" s="2808"/>
      <c r="BZ161" s="2808"/>
      <c r="CA161" s="2808"/>
      <c r="CB161" s="2808"/>
      <c r="CC161" s="2808"/>
      <c r="CD161" s="2808"/>
      <c r="CE161" s="2808"/>
    </row>
    <row r="162" spans="1:83" ht="18">
      <c r="A162" s="2676"/>
      <c r="B162" s="2787" t="s">
        <v>1878</v>
      </c>
      <c r="C162" s="3367" t="s">
        <v>1819</v>
      </c>
      <c r="D162" s="2759" t="e" cm="1">
        <f t="array" ca="1" aca="1" ref="D162">_xldudf_CX_PUSH(AN162*DebtOverview!fxVal_normal,CX_ENTITY,fx_attrConverter(C162),val_asOfDate,"As of",fx_scenarioConverter("Actual"))</f>
        <v>#NAME?</v>
      </c>
      <c r="E162" s="2677"/>
      <c r="F162" s="2726"/>
      <c r="G162" s="2690"/>
      <c r="H162" s="2689"/>
      <c r="I162" s="2691"/>
      <c r="J162" s="2695"/>
      <c r="K162" s="2687"/>
      <c r="L162" s="2685"/>
      <c r="M162" s="2715"/>
      <c r="N162" s="2720"/>
      <c r="O162" s="2721"/>
      <c r="P162" s="2677"/>
      <c r="V162" s="158"/>
      <c r="W162" s="101"/>
      <c r="X162" s="52"/>
      <c r="Y162" s="101"/>
      <c r="Z162" s="126"/>
      <c r="AA162" s="101"/>
      <c r="AB162" s="101"/>
      <c r="AC162" s="39"/>
      <c r="AD162" s="406"/>
      <c r="AE162" s="428"/>
      <c r="AF162" s="439"/>
      <c r="AG162" s="661"/>
      <c r="AH162" s="453"/>
      <c r="AI162" s="1831" t="s">
        <v>1820</v>
      </c>
      <c r="AJ162" s="738"/>
      <c r="AK162" s="738"/>
      <c r="AL162" s="738"/>
      <c r="AM162" s="482"/>
      <c r="AN162" s="1980">
        <f>SUMPRODUCT($AN$166:$AN$175,$AR$166:$AR$175)</f>
        <v>0</v>
      </c>
      <c r="AO162" s="454"/>
      <c r="AP162" s="2274">
        <f>$AN$5</f>
        <v>46022</v>
      </c>
      <c r="AQ162" s="454"/>
      <c r="AR162" s="740"/>
      <c r="AS162" s="477"/>
      <c r="AT162" s="481"/>
      <c r="AU162" s="429"/>
      <c r="AV162" s="432"/>
      <c r="AX162" s="1080"/>
      <c r="AY162" s="2726"/>
      <c r="AZ162" s="2843"/>
      <c r="BA162" s="2817"/>
      <c r="BB162" s="2832"/>
      <c r="BC162" s="2812"/>
      <c r="BD162" s="2806"/>
      <c r="BE162" s="2807"/>
      <c r="BF162" s="2685"/>
      <c r="BG162" s="2690"/>
      <c r="BH162" s="1080"/>
      <c r="BI162" s="2778"/>
      <c r="BJ162" s="2937"/>
      <c r="BK162" s="2921"/>
      <c r="BL162" s="2937"/>
      <c r="BM162" s="2887"/>
      <c r="BN162" s="2899"/>
      <c r="BO162" s="2890"/>
      <c r="BP162" s="2889"/>
      <c r="BQ162" s="2892"/>
      <c r="BR162" s="2808"/>
      <c r="BS162" s="2808"/>
      <c r="BT162" s="2808"/>
      <c r="BU162" s="2808"/>
      <c r="BV162" s="2808"/>
      <c r="BW162" s="2808"/>
      <c r="BX162" s="2808"/>
      <c r="BY162" s="2808"/>
      <c r="BZ162" s="2808"/>
      <c r="CA162" s="2808"/>
      <c r="CB162" s="2808"/>
      <c r="CC162" s="2808"/>
      <c r="CD162" s="2808"/>
      <c r="CE162" s="2808"/>
    </row>
    <row r="163" spans="1:83" ht="18">
      <c r="A163" s="2676"/>
      <c r="B163" s="2676"/>
      <c r="C163" s="2676"/>
      <c r="D163" s="2761"/>
      <c r="E163" s="2677"/>
      <c r="F163" s="2726"/>
      <c r="G163" s="2690"/>
      <c r="H163" s="2689"/>
      <c r="I163" s="2691"/>
      <c r="J163" s="2695"/>
      <c r="K163" s="2687"/>
      <c r="L163" s="2685"/>
      <c r="M163" s="2715"/>
      <c r="N163" s="2720"/>
      <c r="O163" s="2721"/>
      <c r="P163" s="2677"/>
      <c r="V163" s="158"/>
      <c r="W163" s="101"/>
      <c r="X163" s="52"/>
      <c r="Y163" s="101"/>
      <c r="Z163" s="126"/>
      <c r="AA163" s="101"/>
      <c r="AB163" s="101"/>
      <c r="AC163" s="39"/>
      <c r="AD163" s="406"/>
      <c r="AE163" s="428"/>
      <c r="AF163" s="439"/>
      <c r="AG163" s="661"/>
      <c r="AH163" s="453"/>
      <c r="AI163" s="742"/>
      <c r="AJ163" s="738"/>
      <c r="AK163" s="738"/>
      <c r="AL163" s="738"/>
      <c r="AM163" s="482"/>
      <c r="AN163" s="1980"/>
      <c r="AO163" s="454"/>
      <c r="AP163" s="1172"/>
      <c r="AQ163" s="454"/>
      <c r="AR163" s="740"/>
      <c r="AS163" s="477"/>
      <c r="AT163" s="481"/>
      <c r="AU163" s="429"/>
      <c r="AV163" s="432"/>
      <c r="AX163" s="1080"/>
      <c r="AY163" s="2726"/>
      <c r="AZ163" s="2843"/>
      <c r="BA163" s="2817"/>
      <c r="BB163" s="2832"/>
      <c r="BC163" s="2812"/>
      <c r="BD163" s="2806"/>
      <c r="BE163" s="2807"/>
      <c r="BF163" s="2685"/>
      <c r="BG163" s="2690"/>
      <c r="BH163" s="1080"/>
      <c r="BI163" s="2778"/>
      <c r="BJ163" s="2937"/>
      <c r="BK163" s="2921"/>
      <c r="BL163" s="2937"/>
      <c r="BM163" s="2887"/>
      <c r="BN163" s="2899"/>
      <c r="BO163" s="2890"/>
      <c r="BP163" s="2889"/>
      <c r="BQ163" s="2892"/>
      <c r="BR163" s="2808"/>
      <c r="BS163" s="2808"/>
      <c r="BT163" s="2808"/>
      <c r="BU163" s="2808"/>
      <c r="BV163" s="2808"/>
      <c r="BW163" s="2808"/>
      <c r="BX163" s="2808"/>
      <c r="BY163" s="2808"/>
      <c r="BZ163" s="2808"/>
      <c r="CA163" s="2808"/>
      <c r="CB163" s="2808"/>
      <c r="CC163" s="2808"/>
      <c r="CD163" s="2808"/>
      <c r="CE163" s="2808"/>
    </row>
    <row r="164" spans="1:83" ht="18">
      <c r="A164" s="2676"/>
      <c r="B164" s="2676"/>
      <c r="C164" s="2676"/>
      <c r="D164" s="2762"/>
      <c r="E164" s="2677"/>
      <c r="F164" s="2726"/>
      <c r="G164" s="2696"/>
      <c r="H164" s="2701"/>
      <c r="I164" s="2691"/>
      <c r="J164" s="2695"/>
      <c r="K164" s="2687"/>
      <c r="L164" s="2685"/>
      <c r="M164" s="2712"/>
      <c r="N164" s="2720"/>
      <c r="O164" s="2721"/>
      <c r="P164" s="2677"/>
      <c r="V164" s="158"/>
      <c r="W164" s="101"/>
      <c r="X164" s="52"/>
      <c r="Y164" s="101"/>
      <c r="Z164" s="126"/>
      <c r="AA164" s="101"/>
      <c r="AB164" s="101"/>
      <c r="AC164" s="39"/>
      <c r="AD164" s="406"/>
      <c r="AE164" s="428"/>
      <c r="AF164" s="439"/>
      <c r="AG164" s="661"/>
      <c r="AH164" s="485"/>
      <c r="AI164" s="1184"/>
      <c r="AJ164" s="2027"/>
      <c r="AK164" s="2027"/>
      <c r="AL164" s="743"/>
      <c r="AM164" s="744"/>
      <c r="AN164" s="1982"/>
      <c r="AO164" s="745"/>
      <c r="AP164" s="839"/>
      <c r="AQ164" s="746"/>
      <c r="AR164" s="746"/>
      <c r="AS164" s="747"/>
      <c r="AT164" s="481"/>
      <c r="AU164" s="429"/>
      <c r="AV164" s="432"/>
      <c r="AX164" s="1080"/>
      <c r="AY164" s="2726"/>
      <c r="AZ164" s="2842"/>
      <c r="BA164" s="2844"/>
      <c r="BB164" s="2832"/>
      <c r="BC164" s="2812"/>
      <c r="BD164" s="2806"/>
      <c r="BE164" s="2807"/>
      <c r="BF164" s="2685"/>
      <c r="BG164" s="2696"/>
      <c r="BH164" s="1080"/>
      <c r="BI164" s="2778"/>
      <c r="BJ164" s="2937"/>
      <c r="BK164" s="2921"/>
      <c r="BL164" s="2937"/>
      <c r="BM164" s="2887"/>
      <c r="BN164" s="2899"/>
      <c r="BO164" s="2890"/>
      <c r="BP164" s="2889"/>
      <c r="BQ164" s="2892"/>
      <c r="BR164" s="2808"/>
      <c r="BS164" s="2808"/>
      <c r="BT164" s="2808"/>
      <c r="BU164" s="2808"/>
      <c r="BV164" s="2808"/>
      <c r="BW164" s="2808"/>
      <c r="BX164" s="2808"/>
      <c r="BY164" s="2808"/>
      <c r="BZ164" s="2808"/>
      <c r="CA164" s="2808"/>
      <c r="CB164" s="2808"/>
      <c r="CC164" s="2808"/>
      <c r="CD164" s="2808"/>
      <c r="CE164" s="2808"/>
    </row>
    <row r="165" spans="1:83" ht="20">
      <c r="A165" s="2676"/>
      <c r="B165" s="2787" t="s">
        <v>1876</v>
      </c>
      <c r="C165" s="2676"/>
      <c r="D165" s="2757"/>
      <c r="E165" s="2677"/>
      <c r="F165" s="2726"/>
      <c r="G165" s="2696"/>
      <c r="H165" s="2702"/>
      <c r="I165" s="2691"/>
      <c r="J165" s="2695"/>
      <c r="K165" s="2687"/>
      <c r="L165" s="2685"/>
      <c r="M165" s="2712"/>
      <c r="N165" s="2716"/>
      <c r="O165" s="2717"/>
      <c r="P165" s="2677"/>
      <c r="V165" s="158"/>
      <c r="W165" s="101"/>
      <c r="X165" s="52"/>
      <c r="Y165" s="101"/>
      <c r="Z165" s="126"/>
      <c r="AA165" s="101"/>
      <c r="AB165" s="101"/>
      <c r="AC165" s="39"/>
      <c r="AD165" s="406"/>
      <c r="AE165" s="428"/>
      <c r="AF165" s="439"/>
      <c r="AG165" s="660"/>
      <c r="AH165" s="485"/>
      <c r="AI165" s="630"/>
      <c r="AJ165" s="2028" t="s">
        <v>1821</v>
      </c>
      <c r="AK165" s="2028" t="s">
        <v>431</v>
      </c>
      <c r="AL165" s="713" t="s">
        <v>1822</v>
      </c>
      <c r="AM165" s="712"/>
      <c r="AN165" s="1983" t="e">
        <f ca="1">"Amount in "&amp;val_reportingCurrency</f>
        <v>#NAME?</v>
      </c>
      <c r="AO165" s="713"/>
      <c r="AP165" s="713" t="s">
        <v>1823</v>
      </c>
      <c r="AQ165" s="713"/>
      <c r="AR165" s="713" t="s">
        <v>1816</v>
      </c>
      <c r="AS165" s="741"/>
      <c r="AT165" s="2657"/>
      <c r="AU165" s="2655"/>
      <c r="AV165" s="2658"/>
      <c r="AX165" s="1080"/>
      <c r="AY165" s="2726"/>
      <c r="AZ165" s="2805" t="s">
        <v>1784</v>
      </c>
      <c r="BA165" s="2812" t="s">
        <v>431</v>
      </c>
      <c r="BB165" s="2812" t="s">
        <v>1785</v>
      </c>
      <c r="BC165" s="2813" t="s">
        <v>31</v>
      </c>
      <c r="BD165" s="2814" t="s">
        <v>1786</v>
      </c>
      <c r="BE165" s="2807" t="s">
        <v>268</v>
      </c>
      <c r="BF165" s="2780"/>
      <c r="BG165" s="2781"/>
      <c r="BH165" s="1080"/>
      <c r="BI165" s="2778"/>
      <c r="BJ165" s="2937"/>
      <c r="BK165" s="2921"/>
      <c r="BL165" s="2937"/>
      <c r="BM165" s="2887"/>
      <c r="BN165" s="2899"/>
      <c r="BO165" s="2890"/>
      <c r="BP165" s="2889"/>
      <c r="BQ165" s="2892"/>
      <c r="BR165" s="2808"/>
      <c r="BS165" s="2808"/>
      <c r="BT165" s="2808"/>
      <c r="BU165" s="2808"/>
      <c r="BV165" s="2808"/>
      <c r="BW165" s="2808"/>
      <c r="BX165" s="2808"/>
      <c r="BY165" s="2808"/>
      <c r="BZ165" s="2808"/>
      <c r="CA165" s="2808"/>
      <c r="CB165" s="2808"/>
      <c r="CC165" s="2808"/>
      <c r="CD165" s="2808"/>
      <c r="CE165" s="2808"/>
    </row>
    <row r="166" spans="1:83" ht="24.75" customHeight="1">
      <c r="A166" s="2676"/>
      <c r="B166" s="2670" t="s">
        <v>1879</v>
      </c>
      <c r="C166" s="3364" t="s">
        <v>1824</v>
      </c>
      <c r="D166" s="2756" t="e" cm="1">
        <f t="array" ca="1" aca="1" ref="D166">_xldudf_CX_GET(CX_ENTITY,fx_attrConverter(C166),val_asOfDate)</f>
        <v>#NAME?</v>
      </c>
      <c r="E166" s="2677"/>
      <c r="F166" s="2726"/>
      <c r="G166" s="2690" t="e" cm="1">
        <f t="array" ca="1" aca="1" ref="G166">IF(D166="","",_xlfn.TEXTSPLIT(D166,"|","¶",FALSE))</f>
        <v>#NAME?</v>
      </c>
      <c r="H166" s="2784"/>
      <c r="I166" s="2695"/>
      <c r="J166" s="2695"/>
      <c r="K166" s="2785"/>
      <c r="L166" s="2685"/>
      <c r="M166" s="2712"/>
      <c r="N166" s="2718"/>
      <c r="O166" s="2719"/>
      <c r="P166" s="2677"/>
      <c r="V166" s="158"/>
      <c r="W166" s="101"/>
      <c r="X166" s="52"/>
      <c r="Y166" s="101"/>
      <c r="Z166" s="126"/>
      <c r="AA166" s="101"/>
      <c r="AB166" s="101"/>
      <c r="AC166" s="39"/>
      <c r="AD166" s="406"/>
      <c r="AE166" s="428"/>
      <c r="AF166" s="439"/>
      <c r="AG166" s="661"/>
      <c r="AH166" s="485"/>
      <c r="AI166" s="630"/>
      <c r="AJ166" s="2792" t="e">
        <f ca="1">IF(G166="","",G166)</f>
        <v>#NAME?</v>
      </c>
      <c r="AK166" s="3368" t="str">
        <f>IF(H166="","",H166)</f>
        <v/>
      </c>
      <c r="AL166" s="2792" t="str">
        <f>IF(J166="","",J166)</f>
        <v/>
      </c>
      <c r="AM166" s="631"/>
      <c r="AN166" s="1967" t="str">
        <f>IF(K166="","",_xlfn.NUMBERVALUE(K166)/IF($D$8,DebtOverview!fxVal_normal,1))</f>
        <v/>
      </c>
      <c r="AO166" s="640"/>
      <c r="AP166" s="1401"/>
      <c r="AQ166" s="641"/>
      <c r="AR166" s="3369" t="str">
        <f>IF(I166="","",_xlfn.NUMBERVALUE(I166))</f>
        <v/>
      </c>
      <c r="AS166" s="642"/>
      <c r="AT166" s="481"/>
      <c r="AU166" s="429"/>
      <c r="AV166" s="432"/>
      <c r="AX166" s="1080"/>
      <c r="AY166" s="2726"/>
      <c r="AZ166" s="2818" t="e" vm="10" cm="1">
        <f t="array" ref="AZ166">_xlfn.LET(_xlpm.ent,AJ166:AJ175,_xlpm.Type,AK166:AK175,_xlpm.curr,AL166:AL175,_xlpm.amt,AN166:AN175,_xlpm.lookthru,AR166:AR175,_xlpm.filt,_xlpm.amt&lt;&gt;"",_xlpm._Ent,_xlfn._xlws.FILTER(_xlpm.ent,_xlpm.filt),_xlpm._type,_xlfn._xlws.FILTER(_xlpm.Type,_xlpm.filt),_xlpm._LookThru,_xlfn._xlws.FILTER(_xlpm.lookthru,_xlpm.filt),_xlpm._curr,_xlfn._xlws.FILTER(_xlpm.curr,_xlpm.filt),_xlpm._amt,_xlfn._xlws.FILTER(_xlpm.amt,_xlpm.filt),_xlpm._rows,ROWS(_xlpm._amt),_xlpm._datecol,_xlfn.TAKE(val_asOfDate,1)*_xlfn.SEQUENCE(_xlpm._rows,1,1,0),IF(_xlpm._rows=0,"No data",_xlfn.HSTACK(_xlpm._Ent,_xlpm._type,_xlpm._LookThru,_xlpm._curr,_xlpm._amt,_xlpm._datecol)))</f>
        <v>#VALUE!</v>
      </c>
      <c r="BA166" s="2821"/>
      <c r="BB166" s="2825"/>
      <c r="BC166" s="2825"/>
      <c r="BD166" s="2822"/>
      <c r="BE166" s="2823"/>
      <c r="BF166" s="2685"/>
      <c r="BG166" s="2690"/>
      <c r="BH166" s="1080"/>
      <c r="BI166" s="2778"/>
      <c r="BJ166" s="2937"/>
      <c r="BK166" s="2921"/>
      <c r="BL166" s="2937"/>
      <c r="BM166" s="2887"/>
      <c r="BN166" s="2899"/>
      <c r="BO166" s="2890"/>
      <c r="BP166" s="2889"/>
      <c r="BQ166" s="2892"/>
      <c r="BR166" s="2808"/>
      <c r="BS166" s="2808"/>
      <c r="BT166" s="2808"/>
      <c r="BU166" s="2808"/>
      <c r="BV166" s="2808"/>
      <c r="BW166" s="2808"/>
      <c r="BX166" s="2808"/>
      <c r="BY166" s="2808"/>
      <c r="BZ166" s="2808"/>
      <c r="CA166" s="2808"/>
      <c r="CB166" s="2808"/>
      <c r="CC166" s="2808"/>
      <c r="CD166" s="2808"/>
      <c r="CE166" s="2808"/>
    </row>
    <row r="167" spans="1:83" ht="24.75" customHeight="1">
      <c r="A167" s="2676"/>
      <c r="B167" s="2670" t="s">
        <v>1870</v>
      </c>
      <c r="C167" s="1677" t="s">
        <v>1824</v>
      </c>
      <c r="D167" s="2758" t="str">
        <f>IF(D168,_xlfn.TEXTJOIN("¶",FALSE,_xlfn.BYROW(_xlfn.ANCHORARRAY(AZ166),_xlfn.LAMBDA(_xlpm.row,_xlfn.TEXTJOIN("|",FALSE,_xlpm.row)))),"")</f>
        <v/>
      </c>
      <c r="E167" s="2677"/>
      <c r="F167" s="2726"/>
      <c r="G167" s="2696"/>
      <c r="H167" s="2702"/>
      <c r="I167" s="2695"/>
      <c r="J167" s="2695"/>
      <c r="K167" s="2687"/>
      <c r="L167" s="2685"/>
      <c r="M167" s="2712"/>
      <c r="N167" s="2718"/>
      <c r="O167" s="2719"/>
      <c r="P167" s="2677"/>
      <c r="V167" s="158"/>
      <c r="W167" s="2"/>
      <c r="X167" s="52"/>
      <c r="Y167" s="2"/>
      <c r="Z167" s="539"/>
      <c r="AA167" s="2"/>
      <c r="AB167" s="2"/>
      <c r="AC167" s="39"/>
      <c r="AD167" s="406"/>
      <c r="AE167" s="428"/>
      <c r="AF167" s="439"/>
      <c r="AG167" s="661"/>
      <c r="AH167" s="485"/>
      <c r="AI167" s="630"/>
      <c r="AJ167" s="2792" t="str">
        <f t="shared" si="8" ref="AJ167:AK175">IF(G167="","",G167)</f>
        <v/>
      </c>
      <c r="AK167" s="3368" t="str">
        <f t="shared" si="8"/>
        <v/>
      </c>
      <c r="AL167" s="2792" t="str">
        <f t="shared" si="9" ref="AL167:AL175">IF(J167="","",J167)</f>
        <v/>
      </c>
      <c r="AM167" s="631"/>
      <c r="AN167" s="1967" t="str">
        <f>IF(K167="","",_xlfn.NUMBERVALUE(K167)/IF($D$8,DebtOverview!fxVal_normal,1))</f>
        <v/>
      </c>
      <c r="AO167" s="640"/>
      <c r="AP167" s="1401"/>
      <c r="AQ167" s="641"/>
      <c r="AR167" s="3369" t="str">
        <f t="shared" si="10" ref="AR167:AR175">IF(I167="","",_xlfn.NUMBERVALUE(I167))</f>
        <v/>
      </c>
      <c r="AS167" s="642"/>
      <c r="AT167" s="481"/>
      <c r="AU167" s="429"/>
      <c r="AV167" s="432"/>
      <c r="AX167" s="1080"/>
      <c r="AY167" s="2726"/>
      <c r="AZ167" s="2839"/>
      <c r="BA167" s="2845"/>
      <c r="BB167" s="2825"/>
      <c r="BC167" s="2825"/>
      <c r="BD167" s="2822"/>
      <c r="BE167" s="2823"/>
      <c r="BF167" s="2685"/>
      <c r="BG167" s="2690"/>
      <c r="BH167" s="1080"/>
      <c r="BI167" s="2778"/>
      <c r="BJ167" s="2937"/>
      <c r="BK167" s="2921"/>
      <c r="BL167" s="2937"/>
      <c r="BM167" s="2887"/>
      <c r="BN167" s="2899"/>
      <c r="BO167" s="2890"/>
      <c r="BP167" s="2889"/>
      <c r="BQ167" s="2892"/>
      <c r="BR167" s="2808"/>
      <c r="BS167" s="2808"/>
      <c r="BT167" s="2808"/>
      <c r="BU167" s="2808"/>
      <c r="BV167" s="2808"/>
      <c r="BW167" s="2808"/>
      <c r="BX167" s="2808"/>
      <c r="BY167" s="2808"/>
      <c r="BZ167" s="2808"/>
      <c r="CA167" s="2808"/>
      <c r="CB167" s="2808"/>
      <c r="CC167" s="2808"/>
      <c r="CD167" s="2808"/>
      <c r="CE167" s="2808"/>
    </row>
    <row r="168" spans="1:83" ht="24.75" customHeight="1">
      <c r="A168" s="2676"/>
      <c r="B168" s="2670" t="s">
        <v>1864</v>
      </c>
      <c r="C168" s="1677" t="s">
        <v>1824</v>
      </c>
      <c r="D168" s="2755" t="b" cm="1">
        <f t="array" ref="D168">IF(ISERROR(AZ166),FALSE,OR(AZ166:BE166&lt;&gt;""))</f>
        <v>0</v>
      </c>
      <c r="E168" s="2677"/>
      <c r="F168" s="2726"/>
      <c r="G168" s="2696"/>
      <c r="H168" s="2702"/>
      <c r="I168" s="2695"/>
      <c r="J168" s="2695"/>
      <c r="K168" s="2687"/>
      <c r="L168" s="2685"/>
      <c r="M168" s="2712"/>
      <c r="N168" s="2718"/>
      <c r="O168" s="2719"/>
      <c r="P168" s="2677"/>
      <c r="V168" s="158"/>
      <c r="W168" s="2"/>
      <c r="X168" s="52"/>
      <c r="Y168" s="2"/>
      <c r="Z168" s="539"/>
      <c r="AA168" s="2"/>
      <c r="AB168" s="2"/>
      <c r="AC168" s="39"/>
      <c r="AD168" s="406"/>
      <c r="AE168" s="428"/>
      <c r="AF168" s="439"/>
      <c r="AG168" s="661"/>
      <c r="AH168" s="485"/>
      <c r="AI168" s="630"/>
      <c r="AJ168" s="2792" t="str">
        <f t="shared" si="8"/>
        <v/>
      </c>
      <c r="AK168" s="3368" t="str">
        <f t="shared" si="8"/>
        <v/>
      </c>
      <c r="AL168" s="2792" t="str">
        <f t="shared" si="9"/>
        <v/>
      </c>
      <c r="AM168" s="631"/>
      <c r="AN168" s="1967" t="str">
        <f>IF(K168="","",_xlfn.NUMBERVALUE(K168)/IF($D$8,DebtOverview!fxVal_normal,1))</f>
        <v/>
      </c>
      <c r="AO168" s="640"/>
      <c r="AP168" s="1401"/>
      <c r="AQ168" s="641"/>
      <c r="AR168" s="3369" t="str">
        <f t="shared" si="10"/>
        <v/>
      </c>
      <c r="AS168" s="642"/>
      <c r="AT168" s="481" t="str" cm="1">
        <f t="array" ref="AT168">IF(AL168="","",AL168:AL168&amp;" / "&amp;val_reportingCurrency)</f>
        <v/>
      </c>
      <c r="AU168" s="429"/>
      <c r="AV168" s="432"/>
      <c r="AX168" s="1080"/>
      <c r="AY168" s="2726"/>
      <c r="AZ168" s="2839"/>
      <c r="BA168" s="2845"/>
      <c r="BB168" s="2825"/>
      <c r="BC168" s="2825"/>
      <c r="BD168" s="2822"/>
      <c r="BE168" s="2823"/>
      <c r="BF168" s="2685"/>
      <c r="BG168" s="2696"/>
      <c r="BH168" s="1080"/>
      <c r="BI168" s="2778"/>
      <c r="BJ168" s="2937"/>
      <c r="BK168" s="2921"/>
      <c r="BL168" s="2937"/>
      <c r="BM168" s="2887"/>
      <c r="BN168" s="2899"/>
      <c r="BO168" s="2890"/>
      <c r="BP168" s="2889"/>
      <c r="BQ168" s="2892"/>
      <c r="BR168" s="2808"/>
      <c r="BS168" s="2808"/>
      <c r="BT168" s="2808"/>
      <c r="BU168" s="2808"/>
      <c r="BV168" s="2808"/>
      <c r="BW168" s="2808"/>
      <c r="BX168" s="2808"/>
      <c r="BY168" s="2808"/>
      <c r="BZ168" s="2808"/>
      <c r="CA168" s="2808"/>
      <c r="CB168" s="2808"/>
      <c r="CC168" s="2808"/>
      <c r="CD168" s="2808"/>
      <c r="CE168" s="2808"/>
    </row>
    <row r="169" spans="1:83" ht="24.75" customHeight="1">
      <c r="A169" s="2676"/>
      <c r="B169" s="2670" t="s">
        <v>1867</v>
      </c>
      <c r="C169" s="1677" t="s">
        <v>1824</v>
      </c>
      <c r="D169" s="2755" t="str" cm="1">
        <f t="array" ref="D169">IF(D168,_xldudf_CX_PUSH(D167,CX_ENTITY,fx_attrConverter(C166),val_asOfDate),"No Push")</f>
        <v>No Push</v>
      </c>
      <c r="E169" s="2677"/>
      <c r="F169" s="2726"/>
      <c r="G169" s="2696"/>
      <c r="H169" s="2702"/>
      <c r="I169" s="2695"/>
      <c r="J169" s="2695"/>
      <c r="K169" s="2687"/>
      <c r="L169" s="2685"/>
      <c r="M169" s="2712"/>
      <c r="N169" s="2718"/>
      <c r="O169" s="2719"/>
      <c r="P169" s="2677"/>
      <c r="V169" s="158"/>
      <c r="W169" s="2"/>
      <c r="X169" s="52"/>
      <c r="Y169" s="2"/>
      <c r="Z169" s="539"/>
      <c r="AA169" s="2"/>
      <c r="AB169" s="2"/>
      <c r="AC169" s="39"/>
      <c r="AD169" s="406"/>
      <c r="AE169" s="428"/>
      <c r="AF169" s="439"/>
      <c r="AG169" s="661"/>
      <c r="AH169" s="485"/>
      <c r="AI169" s="630"/>
      <c r="AJ169" s="2792" t="str">
        <f t="shared" si="8"/>
        <v/>
      </c>
      <c r="AK169" s="3368" t="str">
        <f t="shared" si="8"/>
        <v/>
      </c>
      <c r="AL169" s="2792" t="str">
        <f t="shared" si="9"/>
        <v/>
      </c>
      <c r="AM169" s="631"/>
      <c r="AN169" s="1967" t="str">
        <f>IF(K169="","",_xlfn.NUMBERVALUE(K169)/IF($D$8,DebtOverview!fxVal_normal,1))</f>
        <v/>
      </c>
      <c r="AO169" s="640"/>
      <c r="AP169" s="1401"/>
      <c r="AQ169" s="641"/>
      <c r="AR169" s="3369" t="str">
        <f t="shared" si="10"/>
        <v/>
      </c>
      <c r="AS169" s="642"/>
      <c r="AT169" s="481" t="str" cm="1">
        <f t="array" ref="AT169">IF(AL169="","",AL169:AL169&amp;" / "&amp;val_reportingCurrency)</f>
        <v/>
      </c>
      <c r="AU169" s="429"/>
      <c r="AV169" s="432"/>
      <c r="AX169" s="1080"/>
      <c r="AY169" s="2726"/>
      <c r="AZ169" s="2839"/>
      <c r="BA169" s="2845"/>
      <c r="BB169" s="2825"/>
      <c r="BC169" s="2825"/>
      <c r="BD169" s="2822"/>
      <c r="BE169" s="2823"/>
      <c r="BF169" s="2685"/>
      <c r="BG169" s="2696"/>
      <c r="BH169" s="1080"/>
      <c r="BI169" s="2778"/>
      <c r="BJ169" s="2937"/>
      <c r="BK169" s="2921"/>
      <c r="BL169" s="2937"/>
      <c r="BM169" s="2878"/>
      <c r="BN169" s="2901"/>
      <c r="BO169" s="2812"/>
      <c r="BP169" s="2873"/>
      <c r="BQ169" s="2807"/>
      <c r="BR169" s="2808"/>
      <c r="BS169" s="2808"/>
      <c r="BT169" s="2808"/>
      <c r="BU169" s="2808"/>
      <c r="BV169" s="2808"/>
      <c r="BW169" s="2808"/>
      <c r="BX169" s="2808"/>
      <c r="BY169" s="2808"/>
      <c r="BZ169" s="2808"/>
      <c r="CA169" s="2808"/>
      <c r="CB169" s="2808"/>
      <c r="CC169" s="2808"/>
      <c r="CD169" s="2808"/>
      <c r="CE169" s="2808"/>
    </row>
    <row r="170" spans="1:83" ht="24.75" customHeight="1">
      <c r="A170" s="2676"/>
      <c r="B170" s="2670" t="s">
        <v>1867</v>
      </c>
      <c r="C170" s="1677" t="s">
        <v>1824</v>
      </c>
      <c r="D170" s="2755" t="str" cm="1">
        <f t="array" ref="D170">IF(D168,_xldudf_CX_PUSH(D167,CX_ENTITY,fx_attrConverter(C166),EOMONTH(val_asOfDate,3)),"No Push")</f>
        <v>No Push</v>
      </c>
      <c r="E170" s="2677"/>
      <c r="F170" s="2726"/>
      <c r="G170" s="2696"/>
      <c r="H170" s="2702"/>
      <c r="I170" s="2695"/>
      <c r="J170" s="2695"/>
      <c r="K170" s="2687"/>
      <c r="L170" s="2685"/>
      <c r="M170" s="2712"/>
      <c r="N170" s="2718"/>
      <c r="O170" s="2719"/>
      <c r="P170" s="2677"/>
      <c r="V170" s="158"/>
      <c r="W170" s="2"/>
      <c r="X170" s="52"/>
      <c r="Y170" s="2"/>
      <c r="Z170" s="539"/>
      <c r="AA170" s="2"/>
      <c r="AB170" s="2"/>
      <c r="AC170" s="39"/>
      <c r="AD170" s="406"/>
      <c r="AE170" s="428"/>
      <c r="AF170" s="439"/>
      <c r="AG170" s="661"/>
      <c r="AH170" s="485"/>
      <c r="AI170" s="630"/>
      <c r="AJ170" s="2792" t="str">
        <f t="shared" si="8"/>
        <v/>
      </c>
      <c r="AK170" s="3368" t="str">
        <f t="shared" si="8"/>
        <v/>
      </c>
      <c r="AL170" s="2792" t="str">
        <f t="shared" si="9"/>
        <v/>
      </c>
      <c r="AM170" s="631"/>
      <c r="AN170" s="1967" t="str">
        <f>IF(K170="","",_xlfn.NUMBERVALUE(K170)/IF($D$8,DebtOverview!fxVal_normal,1))</f>
        <v/>
      </c>
      <c r="AO170" s="640"/>
      <c r="AP170" s="1401"/>
      <c r="AQ170" s="641"/>
      <c r="AR170" s="3369" t="str">
        <f t="shared" si="10"/>
        <v/>
      </c>
      <c r="AS170" s="642"/>
      <c r="AT170" s="481" t="str" cm="1">
        <f t="array" ref="AT170">IF(AL170="","",AL170:AL170&amp;" / "&amp;val_reportingCurrency)</f>
        <v/>
      </c>
      <c r="AU170" s="429"/>
      <c r="AV170" s="432"/>
      <c r="AX170" s="1080"/>
      <c r="AY170" s="2726"/>
      <c r="AZ170" s="2839"/>
      <c r="BA170" s="2845"/>
      <c r="BB170" s="2825"/>
      <c r="BC170" s="2825"/>
      <c r="BD170" s="2822"/>
      <c r="BE170" s="2823"/>
      <c r="BF170" s="2685"/>
      <c r="BG170" s="2696"/>
      <c r="BH170" s="1080"/>
      <c r="BI170" s="2778"/>
      <c r="BJ170" s="2937"/>
      <c r="BK170" s="2921"/>
      <c r="BL170" s="2937"/>
      <c r="BM170" s="2878"/>
      <c r="BN170" s="2901"/>
      <c r="BO170" s="2812"/>
      <c r="BP170" s="2873"/>
      <c r="BQ170" s="2807"/>
      <c r="BR170" s="2808"/>
      <c r="BS170" s="2808"/>
      <c r="BT170" s="2808"/>
      <c r="BU170" s="2808"/>
      <c r="BV170" s="2808"/>
      <c r="BW170" s="2808"/>
      <c r="BX170" s="2808"/>
      <c r="BY170" s="2808"/>
      <c r="BZ170" s="2808"/>
      <c r="CA170" s="2808"/>
      <c r="CB170" s="2808"/>
      <c r="CC170" s="2808"/>
      <c r="CD170" s="2808"/>
      <c r="CE170" s="2808"/>
    </row>
    <row r="171" spans="1:83" ht="24.75" customHeight="1">
      <c r="A171" s="2676"/>
      <c r="B171" s="2670" t="s">
        <v>1867</v>
      </c>
      <c r="C171" s="1677" t="s">
        <v>1824</v>
      </c>
      <c r="D171" s="2755" t="str" cm="1">
        <f t="array" ref="D171">IF(D168,_xldudf_CX_PUSH(D167,CX_ENTITY,fx_attrConverter(C166),EOMONTH(val_asOfDate,2)),"No Push")</f>
        <v>No Push</v>
      </c>
      <c r="E171" s="2677"/>
      <c r="F171" s="2726"/>
      <c r="G171" s="2696"/>
      <c r="H171" s="2702"/>
      <c r="I171" s="2695"/>
      <c r="J171" s="2695"/>
      <c r="K171" s="2687"/>
      <c r="L171" s="2685"/>
      <c r="M171" s="2712"/>
      <c r="N171" s="2718"/>
      <c r="O171" s="2719"/>
      <c r="P171" s="2677"/>
      <c r="V171" s="158"/>
      <c r="W171" s="2"/>
      <c r="X171" s="52"/>
      <c r="Y171" s="2"/>
      <c r="Z171" s="539"/>
      <c r="AA171" s="2"/>
      <c r="AB171" s="2"/>
      <c r="AC171" s="39"/>
      <c r="AD171" s="406"/>
      <c r="AE171" s="428"/>
      <c r="AF171" s="439"/>
      <c r="AG171" s="661"/>
      <c r="AH171" s="485"/>
      <c r="AI171" s="630"/>
      <c r="AJ171" s="2792" t="str">
        <f t="shared" si="8"/>
        <v/>
      </c>
      <c r="AK171" s="3368" t="str">
        <f t="shared" si="8"/>
        <v/>
      </c>
      <c r="AL171" s="2792" t="str">
        <f t="shared" si="9"/>
        <v/>
      </c>
      <c r="AM171" s="631"/>
      <c r="AN171" s="1967" t="str">
        <f>IF(K171="","",_xlfn.NUMBERVALUE(K171)/IF($D$8,DebtOverview!fxVal_normal,1))</f>
        <v/>
      </c>
      <c r="AO171" s="640"/>
      <c r="AP171" s="1401"/>
      <c r="AQ171" s="641"/>
      <c r="AR171" s="3369" t="str">
        <f t="shared" si="10"/>
        <v/>
      </c>
      <c r="AS171" s="642"/>
      <c r="AT171" s="481" t="str" cm="1">
        <f t="array" ref="AT171">IF(AL171="","",AL171:AL171&amp;" / "&amp;val_reportingCurrency)</f>
        <v/>
      </c>
      <c r="AU171" s="429"/>
      <c r="AV171" s="432"/>
      <c r="AX171" s="1080"/>
      <c r="AY171" s="2726"/>
      <c r="AZ171" s="2839"/>
      <c r="BA171" s="2845"/>
      <c r="BB171" s="2825"/>
      <c r="BC171" s="2825"/>
      <c r="BD171" s="2822"/>
      <c r="BE171" s="2823"/>
      <c r="BF171" s="2685"/>
      <c r="BG171" s="2696"/>
      <c r="BH171" s="1080"/>
      <c r="BI171" s="2778"/>
      <c r="BJ171" s="2937"/>
      <c r="BK171" s="2921"/>
      <c r="BL171" s="2937"/>
      <c r="BM171" s="2878"/>
      <c r="BN171" s="2901"/>
      <c r="BO171" s="2812"/>
      <c r="BP171" s="2873"/>
      <c r="BQ171" s="2807"/>
      <c r="BR171" s="2808"/>
      <c r="BS171" s="2808"/>
      <c r="BT171" s="2808"/>
      <c r="BU171" s="2808"/>
      <c r="BV171" s="2808"/>
      <c r="BW171" s="2808"/>
      <c r="BX171" s="2808"/>
      <c r="BY171" s="2808"/>
      <c r="BZ171" s="2808"/>
      <c r="CA171" s="2808"/>
      <c r="CB171" s="2808"/>
      <c r="CC171" s="2808"/>
      <c r="CD171" s="2808"/>
      <c r="CE171" s="2808"/>
    </row>
    <row r="172" spans="1:83" ht="24.75" customHeight="1">
      <c r="A172" s="2676"/>
      <c r="B172" s="2670" t="s">
        <v>1867</v>
      </c>
      <c r="C172" s="1677" t="s">
        <v>1824</v>
      </c>
      <c r="D172" s="2755" t="str" cm="1">
        <f t="array" ref="D172">IF(D168,_xldudf_CX_PUSH(D167,CX_ENTITY,fx_attrConverter(C166),EOMONTH(val_asOfDate,13)),"No Push")</f>
        <v>No Push</v>
      </c>
      <c r="E172" s="2677"/>
      <c r="F172" s="2726"/>
      <c r="G172" s="2696"/>
      <c r="H172" s="2702"/>
      <c r="I172" s="2695"/>
      <c r="J172" s="2695"/>
      <c r="K172" s="2687"/>
      <c r="L172" s="2685"/>
      <c r="M172" s="2712"/>
      <c r="N172" s="2718"/>
      <c r="O172" s="2719"/>
      <c r="P172" s="2677"/>
      <c r="V172" s="158"/>
      <c r="W172" s="2"/>
      <c r="X172" s="52"/>
      <c r="Y172" s="2"/>
      <c r="Z172" s="539"/>
      <c r="AA172" s="2"/>
      <c r="AB172" s="2"/>
      <c r="AC172" s="39"/>
      <c r="AD172" s="406"/>
      <c r="AE172" s="428"/>
      <c r="AF172" s="439"/>
      <c r="AG172" s="661"/>
      <c r="AH172" s="485"/>
      <c r="AI172" s="630"/>
      <c r="AJ172" s="2792" t="str">
        <f t="shared" si="8"/>
        <v/>
      </c>
      <c r="AK172" s="3368" t="str">
        <f t="shared" si="8"/>
        <v/>
      </c>
      <c r="AL172" s="2792" t="str">
        <f t="shared" si="9"/>
        <v/>
      </c>
      <c r="AM172" s="631"/>
      <c r="AN172" s="1967" t="str">
        <f>IF(K172="","",_xlfn.NUMBERVALUE(K172)/IF($D$8,DebtOverview!fxVal_normal,1))</f>
        <v/>
      </c>
      <c r="AO172" s="640"/>
      <c r="AP172" s="1401"/>
      <c r="AQ172" s="641"/>
      <c r="AR172" s="3369" t="str">
        <f t="shared" si="10"/>
        <v/>
      </c>
      <c r="AS172" s="642"/>
      <c r="AT172" s="481" t="str" cm="1">
        <f t="array" ref="AT172">IF(AL172="","",AL172:AL172&amp;" / "&amp;val_reportingCurrency)</f>
        <v/>
      </c>
      <c r="AU172" s="429"/>
      <c r="AV172" s="432"/>
      <c r="AX172" s="1080"/>
      <c r="AY172" s="2726"/>
      <c r="AZ172" s="2839"/>
      <c r="BA172" s="2845"/>
      <c r="BB172" s="2825"/>
      <c r="BC172" s="2825"/>
      <c r="BD172" s="2822"/>
      <c r="BE172" s="2823"/>
      <c r="BF172" s="2685"/>
      <c r="BG172" s="2696"/>
      <c r="BH172" s="1080"/>
      <c r="BI172" s="2778"/>
      <c r="BJ172" s="2937"/>
      <c r="BK172" s="2921"/>
      <c r="BL172" s="2937"/>
      <c r="BM172" s="2878"/>
      <c r="BN172" s="2901"/>
      <c r="BO172" s="2812"/>
      <c r="BP172" s="2873"/>
      <c r="BQ172" s="2807"/>
      <c r="BR172" s="2808"/>
      <c r="BS172" s="2808"/>
      <c r="BT172" s="2808"/>
      <c r="BU172" s="2808"/>
      <c r="BV172" s="2808"/>
      <c r="BW172" s="2808"/>
      <c r="BX172" s="2808"/>
      <c r="BY172" s="2808"/>
      <c r="BZ172" s="2808"/>
      <c r="CA172" s="2808"/>
      <c r="CB172" s="2808"/>
      <c r="CC172" s="2808"/>
      <c r="CD172" s="2808"/>
      <c r="CE172" s="2808"/>
    </row>
    <row r="173" spans="1:83" ht="24.75" customHeight="1">
      <c r="A173" s="2676"/>
      <c r="B173" s="2673"/>
      <c r="C173" s="1920"/>
      <c r="D173" s="2757"/>
      <c r="E173" s="2677"/>
      <c r="F173" s="2726"/>
      <c r="G173" s="2696"/>
      <c r="H173" s="2702"/>
      <c r="I173" s="2695"/>
      <c r="J173" s="2695"/>
      <c r="K173" s="2687"/>
      <c r="L173" s="2685"/>
      <c r="M173" s="2712"/>
      <c r="N173" s="2718"/>
      <c r="O173" s="2719"/>
      <c r="P173" s="2677"/>
      <c r="V173" s="158"/>
      <c r="W173" s="2"/>
      <c r="X173" s="52"/>
      <c r="Y173" s="2"/>
      <c r="Z173" s="539"/>
      <c r="AA173" s="2"/>
      <c r="AB173" s="2"/>
      <c r="AC173" s="39"/>
      <c r="AD173" s="406"/>
      <c r="AE173" s="428"/>
      <c r="AF173" s="439"/>
      <c r="AG173" s="661"/>
      <c r="AH173" s="485"/>
      <c r="AI173" s="630"/>
      <c r="AJ173" s="2792" t="str">
        <f t="shared" si="8"/>
        <v/>
      </c>
      <c r="AK173" s="3368" t="str">
        <f t="shared" si="8"/>
        <v/>
      </c>
      <c r="AL173" s="2792" t="str">
        <f t="shared" si="9"/>
        <v/>
      </c>
      <c r="AM173" s="631"/>
      <c r="AN173" s="1967" t="str">
        <f>IF(K173="","",_xlfn.NUMBERVALUE(K173)/IF($D$8,DebtOverview!fxVal_normal,1))</f>
        <v/>
      </c>
      <c r="AO173" s="640"/>
      <c r="AP173" s="1401"/>
      <c r="AQ173" s="641"/>
      <c r="AR173" s="3369" t="str">
        <f t="shared" si="10"/>
        <v/>
      </c>
      <c r="AS173" s="642"/>
      <c r="AT173" s="481" t="str" cm="1">
        <f t="array" ref="AT173">IF(AL173="","",AL173:AL173&amp;" / "&amp;val_reportingCurrency)</f>
        <v/>
      </c>
      <c r="AU173" s="429"/>
      <c r="AV173" s="432"/>
      <c r="AX173" s="1080"/>
      <c r="AY173" s="2726"/>
      <c r="AZ173" s="2839"/>
      <c r="BA173" s="2845"/>
      <c r="BB173" s="2825"/>
      <c r="BC173" s="2825"/>
      <c r="BD173" s="2822"/>
      <c r="BE173" s="2823"/>
      <c r="BF173" s="2685"/>
      <c r="BG173" s="2696"/>
      <c r="BH173" s="1080"/>
      <c r="BI173" s="2778"/>
      <c r="BJ173" s="2937"/>
      <c r="BK173" s="2921"/>
      <c r="BL173" s="2937"/>
      <c r="BM173" s="2878"/>
      <c r="BN173" s="2901"/>
      <c r="BO173" s="2812"/>
      <c r="BP173" s="2873"/>
      <c r="BQ173" s="2807"/>
      <c r="BR173" s="2808"/>
      <c r="BS173" s="2808"/>
      <c r="BT173" s="2808"/>
      <c r="BU173" s="2808"/>
      <c r="BV173" s="2808"/>
      <c r="BW173" s="2808"/>
      <c r="BX173" s="2808"/>
      <c r="BY173" s="2808"/>
      <c r="BZ173" s="2808"/>
      <c r="CA173" s="2808"/>
      <c r="CB173" s="2808"/>
      <c r="CC173" s="2808"/>
      <c r="CD173" s="2808"/>
      <c r="CE173" s="2808"/>
    </row>
    <row r="174" spans="1:83" ht="24.75" customHeight="1">
      <c r="A174" s="2676"/>
      <c r="B174" s="2673"/>
      <c r="C174" s="1920"/>
      <c r="D174" s="2757"/>
      <c r="E174" s="2677"/>
      <c r="F174" s="2726"/>
      <c r="G174" s="2696"/>
      <c r="H174" s="2702"/>
      <c r="I174" s="2695"/>
      <c r="J174" s="2695"/>
      <c r="K174" s="2687"/>
      <c r="L174" s="2685"/>
      <c r="M174" s="2712"/>
      <c r="N174" s="2718"/>
      <c r="O174" s="2719"/>
      <c r="P174" s="2677"/>
      <c r="V174" s="158"/>
      <c r="W174" s="2"/>
      <c r="X174" s="52"/>
      <c r="Y174" s="2"/>
      <c r="Z174" s="539"/>
      <c r="AA174" s="2"/>
      <c r="AB174" s="2"/>
      <c r="AC174" s="39"/>
      <c r="AD174" s="406"/>
      <c r="AE174" s="428"/>
      <c r="AF174" s="439"/>
      <c r="AG174" s="661"/>
      <c r="AH174" s="485"/>
      <c r="AI174" s="630"/>
      <c r="AJ174" s="2792" t="str">
        <f t="shared" si="8"/>
        <v/>
      </c>
      <c r="AK174" s="3368" t="str">
        <f t="shared" si="8"/>
        <v/>
      </c>
      <c r="AL174" s="2792" t="str">
        <f t="shared" si="9"/>
        <v/>
      </c>
      <c r="AM174" s="631"/>
      <c r="AN174" s="1967" t="str">
        <f>IF(K174="","",_xlfn.NUMBERVALUE(K174)/IF($D$8,DebtOverview!fxVal_normal,1))</f>
        <v/>
      </c>
      <c r="AO174" s="640"/>
      <c r="AP174" s="1401"/>
      <c r="AQ174" s="641"/>
      <c r="AR174" s="3369" t="str">
        <f t="shared" si="10"/>
        <v/>
      </c>
      <c r="AS174" s="642"/>
      <c r="AT174" s="481" t="str" cm="1">
        <f t="array" ref="AT174">IF(AL174="","",AL174:AL174&amp;" / "&amp;val_reportingCurrency)</f>
        <v/>
      </c>
      <c r="AU174" s="429"/>
      <c r="AV174" s="432"/>
      <c r="AX174" s="1080"/>
      <c r="AY174" s="2726"/>
      <c r="AZ174" s="2839"/>
      <c r="BA174" s="2845"/>
      <c r="BB174" s="2825"/>
      <c r="BC174" s="2825"/>
      <c r="BD174" s="2822"/>
      <c r="BE174" s="2823"/>
      <c r="BF174" s="2685"/>
      <c r="BG174" s="2696"/>
      <c r="BH174" s="1080"/>
      <c r="BI174" s="2778"/>
      <c r="BJ174" s="2937"/>
      <c r="BK174" s="2921"/>
      <c r="BL174" s="2937"/>
      <c r="BM174" s="2878"/>
      <c r="BN174" s="2901"/>
      <c r="BO174" s="2812"/>
      <c r="BP174" s="2873"/>
      <c r="BQ174" s="2807"/>
      <c r="BR174" s="2808"/>
      <c r="BS174" s="2808"/>
      <c r="BT174" s="2808"/>
      <c r="BU174" s="2808"/>
      <c r="BV174" s="2808"/>
      <c r="BW174" s="2808"/>
      <c r="BX174" s="2808"/>
      <c r="BY174" s="2808"/>
      <c r="BZ174" s="2808"/>
      <c r="CA174" s="2808"/>
      <c r="CB174" s="2808"/>
      <c r="CC174" s="2808"/>
      <c r="CD174" s="2808"/>
      <c r="CE174" s="2808"/>
    </row>
    <row r="175" spans="1:83" ht="24.75" customHeight="1">
      <c r="A175" s="2676"/>
      <c r="B175" s="2673"/>
      <c r="C175" s="1920"/>
      <c r="D175" s="2757"/>
      <c r="E175" s="2677"/>
      <c r="F175" s="2726"/>
      <c r="G175" s="2696"/>
      <c r="H175" s="2702"/>
      <c r="I175" s="2695"/>
      <c r="J175" s="2695"/>
      <c r="K175" s="2687"/>
      <c r="L175" s="2685"/>
      <c r="M175" s="2712"/>
      <c r="N175" s="2718"/>
      <c r="O175" s="2719"/>
      <c r="P175" s="2677"/>
      <c r="V175" s="158"/>
      <c r="W175" s="2"/>
      <c r="X175" s="52"/>
      <c r="Y175" s="2"/>
      <c r="Z175" s="539"/>
      <c r="AA175" s="2"/>
      <c r="AB175" s="2"/>
      <c r="AC175" s="39"/>
      <c r="AD175" s="406"/>
      <c r="AE175" s="428"/>
      <c r="AF175" s="439"/>
      <c r="AG175" s="661"/>
      <c r="AH175" s="485"/>
      <c r="AI175" s="630"/>
      <c r="AJ175" s="2792" t="str">
        <f t="shared" si="8"/>
        <v/>
      </c>
      <c r="AK175" s="3368" t="str">
        <f t="shared" si="8"/>
        <v/>
      </c>
      <c r="AL175" s="2792" t="str">
        <f t="shared" si="9"/>
        <v/>
      </c>
      <c r="AM175" s="631"/>
      <c r="AN175" s="1967" t="str">
        <f>IF(K175="","",_xlfn.NUMBERVALUE(K175)/IF($D$8,DebtOverview!fxVal_normal,1))</f>
        <v/>
      </c>
      <c r="AO175" s="640"/>
      <c r="AP175" s="1402"/>
      <c r="AQ175" s="641"/>
      <c r="AR175" s="3369" t="str">
        <f t="shared" si="10"/>
        <v/>
      </c>
      <c r="AS175" s="642"/>
      <c r="AT175" s="481" t="str" cm="1">
        <f t="array" ref="AT175">IF(AL175="","",AL175:AL175&amp;" / "&amp;val_reportingCurrency)</f>
        <v/>
      </c>
      <c r="AU175" s="429"/>
      <c r="AV175" s="432"/>
      <c r="AX175" s="1080"/>
      <c r="AY175" s="2726"/>
      <c r="AZ175" s="2839"/>
      <c r="BA175" s="2845"/>
      <c r="BB175" s="2825"/>
      <c r="BC175" s="2825"/>
      <c r="BD175" s="2822"/>
      <c r="BE175" s="2823"/>
      <c r="BF175" s="2685"/>
      <c r="BG175" s="2696"/>
      <c r="BH175" s="1080"/>
      <c r="BI175" s="2778"/>
      <c r="BJ175" s="2937"/>
      <c r="BK175" s="2921"/>
      <c r="BL175" s="2937"/>
      <c r="BM175" s="2878"/>
      <c r="BN175" s="2901"/>
      <c r="BO175" s="2812"/>
      <c r="BP175" s="2873"/>
      <c r="BQ175" s="2807"/>
      <c r="BR175" s="2808"/>
      <c r="BS175" s="2808"/>
      <c r="BT175" s="2808"/>
      <c r="BU175" s="2808"/>
      <c r="BV175" s="2808"/>
      <c r="BW175" s="2808"/>
      <c r="BX175" s="2808"/>
      <c r="BY175" s="2808"/>
      <c r="BZ175" s="2808"/>
      <c r="CA175" s="2808"/>
      <c r="CB175" s="2808"/>
      <c r="CC175" s="2808"/>
      <c r="CD175" s="2808"/>
      <c r="CE175" s="2808"/>
    </row>
    <row r="176" spans="1:83" ht="24.5">
      <c r="A176" s="2676"/>
      <c r="B176" s="2670"/>
      <c r="C176" s="1913"/>
      <c r="D176" s="2752"/>
      <c r="E176" s="2677"/>
      <c r="F176" s="2726"/>
      <c r="G176" s="2689"/>
      <c r="H176" s="2689"/>
      <c r="I176" s="2691"/>
      <c r="J176" s="2695"/>
      <c r="K176" s="2687"/>
      <c r="L176" s="2685"/>
      <c r="M176" s="2712"/>
      <c r="N176" s="2718"/>
      <c r="O176" s="2719"/>
      <c r="P176" s="2677"/>
      <c r="V176" s="158"/>
      <c r="W176" s="2"/>
      <c r="X176" s="52"/>
      <c r="Y176" s="2"/>
      <c r="Z176" s="539"/>
      <c r="AA176" s="2"/>
      <c r="AB176" s="2"/>
      <c r="AC176" s="39"/>
      <c r="AD176" s="406"/>
      <c r="AE176" s="428"/>
      <c r="AF176" s="439"/>
      <c r="AG176" s="661"/>
      <c r="AH176" s="485"/>
      <c r="AI176" s="630"/>
      <c r="AJ176" s="2022"/>
      <c r="AK176" s="2022"/>
      <c r="AL176" s="2801" t="s">
        <v>551</v>
      </c>
      <c r="AM176" s="1173"/>
      <c r="AN176" s="2802" t="e">
        <f ca="1">AN165</f>
        <v>#NAME?</v>
      </c>
      <c r="AO176" s="1173"/>
      <c r="AP176" s="640"/>
      <c r="AQ176" s="1175"/>
      <c r="AR176" s="2796"/>
      <c r="AS176" s="642"/>
      <c r="AT176" s="481"/>
      <c r="AU176" s="429"/>
      <c r="AV176" s="432"/>
      <c r="AX176" s="1080"/>
      <c r="AY176" s="2726"/>
      <c r="AZ176" s="2817"/>
      <c r="BA176" s="2817"/>
      <c r="BB176" s="2832"/>
      <c r="BC176" s="2812"/>
      <c r="BD176" s="2806"/>
      <c r="BE176" s="2807"/>
      <c r="BF176" s="2685"/>
      <c r="BG176" s="2689"/>
      <c r="BH176" s="1080"/>
      <c r="BI176" s="2778"/>
      <c r="BJ176" s="2937"/>
      <c r="BK176" s="2921"/>
      <c r="BL176" s="2937"/>
      <c r="BM176" s="2878"/>
      <c r="BN176" s="2901"/>
      <c r="BO176" s="2812"/>
      <c r="BP176" s="2873"/>
      <c r="BQ176" s="2807"/>
      <c r="BR176" s="2808"/>
      <c r="BS176" s="2808"/>
      <c r="BT176" s="2808"/>
      <c r="BU176" s="2808"/>
      <c r="BV176" s="2808"/>
      <c r="BW176" s="2808"/>
      <c r="BX176" s="2808"/>
      <c r="BY176" s="2808"/>
      <c r="BZ176" s="2808"/>
      <c r="CA176" s="2808"/>
      <c r="CB176" s="2808"/>
      <c r="CC176" s="2808"/>
      <c r="CD176" s="2808"/>
      <c r="CE176" s="2808"/>
    </row>
    <row r="177" spans="1:83" ht="24.5">
      <c r="A177" s="2676"/>
      <c r="B177" s="2670"/>
      <c r="C177" s="1913"/>
      <c r="D177" s="2752"/>
      <c r="E177" s="2677"/>
      <c r="F177" s="2726"/>
      <c r="G177" s="2689"/>
      <c r="H177" s="2689"/>
      <c r="I177" s="2691"/>
      <c r="J177" s="2695"/>
      <c r="K177" s="2687"/>
      <c r="L177" s="2685"/>
      <c r="M177" s="2712"/>
      <c r="N177" s="2718"/>
      <c r="O177" s="2719"/>
      <c r="P177" s="2677"/>
      <c r="V177" s="158"/>
      <c r="W177" s="2"/>
      <c r="X177" s="52"/>
      <c r="Y177" s="2"/>
      <c r="Z177" s="539"/>
      <c r="AA177" s="2"/>
      <c r="AB177" s="2"/>
      <c r="AC177" s="39"/>
      <c r="AD177" s="406"/>
      <c r="AE177" s="428"/>
      <c r="AF177" s="439"/>
      <c r="AG177" s="661"/>
      <c r="AH177" s="485"/>
      <c r="AI177" s="630"/>
      <c r="AJ177" s="2022"/>
      <c r="AK177" s="2022"/>
      <c r="AL177" s="2797" t="s">
        <v>457</v>
      </c>
      <c r="AM177" s="1173"/>
      <c r="AN177" s="2799">
        <f>SUMIFS($AN$166:$AN$175,$AK$166:$AK$175,AL177)</f>
        <v>0</v>
      </c>
      <c r="AO177" s="1173"/>
      <c r="AP177" s="640"/>
      <c r="AQ177" s="1175"/>
      <c r="AR177" s="2796"/>
      <c r="AS177" s="642"/>
      <c r="AT177" s="481"/>
      <c r="AU177" s="429"/>
      <c r="AV177" s="432"/>
      <c r="AX177" s="1080"/>
      <c r="AY177" s="2726"/>
      <c r="AZ177" s="2817"/>
      <c r="BA177" s="2817"/>
      <c r="BB177" s="2832"/>
      <c r="BC177" s="2812"/>
      <c r="BD177" s="2806"/>
      <c r="BE177" s="2807"/>
      <c r="BF177" s="2685"/>
      <c r="BG177" s="2689"/>
      <c r="BH177" s="1080"/>
      <c r="BI177" s="2778"/>
      <c r="BJ177" s="2937"/>
      <c r="BK177" s="2921"/>
      <c r="BL177" s="2937"/>
      <c r="BM177" s="2878"/>
      <c r="BN177" s="2901"/>
      <c r="BO177" s="2812"/>
      <c r="BP177" s="2873"/>
      <c r="BQ177" s="2807"/>
      <c r="BR177" s="2808"/>
      <c r="BS177" s="2808"/>
      <c r="BT177" s="2808"/>
      <c r="BU177" s="2808"/>
      <c r="BV177" s="2808"/>
      <c r="BW177" s="2808"/>
      <c r="BX177" s="2808"/>
      <c r="BY177" s="2808"/>
      <c r="BZ177" s="2808"/>
      <c r="CA177" s="2808"/>
      <c r="CB177" s="2808"/>
      <c r="CC177" s="2808"/>
      <c r="CD177" s="2808"/>
      <c r="CE177" s="2808"/>
    </row>
    <row r="178" spans="1:83" ht="24.5">
      <c r="A178" s="2676"/>
      <c r="B178" s="2670"/>
      <c r="C178" s="1913"/>
      <c r="D178" s="2752"/>
      <c r="E178" s="2677"/>
      <c r="F178" s="2726"/>
      <c r="G178" s="2689"/>
      <c r="H178" s="2689"/>
      <c r="I178" s="2691"/>
      <c r="J178" s="2695"/>
      <c r="K178" s="2687"/>
      <c r="L178" s="2685"/>
      <c r="M178" s="2712"/>
      <c r="N178" s="2718"/>
      <c r="O178" s="2719"/>
      <c r="P178" s="2677"/>
      <c r="V178" s="158"/>
      <c r="W178" s="2"/>
      <c r="X178" s="52"/>
      <c r="Y178" s="2"/>
      <c r="Z178" s="539"/>
      <c r="AA178" s="2"/>
      <c r="AB178" s="2"/>
      <c r="AC178" s="39"/>
      <c r="AD178" s="406"/>
      <c r="AE178" s="428"/>
      <c r="AF178" s="439"/>
      <c r="AG178" s="661"/>
      <c r="AH178" s="485"/>
      <c r="AI178" s="1185"/>
      <c r="AJ178" s="2029"/>
      <c r="AK178" s="2029"/>
      <c r="AL178" s="2798" t="s">
        <v>1946</v>
      </c>
      <c r="AM178" s="643"/>
      <c r="AN178" s="2800">
        <f>SUMIFS($AN$166:$AN$175,$AK$166:$AK$175,AL178)</f>
        <v>0</v>
      </c>
      <c r="AO178" s="643"/>
      <c r="AP178" s="644"/>
      <c r="AQ178" s="645"/>
      <c r="AR178" s="646"/>
      <c r="AS178" s="647"/>
      <c r="AT178" s="481"/>
      <c r="AU178" s="429"/>
      <c r="AV178" s="432"/>
      <c r="AX178" s="1080"/>
      <c r="AY178" s="2726"/>
      <c r="AZ178" s="2817"/>
      <c r="BA178" s="2817"/>
      <c r="BB178" s="2832"/>
      <c r="BC178" s="2812"/>
      <c r="BD178" s="2806"/>
      <c r="BE178" s="2807"/>
      <c r="BF178" s="2685"/>
      <c r="BG178" s="2689"/>
      <c r="BH178" s="1080"/>
      <c r="BI178" s="2778"/>
      <c r="BJ178" s="2937"/>
      <c r="BK178" s="2921"/>
      <c r="BL178" s="2937"/>
      <c r="BM178" s="2878"/>
      <c r="BN178" s="2901"/>
      <c r="BO178" s="2812"/>
      <c r="BP178" s="2873"/>
      <c r="BQ178" s="2807"/>
      <c r="BR178" s="2808"/>
      <c r="BS178" s="2808"/>
      <c r="BT178" s="2808"/>
      <c r="BU178" s="2808"/>
      <c r="BV178" s="2808"/>
      <c r="BW178" s="2808"/>
      <c r="BX178" s="2808"/>
      <c r="BY178" s="2808"/>
      <c r="BZ178" s="2808"/>
      <c r="CA178" s="2808"/>
      <c r="CB178" s="2808"/>
      <c r="CC178" s="2808"/>
      <c r="CD178" s="2808"/>
      <c r="CE178" s="2808"/>
    </row>
    <row r="179" spans="1:83" ht="15.5">
      <c r="A179" s="2676"/>
      <c r="B179" s="2670"/>
      <c r="C179" s="1913"/>
      <c r="D179" s="2752"/>
      <c r="E179" s="2677"/>
      <c r="F179" s="2726"/>
      <c r="G179" s="2689"/>
      <c r="H179" s="2689"/>
      <c r="I179" s="2691"/>
      <c r="J179" s="2695"/>
      <c r="K179" s="2687"/>
      <c r="L179" s="2685"/>
      <c r="M179" s="2712"/>
      <c r="N179" s="2713"/>
      <c r="O179" s="2717"/>
      <c r="P179" s="2677"/>
      <c r="V179" s="158"/>
      <c r="W179" s="2"/>
      <c r="X179" s="52"/>
      <c r="Y179" s="2"/>
      <c r="Z179" s="539"/>
      <c r="AA179" s="2"/>
      <c r="AB179" s="2"/>
      <c r="AC179" s="39"/>
      <c r="AD179" s="406"/>
      <c r="AE179" s="428"/>
      <c r="AF179" s="439"/>
      <c r="AG179" s="453"/>
      <c r="AH179" s="453"/>
      <c r="AI179" s="475"/>
      <c r="AJ179" s="2011"/>
      <c r="AK179" s="2011"/>
      <c r="AL179" s="475"/>
      <c r="AM179" s="429"/>
      <c r="AN179" s="1975"/>
      <c r="AO179" s="476"/>
      <c r="AP179" s="477"/>
      <c r="AQ179" s="477"/>
      <c r="AR179" s="478"/>
      <c r="AS179" s="477"/>
      <c r="AT179" s="481"/>
      <c r="AU179" s="429"/>
      <c r="AV179" s="432"/>
      <c r="AX179" s="1080"/>
      <c r="AY179" s="2726"/>
      <c r="AZ179" s="2817"/>
      <c r="BA179" s="2817"/>
      <c r="BB179" s="2832"/>
      <c r="BC179" s="2812"/>
      <c r="BD179" s="2806"/>
      <c r="BE179" s="2807"/>
      <c r="BF179" s="2685"/>
      <c r="BG179" s="2689"/>
      <c r="BH179" s="1080"/>
      <c r="BI179" s="2778"/>
      <c r="BJ179" s="2937"/>
      <c r="BK179" s="2921"/>
      <c r="BL179" s="2937"/>
      <c r="BM179" s="2878"/>
      <c r="BN179" s="2901"/>
      <c r="BO179" s="2812"/>
      <c r="BP179" s="2873"/>
      <c r="BQ179" s="2807"/>
      <c r="BR179" s="2808"/>
      <c r="BS179" s="2808"/>
      <c r="BT179" s="2808"/>
      <c r="BU179" s="2808"/>
      <c r="BV179" s="2808"/>
      <c r="BW179" s="2808"/>
      <c r="BX179" s="2808"/>
      <c r="BY179" s="2808"/>
      <c r="BZ179" s="2808"/>
      <c r="CA179" s="2808"/>
      <c r="CB179" s="2808"/>
      <c r="CC179" s="2808"/>
      <c r="CD179" s="2808"/>
      <c r="CE179" s="2808"/>
    </row>
    <row r="180" spans="1:83" ht="32.5">
      <c r="A180" s="2676"/>
      <c r="B180" s="2670"/>
      <c r="C180" s="1913"/>
      <c r="D180" s="2752"/>
      <c r="E180" s="2677"/>
      <c r="F180" s="2726"/>
      <c r="G180" s="2689"/>
      <c r="H180" s="2689"/>
      <c r="I180" s="2691"/>
      <c r="J180" s="2695"/>
      <c r="K180" s="2687"/>
      <c r="L180" s="2685"/>
      <c r="M180" s="2712"/>
      <c r="N180" s="2713"/>
      <c r="O180" s="2717"/>
      <c r="P180" s="2677"/>
      <c r="V180" s="158"/>
      <c r="W180" s="2"/>
      <c r="X180" s="52"/>
      <c r="Y180" s="2"/>
      <c r="Z180" s="539"/>
      <c r="AA180" s="2"/>
      <c r="AB180" s="2"/>
      <c r="AC180" s="39"/>
      <c r="AD180" s="406"/>
      <c r="AE180" s="428"/>
      <c r="AF180" s="650"/>
      <c r="AG180" s="651"/>
      <c r="AH180" s="440"/>
      <c r="AI180" s="441" t="s">
        <v>1825</v>
      </c>
      <c r="AJ180" s="2012"/>
      <c r="AK180" s="2012"/>
      <c r="AL180" s="441"/>
      <c r="AM180" s="442"/>
      <c r="AN180" s="1976"/>
      <c r="AO180" s="443"/>
      <c r="AP180" s="444"/>
      <c r="AQ180" s="444"/>
      <c r="AR180" s="444"/>
      <c r="AS180" s="429"/>
      <c r="AT180" s="429"/>
      <c r="AU180" s="429"/>
      <c r="AV180" s="445"/>
      <c r="AX180" s="1080"/>
      <c r="AY180" s="2726"/>
      <c r="AZ180" s="2817"/>
      <c r="BA180" s="2817"/>
      <c r="BB180" s="2832"/>
      <c r="BC180" s="2812"/>
      <c r="BD180" s="2806"/>
      <c r="BE180" s="2807"/>
      <c r="BF180" s="2685"/>
      <c r="BG180" s="2689"/>
      <c r="BH180" s="1080"/>
      <c r="BI180" s="2778"/>
      <c r="BJ180" s="2937"/>
      <c r="BK180" s="2921"/>
      <c r="BL180" s="2937"/>
      <c r="BM180" s="2878"/>
      <c r="BN180" s="2901"/>
      <c r="BO180" s="2812"/>
      <c r="BP180" s="2873"/>
      <c r="BQ180" s="2807"/>
      <c r="BR180" s="2808"/>
      <c r="BS180" s="2808"/>
      <c r="BT180" s="2808"/>
      <c r="BU180" s="2808"/>
      <c r="BV180" s="2808"/>
      <c r="BW180" s="2808"/>
      <c r="BX180" s="2808"/>
      <c r="BY180" s="2808"/>
      <c r="BZ180" s="2808"/>
      <c r="CA180" s="2808"/>
      <c r="CB180" s="2808"/>
      <c r="CC180" s="2808"/>
      <c r="CD180" s="2808"/>
      <c r="CE180" s="2808"/>
    </row>
    <row r="181" spans="1:83" ht="15.5">
      <c r="A181" s="2676" t="s">
        <v>22</v>
      </c>
      <c r="B181" s="2670"/>
      <c r="C181" s="1913"/>
      <c r="D181" s="2752"/>
      <c r="E181" s="2677"/>
      <c r="F181" s="2726"/>
      <c r="G181" s="2689"/>
      <c r="H181" s="2689"/>
      <c r="I181" s="2689"/>
      <c r="J181" s="2689"/>
      <c r="K181" s="2687"/>
      <c r="L181" s="2685"/>
      <c r="M181" s="2712"/>
      <c r="N181" s="2713"/>
      <c r="O181" s="2717"/>
      <c r="P181" s="2677"/>
      <c r="V181" s="158"/>
      <c r="W181" s="2"/>
      <c r="X181" s="52"/>
      <c r="Y181" s="2"/>
      <c r="Z181" s="539"/>
      <c r="AA181" s="2"/>
      <c r="AB181" s="2"/>
      <c r="AC181" s="39"/>
      <c r="AD181" s="406"/>
      <c r="AE181" s="428"/>
      <c r="AF181" s="439"/>
      <c r="AG181" s="453"/>
      <c r="AH181" s="453"/>
      <c r="AI181" s="475"/>
      <c r="AJ181" s="2011"/>
      <c r="AK181" s="2011"/>
      <c r="AL181" s="475"/>
      <c r="AM181" s="429"/>
      <c r="AN181" s="1975"/>
      <c r="AO181" s="476"/>
      <c r="AP181" s="477"/>
      <c r="AQ181" s="477"/>
      <c r="AR181" s="478"/>
      <c r="AS181" s="477"/>
      <c r="AT181" s="481"/>
      <c r="AU181" s="429"/>
      <c r="AV181" s="432"/>
      <c r="AX181" s="1080"/>
      <c r="AY181" s="2726"/>
      <c r="AZ181" s="2817"/>
      <c r="BA181" s="2817"/>
      <c r="BB181" s="2817"/>
      <c r="BC181" s="2817"/>
      <c r="BD181" s="2806"/>
      <c r="BE181" s="2807"/>
      <c r="BF181" s="2685"/>
      <c r="BG181" s="2689"/>
      <c r="BH181" s="1080"/>
      <c r="BI181" s="2778"/>
      <c r="BJ181" s="2937"/>
      <c r="BK181" s="2921"/>
      <c r="BL181" s="2937"/>
      <c r="BM181" s="2878"/>
      <c r="BN181" s="2901"/>
      <c r="BO181" s="2861"/>
      <c r="BP181" s="2873"/>
      <c r="BQ181" s="2807"/>
      <c r="BR181" s="2808"/>
      <c r="BS181" s="2808"/>
      <c r="BT181" s="2808"/>
      <c r="BU181" s="2808"/>
      <c r="BV181" s="2808"/>
      <c r="BW181" s="2808"/>
      <c r="BX181" s="2808"/>
      <c r="BY181" s="2808"/>
      <c r="BZ181" s="2808"/>
      <c r="CA181" s="2808"/>
      <c r="CB181" s="2808"/>
      <c r="CC181" s="2808"/>
      <c r="CD181" s="2808"/>
      <c r="CE181" s="2808"/>
    </row>
    <row r="182" spans="1:83" ht="18">
      <c r="A182" s="2676"/>
      <c r="B182" s="2787" t="s">
        <v>1875</v>
      </c>
      <c r="C182" s="3361" t="s">
        <v>1826</v>
      </c>
      <c r="D182" s="2759" t="e" cm="1">
        <f t="array" ca="1" aca="1" ref="D182">_xldudf_CX_PUSH(AN182*DebtOverview!fxVal_normal,CX_ENTITY,fx_attrConverter(C182),val_asOfDate,"As of",fx_scenarioConverter("Actual"))</f>
        <v>#NAME?</v>
      </c>
      <c r="E182" s="2677"/>
      <c r="F182" s="2726"/>
      <c r="G182" s="2741" t="s">
        <v>1784</v>
      </c>
      <c r="H182" s="2742" t="s">
        <v>431</v>
      </c>
      <c r="I182" s="2742" t="s">
        <v>1785</v>
      </c>
      <c r="J182" s="2743" t="s">
        <v>31</v>
      </c>
      <c r="K182" s="2744" t="s">
        <v>1786</v>
      </c>
      <c r="L182" s="2745" t="s">
        <v>268</v>
      </c>
      <c r="M182" s="2668"/>
      <c r="N182" s="2747" t="s">
        <v>1787</v>
      </c>
      <c r="O182" s="2748" t="s">
        <v>1869</v>
      </c>
      <c r="P182" s="2677"/>
      <c r="V182" s="158"/>
      <c r="W182" s="2"/>
      <c r="X182" s="52"/>
      <c r="Y182" s="2"/>
      <c r="Z182" s="539"/>
      <c r="AA182" s="2"/>
      <c r="AB182" s="2"/>
      <c r="AC182" s="39"/>
      <c r="AD182" s="406"/>
      <c r="AE182" s="428"/>
      <c r="AF182" s="439"/>
      <c r="AG182" s="661"/>
      <c r="AH182" s="453"/>
      <c r="AI182" s="665" t="s">
        <v>1826</v>
      </c>
      <c r="AJ182" s="596"/>
      <c r="AK182" s="596"/>
      <c r="AL182" s="596"/>
      <c r="AM182" s="563"/>
      <c r="AN182" s="1973" cm="1">
        <f t="array" ref="AN182">IF(N(SUM(AN184:AN194))=0,0,IFERROR(SUM(_xlfn._xlws.FILTER(AN184:AN194,AP184:AP194&gt;val_asOfDate)),0))</f>
        <v>0</v>
      </c>
      <c r="AO182" s="2871">
        <f>IF(BG184,0,IF(BG186,1,-1))</f>
        <v>0</v>
      </c>
      <c r="AP182" s="597"/>
      <c r="AQ182" s="2871">
        <f>IF(BG185,0,IF(BG186,1,-1))</f>
        <v>0</v>
      </c>
      <c r="AR182" s="690" t="str">
        <f>IF(N(AN182=0),"",AR184)</f>
        <v/>
      </c>
      <c r="AS182" s="477"/>
      <c r="AT182" s="481"/>
      <c r="AU182" s="429"/>
      <c r="AV182" s="432"/>
      <c r="AX182" s="1080"/>
      <c r="AY182" s="2726"/>
      <c r="AZ182" s="2805"/>
      <c r="BA182" s="2812"/>
      <c r="BB182" s="2812"/>
      <c r="BC182" s="2813"/>
      <c r="BD182" s="2814"/>
      <c r="BE182" s="2807"/>
      <c r="BF182" s="2745"/>
      <c r="BG182" s="2741"/>
      <c r="BH182" s="1080"/>
      <c r="BI182" s="2778"/>
      <c r="BJ182" s="2937"/>
      <c r="BK182" s="2921"/>
      <c r="BL182" s="2937"/>
      <c r="BM182" s="2878"/>
      <c r="BN182" s="2901"/>
      <c r="BO182" s="2813"/>
      <c r="BP182" s="2814"/>
      <c r="BQ182" s="2807"/>
      <c r="BR182" s="2808"/>
      <c r="BS182" s="2808"/>
      <c r="BT182" s="2808"/>
      <c r="BU182" s="2808"/>
      <c r="BV182" s="2808"/>
      <c r="BW182" s="2808"/>
      <c r="BX182" s="2808"/>
      <c r="BY182" s="2808"/>
      <c r="BZ182" s="2808"/>
      <c r="CA182" s="2808"/>
      <c r="CB182" s="2808"/>
      <c r="CC182" s="2808"/>
      <c r="CD182" s="2808"/>
      <c r="CE182" s="2808"/>
    </row>
    <row r="183" spans="1:83" ht="18">
      <c r="A183" s="2676"/>
      <c r="B183" s="2787" t="s">
        <v>1876</v>
      </c>
      <c r="C183" s="2787"/>
      <c r="D183" s="2752"/>
      <c r="E183" s="2677"/>
      <c r="F183" s="2726"/>
      <c r="G183" s="2689"/>
      <c r="H183" s="2689"/>
      <c r="I183" s="2689"/>
      <c r="J183" s="2689"/>
      <c r="K183" s="2687"/>
      <c r="L183" s="2685"/>
      <c r="M183" s="2712"/>
      <c r="N183" s="2718"/>
      <c r="O183" s="2719"/>
      <c r="P183" s="2677"/>
      <c r="V183" s="158"/>
      <c r="W183" s="2"/>
      <c r="X183" s="52"/>
      <c r="Y183" s="2"/>
      <c r="Z183" s="539"/>
      <c r="AA183" s="2"/>
      <c r="AB183" s="2"/>
      <c r="AC183" s="39"/>
      <c r="AD183" s="406"/>
      <c r="AE183" s="428"/>
      <c r="AF183" s="439"/>
      <c r="AG183" s="662"/>
      <c r="AH183" s="483"/>
      <c r="AI183" s="615"/>
      <c r="AJ183" s="2013"/>
      <c r="AK183" s="2013"/>
      <c r="AL183" s="613"/>
      <c r="AM183" s="628"/>
      <c r="AN183" s="1539" t="s">
        <v>1791</v>
      </c>
      <c r="AO183" s="518"/>
      <c r="AP183" s="666" t="s">
        <v>1805</v>
      </c>
      <c r="AQ183" s="629"/>
      <c r="AR183" s="667" t="s">
        <v>1789</v>
      </c>
      <c r="AS183" s="616"/>
      <c r="AT183" s="484"/>
      <c r="AU183" s="429"/>
      <c r="AV183" s="432"/>
      <c r="AX183" s="1080"/>
      <c r="AY183" s="2726"/>
      <c r="AZ183" s="2805" t="s">
        <v>1784</v>
      </c>
      <c r="BA183" s="2812" t="s">
        <v>431</v>
      </c>
      <c r="BB183" s="2812" t="s">
        <v>1785</v>
      </c>
      <c r="BC183" s="2813" t="s">
        <v>31</v>
      </c>
      <c r="BD183" s="2814" t="s">
        <v>1786</v>
      </c>
      <c r="BE183" s="2807" t="s">
        <v>268</v>
      </c>
      <c r="BF183" s="2780"/>
      <c r="BG183" s="2781"/>
      <c r="BH183" s="1080"/>
      <c r="BI183" s="2778"/>
      <c r="BJ183" s="2937"/>
      <c r="BK183" s="2921"/>
      <c r="BL183" s="2937"/>
      <c r="BM183" s="2878"/>
      <c r="BN183" s="2901"/>
      <c r="BO183" s="2861"/>
      <c r="BP183" s="2873"/>
      <c r="BQ183" s="2807"/>
      <c r="BR183" s="2808"/>
      <c r="BS183" s="2808"/>
      <c r="BT183" s="2808"/>
      <c r="BU183" s="2808"/>
      <c r="BV183" s="2808"/>
      <c r="BW183" s="2808"/>
      <c r="BX183" s="2808"/>
      <c r="BY183" s="2808"/>
      <c r="BZ183" s="2808"/>
      <c r="CA183" s="2808"/>
      <c r="CB183" s="2808"/>
      <c r="CC183" s="2808"/>
      <c r="CD183" s="2808"/>
      <c r="CE183" s="2808"/>
    </row>
    <row r="184" spans="1:83" ht="24.75" customHeight="1">
      <c r="A184" s="2676"/>
      <c r="B184" s="2670" t="s">
        <v>1879</v>
      </c>
      <c r="C184" s="3364" t="s">
        <v>1827</v>
      </c>
      <c r="D184" s="2758" t="e" cm="1">
        <f t="array" ca="1" aca="1" ref="D184">_xldudf_CX_GET(CX_ENTITY,fx_attrConverter(C184),val_asOfDate)</f>
        <v>#NAME?</v>
      </c>
      <c r="E184" s="2677"/>
      <c r="F184" s="2726"/>
      <c r="G184" s="2769" t="e" cm="1">
        <f t="array" ca="1" aca="1" ref="G184">IF(D184="","",_xlfn.TEXTSPLIT(D184,"|","¶",FALSE))</f>
        <v>#NAME?</v>
      </c>
      <c r="H184" s="2770"/>
      <c r="I184" s="2771"/>
      <c r="J184" s="2771"/>
      <c r="K184" s="2772"/>
      <c r="L184" s="2773"/>
      <c r="M184" s="2668"/>
      <c r="N184" s="2735" t="e" vm="10" cm="1">
        <f t="array" ref="N184">_xlfn.LET(_xlpm.cf,AN184:AN194,_xlpm.Res,_xlfn.BYROW(_xlpm.cf,_xlfn.LAMBDA(_xlpm.x,IF(AND(ISNUMBER(_xlpm.x),ISERROR(_xlpm.x)=FALSE),_xlpm.x/SUM(_xlpm.cf),""))),_xlfn._xlws.FILTER(_xlpm.Res,_xlpm.Res&lt;&gt;""))</f>
        <v>#VALUE!</v>
      </c>
      <c r="O184" s="2736" t="e" vm="10" cm="1">
        <f t="array" ref="O184">_xlfn.LET(_xlpm.repay,_xlfn.ANCHORARRAY(N184),_xlpm.date,AP184:AP194,_xlpm.date_,_xlfn._xlws.FILTER(_xlpm.date,_xlpm.date&lt;&gt;""),IF((_xlpm.date_&gt;val_asOfDate),DATEDIF(val_asOfDate,_xlpm.date_,"M")/12,0))</f>
        <v>#VALUE!</v>
      </c>
      <c r="P184" s="2677"/>
      <c r="V184" s="158"/>
      <c r="W184" s="101"/>
      <c r="X184" s="52"/>
      <c r="Y184" s="101"/>
      <c r="Z184" s="126"/>
      <c r="AA184" s="101"/>
      <c r="AB184" s="101"/>
      <c r="AC184" s="39"/>
      <c r="AD184" s="406"/>
      <c r="AE184" s="428"/>
      <c r="AF184" s="439"/>
      <c r="AG184" s="661"/>
      <c r="AH184" s="485"/>
      <c r="AI184" s="615"/>
      <c r="AJ184" s="2030"/>
      <c r="AK184" s="2649"/>
      <c r="AL184" s="3087"/>
      <c r="AM184" s="515"/>
      <c r="AN184" s="1967" t="str">
        <f>IF(K184="","",_xlfn.NUMBERVALUE(K184)/IF($D$8,DebtOverview!fxVal_normal,1))</f>
        <v/>
      </c>
      <c r="AO184" s="519"/>
      <c r="AP184" s="2273" t="str">
        <f t="shared" si="11" ref="AP184:AP194">IF(L184="","",DATEVALUE(TEXT(VALUE(L184),"mmm-yyyy")))</f>
        <v/>
      </c>
      <c r="AQ184" s="638"/>
      <c r="AR184" s="3078" t="str">
        <f>IFERROR(SUMPRODUCT(_xlfn.ANCHORARRAY(N183),_xlfn.ANCHORARRAY(O183)),"n/a")</f>
        <v>n/a</v>
      </c>
      <c r="AS184" s="621"/>
      <c r="AT184" s="448"/>
      <c r="AU184" s="429"/>
      <c r="AV184" s="432"/>
      <c r="AX184" s="1080"/>
      <c r="AY184" s="2726"/>
      <c r="AZ184" s="2818" t="e" vm="10" cm="1">
        <f t="array" ref="AZ184">_xlfn.LET(_xlpm._amt,AN184:AN194,_xlpm._dates,AP184:AP194,_xlpm.attribute,C184,_xlpm.entity,$AK$186,_xlpm.lookthru,$AK$190,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#VALUE!</v>
      </c>
      <c r="BA184" s="2845"/>
      <c r="BB184" s="2825"/>
      <c r="BC184" s="2825"/>
      <c r="BD184" s="2822"/>
      <c r="BE184" s="2823"/>
      <c r="BF184" s="2685" t="s">
        <v>1956</v>
      </c>
      <c r="BG184" s="3254" t="b" cm="1">
        <f t="array" ref="BG184">AND(OR(AND((AN184:AP194=0),AND(AN184:AP194="")),AN182=0))</f>
        <v>1</v>
      </c>
      <c r="BH184" s="1080"/>
      <c r="BI184" s="2778"/>
      <c r="BJ184" s="2937"/>
      <c r="BK184" s="2921"/>
      <c r="BL184" s="2937"/>
      <c r="BM184" s="2878"/>
      <c r="BN184" s="2901"/>
      <c r="BO184" s="2812"/>
      <c r="BP184" s="2873"/>
      <c r="BQ184" s="2807"/>
      <c r="BR184" s="2808"/>
      <c r="BS184" s="2808"/>
      <c r="BT184" s="2808"/>
      <c r="BU184" s="2808"/>
      <c r="BV184" s="2808"/>
      <c r="BW184" s="2808"/>
      <c r="BX184" s="2808"/>
      <c r="BY184" s="2808"/>
      <c r="BZ184" s="2808"/>
      <c r="CA184" s="2808"/>
      <c r="CB184" s="2808"/>
      <c r="CC184" s="2808"/>
      <c r="CD184" s="2808"/>
      <c r="CE184" s="2808"/>
    </row>
    <row r="185" spans="1:83" ht="24.75" customHeight="1">
      <c r="A185" s="2676"/>
      <c r="B185" s="2670" t="s">
        <v>1870</v>
      </c>
      <c r="C185" s="1677" t="s">
        <v>1827</v>
      </c>
      <c r="D185" s="2759" t="str">
        <f>IF(D186,_xlfn.TEXTJOIN("¶",FALSE,_xlfn.BYROW(_xlfn.ANCHORARRAY(AZ184),_xlfn.LAMBDA(_xlpm.row,_xlfn.TEXTJOIN("|",FALSE,_xlpm.row)))),"")</f>
        <v/>
      </c>
      <c r="E185" s="2677"/>
      <c r="F185" s="2726"/>
      <c r="G185" s="2769"/>
      <c r="H185" s="2775"/>
      <c r="I185" s="2776"/>
      <c r="J185" s="2771"/>
      <c r="K185" s="2772"/>
      <c r="L185" s="2773"/>
      <c r="M185" s="2668"/>
      <c r="N185" s="2730"/>
      <c r="O185" s="2774"/>
      <c r="P185" s="2677"/>
      <c r="V185" s="158"/>
      <c r="W185" s="101"/>
      <c r="X185" s="52"/>
      <c r="Y185" s="101"/>
      <c r="Z185" s="126"/>
      <c r="AA185" s="101"/>
      <c r="AB185" s="101"/>
      <c r="AC185" s="39"/>
      <c r="AD185" s="406"/>
      <c r="AE185" s="428"/>
      <c r="AF185" s="439"/>
      <c r="AG185" s="661"/>
      <c r="AH185" s="485"/>
      <c r="AI185" s="615"/>
      <c r="AJ185" s="2030"/>
      <c r="AK185" s="2649"/>
      <c r="AL185" s="3087"/>
      <c r="AM185" s="515"/>
      <c r="AN185" s="1967" t="str">
        <f>IF(K185="","",_xlfn.NUMBERVALUE(K185)/IF($D$8,DebtOverview!fxVal_normal,1))</f>
        <v/>
      </c>
      <c r="AO185" s="519"/>
      <c r="AP185" s="2273" t="str">
        <f t="shared" si="11"/>
        <v/>
      </c>
      <c r="AQ185" s="638"/>
      <c r="AR185" s="3079"/>
      <c r="AS185" s="621"/>
      <c r="AT185" s="448"/>
      <c r="AU185" s="429"/>
      <c r="AV185" s="432"/>
      <c r="AX185" s="1080"/>
      <c r="AY185" s="2726"/>
      <c r="AZ185" s="2818"/>
      <c r="BA185" s="2826"/>
      <c r="BB185" s="2819"/>
      <c r="BC185" s="2825"/>
      <c r="BD185" s="2822"/>
      <c r="BE185" s="2823"/>
      <c r="BF185" s="2685" t="s">
        <v>1954</v>
      </c>
      <c r="BG185" s="3252" t="b">
        <f>ROWS(_xlfn.ANCHORARRAY(N184))=ROWS(_xlfn.ANCHORARRAY(O184))</f>
        <v>1</v>
      </c>
      <c r="BH185" s="1080"/>
      <c r="BI185" s="2778"/>
      <c r="BJ185" s="2937"/>
      <c r="BK185" s="2921"/>
      <c r="BL185" s="2937"/>
      <c r="BM185" s="2878"/>
      <c r="BN185" s="2901"/>
      <c r="BO185" s="2812"/>
      <c r="BP185" s="2873"/>
      <c r="BQ185" s="2807"/>
      <c r="BR185" s="2808"/>
      <c r="BS185" s="2808"/>
      <c r="BT185" s="2808"/>
      <c r="BU185" s="2808"/>
      <c r="BV185" s="2808"/>
      <c r="BW185" s="2808"/>
      <c r="BX185" s="2808"/>
      <c r="BY185" s="2808"/>
      <c r="BZ185" s="2808"/>
      <c r="CA185" s="2808"/>
      <c r="CB185" s="2808"/>
      <c r="CC185" s="2808"/>
      <c r="CD185" s="2808"/>
      <c r="CE185" s="2808"/>
    </row>
    <row r="186" spans="1:83" ht="24.75" customHeight="1">
      <c r="A186" s="2676"/>
      <c r="B186" s="2670" t="s">
        <v>1864</v>
      </c>
      <c r="C186" s="1677" t="s">
        <v>1827</v>
      </c>
      <c r="D186" s="2755" t="b" cm="1">
        <f t="array" ref="D186">IF(ISERROR(AZ184),FALSE,OR(AZ184:BE184&lt;&gt;""))</f>
        <v>0</v>
      </c>
      <c r="E186" s="2677"/>
      <c r="F186" s="2726"/>
      <c r="G186" s="2769"/>
      <c r="H186" s="2775"/>
      <c r="I186" s="2776"/>
      <c r="J186" s="2771"/>
      <c r="K186" s="2772"/>
      <c r="L186" s="2773"/>
      <c r="M186" s="2668"/>
      <c r="N186" s="2730"/>
      <c r="O186" s="2777"/>
      <c r="P186" s="2677"/>
      <c r="V186" s="158"/>
      <c r="W186" s="101"/>
      <c r="X186" s="52"/>
      <c r="Y186" s="101"/>
      <c r="Z186" s="126"/>
      <c r="AA186" s="101"/>
      <c r="AB186" s="101"/>
      <c r="AC186" s="39"/>
      <c r="AD186" s="406"/>
      <c r="AE186" s="428"/>
      <c r="AF186" s="439"/>
      <c r="AG186" s="661"/>
      <c r="AH186" s="485"/>
      <c r="AI186" s="615"/>
      <c r="AJ186" s="2031" t="s">
        <v>1814</v>
      </c>
      <c r="AK186" s="3370" t="e" cm="1">
        <f t="array" ca="1" aca="1" ref="AK186">IFBLANK(G184,"")</f>
        <v>#NAME?</v>
      </c>
      <c r="AL186" s="3087"/>
      <c r="AM186" s="515"/>
      <c r="AN186" s="1967" t="str">
        <f>IF(K186="","",_xlfn.NUMBERVALUE(K186)/IF($D$8,DebtOverview!fxVal_normal,1))</f>
        <v/>
      </c>
      <c r="AO186" s="519"/>
      <c r="AP186" s="2273" t="str">
        <f t="shared" si="11"/>
        <v/>
      </c>
      <c r="AQ186" s="638"/>
      <c r="AR186" s="3079"/>
      <c r="AS186" s="621"/>
      <c r="AT186" s="448"/>
      <c r="AU186" s="429"/>
      <c r="AV186" s="432"/>
      <c r="AX186" s="1080"/>
      <c r="AY186" s="2726"/>
      <c r="AZ186" s="2818"/>
      <c r="BA186" s="2826"/>
      <c r="BB186" s="2819"/>
      <c r="BC186" s="2825"/>
      <c r="BD186" s="2822"/>
      <c r="BE186" s="2823"/>
      <c r="BF186" s="2685" t="s">
        <v>1955</v>
      </c>
      <c r="BG186" s="3252" t="b" cm="1">
        <f t="array" ref="BG186">(SUM(_xlfn._xlws.FILTER(AN184:AN194,AP184:AP194&gt;=val_asOfDate))-AN182)*DebtOverview!fxVal_normal&lt;1000</f>
        <v>1</v>
      </c>
      <c r="BH186" s="1080"/>
      <c r="BI186" s="2778"/>
      <c r="BJ186" s="2937"/>
      <c r="BK186" s="2921"/>
      <c r="BL186" s="2937"/>
      <c r="BM186" s="2878"/>
      <c r="BN186" s="2901"/>
      <c r="BO186" s="2812"/>
      <c r="BP186" s="2873"/>
      <c r="BQ186" s="2807"/>
      <c r="BR186" s="2808"/>
      <c r="BS186" s="2808"/>
      <c r="BT186" s="2808"/>
      <c r="BU186" s="2808"/>
      <c r="BV186" s="2808"/>
      <c r="BW186" s="2808"/>
      <c r="BX186" s="2808"/>
      <c r="BY186" s="2808"/>
      <c r="BZ186" s="2808"/>
      <c r="CA186" s="2808"/>
      <c r="CB186" s="2808"/>
      <c r="CC186" s="2808"/>
      <c r="CD186" s="2808"/>
      <c r="CE186" s="2808"/>
    </row>
    <row r="187" spans="1:83" ht="24.75" customHeight="1">
      <c r="A187" s="2676"/>
      <c r="B187" s="2670" t="s">
        <v>1867</v>
      </c>
      <c r="C187" s="1677" t="s">
        <v>1827</v>
      </c>
      <c r="D187" s="2755" t="str" cm="1">
        <f t="array" ref="D187">IF(D186,_xldudf_CX_PUSH(D185,CX_ENTITY,fx_attrConverter(C184),val_asOfDate),"No Push")</f>
        <v>No Push</v>
      </c>
      <c r="E187" s="2677"/>
      <c r="F187" s="2726"/>
      <c r="G187" s="2769"/>
      <c r="H187" s="2775"/>
      <c r="I187" s="2776"/>
      <c r="J187" s="2771"/>
      <c r="K187" s="2772"/>
      <c r="L187" s="2773"/>
      <c r="M187" s="2668"/>
      <c r="N187" s="2730"/>
      <c r="O187" s="2777"/>
      <c r="P187" s="2677"/>
      <c r="V187" s="158"/>
      <c r="W187" s="101"/>
      <c r="X187" s="52"/>
      <c r="Y187" s="101"/>
      <c r="Z187" s="126"/>
      <c r="AA187" s="101"/>
      <c r="AB187" s="101"/>
      <c r="AC187" s="39"/>
      <c r="AD187" s="406"/>
      <c r="AE187" s="428"/>
      <c r="AF187" s="439"/>
      <c r="AG187" s="661"/>
      <c r="AH187" s="485"/>
      <c r="AI187" s="615"/>
      <c r="AJ187" s="2033"/>
      <c r="AK187" s="289"/>
      <c r="AL187" s="814"/>
      <c r="AM187" s="515"/>
      <c r="AN187" s="1967" t="str">
        <f>IF(K187="","",_xlfn.NUMBERVALUE(K187)/IF($D$8,DebtOverview!fxVal_normal,1))</f>
        <v/>
      </c>
      <c r="AO187" s="519"/>
      <c r="AP187" s="2273" t="str">
        <f t="shared" si="11"/>
        <v/>
      </c>
      <c r="AQ187" s="638"/>
      <c r="AR187" s="3079"/>
      <c r="AS187" s="621"/>
      <c r="AT187" s="448"/>
      <c r="AU187" s="429"/>
      <c r="AV187" s="432"/>
      <c r="AX187" s="1080"/>
      <c r="AY187" s="2726"/>
      <c r="AZ187" s="2818"/>
      <c r="BA187" s="2826"/>
      <c r="BB187" s="2819"/>
      <c r="BC187" s="2825"/>
      <c r="BD187" s="2822"/>
      <c r="BE187" s="2823"/>
      <c r="BF187" s="2773"/>
      <c r="BG187" s="2769"/>
      <c r="BH187" s="1080"/>
      <c r="BI187" s="2778"/>
      <c r="BJ187" s="2937"/>
      <c r="BK187" s="2921"/>
      <c r="BL187" s="2937"/>
      <c r="BM187" s="2878"/>
      <c r="BN187" s="2901"/>
      <c r="BO187" s="2812"/>
      <c r="BP187" s="2873"/>
      <c r="BQ187" s="2807"/>
      <c r="BR187" s="2808"/>
      <c r="BS187" s="2808"/>
      <c r="BT187" s="2808"/>
      <c r="BU187" s="2808"/>
      <c r="BV187" s="2808"/>
      <c r="BW187" s="2808"/>
      <c r="BX187" s="2808"/>
      <c r="BY187" s="2808"/>
      <c r="BZ187" s="2808"/>
      <c r="CA187" s="2808"/>
      <c r="CB187" s="2808"/>
      <c r="CC187" s="2808"/>
      <c r="CD187" s="2808"/>
      <c r="CE187" s="2808"/>
    </row>
    <row r="188" spans="1:83" ht="24.75" customHeight="1">
      <c r="A188" s="2676"/>
      <c r="B188" s="2670" t="s">
        <v>1867</v>
      </c>
      <c r="C188" s="1677" t="s">
        <v>1827</v>
      </c>
      <c r="D188" s="2755" t="str" cm="1">
        <f t="array" ref="D188">IF(D186,_xldudf_CX_PUSH(D185,CX_ENTITY,fx_attrConverter(C184),EOMONTH(val_asOfDate,3)),"No Push")</f>
        <v>No Push</v>
      </c>
      <c r="E188" s="2677"/>
      <c r="F188" s="2726"/>
      <c r="G188" s="2769"/>
      <c r="H188" s="2775"/>
      <c r="I188" s="2776"/>
      <c r="J188" s="2771"/>
      <c r="K188" s="2772"/>
      <c r="L188" s="2773"/>
      <c r="M188" s="2668"/>
      <c r="N188" s="2730"/>
      <c r="O188" s="2777"/>
      <c r="P188" s="2677"/>
      <c r="V188" s="158"/>
      <c r="W188" s="101"/>
      <c r="X188" s="52"/>
      <c r="Y188" s="101"/>
      <c r="Z188" s="126"/>
      <c r="AA188" s="101"/>
      <c r="AB188" s="101"/>
      <c r="AC188" s="39"/>
      <c r="AD188" s="406"/>
      <c r="AE188" s="428"/>
      <c r="AF188" s="439"/>
      <c r="AG188" s="661"/>
      <c r="AH188" s="485"/>
      <c r="AI188" s="615"/>
      <c r="AJ188" s="2033"/>
      <c r="AK188" s="289"/>
      <c r="AL188" s="814"/>
      <c r="AM188" s="515"/>
      <c r="AN188" s="1967" t="str">
        <f>IF(K188="","",_xlfn.NUMBERVALUE(K188)/IF($D$8,DebtOverview!fxVal_normal,1))</f>
        <v/>
      </c>
      <c r="AO188" s="519"/>
      <c r="AP188" s="2273" t="str">
        <f t="shared" si="11"/>
        <v/>
      </c>
      <c r="AQ188" s="638"/>
      <c r="AR188" s="3079"/>
      <c r="AS188" s="621"/>
      <c r="AT188" s="448"/>
      <c r="AU188" s="429"/>
      <c r="AV188" s="432"/>
      <c r="AX188" s="1080"/>
      <c r="AY188" s="2726"/>
      <c r="AZ188" s="2818"/>
      <c r="BA188" s="2826"/>
      <c r="BB188" s="2819"/>
      <c r="BC188" s="2825"/>
      <c r="BD188" s="2822"/>
      <c r="BE188" s="2823"/>
      <c r="BF188" s="2773"/>
      <c r="BG188" s="2769"/>
      <c r="BH188" s="1080"/>
      <c r="BI188" s="2778"/>
      <c r="BJ188" s="2940"/>
      <c r="BK188" s="2923"/>
      <c r="BL188" s="2940"/>
      <c r="BM188" s="2877"/>
      <c r="BN188" s="2901"/>
      <c r="BO188" s="2812"/>
      <c r="BP188" s="2873"/>
      <c r="BQ188" s="2807"/>
      <c r="BR188" s="2808"/>
      <c r="BS188" s="2808"/>
      <c r="BT188" s="2808"/>
      <c r="BU188" s="2808"/>
      <c r="BV188" s="2808"/>
      <c r="BW188" s="2808"/>
      <c r="BX188" s="2808"/>
      <c r="BY188" s="2808"/>
      <c r="BZ188" s="2808"/>
      <c r="CA188" s="2808"/>
      <c r="CB188" s="2808"/>
      <c r="CC188" s="2808"/>
      <c r="CD188" s="2808"/>
      <c r="CE188" s="2808"/>
    </row>
    <row r="189" spans="1:83" ht="24.75" customHeight="1">
      <c r="A189" s="2676"/>
      <c r="B189" s="2670" t="s">
        <v>1867</v>
      </c>
      <c r="C189" s="1677" t="s">
        <v>1827</v>
      </c>
      <c r="D189" s="2755" t="str" cm="1">
        <f t="array" ref="D189">IF(D186,_xldudf_CX_PUSH(D185,CX_ENTITY,fx_attrConverter(C184),EOMONTH(val_asOfDate,2)),"No Push")</f>
        <v>No Push</v>
      </c>
      <c r="E189" s="2677"/>
      <c r="F189" s="2726"/>
      <c r="G189" s="2769"/>
      <c r="H189" s="2775"/>
      <c r="I189" s="2776"/>
      <c r="J189" s="2771"/>
      <c r="K189" s="2772"/>
      <c r="L189" s="2773"/>
      <c r="M189" s="2668"/>
      <c r="N189" s="2730"/>
      <c r="O189" s="2777"/>
      <c r="P189" s="2677"/>
      <c r="V189" s="158"/>
      <c r="W189" s="101"/>
      <c r="X189" s="52"/>
      <c r="Y189" s="101"/>
      <c r="Z189" s="126"/>
      <c r="AA189" s="101"/>
      <c r="AB189" s="101"/>
      <c r="AC189" s="39"/>
      <c r="AD189" s="406"/>
      <c r="AE189" s="428"/>
      <c r="AF189" s="439"/>
      <c r="AG189" s="661"/>
      <c r="AH189" s="485"/>
      <c r="AI189" s="615"/>
      <c r="AJ189" s="2034"/>
      <c r="AK189" s="2034"/>
      <c r="AL189" s="814"/>
      <c r="AM189" s="515"/>
      <c r="AN189" s="1967" t="str">
        <f>IF(K189="","",_xlfn.NUMBERVALUE(K189)/IF($D$8,DebtOverview!fxVal_normal,1))</f>
        <v/>
      </c>
      <c r="AO189" s="519"/>
      <c r="AP189" s="2273" t="str">
        <f t="shared" si="11"/>
        <v/>
      </c>
      <c r="AQ189" s="638"/>
      <c r="AR189" s="2647"/>
      <c r="AS189" s="621"/>
      <c r="AT189" s="448"/>
      <c r="AU189" s="429"/>
      <c r="AV189" s="432"/>
      <c r="AX189" s="1080"/>
      <c r="AY189" s="2726"/>
      <c r="AZ189" s="2818"/>
      <c r="BA189" s="2826"/>
      <c r="BB189" s="2819"/>
      <c r="BC189" s="2825"/>
      <c r="BD189" s="2822"/>
      <c r="BE189" s="2823"/>
      <c r="BF189" s="2773"/>
      <c r="BG189" s="2769"/>
      <c r="BH189" s="1080"/>
      <c r="BI189" s="2778"/>
      <c r="BJ189" s="2940"/>
      <c r="BK189" s="2923"/>
      <c r="BL189" s="2940"/>
      <c r="BM189" s="2877"/>
      <c r="BN189" s="2901"/>
      <c r="BO189" s="2812"/>
      <c r="BP189" s="2873"/>
      <c r="BQ189" s="2807"/>
      <c r="BR189" s="2808"/>
      <c r="BS189" s="2808"/>
      <c r="BT189" s="2808"/>
      <c r="BU189" s="2808"/>
      <c r="BV189" s="2808"/>
      <c r="BW189" s="2808"/>
      <c r="BX189" s="2808"/>
      <c r="BY189" s="2808"/>
      <c r="BZ189" s="2808"/>
      <c r="CA189" s="2808"/>
      <c r="CB189" s="2808"/>
      <c r="CC189" s="2808"/>
      <c r="CD189" s="2808"/>
      <c r="CE189" s="2808"/>
    </row>
    <row r="190" spans="1:83" ht="24.75" customHeight="1">
      <c r="A190" s="2676"/>
      <c r="B190" s="2670" t="s">
        <v>1867</v>
      </c>
      <c r="C190" s="1677" t="s">
        <v>1827</v>
      </c>
      <c r="D190" s="2755" t="str" cm="1">
        <f t="array" ref="D190">IF(D186,_xldudf_CX_PUSH(D185,CX_ENTITY,fx_attrConverter(C184),EOMONTH(val_asOfDate,13)),"No Push")</f>
        <v>No Push</v>
      </c>
      <c r="E190" s="2677"/>
      <c r="F190" s="2726"/>
      <c r="G190" s="2769"/>
      <c r="H190" s="2775"/>
      <c r="I190" s="2776"/>
      <c r="J190" s="2771"/>
      <c r="K190" s="2772"/>
      <c r="L190" s="2773"/>
      <c r="M190" s="2668"/>
      <c r="N190" s="2730"/>
      <c r="O190" s="2774"/>
      <c r="P190" s="2677"/>
      <c r="V190" s="158"/>
      <c r="W190" s="101"/>
      <c r="X190" s="52"/>
      <c r="Y190" s="101"/>
      <c r="Z190" s="126"/>
      <c r="AA190" s="101"/>
      <c r="AB190" s="101"/>
      <c r="AC190" s="39"/>
      <c r="AD190" s="406"/>
      <c r="AE190" s="428"/>
      <c r="AF190" s="439"/>
      <c r="AG190" s="661"/>
      <c r="AH190" s="485"/>
      <c r="AI190" s="615"/>
      <c r="AJ190" s="2031" t="s">
        <v>1816</v>
      </c>
      <c r="AK190" s="2041">
        <f>I184</f>
        <v>0</v>
      </c>
      <c r="AL190" s="814"/>
      <c r="AM190" s="515"/>
      <c r="AN190" s="1967" t="str">
        <f>IF(K190="","",_xlfn.NUMBERVALUE(K190)/IF($D$8,DebtOverview!fxVal_normal,1))</f>
        <v/>
      </c>
      <c r="AO190" s="519"/>
      <c r="AP190" s="2273" t="str">
        <f t="shared" si="11"/>
        <v/>
      </c>
      <c r="AQ190" s="638"/>
      <c r="AR190" s="2647"/>
      <c r="AS190" s="621"/>
      <c r="AT190" s="448"/>
      <c r="AU190" s="429"/>
      <c r="AV190" s="432"/>
      <c r="AX190" s="1080"/>
      <c r="AY190" s="2726"/>
      <c r="AZ190" s="2818"/>
      <c r="BA190" s="2826"/>
      <c r="BB190" s="2819"/>
      <c r="BC190" s="2825"/>
      <c r="BD190" s="2822"/>
      <c r="BE190" s="2823"/>
      <c r="BF190" s="2773"/>
      <c r="BG190" s="2769"/>
      <c r="BH190" s="1080"/>
      <c r="BI190" s="2778"/>
      <c r="BJ190" s="2940"/>
      <c r="BK190" s="2923"/>
      <c r="BL190" s="2940"/>
      <c r="BM190" s="2877"/>
      <c r="BN190" s="2901"/>
      <c r="BO190" s="2812"/>
      <c r="BP190" s="2873"/>
      <c r="BQ190" s="2807"/>
      <c r="BR190" s="2808"/>
      <c r="BS190" s="2808"/>
      <c r="BT190" s="2808"/>
      <c r="BU190" s="2808"/>
      <c r="BV190" s="2808"/>
      <c r="BW190" s="2808"/>
      <c r="BX190" s="2808"/>
      <c r="BY190" s="2808"/>
      <c r="BZ190" s="2808"/>
      <c r="CA190" s="2808"/>
      <c r="CB190" s="2808"/>
      <c r="CC190" s="2808"/>
      <c r="CD190" s="2808"/>
      <c r="CE190" s="2808"/>
    </row>
    <row r="191" spans="1:83" ht="24.75" customHeight="1">
      <c r="A191" s="2676"/>
      <c r="B191" s="2671"/>
      <c r="C191" s="1915"/>
      <c r="D191" s="2758"/>
      <c r="E191" s="2677"/>
      <c r="F191" s="2726"/>
      <c r="G191" s="2769"/>
      <c r="H191" s="2775"/>
      <c r="I191" s="2776"/>
      <c r="J191" s="2771"/>
      <c r="K191" s="2772"/>
      <c r="L191" s="2773"/>
      <c r="M191" s="2668"/>
      <c r="N191" s="2730"/>
      <c r="O191" s="2774"/>
      <c r="P191" s="2677"/>
      <c r="V191" s="158"/>
      <c r="W191" s="101"/>
      <c r="X191" s="52"/>
      <c r="Y191" s="101"/>
      <c r="Z191" s="126"/>
      <c r="AA191" s="101"/>
      <c r="AB191" s="101"/>
      <c r="AC191" s="39"/>
      <c r="AD191" s="406"/>
      <c r="AE191" s="428"/>
      <c r="AF191" s="439"/>
      <c r="AG191" s="661"/>
      <c r="AH191" s="485"/>
      <c r="AI191" s="615"/>
      <c r="AJ191" s="2016"/>
      <c r="AK191" s="2017"/>
      <c r="AL191" s="814"/>
      <c r="AM191" s="515"/>
      <c r="AN191" s="1967" t="str">
        <f>IF(K191="","",_xlfn.NUMBERVALUE(K191)/IF($D$8,DebtOverview!fxVal_normal,1))</f>
        <v/>
      </c>
      <c r="AO191" s="519"/>
      <c r="AP191" s="2273" t="str">
        <f t="shared" si="11"/>
        <v/>
      </c>
      <c r="AQ191" s="638"/>
      <c r="AR191" s="2647"/>
      <c r="AS191" s="621"/>
      <c r="AT191" s="448"/>
      <c r="AU191" s="429"/>
      <c r="AV191" s="432"/>
      <c r="AX191" s="1080"/>
      <c r="AY191" s="2726"/>
      <c r="AZ191" s="2818"/>
      <c r="BA191" s="2826"/>
      <c r="BB191" s="2819"/>
      <c r="BC191" s="2825"/>
      <c r="BD191" s="2822"/>
      <c r="BE191" s="2823"/>
      <c r="BF191" s="2773"/>
      <c r="BG191" s="2769"/>
      <c r="BH191" s="1080"/>
      <c r="BI191" s="2778"/>
      <c r="BJ191" s="2940"/>
      <c r="BK191" s="2923"/>
      <c r="BL191" s="2940"/>
      <c r="BM191" s="2877"/>
      <c r="BN191" s="2901"/>
      <c r="BO191" s="2812"/>
      <c r="BP191" s="2873"/>
      <c r="BQ191" s="2807"/>
      <c r="BR191" s="2808"/>
      <c r="BS191" s="2808"/>
      <c r="BT191" s="2808"/>
      <c r="BU191" s="2808"/>
      <c r="BV191" s="2808"/>
      <c r="BW191" s="2808"/>
      <c r="BX191" s="2808"/>
      <c r="BY191" s="2808"/>
      <c r="BZ191" s="2808"/>
      <c r="CA191" s="2808"/>
      <c r="CB191" s="2808"/>
      <c r="CC191" s="2808"/>
      <c r="CD191" s="2808"/>
      <c r="CE191" s="2808"/>
    </row>
    <row r="192" spans="1:83" ht="24.75" customHeight="1">
      <c r="A192" s="2676"/>
      <c r="B192" s="2671"/>
      <c r="C192" s="1915"/>
      <c r="D192" s="2758"/>
      <c r="E192" s="2677"/>
      <c r="F192" s="2726"/>
      <c r="G192" s="2769"/>
      <c r="H192" s="2775"/>
      <c r="I192" s="2776"/>
      <c r="J192" s="2771"/>
      <c r="K192" s="2772"/>
      <c r="L192" s="2773"/>
      <c r="M192" s="2668"/>
      <c r="N192" s="2730"/>
      <c r="O192" s="2774"/>
      <c r="P192" s="2677"/>
      <c r="V192" s="158"/>
      <c r="W192" s="101"/>
      <c r="X192" s="52"/>
      <c r="Y192" s="101"/>
      <c r="Z192" s="126"/>
      <c r="AA192" s="101"/>
      <c r="AB192" s="101"/>
      <c r="AC192" s="39"/>
      <c r="AD192" s="406"/>
      <c r="AE192" s="428"/>
      <c r="AF192" s="439"/>
      <c r="AG192" s="661"/>
      <c r="AH192" s="485"/>
      <c r="AI192" s="615"/>
      <c r="AJ192" s="2016"/>
      <c r="AK192" s="2017"/>
      <c r="AL192" s="814"/>
      <c r="AM192" s="515"/>
      <c r="AN192" s="1967" t="str">
        <f>IF(K192="","",_xlfn.NUMBERVALUE(K192)/IF($D$8,DebtOverview!fxVal_normal,1))</f>
        <v/>
      </c>
      <c r="AO192" s="519"/>
      <c r="AP192" s="2273" t="str">
        <f t="shared" si="11"/>
        <v/>
      </c>
      <c r="AQ192" s="638"/>
      <c r="AR192" s="2647"/>
      <c r="AS192" s="621"/>
      <c r="AT192" s="448"/>
      <c r="AU192" s="429"/>
      <c r="AV192" s="432"/>
      <c r="AX192" s="1080"/>
      <c r="AY192" s="2726"/>
      <c r="AZ192" s="2818"/>
      <c r="BA192" s="2826"/>
      <c r="BB192" s="2819"/>
      <c r="BC192" s="2825"/>
      <c r="BD192" s="2822"/>
      <c r="BE192" s="2823"/>
      <c r="BF192" s="2773"/>
      <c r="BG192" s="2769"/>
      <c r="BH192" s="1080"/>
      <c r="BI192" s="2778"/>
      <c r="BJ192" s="2940"/>
      <c r="BK192" s="2923"/>
      <c r="BL192" s="2940"/>
      <c r="BM192" s="2877"/>
      <c r="BN192" s="2901"/>
      <c r="BO192" s="2812"/>
      <c r="BP192" s="2873"/>
      <c r="BQ192" s="2807"/>
      <c r="BR192" s="2808"/>
      <c r="BS192" s="2808"/>
      <c r="BT192" s="2808"/>
      <c r="BU192" s="2808"/>
      <c r="BV192" s="2808"/>
      <c r="BW192" s="2808"/>
      <c r="BX192" s="2808"/>
      <c r="BY192" s="2808"/>
      <c r="BZ192" s="2808"/>
      <c r="CA192" s="2808"/>
      <c r="CB192" s="2808"/>
      <c r="CC192" s="2808"/>
      <c r="CD192" s="2808"/>
      <c r="CE192" s="2808"/>
    </row>
    <row r="193" spans="1:83" ht="24.75" customHeight="1">
      <c r="A193" s="2676"/>
      <c r="B193" s="2670"/>
      <c r="C193" s="1913"/>
      <c r="D193" s="2758"/>
      <c r="E193" s="2677"/>
      <c r="F193" s="2726"/>
      <c r="G193" s="2769"/>
      <c r="H193" s="2775"/>
      <c r="I193" s="2776"/>
      <c r="J193" s="2771"/>
      <c r="K193" s="2772"/>
      <c r="L193" s="2773"/>
      <c r="M193" s="2668"/>
      <c r="N193" s="2768"/>
      <c r="O193" s="2777"/>
      <c r="P193" s="2677"/>
      <c r="V193" s="158"/>
      <c r="W193" s="101"/>
      <c r="X193" s="52"/>
      <c r="Y193" s="101"/>
      <c r="Z193" s="126"/>
      <c r="AA193" s="101"/>
      <c r="AB193" s="101"/>
      <c r="AC193" s="39"/>
      <c r="AD193" s="406"/>
      <c r="AE193" s="428"/>
      <c r="AF193" s="439"/>
      <c r="AG193" s="661"/>
      <c r="AH193" s="485"/>
      <c r="AI193" s="615"/>
      <c r="AJ193" s="2016"/>
      <c r="AK193" s="2017"/>
      <c r="AL193" s="814"/>
      <c r="AM193" s="515"/>
      <c r="AN193" s="1967" t="str">
        <f>IF(K193="","",_xlfn.NUMBERVALUE(K193)/IF($D$8,DebtOverview!fxVal_normal,1))</f>
        <v/>
      </c>
      <c r="AO193" s="519"/>
      <c r="AP193" s="2273" t="str">
        <f t="shared" si="11"/>
        <v/>
      </c>
      <c r="AQ193" s="638"/>
      <c r="AR193" s="3077"/>
      <c r="AS193" s="621"/>
      <c r="AT193" s="448"/>
      <c r="AU193" s="429"/>
      <c r="AV193" s="432"/>
      <c r="AX193" s="1080"/>
      <c r="AY193" s="2726"/>
      <c r="AZ193" s="2818"/>
      <c r="BA193" s="2826"/>
      <c r="BB193" s="2819"/>
      <c r="BC193" s="2825"/>
      <c r="BD193" s="2822"/>
      <c r="BE193" s="2823"/>
      <c r="BF193" s="2773"/>
      <c r="BG193" s="2769"/>
      <c r="BH193" s="1080"/>
      <c r="BI193" s="2778"/>
      <c r="BJ193" s="2940"/>
      <c r="BK193" s="2923"/>
      <c r="BL193" s="2940"/>
      <c r="BM193" s="2877"/>
      <c r="BN193" s="2901"/>
      <c r="BO193" s="2812"/>
      <c r="BP193" s="2873"/>
      <c r="BQ193" s="2807"/>
      <c r="BR193" s="2808"/>
      <c r="BS193" s="2808"/>
      <c r="BT193" s="2808"/>
      <c r="BU193" s="2808"/>
      <c r="BV193" s="2808"/>
      <c r="BW193" s="2808"/>
      <c r="BX193" s="2808"/>
      <c r="BY193" s="2808"/>
      <c r="BZ193" s="2808"/>
      <c r="CA193" s="2808"/>
      <c r="CB193" s="2808"/>
      <c r="CC193" s="2808"/>
      <c r="CD193" s="2808"/>
      <c r="CE193" s="2808"/>
    </row>
    <row r="194" spans="1:83" ht="24.75" customHeight="1">
      <c r="A194" s="2676"/>
      <c r="B194" s="2670"/>
      <c r="C194" s="1913"/>
      <c r="D194" s="2758"/>
      <c r="E194" s="2677"/>
      <c r="F194" s="2726"/>
      <c r="G194" s="2769"/>
      <c r="H194" s="2775"/>
      <c r="I194" s="2776"/>
      <c r="J194" s="2771"/>
      <c r="K194" s="2772"/>
      <c r="L194" s="2773"/>
      <c r="M194" s="2668"/>
      <c r="N194" s="2768"/>
      <c r="O194" s="2777"/>
      <c r="P194" s="2677"/>
      <c r="V194" s="158"/>
      <c r="W194" s="101"/>
      <c r="X194" s="52"/>
      <c r="Y194" s="101"/>
      <c r="Z194" s="126"/>
      <c r="AA194" s="101"/>
      <c r="AB194" s="101"/>
      <c r="AC194" s="39"/>
      <c r="AD194" s="406"/>
      <c r="AE194" s="428"/>
      <c r="AF194" s="439"/>
      <c r="AG194" s="661"/>
      <c r="AH194" s="485"/>
      <c r="AI194" s="615"/>
      <c r="AJ194" s="2016"/>
      <c r="AK194" s="2017"/>
      <c r="AL194" s="814"/>
      <c r="AM194" s="515"/>
      <c r="AN194" s="1967" t="str">
        <f>IF(K194="","",_xlfn.NUMBERVALUE(K194)/IF($D$8,DebtOverview!fxVal_normal,1))</f>
        <v/>
      </c>
      <c r="AO194" s="519"/>
      <c r="AP194" s="2273" t="str">
        <f t="shared" si="11"/>
        <v/>
      </c>
      <c r="AQ194" s="638"/>
      <c r="AR194" s="3077"/>
      <c r="AS194" s="621"/>
      <c r="AT194" s="448"/>
      <c r="AU194" s="429"/>
      <c r="AV194" s="432"/>
      <c r="AX194" s="1080"/>
      <c r="AY194" s="2726"/>
      <c r="AZ194" s="2843"/>
      <c r="BA194" s="2817"/>
      <c r="BB194" s="2832"/>
      <c r="BC194" s="2812"/>
      <c r="BD194" s="2806"/>
      <c r="BE194" s="2807"/>
      <c r="BF194" s="2773"/>
      <c r="BG194" s="2769"/>
      <c r="BH194" s="1080"/>
      <c r="BI194" s="2778"/>
      <c r="BJ194" s="2940"/>
      <c r="BK194" s="2923"/>
      <c r="BL194" s="2940"/>
      <c r="BM194" s="2877"/>
      <c r="BN194" s="2901"/>
      <c r="BO194" s="2812"/>
      <c r="BP194" s="2873"/>
      <c r="BQ194" s="2807"/>
      <c r="BR194" s="2808"/>
      <c r="BS194" s="2808"/>
      <c r="BT194" s="2808"/>
      <c r="BU194" s="2808"/>
      <c r="BV194" s="2808"/>
      <c r="BW194" s="2808"/>
      <c r="BX194" s="2808"/>
      <c r="BY194" s="2808"/>
      <c r="BZ194" s="2808"/>
      <c r="CA194" s="2808"/>
      <c r="CB194" s="2808"/>
      <c r="CC194" s="2808"/>
      <c r="CD194" s="2808"/>
      <c r="CE194" s="2808"/>
    </row>
    <row r="195" spans="1:83" ht="15" customHeight="1">
      <c r="A195" s="2676"/>
      <c r="B195" s="2670"/>
      <c r="C195" s="1913"/>
      <c r="D195" s="2752"/>
      <c r="E195" s="2677"/>
      <c r="F195" s="2726"/>
      <c r="G195" s="2689"/>
      <c r="H195" s="2689"/>
      <c r="I195" s="2695"/>
      <c r="J195" s="2695"/>
      <c r="K195" s="2687"/>
      <c r="L195" s="2688"/>
      <c r="M195" s="2712"/>
      <c r="N195" s="2712"/>
      <c r="O195" s="2712"/>
      <c r="P195" s="2677"/>
      <c r="V195" s="158"/>
      <c r="W195" s="2"/>
      <c r="X195" s="52"/>
      <c r="Y195" s="2"/>
      <c r="Z195" s="539"/>
      <c r="AA195" s="2"/>
      <c r="AB195" s="2"/>
      <c r="AC195" s="39"/>
      <c r="AD195" s="406"/>
      <c r="AE195" s="428"/>
      <c r="AF195" s="439"/>
      <c r="AG195" s="663"/>
      <c r="AH195" s="485"/>
      <c r="AI195" s="617"/>
      <c r="AJ195" s="2018"/>
      <c r="AK195" s="2018"/>
      <c r="AL195" s="618"/>
      <c r="AM195" s="618"/>
      <c r="AN195" s="1540"/>
      <c r="AO195" s="618"/>
      <c r="AP195" s="618"/>
      <c r="AQ195" s="618"/>
      <c r="AR195" s="618"/>
      <c r="AS195" s="619"/>
      <c r="AT195" s="481"/>
      <c r="AU195" s="429"/>
      <c r="AV195" s="432"/>
      <c r="AX195" s="1080"/>
      <c r="AY195" s="2726"/>
      <c r="AZ195" s="2817"/>
      <c r="BA195" s="2817"/>
      <c r="BB195" s="2812"/>
      <c r="BC195" s="2812"/>
      <c r="BD195" s="2806"/>
      <c r="BE195" s="2816"/>
      <c r="BF195" s="2688"/>
      <c r="BG195" s="2689"/>
      <c r="BH195" s="1080"/>
      <c r="BI195" s="2778"/>
      <c r="BJ195" s="2817"/>
      <c r="BK195" s="2926"/>
      <c r="BL195" s="2817"/>
      <c r="BM195" s="2877"/>
      <c r="BN195" s="2898"/>
      <c r="BO195" s="2812"/>
      <c r="BP195" s="2873"/>
      <c r="BQ195" s="2816"/>
      <c r="BR195" s="2857"/>
      <c r="BS195" s="2857"/>
      <c r="BT195" s="2857"/>
      <c r="BU195" s="2857"/>
      <c r="BV195" s="2857"/>
      <c r="BW195" s="2857"/>
      <c r="BX195" s="2857"/>
      <c r="BY195" s="2857"/>
      <c r="BZ195" s="2857"/>
      <c r="CA195" s="2857"/>
      <c r="CB195" s="2857"/>
      <c r="CC195" s="2857"/>
      <c r="CD195" s="2857"/>
      <c r="CE195" s="2857"/>
    </row>
    <row r="196" spans="1:83" ht="15.5">
      <c r="A196" s="2676"/>
      <c r="B196" s="2670"/>
      <c r="C196" s="1913"/>
      <c r="D196" s="2752"/>
      <c r="E196" s="2677"/>
      <c r="F196" s="2726"/>
      <c r="G196" s="2689"/>
      <c r="H196" s="2689"/>
      <c r="I196" s="2695"/>
      <c r="J196" s="2695"/>
      <c r="K196" s="2687"/>
      <c r="L196" s="2688"/>
      <c r="M196" s="2712"/>
      <c r="N196" s="2712"/>
      <c r="O196" s="2712"/>
      <c r="P196" s="2677"/>
      <c r="V196" s="158"/>
      <c r="W196" s="2"/>
      <c r="X196" s="52"/>
      <c r="Y196" s="2"/>
      <c r="Z196" s="539"/>
      <c r="AA196" s="2"/>
      <c r="AB196" s="2"/>
      <c r="AC196" s="39"/>
      <c r="AD196" s="406"/>
      <c r="AE196" s="428"/>
      <c r="AF196" s="439"/>
      <c r="AG196" s="661"/>
      <c r="AH196" s="453"/>
      <c r="AI196" s="475"/>
      <c r="AJ196" s="2011"/>
      <c r="AK196" s="2011"/>
      <c r="AL196" s="475"/>
      <c r="AM196" s="429"/>
      <c r="AN196" s="1975"/>
      <c r="AO196" s="476"/>
      <c r="AP196" s="486"/>
      <c r="AQ196" s="486"/>
      <c r="AR196" s="487"/>
      <c r="AS196" s="489"/>
      <c r="AT196" s="490"/>
      <c r="AU196" s="429"/>
      <c r="AV196" s="432"/>
      <c r="AX196" s="1080"/>
      <c r="AY196" s="2726"/>
      <c r="AZ196" s="2817"/>
      <c r="BA196" s="2817"/>
      <c r="BB196" s="2812"/>
      <c r="BC196" s="2812"/>
      <c r="BD196" s="2806"/>
      <c r="BE196" s="2816"/>
      <c r="BF196" s="2688"/>
      <c r="BG196" s="2689"/>
      <c r="BH196" s="1080"/>
      <c r="BI196" s="2778"/>
      <c r="BJ196" s="2817"/>
      <c r="BK196" s="2926"/>
      <c r="BL196" s="2817"/>
      <c r="BM196" s="2877"/>
      <c r="BN196" s="2898"/>
      <c r="BO196" s="2812"/>
      <c r="BP196" s="2873"/>
      <c r="BQ196" s="2816"/>
      <c r="BR196" s="2857"/>
      <c r="BS196" s="2857"/>
      <c r="BT196" s="2857"/>
      <c r="BU196" s="2857"/>
      <c r="BV196" s="2857"/>
      <c r="BW196" s="2857"/>
      <c r="BX196" s="2857"/>
      <c r="BY196" s="2857"/>
      <c r="BZ196" s="2857"/>
      <c r="CA196" s="2857"/>
      <c r="CB196" s="2857"/>
      <c r="CC196" s="2857"/>
      <c r="CD196" s="2857"/>
      <c r="CE196" s="2857"/>
    </row>
    <row r="197" spans="1:83" ht="15.5">
      <c r="A197" s="2676"/>
      <c r="B197" s="2670"/>
      <c r="C197" s="1913"/>
      <c r="D197" s="2752"/>
      <c r="E197" s="2677"/>
      <c r="F197" s="2726"/>
      <c r="G197" s="2689"/>
      <c r="H197" s="2689"/>
      <c r="I197" s="2689"/>
      <c r="J197" s="2689"/>
      <c r="K197" s="2687"/>
      <c r="L197" s="2688"/>
      <c r="M197" s="2712"/>
      <c r="N197" s="2712"/>
      <c r="O197" s="2712"/>
      <c r="P197" s="2677"/>
      <c r="V197" s="158"/>
      <c r="W197" s="2"/>
      <c r="X197" s="52"/>
      <c r="Y197" s="2"/>
      <c r="Z197" s="539"/>
      <c r="AA197" s="2"/>
      <c r="AB197" s="2"/>
      <c r="AC197" s="39"/>
      <c r="AD197" s="406"/>
      <c r="AE197" s="428"/>
      <c r="AF197" s="439"/>
      <c r="AG197" s="453"/>
      <c r="AH197" s="453"/>
      <c r="AI197" s="475"/>
      <c r="AJ197" s="2011"/>
      <c r="AK197" s="2011"/>
      <c r="AL197" s="475"/>
      <c r="AM197" s="429"/>
      <c r="AN197" s="1975"/>
      <c r="AO197" s="476"/>
      <c r="AP197" s="486"/>
      <c r="AQ197" s="486"/>
      <c r="AR197" s="487"/>
      <c r="AS197" s="489"/>
      <c r="AT197" s="490"/>
      <c r="AU197" s="429"/>
      <c r="AV197" s="432"/>
      <c r="AX197" s="1080"/>
      <c r="AY197" s="2726"/>
      <c r="AZ197" s="2817"/>
      <c r="BA197" s="2817"/>
      <c r="BB197" s="2817"/>
      <c r="BC197" s="2817"/>
      <c r="BD197" s="2806"/>
      <c r="BE197" s="2816"/>
      <c r="BF197" s="2688"/>
      <c r="BG197" s="2689"/>
      <c r="BH197" s="1080"/>
      <c r="BI197" s="2778"/>
      <c r="BJ197" s="2817"/>
      <c r="BK197" s="2926"/>
      <c r="BL197" s="2817"/>
      <c r="BM197" s="2877"/>
      <c r="BN197" s="2859"/>
      <c r="BO197" s="2861"/>
      <c r="BP197" s="2873"/>
      <c r="BQ197" s="2816"/>
      <c r="BR197" s="2857"/>
      <c r="BS197" s="2857"/>
      <c r="BT197" s="2857"/>
      <c r="BU197" s="2857"/>
      <c r="BV197" s="2857"/>
      <c r="BW197" s="2857"/>
      <c r="BX197" s="2857"/>
      <c r="BY197" s="2857"/>
      <c r="BZ197" s="2857"/>
      <c r="CA197" s="2857"/>
      <c r="CB197" s="2857"/>
      <c r="CC197" s="2857"/>
      <c r="CD197" s="2857"/>
      <c r="CE197" s="2857"/>
    </row>
    <row r="198" spans="1:83" ht="32.5">
      <c r="A198" s="2676"/>
      <c r="B198" s="2670"/>
      <c r="C198" s="1913"/>
      <c r="D198" s="2752"/>
      <c r="E198" s="2677"/>
      <c r="F198" s="2726"/>
      <c r="G198" s="2689"/>
      <c r="H198" s="2689"/>
      <c r="I198" s="2689"/>
      <c r="J198" s="2689"/>
      <c r="K198" s="2687"/>
      <c r="L198" s="2688"/>
      <c r="M198" s="2712"/>
      <c r="N198" s="2712"/>
      <c r="O198" s="2712"/>
      <c r="P198" s="2677"/>
      <c r="V198" s="158"/>
      <c r="W198" s="2"/>
      <c r="X198" s="52"/>
      <c r="Y198" s="2"/>
      <c r="Z198" s="539"/>
      <c r="AA198" s="2"/>
      <c r="AB198" s="2"/>
      <c r="AC198" s="39"/>
      <c r="AD198" s="406"/>
      <c r="AE198" s="428"/>
      <c r="AF198" s="648"/>
      <c r="AG198" s="649"/>
      <c r="AH198" s="440"/>
      <c r="AI198" s="3076" t="s">
        <v>1828</v>
      </c>
      <c r="AJ198" s="3076"/>
      <c r="AK198" s="3076"/>
      <c r="AL198" s="2646"/>
      <c r="AM198" s="429"/>
      <c r="AN198" s="1972"/>
      <c r="AO198" s="430"/>
      <c r="AP198" s="429"/>
      <c r="AQ198" s="429"/>
      <c r="AR198" s="429"/>
      <c r="AS198" s="429"/>
      <c r="AT198" s="429"/>
      <c r="AU198" s="429"/>
      <c r="AV198" s="432"/>
      <c r="AX198" s="1080"/>
      <c r="AY198" s="2726"/>
      <c r="AZ198" s="2817"/>
      <c r="BA198" s="2817"/>
      <c r="BB198" s="2817"/>
      <c r="BC198" s="2817"/>
      <c r="BD198" s="2806"/>
      <c r="BE198" s="2816"/>
      <c r="BF198" s="2688"/>
      <c r="BG198" s="2689"/>
      <c r="BH198" s="1080"/>
      <c r="BI198" s="2778"/>
      <c r="BJ198" s="2817"/>
      <c r="BK198" s="2926"/>
      <c r="BL198" s="2817"/>
      <c r="BM198" s="2877"/>
      <c r="BN198" s="2859"/>
      <c r="BO198" s="2861"/>
      <c r="BP198" s="2873"/>
      <c r="BQ198" s="2816"/>
      <c r="BR198" s="2857"/>
      <c r="BS198" s="2857"/>
      <c r="BT198" s="2857"/>
      <c r="BU198" s="2857"/>
      <c r="BV198" s="2857"/>
      <c r="BW198" s="2857"/>
      <c r="BX198" s="2857"/>
      <c r="BY198" s="2857"/>
      <c r="BZ198" s="2857"/>
      <c r="CA198" s="2857"/>
      <c r="CB198" s="2857"/>
      <c r="CC198" s="2857"/>
      <c r="CD198" s="2857"/>
      <c r="CE198" s="2857"/>
    </row>
    <row r="199" spans="1:83" ht="18" customHeight="1">
      <c r="A199" s="2676"/>
      <c r="B199" s="2670"/>
      <c r="C199" s="1913"/>
      <c r="D199" s="2752"/>
      <c r="E199" s="2677"/>
      <c r="F199" s="2726"/>
      <c r="G199" s="2689"/>
      <c r="H199" s="2689"/>
      <c r="I199" s="2689"/>
      <c r="J199" s="2689"/>
      <c r="K199" s="2687"/>
      <c r="L199" s="2688"/>
      <c r="M199" s="2712"/>
      <c r="N199" s="2712"/>
      <c r="O199" s="2712"/>
      <c r="P199" s="2677"/>
      <c r="V199" s="158"/>
      <c r="W199" s="2"/>
      <c r="X199" s="52"/>
      <c r="Y199" s="2"/>
      <c r="Z199" s="539"/>
      <c r="AA199" s="2"/>
      <c r="AB199" s="2"/>
      <c r="AC199" s="39"/>
      <c r="AD199" s="406"/>
      <c r="AE199" s="428"/>
      <c r="AF199" s="429"/>
      <c r="AG199" s="429"/>
      <c r="AH199" s="440"/>
      <c r="AI199" s="2783" t="e">
        <f ca="1">val_reportingCurrency&amp;" in "&amp;$AP$5</f>
        <v>#NAME?</v>
      </c>
      <c r="AJ199" s="2000"/>
      <c r="AK199" s="2000"/>
      <c r="AL199" s="2646"/>
      <c r="AM199" s="429"/>
      <c r="AN199" s="1972"/>
      <c r="AO199" s="430"/>
      <c r="AP199" s="429"/>
      <c r="AQ199" s="429"/>
      <c r="AR199" s="429"/>
      <c r="AS199" s="429"/>
      <c r="AT199" s="429"/>
      <c r="AU199" s="429"/>
      <c r="AV199" s="432"/>
      <c r="AX199" s="1080"/>
      <c r="AY199" s="2726"/>
      <c r="AZ199" s="2817"/>
      <c r="BA199" s="2817"/>
      <c r="BB199" s="2817"/>
      <c r="BC199" s="2817"/>
      <c r="BD199" s="2806"/>
      <c r="BE199" s="2816"/>
      <c r="BF199" s="2688"/>
      <c r="BG199" s="2689"/>
      <c r="BH199" s="1080"/>
      <c r="BI199" s="2778"/>
      <c r="BJ199" s="2817"/>
      <c r="BK199" s="2926"/>
      <c r="BL199" s="2817"/>
      <c r="BM199" s="2877"/>
      <c r="BN199" s="2859"/>
      <c r="BO199" s="2861"/>
      <c r="BP199" s="2873"/>
      <c r="BQ199" s="2816"/>
      <c r="BR199" s="2857"/>
      <c r="BS199" s="2857"/>
      <c r="BT199" s="2857"/>
      <c r="BU199" s="2857"/>
      <c r="BV199" s="2857"/>
      <c r="BW199" s="2857"/>
      <c r="BX199" s="2857"/>
      <c r="BY199" s="2857"/>
      <c r="BZ199" s="2857"/>
      <c r="CA199" s="2857"/>
      <c r="CB199" s="2857"/>
      <c r="CC199" s="2857"/>
      <c r="CD199" s="2857"/>
      <c r="CE199" s="2857"/>
    </row>
    <row r="200" spans="1:83" ht="17.25" customHeight="1">
      <c r="A200" s="2676"/>
      <c r="B200" s="2670"/>
      <c r="C200" s="1913"/>
      <c r="D200" s="2752"/>
      <c r="E200" s="2677"/>
      <c r="F200" s="2726"/>
      <c r="G200" s="2689"/>
      <c r="H200" s="2689"/>
      <c r="I200" s="2689"/>
      <c r="J200" s="2689"/>
      <c r="K200" s="2687"/>
      <c r="L200" s="2688"/>
      <c r="M200" s="2712"/>
      <c r="N200" s="2712"/>
      <c r="O200" s="2712"/>
      <c r="P200" s="2677"/>
      <c r="V200" s="158"/>
      <c r="W200" s="2"/>
      <c r="X200" s="52"/>
      <c r="Y200" s="2"/>
      <c r="Z200" s="539"/>
      <c r="AA200" s="2"/>
      <c r="AB200" s="2"/>
      <c r="AC200" s="39"/>
      <c r="AD200" s="406"/>
      <c r="AE200" s="428"/>
      <c r="AF200" s="429"/>
      <c r="AG200" s="453"/>
      <c r="AH200" s="453"/>
      <c r="AI200" s="686"/>
      <c r="AJ200" s="2035"/>
      <c r="AK200" s="2035"/>
      <c r="AL200" s="678"/>
      <c r="AM200" s="679"/>
      <c r="AN200" s="1984"/>
      <c r="AO200" s="680"/>
      <c r="AP200" s="681"/>
      <c r="AQ200" s="681"/>
      <c r="AR200" s="682"/>
      <c r="AS200" s="683"/>
      <c r="AT200" s="490"/>
      <c r="AU200" s="429"/>
      <c r="AV200" s="432"/>
      <c r="AX200" s="1080"/>
      <c r="AY200" s="2726"/>
      <c r="AZ200" s="2817"/>
      <c r="BA200" s="2817"/>
      <c r="BB200" s="2817"/>
      <c r="BC200" s="2817"/>
      <c r="BD200" s="2806"/>
      <c r="BE200" s="2816"/>
      <c r="BF200" s="2688"/>
      <c r="BG200" s="2689"/>
      <c r="BH200" s="1080"/>
      <c r="BI200" s="2778"/>
      <c r="BJ200" s="2817"/>
      <c r="BK200" s="2926"/>
      <c r="BL200" s="2817"/>
      <c r="BM200" s="2877"/>
      <c r="BN200" s="2859"/>
      <c r="BO200" s="2861"/>
      <c r="BP200" s="2873"/>
      <c r="BQ200" s="2816"/>
      <c r="BR200" s="2857"/>
      <c r="BS200" s="2857"/>
      <c r="BT200" s="2857"/>
      <c r="BU200" s="2857"/>
      <c r="BV200" s="2857"/>
      <c r="BW200" s="2857"/>
      <c r="BX200" s="2857"/>
      <c r="BY200" s="2857"/>
      <c r="BZ200" s="2857"/>
      <c r="CA200" s="2857"/>
      <c r="CB200" s="2857"/>
      <c r="CC200" s="2857"/>
      <c r="CD200" s="2857"/>
      <c r="CE200" s="2857"/>
    </row>
    <row r="201" spans="1:83" ht="17.25" customHeight="1">
      <c r="A201" s="2676"/>
      <c r="B201" s="2670"/>
      <c r="C201" s="1913"/>
      <c r="D201" s="2752"/>
      <c r="E201" s="2677"/>
      <c r="F201" s="2726"/>
      <c r="G201" s="2689"/>
      <c r="H201" s="2689"/>
      <c r="I201" s="2689"/>
      <c r="J201" s="2689"/>
      <c r="K201" s="2687"/>
      <c r="L201" s="2688"/>
      <c r="M201" s="2712"/>
      <c r="N201" s="2712"/>
      <c r="O201" s="2712"/>
      <c r="P201" s="2677"/>
      <c r="V201" s="158"/>
      <c r="W201" s="2"/>
      <c r="X201" s="52"/>
      <c r="Y201" s="2"/>
      <c r="Z201" s="539"/>
      <c r="AA201" s="2"/>
      <c r="AB201" s="2"/>
      <c r="AC201" s="39"/>
      <c r="AD201" s="406"/>
      <c r="AE201" s="428"/>
      <c r="AF201" s="429"/>
      <c r="AG201" s="658"/>
      <c r="AH201" s="453"/>
      <c r="AI201" s="687"/>
      <c r="AJ201" s="2651" t="s">
        <v>1829</v>
      </c>
      <c r="AK201" s="2155"/>
      <c r="AL201" s="2155"/>
      <c r="AM201" s="2155"/>
      <c r="AN201" s="2156"/>
      <c r="AO201" s="1453"/>
      <c r="AP201" s="1454"/>
      <c r="AQ201" s="1454"/>
      <c r="AR201" s="1455"/>
      <c r="AS201" s="1456"/>
      <c r="AT201" s="490"/>
      <c r="AU201" s="429"/>
      <c r="AV201" s="432"/>
      <c r="AX201" s="1080"/>
      <c r="AY201" s="2726"/>
      <c r="AZ201" s="2817"/>
      <c r="BA201" s="2817"/>
      <c r="BB201" s="2817"/>
      <c r="BC201" s="2817"/>
      <c r="BD201" s="2806"/>
      <c r="BE201" s="2816"/>
      <c r="BF201" s="2688"/>
      <c r="BG201" s="2689"/>
      <c r="BH201" s="1080"/>
      <c r="BI201" s="2778"/>
      <c r="BJ201" s="2817"/>
      <c r="BK201" s="2926"/>
      <c r="BL201" s="2817"/>
      <c r="BM201" s="2877"/>
      <c r="BN201" s="2859"/>
      <c r="BO201" s="2861"/>
      <c r="BP201" s="2873"/>
      <c r="BQ201" s="2816"/>
      <c r="BR201" s="2857"/>
      <c r="BS201" s="2857"/>
      <c r="BT201" s="2857"/>
      <c r="BU201" s="2857"/>
      <c r="BV201" s="2857"/>
      <c r="BW201" s="2857"/>
      <c r="BX201" s="2857"/>
      <c r="BY201" s="2857"/>
      <c r="BZ201" s="2857"/>
      <c r="CA201" s="2857"/>
      <c r="CB201" s="2857"/>
      <c r="CC201" s="2857"/>
      <c r="CD201" s="2857"/>
      <c r="CE201" s="2857"/>
    </row>
    <row r="202" spans="1:83" ht="8.25" customHeight="1">
      <c r="A202" s="2676"/>
      <c r="B202" s="2670"/>
      <c r="C202" s="1913"/>
      <c r="D202" s="2752"/>
      <c r="E202" s="2677"/>
      <c r="F202" s="2726"/>
      <c r="G202" s="2689"/>
      <c r="H202" s="2689"/>
      <c r="I202" s="2689"/>
      <c r="J202" s="2689"/>
      <c r="K202" s="2687"/>
      <c r="L202" s="2688"/>
      <c r="M202" s="2712"/>
      <c r="N202" s="2712"/>
      <c r="O202" s="2712"/>
      <c r="P202" s="2677"/>
      <c r="V202" s="158"/>
      <c r="W202" s="2"/>
      <c r="X202" s="52"/>
      <c r="Y202" s="2"/>
      <c r="Z202" s="539"/>
      <c r="AA202" s="2"/>
      <c r="AB202" s="2"/>
      <c r="AC202" s="39"/>
      <c r="AD202" s="406"/>
      <c r="AE202" s="428"/>
      <c r="AF202" s="429"/>
      <c r="AG202" s="658"/>
      <c r="AH202" s="453"/>
      <c r="AI202" s="687"/>
      <c r="AJ202" s="1453"/>
      <c r="AK202" s="1453"/>
      <c r="AL202" s="1453"/>
      <c r="AM202" s="1453"/>
      <c r="AN202" s="1453"/>
      <c r="AO202" s="1453"/>
      <c r="AP202" s="1454"/>
      <c r="AQ202" s="1454"/>
      <c r="AR202" s="1455"/>
      <c r="AS202" s="1456"/>
      <c r="AT202" s="490"/>
      <c r="AU202" s="429"/>
      <c r="AV202" s="432"/>
      <c r="AX202" s="1080"/>
      <c r="AY202" s="2726"/>
      <c r="AZ202" s="2817"/>
      <c r="BA202" s="2817"/>
      <c r="BB202" s="2817"/>
      <c r="BC202" s="2817"/>
      <c r="BD202" s="2806"/>
      <c r="BE202" s="2816"/>
      <c r="BF202" s="2688"/>
      <c r="BG202" s="2689"/>
      <c r="BH202" s="1080"/>
      <c r="BI202" s="2778"/>
      <c r="BJ202" s="2817"/>
      <c r="BK202" s="2926"/>
      <c r="BL202" s="2817"/>
      <c r="BM202" s="2877"/>
      <c r="BN202" s="2859"/>
      <c r="BO202" s="2861"/>
      <c r="BP202" s="2873"/>
      <c r="BQ202" s="2816"/>
      <c r="BR202" s="2857"/>
      <c r="BS202" s="2857"/>
      <c r="BT202" s="2857"/>
      <c r="BU202" s="2857"/>
      <c r="BV202" s="2857"/>
      <c r="BW202" s="2857"/>
      <c r="BX202" s="2857"/>
      <c r="BY202" s="2857"/>
      <c r="BZ202" s="2857"/>
      <c r="CA202" s="2857"/>
      <c r="CB202" s="2857"/>
      <c r="CC202" s="2857"/>
      <c r="CD202" s="2857"/>
      <c r="CE202" s="2857"/>
    </row>
    <row r="203" spans="1:83" ht="17.25" customHeight="1">
      <c r="A203" s="2676"/>
      <c r="B203" s="2670" t="s">
        <v>1877</v>
      </c>
      <c r="C203" s="3361" t="s">
        <v>1830</v>
      </c>
      <c r="D203" s="2763" t="str" cm="1">
        <f t="array" ca="1" aca="1" ref="D203">IF($AL203="","▧",_xldudf_CX_PUSH($AL203*DebtOverview!fxVal_normal,CX_ENTITY,fx_attrConverter(C203),val_asOfDate,"As of",fx_scenarioConverter("Actual")))</f>
        <v>▧</v>
      </c>
      <c r="E203" s="2677"/>
      <c r="F203" s="2726"/>
      <c r="G203" s="2689" t="e" cm="1">
        <f t="array" ca="1" aca="1" ref="G203">_xldudf_CX_GET(CX_ENTITY,C203,val_asOfDate,"As of",,fx_scenarioConverter("Actual"))</f>
        <v>#NAME?</v>
      </c>
      <c r="H203" s="2689"/>
      <c r="I203" s="2689"/>
      <c r="J203" s="2689"/>
      <c r="K203" s="2687"/>
      <c r="L203" s="2688"/>
      <c r="M203" s="2712"/>
      <c r="N203" s="2712"/>
      <c r="O203" s="2712"/>
      <c r="P203" s="2677"/>
      <c r="V203" s="158"/>
      <c r="W203" s="2"/>
      <c r="X203" s="52"/>
      <c r="Y203" s="2"/>
      <c r="Z203" s="539"/>
      <c r="AA203" s="2"/>
      <c r="AB203" s="2"/>
      <c r="AC203" s="39"/>
      <c r="AD203" s="406"/>
      <c r="AE203" s="428"/>
      <c r="AF203" s="429"/>
      <c r="AG203" s="658"/>
      <c r="AH203" s="453"/>
      <c r="AI203" s="687"/>
      <c r="AJ203" s="2038" t="s">
        <v>1830</v>
      </c>
      <c r="AK203" s="2037"/>
      <c r="AL203" s="3371" t="str">
        <f ca="1">IF(ISNUMBER(G203),G203/DebtOverview!fxVal_normal,"")</f>
        <v/>
      </c>
      <c r="AM203" s="1452"/>
      <c r="AN203" s="1453"/>
      <c r="AO203" s="1453"/>
      <c r="AP203" s="1454"/>
      <c r="AQ203" s="1454"/>
      <c r="AR203" s="1455"/>
      <c r="AS203" s="1456"/>
      <c r="AT203" s="490"/>
      <c r="AU203" s="429"/>
      <c r="AV203" s="432"/>
      <c r="AX203" s="1080"/>
      <c r="AY203" s="2726"/>
      <c r="AZ203" s="2846"/>
      <c r="BA203" s="2817"/>
      <c r="BB203" s="2817"/>
      <c r="BC203" s="2817"/>
      <c r="BD203" s="2806"/>
      <c r="BE203" s="2816"/>
      <c r="BF203" s="2688"/>
      <c r="BG203" s="2703"/>
      <c r="BH203" s="1080"/>
      <c r="BI203" s="2778"/>
      <c r="BJ203" s="2941"/>
      <c r="BK203" s="2927"/>
      <c r="BL203" s="2941"/>
      <c r="BM203" s="2877"/>
      <c r="BN203" s="2859"/>
      <c r="BO203" s="2861"/>
      <c r="BP203" s="2873"/>
      <c r="BQ203" s="2816"/>
      <c r="BR203" s="2857"/>
      <c r="BS203" s="2857"/>
      <c r="BT203" s="2857"/>
      <c r="BU203" s="2857"/>
      <c r="BV203" s="2857"/>
      <c r="BW203" s="2857"/>
      <c r="BX203" s="2857"/>
      <c r="BY203" s="2857"/>
      <c r="BZ203" s="2857"/>
      <c r="CA203" s="2857"/>
      <c r="CB203" s="2857"/>
      <c r="CC203" s="2857"/>
      <c r="CD203" s="2857"/>
      <c r="CE203" s="2857"/>
    </row>
    <row r="204" spans="1:83" ht="17.25" customHeight="1">
      <c r="A204" s="2676"/>
      <c r="B204" s="2670" t="s">
        <v>1877</v>
      </c>
      <c r="C204" s="3361" t="s">
        <v>1831</v>
      </c>
      <c r="D204" s="2763" t="str" cm="1">
        <f t="array" ca="1" aca="1" ref="D204">IF($AL204="","▧",_xldudf_CX_PUSH($AL204*DebtOverview!fxVal_normal,CX_ENTITY,fx_attrConverter(C204),val_asOfDate,"As of",fx_scenarioConverter("Actual")))</f>
        <v>▧</v>
      </c>
      <c r="E204" s="2677"/>
      <c r="F204" s="2726"/>
      <c r="G204" s="2689" t="e" cm="1">
        <f t="array" ca="1" aca="1" ref="G204">_xldudf_CX_GET(CX_ENTITY,C204,val_asOfDate,"As of",,fx_scenarioConverter("Actual"))</f>
        <v>#NAME?</v>
      </c>
      <c r="H204" s="2689"/>
      <c r="I204" s="2689"/>
      <c r="J204" s="2689"/>
      <c r="K204" s="2687"/>
      <c r="L204" s="2688"/>
      <c r="M204" s="2712"/>
      <c r="N204" s="2712"/>
      <c r="O204" s="2712"/>
      <c r="P204" s="2677"/>
      <c r="V204" s="158"/>
      <c r="W204" s="2"/>
      <c r="X204" s="52"/>
      <c r="Y204" s="2"/>
      <c r="Z204" s="539"/>
      <c r="AA204" s="2"/>
      <c r="AB204" s="2"/>
      <c r="AC204" s="39"/>
      <c r="AD204" s="406"/>
      <c r="AE204" s="428"/>
      <c r="AF204" s="429"/>
      <c r="AG204" s="658"/>
      <c r="AH204" s="453"/>
      <c r="AI204" s="687"/>
      <c r="AJ204" s="2038" t="s">
        <v>1831</v>
      </c>
      <c r="AK204" s="2037"/>
      <c r="AL204" s="3371" t="str">
        <f ca="1">IF(ISNUMBER(G204),G204/DebtOverview!fxVal_normal,"")</f>
        <v/>
      </c>
      <c r="AM204" s="1452"/>
      <c r="AN204" s="1453"/>
      <c r="AO204" s="1453"/>
      <c r="AP204" s="2040"/>
      <c r="AQ204" s="1454"/>
      <c r="AR204" s="1455"/>
      <c r="AS204" s="1456"/>
      <c r="AT204" s="490"/>
      <c r="AU204" s="429"/>
      <c r="AV204" s="432"/>
      <c r="AX204" s="1080"/>
      <c r="AY204" s="2726"/>
      <c r="AZ204" s="2817"/>
      <c r="BA204" s="2817"/>
      <c r="BB204" s="2817"/>
      <c r="BC204" s="2817"/>
      <c r="BD204" s="2806"/>
      <c r="BE204" s="2816"/>
      <c r="BF204" s="2688"/>
      <c r="BG204" s="2689"/>
      <c r="BH204" s="1080"/>
      <c r="BI204" s="2778"/>
      <c r="BJ204" s="2817"/>
      <c r="BK204" s="2926"/>
      <c r="BL204" s="2817"/>
      <c r="BM204" s="2877"/>
      <c r="BN204" s="2859"/>
      <c r="BO204" s="2861"/>
      <c r="BP204" s="2873"/>
      <c r="BQ204" s="2816"/>
      <c r="BR204" s="2857"/>
      <c r="BS204" s="2857"/>
      <c r="BT204" s="2857"/>
      <c r="BU204" s="2857"/>
      <c r="BV204" s="2857"/>
      <c r="BW204" s="2857"/>
      <c r="BX204" s="2857"/>
      <c r="BY204" s="2857"/>
      <c r="BZ204" s="2857"/>
      <c r="CA204" s="2857"/>
      <c r="CB204" s="2857"/>
      <c r="CC204" s="2857"/>
      <c r="CD204" s="2857"/>
      <c r="CE204" s="2857"/>
    </row>
    <row r="205" spans="1:83" ht="9.75" customHeight="1">
      <c r="A205" s="2676"/>
      <c r="B205" s="2670"/>
      <c r="C205" s="1913"/>
      <c r="D205" s="2764"/>
      <c r="E205" s="2677"/>
      <c r="F205" s="2726"/>
      <c r="G205" s="2689"/>
      <c r="H205" s="2689"/>
      <c r="I205" s="2689"/>
      <c r="J205" s="2689"/>
      <c r="K205" s="2687"/>
      <c r="L205" s="2685"/>
      <c r="M205" s="2723"/>
      <c r="N205" s="2723"/>
      <c r="O205" s="2723"/>
      <c r="P205" s="2677"/>
      <c r="V205" s="158"/>
      <c r="W205" s="2"/>
      <c r="X205" s="151"/>
      <c r="Y205" s="151"/>
      <c r="Z205" s="539"/>
      <c r="AA205" s="2"/>
      <c r="AB205" s="2"/>
      <c r="AC205" s="39"/>
      <c r="AD205" s="406"/>
      <c r="AE205" s="428"/>
      <c r="AF205" s="429"/>
      <c r="AG205" s="658"/>
      <c r="AH205" s="435"/>
      <c r="AI205" s="687"/>
      <c r="AJ205" s="2038"/>
      <c r="AK205" s="2039"/>
      <c r="AL205" s="674"/>
      <c r="AM205" s="482"/>
      <c r="AN205" s="2160" t="s">
        <v>1832</v>
      </c>
      <c r="AO205" s="672"/>
      <c r="AP205" s="669"/>
      <c r="AQ205" s="669"/>
      <c r="AR205" s="676"/>
      <c r="AS205" s="684"/>
      <c r="AT205" s="429"/>
      <c r="AU205" s="429"/>
      <c r="AV205" s="432"/>
      <c r="AX205" s="1080"/>
      <c r="AY205" s="2726"/>
      <c r="AZ205" s="2817"/>
      <c r="BA205" s="2817"/>
      <c r="BB205" s="2817"/>
      <c r="BC205" s="2817"/>
      <c r="BD205" s="2806"/>
      <c r="BE205" s="2807"/>
      <c r="BF205" s="2685"/>
      <c r="BG205" s="2689"/>
      <c r="BH205" s="1080"/>
      <c r="BI205" s="2778"/>
      <c r="BJ205" s="2817"/>
      <c r="BK205" s="2926"/>
      <c r="BL205" s="2817"/>
      <c r="BM205" s="2877"/>
      <c r="BN205" s="2859"/>
      <c r="BO205" s="2861"/>
      <c r="BP205" s="2873"/>
      <c r="BQ205" s="2807"/>
      <c r="BR205" s="2808"/>
      <c r="BS205" s="2808"/>
      <c r="BT205" s="2808"/>
      <c r="BU205" s="2808"/>
      <c r="BV205" s="2808"/>
      <c r="BW205" s="2808"/>
      <c r="BX205" s="2808"/>
      <c r="BY205" s="2808"/>
      <c r="BZ205" s="2808"/>
      <c r="CA205" s="2808"/>
      <c r="CB205" s="2808"/>
      <c r="CC205" s="2808"/>
      <c r="CD205" s="2808"/>
      <c r="CE205" s="2808"/>
    </row>
    <row r="206" spans="1:83" ht="17.25" customHeight="1">
      <c r="A206" s="2676"/>
      <c r="B206" s="2670" t="s">
        <v>1877</v>
      </c>
      <c r="C206" s="3361" t="s">
        <v>1833</v>
      </c>
      <c r="D206" s="2763" t="e" cm="1">
        <f t="array" ca="1" aca="1" ref="D206">IF(AN206="","▧",_xldudf_CX_PUSH(AN206*DebtOverview!fxVal_normal,CX_ENTITY,fx_attrConverter(C206),val_asOfDate,"As of",fx_scenarioConverter("Actual")))</f>
        <v>#NAME?</v>
      </c>
      <c r="E206" s="2677"/>
      <c r="F206" s="2726"/>
      <c r="G206" s="2689"/>
      <c r="H206" s="2689"/>
      <c r="I206" s="2689"/>
      <c r="J206" s="2689"/>
      <c r="K206" s="2687"/>
      <c r="L206" s="2688"/>
      <c r="M206" s="2712"/>
      <c r="N206" s="2712"/>
      <c r="O206" s="2712"/>
      <c r="P206" s="2677"/>
      <c r="V206" s="158"/>
      <c r="W206" s="2"/>
      <c r="X206" s="52"/>
      <c r="Y206" s="2"/>
      <c r="Z206" s="539"/>
      <c r="AA206" s="2"/>
      <c r="AB206" s="2"/>
      <c r="AC206" s="39"/>
      <c r="AD206" s="406"/>
      <c r="AE206" s="428"/>
      <c r="AF206" s="429"/>
      <c r="AG206" s="658"/>
      <c r="AH206" s="453"/>
      <c r="AI206" s="687"/>
      <c r="AJ206" s="2143" t="s">
        <v>1833</v>
      </c>
      <c r="AK206" s="2037"/>
      <c r="AL206" s="1451"/>
      <c r="AM206" s="1452"/>
      <c r="AN206" s="2162">
        <f ca="1">SUM(AL203:AL204)</f>
        <v>0</v>
      </c>
      <c r="AO206" s="1453"/>
      <c r="AP206" s="1454"/>
      <c r="AQ206" s="1454"/>
      <c r="AR206" s="1455"/>
      <c r="AS206" s="1456"/>
      <c r="AT206" s="490"/>
      <c r="AU206" s="429"/>
      <c r="AV206" s="432"/>
      <c r="AX206" s="1080"/>
      <c r="AY206" s="2726"/>
      <c r="AZ206" s="2817"/>
      <c r="BA206" s="2817"/>
      <c r="BB206" s="2817"/>
      <c r="BC206" s="2817"/>
      <c r="BD206" s="2806"/>
      <c r="BE206" s="2816"/>
      <c r="BF206" s="2688"/>
      <c r="BG206" s="2689"/>
      <c r="BH206" s="1080"/>
      <c r="BI206" s="2778"/>
      <c r="BJ206" s="2817"/>
      <c r="BK206" s="2926"/>
      <c r="BL206" s="2817"/>
      <c r="BM206" s="2877"/>
      <c r="BN206" s="2859"/>
      <c r="BO206" s="2861"/>
      <c r="BP206" s="2873"/>
      <c r="BQ206" s="2816"/>
      <c r="BR206" s="2857"/>
      <c r="BS206" s="2857"/>
      <c r="BT206" s="2857"/>
      <c r="BU206" s="2857"/>
      <c r="BV206" s="2857"/>
      <c r="BW206" s="2857"/>
      <c r="BX206" s="2857"/>
      <c r="BY206" s="2857"/>
      <c r="BZ206" s="2857"/>
      <c r="CA206" s="2857"/>
      <c r="CB206" s="2857"/>
      <c r="CC206" s="2857"/>
      <c r="CD206" s="2857"/>
      <c r="CE206" s="2857"/>
    </row>
    <row r="207" spans="1:83" ht="17.25" customHeight="1">
      <c r="A207" s="2676"/>
      <c r="B207" s="2670"/>
      <c r="C207" s="1913"/>
      <c r="D207" s="2765"/>
      <c r="E207" s="2677"/>
      <c r="F207" s="2726"/>
      <c r="G207" s="2689"/>
      <c r="H207" s="2689"/>
      <c r="I207" s="2689"/>
      <c r="J207" s="2689"/>
      <c r="K207" s="2687"/>
      <c r="L207" s="2688"/>
      <c r="M207" s="2712"/>
      <c r="N207" s="2712"/>
      <c r="O207" s="2712"/>
      <c r="P207" s="2677"/>
      <c r="V207" s="158"/>
      <c r="W207" s="2"/>
      <c r="X207" s="52"/>
      <c r="Y207" s="2"/>
      <c r="Z207" s="539"/>
      <c r="AA207" s="2"/>
      <c r="AB207" s="2"/>
      <c r="AC207" s="39"/>
      <c r="AD207" s="406"/>
      <c r="AE207" s="428"/>
      <c r="AF207" s="429"/>
      <c r="AG207" s="658"/>
      <c r="AH207" s="453"/>
      <c r="AI207" s="687"/>
      <c r="AJ207" s="2143"/>
      <c r="AK207" s="2037"/>
      <c r="AL207" s="1451"/>
      <c r="AM207" s="1452"/>
      <c r="AN207" s="2149"/>
      <c r="AO207" s="1453"/>
      <c r="AP207" s="1454"/>
      <c r="AQ207" s="1454"/>
      <c r="AR207" s="1455"/>
      <c r="AS207" s="1456"/>
      <c r="AT207" s="490"/>
      <c r="AU207" s="429"/>
      <c r="AV207" s="432"/>
      <c r="AX207" s="1080"/>
      <c r="AY207" s="2726"/>
      <c r="AZ207" s="2817"/>
      <c r="BA207" s="2817"/>
      <c r="BB207" s="2817"/>
      <c r="BC207" s="2817"/>
      <c r="BD207" s="2806"/>
      <c r="BE207" s="2816"/>
      <c r="BF207" s="2688"/>
      <c r="BG207" s="2689"/>
      <c r="BH207" s="1080"/>
      <c r="BI207" s="2778"/>
      <c r="BJ207" s="2817"/>
      <c r="BK207" s="2926"/>
      <c r="BL207" s="2817"/>
      <c r="BM207" s="2877"/>
      <c r="BN207" s="2859"/>
      <c r="BO207" s="2861"/>
      <c r="BP207" s="2873"/>
      <c r="BQ207" s="2816"/>
      <c r="BR207" s="2857"/>
      <c r="BS207" s="2857"/>
      <c r="BT207" s="2857"/>
      <c r="BU207" s="2857"/>
      <c r="BV207" s="2857"/>
      <c r="BW207" s="2857"/>
      <c r="BX207" s="2857"/>
      <c r="BY207" s="2857"/>
      <c r="BZ207" s="2857"/>
      <c r="CA207" s="2857"/>
      <c r="CB207" s="2857"/>
      <c r="CC207" s="2857"/>
      <c r="CD207" s="2857"/>
      <c r="CE207" s="2857"/>
    </row>
    <row r="208" spans="1:83" ht="17.25" customHeight="1">
      <c r="A208" s="2676"/>
      <c r="B208" s="2670"/>
      <c r="C208" s="1913"/>
      <c r="D208" s="2765"/>
      <c r="E208" s="2677"/>
      <c r="F208" s="2726"/>
      <c r="G208" s="2689"/>
      <c r="H208" s="2689"/>
      <c r="I208" s="2689"/>
      <c r="J208" s="2689"/>
      <c r="K208" s="2687"/>
      <c r="L208" s="2685"/>
      <c r="M208" s="2723"/>
      <c r="N208" s="2723"/>
      <c r="O208" s="2723"/>
      <c r="P208" s="2677"/>
      <c r="V208" s="158"/>
      <c r="W208" s="2"/>
      <c r="X208" s="52"/>
      <c r="Y208" s="2"/>
      <c r="Z208" s="539"/>
      <c r="AA208" s="2"/>
      <c r="AB208" s="2"/>
      <c r="AC208" s="39"/>
      <c r="AD208" s="406"/>
      <c r="AE208" s="428"/>
      <c r="AF208" s="429"/>
      <c r="AG208" s="658"/>
      <c r="AH208" s="435"/>
      <c r="AI208" s="687"/>
      <c r="AJ208" s="2652" t="s">
        <v>1834</v>
      </c>
      <c r="AK208" s="2158"/>
      <c r="AL208" s="2158"/>
      <c r="AM208" s="2157"/>
      <c r="AN208" s="2653"/>
      <c r="AO208" s="488"/>
      <c r="AP208" s="671"/>
      <c r="AQ208" s="671"/>
      <c r="AR208" s="676"/>
      <c r="AS208" s="684"/>
      <c r="AT208" s="429"/>
      <c r="AU208" s="429"/>
      <c r="AV208" s="432"/>
      <c r="AX208" s="1080"/>
      <c r="AY208" s="2726"/>
      <c r="AZ208" s="2817"/>
      <c r="BA208" s="2817"/>
      <c r="BB208" s="2817"/>
      <c r="BC208" s="2817"/>
      <c r="BD208" s="2806"/>
      <c r="BE208" s="2807"/>
      <c r="BF208" s="2685"/>
      <c r="BG208" s="2689"/>
      <c r="BH208" s="1080"/>
      <c r="BI208" s="2778"/>
      <c r="BJ208" s="2817"/>
      <c r="BK208" s="2926"/>
      <c r="BL208" s="2817"/>
      <c r="BM208" s="2877"/>
      <c r="BN208" s="2859"/>
      <c r="BO208" s="2861"/>
      <c r="BP208" s="2873"/>
      <c r="BQ208" s="2807"/>
      <c r="BR208" s="2808"/>
      <c r="BS208" s="2808"/>
      <c r="BT208" s="2808"/>
      <c r="BU208" s="2808"/>
      <c r="BV208" s="2808"/>
      <c r="BW208" s="2808"/>
      <c r="BX208" s="2808"/>
      <c r="BY208" s="2808"/>
      <c r="BZ208" s="2808"/>
      <c r="CA208" s="2808"/>
      <c r="CB208" s="2808"/>
      <c r="CC208" s="2808"/>
      <c r="CD208" s="2808"/>
      <c r="CE208" s="2808"/>
    </row>
    <row r="209" spans="1:83" ht="10.5" customHeight="1">
      <c r="A209" s="2676"/>
      <c r="B209" s="2670"/>
      <c r="C209" s="1913"/>
      <c r="D209" s="2765"/>
      <c r="E209" s="2677"/>
      <c r="F209" s="2726"/>
      <c r="G209" s="2689"/>
      <c r="H209" s="2689"/>
      <c r="I209" s="2689"/>
      <c r="J209" s="2689"/>
      <c r="K209" s="2687"/>
      <c r="L209" s="2685"/>
      <c r="M209" s="2723"/>
      <c r="N209" s="2723"/>
      <c r="O209" s="2723"/>
      <c r="P209" s="2677"/>
      <c r="V209" s="158"/>
      <c r="W209" s="2"/>
      <c r="X209" s="52"/>
      <c r="Y209" s="2"/>
      <c r="Z209" s="539"/>
      <c r="AA209" s="2"/>
      <c r="AB209" s="2"/>
      <c r="AC209" s="39"/>
      <c r="AD209" s="406"/>
      <c r="AE209" s="428"/>
      <c r="AF209" s="429"/>
      <c r="AG209" s="658"/>
      <c r="AH209" s="435"/>
      <c r="AI209" s="687"/>
      <c r="AJ209" s="488"/>
      <c r="AK209" s="488"/>
      <c r="AL209" s="488"/>
      <c r="AM209" s="488"/>
      <c r="AN209" s="488"/>
      <c r="AO209" s="488"/>
      <c r="AP209" s="671"/>
      <c r="AQ209" s="671"/>
      <c r="AR209" s="676"/>
      <c r="AS209" s="684"/>
      <c r="AT209" s="429"/>
      <c r="AU209" s="429"/>
      <c r="AV209" s="432"/>
      <c r="AX209" s="1080"/>
      <c r="AY209" s="2726"/>
      <c r="AZ209" s="2817"/>
      <c r="BA209" s="2817"/>
      <c r="BB209" s="2817"/>
      <c r="BC209" s="2817"/>
      <c r="BD209" s="2806"/>
      <c r="BE209" s="2807"/>
      <c r="BF209" s="2685"/>
      <c r="BG209" s="2689"/>
      <c r="BH209" s="1080"/>
      <c r="BI209" s="2778"/>
      <c r="BJ209" s="2817"/>
      <c r="BK209" s="2926"/>
      <c r="BL209" s="2817"/>
      <c r="BM209" s="2877"/>
      <c r="BN209" s="2859"/>
      <c r="BO209" s="2861"/>
      <c r="BP209" s="2873"/>
      <c r="BQ209" s="2807"/>
      <c r="BR209" s="2808"/>
      <c r="BS209" s="2808"/>
      <c r="BT209" s="2808"/>
      <c r="BU209" s="2808"/>
      <c r="BV209" s="2808"/>
      <c r="BW209" s="2808"/>
      <c r="BX209" s="2808"/>
      <c r="BY209" s="2808"/>
      <c r="BZ209" s="2808"/>
      <c r="CA209" s="2808"/>
      <c r="CB209" s="2808"/>
      <c r="CC209" s="2808"/>
      <c r="CD209" s="2808"/>
      <c r="CE209" s="2808"/>
    </row>
    <row r="210" spans="1:83" ht="17.25" customHeight="1">
      <c r="A210" s="2676"/>
      <c r="B210" s="2670" t="s">
        <v>1877</v>
      </c>
      <c r="C210" s="3362" t="s">
        <v>437</v>
      </c>
      <c r="D210" s="2782" t="e" cm="1">
        <f t="array" ca="1" aca="1" ref="D210">IF(AL210="","▧",_xldudf_CX_PUSH(AL210*DebtOverview!fxVal_normal,CX_ENTITY,fx_attrConverter(C210),val_asOfDate,"As of",fx_scenarioConverter("Actual")))</f>
        <v>#NAME?</v>
      </c>
      <c r="E210" s="2677"/>
      <c r="F210" s="2726"/>
      <c r="G210" s="2689"/>
      <c r="H210" s="2689"/>
      <c r="I210" s="2689"/>
      <c r="J210" s="2689"/>
      <c r="K210" s="2687"/>
      <c r="L210" s="2685"/>
      <c r="M210" s="2723"/>
      <c r="N210" s="2723"/>
      <c r="O210" s="2723"/>
      <c r="P210" s="2677"/>
      <c r="V210" s="158"/>
      <c r="W210" s="2"/>
      <c r="X210" s="52"/>
      <c r="Y210" s="2"/>
      <c r="Z210" s="539"/>
      <c r="AA210" s="2"/>
      <c r="AB210" s="2"/>
      <c r="AC210" s="39"/>
      <c r="AD210" s="406"/>
      <c r="AE210" s="428"/>
      <c r="AF210" s="429"/>
      <c r="AG210" s="658"/>
      <c r="AH210" s="435"/>
      <c r="AI210" s="687"/>
      <c r="AJ210" s="2038" t="s">
        <v>1835</v>
      </c>
      <c r="AK210" s="2039"/>
      <c r="AL210" s="2163">
        <f>SUBTOTAL(9,AN211:AN214)</f>
        <v>0</v>
      </c>
      <c r="AM210" s="482"/>
      <c r="AN210" s="482"/>
      <c r="AO210" s="673"/>
      <c r="AP210" s="669"/>
      <c r="AQ210" s="669"/>
      <c r="AR210" s="677"/>
      <c r="AS210" s="685"/>
      <c r="AT210" s="429"/>
      <c r="AU210" s="429"/>
      <c r="AV210" s="432"/>
      <c r="AX210" s="1080"/>
      <c r="AY210" s="2726"/>
      <c r="AZ210" s="2817"/>
      <c r="BA210" s="2817"/>
      <c r="BB210" s="2817"/>
      <c r="BC210" s="2817"/>
      <c r="BD210" s="2806"/>
      <c r="BE210" s="2807"/>
      <c r="BF210" s="2685"/>
      <c r="BG210" s="2689"/>
      <c r="BH210" s="1080"/>
      <c r="BI210" s="2778"/>
      <c r="BJ210" s="2817"/>
      <c r="BK210" s="2926"/>
      <c r="BL210" s="2817"/>
      <c r="BM210" s="2877"/>
      <c r="BN210" s="2859"/>
      <c r="BO210" s="2861"/>
      <c r="BP210" s="2873"/>
      <c r="BQ210" s="2807"/>
      <c r="BR210" s="2808"/>
      <c r="BS210" s="2808"/>
      <c r="BT210" s="2808"/>
      <c r="BU210" s="2808"/>
      <c r="BV210" s="2808"/>
      <c r="BW210" s="2808"/>
      <c r="BX210" s="2808"/>
      <c r="BY210" s="2808"/>
      <c r="BZ210" s="2808"/>
      <c r="CA210" s="2808"/>
      <c r="CB210" s="2808"/>
      <c r="CC210" s="2808"/>
      <c r="CD210" s="2808"/>
      <c r="CE210" s="2808"/>
    </row>
    <row r="211" spans="1:83" ht="17.25" customHeight="1">
      <c r="A211" s="2676"/>
      <c r="B211" s="2670" t="s">
        <v>1877</v>
      </c>
      <c r="C211" s="3362" t="s">
        <v>1836</v>
      </c>
      <c r="D211" s="2782" t="e" cm="1">
        <f t="array" ca="1" aca="1" ref="D211">IF(AL211="","▧",_xldudf_CX_PUSH(AL211*DebtOverview!fxVal_normal,CX_ENTITY,fx_attrConverter(C211),val_asOfDate,"As of",fx_scenarioConverter("Actual")))</f>
        <v>#NAME?</v>
      </c>
      <c r="E211" s="2677"/>
      <c r="F211" s="2726"/>
      <c r="G211" s="2689"/>
      <c r="H211" s="2689"/>
      <c r="I211" s="2689"/>
      <c r="J211" s="2689"/>
      <c r="K211" s="2687"/>
      <c r="L211" s="2685"/>
      <c r="M211" s="2723"/>
      <c r="N211" s="2723"/>
      <c r="O211" s="2723"/>
      <c r="P211" s="2677"/>
      <c r="V211" s="158"/>
      <c r="W211" s="2"/>
      <c r="X211" s="101"/>
      <c r="Y211" s="101"/>
      <c r="Z211" s="539"/>
      <c r="AA211" s="2"/>
      <c r="AB211" s="2"/>
      <c r="AC211" s="39"/>
      <c r="AD211" s="406"/>
      <c r="AE211" s="428"/>
      <c r="AF211" s="429"/>
      <c r="AG211" s="658"/>
      <c r="AH211" s="435"/>
      <c r="AI211" s="687"/>
      <c r="AJ211" s="2144" t="s">
        <v>1965</v>
      </c>
      <c r="AK211" s="2039"/>
      <c r="AL211" s="3255">
        <f>AN103</f>
        <v>1</v>
      </c>
      <c r="AM211" s="482"/>
      <c r="AN211" s="482"/>
      <c r="AO211" s="673" t="e" vm="5" cm="1">
        <f t="array" ca="1" aca="1" ref="AO211">_xlfn.LET(_xlpm._termname,$AB22,_xlpm._iconname,"find",_xlpm._icon,fx_getIcon(_xlpm._iconname),_xlpm._location,$AN$103,_xlpm._hyperlink,HYPERLINK("#"&amp;CELL("address",_xlpm._location),_xlpm._icon),IFERROR(_xlpm._hyperlink,""))</f>
        <v>#VALUE!</v>
      </c>
      <c r="AP211" s="669"/>
      <c r="AQ211" s="669"/>
      <c r="AR211" s="677"/>
      <c r="AS211" s="685"/>
      <c r="AT211" s="429"/>
      <c r="AU211" s="429"/>
      <c r="AV211" s="432"/>
      <c r="AX211" s="1080"/>
      <c r="AY211" s="2726"/>
      <c r="AZ211" s="2817"/>
      <c r="BA211" s="2817"/>
      <c r="BB211" s="2817"/>
      <c r="BC211" s="2817"/>
      <c r="BD211" s="2806"/>
      <c r="BE211" s="2807"/>
      <c r="BF211" s="2685"/>
      <c r="BG211" s="2689"/>
      <c r="BH211" s="1080"/>
      <c r="BI211" s="2778"/>
      <c r="BJ211" s="2817"/>
      <c r="BK211" s="2926"/>
      <c r="BL211" s="2817"/>
      <c r="BM211" s="2877"/>
      <c r="BN211" s="2859"/>
      <c r="BO211" s="2861"/>
      <c r="BP211" s="2873"/>
      <c r="BQ211" s="2807"/>
      <c r="BR211" s="2808"/>
      <c r="BS211" s="2808"/>
      <c r="BT211" s="2808"/>
      <c r="BU211" s="2808"/>
      <c r="BV211" s="2808"/>
      <c r="BW211" s="2808"/>
      <c r="BX211" s="2808"/>
      <c r="BY211" s="2808"/>
      <c r="BZ211" s="2808"/>
      <c r="CA211" s="2808"/>
      <c r="CB211" s="2808"/>
      <c r="CC211" s="2808"/>
      <c r="CD211" s="2808"/>
      <c r="CE211" s="2808"/>
    </row>
    <row r="212" spans="1:83" ht="17.25" customHeight="1">
      <c r="A212" s="2676"/>
      <c r="B212" s="2670" t="s">
        <v>1877</v>
      </c>
      <c r="C212" s="3362" t="s">
        <v>1837</v>
      </c>
      <c r="D212" s="2782" t="str" cm="1">
        <f t="array" ref="D212">IF(AL212="","▧",_xldudf_CX_PUSH(AL212*DebtOverview!fxVal_normal,CX_ENTITY,fx_attrConverter(C212),val_asOfDate,"As of",fx_scenarioConverter("Actual")))</f>
        <v>▧</v>
      </c>
      <c r="E212" s="2677"/>
      <c r="F212" s="2726"/>
      <c r="G212" s="2689"/>
      <c r="H212" s="2689"/>
      <c r="I212" s="2689"/>
      <c r="J212" s="2689"/>
      <c r="K212" s="2687"/>
      <c r="L212" s="2685"/>
      <c r="M212" s="2723"/>
      <c r="N212" s="2723"/>
      <c r="O212" s="2723"/>
      <c r="P212" s="2677"/>
      <c r="V212" s="158"/>
      <c r="W212" s="2"/>
      <c r="X212" s="151"/>
      <c r="Y212" s="151"/>
      <c r="Z212" s="539"/>
      <c r="AA212" s="2"/>
      <c r="AB212" s="2"/>
      <c r="AC212" s="39"/>
      <c r="AD212" s="406"/>
      <c r="AE212" s="428"/>
      <c r="AF212" s="429"/>
      <c r="AG212" s="658"/>
      <c r="AH212" s="435"/>
      <c r="AI212" s="687"/>
      <c r="AJ212" s="2144" t="s">
        <v>1966</v>
      </c>
      <c r="AK212" s="2039"/>
      <c r="AL212" s="3371" t="str">
        <f>IF(ISNUMBER(G212),G212/DebtOverview!fxVal_normal,"")</f>
        <v/>
      </c>
      <c r="AM212" s="482"/>
      <c r="AN212" s="482"/>
      <c r="AO212" s="492"/>
      <c r="AP212" s="669"/>
      <c r="AQ212" s="669"/>
      <c r="AR212" s="677"/>
      <c r="AS212" s="685"/>
      <c r="AT212" s="429"/>
      <c r="AU212" s="429"/>
      <c r="AV212" s="432"/>
      <c r="AX212" s="1080"/>
      <c r="AY212" s="2726"/>
      <c r="AZ212" s="2817"/>
      <c r="BA212" s="2817"/>
      <c r="BB212" s="2817"/>
      <c r="BC212" s="2817"/>
      <c r="BD212" s="2806"/>
      <c r="BE212" s="2807"/>
      <c r="BF212" s="2685"/>
      <c r="BG212" s="2689"/>
      <c r="BH212" s="1080"/>
      <c r="BI212" s="2778"/>
      <c r="BJ212" s="2817"/>
      <c r="BK212" s="2926"/>
      <c r="BL212" s="2817"/>
      <c r="BM212" s="2877"/>
      <c r="BN212" s="2859"/>
      <c r="BO212" s="2861"/>
      <c r="BP212" s="2873"/>
      <c r="BQ212" s="2807"/>
      <c r="BR212" s="2808"/>
      <c r="BS212" s="2808"/>
      <c r="BT212" s="2808"/>
      <c r="BU212" s="2808"/>
      <c r="BV212" s="2808"/>
      <c r="BW212" s="2808"/>
      <c r="BX212" s="2808"/>
      <c r="BY212" s="2808"/>
      <c r="BZ212" s="2808"/>
      <c r="CA212" s="2808"/>
      <c r="CB212" s="2808"/>
      <c r="CC212" s="2808"/>
      <c r="CD212" s="2808"/>
      <c r="CE212" s="2808"/>
    </row>
    <row r="213" spans="1:83" ht="17.25" customHeight="1">
      <c r="A213" s="2676"/>
      <c r="B213" s="2670" t="s">
        <v>1877</v>
      </c>
      <c r="C213" s="3362" t="s">
        <v>1838</v>
      </c>
      <c r="D213" s="2782" t="str" cm="1">
        <f t="array" ref="D213">IF(AL213="","▧",_xldudf_CX_PUSH(AL213*DebtOverview!fxVal_normal,CX_ENTITY,fx_attrConverter(C213),val_asOfDate,"As of",fx_scenarioConverter("Actual")))</f>
        <v>▧</v>
      </c>
      <c r="E213" s="2677"/>
      <c r="F213" s="2726"/>
      <c r="G213" s="2689"/>
      <c r="H213" s="2689"/>
      <c r="I213" s="2689"/>
      <c r="J213" s="2689"/>
      <c r="K213" s="2687"/>
      <c r="L213" s="2685"/>
      <c r="M213" s="2723"/>
      <c r="N213" s="2723"/>
      <c r="O213" s="2723"/>
      <c r="P213" s="2677"/>
      <c r="V213" s="158"/>
      <c r="W213" s="2"/>
      <c r="X213" s="151"/>
      <c r="Y213" s="151"/>
      <c r="Z213" s="539"/>
      <c r="AA213" s="2"/>
      <c r="AB213" s="2"/>
      <c r="AC213" s="39"/>
      <c r="AD213" s="406"/>
      <c r="AE213" s="428"/>
      <c r="AF213" s="429"/>
      <c r="AG213" s="658"/>
      <c r="AH213" s="435"/>
      <c r="AI213" s="687"/>
      <c r="AJ213" s="2038" t="s">
        <v>1839</v>
      </c>
      <c r="AK213" s="2039"/>
      <c r="AL213" s="3371" t="str">
        <f>IF(ISNUMBER(G213),G213/DebtOverview!fxVal_normal,"")</f>
        <v/>
      </c>
      <c r="AM213" s="482"/>
      <c r="AN213" s="482"/>
      <c r="AO213" s="672"/>
      <c r="AP213" s="669"/>
      <c r="AQ213" s="669"/>
      <c r="AR213" s="676"/>
      <c r="AS213" s="684"/>
      <c r="AT213" s="429"/>
      <c r="AU213" s="429"/>
      <c r="AV213" s="432"/>
      <c r="AX213" s="1080"/>
      <c r="AY213" s="2726"/>
      <c r="AZ213" s="2817"/>
      <c r="BA213" s="2817"/>
      <c r="BB213" s="2817"/>
      <c r="BC213" s="2817"/>
      <c r="BD213" s="2806"/>
      <c r="BE213" s="2807"/>
      <c r="BF213" s="2685"/>
      <c r="BG213" s="2689"/>
      <c r="BH213" s="1080"/>
      <c r="BI213" s="2778"/>
      <c r="BJ213" s="2817"/>
      <c r="BK213" s="2926"/>
      <c r="BL213" s="2817"/>
      <c r="BM213" s="2877"/>
      <c r="BN213" s="2859"/>
      <c r="BO213" s="2861"/>
      <c r="BP213" s="2873"/>
      <c r="BQ213" s="2807"/>
      <c r="BR213" s="2808"/>
      <c r="BS213" s="2808"/>
      <c r="BT213" s="2808"/>
      <c r="BU213" s="2808"/>
      <c r="BV213" s="2808"/>
      <c r="BW213" s="2808"/>
      <c r="BX213" s="2808"/>
      <c r="BY213" s="2808"/>
      <c r="BZ213" s="2808"/>
      <c r="CA213" s="2808"/>
      <c r="CB213" s="2808"/>
      <c r="CC213" s="2808"/>
      <c r="CD213" s="2808"/>
      <c r="CE213" s="2808"/>
    </row>
    <row r="214" spans="1:83" ht="9.75" customHeight="1">
      <c r="A214" s="2676"/>
      <c r="B214" s="2670"/>
      <c r="C214" s="1913"/>
      <c r="D214" s="1913"/>
      <c r="E214" s="2677"/>
      <c r="F214" s="2726"/>
      <c r="G214" s="2689"/>
      <c r="H214" s="2689"/>
      <c r="I214" s="2689"/>
      <c r="J214" s="2689"/>
      <c r="K214" s="2687"/>
      <c r="L214" s="2685"/>
      <c r="M214" s="2723"/>
      <c r="N214" s="2723"/>
      <c r="O214" s="2723"/>
      <c r="P214" s="2677"/>
      <c r="V214" s="158"/>
      <c r="W214" s="2"/>
      <c r="X214" s="151"/>
      <c r="Y214" s="151"/>
      <c r="Z214" s="539"/>
      <c r="AA214" s="2"/>
      <c r="AB214" s="2"/>
      <c r="AC214" s="39"/>
      <c r="AD214" s="406"/>
      <c r="AE214" s="428"/>
      <c r="AF214" s="429"/>
      <c r="AG214" s="658"/>
      <c r="AH214" s="435"/>
      <c r="AI214" s="687"/>
      <c r="AJ214" s="2038"/>
      <c r="AK214" s="2039"/>
      <c r="AL214" s="674"/>
      <c r="AM214" s="482"/>
      <c r="AN214" s="2160" t="s">
        <v>1832</v>
      </c>
      <c r="AO214" s="672"/>
      <c r="AP214" s="669"/>
      <c r="AQ214" s="669"/>
      <c r="AR214" s="676"/>
      <c r="AS214" s="684"/>
      <c r="AT214" s="429"/>
      <c r="AU214" s="429"/>
      <c r="AV214" s="432"/>
      <c r="AX214" s="1080"/>
      <c r="AY214" s="2726"/>
      <c r="AZ214" s="2817"/>
      <c r="BA214" s="2817"/>
      <c r="BB214" s="2817"/>
      <c r="BC214" s="2817"/>
      <c r="BD214" s="2806"/>
      <c r="BE214" s="2807"/>
      <c r="BF214" s="2685"/>
      <c r="BG214" s="2689"/>
      <c r="BH214" s="1080"/>
      <c r="BI214" s="2778"/>
      <c r="BJ214" s="2817"/>
      <c r="BK214" s="2926"/>
      <c r="BL214" s="2817"/>
      <c r="BM214" s="2877"/>
      <c r="BN214" s="2859"/>
      <c r="BO214" s="2861"/>
      <c r="BP214" s="2873"/>
      <c r="BQ214" s="2807"/>
      <c r="BR214" s="2808"/>
      <c r="BS214" s="2808"/>
      <c r="BT214" s="2808"/>
      <c r="BU214" s="2808"/>
      <c r="BV214" s="2808"/>
      <c r="BW214" s="2808"/>
      <c r="BX214" s="2808"/>
      <c r="BY214" s="2808"/>
      <c r="BZ214" s="2808"/>
      <c r="CA214" s="2808"/>
      <c r="CB214" s="2808"/>
      <c r="CC214" s="2808"/>
      <c r="CD214" s="2808"/>
      <c r="CE214" s="2808"/>
    </row>
    <row r="215" spans="1:83" ht="17.25" customHeight="1">
      <c r="A215" s="2676"/>
      <c r="B215" s="2670" t="s">
        <v>1877</v>
      </c>
      <c r="C215" s="3361" t="s">
        <v>1840</v>
      </c>
      <c r="D215" s="2763" t="e" cm="1">
        <f t="array" ca="1" aca="1" ref="D215">_xldudf_CX_PUSH(AN215*DebtOverview!fxVal_normal,CX_ENTITY,fx_attrConverter(C215),val_asOfDate,"As of",fx_scenarioConverter("Actual"))</f>
        <v>#NAME?</v>
      </c>
      <c r="E215" s="2677"/>
      <c r="F215" s="2726"/>
      <c r="G215" s="2689"/>
      <c r="H215" s="2689"/>
      <c r="I215" s="2689"/>
      <c r="J215" s="2689"/>
      <c r="K215" s="2687"/>
      <c r="L215" s="2685"/>
      <c r="M215" s="2724"/>
      <c r="N215" s="2724"/>
      <c r="O215" s="2724"/>
      <c r="P215" s="2677"/>
      <c r="V215" s="158"/>
      <c r="W215" s="2"/>
      <c r="X215" s="52"/>
      <c r="Y215" s="2"/>
      <c r="Z215" s="539"/>
      <c r="AA215" s="2"/>
      <c r="AB215" s="2"/>
      <c r="AC215" s="39"/>
      <c r="AD215" s="406"/>
      <c r="AE215" s="428"/>
      <c r="AF215" s="429"/>
      <c r="AG215" s="658"/>
      <c r="AH215" s="435"/>
      <c r="AI215" s="687"/>
      <c r="AJ215" s="2145" t="s">
        <v>1840</v>
      </c>
      <c r="AK215" s="2146"/>
      <c r="AL215" s="2146"/>
      <c r="AM215" s="2147"/>
      <c r="AN215" s="3256">
        <f>SUBTOTAL(9,AL210:AL213)</f>
        <v>1</v>
      </c>
      <c r="AO215" s="672"/>
      <c r="AP215" s="669"/>
      <c r="AQ215" s="669"/>
      <c r="AR215" s="676"/>
      <c r="AS215" s="684"/>
      <c r="AT215" s="429"/>
      <c r="AU215" s="429"/>
      <c r="AV215" s="432"/>
      <c r="AX215" s="1080"/>
      <c r="AY215" s="2726"/>
      <c r="AZ215" s="2817"/>
      <c r="BA215" s="2817"/>
      <c r="BB215" s="2817"/>
      <c r="BC215" s="2817"/>
      <c r="BD215" s="2806"/>
      <c r="BE215" s="2807"/>
      <c r="BF215" s="2685"/>
      <c r="BG215" s="2689"/>
      <c r="BH215" s="1080"/>
      <c r="BI215" s="2778"/>
      <c r="BJ215" s="2817"/>
      <c r="BK215" s="2926"/>
      <c r="BL215" s="2817"/>
      <c r="BM215" s="2877"/>
      <c r="BN215" s="2859"/>
      <c r="BO215" s="2861"/>
      <c r="BP215" s="2873"/>
      <c r="BQ215" s="2807"/>
      <c r="BR215" s="2808"/>
      <c r="BS215" s="2808"/>
      <c r="BT215" s="2808"/>
      <c r="BU215" s="2808"/>
      <c r="BV215" s="2808"/>
      <c r="BW215" s="2808"/>
      <c r="BX215" s="2808"/>
      <c r="BY215" s="2808"/>
      <c r="BZ215" s="2808"/>
      <c r="CA215" s="2808"/>
      <c r="CB215" s="2808"/>
      <c r="CC215" s="2808"/>
      <c r="CD215" s="2808"/>
      <c r="CE215" s="2808"/>
    </row>
    <row r="216" spans="1:83" ht="17.25" customHeight="1">
      <c r="A216" s="2676"/>
      <c r="B216" s="2670"/>
      <c r="C216" s="1913"/>
      <c r="D216" s="1913"/>
      <c r="E216" s="2677"/>
      <c r="F216" s="2726"/>
      <c r="G216" s="2689"/>
      <c r="H216" s="2689"/>
      <c r="I216" s="2689"/>
      <c r="J216" s="2689"/>
      <c r="K216" s="2687"/>
      <c r="L216" s="2685"/>
      <c r="M216" s="2724"/>
      <c r="N216" s="2724"/>
      <c r="O216" s="2724"/>
      <c r="P216" s="2677"/>
      <c r="V216" s="158"/>
      <c r="W216" s="2"/>
      <c r="X216" s="52"/>
      <c r="Y216" s="2"/>
      <c r="Z216" s="539"/>
      <c r="AA216" s="2"/>
      <c r="AB216" s="2"/>
      <c r="AC216" s="39"/>
      <c r="AD216" s="406"/>
      <c r="AE216" s="428"/>
      <c r="AF216" s="429"/>
      <c r="AG216" s="658"/>
      <c r="AH216" s="435"/>
      <c r="AI216" s="687"/>
      <c r="AJ216" s="2165" t="s">
        <v>1841</v>
      </c>
      <c r="AK216" s="2036"/>
      <c r="AL216" s="668"/>
      <c r="AM216" s="491"/>
      <c r="AN216" s="2159" t="str">
        <f ca="1">IF(AN206&lt;&gt;0,AN215/AN206,"0.0%")</f>
        <v>0.0%</v>
      </c>
      <c r="AO216" s="672"/>
      <c r="AP216" s="669"/>
      <c r="AQ216" s="669"/>
      <c r="AR216" s="676"/>
      <c r="AS216" s="684"/>
      <c r="AT216" s="429"/>
      <c r="AU216" s="429"/>
      <c r="AV216" s="432"/>
      <c r="AX216" s="1080"/>
      <c r="AY216" s="2726"/>
      <c r="AZ216" s="2817"/>
      <c r="BA216" s="2817"/>
      <c r="BB216" s="2817"/>
      <c r="BC216" s="2817"/>
      <c r="BD216" s="2806"/>
      <c r="BE216" s="2807"/>
      <c r="BF216" s="2685"/>
      <c r="BG216" s="2689"/>
      <c r="BH216" s="1080"/>
      <c r="BI216" s="2778"/>
      <c r="BJ216" s="2817"/>
      <c r="BK216" s="2926"/>
      <c r="BL216" s="2817"/>
      <c r="BM216" s="2877"/>
      <c r="BN216" s="2859"/>
      <c r="BO216" s="2861"/>
      <c r="BP216" s="2873"/>
      <c r="BQ216" s="2807"/>
      <c r="BR216" s="2808"/>
      <c r="BS216" s="2808"/>
      <c r="BT216" s="2808"/>
      <c r="BU216" s="2808"/>
      <c r="BV216" s="2808"/>
      <c r="BW216" s="2808"/>
      <c r="BX216" s="2808"/>
      <c r="BY216" s="2808"/>
      <c r="BZ216" s="2808"/>
      <c r="CA216" s="2808"/>
      <c r="CB216" s="2808"/>
      <c r="CC216" s="2808"/>
      <c r="CD216" s="2808"/>
      <c r="CE216" s="2808"/>
    </row>
    <row r="217" spans="1:83" ht="17.25" customHeight="1">
      <c r="A217" s="2676"/>
      <c r="B217" s="2670"/>
      <c r="C217" s="1913"/>
      <c r="D217" s="1913"/>
      <c r="E217" s="2677"/>
      <c r="F217" s="2726"/>
      <c r="G217" s="2689"/>
      <c r="H217" s="2689"/>
      <c r="I217" s="2689"/>
      <c r="J217" s="2689"/>
      <c r="K217" s="2687"/>
      <c r="L217" s="2685"/>
      <c r="M217" s="2724"/>
      <c r="N217" s="2724"/>
      <c r="O217" s="2724"/>
      <c r="P217" s="2677"/>
      <c r="V217" s="158"/>
      <c r="W217" s="2"/>
      <c r="X217" s="52"/>
      <c r="Y217" s="2"/>
      <c r="Z217" s="539"/>
      <c r="AA217" s="2"/>
      <c r="AB217" s="2"/>
      <c r="AC217" s="39"/>
      <c r="AD217" s="406"/>
      <c r="AE217" s="428"/>
      <c r="AF217" s="429"/>
      <c r="AG217" s="658"/>
      <c r="AH217" s="435"/>
      <c r="AI217" s="687"/>
      <c r="AJ217" s="2036"/>
      <c r="AK217" s="2036"/>
      <c r="AL217" s="2036"/>
      <c r="AM217" s="2036"/>
      <c r="AN217" s="2036"/>
      <c r="AO217" s="672"/>
      <c r="AP217" s="669"/>
      <c r="AQ217" s="669"/>
      <c r="AR217" s="676"/>
      <c r="AS217" s="684"/>
      <c r="AT217" s="429"/>
      <c r="AU217" s="429"/>
      <c r="AV217" s="432"/>
      <c r="AX217" s="1080"/>
      <c r="AY217" s="2726"/>
      <c r="AZ217" s="2817"/>
      <c r="BA217" s="2817"/>
      <c r="BB217" s="2817"/>
      <c r="BC217" s="2817"/>
      <c r="BD217" s="2806"/>
      <c r="BE217" s="2807"/>
      <c r="BF217" s="2685"/>
      <c r="BG217" s="2689"/>
      <c r="BH217" s="1080"/>
      <c r="BI217" s="2778"/>
      <c r="BJ217" s="2817"/>
      <c r="BK217" s="2926"/>
      <c r="BL217" s="2817"/>
      <c r="BM217" s="2877"/>
      <c r="BN217" s="2859"/>
      <c r="BO217" s="2861"/>
      <c r="BP217" s="2873"/>
      <c r="BQ217" s="2807"/>
      <c r="BR217" s="2808"/>
      <c r="BS217" s="2808"/>
      <c r="BT217" s="2808"/>
      <c r="BU217" s="2808"/>
      <c r="BV217" s="2808"/>
      <c r="BW217" s="2808"/>
      <c r="BX217" s="2808"/>
      <c r="BY217" s="2808"/>
      <c r="BZ217" s="2808"/>
      <c r="CA217" s="2808"/>
      <c r="CB217" s="2808"/>
      <c r="CC217" s="2808"/>
      <c r="CD217" s="2808"/>
      <c r="CE217" s="2808"/>
    </row>
    <row r="218" spans="1:83" ht="17.25" customHeight="1">
      <c r="A218" s="2676"/>
      <c r="B218" s="2670"/>
      <c r="C218" s="1913"/>
      <c r="D218" s="2760"/>
      <c r="E218" s="2677"/>
      <c r="F218" s="2726"/>
      <c r="G218" s="2689"/>
      <c r="H218" s="2689"/>
      <c r="I218" s="2689"/>
      <c r="J218" s="2689"/>
      <c r="K218" s="2687"/>
      <c r="L218" s="2685"/>
      <c r="M218" s="2724"/>
      <c r="N218" s="2724"/>
      <c r="O218" s="2724"/>
      <c r="P218" s="2677"/>
      <c r="V218" s="158"/>
      <c r="W218" s="2"/>
      <c r="X218" s="52"/>
      <c r="Y218" s="2"/>
      <c r="Z218" s="539"/>
      <c r="AA218" s="2"/>
      <c r="AB218" s="2"/>
      <c r="AC218" s="39"/>
      <c r="AD218" s="406"/>
      <c r="AE218" s="428"/>
      <c r="AF218" s="429"/>
      <c r="AG218" s="658"/>
      <c r="AH218" s="435"/>
      <c r="AI218" s="687"/>
      <c r="AJ218" s="2652" t="s">
        <v>1843</v>
      </c>
      <c r="AK218" s="2158"/>
      <c r="AL218" s="2158"/>
      <c r="AM218" s="2157"/>
      <c r="AN218" s="3372"/>
      <c r="AO218" s="672"/>
      <c r="AP218" s="669"/>
      <c r="AQ218" s="669"/>
      <c r="AR218" s="676"/>
      <c r="AS218" s="684"/>
      <c r="AT218" s="429"/>
      <c r="AU218" s="429"/>
      <c r="AV218" s="432"/>
      <c r="AX218" s="1080"/>
      <c r="AY218" s="2726"/>
      <c r="AZ218" s="2817"/>
      <c r="BA218" s="2817"/>
      <c r="BB218" s="2817"/>
      <c r="BC218" s="2817"/>
      <c r="BD218" s="2806"/>
      <c r="BE218" s="2807"/>
      <c r="BF218" s="2685"/>
      <c r="BG218" s="2689"/>
      <c r="BH218" s="1080"/>
      <c r="BI218" s="2778"/>
      <c r="BJ218" s="2817"/>
      <c r="BK218" s="2926"/>
      <c r="BL218" s="2817"/>
      <c r="BM218" s="2877"/>
      <c r="BN218" s="2859"/>
      <c r="BO218" s="2861"/>
      <c r="BP218" s="2873"/>
      <c r="BQ218" s="2807"/>
      <c r="BR218" s="2808"/>
      <c r="BS218" s="2808"/>
      <c r="BT218" s="2808"/>
      <c r="BU218" s="2808"/>
      <c r="BV218" s="2808"/>
      <c r="BW218" s="2808"/>
      <c r="BX218" s="2808"/>
      <c r="BY218" s="2808"/>
      <c r="BZ218" s="2808"/>
      <c r="CA218" s="2808"/>
      <c r="CB218" s="2808"/>
      <c r="CC218" s="2808"/>
      <c r="CD218" s="2808"/>
      <c r="CE218" s="2808"/>
    </row>
    <row r="219" spans="1:83" ht="9" customHeight="1">
      <c r="A219" s="2676"/>
      <c r="B219" s="2670"/>
      <c r="C219" s="1913"/>
      <c r="D219" s="2752"/>
      <c r="E219" s="2677"/>
      <c r="F219" s="2677"/>
      <c r="G219" s="1911"/>
      <c r="H219" s="1911"/>
      <c r="I219" s="1911"/>
      <c r="J219" s="1911"/>
      <c r="K219" s="2150"/>
      <c r="L219" s="2151"/>
      <c r="M219" s="2151"/>
      <c r="N219" s="2151"/>
      <c r="O219" s="2151"/>
      <c r="P219" s="2677"/>
      <c r="V219" s="158"/>
      <c r="W219" s="2"/>
      <c r="X219" s="52"/>
      <c r="Y219" s="2"/>
      <c r="Z219" s="539"/>
      <c r="AA219" s="2"/>
      <c r="AB219" s="2"/>
      <c r="AC219" s="39"/>
      <c r="AD219" s="406"/>
      <c r="AE219" s="428"/>
      <c r="AF219" s="429"/>
      <c r="AG219" s="658"/>
      <c r="AH219" s="435"/>
      <c r="AI219" s="687"/>
      <c r="AJ219" s="672"/>
      <c r="AK219" s="672"/>
      <c r="AL219" s="672"/>
      <c r="AM219" s="672"/>
      <c r="AN219" s="672"/>
      <c r="AO219" s="672"/>
      <c r="AP219" s="669"/>
      <c r="AQ219" s="669"/>
      <c r="AR219" s="676"/>
      <c r="AS219" s="684"/>
      <c r="AT219" s="429"/>
      <c r="AU219" s="429"/>
      <c r="AV219" s="432"/>
      <c r="AX219" s="1080"/>
      <c r="AY219" s="2677"/>
      <c r="AZ219" s="2847"/>
      <c r="BA219" s="2847"/>
      <c r="BB219" s="2847"/>
      <c r="BC219" s="2847"/>
      <c r="BD219" s="2848"/>
      <c r="BE219" s="2849"/>
      <c r="BF219" s="2151"/>
      <c r="BG219" s="1911"/>
      <c r="BH219" s="1080"/>
      <c r="BI219" s="2778"/>
      <c r="BJ219" s="2847"/>
      <c r="BK219" s="2928"/>
      <c r="BL219" s="2847"/>
      <c r="BM219" s="2876"/>
      <c r="BN219" s="2902"/>
      <c r="BO219" s="2862"/>
      <c r="BP219" s="2874"/>
      <c r="BQ219" s="2849"/>
      <c r="BR219" s="2863"/>
      <c r="BS219" s="2863"/>
      <c r="BT219" s="2863"/>
      <c r="BU219" s="2863"/>
      <c r="BV219" s="2863"/>
      <c r="BW219" s="2863"/>
      <c r="BX219" s="2863"/>
      <c r="BY219" s="2863"/>
      <c r="BZ219" s="2863"/>
      <c r="CA219" s="2863"/>
      <c r="CB219" s="2863"/>
      <c r="CC219" s="2863"/>
      <c r="CD219" s="2863"/>
      <c r="CE219" s="2863"/>
    </row>
    <row r="220" spans="1:83" ht="17.25" customHeight="1">
      <c r="A220" s="2676"/>
      <c r="B220" s="2670" t="s">
        <v>1877</v>
      </c>
      <c r="C220" s="3361" t="s">
        <v>1842</v>
      </c>
      <c r="D220" s="2763" t="e" cm="1">
        <f t="array" ca="1" aca="1" ref="D220">_xldudf_CX_PUSH(AN218*DebtOverview!fxVal_normal,CX_ENTITY,fx_attrConverter(C220),val_asOfDate,"As of",fx_scenarioConverter("Actual"))</f>
        <v>#NAME?</v>
      </c>
      <c r="E220" s="2677"/>
      <c r="F220" s="2677"/>
      <c r="G220" s="2677"/>
      <c r="H220" s="2677"/>
      <c r="I220" s="2677"/>
      <c r="J220" s="2677"/>
      <c r="K220" s="2677"/>
      <c r="L220" s="2677"/>
      <c r="M220" s="2677"/>
      <c r="N220" s="2677"/>
      <c r="O220" s="2677"/>
      <c r="P220" s="2677"/>
      <c r="V220" s="158"/>
      <c r="W220" s="2"/>
      <c r="X220" s="52"/>
      <c r="Y220" s="2"/>
      <c r="Z220" s="539"/>
      <c r="AA220" s="2"/>
      <c r="AB220" s="2"/>
      <c r="AC220" s="39"/>
      <c r="AD220" s="406"/>
      <c r="AE220" s="428"/>
      <c r="AF220" s="429"/>
      <c r="AG220" s="658"/>
      <c r="AH220" s="435"/>
      <c r="AI220" s="687"/>
      <c r="AJ220" s="2148" t="s">
        <v>1844</v>
      </c>
      <c r="AK220" s="670"/>
      <c r="AL220" s="670"/>
      <c r="AM220" s="670"/>
      <c r="AN220" s="2164">
        <f ca="1">AN206-AN215</f>
        <v>-1</v>
      </c>
      <c r="AO220" s="672"/>
      <c r="AP220" s="669"/>
      <c r="AQ220" s="669"/>
      <c r="AR220" s="676"/>
      <c r="AS220" s="684"/>
      <c r="AT220" s="429"/>
      <c r="AU220" s="429"/>
      <c r="AV220" s="432"/>
      <c r="AX220" s="1080"/>
      <c r="AY220" s="2677"/>
      <c r="AZ220" s="2850"/>
      <c r="BA220" s="2850"/>
      <c r="BB220" s="2850"/>
      <c r="BC220" s="2850"/>
      <c r="BD220" s="2850"/>
      <c r="BE220" s="2850"/>
      <c r="BF220" s="2677"/>
      <c r="BG220" s="2677"/>
      <c r="BH220" s="1080"/>
      <c r="BI220" s="2677"/>
      <c r="BJ220" s="2864"/>
      <c r="BK220" s="2929"/>
      <c r="BL220" s="2864"/>
      <c r="BM220" s="2864"/>
      <c r="BN220" s="2903"/>
      <c r="BO220" s="2865"/>
      <c r="BP220" s="2875"/>
      <c r="BQ220" s="2866"/>
      <c r="BR220" s="2867"/>
      <c r="BS220" s="2867"/>
      <c r="BT220" s="2867"/>
      <c r="BU220" s="2867"/>
      <c r="BV220" s="2867"/>
      <c r="BW220" s="2867"/>
      <c r="BX220" s="2867"/>
      <c r="BY220" s="2867"/>
      <c r="BZ220" s="2867"/>
      <c r="CA220" s="2867"/>
      <c r="CB220" s="2867"/>
      <c r="CC220" s="2867"/>
      <c r="CD220" s="2867"/>
      <c r="CE220" s="2867"/>
    </row>
    <row r="221" spans="1:83" ht="17.25" customHeight="1">
      <c r="A221" s="2676"/>
      <c r="B221" s="2676"/>
      <c r="C221" s="2676"/>
      <c r="D221" s="2760"/>
      <c r="E221" s="2677"/>
      <c r="F221" s="2677"/>
      <c r="G221" s="2677"/>
      <c r="H221" s="2677"/>
      <c r="I221" s="2677"/>
      <c r="J221" s="2677"/>
      <c r="K221" s="2677"/>
      <c r="L221" s="2677"/>
      <c r="M221" s="2677"/>
      <c r="N221" s="2677"/>
      <c r="O221" s="2677"/>
      <c r="P221" s="2677"/>
      <c r="V221" s="158"/>
      <c r="W221" s="2"/>
      <c r="X221" s="52"/>
      <c r="Y221" s="2"/>
      <c r="Z221" s="539"/>
      <c r="AA221" s="2"/>
      <c r="AB221" s="2"/>
      <c r="AC221" s="39"/>
      <c r="AD221" s="406"/>
      <c r="AE221" s="428"/>
      <c r="AF221" s="429"/>
      <c r="AG221" s="658"/>
      <c r="AH221" s="435"/>
      <c r="AI221" s="687"/>
      <c r="AJ221" s="2165" t="s">
        <v>1845</v>
      </c>
      <c r="AK221" s="670"/>
      <c r="AL221" s="670"/>
      <c r="AM221" s="675"/>
      <c r="AN221" s="2161" t="str">
        <f ca="1">IF(AN206=0,"0.0.%",AN220/AN206)</f>
        <v>0.0.%</v>
      </c>
      <c r="AO221" s="672"/>
      <c r="AP221" s="669"/>
      <c r="AQ221" s="669"/>
      <c r="AR221" s="676"/>
      <c r="AS221" s="684"/>
      <c r="AT221" s="429"/>
      <c r="AU221" s="429"/>
      <c r="AV221" s="432"/>
      <c r="AX221" s="1080"/>
      <c r="AY221" s="2677"/>
      <c r="AZ221" s="2850"/>
      <c r="BA221" s="2850"/>
      <c r="BB221" s="2850"/>
      <c r="BC221" s="2850"/>
      <c r="BD221" s="2850"/>
      <c r="BE221" s="2850"/>
      <c r="BF221" s="2677"/>
      <c r="BG221" s="2677"/>
      <c r="BH221" s="1080"/>
      <c r="BI221" s="2677"/>
      <c r="BJ221" s="2864"/>
      <c r="BK221" s="2929"/>
      <c r="BL221" s="2864"/>
      <c r="BM221" s="2864"/>
      <c r="BN221" s="2903"/>
      <c r="BO221" s="2865"/>
      <c r="BP221" s="2875"/>
      <c r="BQ221" s="2866"/>
      <c r="BR221" s="2867"/>
      <c r="BS221" s="2867"/>
      <c r="BT221" s="2867"/>
      <c r="BU221" s="2867"/>
      <c r="BV221" s="2867"/>
      <c r="BW221" s="2867"/>
      <c r="BX221" s="2867"/>
      <c r="BY221" s="2867"/>
      <c r="BZ221" s="2867"/>
      <c r="CA221" s="2867"/>
      <c r="CB221" s="2867"/>
      <c r="CC221" s="2867"/>
      <c r="CD221" s="2867"/>
      <c r="CE221" s="2867"/>
    </row>
    <row r="222" spans="1:83" ht="15.5">
      <c r="A222" s="2676"/>
      <c r="B222" s="2676"/>
      <c r="C222" s="2676"/>
      <c r="D222" s="2760"/>
      <c r="E222" s="2677"/>
      <c r="F222" s="2677"/>
      <c r="G222" s="2677"/>
      <c r="H222" s="2677"/>
      <c r="I222" s="2677"/>
      <c r="J222" s="2677"/>
      <c r="K222" s="2677"/>
      <c r="L222" s="2677"/>
      <c r="M222" s="2677"/>
      <c r="N222" s="2677"/>
      <c r="O222" s="2677"/>
      <c r="P222" s="2677"/>
      <c r="V222" s="158"/>
      <c r="W222" s="2"/>
      <c r="X222" s="52"/>
      <c r="Y222" s="2"/>
      <c r="Z222" s="539"/>
      <c r="AA222" s="2"/>
      <c r="AB222" s="2"/>
      <c r="AC222" s="39"/>
      <c r="AD222" s="406"/>
      <c r="AE222" s="428"/>
      <c r="AF222" s="429"/>
      <c r="AG222" s="658"/>
      <c r="AH222" s="435"/>
      <c r="AI222" s="687"/>
      <c r="AJ222" s="3"/>
      <c r="AK222" s="3"/>
      <c r="AL222" s="3"/>
      <c r="AM222" s="3"/>
      <c r="AN222" s="3"/>
      <c r="AO222" s="672"/>
      <c r="AP222" s="669"/>
      <c r="AQ222" s="669"/>
      <c r="AR222" s="676"/>
      <c r="AS222" s="684"/>
      <c r="AT222" s="429"/>
      <c r="AU222" s="429"/>
      <c r="AV222" s="432"/>
      <c r="AX222" s="1080"/>
      <c r="AY222" s="2677"/>
      <c r="AZ222" s="2850"/>
      <c r="BA222" s="2850"/>
      <c r="BB222" s="2850"/>
      <c r="BC222" s="2850"/>
      <c r="BD222" s="2850"/>
      <c r="BE222" s="2850"/>
      <c r="BF222" s="2677"/>
      <c r="BG222" s="2677"/>
      <c r="BH222" s="1080"/>
      <c r="BI222" s="2677"/>
      <c r="BJ222" s="2864"/>
      <c r="BK222" s="2929"/>
      <c r="BL222" s="2864"/>
      <c r="BM222" s="2864"/>
      <c r="BN222" s="2903"/>
      <c r="BO222" s="2865"/>
      <c r="BP222" s="2875"/>
      <c r="BQ222" s="2866"/>
      <c r="BR222" s="2867"/>
      <c r="BS222" s="2867"/>
      <c r="BT222" s="2867"/>
      <c r="BU222" s="2867"/>
      <c r="BV222" s="2867"/>
      <c r="BW222" s="2867"/>
      <c r="BX222" s="2867"/>
      <c r="BY222" s="2867"/>
      <c r="BZ222" s="2867"/>
      <c r="CA222" s="2867"/>
      <c r="CB222" s="2867"/>
      <c r="CC222" s="2867"/>
      <c r="CD222" s="2867"/>
      <c r="CE222" s="2867"/>
    </row>
    <row r="223" spans="1:83" ht="15.5">
      <c r="A223" s="2676"/>
      <c r="B223" s="2676"/>
      <c r="C223" s="2676"/>
      <c r="D223" s="2760"/>
      <c r="E223" s="2677"/>
      <c r="F223" s="2677"/>
      <c r="G223" s="2677"/>
      <c r="H223" s="2677"/>
      <c r="I223" s="2677"/>
      <c r="J223" s="2677"/>
      <c r="K223" s="2677"/>
      <c r="L223" s="2677"/>
      <c r="M223" s="2677"/>
      <c r="N223" s="2677"/>
      <c r="O223" s="2677"/>
      <c r="P223" s="2677"/>
      <c r="AX223" s="1080"/>
      <c r="AY223" s="2677"/>
      <c r="AZ223" s="2850"/>
      <c r="BA223" s="2850"/>
      <c r="BB223" s="2850"/>
      <c r="BC223" s="2850"/>
      <c r="BD223" s="2850"/>
      <c r="BE223" s="2850"/>
      <c r="BF223" s="2677"/>
      <c r="BG223" s="2677"/>
      <c r="BH223" s="1080"/>
      <c r="BI223" s="2677"/>
      <c r="BJ223" s="2864"/>
      <c r="BK223" s="2929"/>
      <c r="BL223" s="2864"/>
      <c r="BM223" s="2864"/>
      <c r="BN223" s="2903"/>
      <c r="BO223" s="2865"/>
      <c r="BP223" s="2875"/>
      <c r="BQ223" s="2866"/>
      <c r="BR223" s="2867"/>
      <c r="BS223" s="2867"/>
      <c r="BT223" s="2867"/>
      <c r="BU223" s="2867"/>
      <c r="BV223" s="2867"/>
      <c r="BW223" s="2867"/>
      <c r="BX223" s="2867"/>
      <c r="BY223" s="2867"/>
      <c r="BZ223" s="2867"/>
      <c r="CA223" s="2867"/>
      <c r="CB223" s="2867"/>
      <c r="CC223" s="2867"/>
      <c r="CD223" s="2867"/>
      <c r="CE223" s="2867"/>
    </row>
    <row r="224" spans="1:83" ht="15.5">
      <c r="A224" s="2676"/>
      <c r="B224" s="2676"/>
      <c r="C224" s="2676"/>
      <c r="D224" s="2760"/>
      <c r="E224" s="2677"/>
      <c r="F224" s="2677"/>
      <c r="G224" s="2677"/>
      <c r="H224" s="2677"/>
      <c r="I224" s="2677"/>
      <c r="J224" s="2677"/>
      <c r="K224" s="2677"/>
      <c r="L224" s="2677"/>
      <c r="M224" s="2677"/>
      <c r="N224" s="2677"/>
      <c r="O224" s="2677"/>
      <c r="P224" s="2677"/>
      <c r="AX224" s="1080"/>
      <c r="AY224" s="2677"/>
      <c r="AZ224" s="2850"/>
      <c r="BA224" s="2850"/>
      <c r="BB224" s="2850"/>
      <c r="BC224" s="2850"/>
      <c r="BD224" s="2850"/>
      <c r="BE224" s="2850"/>
      <c r="BF224" s="2677"/>
      <c r="BG224" s="2677"/>
      <c r="BH224" s="1080"/>
      <c r="BI224" s="2677"/>
      <c r="BJ224" s="2864"/>
      <c r="BK224" s="2929"/>
      <c r="BL224" s="2864"/>
      <c r="BM224" s="2864"/>
      <c r="BN224" s="2903"/>
      <c r="BO224" s="2865"/>
      <c r="BP224" s="2875"/>
      <c r="BQ224" s="2866"/>
      <c r="BR224" s="2867"/>
      <c r="BS224" s="2867"/>
      <c r="BT224" s="2867"/>
      <c r="BU224" s="2867"/>
      <c r="BV224" s="2867"/>
      <c r="BW224" s="2867"/>
      <c r="BX224" s="2867"/>
      <c r="BY224" s="2867"/>
      <c r="BZ224" s="2867"/>
      <c r="CA224" s="2867"/>
      <c r="CB224" s="2867"/>
      <c r="CC224" s="2867"/>
      <c r="CD224" s="2867"/>
      <c r="CE224" s="2867"/>
    </row>
    <row r="528" ht="14.25" customHeight="1"/>
  </sheetData>
  <sheetProtection formatCells="0" formatColumns="0" formatRows="0" insertColumns="0" insertRows="0" insertHyperlinks="0" sort="0" autoFilter="0" pivotTables="0"/>
  <mergeCells count="27">
    <mergeCell ref="V3:V9"/>
    <mergeCell ref="W4:Y4"/>
    <mergeCell ref="AL184:AL186"/>
    <mergeCell ref="AR147:AR151"/>
    <mergeCell ref="AR152:AR156"/>
    <mergeCell ref="AR124:AR127"/>
    <mergeCell ref="AI89:AI100"/>
    <mergeCell ref="AI105:AI116"/>
    <mergeCell ref="AR106:AR109"/>
    <mergeCell ref="AJ124:AJ127"/>
    <mergeCell ref="AK124:AK127"/>
    <mergeCell ref="AL124:AL127"/>
    <mergeCell ref="AI73:AI84"/>
    <mergeCell ref="AR74:AR77"/>
    <mergeCell ref="AI198:AK198"/>
    <mergeCell ref="AR193:AR194"/>
    <mergeCell ref="AR184:AR188"/>
    <mergeCell ref="AI57:AI68"/>
    <mergeCell ref="AA5:AB6"/>
    <mergeCell ref="AA9:AB10"/>
    <mergeCell ref="AI9:AR11"/>
    <mergeCell ref="AR58:AR61"/>
    <mergeCell ref="AR26:AR29"/>
    <mergeCell ref="AI41:AI52"/>
    <mergeCell ref="AR42:AR45"/>
    <mergeCell ref="AI19:AL19"/>
    <mergeCell ref="AI25:AI36"/>
  </mergeCells>
  <conditionalFormatting sqref="A1:B8 C1:C4 D1:D24 M1:O18 C6 C8 A9:A21 B9:C24 M20:O34 B25:B26 B34 M35:M52 N35:O37 O38:O39 N40:O52 M53:O54 M56:O70 M72:O86 M88:O102 M104:O120 M122:O143 B131:C142 A132:A142 A143:C147 M145:O160 M162:O181 M183:O218 A203:B214 D206:D209 D211:D217 A215:C218 A219:A224 B219:D219 B221:D224">
    <cfRule type="expression" priority="856" dxfId="4220">
      <formula>$A1="L"</formula>
    </cfRule>
  </conditionalFormatting>
  <conditionalFormatting sqref="A22:B26 C25:D26 A27:A33 C27:C32 A34:C41 D34:D43 A42:B42 C42:C48 A43:A47 A48:B48 A49:C53 D49:D59 A54:B58 C54:C64 A59:A63 A64:B64 A65:D74 A75:A80 C75:C80 A81:D90 A91:A97 C91:C97 D97:D106 A98:C106 A107:A112 C107:C112 A113:C124 A125 C125:C130 A126:B131 A148 C148 A149:C166 D153:D167 A167 C167 A168:C184 A185 C185 A186:C202 D190:D204">
    <cfRule type="expression" priority="832" dxfId="4220">
      <formula>$A22="L"</formula>
    </cfRule>
  </conditionalFormatting>
  <conditionalFormatting sqref="B23">
    <cfRule type="expression" priority="368" dxfId="4220">
      <formula>$A23="L"</formula>
    </cfRule>
    <cfRule type="expression" priority="365" dxfId="4110">
      <formula>$A23="F"</formula>
    </cfRule>
    <cfRule type="expression" priority="366" dxfId="4220">
      <formula>$A23="L"</formula>
    </cfRule>
    <cfRule type="expression" priority="367" dxfId="4110">
      <formula>$A23="F"</formula>
    </cfRule>
    <cfRule type="expression" priority="363" dxfId="4110">
      <formula>$A23="F"</formula>
    </cfRule>
    <cfRule type="expression" priority="364" dxfId="4220">
      <formula>$A23="L"</formula>
    </cfRule>
  </conditionalFormatting>
  <conditionalFormatting sqref="B26">
    <cfRule type="expression" priority="404" dxfId="4220">
      <formula>$A26="L"</formula>
    </cfRule>
    <cfRule type="expression" priority="405" dxfId="4110">
      <formula>$A26="F"</formula>
    </cfRule>
    <cfRule type="expression" priority="406" dxfId="4220">
      <formula>$A26="L"</formula>
    </cfRule>
    <cfRule type="expression" priority="403" dxfId="4110">
      <formula>$A26="F"</formula>
    </cfRule>
    <cfRule type="expression" priority="399" dxfId="4110">
      <formula>$A26="F"</formula>
    </cfRule>
    <cfRule type="expression" priority="400" dxfId="4220">
      <formula>$A26="L"</formula>
    </cfRule>
    <cfRule type="expression" priority="401" dxfId="4110">
      <formula>$A26="F"</formula>
    </cfRule>
    <cfRule type="expression" priority="402" dxfId="4220">
      <formula>$A26="L"</formula>
    </cfRule>
  </conditionalFormatting>
  <conditionalFormatting sqref="B27">
    <cfRule type="expression" priority="-29124" dxfId="4110">
      <formula>$A33="F"</formula>
    </cfRule>
    <cfRule type="expression" priority="-29119" dxfId="4220">
      <formula>$A33="L"</formula>
    </cfRule>
  </conditionalFormatting>
  <conditionalFormatting sqref="AZ11:AZ12 B28">
    <cfRule type="expression" priority="-29774" dxfId="4110">
      <formula>$A10="F"</formula>
    </cfRule>
  </conditionalFormatting>
  <conditionalFormatting sqref="B28:B33 B126:B131">
    <cfRule type="expression" priority="742" dxfId="4220">
      <formula>$A26="L"</formula>
    </cfRule>
  </conditionalFormatting>
  <conditionalFormatting sqref="B39">
    <cfRule type="expression" priority="133" dxfId="4220">
      <formula>$A39="L"</formula>
    </cfRule>
    <cfRule type="expression" priority="645" dxfId="4110">
      <formula>$A39="F"</formula>
    </cfRule>
    <cfRule type="expression" priority="646" dxfId="4220">
      <formula>$A39="L"</formula>
    </cfRule>
    <cfRule type="expression" priority="789" dxfId="4110">
      <formula>$A39="F"</formula>
    </cfRule>
    <cfRule type="expression" priority="369" dxfId="4110">
      <formula>$A39="F"</formula>
    </cfRule>
    <cfRule type="expression" priority="790" dxfId="4220">
      <formula>$A39="L"</formula>
    </cfRule>
    <cfRule type="expression" priority="132" dxfId="4110">
      <formula>$A39="F"</formula>
    </cfRule>
    <cfRule type="expression" priority="373" dxfId="4110">
      <formula>$A39="F"</formula>
    </cfRule>
    <cfRule type="expression" priority="372" dxfId="4220">
      <formula>$A39="L"</formula>
    </cfRule>
    <cfRule type="expression" priority="371" dxfId="4110">
      <formula>$A39="F"</formula>
    </cfRule>
    <cfRule type="expression" priority="370" dxfId="4220">
      <formula>$A39="L"</formula>
    </cfRule>
    <cfRule type="expression" priority="374" dxfId="4220">
      <formula>$A39="L"</formula>
    </cfRule>
  </conditionalFormatting>
  <conditionalFormatting sqref="B41:B42 D132:D148 B143:B147">
    <cfRule type="expression" priority="345" dxfId="4220">
      <formula>$A41="L"</formula>
    </cfRule>
  </conditionalFormatting>
  <conditionalFormatting sqref="B42">
    <cfRule type="expression" priority="413" dxfId="4110">
      <formula>$A42="F"</formula>
    </cfRule>
    <cfRule type="expression" priority="412" dxfId="4220">
      <formula>$A42="L"</formula>
    </cfRule>
    <cfRule type="expression" priority="411" dxfId="4110">
      <formula>$A42="F"</formula>
    </cfRule>
    <cfRule type="expression" priority="410" dxfId="4220">
      <formula>$A42="L"</formula>
    </cfRule>
    <cfRule type="expression" priority="788" dxfId="4220">
      <formula>$A42="L"</formula>
    </cfRule>
    <cfRule type="expression" priority="409" dxfId="4110">
      <formula>$A42="F"</formula>
    </cfRule>
    <cfRule type="expression" priority="414" dxfId="4220">
      <formula>$A42="L"</formula>
    </cfRule>
    <cfRule type="expression" priority="787" dxfId="4110">
      <formula>$A42="F"</formula>
    </cfRule>
  </conditionalFormatting>
  <conditionalFormatting sqref="B43">
    <cfRule type="expression" priority="638" dxfId="2453">
      <formula>_xlfn.FORMULATEXT(B43)&lt;&gt;""</formula>
    </cfRule>
    <cfRule type="expression" priority="639" dxfId="4110">
      <formula>$A49="F"</formula>
    </cfRule>
    <cfRule type="expression" priority="642" dxfId="4220">
      <formula>$A49="L"</formula>
    </cfRule>
    <cfRule type="expression" priority="641" dxfId="4110">
      <formula>$A49="F"</formula>
    </cfRule>
    <cfRule type="expression" priority="640" dxfId="4220">
      <formula>$A49="L"</formula>
    </cfRule>
  </conditionalFormatting>
  <conditionalFormatting sqref="B44">
    <cfRule type="expression" priority="760" dxfId="4220">
      <formula>$A43="L"</formula>
    </cfRule>
    <cfRule type="expression" priority="759" dxfId="4110">
      <formula>$A43="F"</formula>
    </cfRule>
  </conditionalFormatting>
  <conditionalFormatting sqref="B28:C33 D32 C43:C48 B44:B48 B60:B64 B76:B79 B80:C80 B92:B96 B108:B112 B126:B131 B149:B153 B168:B172 D185 B186:B190 C205">
    <cfRule type="expression" priority="822" dxfId="4110">
      <formula>$A27="F"</formula>
    </cfRule>
  </conditionalFormatting>
  <conditionalFormatting sqref="B44:B48 B220:D220">
    <cfRule type="expression" priority="762" dxfId="4220">
      <formula>$A42="L"</formula>
    </cfRule>
    <cfRule type="expression" priority="761" dxfId="4110">
      <formula>$A42="F"</formula>
    </cfRule>
  </conditionalFormatting>
  <conditionalFormatting sqref="B55">
    <cfRule type="expression" priority="176" dxfId="4110">
      <formula>$A55="F"</formula>
    </cfRule>
    <cfRule type="expression" priority="175" dxfId="4220">
      <formula>$A55="L"</formula>
    </cfRule>
    <cfRule type="expression" priority="158" dxfId="4110">
      <formula>$A55="F"</formula>
    </cfRule>
    <cfRule type="expression" priority="375" dxfId="4110">
      <formula>$A55="F"</formula>
    </cfRule>
    <cfRule type="expression" priority="159" dxfId="4220">
      <formula>$A55="L"</formula>
    </cfRule>
    <cfRule type="expression" priority="169" dxfId="4220">
      <formula>$A55="L"</formula>
    </cfRule>
    <cfRule type="expression" priority="174" dxfId="4110">
      <formula>$A55="F"</formula>
    </cfRule>
    <cfRule type="expression" priority="170" dxfId="4110">
      <formula>$A55="F"</formula>
    </cfRule>
    <cfRule type="expression" priority="171" dxfId="4220">
      <formula>$A55="L"</formula>
    </cfRule>
    <cfRule type="expression" priority="163" dxfId="4220">
      <formula>$A55="L"</formula>
    </cfRule>
    <cfRule type="expression" priority="179" dxfId="4220">
      <formula>$A55="L"</formula>
    </cfRule>
    <cfRule type="expression" priority="178" dxfId="4110">
      <formula>$A55="F"</formula>
    </cfRule>
    <cfRule type="expression" priority="177" dxfId="4220">
      <formula>$A55="L"</formula>
    </cfRule>
    <cfRule type="expression" priority="168" dxfId="4110">
      <formula>$A55="F"</formula>
    </cfRule>
    <cfRule type="expression" priority="167" dxfId="4220">
      <formula>$A55="L"</formula>
    </cfRule>
    <cfRule type="expression" priority="166" dxfId="4110">
      <formula>$A55="F"</formula>
    </cfRule>
    <cfRule type="expression" priority="162" dxfId="4110">
      <formula>$A55="F"</formula>
    </cfRule>
    <cfRule type="expression" priority="161" dxfId="4220">
      <formula>$A55="L"</formula>
    </cfRule>
    <cfRule type="expression" priority="380" dxfId="4220">
      <formula>$A55="L"</formula>
    </cfRule>
    <cfRule type="expression" priority="379" dxfId="4110">
      <formula>$A55="F"</formula>
    </cfRule>
    <cfRule type="expression" priority="378" dxfId="4220">
      <formula>$A55="L"</formula>
    </cfRule>
    <cfRule type="expression" priority="377" dxfId="4110">
      <formula>$A55="F"</formula>
    </cfRule>
    <cfRule type="expression" priority="376" dxfId="4220">
      <formula>$A55="L"</formula>
    </cfRule>
    <cfRule type="expression" priority="160" dxfId="4110">
      <formula>$A55="F"</formula>
    </cfRule>
  </conditionalFormatting>
  <conditionalFormatting sqref="B55:B56">
    <cfRule type="expression" priority="152" dxfId="4110">
      <formula>$A55="F"</formula>
    </cfRule>
    <cfRule type="expression" priority="153" dxfId="4220">
      <formula>$A55="L"</formula>
    </cfRule>
    <cfRule type="expression" priority="154" dxfId="4110">
      <formula>$A55="F"</formula>
    </cfRule>
    <cfRule type="expression" priority="155" dxfId="4220">
      <formula>$A55="L"</formula>
    </cfRule>
    <cfRule type="expression" priority="156" dxfId="4110">
      <formula>$A55="F"</formula>
    </cfRule>
    <cfRule type="expression" priority="157" dxfId="4220">
      <formula>$A55="L"</formula>
    </cfRule>
    <cfRule type="expression" priority="143" dxfId="4220">
      <formula>$A55="L"</formula>
    </cfRule>
    <cfRule type="expression" priority="173" dxfId="4220">
      <formula>$A55="L"</formula>
    </cfRule>
    <cfRule type="expression" priority="172" dxfId="4110">
      <formula>$A55="F"</formula>
    </cfRule>
    <cfRule type="expression" priority="134" dxfId="4110">
      <formula>$A55="F"</formula>
    </cfRule>
    <cfRule type="expression" priority="135" dxfId="4220">
      <formula>$A55="L"</formula>
    </cfRule>
    <cfRule type="expression" priority="136" dxfId="4110">
      <formula>$A55="F"</formula>
    </cfRule>
    <cfRule type="expression" priority="137" dxfId="4220">
      <formula>$A55="L"</formula>
    </cfRule>
    <cfRule type="expression" priority="140" dxfId="4110">
      <formula>$A55="F"</formula>
    </cfRule>
    <cfRule type="expression" priority="138" dxfId="4110">
      <formula>$A55="F"</formula>
    </cfRule>
    <cfRule type="expression" priority="139" dxfId="4220">
      <formula>$A55="L"</formula>
    </cfRule>
    <cfRule type="expression" priority="141" dxfId="4220">
      <formula>$A55="L"</formula>
    </cfRule>
    <cfRule type="expression" priority="165" dxfId="4220">
      <formula>$A55="L"</formula>
    </cfRule>
    <cfRule type="expression" priority="164" dxfId="4110">
      <formula>$A55="F"</formula>
    </cfRule>
    <cfRule type="expression" priority="148" dxfId="4110">
      <formula>$A55="F"</formula>
    </cfRule>
    <cfRule type="expression" priority="142" dxfId="4110">
      <formula>$A55="F"</formula>
    </cfRule>
    <cfRule type="expression" priority="144" dxfId="4110">
      <formula>$A55="F"</formula>
    </cfRule>
    <cfRule type="expression" priority="145" dxfId="4220">
      <formula>$A55="L"</formula>
    </cfRule>
    <cfRule type="expression" priority="146" dxfId="4110">
      <formula>$A55="F"</formula>
    </cfRule>
    <cfRule type="expression" priority="147" dxfId="4220">
      <formula>$A55="L"</formula>
    </cfRule>
    <cfRule type="expression" priority="149" dxfId="4220">
      <formula>$A55="L"</formula>
    </cfRule>
    <cfRule type="expression" priority="150" dxfId="4110">
      <formula>$A55="F"</formula>
    </cfRule>
    <cfRule type="expression" priority="151" dxfId="4220">
      <formula>$A55="L"</formula>
    </cfRule>
  </conditionalFormatting>
  <conditionalFormatting sqref="B55:B58">
    <cfRule type="expression" priority="180" dxfId="4110">
      <formula>$A55="F"</formula>
    </cfRule>
    <cfRule type="expression" priority="181" dxfId="4220">
      <formula>$A55="L"</formula>
    </cfRule>
    <cfRule type="expression" priority="783" dxfId="4110">
      <formula>$A55="F"</formula>
    </cfRule>
    <cfRule type="expression" priority="784" dxfId="4220">
      <formula>$A55="L"</formula>
    </cfRule>
  </conditionalFormatting>
  <conditionalFormatting sqref="B58">
    <cfRule type="expression" priority="421" dxfId="4110">
      <formula>$A58="F"</formula>
    </cfRule>
    <cfRule type="expression" priority="419" dxfId="4110">
      <formula>$A58="F"</formula>
    </cfRule>
    <cfRule type="expression" priority="422" dxfId="4220">
      <formula>$A58="L"</formula>
    </cfRule>
    <cfRule type="expression" priority="418" dxfId="4220">
      <formula>$A58="L"</formula>
    </cfRule>
    <cfRule type="expression" priority="417" dxfId="4110">
      <formula>$A58="F"</formula>
    </cfRule>
    <cfRule type="expression" priority="420" dxfId="4220">
      <formula>$A58="L"</formula>
    </cfRule>
  </conditionalFormatting>
  <conditionalFormatting sqref="B59">
    <cfRule type="expression" priority="637" dxfId="4220">
      <formula>$A65="L"</formula>
    </cfRule>
    <cfRule type="expression" priority="636" dxfId="4110">
      <formula>$A65="F"</formula>
    </cfRule>
    <cfRule type="expression" priority="635" dxfId="4220">
      <formula>$A65="L"</formula>
    </cfRule>
    <cfRule type="expression" priority="634" dxfId="4110">
      <formula>$A65="F"</formula>
    </cfRule>
    <cfRule type="expression" priority="633" dxfId="2453">
      <formula>_xlfn.FORMULATEXT(B59)&lt;&gt;""</formula>
    </cfRule>
  </conditionalFormatting>
  <conditionalFormatting sqref="B60">
    <cfRule type="expression" priority="755" dxfId="4110">
      <formula>$A59="F"</formula>
    </cfRule>
    <cfRule type="expression" priority="756" dxfId="4220">
      <formula>$A59="L"</formula>
    </cfRule>
  </conditionalFormatting>
  <conditionalFormatting sqref="B60:B64">
    <cfRule type="expression" priority="757" dxfId="4110">
      <formula>$A58="F"</formula>
    </cfRule>
    <cfRule type="expression" priority="758" dxfId="4220">
      <formula>$A58="L"</formula>
    </cfRule>
  </conditionalFormatting>
  <conditionalFormatting sqref="B71">
    <cfRule type="expression" priority="209" dxfId="4220">
      <formula>$A71="L"</formula>
    </cfRule>
    <cfRule type="expression" priority="210" dxfId="4110">
      <formula>$A71="F"</formula>
    </cfRule>
    <cfRule type="expression" priority="211" dxfId="4220">
      <formula>$A71="L"</formula>
    </cfRule>
    <cfRule type="expression" priority="214" dxfId="4110">
      <formula>$A71="F"</formula>
    </cfRule>
    <cfRule type="expression" priority="215" dxfId="4220">
      <formula>$A71="L"</formula>
    </cfRule>
    <cfRule type="expression" priority="216" dxfId="4110">
      <formula>$A71="F"</formula>
    </cfRule>
    <cfRule type="expression" priority="217" dxfId="4220">
      <formula>$A71="L"</formula>
    </cfRule>
    <cfRule type="expression" priority="218" dxfId="4110">
      <formula>$A71="F"</formula>
    </cfRule>
    <cfRule type="expression" priority="219" dxfId="4220">
      <formula>$A71="L"</formula>
    </cfRule>
    <cfRule type="expression" priority="208" dxfId="4110">
      <formula>$A71="F"</formula>
    </cfRule>
    <cfRule type="expression" priority="381" dxfId="4110">
      <formula>$A71="F"</formula>
    </cfRule>
    <cfRule type="expression" priority="382" dxfId="4220">
      <formula>$A71="L"</formula>
    </cfRule>
    <cfRule type="expression" priority="383" dxfId="4110">
      <formula>$A71="F"</formula>
    </cfRule>
    <cfRule type="expression" priority="384" dxfId="4220">
      <formula>$A71="L"</formula>
    </cfRule>
    <cfRule type="expression" priority="385" dxfId="4110">
      <formula>$A71="F"</formula>
    </cfRule>
    <cfRule type="expression" priority="386" dxfId="4220">
      <formula>$A71="L"</formula>
    </cfRule>
    <cfRule type="expression" priority="206" dxfId="4110">
      <formula>$A71="F"</formula>
    </cfRule>
    <cfRule type="expression" priority="207" dxfId="4220">
      <formula>$A71="L"</formula>
    </cfRule>
  </conditionalFormatting>
  <conditionalFormatting sqref="B71:B72">
    <cfRule type="expression" priority="205" dxfId="4220">
      <formula>$A71="L"</formula>
    </cfRule>
    <cfRule type="expression" priority="191" dxfId="4220">
      <formula>$A71="L"</formula>
    </cfRule>
    <cfRule type="expression" priority="192" dxfId="4110">
      <formula>$A71="F"</formula>
    </cfRule>
    <cfRule type="expression" priority="193" dxfId="4220">
      <formula>$A71="L"</formula>
    </cfRule>
    <cfRule type="expression" priority="199" dxfId="4220">
      <formula>$A71="L"</formula>
    </cfRule>
    <cfRule type="expression" priority="200" dxfId="4110">
      <formula>$A71="F"</formula>
    </cfRule>
    <cfRule type="expression" priority="201" dxfId="4220">
      <formula>$A71="L"</formula>
    </cfRule>
    <cfRule type="expression" priority="202" dxfId="4110">
      <formula>$A71="F"</formula>
    </cfRule>
    <cfRule type="expression" priority="203" dxfId="4220">
      <formula>$A71="L"</formula>
    </cfRule>
    <cfRule type="expression" priority="204" dxfId="4110">
      <formula>$A71="F"</formula>
    </cfRule>
    <cfRule type="expression" priority="194" dxfId="4110">
      <formula>$A71="F"</formula>
    </cfRule>
    <cfRule type="expression" priority="182" dxfId="4110">
      <formula>$A71="F"</formula>
    </cfRule>
    <cfRule type="expression" priority="183" dxfId="4220">
      <formula>$A71="L"</formula>
    </cfRule>
    <cfRule type="expression" priority="188" dxfId="4110">
      <formula>$A71="F"</formula>
    </cfRule>
    <cfRule type="expression" priority="186" dxfId="4110">
      <formula>$A71="F"</formula>
    </cfRule>
    <cfRule type="expression" priority="187" dxfId="4220">
      <formula>$A71="L"</formula>
    </cfRule>
    <cfRule type="expression" priority="185" dxfId="4220">
      <formula>$A71="L"</formula>
    </cfRule>
    <cfRule type="expression" priority="195" dxfId="4220">
      <formula>$A71="L"</formula>
    </cfRule>
    <cfRule type="expression" priority="197" dxfId="4220">
      <formula>$A71="L"</formula>
    </cfRule>
    <cfRule type="expression" priority="198" dxfId="4110">
      <formula>$A71="F"</formula>
    </cfRule>
    <cfRule type="expression" priority="196" dxfId="4110">
      <formula>$A71="F"</formula>
    </cfRule>
    <cfRule type="expression" priority="212" dxfId="4110">
      <formula>$A71="F"</formula>
    </cfRule>
    <cfRule type="expression" priority="213" dxfId="4220">
      <formula>$A71="L"</formula>
    </cfRule>
    <cfRule type="expression" priority="184" dxfId="4110">
      <formula>$A71="F"</formula>
    </cfRule>
    <cfRule type="expression" priority="189" dxfId="4220">
      <formula>$A71="L"</formula>
    </cfRule>
    <cfRule type="expression" priority="190" dxfId="4110">
      <formula>$A71="F"</formula>
    </cfRule>
  </conditionalFormatting>
  <conditionalFormatting sqref="B71:B74">
    <cfRule type="expression" priority="220" dxfId="4110">
      <formula>$A71="F"</formula>
    </cfRule>
    <cfRule type="expression" priority="221" dxfId="4220">
      <formula>$A71="L"</formula>
    </cfRule>
    <cfRule type="expression" priority="780" dxfId="4220">
      <formula>$A71="L"</formula>
    </cfRule>
    <cfRule type="expression" priority="779" dxfId="4110">
      <formula>$A71="F"</formula>
    </cfRule>
  </conditionalFormatting>
  <conditionalFormatting sqref="B74">
    <cfRule type="expression" priority="425" dxfId="4110">
      <formula>$A74="F"</formula>
    </cfRule>
    <cfRule type="expression" priority="426" dxfId="4220">
      <formula>$A74="L"</formula>
    </cfRule>
    <cfRule type="expression" priority="430" dxfId="4220">
      <formula>$A74="L"</formula>
    </cfRule>
    <cfRule type="expression" priority="427" dxfId="4110">
      <formula>$A74="F"</formula>
    </cfRule>
    <cfRule type="expression" priority="428" dxfId="4220">
      <formula>$A74="L"</formula>
    </cfRule>
    <cfRule type="expression" priority="429" dxfId="4110">
      <formula>$A74="F"</formula>
    </cfRule>
  </conditionalFormatting>
  <conditionalFormatting sqref="B75">
    <cfRule type="expression" priority="626" dxfId="4220">
      <formula>$A81="L"</formula>
    </cfRule>
    <cfRule type="expression" priority="625" dxfId="4110">
      <formula>$A81="F"</formula>
    </cfRule>
    <cfRule type="expression" priority="623" dxfId="4110">
      <formula>$A81="F"</formula>
    </cfRule>
    <cfRule type="expression" priority="622" dxfId="2453">
      <formula>_xlfn.FORMULATEXT(B75)&lt;&gt;""</formula>
    </cfRule>
    <cfRule type="expression" priority="624" dxfId="4220">
      <formula>$A81="L"</formula>
    </cfRule>
  </conditionalFormatting>
  <conditionalFormatting sqref="B76">
    <cfRule type="expression" priority="751" dxfId="4110">
      <formula>$A75="F"</formula>
    </cfRule>
    <cfRule type="expression" priority="752" dxfId="4220">
      <formula>$A75="L"</formula>
    </cfRule>
  </conditionalFormatting>
  <conditionalFormatting sqref="B76:B80">
    <cfRule type="expression" priority="754" dxfId="4220">
      <formula>$A74="L"</formula>
    </cfRule>
    <cfRule type="expression" priority="753" dxfId="4110">
      <formula>$A74="F"</formula>
    </cfRule>
  </conditionalFormatting>
  <conditionalFormatting sqref="B87">
    <cfRule type="expression" priority="389" dxfId="4110">
      <formula>$A87="F"</formula>
    </cfRule>
    <cfRule type="expression" priority="388" dxfId="4220">
      <formula>$A87="L"</formula>
    </cfRule>
    <cfRule type="expression" priority="251" dxfId="4220">
      <formula>$A87="L"</formula>
    </cfRule>
    <cfRule type="expression" priority="250" dxfId="4110">
      <formula>$A87="F"</formula>
    </cfRule>
    <cfRule type="expression" priority="387" dxfId="4110">
      <formula>$A87="F"</formula>
    </cfRule>
    <cfRule type="expression" priority="249" dxfId="4220">
      <formula>$A87="L"</formula>
    </cfRule>
    <cfRule type="expression" priority="248" dxfId="4110">
      <formula>$A87="F"</formula>
    </cfRule>
    <cfRule type="expression" priority="247" dxfId="4220">
      <formula>$A87="L"</formula>
    </cfRule>
    <cfRule type="expression" priority="246" dxfId="4110">
      <formula>$A87="F"</formula>
    </cfRule>
    <cfRule type="expression" priority="390" dxfId="4220">
      <formula>$A87="L"</formula>
    </cfRule>
    <cfRule type="expression" priority="391" dxfId="4110">
      <formula>$A87="F"</formula>
    </cfRule>
    <cfRule type="expression" priority="392" dxfId="4220">
      <formula>$A87="L"</formula>
    </cfRule>
  </conditionalFormatting>
  <conditionalFormatting sqref="B87:B88">
    <cfRule type="expression" priority="224" dxfId="4110">
      <formula>$A87="F"</formula>
    </cfRule>
    <cfRule type="expression" priority="232" dxfId="4110">
      <formula>$A87="F"</formula>
    </cfRule>
    <cfRule type="expression" priority="233" dxfId="4220">
      <formula>$A87="L"</formula>
    </cfRule>
    <cfRule type="expression" priority="234" dxfId="4110">
      <formula>$A87="F"</formula>
    </cfRule>
    <cfRule type="expression" priority="235" dxfId="4220">
      <formula>$A87="L"</formula>
    </cfRule>
    <cfRule type="expression" priority="236" dxfId="4110">
      <formula>$A87="F"</formula>
    </cfRule>
    <cfRule type="expression" priority="237" dxfId="4220">
      <formula>$A87="L"</formula>
    </cfRule>
    <cfRule type="expression" priority="238" dxfId="4110">
      <formula>$A87="F"</formula>
    </cfRule>
    <cfRule type="expression" priority="239" dxfId="4220">
      <formula>$A87="L"</formula>
    </cfRule>
    <cfRule type="expression" priority="240" dxfId="4110">
      <formula>$A87="F"</formula>
    </cfRule>
    <cfRule type="expression" priority="241" dxfId="4220">
      <formula>$A87="L"</formula>
    </cfRule>
    <cfRule type="expression" priority="242" dxfId="4110">
      <formula>$A87="F"</formula>
    </cfRule>
    <cfRule type="expression" priority="243" dxfId="4220">
      <formula>$A87="L"</formula>
    </cfRule>
    <cfRule type="expression" priority="244" dxfId="4110">
      <formula>$A87="F"</formula>
    </cfRule>
    <cfRule type="expression" priority="245" dxfId="4220">
      <formula>$A87="L"</formula>
    </cfRule>
    <cfRule type="expression" priority="231" dxfId="4220">
      <formula>$A87="L"</formula>
    </cfRule>
    <cfRule type="expression" priority="230" dxfId="4110">
      <formula>$A87="F"</formula>
    </cfRule>
    <cfRule type="expression" priority="222" dxfId="4110">
      <formula>$A87="F"</formula>
    </cfRule>
    <cfRule type="expression" priority="223" dxfId="4220">
      <formula>$A87="L"</formula>
    </cfRule>
    <cfRule type="expression" priority="229" dxfId="4220">
      <formula>$A87="L"</formula>
    </cfRule>
    <cfRule type="expression" priority="228" dxfId="4110">
      <formula>$A87="F"</formula>
    </cfRule>
    <cfRule type="expression" priority="227" dxfId="4220">
      <formula>$A87="L"</formula>
    </cfRule>
    <cfRule type="expression" priority="226" dxfId="4110">
      <formula>$A87="F"</formula>
    </cfRule>
    <cfRule type="expression" priority="225" dxfId="4220">
      <formula>$A87="L"</formula>
    </cfRule>
  </conditionalFormatting>
  <conditionalFormatting sqref="B87:B90">
    <cfRule type="expression" priority="252" dxfId="4110">
      <formula>$A87="F"</formula>
    </cfRule>
    <cfRule type="expression" priority="775" dxfId="4110">
      <formula>$A87="F"</formula>
    </cfRule>
    <cfRule type="expression" priority="776" dxfId="4220">
      <formula>$A87="L"</formula>
    </cfRule>
    <cfRule type="expression" priority="253" dxfId="4220">
      <formula>$A87="L"</formula>
    </cfRule>
  </conditionalFormatting>
  <conditionalFormatting sqref="B90">
    <cfRule type="expression" priority="433" dxfId="4110">
      <formula>$A90="F"</formula>
    </cfRule>
    <cfRule type="expression" priority="435" dxfId="4110">
      <formula>$A90="F"</formula>
    </cfRule>
    <cfRule type="expression" priority="436" dxfId="4220">
      <formula>$A90="L"</formula>
    </cfRule>
    <cfRule type="expression" priority="437" dxfId="4110">
      <formula>$A90="F"</formula>
    </cfRule>
    <cfRule type="expression" priority="438" dxfId="4220">
      <formula>$A90="L"</formula>
    </cfRule>
    <cfRule type="expression" priority="434" dxfId="4220">
      <formula>$A90="L"</formula>
    </cfRule>
  </conditionalFormatting>
  <conditionalFormatting sqref="B91">
    <cfRule type="expression" priority="614" dxfId="2453">
      <formula>_xlfn.FORMULATEXT(B91)&lt;&gt;""</formula>
    </cfRule>
    <cfRule type="expression" priority="615" dxfId="4110">
      <formula>$A97="F"</formula>
    </cfRule>
    <cfRule type="expression" priority="616" dxfId="4220">
      <formula>$A97="L"</formula>
    </cfRule>
    <cfRule type="expression" priority="618" dxfId="4220">
      <formula>$A97="L"</formula>
    </cfRule>
    <cfRule type="expression" priority="617" dxfId="4110">
      <formula>$A97="F"</formula>
    </cfRule>
  </conditionalFormatting>
  <conditionalFormatting sqref="B92">
    <cfRule type="expression" priority="747" dxfId="4110">
      <formula>$A91="F"</formula>
    </cfRule>
    <cfRule type="expression" priority="748" dxfId="4220">
      <formula>$A91="L"</formula>
    </cfRule>
  </conditionalFormatting>
  <conditionalFormatting sqref="B92:B96">
    <cfRule type="expression" priority="749" dxfId="4110">
      <formula>$A90="F"</formula>
    </cfRule>
    <cfRule type="expression" priority="750" dxfId="4220">
      <formula>$A90="L"</formula>
    </cfRule>
  </conditionalFormatting>
  <conditionalFormatting sqref="B97">
    <cfRule type="expression" priority="604" dxfId="4110">
      <formula>$A103="F"</formula>
    </cfRule>
    <cfRule type="expression" priority="601" dxfId="2453">
      <formula>_xlfn.FORMULATEXT(B97)&lt;&gt;""</formula>
    </cfRule>
    <cfRule type="expression" priority="602" dxfId="4110">
      <formula>$A103="F"</formula>
    </cfRule>
    <cfRule type="expression" priority="603" dxfId="4220">
      <formula>$A103="L"</formula>
    </cfRule>
    <cfRule type="expression" priority="605" dxfId="4220">
      <formula>$A103="L"</formula>
    </cfRule>
  </conditionalFormatting>
  <conditionalFormatting sqref="B103">
    <cfRule type="expression" priority="394" dxfId="4220">
      <formula>$A103="L"</formula>
    </cfRule>
    <cfRule type="expression" priority="393" dxfId="4110">
      <formula>$A103="F"</formula>
    </cfRule>
    <cfRule type="expression" priority="396" dxfId="4220">
      <formula>$A103="L"</formula>
    </cfRule>
    <cfRule type="expression" priority="397" dxfId="4110">
      <formula>$A103="F"</formula>
    </cfRule>
    <cfRule type="expression" priority="398" dxfId="4220">
      <formula>$A103="L"</formula>
    </cfRule>
    <cfRule type="expression" priority="395" dxfId="4110">
      <formula>$A103="F"</formula>
    </cfRule>
  </conditionalFormatting>
  <conditionalFormatting sqref="B103:B104">
    <cfRule type="expression" priority="259" dxfId="4220">
      <formula>$A103="L"</formula>
    </cfRule>
    <cfRule type="expression" priority="260" dxfId="4110">
      <formula>$A103="F"</formula>
    </cfRule>
    <cfRule type="expression" priority="261" dxfId="4220">
      <formula>$A103="L"</formula>
    </cfRule>
    <cfRule type="expression" priority="262" dxfId="4110">
      <formula>$A103="F"</formula>
    </cfRule>
    <cfRule type="expression" priority="263" dxfId="4220">
      <formula>$A103="L"</formula>
    </cfRule>
    <cfRule type="expression" priority="264" dxfId="4110">
      <formula>$A103="F"</formula>
    </cfRule>
    <cfRule type="expression" priority="265" dxfId="4220">
      <formula>$A103="L"</formula>
    </cfRule>
    <cfRule type="expression" priority="266" dxfId="4110">
      <formula>$A103="F"</formula>
    </cfRule>
    <cfRule type="expression" priority="267" dxfId="4220">
      <formula>$A103="L"</formula>
    </cfRule>
    <cfRule type="expression" priority="275" dxfId="4220">
      <formula>$A103="L"</formula>
    </cfRule>
    <cfRule type="expression" priority="274" dxfId="4110">
      <formula>$A103="F"</formula>
    </cfRule>
    <cfRule type="expression" priority="273" dxfId="4220">
      <formula>$A103="L"</formula>
    </cfRule>
    <cfRule type="expression" priority="272" dxfId="4110">
      <formula>$A103="F"</formula>
    </cfRule>
    <cfRule type="expression" priority="271" dxfId="4220">
      <formula>$A103="L"</formula>
    </cfRule>
    <cfRule type="expression" priority="270" dxfId="4110">
      <formula>$A103="F"</formula>
    </cfRule>
    <cfRule type="expression" priority="269" dxfId="4220">
      <formula>$A103="L"</formula>
    </cfRule>
    <cfRule type="expression" priority="268" dxfId="4110">
      <formula>$A103="F"</formula>
    </cfRule>
    <cfRule type="expression" priority="254" dxfId="4110">
      <formula>$A103="F"</formula>
    </cfRule>
    <cfRule type="expression" priority="255" dxfId="4220">
      <formula>$A103="L"</formula>
    </cfRule>
    <cfRule type="expression" priority="256" dxfId="4110">
      <formula>$A103="F"</formula>
    </cfRule>
    <cfRule type="expression" priority="257" dxfId="4220">
      <formula>$A103="L"</formula>
    </cfRule>
    <cfRule type="expression" priority="258" dxfId="4110">
      <formula>$A103="F"</formula>
    </cfRule>
  </conditionalFormatting>
  <conditionalFormatting sqref="B103:B106">
    <cfRule type="expression" priority="772" dxfId="4220">
      <formula>$A103="L"</formula>
    </cfRule>
    <cfRule type="expression" priority="771" dxfId="4110">
      <formula>$A103="F"</formula>
    </cfRule>
    <cfRule type="expression" priority="277" dxfId="4220">
      <formula>$A103="L"</formula>
    </cfRule>
    <cfRule type="expression" priority="276" dxfId="4110">
      <formula>$A103="F"</formula>
    </cfRule>
  </conditionalFormatting>
  <conditionalFormatting sqref="B106">
    <cfRule type="expression" priority="446" dxfId="4220">
      <formula>$A106="L"</formula>
    </cfRule>
    <cfRule type="expression" priority="445" dxfId="4110">
      <formula>$A106="F"</formula>
    </cfRule>
    <cfRule type="expression" priority="444" dxfId="4220">
      <formula>$A106="L"</formula>
    </cfRule>
    <cfRule type="expression" priority="443" dxfId="4110">
      <formula>$A106="F"</formula>
    </cfRule>
    <cfRule type="expression" priority="442" dxfId="4220">
      <formula>$A106="L"</formula>
    </cfRule>
    <cfRule type="expression" priority="441" dxfId="4110">
      <formula>$A106="F"</formula>
    </cfRule>
  </conditionalFormatting>
  <conditionalFormatting sqref="B107">
    <cfRule type="expression" priority="606" dxfId="2453">
      <formula>_xlfn.FORMULATEXT(B107)&lt;&gt;""</formula>
    </cfRule>
    <cfRule type="expression" priority="608" dxfId="4220">
      <formula>$A113="L"</formula>
    </cfRule>
    <cfRule type="expression" priority="609" dxfId="4110">
      <formula>$A113="F"</formula>
    </cfRule>
    <cfRule type="expression" priority="607" dxfId="4110">
      <formula>$A113="F"</formula>
    </cfRule>
    <cfRule type="expression" priority="610" dxfId="4220">
      <formula>$A113="L"</formula>
    </cfRule>
  </conditionalFormatting>
  <conditionalFormatting sqref="B108">
    <cfRule type="expression" priority="744" dxfId="4220">
      <formula>$A107="L"</formula>
    </cfRule>
    <cfRule type="expression" priority="743" dxfId="4110">
      <formula>$A107="F"</formula>
    </cfRule>
  </conditionalFormatting>
  <conditionalFormatting sqref="B108:B112">
    <cfRule type="expression" priority="746" dxfId="4220">
      <formula>$A106="L"</formula>
    </cfRule>
    <cfRule type="expression" priority="745" dxfId="4110">
      <formula>$A106="F"</formula>
    </cfRule>
  </conditionalFormatting>
  <conditionalFormatting sqref="B121:B122">
    <cfRule type="expression" priority="285" dxfId="4220">
      <formula>$A121="L"</formula>
    </cfRule>
    <cfRule type="expression" priority="286" dxfId="4110">
      <formula>$A121="F"</formula>
    </cfRule>
    <cfRule type="expression" priority="287" dxfId="4220">
      <formula>$A121="L"</formula>
    </cfRule>
    <cfRule type="expression" priority="288" dxfId="4110">
      <formula>$A121="F"</formula>
    </cfRule>
    <cfRule type="expression" priority="289" dxfId="4220">
      <formula>$A121="L"</formula>
    </cfRule>
    <cfRule type="expression" priority="290" dxfId="4110">
      <formula>$A121="F"</formula>
    </cfRule>
    <cfRule type="expression" priority="291" dxfId="4220">
      <formula>$A121="L"</formula>
    </cfRule>
    <cfRule type="expression" priority="292" dxfId="4110">
      <formula>$A121="F"</formula>
    </cfRule>
    <cfRule type="expression" priority="295" dxfId="4220">
      <formula>$A121="L"</formula>
    </cfRule>
    <cfRule type="expression" priority="282" dxfId="4110">
      <formula>$A121="F"</formula>
    </cfRule>
    <cfRule type="expression" priority="278" dxfId="4110">
      <formula>$A121="F"</formula>
    </cfRule>
    <cfRule type="expression" priority="279" dxfId="4220">
      <formula>$A121="L"</formula>
    </cfRule>
    <cfRule type="expression" priority="280" dxfId="4110">
      <formula>$A121="F"</formula>
    </cfRule>
    <cfRule type="expression" priority="281" dxfId="4220">
      <formula>$A121="L"</formula>
    </cfRule>
    <cfRule type="expression" priority="283" dxfId="4220">
      <formula>$A121="L"</formula>
    </cfRule>
    <cfRule type="expression" priority="284" dxfId="4110">
      <formula>$A121="F"</formula>
    </cfRule>
    <cfRule type="expression" priority="455" dxfId="4110">
      <formula>$A121="F"</formula>
    </cfRule>
    <cfRule type="expression" priority="456" dxfId="4220">
      <formula>$A121="L"</formula>
    </cfRule>
    <cfRule type="expression" priority="294" dxfId="4110">
      <formula>$A121="F"</formula>
    </cfRule>
    <cfRule type="expression" priority="293" dxfId="4220">
      <formula>$A121="L"</formula>
    </cfRule>
  </conditionalFormatting>
  <conditionalFormatting sqref="B121:B124">
    <cfRule type="expression" priority="768" dxfId="4220">
      <formula>$A121="L"</formula>
    </cfRule>
    <cfRule type="expression" priority="334" dxfId="4110">
      <formula>$A121="F"</formula>
    </cfRule>
    <cfRule type="expression" priority="335" dxfId="4220">
      <formula>$A121="L"</formula>
    </cfRule>
    <cfRule type="expression" priority="767" dxfId="4110">
      <formula>$A121="F"</formula>
    </cfRule>
  </conditionalFormatting>
  <conditionalFormatting sqref="B124">
    <cfRule type="expression" priority="451" dxfId="4110">
      <formula>$A124="F"</formula>
    </cfRule>
    <cfRule type="expression" priority="449" dxfId="4110">
      <formula>$A124="F"</formula>
    </cfRule>
    <cfRule type="expression" priority="450" dxfId="4220">
      <formula>$A124="L"</formula>
    </cfRule>
    <cfRule type="expression" priority="452" dxfId="4220">
      <formula>$A124="L"</formula>
    </cfRule>
  </conditionalFormatting>
  <conditionalFormatting sqref="B126">
    <cfRule type="expression" priority="739" dxfId="4110">
      <formula>$A125="F"</formula>
    </cfRule>
    <cfRule type="expression" priority="740" dxfId="4220">
      <formula>$A125="L"</formula>
    </cfRule>
  </conditionalFormatting>
  <conditionalFormatting sqref="B28:B33 B126:B131">
    <cfRule type="expression" priority="741" dxfId="4110">
      <formula>$A26="F"</formula>
    </cfRule>
  </conditionalFormatting>
  <conditionalFormatting sqref="B129:B131 D129:D130">
    <cfRule type="expression" priority="-29734" dxfId="4110">
      <formula>$A130="F"</formula>
    </cfRule>
  </conditionalFormatting>
  <conditionalFormatting sqref="B143:B144">
    <cfRule type="expression" priority="299" dxfId="4220">
      <formula>$A143="L"</formula>
    </cfRule>
    <cfRule type="expression" priority="300" dxfId="4110">
      <formula>$A143="F"</formula>
    </cfRule>
    <cfRule type="expression" priority="301" dxfId="4220">
      <formula>$A143="L"</formula>
    </cfRule>
    <cfRule type="expression" priority="302" dxfId="4110">
      <formula>$A143="F"</formula>
    </cfRule>
    <cfRule type="expression" priority="457" dxfId="4110">
      <formula>$A143="F"</formula>
    </cfRule>
    <cfRule type="expression" priority="460" dxfId="4220">
      <formula>$A143="L"</formula>
    </cfRule>
    <cfRule type="expression" priority="296" dxfId="4110">
      <formula>$A143="F"</formula>
    </cfRule>
    <cfRule type="expression" priority="306" dxfId="4110">
      <formula>$A143="F"</formula>
    </cfRule>
    <cfRule type="expression" priority="305" dxfId="4220">
      <formula>$A143="L"</formula>
    </cfRule>
    <cfRule type="expression" priority="304" dxfId="4110">
      <formula>$A143="F"</formula>
    </cfRule>
    <cfRule type="expression" priority="303" dxfId="4220">
      <formula>$A143="L"</formula>
    </cfRule>
    <cfRule type="expression" priority="297" dxfId="4220">
      <formula>$A143="L"</formula>
    </cfRule>
    <cfRule type="expression" priority="458" dxfId="4220">
      <formula>$A143="L"</formula>
    </cfRule>
    <cfRule type="expression" priority="459" dxfId="4110">
      <formula>$A143="F"</formula>
    </cfRule>
    <cfRule type="expression" priority="298" dxfId="4110">
      <formula>$A143="F"</formula>
    </cfRule>
    <cfRule type="expression" priority="307" dxfId="4220">
      <formula>$A143="L"</formula>
    </cfRule>
  </conditionalFormatting>
  <conditionalFormatting sqref="B41:B42 D132:D148 B143:B147">
    <cfRule type="expression" priority="344" dxfId="4110">
      <formula>$A41="F"</formula>
    </cfRule>
  </conditionalFormatting>
  <conditionalFormatting sqref="B147">
    <cfRule type="expression" priority="463" dxfId="4110">
      <formula>$A147="F"</formula>
    </cfRule>
    <cfRule type="expression" priority="464" dxfId="4220">
      <formula>$A147="L"</formula>
    </cfRule>
  </conditionalFormatting>
  <conditionalFormatting sqref="B148">
    <cfRule type="expression" priority="346" dxfId="2453">
      <formula>_xlfn.FORMULATEXT(B148)&lt;&gt;""</formula>
    </cfRule>
    <cfRule type="expression" priority="347" dxfId="4110">
      <formula>$A154="F"</formula>
    </cfRule>
    <cfRule type="expression" priority="350" dxfId="4220">
      <formula>$A154="L"</formula>
    </cfRule>
    <cfRule type="expression" priority="349" dxfId="4110">
      <formula>$A154="F"</formula>
    </cfRule>
    <cfRule type="expression" priority="348" dxfId="4220">
      <formula>$A154="L"</formula>
    </cfRule>
  </conditionalFormatting>
  <conditionalFormatting sqref="B149">
    <cfRule type="expression" priority="735" dxfId="4110">
      <formula>$A148="F"</formula>
    </cfRule>
    <cfRule type="expression" priority="736" dxfId="4220">
      <formula>$A148="L"</formula>
    </cfRule>
  </conditionalFormatting>
  <conditionalFormatting sqref="B149:B153">
    <cfRule type="expression" priority="738" dxfId="4220">
      <formula>$A147="L"</formula>
    </cfRule>
    <cfRule type="expression" priority="737" dxfId="4110">
      <formula>$A147="F"</formula>
    </cfRule>
  </conditionalFormatting>
  <conditionalFormatting sqref="B161:B162">
    <cfRule type="expression" priority="313" dxfId="4220">
      <formula>$A161="L"</formula>
    </cfRule>
    <cfRule type="expression" priority="312" dxfId="4110">
      <formula>$A161="F"</formula>
    </cfRule>
    <cfRule type="expression" priority="311" dxfId="4220">
      <formula>$A161="L"</formula>
    </cfRule>
    <cfRule type="expression" priority="310" dxfId="4110">
      <formula>$A161="F"</formula>
    </cfRule>
    <cfRule type="expression" priority="308" dxfId="4110">
      <formula>$A161="F"</formula>
    </cfRule>
    <cfRule type="expression" priority="309" dxfId="4220">
      <formula>$A161="L"</formula>
    </cfRule>
    <cfRule type="expression" priority="467" dxfId="4110">
      <formula>$A161="F"</formula>
    </cfRule>
    <cfRule type="expression" priority="468" dxfId="4220">
      <formula>$A161="L"</formula>
    </cfRule>
    <cfRule type="expression" priority="315" dxfId="4220">
      <formula>$A161="L"</formula>
    </cfRule>
    <cfRule type="expression" priority="314" dxfId="4110">
      <formula>$A161="F"</formula>
    </cfRule>
  </conditionalFormatting>
  <conditionalFormatting sqref="B161:B166">
    <cfRule type="expression" priority="732" dxfId="4220">
      <formula>$A161="L"</formula>
    </cfRule>
    <cfRule type="expression" priority="731" dxfId="4110">
      <formula>$A161="F"</formula>
    </cfRule>
  </conditionalFormatting>
  <conditionalFormatting sqref="B165">
    <cfRule type="expression" priority="328" dxfId="4110">
      <formula>$A165="F"</formula>
    </cfRule>
    <cfRule type="expression" priority="329" dxfId="4220">
      <formula>$A165="L"</formula>
    </cfRule>
  </conditionalFormatting>
  <conditionalFormatting sqref="B165:B166">
    <cfRule type="expression" priority="330" dxfId="4110">
      <formula>$A165="F"</formula>
    </cfRule>
    <cfRule type="expression" priority="331" dxfId="4220">
      <formula>$A165="L"</formula>
    </cfRule>
  </conditionalFormatting>
  <conditionalFormatting sqref="B167">
    <cfRule type="expression" priority="351" dxfId="2453">
      <formula>_xlfn.FORMULATEXT(B167)&lt;&gt;""</formula>
    </cfRule>
    <cfRule type="expression" priority="353" dxfId="4220">
      <formula>$A173="L"</formula>
    </cfRule>
    <cfRule type="expression" priority="352" dxfId="4110">
      <formula>$A173="F"</formula>
    </cfRule>
    <cfRule type="expression" priority="355" dxfId="4220">
      <formula>$A173="L"</formula>
    </cfRule>
    <cfRule type="expression" priority="354" dxfId="4110">
      <formula>$A173="F"</formula>
    </cfRule>
  </conditionalFormatting>
  <conditionalFormatting sqref="B168">
    <cfRule type="expression" priority="716" dxfId="4220">
      <formula>$A167="L"</formula>
    </cfRule>
    <cfRule type="expression" priority="715" dxfId="4110">
      <formula>$A167="F"</formula>
    </cfRule>
  </conditionalFormatting>
  <conditionalFormatting sqref="B168:B172">
    <cfRule type="expression" priority="718" dxfId="4220">
      <formula>$A166="L"</formula>
    </cfRule>
    <cfRule type="expression" priority="717" dxfId="4110">
      <formula>$A166="F"</formula>
    </cfRule>
  </conditionalFormatting>
  <conditionalFormatting sqref="B182">
    <cfRule type="expression" priority="321" dxfId="4220">
      <formula>$A182="L"</formula>
    </cfRule>
    <cfRule type="expression" priority="319" dxfId="4220">
      <formula>$A182="L"</formula>
    </cfRule>
    <cfRule type="expression" priority="318" dxfId="4110">
      <formula>$A182="F"</formula>
    </cfRule>
    <cfRule type="expression" priority="317" dxfId="4220">
      <formula>$A182="L"</formula>
    </cfRule>
    <cfRule type="expression" priority="316" dxfId="4110">
      <formula>$A182="F"</formula>
    </cfRule>
    <cfRule type="expression" priority="320" dxfId="4110">
      <formula>$A182="F"</formula>
    </cfRule>
  </conditionalFormatting>
  <conditionalFormatting sqref="B182:B184">
    <cfRule type="expression" priority="724" dxfId="4220">
      <formula>$A182="L"</formula>
    </cfRule>
    <cfRule type="expression" priority="723" dxfId="4110">
      <formula>$A182="F"</formula>
    </cfRule>
  </conditionalFormatting>
  <conditionalFormatting sqref="B185">
    <cfRule type="expression" priority="356" dxfId="2453">
      <formula>_xlfn.FORMULATEXT(B185)&lt;&gt;""</formula>
    </cfRule>
    <cfRule type="expression" priority="357" dxfId="4110">
      <formula>$A191="F"</formula>
    </cfRule>
    <cfRule type="expression" priority="358" dxfId="4220">
      <formula>$A191="L"</formula>
    </cfRule>
    <cfRule type="expression" priority="360" dxfId="4220">
      <formula>$A191="L"</formula>
    </cfRule>
    <cfRule type="expression" priority="359" dxfId="4110">
      <formula>$A191="F"</formula>
    </cfRule>
  </conditionalFormatting>
  <conditionalFormatting sqref="B186">
    <cfRule type="expression" priority="698" dxfId="4110">
      <formula>$A185="F"</formula>
    </cfRule>
    <cfRule type="expression" priority="699" dxfId="4220">
      <formula>$A185="L"</formula>
    </cfRule>
  </conditionalFormatting>
  <conditionalFormatting sqref="B186:B190">
    <cfRule type="expression" priority="700" dxfId="4110">
      <formula>$A184="F"</formula>
    </cfRule>
    <cfRule type="expression" priority="701" dxfId="4220">
      <formula>$A184="L"</formula>
    </cfRule>
  </conditionalFormatting>
  <conditionalFormatting sqref="B203:B204">
    <cfRule type="expression" priority="688" dxfId="4220">
      <formula>$A203="L"</formula>
    </cfRule>
    <cfRule type="expression" priority="687" dxfId="4110">
      <formula>$A203="F"</formula>
    </cfRule>
  </conditionalFormatting>
  <conditionalFormatting sqref="B204">
    <cfRule type="expression" priority="685" dxfId="4110">
      <formula>$A204="F"</formula>
    </cfRule>
    <cfRule type="expression" priority="686" dxfId="4220">
      <formula>$A204="L"</formula>
    </cfRule>
    <cfRule type="expression" priority="683" dxfId="4110">
      <formula>$A204="F"</formula>
    </cfRule>
    <cfRule type="expression" priority="684" dxfId="4220">
      <formula>$A204="L"</formula>
    </cfRule>
  </conditionalFormatting>
  <conditionalFormatting sqref="B206">
    <cfRule type="expression" priority="678" dxfId="4220">
      <formula>$A206="L"</formula>
    </cfRule>
    <cfRule type="expression" priority="677" dxfId="4110">
      <formula>$A206="F"</formula>
    </cfRule>
    <cfRule type="expression" priority="676" dxfId="4220">
      <formula>$A206="L"</formula>
    </cfRule>
    <cfRule type="expression" priority="675" dxfId="4110">
      <formula>$A206="F"</formula>
    </cfRule>
    <cfRule type="expression" priority="590" dxfId="4220">
      <formula>$A206="L"</formula>
    </cfRule>
    <cfRule type="expression" priority="588" dxfId="4220">
      <formula>$A206="L"</formula>
    </cfRule>
    <cfRule type="expression" priority="587" dxfId="4110">
      <formula>$A206="F"</formula>
    </cfRule>
    <cfRule type="expression" priority="586" dxfId="4220">
      <formula>$A206="L"</formula>
    </cfRule>
    <cfRule type="expression" priority="585" dxfId="4110">
      <formula>$A206="F"</formula>
    </cfRule>
    <cfRule type="expression" priority="584" dxfId="4220">
      <formula>$A206="L"</formula>
    </cfRule>
    <cfRule type="expression" priority="583" dxfId="4110">
      <formula>$A206="F"</formula>
    </cfRule>
    <cfRule type="expression" priority="589" dxfId="4110">
      <formula>$A206="F"</formula>
    </cfRule>
    <cfRule type="expression" priority="682" dxfId="4220">
      <formula>$A206="L"</formula>
    </cfRule>
    <cfRule type="expression" priority="681" dxfId="4110">
      <formula>$A206="F"</formula>
    </cfRule>
    <cfRule type="expression" priority="680" dxfId="4220">
      <formula>$A206="L"</formula>
    </cfRule>
    <cfRule type="expression" priority="679" dxfId="4110">
      <formula>$A206="F"</formula>
    </cfRule>
  </conditionalFormatting>
  <conditionalFormatting sqref="B210">
    <cfRule type="expression" priority="577" dxfId="4110">
      <formula>$A210="F"</formula>
    </cfRule>
    <cfRule type="expression" priority="578" dxfId="4220">
      <formula>$A210="L"</formula>
    </cfRule>
    <cfRule type="expression" priority="579" dxfId="4110">
      <formula>$A210="F"</formula>
    </cfRule>
    <cfRule type="expression" priority="580" dxfId="4220">
      <formula>$A210="L"</formula>
    </cfRule>
    <cfRule type="expression" priority="581" dxfId="4110">
      <formula>$A210="F"</formula>
    </cfRule>
    <cfRule type="expression" priority="582" dxfId="4220">
      <formula>$A210="L"</formula>
    </cfRule>
    <cfRule type="expression" priority="570" dxfId="4220">
      <formula>$A210="L"</formula>
    </cfRule>
    <cfRule type="expression" priority="571" dxfId="4110">
      <formula>$A210="F"</formula>
    </cfRule>
    <cfRule type="expression" priority="572" dxfId="4220">
      <formula>$A210="L"</formula>
    </cfRule>
    <cfRule type="expression" priority="573" dxfId="4110">
      <formula>$A210="F"</formula>
    </cfRule>
    <cfRule type="expression" priority="574" dxfId="4220">
      <formula>$A210="L"</formula>
    </cfRule>
    <cfRule type="expression" priority="575" dxfId="4110">
      <formula>$A210="F"</formula>
    </cfRule>
    <cfRule type="expression" priority="569" dxfId="4110">
      <formula>$A210="F"</formula>
    </cfRule>
    <cfRule type="expression" priority="576" dxfId="4220">
      <formula>$A210="L"</formula>
    </cfRule>
  </conditionalFormatting>
  <conditionalFormatting sqref="B210:B211">
    <cfRule type="expression" priority="566" dxfId="4220">
      <formula>$A210="L"</formula>
    </cfRule>
    <cfRule type="expression" priority="565" dxfId="4110">
      <formula>$A210="F"</formula>
    </cfRule>
  </conditionalFormatting>
  <conditionalFormatting sqref="B210:B213">
    <cfRule type="expression" priority="673" dxfId="4110">
      <formula>$A210="F"</formula>
    </cfRule>
    <cfRule type="expression" priority="671" dxfId="4110">
      <formula>$A210="F"</formula>
    </cfRule>
    <cfRule type="expression" priority="670" dxfId="4220">
      <formula>$A210="L"</formula>
    </cfRule>
    <cfRule type="expression" priority="669" dxfId="4110">
      <formula>$A210="F"</formula>
    </cfRule>
    <cfRule type="expression" priority="668" dxfId="4220">
      <formula>$A210="L"</formula>
    </cfRule>
    <cfRule type="expression" priority="667" dxfId="4110">
      <formula>$A210="F"</formula>
    </cfRule>
    <cfRule type="expression" priority="674" dxfId="4220">
      <formula>$A210="L"</formula>
    </cfRule>
    <cfRule type="expression" priority="672" dxfId="4220">
      <formula>$A210="L"</formula>
    </cfRule>
  </conditionalFormatting>
  <conditionalFormatting sqref="B211">
    <cfRule type="expression" priority="561" dxfId="4110">
      <formula>$A211="F"</formula>
    </cfRule>
    <cfRule type="expression" priority="562" dxfId="4220">
      <formula>$A211="L"</formula>
    </cfRule>
    <cfRule type="expression" priority="563" dxfId="4110">
      <formula>$A211="F"</formula>
    </cfRule>
    <cfRule type="expression" priority="564" dxfId="4220">
      <formula>$A211="L"</formula>
    </cfRule>
    <cfRule type="expression" priority="554" dxfId="4220">
      <formula>$A211="L"</formula>
    </cfRule>
    <cfRule type="expression" priority="553" dxfId="4110">
      <formula>$A211="F"</formula>
    </cfRule>
    <cfRule type="expression" priority="555" dxfId="4110">
      <formula>$A211="F"</formula>
    </cfRule>
    <cfRule type="expression" priority="556" dxfId="4220">
      <formula>$A211="L"</formula>
    </cfRule>
    <cfRule type="expression" priority="557" dxfId="4110">
      <formula>$A211="F"</formula>
    </cfRule>
    <cfRule type="expression" priority="558" dxfId="4220">
      <formula>$A211="L"</formula>
    </cfRule>
    <cfRule type="expression" priority="559" dxfId="4110">
      <formula>$A211="F"</formula>
    </cfRule>
    <cfRule type="expression" priority="560" dxfId="4220">
      <formula>$A211="L"</formula>
    </cfRule>
  </conditionalFormatting>
  <conditionalFormatting sqref="B211:B212">
    <cfRule type="expression" priority="549" dxfId="4110">
      <formula>$A211="F"</formula>
    </cfRule>
    <cfRule type="expression" priority="550" dxfId="4220">
      <formula>$A211="L"</formula>
    </cfRule>
  </conditionalFormatting>
  <conditionalFormatting sqref="B212">
    <cfRule type="expression" priority="544" dxfId="4220">
      <formula>$A212="L"</formula>
    </cfRule>
    <cfRule type="expression" priority="538" dxfId="4220">
      <formula>$A212="L"</formula>
    </cfRule>
    <cfRule type="expression" priority="537" dxfId="4110">
      <formula>$A212="F"</formula>
    </cfRule>
    <cfRule type="expression" priority="548" dxfId="4220">
      <formula>$A212="L"</formula>
    </cfRule>
    <cfRule type="expression" priority="539" dxfId="4110">
      <formula>$A212="F"</formula>
    </cfRule>
    <cfRule type="expression" priority="547" dxfId="4110">
      <formula>$A212="F"</formula>
    </cfRule>
    <cfRule type="expression" priority="540" dxfId="4220">
      <formula>$A212="L"</formula>
    </cfRule>
    <cfRule type="expression" priority="541" dxfId="4110">
      <formula>$A212="F"</formula>
    </cfRule>
    <cfRule type="expression" priority="542" dxfId="4220">
      <formula>$A212="L"</formula>
    </cfRule>
    <cfRule type="expression" priority="543" dxfId="4110">
      <formula>$A212="F"</formula>
    </cfRule>
    <cfRule type="expression" priority="545" dxfId="4110">
      <formula>$A212="F"</formula>
    </cfRule>
    <cfRule type="expression" priority="546" dxfId="4220">
      <formula>$A212="L"</formula>
    </cfRule>
  </conditionalFormatting>
  <conditionalFormatting sqref="B212:B213">
    <cfRule type="expression" priority="534" dxfId="4220">
      <formula>$A212="L"</formula>
    </cfRule>
    <cfRule type="expression" priority="533" dxfId="4110">
      <formula>$A212="F"</formula>
    </cfRule>
  </conditionalFormatting>
  <conditionalFormatting sqref="B213">
    <cfRule type="expression" priority="530" dxfId="4220">
      <formula>$A213="L"</formula>
    </cfRule>
    <cfRule type="expression" priority="532" dxfId="4220">
      <formula>$A213="L"</formula>
    </cfRule>
    <cfRule type="expression" priority="531" dxfId="4110">
      <formula>$A213="F"</formula>
    </cfRule>
    <cfRule type="expression" priority="529" dxfId="4110">
      <formula>$A213="F"</formula>
    </cfRule>
    <cfRule type="expression" priority="528" dxfId="4220">
      <formula>$A213="L"</formula>
    </cfRule>
    <cfRule type="expression" priority="525" dxfId="4110">
      <formula>$A213="F"</formula>
    </cfRule>
    <cfRule type="expression" priority="526" dxfId="4220">
      <formula>$A213="L"</formula>
    </cfRule>
    <cfRule type="expression" priority="524" dxfId="4220">
      <formula>$A213="L"</formula>
    </cfRule>
    <cfRule type="expression" priority="523" dxfId="4110">
      <formula>$A213="F"</formula>
    </cfRule>
    <cfRule type="expression" priority="522" dxfId="4220">
      <formula>$A213="L"</formula>
    </cfRule>
    <cfRule type="expression" priority="521" dxfId="4110">
      <formula>$A213="F"</formula>
    </cfRule>
    <cfRule type="expression" priority="520" dxfId="4220">
      <formula>$A213="L"</formula>
    </cfRule>
    <cfRule type="expression" priority="519" dxfId="4110">
      <formula>$A213="F"</formula>
    </cfRule>
    <cfRule type="expression" priority="527" dxfId="4110">
      <formula>$A213="F"</formula>
    </cfRule>
  </conditionalFormatting>
  <conditionalFormatting sqref="B215">
    <cfRule type="expression" priority="506" dxfId="4220">
      <formula>$A215="L"</formula>
    </cfRule>
    <cfRule type="expression" priority="666" dxfId="2453">
      <formula>_xlfn.FORMULATEXT(B215)&lt;&gt;""</formula>
    </cfRule>
    <cfRule type="expression" priority="518" dxfId="4220">
      <formula>$A215="L"</formula>
    </cfRule>
    <cfRule type="expression" priority="517" dxfId="4110">
      <formula>$A215="F"</formula>
    </cfRule>
    <cfRule type="expression" priority="502" dxfId="4220">
      <formula>$A215="L"</formula>
    </cfRule>
    <cfRule type="expression" priority="501" dxfId="4110">
      <formula>$A215="F"</formula>
    </cfRule>
    <cfRule type="expression" priority="500" dxfId="4220">
      <formula>$A215="L"</formula>
    </cfRule>
    <cfRule type="expression" priority="499" dxfId="4110">
      <formula>$A215="F"</formula>
    </cfRule>
    <cfRule type="expression" priority="498" dxfId="4220">
      <formula>$A215="L"</formula>
    </cfRule>
    <cfRule type="expression" priority="497" dxfId="4110">
      <formula>$A215="F"</formula>
    </cfRule>
    <cfRule type="expression" priority="496" dxfId="4220">
      <formula>$A215="L"</formula>
    </cfRule>
    <cfRule type="expression" priority="495" dxfId="4110">
      <formula>$A215="F"</formula>
    </cfRule>
    <cfRule type="expression" priority="504" dxfId="4220">
      <formula>$A215="L"</formula>
    </cfRule>
    <cfRule type="expression" priority="503" dxfId="4110">
      <formula>$A215="F"</formula>
    </cfRule>
    <cfRule type="expression" priority="665" dxfId="4220">
      <formula>$A215="L"</formula>
    </cfRule>
    <cfRule type="expression" priority="664" dxfId="4110">
      <formula>$A215="F"</formula>
    </cfRule>
    <cfRule type="expression" priority="663" dxfId="4220">
      <formula>$A215="L"</formula>
    </cfRule>
    <cfRule type="expression" priority="662" dxfId="4110">
      <formula>$A215="F"</formula>
    </cfRule>
    <cfRule type="expression" priority="507" dxfId="4110">
      <formula>$A215="F"</formula>
    </cfRule>
    <cfRule type="expression" priority="660" dxfId="4110">
      <formula>$A215="F"</formula>
    </cfRule>
    <cfRule type="expression" priority="659" dxfId="4220">
      <formula>$A215="L"</formula>
    </cfRule>
    <cfRule type="expression" priority="658" dxfId="4110">
      <formula>$A215="F"</formula>
    </cfRule>
    <cfRule type="expression" priority="508" dxfId="4220">
      <formula>$A215="L"</formula>
    </cfRule>
    <cfRule type="expression" priority="509" dxfId="4110">
      <formula>$A215="F"</formula>
    </cfRule>
    <cfRule type="expression" priority="510" dxfId="4220">
      <formula>$A215="L"</formula>
    </cfRule>
    <cfRule type="expression" priority="505" dxfId="4110">
      <formula>$A215="F"</formula>
    </cfRule>
    <cfRule type="expression" priority="511" dxfId="4110">
      <formula>$A215="F"</formula>
    </cfRule>
    <cfRule type="expression" priority="512" dxfId="4220">
      <formula>$A215="L"</formula>
    </cfRule>
    <cfRule type="expression" priority="513" dxfId="4110">
      <formula>$A215="F"</formula>
    </cfRule>
    <cfRule type="expression" priority="514" dxfId="4220">
      <formula>$A215="L"</formula>
    </cfRule>
    <cfRule type="expression" priority="515" dxfId="4110">
      <formula>$A215="F"</formula>
    </cfRule>
    <cfRule type="expression" priority="516" dxfId="4220">
      <formula>$A215="L"</formula>
    </cfRule>
    <cfRule type="expression" priority="661" dxfId="4220">
      <formula>$A215="L"</formula>
    </cfRule>
  </conditionalFormatting>
  <conditionalFormatting sqref="B220">
    <cfRule type="expression" priority="491" dxfId="4110">
      <formula>$A220="F"</formula>
    </cfRule>
    <cfRule type="expression" priority="492" dxfId="4220">
      <formula>$A220="L"</formula>
    </cfRule>
    <cfRule type="expression" priority="493" dxfId="4110">
      <formula>$A220="F"</formula>
    </cfRule>
    <cfRule type="expression" priority="494" dxfId="4220">
      <formula>$A220="L"</formula>
    </cfRule>
    <cfRule type="expression" priority="656" dxfId="2453">
      <formula>_xlfn.FORMULATEXT(B220)&lt;&gt;""</formula>
    </cfRule>
    <cfRule type="expression" priority="648" dxfId="4110">
      <formula>$A218="F"</formula>
    </cfRule>
    <cfRule type="expression" priority="649" dxfId="4220">
      <formula>$A218="L"</formula>
    </cfRule>
    <cfRule type="expression" priority="650" dxfId="4110">
      <formula>$A218="F"</formula>
    </cfRule>
    <cfRule type="expression" priority="651" dxfId="4220">
      <formula>$A218="L"</formula>
    </cfRule>
    <cfRule type="expression" priority="652" dxfId="4110">
      <formula>$A218="F"</formula>
    </cfRule>
    <cfRule type="expression" priority="653" dxfId="4220">
      <formula>$A218="L"</formula>
    </cfRule>
    <cfRule type="expression" priority="654" dxfId="4110">
      <formula>$A218="F"</formula>
    </cfRule>
    <cfRule type="expression" priority="655" dxfId="4220">
      <formula>$A218="L"</formula>
    </cfRule>
    <cfRule type="expression" priority="469" dxfId="4110">
      <formula>$A220="F"</formula>
    </cfRule>
    <cfRule type="expression" priority="470" dxfId="4220">
      <formula>$A220="L"</formula>
    </cfRule>
    <cfRule type="expression" priority="471" dxfId="4110">
      <formula>$A220="F"</formula>
    </cfRule>
    <cfRule type="expression" priority="472" dxfId="4220">
      <formula>$A220="L"</formula>
    </cfRule>
    <cfRule type="expression" priority="473" dxfId="4110">
      <formula>$A220="F"</formula>
    </cfRule>
    <cfRule type="expression" priority="474" dxfId="4220">
      <formula>$A220="L"</formula>
    </cfRule>
    <cfRule type="expression" priority="475" dxfId="4110">
      <formula>$A220="F"</formula>
    </cfRule>
    <cfRule type="expression" priority="476" dxfId="4220">
      <formula>$A220="L"</formula>
    </cfRule>
    <cfRule type="expression" priority="477" dxfId="4110">
      <formula>$A220="F"</formula>
    </cfRule>
    <cfRule type="expression" priority="478" dxfId="4220">
      <formula>$A220="L"</formula>
    </cfRule>
    <cfRule type="expression" priority="479" dxfId="4110">
      <formula>$A220="F"</formula>
    </cfRule>
    <cfRule type="expression" priority="480" dxfId="4220">
      <formula>$A220="L"</formula>
    </cfRule>
    <cfRule type="expression" priority="481" dxfId="4110">
      <formula>$A220="F"</formula>
    </cfRule>
    <cfRule type="expression" priority="482" dxfId="4220">
      <formula>$A220="L"</formula>
    </cfRule>
    <cfRule type="expression" priority="483" dxfId="4110">
      <formula>$A220="F"</formula>
    </cfRule>
    <cfRule type="expression" priority="484" dxfId="4220">
      <formula>$A220="L"</formula>
    </cfRule>
    <cfRule type="expression" priority="485" dxfId="4110">
      <formula>$A220="F"</formula>
    </cfRule>
    <cfRule type="expression" priority="486" dxfId="4220">
      <formula>$A220="L"</formula>
    </cfRule>
    <cfRule type="expression" priority="487" dxfId="4110">
      <formula>$A220="F"</formula>
    </cfRule>
    <cfRule type="expression" priority="488" dxfId="4220">
      <formula>$A220="L"</formula>
    </cfRule>
    <cfRule type="expression" priority="489" dxfId="4110">
      <formula>$A220="F"</formula>
    </cfRule>
    <cfRule type="expression" priority="490" dxfId="4220">
      <formula>$A220="L"</formula>
    </cfRule>
  </conditionalFormatting>
  <conditionalFormatting sqref="B28:C33 D32 C43:C48 B44:B48 B60:B64 B76:B79 B80:C80 B92:B96 B108:B112 B126:B131 B149:B153 B168:B172 D185 B186:B190 C205">
    <cfRule type="expression" priority="823" dxfId="4220">
      <formula>$A27="L"</formula>
    </cfRule>
  </conditionalFormatting>
  <conditionalFormatting sqref="B183:C183">
    <cfRule type="expression" priority="322" dxfId="4110">
      <formula>$A183="F"</formula>
    </cfRule>
    <cfRule type="expression" priority="327" dxfId="4220">
      <formula>$A183="L"</formula>
    </cfRule>
    <cfRule type="expression" priority="326" dxfId="4110">
      <formula>$A183="F"</formula>
    </cfRule>
    <cfRule type="expression" priority="325" dxfId="4220">
      <formula>$A183="L"</formula>
    </cfRule>
    <cfRule type="expression" priority="324" dxfId="4110">
      <formula>$A183="F"</formula>
    </cfRule>
    <cfRule type="expression" priority="323" dxfId="4220">
      <formula>$A183="L"</formula>
    </cfRule>
  </conditionalFormatting>
  <conditionalFormatting sqref="B203:C204">
    <cfRule type="expression" priority="689" dxfId="4110">
      <formula>$A203="F"</formula>
    </cfRule>
    <cfRule type="expression" priority="690" dxfId="4220">
      <formula>$A203="L"</formula>
    </cfRule>
  </conditionalFormatting>
  <conditionalFormatting sqref="B27:D27 C28:C32 D91 D107">
    <cfRule type="expression" priority="-29113" dxfId="4110">
      <formula>$A33="F"</formula>
    </cfRule>
    <cfRule type="expression" priority="-29112" dxfId="4220">
      <formula>$A33="L"</formula>
    </cfRule>
  </conditionalFormatting>
  <conditionalFormatting sqref="C7">
    <cfRule type="expression" priority="-29323" dxfId="4220">
      <formula>$A8="L"</formula>
    </cfRule>
    <cfRule type="expression" priority="-29329" dxfId="4110">
      <formula>$A8="F"</formula>
    </cfRule>
  </conditionalFormatting>
  <conditionalFormatting sqref="A22:B26 C25:D26 A27:A33 C27:C32 A34:C41 D34:D43 A42:B42 C42:C48 A43:A47 A48:B48 A49:C53 D49:D59 A54:B58 C54:C64 A59:A63 A64:B64 A65:D74 A75:A80 C75:C80 A81:D90 A91:A97 C91:C97 D97:D106 A98:C106 A107:A112 C107:C112 A113:C124 M122:O143 A125 C125:C131 A126:B131 A132:C147 M145:O160 A148 C148 A149:C166 D153:D167 A167 C167 A168:C184 A185 C185 A186:C202 D190:D204">
    <cfRule type="expression" priority="831" dxfId="4110">
      <formula>$A22="F"</formula>
    </cfRule>
  </conditionalFormatting>
  <conditionalFormatting sqref="C43:C48">
    <cfRule type="expression" priority="362" dxfId="4220">
      <formula>$A49="L"</formula>
    </cfRule>
    <cfRule type="expression" priority="361" dxfId="4110">
      <formula>$A49="F"</formula>
    </cfRule>
  </conditionalFormatting>
  <conditionalFormatting sqref="C126:C131 B131">
    <cfRule type="expression" priority="-29739" dxfId="4220">
      <formula>$A128="L"</formula>
    </cfRule>
    <cfRule type="expression" priority="-29740" dxfId="4110">
      <formula>$A128="F"</formula>
    </cfRule>
  </conditionalFormatting>
  <conditionalFormatting sqref="C163:C165">
    <cfRule type="expression" priority="728" dxfId="4220">
      <formula>$A163="L"</formula>
    </cfRule>
    <cfRule type="expression" priority="727" dxfId="4110">
      <formula>$A163="F"</formula>
    </cfRule>
  </conditionalFormatting>
  <conditionalFormatting sqref="C183">
    <cfRule type="expression" priority="726" dxfId="4220">
      <formula>$A183="L"</formula>
    </cfRule>
    <cfRule type="expression" priority="725" dxfId="4110">
      <formula>$A183="F"</formula>
    </cfRule>
  </conditionalFormatting>
  <conditionalFormatting sqref="C206:C210">
    <cfRule type="expression" priority="827" dxfId="4220">
      <formula>$A206="L"</formula>
    </cfRule>
    <cfRule type="expression" priority="826" dxfId="4110">
      <formula>$A206="F"</formula>
    </cfRule>
  </conditionalFormatting>
  <conditionalFormatting sqref="C211:C214 D214">
    <cfRule type="expression" priority="829" dxfId="4220">
      <formula>$A210="L"</formula>
    </cfRule>
    <cfRule type="expression" priority="828" dxfId="4110">
      <formula>$A210="F"</formula>
    </cfRule>
  </conditionalFormatting>
  <conditionalFormatting sqref="A1:B7 C1:C4 D1:D24 M1:O18 C6 A8:A21 B8:C24 M20:O34 B25:B26 B34 M35:M52 N35:O37 O38:O39 N40:O52 M53:O54 M56:O70 M72:O86 M88:O102 M104:O120 M162:O181 M183:O218 A203:B214 D206:D209 D211:D217 A215:C218 A219:A224 B219:D219 B221:D224">
    <cfRule type="expression" priority="855" dxfId="4110">
      <formula>$A1="F"</formula>
    </cfRule>
  </conditionalFormatting>
  <conditionalFormatting sqref="D23">
    <cfRule type="expression" priority="34" dxfId="4220">
      <formula>$A23="L"</formula>
    </cfRule>
    <cfRule type="expression" priority="33" dxfId="4110">
      <formula>$A23="F"</formula>
    </cfRule>
  </conditionalFormatting>
  <conditionalFormatting sqref="D28">
    <cfRule type="expression" priority="-29766" dxfId="4110">
      <formula>$A29="F"</formula>
    </cfRule>
    <cfRule type="expression" priority="-29765" dxfId="4220">
      <formula>$A29="L"</formula>
    </cfRule>
  </conditionalFormatting>
  <conditionalFormatting sqref="D28:D32 D44:D48 D60:D64 D76:D80 D92:D96 D126:D130 D149:D153 D168:D172 D186:D190">
    <cfRule type="expression" priority="-29747" dxfId="1913">
      <formula>_xlfn.FORMULATEXT(T25)&lt;&gt;""</formula>
    </cfRule>
    <cfRule type="expression" priority="-29746" dxfId="4110">
      <formula>$A25="F"</formula>
    </cfRule>
    <cfRule type="expression" priority="-29745" dxfId="4220">
      <formula>$A25="L"</formula>
    </cfRule>
  </conditionalFormatting>
  <conditionalFormatting sqref="D28:D32">
    <cfRule type="expression" priority="35" dxfId="2589">
      <formula>IF($A$14,IF(CELL("protect",D28)=0,TRUE,FALSE))</formula>
    </cfRule>
  </conditionalFormatting>
  <conditionalFormatting sqref="D39">
    <cfRule type="expression" priority="29" dxfId="4110">
      <formula>$A39="F"</formula>
    </cfRule>
    <cfRule type="expression" priority="30" dxfId="4220">
      <formula>$A39="L"</formula>
    </cfRule>
    <cfRule type="expression" priority="31" dxfId="4110">
      <formula>$A39="F"</formula>
    </cfRule>
    <cfRule type="expression" priority="32" dxfId="4220">
      <formula>$A39="L"</formula>
    </cfRule>
  </conditionalFormatting>
  <conditionalFormatting sqref="D44:D48">
    <cfRule type="expression" priority="39" dxfId="2589">
      <formula>IF($A$14,IF(CELL("protect",D44)=0,TRUE,FALSE))</formula>
    </cfRule>
  </conditionalFormatting>
  <conditionalFormatting sqref="D55">
    <cfRule type="expression" priority="25" dxfId="4110">
      <formula>$A55="F"</formula>
    </cfRule>
    <cfRule type="expression" priority="26" dxfId="4220">
      <formula>$A55="L"</formula>
    </cfRule>
    <cfRule type="expression" priority="27" dxfId="4110">
      <formula>$A55="F"</formula>
    </cfRule>
    <cfRule type="expression" priority="28" dxfId="4220">
      <formula>$A55="L"</formula>
    </cfRule>
  </conditionalFormatting>
  <conditionalFormatting sqref="D60:D64">
    <cfRule type="expression" priority="43" dxfId="2589">
      <formula>IF($A$14,IF(CELL("protect",D60)=0,TRUE,FALSE))</formula>
    </cfRule>
  </conditionalFormatting>
  <conditionalFormatting sqref="D71">
    <cfRule type="expression" priority="24" dxfId="4220">
      <formula>$A71="L"</formula>
    </cfRule>
    <cfRule type="expression" priority="23" dxfId="4110">
      <formula>$A71="F"</formula>
    </cfRule>
    <cfRule type="expression" priority="22" dxfId="4220">
      <formula>$A71="L"</formula>
    </cfRule>
    <cfRule type="expression" priority="21" dxfId="4110">
      <formula>$A71="F"</formula>
    </cfRule>
  </conditionalFormatting>
  <conditionalFormatting sqref="D75">
    <cfRule type="expression" priority="129" dxfId="4220">
      <formula>$A75="L"</formula>
    </cfRule>
    <cfRule type="expression" priority="128" dxfId="4110">
      <formula>$A75="F"</formula>
    </cfRule>
  </conditionalFormatting>
  <conditionalFormatting sqref="D76:D80">
    <cfRule type="expression" priority="47" dxfId="2589">
      <formula>IF($A$14,IF(CELL("protect",D76)=0,TRUE,FALSE))</formula>
    </cfRule>
  </conditionalFormatting>
  <conditionalFormatting sqref="D87">
    <cfRule type="expression" priority="18" dxfId="4220">
      <formula>$A87="L"</formula>
    </cfRule>
    <cfRule type="expression" priority="17" dxfId="4110">
      <formula>$A87="F"</formula>
    </cfRule>
    <cfRule type="expression" priority="19" dxfId="4110">
      <formula>$A87="F"</formula>
    </cfRule>
    <cfRule type="expression" priority="20" dxfId="4220">
      <formula>$A87="L"</formula>
    </cfRule>
  </conditionalFormatting>
  <conditionalFormatting sqref="D92:D96">
    <cfRule type="expression" priority="844" dxfId="2589">
      <formula>IF($A$14,IF(CELL("protect",D92)=0,TRUE,FALSE))</formula>
    </cfRule>
  </conditionalFormatting>
  <conditionalFormatting sqref="D103">
    <cfRule type="expression" priority="13" dxfId="4110">
      <formula>$A103="F"</formula>
    </cfRule>
    <cfRule type="expression" priority="16" dxfId="4220">
      <formula>$A103="L"</formula>
    </cfRule>
    <cfRule type="expression" priority="15" dxfId="4110">
      <formula>$A103="F"</formula>
    </cfRule>
    <cfRule type="expression" priority="14" dxfId="4220">
      <formula>$A103="L"</formula>
    </cfRule>
  </conditionalFormatting>
  <conditionalFormatting sqref="D108">
    <cfRule type="expression" priority="101" dxfId="1913">
      <formula>_xlfn.FORMULATEXT(T105)&lt;&gt;""</formula>
    </cfRule>
    <cfRule type="expression" priority="102" dxfId="4110">
      <formula>$A105="F"</formula>
    </cfRule>
    <cfRule type="expression" priority="103" dxfId="4220">
      <formula>$A105="L"</formula>
    </cfRule>
    <cfRule type="expression" priority="99" dxfId="2589">
      <formula>IF($A$14,IF(CELL("protect",D108)=0,TRUE,FALSE))</formula>
    </cfRule>
  </conditionalFormatting>
  <conditionalFormatting sqref="D108:D112">
    <cfRule type="expression" priority="842" dxfId="2589">
      <formula>IF($A$14,IF(CELL("protect",D108)=0,TRUE,FALSE))</formula>
    </cfRule>
    <cfRule type="expression" priority="-29781" dxfId="4110">
      <formula>$A105="F"</formula>
    </cfRule>
    <cfRule type="expression" priority="-29784" dxfId="1913">
      <formula>_xlfn.FORMULATEXT(T105)&lt;&gt;""</formula>
    </cfRule>
    <cfRule type="expression" priority="-29780" dxfId="4220">
      <formula>$A105="L"</formula>
    </cfRule>
  </conditionalFormatting>
  <conditionalFormatting sqref="A20 B20:D32 B33:C42 D34:D48 C43:C48 B44:B48 B49:D58 C59:D64 B60:B64 B65:D74 C75:D79 B76:B79 B80:D90 C91:C97 D91:D112 B92:B96 B98:C106 C107:C112 B108:B112 B113:C124 D114:D124 C125 B126:C142 D126:D130 D132:D142 B143:D147 C148 B149:C166 D149:D176 C167:C172 B168:B172 B173:C176 B177:D184 C185:C190 B186:B190 D186:D202 B191:C218 D207:D217 B219:D220">
    <cfRule type="expression" priority="854" dxfId="2453">
      <formula>_xlfn.FORMULATEXT(A20)&lt;&gt;""</formula>
    </cfRule>
  </conditionalFormatting>
  <conditionalFormatting sqref="D114:D125">
    <cfRule type="expression" priority="712" dxfId="4110">
      <formula>$A114="F"</formula>
    </cfRule>
    <cfRule type="expression" priority="713" dxfId="4220">
      <formula>$A114="L"</formula>
    </cfRule>
  </conditionalFormatting>
  <conditionalFormatting sqref="D121 D143:D144 D161:D162 D182">
    <cfRule type="expression" priority="-29759" dxfId="1913">
      <formula>_xlfn.FORMULATEXT(T121)&lt;&gt;""</formula>
    </cfRule>
  </conditionalFormatting>
  <conditionalFormatting sqref="D125">
    <cfRule type="expression" priority="714" dxfId="2453">
      <formula>_xlfn.FORMULATEXT(D125)&lt;&gt;""</formula>
    </cfRule>
  </conditionalFormatting>
  <conditionalFormatting sqref="D126">
    <cfRule type="expression" priority="93" dxfId="4220">
      <formula>$A123="L"</formula>
    </cfRule>
    <cfRule type="expression" priority="89" dxfId="2589">
      <formula>IF($A$14,IF(CELL("protect",D126)=0,TRUE,FALSE))</formula>
    </cfRule>
    <cfRule type="expression" priority="96" dxfId="1913">
      <formula>_xlfn.FORMULATEXT(T123)&lt;&gt;""</formula>
    </cfRule>
    <cfRule type="expression" priority="91" dxfId="1913">
      <formula>_xlfn.FORMULATEXT(T123)&lt;&gt;""</formula>
    </cfRule>
    <cfRule type="expression" priority="94" dxfId="2589">
      <formula>IF($A$14,IF(CELL("protect",D126)=0,TRUE,FALSE))</formula>
    </cfRule>
    <cfRule type="expression" priority="92" dxfId="4110">
      <formula>$A123="F"</formula>
    </cfRule>
    <cfRule type="expression" priority="97" dxfId="4110">
      <formula>$A123="F"</formula>
    </cfRule>
    <cfRule type="expression" priority="98" dxfId="4220">
      <formula>$A123="L"</formula>
    </cfRule>
  </conditionalFormatting>
  <conditionalFormatting sqref="D126:D130">
    <cfRule type="expression" priority="840" dxfId="2589">
      <formula>IF($A$14,IF(CELL("protect",D126)=0,TRUE,FALSE))</formula>
    </cfRule>
  </conditionalFormatting>
  <conditionalFormatting sqref="B129:B131 D129:D130">
    <cfRule type="expression" priority="-29733" dxfId="4220">
      <formula>$A130="L"</formula>
    </cfRule>
  </conditionalFormatting>
  <conditionalFormatting sqref="D148">
    <cfRule type="expression" priority="707" dxfId="2453">
      <formula>_xlfn.FORMULATEXT(D148)&lt;&gt;""</formula>
    </cfRule>
  </conditionalFormatting>
  <conditionalFormatting sqref="D149">
    <cfRule type="expression" priority="85" dxfId="4110">
      <formula>$A146="F"</formula>
    </cfRule>
    <cfRule type="expression" priority="79" dxfId="1913">
      <formula>_xlfn.FORMULATEXT(T146)&lt;&gt;""</formula>
    </cfRule>
    <cfRule type="expression" priority="82" dxfId="2589">
      <formula>IF($A$14,IF(CELL("protect",D149)=0,TRUE,FALSE))</formula>
    </cfRule>
    <cfRule type="expression" priority="81" dxfId="4220">
      <formula>$A146="L"</formula>
    </cfRule>
    <cfRule type="expression" priority="80" dxfId="4110">
      <formula>$A146="F"</formula>
    </cfRule>
    <cfRule type="expression" priority="77" dxfId="2589">
      <formula>IF($A$14,IF(CELL("protect",D149)=0,TRUE,FALSE))</formula>
    </cfRule>
    <cfRule type="expression" priority="84" dxfId="1913">
      <formula>_xlfn.FORMULATEXT(T146)&lt;&gt;""</formula>
    </cfRule>
    <cfRule type="expression" priority="86" dxfId="4220">
      <formula>$A146="L"</formula>
    </cfRule>
  </conditionalFormatting>
  <conditionalFormatting sqref="D149:D153">
    <cfRule type="expression" priority="87" dxfId="2589">
      <formula>IF($A$14,IF(CELL("protect",D149)=0,TRUE,FALSE))</formula>
    </cfRule>
  </conditionalFormatting>
  <conditionalFormatting sqref="D168">
    <cfRule type="expression" priority="68" dxfId="2589">
      <formula>IF($A$14,IF(CELL("protect",D168)=0,TRUE,FALSE))</formula>
    </cfRule>
    <cfRule type="expression" priority="63" dxfId="2589">
      <formula>IF($A$14,IF(CELL("protect",D168)=0,TRUE,FALSE))</formula>
    </cfRule>
    <cfRule type="expression" priority="72" dxfId="4220">
      <formula>$A165="L"</formula>
    </cfRule>
    <cfRule type="expression" priority="71" dxfId="4110">
      <formula>$A165="F"</formula>
    </cfRule>
    <cfRule type="expression" priority="70" dxfId="1913">
      <formula>_xlfn.FORMULATEXT(T165)&lt;&gt;""</formula>
    </cfRule>
    <cfRule type="expression" priority="65" dxfId="1913">
      <formula>_xlfn.FORMULATEXT(T165)&lt;&gt;""</formula>
    </cfRule>
    <cfRule type="expression" priority="66" dxfId="4110">
      <formula>$A165="F"</formula>
    </cfRule>
    <cfRule type="expression" priority="67" dxfId="4220">
      <formula>$A165="L"</formula>
    </cfRule>
  </conditionalFormatting>
  <conditionalFormatting sqref="D168:D172">
    <cfRule type="expression" priority="73" dxfId="2589">
      <formula>IF($A$14,IF(CELL("protect",D168)=0,TRUE,FALSE))</formula>
    </cfRule>
  </conditionalFormatting>
  <conditionalFormatting sqref="D172:D185">
    <cfRule type="expression" priority="692" dxfId="4220">
      <formula>$A172="L"</formula>
    </cfRule>
    <cfRule type="expression" priority="691" dxfId="4110">
      <formula>$A172="F"</formula>
    </cfRule>
  </conditionalFormatting>
  <conditionalFormatting sqref="D185">
    <cfRule type="expression" priority="694" dxfId="1913">
      <formula>_xlfn.FORMULATEXT(T185)&lt;&gt;""</formula>
    </cfRule>
    <cfRule type="expression" priority="693" dxfId="2453">
      <formula>_xlfn.FORMULATEXT(D185)&lt;&gt;""</formula>
    </cfRule>
    <cfRule type="expression" priority="-29725" dxfId="1913">
      <formula>_xlfn.FORMULATEXT(S184)&lt;&gt;""</formula>
    </cfRule>
  </conditionalFormatting>
  <conditionalFormatting sqref="D185:D190">
    <cfRule type="expression" priority="834" dxfId="2589">
      <formula>IF($A$14,IF(CELL("protect",D185)=0,TRUE,FALSE))</formula>
    </cfRule>
  </conditionalFormatting>
  <conditionalFormatting sqref="D186">
    <cfRule type="expression" priority="51" dxfId="1913">
      <formula>_xlfn.FORMULATEXT(T183)&lt;&gt;""</formula>
    </cfRule>
    <cfRule type="expression" priority="49" dxfId="2589">
      <formula>IF($A$14,IF(CELL("protect",D186)=0,TRUE,FALSE))</formula>
    </cfRule>
    <cfRule type="expression" priority="59" dxfId="2589">
      <formula>IF($A$14,IF(CELL("protect",D186)=0,TRUE,FALSE))</formula>
    </cfRule>
    <cfRule type="expression" priority="58" dxfId="4220">
      <formula>$A183="L"</formula>
    </cfRule>
    <cfRule type="expression" priority="57" dxfId="4110">
      <formula>$A183="F"</formula>
    </cfRule>
    <cfRule type="expression" priority="56" dxfId="1913">
      <formula>_xlfn.FORMULATEXT(T183)&lt;&gt;""</formula>
    </cfRule>
    <cfRule type="expression" priority="54" dxfId="2589">
      <formula>IF($A$14,IF(CELL("protect",D186)=0,TRUE,FALSE))</formula>
    </cfRule>
    <cfRule type="expression" priority="53" dxfId="4220">
      <formula>$A183="L"</formula>
    </cfRule>
    <cfRule type="expression" priority="52" dxfId="4110">
      <formula>$A183="F"</formula>
    </cfRule>
  </conditionalFormatting>
  <conditionalFormatting sqref="D121 D161:D162 D182 D203:D204 D206 AE206:AI222 AO206:AV222 D211:D217 D220">
    <cfRule type="expression" priority="852" dxfId="2589">
      <formula>IF($A$14,IF(CELL("protect",D121)=0,TRUE,FALSE))</formula>
    </cfRule>
  </conditionalFormatting>
  <conditionalFormatting sqref="D203:D204">
    <cfRule type="expression" priority="632" dxfId="1913">
      <formula>_xlfn.FORMULATEXT(T202)&lt;&gt;""</formula>
    </cfRule>
    <cfRule type="expression" priority="630" dxfId="4110">
      <formula>$A202="F"</formula>
    </cfRule>
    <cfRule type="expression" priority="631" dxfId="4220">
      <formula>$A202="L"</formula>
    </cfRule>
    <cfRule type="expression" priority="-29165" dxfId="4110">
      <formula>$A201="F"</formula>
    </cfRule>
    <cfRule type="expression" priority="-29164" dxfId="4220">
      <formula>$A201="L"</formula>
    </cfRule>
    <cfRule type="expression" priority="-29163" dxfId="1913">
      <formula>_xlfn.FORMULATEXT(T201)&lt;&gt;""</formula>
    </cfRule>
  </conditionalFormatting>
  <conditionalFormatting sqref="D203:D206">
    <cfRule type="expression" priority="819" dxfId="2453">
      <formula>_xlfn.FORMULATEXT(D203)&lt;&gt;""</formula>
    </cfRule>
    <cfRule type="expression" priority="818" dxfId="4220">
      <formula>$A203="L"</formula>
    </cfRule>
    <cfRule type="expression" priority="817" dxfId="4110">
      <formula>$A203="F"</formula>
    </cfRule>
  </conditionalFormatting>
  <conditionalFormatting sqref="D206 D211:D215">
    <cfRule type="expression" priority="-29174" dxfId="4110">
      <formula>$A205="F"</formula>
    </cfRule>
    <cfRule type="expression" priority="-29173" dxfId="4220">
      <formula>$A205="L"</formula>
    </cfRule>
    <cfRule type="expression" priority="-29172" dxfId="1913">
      <formula>_xlfn.FORMULATEXT(T205)&lt;&gt;""</formula>
    </cfRule>
  </conditionalFormatting>
  <conditionalFormatting sqref="D210:D213">
    <cfRule type="expression" priority="815" dxfId="4220">
      <formula>$A210="L"</formula>
    </cfRule>
    <cfRule type="expression" priority="814" dxfId="4110">
      <formula>$A210="F"</formula>
    </cfRule>
  </conditionalFormatting>
  <conditionalFormatting sqref="D220">
    <cfRule type="expression" priority="-29093" dxfId="4110">
      <formula>$A217="F"</formula>
    </cfRule>
    <cfRule type="expression" priority="-29092" dxfId="4220">
      <formula>$A217="L"</formula>
    </cfRule>
    <cfRule type="expression" priority="-29091" dxfId="1913">
      <formula>_xlfn.FORMULATEXT(T217)&lt;&gt;""</formula>
    </cfRule>
  </conditionalFormatting>
  <conditionalFormatting sqref="F21:F218 AY21:AY218">
    <cfRule type="expression" priority="-29126" dxfId="1808">
      <formula>INDEX($AN:$AN,ROW($F21))&lt;&gt;0</formula>
    </cfRule>
  </conditionalFormatting>
  <conditionalFormatting sqref="AE3:AV26">
    <cfRule type="expression" priority="8" dxfId="2589">
      <formula>IF($A$14,IF(CELL("protect",AE3)=0,TRUE,FALSE))</formula>
    </cfRule>
  </conditionalFormatting>
  <conditionalFormatting sqref="C5 AE27:AV57 AE59:AV123 AE125:AV193 D143:D144 AN194">
    <cfRule type="expression" priority="647" dxfId="2589">
      <formula>IF($A$14,IF(CELL("protect",C5)=0,TRUE,FALSE))</formula>
    </cfRule>
  </conditionalFormatting>
  <conditionalFormatting sqref="AE58:AV58">
    <cfRule type="expression" priority="6" dxfId="2589">
      <formula>IF($A$14,IF(CELL("protect",AE58)=0,TRUE,FALSE))</formula>
    </cfRule>
  </conditionalFormatting>
  <conditionalFormatting sqref="AE124:AV124">
    <cfRule type="expression" priority="2" dxfId="2589">
      <formula>IF($A$14,IF(CELL("protect",AE124)=0,TRUE,FALSE))</formula>
    </cfRule>
  </conditionalFormatting>
  <conditionalFormatting sqref="AE199:AV205">
    <cfRule type="expression" priority="591" dxfId="2589">
      <formula>IF($A$14,IF(CELL("protect",AE199)=0,TRUE,FALSE))</formula>
    </cfRule>
  </conditionalFormatting>
  <conditionalFormatting sqref="AJ206:AN219 AJ220:AM220 AJ221:AN221">
    <cfRule type="expression" priority="820" dxfId="2589">
      <formula>IF($A$14,IF(CELL("protect",AJ206)=0,TRUE,FALSE))</formula>
    </cfRule>
  </conditionalFormatting>
  <conditionalFormatting sqref="AL212:AL213">
    <cfRule type="expression" priority="592" dxfId="2589">
      <formula>IF($A$14,IF(CELL("protect",AL212)=0,TRUE,FALSE))</formula>
    </cfRule>
  </conditionalFormatting>
  <conditionalFormatting sqref="AN26">
    <cfRule type="expression" priority="7" dxfId="1800">
      <formula>AND($AP26&lt;&gt;"",$AP26&lt;val_asOfDate)</formula>
    </cfRule>
  </conditionalFormatting>
  <conditionalFormatting sqref="AN27:AN57 AN59:AN123 AN125:AN194">
    <cfRule type="expression" priority="127" dxfId="1799">
      <formula>AND($AP27&lt;&gt;"",$AP27&lt;val_asOfDate)</formula>
    </cfRule>
  </conditionalFormatting>
  <conditionalFormatting sqref="AN58">
    <cfRule type="expression" priority="5" dxfId="1798">
      <formula>AND($AP58&lt;&gt;"",$AP58&lt;val_asOfDate)</formula>
    </cfRule>
  </conditionalFormatting>
  <conditionalFormatting sqref="AN124">
    <cfRule type="expression" priority="1" dxfId="1798">
      <formula>AND($AP124&lt;&gt;"",$AP124&lt;val_asOfDate)</formula>
    </cfRule>
  </conditionalFormatting>
  <conditionalFormatting sqref="AN185:AN193 AE194:AQ194 AS194:AV194 AE195:AV197 AE198:AI198 AL198:AV198">
    <cfRule type="expression" priority="879" dxfId="2589">
      <formula>IF($A$14,IF(CELL("protect",AE185)=0,TRUE,FALSE))</formula>
    </cfRule>
  </conditionalFormatting>
  <conditionalFormatting sqref="AP26:AP194 AN27:AN57 AN59:AN123 AN125:AN194">
    <cfRule type="expression" priority="859" dxfId="1800">
      <formula>AND($AP26&lt;&gt;"",$AP26&lt;val_asOfDate)</formula>
    </cfRule>
  </conditionalFormatting>
  <conditionalFormatting sqref="AY3:BG5 AY6:AZ10 BA6:BG13 AY11:AY12 AY13:AZ13 AY14:BG18 B146:B147">
    <cfRule type="expression" priority="332" dxfId="4110">
      <formula>$A3="F"</formula>
    </cfRule>
    <cfRule type="expression" priority="333" dxfId="4220">
      <formula>$A3="L"</formula>
    </cfRule>
  </conditionalFormatting>
  <conditionalFormatting sqref="AZ11:AZ12 B28">
    <cfRule type="expression" priority="-29771" dxfId="4220">
      <formula>$A10="L"</formula>
    </cfRule>
  </conditionalFormatting>
  <conditionalFormatting sqref="BI3:CE18">
    <cfRule type="expression" priority="12" dxfId="4220">
      <formula>$A3="L"</formula>
    </cfRule>
    <cfRule type="expression" priority="11" dxfId="4110">
      <formula>$A3="F"</formula>
    </cfRule>
  </conditionalFormatting>
  <conditionalFormatting sqref="BM64:BY64 CA64">
    <cfRule type="expression" priority="-29000" dxfId="1789">
      <formula>#REF!="AMT"</formula>
    </cfRule>
    <cfRule type="expression" priority="-28999" dxfId="1788">
      <formula>#REF!="MDATE"</formula>
    </cfRule>
  </conditionalFormatting>
  <conditionalFormatting sqref="CB40:CE64">
    <cfRule type="expression" priority="10" dxfId="1788">
      <formula>CB$41="MDATE"</formula>
    </cfRule>
    <cfRule type="expression" priority="9" dxfId="1789">
      <formula>CB$41="AMT"</formula>
    </cfRule>
  </conditionalFormatting>
  <dataValidations count="15">
    <dataValidation allowBlank="1" showInputMessage="1" showErrorMessage="1" promptTitle="Cashflow must be dated" prompt="summarise the checks below, ensuring each cash flow has a corresponding dates for it." sqref="AQ143 AQ145"/>
    <dataValidation allowBlank="1" showInputMessage="1" showErrorMessage="1" promptTitle="Weighted Average Maturity. " prompt="Sum of Cashflow weight x Years from as of date" sqref="AO37:AO38 AN38 AO53 AO69 AO85 AO101 AO117 AN135:AO135"/>
    <dataValidation allowBlank="1" showInputMessage="1" showErrorMessage="1" promptTitle="Repay Schedule Status" prompt="Visual indication of whether repayment schedule provided is equal to the its total value. If not, please provide details." sqref="AQ160:AQ164"/>
    <dataValidation allowBlank="1" showInputMessage="1" showErrorMessage="1" promptTitle="Amount Status" prompt="Amount Total = Sum Total" sqref="AO23 AO39 AO55 AO71 AO87 AO103 AO121 AO144:AO145 AO182"/>
    <dataValidation type="decimal" operator="greaterThanOrEqual" allowBlank="1" showInputMessage="1" showErrorMessage="1" prompt="Please use positive sign despite cash out flow. " sqref="AN183">
      <formula1>0</formula1>
    </dataValidation>
    <dataValidation type="date" operator="notEqual" allowBlank="1" showInputMessage="1" showErrorMessage="1" prompt="Dec-25 (mmm-yy)" sqref="AP183">
      <formula1>DATE(1990,1,1)</formula1>
    </dataValidation>
    <dataValidation allowBlank="1" showInputMessage="1" showErrorMessage="1" promptTitle="Filtered Sum" prompt="Cash flow associated with a historical date will be removed from the sun_x000a_" sqref="AN37 AN53 AN69 AN85 AN101 AN117"/>
    <dataValidation errorStyle="warning" type="decimal" operator="greaterThanOrEqual" allowBlank="1" showInputMessage="1" showErrorMessage="1" prompt="Please use positive sign despite cash out flow. " sqref="AN26:AN36 AN42:AN52 AN58:AN68 AN74:AN84 AN90:AN100 AN106:AN116 AN124:AN134 AN147:AN157 AN166:AN175 AN184:AN194 AL203:AL204 AN205 AL210:AL213 AN214:AN215">
      <formula1>0</formula1>
    </dataValidation>
    <dataValidation type="list" allowBlank="1" showInputMessage="1" showErrorMessage="1" sqref="AP5">
      <formula1>array_displayUnit</formula1>
    </dataValidation>
    <dataValidation errorStyle="warning" type="date" operator="notEqual" allowBlank="1" showInputMessage="1" showErrorMessage="1" prompt="Dec-25 (mmm-yy)" sqref="AP26:AP36 AP42:AP52 AP58:AP68 AP74:AP84 AP90:AP100 AP106:AP116 AP124:AP134 AP147:AP157 AP184:AP194">
      <formula1>DATE(1990,1,1)</formula1>
    </dataValidation>
    <dataValidation type="list" allowBlank="1" showInputMessage="1" showErrorMessage="1" sqref="BR22">
      <formula1>$B$23:$B$25</formula1>
    </dataValidation>
    <dataValidation errorStyle="warning" type="decimal" operator="greaterThanOrEqual" allowBlank="1" showInputMessage="1" showErrorMessage="1" prompt="positive decimal only" sqref="AR166:AR175">
      <formula1>0</formula1>
    </dataValidation>
    <dataValidation type="custom" allowBlank="1" showInputMessage="1" showErrorMessage="1" sqref="AK167:AK175">
      <formula1>"Cash, RCF"</formula1>
    </dataValidation>
    <dataValidation type="list" allowBlank="1" showInputMessage="1" showErrorMessage="1" sqref="AK166">
      <formula1>"Cash, RCF"</formula1>
    </dataValidation>
    <dataValidation allowBlank="1" showInputMessage="1" showErrorMessage="1" promptTitle="DATED" prompt="CF  are dated" sqref="AQ23 AQ39 AQ55 AQ71 AQ87 AQ103 AQ121 AQ144 AQ182"/>
  </dataValidations>
  <pageMargins left="0.708661417322835" right="0.708661417322835" top="0.94488188976378" bottom="0.748031496062992" header="0.31496062992126" footer="0.31496062992126"/>
  <pageSetup fitToHeight="0" orientation="portrait" paperSize="8" r:id="rId3"/>
  <rowBreaks count="1" manualBreakCount="1">
    <brk id="137" min="30" max="46" man="1"/>
  </rowBreaks>
  <drawing r:id="rId1"/>
  <picture r:id="rId2"/>
  <extLst>
    <ext xmlns:x14="http://schemas.microsoft.com/office/spreadsheetml/2009/9/main" uri="{78C0D931-6437-407d-A8EE-F0AAD7539E65}">
      <x14:conditionalFormattings>
        <x14:conditionalFormatting xmlns:xm="http://schemas.microsoft.com/office/excel/2006/main">
          <x14:cfRule type="iconSet" priority="38" id="{D42D1F84-AA6C-4489-A266-592277673BEC}">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36" id="{1D26C4F8-98B2-459B-AF71-9394B783DE74}">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D28</xm:sqref>
        </x14:conditionalFormatting>
        <x14:conditionalFormatting xmlns:xm="http://schemas.microsoft.com/office/excel/2006/main">
          <x14:cfRule type="iconSet" priority="851" id="{56EEBA31-3F85-4A7F-A404-221200FD8636}">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42" id="{1F07294A-E4BE-4999-800F-72F4BDA7F844}">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40" id="{AA3D1067-CC37-4365-834A-DDFE95E9A7B6}">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D44</xm:sqref>
        </x14:conditionalFormatting>
        <x14:conditionalFormatting xmlns:xm="http://schemas.microsoft.com/office/excel/2006/main">
          <x14:cfRule type="iconSet" priority="849" id="{AE67E43E-5684-4D91-A692-EAB1FA3512B8}">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46" id="{881FB482-9D4D-4883-8900-0E6026C26337}">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44" id="{2B0CC520-0794-4909-83F8-3014DC766B94}">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D60</xm:sqref>
        </x14:conditionalFormatting>
        <x14:conditionalFormatting xmlns:xm="http://schemas.microsoft.com/office/excel/2006/main">
          <x14:cfRule type="iconSet" priority="847" id="{D227AFBA-89DE-4914-8AA0-84F506780DEB}">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48" id="{C769DAAB-A6CE-4D77-B734-0E5767280121}">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D76</xm:sqref>
        </x14:conditionalFormatting>
        <x14:conditionalFormatting xmlns:xm="http://schemas.microsoft.com/office/excel/2006/main">
          <x14:cfRule type="iconSet" priority="845" id="{4E20088A-7A40-4391-83B2-BFECA1071F14}">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D92</xm:sqref>
        </x14:conditionalFormatting>
        <x14:conditionalFormatting xmlns:xm="http://schemas.microsoft.com/office/excel/2006/main">
          <x14:cfRule type="iconSet" priority="843" id="{C08C0CC4-DAD9-49C7-8105-6C1D3781E6A0}">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100" id="{A17C150B-61EC-49A4-8FB2-4DB3811BC937}">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D108</xm:sqref>
        </x14:conditionalFormatting>
        <x14:conditionalFormatting xmlns:xm="http://schemas.microsoft.com/office/excel/2006/main">
          <x14:cfRule type="iconSet" priority="841" id="{9EAD48C1-B2CD-46A3-98AD-5F18AA3B61A9}">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90" id="{CC714564-FBDF-4E3E-97CE-785A221A3405}">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95" id="{63893C77-B507-4918-A353-7640476C078D}">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D126</xm:sqref>
        </x14:conditionalFormatting>
        <x14:conditionalFormatting xmlns:xm="http://schemas.microsoft.com/office/excel/2006/main">
          <x14:cfRule type="iconSet" priority="83" id="{539D6527-802D-4CB4-A6CA-C1311D016C93}">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78" id="{BB7A187C-3A8F-4980-8875-A630CF775328}">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839" id="{B29C0030-2576-4B2A-9DBD-C3EAE40E26F5}">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88" id="{CD1C0026-FB7A-4FDE-94C5-5805C53048A9}">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D149</xm:sqref>
        </x14:conditionalFormatting>
        <x14:conditionalFormatting xmlns:xm="http://schemas.microsoft.com/office/excel/2006/main">
          <x14:cfRule type="iconSet" priority="837" id="{64CBE0DD-2FF2-4E89-A083-00937CDD163A}">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74" id="{ADAB0F1A-F1AB-478B-A43C-186A53FDA060}">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76" id="{107C7E3E-268A-4632-9FFF-EC01AEC435FB}">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69" id="{215288AF-23A4-44C2-A436-991E928F91A9}">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64" id="{D8E8567E-0CAD-4FC6-836C-62BD8487F975}">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D168</xm:sqref>
        </x14:conditionalFormatting>
        <x14:conditionalFormatting xmlns:xm="http://schemas.microsoft.com/office/excel/2006/main">
          <x14:cfRule type="iconSet" priority="50" id="{528A7425-0268-49A7-8BF1-050540E1D562}">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835" id="{263C9F78-5852-4BAC-9232-DCF77CD650FA}">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62" id="{053B346F-D85B-46AC-993E-18E035CD7740}">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60" id="{E88D456B-049C-47FF-8036-1ACE93638FF4}">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55" id="{185EE851-79FD-4977-887F-56174E34B94D}">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D186</xm:sqref>
        </x14:conditionalFormatting>
        <x14:conditionalFormatting xmlns:xm="http://schemas.microsoft.com/office/excel/2006/main">
          <x14:cfRule type="iconSet" priority="870" id="{06143F88-D6F5-49BC-AB00-B73D93DA455A}">
            <x14:iconSet iconSet="3Arrows" custom="1" showValue="0">
              <x14:cfvo type="percent">
                <xm:f>0</xm:f>
              </x14:cfvo>
              <x14:cfvo type="num">
                <xm:f>0</xm:f>
              </x14:cfvo>
              <x14:cfvo type="num">
                <xm:f>1</xm:f>
              </x14:cfvo>
              <x14:cfIcon iconSet="NoIcons" iconId="0"/>
              <x14:cfIcon iconSet="NoIcons" iconId="0"/>
              <x14:cfIcon iconSet="3Arrows" iconId="1"/>
            </x14:iconSet>
            <x14:dxf/>
          </x14:cfRule>
          <xm:sqref>Z11:Z12</xm:sqref>
        </x14:conditionalFormatting>
        <x14:conditionalFormatting xmlns:xm="http://schemas.microsoft.com/office/excel/2006/main">
          <x14:cfRule type="iconSet" priority="869" id="{65058A27-CB6F-4D6D-B321-19CCEAE8EBD0}">
            <x14:iconSet iconSet="3Arrows" custom="1" showValue="0">
              <x14:cfvo type="percent">
                <xm:f>0</xm:f>
              </x14:cfvo>
              <x14:cfvo type="num">
                <xm:f>0</xm:f>
              </x14:cfvo>
              <x14:cfvo type="num">
                <xm:f>1</xm:f>
              </x14:cfvo>
              <x14:cfIcon iconSet="NoIcons" iconId="0"/>
              <x14:cfIcon iconSet="NoIcons" iconId="0"/>
              <x14:cfIcon iconSet="3Arrows" iconId="1"/>
            </x14:iconSet>
            <x14:dxf/>
          </x14:cfRule>
          <xm:sqref>Z22 Z42</xm:sqref>
        </x14:conditionalFormatting>
        <x14:conditionalFormatting xmlns:xm="http://schemas.microsoft.com/office/excel/2006/main">
          <x14:cfRule type="iconSet" priority="868" id="{AB3B6A5B-6563-448D-97C6-1727C1AC55E0}">
            <x14:iconSet iconSet="3Arrows" custom="1" showValue="0">
              <x14:cfvo type="percent">
                <xm:f>0</xm:f>
              </x14:cfvo>
              <x14:cfvo type="num">
                <xm:f>0</xm:f>
              </x14:cfvo>
              <x14:cfvo type="num">
                <xm:f>1</xm:f>
              </x14:cfvo>
              <x14:cfIcon iconSet="NoIcons" iconId="0"/>
              <x14:cfIcon iconSet="NoIcons" iconId="0"/>
              <x14:cfIcon iconSet="3Arrows" iconId="1"/>
            </x14:iconSet>
            <x14:dxf/>
          </x14:cfRule>
          <xm:sqref>Z63 Z73</xm:sqref>
        </x14:conditionalFormatting>
        <x14:conditionalFormatting xmlns:xm="http://schemas.microsoft.com/office/excel/2006/main">
          <x14:cfRule type="iconSet" priority="-29013" id="{61FC62E2-DB31-4F7E-9887-769D8ADFDA01}">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AM143:AM145</xm:sqref>
        </x14:conditionalFormatting>
        <x14:conditionalFormatting xmlns:xm="http://schemas.microsoft.com/office/excel/2006/main">
          <x14:cfRule type="iconSet" priority="875" id="{B36696E9-D1B7-4FB3-A2CD-3BD18FC5B8EC}">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AM147:AM153</xm:sqref>
        </x14:conditionalFormatting>
        <x14:conditionalFormatting xmlns:xm="http://schemas.microsoft.com/office/excel/2006/main">
          <x14:cfRule type="iconSet" priority="872" id="{B91846BB-986F-4096-A0D3-003C0E4B0138}">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AM154:AM156</xm:sqref>
        </x14:conditionalFormatting>
        <x14:conditionalFormatting xmlns:xm="http://schemas.microsoft.com/office/excel/2006/main">
          <x14:cfRule type="iconSet" priority="877" id="{62CC23FE-5821-444E-9519-10F715F91EBD}">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AM160</xm:sqref>
        </x14:conditionalFormatting>
        <x14:conditionalFormatting xmlns:xm="http://schemas.microsoft.com/office/excel/2006/main">
          <x14:cfRule type="iconSet" priority="876" id="{1D581A8F-E400-42D0-B308-50135237794A}">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AM161:AM163</xm:sqref>
        </x14:conditionalFormatting>
        <x14:conditionalFormatting xmlns:xm="http://schemas.microsoft.com/office/excel/2006/main">
          <x14:cfRule type="iconSet" priority="871" id="{18B4C236-985C-404B-BC9D-D9D306DD1A04}">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AM166:AM175</xm:sqref>
        </x14:conditionalFormatting>
        <x14:conditionalFormatting xmlns:xm="http://schemas.microsoft.com/office/excel/2006/main">
          <x14:cfRule type="iconSet" priority="874" id="{635703ED-84EB-4874-9C91-18A84C22A4B6}">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AM182</xm:sqref>
        </x14:conditionalFormatting>
        <x14:conditionalFormatting xmlns:xm="http://schemas.microsoft.com/office/excel/2006/main">
          <x14:cfRule type="iconSet" priority="824" id="{E09AEA71-B7C8-4109-B792-E1FD85B53106}">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AM205</xm:sqref>
        </x14:conditionalFormatting>
        <x14:conditionalFormatting xmlns:xm="http://schemas.microsoft.com/office/excel/2006/main">
          <x14:cfRule type="iconSet" priority="895" id="{4EA23D3B-42B5-4A8F-9EDC-AC70AB2C699B}">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AM208 AM210:AM214 AN210:AN213</xm:sqref>
        </x14:conditionalFormatting>
        <x14:conditionalFormatting xmlns:xm="http://schemas.microsoft.com/office/excel/2006/main">
          <x14:cfRule type="iconSet" priority="830" id="{99D614DE-3A91-4689-97E8-D0941D9AE268}">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AM215</xm:sqref>
        </x14:conditionalFormatting>
        <x14:conditionalFormatting xmlns:xm="http://schemas.microsoft.com/office/excel/2006/main">
          <x14:cfRule type="iconSet" priority="821" id="{04F3B477-5A1C-4075-83FB-CAB756833236}">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AM218</xm:sqref>
        </x14:conditionalFormatting>
        <x14:conditionalFormatting xmlns:xm="http://schemas.microsoft.com/office/excel/2006/main">
          <x14:cfRule type="iconSet" priority="866" id="{F0F3C7D7-3673-44FE-9F14-270FD1AE5BCB}">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AO23</xm:sqref>
        </x14:conditionalFormatting>
        <x14:conditionalFormatting xmlns:xm="http://schemas.microsoft.com/office/excel/2006/main">
          <x14:cfRule type="iconSet" priority="125" id="{5FEE4BCA-BB66-4C23-9B6A-77775C7D810F}">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865" id="{A9DD488C-E79E-4BD5-8105-E108F1F3EBF6}">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AO39</xm:sqref>
        </x14:conditionalFormatting>
        <x14:conditionalFormatting xmlns:xm="http://schemas.microsoft.com/office/excel/2006/main">
          <x14:cfRule type="iconSet" priority="124" id="{29AEA115-E7E1-4BBA-83E7-8B4414C9434C}">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864" id="{1CF9743C-B0B4-408F-90C6-92CC62132AF7}">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AO55</xm:sqref>
        </x14:conditionalFormatting>
        <x14:conditionalFormatting xmlns:xm="http://schemas.microsoft.com/office/excel/2006/main">
          <x14:cfRule type="iconSet" priority="123" id="{06EEC5A0-6FF4-4836-A2DD-311988760D1B}">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863" id="{E060F9C3-2098-4FBA-A483-EEBD7F03D2FF}">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AO71</xm:sqref>
        </x14:conditionalFormatting>
        <x14:conditionalFormatting xmlns:xm="http://schemas.microsoft.com/office/excel/2006/main">
          <x14:cfRule type="iconSet" priority="122" id="{43F3DF7E-3FC9-43ED-A934-F1C033DE6FB1}">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862" id="{45D32CC5-2287-43AB-BF90-6BC226AEC789}">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AO87</xm:sqref>
        </x14:conditionalFormatting>
        <x14:conditionalFormatting xmlns:xm="http://schemas.microsoft.com/office/excel/2006/main">
          <x14:cfRule type="iconSet" priority="121" id="{7208D2D9-5DFD-443A-9F6F-BEAFDAEFDF93}">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861" id="{DC537133-28FD-473F-AA6E-6E760E0549AD}">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AO103</xm:sqref>
        </x14:conditionalFormatting>
        <x14:conditionalFormatting xmlns:xm="http://schemas.microsoft.com/office/excel/2006/main">
          <x14:cfRule type="iconSet" priority="860" id="{BE11B788-2435-48BF-99F1-3B1C61D09306}">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120" id="{4125D747-3A92-4EAE-9C4A-B051E7715787}">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AO121</xm:sqref>
        </x14:conditionalFormatting>
        <x14:conditionalFormatting xmlns:xm="http://schemas.microsoft.com/office/excel/2006/main">
          <x14:cfRule type="iconSet" priority="119" id="{33F16DF6-9FBC-491C-A268-F2B0BDCADD4F}">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AO143</xm:sqref>
        </x14:conditionalFormatting>
        <x14:conditionalFormatting xmlns:xm="http://schemas.microsoft.com/office/excel/2006/main">
          <x14:cfRule type="iconSet" priority="-29005" id="{E0A18566-6BAA-437C-AF09-E45A880F3FC4}">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AO143:AO145</xm:sqref>
        </x14:conditionalFormatting>
        <x14:conditionalFormatting xmlns:xm="http://schemas.microsoft.com/office/excel/2006/main">
          <x14:cfRule type="iconSet" priority="118" id="{4A8F9EE7-12B4-4B8A-9DC4-171B41E9D0FC}">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117" id="{0D1D901C-8B03-4CE5-845B-CB2E9A2C8315}">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AO144</xm:sqref>
        </x14:conditionalFormatting>
        <x14:conditionalFormatting xmlns:xm="http://schemas.microsoft.com/office/excel/2006/main">
          <x14:cfRule type="iconSet" priority="116" id="{D760B6C8-FEE5-4379-ACDB-368C6B6DA0B8}">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114" id="{6CA4A89D-FEC6-41E8-8B6A-86CEBF1D2008}">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115" id="{D809CC7C-ABA1-4072-8745-3BB556F1CA8D}">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AO182</xm:sqref>
        </x14:conditionalFormatting>
        <x14:conditionalFormatting xmlns:xm="http://schemas.microsoft.com/office/excel/2006/main">
          <x14:cfRule type="iconSet" priority="873" id="{18D1B11B-42B3-416C-BB51-3CCAB4AD00BC}">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AP182</xm:sqref>
        </x14:conditionalFormatting>
        <x14:conditionalFormatting xmlns:xm="http://schemas.microsoft.com/office/excel/2006/main">
          <x14:cfRule type="iconSet" priority="126" id="{1FA291FC-966B-4F8D-B28B-2ACC24C73340}">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AQ23</xm:sqref>
        </x14:conditionalFormatting>
        <x14:conditionalFormatting xmlns:xm="http://schemas.microsoft.com/office/excel/2006/main">
          <x14:cfRule type="iconSet" priority="113" id="{2BA7A604-FA3E-4EFD-971F-142363FBF9A9}">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AQ39</xm:sqref>
        </x14:conditionalFormatting>
        <x14:conditionalFormatting xmlns:xm="http://schemas.microsoft.com/office/excel/2006/main">
          <x14:cfRule type="iconSet" priority="112" id="{4BE33A7A-E9E7-48A8-8E96-C50876708A6A}">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AQ55</xm:sqref>
        </x14:conditionalFormatting>
        <x14:conditionalFormatting xmlns:xm="http://schemas.microsoft.com/office/excel/2006/main">
          <x14:cfRule type="iconSet" priority="111" id="{068D13AC-3224-4F40-A79B-E9BD3D4EB0D7}">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AQ71</xm:sqref>
        </x14:conditionalFormatting>
        <x14:conditionalFormatting xmlns:xm="http://schemas.microsoft.com/office/excel/2006/main">
          <x14:cfRule type="iconSet" priority="110" id="{01E22F70-17FA-4D74-BFE9-F604B92B860D}">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AQ87</xm:sqref>
        </x14:conditionalFormatting>
        <x14:conditionalFormatting xmlns:xm="http://schemas.microsoft.com/office/excel/2006/main">
          <x14:cfRule type="iconSet" priority="109" id="{5BB86E23-18D5-48C3-B783-6AC056EC9917}">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AQ103</xm:sqref>
        </x14:conditionalFormatting>
        <x14:conditionalFormatting xmlns:xm="http://schemas.microsoft.com/office/excel/2006/main">
          <x14:cfRule type="iconSet" priority="108" id="{AD5ED01B-D3D1-463B-B4BD-54465F1E0C76}">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AQ121</xm:sqref>
        </x14:conditionalFormatting>
        <x14:conditionalFormatting xmlns:xm="http://schemas.microsoft.com/office/excel/2006/main">
          <x14:cfRule type="iconSet" priority="107" id="{AEC3ACEA-436C-46DD-A81F-7E223B05E619}">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AQ144</xm:sqref>
        </x14:conditionalFormatting>
        <x14:conditionalFormatting xmlns:xm="http://schemas.microsoft.com/office/excel/2006/main">
          <x14:cfRule type="iconSet" priority="106" id="{61242F58-14B7-4382-9C58-40099749AEE5}">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AQ182</xm:sqref>
        </x14:conditionalFormatting>
        <x14:conditionalFormatting xmlns:xm="http://schemas.microsoft.com/office/excel/2006/main">
          <x14:cfRule type="iconSet" priority="882" id="{0CB9E95E-FE59-417C-98E3-E310E905822F}">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AV24</xm:sqref>
        </x14:conditionalFormatting>
        <x14:conditionalFormatting xmlns:xm="http://schemas.microsoft.com/office/excel/2006/main">
          <x14:cfRule type="iconSet" priority="883" id="{282E77D1-AE46-4AB3-AE36-7692D559653B}">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AV40</xm:sqref>
        </x14:conditionalFormatting>
        <x14:conditionalFormatting xmlns:xm="http://schemas.microsoft.com/office/excel/2006/main">
          <x14:cfRule type="iconSet" priority="884" id="{985B030C-CB62-4A33-A4E8-46D82DA6D26C}">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AV56</xm:sqref>
        </x14:conditionalFormatting>
        <x14:conditionalFormatting xmlns:xm="http://schemas.microsoft.com/office/excel/2006/main">
          <x14:cfRule type="iconSet" priority="885" id="{9B5B4B72-E99C-42AF-90E6-8809B19BB0C5}">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AV72</xm:sqref>
        </x14:conditionalFormatting>
        <x14:conditionalFormatting xmlns:xm="http://schemas.microsoft.com/office/excel/2006/main">
          <x14:cfRule type="iconSet" priority="886" id="{3E1E965A-2345-4AEF-BA8A-DFBD627518F2}">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AV88</xm:sqref>
        </x14:conditionalFormatting>
        <x14:conditionalFormatting xmlns:xm="http://schemas.microsoft.com/office/excel/2006/main">
          <x14:cfRule type="iconSet" priority="887" id="{32FB700D-7B00-4855-B487-0034E0E67204}">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AV104</xm:sqref>
        </x14:conditionalFormatting>
        <x14:conditionalFormatting xmlns:xm="http://schemas.microsoft.com/office/excel/2006/main">
          <x14:cfRule type="iconSet" priority="888" id="{CAAF71E4-FB84-4111-94E5-9BA1A9BCE89D}">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AV122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2B5D24-3A66-423F-8C40-24BAD8CF3AB4}">
  <sheetPr codeName="Sheet19">
    <tabColor rgb="FF92D050"/>
  </sheetPr>
  <dimension ref="A1:BO239"/>
  <sheetViews>
    <sheetView zoomScale="55" zoomScaleNormal="55" workbookViewId="0" topLeftCell="AH2">
      <selection pane="topLeft" activeCell="AL211" sqref="AL211"/>
    </sheetView>
  </sheetViews>
  <sheetFormatPr defaultColWidth="8.76777777777778" defaultRowHeight="15.5" outlineLevelRow="1" outlineLevelCol="3"/>
  <cols>
    <col min="1" max="1" width="22.4444444444444" customWidth="1" outlineLevel="2"/>
    <col min="2" max="2" width="36.1111111111111" customWidth="1" outlineLevel="2"/>
    <col min="3" max="3" width="14.8888888888889" customWidth="1" outlineLevel="2"/>
    <col min="4" max="5" width="11.5555555555556" customWidth="1" outlineLevel="2"/>
    <col min="6" max="6" width="2.44444444444444" hidden="1" customWidth="1" outlineLevel="1"/>
    <col min="7" max="7" width="2.77777777777778" customWidth="1" outlineLevel="1"/>
    <col min="8" max="8" width="2.66666666666667" customWidth="1" outlineLevel="1"/>
    <col min="9" max="9" width="3.77777777777778" customWidth="1"/>
    <col min="10" max="10" width="2.22222222222222" hidden="1" customWidth="1" outlineLevel="1"/>
    <col min="11" max="12" width="2.66666666666667" hidden="1" customWidth="1" outlineLevel="1"/>
    <col min="13" max="13" width="2.22222222222222" hidden="1" customWidth="1" outlineLevel="1"/>
    <col min="14" max="14" width="39.6666666666667" hidden="1" customWidth="1" outlineLevel="1"/>
    <col min="15" max="15" width="61.5555555555556" hidden="1" customWidth="1" outlineLevel="1"/>
    <col min="16" max="16" width="1.33333333333333" hidden="1" customWidth="1" outlineLevel="1"/>
    <col min="17" max="17" width="1.33333333333333" customWidth="1" collapsed="1"/>
    <col min="18" max="18" width="5.66666666666667" customWidth="1"/>
    <col min="19" max="19" width="3.77777777777778" customWidth="1"/>
    <col min="20" max="20" width="1.11111111111111" customWidth="1"/>
    <col min="21" max="21" width="2.88888888888889" customWidth="1"/>
    <col min="22" max="22" width="4.22222222222222" customWidth="1"/>
    <col min="23" max="23" width="4" customWidth="1"/>
    <col min="24" max="24" width="16.2222222222222" customWidth="1"/>
    <col min="25" max="25" width="15.2222222222222" customWidth="1"/>
    <col min="26" max="26" width="21.4444444444444" customWidth="1"/>
    <col min="27" max="27" width="16.2222222222222" customWidth="1"/>
    <col min="28" max="28" width="3.66666666666667" customWidth="1"/>
    <col min="29" max="29" width="16.2222222222222" customWidth="1"/>
    <col min="30" max="30" width="17.6666666666667" customWidth="1"/>
    <col min="31" max="31" width="16.2222222222222" customWidth="1"/>
    <col min="32" max="32" width="2.44444444444444" customWidth="1"/>
    <col min="33" max="33" width="21.2222222222222" customWidth="1"/>
    <col min="34" max="35" width="18.7777777777778" customWidth="1"/>
    <col min="36" max="36" width="3.55555555555556" customWidth="1"/>
    <col min="37" max="37" width="9.55555555555556" customWidth="1"/>
    <col min="38" max="38" width="2" customWidth="1"/>
    <col min="39" max="39" width="12.4444444444444" customWidth="1" outlineLevel="2"/>
    <col min="40" max="41" width="12.8888888888889" customWidth="1" outlineLevel="2"/>
    <col min="42" max="44" width="10.8888888888889" customWidth="1" outlineLevel="2"/>
    <col min="45" max="45" width="12.4444444444444" customWidth="1" outlineLevel="2"/>
    <col min="46" max="46" width="18" customWidth="1" outlineLevel="2"/>
    <col min="47" max="52" width="13.2222222222222" customWidth="1" outlineLevel="2"/>
    <col min="53" max="53" width="13.2222222222222" customWidth="1" outlineLevel="1"/>
    <col min="54" max="54" width="13.2222222222222" customWidth="1" outlineLevel="2"/>
    <col min="55" max="55" width="8.22222222222222" bestFit="1" customWidth="1" outlineLevel="2"/>
    <col min="56" max="56" width="12.2222222222222" bestFit="1" customWidth="1" outlineLevel="2"/>
    <col min="57" max="57" width="8.22222222222222" customWidth="1" outlineLevel="2"/>
    <col min="58" max="58" width="14.1111111111111" customWidth="1" outlineLevel="3"/>
    <col min="59" max="59" width="35.8888888888889" customWidth="1" outlineLevel="2"/>
    <col min="60" max="60" width="41.5555555555556" customWidth="1" outlineLevel="3"/>
    <col min="61" max="61" width="49.6666666666667" style="537" customWidth="1" outlineLevel="2"/>
    <col min="62" max="62" width="15.3333333333333" customWidth="1" outlineLevel="2"/>
    <col min="63" max="67" width="8.77777777777778" outlineLevel="1"/>
    <col min="73" max="16384" width="8.77777777777778" outlineLevel="1"/>
  </cols>
  <sheetData>
    <row r="1" spans="1:9" ht="15.5" hidden="1" outlineLevel="1">
      <c r="A1" t="s">
        <v>1857</v>
      </c>
      <c r="B1" t="s">
        <v>1856</v>
      </c>
      <c r="G1" s="211"/>
      <c r="I1" s="115"/>
    </row>
    <row r="2" spans="1:37" ht="28.5" customHeight="1" collapsed="1">
      <c r="A2" s="59" t="s">
        <v>96</v>
      </c>
      <c r="B2" s="59"/>
      <c r="C2" s="59"/>
      <c r="D2" s="59"/>
      <c r="E2" s="59"/>
      <c r="G2" s="45"/>
      <c r="I2" s="2045"/>
      <c r="J2" s="15"/>
      <c r="K2" s="15"/>
      <c r="L2" s="15"/>
      <c r="M2" s="15"/>
      <c r="N2" s="15"/>
      <c r="O2" s="152"/>
      <c r="P2" s="38"/>
      <c r="R2" s="68"/>
      <c r="S2" s="69"/>
      <c r="T2" s="69"/>
      <c r="U2" s="69"/>
      <c r="V2" s="69"/>
      <c r="W2" s="78"/>
      <c r="X2" s="78"/>
      <c r="Y2" s="78"/>
      <c r="Z2" s="70"/>
      <c r="AA2" s="70"/>
      <c r="AB2" s="70"/>
      <c r="AC2" s="70"/>
      <c r="AD2" s="70"/>
      <c r="AE2" s="70"/>
      <c r="AF2" s="70"/>
      <c r="AG2" s="71"/>
      <c r="AH2" s="71"/>
      <c r="AI2" s="71"/>
      <c r="AJ2" s="71"/>
      <c r="AK2" s="1100"/>
    </row>
    <row r="3" spans="1:37" ht="25">
      <c r="A3" s="59" t="s">
        <v>438</v>
      </c>
      <c r="B3" s="59"/>
      <c r="C3" s="59"/>
      <c r="D3" s="59"/>
      <c r="E3" s="59"/>
      <c r="G3" s="45"/>
      <c r="I3" s="3086" t="s">
        <v>23</v>
      </c>
      <c r="J3" s="16"/>
      <c r="K3" s="101"/>
      <c r="L3" s="101"/>
      <c r="M3" s="101"/>
      <c r="N3" s="101"/>
      <c r="O3" s="1147"/>
      <c r="P3" s="39"/>
      <c r="R3" s="72"/>
      <c r="S3" s="316"/>
      <c r="T3" s="316"/>
      <c r="U3" s="316"/>
      <c r="V3" s="316"/>
      <c r="W3" s="138"/>
      <c r="X3" s="138"/>
      <c r="Y3" s="138"/>
      <c r="Z3" s="303"/>
      <c r="AA3" s="303"/>
      <c r="AB3" s="303"/>
      <c r="AC3" s="303"/>
      <c r="AD3" s="303"/>
      <c r="AE3" s="1116" t="s">
        <v>1881</v>
      </c>
      <c r="AF3" s="1116"/>
      <c r="AG3" s="1116" t="s">
        <v>27</v>
      </c>
      <c r="AH3" s="369" t="s">
        <v>31</v>
      </c>
      <c r="AI3" s="369" t="s">
        <v>235</v>
      </c>
      <c r="AJ3" s="101"/>
      <c r="AK3" s="39"/>
    </row>
    <row r="4" spans="1:37" ht="50.25" customHeight="1">
      <c r="A4" s="1849" t="b">
        <v>0</v>
      </c>
      <c r="B4" s="1848" t="s">
        <v>66</v>
      </c>
      <c r="C4" s="59"/>
      <c r="D4" s="59"/>
      <c r="E4" s="59"/>
      <c r="G4" s="45"/>
      <c r="I4" s="3086"/>
      <c r="J4" s="3126" t="e" vm="2" cm="1">
        <f t="array" ref="J4">IF(LEFT($A$1,3)="unp",icon_unlock,icon_lock)</f>
        <v>#VALUE!</v>
      </c>
      <c r="K4" s="3008"/>
      <c r="L4" s="3008"/>
      <c r="M4" s="153"/>
      <c r="N4" s="153" t="e" vm="3">
        <v>#VALUE!</v>
      </c>
      <c r="O4" s="153"/>
      <c r="P4" s="39"/>
      <c r="R4" s="72"/>
      <c r="S4" s="316"/>
      <c r="T4" s="316"/>
      <c r="U4" s="316"/>
      <c r="V4" s="316"/>
      <c r="W4" s="169" t="s">
        <v>439</v>
      </c>
      <c r="X4" s="302"/>
      <c r="Y4" s="302"/>
      <c r="Z4" s="318"/>
      <c r="AA4" s="318"/>
      <c r="AB4" s="318"/>
      <c r="AC4" s="318"/>
      <c r="AD4" s="318"/>
      <c r="AE4" s="1457" t="e" cm="1">
        <f t="array" ca="1" aca="1" ref="AE4">_xlfn.TEXTJOIN(", ",TRUE,_xlfn._xlws.FILTER(_xldudf_CX_GETTEXTARRAY(CX_ENTITY,"funds:display_name"),_xldudf_CX_GETTEXTARRAY(CX_ENTITY,"funds:display_name")&lt;&gt;"* CVC Capital"))</f>
        <v>#NAME?</v>
      </c>
      <c r="AF4" s="1459"/>
      <c r="AG4" s="1457">
        <f>val_asOfDate</f>
        <v>46022</v>
      </c>
      <c r="AH4" s="1458" t="e">
        <f ca="1">val_reportingCurrency</f>
        <v>#NAME?</v>
      </c>
      <c r="AI4" s="370" t="str">
        <f>val_displayUnit</f>
        <v>Millions</v>
      </c>
      <c r="AJ4" s="101"/>
      <c r="AK4" s="39"/>
    </row>
    <row r="5" spans="1:37" ht="35">
      <c r="A5" s="59"/>
      <c r="B5" s="59"/>
      <c r="C5" s="59"/>
      <c r="D5" s="59"/>
      <c r="E5" s="59"/>
      <c r="G5" s="45"/>
      <c r="I5" s="3086"/>
      <c r="J5" s="16"/>
      <c r="K5" s="153"/>
      <c r="L5" s="101"/>
      <c r="M5" s="153"/>
      <c r="N5" s="3005" t="s">
        <v>25</v>
      </c>
      <c r="O5" s="3005"/>
      <c r="P5" s="39"/>
      <c r="R5" s="73"/>
      <c r="S5" s="74"/>
      <c r="T5" s="74"/>
      <c r="U5" s="74"/>
      <c r="V5" s="74"/>
      <c r="W5" s="79"/>
      <c r="X5" s="79"/>
      <c r="Y5" s="79"/>
      <c r="Z5" s="75"/>
      <c r="AA5" s="75"/>
      <c r="AB5" s="75"/>
      <c r="AC5" s="75"/>
      <c r="AD5" s="75"/>
      <c r="AE5" s="75"/>
      <c r="AF5" s="75"/>
      <c r="AG5" s="76"/>
      <c r="AH5" s="76"/>
      <c r="AI5" s="76"/>
      <c r="AJ5" s="76"/>
      <c r="AK5" s="1101"/>
    </row>
    <row r="6" spans="1:37" ht="6" customHeight="1">
      <c r="A6" s="59"/>
      <c r="B6" s="59"/>
      <c r="C6" s="59"/>
      <c r="D6" s="59"/>
      <c r="E6" s="59"/>
      <c r="G6" s="45"/>
      <c r="I6" s="3086"/>
      <c r="J6" s="16"/>
      <c r="K6" s="153"/>
      <c r="L6" s="153"/>
      <c r="M6" s="153"/>
      <c r="N6" s="3005"/>
      <c r="O6" s="3005"/>
      <c r="P6" s="39"/>
      <c r="R6" s="265"/>
      <c r="S6" s="319"/>
      <c r="T6" s="319"/>
      <c r="U6" s="320"/>
      <c r="V6" s="320"/>
      <c r="W6" s="141"/>
      <c r="X6" s="141"/>
      <c r="Y6" s="141"/>
      <c r="Z6" s="304"/>
      <c r="AA6" s="304"/>
      <c r="AB6" s="304"/>
      <c r="AC6" s="304"/>
      <c r="AD6" s="304"/>
      <c r="AE6" s="304"/>
      <c r="AF6" s="304"/>
      <c r="AG6" s="321"/>
      <c r="AH6" s="321"/>
      <c r="AI6" s="321"/>
      <c r="AJ6" s="321"/>
      <c r="AK6" s="1087"/>
    </row>
    <row r="7" spans="1:37" ht="2.25" customHeight="1">
      <c r="A7" s="59"/>
      <c r="B7" s="77"/>
      <c r="C7" s="77"/>
      <c r="D7" s="59"/>
      <c r="E7" s="59"/>
      <c r="G7" s="45"/>
      <c r="I7" s="3086"/>
      <c r="J7" s="16"/>
      <c r="K7" s="101"/>
      <c r="L7" s="101"/>
      <c r="M7" s="126"/>
      <c r="N7" s="101"/>
      <c r="O7" s="101"/>
      <c r="P7" s="39"/>
      <c r="R7" s="265"/>
      <c r="S7" s="319"/>
      <c r="T7" s="319"/>
      <c r="U7" s="319"/>
      <c r="V7" s="319"/>
      <c r="W7" s="141"/>
      <c r="X7" s="141"/>
      <c r="Y7" s="141"/>
      <c r="Z7" s="304"/>
      <c r="AA7" s="304"/>
      <c r="AB7" s="304"/>
      <c r="AC7" s="304"/>
      <c r="AD7" s="304"/>
      <c r="AE7" s="304"/>
      <c r="AF7" s="304"/>
      <c r="AG7" s="321"/>
      <c r="AH7" s="321"/>
      <c r="AI7" s="321"/>
      <c r="AJ7" s="321"/>
      <c r="AK7" s="1088"/>
    </row>
    <row r="8" spans="1:37" ht="21" customHeight="1">
      <c r="A8" s="1122" t="s">
        <v>430</v>
      </c>
      <c r="B8" s="1122">
        <f>_xlfn.XLOOKUP(AI4,tbl_displayUnit[UnitName],tbl_displayUnit[Number])</f>
        <v>1000000</v>
      </c>
      <c r="C8" s="1123"/>
      <c r="D8" s="1122"/>
      <c r="E8" s="1122"/>
      <c r="G8" s="45"/>
      <c r="I8" s="3086"/>
      <c r="J8" s="16"/>
      <c r="K8" s="101"/>
      <c r="L8" s="101"/>
      <c r="M8" s="126"/>
      <c r="N8" s="101"/>
      <c r="O8" s="101"/>
      <c r="P8" s="39"/>
      <c r="R8" s="265"/>
      <c r="S8" s="319"/>
      <c r="T8" s="319"/>
      <c r="U8" s="319"/>
      <c r="V8" s="319"/>
      <c r="W8" s="141"/>
      <c r="X8" s="141"/>
      <c r="Y8" s="141"/>
      <c r="Z8" s="304"/>
      <c r="AA8" s="304"/>
      <c r="AB8" s="304"/>
      <c r="AC8" s="304"/>
      <c r="AD8" s="304"/>
      <c r="AE8" s="304"/>
      <c r="AF8" s="304"/>
      <c r="AG8" s="321"/>
      <c r="AH8" s="321"/>
      <c r="AI8" s="321"/>
      <c r="AJ8" s="321"/>
      <c r="AK8" s="1087"/>
    </row>
    <row r="9" spans="1:37" ht="31.5" customHeight="1">
      <c r="A9" s="59"/>
      <c r="B9" s="59"/>
      <c r="C9" s="77"/>
      <c r="D9" s="77"/>
      <c r="E9" s="59"/>
      <c r="G9" s="45"/>
      <c r="I9" s="3086"/>
      <c r="J9" s="16"/>
      <c r="K9" s="151"/>
      <c r="L9" s="151"/>
      <c r="M9" s="101"/>
      <c r="N9" s="289"/>
      <c r="O9" s="289"/>
      <c r="P9" s="39"/>
      <c r="R9" s="265"/>
      <c r="S9" s="322"/>
      <c r="T9" s="322"/>
      <c r="U9" s="323"/>
      <c r="V9" s="323"/>
      <c r="W9" s="23" t="s">
        <v>440</v>
      </c>
      <c r="X9" s="23"/>
      <c r="Y9" s="23"/>
      <c r="Z9" s="23"/>
      <c r="AA9" s="23"/>
      <c r="AB9" s="23"/>
      <c r="AC9" s="23"/>
      <c r="AD9" s="23"/>
      <c r="AE9" s="23"/>
      <c r="AF9" s="23"/>
      <c r="AG9" s="23"/>
      <c r="AH9" s="23"/>
      <c r="AI9" s="23"/>
      <c r="AJ9" s="23"/>
      <c r="AK9" s="1089"/>
    </row>
    <row r="10" spans="1:37" ht="15" customHeight="1">
      <c r="A10" s="1825"/>
      <c r="B10" s="1826" cm="1">
        <f t="array" ref="B10:E10">INDEX(_PL!BK11:BN11,_xlfn.SEQUENCE(1,COLUMNS(_PL!BK11:BN11),COLUMNS(_PL!BK11:BN11),-1))</f>
        <v>46022</v>
      </c>
      <c r="C10" s="1826">
        <v>45991</v>
      </c>
      <c r="D10" s="1826">
        <v>45961</v>
      </c>
      <c r="E10" s="1826">
        <v>45930</v>
      </c>
      <c r="G10" s="45"/>
      <c r="I10" s="2043"/>
      <c r="J10" s="16"/>
      <c r="K10" s="101"/>
      <c r="L10" s="101"/>
      <c r="M10" s="140"/>
      <c r="N10" s="140"/>
      <c r="O10" s="140"/>
      <c r="P10" s="39"/>
      <c r="R10" s="265"/>
      <c r="S10" s="342"/>
      <c r="T10" s="342"/>
      <c r="U10" s="323"/>
      <c r="V10" s="323"/>
      <c r="W10" s="343" t="e">
        <f ca="1">val_reportingCurrency&amp;" in "&amp;$AI$4</f>
        <v>#NAME?</v>
      </c>
      <c r="X10" s="343"/>
      <c r="Y10" s="343"/>
      <c r="Z10" s="344"/>
      <c r="AA10" s="344"/>
      <c r="AB10" s="344"/>
      <c r="AC10" s="344"/>
      <c r="AD10" s="344"/>
      <c r="AE10" s="344"/>
      <c r="AF10" s="344"/>
      <c r="AG10" s="330"/>
      <c r="AH10" s="330"/>
      <c r="AI10" s="330"/>
      <c r="AJ10" s="330"/>
      <c r="AK10" s="1090"/>
    </row>
    <row r="11" spans="1:37" ht="15.75" customHeight="1">
      <c r="A11" s="77"/>
      <c r="B11" s="1822"/>
      <c r="C11" s="1822"/>
      <c r="D11" s="1822"/>
      <c r="E11" s="1822"/>
      <c r="G11" s="45"/>
      <c r="I11" s="2043"/>
      <c r="J11" s="16"/>
      <c r="K11" s="52"/>
      <c r="L11" s="101"/>
      <c r="M11" s="140"/>
      <c r="N11" s="140"/>
      <c r="O11" s="140"/>
      <c r="P11" s="39"/>
      <c r="R11" s="265"/>
      <c r="S11" s="342"/>
      <c r="T11" s="342"/>
      <c r="U11" s="323"/>
      <c r="V11" s="323"/>
      <c r="W11" s="345"/>
      <c r="X11" s="345"/>
      <c r="Y11" s="345"/>
      <c r="Z11" s="345"/>
      <c r="AA11" s="345"/>
      <c r="AB11" s="345"/>
      <c r="AC11" s="345"/>
      <c r="AD11" s="345"/>
      <c r="AE11" s="345"/>
      <c r="AF11" s="345"/>
      <c r="AG11" s="339"/>
      <c r="AH11" s="339"/>
      <c r="AI11" s="346"/>
      <c r="AJ11" s="339"/>
      <c r="AK11" s="1091"/>
    </row>
    <row r="12" spans="1:37" ht="20.25" customHeight="1">
      <c r="A12" s="77"/>
      <c r="B12" s="1823"/>
      <c r="C12" s="1823"/>
      <c r="D12" s="1823"/>
      <c r="E12" s="1823"/>
      <c r="G12" s="45"/>
      <c r="I12" s="2043"/>
      <c r="J12" s="16"/>
      <c r="K12" s="52"/>
      <c r="L12" s="101"/>
      <c r="M12" s="140"/>
      <c r="N12" s="140"/>
      <c r="O12" s="140"/>
      <c r="P12" s="39"/>
      <c r="R12" s="56"/>
      <c r="S12" s="323"/>
      <c r="T12" s="323"/>
      <c r="U12" s="323"/>
      <c r="V12" s="323"/>
      <c r="W12" s="3127" t="s">
        <v>441</v>
      </c>
      <c r="X12" s="3127"/>
      <c r="Y12" s="3127"/>
      <c r="Z12" s="3127"/>
      <c r="AA12" s="3127"/>
      <c r="AB12" s="3127" t="s">
        <v>442</v>
      </c>
      <c r="AC12" s="3127"/>
      <c r="AD12" s="1105" t="s">
        <v>443</v>
      </c>
      <c r="AE12" s="1105" t="s">
        <v>444</v>
      </c>
      <c r="AF12" s="1105"/>
      <c r="AG12" s="1105" t="s">
        <v>445</v>
      </c>
      <c r="AH12" s="1105" t="s">
        <v>446</v>
      </c>
      <c r="AI12" s="1105" t="s">
        <v>1949</v>
      </c>
      <c r="AJ12" s="339"/>
      <c r="AK12" s="1091"/>
    </row>
    <row r="13" spans="1:44" ht="16.5" customHeight="1">
      <c r="A13" s="1113" t="s">
        <v>447</v>
      </c>
      <c r="B13" s="3257" cm="1">
        <f t="array" ref="B13:B22">_xlfn.XLOOKUP(A13:A22,BS!B20:B50,_xlfn.XLOOKUP(val_asOfDate,_xlfn.ANCHORARRAY(BS!AD11),BS!$AD$20:$BN$50),"")</f>
        <v>1</v>
      </c>
      <c r="C13" s="3258" cm="1">
        <f t="array" ref="C13:C22">_xlfn.XLOOKUP(_xlfn._TRO_ALL($A$13:$A$32),BS!$B$20:$B$50,BS!BM$20:BM$50)</f>
        <v>1</v>
      </c>
      <c r="D13" s="309"/>
      <c r="E13" s="1822"/>
      <c r="G13" s="45"/>
      <c r="I13" s="2043"/>
      <c r="J13" s="16"/>
      <c r="K13" s="52"/>
      <c r="L13" s="101"/>
      <c r="M13" s="126"/>
      <c r="N13" s="101"/>
      <c r="O13" s="101"/>
      <c r="P13" s="39"/>
      <c r="R13" s="56"/>
      <c r="S13" s="323"/>
      <c r="T13" s="323"/>
      <c r="U13" s="323"/>
      <c r="V13" s="323"/>
      <c r="W13" s="3308">
        <v>1</v>
      </c>
      <c r="X13" s="3373" t="s">
        <v>448</v>
      </c>
      <c r="Y13" s="969"/>
      <c r="Z13" s="314"/>
      <c r="AA13" s="3374"/>
      <c r="AB13" s="3259" t="b">
        <v>1</v>
      </c>
      <c r="AC13" s="3375" t="s">
        <v>449</v>
      </c>
      <c r="AD13" s="3376" t="str" cm="1">
        <f t="array" ca="1" aca="1" ref="AD13">CVC.LOOKUP2(A13,val_asOfDate,fx_scenarioConverter("Actual"),"Month")</f>
        <v>Attribute / Scenario Not Found</v>
      </c>
      <c r="AE13" s="3377"/>
      <c r="AF13" s="1105"/>
      <c r="AG13" s="1406" t="str">
        <f ca="1">IF(SUM(AE13,AD13)&lt;&gt;0,SUM(AE13,AD13),"")</f>
        <v/>
      </c>
      <c r="AH13" s="1404" t="str">
        <f ca="1" t="shared" si="0" ref="AH13:AH18">IF(OR(ISNUMBER(AG13)=FALSE,ISNUMBER($AG$34)=FALSE),"n/a",AG13/$AG$34)</f>
        <v>n/a</v>
      </c>
      <c r="AI13" s="1186"/>
      <c r="AJ13" s="339"/>
      <c r="AK13" s="1091"/>
      <c r="AR13" s="3378"/>
    </row>
    <row r="14" spans="1:44" ht="16.5" customHeight="1">
      <c r="A14" s="59" t="s">
        <v>437</v>
      </c>
      <c r="B14" s="3257">
        <v>1</v>
      </c>
      <c r="C14" s="3260">
        <v>1</v>
      </c>
      <c r="D14" s="309"/>
      <c r="E14" s="309"/>
      <c r="G14" s="45"/>
      <c r="I14" s="2043"/>
      <c r="J14" s="16"/>
      <c r="K14" s="52"/>
      <c r="L14" s="101"/>
      <c r="M14" s="126"/>
      <c r="N14" s="101"/>
      <c r="O14" s="101"/>
      <c r="P14" s="39"/>
      <c r="R14" s="56"/>
      <c r="S14" s="323"/>
      <c r="T14" s="323"/>
      <c r="U14" s="323"/>
      <c r="V14" s="323"/>
      <c r="W14" s="3308">
        <v>1</v>
      </c>
      <c r="X14" s="3379" t="s">
        <v>437</v>
      </c>
      <c r="Y14" s="969"/>
      <c r="Z14" s="314"/>
      <c r="AA14" s="3374"/>
      <c r="AB14" s="3259" t="b">
        <v>1</v>
      </c>
      <c r="AC14" s="3375" t="s">
        <v>449</v>
      </c>
      <c r="AD14" s="3376" t="str" cm="1">
        <f t="array" ca="1" aca="1" ref="AD14">CVC.LOOKUP2(A14,val_asOfDate,fx_scenarioConverter("Actual"),"Month")</f>
        <v>Attribute / Scenario Not Found</v>
      </c>
      <c r="AE14" s="3377"/>
      <c r="AF14" s="1105"/>
      <c r="AG14" s="1406" t="str">
        <f ca="1" t="shared" si="1" ref="AG14:AG17">IF(SUM(AE14,AD14)&lt;&gt;0,SUM(AE14,AD14),"")</f>
        <v/>
      </c>
      <c r="AH14" s="1404" t="str">
        <f t="shared" ca="1" si="0"/>
        <v>n/a</v>
      </c>
      <c r="AI14" s="1186"/>
      <c r="AJ14" s="339"/>
      <c r="AK14" s="1091"/>
      <c r="AR14" s="3378"/>
    </row>
    <row r="15" spans="1:44" ht="16.5" customHeight="1">
      <c r="A15" s="59" t="s">
        <v>450</v>
      </c>
      <c r="B15" s="3257">
        <v>1</v>
      </c>
      <c r="C15" s="3260">
        <v>1</v>
      </c>
      <c r="D15" s="309"/>
      <c r="E15" s="309"/>
      <c r="G15" s="45"/>
      <c r="I15" s="2043"/>
      <c r="J15" s="16"/>
      <c r="K15" s="52"/>
      <c r="L15" s="101"/>
      <c r="M15" s="126"/>
      <c r="N15" s="101"/>
      <c r="O15" s="101"/>
      <c r="P15" s="39"/>
      <c r="R15" s="56"/>
      <c r="S15" s="323"/>
      <c r="T15" s="323"/>
      <c r="U15" s="323"/>
      <c r="V15" s="323"/>
      <c r="W15" s="3308">
        <v>1</v>
      </c>
      <c r="X15" s="3373" t="s">
        <v>451</v>
      </c>
      <c r="Y15" s="969"/>
      <c r="Z15" s="314"/>
      <c r="AA15" s="3374"/>
      <c r="AB15" s="3380" t="b">
        <v>0</v>
      </c>
      <c r="AC15" s="3375" t="s">
        <v>449</v>
      </c>
      <c r="AD15" s="3376" t="str" cm="1">
        <f t="array" ca="1" aca="1" ref="AD15">CVC.LOOKUP2(A15,val_asOfDate,fx_scenarioConverter("Actual"),"Month")</f>
        <v>Attribute / Scenario Not Found</v>
      </c>
      <c r="AE15" s="3377"/>
      <c r="AF15" s="1105"/>
      <c r="AG15" s="1406" t="str">
        <f t="shared" ca="1" si="1"/>
        <v/>
      </c>
      <c r="AH15" s="1404" t="str">
        <f t="shared" ca="1" si="0"/>
        <v>n/a</v>
      </c>
      <c r="AI15" s="1186"/>
      <c r="AJ15" s="339"/>
      <c r="AK15" s="1091"/>
      <c r="AR15" s="3378"/>
    </row>
    <row r="16" spans="1:44" ht="16.5" customHeight="1">
      <c r="A16" s="59" t="s">
        <v>452</v>
      </c>
      <c r="B16" s="3257">
        <v>1</v>
      </c>
      <c r="C16" s="3260">
        <v>1</v>
      </c>
      <c r="D16" s="309"/>
      <c r="E16" s="309"/>
      <c r="G16" s="45"/>
      <c r="I16" s="2043"/>
      <c r="J16" s="16"/>
      <c r="K16" s="52"/>
      <c r="L16" s="101"/>
      <c r="M16" s="126"/>
      <c r="N16" s="101"/>
      <c r="O16" s="101"/>
      <c r="P16" s="39"/>
      <c r="R16" s="56"/>
      <c r="S16" s="323"/>
      <c r="T16" s="323"/>
      <c r="U16" s="323"/>
      <c r="V16" s="323"/>
      <c r="W16" s="3308">
        <v>1</v>
      </c>
      <c r="X16" s="3373" t="s">
        <v>453</v>
      </c>
      <c r="Y16" s="969"/>
      <c r="Z16" s="314"/>
      <c r="AA16" s="3374"/>
      <c r="AB16" s="3259" t="b">
        <v>1</v>
      </c>
      <c r="AC16" s="3375" t="s">
        <v>449</v>
      </c>
      <c r="AD16" s="3376" t="str" cm="1">
        <f t="array" ca="1" aca="1" ref="AD16">CVC.LOOKUP2(A16,val_asOfDate,fx_scenarioConverter("Actual"),"Month")</f>
        <v>Attribute / Scenario Not Found</v>
      </c>
      <c r="AE16" s="3377"/>
      <c r="AF16" s="1105"/>
      <c r="AG16" s="1406" t="str">
        <f t="shared" ca="1" si="1"/>
        <v/>
      </c>
      <c r="AH16" s="1404" t="str">
        <f t="shared" ca="1" si="0"/>
        <v>n/a</v>
      </c>
      <c r="AI16" s="1186"/>
      <c r="AJ16" s="339"/>
      <c r="AK16" s="1091"/>
      <c r="AR16" s="3378"/>
    </row>
    <row r="17" spans="1:44" ht="16.5" customHeight="1">
      <c r="A17" s="59" t="s">
        <v>435</v>
      </c>
      <c r="B17" s="3257">
        <v>1</v>
      </c>
      <c r="C17" s="3260">
        <v>1</v>
      </c>
      <c r="D17" s="309"/>
      <c r="E17" s="309"/>
      <c r="G17" s="45"/>
      <c r="I17" s="2043"/>
      <c r="J17" s="16"/>
      <c r="K17" s="52"/>
      <c r="L17" s="101"/>
      <c r="M17" s="126"/>
      <c r="N17" s="101"/>
      <c r="O17" s="101"/>
      <c r="P17" s="39"/>
      <c r="R17" s="56"/>
      <c r="S17" s="323"/>
      <c r="T17" s="323"/>
      <c r="U17" s="323"/>
      <c r="V17" s="323"/>
      <c r="W17" s="3308">
        <v>1</v>
      </c>
      <c r="X17" s="3379" t="s">
        <v>435</v>
      </c>
      <c r="Y17" s="970"/>
      <c r="Z17" s="314"/>
      <c r="AA17" s="3374"/>
      <c r="AB17" s="3380" t="b">
        <v>0</v>
      </c>
      <c r="AC17" s="3375" t="s">
        <v>449</v>
      </c>
      <c r="AD17" s="3376" t="str" cm="1">
        <f t="array" ca="1" aca="1" ref="AD17">CVC.LOOKUP2(A17,val_asOfDate,fx_scenarioConverter("Actual"),"Month")</f>
        <v>Attribute / Scenario Not Found</v>
      </c>
      <c r="AE17" s="3377"/>
      <c r="AF17" s="1105"/>
      <c r="AG17" s="1406" t="str">
        <f t="shared" ca="1" si="1"/>
        <v/>
      </c>
      <c r="AH17" s="1404" t="str">
        <f t="shared" ca="1" si="0"/>
        <v>n/a</v>
      </c>
      <c r="AI17" s="1186"/>
      <c r="AJ17" s="339"/>
      <c r="AK17" s="1091"/>
      <c r="AR17" s="3378"/>
    </row>
    <row r="18" spans="1:44" ht="16.5" customHeight="1">
      <c r="A18" s="59" t="s">
        <v>454</v>
      </c>
      <c r="B18" s="3261">
        <v>1</v>
      </c>
      <c r="C18" s="3260">
        <v>1</v>
      </c>
      <c r="D18" s="309"/>
      <c r="E18" s="309"/>
      <c r="G18" s="45"/>
      <c r="I18" s="2043"/>
      <c r="J18" s="16"/>
      <c r="K18" s="52"/>
      <c r="L18" s="101"/>
      <c r="M18" s="126"/>
      <c r="N18" s="101"/>
      <c r="O18" s="101"/>
      <c r="P18" s="39"/>
      <c r="R18" s="56"/>
      <c r="S18" s="323"/>
      <c r="T18" s="323"/>
      <c r="U18" s="323"/>
      <c r="V18" s="323"/>
      <c r="W18" s="3308">
        <v>1</v>
      </c>
      <c r="X18" s="3379" t="s">
        <v>454</v>
      </c>
      <c r="Y18" s="970"/>
      <c r="Z18" s="314"/>
      <c r="AA18" s="3374"/>
      <c r="AB18" s="3380" t="b">
        <v>0</v>
      </c>
      <c r="AC18" s="3375" t="s">
        <v>449</v>
      </c>
      <c r="AD18" s="3376" t="str" cm="1">
        <f t="array" ca="1" aca="1" ref="AD18">CVC.LOOKUP2(A18,val_asOfDate,fx_scenarioConverter("Actual"),"Month")</f>
        <v>Attribute / Scenario Not Found</v>
      </c>
      <c r="AE18" s="3377"/>
      <c r="AF18" s="1105"/>
      <c r="AG18" s="1406" t="str">
        <f ca="1">IF(SUM(AE18,AD18)&lt;&gt;0,SUM(AE18,AD18),"")</f>
        <v/>
      </c>
      <c r="AH18" s="1404" t="str">
        <f t="shared" ca="1" si="0"/>
        <v>n/a</v>
      </c>
      <c r="AI18" s="1186"/>
      <c r="AJ18" s="339"/>
      <c r="AK18" s="1091"/>
      <c r="AR18" s="3378"/>
    </row>
    <row r="19" spans="1:37" ht="4.5" customHeight="1">
      <c r="A19" s="77"/>
      <c r="B19" s="574" t="str">
        <v/>
      </c>
      <c r="C19" s="1824" t="e">
        <v>#N/A</v>
      </c>
      <c r="D19" s="309"/>
      <c r="E19" s="309"/>
      <c r="G19" s="45"/>
      <c r="I19" s="2043"/>
      <c r="J19" s="16"/>
      <c r="K19" s="52"/>
      <c r="L19" s="101"/>
      <c r="M19" s="126"/>
      <c r="N19" s="101"/>
      <c r="O19" s="101"/>
      <c r="P19" s="39"/>
      <c r="R19" s="56"/>
      <c r="S19" s="323"/>
      <c r="T19" s="323"/>
      <c r="U19" s="323"/>
      <c r="V19" s="323"/>
      <c r="W19" s="1029"/>
      <c r="X19" s="970"/>
      <c r="Y19" s="970"/>
      <c r="Z19" s="314"/>
      <c r="AA19" s="348"/>
      <c r="AB19" s="348"/>
      <c r="AC19" s="1028"/>
      <c r="AD19" s="1119"/>
      <c r="AE19" s="1119"/>
      <c r="AF19" s="1105"/>
      <c r="AG19" s="1028"/>
      <c r="AH19" s="1102"/>
      <c r="AI19" s="1103"/>
      <c r="AJ19" s="339"/>
      <c r="AK19" s="1091"/>
    </row>
    <row r="20" spans="1:37" ht="15.5">
      <c r="A20" s="59"/>
      <c r="B20" s="574" t="str">
        <v/>
      </c>
      <c r="C20" s="1824" t="e">
        <v>#N/A</v>
      </c>
      <c r="D20" s="309"/>
      <c r="E20" s="309"/>
      <c r="G20" s="45"/>
      <c r="I20" s="2043"/>
      <c r="J20" s="16"/>
      <c r="K20" s="52"/>
      <c r="L20" s="101"/>
      <c r="M20" s="126"/>
      <c r="N20" s="101"/>
      <c r="O20" s="101"/>
      <c r="P20" s="39"/>
      <c r="R20" s="56"/>
      <c r="S20" s="323"/>
      <c r="T20" s="323"/>
      <c r="U20" s="323"/>
      <c r="V20" s="323"/>
      <c r="W20" s="1029">
        <v>0</v>
      </c>
      <c r="X20" s="349" t="s">
        <v>1944</v>
      </c>
      <c r="Y20" s="349"/>
      <c r="Z20" s="350"/>
      <c r="AA20" s="351"/>
      <c r="AB20" s="351"/>
      <c r="AC20" s="351"/>
      <c r="AD20" s="1407">
        <f ca="1">SUMIFS(AD13:AD18,$AB13:$AB18,TRUE)</f>
        <v>0</v>
      </c>
      <c r="AE20" s="1407">
        <f t="shared" si="2" ref="AE20">SUMIFS(AE13:AE18,$AB13:$AB18,TRUE)</f>
        <v>0</v>
      </c>
      <c r="AF20" s="1407"/>
      <c r="AG20" s="1407">
        <f ca="1">SUMIFS(AG13:AG18,$AB13:$AB18,TRUE)</f>
        <v>0</v>
      </c>
      <c r="AH20" s="1410" t="str">
        <f ca="1">IF(N(AG34)=0,"n/a",-AG20/N($AG$34))</f>
        <v>n/a</v>
      </c>
      <c r="AI20" s="1186"/>
      <c r="AJ20" s="339"/>
      <c r="AK20" s="1091"/>
    </row>
    <row r="21" spans="1:37" ht="5.25" customHeight="1">
      <c r="A21" s="59"/>
      <c r="B21" s="574" t="str">
        <v/>
      </c>
      <c r="C21" s="1824" t="e">
        <v>#N/A</v>
      </c>
      <c r="D21" s="309"/>
      <c r="E21" s="309"/>
      <c r="G21" s="45"/>
      <c r="I21" s="2043"/>
      <c r="J21" s="16"/>
      <c r="K21" s="52"/>
      <c r="L21" s="101"/>
      <c r="M21" s="126"/>
      <c r="N21" s="101"/>
      <c r="O21" s="101"/>
      <c r="P21" s="39"/>
      <c r="R21" s="56"/>
      <c r="S21" s="323"/>
      <c r="T21" s="323"/>
      <c r="U21" s="323"/>
      <c r="V21" s="323"/>
      <c r="W21" s="1029"/>
      <c r="X21" s="323"/>
      <c r="Y21" s="323"/>
      <c r="Z21" s="323"/>
      <c r="AA21" s="323"/>
      <c r="AB21" s="323"/>
      <c r="AC21" s="323"/>
      <c r="AD21" s="1408"/>
      <c r="AE21" s="1408"/>
      <c r="AF21" s="1408"/>
      <c r="AG21" s="1408"/>
      <c r="AH21" s="323"/>
      <c r="AI21" s="323"/>
      <c r="AJ21" s="323"/>
      <c r="AK21" s="1091"/>
    </row>
    <row r="22" spans="1:44" ht="15.5">
      <c r="A22" s="59" t="s">
        <v>455</v>
      </c>
      <c r="B22" s="3261">
        <v>1</v>
      </c>
      <c r="C22" s="3260">
        <v>1</v>
      </c>
      <c r="D22" s="309"/>
      <c r="E22" s="309"/>
      <c r="G22" s="45"/>
      <c r="I22" s="2043"/>
      <c r="J22" s="16"/>
      <c r="K22" s="52"/>
      <c r="L22" s="101"/>
      <c r="M22" s="126"/>
      <c r="N22" s="101"/>
      <c r="O22" s="101"/>
      <c r="P22" s="39"/>
      <c r="R22" s="56"/>
      <c r="S22" s="323"/>
      <c r="T22" s="323"/>
      <c r="U22" s="323"/>
      <c r="V22" s="323"/>
      <c r="W22" s="3381">
        <v>-1</v>
      </c>
      <c r="X22" s="3382" t="s">
        <v>1945</v>
      </c>
      <c r="Y22" s="358"/>
      <c r="Z22" s="347"/>
      <c r="AA22" s="3383"/>
      <c r="AB22" s="3259" t="b">
        <v>1</v>
      </c>
      <c r="AC22" s="3375" t="s">
        <v>457</v>
      </c>
      <c r="AD22" s="3376" t="str" cm="1">
        <f t="array" ca="1" aca="1" ref="AD22">CVC.LOOKUP2(A22,val_asOfDate,fx_scenarioConverter("Actual"),"Month")</f>
        <v>Attribute / Scenario Not Found</v>
      </c>
      <c r="AE22" s="3384"/>
      <c r="AF22" s="1408"/>
      <c r="AG22" s="1406" t="str">
        <f ca="1" t="shared" si="3" ref="AG22">IF(SUM(AE22,AD22)&lt;&gt;0,SUM(AE22,AD22),"")</f>
        <v/>
      </c>
      <c r="AH22" s="347"/>
      <c r="AI22" s="347"/>
      <c r="AJ22" s="339"/>
      <c r="AK22" s="1091"/>
      <c r="AR22" s="3378"/>
    </row>
    <row r="23" spans="1:37" ht="5.25" customHeight="1">
      <c r="A23" s="59"/>
      <c r="B23" s="1106"/>
      <c r="C23" s="1824"/>
      <c r="D23" s="309"/>
      <c r="E23" s="309"/>
      <c r="G23" s="45"/>
      <c r="I23" s="2043"/>
      <c r="J23" s="16"/>
      <c r="K23" s="52"/>
      <c r="L23" s="101"/>
      <c r="M23" s="101"/>
      <c r="N23" s="101"/>
      <c r="O23" s="101"/>
      <c r="P23" s="39"/>
      <c r="R23" s="56"/>
      <c r="S23" s="323"/>
      <c r="T23" s="323"/>
      <c r="U23" s="323"/>
      <c r="V23" s="323"/>
      <c r="W23" s="1029"/>
      <c r="X23" s="323"/>
      <c r="Y23" s="323"/>
      <c r="Z23" s="323"/>
      <c r="AA23" s="323"/>
      <c r="AB23" s="323"/>
      <c r="AC23" s="323"/>
      <c r="AD23" s="1117"/>
      <c r="AE23" s="1117"/>
      <c r="AF23" s="1117"/>
      <c r="AG23" s="323"/>
      <c r="AH23" s="323"/>
      <c r="AI23" s="323"/>
      <c r="AJ23" s="323"/>
      <c r="AK23" s="1091"/>
    </row>
    <row r="24" spans="1:37" ht="15.5">
      <c r="A24" s="77"/>
      <c r="B24" s="1106"/>
      <c r="C24" s="1824"/>
      <c r="D24" s="309"/>
      <c r="E24" s="309"/>
      <c r="G24" s="45"/>
      <c r="I24" s="2043"/>
      <c r="J24" s="16"/>
      <c r="K24" s="52"/>
      <c r="L24" s="101"/>
      <c r="M24" s="101"/>
      <c r="N24" s="101"/>
      <c r="O24" s="101"/>
      <c r="P24" s="39"/>
      <c r="R24" s="56"/>
      <c r="S24" s="323"/>
      <c r="T24" s="323"/>
      <c r="U24" s="323"/>
      <c r="V24" s="323"/>
      <c r="W24" s="1029">
        <v>0</v>
      </c>
      <c r="X24" s="349" t="s">
        <v>1942</v>
      </c>
      <c r="Y24" s="349"/>
      <c r="Z24" s="1012"/>
      <c r="AA24" s="351"/>
      <c r="AB24" s="351"/>
      <c r="AC24" s="351"/>
      <c r="AD24" s="1407">
        <f ca="1">SUMIFS(AD13:AD22,$AB13:$AB22,TRUE)</f>
        <v>0</v>
      </c>
      <c r="AE24" s="1407">
        <f t="shared" si="4" ref="AE24:AG24">SUMIFS(AE13:AE22,$AB13:$AB22,TRUE)</f>
        <v>0</v>
      </c>
      <c r="AF24" s="1407"/>
      <c r="AG24" s="1407">
        <f t="shared" ca="1" si="4"/>
        <v>0</v>
      </c>
      <c r="AH24" s="1850"/>
      <c r="AI24" s="1411" t="str">
        <f ca="1">IF(N(AG34)=0,"n/a",-AG24/AG34)</f>
        <v>n/a</v>
      </c>
      <c r="AJ24" s="339"/>
      <c r="AK24" s="1091"/>
    </row>
    <row r="25" spans="1:37" ht="4.9" customHeight="1">
      <c r="A25" s="59"/>
      <c r="B25" s="1106"/>
      <c r="C25" s="1824"/>
      <c r="D25" s="309"/>
      <c r="E25" s="309"/>
      <c r="G25" s="45"/>
      <c r="I25" s="2043"/>
      <c r="J25" s="16"/>
      <c r="K25" s="52"/>
      <c r="L25" s="101"/>
      <c r="M25" s="101"/>
      <c r="N25" s="101"/>
      <c r="O25" s="101"/>
      <c r="P25" s="39"/>
      <c r="R25" s="56"/>
      <c r="S25" s="323"/>
      <c r="T25" s="323"/>
      <c r="U25" s="323"/>
      <c r="V25" s="323"/>
      <c r="W25" s="323"/>
      <c r="X25" s="323"/>
      <c r="Y25" s="323"/>
      <c r="Z25" s="323"/>
      <c r="AA25" s="323"/>
      <c r="AB25" s="323"/>
      <c r="AC25" s="323"/>
      <c r="AD25" s="1117"/>
      <c r="AE25" s="1117"/>
      <c r="AF25" s="1117"/>
      <c r="AG25" s="323"/>
      <c r="AH25" s="323"/>
      <c r="AI25" s="323"/>
      <c r="AJ25" s="339"/>
      <c r="AK25" s="1091"/>
    </row>
    <row r="26" spans="1:37" ht="4.9" customHeight="1">
      <c r="A26" s="59"/>
      <c r="B26" s="1106"/>
      <c r="C26" s="1824"/>
      <c r="D26" s="309"/>
      <c r="E26" s="309"/>
      <c r="G26" s="45"/>
      <c r="I26" s="2043"/>
      <c r="J26" s="16"/>
      <c r="K26" s="52"/>
      <c r="L26" s="101"/>
      <c r="M26" s="101"/>
      <c r="N26" s="101"/>
      <c r="O26" s="101"/>
      <c r="P26" s="39"/>
      <c r="R26" s="56"/>
      <c r="S26" s="323"/>
      <c r="T26" s="323"/>
      <c r="U26" s="323"/>
      <c r="V26" s="323"/>
      <c r="W26" s="88"/>
      <c r="X26" s="88"/>
      <c r="Y26" s="88"/>
      <c r="Z26" s="1011"/>
      <c r="AA26" s="1011"/>
      <c r="AB26" s="1011"/>
      <c r="AC26" s="1011"/>
      <c r="AD26" s="1118"/>
      <c r="AE26" s="1118"/>
      <c r="AF26" s="1118"/>
      <c r="AG26" s="1851"/>
      <c r="AH26" s="1013"/>
      <c r="AI26" s="1014"/>
      <c r="AJ26" s="339"/>
      <c r="AK26" s="1091"/>
    </row>
    <row r="27" spans="1:37" ht="22.5">
      <c r="A27" s="77"/>
      <c r="B27" s="1106"/>
      <c r="C27" s="1824"/>
      <c r="D27" s="309"/>
      <c r="E27" s="309"/>
      <c r="G27" s="45"/>
      <c r="I27" s="2043"/>
      <c r="J27" s="16"/>
      <c r="K27" s="52"/>
      <c r="L27" s="101"/>
      <c r="M27" s="126"/>
      <c r="N27" s="101"/>
      <c r="O27" s="101"/>
      <c r="P27" s="39"/>
      <c r="R27" s="56" t="s">
        <v>458</v>
      </c>
      <c r="S27" s="323"/>
      <c r="T27" s="323"/>
      <c r="U27" s="323"/>
      <c r="V27" s="323"/>
      <c r="W27" s="3127" t="s">
        <v>459</v>
      </c>
      <c r="X27" s="3127"/>
      <c r="Y27" s="3127"/>
      <c r="Z27" s="3127"/>
      <c r="AA27" s="3127"/>
      <c r="AB27" s="3127" t="s">
        <v>442</v>
      </c>
      <c r="AC27" s="3127"/>
      <c r="AD27" s="1409" t="s">
        <v>460</v>
      </c>
      <c r="AE27" s="1409" t="s">
        <v>444</v>
      </c>
      <c r="AF27" s="1409"/>
      <c r="AG27" s="1105" t="s">
        <v>445</v>
      </c>
      <c r="AH27" s="1105" t="s">
        <v>446</v>
      </c>
      <c r="AI27" s="2665" t="s">
        <v>1950</v>
      </c>
      <c r="AJ27" s="339"/>
      <c r="AK27" s="1091"/>
    </row>
    <row r="28" spans="1:44" ht="15.75" customHeight="1">
      <c r="A28" s="59"/>
      <c r="B28" s="1106"/>
      <c r="C28" s="1824"/>
      <c r="D28" s="309"/>
      <c r="E28" s="309"/>
      <c r="G28" s="45"/>
      <c r="I28" s="2043"/>
      <c r="J28" s="16"/>
      <c r="K28" s="52"/>
      <c r="L28" s="101"/>
      <c r="M28" s="126"/>
      <c r="N28" s="101"/>
      <c r="O28" s="101"/>
      <c r="P28" s="39"/>
      <c r="R28" s="56"/>
      <c r="S28" s="323"/>
      <c r="T28" s="323"/>
      <c r="U28" s="323"/>
      <c r="V28" s="323"/>
      <c r="W28" s="3308">
        <v>1</v>
      </c>
      <c r="X28" s="3385" t="s">
        <v>461</v>
      </c>
      <c r="Y28" s="333"/>
      <c r="Z28" s="305"/>
      <c r="AA28" s="3386"/>
      <c r="AB28" s="3259" t="b">
        <v>1</v>
      </c>
      <c r="AC28" s="3387" t="s">
        <v>462</v>
      </c>
      <c r="AD28" s="3388"/>
      <c r="AE28" s="3388"/>
      <c r="AF28" s="1409"/>
      <c r="AG28" s="1406" t="str">
        <f t="shared" si="5" ref="AG28:AG30">IF(SUM(AE28,AD28)&lt;&gt;0,SUM(AE28,AD28),"")</f>
        <v/>
      </c>
      <c r="AH28" s="305"/>
      <c r="AI28" s="305"/>
      <c r="AJ28" s="339"/>
      <c r="AK28" s="1091"/>
      <c r="AR28" s="3378"/>
    </row>
    <row r="29" spans="1:44" ht="22.5">
      <c r="A29" s="59"/>
      <c r="B29" s="1106"/>
      <c r="C29" s="1824"/>
      <c r="D29" s="309"/>
      <c r="E29" s="309"/>
      <c r="G29" s="45"/>
      <c r="I29" s="2043"/>
      <c r="J29" s="16"/>
      <c r="K29" s="52"/>
      <c r="L29" s="101"/>
      <c r="M29" s="126"/>
      <c r="N29" s="101"/>
      <c r="O29" s="101"/>
      <c r="P29" s="39"/>
      <c r="R29" s="56"/>
      <c r="S29" s="323"/>
      <c r="T29" s="323"/>
      <c r="U29" s="323"/>
      <c r="V29" s="323"/>
      <c r="W29" s="3308">
        <v>1</v>
      </c>
      <c r="X29" s="3385" t="s">
        <v>463</v>
      </c>
      <c r="Y29" s="333"/>
      <c r="Z29" s="305"/>
      <c r="AA29" s="3386"/>
      <c r="AB29" s="3259" t="b">
        <v>1</v>
      </c>
      <c r="AC29" s="3387" t="s">
        <v>449</v>
      </c>
      <c r="AD29" s="3388"/>
      <c r="AE29" s="3388"/>
      <c r="AF29" s="1409"/>
      <c r="AG29" s="1406" t="str">
        <f t="shared" si="5"/>
        <v/>
      </c>
      <c r="AH29" s="305"/>
      <c r="AI29" s="305"/>
      <c r="AJ29" s="339"/>
      <c r="AK29" s="1091"/>
      <c r="AR29" s="3378"/>
    </row>
    <row r="30" spans="1:44" ht="22.5">
      <c r="A30" s="59"/>
      <c r="B30" s="59"/>
      <c r="C30" s="1824"/>
      <c r="D30" s="309"/>
      <c r="E30" s="309"/>
      <c r="G30" s="45"/>
      <c r="I30" s="2043"/>
      <c r="J30" s="16"/>
      <c r="K30" s="52"/>
      <c r="L30" s="101"/>
      <c r="M30" s="126"/>
      <c r="N30" s="101"/>
      <c r="O30" s="101"/>
      <c r="P30" s="39"/>
      <c r="R30" s="56"/>
      <c r="S30" s="323"/>
      <c r="T30" s="323"/>
      <c r="U30" s="323"/>
      <c r="V30" s="323"/>
      <c r="W30" s="3381">
        <v>-1</v>
      </c>
      <c r="X30" s="3385" t="s">
        <v>464</v>
      </c>
      <c r="Y30" s="333"/>
      <c r="Z30" s="305"/>
      <c r="AA30" s="3386"/>
      <c r="AB30" s="3259" t="b">
        <v>1</v>
      </c>
      <c r="AC30" s="3387" t="s">
        <v>457</v>
      </c>
      <c r="AD30" s="3388"/>
      <c r="AE30" s="3389"/>
      <c r="AF30" s="1409"/>
      <c r="AG30" s="1406" t="str">
        <f t="shared" si="5"/>
        <v/>
      </c>
      <c r="AH30" s="305"/>
      <c r="AI30" s="305"/>
      <c r="AJ30" s="339"/>
      <c r="AK30" s="1091"/>
      <c r="AR30" s="3378"/>
    </row>
    <row r="31" spans="1:37" ht="15.5">
      <c r="A31" s="59"/>
      <c r="B31" s="1121"/>
      <c r="C31" s="1824"/>
      <c r="D31" s="309"/>
      <c r="E31" s="309"/>
      <c r="G31" s="45"/>
      <c r="I31" s="2043"/>
      <c r="J31" s="16"/>
      <c r="K31" s="52"/>
      <c r="L31" s="101"/>
      <c r="M31" s="126"/>
      <c r="N31" s="101"/>
      <c r="O31" s="101"/>
      <c r="P31" s="39"/>
      <c r="R31" s="56"/>
      <c r="S31" s="323"/>
      <c r="T31" s="323"/>
      <c r="U31" s="323"/>
      <c r="V31" s="323"/>
      <c r="W31" s="1104"/>
      <c r="X31" s="1010"/>
      <c r="Y31" s="1010"/>
      <c r="Z31" s="1011"/>
      <c r="AA31" s="305"/>
      <c r="AB31" s="305"/>
      <c r="AC31" s="305"/>
      <c r="AD31" s="1120"/>
      <c r="AE31" s="1120"/>
      <c r="AF31" s="1120"/>
      <c r="AG31" s="305"/>
      <c r="AH31" s="305"/>
      <c r="AI31" s="305"/>
      <c r="AJ31" s="339"/>
      <c r="AK31" s="1090"/>
    </row>
    <row r="32" spans="1:37" ht="15.5">
      <c r="A32" s="59"/>
      <c r="B32" s="59"/>
      <c r="C32" s="309"/>
      <c r="D32" s="59"/>
      <c r="E32" s="59"/>
      <c r="G32" s="45"/>
      <c r="I32" s="2043"/>
      <c r="J32" s="16"/>
      <c r="K32" s="52"/>
      <c r="L32" s="101"/>
      <c r="M32" s="126"/>
      <c r="N32" s="101"/>
      <c r="O32" s="101"/>
      <c r="P32" s="39"/>
      <c r="R32" s="56"/>
      <c r="S32" s="323"/>
      <c r="T32" s="323"/>
      <c r="U32" s="323"/>
      <c r="V32" s="323"/>
      <c r="W32" s="1029">
        <v>0</v>
      </c>
      <c r="X32" s="349" t="s">
        <v>1943</v>
      </c>
      <c r="Y32" s="349"/>
      <c r="Z32" s="1012"/>
      <c r="AA32" s="351"/>
      <c r="AB32" s="351"/>
      <c r="AC32" s="351"/>
      <c r="AD32" s="1407">
        <f>SUMIFS(AD29:AD30,$AB29:$AB30,TRUE)</f>
        <v>0</v>
      </c>
      <c r="AE32" s="1407">
        <f>SUMIFS(AE29:AE30,$AB29:$AB30,TRUE)</f>
        <v>0</v>
      </c>
      <c r="AF32" s="1407"/>
      <c r="AG32" s="1407">
        <f>SUMIFS(AG29:AG30,$AB29:$AB30,TRUE)</f>
        <v>0</v>
      </c>
      <c r="AH32" s="1415" t="str">
        <f ca="1">IF(N(N($AG$34))=0,"n/a",-SUMIFS($AG$13:$AG$30,$AB$13:$AB$30,TRUE,$AC$13:$AC$30,"Debt")/N($AG$34))</f>
        <v>n/a</v>
      </c>
      <c r="AI32" s="1415" t="str">
        <f ca="1">IF(N(N($AG$34))&lt;=0,"n/a",-SUMIFS($AG$13:$AG$30,$AB$13:$AB$30,TRUE)/N($AG$34))</f>
        <v>n/a</v>
      </c>
      <c r="AJ32" s="339"/>
      <c r="AK32" s="1090"/>
    </row>
    <row r="33" spans="1:37" ht="15.5">
      <c r="A33" s="59"/>
      <c r="B33" s="59"/>
      <c r="C33" s="1110"/>
      <c r="D33" s="1110"/>
      <c r="E33" s="1110"/>
      <c r="G33" s="45"/>
      <c r="I33" s="2043"/>
      <c r="J33" s="16"/>
      <c r="K33" s="52"/>
      <c r="L33" s="101"/>
      <c r="M33" s="126"/>
      <c r="N33" s="101"/>
      <c r="O33" s="101"/>
      <c r="P33" s="39"/>
      <c r="R33" s="56"/>
      <c r="S33" s="323"/>
      <c r="T33" s="323"/>
      <c r="U33" s="323"/>
      <c r="V33" s="323"/>
      <c r="W33" s="323"/>
      <c r="X33" s="1010"/>
      <c r="Y33" s="1010"/>
      <c r="Z33" s="1010"/>
      <c r="AA33" s="1010"/>
      <c r="AB33" s="1010"/>
      <c r="AC33" s="1010"/>
      <c r="AD33" s="1412"/>
      <c r="AE33" s="1412"/>
      <c r="AF33" s="1412"/>
      <c r="AG33" s="1412"/>
      <c r="AH33" s="1010"/>
      <c r="AI33" s="1010"/>
      <c r="AJ33" s="339"/>
      <c r="AK33" s="1090"/>
    </row>
    <row r="34" spans="1:37" ht="20.25" customHeight="1">
      <c r="A34" s="1110" t="s">
        <v>200</v>
      </c>
      <c r="B34" s="577" cm="1">
        <f t="array" ca="1" aca="1" ref="B34">_xlfn.XLOOKUP(DebtRatio!A34,PL!$B$20:$B$62,_xlfn.XLOOKUP(val_asOfDate&amp;"LTM",PL!$CD$11:$CK$11&amp;PL!$CD$14:$CK$14,PL!$CD$20:$CK$62),"")</f>
        <v>108</v>
      </c>
      <c r="C34" s="59"/>
      <c r="D34" s="59"/>
      <c r="E34" s="59"/>
      <c r="G34" s="45"/>
      <c r="I34" s="2043"/>
      <c r="J34" s="16"/>
      <c r="K34" s="52"/>
      <c r="L34" s="101"/>
      <c r="M34" s="126"/>
      <c r="N34" s="101"/>
      <c r="O34" s="101"/>
      <c r="P34" s="39"/>
      <c r="R34" s="56"/>
      <c r="S34" s="323"/>
      <c r="T34" s="323"/>
      <c r="U34" s="323"/>
      <c r="V34" s="323"/>
      <c r="W34" s="349" t="s">
        <v>465</v>
      </c>
      <c r="X34" s="349"/>
      <c r="Y34" s="349"/>
      <c r="Z34" s="1012"/>
      <c r="AA34" s="351"/>
      <c r="AB34" s="351"/>
      <c r="AC34" s="1414"/>
      <c r="AD34" s="2258" cm="1">
        <f t="array" ca="1" aca="1" ref="AD34">SUM(CVC.LOOKUP2(A34,EOMONTH(val_asOfDate,_xlfn.SEQUENCE(1,12,-11,1)),fx_scenarioConverter(fx_scenarioConverter("Actual")),"Month"))</f>
        <v>0</v>
      </c>
      <c r="AE34" s="3390"/>
      <c r="AF34" s="1412"/>
      <c r="AG34" s="1406" t="str">
        <f ca="1">IF(SUM(AE34,AD34)&lt;&gt;0,SUM(AE34,AD34),"")</f>
        <v/>
      </c>
      <c r="AH34" s="1850"/>
      <c r="AI34" s="1850"/>
      <c r="AJ34" s="339"/>
      <c r="AK34" s="1090"/>
    </row>
    <row r="35" spans="1:37" ht="15.5">
      <c r="A35" s="59"/>
      <c r="B35" s="59"/>
      <c r="C35" s="59"/>
      <c r="D35" s="59"/>
      <c r="E35" s="59"/>
      <c r="G35" s="45"/>
      <c r="I35" s="2043"/>
      <c r="J35" s="16"/>
      <c r="K35" s="52"/>
      <c r="L35" s="101"/>
      <c r="M35" s="126"/>
      <c r="N35" s="101"/>
      <c r="O35" s="101"/>
      <c r="P35" s="39"/>
      <c r="R35" s="56"/>
      <c r="S35" s="323"/>
      <c r="T35" s="323"/>
      <c r="U35" s="323"/>
      <c r="V35" s="323"/>
      <c r="W35" s="323"/>
      <c r="X35" s="323"/>
      <c r="Y35" s="323"/>
      <c r="Z35" s="323"/>
      <c r="AA35" s="323"/>
      <c r="AB35" s="323"/>
      <c r="AC35" s="323"/>
      <c r="AD35" s="323"/>
      <c r="AE35" s="323"/>
      <c r="AF35" s="323"/>
      <c r="AG35" s="323"/>
      <c r="AH35" s="323"/>
      <c r="AI35" s="323"/>
      <c r="AJ35" s="339"/>
      <c r="AK35" s="1090"/>
    </row>
    <row r="36" spans="1:37" ht="15" customHeight="1">
      <c r="A36" s="59"/>
      <c r="B36" s="59"/>
      <c r="C36" s="59"/>
      <c r="D36" s="59"/>
      <c r="E36" s="59"/>
      <c r="G36" s="45"/>
      <c r="I36" s="2043"/>
      <c r="J36" s="16"/>
      <c r="K36" s="52"/>
      <c r="L36" s="101"/>
      <c r="M36" s="126"/>
      <c r="N36" s="101"/>
      <c r="O36" s="101"/>
      <c r="P36" s="39"/>
      <c r="R36" s="56"/>
      <c r="S36" s="323"/>
      <c r="T36" s="323"/>
      <c r="U36" s="323"/>
      <c r="V36" s="323"/>
      <c r="W36" s="336" t="s">
        <v>1952</v>
      </c>
      <c r="X36" s="337"/>
      <c r="Y36" s="337"/>
      <c r="Z36" s="338"/>
      <c r="AA36" s="338"/>
      <c r="AB36" s="338"/>
      <c r="AC36" s="338"/>
      <c r="AD36" s="338"/>
      <c r="AE36" s="338"/>
      <c r="AF36" s="338"/>
      <c r="AG36" s="352"/>
      <c r="AH36" s="352"/>
      <c r="AI36" s="352"/>
      <c r="AJ36" s="353"/>
      <c r="AK36" s="34"/>
    </row>
    <row r="37" spans="1:37" ht="15" customHeight="1">
      <c r="A37" s="59"/>
      <c r="B37" s="59"/>
      <c r="C37" s="59"/>
      <c r="D37" s="59"/>
      <c r="E37" s="59"/>
      <c r="G37" s="45"/>
      <c r="I37" s="2043"/>
      <c r="J37" s="16"/>
      <c r="K37" s="52"/>
      <c r="L37" s="101"/>
      <c r="M37" s="126"/>
      <c r="N37" s="101"/>
      <c r="O37" s="101"/>
      <c r="P37" s="39"/>
      <c r="R37" s="56"/>
      <c r="S37" s="323"/>
      <c r="T37" s="323"/>
      <c r="U37" s="323"/>
      <c r="V37" s="323"/>
      <c r="W37" s="3092"/>
      <c r="X37" s="3093"/>
      <c r="Y37" s="3093"/>
      <c r="Z37" s="3093"/>
      <c r="AA37" s="3093"/>
      <c r="AB37" s="3093"/>
      <c r="AC37" s="3093"/>
      <c r="AD37" s="3093"/>
      <c r="AE37" s="3101"/>
      <c r="AF37" s="3092"/>
      <c r="AG37" s="3093"/>
      <c r="AH37" s="3093"/>
      <c r="AI37" s="3093"/>
      <c r="AJ37" s="3093"/>
      <c r="AK37" s="34"/>
    </row>
    <row r="38" spans="1:47" ht="20.25" customHeight="1">
      <c r="A38" s="59"/>
      <c r="B38" s="59"/>
      <c r="C38" s="59"/>
      <c r="D38" s="59"/>
      <c r="E38" s="59"/>
      <c r="G38" s="45"/>
      <c r="I38" s="2043"/>
      <c r="J38" s="16"/>
      <c r="K38" s="52"/>
      <c r="L38" s="101"/>
      <c r="M38" s="126"/>
      <c r="N38" s="101"/>
      <c r="O38" s="101"/>
      <c r="P38" s="39"/>
      <c r="R38" s="56"/>
      <c r="S38" s="323"/>
      <c r="T38" s="323"/>
      <c r="U38" s="323"/>
      <c r="V38" s="323"/>
      <c r="W38" s="3094"/>
      <c r="X38" s="3095"/>
      <c r="Y38" s="3095"/>
      <c r="Z38" s="3095"/>
      <c r="AA38" s="3095"/>
      <c r="AB38" s="3095"/>
      <c r="AC38" s="3095"/>
      <c r="AD38" s="3095"/>
      <c r="AE38" s="3102"/>
      <c r="AF38" s="3094"/>
      <c r="AG38" s="3095"/>
      <c r="AH38" s="3095"/>
      <c r="AI38" s="3095"/>
      <c r="AJ38" s="3095"/>
      <c r="AK38" s="34"/>
      <c r="AS38" s="2" t="s">
        <v>467</v>
      </c>
      <c r="AT38" s="2" t="s">
        <v>468</v>
      </c>
      <c r="AU38" s="2" t="s">
        <v>469</v>
      </c>
    </row>
    <row r="39" spans="1:47" ht="28.15" customHeight="1">
      <c r="A39" s="59"/>
      <c r="B39" s="59"/>
      <c r="C39" s="59"/>
      <c r="D39" s="59"/>
      <c r="E39" s="59"/>
      <c r="G39" s="45"/>
      <c r="I39" s="2043"/>
      <c r="J39" s="16"/>
      <c r="K39" s="52"/>
      <c r="L39" s="101"/>
      <c r="M39" s="126"/>
      <c r="N39" s="101"/>
      <c r="O39" s="101"/>
      <c r="P39" s="39"/>
      <c r="R39" s="56"/>
      <c r="S39" s="323"/>
      <c r="T39" s="323"/>
      <c r="U39" s="323"/>
      <c r="V39" s="323"/>
      <c r="W39" s="3094"/>
      <c r="X39" s="3095"/>
      <c r="Y39" s="3095"/>
      <c r="Z39" s="3095"/>
      <c r="AA39" s="3095"/>
      <c r="AB39" s="3095"/>
      <c r="AC39" s="3095"/>
      <c r="AD39" s="3095"/>
      <c r="AE39" s="3102"/>
      <c r="AF39" s="3094"/>
      <c r="AG39" s="3095"/>
      <c r="AH39" s="3095"/>
      <c r="AI39" s="3095"/>
      <c r="AJ39" s="3095"/>
      <c r="AK39" s="34"/>
      <c r="AS39" s="2" t="str">
        <f>"As of "&amp;TEXT(val_asOfDate,"MMM-yy")</f>
        <v>As of Dec-25</v>
      </c>
      <c r="AT39" s="2" t="s">
        <v>225</v>
      </c>
      <c r="AU39" s="2" t="str" cm="1">
        <f t="array" ref="AU39">fx_scenarioConverter("Actual")</f>
        <v>Actual</v>
      </c>
    </row>
    <row r="40" spans="1:47" ht="15" customHeight="1">
      <c r="A40" s="59"/>
      <c r="B40" s="59"/>
      <c r="C40" s="59"/>
      <c r="D40" s="59"/>
      <c r="E40" s="59"/>
      <c r="G40" s="45"/>
      <c r="I40" s="2043"/>
      <c r="J40" s="16"/>
      <c r="K40" s="52"/>
      <c r="L40" s="101"/>
      <c r="M40" s="126"/>
      <c r="N40" s="101"/>
      <c r="O40" s="101"/>
      <c r="P40" s="39"/>
      <c r="R40" s="56"/>
      <c r="S40" s="323"/>
      <c r="T40" s="323"/>
      <c r="U40" s="323"/>
      <c r="V40" s="323"/>
      <c r="W40" s="3094"/>
      <c r="X40" s="3095"/>
      <c r="Y40" s="3095"/>
      <c r="Z40" s="3095"/>
      <c r="AA40" s="3095"/>
      <c r="AB40" s="3095"/>
      <c r="AC40" s="3095"/>
      <c r="AD40" s="3095"/>
      <c r="AE40" s="3102"/>
      <c r="AF40" s="3094"/>
      <c r="AG40" s="3095"/>
      <c r="AH40" s="3095"/>
      <c r="AI40" s="3095"/>
      <c r="AJ40" s="3095"/>
      <c r="AK40" s="34"/>
      <c r="AS40" s="2" t="s">
        <v>470</v>
      </c>
      <c r="AT40" s="2" t="s">
        <v>471</v>
      </c>
      <c r="AU40" s="2" t="str" cm="1">
        <f t="array" ref="AU40">fx_scenarioConverter("Actual")</f>
        <v>Actual</v>
      </c>
    </row>
    <row r="41" spans="1:47" ht="15" customHeight="1">
      <c r="A41" s="59"/>
      <c r="B41" s="59"/>
      <c r="C41" s="59"/>
      <c r="D41" s="59"/>
      <c r="E41" s="59"/>
      <c r="G41" s="45"/>
      <c r="I41" s="2043"/>
      <c r="J41" s="16"/>
      <c r="K41" s="52"/>
      <c r="L41" s="101"/>
      <c r="M41" s="126"/>
      <c r="N41" s="101"/>
      <c r="O41" s="101"/>
      <c r="P41" s="39"/>
      <c r="R41" s="56"/>
      <c r="S41" s="323"/>
      <c r="T41" s="323"/>
      <c r="U41" s="323"/>
      <c r="V41" s="323"/>
      <c r="W41" s="3096"/>
      <c r="X41" s="3097"/>
      <c r="Y41" s="3097"/>
      <c r="Z41" s="3097"/>
      <c r="AA41" s="3097"/>
      <c r="AB41" s="3097"/>
      <c r="AC41" s="3097"/>
      <c r="AD41" s="3097"/>
      <c r="AE41" s="3103"/>
      <c r="AF41" s="3096"/>
      <c r="AG41" s="3097"/>
      <c r="AH41" s="3097"/>
      <c r="AI41" s="3097"/>
      <c r="AJ41" s="3097"/>
      <c r="AK41" s="34"/>
      <c r="AS41" s="2" t="s">
        <v>472</v>
      </c>
      <c r="AT41" s="2" t="s">
        <v>54</v>
      </c>
      <c r="AU41" s="2" t="str" cm="1">
        <f t="array" ref="AU41">fx_scenarioConverter("Actual")</f>
        <v>Actual</v>
      </c>
    </row>
    <row r="42" spans="1:47" ht="15" customHeight="1">
      <c r="A42" s="59"/>
      <c r="B42" s="59"/>
      <c r="C42" s="59"/>
      <c r="D42" s="59"/>
      <c r="E42" s="59"/>
      <c r="G42" s="45"/>
      <c r="I42" s="2043"/>
      <c r="J42" s="16"/>
      <c r="K42" s="52"/>
      <c r="L42" s="101"/>
      <c r="M42" s="126"/>
      <c r="N42" s="101"/>
      <c r="O42" s="101"/>
      <c r="P42" s="39"/>
      <c r="R42" s="56"/>
      <c r="S42" s="323"/>
      <c r="T42" s="323"/>
      <c r="U42" s="323"/>
      <c r="V42" s="323"/>
      <c r="W42" s="354"/>
      <c r="X42" s="354"/>
      <c r="Y42" s="354"/>
      <c r="Z42" s="355"/>
      <c r="AA42" s="355"/>
      <c r="AB42" s="355"/>
      <c r="AC42" s="355"/>
      <c r="AD42" s="355"/>
      <c r="AE42" s="355"/>
      <c r="AF42" s="355"/>
      <c r="AG42" s="352"/>
      <c r="AH42" s="352"/>
      <c r="AI42" s="352"/>
      <c r="AJ42" s="353"/>
      <c r="AK42" s="34"/>
      <c r="AS42" s="2" t="s">
        <v>473</v>
      </c>
      <c r="AT42" s="2" t="s">
        <v>54</v>
      </c>
      <c r="AU42" s="2" t="str" cm="1">
        <f t="array" ref="AU42">fx_scenarioConverter("LE")</f>
        <v>LE</v>
      </c>
    </row>
    <row r="43" spans="1:37" ht="15.5">
      <c r="A43" s="59"/>
      <c r="B43" s="59"/>
      <c r="C43" s="59"/>
      <c r="D43" s="59"/>
      <c r="E43" s="59"/>
      <c r="G43" s="45"/>
      <c r="I43" s="2043"/>
      <c r="J43" s="16"/>
      <c r="K43" s="101"/>
      <c r="L43" s="101"/>
      <c r="M43" s="101"/>
      <c r="N43" s="101"/>
      <c r="O43" s="101"/>
      <c r="P43" s="39"/>
      <c r="R43" s="56"/>
      <c r="S43" s="320"/>
      <c r="T43" s="320"/>
      <c r="U43" s="320"/>
      <c r="V43" s="320"/>
      <c r="W43" s="157"/>
      <c r="X43" s="157"/>
      <c r="Y43" s="157"/>
      <c r="Z43" s="157"/>
      <c r="AA43" s="157"/>
      <c r="AB43" s="157"/>
      <c r="AC43" s="3"/>
      <c r="AD43" s="3"/>
      <c r="AE43" s="157"/>
      <c r="AF43" s="157"/>
      <c r="AG43" s="157"/>
      <c r="AH43" s="157"/>
      <c r="AI43" s="157"/>
      <c r="AJ43" s="359"/>
      <c r="AK43" s="1093"/>
    </row>
    <row r="44" spans="1:67" ht="32.5">
      <c r="A44" s="59"/>
      <c r="B44" s="59"/>
      <c r="C44" s="59"/>
      <c r="D44" s="59"/>
      <c r="E44" s="59"/>
      <c r="G44" s="45"/>
      <c r="I44" s="2043"/>
      <c r="J44" s="16"/>
      <c r="K44" s="322"/>
      <c r="L44" s="322"/>
      <c r="M44" s="101"/>
      <c r="N44" s="101"/>
      <c r="O44" s="101"/>
      <c r="P44" s="39"/>
      <c r="R44" s="265"/>
      <c r="S44" s="322"/>
      <c r="T44" s="322"/>
      <c r="U44" s="24"/>
      <c r="V44" s="23" t="s">
        <v>474</v>
      </c>
      <c r="W44" s="23"/>
      <c r="X44" s="23"/>
      <c r="Y44" s="23"/>
      <c r="Z44" s="356"/>
      <c r="AA44" s="356"/>
      <c r="AB44" s="356"/>
      <c r="AC44" s="356"/>
      <c r="AD44" s="2168"/>
      <c r="AE44" s="356"/>
      <c r="AF44" s="356"/>
      <c r="AG44" s="330"/>
      <c r="AH44" s="330"/>
      <c r="AI44" s="330"/>
      <c r="AJ44" s="330"/>
      <c r="AK44" s="1094"/>
      <c r="AM44" s="23"/>
      <c r="AN44" s="23"/>
      <c r="AO44" s="23"/>
      <c r="AP44" s="356"/>
      <c r="AQ44" s="356"/>
      <c r="AR44" s="356"/>
      <c r="AS44" s="356"/>
      <c r="AT44" s="2168"/>
      <c r="AU44" s="356"/>
      <c r="AV44" s="356"/>
      <c r="AW44" s="3"/>
      <c r="AX44" s="356"/>
      <c r="AY44" s="356"/>
      <c r="AZ44" s="3"/>
      <c r="BB44" s="88"/>
      <c r="BC44" s="88"/>
      <c r="BD44" s="88"/>
      <c r="BE44" s="88"/>
      <c r="BF44" s="88"/>
      <c r="BG44" s="88"/>
      <c r="BH44" s="88"/>
      <c r="BI44" s="1314"/>
      <c r="BJ44" s="88"/>
      <c r="BK44" s="3"/>
      <c r="BL44" s="3"/>
      <c r="BM44" s="3"/>
      <c r="BN44" s="3"/>
      <c r="BO44" s="3"/>
    </row>
    <row r="45" spans="1:67" ht="18.75" customHeight="1">
      <c r="A45" s="59"/>
      <c r="B45" s="59"/>
      <c r="C45" s="59"/>
      <c r="D45" s="59"/>
      <c r="E45" s="59"/>
      <c r="G45" s="45"/>
      <c r="I45" s="2043"/>
      <c r="J45" s="16"/>
      <c r="K45" s="101"/>
      <c r="L45" s="101"/>
      <c r="M45" s="101"/>
      <c r="N45" s="101"/>
      <c r="O45" s="101"/>
      <c r="P45" s="39"/>
      <c r="R45" s="265"/>
      <c r="S45" s="319"/>
      <c r="T45" s="23"/>
      <c r="U45" s="24"/>
      <c r="V45" s="24"/>
      <c r="W45" s="23"/>
      <c r="X45" s="23"/>
      <c r="Y45" s="23"/>
      <c r="Z45" s="356"/>
      <c r="AA45" s="356"/>
      <c r="AB45" s="356"/>
      <c r="AC45" s="356"/>
      <c r="AD45" s="2209"/>
      <c r="AE45" s="356"/>
      <c r="AF45" s="356"/>
      <c r="AG45" s="330"/>
      <c r="AH45" s="330"/>
      <c r="AI45" s="330"/>
      <c r="AJ45" s="330"/>
      <c r="AK45" s="1094"/>
      <c r="AM45" s="23"/>
      <c r="AN45" s="23"/>
      <c r="AO45" s="23"/>
      <c r="AP45" s="356"/>
      <c r="AQ45" s="356"/>
      <c r="AR45" s="356"/>
      <c r="AS45" s="356"/>
      <c r="AT45" s="356"/>
      <c r="AU45" s="356"/>
      <c r="AV45" s="2192"/>
      <c r="AW45" s="3"/>
      <c r="AX45" s="2193"/>
      <c r="AY45" s="2193"/>
      <c r="AZ45" s="3"/>
      <c r="BB45" s="88"/>
      <c r="BC45" s="88"/>
      <c r="BD45" s="88"/>
      <c r="BE45" s="88"/>
      <c r="BF45" s="88"/>
      <c r="BG45" s="88"/>
      <c r="BH45" s="88"/>
      <c r="BI45" s="1314"/>
      <c r="BJ45" s="88"/>
      <c r="BK45" s="3"/>
      <c r="BL45" s="3"/>
      <c r="BM45" s="3"/>
      <c r="BN45" s="3"/>
      <c r="BO45" s="3"/>
    </row>
    <row r="46" spans="1:67" ht="28.5" customHeight="1">
      <c r="A46" s="59"/>
      <c r="B46" s="59"/>
      <c r="C46" s="59"/>
      <c r="D46" s="59"/>
      <c r="E46" s="59"/>
      <c r="G46" s="45"/>
      <c r="I46" s="2043"/>
      <c r="J46" s="16"/>
      <c r="K46" s="52"/>
      <c r="L46" s="101"/>
      <c r="M46" s="101"/>
      <c r="N46" s="101"/>
      <c r="O46" s="101"/>
      <c r="P46" s="39"/>
      <c r="R46" s="265"/>
      <c r="S46" s="319"/>
      <c r="T46" s="319"/>
      <c r="U46" s="357"/>
      <c r="V46" s="1107"/>
      <c r="W46" s="1107" t="s">
        <v>475</v>
      </c>
      <c r="X46" s="1095"/>
      <c r="Y46" s="1095"/>
      <c r="Z46" s="1095"/>
      <c r="AA46" s="1095"/>
      <c r="AB46" s="1095"/>
      <c r="AC46" s="1095"/>
      <c r="AD46" s="2210"/>
      <c r="AE46" s="1095"/>
      <c r="AF46" s="1095"/>
      <c r="AG46" s="330"/>
      <c r="AH46" s="330"/>
      <c r="AI46" s="330"/>
      <c r="AJ46" s="88"/>
      <c r="AK46" s="1091"/>
      <c r="AM46" s="1107" t="s">
        <v>476</v>
      </c>
      <c r="AN46" s="1095"/>
      <c r="AO46" s="1095"/>
      <c r="AP46" s="1095"/>
      <c r="AQ46" s="1095"/>
      <c r="AR46" s="1095"/>
      <c r="AS46" s="1095"/>
      <c r="AT46" s="1095"/>
      <c r="AU46" s="1095"/>
      <c r="AV46" s="1095"/>
      <c r="AW46" s="3"/>
      <c r="AX46" s="1095" t="s">
        <v>477</v>
      </c>
      <c r="AY46" s="1095"/>
      <c r="AZ46" s="1095"/>
      <c r="BB46" s="88"/>
      <c r="BC46" s="88"/>
      <c r="BD46" s="88"/>
      <c r="BE46" s="88"/>
      <c r="BF46" s="88"/>
      <c r="BG46" s="88"/>
      <c r="BH46" s="88"/>
      <c r="BI46" s="88"/>
      <c r="BJ46" s="88"/>
      <c r="BK46" s="3"/>
      <c r="BL46" s="3"/>
      <c r="BM46" s="3"/>
      <c r="BN46" s="3"/>
      <c r="BO46" s="3"/>
    </row>
    <row r="47" spans="1:67" ht="14.25" customHeight="1">
      <c r="A47" s="59"/>
      <c r="B47" s="67"/>
      <c r="C47" s="60"/>
      <c r="D47" s="60"/>
      <c r="E47" s="60"/>
      <c r="G47" s="45"/>
      <c r="I47" s="2043"/>
      <c r="J47" s="16"/>
      <c r="K47" s="52"/>
      <c r="L47" s="101"/>
      <c r="M47" s="101"/>
      <c r="N47" s="101"/>
      <c r="O47" s="101"/>
      <c r="P47" s="39"/>
      <c r="R47" s="265"/>
      <c r="S47" s="319"/>
      <c r="T47" s="319"/>
      <c r="U47" s="320"/>
      <c r="V47" s="320"/>
      <c r="W47" s="320"/>
      <c r="X47" s="333"/>
      <c r="Y47" s="333"/>
      <c r="Z47" s="334"/>
      <c r="AA47" s="334"/>
      <c r="AB47" s="334"/>
      <c r="AC47" s="334"/>
      <c r="AD47" s="2211"/>
      <c r="AE47" s="356"/>
      <c r="AF47" s="356"/>
      <c r="AG47" s="330"/>
      <c r="AH47" s="330"/>
      <c r="AI47" s="330"/>
      <c r="AJ47" s="360"/>
      <c r="AK47" s="1096"/>
      <c r="AM47" s="320"/>
      <c r="AN47" s="333"/>
      <c r="AO47" s="333"/>
      <c r="AP47" s="334"/>
      <c r="AQ47" s="334"/>
      <c r="AR47" s="334"/>
      <c r="AS47" s="334"/>
      <c r="AT47" s="334"/>
      <c r="AU47" s="356"/>
      <c r="AV47" s="356"/>
      <c r="AW47" s="3"/>
      <c r="AX47" s="356"/>
      <c r="AY47" s="356"/>
      <c r="AZ47" s="3"/>
      <c r="BB47" s="88"/>
      <c r="BC47" s="3130" t="s">
        <v>2196</v>
      </c>
      <c r="BD47" s="3130"/>
      <c r="BE47" s="3130"/>
      <c r="BF47" s="3130"/>
      <c r="BG47" s="3130"/>
      <c r="BH47" s="3130"/>
      <c r="BI47" s="2626"/>
      <c r="BJ47" s="2626"/>
      <c r="BK47" s="3"/>
      <c r="BL47" s="3"/>
      <c r="BM47" s="3"/>
      <c r="BN47" s="3"/>
      <c r="BO47" s="3"/>
    </row>
    <row r="48" spans="1:67" ht="23.25" customHeight="1">
      <c r="A48" s="59"/>
      <c r="B48" s="1110"/>
      <c r="C48" s="1111"/>
      <c r="D48" s="1110"/>
      <c r="E48" s="1110"/>
      <c r="G48" s="45"/>
      <c r="I48" s="2043"/>
      <c r="J48" s="16"/>
      <c r="K48" s="52"/>
      <c r="L48" s="101"/>
      <c r="M48" s="101"/>
      <c r="N48" s="101"/>
      <c r="O48" s="101"/>
      <c r="P48" s="39"/>
      <c r="R48" s="265"/>
      <c r="S48" s="319"/>
      <c r="T48" s="320"/>
      <c r="U48" s="320"/>
      <c r="V48" s="2217"/>
      <c r="W48" s="3098" t="s">
        <v>478</v>
      </c>
      <c r="X48" s="3098"/>
      <c r="Y48" s="3098"/>
      <c r="Z48" s="3098"/>
      <c r="AA48" s="2235" t="str">
        <f>$AI$4</f>
        <v>Millions</v>
      </c>
      <c r="AB48" s="2236"/>
      <c r="AC48" s="2236" t="s">
        <v>444</v>
      </c>
      <c r="AD48" s="2237" t="s">
        <v>445</v>
      </c>
      <c r="AE48" s="2236" t="s">
        <v>479</v>
      </c>
      <c r="AF48" s="1446"/>
      <c r="AG48" s="360"/>
      <c r="AH48" s="2169"/>
      <c r="AI48" s="360"/>
      <c r="AJ48" s="88"/>
      <c r="AK48" s="1094"/>
      <c r="AM48" s="3125"/>
      <c r="AN48" s="3125"/>
      <c r="AO48" s="3125"/>
      <c r="AP48" s="1043"/>
      <c r="AQ48" s="1043"/>
      <c r="AR48" s="1042"/>
      <c r="AS48" s="1042"/>
      <c r="AT48" s="1042"/>
      <c r="AU48" s="1042"/>
      <c r="AV48" s="1042"/>
      <c r="AW48" s="3"/>
      <c r="AX48" s="1446" t="s">
        <v>480</v>
      </c>
      <c r="AY48" s="1446" t="s">
        <v>445</v>
      </c>
      <c r="AZ48" s="2197" t="s">
        <v>481</v>
      </c>
      <c r="BB48" s="88"/>
      <c r="BC48" s="3130"/>
      <c r="BD48" s="3130"/>
      <c r="BE48" s="3130"/>
      <c r="BF48" s="3130"/>
      <c r="BG48" s="3130"/>
      <c r="BH48" s="3130"/>
      <c r="BI48" s="88"/>
      <c r="BJ48" s="88"/>
      <c r="BK48" s="3"/>
      <c r="BL48" s="3"/>
      <c r="BM48" s="3"/>
      <c r="BN48" s="3"/>
      <c r="BO48" s="3"/>
    </row>
    <row r="49" spans="1:67" ht="15" customHeight="1">
      <c r="A49" s="67" t="s">
        <v>246</v>
      </c>
      <c r="B49" s="81"/>
      <c r="C49" s="315" t="s">
        <v>472</v>
      </c>
      <c r="D49" s="59"/>
      <c r="E49" s="59"/>
      <c r="G49" s="45"/>
      <c r="I49" s="2043"/>
      <c r="J49" s="16"/>
      <c r="K49" s="52"/>
      <c r="L49" s="101"/>
      <c r="M49" s="101"/>
      <c r="N49" s="101"/>
      <c r="O49" s="101"/>
      <c r="P49" s="39"/>
      <c r="R49" s="265"/>
      <c r="S49" s="361"/>
      <c r="T49" s="362"/>
      <c r="U49" s="362"/>
      <c r="V49" s="2218">
        <v>-1</v>
      </c>
      <c r="W49" s="313" t="s">
        <v>482</v>
      </c>
      <c r="X49" s="313"/>
      <c r="Y49" s="313"/>
      <c r="Z49" s="314"/>
      <c r="AA49" s="2170" cm="1">
        <f t="array" ca="1" aca="1" ref="AA49">(SUM(CVC.LOOKUP2(A49,EOMONTH(val_asOfDate,_xlfn.SEQUENCE(1,12,-11,1)),fx_scenarioConverter(fx_scenarioConverter("Actual")),"Month")))</f>
        <v>0</v>
      </c>
      <c r="AB49" s="1054"/>
      <c r="AC49" s="3391" t="e">
        <f ca="1">AX49</f>
        <v>#NAME?</v>
      </c>
      <c r="AD49" s="2205" t="e">
        <f ca="1" t="shared" si="6" ref="AD49:AD50">IF(AA49="n/a","n/a",SUM(AA49,AC49))</f>
        <v>#NAME?</v>
      </c>
      <c r="AE49" s="2204" t="e">
        <f ca="1">AZ49</f>
        <v>#NAME?</v>
      </c>
      <c r="AF49" s="334"/>
      <c r="AG49" s="360"/>
      <c r="AH49" s="360"/>
      <c r="AI49" s="360"/>
      <c r="AJ49" s="88"/>
      <c r="AK49" s="1097"/>
      <c r="AM49" s="3392" t="s">
        <v>483</v>
      </c>
      <c r="AN49" s="968"/>
      <c r="AO49" s="968"/>
      <c r="AP49" s="1557" t="e" cm="1">
        <f t="array" ca="1" aca="1" ref="AP49">IF(fx_ProtectPush,_xldudf_CX_PUSH(AC49,CX_ENTITY,AM49,val_asOfDate,AT49,AU49))</f>
        <v>#NAME?</v>
      </c>
      <c r="AQ49" s="1557"/>
      <c r="AR49" s="1054"/>
      <c r="AS49" s="3393" t="s">
        <v>484</v>
      </c>
      <c r="AT49" s="3394" t="s">
        <v>54</v>
      </c>
      <c r="AU49" s="3395" t="str" cm="1">
        <f t="array" ref="AU49">fx_scenarioConverter("Actual")</f>
        <v>Actual</v>
      </c>
      <c r="AV49" s="2194" t="e" cm="1">
        <f t="array" ca="1" aca="1" ref="AV49">IF(fx_ProtectPush,_xldudf_CX_PUSH(AD49,CX_ENTITY,AS49,val_asOfDate,AT49,AU49))</f>
        <v>#NAME?</v>
      </c>
      <c r="AW49" s="3"/>
      <c r="AX49" s="2198" t="e" cm="1">
        <f t="array" ca="1" aca="1" ref="AX49">_xldudf_CX_GET(CX_ENTITY,AM49,val_asOfDate,AT49,AU49)</f>
        <v>#NAME?</v>
      </c>
      <c r="AY49" s="2199" t="e" cm="1">
        <f t="array" ca="1" aca="1" ref="AY49">_xldudf_CX_GET(CX_ENTITY,AS49,val_asOfDate,AT49,AU49)</f>
        <v>#NAME?</v>
      </c>
      <c r="AZ49" s="709" t="e" cm="1">
        <f t="array" ca="1" aca="1" ref="AZ49">_xldudf_CX_GET(CX_ENTITY,AS49,val_priorQtrEnd,AT49,AU49)</f>
        <v>#NAME?</v>
      </c>
      <c r="BB49" s="88"/>
      <c r="BC49" s="88"/>
      <c r="BD49" s="88"/>
      <c r="BE49" s="88"/>
      <c r="BF49" s="88"/>
      <c r="BG49" s="88"/>
      <c r="BH49" s="88"/>
      <c r="BI49" s="1314"/>
      <c r="BJ49" s="88"/>
      <c r="BK49" s="3"/>
      <c r="BL49" s="3"/>
      <c r="BM49" s="3"/>
      <c r="BN49" s="3"/>
      <c r="BO49" s="3"/>
    </row>
    <row r="50" spans="1:67" ht="15.75" customHeight="1">
      <c r="A50" s="1110" t="s">
        <v>200</v>
      </c>
      <c r="B50" s="1110"/>
      <c r="C50" s="1111" t="s">
        <v>472</v>
      </c>
      <c r="D50" s="1110"/>
      <c r="E50" s="1110"/>
      <c r="G50" s="45"/>
      <c r="I50" s="2043"/>
      <c r="J50" s="16"/>
      <c r="K50" s="52"/>
      <c r="L50" s="101"/>
      <c r="M50" s="101"/>
      <c r="N50" s="101"/>
      <c r="O50" s="101"/>
      <c r="P50" s="39"/>
      <c r="R50" s="56"/>
      <c r="S50" s="361"/>
      <c r="T50" s="362"/>
      <c r="U50" s="362"/>
      <c r="V50" s="3288">
        <v>1</v>
      </c>
      <c r="W50" s="313" t="s">
        <v>485</v>
      </c>
      <c r="X50" s="313"/>
      <c r="Y50" s="313"/>
      <c r="Z50" s="314"/>
      <c r="AA50" s="2170" cm="1">
        <f t="array" ca="1" aca="1" ref="AA50">SUM(CVC.LOOKUP2(A50,EOMONTH(val_asOfDate,_xlfn.SEQUENCE(1,12,-11,1)),fx_scenarioConverter(fx_scenarioConverter("Actual")),"Month"))</f>
        <v>0</v>
      </c>
      <c r="AB50" s="1054"/>
      <c r="AC50" s="3391" t="e">
        <f ca="1">AX50</f>
        <v>#NAME?</v>
      </c>
      <c r="AD50" s="2205" t="e">
        <f t="shared" ca="1" si="6"/>
        <v>#NAME?</v>
      </c>
      <c r="AE50" s="2204" t="e">
        <f ca="1">AZ50</f>
        <v>#NAME?</v>
      </c>
      <c r="AF50" s="334"/>
      <c r="AG50" s="360"/>
      <c r="AH50" s="360"/>
      <c r="AI50" s="360"/>
      <c r="AJ50" s="88"/>
      <c r="AK50" s="1097"/>
      <c r="AM50" s="3396" t="s">
        <v>486</v>
      </c>
      <c r="AN50" s="364"/>
      <c r="AO50" s="364"/>
      <c r="AP50" s="1557" t="e" cm="1">
        <f t="array" ca="1" aca="1" ref="AP50">IF(fx_ProtectPush,_xldudf_CX_PUSH(AC50,CX_ENTITY,AM50,val_asOfDate,AT50,AU50))</f>
        <v>#NAME?</v>
      </c>
      <c r="AQ50" s="1557"/>
      <c r="AR50" s="1054"/>
      <c r="AS50" s="3397" t="s">
        <v>487</v>
      </c>
      <c r="AT50" s="3398" t="s">
        <v>54</v>
      </c>
      <c r="AU50" s="3399" t="str" cm="1">
        <f t="array" ref="AU50">fx_scenarioConverter("Actual")</f>
        <v>Actual</v>
      </c>
      <c r="AV50" s="2194" t="e" cm="1">
        <f t="array" ca="1" aca="1" ref="AV50">IF(fx_ProtectPush,_xldudf_CX_PUSH(AD50,CX_ENTITY,AS50,val_asOfDate,AT50,AU50))</f>
        <v>#NAME?</v>
      </c>
      <c r="AW50" s="3"/>
      <c r="AX50" s="2198" t="e" cm="1">
        <f t="array" ca="1" aca="1" ref="AX50">_xldudf_CX_GET(CX_ENTITY,AM50,val_asOfDate,AT50,AU50)</f>
        <v>#NAME?</v>
      </c>
      <c r="AY50" s="2199" t="e" cm="1">
        <f t="array" ca="1" aca="1" ref="AY50">_xldudf_CX_GET(CX_ENTITY,AS50,val_asOfDate,AT50,AU50)</f>
        <v>#NAME?</v>
      </c>
      <c r="AZ50" s="709" t="e" cm="1">
        <f t="array" ca="1" aca="1" ref="AZ50">_xldudf_CX_GET(CX_ENTITY,AS50,val_priorQtrEnd,AT50,AU50)</f>
        <v>#NAME?</v>
      </c>
      <c r="BB50" s="88"/>
      <c r="BC50" s="289"/>
      <c r="BD50" s="289"/>
      <c r="BE50" s="289"/>
      <c r="BF50" s="289"/>
      <c r="BG50" s="289"/>
      <c r="BH50" s="289"/>
      <c r="BI50" s="289"/>
      <c r="BJ50" s="289"/>
      <c r="BK50" s="3"/>
      <c r="BL50" s="3"/>
      <c r="BM50" s="3"/>
      <c r="BN50" s="3"/>
      <c r="BO50" s="3"/>
    </row>
    <row r="51" spans="1:67" ht="18">
      <c r="A51" s="59" t="s">
        <v>488</v>
      </c>
      <c r="B51" s="1046"/>
      <c r="C51" s="1047"/>
      <c r="D51" s="1046"/>
      <c r="E51" s="1046"/>
      <c r="G51" s="1048"/>
      <c r="I51" s="2043"/>
      <c r="J51" s="16"/>
      <c r="K51" s="52"/>
      <c r="L51" s="101"/>
      <c r="M51" s="101"/>
      <c r="N51" s="101"/>
      <c r="O51" s="101"/>
      <c r="P51" s="39"/>
      <c r="R51" s="1049"/>
      <c r="S51" s="1050"/>
      <c r="T51" s="1051"/>
      <c r="U51" s="1051"/>
      <c r="V51" s="2219"/>
      <c r="W51" s="3104" t="s">
        <v>488</v>
      </c>
      <c r="X51" s="3105"/>
      <c r="Y51" s="3105"/>
      <c r="Z51" s="3105"/>
      <c r="AA51" s="2228"/>
      <c r="AB51" s="2229"/>
      <c r="AC51" s="2230"/>
      <c r="AD51" s="2259" t="str">
        <f ca="1">IFERROR(-AD50/AD49,"n/a")</f>
        <v>n/a</v>
      </c>
      <c r="AE51" s="2231"/>
      <c r="AF51" s="1052"/>
      <c r="AG51" s="1053"/>
      <c r="AH51" s="1053"/>
      <c r="AI51" s="1053"/>
      <c r="AJ51" s="755"/>
      <c r="AK51" s="1098"/>
      <c r="AM51" s="1059"/>
      <c r="AN51" s="1060"/>
      <c r="AO51" s="1060"/>
      <c r="AP51" s="1853"/>
      <c r="AQ51" s="1853"/>
      <c r="AR51" s="1852"/>
      <c r="AS51" s="3400" t="s">
        <v>489</v>
      </c>
      <c r="AT51" s="3401" t="s">
        <v>54</v>
      </c>
      <c r="AU51" s="3402" t="str" cm="1">
        <f t="array" ref="AU51">fx_scenarioConverter("Actual")</f>
        <v>Actual</v>
      </c>
      <c r="AV51" s="2195" t="e" cm="1">
        <f t="array" ca="1" aca="1" ref="AV51">IF(fx_ProtectPush,_xldudf_CX_PUSH(AD51,CX_ENTITY,AS51,val_asOfDate,AT51,AU51))</f>
        <v>#NAME?</v>
      </c>
      <c r="AW51" s="3"/>
      <c r="AX51" s="2200"/>
      <c r="AY51" s="2199" t="e" cm="1">
        <f t="array" ca="1" aca="1" ref="AY51">_xldudf_CX_GET(CX_ENTITY,AS51,val_asOfDate,AT51,AU51)</f>
        <v>#NAME?</v>
      </c>
      <c r="AZ51" s="709" t="e" cm="1">
        <f t="array" ca="1" aca="1" ref="AZ51">_xldudf_CX_GET(CX_ENTITY,AS51,val_priorQtrEnd,AT51,AU51)</f>
        <v>#NAME?</v>
      </c>
      <c r="BB51" s="88"/>
      <c r="BC51" s="2977" t="s">
        <v>155</v>
      </c>
      <c r="BD51" s="2977" t="s">
        <v>2197</v>
      </c>
      <c r="BE51" s="2977" t="s">
        <v>1880</v>
      </c>
      <c r="BF51" s="2977" t="s">
        <v>1968</v>
      </c>
      <c r="BG51" s="2977" t="s">
        <v>1940</v>
      </c>
      <c r="BH51" s="2978" t="s">
        <v>2198</v>
      </c>
      <c r="BI51" s="2979" t="s">
        <v>1957</v>
      </c>
      <c r="BJ51" s="2977" t="s">
        <v>1948</v>
      </c>
      <c r="BK51" s="3"/>
      <c r="BL51" s="3"/>
      <c r="BM51" s="3"/>
      <c r="BN51" s="3"/>
      <c r="BO51" s="3"/>
    </row>
    <row r="52" spans="1:67" ht="15" customHeight="1">
      <c r="A52" s="59"/>
      <c r="B52" s="59"/>
      <c r="C52" s="315"/>
      <c r="D52" s="59"/>
      <c r="E52" s="59"/>
      <c r="G52" s="45"/>
      <c r="I52" s="2043"/>
      <c r="J52" s="16"/>
      <c r="K52" s="52"/>
      <c r="L52" s="101"/>
      <c r="M52" s="101"/>
      <c r="N52" s="101"/>
      <c r="O52" s="101"/>
      <c r="P52" s="39"/>
      <c r="R52" s="56"/>
      <c r="S52" s="319"/>
      <c r="T52" s="320"/>
      <c r="U52" s="320"/>
      <c r="V52" s="320"/>
      <c r="W52" s="364"/>
      <c r="X52" s="363"/>
      <c r="Y52" s="363"/>
      <c r="Z52" s="88"/>
      <c r="AA52" s="1854"/>
      <c r="AB52" s="1855"/>
      <c r="AC52" s="1856"/>
      <c r="AD52" s="2212"/>
      <c r="AE52" s="334"/>
      <c r="AF52" s="334"/>
      <c r="AG52" s="360"/>
      <c r="AH52" s="360"/>
      <c r="AI52" s="360"/>
      <c r="AJ52" s="88"/>
      <c r="AK52" s="1094"/>
      <c r="AM52" s="364"/>
      <c r="AN52" s="363"/>
      <c r="AO52" s="363"/>
      <c r="AP52" s="1856"/>
      <c r="AQ52" s="1856"/>
      <c r="AR52" s="1855"/>
      <c r="AS52" s="1855"/>
      <c r="AT52" s="2190"/>
      <c r="AU52" s="2190"/>
      <c r="AV52" s="1038"/>
      <c r="AW52" s="3"/>
      <c r="AX52" s="334"/>
      <c r="AY52" s="334"/>
      <c r="AZ52" s="3"/>
      <c r="BB52" s="88"/>
      <c r="BC52" s="2980" t="str">
        <f t="shared" si="7" ref="BC52:BC115">IF($BH52="","",IF(ISNUMBER(_xlfn.XLOOKUP($BH52,X:X,AB:AB,"")),"",(_xlfn.XLOOKUP($BH52,X:X,AB:AB,""))))</f>
        <v/>
      </c>
      <c r="BD52" s="2980" t="str">
        <f t="shared" si="8" ref="BD52:BD66">val_company</f>
        <v>Therme Horizon</v>
      </c>
      <c r="BE52" s="3320">
        <v>1</v>
      </c>
      <c r="BF52" s="3320">
        <v>1</v>
      </c>
      <c r="BG52" s="2980" t="s">
        <v>1881</v>
      </c>
      <c r="BH52" s="2981" t="s">
        <v>1941</v>
      </c>
      <c r="BI52" s="2982"/>
      <c r="BJ52" s="2980"/>
      <c r="BK52" s="3"/>
      <c r="BL52" s="3"/>
      <c r="BM52" s="3"/>
      <c r="BN52" s="3"/>
      <c r="BO52" s="3"/>
    </row>
    <row r="53" spans="1:67" ht="15" customHeight="1">
      <c r="A53" s="59"/>
      <c r="B53" s="59"/>
      <c r="C53" s="315"/>
      <c r="D53" s="59"/>
      <c r="E53" s="59"/>
      <c r="G53" s="45"/>
      <c r="I53" s="2043"/>
      <c r="J53" s="16"/>
      <c r="K53" s="52"/>
      <c r="L53" s="101"/>
      <c r="M53" s="101"/>
      <c r="N53" s="101"/>
      <c r="O53" s="101"/>
      <c r="P53" s="39"/>
      <c r="R53" s="56"/>
      <c r="S53" s="319"/>
      <c r="T53" s="320"/>
      <c r="U53" s="320"/>
      <c r="V53" s="320"/>
      <c r="W53" s="364"/>
      <c r="X53" s="363"/>
      <c r="Y53" s="363"/>
      <c r="Z53" s="88"/>
      <c r="AA53" s="1854"/>
      <c r="AB53" s="1855"/>
      <c r="AC53" s="1856"/>
      <c r="AD53" s="2212"/>
      <c r="AE53" s="334"/>
      <c r="AF53" s="334"/>
      <c r="AG53" s="360"/>
      <c r="AH53" s="360"/>
      <c r="AI53" s="360"/>
      <c r="AJ53" s="88"/>
      <c r="AK53" s="1094"/>
      <c r="AM53" s="364"/>
      <c r="AN53" s="363"/>
      <c r="AO53" s="363"/>
      <c r="AP53" s="1856"/>
      <c r="AQ53" s="1856"/>
      <c r="AR53" s="1855"/>
      <c r="AS53" s="1855"/>
      <c r="AT53" s="2190"/>
      <c r="AU53" s="2190"/>
      <c r="AV53" s="1038"/>
      <c r="AW53" s="3"/>
      <c r="AX53" s="334"/>
      <c r="AY53" s="334"/>
      <c r="AZ53" s="3"/>
      <c r="BB53" s="88"/>
      <c r="BC53" s="2980" t="str">
        <f t="shared" si="7"/>
        <v/>
      </c>
      <c r="BD53" s="2980" t="str">
        <f t="shared" si="8"/>
        <v>Therme Horizon</v>
      </c>
      <c r="BE53" s="3320">
        <v>2</v>
      </c>
      <c r="BF53" s="3320">
        <v>2</v>
      </c>
      <c r="BG53" s="2980" t="s">
        <v>1882</v>
      </c>
      <c r="BH53" s="2981" t="s">
        <v>1041</v>
      </c>
      <c r="BI53" s="2983"/>
      <c r="BJ53" s="2980"/>
      <c r="BK53" s="3"/>
      <c r="BL53" s="3"/>
      <c r="BM53" s="3"/>
      <c r="BN53" s="3"/>
      <c r="BO53" s="3"/>
    </row>
    <row r="54" spans="1:67" ht="22.5" customHeight="1">
      <c r="A54" s="1110"/>
      <c r="B54" s="1110"/>
      <c r="C54" s="1110"/>
      <c r="D54" s="1110"/>
      <c r="E54" s="1110"/>
      <c r="G54" s="45"/>
      <c r="I54" s="2043"/>
      <c r="J54" s="16"/>
      <c r="K54" s="52"/>
      <c r="L54" s="101"/>
      <c r="M54" s="101"/>
      <c r="N54" s="101"/>
      <c r="O54" s="101"/>
      <c r="P54" s="39"/>
      <c r="R54" s="56"/>
      <c r="S54" s="320"/>
      <c r="T54" s="320"/>
      <c r="U54" s="320"/>
      <c r="V54" s="2217"/>
      <c r="W54" s="3098" t="s">
        <v>490</v>
      </c>
      <c r="X54" s="3098"/>
      <c r="Y54" s="3098"/>
      <c r="Z54" s="3098"/>
      <c r="AA54" s="2271" t="str">
        <f>$AI$4</f>
        <v>Millions</v>
      </c>
      <c r="AB54" s="2214"/>
      <c r="AC54" s="2214" t="s">
        <v>444</v>
      </c>
      <c r="AD54" s="2215" t="s">
        <v>445</v>
      </c>
      <c r="AE54" s="2214" t="s">
        <v>479</v>
      </c>
      <c r="AF54" s="334"/>
      <c r="AG54" s="360"/>
      <c r="AH54" s="360"/>
      <c r="AI54" s="360"/>
      <c r="AJ54" s="88"/>
      <c r="AK54" s="1094"/>
      <c r="AM54" s="2176"/>
      <c r="AN54" s="2176"/>
      <c r="AO54" s="2176"/>
      <c r="AP54" s="1042"/>
      <c r="AQ54" s="1042"/>
      <c r="AR54" s="1042"/>
      <c r="AS54" s="1042"/>
      <c r="AT54" s="1042"/>
      <c r="AU54" s="1042"/>
      <c r="AV54" s="1042"/>
      <c r="AW54" s="3"/>
      <c r="AX54" s="1042"/>
      <c r="AY54" s="1042"/>
      <c r="AZ54" s="3"/>
      <c r="BB54" s="88"/>
      <c r="BC54" s="2980" t="str">
        <f t="shared" si="7"/>
        <v/>
      </c>
      <c r="BD54" s="2980" t="str">
        <f t="shared" si="8"/>
        <v>Therme Horizon</v>
      </c>
      <c r="BE54" s="2980">
        <v>3</v>
      </c>
      <c r="BF54" s="2980">
        <v>3</v>
      </c>
      <c r="BG54" s="2980" t="s">
        <v>1883</v>
      </c>
      <c r="BH54" s="2981" t="s">
        <v>1883</v>
      </c>
      <c r="BI54" s="2982"/>
      <c r="BJ54" s="2984">
        <f>val_asOfDate</f>
        <v>46022</v>
      </c>
      <c r="BK54" s="3"/>
      <c r="BL54" s="3"/>
      <c r="BM54" s="3"/>
      <c r="BN54" s="3"/>
      <c r="BO54" s="3"/>
    </row>
    <row r="55" spans="1:67" ht="19.5" customHeight="1">
      <c r="A55" s="59" t="s">
        <v>491</v>
      </c>
      <c r="B55" s="59"/>
      <c r="C55" s="249" t="s">
        <v>492</v>
      </c>
      <c r="D55" s="59"/>
      <c r="E55" s="59"/>
      <c r="G55" s="45"/>
      <c r="I55" s="2043"/>
      <c r="J55" s="16"/>
      <c r="K55" s="52"/>
      <c r="L55" s="101"/>
      <c r="M55" s="101"/>
      <c r="N55" s="101"/>
      <c r="O55" s="101"/>
      <c r="P55" s="39"/>
      <c r="R55" s="56"/>
      <c r="S55" s="320"/>
      <c r="T55" s="320"/>
      <c r="U55" s="320"/>
      <c r="V55" s="2218">
        <v>-1</v>
      </c>
      <c r="W55" s="313" t="s">
        <v>493</v>
      </c>
      <c r="X55" s="313"/>
      <c r="Y55" s="313"/>
      <c r="Z55" s="314"/>
      <c r="AA55" s="2170" t="str" cm="1">
        <f t="array" ca="1" aca="1" ref="AA55">(CVC.LOOKUP2("Cash Interest Expense (CIE)",val_currentFYE,fx_scenarioConverter("LE"),"Year"))</f>
        <v>Date Not Found</v>
      </c>
      <c r="AB55" s="1054"/>
      <c r="AC55" s="3391" t="e">
        <f ca="1">AX55</f>
        <v>#NAME?</v>
      </c>
      <c r="AD55" s="2205" t="e">
        <f ca="1" t="shared" si="9" ref="AD55:AD56">IF(AA55="n/a","n/a",SUM(AA55,AC55))</f>
        <v>#NAME?</v>
      </c>
      <c r="AE55" s="2204" t="e">
        <f ca="1">AZ55</f>
        <v>#NAME?</v>
      </c>
      <c r="AF55" s="334"/>
      <c r="AG55" s="360"/>
      <c r="AH55" s="360"/>
      <c r="AI55" s="360"/>
      <c r="AJ55" s="88"/>
      <c r="AK55" s="1097"/>
      <c r="AM55" s="3392" t="s">
        <v>483</v>
      </c>
      <c r="AN55" s="365"/>
      <c r="AO55" s="365"/>
      <c r="AP55" s="1557" t="e" cm="1">
        <f t="array" ca="1" aca="1" ref="AP55">IF(fx_ProtectPush,_xldudf_CX_PUSH(AC55,CX_ENTITY,AM55,val_asOfDate,AT55,AU55))</f>
        <v>#NAME?</v>
      </c>
      <c r="AQ55" s="1557"/>
      <c r="AR55" s="1054"/>
      <c r="AS55" s="3393" t="s">
        <v>484</v>
      </c>
      <c r="AT55" s="3394" t="s">
        <v>54</v>
      </c>
      <c r="AU55" s="3395" t="str" cm="1">
        <f t="array" ref="AU55">fx_scenarioConverter("LE")</f>
        <v>LE</v>
      </c>
      <c r="AV55" s="2194" t="e" cm="1">
        <f t="array" ca="1" aca="1" ref="AV55">IF(fx_ProtectPush,_xldudf_CX_PUSH(AD55,CX_ENTITY,AS55,val_asOfDate,AT55,AU55))</f>
        <v>#NAME?</v>
      </c>
      <c r="AW55" s="3"/>
      <c r="AX55" s="2198" t="e" cm="1">
        <f t="array" ca="1" aca="1" ref="AX55">_xldudf_CX_GET(CX_ENTITY,AM55,val_asOfDate,AT55,AU55)</f>
        <v>#NAME?</v>
      </c>
      <c r="AY55" s="2199" t="e" cm="1">
        <f t="array" ca="1" aca="1" ref="AY55">_xldudf_CX_GET(CX_ENTITY,AS55,val_asOfDate,AT55,AU55)</f>
        <v>#NAME?</v>
      </c>
      <c r="AZ55" s="709" t="e" cm="1">
        <f t="array" ca="1" aca="1" ref="AZ55">_xldudf_CX_GET(CX_ENTITY,AS55,val_priorQtrEnd,AT55,AU55)</f>
        <v>#NAME?</v>
      </c>
      <c r="BB55" s="88"/>
      <c r="BC55" s="2980" t="str">
        <f t="shared" si="7"/>
        <v/>
      </c>
      <c r="BD55" s="2980" t="str">
        <f t="shared" si="8"/>
        <v>Therme Horizon</v>
      </c>
      <c r="BE55" s="2980">
        <v>4</v>
      </c>
      <c r="BF55" s="2980">
        <v>4</v>
      </c>
      <c r="BG55" s="2980" t="s">
        <v>1884</v>
      </c>
      <c r="BH55" s="2981"/>
      <c r="BI55" s="2983"/>
      <c r="BJ55" s="2985"/>
      <c r="BK55" s="3"/>
      <c r="BL55" s="3"/>
      <c r="BM55" s="3"/>
      <c r="BN55" s="3"/>
      <c r="BO55" s="3"/>
    </row>
    <row r="56" spans="1:67" ht="20.25" customHeight="1">
      <c r="A56" s="1110" t="s">
        <v>200</v>
      </c>
      <c r="B56" s="1110"/>
      <c r="C56" s="1112" t="s">
        <v>492</v>
      </c>
      <c r="D56" s="1110"/>
      <c r="E56" s="1110"/>
      <c r="G56" s="45"/>
      <c r="I56" s="2043"/>
      <c r="J56" s="16"/>
      <c r="K56" s="52"/>
      <c r="L56" s="101"/>
      <c r="M56" s="101"/>
      <c r="N56" s="101"/>
      <c r="O56" s="101"/>
      <c r="P56" s="39"/>
      <c r="R56" s="56"/>
      <c r="S56" s="320"/>
      <c r="T56" s="320"/>
      <c r="U56" s="320"/>
      <c r="V56" s="3288">
        <v>1</v>
      </c>
      <c r="W56" s="313" t="s">
        <v>494</v>
      </c>
      <c r="X56" s="313"/>
      <c r="Y56" s="313"/>
      <c r="Z56" s="314"/>
      <c r="AA56" s="2170" t="str" cm="1">
        <f t="array" ca="1" aca="1" ref="AA56">CVC.LOOKUP2("Adjusted EBITDA",val_currentFYE,fx_scenarioConverter("LE"),"Year")</f>
        <v>Date Not Found</v>
      </c>
      <c r="AB56" s="1054"/>
      <c r="AC56" s="3403" t="e">
        <f ca="1">AX56</f>
        <v>#NAME?</v>
      </c>
      <c r="AD56" s="2205" t="e">
        <f t="shared" ca="1" si="9"/>
        <v>#NAME?</v>
      </c>
      <c r="AE56" s="2204" t="e">
        <f ca="1">AZ56</f>
        <v>#NAME?</v>
      </c>
      <c r="AF56" s="334"/>
      <c r="AG56" s="360"/>
      <c r="AH56" s="360"/>
      <c r="AI56" s="360"/>
      <c r="AJ56" s="88"/>
      <c r="AK56" s="1097"/>
      <c r="AM56" s="3396" t="s">
        <v>486</v>
      </c>
      <c r="AN56" s="365"/>
      <c r="AO56" s="365"/>
      <c r="AP56" s="1557" t="e" cm="1">
        <f t="array" ca="1" aca="1" ref="AP56">IF(fx_ProtectPush,_xldudf_CX_PUSH(AC56,CX_ENTITY,AM56,val_asOfDate,AT56,AU56))</f>
        <v>#NAME?</v>
      </c>
      <c r="AQ56" s="1557"/>
      <c r="AR56" s="1054"/>
      <c r="AS56" s="3397" t="s">
        <v>487</v>
      </c>
      <c r="AT56" s="3398" t="s">
        <v>54</v>
      </c>
      <c r="AU56" s="3399" t="str" cm="1">
        <f t="array" ref="AU56">fx_scenarioConverter("LE")</f>
        <v>LE</v>
      </c>
      <c r="AV56" s="2194" t="e" cm="1">
        <f t="array" ca="1" aca="1" ref="AV56">IF(fx_ProtectPush,_xldudf_CX_PUSH(AD56,CX_ENTITY,AS56,val_asOfDate,AT56,AU56))</f>
        <v>#NAME?</v>
      </c>
      <c r="AW56" s="3"/>
      <c r="AX56" s="2198" t="e" cm="1">
        <f t="array" ca="1" aca="1" ref="AX56">_xldudf_CX_GET(CX_ENTITY,AM56,val_asOfDate,AT56,AU56)</f>
        <v>#NAME?</v>
      </c>
      <c r="AY56" s="2199" t="e" cm="1">
        <f t="array" ca="1" aca="1" ref="AY56">_xldudf_CX_GET(CX_ENTITY,AS56,val_asOfDate,AT56,AU56)</f>
        <v>#NAME?</v>
      </c>
      <c r="AZ56" s="709" t="e" cm="1">
        <f t="array" ca="1" aca="1" ref="AZ56">_xldudf_CX_GET(CX_ENTITY,AS56,val_priorQtrEnd,AT56,AU56)</f>
        <v>#NAME?</v>
      </c>
      <c r="BB56" s="88"/>
      <c r="BC56" s="2980" t="str">
        <f t="shared" si="7"/>
        <v/>
      </c>
      <c r="BD56" s="2980" t="str">
        <f t="shared" si="8"/>
        <v>Therme Horizon</v>
      </c>
      <c r="BE56" s="2980">
        <v>5</v>
      </c>
      <c r="BF56" s="2980">
        <v>5</v>
      </c>
      <c r="BG56" s="2980" t="s">
        <v>1885</v>
      </c>
      <c r="BH56" s="2981"/>
      <c r="BI56" s="2983"/>
      <c r="BJ56" s="2980"/>
      <c r="BK56" s="3"/>
      <c r="BL56" s="3"/>
      <c r="BM56" s="3"/>
      <c r="BN56" s="3"/>
      <c r="BO56" s="3"/>
    </row>
    <row r="57" spans="1:67" ht="18">
      <c r="A57" s="81"/>
      <c r="B57" s="81"/>
      <c r="C57" s="315"/>
      <c r="D57" s="59"/>
      <c r="E57" s="59"/>
      <c r="G57" s="45"/>
      <c r="I57" s="2043"/>
      <c r="J57" s="16"/>
      <c r="K57" s="52"/>
      <c r="L57" s="101"/>
      <c r="M57" s="101"/>
      <c r="N57" s="101"/>
      <c r="O57" s="101"/>
      <c r="P57" s="39"/>
      <c r="R57" s="368"/>
      <c r="S57" s="361"/>
      <c r="T57" s="362"/>
      <c r="U57" s="362"/>
      <c r="V57" s="2219"/>
      <c r="W57" s="3104" t="s">
        <v>495</v>
      </c>
      <c r="X57" s="3105"/>
      <c r="Y57" s="3105"/>
      <c r="Z57" s="3105"/>
      <c r="AA57" s="2228"/>
      <c r="AB57" s="2229"/>
      <c r="AC57" s="2230"/>
      <c r="AD57" s="2259" t="str">
        <f ca="1">IFERROR(-AD56/AD55,"n/a")</f>
        <v>n/a</v>
      </c>
      <c r="AE57" s="2231"/>
      <c r="AF57" s="334"/>
      <c r="AG57" s="360"/>
      <c r="AH57" s="360"/>
      <c r="AI57" s="360"/>
      <c r="AJ57" s="88"/>
      <c r="AK57" s="1097"/>
      <c r="AM57" s="1108"/>
      <c r="AN57" s="1109"/>
      <c r="AO57" s="1109"/>
      <c r="AP57" s="1857"/>
      <c r="AQ57" s="1857"/>
      <c r="AR57" s="1852"/>
      <c r="AS57" s="3404" t="s">
        <v>489</v>
      </c>
      <c r="AT57" s="3401" t="s">
        <v>54</v>
      </c>
      <c r="AU57" s="3402" t="str" cm="1">
        <f t="array" ref="AU57">fx_scenarioConverter("LE")</f>
        <v>LE</v>
      </c>
      <c r="AV57" s="2195" t="e" cm="1">
        <f t="array" ca="1" aca="1" ref="AV57">IF(fx_ProtectPush,_xldudf_CX_PUSH(AD57,CX_ENTITY,AS57,val_asOfDate,AT57,AU57))</f>
        <v>#NAME?</v>
      </c>
      <c r="AW57" s="3"/>
      <c r="AX57" s="2200"/>
      <c r="AY57" s="2199" t="e" cm="1">
        <f t="array" ca="1" aca="1" ref="AY57">_xldudf_CX_GET(CX_ENTITY,AS57,val_asOfDate,AT57,AU57)</f>
        <v>#NAME?</v>
      </c>
      <c r="AZ57" s="709" t="e" cm="1">
        <f t="array" ca="1" aca="1" ref="AZ57">_xldudf_CX_GET(CX_ENTITY,AS57,val_priorQtrEnd,AT57,AU57)</f>
        <v>#NAME?</v>
      </c>
      <c r="BB57" s="88"/>
      <c r="BC57" s="2980" t="str">
        <f t="shared" si="7"/>
        <v/>
      </c>
      <c r="BD57" s="2980" t="str">
        <f t="shared" si="8"/>
        <v>Therme Horizon</v>
      </c>
      <c r="BE57" s="2980">
        <v>6</v>
      </c>
      <c r="BF57" s="2980">
        <v>6</v>
      </c>
      <c r="BG57" s="2980" t="s">
        <v>1886</v>
      </c>
      <c r="BH57" s="2981"/>
      <c r="BI57" s="2983"/>
      <c r="BJ57" s="2980"/>
      <c r="BK57" s="3"/>
      <c r="BL57" s="3"/>
      <c r="BM57" s="3"/>
      <c r="BN57" s="3"/>
      <c r="BO57" s="3"/>
    </row>
    <row r="58" spans="1:67" ht="15.5">
      <c r="A58" s="59"/>
      <c r="B58" s="59"/>
      <c r="C58" s="315"/>
      <c r="D58" s="59"/>
      <c r="E58" s="59"/>
      <c r="G58" s="45"/>
      <c r="I58" s="2043"/>
      <c r="J58" s="16"/>
      <c r="K58" s="52"/>
      <c r="L58" s="101"/>
      <c r="M58" s="140"/>
      <c r="N58" s="101"/>
      <c r="O58" s="101"/>
      <c r="P58" s="39"/>
      <c r="R58" s="56"/>
      <c r="S58" s="319"/>
      <c r="T58" s="320"/>
      <c r="U58" s="320"/>
      <c r="V58" s="320"/>
      <c r="W58" s="313"/>
      <c r="X58" s="313"/>
      <c r="Y58" s="313"/>
      <c r="Z58" s="314"/>
      <c r="AA58" s="1558"/>
      <c r="AB58" s="1041"/>
      <c r="AC58" s="1057"/>
      <c r="AD58" s="2212"/>
      <c r="AE58" s="334"/>
      <c r="AF58" s="334"/>
      <c r="AG58" s="360"/>
      <c r="AH58" s="360"/>
      <c r="AI58" s="360"/>
      <c r="AJ58" s="88"/>
      <c r="AK58" s="1094"/>
      <c r="AM58" s="313"/>
      <c r="AN58" s="313"/>
      <c r="AO58" s="313"/>
      <c r="AP58" s="1057"/>
      <c r="AQ58" s="1057"/>
      <c r="AR58" s="1041"/>
      <c r="AS58" s="1041"/>
      <c r="AT58" s="2191"/>
      <c r="AU58" s="2191"/>
      <c r="AV58" s="1038"/>
      <c r="AW58" s="3"/>
      <c r="AX58" s="334"/>
      <c r="AY58" s="334"/>
      <c r="AZ58" s="3"/>
      <c r="BB58" s="88"/>
      <c r="BC58" s="3262" t="b">
        <f t="shared" si="7"/>
        <v>1</v>
      </c>
      <c r="BD58" s="2980" t="str">
        <f t="shared" si="8"/>
        <v>Therme Horizon</v>
      </c>
      <c r="BE58" s="2980">
        <v>7</v>
      </c>
      <c r="BF58" s="2980">
        <v>7</v>
      </c>
      <c r="BG58" s="2980" t="s">
        <v>432</v>
      </c>
      <c r="BH58" s="2986" t="s">
        <v>432</v>
      </c>
      <c r="BI58" s="2987">
        <f>IF($BC$58=TRUE,N(DebtOverview!$AN$37),"")</f>
        <v>3079.8406749999999</v>
      </c>
      <c r="BJ58" s="2980" t="s">
        <v>1947</v>
      </c>
      <c r="BK58" s="3"/>
      <c r="BL58" s="3"/>
      <c r="BM58" s="3"/>
      <c r="BN58" s="3"/>
      <c r="BO58" s="3"/>
    </row>
    <row r="59" spans="1:67" ht="15.5">
      <c r="A59" s="59"/>
      <c r="B59" s="59"/>
      <c r="C59" s="315"/>
      <c r="D59" s="59"/>
      <c r="E59" s="59"/>
      <c r="G59" s="45"/>
      <c r="I59" s="2043"/>
      <c r="J59" s="16"/>
      <c r="K59" s="52"/>
      <c r="L59" s="101"/>
      <c r="M59" s="140"/>
      <c r="N59" s="101"/>
      <c r="O59" s="101"/>
      <c r="P59" s="39"/>
      <c r="R59" s="56"/>
      <c r="S59" s="319"/>
      <c r="T59" s="320"/>
      <c r="U59" s="320"/>
      <c r="V59" s="320"/>
      <c r="W59" s="313"/>
      <c r="X59" s="313"/>
      <c r="Y59" s="313"/>
      <c r="Z59" s="314"/>
      <c r="AA59" s="1558"/>
      <c r="AB59" s="1041"/>
      <c r="AC59" s="1057"/>
      <c r="AD59" s="2212"/>
      <c r="AE59" s="334"/>
      <c r="AF59" s="334"/>
      <c r="AG59" s="360"/>
      <c r="AH59" s="360"/>
      <c r="AI59" s="360"/>
      <c r="AJ59" s="88"/>
      <c r="AK59" s="1094"/>
      <c r="AM59" s="313"/>
      <c r="AN59" s="313"/>
      <c r="AO59" s="313"/>
      <c r="AP59" s="1057"/>
      <c r="AQ59" s="1057"/>
      <c r="AR59" s="1041"/>
      <c r="AS59" s="1041"/>
      <c r="AT59" s="2191"/>
      <c r="AU59" s="2191"/>
      <c r="AV59" s="1038"/>
      <c r="AW59" s="3"/>
      <c r="AX59" s="334"/>
      <c r="AY59" s="334"/>
      <c r="AZ59" s="3"/>
      <c r="BB59" s="88"/>
      <c r="BC59" s="2980" t="b">
        <f t="shared" si="7"/>
        <v>0</v>
      </c>
      <c r="BD59" s="2980" t="str">
        <f t="shared" si="8"/>
        <v>Therme Horizon</v>
      </c>
      <c r="BE59" s="2980">
        <v>8</v>
      </c>
      <c r="BF59" s="2980">
        <v>8</v>
      </c>
      <c r="BG59" s="2980" t="s">
        <v>1718</v>
      </c>
      <c r="BH59" s="2986" t="s">
        <v>1718</v>
      </c>
      <c r="BI59" s="2987" t="str">
        <f>IF(BC59=TRUE,N(DebtOverview!$AN$53),"")</f>
        <v/>
      </c>
      <c r="BJ59" s="2980" t="s">
        <v>1947</v>
      </c>
      <c r="BK59" s="3"/>
      <c r="BL59" s="3"/>
      <c r="BM59" s="3"/>
      <c r="BN59" s="3"/>
      <c r="BO59" s="3"/>
    </row>
    <row r="60" spans="1:67" ht="20.25" customHeight="1">
      <c r="A60" s="1110"/>
      <c r="B60" s="1110"/>
      <c r="C60" s="1111"/>
      <c r="D60" s="1110"/>
      <c r="E60" s="1110"/>
      <c r="G60" s="45"/>
      <c r="I60" s="2043"/>
      <c r="J60" s="16"/>
      <c r="K60" s="52"/>
      <c r="L60" s="101"/>
      <c r="M60" s="101"/>
      <c r="N60" s="101"/>
      <c r="O60" s="101"/>
      <c r="P60" s="39"/>
      <c r="R60" s="56"/>
      <c r="S60" s="319"/>
      <c r="T60" s="320"/>
      <c r="U60" s="320"/>
      <c r="V60" s="2217"/>
      <c r="W60" s="3098" t="s">
        <v>496</v>
      </c>
      <c r="X60" s="3098"/>
      <c r="Y60" s="3098"/>
      <c r="Z60" s="3098"/>
      <c r="AA60" s="2213" t="str">
        <f>$AI$4</f>
        <v>Millions</v>
      </c>
      <c r="AB60" s="2214"/>
      <c r="AC60" s="2214" t="s">
        <v>444</v>
      </c>
      <c r="AD60" s="2215" t="s">
        <v>445</v>
      </c>
      <c r="AE60" s="2214" t="s">
        <v>479</v>
      </c>
      <c r="AF60" s="334"/>
      <c r="AG60" s="360"/>
      <c r="AH60" s="360"/>
      <c r="AI60" s="360"/>
      <c r="AJ60" s="88"/>
      <c r="AK60" s="1094"/>
      <c r="AM60" s="2177"/>
      <c r="AN60" s="2177"/>
      <c r="AO60" s="2177"/>
      <c r="AP60" s="1042"/>
      <c r="AQ60" s="1042"/>
      <c r="AR60" s="1042"/>
      <c r="AS60" s="1042"/>
      <c r="AT60" s="1042"/>
      <c r="AU60" s="1042"/>
      <c r="AV60" s="1042"/>
      <c r="AW60" s="3"/>
      <c r="AX60" s="1042"/>
      <c r="AY60" s="1042"/>
      <c r="AZ60" s="3"/>
      <c r="BB60" s="88"/>
      <c r="BC60" s="3262" t="b">
        <f t="shared" si="7"/>
        <v>1</v>
      </c>
      <c r="BD60" s="2980" t="str">
        <f t="shared" si="8"/>
        <v>Therme Horizon</v>
      </c>
      <c r="BE60" s="2980">
        <v>9</v>
      </c>
      <c r="BF60" s="2980">
        <v>9</v>
      </c>
      <c r="BG60" s="2980" t="s">
        <v>1720</v>
      </c>
      <c r="BH60" s="2986" t="s">
        <v>1720</v>
      </c>
      <c r="BI60" s="2987">
        <f>IF(BC60=TRUE,N(DebtOverview!$AN$69),"")</f>
        <v>511</v>
      </c>
      <c r="BJ60" s="2980" t="s">
        <v>1947</v>
      </c>
      <c r="BK60" s="3"/>
      <c r="BL60" s="3"/>
      <c r="BM60" s="3"/>
      <c r="BN60" s="3"/>
      <c r="BO60" s="3"/>
    </row>
    <row r="61" spans="1:67" ht="18.75" customHeight="1">
      <c r="A61" s="59" t="s">
        <v>491</v>
      </c>
      <c r="B61" s="59"/>
      <c r="C61" s="315" t="s">
        <v>470</v>
      </c>
      <c r="D61" s="59"/>
      <c r="E61" s="59"/>
      <c r="G61" s="45"/>
      <c r="I61" s="2043"/>
      <c r="J61" s="16"/>
      <c r="K61" s="52"/>
      <c r="L61" s="101"/>
      <c r="M61" s="101"/>
      <c r="N61" s="101"/>
      <c r="O61" s="101"/>
      <c r="P61" s="39"/>
      <c r="R61" s="56"/>
      <c r="S61" s="361"/>
      <c r="T61" s="362"/>
      <c r="U61" s="362"/>
      <c r="V61" s="2218">
        <v>-1</v>
      </c>
      <c r="W61" s="313" t="s">
        <v>497</v>
      </c>
      <c r="X61" s="313"/>
      <c r="Y61" s="313"/>
      <c r="Z61" s="314"/>
      <c r="AA61" s="2170" cm="1">
        <f t="array" ca="1" aca="1" ref="AA61">(4*SUM(CVC.LOOKUP2(A49,EOMONTH(val_asOfDate,_xlfn.SEQUENCE(1,3,-2,1)),fx_scenarioConverter("Actual"),"Month")))</f>
        <v>0</v>
      </c>
      <c r="AB61" s="1054"/>
      <c r="AC61" s="3391" t="e">
        <f ca="1">AX61</f>
        <v>#NAME?</v>
      </c>
      <c r="AD61" s="2205" t="e">
        <f ca="1">IF(AA61="n/a","n/a",SUM(AA61,AC61))</f>
        <v>#NAME?</v>
      </c>
      <c r="AE61" s="2204" t="e">
        <f ca="1">AZ61</f>
        <v>#NAME?</v>
      </c>
      <c r="AF61" s="334"/>
      <c r="AG61" s="360"/>
      <c r="AH61" s="360"/>
      <c r="AI61" s="360"/>
      <c r="AJ61" s="88"/>
      <c r="AK61" s="1097"/>
      <c r="AM61" s="3405" t="s">
        <v>483</v>
      </c>
      <c r="AN61" s="307"/>
      <c r="AO61" s="307"/>
      <c r="AP61" s="1557" t="e" cm="1">
        <f t="array" ca="1" aca="1" ref="AP61">IF(fx_ProtectPush,_xldudf_CX_PUSH(AC61,CX_ENTITY,AM61,val_asOfDate,AT61,AU61))</f>
        <v>#NAME?</v>
      </c>
      <c r="AQ61" s="1557"/>
      <c r="AR61" s="1054"/>
      <c r="AS61" s="3393" t="s">
        <v>484</v>
      </c>
      <c r="AT61" s="3394" t="s">
        <v>471</v>
      </c>
      <c r="AU61" s="3395" t="str" cm="1">
        <f t="array" ref="AU61">fx_scenarioConverter("Actual")</f>
        <v>Actual</v>
      </c>
      <c r="AV61" s="2194" t="e" cm="1">
        <f t="array" ca="1" aca="1" ref="AV61">IF(fx_ProtectPush,_xldudf_CX_PUSH(AD61,CX_ENTITY,AS61,val_asOfDate,AT61,AU61))</f>
        <v>#NAME?</v>
      </c>
      <c r="AW61" s="3"/>
      <c r="AX61" s="2198" t="e" cm="1">
        <f t="array" ca="1" aca="1" ref="AX61">_xldudf_CX_GET(CX_ENTITY,AM61,val_asOfDate,AT61,AU61)</f>
        <v>#NAME?</v>
      </c>
      <c r="AY61" s="2199" t="e" cm="1">
        <f t="array" ca="1" aca="1" ref="AY61">_xldudf_CX_GET(CX_ENTITY,AS61,val_asOfDate,AT61,AU61)</f>
        <v>#NAME?</v>
      </c>
      <c r="AZ61" s="709" t="e" cm="1">
        <f t="array" ca="1" aca="1" ref="AZ61">_xldudf_CX_GET(CX_ENTITY,AS61,val_priorQtrEnd,AT61,AU61)</f>
        <v>#NAME?</v>
      </c>
      <c r="BB61" s="88"/>
      <c r="BC61" s="2980" t="b">
        <f t="shared" si="7"/>
        <v>0</v>
      </c>
      <c r="BD61" s="2980" t="str">
        <f t="shared" si="8"/>
        <v>Therme Horizon</v>
      </c>
      <c r="BE61" s="2980">
        <v>10</v>
      </c>
      <c r="BF61" s="2980">
        <v>10</v>
      </c>
      <c r="BG61" s="2980" t="s">
        <v>1887</v>
      </c>
      <c r="BH61" s="2986" t="s">
        <v>435</v>
      </c>
      <c r="BI61" s="2987" t="str">
        <f>IF(BC61=TRUE,N(DebtOverview!$AN$85),"")</f>
        <v/>
      </c>
      <c r="BJ61" s="2980" t="s">
        <v>1947</v>
      </c>
      <c r="BK61" s="3"/>
      <c r="BL61" s="3"/>
      <c r="BM61" s="3"/>
      <c r="BN61" s="3"/>
      <c r="BO61" s="3"/>
    </row>
    <row r="62" spans="1:67" ht="18.75" customHeight="1">
      <c r="A62" s="1110" t="s">
        <v>200</v>
      </c>
      <c r="B62" s="1110"/>
      <c r="C62" s="1111" t="s">
        <v>470</v>
      </c>
      <c r="D62" s="1110"/>
      <c r="E62" s="1110"/>
      <c r="G62" s="45"/>
      <c r="I62" s="2043"/>
      <c r="J62" s="16"/>
      <c r="K62" s="52"/>
      <c r="L62" s="101"/>
      <c r="M62" s="101"/>
      <c r="N62" s="101"/>
      <c r="O62" s="101"/>
      <c r="P62" s="39"/>
      <c r="R62" s="56"/>
      <c r="S62" s="361"/>
      <c r="T62" s="362"/>
      <c r="U62" s="362"/>
      <c r="V62" s="3288">
        <v>1</v>
      </c>
      <c r="W62" s="313" t="s">
        <v>498</v>
      </c>
      <c r="X62" s="313"/>
      <c r="Y62" s="313"/>
      <c r="Z62" s="314"/>
      <c r="AA62" s="2170" cm="1">
        <f t="array" ca="1" aca="1" ref="AA62">4*SUM(CVC.LOOKUP2("Adjusted EBITDA",EOMONTH(val_asOfDate,_xlfn.SEQUENCE(1,3,-2,1)),fx_scenarioConverter("Actual"),"Month"))</f>
        <v>0</v>
      </c>
      <c r="AB62" s="1054"/>
      <c r="AC62" s="3403" t="e">
        <f ca="1">AX62</f>
        <v>#NAME?</v>
      </c>
      <c r="AD62" s="2205" t="e">
        <f ca="1">IF(AA62="n/a","n/a",SUM(AA62,AC62))</f>
        <v>#NAME?</v>
      </c>
      <c r="AE62" s="2204" t="e">
        <f ca="1">AZ62</f>
        <v>#NAME?</v>
      </c>
      <c r="AF62" s="334"/>
      <c r="AG62" s="360"/>
      <c r="AH62" s="360"/>
      <c r="AI62" s="360"/>
      <c r="AJ62" s="88"/>
      <c r="AK62" s="1097"/>
      <c r="AM62" s="3406" t="s">
        <v>486</v>
      </c>
      <c r="AN62" s="307"/>
      <c r="AO62" s="307"/>
      <c r="AP62" s="1557" t="e" cm="1">
        <f t="array" ca="1" aca="1" ref="AP62">IF(fx_ProtectPush,_xldudf_CX_PUSH(AC62,CX_ENTITY,AM62,val_asOfDate,AT62,AU62))</f>
        <v>#NAME?</v>
      </c>
      <c r="AQ62" s="1557"/>
      <c r="AR62" s="1054"/>
      <c r="AS62" s="3397" t="s">
        <v>487</v>
      </c>
      <c r="AT62" s="3398" t="s">
        <v>471</v>
      </c>
      <c r="AU62" s="3399" t="str" cm="1">
        <f t="array" ref="AU62">fx_scenarioConverter("Actual")</f>
        <v>Actual</v>
      </c>
      <c r="AV62" s="2194" t="e" cm="1">
        <f t="array" ca="1" aca="1" ref="AV62">IF(fx_ProtectPush,_xldudf_CX_PUSH(AD62,CX_ENTITY,AS62,val_asOfDate,AT62,AU62))</f>
        <v>#NAME?</v>
      </c>
      <c r="AW62" s="3"/>
      <c r="AX62" s="2198" t="e" cm="1">
        <f t="array" ca="1" aca="1" ref="AX62">_xldudf_CX_GET(CX_ENTITY,AM62,val_asOfDate,AT62,AU62)</f>
        <v>#NAME?</v>
      </c>
      <c r="AY62" s="2199" t="e" cm="1">
        <f t="array" ca="1" aca="1" ref="AY62">_xldudf_CX_GET(CX_ENTITY,AS62,val_asOfDate,AT62,AU62)</f>
        <v>#NAME?</v>
      </c>
      <c r="AZ62" s="709" t="e" cm="1">
        <f t="array" ca="1" aca="1" ref="AZ62">_xldudf_CX_GET(CX_ENTITY,AS62,val_priorQtrEnd,AT62,AU62)</f>
        <v>#NAME?</v>
      </c>
      <c r="BB62" s="88"/>
      <c r="BC62" s="2980" t="str">
        <f t="shared" si="7"/>
        <v/>
      </c>
      <c r="BD62" s="2980" t="str">
        <f t="shared" si="8"/>
        <v>Therme Horizon</v>
      </c>
      <c r="BE62" s="2980">
        <v>11</v>
      </c>
      <c r="BF62" s="2980">
        <v>11</v>
      </c>
      <c r="BG62" s="2980" t="s">
        <v>1888</v>
      </c>
      <c r="BH62" s="2986" t="s">
        <v>1722</v>
      </c>
      <c r="BI62" s="2987">
        <f>-N(INDEX(BS!$AD$20:$BZ$50,_xlfn.XMATCH(BH$62,BS!$B$20:$B$50,0),_xlfn.XMATCH(val_asOfDate,_xlfn.ANCHORARRAY(BS!$AD$11),0)))</f>
        <v>-4</v>
      </c>
      <c r="BJ62" s="2980" t="s">
        <v>581</v>
      </c>
      <c r="BK62" s="3"/>
      <c r="BL62" s="3"/>
      <c r="BM62" s="3"/>
      <c r="BN62" s="3"/>
      <c r="BO62" s="3"/>
    </row>
    <row r="63" spans="1:67" ht="18">
      <c r="A63" s="59"/>
      <c r="B63" s="59"/>
      <c r="C63" s="315"/>
      <c r="D63" s="59"/>
      <c r="E63" s="59"/>
      <c r="G63" s="45"/>
      <c r="I63" s="2043"/>
      <c r="J63" s="16"/>
      <c r="K63" s="52"/>
      <c r="L63" s="101"/>
      <c r="M63" s="101"/>
      <c r="N63" s="101"/>
      <c r="O63" s="101"/>
      <c r="P63" s="39"/>
      <c r="R63" s="56"/>
      <c r="S63" s="361"/>
      <c r="T63" s="362"/>
      <c r="U63" s="362"/>
      <c r="V63" s="2219"/>
      <c r="W63" s="3104" t="s">
        <v>499</v>
      </c>
      <c r="X63" s="3105"/>
      <c r="Y63" s="3105"/>
      <c r="Z63" s="3105"/>
      <c r="AA63" s="2228"/>
      <c r="AB63" s="2229"/>
      <c r="AC63" s="2230"/>
      <c r="AD63" s="2259" t="str">
        <f ca="1">IFERROR(-AD62/AD61,"n/a")</f>
        <v>n/a</v>
      </c>
      <c r="AE63" s="2231"/>
      <c r="AF63" s="334"/>
      <c r="AG63" s="360"/>
      <c r="AH63" s="360"/>
      <c r="AI63" s="360"/>
      <c r="AJ63" s="88"/>
      <c r="AK63" s="1097"/>
      <c r="AM63" s="1108"/>
      <c r="AN63" s="1109"/>
      <c r="AO63" s="1109"/>
      <c r="AP63" s="1853"/>
      <c r="AQ63" s="1853"/>
      <c r="AR63" s="1852"/>
      <c r="AS63" s="3400" t="s">
        <v>500</v>
      </c>
      <c r="AT63" s="3401" t="s">
        <v>471</v>
      </c>
      <c r="AU63" s="3402" t="str" cm="1">
        <f t="array" ref="AU63">fx_scenarioConverter("Actual")</f>
        <v>Actual</v>
      </c>
      <c r="AV63" s="2195" t="e" cm="1">
        <f t="array" ca="1" aca="1" ref="AV63">IF(fx_ProtectPush,_xldudf_CX_PUSH(AD63,CX_ENTITY,AS63,val_asOfDate,AT63,AU63))</f>
        <v>#NAME?</v>
      </c>
      <c r="AW63" s="3"/>
      <c r="AX63" s="2200"/>
      <c r="AY63" s="2199" t="e" cm="1">
        <f t="array" ca="1" aca="1" ref="AY63">_xldudf_CX_GET(CX_ENTITY,AS63,val_asOfDate,AT63,AU63)</f>
        <v>#NAME?</v>
      </c>
      <c r="AZ63" s="709" t="e" cm="1">
        <f t="array" ca="1" aca="1" ref="AZ63">_xldudf_CX_GET(CX_ENTITY,AS63,val_priorQtrEnd,AT63,AU63)</f>
        <v>#NAME?</v>
      </c>
      <c r="BB63" s="88"/>
      <c r="BC63" s="3262" t="b">
        <f t="shared" si="7"/>
        <v>1</v>
      </c>
      <c r="BD63" s="2980" t="str">
        <f t="shared" si="8"/>
        <v>Therme Horizon</v>
      </c>
      <c r="BE63" s="2980">
        <v>12</v>
      </c>
      <c r="BF63" s="2980">
        <v>12</v>
      </c>
      <c r="BG63" s="2980" t="s">
        <v>437</v>
      </c>
      <c r="BH63" s="2986" t="s">
        <v>437</v>
      </c>
      <c r="BI63" s="2987">
        <f>IF(BC63=TRUE,N(DebtOverview!$AN$117),"")</f>
        <v>0</v>
      </c>
      <c r="BJ63" s="2980" t="s">
        <v>1947</v>
      </c>
      <c r="BK63" s="3"/>
      <c r="BL63" s="3"/>
      <c r="BM63" s="3"/>
      <c r="BN63" s="3"/>
      <c r="BO63" s="3"/>
    </row>
    <row r="64" spans="1:67" ht="15" customHeight="1">
      <c r="A64" s="59"/>
      <c r="B64" s="59"/>
      <c r="C64" s="315"/>
      <c r="D64" s="59"/>
      <c r="E64" s="59"/>
      <c r="G64" s="45"/>
      <c r="I64" s="2043"/>
      <c r="J64" s="16"/>
      <c r="K64" s="52"/>
      <c r="L64" s="101"/>
      <c r="M64" s="101"/>
      <c r="N64" s="101"/>
      <c r="O64" s="101"/>
      <c r="P64" s="39"/>
      <c r="R64" s="56"/>
      <c r="S64" s="319"/>
      <c r="T64" s="320"/>
      <c r="U64" s="320"/>
      <c r="V64" s="320"/>
      <c r="W64" s="364"/>
      <c r="X64" s="363"/>
      <c r="Y64" s="363"/>
      <c r="Z64" s="88"/>
      <c r="AA64" s="1854"/>
      <c r="AB64" s="1855"/>
      <c r="AC64" s="1856"/>
      <c r="AD64" s="2212"/>
      <c r="AE64" s="334"/>
      <c r="AF64" s="334"/>
      <c r="AG64" s="360"/>
      <c r="AH64" s="360"/>
      <c r="AI64" s="360"/>
      <c r="AJ64" s="88"/>
      <c r="AK64" s="1094"/>
      <c r="AM64" s="364"/>
      <c r="AN64" s="363"/>
      <c r="AO64" s="363"/>
      <c r="AP64" s="1856"/>
      <c r="AQ64" s="1856"/>
      <c r="AR64" s="1855"/>
      <c r="AS64" s="1855"/>
      <c r="AT64" s="1854"/>
      <c r="AU64" s="1854"/>
      <c r="AV64" s="1038"/>
      <c r="AW64" s="3"/>
      <c r="AX64" s="334"/>
      <c r="AY64" s="334"/>
      <c r="AZ64" s="3"/>
      <c r="BB64" s="88"/>
      <c r="BC64" s="2980" t="str">
        <f t="shared" si="7"/>
        <v/>
      </c>
      <c r="BD64" s="2980" t="str">
        <f t="shared" si="8"/>
        <v>Therme Horizon</v>
      </c>
      <c r="BE64" s="2980">
        <v>13</v>
      </c>
      <c r="BF64" s="2980">
        <v>13</v>
      </c>
      <c r="BG64" s="2980" t="s">
        <v>1889</v>
      </c>
      <c r="BH64" s="2986" t="s">
        <v>436</v>
      </c>
      <c r="BI64" s="2987">
        <f>N(DebtOverview!$AN$101)</f>
        <v>0</v>
      </c>
      <c r="BJ64" s="2980" t="s">
        <v>1947</v>
      </c>
      <c r="BK64" s="3"/>
      <c r="BL64" s="3"/>
      <c r="BM64" s="3"/>
      <c r="BN64" s="3"/>
      <c r="BO64" s="3"/>
    </row>
    <row r="65" spans="1:67" ht="15" customHeight="1">
      <c r="A65" s="59"/>
      <c r="B65" s="59"/>
      <c r="C65" s="59"/>
      <c r="D65" s="59"/>
      <c r="E65" s="59"/>
      <c r="G65" s="45"/>
      <c r="I65" s="2043"/>
      <c r="J65" s="16"/>
      <c r="K65" s="52"/>
      <c r="L65" s="101"/>
      <c r="M65" s="101"/>
      <c r="N65" s="101"/>
      <c r="O65" s="101"/>
      <c r="P65" s="39"/>
      <c r="R65" s="56"/>
      <c r="S65" s="319"/>
      <c r="T65" s="320"/>
      <c r="U65" s="320"/>
      <c r="V65" s="320"/>
      <c r="W65" s="748"/>
      <c r="X65" s="748"/>
      <c r="Y65" s="748"/>
      <c r="Z65" s="748"/>
      <c r="AA65" s="1559"/>
      <c r="AB65" s="1039"/>
      <c r="AC65" s="311"/>
      <c r="AD65" s="1038"/>
      <c r="AE65" s="334"/>
      <c r="AF65" s="334"/>
      <c r="AG65" s="360"/>
      <c r="AH65" s="360"/>
      <c r="AI65" s="360"/>
      <c r="AJ65" s="88"/>
      <c r="AK65" s="1094"/>
      <c r="AM65" s="748"/>
      <c r="AN65" s="748"/>
      <c r="AO65" s="748"/>
      <c r="AP65" s="311"/>
      <c r="AQ65" s="311"/>
      <c r="AR65" s="1039"/>
      <c r="AS65" s="1039"/>
      <c r="AT65" s="1039"/>
      <c r="AU65" s="1039"/>
      <c r="AV65" s="1038"/>
      <c r="AW65" s="3"/>
      <c r="AX65" s="334"/>
      <c r="AY65" s="334"/>
      <c r="AZ65" s="3"/>
      <c r="BB65" s="88"/>
      <c r="BC65" s="2980" t="str">
        <f t="shared" si="7"/>
        <v/>
      </c>
      <c r="BD65" s="2980" t="str">
        <f t="shared" si="8"/>
        <v>Therme Horizon</v>
      </c>
      <c r="BE65" s="2980">
        <v>14</v>
      </c>
      <c r="BF65" s="2980">
        <v>14</v>
      </c>
      <c r="BG65" s="2980" t="s">
        <v>1890</v>
      </c>
      <c r="BH65" s="2981"/>
      <c r="BI65" s="2987"/>
      <c r="BJ65" s="2980" t="s">
        <v>1947</v>
      </c>
      <c r="BK65" s="3"/>
      <c r="BL65" s="3"/>
      <c r="BM65" s="3"/>
      <c r="BN65" s="3"/>
      <c r="BO65" s="3"/>
    </row>
    <row r="66" spans="1:67" ht="15" customHeight="1">
      <c r="A66" s="59"/>
      <c r="B66" s="59"/>
      <c r="C66" s="59"/>
      <c r="D66" s="59"/>
      <c r="E66" s="59"/>
      <c r="G66" s="45"/>
      <c r="I66" s="2043"/>
      <c r="J66" s="16"/>
      <c r="K66" s="52"/>
      <c r="L66" s="101"/>
      <c r="M66" s="101"/>
      <c r="N66" s="101"/>
      <c r="O66" s="101"/>
      <c r="P66" s="39"/>
      <c r="R66" s="56"/>
      <c r="S66" s="319"/>
      <c r="T66" s="320"/>
      <c r="U66" s="320"/>
      <c r="V66" s="320"/>
      <c r="W66" s="749"/>
      <c r="X66" s="749"/>
      <c r="Y66" s="749"/>
      <c r="Z66" s="749"/>
      <c r="AA66" s="1560"/>
      <c r="AB66" s="1040"/>
      <c r="AC66" s="312"/>
      <c r="AD66" s="312"/>
      <c r="AE66" s="334"/>
      <c r="AF66" s="334"/>
      <c r="AG66" s="360"/>
      <c r="AH66" s="360"/>
      <c r="AI66" s="360"/>
      <c r="AJ66" s="88"/>
      <c r="AK66" s="1094"/>
      <c r="AM66" s="749"/>
      <c r="AN66" s="749"/>
      <c r="AO66" s="749"/>
      <c r="AP66" s="312"/>
      <c r="AQ66" s="312"/>
      <c r="AR66" s="1040"/>
      <c r="AS66" s="1040"/>
      <c r="AT66" s="1040"/>
      <c r="AU66" s="1040"/>
      <c r="AV66" s="312"/>
      <c r="AW66" s="3"/>
      <c r="AX66" s="334"/>
      <c r="AY66" s="334"/>
      <c r="AZ66" s="3"/>
      <c r="BB66" s="88"/>
      <c r="BC66" s="2980">
        <f t="shared" si="7"/>
        <v>0</v>
      </c>
      <c r="BD66" s="2980" t="str">
        <f t="shared" si="8"/>
        <v>Therme Horizon</v>
      </c>
      <c r="BE66" s="2980">
        <v>15</v>
      </c>
      <c r="BF66" s="2980">
        <v>15</v>
      </c>
      <c r="BG66" s="2980" t="s">
        <v>1891</v>
      </c>
      <c r="BH66" s="2986" t="s">
        <v>580</v>
      </c>
      <c r="BI66" s="2987" cm="1">
        <f t="array" ref="BI66">-INDEX(BS!$AD$20:$BZ$50,_xlfn.XMATCH($BH$66,BS!$B$20:$B$50,0),_xlfn.XMATCH(val_asOfDate,_xlfn.ANCHORARRAY(BS!$AD$11),0))</f>
        <v>-6</v>
      </c>
      <c r="BJ66" s="2980" t="s">
        <v>581</v>
      </c>
      <c r="BK66" s="3"/>
      <c r="BL66" s="3"/>
      <c r="BM66" s="3"/>
      <c r="BN66" s="3"/>
      <c r="BO66" s="3"/>
    </row>
    <row r="67" spans="1:67" ht="12.75" customHeight="1">
      <c r="A67" s="59"/>
      <c r="B67" s="59"/>
      <c r="C67" s="59"/>
      <c r="D67" s="59"/>
      <c r="E67" s="59"/>
      <c r="G67" s="45"/>
      <c r="I67" s="2043"/>
      <c r="J67" s="16"/>
      <c r="K67" s="52"/>
      <c r="L67" s="101"/>
      <c r="M67" s="101"/>
      <c r="N67" s="101"/>
      <c r="O67" s="101"/>
      <c r="P67" s="39"/>
      <c r="R67" s="56"/>
      <c r="S67" s="319"/>
      <c r="T67" s="320"/>
      <c r="U67" s="320"/>
      <c r="V67" s="320"/>
      <c r="W67" s="254"/>
      <c r="X67" s="308"/>
      <c r="Y67" s="308"/>
      <c r="Z67" s="88"/>
      <c r="AA67" s="1561"/>
      <c r="AB67" s="348"/>
      <c r="AC67" s="348"/>
      <c r="AD67" s="348"/>
      <c r="AE67" s="334"/>
      <c r="AF67" s="334"/>
      <c r="AG67" s="360"/>
      <c r="AH67" s="360"/>
      <c r="AI67" s="360"/>
      <c r="AJ67" s="88"/>
      <c r="AK67" s="1094"/>
      <c r="AM67" s="254"/>
      <c r="AN67" s="308"/>
      <c r="AO67" s="308"/>
      <c r="AP67" s="348"/>
      <c r="AQ67" s="348"/>
      <c r="AR67" s="348"/>
      <c r="AS67" s="348"/>
      <c r="AT67" s="348"/>
      <c r="AU67" s="348"/>
      <c r="AV67" s="348"/>
      <c r="AW67" s="3"/>
      <c r="AX67" s="334"/>
      <c r="AY67" s="334"/>
      <c r="AZ67" s="3"/>
      <c r="BB67" s="88"/>
      <c r="BC67" s="2980" t="str">
        <f t="shared" si="7"/>
        <v/>
      </c>
      <c r="BD67" s="2980" t="str">
        <f t="shared" si="10" ref="BD67">val_company</f>
        <v>Therme Horizon</v>
      </c>
      <c r="BE67" s="2980">
        <v>16</v>
      </c>
      <c r="BF67" s="2980">
        <v>16</v>
      </c>
      <c r="BG67" s="2980" t="s">
        <v>1892</v>
      </c>
      <c r="BH67" s="2986" t="s">
        <v>455</v>
      </c>
      <c r="BI67" s="2987" cm="1">
        <f t="array" ref="BI67">-INDEX(BS!$AD$20:$BZ$50,_xlfn.XMATCH($BH$67,BS!$B$20:$B$50,0),_xlfn.XMATCH(val_asOfDate,_xlfn.ANCHORARRAY(BS!$AD$11),0))</f>
        <v>-1</v>
      </c>
      <c r="BJ67" s="2980" t="s">
        <v>581</v>
      </c>
      <c r="BK67" s="3"/>
      <c r="BL67" s="3"/>
      <c r="BM67" s="3"/>
      <c r="BN67" s="3"/>
      <c r="BO67" s="3"/>
    </row>
    <row r="68" spans="1:67" ht="15.5">
      <c r="A68" s="59"/>
      <c r="B68" s="59"/>
      <c r="C68" s="59"/>
      <c r="D68" s="59"/>
      <c r="E68" s="59"/>
      <c r="G68" s="45"/>
      <c r="I68" s="2043"/>
      <c r="J68" s="16"/>
      <c r="K68" s="52"/>
      <c r="L68" s="101"/>
      <c r="M68" s="101"/>
      <c r="N68" s="101"/>
      <c r="O68" s="101"/>
      <c r="P68" s="39"/>
      <c r="R68" s="56"/>
      <c r="S68" s="319"/>
      <c r="T68" s="319"/>
      <c r="U68" s="320"/>
      <c r="V68" s="320"/>
      <c r="W68" s="325"/>
      <c r="X68" s="325"/>
      <c r="Y68" s="325"/>
      <c r="Z68" s="340"/>
      <c r="AA68" s="1562"/>
      <c r="AB68" s="340"/>
      <c r="AC68" s="340"/>
      <c r="AD68" s="340"/>
      <c r="AE68" s="334"/>
      <c r="AF68" s="334"/>
      <c r="AG68" s="360"/>
      <c r="AH68" s="360"/>
      <c r="AI68" s="360"/>
      <c r="AJ68" s="88"/>
      <c r="AK68" s="1094"/>
      <c r="AM68" s="325"/>
      <c r="AN68" s="325"/>
      <c r="AO68" s="325"/>
      <c r="AP68" s="340"/>
      <c r="AQ68" s="340"/>
      <c r="AR68" s="340"/>
      <c r="AS68" s="340"/>
      <c r="AT68" s="340"/>
      <c r="AU68" s="340"/>
      <c r="AV68" s="340"/>
      <c r="AW68" s="3"/>
      <c r="AX68" s="334"/>
      <c r="AY68" s="334"/>
      <c r="AZ68" s="3"/>
      <c r="BB68" s="88"/>
      <c r="BC68" s="2980" t="str">
        <f t="shared" si="7"/>
        <v/>
      </c>
      <c r="BD68" s="2980" t="str">
        <f t="shared" si="11" ref="BD68">val_company</f>
        <v>Therme Horizon</v>
      </c>
      <c r="BE68" s="2980">
        <v>17</v>
      </c>
      <c r="BF68" s="2980">
        <v>17</v>
      </c>
      <c r="BG68" s="2980" t="s">
        <v>1893</v>
      </c>
      <c r="BH68" s="2986" t="s">
        <v>582</v>
      </c>
      <c r="BI68" s="2987" cm="1">
        <f t="array" ref="BI68">-INDEX(BS!$AD$20:$BZ$50,_xlfn.XMATCH($BH$68,BS!$B$20:$B$50,0),_xlfn.XMATCH(val_asOfDate,_xlfn.ANCHORARRAY(BS!$AD$11),0))</f>
        <v>-7</v>
      </c>
      <c r="BJ68" s="2980" t="s">
        <v>581</v>
      </c>
      <c r="BK68" s="3"/>
      <c r="BL68" s="3"/>
      <c r="BM68" s="3"/>
      <c r="BN68" s="3"/>
      <c r="BO68" s="3"/>
    </row>
    <row r="69" spans="1:67" ht="27" customHeight="1">
      <c r="A69" s="59"/>
      <c r="B69" s="59"/>
      <c r="C69" s="59"/>
      <c r="D69" s="59"/>
      <c r="E69" s="59"/>
      <c r="G69" s="45"/>
      <c r="I69" s="2043"/>
      <c r="J69" s="16"/>
      <c r="K69" s="52"/>
      <c r="L69" s="101"/>
      <c r="M69" s="101"/>
      <c r="N69" s="101"/>
      <c r="O69" s="101"/>
      <c r="P69" s="39"/>
      <c r="R69" s="56"/>
      <c r="S69" s="319"/>
      <c r="T69" s="319"/>
      <c r="U69" s="357"/>
      <c r="V69" s="1099"/>
      <c r="W69" s="1099" t="s">
        <v>501</v>
      </c>
      <c r="X69" s="1095"/>
      <c r="Y69" s="1095"/>
      <c r="Z69" s="1095"/>
      <c r="AA69" s="1563"/>
      <c r="AB69" s="1095"/>
      <c r="AC69" s="1095"/>
      <c r="AD69" s="1095"/>
      <c r="AE69" s="1095"/>
      <c r="AF69" s="334"/>
      <c r="AG69" s="360"/>
      <c r="AH69" s="360"/>
      <c r="AI69" s="360"/>
      <c r="AJ69" s="88"/>
      <c r="AK69" s="1091"/>
      <c r="AM69" s="1099"/>
      <c r="AN69" s="1095"/>
      <c r="AO69" s="1095"/>
      <c r="AP69" s="1095"/>
      <c r="AQ69" s="1095"/>
      <c r="AR69" s="1095"/>
      <c r="AS69" s="1095"/>
      <c r="AT69" s="1095"/>
      <c r="AU69" s="1095"/>
      <c r="AV69" s="1095"/>
      <c r="AW69" s="3"/>
      <c r="AX69" s="1095"/>
      <c r="AY69" s="1095"/>
      <c r="AZ69" s="1095"/>
      <c r="BB69" s="88"/>
      <c r="BC69" s="2980" t="str">
        <f t="shared" si="7"/>
        <v/>
      </c>
      <c r="BD69" s="2980" t="str">
        <f t="shared" si="12" ref="BD69:BD77">val_company</f>
        <v>Therme Horizon</v>
      </c>
      <c r="BE69" s="2980">
        <v>18</v>
      </c>
      <c r="BF69" s="2980">
        <v>18</v>
      </c>
      <c r="BG69" s="2980" t="s">
        <v>1894</v>
      </c>
      <c r="BH69" s="2981" t="s">
        <v>1783</v>
      </c>
      <c r="BI69" s="2987">
        <f>N(DebtOverview!$AR$19)</f>
        <v>0</v>
      </c>
      <c r="BJ69" s="2980" t="s">
        <v>1947</v>
      </c>
      <c r="BK69" s="3"/>
      <c r="BL69" s="3"/>
      <c r="BM69" s="3"/>
      <c r="BN69" s="3"/>
      <c r="BO69" s="3"/>
    </row>
    <row r="70" spans="1:67" ht="15.5">
      <c r="A70" s="59"/>
      <c r="B70" s="59"/>
      <c r="C70" s="59"/>
      <c r="D70" s="59"/>
      <c r="E70" s="59"/>
      <c r="G70" s="45"/>
      <c r="I70" s="2043"/>
      <c r="J70" s="16"/>
      <c r="K70" s="52"/>
      <c r="L70" s="101"/>
      <c r="M70" s="101"/>
      <c r="N70" s="101"/>
      <c r="O70" s="101"/>
      <c r="P70" s="39"/>
      <c r="R70" s="56"/>
      <c r="S70" s="320"/>
      <c r="T70" s="320"/>
      <c r="U70" s="320"/>
      <c r="V70" s="320"/>
      <c r="W70" s="325"/>
      <c r="X70" s="325"/>
      <c r="Y70" s="325"/>
      <c r="Z70" s="340"/>
      <c r="AA70" s="1562"/>
      <c r="AB70" s="340"/>
      <c r="AC70" s="340"/>
      <c r="AD70" s="340"/>
      <c r="AE70" s="334"/>
      <c r="AF70" s="334"/>
      <c r="AG70" s="360"/>
      <c r="AH70" s="360"/>
      <c r="AI70" s="360"/>
      <c r="AJ70" s="88"/>
      <c r="AK70" s="1094"/>
      <c r="AM70" s="325"/>
      <c r="AN70" s="325"/>
      <c r="AO70" s="325"/>
      <c r="AP70" s="340"/>
      <c r="AQ70" s="340"/>
      <c r="AR70" s="340"/>
      <c r="AS70" s="340"/>
      <c r="AT70" s="340"/>
      <c r="AU70" s="340"/>
      <c r="AV70" s="340"/>
      <c r="AW70" s="3"/>
      <c r="AX70" s="334"/>
      <c r="AY70" s="334"/>
      <c r="AZ70" s="3"/>
      <c r="BB70" s="88"/>
      <c r="BC70" s="2980" t="str">
        <f t="shared" si="7"/>
        <v/>
      </c>
      <c r="BD70" s="2980" t="str">
        <f t="shared" si="12"/>
        <v>Therme Horizon</v>
      </c>
      <c r="BE70" s="2980">
        <v>19</v>
      </c>
      <c r="BF70" s="2980">
        <v>19</v>
      </c>
      <c r="BG70" s="2980" t="s">
        <v>1809</v>
      </c>
      <c r="BH70" s="2981" t="s">
        <v>1810</v>
      </c>
      <c r="BI70" s="2987">
        <f>DebtOverview!$AN$144</f>
        <v>0</v>
      </c>
      <c r="BJ70" s="2980" t="s">
        <v>1947</v>
      </c>
      <c r="BK70" s="3"/>
      <c r="BL70" s="3"/>
      <c r="BM70" s="3"/>
      <c r="BN70" s="3"/>
      <c r="BO70" s="3"/>
    </row>
    <row r="71" spans="1:67" ht="15.5">
      <c r="A71" s="1113"/>
      <c r="B71" s="1113"/>
      <c r="C71" s="1113"/>
      <c r="D71" s="1113"/>
      <c r="E71" s="1113"/>
      <c r="G71" s="45"/>
      <c r="I71" s="2043"/>
      <c r="J71" s="16"/>
      <c r="K71" s="52"/>
      <c r="L71" s="101"/>
      <c r="M71" s="101"/>
      <c r="N71" s="101"/>
      <c r="O71" s="101"/>
      <c r="P71" s="39"/>
      <c r="R71" s="56"/>
      <c r="S71" s="320"/>
      <c r="T71" s="320"/>
      <c r="U71" s="320"/>
      <c r="V71" s="320"/>
      <c r="W71" s="320"/>
      <c r="X71" s="320"/>
      <c r="Y71" s="320"/>
      <c r="Z71" s="320"/>
      <c r="AA71" s="320"/>
      <c r="AB71" s="320"/>
      <c r="AC71" s="320"/>
      <c r="AD71" s="320"/>
      <c r="AE71" s="334"/>
      <c r="AF71" s="334"/>
      <c r="AG71" s="360"/>
      <c r="AH71" s="360"/>
      <c r="AI71" s="360"/>
      <c r="AJ71" s="88"/>
      <c r="AK71" s="1094"/>
      <c r="AM71" s="320"/>
      <c r="AN71" s="320"/>
      <c r="AO71" s="320"/>
      <c r="AP71" s="320"/>
      <c r="AQ71" s="320"/>
      <c r="AR71" s="320"/>
      <c r="AS71" s="320"/>
      <c r="AT71" s="320"/>
      <c r="AU71" s="320"/>
      <c r="AV71" s="320"/>
      <c r="AW71" s="3"/>
      <c r="AX71" s="334"/>
      <c r="AY71" s="334"/>
      <c r="AZ71" s="3"/>
      <c r="BB71" s="88"/>
      <c r="BC71" s="2980" t="str">
        <f t="shared" si="7"/>
        <v/>
      </c>
      <c r="BD71" s="2980" t="str">
        <f t="shared" si="12"/>
        <v>Therme Horizon</v>
      </c>
      <c r="BE71" s="2980">
        <v>20</v>
      </c>
      <c r="BF71" s="2980">
        <v>20</v>
      </c>
      <c r="BG71" s="2980" t="s">
        <v>437</v>
      </c>
      <c r="BH71" s="2981" t="s">
        <v>1839</v>
      </c>
      <c r="BI71" s="2987">
        <f>N(DebtOverview!$AL$213)</f>
        <v>0</v>
      </c>
      <c r="BJ71" s="2980" t="s">
        <v>1947</v>
      </c>
      <c r="BK71" s="3"/>
      <c r="BL71" s="3"/>
      <c r="BM71" s="3"/>
      <c r="BN71" s="3"/>
      <c r="BO71" s="3"/>
    </row>
    <row r="72" spans="1:67" ht="15.5">
      <c r="A72" s="1110"/>
      <c r="B72" s="1110"/>
      <c r="C72" s="1110"/>
      <c r="D72" s="1110"/>
      <c r="E72" s="1110"/>
      <c r="G72" s="45"/>
      <c r="I72" s="2043"/>
      <c r="J72" s="16"/>
      <c r="K72" s="52"/>
      <c r="L72" s="101"/>
      <c r="M72" s="101"/>
      <c r="N72" s="101"/>
      <c r="O72" s="101"/>
      <c r="P72" s="39"/>
      <c r="R72" s="56"/>
      <c r="S72" s="320"/>
      <c r="T72" s="320"/>
      <c r="U72" s="320"/>
      <c r="V72" s="2217"/>
      <c r="W72" s="3099" t="s">
        <v>502</v>
      </c>
      <c r="X72" s="3099"/>
      <c r="Y72" s="3099"/>
      <c r="Z72" s="3099"/>
      <c r="AA72" s="2220" t="str">
        <f>$AI$4</f>
        <v>Millions</v>
      </c>
      <c r="AB72" s="2221"/>
      <c r="AC72" s="2221" t="s">
        <v>444</v>
      </c>
      <c r="AD72" s="2222" t="s">
        <v>445</v>
      </c>
      <c r="AE72" s="2221" t="s">
        <v>479</v>
      </c>
      <c r="AF72" s="334"/>
      <c r="AG72" s="360"/>
      <c r="AH72" s="360"/>
      <c r="AI72" s="360"/>
      <c r="AJ72" s="88"/>
      <c r="AK72" s="1090"/>
      <c r="AM72" s="2176"/>
      <c r="AN72" s="2176"/>
      <c r="AO72" s="2176"/>
      <c r="AP72" s="1042"/>
      <c r="AQ72" s="1042"/>
      <c r="AR72" s="1042"/>
      <c r="AS72" s="1042"/>
      <c r="AT72" s="1042"/>
      <c r="AU72" s="1042"/>
      <c r="AV72" s="1042"/>
      <c r="AW72" s="3"/>
      <c r="AX72" s="1042"/>
      <c r="AY72" s="1042"/>
      <c r="AZ72" s="3"/>
      <c r="BB72" s="88"/>
      <c r="BC72" s="2980" t="str">
        <f t="shared" si="7"/>
        <v/>
      </c>
      <c r="BD72" s="2980" t="str">
        <f t="shared" si="12"/>
        <v>Therme Horizon</v>
      </c>
      <c r="BE72" s="2980">
        <v>21</v>
      </c>
      <c r="BF72" s="2980">
        <v>21</v>
      </c>
      <c r="BG72" s="2980" t="s">
        <v>1887</v>
      </c>
      <c r="BH72" s="2981"/>
      <c r="BI72" s="2987"/>
      <c r="BJ72" s="2980"/>
      <c r="BK72" s="3"/>
      <c r="BL72" s="3"/>
      <c r="BM72" s="3"/>
      <c r="BN72" s="3"/>
      <c r="BO72" s="3"/>
    </row>
    <row r="73" spans="1:67" ht="18" customHeight="1">
      <c r="A73" s="81" t="s">
        <v>503</v>
      </c>
      <c r="B73" s="81"/>
      <c r="C73" s="249" t="s">
        <v>492</v>
      </c>
      <c r="D73" s="59"/>
      <c r="E73" s="59"/>
      <c r="G73" s="45"/>
      <c r="I73" s="2043"/>
      <c r="J73" s="16"/>
      <c r="K73" s="52"/>
      <c r="L73" s="101"/>
      <c r="M73" s="101"/>
      <c r="N73" s="101"/>
      <c r="O73" s="101"/>
      <c r="P73" s="39"/>
      <c r="R73" s="56"/>
      <c r="S73" s="320"/>
      <c r="T73" s="320"/>
      <c r="U73" s="320"/>
      <c r="V73" s="3312">
        <v>1</v>
      </c>
      <c r="W73" s="313" t="s">
        <v>504</v>
      </c>
      <c r="X73" s="313"/>
      <c r="Y73" s="313"/>
      <c r="Z73" s="908"/>
      <c r="AA73" s="2171" cm="1">
        <f t="array" ca="1" aca="1" ref="AA73">N(CVC.LOOKUP2("UnLevered Free Cash Flow (UFCF)",val_currentFYE,fx_scenarioConverter("LE"),"Year"))</f>
        <v>0</v>
      </c>
      <c r="AB73" s="1054"/>
      <c r="AC73" s="3407" t="e">
        <f ca="1">AX73</f>
        <v>#NAME?</v>
      </c>
      <c r="AD73" s="2205" t="e">
        <f ca="1" t="shared" si="13" ref="AD73:AD75">IF(AA73="n/a","n/a",SUM(AA73,AC73))</f>
        <v>#NAME?</v>
      </c>
      <c r="AE73" s="2204" t="e">
        <f ca="1">AZ73</f>
        <v>#NAME?</v>
      </c>
      <c r="AF73" s="334"/>
      <c r="AG73" s="360"/>
      <c r="AH73" s="360"/>
      <c r="AI73" s="360"/>
      <c r="AJ73" s="88"/>
      <c r="AK73" s="1090"/>
      <c r="AM73" s="3405" t="s">
        <v>505</v>
      </c>
      <c r="AN73" s="313"/>
      <c r="AO73" s="313"/>
      <c r="AP73" s="1557" t="e" cm="1">
        <f t="array" ca="1" aca="1" ref="AP73">IF(fx_ProtectPush,_xldudf_CX_PUSH(AC73,CX_ENTITY,AM73,val_asOfDate,AT73,AU73))</f>
        <v>#NAME?</v>
      </c>
      <c r="AQ73" s="1557"/>
      <c r="AR73" s="1054"/>
      <c r="AS73" s="3393" t="s">
        <v>506</v>
      </c>
      <c r="AT73" s="3408" t="s">
        <v>54</v>
      </c>
      <c r="AU73" s="3409" t="str" cm="1">
        <f t="array" ref="AU73">fx_scenarioConverter("LE")</f>
        <v>LE</v>
      </c>
      <c r="AV73" s="2194" t="str" cm="1">
        <f t="array" ca="1" aca="1" ref="AV73">IF(fx_ProtectPush,IF(ISNUMBER(AD73),_xldudf_CX_PUSH(AD73,CX_ENTITY,AS73,val_asOfDate,AT73,AU73),"No Push"))</f>
        <v>No Push</v>
      </c>
      <c r="AW73" s="3"/>
      <c r="AX73" s="2198" t="e" cm="1">
        <f t="array" ca="1" aca="1" ref="AX73">_xldudf_CX_GET(CX_ENTITY,AM73,val_asOfDate,AT73,AU73)</f>
        <v>#NAME?</v>
      </c>
      <c r="AY73" s="2199" t="e" cm="1">
        <f t="array" ca="1" aca="1" ref="AY73">_xldudf_CX_GET(CX_ENTITY,AS73,val_asOfDate,AT73,AU73)</f>
        <v>#NAME?</v>
      </c>
      <c r="AZ73" s="709" t="e" cm="1">
        <f t="array" ca="1" aca="1" ref="AZ73">_xldudf_CX_GET(CX_ENTITY,AS73,val_priorQtrEnd,AT73,AU73)</f>
        <v>#NAME?</v>
      </c>
      <c r="BB73" s="88"/>
      <c r="BC73" s="3262" t="b">
        <f t="shared" si="7"/>
        <v>1</v>
      </c>
      <c r="BD73" s="2980" t="str">
        <f t="shared" si="12"/>
        <v>Therme Horizon</v>
      </c>
      <c r="BE73" s="2980">
        <v>22</v>
      </c>
      <c r="BF73" s="2980">
        <v>22</v>
      </c>
      <c r="BG73" s="2980" t="s">
        <v>1895</v>
      </c>
      <c r="BH73" s="2981" t="str">
        <f>$X$29</f>
        <v>Gross Debt for leverage - Holdco</v>
      </c>
      <c r="BI73" s="2987">
        <f>SUM(BI70:BI72)</f>
        <v>0</v>
      </c>
      <c r="BJ73" s="2980" t="s">
        <v>1947</v>
      </c>
      <c r="BK73" s="3"/>
      <c r="BL73" s="3"/>
      <c r="BM73" s="3"/>
      <c r="BN73" s="3"/>
      <c r="BO73" s="3"/>
    </row>
    <row r="74" spans="1:67" ht="18" customHeight="1">
      <c r="A74" s="59" t="s">
        <v>491</v>
      </c>
      <c r="B74" s="59"/>
      <c r="C74" s="249" t="s">
        <v>492</v>
      </c>
      <c r="D74" s="59"/>
      <c r="E74" s="59"/>
      <c r="G74" s="45"/>
      <c r="I74" s="2043"/>
      <c r="J74" s="16"/>
      <c r="K74" s="52"/>
      <c r="L74" s="101"/>
      <c r="M74" s="101"/>
      <c r="N74" s="101"/>
      <c r="O74" s="101"/>
      <c r="P74" s="39"/>
      <c r="R74" s="56"/>
      <c r="S74" s="320"/>
      <c r="T74" s="320"/>
      <c r="U74" s="320"/>
      <c r="V74" s="2218">
        <v>-1</v>
      </c>
      <c r="W74" s="313" t="s">
        <v>493</v>
      </c>
      <c r="X74" s="313"/>
      <c r="Y74" s="313"/>
      <c r="Z74" s="908"/>
      <c r="AA74" s="2173" cm="1">
        <f t="array" ca="1" aca="1" ref="AA74">N(CVC.LOOKUP2("Cash Interest Expense (CIE)",val_currentFYE,fx_scenarioConverter("LE"),"Year"))</f>
        <v>0</v>
      </c>
      <c r="AB74" s="1054"/>
      <c r="AC74" s="2256" t="e">
        <f ca="1">$AC$55</f>
        <v>#NAME?</v>
      </c>
      <c r="AD74" s="2205" t="e">
        <f ca="1">IF(AA74="n/a","n/a",SUM(AA74,AC74))</f>
        <v>#NAME?</v>
      </c>
      <c r="AE74" s="2204" t="e">
        <f ca="1">AZ74</f>
        <v>#NAME?</v>
      </c>
      <c r="AF74" s="334"/>
      <c r="AG74" s="360"/>
      <c r="AH74" s="360"/>
      <c r="AI74" s="360"/>
      <c r="AJ74" s="88"/>
      <c r="AK74" s="1090"/>
      <c r="AM74" s="253" t="s">
        <v>483</v>
      </c>
      <c r="AN74" s="313"/>
      <c r="AO74" s="313"/>
      <c r="AP74" s="314"/>
      <c r="AQ74" s="314"/>
      <c r="AR74" s="1054"/>
      <c r="AS74" s="3397" t="s">
        <v>484</v>
      </c>
      <c r="AT74" s="3410" t="s">
        <v>54</v>
      </c>
      <c r="AU74" s="3411" t="str" cm="1">
        <f t="array" ref="AU74">fx_scenarioConverter("LE")</f>
        <v>LE</v>
      </c>
      <c r="AV74" s="2194" t="str" cm="1">
        <f t="array" ca="1" aca="1" ref="AV74">IF(fx_ProtectPush,IF(ISNUMBER(AD74),_xldudf_CX_PUSH(AD74,CX_ENTITY,AS74,val_asOfDate,AT74,AU74),"No Push"))</f>
        <v>No Push</v>
      </c>
      <c r="AW74" s="3"/>
      <c r="AX74" s="2198" t="e" cm="1">
        <f t="array" ca="1" aca="1" ref="AX74">_xldudf_CX_GET(CX_ENTITY,AM74,val_asOfDate,AT74,AU74)</f>
        <v>#NAME?</v>
      </c>
      <c r="AY74" s="2199" t="e" cm="1">
        <f t="array" ca="1" aca="1" ref="AY74">_xldudf_CX_GET(CX_ENTITY,AS74,val_asOfDate,AT74,AU74)</f>
        <v>#NAME?</v>
      </c>
      <c r="AZ74" s="709" t="e" cm="1">
        <f t="array" ca="1" aca="1" ref="AZ74">_xldudf_CX_GET(CX_ENTITY,AS74,val_priorQtrEnd,AT74,AU74)</f>
        <v>#NAME?</v>
      </c>
      <c r="BB74" s="88"/>
      <c r="BC74" s="3262" t="b">
        <f t="shared" si="7"/>
        <v>1</v>
      </c>
      <c r="BD74" s="2980" t="str">
        <f t="shared" si="12"/>
        <v>Therme Horizon</v>
      </c>
      <c r="BE74" s="2980">
        <v>23</v>
      </c>
      <c r="BF74" s="2980">
        <v>23</v>
      </c>
      <c r="BG74" s="2980" t="s">
        <v>1896</v>
      </c>
      <c r="BH74" s="2981" t="str">
        <f>$X$30</f>
        <v>Cash and Equivalents - Holdco</v>
      </c>
      <c r="BI74" s="2987">
        <f>IF(BC74=TRUE,SUM(DebtOverview!AN166:AN175),"")</f>
        <v>0</v>
      </c>
      <c r="BJ74" s="2980" t="s">
        <v>1947</v>
      </c>
      <c r="BK74" s="3"/>
      <c r="BL74" s="3"/>
      <c r="BM74" s="3"/>
      <c r="BN74" s="3"/>
      <c r="BO74" s="3"/>
    </row>
    <row r="75" spans="1:67" ht="18" customHeight="1">
      <c r="A75" s="1110" t="s">
        <v>507</v>
      </c>
      <c r="B75" s="1110"/>
      <c r="C75" s="1112" t="s">
        <v>492</v>
      </c>
      <c r="D75" s="1110"/>
      <c r="E75" s="1110"/>
      <c r="G75" s="45"/>
      <c r="I75" s="2043"/>
      <c r="J75" s="16"/>
      <c r="K75" s="52"/>
      <c r="L75" s="101"/>
      <c r="M75" s="101"/>
      <c r="N75" s="101"/>
      <c r="O75" s="101"/>
      <c r="P75" s="39"/>
      <c r="R75" s="56"/>
      <c r="S75" s="320"/>
      <c r="T75" s="320"/>
      <c r="U75" s="320"/>
      <c r="V75" s="2218">
        <v>-1</v>
      </c>
      <c r="W75" s="313" t="s">
        <v>508</v>
      </c>
      <c r="X75" s="313"/>
      <c r="Y75" s="313"/>
      <c r="Z75" s="908"/>
      <c r="AA75" s="2171" cm="1">
        <f t="array" ca="1" aca="1" ref="AA75">N(CVC.LOOKUP2("Principal Repayments",val_currentFYE,fx_scenarioConverter("LE"),"Year"))</f>
        <v>0</v>
      </c>
      <c r="AB75" s="1054"/>
      <c r="AC75" s="3407" t="e">
        <f ca="1">AX75</f>
        <v>#NAME?</v>
      </c>
      <c r="AD75" s="2205" t="e">
        <f t="shared" ca="1" si="13"/>
        <v>#NAME?</v>
      </c>
      <c r="AE75" s="2204" t="e">
        <f ca="1">AZ75</f>
        <v>#NAME?</v>
      </c>
      <c r="AF75" s="334"/>
      <c r="AG75" s="360"/>
      <c r="AH75" s="360"/>
      <c r="AI75" s="360"/>
      <c r="AJ75" s="88"/>
      <c r="AK75" s="1090"/>
      <c r="AM75" s="3412" t="s">
        <v>509</v>
      </c>
      <c r="AN75" s="313"/>
      <c r="AO75" s="313"/>
      <c r="AP75" s="1557" t="e" cm="1">
        <f t="array" ca="1" aca="1" ref="AP75">IF(fx_ProtectPush,_xldudf_CX_PUSH(AC75,CX_ENTITY,AM75,val_asOfDate,AT75,AU75))</f>
        <v>#NAME?</v>
      </c>
      <c r="AQ75" s="1557"/>
      <c r="AR75" s="1054"/>
      <c r="AS75" s="3412" t="s">
        <v>510</v>
      </c>
      <c r="AT75" s="3410" t="s">
        <v>54</v>
      </c>
      <c r="AU75" s="3411" t="str" cm="1">
        <f t="array" ref="AU75">fx_scenarioConverter("LE")</f>
        <v>LE</v>
      </c>
      <c r="AV75" s="2194" t="str" cm="1">
        <f t="array" ca="1" aca="1" ref="AV75">IF(fx_ProtectPush,IF(ISNUMBER(AD75),_xldudf_CX_PUSH(AD75,CX_ENTITY,AS75,val_asOfDate,AT75,AU75),"No Push"))</f>
        <v>No Push</v>
      </c>
      <c r="AW75" s="3"/>
      <c r="AX75" s="2198" t="e" cm="1">
        <f t="array" ca="1" aca="1" ref="AX75">_xldudf_CX_GET(CX_ENTITY,AM75,val_asOfDate,AT75,AU75)</f>
        <v>#NAME?</v>
      </c>
      <c r="AY75" s="2199" t="e" cm="1">
        <f t="array" ca="1" aca="1" ref="AY75">_xldudf_CX_GET(CX_ENTITY,AS75,val_asOfDate,AT75,AU75)</f>
        <v>#NAME?</v>
      </c>
      <c r="AZ75" s="709" t="e" cm="1">
        <f t="array" ca="1" aca="1" ref="AZ75">_xldudf_CX_GET(CX_ENTITY,AS75,val_priorQtrEnd,AT75,AU75)</f>
        <v>#NAME?</v>
      </c>
      <c r="BB75" s="88"/>
      <c r="BC75" s="2980">
        <f t="shared" si="7"/>
        <v>0</v>
      </c>
      <c r="BD75" s="2980" t="str">
        <f t="shared" si="12"/>
        <v>Therme Horizon</v>
      </c>
      <c r="BE75" s="2980">
        <v>24</v>
      </c>
      <c r="BF75" s="2980">
        <v>24</v>
      </c>
      <c r="BG75" s="2980" t="s">
        <v>1897</v>
      </c>
      <c r="BH75" s="2988" t="str">
        <f>$X$32</f>
        <v>Total Net Debt for leverage (HoldCo)</v>
      </c>
      <c r="BI75" s="2987">
        <f>BI73-BI74</f>
        <v>0</v>
      </c>
      <c r="BJ75" s="2980" t="s">
        <v>1947</v>
      </c>
      <c r="BK75" s="3"/>
      <c r="BL75" s="3"/>
      <c r="BM75" s="3"/>
      <c r="BN75" s="3"/>
      <c r="BO75" s="3"/>
    </row>
    <row r="76" spans="1:67" ht="15.5">
      <c r="A76" s="81"/>
      <c r="B76" s="81"/>
      <c r="C76" s="315"/>
      <c r="D76" s="59"/>
      <c r="E76" s="59"/>
      <c r="G76" s="45"/>
      <c r="I76" s="2043"/>
      <c r="J76" s="16"/>
      <c r="K76" s="52"/>
      <c r="L76" s="101"/>
      <c r="M76" s="101"/>
      <c r="N76" s="101"/>
      <c r="O76" s="101"/>
      <c r="P76" s="39"/>
      <c r="R76" s="368"/>
      <c r="S76" s="361"/>
      <c r="T76" s="362"/>
      <c r="U76" s="362"/>
      <c r="V76" s="2219"/>
      <c r="W76" s="2225" t="s">
        <v>511</v>
      </c>
      <c r="X76" s="2226"/>
      <c r="Y76" s="2226"/>
      <c r="Z76" s="2233"/>
      <c r="AA76" s="2233"/>
      <c r="AB76" s="2233"/>
      <c r="AC76" s="2230"/>
      <c r="AD76" s="2259" t="e">
        <f ca="1">IF(AND(SUM(AD74,AD75)&lt;0,AD73&gt;0),AD73/-SUM(AD74,AD75),"n/a")</f>
        <v>#NAME?</v>
      </c>
      <c r="AE76" s="2234"/>
      <c r="AF76" s="334"/>
      <c r="AG76" s="360"/>
      <c r="AH76" s="360"/>
      <c r="AI76" s="360"/>
      <c r="AJ76" s="88"/>
      <c r="AK76" s="1097"/>
      <c r="AM76" s="1108"/>
      <c r="AN76" s="1109"/>
      <c r="AO76" s="1109"/>
      <c r="AP76" s="1857"/>
      <c r="AQ76" s="1857"/>
      <c r="AR76" s="1852"/>
      <c r="AS76" s="3400" t="s">
        <v>512</v>
      </c>
      <c r="AT76" s="3400" t="s">
        <v>54</v>
      </c>
      <c r="AU76" s="3413" t="str" cm="1">
        <f t="array" ref="AU76">fx_scenarioConverter("LE")</f>
        <v>LE</v>
      </c>
      <c r="AV76" s="2194" t="str" cm="1">
        <f t="array" ca="1" aca="1" ref="AV76">IF(fx_ProtectPush,IF(ISNUMBER(AD76),_xldudf_CX_PUSH(AD76,CX_ENTITY,AS76,val_asOfDate,AT76,AU76),"No Push"))</f>
        <v>No Push</v>
      </c>
      <c r="AW76" s="3"/>
      <c r="AX76" s="2198"/>
      <c r="AY76" s="2199" t="e" cm="1">
        <f t="array" ca="1" aca="1" ref="AY76">_xldudf_CX_GET(CX_ENTITY,AS76,val_asOfDate,AT76,AU76)</f>
        <v>#NAME?</v>
      </c>
      <c r="AZ76" s="709" t="e" cm="1">
        <f t="array" ca="1" aca="1" ref="AZ76">_xldudf_CX_GET(CX_ENTITY,AS76,val_priorQtrEnd,AT76,AU76)</f>
        <v>#NAME?</v>
      </c>
      <c r="BB76" s="88"/>
      <c r="BC76" s="2980" t="str">
        <f t="shared" si="7"/>
        <v/>
      </c>
      <c r="BD76" s="2980" t="str">
        <f t="shared" si="12"/>
        <v>Therme Horizon</v>
      </c>
      <c r="BE76" s="2980">
        <v>25</v>
      </c>
      <c r="BF76" s="2980">
        <v>25</v>
      </c>
      <c r="BG76" s="2980" t="s">
        <v>1898</v>
      </c>
      <c r="BH76" s="2980" t="s">
        <v>1898</v>
      </c>
      <c r="BI76" s="2987">
        <f>DebtOverview!AR19</f>
        <v>0</v>
      </c>
      <c r="BJ76" s="2980" t="s">
        <v>1947</v>
      </c>
      <c r="BK76" s="3"/>
      <c r="BL76" s="3"/>
      <c r="BM76" s="3"/>
      <c r="BN76" s="3"/>
      <c r="BO76" s="3"/>
    </row>
    <row r="77" spans="1:67" ht="15.5">
      <c r="A77" s="59"/>
      <c r="B77" s="59"/>
      <c r="C77" s="59"/>
      <c r="D77" s="59"/>
      <c r="E77" s="59"/>
      <c r="G77" s="45"/>
      <c r="I77" s="2043"/>
      <c r="J77" s="16"/>
      <c r="K77" s="52"/>
      <c r="L77" s="101"/>
      <c r="M77" s="101"/>
      <c r="N77" s="101"/>
      <c r="O77" s="101"/>
      <c r="P77" s="39"/>
      <c r="R77" s="56"/>
      <c r="S77" s="320"/>
      <c r="T77" s="320"/>
      <c r="U77" s="320"/>
      <c r="V77" s="320"/>
      <c r="W77" s="320"/>
      <c r="X77" s="340"/>
      <c r="Y77" s="340"/>
      <c r="Z77" s="340"/>
      <c r="AA77" s="1562"/>
      <c r="AB77" s="340"/>
      <c r="AC77" s="340"/>
      <c r="AD77" s="340"/>
      <c r="AE77" s="334"/>
      <c r="AF77" s="334"/>
      <c r="AG77" s="360"/>
      <c r="AH77" s="360"/>
      <c r="AI77" s="360"/>
      <c r="AJ77" s="88"/>
      <c r="AK77" s="1090"/>
      <c r="AM77" s="340"/>
      <c r="AN77" s="340"/>
      <c r="AO77" s="340"/>
      <c r="AP77" s="340"/>
      <c r="AQ77" s="340"/>
      <c r="AR77" s="340"/>
      <c r="AS77" s="340"/>
      <c r="AT77" s="340"/>
      <c r="AU77" s="340"/>
      <c r="AV77" s="340"/>
      <c r="AW77" s="3"/>
      <c r="AX77" s="334"/>
      <c r="AY77" s="334"/>
      <c r="AZ77" s="3"/>
      <c r="BB77" s="88"/>
      <c r="BC77" s="2980" t="str">
        <f t="shared" si="7"/>
        <v/>
      </c>
      <c r="BD77" s="2980" t="str">
        <f t="shared" si="12"/>
        <v>Therme Horizon</v>
      </c>
      <c r="BE77" s="2980" t="s">
        <v>1994</v>
      </c>
      <c r="BF77" s="2980" t="s">
        <v>1994</v>
      </c>
      <c r="BG77" s="2980" t="s">
        <v>1899</v>
      </c>
      <c r="BH77" s="2980" t="s">
        <v>1899</v>
      </c>
      <c r="BI77" s="2987" cm="1">
        <f t="array" ref="BI77">SUM(_xlfn._xlws.FILTER(DebtOverview!$AN$124:$AN$134,DebtOverview!$AP$124:$AP$134&gt;val_asOfDate))</f>
        <v>2500.9081611856</v>
      </c>
      <c r="BJ77" s="2980" t="s">
        <v>1947</v>
      </c>
      <c r="BK77" s="3"/>
      <c r="BL77" s="3"/>
      <c r="BM77" s="3"/>
      <c r="BN77" s="3"/>
      <c r="BO77" s="3"/>
    </row>
    <row r="78" spans="1:67" ht="15" customHeight="1">
      <c r="A78" s="1110"/>
      <c r="B78" s="1110"/>
      <c r="C78" s="1110"/>
      <c r="D78" s="1110"/>
      <c r="E78" s="1110"/>
      <c r="G78" s="45"/>
      <c r="I78" s="2043"/>
      <c r="J78" s="16"/>
      <c r="K78" s="52"/>
      <c r="L78" s="101"/>
      <c r="M78" s="101"/>
      <c r="N78" s="101"/>
      <c r="O78" s="101"/>
      <c r="P78" s="39"/>
      <c r="R78" s="56"/>
      <c r="S78" s="319"/>
      <c r="T78" s="320"/>
      <c r="U78" s="320"/>
      <c r="V78" s="2217"/>
      <c r="W78" s="3100" t="s">
        <v>513</v>
      </c>
      <c r="X78" s="3100"/>
      <c r="Y78" s="3100"/>
      <c r="Z78" s="2223"/>
      <c r="AA78" s="2220" t="str">
        <f>$AI$4</f>
        <v>Millions</v>
      </c>
      <c r="AB78" s="2221"/>
      <c r="AC78" s="2221" t="s">
        <v>444</v>
      </c>
      <c r="AD78" s="2221" t="s">
        <v>445</v>
      </c>
      <c r="AE78" s="2221" t="s">
        <v>479</v>
      </c>
      <c r="AF78" s="334"/>
      <c r="AG78" s="360"/>
      <c r="AH78" s="360"/>
      <c r="AI78" s="360"/>
      <c r="AJ78" s="88"/>
      <c r="AK78" s="1094"/>
      <c r="AM78" s="2177"/>
      <c r="AN78" s="2177"/>
      <c r="AO78" s="2177"/>
      <c r="AP78" s="1042"/>
      <c r="AQ78" s="1042"/>
      <c r="AR78" s="1042"/>
      <c r="AS78" s="1042"/>
      <c r="AT78" s="1042"/>
      <c r="AU78" s="1042"/>
      <c r="AV78" s="1042"/>
      <c r="AW78" s="3"/>
      <c r="AX78" s="1042"/>
      <c r="AY78" s="1042"/>
      <c r="AZ78" s="3"/>
      <c r="BB78" s="88"/>
      <c r="BC78" s="2980" t="str">
        <f t="shared" si="7"/>
        <v/>
      </c>
      <c r="BD78" s="2980" t="str">
        <f t="shared" si="14" ref="BD78">val_company</f>
        <v>Therme Horizon</v>
      </c>
      <c r="BE78" s="2980" t="s">
        <v>1995</v>
      </c>
      <c r="BF78" s="2980" t="s">
        <v>1995</v>
      </c>
      <c r="BG78" s="2980" t="s">
        <v>1900</v>
      </c>
      <c r="BH78" s="2980" t="s">
        <v>1900</v>
      </c>
      <c r="BI78" s="2987" cm="1">
        <f t="array" ref="BI78">SUM(_xlfn._xlws.FILTER(DebtOverview!$AN$184:$AN$194,DebtOverview!$AP$184:$AP$194&gt;val_asOfDate))</f>
        <v>0</v>
      </c>
      <c r="BJ78" s="2980" t="s">
        <v>1947</v>
      </c>
      <c r="BK78" s="3"/>
      <c r="BL78" s="3"/>
      <c r="BM78" s="3"/>
      <c r="BN78" s="3"/>
      <c r="BO78" s="3"/>
    </row>
    <row r="79" spans="1:67" ht="17.25" customHeight="1">
      <c r="A79" s="81" t="s">
        <v>503</v>
      </c>
      <c r="B79" s="81"/>
      <c r="C79" s="315" t="s">
        <v>472</v>
      </c>
      <c r="D79" s="59"/>
      <c r="E79" s="59"/>
      <c r="G79" s="45"/>
      <c r="I79" s="2043"/>
      <c r="J79" s="16"/>
      <c r="K79" s="52"/>
      <c r="L79" s="101"/>
      <c r="M79" s="101"/>
      <c r="N79" s="101"/>
      <c r="O79" s="101"/>
      <c r="P79" s="39"/>
      <c r="R79" s="56"/>
      <c r="S79" s="319"/>
      <c r="T79" s="320"/>
      <c r="U79" s="320"/>
      <c r="V79" s="3312">
        <v>1</v>
      </c>
      <c r="W79" s="253" t="s">
        <v>514</v>
      </c>
      <c r="X79" s="307"/>
      <c r="Y79" s="307"/>
      <c r="Z79" s="157"/>
      <c r="AA79" s="2171" cm="1">
        <f t="array" ca="1" aca="1" ref="AA79">N(SUM(CVC.LOOKUP2("UnLevered Free Cash Flow (UFCF)",EOMONTH(val_asOfDate,_xlfn.SEQUENCE(1,12,-11,1)),fx_scenarioConverter(fx_scenarioConverter("Actual")),"Month")))</f>
        <v>0</v>
      </c>
      <c r="AB79" s="1054"/>
      <c r="AC79" s="3391" t="e">
        <f ca="1" t="shared" si="15" ref="AC79:AC81">AX79</f>
        <v>#NAME?</v>
      </c>
      <c r="AD79" s="2205" t="e">
        <f ca="1" t="shared" si="16" ref="AD79:AD81">IF(AA79="n/a","n/a",SUM(AA79,AC79))</f>
        <v>#NAME?</v>
      </c>
      <c r="AE79" s="2204" t="e">
        <f ca="1">AZ79</f>
        <v>#NAME?</v>
      </c>
      <c r="AF79" s="334"/>
      <c r="AG79" s="360"/>
      <c r="AH79" s="360"/>
      <c r="AI79" s="360"/>
      <c r="AJ79" s="88"/>
      <c r="AK79" s="1094"/>
      <c r="AM79" s="3405" t="s">
        <v>505</v>
      </c>
      <c r="AN79" s="307"/>
      <c r="AO79" s="307"/>
      <c r="AP79" s="1557" t="e" cm="1">
        <f t="array" ca="1" aca="1" ref="AP79">IF(fx_ProtectPush,_xldudf_CX_PUSH(AC79,CX_ENTITY,AM79,val_asOfDate,AT79,AU79))</f>
        <v>#NAME?</v>
      </c>
      <c r="AQ79" s="1557"/>
      <c r="AR79" s="1054"/>
      <c r="AS79" s="3393" t="s">
        <v>506</v>
      </c>
      <c r="AT79" s="3408" t="s">
        <v>54</v>
      </c>
      <c r="AU79" s="3409" t="str" cm="1">
        <f t="array" ref="AU79">fx_scenarioConverter("Actual")</f>
        <v>Actual</v>
      </c>
      <c r="AV79" s="2194" t="str" cm="1">
        <f t="array" ca="1" aca="1" ref="AV79">IF(fx_ProtectPush,IF(ISNUMBER(AD79),_xldudf_CX_PUSH(AD79,CX_ENTITY,AS79,val_asOfDate,AT79,AU79),"No Push"))</f>
        <v>No Push</v>
      </c>
      <c r="AW79" s="3"/>
      <c r="AX79" s="2198" t="e" cm="1">
        <f t="array" ca="1" aca="1" ref="AX79">_xldudf_CX_GET(CX_ENTITY,AM79,val_asOfDate,AT79,AU79)</f>
        <v>#NAME?</v>
      </c>
      <c r="AY79" s="2199" t="e" cm="1">
        <f t="array" ca="1" aca="1" ref="AY79">_xldudf_CX_GET(CX_ENTITY,AS79,val_asOfDate,AT79,AU79)</f>
        <v>#NAME?</v>
      </c>
      <c r="AZ79" s="709" t="e" cm="1">
        <f t="array" ca="1" aca="1" ref="AZ79">_xldudf_CX_GET(CX_ENTITY,AS79,val_priorQtrEnd,AT79,AU79)</f>
        <v>#NAME?</v>
      </c>
      <c r="BB79" s="88"/>
      <c r="BC79" s="2980" t="str">
        <f t="shared" si="7"/>
        <v/>
      </c>
      <c r="BD79" s="2980" t="str">
        <f t="shared" si="17" ref="BD79:BD86">val_company</f>
        <v>Therme Horizon</v>
      </c>
      <c r="BE79" s="2980" t="s">
        <v>1996</v>
      </c>
      <c r="BF79" s="2980" t="s">
        <v>1996</v>
      </c>
      <c r="BG79" s="2980" t="s">
        <v>1901</v>
      </c>
      <c r="BH79" s="2980" t="s">
        <v>1901</v>
      </c>
      <c r="BI79" s="2987">
        <f>SUM(BI77:BI78)</f>
        <v>2500.9081611856</v>
      </c>
      <c r="BJ79" s="2980" t="s">
        <v>2199</v>
      </c>
      <c r="BK79" s="3"/>
      <c r="BL79" s="3"/>
      <c r="BM79" s="3"/>
      <c r="BN79" s="3"/>
      <c r="BO79" s="3"/>
    </row>
    <row r="80" spans="1:67" ht="17.25" customHeight="1">
      <c r="A80" s="81" t="s">
        <v>491</v>
      </c>
      <c r="B80" s="81"/>
      <c r="C80" s="315" t="s">
        <v>472</v>
      </c>
      <c r="D80" s="59"/>
      <c r="E80" s="59"/>
      <c r="G80" s="45"/>
      <c r="I80" s="2043"/>
      <c r="J80" s="16"/>
      <c r="K80" s="52"/>
      <c r="L80" s="101"/>
      <c r="M80" s="101"/>
      <c r="N80" s="101"/>
      <c r="O80" s="101"/>
      <c r="P80" s="39"/>
      <c r="R80" s="56"/>
      <c r="S80" s="319"/>
      <c r="T80" s="320"/>
      <c r="U80" s="320"/>
      <c r="V80" s="2218">
        <v>-1</v>
      </c>
      <c r="W80" s="253" t="s">
        <v>482</v>
      </c>
      <c r="X80" s="307"/>
      <c r="Y80" s="307"/>
      <c r="Z80" s="157"/>
      <c r="AA80" s="2171" cm="1">
        <f t="array" ca="1" aca="1" ref="AA80">N(SUM(CVC.LOOKUP2("Cash Interest Expense (CIE)",EOMONTH(val_asOfDate,_xlfn.SEQUENCE(1,12,-11,1)),fx_scenarioConverter(fx_scenarioConverter("Actual")),"Month")))</f>
        <v>0</v>
      </c>
      <c r="AB80" s="1054"/>
      <c r="AC80" s="3391" t="e">
        <f t="shared" ca="1" si="15"/>
        <v>#NAME?</v>
      </c>
      <c r="AD80" s="2205" t="e">
        <f t="shared" ca="1" si="16"/>
        <v>#NAME?</v>
      </c>
      <c r="AE80" s="2204" t="e">
        <f ca="1">AZ80</f>
        <v>#NAME?</v>
      </c>
      <c r="AF80" s="334"/>
      <c r="AG80" s="360"/>
      <c r="AH80" s="360"/>
      <c r="AI80" s="360"/>
      <c r="AJ80" s="88"/>
      <c r="AK80" s="1094"/>
      <c r="AM80" s="3406" t="s">
        <v>483</v>
      </c>
      <c r="AN80" s="307"/>
      <c r="AO80" s="307"/>
      <c r="AP80" s="1557" t="e" cm="1">
        <f t="array" ca="1" aca="1" ref="AP80">IF(fx_ProtectPush,_xldudf_CX_PUSH(AC80,CX_ENTITY,AM80,val_asOfDate,AT80,AU80))</f>
        <v>#NAME?</v>
      </c>
      <c r="AQ80" s="1557"/>
      <c r="AR80" s="1054"/>
      <c r="AS80" s="3397" t="s">
        <v>484</v>
      </c>
      <c r="AT80" s="3410" t="s">
        <v>54</v>
      </c>
      <c r="AU80" s="3411" t="str" cm="1">
        <f t="array" ref="AU80">fx_scenarioConverter("Actual")</f>
        <v>Actual</v>
      </c>
      <c r="AV80" s="2194" t="str" cm="1">
        <f t="array" ca="1" aca="1" ref="AV80">IF(fx_ProtectPush,IF(ISNUMBER(AD80),_xldudf_CX_PUSH(AD80,CX_ENTITY,AS80,val_asOfDate,AT80,AU80),"No Push"))</f>
        <v>No Push</v>
      </c>
      <c r="AW80" s="3"/>
      <c r="AX80" s="2198" t="e" cm="1">
        <f t="array" ca="1" aca="1" ref="AX80">_xldudf_CX_GET(CX_ENTITY,AM80,val_asOfDate,AT80,AU80)</f>
        <v>#NAME?</v>
      </c>
      <c r="AY80" s="2199" t="e" cm="1">
        <f t="array" ca="1" aca="1" ref="AY80">_xldudf_CX_GET(CX_ENTITY,AS80,val_asOfDate,AT80,AU80)</f>
        <v>#NAME?</v>
      </c>
      <c r="AZ80" s="709" t="e" cm="1">
        <f t="array" ca="1" aca="1" ref="AZ80">_xldudf_CX_GET(CX_ENTITY,AS80,val_priorQtrEnd,AT80,AU80)</f>
        <v>#NAME?</v>
      </c>
      <c r="BB80" s="88"/>
      <c r="BC80" s="2980" t="str">
        <f t="shared" si="7"/>
        <v/>
      </c>
      <c r="BD80" s="2980" t="str">
        <f t="shared" si="17"/>
        <v>Therme Horizon</v>
      </c>
      <c r="BE80" s="2980">
        <v>26</v>
      </c>
      <c r="BF80" s="2980">
        <v>26</v>
      </c>
      <c r="BG80" s="2980" t="s">
        <v>2200</v>
      </c>
      <c r="BH80" s="2981" t="s">
        <v>1804</v>
      </c>
      <c r="BI80" s="2987">
        <f>BI77/BI62</f>
        <v>-625.22704029639999</v>
      </c>
      <c r="BJ80" s="2980" t="s">
        <v>1947</v>
      </c>
      <c r="BK80" s="3"/>
      <c r="BL80" s="3"/>
      <c r="BM80" s="3"/>
      <c r="BN80" s="3"/>
      <c r="BO80" s="3"/>
    </row>
    <row r="81" spans="1:67" ht="17.25" customHeight="1">
      <c r="A81" s="1112" t="s">
        <v>507</v>
      </c>
      <c r="B81" s="1112"/>
      <c r="C81" s="1111" t="s">
        <v>472</v>
      </c>
      <c r="D81" s="1110"/>
      <c r="E81" s="1110"/>
      <c r="G81" s="45"/>
      <c r="I81" s="2043"/>
      <c r="J81" s="16"/>
      <c r="K81" s="52"/>
      <c r="L81" s="101"/>
      <c r="M81" s="101"/>
      <c r="N81" s="101"/>
      <c r="O81" s="101"/>
      <c r="P81" s="39"/>
      <c r="R81" s="56"/>
      <c r="S81" s="319"/>
      <c r="T81" s="320"/>
      <c r="U81" s="320"/>
      <c r="V81" s="2218">
        <v>-1</v>
      </c>
      <c r="W81" s="252" t="s">
        <v>515</v>
      </c>
      <c r="X81" s="307"/>
      <c r="Y81" s="307"/>
      <c r="Z81" s="157"/>
      <c r="AA81" s="2171" cm="1">
        <f t="array" ca="1" aca="1" ref="AA81">SUM(CVC.LOOKUP2("Principal Repayments",EOMONTH(val_asOfDate,_xlfn.SEQUENCE(1,12,-11,1)),fx_scenarioConverter(fx_scenarioConverter("Actual")),"Month"))</f>
        <v>0</v>
      </c>
      <c r="AB81" s="1054"/>
      <c r="AC81" s="3403" t="e">
        <f t="shared" ca="1" si="15"/>
        <v>#NAME?</v>
      </c>
      <c r="AD81" s="2205" t="e">
        <f t="shared" ca="1" si="16"/>
        <v>#NAME?</v>
      </c>
      <c r="AE81" s="2204" t="e">
        <f ca="1">AZ81</f>
        <v>#NAME?</v>
      </c>
      <c r="AF81" s="334"/>
      <c r="AG81" s="360"/>
      <c r="AH81" s="360"/>
      <c r="AI81" s="360"/>
      <c r="AJ81" s="88"/>
      <c r="AK81" s="1094"/>
      <c r="AM81" s="3412" t="s">
        <v>509</v>
      </c>
      <c r="AN81" s="307"/>
      <c r="AO81" s="307"/>
      <c r="AP81" s="1557" t="e" cm="1">
        <f t="array" ca="1" aca="1" ref="AP81">IF(fx_ProtectPush,_xldudf_CX_PUSH(AC81,CX_ENTITY,AM81,val_asOfDate,AT81,AU81))</f>
        <v>#NAME?</v>
      </c>
      <c r="AQ81" s="1557"/>
      <c r="AR81" s="1054"/>
      <c r="AS81" s="3414" t="s">
        <v>510</v>
      </c>
      <c r="AT81" s="3410" t="s">
        <v>54</v>
      </c>
      <c r="AU81" s="3411" t="str" cm="1">
        <f t="array" ref="AU81">fx_scenarioConverter("Actual")</f>
        <v>Actual</v>
      </c>
      <c r="AV81" s="2194" t="str" cm="1">
        <f t="array" ca="1" aca="1" ref="AV81">IF(fx_ProtectPush,IF(ISNUMBER(AD81),_xldudf_CX_PUSH(AD81,CX_ENTITY,AS81,val_asOfDate,AT81,AU81),"No Push"))</f>
        <v>No Push</v>
      </c>
      <c r="AW81" s="3"/>
      <c r="AX81" s="2198" t="e" cm="1">
        <f t="array" ca="1" aca="1" ref="AX81">_xldudf_CX_GET(CX_ENTITY,AM81,val_asOfDate,AT81,AU81)</f>
        <v>#NAME?</v>
      </c>
      <c r="AY81" s="2199" t="e" cm="1">
        <f t="array" ca="1" aca="1" ref="AY81">_xldudf_CX_GET(CX_ENTITY,AS81,val_asOfDate,AT81,AU81)</f>
        <v>#NAME?</v>
      </c>
      <c r="AZ81" s="709" t="e" cm="1">
        <f t="array" ca="1" aca="1" ref="AZ81">_xldudf_CX_GET(CX_ENTITY,AS81,val_priorQtrEnd,AT81,AU81)</f>
        <v>#NAME?</v>
      </c>
      <c r="BB81" s="88"/>
      <c r="BC81" s="2980" t="str">
        <f t="shared" si="7"/>
        <v/>
      </c>
      <c r="BD81" s="2980" t="str">
        <f t="shared" si="17"/>
        <v>Therme Horizon</v>
      </c>
      <c r="BE81" s="2980">
        <v>27</v>
      </c>
      <c r="BF81" s="2980">
        <v>27</v>
      </c>
      <c r="BG81" s="2980" t="s">
        <v>2201</v>
      </c>
      <c r="BH81" s="2981" t="s">
        <v>1826</v>
      </c>
      <c r="BI81" s="2987">
        <f>BI78/BI62</f>
        <v>0</v>
      </c>
      <c r="BJ81" s="2980" t="s">
        <v>1947</v>
      </c>
      <c r="BK81" s="3"/>
      <c r="BL81" s="3"/>
      <c r="BM81" s="3"/>
      <c r="BN81" s="3"/>
      <c r="BO81" s="3"/>
    </row>
    <row r="82" spans="1:67" ht="15.5">
      <c r="A82" s="59"/>
      <c r="B82" s="59"/>
      <c r="C82" s="315"/>
      <c r="D82" s="59"/>
      <c r="E82" s="59"/>
      <c r="G82" s="45"/>
      <c r="I82" s="2043"/>
      <c r="J82" s="16"/>
      <c r="K82" s="52"/>
      <c r="L82" s="101"/>
      <c r="M82" s="101"/>
      <c r="N82" s="101"/>
      <c r="O82" s="101"/>
      <c r="P82" s="39"/>
      <c r="R82" s="368"/>
      <c r="S82" s="361"/>
      <c r="T82" s="362"/>
      <c r="U82" s="362"/>
      <c r="V82" s="2219"/>
      <c r="W82" s="2225" t="s">
        <v>516</v>
      </c>
      <c r="X82" s="2226"/>
      <c r="Y82" s="2226"/>
      <c r="Z82" s="2227"/>
      <c r="AA82" s="2232"/>
      <c r="AB82" s="2233"/>
      <c r="AC82" s="2230"/>
      <c r="AD82" s="2259" t="e">
        <f ca="1">IF(AND(SUM(AD80,AD81)&lt;0,AD79&gt;0),AD79/-SUM(AD80,AD81),"n/a")</f>
        <v>#NAME?</v>
      </c>
      <c r="AE82" s="2234"/>
      <c r="AF82" s="334"/>
      <c r="AG82" s="360"/>
      <c r="AH82" s="360"/>
      <c r="AI82" s="360"/>
      <c r="AJ82" s="88"/>
      <c r="AK82" s="1097"/>
      <c r="AM82" s="1108"/>
      <c r="AN82" s="1109"/>
      <c r="AO82" s="1109"/>
      <c r="AP82" s="1857"/>
      <c r="AQ82" s="1857"/>
      <c r="AR82" s="1852"/>
      <c r="AS82" s="3400" t="s">
        <v>512</v>
      </c>
      <c r="AT82" s="3400" t="s">
        <v>54</v>
      </c>
      <c r="AU82" s="3413" t="str" cm="1">
        <f t="array" ref="AU82">fx_scenarioConverter("Actual")</f>
        <v>Actual</v>
      </c>
      <c r="AV82" s="2194" t="str" cm="1">
        <f t="array" ca="1" aca="1" ref="AV82">IF(fx_ProtectPush,IF(ISNUMBER(AD82),_xldudf_CX_PUSH(AD82,CX_ENTITY,AS82,val_asOfDate,AT82,AU82),"No Push"))</f>
        <v>No Push</v>
      </c>
      <c r="AW82" s="3"/>
      <c r="AX82" s="2198"/>
      <c r="AY82" s="2199" t="e" cm="1">
        <f t="array" ca="1" aca="1" ref="AY82">_xldudf_CX_GET(CX_ENTITY,AS82,val_asOfDate,AT82,AU82)</f>
        <v>#NAME?</v>
      </c>
      <c r="AZ82" s="709" t="e" cm="1">
        <f t="array" ca="1" aca="1" ref="AZ82">_xldudf_CX_GET(CX_ENTITY,AS82,val_priorQtrEnd,AT82,AU82)</f>
        <v>#NAME?</v>
      </c>
      <c r="BB82" s="88"/>
      <c r="BC82" s="2980" t="str">
        <f t="shared" si="7"/>
        <v/>
      </c>
      <c r="BD82" s="2980" t="str">
        <f t="shared" si="17"/>
        <v>Therme Horizon</v>
      </c>
      <c r="BE82" s="2980">
        <v>28</v>
      </c>
      <c r="BF82" s="2980">
        <v>28</v>
      </c>
      <c r="BG82" s="2980" t="s">
        <v>2202</v>
      </c>
      <c r="BH82" s="2981"/>
      <c r="BI82" s="2987">
        <f>BI79/BI62</f>
        <v>-625.22704029639999</v>
      </c>
      <c r="BJ82" s="2980"/>
      <c r="BK82" s="3"/>
      <c r="BL82" s="3"/>
      <c r="BM82" s="3"/>
      <c r="BN82" s="3"/>
      <c r="BO82" s="3"/>
    </row>
    <row r="83" spans="1:67" ht="15.5">
      <c r="A83" s="59"/>
      <c r="B83" s="59"/>
      <c r="C83" s="59"/>
      <c r="D83" s="59"/>
      <c r="E83" s="59"/>
      <c r="G83" s="45"/>
      <c r="I83" s="2043"/>
      <c r="J83" s="16"/>
      <c r="K83" s="52"/>
      <c r="L83" s="101"/>
      <c r="M83" s="101"/>
      <c r="N83" s="101"/>
      <c r="O83" s="101"/>
      <c r="P83" s="39"/>
      <c r="R83" s="56"/>
      <c r="S83" s="320"/>
      <c r="T83" s="320"/>
      <c r="U83" s="320"/>
      <c r="V83" s="320"/>
      <c r="W83" s="305"/>
      <c r="X83" s="305"/>
      <c r="Y83" s="305"/>
      <c r="Z83" s="329"/>
      <c r="AA83" s="1564"/>
      <c r="AB83" s="329"/>
      <c r="AC83" s="329"/>
      <c r="AD83" s="329"/>
      <c r="AE83" s="334"/>
      <c r="AF83" s="334"/>
      <c r="AG83" s="360"/>
      <c r="AH83" s="360"/>
      <c r="AI83" s="360"/>
      <c r="AJ83" s="88"/>
      <c r="AK83" s="1090"/>
      <c r="AM83" s="305"/>
      <c r="AN83" s="305"/>
      <c r="AO83" s="305"/>
      <c r="AP83" s="329"/>
      <c r="AQ83" s="329"/>
      <c r="AR83" s="329"/>
      <c r="AS83" s="329"/>
      <c r="AT83" s="329"/>
      <c r="AU83" s="329"/>
      <c r="AV83" s="329"/>
      <c r="AW83" s="3"/>
      <c r="AX83" s="334"/>
      <c r="AY83" s="334"/>
      <c r="AZ83" s="3"/>
      <c r="BB83" s="88"/>
      <c r="BC83" s="2980" t="str">
        <f t="shared" si="7"/>
        <v/>
      </c>
      <c r="BD83" s="2980" t="str">
        <f t="shared" si="17"/>
        <v>Therme Horizon</v>
      </c>
      <c r="BE83" s="2980">
        <v>29</v>
      </c>
      <c r="BF83" s="2980">
        <v>29</v>
      </c>
      <c r="BG83" s="2980" t="s">
        <v>1902</v>
      </c>
      <c r="BH83" s="2981" t="s">
        <v>1833</v>
      </c>
      <c r="BI83" s="2987">
        <f ca="1">N(DebtOverview!$AN$206)</f>
        <v>0</v>
      </c>
      <c r="BJ83" s="2980" t="s">
        <v>1947</v>
      </c>
      <c r="BK83" s="3"/>
      <c r="BL83" s="3"/>
      <c r="BM83" s="3"/>
      <c r="BN83" s="3"/>
      <c r="BO83" s="3"/>
    </row>
    <row r="84" spans="1:67" ht="27" customHeight="1">
      <c r="A84" s="59"/>
      <c r="B84" s="59"/>
      <c r="C84" s="59"/>
      <c r="D84" s="59"/>
      <c r="E84" s="59"/>
      <c r="G84" s="45"/>
      <c r="I84" s="2043"/>
      <c r="J84" s="16"/>
      <c r="K84" s="52"/>
      <c r="L84" s="101"/>
      <c r="M84" s="101"/>
      <c r="N84" s="101"/>
      <c r="O84" s="101"/>
      <c r="P84" s="39"/>
      <c r="R84" s="56"/>
      <c r="S84" s="320"/>
      <c r="T84" s="319"/>
      <c r="U84" s="319"/>
      <c r="V84" s="1099"/>
      <c r="W84" s="1099" t="s">
        <v>517</v>
      </c>
      <c r="X84" s="1095"/>
      <c r="Y84" s="1095"/>
      <c r="Z84" s="1095"/>
      <c r="AA84" s="1563"/>
      <c r="AB84" s="1095"/>
      <c r="AC84" s="1095"/>
      <c r="AD84" s="1095"/>
      <c r="AE84" s="1095"/>
      <c r="AF84" s="334"/>
      <c r="AG84" s="360"/>
      <c r="AH84" s="360"/>
      <c r="AI84" s="360"/>
      <c r="AJ84" s="88"/>
      <c r="AK84" s="1091"/>
      <c r="AM84" s="1099"/>
      <c r="AN84" s="1095"/>
      <c r="AO84" s="1095"/>
      <c r="AP84" s="1095"/>
      <c r="AQ84" s="1095"/>
      <c r="AR84" s="1095"/>
      <c r="AS84" s="1095"/>
      <c r="AT84" s="1095"/>
      <c r="AU84" s="1095"/>
      <c r="AV84" s="1095"/>
      <c r="AW84" s="3"/>
      <c r="AX84" s="1095"/>
      <c r="AY84" s="1095"/>
      <c r="AZ84" s="3"/>
      <c r="BB84" s="88"/>
      <c r="BC84" s="2980" t="str">
        <f t="shared" si="7"/>
        <v/>
      </c>
      <c r="BD84" s="2980" t="str">
        <f t="shared" si="17"/>
        <v>Therme Horizon</v>
      </c>
      <c r="BE84" s="2980">
        <v>30</v>
      </c>
      <c r="BF84" s="2980">
        <v>30</v>
      </c>
      <c r="BG84" s="2980" t="s">
        <v>1903</v>
      </c>
      <c r="BH84" s="2981" t="s">
        <v>1965</v>
      </c>
      <c r="BI84" s="3263">
        <f>N(DebtOverview!$AL$211)</f>
        <v>1</v>
      </c>
      <c r="BJ84" s="2980" t="s">
        <v>1947</v>
      </c>
      <c r="BK84" s="3"/>
      <c r="BL84" s="3"/>
      <c r="BM84" s="3"/>
      <c r="BN84" s="3"/>
      <c r="BO84" s="3"/>
    </row>
    <row r="85" spans="1:67" ht="15.5">
      <c r="A85" s="59"/>
      <c r="B85" s="59"/>
      <c r="C85" s="59"/>
      <c r="D85" s="59"/>
      <c r="E85" s="59"/>
      <c r="G85" s="45"/>
      <c r="I85" s="2043"/>
      <c r="J85" s="16"/>
      <c r="K85" s="52"/>
      <c r="L85" s="101"/>
      <c r="M85" s="101"/>
      <c r="N85" s="101"/>
      <c r="O85" s="101"/>
      <c r="P85" s="39"/>
      <c r="R85" s="56"/>
      <c r="S85" s="320"/>
      <c r="T85" s="319"/>
      <c r="U85" s="320"/>
      <c r="V85" s="320"/>
      <c r="W85" s="333"/>
      <c r="X85" s="333"/>
      <c r="Y85" s="333"/>
      <c r="Z85" s="334"/>
      <c r="AA85" s="1565"/>
      <c r="AB85" s="334"/>
      <c r="AC85" s="334"/>
      <c r="AD85" s="2206"/>
      <c r="AE85" s="334"/>
      <c r="AF85" s="334"/>
      <c r="AG85" s="360"/>
      <c r="AH85" s="360"/>
      <c r="AI85" s="360"/>
      <c r="AJ85" s="88"/>
      <c r="AK85" s="1091"/>
      <c r="AM85" s="333"/>
      <c r="AN85" s="333"/>
      <c r="AO85" s="333"/>
      <c r="AP85" s="334"/>
      <c r="AQ85" s="334"/>
      <c r="AR85" s="334"/>
      <c r="AS85" s="334"/>
      <c r="AT85" s="334"/>
      <c r="AU85" s="334"/>
      <c r="AV85" s="334"/>
      <c r="AW85" s="3"/>
      <c r="AX85" s="334"/>
      <c r="AY85" s="334"/>
      <c r="AZ85" s="3"/>
      <c r="BB85" s="88"/>
      <c r="BC85" s="2980" t="str">
        <f t="shared" si="7"/>
        <v/>
      </c>
      <c r="BD85" s="2980" t="str">
        <f t="shared" si="17"/>
        <v>Therme Horizon</v>
      </c>
      <c r="BE85" s="2980">
        <v>31</v>
      </c>
      <c r="BF85" s="2980">
        <v>31</v>
      </c>
      <c r="BG85" s="2980" t="s">
        <v>1904</v>
      </c>
      <c r="BH85" s="2981" t="s">
        <v>1966</v>
      </c>
      <c r="BI85" s="2987">
        <f>N(DebtOverview!$AL$212)</f>
        <v>0</v>
      </c>
      <c r="BJ85" s="2980" t="s">
        <v>1947</v>
      </c>
      <c r="BK85" s="3"/>
      <c r="BL85" s="3"/>
      <c r="BM85" s="3"/>
      <c r="BN85" s="3"/>
      <c r="BO85" s="3"/>
    </row>
    <row r="86" spans="1:67" ht="15.5">
      <c r="A86" s="1110"/>
      <c r="B86" s="1110"/>
      <c r="C86" s="1110"/>
      <c r="D86" s="1110"/>
      <c r="E86" s="1110"/>
      <c r="G86" s="45"/>
      <c r="I86" s="2043"/>
      <c r="J86" s="16"/>
      <c r="K86" s="52"/>
      <c r="L86" s="101"/>
      <c r="M86" s="101"/>
      <c r="N86" s="101"/>
      <c r="O86" s="101"/>
      <c r="P86" s="39"/>
      <c r="R86" s="56"/>
      <c r="S86" s="320"/>
      <c r="T86" s="319"/>
      <c r="U86" s="320"/>
      <c r="V86" s="2217"/>
      <c r="W86" s="3099" t="s">
        <v>518</v>
      </c>
      <c r="X86" s="3099"/>
      <c r="Y86" s="3099"/>
      <c r="Z86" s="3099"/>
      <c r="AA86" s="2220" t="str">
        <f>$AI$4</f>
        <v>Millions</v>
      </c>
      <c r="AB86" s="2221"/>
      <c r="AC86" s="2221" t="s">
        <v>444</v>
      </c>
      <c r="AD86" s="2221" t="s">
        <v>445</v>
      </c>
      <c r="AE86" s="2221" t="s">
        <v>479</v>
      </c>
      <c r="AF86" s="334"/>
      <c r="AG86" s="360"/>
      <c r="AH86" s="360"/>
      <c r="AI86" s="360"/>
      <c r="AJ86" s="88"/>
      <c r="AK86" s="1090"/>
      <c r="AM86" s="2176"/>
      <c r="AN86" s="2176"/>
      <c r="AO86" s="2176"/>
      <c r="AP86" s="1042"/>
      <c r="AQ86" s="1042"/>
      <c r="AR86" s="1042"/>
      <c r="AS86" s="1042"/>
      <c r="AT86" s="1042"/>
      <c r="AU86" s="1042"/>
      <c r="AV86" s="1042"/>
      <c r="AW86" s="3"/>
      <c r="AX86" s="1042"/>
      <c r="AY86" s="1042"/>
      <c r="AZ86" s="3"/>
      <c r="BB86" s="88"/>
      <c r="BC86" s="2980" t="str">
        <f t="shared" si="7"/>
        <v/>
      </c>
      <c r="BD86" s="2980" t="str">
        <f t="shared" si="17"/>
        <v>Therme Horizon</v>
      </c>
      <c r="BE86" s="2980">
        <v>32</v>
      </c>
      <c r="BF86" s="2980">
        <v>32</v>
      </c>
      <c r="BG86" s="2980" t="s">
        <v>1840</v>
      </c>
      <c r="BH86" s="2981" t="s">
        <v>1840</v>
      </c>
      <c r="BI86" s="3263">
        <f>DebtOverview!$AN$215</f>
        <v>1</v>
      </c>
      <c r="BJ86" s="2980" t="s">
        <v>1947</v>
      </c>
      <c r="BK86" s="3"/>
      <c r="BL86" s="3"/>
      <c r="BM86" s="3"/>
      <c r="BN86" s="3"/>
      <c r="BO86" s="3"/>
    </row>
    <row r="87" spans="1:67" ht="15.5">
      <c r="A87" s="59" t="s">
        <v>519</v>
      </c>
      <c r="B87" s="59"/>
      <c r="C87" s="59" t="s">
        <v>472</v>
      </c>
      <c r="D87" s="59"/>
      <c r="E87" s="59"/>
      <c r="G87" s="45"/>
      <c r="I87" s="2043"/>
      <c r="J87" s="16"/>
      <c r="K87" s="52"/>
      <c r="L87" s="101"/>
      <c r="M87" s="101"/>
      <c r="N87" s="101"/>
      <c r="O87" s="101"/>
      <c r="P87" s="39"/>
      <c r="R87" s="56"/>
      <c r="S87" s="320"/>
      <c r="T87" s="319"/>
      <c r="U87" s="320"/>
      <c r="V87" s="3312">
        <v>1</v>
      </c>
      <c r="W87" s="313" t="s">
        <v>520</v>
      </c>
      <c r="X87" s="313"/>
      <c r="Y87" s="313"/>
      <c r="Z87" s="314"/>
      <c r="AA87" s="2170" t="s">
        <v>1799</v>
      </c>
      <c r="AB87" s="1054"/>
      <c r="AC87" s="3391" t="e">
        <f ca="1" t="shared" si="18" ref="AC87:AC88">AX87</f>
        <v>#NAME?</v>
      </c>
      <c r="AD87" s="2205" t="str">
        <f t="shared" si="19" ref="AD87:AD88">IF(AA87="n/a","n/a",SUM(AA87,AC87))</f>
        <v>n/a</v>
      </c>
      <c r="AE87" s="2204" t="e">
        <f ca="1">AZ87</f>
        <v>#NAME?</v>
      </c>
      <c r="AF87" s="334"/>
      <c r="AG87" s="360"/>
      <c r="AH87" s="360"/>
      <c r="AI87" s="360"/>
      <c r="AJ87" s="88"/>
      <c r="AK87" s="1094"/>
      <c r="AM87" s="3415" t="s">
        <v>521</v>
      </c>
      <c r="AN87" s="313"/>
      <c r="AO87" s="313"/>
      <c r="AP87" s="1557" t="e" cm="1">
        <f t="array" ca="1" aca="1" ref="AP87">IF(fx_ProtectPush,_xldudf_CX_PUSH(AC87,CX_ENTITY,AM87,val_asOfDate,AT87,AU87))</f>
        <v>#NAME?</v>
      </c>
      <c r="AQ87" s="1557"/>
      <c r="AR87" s="1054"/>
      <c r="AS87" s="3415" t="s">
        <v>522</v>
      </c>
      <c r="AT87" s="3408" t="s">
        <v>54</v>
      </c>
      <c r="AU87" s="3409" t="str" cm="1">
        <f t="array" ref="AU87">fx_scenarioConverter("Actual")</f>
        <v>Actual</v>
      </c>
      <c r="AV87" s="2194" t="e" cm="1">
        <f t="array" ca="1" aca="1" ref="AV87">IF(fx_ProtectPush,_xldudf_CX_PUSH(AD87,CX_ENTITY,AS87,val_asOfDate,AT87,AU87))</f>
        <v>#NAME?</v>
      </c>
      <c r="AW87" s="3"/>
      <c r="AX87" s="2198" t="e" cm="1">
        <f t="array" ca="1" aca="1" ref="AX87">_xldudf_CX_GET(CX_ENTITY,AM87,val_asOfDate,AT87,AU87)</f>
        <v>#NAME?</v>
      </c>
      <c r="AY87" s="2199" t="e" cm="1">
        <f t="array" ca="1" aca="1" ref="AY87">_xldudf_CX_GET(CX_ENTITY,AS87,val_asOfDate,AT87,AU87)</f>
        <v>#NAME?</v>
      </c>
      <c r="AZ87" s="709" t="e" cm="1">
        <f t="array" ca="1" aca="1" ref="AZ87">_xldudf_CX_GET(CX_ENTITY,AS87,val_priorQtrEnd,AT87,AU87)</f>
        <v>#NAME?</v>
      </c>
      <c r="BB87" s="88"/>
      <c r="BC87" s="2980" t="str">
        <f t="shared" si="7"/>
        <v/>
      </c>
      <c r="BD87" s="2980" t="str">
        <f t="shared" si="20" ref="BD87:BD118">val_company</f>
        <v>Therme Horizon</v>
      </c>
      <c r="BE87" s="2980">
        <v>33</v>
      </c>
      <c r="BF87" s="2980">
        <v>33</v>
      </c>
      <c r="BG87" s="2980" t="s">
        <v>1841</v>
      </c>
      <c r="BH87" s="2981" t="s">
        <v>1841</v>
      </c>
      <c r="BI87" s="2997" t="str">
        <f ca="1">DebtOverview!$AN$216</f>
        <v>0.0%</v>
      </c>
      <c r="BJ87" s="2980" t="s">
        <v>1947</v>
      </c>
      <c r="BK87" s="3"/>
      <c r="BL87" s="3"/>
      <c r="BM87" s="3"/>
      <c r="BN87" s="3"/>
      <c r="BO87" s="3"/>
    </row>
    <row r="88" spans="1:67" ht="15.5">
      <c r="A88" s="1114" t="s">
        <v>523</v>
      </c>
      <c r="B88" s="1110"/>
      <c r="C88" s="1110" t="s">
        <v>524</v>
      </c>
      <c r="D88" s="1110"/>
      <c r="E88" s="1110"/>
      <c r="G88" s="45"/>
      <c r="I88" s="2043"/>
      <c r="J88" s="16"/>
      <c r="K88" s="52"/>
      <c r="L88" s="101"/>
      <c r="M88" s="101"/>
      <c r="N88" s="101"/>
      <c r="O88" s="101"/>
      <c r="P88" s="39"/>
      <c r="R88" s="56"/>
      <c r="S88" s="320"/>
      <c r="T88" s="319"/>
      <c r="U88" s="320"/>
      <c r="V88" s="2218">
        <v>-1</v>
      </c>
      <c r="W88" s="313" t="s">
        <v>525</v>
      </c>
      <c r="X88" s="313"/>
      <c r="Y88" s="313"/>
      <c r="Z88" s="314"/>
      <c r="AA88" s="2170" t="e">
        <f ca="1">N(SUM(CVC.LOOKUP2("Net Debt / (Cash)",val_asOfDate,fx_scenarioConverter(fx_scenarioConverter("Actual")),"Month")))</f>
        <v>#VALUE!</v>
      </c>
      <c r="AB88" s="1054"/>
      <c r="AC88" s="3391" t="e">
        <f t="shared" ca="1" si="18"/>
        <v>#NAME?</v>
      </c>
      <c r="AD88" s="2205" t="e">
        <f t="shared" ca="1" si="19"/>
        <v>#VALUE!</v>
      </c>
      <c r="AE88" s="2204" t="e">
        <f ca="1">AZ88</f>
        <v>#NAME?</v>
      </c>
      <c r="AF88" s="334"/>
      <c r="AG88" s="360"/>
      <c r="AH88" s="360"/>
      <c r="AI88" s="360"/>
      <c r="AJ88" s="88"/>
      <c r="AK88" s="1090"/>
      <c r="AM88" s="3412" t="s">
        <v>526</v>
      </c>
      <c r="AN88" s="313"/>
      <c r="AO88" s="313"/>
      <c r="AP88" s="1557" t="e" cm="1">
        <f t="array" ca="1" aca="1" ref="AP88">IF(fx_ProtectPush,_xldudf_CX_PUSH(AC88,CX_ENTITY,AM88,val_asOfDate,AT88,AU88))</f>
        <v>#NAME?</v>
      </c>
      <c r="AQ88" s="1557"/>
      <c r="AR88" s="1054"/>
      <c r="AS88" s="3412" t="s">
        <v>527</v>
      </c>
      <c r="AT88" s="3410" t="s">
        <v>225</v>
      </c>
      <c r="AU88" s="3411" t="str" cm="1">
        <f t="array" ref="AU88">fx_scenarioConverter("Actual")</f>
        <v>Actual</v>
      </c>
      <c r="AV88" s="2194" t="e" cm="1">
        <f t="array" ca="1" aca="1" ref="AV88">IF(fx_ProtectPush,_xldudf_CX_PUSH(AD88,CX_ENTITY,AS88,val_asOfDate,AT88,AU88))</f>
        <v>#NAME?</v>
      </c>
      <c r="AW88" s="3"/>
      <c r="AX88" s="2198" t="e" cm="1">
        <f t="array" ca="1" aca="1" ref="AX88">_xldudf_CX_GET(CX_ENTITY,AM88,val_asOfDate,AT88,AU88)</f>
        <v>#NAME?</v>
      </c>
      <c r="AY88" s="2199" t="e" cm="1">
        <f t="array" ca="1" aca="1" ref="AY88">_xldudf_CX_GET(CX_ENTITY,AS88,val_asOfDate,AT88,AU88)</f>
        <v>#NAME?</v>
      </c>
      <c r="AZ88" s="709" t="e" cm="1">
        <f t="array" ca="1" aca="1" ref="AZ88">_xldudf_CX_GET(CX_ENTITY,AS88,val_priorQtrEnd,AT88,AU88)</f>
        <v>#NAME?</v>
      </c>
      <c r="BB88" s="88"/>
      <c r="BC88" s="2980" t="str">
        <f t="shared" si="7"/>
        <v/>
      </c>
      <c r="BD88" s="2980" t="str">
        <f t="shared" si="20"/>
        <v>Therme Horizon</v>
      </c>
      <c r="BE88" s="2980">
        <v>34</v>
      </c>
      <c r="BF88" s="2980">
        <v>34</v>
      </c>
      <c r="BG88" s="2980" t="s">
        <v>1844</v>
      </c>
      <c r="BH88" s="2981" t="s">
        <v>1844</v>
      </c>
      <c r="BI88" s="2987">
        <f ca="1">DebtOverview!$AN$220</f>
        <v>-1</v>
      </c>
      <c r="BJ88" s="2980" t="s">
        <v>1947</v>
      </c>
      <c r="BK88" s="3"/>
      <c r="BL88" s="3"/>
      <c r="BM88" s="3"/>
      <c r="BN88" s="3"/>
      <c r="BO88" s="3"/>
    </row>
    <row r="89" spans="1:67" ht="15.5">
      <c r="A89" s="59"/>
      <c r="B89" s="59"/>
      <c r="C89" s="59"/>
      <c r="D89" s="59"/>
      <c r="E89" s="59"/>
      <c r="G89" s="45"/>
      <c r="I89" s="2043"/>
      <c r="J89" s="16"/>
      <c r="K89" s="52"/>
      <c r="L89" s="101"/>
      <c r="M89" s="101"/>
      <c r="N89" s="101"/>
      <c r="O89" s="101"/>
      <c r="P89" s="39"/>
      <c r="R89" s="56"/>
      <c r="S89" s="320"/>
      <c r="T89" s="319"/>
      <c r="U89" s="320"/>
      <c r="V89" s="2219"/>
      <c r="W89" s="2225" t="s">
        <v>528</v>
      </c>
      <c r="X89" s="2226"/>
      <c r="Y89" s="2226"/>
      <c r="Z89" s="2227"/>
      <c r="AA89" s="2232"/>
      <c r="AB89" s="2233"/>
      <c r="AC89" s="2230"/>
      <c r="AD89" s="2259">
        <f ca="1">IFERROR(-AD88/AD87,0)</f>
        <v>0</v>
      </c>
      <c r="AE89" s="2234"/>
      <c r="AF89" s="334"/>
      <c r="AG89" s="360"/>
      <c r="AH89" s="360"/>
      <c r="AI89" s="360"/>
      <c r="AJ89" s="88"/>
      <c r="AK89" s="1094"/>
      <c r="AM89" s="2175"/>
      <c r="AN89" s="2175"/>
      <c r="AO89" s="2175"/>
      <c r="AP89" s="1857"/>
      <c r="AQ89" s="1857"/>
      <c r="AR89" s="1858"/>
      <c r="AS89" s="3416" t="s">
        <v>529</v>
      </c>
      <c r="AT89" s="3416" t="s">
        <v>54</v>
      </c>
      <c r="AU89" s="3417" t="str" cm="1">
        <f t="array" ref="AU89">fx_scenarioConverter("Actual")</f>
        <v>Actual</v>
      </c>
      <c r="AV89" s="2194" t="e" cm="1">
        <f t="array" ca="1" aca="1" ref="AV89">IF(fx_ProtectPush,_xldudf_CX_PUSH(AD89,CX_ENTITY,AS89,val_asOfDate,AT89,AU89))</f>
        <v>#NAME?</v>
      </c>
      <c r="AW89" s="3"/>
      <c r="AX89" s="2198"/>
      <c r="AY89" s="2199" t="e" cm="1">
        <f t="array" ca="1" aca="1" ref="AY89">_xldudf_CX_GET(CX_ENTITY,AS89,val_asOfDate,AT89,AU89)</f>
        <v>#NAME?</v>
      </c>
      <c r="AZ89" s="709" t="e" cm="1">
        <f t="array" ca="1" aca="1" ref="AZ89">_xldudf_CX_GET(CX_ENTITY,AS89,val_priorQtrEnd,AT89,AU89)</f>
        <v>#NAME?</v>
      </c>
      <c r="BB89" s="88"/>
      <c r="BC89" s="2980" t="str">
        <f t="shared" si="7"/>
        <v/>
      </c>
      <c r="BD89" s="2980" t="str">
        <f t="shared" si="20"/>
        <v>Therme Horizon</v>
      </c>
      <c r="BE89" s="2980">
        <v>35</v>
      </c>
      <c r="BF89" s="2980">
        <v>35</v>
      </c>
      <c r="BG89" s="2980" t="s">
        <v>1845</v>
      </c>
      <c r="BH89" s="2981" t="s">
        <v>1845</v>
      </c>
      <c r="BI89" s="2996" t="str">
        <f ca="1">DebtOverview!$AN$221</f>
        <v>0.0.%</v>
      </c>
      <c r="BJ89" s="2980" t="s">
        <v>1947</v>
      </c>
      <c r="BK89" s="3"/>
      <c r="BL89" s="3"/>
      <c r="BM89" s="3"/>
      <c r="BN89" s="3"/>
      <c r="BO89" s="3"/>
    </row>
    <row r="90" spans="1:67" ht="15.5">
      <c r="A90" s="59"/>
      <c r="B90" s="59"/>
      <c r="C90" s="59"/>
      <c r="D90" s="59"/>
      <c r="E90" s="59"/>
      <c r="G90" s="45"/>
      <c r="I90" s="2043"/>
      <c r="J90" s="16"/>
      <c r="K90" s="52"/>
      <c r="L90" s="101"/>
      <c r="M90" s="101"/>
      <c r="N90" s="101"/>
      <c r="O90" s="101"/>
      <c r="P90" s="39"/>
      <c r="R90" s="56"/>
      <c r="S90" s="320"/>
      <c r="T90" s="319"/>
      <c r="U90" s="320"/>
      <c r="V90" s="320"/>
      <c r="W90" s="320"/>
      <c r="X90" s="320"/>
      <c r="Y90" s="320"/>
      <c r="Z90" s="320"/>
      <c r="AA90" s="1055"/>
      <c r="AB90" s="1055"/>
      <c r="AC90" s="320"/>
      <c r="AD90" s="2207"/>
      <c r="AE90" s="334"/>
      <c r="AF90" s="334"/>
      <c r="AG90" s="360"/>
      <c r="AH90" s="360"/>
      <c r="AI90" s="360"/>
      <c r="AJ90" s="88"/>
      <c r="AK90" s="1094"/>
      <c r="AM90" s="320"/>
      <c r="AN90" s="320"/>
      <c r="AO90" s="320"/>
      <c r="AP90" s="320"/>
      <c r="AQ90" s="320"/>
      <c r="AR90" s="1055"/>
      <c r="AS90" s="1055"/>
      <c r="AT90" s="1055"/>
      <c r="AU90" s="1055"/>
      <c r="AV90" s="1055"/>
      <c r="AW90" s="3"/>
      <c r="AX90" s="334"/>
      <c r="AY90" s="334"/>
      <c r="AZ90" s="3"/>
      <c r="BB90" s="88"/>
      <c r="BC90" s="2980" t="str">
        <f t="shared" si="7"/>
        <v/>
      </c>
      <c r="BD90" s="2980" t="str">
        <f t="shared" si="20"/>
        <v>Therme Horizon</v>
      </c>
      <c r="BE90" s="2980">
        <v>36</v>
      </c>
      <c r="BF90" s="2980">
        <v>36</v>
      </c>
      <c r="BG90" s="2980" t="s">
        <v>1905</v>
      </c>
      <c r="BH90" s="2989"/>
      <c r="BI90" s="2987"/>
      <c r="BJ90" s="2980"/>
      <c r="BK90" s="3"/>
      <c r="BL90" s="3"/>
      <c r="BM90" s="3"/>
      <c r="BN90" s="3"/>
      <c r="BO90" s="3"/>
    </row>
    <row r="91" spans="1:67" ht="15.5">
      <c r="A91" s="59"/>
      <c r="B91" s="59"/>
      <c r="C91" s="59"/>
      <c r="D91" s="59"/>
      <c r="E91" s="59"/>
      <c r="G91" s="45"/>
      <c r="I91" s="2043"/>
      <c r="J91" s="16"/>
      <c r="K91" s="52"/>
      <c r="L91" s="101"/>
      <c r="M91" s="101"/>
      <c r="N91" s="101"/>
      <c r="O91" s="101"/>
      <c r="P91" s="39"/>
      <c r="R91" s="56"/>
      <c r="S91" s="320"/>
      <c r="T91" s="319"/>
      <c r="U91" s="320"/>
      <c r="V91" s="320"/>
      <c r="W91" s="320"/>
      <c r="X91" s="320"/>
      <c r="Y91" s="320"/>
      <c r="Z91" s="320"/>
      <c r="AA91" s="1055"/>
      <c r="AB91" s="1055"/>
      <c r="AC91" s="320"/>
      <c r="AD91" s="2207"/>
      <c r="AE91" s="334"/>
      <c r="AF91" s="334"/>
      <c r="AG91" s="360"/>
      <c r="AH91" s="360"/>
      <c r="AI91" s="360"/>
      <c r="AJ91" s="88"/>
      <c r="AK91" s="1090"/>
      <c r="AM91" s="320"/>
      <c r="AN91" s="320"/>
      <c r="AO91" s="320"/>
      <c r="AP91" s="320"/>
      <c r="AQ91" s="320"/>
      <c r="AR91" s="1055"/>
      <c r="AS91" s="1055"/>
      <c r="AT91" s="1055"/>
      <c r="AU91" s="1055"/>
      <c r="AV91" s="1055"/>
      <c r="AW91" s="3"/>
      <c r="AX91" s="334"/>
      <c r="AY91" s="334"/>
      <c r="AZ91" s="3"/>
      <c r="BB91" s="88"/>
      <c r="BC91" s="2980" t="str">
        <f t="shared" si="7"/>
        <v/>
      </c>
      <c r="BD91" s="2980" t="str">
        <f t="shared" si="20"/>
        <v>Therme Horizon</v>
      </c>
      <c r="BE91" s="2980">
        <v>37</v>
      </c>
      <c r="BF91" s="2980">
        <v>37</v>
      </c>
      <c r="BG91" s="2980" t="s">
        <v>1906</v>
      </c>
      <c r="BH91" s="2986" t="s">
        <v>2203</v>
      </c>
      <c r="BI91" s="2987">
        <f ca="1">SUM($BI$92:$BI$93)</f>
        <v>0</v>
      </c>
      <c r="BJ91" s="2980" t="s">
        <v>1967</v>
      </c>
      <c r="BK91" s="3"/>
      <c r="BL91" s="3"/>
      <c r="BM91" s="3"/>
      <c r="BN91" s="3"/>
      <c r="BO91" s="3"/>
    </row>
    <row r="92" spans="1:67" ht="15.5">
      <c r="A92" s="59"/>
      <c r="B92" s="59"/>
      <c r="C92" s="59"/>
      <c r="D92" s="59"/>
      <c r="E92" s="59"/>
      <c r="G92" s="45"/>
      <c r="I92" s="2043"/>
      <c r="J92" s="16"/>
      <c r="K92" s="52"/>
      <c r="L92" s="101"/>
      <c r="M92" s="101"/>
      <c r="N92" s="101"/>
      <c r="O92" s="101"/>
      <c r="P92" s="39"/>
      <c r="R92" s="56"/>
      <c r="S92" s="320"/>
      <c r="T92" s="319"/>
      <c r="U92" s="320"/>
      <c r="V92" s="2216"/>
      <c r="W92" s="3128" t="s">
        <v>530</v>
      </c>
      <c r="X92" s="3128"/>
      <c r="Y92" s="3128"/>
      <c r="Z92" s="3128"/>
      <c r="AA92" s="2213" t="str">
        <f>$AI$4</f>
        <v>Millions</v>
      </c>
      <c r="AB92" s="2214"/>
      <c r="AC92" s="2214" t="s">
        <v>444</v>
      </c>
      <c r="AD92" s="2215" t="s">
        <v>445</v>
      </c>
      <c r="AE92" s="2214" t="s">
        <v>479</v>
      </c>
      <c r="AF92" s="334"/>
      <c r="AG92" s="360"/>
      <c r="AH92" s="360"/>
      <c r="AI92" s="360"/>
      <c r="AJ92" s="88"/>
      <c r="AK92" s="1090"/>
      <c r="AM92" s="2176"/>
      <c r="AN92" s="2176"/>
      <c r="AO92" s="2176"/>
      <c r="AP92" s="1042"/>
      <c r="AQ92" s="1042"/>
      <c r="AR92" s="1042"/>
      <c r="AS92" s="1042"/>
      <c r="AT92" s="1042"/>
      <c r="AU92" s="1042"/>
      <c r="AV92" s="1042"/>
      <c r="AW92" s="3"/>
      <c r="AX92" s="1042"/>
      <c r="AY92" s="1042"/>
      <c r="AZ92" s="3"/>
      <c r="BB92" s="88"/>
      <c r="BC92" s="3262" t="b">
        <f t="shared" si="7"/>
        <v>1</v>
      </c>
      <c r="BD92" s="2980" t="str">
        <f t="shared" si="20"/>
        <v>Therme Horizon</v>
      </c>
      <c r="BE92" s="2980">
        <v>37.33</v>
      </c>
      <c r="BF92" s="2980">
        <v>38</v>
      </c>
      <c r="BG92" s="2980"/>
      <c r="BH92" s="2988" t="str">
        <f>$X$13</f>
        <v>Senior instrument(s) amortising: e.g. Term Loan A</v>
      </c>
      <c r="BI92" s="2987" t="str">
        <f ca="1">IFERROR(IF($BC$92=TRUE,-AG$13,""),"")</f>
        <v/>
      </c>
      <c r="BJ92" s="2980" t="s">
        <v>1967</v>
      </c>
      <c r="BK92" s="3"/>
      <c r="BL92" s="3"/>
      <c r="BM92" s="3"/>
      <c r="BN92" s="3"/>
      <c r="BO92" s="3"/>
    </row>
    <row r="93" spans="1:67" ht="15.5">
      <c r="A93" s="59" t="s">
        <v>519</v>
      </c>
      <c r="B93" s="59"/>
      <c r="C93" s="59" t="s">
        <v>492</v>
      </c>
      <c r="D93" s="59"/>
      <c r="E93" s="59"/>
      <c r="G93" s="45"/>
      <c r="I93" s="2043"/>
      <c r="J93" s="16"/>
      <c r="K93" s="52"/>
      <c r="L93" s="101"/>
      <c r="M93" s="101"/>
      <c r="N93" s="101"/>
      <c r="O93" s="101"/>
      <c r="P93" s="39"/>
      <c r="R93" s="56"/>
      <c r="S93" s="320"/>
      <c r="T93" s="319"/>
      <c r="U93" s="320"/>
      <c r="V93" s="3312">
        <v>1</v>
      </c>
      <c r="W93" s="313" t="s">
        <v>520</v>
      </c>
      <c r="X93" s="313"/>
      <c r="Y93" s="313"/>
      <c r="Z93" s="314"/>
      <c r="AA93" s="2171" t="e">
        <f ca="1">SUM(CVC.LOOKUP2("Annual Recurring Revenue (Rolling 12 months)",val_currentFYE,fx_scenarioConverter("LE"),"Year"))</f>
        <v>#VALUE!</v>
      </c>
      <c r="AB93" s="1056"/>
      <c r="AC93" s="3391" t="e">
        <f ca="1" t="shared" si="21" ref="AC93">AX93</f>
        <v>#NAME?</v>
      </c>
      <c r="AD93" s="2205" t="e">
        <f ca="1">IF(AA93="n/a","n/a",SUM(AA93,AC93))</f>
        <v>#VALUE!</v>
      </c>
      <c r="AE93" s="2204" t="e">
        <f ca="1" t="shared" si="22" ref="AE93:AE94">AZ93</f>
        <v>#NAME?</v>
      </c>
      <c r="AF93" s="334"/>
      <c r="AG93" s="360"/>
      <c r="AH93" s="360"/>
      <c r="AI93" s="360"/>
      <c r="AJ93" s="88"/>
      <c r="AK93" s="1090"/>
      <c r="AM93" s="3415" t="s">
        <v>521</v>
      </c>
      <c r="AN93" s="313"/>
      <c r="AO93" s="313"/>
      <c r="AP93" s="1557" t="e" cm="1">
        <f t="array" ca="1" aca="1" ref="AP93">IF(fx_ProtectPush,_xldudf_CX_PUSH(AC93,CX_ENTITY,AM93,val_asOfDate,AT93,AU93))</f>
        <v>#NAME?</v>
      </c>
      <c r="AQ93" s="1557"/>
      <c r="AR93" s="1056"/>
      <c r="AS93" s="3415" t="s">
        <v>522</v>
      </c>
      <c r="AT93" s="3394" t="s">
        <v>54</v>
      </c>
      <c r="AU93" s="3395" t="str" cm="1">
        <f t="array" ref="AU93">fx_scenarioConverter("LE")</f>
        <v>LE</v>
      </c>
      <c r="AV93" s="2194" t="str" cm="1">
        <f t="array" ca="1" aca="1" ref="AV93">IF(fx_ProtectPush,IF(ISNUMBER(AD93),_xldudf_CX_PUSH(AD93,CX_ENTITY,AS93,val_asOfDate,AT93,AU93),"No Push"))</f>
        <v>No Push</v>
      </c>
      <c r="AW93" s="3"/>
      <c r="AX93" s="2198" t="e" cm="1">
        <f t="array" ca="1" aca="1" ref="AX93">_xldudf_CX_GET(CX_ENTITY,AM93,val_asOfDate,AT93,AU93)</f>
        <v>#NAME?</v>
      </c>
      <c r="AY93" s="2199" t="e" cm="1">
        <f t="array" ca="1" aca="1" ref="AY93">_xldudf_CX_GET(CX_ENTITY,AS93,val_asOfDate,AT93,AU93)</f>
        <v>#NAME?</v>
      </c>
      <c r="AZ93" s="709" t="e" cm="1">
        <f t="array" ca="1" aca="1" ref="AZ93">_xldudf_CX_GET(CX_ENTITY,AS93,val_priorQtrEnd,AT93,AU93)</f>
        <v>#NAME?</v>
      </c>
      <c r="BB93" s="88"/>
      <c r="BC93" s="2980" t="b">
        <f t="shared" si="7"/>
        <v>0</v>
      </c>
      <c r="BD93" s="2980" t="str">
        <f t="shared" si="20"/>
        <v>Therme Horizon</v>
      </c>
      <c r="BE93" s="2980">
        <v>37.659999999999997</v>
      </c>
      <c r="BF93" s="2980">
        <v>39</v>
      </c>
      <c r="BG93" s="2980"/>
      <c r="BH93" s="2988" t="str">
        <f>$X$15</f>
        <v>Senior Instrument(s): e.g. Term Loan B or Senior Secured Notes</v>
      </c>
      <c r="BI93" s="2987" t="str">
        <f>IFERROR(IF($BC$93=TRUE,-$AG$15,""),"")</f>
        <v/>
      </c>
      <c r="BJ93" s="2980" t="s">
        <v>1967</v>
      </c>
      <c r="BK93" s="3"/>
      <c r="BL93" s="3"/>
      <c r="BM93" s="3"/>
      <c r="BN93" s="3"/>
      <c r="BO93" s="3"/>
    </row>
    <row r="94" spans="1:67" ht="15.5">
      <c r="A94" s="61" t="s">
        <v>523</v>
      </c>
      <c r="B94" s="61"/>
      <c r="C94" s="59" t="s">
        <v>524</v>
      </c>
      <c r="D94" s="59"/>
      <c r="E94" s="59"/>
      <c r="G94" s="45"/>
      <c r="I94" s="2043"/>
      <c r="J94" s="16"/>
      <c r="K94" s="52"/>
      <c r="L94" s="101"/>
      <c r="M94" s="101"/>
      <c r="N94" s="101"/>
      <c r="O94" s="101"/>
      <c r="P94" s="39"/>
      <c r="R94" s="56"/>
      <c r="S94" s="320"/>
      <c r="T94" s="319"/>
      <c r="U94" s="320"/>
      <c r="V94" s="884">
        <v>-1</v>
      </c>
      <c r="W94" s="313" t="s">
        <v>525</v>
      </c>
      <c r="X94" s="313"/>
      <c r="Y94" s="313"/>
      <c r="Z94" s="314"/>
      <c r="AA94" s="2171" t="e">
        <f ca="1">SUM(CVC.LOOKUP2("Net Debt / (Cash)",val_currentFYE,fx_scenarioConverter("LE"),"Year"))</f>
        <v>#VALUE!</v>
      </c>
      <c r="AB94" s="1054"/>
      <c r="AC94" s="3403">
        <f>AX94</f>
        <v>0</v>
      </c>
      <c r="AD94" s="2205" t="e">
        <f ca="1">IF(AA94="n/a","n/a",SUM(AA94,AC94))</f>
        <v>#VALUE!</v>
      </c>
      <c r="AE94" s="2204" t="e">
        <f t="shared" ca="1" si="22"/>
        <v>#NAME?</v>
      </c>
      <c r="AF94" s="334"/>
      <c r="AG94" s="360"/>
      <c r="AH94" s="360"/>
      <c r="AI94" s="360"/>
      <c r="AJ94" s="88"/>
      <c r="AK94" s="1090"/>
      <c r="AM94" s="3412" t="s">
        <v>526</v>
      </c>
      <c r="AN94" s="313"/>
      <c r="AO94" s="313"/>
      <c r="AP94" s="1557" t="e" cm="1">
        <f t="array" ca="1" aca="1" ref="AP94">IF(fx_ProtectPush,_xldudf_CX_PUSH(AC94,CX_ENTITY,AM94,val_asOfDate,AT94,AU94))</f>
        <v>#NAME?</v>
      </c>
      <c r="AQ94" s="1557"/>
      <c r="AR94" s="1054"/>
      <c r="AS94" s="3412" t="s">
        <v>527</v>
      </c>
      <c r="AT94" s="3410" t="s">
        <v>225</v>
      </c>
      <c r="AU94" s="3411" t="str" cm="1">
        <f t="array" ref="AU94">fx_scenarioConverter("LE")</f>
        <v>LE</v>
      </c>
      <c r="AV94" s="2194" t="str" cm="1">
        <f t="array" ca="1" aca="1" ref="AV94">IF(fx_ProtectPush,IF(ISNUMBER(AD94),_xldudf_CX_PUSH(AD94,CX_ENTITY,AS94,val_asOfDate,AT94,AU94),"No Push"))</f>
        <v>No Push</v>
      </c>
      <c r="AW94" s="3"/>
      <c r="AX94" s="2198"/>
      <c r="AY94" s="2199" t="e" cm="1">
        <f t="array" ca="1" aca="1" ref="AY94">_xldudf_CX_GET(CX_ENTITY,AS94,val_asOfDate,AT94,AU94)</f>
        <v>#NAME?</v>
      </c>
      <c r="AZ94" s="709" t="e" cm="1">
        <f t="array" ca="1" aca="1" ref="AZ94">_xldudf_CX_GET(CX_ENTITY,AS94,val_priorQtrEnd,AT94,AU94)</f>
        <v>#NAME?</v>
      </c>
      <c r="BB94" s="88"/>
      <c r="BC94" s="3262" t="b">
        <f t="shared" si="7"/>
        <v>1</v>
      </c>
      <c r="BD94" s="2980" t="str">
        <f t="shared" si="20"/>
        <v>Therme Horizon</v>
      </c>
      <c r="BE94" s="2980">
        <v>38</v>
      </c>
      <c r="BF94" s="2980">
        <v>40</v>
      </c>
      <c r="BG94" s="2980" t="s">
        <v>437</v>
      </c>
      <c r="BH94" s="2986" t="str">
        <f>$X$14</f>
        <v>Drawn RCF</v>
      </c>
      <c r="BI94" s="2987" t="str">
        <f ca="1">IFERROR(IF($BC94=TRUE,-$AG$14,""),"")</f>
        <v/>
      </c>
      <c r="BJ94" s="2980" t="s">
        <v>1967</v>
      </c>
      <c r="BK94" s="3"/>
      <c r="BL94" s="3"/>
      <c r="BM94" s="3"/>
      <c r="BN94" s="3"/>
      <c r="BO94" s="3"/>
    </row>
    <row r="95" spans="1:67" ht="15.5">
      <c r="A95" s="59"/>
      <c r="B95" s="59"/>
      <c r="C95" s="59"/>
      <c r="D95" s="59"/>
      <c r="E95" s="59"/>
      <c r="G95" s="45"/>
      <c r="I95" s="2043"/>
      <c r="J95" s="16"/>
      <c r="K95" s="52"/>
      <c r="L95" s="101"/>
      <c r="M95" s="101"/>
      <c r="N95" s="101"/>
      <c r="O95" s="101"/>
      <c r="P95" s="39"/>
      <c r="R95" s="56"/>
      <c r="S95" s="320"/>
      <c r="T95" s="319"/>
      <c r="U95" s="320"/>
      <c r="V95" s="893"/>
      <c r="W95" s="2225" t="s">
        <v>531</v>
      </c>
      <c r="X95" s="2225"/>
      <c r="Y95" s="2226"/>
      <c r="Z95" s="2226"/>
      <c r="AA95" s="2227"/>
      <c r="AB95" s="2232"/>
      <c r="AC95" s="2233"/>
      <c r="AD95" s="2260">
        <f ca="1">IFERROR(-AD94/AD93,0)</f>
        <v>0</v>
      </c>
      <c r="AE95" s="2259" t="str">
        <f ca="1">IFERROR(AE94/AE93,"n/a")</f>
        <v>n/a</v>
      </c>
      <c r="AF95" s="334"/>
      <c r="AG95" s="360"/>
      <c r="AH95" s="360"/>
      <c r="AI95" s="360"/>
      <c r="AJ95" s="88"/>
      <c r="AK95" s="34"/>
      <c r="AM95" s="1108"/>
      <c r="AN95" s="1109"/>
      <c r="AO95" s="1109"/>
      <c r="AP95" s="1857"/>
      <c r="AQ95" s="1857"/>
      <c r="AR95" s="1858"/>
      <c r="AS95" s="3416" t="s">
        <v>529</v>
      </c>
      <c r="AT95" s="3416" t="s">
        <v>54</v>
      </c>
      <c r="AU95" s="3417" t="str" cm="1">
        <f t="array" ref="AU95">fx_scenarioConverter("LE")</f>
        <v>LE</v>
      </c>
      <c r="AV95" s="2194" t="e" cm="1">
        <f t="array" ca="1" aca="1" ref="AV95">IF(fx_ProtectPush,IF(ISNUMBER(AD95),_xldudf_CX_PUSH(AD95,CX_ENTITY,AS95,val_asOfDate,AT95,AU95),"No Push"))</f>
        <v>#NAME?</v>
      </c>
      <c r="AW95" s="3"/>
      <c r="AX95" s="2198"/>
      <c r="AY95" s="2199" t="e" cm="1">
        <f t="array" ca="1" aca="1" ref="AY95">_xldudf_CX_GET(CX_ENTITY,AS95,val_asOfDate,AT95,AU95)</f>
        <v>#NAME?</v>
      </c>
      <c r="AZ95" s="709" t="e" cm="1">
        <f t="array" ca="1" aca="1" ref="AZ95">_xldudf_CX_GET(CX_ENTITY,AS95,val_priorQtrEnd,AT95,AU95)</f>
        <v>#NAME?</v>
      </c>
      <c r="BB95" s="88"/>
      <c r="BC95" s="3262" t="b">
        <f t="shared" si="7"/>
        <v>1</v>
      </c>
      <c r="BD95" s="2980" t="str">
        <f t="shared" si="20"/>
        <v>Therme Horizon</v>
      </c>
      <c r="BE95" s="2980">
        <v>39</v>
      </c>
      <c r="BF95" s="2980">
        <v>41</v>
      </c>
      <c r="BG95" s="2980" t="s">
        <v>1907</v>
      </c>
      <c r="BH95" s="2986" t="str">
        <f>$X$16</f>
        <v>Junior Instrument(s): e.g. Second Lien (Junior) or Unsecured Notes</v>
      </c>
      <c r="BI95" s="2987" t="str">
        <f ca="1">IFERROR(IF(BC95=TRUE,-$AG$16,""),"")</f>
        <v/>
      </c>
      <c r="BJ95" s="2980" t="s">
        <v>1967</v>
      </c>
      <c r="BK95" s="3"/>
      <c r="BL95" s="3"/>
      <c r="BM95" s="3"/>
      <c r="BN95" s="3"/>
      <c r="BO95" s="3"/>
    </row>
    <row r="96" spans="1:67" ht="15" customHeight="1">
      <c r="A96" s="59"/>
      <c r="B96" s="59"/>
      <c r="C96" s="59"/>
      <c r="D96" s="59"/>
      <c r="E96" s="59"/>
      <c r="G96" s="45"/>
      <c r="I96" s="2043"/>
      <c r="J96" s="16"/>
      <c r="K96" s="52"/>
      <c r="L96" s="101"/>
      <c r="M96" s="101"/>
      <c r="N96" s="101"/>
      <c r="O96" s="101"/>
      <c r="P96" s="39"/>
      <c r="R96" s="56"/>
      <c r="S96" s="320"/>
      <c r="T96" s="319"/>
      <c r="U96" s="320"/>
      <c r="V96" s="320"/>
      <c r="W96" s="340"/>
      <c r="X96" s="340"/>
      <c r="Y96" s="340"/>
      <c r="Z96" s="340"/>
      <c r="AA96" s="340"/>
      <c r="AB96" s="340"/>
      <c r="AC96" s="340"/>
      <c r="AD96" s="2208"/>
      <c r="AE96" s="334"/>
      <c r="AF96" s="334"/>
      <c r="AG96" s="360"/>
      <c r="AH96" s="360"/>
      <c r="AI96" s="360"/>
      <c r="AJ96" s="88"/>
      <c r="AK96" s="34"/>
      <c r="AM96" s="340"/>
      <c r="AN96" s="340"/>
      <c r="AO96" s="340"/>
      <c r="AP96" s="340"/>
      <c r="AQ96" s="340"/>
      <c r="AR96" s="340"/>
      <c r="AS96" s="340"/>
      <c r="AT96" s="340"/>
      <c r="AU96" s="340"/>
      <c r="AV96" s="340"/>
      <c r="AW96" s="3"/>
      <c r="AX96" s="334"/>
      <c r="AY96" s="334"/>
      <c r="AZ96" s="3"/>
      <c r="BB96" s="88"/>
      <c r="BC96" s="2980" t="b">
        <f t="shared" si="7"/>
        <v>0</v>
      </c>
      <c r="BD96" s="2980" t="str">
        <f t="shared" si="20"/>
        <v>Therme Horizon</v>
      </c>
      <c r="BE96" s="2980">
        <v>40</v>
      </c>
      <c r="BF96" s="2980">
        <v>42</v>
      </c>
      <c r="BG96" s="2980" t="s">
        <v>1908</v>
      </c>
      <c r="BH96" s="2986" t="str">
        <f>$X$17</f>
        <v>Others Instrument(s)</v>
      </c>
      <c r="BI96" s="2987" t="str">
        <f>IFERROR(IF(BC96=TRUE,-$AG$17,""),"")</f>
        <v/>
      </c>
      <c r="BJ96" s="2980" t="s">
        <v>1967</v>
      </c>
      <c r="BK96" s="3"/>
      <c r="BL96" s="3"/>
      <c r="BM96" s="3"/>
      <c r="BN96" s="3"/>
      <c r="BO96" s="3"/>
    </row>
    <row r="97" spans="1:67" ht="15.5">
      <c r="A97" s="59"/>
      <c r="B97" s="59"/>
      <c r="C97" s="59"/>
      <c r="D97" s="59"/>
      <c r="E97" s="59"/>
      <c r="G97" s="45"/>
      <c r="I97" s="2043"/>
      <c r="J97" s="16"/>
      <c r="K97" s="52"/>
      <c r="L97" s="101"/>
      <c r="M97" s="101"/>
      <c r="N97" s="101"/>
      <c r="O97" s="101"/>
      <c r="P97" s="39"/>
      <c r="R97" s="265"/>
      <c r="S97" s="319"/>
      <c r="T97" s="319"/>
      <c r="U97" s="320"/>
      <c r="V97" s="320"/>
      <c r="W97" s="305"/>
      <c r="X97" s="305"/>
      <c r="Y97" s="305"/>
      <c r="Z97" s="329"/>
      <c r="AA97" s="329"/>
      <c r="AB97" s="329"/>
      <c r="AC97" s="329"/>
      <c r="AD97" s="329"/>
      <c r="AE97" s="329"/>
      <c r="AF97" s="329"/>
      <c r="AG97" s="330"/>
      <c r="AH97" s="330"/>
      <c r="AI97" s="366"/>
      <c r="AJ97" s="330"/>
      <c r="AK97" s="34"/>
      <c r="AM97" s="3"/>
      <c r="AN97" s="3"/>
      <c r="AO97" s="3"/>
      <c r="AP97" s="3"/>
      <c r="AQ97" s="3"/>
      <c r="AR97" s="3"/>
      <c r="AS97" s="3"/>
      <c r="AT97" s="3"/>
      <c r="AU97" s="3"/>
      <c r="AV97" s="3"/>
      <c r="AW97" s="3"/>
      <c r="AX97" s="3"/>
      <c r="AY97" s="3"/>
      <c r="AZ97" s="3"/>
      <c r="BB97" s="88"/>
      <c r="BC97" s="2980" t="b">
        <f t="shared" si="7"/>
        <v>0</v>
      </c>
      <c r="BD97" s="2980" t="str">
        <f t="shared" si="20"/>
        <v>Therme Horizon</v>
      </c>
      <c r="BE97" s="2980">
        <v>41</v>
      </c>
      <c r="BF97" s="2980">
        <v>43</v>
      </c>
      <c r="BG97" s="2980" t="s">
        <v>1909</v>
      </c>
      <c r="BH97" s="2988" t="s">
        <v>454</v>
      </c>
      <c r="BI97" s="2987" t="str">
        <f>IF(BC97=TRUE,N($AG$18),"")</f>
        <v/>
      </c>
      <c r="BJ97" s="2980" t="s">
        <v>1967</v>
      </c>
      <c r="BK97" s="3"/>
      <c r="BL97" s="3"/>
      <c r="BM97" s="3"/>
      <c r="BN97" s="3"/>
      <c r="BO97" s="3"/>
    </row>
    <row r="98" spans="1:67" ht="15.5">
      <c r="A98" s="59"/>
      <c r="B98" s="59"/>
      <c r="C98" s="59"/>
      <c r="D98" s="59"/>
      <c r="E98" s="59"/>
      <c r="G98" s="45"/>
      <c r="I98" s="2043"/>
      <c r="J98" s="16"/>
      <c r="K98" s="52"/>
      <c r="L98" s="101"/>
      <c r="M98" s="101"/>
      <c r="N98" s="101"/>
      <c r="O98" s="101"/>
      <c r="P98" s="39"/>
      <c r="R98" s="265"/>
      <c r="S98" s="319"/>
      <c r="T98" s="319"/>
      <c r="U98" s="320"/>
      <c r="V98" s="320"/>
      <c r="W98" s="305"/>
      <c r="X98" s="305"/>
      <c r="Y98" s="305"/>
      <c r="Z98" s="329"/>
      <c r="AA98" s="329"/>
      <c r="AB98" s="329"/>
      <c r="AC98" s="329"/>
      <c r="AD98" s="329"/>
      <c r="AE98" s="329"/>
      <c r="AF98" s="329"/>
      <c r="AG98" s="330"/>
      <c r="AH98" s="330"/>
      <c r="AI98" s="366"/>
      <c r="AJ98" s="88"/>
      <c r="AK98" s="34"/>
      <c r="AM98" s="3"/>
      <c r="AN98" s="3"/>
      <c r="AO98" s="3"/>
      <c r="AP98" s="3"/>
      <c r="AQ98" s="3"/>
      <c r="AR98" s="3"/>
      <c r="AS98" s="3"/>
      <c r="AT98" s="3"/>
      <c r="AU98" s="3"/>
      <c r="AV98" s="3"/>
      <c r="AW98" s="3"/>
      <c r="AX98" s="3"/>
      <c r="AY98" s="3"/>
      <c r="AZ98" s="3"/>
      <c r="BB98" s="88"/>
      <c r="BC98" s="2980">
        <f t="shared" si="7"/>
        <v>0</v>
      </c>
      <c r="BD98" s="2980" t="str">
        <f t="shared" si="20"/>
        <v>Therme Horizon</v>
      </c>
      <c r="BE98" s="2980">
        <v>42</v>
      </c>
      <c r="BF98" s="2980">
        <v>44</v>
      </c>
      <c r="BG98" s="2980" t="s">
        <v>1910</v>
      </c>
      <c r="BH98" s="2988" t="str">
        <f>$X$20</f>
        <v>Total Gross Debt for leverage (OpCo)</v>
      </c>
      <c r="BI98" s="2987">
        <f ca="1">-N($AG$20)</f>
        <v>0</v>
      </c>
      <c r="BJ98" s="2980" t="s">
        <v>1967</v>
      </c>
      <c r="BK98" s="3"/>
      <c r="BL98" s="3"/>
      <c r="BM98" s="3"/>
      <c r="BN98" s="3"/>
      <c r="BO98" s="3"/>
    </row>
    <row r="99" spans="1:67" ht="27" customHeight="1">
      <c r="A99" s="59"/>
      <c r="B99" s="59"/>
      <c r="C99" s="59"/>
      <c r="D99" s="59"/>
      <c r="E99" s="59"/>
      <c r="G99" s="45"/>
      <c r="I99" s="2043"/>
      <c r="J99" s="16"/>
      <c r="K99" s="52"/>
      <c r="L99" s="101"/>
      <c r="M99" s="101"/>
      <c r="N99" s="101"/>
      <c r="O99" s="101"/>
      <c r="P99" s="39"/>
      <c r="R99" s="265"/>
      <c r="S99" s="319"/>
      <c r="T99" s="319"/>
      <c r="U99" s="357"/>
      <c r="V99" s="1099"/>
      <c r="W99" s="1099" t="s">
        <v>1951</v>
      </c>
      <c r="X99" s="1095"/>
      <c r="Y99" s="1095"/>
      <c r="Z99" s="1095"/>
      <c r="AA99" s="1095"/>
      <c r="AB99" s="1095"/>
      <c r="AC99" s="1095"/>
      <c r="AD99" s="1095"/>
      <c r="AE99" s="1095"/>
      <c r="AF99" s="329"/>
      <c r="AG99" s="330"/>
      <c r="AH99" s="330"/>
      <c r="AI99" s="366"/>
      <c r="AJ99" s="88"/>
      <c r="AK99" s="34"/>
      <c r="AM99" s="3"/>
      <c r="AN99" s="3"/>
      <c r="AO99" s="3"/>
      <c r="AP99" s="3"/>
      <c r="AQ99" s="3"/>
      <c r="AR99" s="3"/>
      <c r="AS99" s="3"/>
      <c r="AT99" s="3"/>
      <c r="AU99" s="3"/>
      <c r="AV99" s="3"/>
      <c r="AW99" s="3"/>
      <c r="AX99" s="3"/>
      <c r="AY99" s="3"/>
      <c r="AZ99" s="3"/>
      <c r="BB99" s="88"/>
      <c r="BC99" s="3262" t="b">
        <f t="shared" si="7"/>
        <v>1</v>
      </c>
      <c r="BD99" s="2980" t="str">
        <f t="shared" si="20"/>
        <v>Therme Horizon</v>
      </c>
      <c r="BE99" s="2980">
        <v>43</v>
      </c>
      <c r="BF99" s="2980">
        <v>45</v>
      </c>
      <c r="BG99" s="2980" t="s">
        <v>1911</v>
      </c>
      <c r="BH99" s="2988" t="str">
        <f>$X$22</f>
        <v>Cash and Equivalents (OpCo)</v>
      </c>
      <c r="BI99" s="2987" t="e">
        <f ca="1">-IF(BC99=TRUE,$AG$22,"")</f>
        <v>#VALUE!</v>
      </c>
      <c r="BJ99" s="2980" t="s">
        <v>1967</v>
      </c>
      <c r="BK99" s="3"/>
      <c r="BL99" s="3"/>
      <c r="BM99" s="3"/>
      <c r="BN99" s="3"/>
      <c r="BO99" s="3"/>
    </row>
    <row r="100" spans="1:67" ht="15.5">
      <c r="A100" s="59"/>
      <c r="B100" s="59"/>
      <c r="C100" s="59"/>
      <c r="D100" s="59"/>
      <c r="E100" s="59"/>
      <c r="G100" s="45"/>
      <c r="I100" s="2043"/>
      <c r="J100" s="16"/>
      <c r="K100" s="52"/>
      <c r="L100" s="101"/>
      <c r="M100" s="101"/>
      <c r="N100" s="101"/>
      <c r="O100" s="101"/>
      <c r="P100" s="39"/>
      <c r="R100" s="265"/>
      <c r="S100" s="319"/>
      <c r="T100" s="319"/>
      <c r="U100" s="320"/>
      <c r="V100" s="320"/>
      <c r="W100" s="320"/>
      <c r="X100" s="320"/>
      <c r="Y100" s="320"/>
      <c r="Z100" s="320"/>
      <c r="AA100" s="320"/>
      <c r="AB100" s="320"/>
      <c r="AC100" s="320"/>
      <c r="AD100" s="320"/>
      <c r="AE100" s="329"/>
      <c r="AF100" s="329"/>
      <c r="AG100" s="330"/>
      <c r="AH100" s="330"/>
      <c r="AI100" s="366"/>
      <c r="AJ100" s="88"/>
      <c r="AK100" s="34"/>
      <c r="AM100" s="3"/>
      <c r="AN100" s="3"/>
      <c r="AO100" s="3"/>
      <c r="AP100" s="3"/>
      <c r="AQ100" s="3"/>
      <c r="AR100" s="3"/>
      <c r="AS100" s="3"/>
      <c r="AT100" s="3"/>
      <c r="AU100" s="3"/>
      <c r="AV100" s="3"/>
      <c r="AW100" s="3"/>
      <c r="AX100" s="3"/>
      <c r="AY100" s="3"/>
      <c r="AZ100" s="3"/>
      <c r="BB100" s="88"/>
      <c r="BC100" s="2980">
        <f t="shared" si="7"/>
        <v>0</v>
      </c>
      <c r="BD100" s="2980" t="str">
        <f t="shared" si="20"/>
        <v>Therme Horizon</v>
      </c>
      <c r="BE100" s="2980">
        <v>44</v>
      </c>
      <c r="BF100" s="2980">
        <v>46</v>
      </c>
      <c r="BG100" s="2980" t="s">
        <v>1912</v>
      </c>
      <c r="BH100" s="2988" t="str">
        <f>$X$24</f>
        <v>Total Net Debt for leverage (OpCo)</v>
      </c>
      <c r="BI100" s="2987">
        <f ca="1">-$AG$24</f>
        <v>0</v>
      </c>
      <c r="BJ100" s="2980" t="s">
        <v>1967</v>
      </c>
      <c r="BK100" s="3"/>
      <c r="BL100" s="3"/>
      <c r="BM100" s="3"/>
      <c r="BN100" s="3"/>
      <c r="BO100" s="3"/>
    </row>
    <row r="101" spans="1:67" ht="15.5">
      <c r="A101" s="59"/>
      <c r="B101" s="59"/>
      <c r="C101" s="59"/>
      <c r="D101" s="59"/>
      <c r="E101" s="59"/>
      <c r="G101" s="45"/>
      <c r="I101" s="2043"/>
      <c r="J101" s="16"/>
      <c r="K101" s="52"/>
      <c r="L101" s="101"/>
      <c r="M101" s="101"/>
      <c r="N101" s="101"/>
      <c r="O101" s="101"/>
      <c r="P101" s="39"/>
      <c r="R101" s="265"/>
      <c r="S101" s="319"/>
      <c r="T101" s="319"/>
      <c r="U101" s="320"/>
      <c r="V101" s="1420"/>
      <c r="W101" s="3092" t="e">
        <f ca="1">AX101</f>
        <v>#NAME?</v>
      </c>
      <c r="X101" s="3093"/>
      <c r="Y101" s="3093"/>
      <c r="Z101" s="3093"/>
      <c r="AA101" s="3093"/>
      <c r="AB101" s="3093"/>
      <c r="AC101" s="3093"/>
      <c r="AD101" s="3093"/>
      <c r="AE101" s="3101"/>
      <c r="AF101" s="329"/>
      <c r="AG101" s="330"/>
      <c r="AH101" s="330"/>
      <c r="AI101" s="366"/>
      <c r="AJ101" s="88"/>
      <c r="AK101" s="34"/>
      <c r="AM101" s="3378" t="s">
        <v>532</v>
      </c>
      <c r="AN101" s="3"/>
      <c r="AO101" s="3"/>
      <c r="AP101" s="2188" t="e" cm="1">
        <f t="array" ca="1" aca="1" ref="AP101">IF(fx_ProtectPush,_xldudf_CX_PUSH(W101,CX_ENTITY,AM101,val_asOfDate))</f>
        <v>#NAME?</v>
      </c>
      <c r="AQ101" s="2188"/>
      <c r="AR101" s="3"/>
      <c r="AS101" s="3"/>
      <c r="AT101" s="3"/>
      <c r="AU101" s="3"/>
      <c r="AV101" s="3"/>
      <c r="AW101" s="3"/>
      <c r="AX101" s="2198" t="e" cm="1">
        <f t="array" ca="1" aca="1" ref="AX101">_xldudf_CX_GET(CX_ENTITY,AM101,val_asOfDate)</f>
        <v>#NAME?</v>
      </c>
      <c r="AY101" s="3"/>
      <c r="AZ101" s="3"/>
      <c r="BB101" s="88"/>
      <c r="BC101" s="2980" t="str">
        <f t="shared" si="7"/>
        <v/>
      </c>
      <c r="BD101" s="2980" t="str">
        <f t="shared" si="20"/>
        <v>Therme Horizon</v>
      </c>
      <c r="BE101" s="2980">
        <v>45</v>
      </c>
      <c r="BF101" s="2980">
        <v>47</v>
      </c>
      <c r="BG101" s="2980" t="s">
        <v>485</v>
      </c>
      <c r="BH101" s="2988" t="str">
        <f>$W$34</f>
        <v>LTM Adjusted EBITDA (OpCo)</v>
      </c>
      <c r="BI101" s="2987" t="str">
        <f ca="1">$AG$34</f>
        <v/>
      </c>
      <c r="BJ101" s="2980" t="s">
        <v>1967</v>
      </c>
      <c r="BK101" s="3"/>
      <c r="BL101" s="3"/>
      <c r="BM101" s="3"/>
      <c r="BN101" s="3"/>
      <c r="BO101" s="3"/>
    </row>
    <row r="102" spans="1:67" ht="15.5">
      <c r="A102" s="59"/>
      <c r="B102" s="59"/>
      <c r="C102" s="59"/>
      <c r="D102" s="59"/>
      <c r="E102" s="59"/>
      <c r="G102" s="45"/>
      <c r="I102" s="2043"/>
      <c r="J102" s="16"/>
      <c r="K102" s="52"/>
      <c r="L102" s="101"/>
      <c r="M102" s="101"/>
      <c r="N102" s="101"/>
      <c r="O102" s="101"/>
      <c r="P102" s="39"/>
      <c r="R102" s="265"/>
      <c r="S102" s="319"/>
      <c r="T102" s="319"/>
      <c r="U102" s="320"/>
      <c r="V102" s="1420"/>
      <c r="W102" s="3094"/>
      <c r="X102" s="3095"/>
      <c r="Y102" s="3095"/>
      <c r="Z102" s="3095"/>
      <c r="AA102" s="3095"/>
      <c r="AB102" s="3095"/>
      <c r="AC102" s="3095"/>
      <c r="AD102" s="3095"/>
      <c r="AE102" s="3102"/>
      <c r="AF102" s="329"/>
      <c r="AG102" s="330"/>
      <c r="AH102" s="330"/>
      <c r="AI102" s="366"/>
      <c r="AJ102" s="88"/>
      <c r="AK102" s="34"/>
      <c r="AM102" s="3"/>
      <c r="AN102" s="3"/>
      <c r="AO102" s="3"/>
      <c r="AP102" s="3"/>
      <c r="AQ102" s="3"/>
      <c r="AR102" s="3"/>
      <c r="AS102" s="3"/>
      <c r="AT102" s="3"/>
      <c r="AU102" s="3"/>
      <c r="AV102" s="3"/>
      <c r="AW102" s="3"/>
      <c r="AX102" s="3"/>
      <c r="AY102" s="3"/>
      <c r="AZ102" s="3"/>
      <c r="BB102" s="88"/>
      <c r="BC102" s="2980" t="str">
        <f t="shared" si="7"/>
        <v/>
      </c>
      <c r="BD102" s="2980" t="str">
        <f t="shared" si="20"/>
        <v>Therme Horizon</v>
      </c>
      <c r="BE102" s="2980">
        <v>45.50</v>
      </c>
      <c r="BF102" s="2980">
        <v>48</v>
      </c>
      <c r="BG102" s="2980"/>
      <c r="BH102" s="2981" t="str">
        <f>$AH$12</f>
        <v>Gross Leverage</v>
      </c>
      <c r="BI102" s="2987" t="str">
        <f ca="1">$AH$20</f>
        <v>n/a</v>
      </c>
      <c r="BJ102" s="2980" t="s">
        <v>1967</v>
      </c>
      <c r="BK102" s="3"/>
      <c r="BL102" s="3"/>
      <c r="BM102" s="3"/>
      <c r="BN102" s="3"/>
      <c r="BO102" s="3"/>
    </row>
    <row r="103" spans="1:67" ht="15.5">
      <c r="A103" s="59"/>
      <c r="B103" s="59"/>
      <c r="C103" s="59"/>
      <c r="D103" s="59"/>
      <c r="E103" s="59"/>
      <c r="G103" s="45"/>
      <c r="I103" s="2043"/>
      <c r="J103" s="16"/>
      <c r="K103" s="52"/>
      <c r="L103" s="101"/>
      <c r="M103" s="101"/>
      <c r="N103" s="101"/>
      <c r="O103" s="101"/>
      <c r="P103" s="39"/>
      <c r="R103" s="265"/>
      <c r="S103" s="319"/>
      <c r="T103" s="319"/>
      <c r="U103" s="320"/>
      <c r="V103" s="1420"/>
      <c r="W103" s="3094"/>
      <c r="X103" s="3095"/>
      <c r="Y103" s="3095"/>
      <c r="Z103" s="3095"/>
      <c r="AA103" s="3095"/>
      <c r="AB103" s="3095"/>
      <c r="AC103" s="3095"/>
      <c r="AD103" s="3095"/>
      <c r="AE103" s="3102"/>
      <c r="AF103" s="329"/>
      <c r="AG103" s="330"/>
      <c r="AH103" s="330"/>
      <c r="AI103" s="366"/>
      <c r="AJ103" s="88"/>
      <c r="AK103" s="34"/>
      <c r="AM103" s="3"/>
      <c r="AN103" s="3"/>
      <c r="AO103" s="3"/>
      <c r="AP103" s="3"/>
      <c r="AQ103" s="3"/>
      <c r="AR103" s="3"/>
      <c r="AS103" s="3"/>
      <c r="AT103" s="3"/>
      <c r="AU103" s="3"/>
      <c r="AV103" s="3"/>
      <c r="AW103" s="3"/>
      <c r="AX103" s="3"/>
      <c r="AY103" s="3"/>
      <c r="AZ103" s="3"/>
      <c r="BB103" s="88"/>
      <c r="BC103" s="2980" t="str">
        <f t="shared" si="7"/>
        <v/>
      </c>
      <c r="BD103" s="2980" t="str">
        <f t="shared" si="20"/>
        <v>Therme Horizon</v>
      </c>
      <c r="BE103" s="2980">
        <v>46</v>
      </c>
      <c r="BF103" s="2980">
        <v>49</v>
      </c>
      <c r="BG103" s="2980" t="s">
        <v>1913</v>
      </c>
      <c r="BH103" s="2981" t="str">
        <f>$AI$12</f>
        <v>Net Leverage (OpCo)</v>
      </c>
      <c r="BI103" s="2987" t="str">
        <f ca="1">$AI$24</f>
        <v>n/a</v>
      </c>
      <c r="BJ103" s="2980" t="s">
        <v>1967</v>
      </c>
      <c r="BK103" s="3"/>
      <c r="BL103" s="3"/>
      <c r="BM103" s="3"/>
      <c r="BN103" s="3"/>
      <c r="BO103" s="3"/>
    </row>
    <row r="104" spans="1:67" ht="15.5">
      <c r="A104" s="59"/>
      <c r="B104" s="59"/>
      <c r="C104" s="59"/>
      <c r="D104" s="59"/>
      <c r="E104" s="59"/>
      <c r="G104" s="45"/>
      <c r="I104" s="2043"/>
      <c r="J104" s="16"/>
      <c r="K104" s="52"/>
      <c r="L104" s="101"/>
      <c r="M104" s="101"/>
      <c r="N104" s="101"/>
      <c r="O104" s="101"/>
      <c r="P104" s="39"/>
      <c r="R104" s="265"/>
      <c r="S104" s="319"/>
      <c r="T104" s="319"/>
      <c r="U104" s="320"/>
      <c r="V104" s="1420"/>
      <c r="W104" s="3094"/>
      <c r="X104" s="3095"/>
      <c r="Y104" s="3095"/>
      <c r="Z104" s="3095"/>
      <c r="AA104" s="3095"/>
      <c r="AB104" s="3095"/>
      <c r="AC104" s="3095"/>
      <c r="AD104" s="3095"/>
      <c r="AE104" s="3102"/>
      <c r="AF104" s="329"/>
      <c r="AG104" s="330"/>
      <c r="AH104" s="330"/>
      <c r="AI104" s="366"/>
      <c r="AJ104" s="88"/>
      <c r="AK104" s="34"/>
      <c r="AM104" s="3"/>
      <c r="AN104" s="3"/>
      <c r="AO104" s="3"/>
      <c r="AP104" s="3"/>
      <c r="AQ104" s="3"/>
      <c r="AR104" s="3"/>
      <c r="AS104" s="3"/>
      <c r="AT104" s="3"/>
      <c r="AU104" s="3"/>
      <c r="AV104" s="3"/>
      <c r="AW104" s="3"/>
      <c r="AX104" s="3"/>
      <c r="AY104" s="3"/>
      <c r="AZ104" s="3"/>
      <c r="BB104" s="88"/>
      <c r="BC104" s="3262" t="b">
        <f t="shared" si="7"/>
        <v>1</v>
      </c>
      <c r="BD104" s="2980" t="str">
        <f t="shared" si="20"/>
        <v>Therme Horizon</v>
      </c>
      <c r="BE104" s="2980">
        <v>47</v>
      </c>
      <c r="BF104" s="2980">
        <v>50</v>
      </c>
      <c r="BG104" s="2980" t="s">
        <v>461</v>
      </c>
      <c r="BH104" s="2981" t="str">
        <f>$X$28</f>
        <v>Look through / ownership %</v>
      </c>
      <c r="BI104" s="2990">
        <f>IF(BC104=TRUE,N($AG$28),"")</f>
        <v>0</v>
      </c>
      <c r="BJ104" s="2980" t="s">
        <v>1967</v>
      </c>
      <c r="BK104" s="3"/>
      <c r="BL104" s="3"/>
      <c r="BM104" s="3"/>
      <c r="BN104" s="3"/>
      <c r="BO104" s="3"/>
    </row>
    <row r="105" spans="1:67" ht="15.5">
      <c r="A105" s="59"/>
      <c r="B105" s="59"/>
      <c r="C105" s="59"/>
      <c r="D105" s="59"/>
      <c r="E105" s="59"/>
      <c r="G105" s="45"/>
      <c r="I105" s="2043"/>
      <c r="J105" s="16"/>
      <c r="K105" s="52"/>
      <c r="L105" s="101"/>
      <c r="M105" s="101"/>
      <c r="N105" s="101"/>
      <c r="O105" s="101"/>
      <c r="P105" s="39"/>
      <c r="R105" s="265"/>
      <c r="S105" s="319"/>
      <c r="T105" s="319"/>
      <c r="U105" s="320"/>
      <c r="V105" s="1420"/>
      <c r="W105" s="3096"/>
      <c r="X105" s="3097"/>
      <c r="Y105" s="3097"/>
      <c r="Z105" s="3097"/>
      <c r="AA105" s="3097"/>
      <c r="AB105" s="3097"/>
      <c r="AC105" s="3097"/>
      <c r="AD105" s="3097"/>
      <c r="AE105" s="3103"/>
      <c r="AF105" s="329"/>
      <c r="AG105" s="330"/>
      <c r="AH105" s="330"/>
      <c r="AI105" s="366"/>
      <c r="AJ105" s="88"/>
      <c r="AK105" s="34"/>
      <c r="AM105" s="3"/>
      <c r="AN105" s="3"/>
      <c r="AO105" s="3"/>
      <c r="AP105" s="3"/>
      <c r="AQ105" s="3"/>
      <c r="AR105" s="3"/>
      <c r="AS105" s="3"/>
      <c r="AT105" s="3"/>
      <c r="AU105" s="3"/>
      <c r="AV105" s="3"/>
      <c r="AW105" s="3"/>
      <c r="AX105" s="3"/>
      <c r="AY105" s="3"/>
      <c r="AZ105" s="3"/>
      <c r="BB105" s="88"/>
      <c r="BC105" s="3262" t="b">
        <f t="shared" si="7"/>
        <v>1</v>
      </c>
      <c r="BD105" s="2980" t="str">
        <f t="shared" si="20"/>
        <v>Therme Horizon</v>
      </c>
      <c r="BE105" s="2980">
        <v>48</v>
      </c>
      <c r="BF105" s="2980">
        <v>51</v>
      </c>
      <c r="BG105" s="2980" t="s">
        <v>463</v>
      </c>
      <c r="BH105" s="2981" t="str">
        <f>$X$29</f>
        <v>Gross Debt for leverage - Holdco</v>
      </c>
      <c r="BI105" s="2987">
        <f>IF(BC105=TRUE,N($AG$29),"")</f>
        <v>0</v>
      </c>
      <c r="BJ105" s="2980" t="s">
        <v>1967</v>
      </c>
      <c r="BK105" s="3"/>
      <c r="BL105" s="3"/>
      <c r="BM105" s="3"/>
      <c r="BN105" s="3"/>
      <c r="BO105" s="3"/>
    </row>
    <row r="106" spans="1:67" ht="15.5">
      <c r="A106" s="59"/>
      <c r="B106" s="59"/>
      <c r="C106" s="59"/>
      <c r="D106" s="59"/>
      <c r="E106" s="59"/>
      <c r="G106" s="45"/>
      <c r="I106" s="2043"/>
      <c r="J106" s="16"/>
      <c r="K106" s="101"/>
      <c r="L106" s="101"/>
      <c r="M106" s="101"/>
      <c r="N106" s="101"/>
      <c r="O106" s="101"/>
      <c r="P106" s="39"/>
      <c r="R106" s="265"/>
      <c r="S106" s="319"/>
      <c r="T106" s="319"/>
      <c r="U106" s="320"/>
      <c r="V106" s="320"/>
      <c r="W106" s="305"/>
      <c r="X106" s="305"/>
      <c r="Y106" s="305"/>
      <c r="Z106" s="329"/>
      <c r="AA106" s="329"/>
      <c r="AB106" s="329"/>
      <c r="AC106" s="329"/>
      <c r="AD106" s="329"/>
      <c r="AE106" s="329"/>
      <c r="AF106" s="329"/>
      <c r="AG106" s="330"/>
      <c r="AH106" s="330"/>
      <c r="AI106" s="366"/>
      <c r="AJ106" s="88"/>
      <c r="AK106" s="34"/>
      <c r="AM106" s="3"/>
      <c r="AN106" s="3"/>
      <c r="AO106" s="3"/>
      <c r="AP106" s="3"/>
      <c r="AQ106" s="3"/>
      <c r="AR106" s="3"/>
      <c r="AS106" s="3"/>
      <c r="AT106" s="3"/>
      <c r="AU106" s="3"/>
      <c r="AV106" s="3"/>
      <c r="AW106" s="3"/>
      <c r="AX106" s="3"/>
      <c r="AY106" s="3"/>
      <c r="AZ106" s="3"/>
      <c r="BB106" s="88"/>
      <c r="BC106" s="3262" t="b">
        <f t="shared" si="7"/>
        <v>1</v>
      </c>
      <c r="BD106" s="2980" t="str">
        <f t="shared" si="20"/>
        <v>Therme Horizon</v>
      </c>
      <c r="BE106" s="2980">
        <v>49</v>
      </c>
      <c r="BF106" s="2980">
        <v>52</v>
      </c>
      <c r="BG106" s="2980" t="s">
        <v>464</v>
      </c>
      <c r="BH106" s="2981" t="str">
        <f>$X$30</f>
        <v>Cash and Equivalents - Holdco</v>
      </c>
      <c r="BI106" s="2987">
        <f>IF(BC106=TRUE,N($AG$30),"")</f>
        <v>0</v>
      </c>
      <c r="BJ106" s="2980" t="s">
        <v>1967</v>
      </c>
      <c r="BK106" s="3"/>
      <c r="BL106" s="3"/>
      <c r="BM106" s="3"/>
      <c r="BN106" s="3"/>
      <c r="BO106" s="3"/>
    </row>
    <row r="107" spans="1:67" ht="32.5">
      <c r="A107" s="66"/>
      <c r="B107" s="66"/>
      <c r="C107" s="66"/>
      <c r="D107" s="66"/>
      <c r="E107" s="66"/>
      <c r="G107" s="211"/>
      <c r="I107" s="2043"/>
      <c r="J107" s="16"/>
      <c r="K107" s="322"/>
      <c r="L107" s="322"/>
      <c r="M107" s="126"/>
      <c r="N107" s="101"/>
      <c r="O107" s="101"/>
      <c r="P107" s="39"/>
      <c r="R107" s="20"/>
      <c r="S107" s="322"/>
      <c r="T107" s="322"/>
      <c r="U107" s="323"/>
      <c r="V107" s="389" t="s">
        <v>533</v>
      </c>
      <c r="W107" s="389"/>
      <c r="X107" s="389"/>
      <c r="Y107" s="389"/>
      <c r="Z107" s="317"/>
      <c r="AA107" s="389"/>
      <c r="AB107" s="389"/>
      <c r="AC107" s="389"/>
      <c r="AD107" s="389"/>
      <c r="AE107" s="389"/>
      <c r="AF107" s="389"/>
      <c r="AG107" s="317"/>
      <c r="AH107" s="317"/>
      <c r="AI107" s="317"/>
      <c r="AJ107" s="317"/>
      <c r="AK107" s="1087"/>
      <c r="AM107" s="3"/>
      <c r="AN107" s="3"/>
      <c r="AO107" s="3"/>
      <c r="AP107" s="3"/>
      <c r="AQ107" s="3"/>
      <c r="AR107" s="3"/>
      <c r="AS107" s="3"/>
      <c r="AT107" s="3"/>
      <c r="AU107" s="3"/>
      <c r="AV107" s="3"/>
      <c r="AW107" s="3"/>
      <c r="AX107" s="3"/>
      <c r="AY107" s="3"/>
      <c r="AZ107" s="3"/>
      <c r="BB107" s="88"/>
      <c r="BC107" s="2980">
        <f t="shared" si="7"/>
        <v>0</v>
      </c>
      <c r="BD107" s="2980" t="str">
        <f t="shared" si="20"/>
        <v>Therme Horizon</v>
      </c>
      <c r="BE107" s="2980">
        <v>50</v>
      </c>
      <c r="BF107" s="2980">
        <v>53</v>
      </c>
      <c r="BG107" s="2980" t="s">
        <v>1912</v>
      </c>
      <c r="BH107" s="2988" t="str">
        <f>$X$32</f>
        <v>Total Net Debt for leverage (HoldCo)</v>
      </c>
      <c r="BI107" s="2987">
        <f>-$AG$32</f>
        <v>0</v>
      </c>
      <c r="BJ107" s="2980" t="s">
        <v>1967</v>
      </c>
      <c r="BK107" s="3"/>
      <c r="BL107" s="3"/>
      <c r="BM107" s="3"/>
      <c r="BN107" s="3"/>
      <c r="BO107" s="3"/>
    </row>
    <row r="108" spans="1:67" ht="11.25" customHeight="1">
      <c r="A108" s="66"/>
      <c r="B108" s="66"/>
      <c r="C108" s="66"/>
      <c r="D108" s="66"/>
      <c r="E108" s="66"/>
      <c r="G108" s="211"/>
      <c r="I108" s="2043"/>
      <c r="J108" s="16"/>
      <c r="K108" s="101"/>
      <c r="L108" s="101"/>
      <c r="M108" s="126"/>
      <c r="N108" s="101"/>
      <c r="O108" s="101"/>
      <c r="P108" s="39"/>
      <c r="R108" s="20"/>
      <c r="S108" s="324"/>
      <c r="T108" s="324"/>
      <c r="U108" s="323"/>
      <c r="V108" s="323"/>
      <c r="W108" s="343"/>
      <c r="X108" s="389"/>
      <c r="Y108" s="389"/>
      <c r="Z108" s="317"/>
      <c r="AA108" s="389"/>
      <c r="AB108" s="389"/>
      <c r="AC108" s="389"/>
      <c r="AD108" s="389"/>
      <c r="AE108" s="389"/>
      <c r="AF108" s="389"/>
      <c r="AG108" s="317"/>
      <c r="AH108" s="317"/>
      <c r="AI108" s="317"/>
      <c r="AJ108" s="317"/>
      <c r="AK108" s="1087"/>
      <c r="BB108" s="88"/>
      <c r="BC108" s="2980" t="str">
        <f t="shared" si="7"/>
        <v/>
      </c>
      <c r="BD108" s="2980" t="str">
        <f t="shared" si="20"/>
        <v>Therme Horizon</v>
      </c>
      <c r="BE108" s="2980">
        <v>50.50</v>
      </c>
      <c r="BF108" s="2980">
        <v>54</v>
      </c>
      <c r="BG108" s="2980"/>
      <c r="BH108" s="2981" t="str">
        <f>$AH$27</f>
        <v>Gross Leverage</v>
      </c>
      <c r="BI108" s="2987" t="str">
        <f ca="1">$AH$32</f>
        <v>n/a</v>
      </c>
      <c r="BJ108" s="2980" t="s">
        <v>1967</v>
      </c>
      <c r="BK108" s="3"/>
      <c r="BL108" s="3"/>
      <c r="BM108" s="3"/>
      <c r="BN108" s="3"/>
      <c r="BO108" s="3"/>
    </row>
    <row r="109" spans="1:67" ht="32.5">
      <c r="A109" s="66"/>
      <c r="B109" s="66"/>
      <c r="C109" s="66"/>
      <c r="D109" s="66"/>
      <c r="E109" s="66"/>
      <c r="G109" s="211"/>
      <c r="I109" s="2043"/>
      <c r="J109" s="16"/>
      <c r="K109" s="52"/>
      <c r="L109" s="101"/>
      <c r="M109" s="126"/>
      <c r="N109" s="101"/>
      <c r="O109" s="101"/>
      <c r="P109" s="39"/>
      <c r="R109" s="20"/>
      <c r="S109" s="324"/>
      <c r="T109" s="324"/>
      <c r="U109" s="323"/>
      <c r="V109" s="397" t="s">
        <v>534</v>
      </c>
      <c r="W109" s="343"/>
      <c r="X109" s="389"/>
      <c r="Y109" s="389"/>
      <c r="Z109" s="317"/>
      <c r="AA109" s="389"/>
      <c r="AB109" s="389"/>
      <c r="AC109" s="389"/>
      <c r="AD109" s="389"/>
      <c r="AE109" s="389"/>
      <c r="AF109" s="389"/>
      <c r="AG109" s="317"/>
      <c r="AH109" s="317"/>
      <c r="AI109" s="317"/>
      <c r="AJ109" s="317"/>
      <c r="AK109" s="1087"/>
      <c r="BB109" s="88"/>
      <c r="BC109" s="2980" t="str">
        <f t="shared" si="7"/>
        <v/>
      </c>
      <c r="BD109" s="2980" t="str">
        <f t="shared" si="20"/>
        <v>Therme Horizon</v>
      </c>
      <c r="BE109" s="2980">
        <v>51</v>
      </c>
      <c r="BF109" s="2980">
        <v>55</v>
      </c>
      <c r="BG109" s="2980" t="s">
        <v>1914</v>
      </c>
      <c r="BH109" s="2981" t="str">
        <f>$AI$27</f>
        <v>Net Leverage (HoldCo)</v>
      </c>
      <c r="BI109" s="2987" t="str">
        <f ca="1">$AI$32</f>
        <v>n/a</v>
      </c>
      <c r="BJ109" s="2980" t="s">
        <v>1967</v>
      </c>
      <c r="BK109" s="3"/>
      <c r="BL109" s="3"/>
      <c r="BM109" s="3"/>
      <c r="BN109" s="3"/>
      <c r="BO109" s="3"/>
    </row>
    <row r="110" spans="1:67" ht="9.75" customHeight="1">
      <c r="A110" s="66"/>
      <c r="B110" s="66"/>
      <c r="C110" s="66"/>
      <c r="D110" s="66"/>
      <c r="E110" s="66"/>
      <c r="G110" s="211"/>
      <c r="I110" s="2043"/>
      <c r="J110" s="16"/>
      <c r="K110" s="52"/>
      <c r="L110" s="101"/>
      <c r="M110" s="126"/>
      <c r="N110" s="101"/>
      <c r="O110" s="101"/>
      <c r="P110" s="39"/>
      <c r="R110" s="20"/>
      <c r="S110" s="324"/>
      <c r="T110" s="324"/>
      <c r="U110" s="323"/>
      <c r="V110" s="2239"/>
      <c r="W110" s="390"/>
      <c r="X110" s="391"/>
      <c r="Y110" s="391"/>
      <c r="Z110" s="391"/>
      <c r="AA110" s="391"/>
      <c r="AB110" s="391"/>
      <c r="AC110" s="391"/>
      <c r="AD110" s="391"/>
      <c r="AE110" s="391"/>
      <c r="AF110" s="391"/>
      <c r="AG110" s="391"/>
      <c r="AH110" s="391"/>
      <c r="AI110" s="391"/>
      <c r="AJ110" s="391"/>
      <c r="AK110" s="1092"/>
      <c r="BB110" s="88"/>
      <c r="BC110" s="2980" t="str">
        <f t="shared" si="7"/>
        <v/>
      </c>
      <c r="BD110" s="2980" t="str">
        <f t="shared" si="20"/>
        <v>Therme Horizon</v>
      </c>
      <c r="BE110" s="2980">
        <v>52</v>
      </c>
      <c r="BF110" s="2980">
        <v>56</v>
      </c>
      <c r="BG110" s="2980" t="s">
        <v>1915</v>
      </c>
      <c r="BH110" s="2981">
        <f>$W$37</f>
        <v>0</v>
      </c>
      <c r="BI110" s="2987">
        <f>$W$37</f>
        <v>0</v>
      </c>
      <c r="BJ110" s="2980" t="s">
        <v>1967</v>
      </c>
      <c r="BK110" s="3"/>
      <c r="BL110" s="3"/>
      <c r="BM110" s="3"/>
      <c r="BN110" s="3"/>
      <c r="BO110" s="3"/>
    </row>
    <row r="111" spans="1:67" ht="14.25" customHeight="1">
      <c r="A111" s="66"/>
      <c r="B111" s="66"/>
      <c r="C111" s="66"/>
      <c r="D111" s="66"/>
      <c r="E111" s="66"/>
      <c r="G111" s="211"/>
      <c r="I111" s="2043"/>
      <c r="J111" s="16"/>
      <c r="K111" s="52"/>
      <c r="L111" s="101"/>
      <c r="M111" s="126"/>
      <c r="N111" s="101"/>
      <c r="O111" s="101"/>
      <c r="P111" s="39"/>
      <c r="R111" s="20"/>
      <c r="S111" s="324"/>
      <c r="T111" s="324"/>
      <c r="U111" s="323"/>
      <c r="V111" s="2239"/>
      <c r="W111" s="390"/>
      <c r="X111" s="395"/>
      <c r="Y111" s="395"/>
      <c r="Z111" s="317"/>
      <c r="AA111" s="317"/>
      <c r="AB111" s="317"/>
      <c r="AC111" s="317"/>
      <c r="AD111" s="317"/>
      <c r="AE111" s="317"/>
      <c r="AF111" s="317"/>
      <c r="AG111" s="317"/>
      <c r="AH111" s="317"/>
      <c r="AI111" s="317"/>
      <c r="AJ111" s="391"/>
      <c r="AK111" s="1092"/>
      <c r="BB111" s="88"/>
      <c r="BC111" s="2980" t="str">
        <f t="shared" si="7"/>
        <v/>
      </c>
      <c r="BD111" s="2980" t="str">
        <f t="shared" si="20"/>
        <v>Therme Horizon</v>
      </c>
      <c r="BE111" s="2980">
        <v>53</v>
      </c>
      <c r="BF111" s="2980">
        <v>57</v>
      </c>
      <c r="BG111" s="2980" t="s">
        <v>482</v>
      </c>
      <c r="BH111" s="2988" t="str">
        <f>$W$49</f>
        <v>LTM Cash Interest Expense</v>
      </c>
      <c r="BI111" s="2987" t="e">
        <f ca="1">$AD$49</f>
        <v>#NAME?</v>
      </c>
      <c r="BJ111" s="2980" t="s">
        <v>1967</v>
      </c>
      <c r="BK111" s="3"/>
      <c r="BL111" s="3"/>
      <c r="BM111" s="3"/>
      <c r="BN111" s="3"/>
      <c r="BO111" s="3"/>
    </row>
    <row r="112" spans="1:67" ht="18" customHeight="1">
      <c r="A112" s="66"/>
      <c r="B112" s="66"/>
      <c r="C112" s="66"/>
      <c r="D112" s="66"/>
      <c r="E112" s="66"/>
      <c r="G112" s="211"/>
      <c r="I112" s="2043"/>
      <c r="J112" s="16"/>
      <c r="K112" s="52"/>
      <c r="L112" s="101"/>
      <c r="M112" s="126"/>
      <c r="N112" s="101"/>
      <c r="O112" s="101"/>
      <c r="P112" s="39"/>
      <c r="R112" s="20"/>
      <c r="S112" s="324"/>
      <c r="T112" s="324"/>
      <c r="U112" s="88"/>
      <c r="V112" s="2240"/>
      <c r="W112" s="390"/>
      <c r="X112" s="326" t="s">
        <v>535</v>
      </c>
      <c r="Y112" s="326"/>
      <c r="Z112" s="88"/>
      <c r="AA112" s="88"/>
      <c r="AB112" s="88"/>
      <c r="AC112" s="88"/>
      <c r="AD112" s="317"/>
      <c r="AE112" s="317"/>
      <c r="AF112" s="317"/>
      <c r="AG112" s="317"/>
      <c r="AH112" s="317"/>
      <c r="AI112" s="317"/>
      <c r="AJ112" s="391"/>
      <c r="AK112" s="1092"/>
      <c r="BB112" s="88"/>
      <c r="BC112" s="2980" t="str">
        <f t="shared" si="7"/>
        <v/>
      </c>
      <c r="BD112" s="2980" t="str">
        <f t="shared" si="20"/>
        <v>Therme Horizon</v>
      </c>
      <c r="BE112" s="2980">
        <v>54</v>
      </c>
      <c r="BF112" s="2980">
        <v>58</v>
      </c>
      <c r="BG112" s="2980" t="s">
        <v>485</v>
      </c>
      <c r="BH112" s="2988" t="str">
        <f>$W$50</f>
        <v>LTM Adjusted EBITDA</v>
      </c>
      <c r="BI112" s="2987" t="e">
        <f ca="1">$AD$50</f>
        <v>#NAME?</v>
      </c>
      <c r="BJ112" s="2980" t="s">
        <v>1967</v>
      </c>
      <c r="BK112" s="3"/>
      <c r="BL112" s="3"/>
      <c r="BM112" s="3"/>
      <c r="BN112" s="3"/>
      <c r="BO112" s="3"/>
    </row>
    <row r="113" spans="1:67" ht="18" customHeight="1">
      <c r="A113" s="66"/>
      <c r="B113" s="66"/>
      <c r="C113" s="66"/>
      <c r="D113" s="66"/>
      <c r="E113" s="66"/>
      <c r="G113" s="211"/>
      <c r="I113" s="2043"/>
      <c r="J113" s="16"/>
      <c r="K113" s="52"/>
      <c r="L113" s="101"/>
      <c r="M113" s="126"/>
      <c r="N113" s="101"/>
      <c r="O113" s="101"/>
      <c r="P113" s="39"/>
      <c r="R113" s="20"/>
      <c r="S113" s="324"/>
      <c r="T113" s="324"/>
      <c r="U113" s="88"/>
      <c r="V113" s="2240"/>
      <c r="W113" s="3418"/>
      <c r="X113" s="3419" t="s">
        <v>536</v>
      </c>
      <c r="Y113" s="326"/>
      <c r="Z113" s="88"/>
      <c r="AA113" s="3420"/>
      <c r="AB113" s="3420"/>
      <c r="AC113" s="3421"/>
      <c r="AD113" s="3422"/>
      <c r="AE113" s="3423"/>
      <c r="AF113" s="2354"/>
      <c r="AG113" s="3424"/>
      <c r="AH113" s="317"/>
      <c r="AI113" s="317"/>
      <c r="AJ113" s="391"/>
      <c r="AK113" s="1092"/>
      <c r="AR113" s="3378"/>
      <c r="BB113" s="88"/>
      <c r="BC113" s="2980" t="str">
        <f t="shared" si="7"/>
        <v/>
      </c>
      <c r="BD113" s="2980" t="str">
        <f t="shared" si="20"/>
        <v>Therme Horizon</v>
      </c>
      <c r="BE113" s="2980">
        <v>55</v>
      </c>
      <c r="BF113" s="2980">
        <v>59</v>
      </c>
      <c r="BG113" s="2980" t="s">
        <v>1916</v>
      </c>
      <c r="BH113" s="2991" t="str">
        <f>$W$51</f>
        <v>Interest Cover Ratio (LTM)</v>
      </c>
      <c r="BI113" s="2987" t="str">
        <f ca="1">$AD$51</f>
        <v>n/a</v>
      </c>
      <c r="BJ113" s="2980" t="s">
        <v>1967</v>
      </c>
      <c r="BK113" s="3"/>
      <c r="BL113" s="3"/>
      <c r="BM113" s="3"/>
      <c r="BN113" s="3"/>
      <c r="BO113" s="3"/>
    </row>
    <row r="114" spans="1:67" ht="15.75" customHeight="1">
      <c r="A114" s="66"/>
      <c r="B114" s="66"/>
      <c r="C114" s="66"/>
      <c r="D114" s="66"/>
      <c r="E114" s="66"/>
      <c r="G114" s="211"/>
      <c r="I114" s="2043"/>
      <c r="J114" s="16"/>
      <c r="K114" s="52"/>
      <c r="L114" s="101"/>
      <c r="M114" s="126"/>
      <c r="N114" s="101"/>
      <c r="O114" s="101"/>
      <c r="P114" s="39"/>
      <c r="R114" s="20"/>
      <c r="S114" s="324"/>
      <c r="T114" s="324"/>
      <c r="U114" s="88"/>
      <c r="V114" s="2240"/>
      <c r="W114" s="390"/>
      <c r="X114" s="326"/>
      <c r="Y114" s="326"/>
      <c r="Z114" s="88"/>
      <c r="AA114" s="88"/>
      <c r="AB114" s="88"/>
      <c r="AC114" s="88"/>
      <c r="AD114" s="88"/>
      <c r="AE114" s="88"/>
      <c r="AF114" s="88"/>
      <c r="AG114" s="317"/>
      <c r="AH114" s="317"/>
      <c r="AI114" s="317"/>
      <c r="AJ114" s="391"/>
      <c r="AK114" s="1092"/>
      <c r="BB114" s="88"/>
      <c r="BC114" s="2980" t="str">
        <f t="shared" si="7"/>
        <v/>
      </c>
      <c r="BD114" s="2980" t="str">
        <f t="shared" si="20"/>
        <v>Therme Horizon</v>
      </c>
      <c r="BE114" s="2980">
        <v>56</v>
      </c>
      <c r="BF114" s="2980">
        <v>60</v>
      </c>
      <c r="BG114" s="2980" t="s">
        <v>1917</v>
      </c>
      <c r="BH114" s="2988" t="str">
        <f>$W$55</f>
        <v>FY Latest Estimate Cash Interest Expense</v>
      </c>
      <c r="BI114" s="2987" t="e">
        <f ca="1">$AD$55</f>
        <v>#NAME?</v>
      </c>
      <c r="BJ114" s="2980" t="s">
        <v>1967</v>
      </c>
      <c r="BK114" s="3"/>
      <c r="BL114" s="3"/>
      <c r="BM114" s="3"/>
      <c r="BN114" s="3"/>
      <c r="BO114" s="3"/>
    </row>
    <row r="115" spans="1:67" ht="18" customHeight="1">
      <c r="A115" s="66"/>
      <c r="B115" s="66"/>
      <c r="C115" s="66"/>
      <c r="D115" s="66"/>
      <c r="E115" s="66"/>
      <c r="G115" s="211"/>
      <c r="I115" s="2043"/>
      <c r="J115" s="16"/>
      <c r="K115" s="52"/>
      <c r="L115" s="101"/>
      <c r="M115" s="126"/>
      <c r="N115" s="101"/>
      <c r="O115" s="101"/>
      <c r="P115" s="39"/>
      <c r="R115" s="20"/>
      <c r="S115" s="324"/>
      <c r="T115" s="324"/>
      <c r="U115" s="88"/>
      <c r="V115" s="2240"/>
      <c r="W115" s="3418"/>
      <c r="X115" s="3419" t="s">
        <v>537</v>
      </c>
      <c r="Y115" s="326"/>
      <c r="Z115" s="88"/>
      <c r="AA115" s="3420"/>
      <c r="AB115" s="3420"/>
      <c r="AC115" s="3421"/>
      <c r="AD115" s="3422"/>
      <c r="AE115" s="3425" t="s">
        <v>538</v>
      </c>
      <c r="AF115" s="1148"/>
      <c r="AG115" s="3424"/>
      <c r="AH115" s="317"/>
      <c r="AI115" s="317"/>
      <c r="AJ115" s="391"/>
      <c r="AK115" s="1092"/>
      <c r="AR115" s="3378"/>
      <c r="BB115" s="88"/>
      <c r="BC115" s="2980" t="str">
        <f t="shared" si="7"/>
        <v/>
      </c>
      <c r="BD115" s="2980" t="str">
        <f t="shared" si="20"/>
        <v>Therme Horizon</v>
      </c>
      <c r="BE115" s="2980">
        <v>57</v>
      </c>
      <c r="BF115" s="2980">
        <v>61</v>
      </c>
      <c r="BG115" s="2980" t="s">
        <v>1918</v>
      </c>
      <c r="BH115" s="2988" t="str">
        <f>$W$56</f>
        <v>FY Latest Estimate Adjusted EBITDA</v>
      </c>
      <c r="BI115" s="2987" t="e">
        <f ca="1">$AD$56</f>
        <v>#NAME?</v>
      </c>
      <c r="BJ115" s="2980" t="s">
        <v>1967</v>
      </c>
      <c r="BK115" s="3"/>
      <c r="BL115" s="3"/>
      <c r="BM115" s="3"/>
      <c r="BN115" s="3"/>
      <c r="BO115" s="3"/>
    </row>
    <row r="116" spans="1:67" ht="18" customHeight="1">
      <c r="A116" s="66"/>
      <c r="B116" s="66"/>
      <c r="C116" s="66"/>
      <c r="D116" s="66"/>
      <c r="E116" s="66"/>
      <c r="G116" s="211"/>
      <c r="I116" s="2043"/>
      <c r="J116" s="16"/>
      <c r="K116" s="52"/>
      <c r="L116" s="101"/>
      <c r="M116" s="126"/>
      <c r="N116" s="101"/>
      <c r="O116" s="101"/>
      <c r="P116" s="39"/>
      <c r="R116" s="20"/>
      <c r="S116" s="319"/>
      <c r="T116" s="319"/>
      <c r="U116" s="320"/>
      <c r="V116" s="392"/>
      <c r="W116" s="3418"/>
      <c r="X116" s="3419" t="s">
        <v>539</v>
      </c>
      <c r="Y116" s="326"/>
      <c r="Z116" s="88"/>
      <c r="AA116" s="3420"/>
      <c r="AB116" s="3420"/>
      <c r="AC116" s="3421"/>
      <c r="AD116" s="3426"/>
      <c r="AE116" s="3425" t="s">
        <v>540</v>
      </c>
      <c r="AF116" s="1148"/>
      <c r="AG116" s="3427"/>
      <c r="AH116" s="327"/>
      <c r="AI116" s="327"/>
      <c r="AJ116" s="394"/>
      <c r="AK116" s="1092"/>
      <c r="AR116" s="3378"/>
      <c r="BB116" s="88"/>
      <c r="BC116" s="2980" t="str">
        <f t="shared" si="23" ref="BC116:BC179">IF($BH116="","",IF(ISNUMBER(_xlfn.XLOOKUP($BH116,X:X,AB:AB,"")),"",(_xlfn.XLOOKUP($BH116,X:X,AB:AB,""))))</f>
        <v/>
      </c>
      <c r="BD116" s="2980" t="str">
        <f t="shared" si="20"/>
        <v>Therme Horizon</v>
      </c>
      <c r="BE116" s="2980">
        <v>58</v>
      </c>
      <c r="BF116" s="2980">
        <v>62</v>
      </c>
      <c r="BG116" s="2980" t="s">
        <v>1919</v>
      </c>
      <c r="BH116" s="2988" t="str">
        <f>$W$57</f>
        <v>Interest Cover Ratio (Current FY Latest Estimate)</v>
      </c>
      <c r="BI116" s="2987" t="str">
        <f ca="1">$AD$57</f>
        <v>n/a</v>
      </c>
      <c r="BJ116" s="2980" t="s">
        <v>1967</v>
      </c>
      <c r="BK116" s="3"/>
      <c r="BL116" s="3"/>
      <c r="BM116" s="3"/>
      <c r="BN116" s="3"/>
      <c r="BO116" s="3"/>
    </row>
    <row r="117" spans="1:67" ht="18" customHeight="1">
      <c r="A117" s="66"/>
      <c r="B117" s="66"/>
      <c r="C117" s="66"/>
      <c r="D117" s="66"/>
      <c r="E117" s="66"/>
      <c r="G117" s="211"/>
      <c r="I117" s="2043"/>
      <c r="J117" s="16"/>
      <c r="K117" s="52"/>
      <c r="L117" s="101"/>
      <c r="M117" s="126"/>
      <c r="N117" s="101"/>
      <c r="O117" s="101"/>
      <c r="P117" s="39"/>
      <c r="R117" s="20"/>
      <c r="S117" s="319"/>
      <c r="T117" s="319"/>
      <c r="U117" s="320"/>
      <c r="V117" s="392"/>
      <c r="W117" s="390"/>
      <c r="X117" s="326" t="s">
        <v>541</v>
      </c>
      <c r="Y117" s="326"/>
      <c r="Z117" s="88"/>
      <c r="AA117" s="88"/>
      <c r="AB117" s="88"/>
      <c r="AC117" s="88"/>
      <c r="AD117" s="1150" t="str">
        <f ca="1">DebtOverview!$AN$216</f>
        <v>0.0%</v>
      </c>
      <c r="AE117" s="1148"/>
      <c r="AF117" s="1148"/>
      <c r="AG117" s="327"/>
      <c r="AH117" s="327"/>
      <c r="AI117" s="327"/>
      <c r="AJ117" s="394"/>
      <c r="AK117" s="1092"/>
      <c r="BB117" s="88"/>
      <c r="BC117" s="2980" t="str">
        <f t="shared" si="23"/>
        <v/>
      </c>
      <c r="BD117" s="2980" t="str">
        <f t="shared" si="20"/>
        <v>Therme Horizon</v>
      </c>
      <c r="BE117" s="2980">
        <v>59</v>
      </c>
      <c r="BF117" s="2980">
        <v>63</v>
      </c>
      <c r="BG117" s="2980" t="s">
        <v>497</v>
      </c>
      <c r="BH117" s="2988" t="str">
        <f>$W$61</f>
        <v>L3M Annualised Cash Interest Expense</v>
      </c>
      <c r="BI117" s="2987" t="e">
        <f ca="1">AD$61</f>
        <v>#NAME?</v>
      </c>
      <c r="BJ117" s="2980" t="s">
        <v>1967</v>
      </c>
      <c r="BK117" s="3"/>
      <c r="BL117" s="3"/>
      <c r="BM117" s="3"/>
      <c r="BN117" s="3"/>
      <c r="BO117" s="3"/>
    </row>
    <row r="118" spans="1:67" ht="21" customHeight="1">
      <c r="A118" s="66"/>
      <c r="B118" s="66"/>
      <c r="C118" s="66"/>
      <c r="D118" s="66"/>
      <c r="E118" s="66"/>
      <c r="G118" s="211"/>
      <c r="I118" s="2043"/>
      <c r="J118" s="16"/>
      <c r="K118" s="52"/>
      <c r="L118" s="101"/>
      <c r="M118" s="101"/>
      <c r="N118" s="101"/>
      <c r="O118" s="101"/>
      <c r="P118" s="39"/>
      <c r="R118" s="20"/>
      <c r="S118" s="319"/>
      <c r="T118" s="319"/>
      <c r="U118" s="320"/>
      <c r="V118" s="392"/>
      <c r="W118" s="390"/>
      <c r="X118" s="88" t="s">
        <v>542</v>
      </c>
      <c r="Y118" s="88"/>
      <c r="Z118" s="88"/>
      <c r="AA118" s="88"/>
      <c r="AB118" s="88"/>
      <c r="AC118" s="88"/>
      <c r="AD118" s="1151"/>
      <c r="AE118" s="1148" t="s">
        <v>543</v>
      </c>
      <c r="AF118" s="1148"/>
      <c r="AG118" s="327"/>
      <c r="AH118" s="327"/>
      <c r="AI118" s="327"/>
      <c r="AJ118" s="394"/>
      <c r="AK118" s="1092"/>
      <c r="BB118" s="88"/>
      <c r="BC118" s="2980" t="str">
        <f t="shared" si="23"/>
        <v/>
      </c>
      <c r="BD118" s="2980" t="str">
        <f t="shared" si="20"/>
        <v>Therme Horizon</v>
      </c>
      <c r="BE118" s="2980">
        <v>60</v>
      </c>
      <c r="BF118" s="2980">
        <v>64</v>
      </c>
      <c r="BG118" s="2980" t="s">
        <v>498</v>
      </c>
      <c r="BH118" s="2988" t="str">
        <f>$W$62</f>
        <v>L3M Annualised Adjusted EBITDA</v>
      </c>
      <c r="BI118" s="2987" t="e">
        <f ca="1">$AD$62</f>
        <v>#NAME?</v>
      </c>
      <c r="BJ118" s="2980" t="s">
        <v>1967</v>
      </c>
      <c r="BK118" s="3"/>
      <c r="BL118" s="3"/>
      <c r="BM118" s="3"/>
      <c r="BN118" s="3"/>
      <c r="BO118" s="3"/>
    </row>
    <row r="119" spans="1:67" ht="32.5">
      <c r="A119" s="66"/>
      <c r="B119" s="66"/>
      <c r="C119" s="66"/>
      <c r="D119" s="66"/>
      <c r="E119" s="66"/>
      <c r="G119" s="211"/>
      <c r="I119" s="2043"/>
      <c r="J119" s="16"/>
      <c r="K119" s="52"/>
      <c r="L119" s="101"/>
      <c r="M119" s="101"/>
      <c r="N119" s="101"/>
      <c r="O119" s="101"/>
      <c r="P119" s="39"/>
      <c r="R119" s="20"/>
      <c r="S119" s="319"/>
      <c r="T119" s="319"/>
      <c r="U119" s="320"/>
      <c r="V119" s="392"/>
      <c r="W119" s="390"/>
      <c r="X119" s="326"/>
      <c r="Y119" s="326"/>
      <c r="Z119" s="88"/>
      <c r="AA119" s="88"/>
      <c r="AB119" s="88"/>
      <c r="AC119" s="88"/>
      <c r="AD119" s="383"/>
      <c r="AE119" s="383"/>
      <c r="AF119" s="383"/>
      <c r="AG119" s="328"/>
      <c r="AH119" s="328"/>
      <c r="AI119" s="328"/>
      <c r="AJ119" s="396"/>
      <c r="AK119" s="1092"/>
      <c r="BB119" s="88"/>
      <c r="BC119" s="2980" t="str">
        <f t="shared" si="23"/>
        <v/>
      </c>
      <c r="BD119" s="2980" t="str">
        <f t="shared" si="24" ref="BD119:BD150">val_company</f>
        <v>Therme Horizon</v>
      </c>
      <c r="BE119" s="2980">
        <v>61</v>
      </c>
      <c r="BF119" s="2980">
        <v>65</v>
      </c>
      <c r="BG119" s="2980" t="s">
        <v>1920</v>
      </c>
      <c r="BH119" s="2988" t="str">
        <f>$W$63</f>
        <v>Interest Cover Ratio (L3M Annualised)</v>
      </c>
      <c r="BI119" s="2987" t="str">
        <f ca="1">$AD$63</f>
        <v>n/a</v>
      </c>
      <c r="BJ119" s="2980" t="s">
        <v>1967</v>
      </c>
      <c r="BK119" s="3"/>
      <c r="BL119" s="3"/>
      <c r="BM119" s="3"/>
      <c r="BN119" s="3"/>
      <c r="BO119" s="3"/>
    </row>
    <row r="120" spans="1:67" ht="7.5" customHeight="1">
      <c r="A120" s="66"/>
      <c r="B120" s="66"/>
      <c r="C120" s="66"/>
      <c r="D120" s="66"/>
      <c r="E120" s="66"/>
      <c r="G120" s="211"/>
      <c r="I120" s="2043"/>
      <c r="J120" s="16"/>
      <c r="K120" s="52"/>
      <c r="L120" s="101"/>
      <c r="M120" s="126"/>
      <c r="N120" s="101"/>
      <c r="O120" s="101"/>
      <c r="P120" s="39"/>
      <c r="R120" s="20"/>
      <c r="S120" s="319"/>
      <c r="T120" s="319"/>
      <c r="U120" s="320"/>
      <c r="V120" s="392"/>
      <c r="W120" s="390"/>
      <c r="X120" s="392"/>
      <c r="Y120" s="392"/>
      <c r="Z120" s="392"/>
      <c r="AA120" s="393"/>
      <c r="AB120" s="393"/>
      <c r="AC120" s="393"/>
      <c r="AD120" s="393"/>
      <c r="AE120" s="393"/>
      <c r="AF120" s="393"/>
      <c r="AG120" s="394"/>
      <c r="AH120" s="394"/>
      <c r="AI120" s="394"/>
      <c r="AJ120" s="396"/>
      <c r="AK120" s="1092"/>
      <c r="BB120" s="88"/>
      <c r="BC120" s="2980" t="str">
        <f t="shared" si="23"/>
        <v/>
      </c>
      <c r="BD120" s="2980" t="str">
        <f t="shared" si="24"/>
        <v>Therme Horizon</v>
      </c>
      <c r="BE120" s="2980">
        <v>62</v>
      </c>
      <c r="BF120" s="2980">
        <v>66</v>
      </c>
      <c r="BG120" s="2980" t="s">
        <v>1921</v>
      </c>
      <c r="BH120" s="2986"/>
      <c r="BI120" s="2987" t="e">
        <f ca="1">$W$101</f>
        <v>#NAME?</v>
      </c>
      <c r="BJ120" s="2980" t="s">
        <v>1967</v>
      </c>
      <c r="BK120" s="3"/>
      <c r="BL120" s="3"/>
      <c r="BM120" s="3"/>
      <c r="BN120" s="3"/>
      <c r="BO120" s="3"/>
    </row>
    <row r="121" spans="1:67" ht="15.5">
      <c r="A121" s="66"/>
      <c r="B121" s="66"/>
      <c r="C121" s="66"/>
      <c r="D121" s="66"/>
      <c r="E121" s="66"/>
      <c r="G121" s="211"/>
      <c r="I121" s="2043"/>
      <c r="J121" s="16"/>
      <c r="K121" s="101"/>
      <c r="L121" s="101"/>
      <c r="M121" s="101"/>
      <c r="N121" s="101"/>
      <c r="O121" s="101"/>
      <c r="P121" s="39"/>
      <c r="R121" s="33"/>
      <c r="S121" s="320"/>
      <c r="T121" s="320"/>
      <c r="U121" s="320"/>
      <c r="V121" s="320"/>
      <c r="W121" s="320"/>
      <c r="X121" s="320"/>
      <c r="Y121" s="320"/>
      <c r="Z121" s="320"/>
      <c r="AA121" s="310"/>
      <c r="AB121" s="310"/>
      <c r="AC121" s="310"/>
      <c r="AD121" s="310"/>
      <c r="AE121" s="329"/>
      <c r="AF121" s="329"/>
      <c r="AG121" s="330"/>
      <c r="AH121" s="330"/>
      <c r="AI121" s="366"/>
      <c r="AJ121" s="328"/>
      <c r="AK121" s="200"/>
      <c r="BB121" s="88"/>
      <c r="BC121" s="2980" t="str">
        <f t="shared" si="23"/>
        <v/>
      </c>
      <c r="BD121" s="2980" t="str">
        <f t="shared" si="24"/>
        <v>Therme Horizon</v>
      </c>
      <c r="BE121" s="2980">
        <v>63</v>
      </c>
      <c r="BF121" s="2980">
        <v>67</v>
      </c>
      <c r="BG121" s="2980" t="s">
        <v>1921</v>
      </c>
      <c r="BH121" s="2981"/>
      <c r="BI121" s="2987"/>
      <c r="BJ121" s="2980" t="s">
        <v>1967</v>
      </c>
      <c r="BK121" s="3"/>
      <c r="BL121" s="3"/>
      <c r="BM121" s="3"/>
      <c r="BN121" s="3"/>
      <c r="BO121" s="3"/>
    </row>
    <row r="122" spans="1:67" ht="25">
      <c r="A122" s="66"/>
      <c r="B122" s="66"/>
      <c r="C122" s="66"/>
      <c r="D122" s="66"/>
      <c r="E122" s="66"/>
      <c r="G122" s="45"/>
      <c r="I122" s="2043"/>
      <c r="J122" s="16"/>
      <c r="K122" s="322"/>
      <c r="L122" s="322"/>
      <c r="M122" s="101"/>
      <c r="N122" s="101"/>
      <c r="O122" s="101"/>
      <c r="P122" s="39"/>
      <c r="R122" s="265"/>
      <c r="S122" s="322"/>
      <c r="T122" s="322"/>
      <c r="U122" s="320"/>
      <c r="V122" s="320"/>
      <c r="W122" s="3131" t="s">
        <v>544</v>
      </c>
      <c r="X122" s="3131"/>
      <c r="Y122" s="3131"/>
      <c r="Z122" s="3131"/>
      <c r="AA122" s="3131"/>
      <c r="AB122" s="236"/>
      <c r="AC122" s="236"/>
      <c r="AD122" s="88"/>
      <c r="AE122" s="88"/>
      <c r="AF122" s="88"/>
      <c r="AG122" s="88"/>
      <c r="AH122" s="88"/>
      <c r="AI122" s="88"/>
      <c r="AJ122" s="88"/>
      <c r="AK122" s="1093"/>
      <c r="BB122" s="88"/>
      <c r="BC122" s="2980" t="str">
        <f t="shared" si="23"/>
        <v/>
      </c>
      <c r="BD122" s="2980" t="str">
        <f t="shared" si="24"/>
        <v>Therme Horizon</v>
      </c>
      <c r="BE122" s="2980">
        <v>64</v>
      </c>
      <c r="BF122" s="2980">
        <v>68</v>
      </c>
      <c r="BG122" s="2980" t="s">
        <v>514</v>
      </c>
      <c r="BH122" s="2988" t="str">
        <f>$W$79</f>
        <v>LTM Reported Free Cash Flow</v>
      </c>
      <c r="BI122" s="2987" t="e">
        <f ca="1">$AD$79</f>
        <v>#NAME?</v>
      </c>
      <c r="BJ122" s="2980" t="s">
        <v>1967</v>
      </c>
      <c r="BK122" s="3"/>
      <c r="BL122" s="3"/>
      <c r="BM122" s="3"/>
      <c r="BN122" s="3"/>
      <c r="BO122" s="3"/>
    </row>
    <row r="123" spans="1:67" ht="9" customHeight="1">
      <c r="A123" s="60"/>
      <c r="B123" s="60"/>
      <c r="C123" s="66"/>
      <c r="D123" s="66"/>
      <c r="E123" s="66"/>
      <c r="G123" s="45"/>
      <c r="I123" s="2043"/>
      <c r="J123" s="16"/>
      <c r="K123" s="101"/>
      <c r="L123" s="101"/>
      <c r="M123" s="101"/>
      <c r="N123" s="101"/>
      <c r="O123" s="101"/>
      <c r="P123" s="39"/>
      <c r="R123" s="265"/>
      <c r="S123" s="319"/>
      <c r="T123" s="319"/>
      <c r="U123" s="320"/>
      <c r="V123" s="320"/>
      <c r="W123" s="236"/>
      <c r="X123" s="402"/>
      <c r="Y123" s="402"/>
      <c r="Z123" s="236"/>
      <c r="AA123" s="236"/>
      <c r="AB123" s="236"/>
      <c r="AC123" s="236"/>
      <c r="AD123" s="88"/>
      <c r="AE123" s="88"/>
      <c r="AF123" s="88"/>
      <c r="AG123" s="88"/>
      <c r="AH123" s="88"/>
      <c r="AI123" s="88"/>
      <c r="AJ123" s="88"/>
      <c r="AK123" s="1093"/>
      <c r="BB123" s="88"/>
      <c r="BC123" s="2980" t="str">
        <f t="shared" si="23"/>
        <v/>
      </c>
      <c r="BD123" s="2980" t="str">
        <f t="shared" si="24"/>
        <v>Therme Horizon</v>
      </c>
      <c r="BE123" s="2980">
        <v>65</v>
      </c>
      <c r="BF123" s="2980">
        <v>69</v>
      </c>
      <c r="BG123" s="2980" t="s">
        <v>482</v>
      </c>
      <c r="BH123" s="2988" t="str">
        <f>$W$80</f>
        <v>LTM Cash Interest Expense</v>
      </c>
      <c r="BI123" s="2987" t="e">
        <f ca="1">$AD$80</f>
        <v>#NAME?</v>
      </c>
      <c r="BJ123" s="2980" t="s">
        <v>1967</v>
      </c>
      <c r="BK123" s="3"/>
      <c r="BL123" s="3"/>
      <c r="BM123" s="3"/>
      <c r="BN123" s="3"/>
      <c r="BO123" s="3"/>
    </row>
    <row r="124" spans="1:67" ht="25">
      <c r="A124" s="60"/>
      <c r="B124" s="60"/>
      <c r="C124" s="66"/>
      <c r="D124" s="66"/>
      <c r="E124" s="66"/>
      <c r="G124" s="45"/>
      <c r="I124" s="2043"/>
      <c r="J124" s="16"/>
      <c r="K124" s="52"/>
      <c r="L124" s="101"/>
      <c r="M124" s="101"/>
      <c r="N124" s="101"/>
      <c r="O124" s="101"/>
      <c r="P124" s="39"/>
      <c r="R124" s="265"/>
      <c r="S124" s="319"/>
      <c r="T124" s="319"/>
      <c r="U124" s="320"/>
      <c r="V124" s="320"/>
      <c r="W124" s="3132" t="s">
        <v>545</v>
      </c>
      <c r="X124" s="3132"/>
      <c r="Y124" s="1045"/>
      <c r="Z124" s="236"/>
      <c r="AA124" s="236"/>
      <c r="AB124" s="236"/>
      <c r="AC124" s="236"/>
      <c r="AD124" s="88"/>
      <c r="AE124" s="88"/>
      <c r="AF124" s="88"/>
      <c r="AG124" s="88"/>
      <c r="AH124" s="88"/>
      <c r="AI124" s="88"/>
      <c r="AJ124" s="88"/>
      <c r="AK124" s="1093"/>
      <c r="AM124" s="1107" t="s">
        <v>476</v>
      </c>
      <c r="AN124" s="1107"/>
      <c r="AO124" s="1107"/>
      <c r="AP124" s="1107"/>
      <c r="AQ124" s="1107"/>
      <c r="AS124" s="1107" t="s">
        <v>477</v>
      </c>
      <c r="AT124" s="1107" t="s">
        <v>546</v>
      </c>
      <c r="AU124" s="1107"/>
      <c r="BB124" s="88"/>
      <c r="BC124" s="2980" t="str">
        <f t="shared" si="23"/>
        <v/>
      </c>
      <c r="BD124" s="2980" t="str">
        <f t="shared" si="24"/>
        <v>Therme Horizon</v>
      </c>
      <c r="BE124" s="2980">
        <v>66</v>
      </c>
      <c r="BF124" s="2980">
        <v>70</v>
      </c>
      <c r="BG124" s="2980" t="s">
        <v>515</v>
      </c>
      <c r="BH124" s="2988" t="str">
        <f>$W$81</f>
        <v>LTM  Principal Repayments</v>
      </c>
      <c r="BI124" s="2987" t="e">
        <f ca="1">$AD$81</f>
        <v>#NAME?</v>
      </c>
      <c r="BJ124" s="2980" t="s">
        <v>1967</v>
      </c>
      <c r="BK124" s="3"/>
      <c r="BL124" s="3"/>
      <c r="BM124" s="3"/>
      <c r="BN124" s="3"/>
      <c r="BO124" s="3"/>
    </row>
    <row r="125" spans="1:67" ht="15.5">
      <c r="A125" s="60"/>
      <c r="B125" s="60"/>
      <c r="C125" s="66"/>
      <c r="D125" s="66"/>
      <c r="E125" s="66"/>
      <c r="G125" s="45"/>
      <c r="I125" s="2043"/>
      <c r="J125" s="16"/>
      <c r="K125" s="52"/>
      <c r="L125" s="101"/>
      <c r="M125" s="101"/>
      <c r="N125" s="101"/>
      <c r="O125" s="101"/>
      <c r="P125" s="39"/>
      <c r="R125" s="265"/>
      <c r="S125" s="319"/>
      <c r="T125" s="319"/>
      <c r="U125" s="320"/>
      <c r="V125" s="2252"/>
      <c r="W125" s="2242"/>
      <c r="X125" s="2242"/>
      <c r="Y125" s="2242"/>
      <c r="Z125" s="2242"/>
      <c r="AA125" s="2242"/>
      <c r="AB125" s="2242"/>
      <c r="AC125" s="2242"/>
      <c r="AD125" s="2242"/>
      <c r="AE125" s="2242"/>
      <c r="AF125" s="2242"/>
      <c r="AG125" s="2242"/>
      <c r="AH125" s="2242"/>
      <c r="AI125" s="2242"/>
      <c r="AJ125" s="2249"/>
      <c r="AK125" s="1093"/>
      <c r="BB125" s="88"/>
      <c r="BC125" s="2980" t="str">
        <f t="shared" si="23"/>
        <v/>
      </c>
      <c r="BD125" s="2980" t="str">
        <f t="shared" si="24"/>
        <v>Therme Horizon</v>
      </c>
      <c r="BE125" s="2980">
        <v>67</v>
      </c>
      <c r="BF125" s="2980">
        <v>71</v>
      </c>
      <c r="BG125" s="2980" t="s">
        <v>516</v>
      </c>
      <c r="BH125" s="2988" t="str">
        <f>$W$82</f>
        <v>Debt Service Cover Ratio (LTM)</v>
      </c>
      <c r="BI125" s="2987" t="e">
        <f ca="1">IF($AD$82="n/a","n/a",$AD$82)</f>
        <v>#NAME?</v>
      </c>
      <c r="BJ125" s="2980" t="s">
        <v>1967</v>
      </c>
      <c r="BK125" s="3"/>
      <c r="BL125" s="3"/>
      <c r="BM125" s="3"/>
      <c r="BN125" s="3"/>
      <c r="BO125" s="3"/>
    </row>
    <row r="126" spans="1:67" ht="26.25" customHeight="1">
      <c r="A126" s="60"/>
      <c r="B126" s="60"/>
      <c r="C126" s="66"/>
      <c r="D126" s="66"/>
      <c r="E126" s="66"/>
      <c r="G126" s="45"/>
      <c r="I126" s="2043"/>
      <c r="J126" s="16"/>
      <c r="K126" s="52"/>
      <c r="L126" s="101"/>
      <c r="M126" s="101"/>
      <c r="N126" s="101"/>
      <c r="O126" s="101"/>
      <c r="P126" s="39"/>
      <c r="R126" s="265"/>
      <c r="S126" s="319"/>
      <c r="T126" s="319"/>
      <c r="U126" s="320"/>
      <c r="V126" s="2253"/>
      <c r="W126" s="3428"/>
      <c r="X126" s="3429" t="s">
        <v>547</v>
      </c>
      <c r="Y126" s="3129"/>
      <c r="Z126" s="2243"/>
      <c r="AA126" s="3430" t="s">
        <v>470</v>
      </c>
      <c r="AB126" s="3431"/>
      <c r="AC126" s="3432">
        <v>0</v>
      </c>
      <c r="AD126" s="3433">
        <v>0</v>
      </c>
      <c r="AE126" s="3428"/>
      <c r="AF126" s="2238"/>
      <c r="AG126" s="3434"/>
      <c r="AH126" s="2247"/>
      <c r="AI126" s="2248">
        <f>val_asOfDate</f>
        <v>46022</v>
      </c>
      <c r="AJ126" s="2250"/>
      <c r="AK126" s="1093"/>
      <c r="AM126" s="3435" t="s">
        <v>548</v>
      </c>
      <c r="AN126" s="2187" t="str">
        <f>_xlfn.TEXTJOIN("|",FALSE,_xlfn.HSTACK(X126,AA126))</f>
        <v>Gross Leverage Ratio|Actual L3M(A)</v>
      </c>
      <c r="AO126" s="2183"/>
      <c r="AP126" s="2181"/>
      <c r="AQ126" s="2188" t="e" cm="1">
        <f t="array" ca="1" aca="1" ref="AQ126">IF(fx_ProtectPush,_xldudf_CX_PUSH(AN126,CX_ENTITY,AM126,val_asOfDate))</f>
        <v>#NAME?</v>
      </c>
      <c r="AR126" s="3436"/>
      <c r="AS126" s="2202" t="e" cm="1">
        <f t="array" ca="1" aca="1" ref="AS126">_xldudf_CX_GET(CX_ENTITY,$AM126,val_asOfDate,)</f>
        <v>#NAME?</v>
      </c>
      <c r="AT126" s="2202" t="e" cm="1">
        <f t="array" ca="1" aca="1" ref="AT126">_xldudf_CX_GET(CX_ENTITY,$AN126,val_priorQtrEnd,)</f>
        <v>#NAME?</v>
      </c>
      <c r="AU126" s="1420"/>
      <c r="BB126" s="88"/>
      <c r="BC126" s="2980" t="str">
        <f t="shared" si="23"/>
        <v/>
      </c>
      <c r="BD126" s="2980" t="str">
        <f t="shared" si="24"/>
        <v>Therme Horizon</v>
      </c>
      <c r="BE126" s="2980">
        <v>68</v>
      </c>
      <c r="BF126" s="2980">
        <v>72</v>
      </c>
      <c r="BG126" s="2980" t="s">
        <v>1922</v>
      </c>
      <c r="BH126" s="2988" t="str">
        <f>$W$73</f>
        <v>FY Latest Estimate Free Cash Flow</v>
      </c>
      <c r="BI126" s="2987" t="e">
        <f ca="1">$AD$73</f>
        <v>#NAME?</v>
      </c>
      <c r="BJ126" s="2980" t="s">
        <v>1967</v>
      </c>
      <c r="BK126" s="3"/>
      <c r="BL126" s="3"/>
      <c r="BM126" s="3"/>
      <c r="BN126" s="3"/>
      <c r="BO126" s="3"/>
    </row>
    <row r="127" spans="1:67" ht="15" customHeight="1">
      <c r="A127" s="60"/>
      <c r="B127" s="60"/>
      <c r="C127" s="66"/>
      <c r="D127" s="66"/>
      <c r="E127" s="66"/>
      <c r="G127" s="45"/>
      <c r="I127" s="2043"/>
      <c r="J127" s="16"/>
      <c r="K127" s="52"/>
      <c r="L127" s="101"/>
      <c r="M127" s="101"/>
      <c r="N127" s="101"/>
      <c r="O127" s="101"/>
      <c r="P127" s="39"/>
      <c r="R127" s="265"/>
      <c r="S127" s="319"/>
      <c r="T127" s="319"/>
      <c r="U127" s="320"/>
      <c r="V127" s="2253"/>
      <c r="W127" s="2238"/>
      <c r="X127" s="2245" t="s">
        <v>1953</v>
      </c>
      <c r="Y127" s="2245"/>
      <c r="Z127" s="2244"/>
      <c r="AA127" s="2244" t="s">
        <v>560</v>
      </c>
      <c r="AB127" s="2244"/>
      <c r="AC127" s="2244" t="s">
        <v>549</v>
      </c>
      <c r="AD127" s="2244" t="s">
        <v>550</v>
      </c>
      <c r="AE127" s="2244"/>
      <c r="AF127" s="2244"/>
      <c r="AG127" s="1450" t="s">
        <v>551</v>
      </c>
      <c r="AH127" s="1447"/>
      <c r="AI127" s="1447" t="s">
        <v>225</v>
      </c>
      <c r="AJ127" s="2250"/>
      <c r="AK127" s="1093"/>
      <c r="AM127" s="1449"/>
      <c r="AN127" s="1449"/>
      <c r="AO127" s="2184"/>
      <c r="AP127" s="1447"/>
      <c r="AQ127" s="1447"/>
      <c r="AR127" s="1447"/>
      <c r="AS127" s="1447"/>
      <c r="AT127" s="1447"/>
      <c r="AU127" s="1447"/>
      <c r="BB127" s="88"/>
      <c r="BC127" s="2980" t="str">
        <f t="shared" si="23"/>
        <v/>
      </c>
      <c r="BD127" s="2980" t="str">
        <f t="shared" si="24"/>
        <v>Therme Horizon</v>
      </c>
      <c r="BE127" s="2980">
        <v>69</v>
      </c>
      <c r="BF127" s="2980">
        <v>73</v>
      </c>
      <c r="BG127" s="2980" t="s">
        <v>1917</v>
      </c>
      <c r="BH127" s="2988" t="str">
        <f>$W$74</f>
        <v>FY Latest Estimate Cash Interest Expense</v>
      </c>
      <c r="BI127" s="2987" t="e">
        <f ca="1">$AD$74</f>
        <v>#NAME?</v>
      </c>
      <c r="BJ127" s="2980" t="s">
        <v>1967</v>
      </c>
      <c r="BK127" s="3"/>
      <c r="BL127" s="3"/>
      <c r="BM127" s="3"/>
      <c r="BN127" s="3"/>
      <c r="BO127" s="3"/>
    </row>
    <row r="128" spans="1:67" ht="15.75" customHeight="1">
      <c r="A128" s="60"/>
      <c r="B128" s="60"/>
      <c r="C128" s="66"/>
      <c r="D128" s="66"/>
      <c r="E128" s="66"/>
      <c r="G128" s="45"/>
      <c r="I128" s="2043"/>
      <c r="J128" s="16"/>
      <c r="K128" s="52"/>
      <c r="L128" s="101"/>
      <c r="M128" s="101"/>
      <c r="N128" s="101"/>
      <c r="O128" s="101"/>
      <c r="P128" s="39"/>
      <c r="R128" s="265"/>
      <c r="S128" s="319"/>
      <c r="T128" s="319"/>
      <c r="U128" s="320"/>
      <c r="V128" s="2253"/>
      <c r="W128" s="2238"/>
      <c r="X128" s="19"/>
      <c r="Y128" s="19"/>
      <c r="Z128" s="19"/>
      <c r="AA128" s="19"/>
      <c r="AB128" s="19"/>
      <c r="AC128" s="19"/>
      <c r="AD128" s="19"/>
      <c r="AE128" s="19"/>
      <c r="AF128" s="2244"/>
      <c r="AG128" s="3119" t="str">
        <f ca="1">_xlfn.LET(_xlpm.Nominator,X131,_xlpm.Denominator,X133,_xlpm.NominatorVar,AA131,_xlpm.DenominatorVar,AA133,_xlpm.Direction,_xlfn.XLOOKUP(X126,$AO$229:$AO$233,$AT$229:$AT$233),_xlpm.TargetMetric,_xlfn.XLOOKUP(X126,$AO$229:$AO$233,$AS$229:$AS$233),_xlpm.CovenantLevel,AC126,_xlpm.TargetVar,IF(_xlpm.Nominator&lt;&gt;_xlpm.TargetMetric,_xlpm.DenominatorVar,_xlpm.NominatorVar),_xlpm.CreditVar,IF(_xlpm.TargetVar=_xlpm.NominatorVar,_xlpm.DenominatorVar,_xlpm.NominatorVar),_xlpm.Limit,_xlpm.CreditVar*_xlpm.CovenantLevel^(_xlpm.Direction),_xlpm.Diff,_xlpm.TargetVar-_xlpm.Limit,_xlpm.Pass,IF(_xlpm.Direction=1,_xlpm.Diff&lt;=0,_xlpm.Diff&gt;=0),_xlpm.Margin,ABS(_xlpm.Diff),_xlpm.MarginPct,TEXT(_xlpm.Margin/_xlpm.Limit,"0%"),_xlpm.Verdict,IF(_xlpm.Diff=0,"meets the covenant exactly",IF(_xlpm.Pass,"passes the covenant by "&amp;TEXT(_xlpm.Margin,"#,##0")&amp;" ("&amp;_xlpm.MarginPct&amp;"). ","fails the covenant by "&amp;TEXT(_xlpm.Margin,"#,##0")&amp;" ("&amp;_xlpm.MarginPct&amp;"). ")),_xlpm.RESULT,"The controllable metric ("&amp;_xlpm.TargetMetric&amp;") value of "&amp;TEXT(_xlpm.TargetVar,"#,##0")&amp;" compared to the Covenant limit of "&amp;TEXT(_xlpm.Limit,"#,##0")&amp;" "&amp;_xlpm.Verdict&amp;"",IFERROR(_xlpm.RESULT,"n/a"))</f>
        <v>n/a</v>
      </c>
      <c r="AH128" s="3119"/>
      <c r="AI128" s="3120"/>
      <c r="AJ128" s="2250"/>
      <c r="AK128" s="1093"/>
      <c r="AM128" s="3437" t="str">
        <f>X126&amp;" - Covenant Level"</f>
        <v>Gross Leverage Ratio - Covenant Level</v>
      </c>
      <c r="AN128" s="19"/>
      <c r="AO128" s="3438" t="s">
        <v>225</v>
      </c>
      <c r="AP128" s="3439" t="str">
        <f>_xlfn.XLOOKUP($AA126,tbl_period_debt[Period_display],tbl_period_debt[CX Scenario])</f>
        <v>Actual</v>
      </c>
      <c r="AQ128" s="2194" t="e" cm="1">
        <f t="array" ca="1" aca="1" ref="AQ128">IF(fx_ProtectPush,_xldudf_CX_PUSH(AC126,CX_ENTITY,AM128,val_asOfDate,AO128,AP128))</f>
        <v>#NAME?</v>
      </c>
      <c r="AR128" s="19"/>
      <c r="AS128" s="2203" t="e" cm="1">
        <f t="array" ca="1" aca="1" ref="AS128">_xldudf_CX_GET(CX_ENTITY,AM128,val_asOfDate,$AO128,,$AP128)</f>
        <v>#NAME?</v>
      </c>
      <c r="AT128" s="709" t="e" cm="1">
        <f t="array" ca="1" aca="1" ref="AT128">_xldudf_CX_GET(CX_ENTITY,$AM128,val_priorQtrEnd,$AO128,,$AP128)</f>
        <v>#NAME?</v>
      </c>
      <c r="AU128" s="19"/>
      <c r="BB128" s="88"/>
      <c r="BC128" s="2980" t="str">
        <f t="shared" si="23"/>
        <v/>
      </c>
      <c r="BD128" s="2980" t="str">
        <f t="shared" si="24"/>
        <v>Therme Horizon</v>
      </c>
      <c r="BE128" s="2980">
        <v>70</v>
      </c>
      <c r="BF128" s="2980">
        <v>74</v>
      </c>
      <c r="BG128" s="2980" t="s">
        <v>1923</v>
      </c>
      <c r="BH128" s="2988" t="str">
        <f>$W$75</f>
        <v>FY Latest Estimate Principal Repayments</v>
      </c>
      <c r="BI128" s="2987" t="e">
        <f ca="1">$AD$75</f>
        <v>#NAME?</v>
      </c>
      <c r="BJ128" s="2980" t="s">
        <v>1967</v>
      </c>
      <c r="BK128" s="3"/>
      <c r="BL128" s="3"/>
      <c r="BM128" s="3"/>
      <c r="BN128" s="3"/>
      <c r="BO128" s="3"/>
    </row>
    <row r="129" spans="1:67" ht="15.75" customHeight="1">
      <c r="A129" s="60"/>
      <c r="B129" s="60"/>
      <c r="C129" s="66"/>
      <c r="D129" s="66"/>
      <c r="E129" s="66"/>
      <c r="G129" s="45"/>
      <c r="I129" s="2043"/>
      <c r="J129" s="16"/>
      <c r="K129" s="52"/>
      <c r="L129" s="101"/>
      <c r="M129" s="101"/>
      <c r="N129" s="101"/>
      <c r="O129" s="101"/>
      <c r="P129" s="39"/>
      <c r="R129" s="265"/>
      <c r="S129" s="319"/>
      <c r="T129" s="319"/>
      <c r="U129" s="320"/>
      <c r="V129" s="2253"/>
      <c r="W129" s="2241" t="str" cm="1">
        <f t="array" ref="W129">IF(X129&lt;&gt;"",IFERROR(IF(_xlfn.XMATCH(X129,tbl_acctDef[Term],0)&gt;0,fx_getIcon("find"),""),""),"")</f>
        <v/>
      </c>
      <c r="X129" s="496"/>
      <c r="Y129" s="496"/>
      <c r="Z129" s="497"/>
      <c r="AA129" s="497"/>
      <c r="AB129" s="497"/>
      <c r="AC129" s="497"/>
      <c r="AD129" s="497"/>
      <c r="AE129" s="497"/>
      <c r="AF129" s="2244"/>
      <c r="AG129" s="3121"/>
      <c r="AH129" s="3121"/>
      <c r="AI129" s="3122"/>
      <c r="AJ129" s="2250"/>
      <c r="AK129" s="1093"/>
      <c r="AM129" s="3437" t="str">
        <f>X126&amp;" - Forward Covenant Level"</f>
        <v>Gross Leverage Ratio - Forward Covenant Level</v>
      </c>
      <c r="AN129" s="496"/>
      <c r="AO129" s="3440" t="s">
        <v>225</v>
      </c>
      <c r="AP129" s="3441" t="str">
        <f>_xlfn.XLOOKUP($AA126,tbl_period_debt[Period_display],tbl_period_debt[CX Scenario])</f>
        <v>Actual</v>
      </c>
      <c r="AQ129" s="2196" t="e" cm="1">
        <f t="array" ca="1" aca="1" ref="AQ129">IF(fx_ProtectPush,_xldudf_CX_PUSH(AD126,CX_ENTITY,AM129,val_asOfDate,AO129,AP129))</f>
        <v>#NAME?</v>
      </c>
      <c r="AR129" s="497"/>
      <c r="AS129" s="2203" t="e" cm="1">
        <f t="array" ca="1" aca="1" ref="AS129">_xldudf_CX_GET(CX_ENTITY,AM129,val_asOfDate,$AO129,,$AP129)</f>
        <v>#NAME?</v>
      </c>
      <c r="AT129" s="709" t="e" cm="1">
        <f t="array" ca="1" aca="1" ref="AT129">_xldudf_CX_GET(CX_ENTITY,$AM129,val_priorQtrEnd,$AO129,,$AP129)</f>
        <v>#NAME?</v>
      </c>
      <c r="AU129" s="497"/>
      <c r="BB129" s="88"/>
      <c r="BC129" s="2980" t="str">
        <f t="shared" si="23"/>
        <v/>
      </c>
      <c r="BD129" s="2980" t="str">
        <f t="shared" si="24"/>
        <v>Therme Horizon</v>
      </c>
      <c r="BE129" s="2980">
        <v>71</v>
      </c>
      <c r="BF129" s="2980">
        <v>75</v>
      </c>
      <c r="BG129" s="2980" t="s">
        <v>1924</v>
      </c>
      <c r="BH129" s="2988" t="str">
        <f>$W$76</f>
        <v>Debt Service Cover Ratio (Current FY Latest Estimate)</v>
      </c>
      <c r="BI129" s="2987" t="e">
        <f ca="1">IF($AD$76="n/a","n/a",-$AD$76)</f>
        <v>#NAME?</v>
      </c>
      <c r="BJ129" s="2980" t="s">
        <v>1967</v>
      </c>
      <c r="BK129" s="3"/>
      <c r="BL129" s="3"/>
      <c r="BM129" s="3"/>
      <c r="BN129" s="3"/>
      <c r="BO129" s="3"/>
    </row>
    <row r="130" spans="1:67" ht="15.75" customHeight="1">
      <c r="A130" s="60"/>
      <c r="B130" s="60"/>
      <c r="C130" s="66"/>
      <c r="D130" s="66"/>
      <c r="E130" s="66"/>
      <c r="G130" s="45"/>
      <c r="I130" s="2043"/>
      <c r="J130" s="16"/>
      <c r="K130" s="52"/>
      <c r="L130" s="101"/>
      <c r="M130" s="101"/>
      <c r="N130" s="101"/>
      <c r="O130" s="101"/>
      <c r="P130" s="39"/>
      <c r="R130" s="265"/>
      <c r="S130" s="319"/>
      <c r="T130" s="319"/>
      <c r="U130" s="320"/>
      <c r="V130" s="2253"/>
      <c r="W130" s="2241" t="str" cm="1">
        <f t="array" ref="W130">IF(X130&lt;&gt;"",IFERROR(IF(_xlfn.XMATCH(X130,tbl_acctDef[Term],0)&gt;0,fx_getIcon("find"),""),""),"")</f>
        <v/>
      </c>
      <c r="X130" s="320"/>
      <c r="Y130" s="320"/>
      <c r="Z130" s="320"/>
      <c r="AA130" s="1431" t="s">
        <v>552</v>
      </c>
      <c r="AB130" s="1431"/>
      <c r="AC130" s="1431" t="s">
        <v>553</v>
      </c>
      <c r="AD130" s="1431" t="s">
        <v>554</v>
      </c>
      <c r="AE130" s="1044" t="s">
        <v>555</v>
      </c>
      <c r="AF130" s="2244"/>
      <c r="AG130" s="3121"/>
      <c r="AH130" s="3121"/>
      <c r="AI130" s="3122"/>
      <c r="AJ130" s="2250"/>
      <c r="AK130" s="1093"/>
      <c r="AM130" s="1438"/>
      <c r="AN130" s="320"/>
      <c r="AO130" s="987"/>
      <c r="AP130" s="320"/>
      <c r="AQ130" s="1431"/>
      <c r="AR130" s="1431"/>
      <c r="AS130" s="1431"/>
      <c r="AT130" s="1431"/>
      <c r="AU130" s="1044" t="s">
        <v>555</v>
      </c>
      <c r="BB130" s="88"/>
      <c r="BC130" s="2980" t="str">
        <f t="shared" si="23"/>
        <v/>
      </c>
      <c r="BD130" s="2980" t="str">
        <f t="shared" si="24"/>
        <v>Therme Horizon</v>
      </c>
      <c r="BE130" s="2980">
        <v>72</v>
      </c>
      <c r="BF130" s="2980">
        <v>76</v>
      </c>
      <c r="BG130" s="2980" t="s">
        <v>520</v>
      </c>
      <c r="BH130" s="2988" t="str">
        <f>$W$87</f>
        <v>Annualised Recurring Revenue</v>
      </c>
      <c r="BI130" s="2987" t="str">
        <f>$AD$87</f>
        <v>n/a</v>
      </c>
      <c r="BJ130" s="2980" t="s">
        <v>1967</v>
      </c>
      <c r="BK130" s="3"/>
      <c r="BL130" s="3"/>
      <c r="BM130" s="3"/>
      <c r="BN130" s="3"/>
      <c r="BO130" s="3"/>
    </row>
    <row r="131" spans="1:67" ht="15.75" customHeight="1">
      <c r="A131" s="60"/>
      <c r="B131" s="60"/>
      <c r="C131" s="66"/>
      <c r="D131" s="66"/>
      <c r="E131" s="66"/>
      <c r="G131" s="45"/>
      <c r="I131" s="2043"/>
      <c r="J131" s="16"/>
      <c r="K131" s="52"/>
      <c r="L131" s="101"/>
      <c r="M131" s="101"/>
      <c r="N131" s="101"/>
      <c r="O131" s="101"/>
      <c r="P131" s="39"/>
      <c r="R131" s="265"/>
      <c r="S131" s="319"/>
      <c r="T131" s="319"/>
      <c r="U131" s="320"/>
      <c r="V131" s="2253"/>
      <c r="W131" s="2255" t="e" vm="5" cm="1">
        <f t="array" ref="W131">IF(X131&lt;&gt;"",IFERROR(IF(_xlfn.XMATCH(X131,tbl_acctDef[Term],0)&gt;0,fx_getIcon("find"),""),""),"")</f>
        <v>#VALUE!</v>
      </c>
      <c r="X131" s="88" t="str">
        <f>_xlfn.XLOOKUP(X126,$AO$229:$AO$233,$AP$229:$AP$233,"Not found")</f>
        <v>Gross External Debt</v>
      </c>
      <c r="Y131" s="703"/>
      <c r="Z131" s="1044" t="str">
        <f>IF(_xlfn.XLOOKUP(X131,$AN$205:$AN$224,$AQ$205:$AQ$224,0)="BS","As of "&amp;TEXT(AI126,"MMM-yy"),AA126)</f>
        <v>As of Dec-25</v>
      </c>
      <c r="AA131" s="3442" t="e">
        <f ca="1">AS131</f>
        <v>#NAME?</v>
      </c>
      <c r="AB131" s="1416"/>
      <c r="AC131" s="1435"/>
      <c r="AD131" s="1432"/>
      <c r="AE131" s="1433"/>
      <c r="AF131" s="2244"/>
      <c r="AG131" s="3121"/>
      <c r="AH131" s="3121"/>
      <c r="AI131" s="3122"/>
      <c r="AJ131" s="2250"/>
      <c r="AK131" s="1093"/>
      <c r="AM131" s="3437" t="str">
        <f>X131&amp;" - Adjustment (Debt Ratio)"</f>
        <v>Gross External Debt - Adjustment (Debt Ratio)</v>
      </c>
      <c r="AN131" s="703"/>
      <c r="AO131" s="3443" t="str">
        <f>_xlfn.XLOOKUP($AA126,tbl_period_debt[Period_display],tbl_period_debt[CX Period])</f>
        <v>Quarter</v>
      </c>
      <c r="AP131" s="3444" t="str">
        <f>_xlfn.XLOOKUP($AA126,tbl_period_debt[Period_display],tbl_period_debt[CX Scenario])</f>
        <v>Actual</v>
      </c>
      <c r="AQ131" s="2194" t="e" cm="1">
        <f t="array" ca="1" aca="1" ref="AQ131">IF(fx_ProtectPush,_xldudf_CX_PUSH(AA131,CX_ENTITY,AM131,val_asOfDate,AO131,AP131))</f>
        <v>#NAME?</v>
      </c>
      <c r="AR131" s="1416"/>
      <c r="AS131" s="2203" t="e" cm="1">
        <f t="array" ca="1" aca="1" ref="AS131">_xldudf_CX_GET(CX_ENTITY,AM131,val_asOfDate,$AO131,,$AP131)</f>
        <v>#NAME?</v>
      </c>
      <c r="AT131" s="709" t="e" cm="1">
        <f t="array" ca="1" aca="1" ref="AT131">_xldudf_CX_GET(CX_ENTITY,$AM131,val_priorQtrEnd,$AO131,,$AP131)</f>
        <v>#NAME?</v>
      </c>
      <c r="AU131" s="1433"/>
      <c r="BB131" s="88"/>
      <c r="BC131" s="2980" t="str">
        <f t="shared" si="23"/>
        <v/>
      </c>
      <c r="BD131" s="2980" t="str">
        <f t="shared" si="24"/>
        <v>Therme Horizon</v>
      </c>
      <c r="BE131" s="2980">
        <v>73</v>
      </c>
      <c r="BF131" s="2980">
        <v>77</v>
      </c>
      <c r="BG131" s="2980" t="s">
        <v>525</v>
      </c>
      <c r="BH131" s="2988" t="str">
        <f>$W$88</f>
        <v>Net debt / (Cash) for leverage</v>
      </c>
      <c r="BI131" s="2987" t="e">
        <f ca="1">$AD$88</f>
        <v>#VALUE!</v>
      </c>
      <c r="BJ131" s="2980" t="s">
        <v>1967</v>
      </c>
      <c r="BK131" s="3"/>
      <c r="BL131" s="3"/>
      <c r="BM131" s="3"/>
      <c r="BN131" s="3"/>
      <c r="BO131" s="3"/>
    </row>
    <row r="132" spans="1:67" ht="15.75" customHeight="1">
      <c r="A132" s="60"/>
      <c r="B132" s="60"/>
      <c r="C132" s="66"/>
      <c r="D132" s="66"/>
      <c r="E132" s="66"/>
      <c r="G132" s="45"/>
      <c r="I132" s="2043"/>
      <c r="J132" s="16"/>
      <c r="K132" s="52"/>
      <c r="L132" s="101"/>
      <c r="M132" s="101"/>
      <c r="N132" s="101"/>
      <c r="O132" s="101"/>
      <c r="P132" s="39"/>
      <c r="R132" s="265"/>
      <c r="S132" s="319"/>
      <c r="T132" s="319"/>
      <c r="U132" s="320"/>
      <c r="V132" s="2253"/>
      <c r="W132" s="2241" t="str" cm="1">
        <f t="array" ref="W132">IF(X132&lt;&gt;"",IFERROR(IF(_xlfn.XMATCH(X132,tbl_acctDef[Term],0)&gt;0,fx_getIcon("find"),""),""),"")</f>
        <v/>
      </c>
      <c r="X132" s="399"/>
      <c r="Y132" s="399"/>
      <c r="Z132" s="987"/>
      <c r="AA132" s="2286"/>
      <c r="AB132" s="1354"/>
      <c r="AC132" s="320"/>
      <c r="AD132" s="320"/>
      <c r="AE132" s="320"/>
      <c r="AF132" s="2244"/>
      <c r="AG132" s="3121"/>
      <c r="AH132" s="3121"/>
      <c r="AI132" s="3122"/>
      <c r="AJ132" s="2250"/>
      <c r="AK132" s="1093"/>
      <c r="AM132" s="1440"/>
      <c r="AN132" s="399"/>
      <c r="AO132" s="1044"/>
      <c r="AP132" s="987"/>
      <c r="AQ132" s="1354"/>
      <c r="AR132" s="1354"/>
      <c r="AS132" s="1354"/>
      <c r="AT132" s="320"/>
      <c r="AU132" s="320"/>
      <c r="BB132" s="88"/>
      <c r="BC132" s="2980" t="str">
        <f t="shared" si="23"/>
        <v/>
      </c>
      <c r="BD132" s="2980" t="str">
        <f t="shared" si="24"/>
        <v>Therme Horizon</v>
      </c>
      <c r="BE132" s="2980">
        <v>74</v>
      </c>
      <c r="BF132" s="2980">
        <v>78</v>
      </c>
      <c r="BG132" s="2980" t="s">
        <v>1925</v>
      </c>
      <c r="BH132" s="2988" t="str">
        <f>$W$89</f>
        <v>Annualised Recurring Revenue / Net Debt Cover Ratio (LTM)</v>
      </c>
      <c r="BI132" s="2987">
        <f ca="1">$AD$89</f>
        <v>0</v>
      </c>
      <c r="BJ132" s="2980" t="s">
        <v>1967</v>
      </c>
      <c r="BK132" s="3"/>
      <c r="BL132" s="3"/>
      <c r="BM132" s="3"/>
      <c r="BN132" s="3"/>
      <c r="BO132" s="3"/>
    </row>
    <row r="133" spans="1:67" ht="15.75" customHeight="1">
      <c r="A133" s="60"/>
      <c r="B133" s="60"/>
      <c r="C133" s="66"/>
      <c r="D133" s="66"/>
      <c r="E133" s="66"/>
      <c r="G133" s="45"/>
      <c r="I133" s="2043"/>
      <c r="J133" s="16"/>
      <c r="K133" s="52"/>
      <c r="L133" s="101"/>
      <c r="M133" s="101"/>
      <c r="N133" s="101"/>
      <c r="O133" s="101"/>
      <c r="P133" s="39"/>
      <c r="R133" s="265"/>
      <c r="S133" s="319"/>
      <c r="T133" s="319"/>
      <c r="U133" s="320"/>
      <c r="V133" s="2253"/>
      <c r="W133" s="2255" t="e" vm="5" cm="1">
        <f t="array" ref="W133">IF(X133&lt;&gt;"",IFERROR(IF(_xlfn.XMATCH(X133,tbl_acctDef[Term],0)&gt;0,fx_getIcon("find"),""),""),"")</f>
        <v>#VALUE!</v>
      </c>
      <c r="X133" s="88" t="str">
        <f>_xlfn.XLOOKUP(X126,$AO$229:$AO$233,$AQ$229:$AQ$233,"Not found")</f>
        <v>Adjusted EBITDA</v>
      </c>
      <c r="Y133" s="703"/>
      <c r="Z133" s="1044" t="str">
        <f>IF(_xlfn.XLOOKUP(X133,$AN$205:$AN$224,$AQ$205:$AQ$224,0)="BS",""&amp;TEXT(AI126,"MMM-yy"),AA126)</f>
        <v>Actual L3M(A)</v>
      </c>
      <c r="AA133" s="3442" t="e">
        <f ca="1">AS133</f>
        <v>#NAME?</v>
      </c>
      <c r="AB133" s="1416"/>
      <c r="AC133" s="1430"/>
      <c r="AD133" s="1432"/>
      <c r="AE133" s="1433"/>
      <c r="AF133" s="2244"/>
      <c r="AG133" s="3121"/>
      <c r="AH133" s="3121"/>
      <c r="AI133" s="3122"/>
      <c r="AJ133" s="2250"/>
      <c r="AK133" s="1093"/>
      <c r="AM133" s="3437" t="str">
        <f>X133&amp;" - Adjustment (Debt Ratio)"</f>
        <v>Adjusted EBITDA - Adjustment (Debt Ratio)</v>
      </c>
      <c r="AN133" s="703"/>
      <c r="AO133" s="3443" t="str">
        <f>_xlfn.XLOOKUP($AA126,tbl_period_debt[Period_display],tbl_period_debt[CX Period])</f>
        <v>Quarter</v>
      </c>
      <c r="AP133" s="3444" t="str">
        <f>_xlfn.XLOOKUP($AA126,tbl_period_debt[Period_display],tbl_period_debt[CX Scenario])</f>
        <v>Actual</v>
      </c>
      <c r="AQ133" s="2194" t="e" cm="1">
        <f t="array" ca="1" aca="1" ref="AQ133">IF(fx_ProtectPush,_xldudf_CX_PUSH(AA133,CX_ENTITY,AM133,val_asOfDate,AO133,AP133))</f>
        <v>#NAME?</v>
      </c>
      <c r="AR133" s="1416"/>
      <c r="AS133" s="2203" t="e" cm="1">
        <f t="array" ca="1" aca="1" ref="AS133">_xldudf_CX_GET(CX_ENTITY,AM133,val_asOfDate,$AO133,,$AP133)</f>
        <v>#NAME?</v>
      </c>
      <c r="AT133" s="709" t="e" cm="1">
        <f t="array" ca="1" aca="1" ref="AT133">_xldudf_CX_GET(CX_ENTITY,$AM133,val_priorQtrEnd,$AO133,,$AP133)</f>
        <v>#NAME?</v>
      </c>
      <c r="AU133" s="1433"/>
      <c r="BB133" s="88"/>
      <c r="BC133" s="2980" t="str">
        <f t="shared" si="23"/>
        <v/>
      </c>
      <c r="BD133" s="2980" t="str">
        <f t="shared" si="24"/>
        <v>Therme Horizon</v>
      </c>
      <c r="BE133" s="2980">
        <v>75</v>
      </c>
      <c r="BF133" s="2980">
        <v>79</v>
      </c>
      <c r="BG133" s="2980" t="s">
        <v>520</v>
      </c>
      <c r="BH133" s="2988" t="str">
        <f>$W$93</f>
        <v>Annualised Recurring Revenue</v>
      </c>
      <c r="BI133" s="2987" t="e">
        <f ca="1">$AD$93</f>
        <v>#VALUE!</v>
      </c>
      <c r="BJ133" s="2980" t="s">
        <v>1967</v>
      </c>
      <c r="BK133" s="3"/>
      <c r="BL133" s="3"/>
      <c r="BM133" s="3"/>
      <c r="BN133" s="3"/>
      <c r="BO133" s="3"/>
    </row>
    <row r="134" spans="1:67" ht="15.75" customHeight="1">
      <c r="A134" s="60"/>
      <c r="B134" s="60"/>
      <c r="C134" s="66"/>
      <c r="D134" s="66"/>
      <c r="E134" s="66"/>
      <c r="G134" s="45"/>
      <c r="I134" s="2043"/>
      <c r="J134" s="16"/>
      <c r="K134" s="52"/>
      <c r="L134" s="101"/>
      <c r="M134" s="101"/>
      <c r="N134" s="101"/>
      <c r="O134" s="101"/>
      <c r="P134" s="39"/>
      <c r="R134" s="265"/>
      <c r="S134" s="319"/>
      <c r="T134" s="319"/>
      <c r="U134" s="320"/>
      <c r="V134" s="2253"/>
      <c r="W134" s="2241" t="str" cm="1">
        <f t="array" ref="W134">IF(X134&lt;&gt;"",IFERROR(IF(_xlfn.XMATCH(X134,tbl_acctDef[Term],0)&gt;0,fx_getIcon("find"),""),""),"")</f>
        <v/>
      </c>
      <c r="X134" s="399"/>
      <c r="Y134" s="399"/>
      <c r="Z134" s="320"/>
      <c r="AA134" s="320"/>
      <c r="AB134" s="1354"/>
      <c r="AC134" s="320"/>
      <c r="AD134" s="320"/>
      <c r="AE134" s="320"/>
      <c r="AF134" s="2244"/>
      <c r="AG134" s="3121"/>
      <c r="AH134" s="3121"/>
      <c r="AI134" s="3122"/>
      <c r="AJ134" s="2250"/>
      <c r="AK134" s="1093"/>
      <c r="AM134" s="1440"/>
      <c r="AN134" s="399"/>
      <c r="AO134" s="1044"/>
      <c r="AP134" s="320"/>
      <c r="AQ134" s="320"/>
      <c r="AR134" s="1354"/>
      <c r="AS134" s="320"/>
      <c r="AT134" s="320"/>
      <c r="AU134" s="320"/>
      <c r="BB134" s="88"/>
      <c r="BC134" s="2980" t="str">
        <f t="shared" si="23"/>
        <v/>
      </c>
      <c r="BD134" s="2980" t="str">
        <f t="shared" si="24"/>
        <v>Therme Horizon</v>
      </c>
      <c r="BE134" s="2980">
        <v>76</v>
      </c>
      <c r="BF134" s="2980">
        <v>80</v>
      </c>
      <c r="BG134" s="2980" t="s">
        <v>525</v>
      </c>
      <c r="BH134" s="2988" t="str">
        <f>$W$94</f>
        <v>Net debt / (Cash) for leverage</v>
      </c>
      <c r="BI134" s="2987" t="e">
        <f ca="1">$AD$94</f>
        <v>#VALUE!</v>
      </c>
      <c r="BJ134" s="2980" t="s">
        <v>1967</v>
      </c>
      <c r="BK134" s="3"/>
      <c r="BL134" s="3"/>
      <c r="BM134" s="3"/>
      <c r="BN134" s="3"/>
      <c r="BO134" s="3"/>
    </row>
    <row r="135" spans="1:67" ht="15.75" customHeight="1">
      <c r="A135" s="60"/>
      <c r="B135" s="60"/>
      <c r="C135" s="66"/>
      <c r="D135" s="66"/>
      <c r="E135" s="66"/>
      <c r="G135" s="45"/>
      <c r="I135" s="2043"/>
      <c r="J135" s="16"/>
      <c r="K135" s="52"/>
      <c r="L135" s="101"/>
      <c r="M135" s="101"/>
      <c r="N135" s="101"/>
      <c r="O135" s="101"/>
      <c r="P135" s="39"/>
      <c r="R135" s="265"/>
      <c r="S135" s="319"/>
      <c r="T135" s="319"/>
      <c r="U135" s="320"/>
      <c r="V135" s="2253"/>
      <c r="W135" s="2241" t="str" cm="1">
        <f t="array" ref="W135">IF(X135&lt;&gt;"",IFERROR(IF(_xlfn.XMATCH(X135,tbl_acctDef[Term],0)&gt;0,fx_getIcon("find"),""),""),"")</f>
        <v/>
      </c>
      <c r="X135" s="703" t="s">
        <v>308</v>
      </c>
      <c r="Y135" s="399"/>
      <c r="Z135" s="320"/>
      <c r="AA135" s="1443" t="e" cm="1">
        <f t="array" ca="1" aca="1" ref="AA135">_xlfn.SWITCH(TRUE,OR(AA131="",AA133=""),"n/a",OR(AA131="n/a",AA133="n/a",ISERROR(AA131),ISERROR(AA133),AA131*AA133&gt;=0),"n/a",ABS(AA131/AA133))</f>
        <v>#NAME?</v>
      </c>
      <c r="AB135" s="1427"/>
      <c r="AC135" s="1443"/>
      <c r="AD135" s="1443"/>
      <c r="AE135" s="1433"/>
      <c r="AF135" s="2244"/>
      <c r="AG135" s="3121"/>
      <c r="AH135" s="3121"/>
      <c r="AI135" s="3122"/>
      <c r="AJ135" s="2250"/>
      <c r="AK135" s="1093"/>
      <c r="AM135" s="3437" t="str">
        <f>X126</f>
        <v>Gross Leverage Ratio</v>
      </c>
      <c r="AN135" s="399"/>
      <c r="AO135" s="3445" t="s">
        <v>225</v>
      </c>
      <c r="AP135" s="3444" t="str">
        <f>_xlfn.XLOOKUP($AA126,tbl_period_debt[Period_display],tbl_period_debt[CX Scenario])</f>
        <v>Actual</v>
      </c>
      <c r="AQ135" s="2194" t="str" cm="1">
        <f t="array" ca="1" aca="1" ref="AQ135">IF(fx_ProtectPush,IF(ISNUMBER(AA135),_xldudf_CX_PUSH(AA135,CX_ENTITY,AM135,val_asOfDate,AO135,AP135),"NaN"))</f>
        <v>NaN</v>
      </c>
      <c r="AR135" s="1427"/>
      <c r="AS135" s="2203" t="e" cm="1">
        <f t="array" ca="1" aca="1" ref="AS135">_xldudf_CX_GET(CX_ENTITY,AM135,val_asOfDate,$AO135,,$AP135)</f>
        <v>#NAME?</v>
      </c>
      <c r="AT135" s="709" t="e" cm="1">
        <f t="array" ca="1" aca="1" ref="AT135">_xldudf_CX_GET(CX_ENTITY,$AM135,val_priorQtrEnd,$AO135,,$AP135)</f>
        <v>#NAME?</v>
      </c>
      <c r="AU135" s="1433"/>
      <c r="BB135" s="88"/>
      <c r="BC135" s="2980" t="str">
        <f t="shared" si="23"/>
        <v/>
      </c>
      <c r="BD135" s="2980" t="str">
        <f t="shared" si="24"/>
        <v>Therme Horizon</v>
      </c>
      <c r="BE135" s="2980">
        <v>77</v>
      </c>
      <c r="BF135" s="2980">
        <v>81</v>
      </c>
      <c r="BG135" s="2980" t="s">
        <v>1926</v>
      </c>
      <c r="BH135" s="2988" t="str">
        <f>$W$95</f>
        <v>ARR / Net Debt Cover Ratio (Current FY Latest Estimate)</v>
      </c>
      <c r="BI135" s="2987">
        <f ca="1">$AD$95</f>
        <v>0</v>
      </c>
      <c r="BJ135" s="2980" t="s">
        <v>1967</v>
      </c>
      <c r="BK135" s="3"/>
      <c r="BL135" s="3"/>
      <c r="BM135" s="3"/>
      <c r="BN135" s="3"/>
      <c r="BO135" s="3"/>
    </row>
    <row r="136" spans="1:67" ht="15.75" customHeight="1">
      <c r="A136" s="60"/>
      <c r="B136" s="60"/>
      <c r="C136" s="66"/>
      <c r="D136" s="66"/>
      <c r="E136" s="66"/>
      <c r="G136" s="45"/>
      <c r="I136" s="2043"/>
      <c r="J136" s="16"/>
      <c r="K136" s="52"/>
      <c r="L136" s="101"/>
      <c r="M136" s="101"/>
      <c r="N136" s="101"/>
      <c r="O136" s="101"/>
      <c r="P136" s="39"/>
      <c r="R136" s="265"/>
      <c r="S136" s="319"/>
      <c r="T136" s="319"/>
      <c r="U136" s="320"/>
      <c r="V136" s="2253"/>
      <c r="W136" s="2255" t="e" vm="5" cm="1">
        <f t="array" ref="W136">IF(X136&lt;&gt;"",IFERROR(IF(_xlfn.XMATCH(X136,tbl_acctDef[Term],0)&gt;0,fx_getIcon("find"),""),""),"")</f>
        <v>#VALUE!</v>
      </c>
      <c r="X136" s="88" t="s">
        <v>556</v>
      </c>
      <c r="Y136" s="399"/>
      <c r="Z136" s="399"/>
      <c r="AA136" s="1444" t="e">
        <f ca="1">_xlfn.LET(_xlpm.Nominator,X131,_xlpm.Denominator,X133,_xlpm.NominatorVar,AA131,_xlpm.DenominatorVar,AA133,_xlpm.Direction,_xlfn.XLOOKUP(X126,$AO$229:$AO$233,$AT$229:$AT$233),_xlpm.TargetMetric,_xlfn.XLOOKUP(X126,$AO$229:$AO$233,$AS$229:$AS$233),_xlpm.CovenantLevel,AC126,_xlpm.TargetVar,IF(_xlpm.Nominator&lt;&gt;_xlpm.TargetMetric,_xlpm.DenominatorVar,_xlpm.NominatorVar),_xlpm.CreditVar,IF(_xlpm.TargetVar=_xlpm.NominatorVar,_xlpm.DenominatorVar,_xlpm.NominatorVar),_xlpm.Limit,ABS(_xlpm.CreditVar)*_xlpm.CovenantLevel^(_xlpm.Direction),_xlpm.Res,IFERROR(_xlpm.TargetVar-_xlpm.Limit,"n/a"),IF(_xlpm.CreditVar&gt;0,"n/a",_xlpm.Res))</f>
        <v>#NAME?</v>
      </c>
      <c r="AB136" s="1428"/>
      <c r="AC136" s="1444"/>
      <c r="AD136" s="1444"/>
      <c r="AE136" s="1433"/>
      <c r="AF136" s="2244"/>
      <c r="AG136" s="3121"/>
      <c r="AH136" s="3121"/>
      <c r="AI136" s="3122"/>
      <c r="AJ136" s="2250"/>
      <c r="AK136" s="1093"/>
      <c r="AM136" s="3437" t="str">
        <f>$X$126&amp;" - Covenant Headroom"</f>
        <v>Gross Leverage Ratio - Covenant Headroom</v>
      </c>
      <c r="AN136" s="399"/>
      <c r="AO136" s="3445" t="s">
        <v>225</v>
      </c>
      <c r="AP136" s="3444" t="str">
        <f>_xlfn.XLOOKUP($AA126,tbl_period_debt[Period_display],tbl_period_debt[CX Scenario])</f>
        <v>Actual</v>
      </c>
      <c r="AQ136" s="2194" t="str" cm="1">
        <f t="array" ca="1" aca="1" ref="AQ136">IF(fx_ProtectPush,IF(ISNUMBER(AA136),_xldudf_CX_PUSH(AA136,CX_ENTITY,AM136,val_asOfDate,AO136,AP136),"NaN"))</f>
        <v>NaN</v>
      </c>
      <c r="AR136" s="1428"/>
      <c r="AS136" s="2203" t="e" cm="1">
        <f t="array" ca="1" aca="1" ref="AS136">_xldudf_CX_GET(CX_ENTITY,AM136,val_asOfDate,$AO136,,$AP136)</f>
        <v>#NAME?</v>
      </c>
      <c r="AT136" s="709" t="e" cm="1">
        <f t="array" ca="1" aca="1" ref="AT136">_xldudf_CX_GET(CX_ENTITY,$AM136,val_priorQtrEnd,$AO136,,$AP136)</f>
        <v>#NAME?</v>
      </c>
      <c r="AU136" s="1433"/>
      <c r="BB136" s="88"/>
      <c r="BC136" s="2980" t="str">
        <f t="shared" si="23"/>
        <v/>
      </c>
      <c r="BD136" s="2980" t="str">
        <f t="shared" si="24"/>
        <v>Therme Horizon</v>
      </c>
      <c r="BE136" s="2980">
        <v>78</v>
      </c>
      <c r="BF136" s="2980">
        <v>82</v>
      </c>
      <c r="BG136" s="2980" t="s">
        <v>1927</v>
      </c>
      <c r="BH136" s="2986" t="str">
        <f>$W$99</f>
        <v>Liquidity Comments</v>
      </c>
      <c r="BI136" s="2987" t="e">
        <f ca="1">IF($W$101="","n/a",$W$101)</f>
        <v>#NAME?</v>
      </c>
      <c r="BJ136" s="2980" t="s">
        <v>1967</v>
      </c>
      <c r="BK136" s="3"/>
      <c r="BL136" s="3"/>
      <c r="BM136" s="3"/>
      <c r="BN136" s="3"/>
      <c r="BO136" s="3"/>
    </row>
    <row r="137" spans="1:67" ht="15.5">
      <c r="A137" s="60"/>
      <c r="B137" s="60"/>
      <c r="C137" s="66"/>
      <c r="D137" s="66"/>
      <c r="E137" s="66"/>
      <c r="G137" s="45"/>
      <c r="I137" s="2043"/>
      <c r="J137" s="16"/>
      <c r="K137" s="52"/>
      <c r="L137" s="101"/>
      <c r="M137" s="101"/>
      <c r="N137" s="101"/>
      <c r="O137" s="101"/>
      <c r="P137" s="39"/>
      <c r="R137" s="265"/>
      <c r="S137" s="319"/>
      <c r="T137" s="319"/>
      <c r="U137" s="320"/>
      <c r="V137" s="2253"/>
      <c r="W137" s="2255" t="e" vm="5" cm="1">
        <f t="array" ref="W137">IF(X137&lt;&gt;"",IFERROR(IF(_xlfn.XMATCH(X137,tbl_acctDef[Term],0)&gt;0,fx_getIcon("find"),""),""),"")</f>
        <v>#VALUE!</v>
      </c>
      <c r="X137" s="88" t="s">
        <v>557</v>
      </c>
      <c r="Y137" s="399"/>
      <c r="Z137" s="320"/>
      <c r="AA137" s="1445" t="e">
        <f ca="1">_xlfn.LET(_xlpm.Nominator,X131,_xlpm.Denominator,X133,_xlpm.NominatorVar,AA131,_xlpm.DenominatorVar,AA133,_xlpm.Direction,_xlfn.XLOOKUP(X126,$AO$229:$AO$233,$AT$229:$AT$233),_xlpm.TargetMetric,_xlfn.XLOOKUP(X126,$AO$229:$AO$233,$AS$229:$AS$233),_xlpm.CovenantLevel,AC126,_xlpm.TargetVar,IF(_xlpm.Nominator&lt;&gt;_xlpm.TargetMetric,_xlpm.DenominatorVar,_xlpm.NominatorVar),_xlpm.CreditVar,IF(_xlpm.TargetVar=_xlpm.NominatorVar,_xlpm.DenominatorVar,_xlpm.NominatorVar),_xlpm.Limit,ABS(_xlpm.CreditVar)*_xlpm.CovenantLevel^(_xlpm.Direction),IF(_xlpm.CreditVar&lt;=0,IFERROR((_xlpm.TargetVar-_xlpm.Limit)/_xlpm.TargetVar,"n/a"),"n/a"))</f>
        <v>#NAME?</v>
      </c>
      <c r="AB137" s="1429"/>
      <c r="AC137" s="1445"/>
      <c r="AD137" s="1445"/>
      <c r="AE137" s="1433"/>
      <c r="AF137" s="2244"/>
      <c r="AG137" s="3121"/>
      <c r="AH137" s="3121"/>
      <c r="AI137" s="3122"/>
      <c r="AJ137" s="2250"/>
      <c r="AK137" s="1093"/>
      <c r="AM137" s="3437" t="str">
        <f>$X$126&amp;" - Covenant Headroom %"</f>
        <v>Gross Leverage Ratio - Covenant Headroom %</v>
      </c>
      <c r="AN137" s="399"/>
      <c r="AO137" s="3445" t="s">
        <v>225</v>
      </c>
      <c r="AP137" s="3444" t="str">
        <f>_xlfn.XLOOKUP($AA126,tbl_period_debt[Period_display],tbl_period_debt[CX Scenario])</f>
        <v>Actual</v>
      </c>
      <c r="AQ137" s="2194" t="str" cm="1">
        <f t="array" ca="1" aca="1" ref="AQ137">IF(fx_ProtectPush,IF(ISNUMBER(AA137),_xldudf_CX_PUSH(AA137,CX_ENTITY,AM137,val_asOfDate,AO137,AP137),"NaN"))</f>
        <v>NaN</v>
      </c>
      <c r="AR137" s="1429"/>
      <c r="AS137" s="2203" t="e" cm="1">
        <f t="array" ca="1" aca="1" ref="AS137">_xldudf_CX_GET(CX_ENTITY,AM137,val_asOfDate,$AO137,,$AP137)</f>
        <v>#NAME?</v>
      </c>
      <c r="AT137" s="709" t="e" cm="1">
        <f t="array" ca="1" aca="1" ref="AT137">_xldudf_CX_GET(CX_ENTITY,$AM137,val_priorQtrEnd,$AO137,,$AP137)</f>
        <v>#NAME?</v>
      </c>
      <c r="AU137" s="1433"/>
      <c r="BB137" s="88"/>
      <c r="BC137" s="2980">
        <f t="shared" si="23"/>
        <v>0</v>
      </c>
      <c r="BD137" s="2980" t="str">
        <f t="shared" si="24"/>
        <v>Therme Horizon</v>
      </c>
      <c r="BE137" s="2980">
        <v>79</v>
      </c>
      <c r="BF137" s="2980">
        <v>83</v>
      </c>
      <c r="BG137" s="2980" t="s">
        <v>1928</v>
      </c>
      <c r="BH137" s="2981" t="str">
        <f>$X$113</f>
        <v>1. Does the loan package contains any Maintenance covenants?</v>
      </c>
      <c r="BI137" s="2987">
        <f>$AD$113</f>
        <v>0</v>
      </c>
      <c r="BJ137" s="2980" t="s">
        <v>1967</v>
      </c>
      <c r="BK137" s="3"/>
      <c r="BL137" s="3"/>
      <c r="BM137" s="3"/>
      <c r="BN137" s="3"/>
      <c r="BO137" s="3"/>
    </row>
    <row r="138" spans="1:67" ht="15.5">
      <c r="A138" s="60"/>
      <c r="B138" s="60"/>
      <c r="C138" s="66"/>
      <c r="D138" s="66"/>
      <c r="E138" s="66"/>
      <c r="G138" s="45"/>
      <c r="I138" s="2043"/>
      <c r="J138" s="16"/>
      <c r="K138" s="52"/>
      <c r="L138" s="101"/>
      <c r="M138" s="101"/>
      <c r="N138" s="101"/>
      <c r="O138" s="101"/>
      <c r="P138" s="39"/>
      <c r="R138" s="265"/>
      <c r="S138" s="319"/>
      <c r="T138" s="319"/>
      <c r="U138" s="320"/>
      <c r="V138" s="2253"/>
      <c r="W138" s="2241" t="str" cm="1">
        <f t="array" ref="W138">IF(X138&lt;&gt;"",IFERROR(IF(_xlfn.XMATCH(X138,tbl_acctDef[Term],0)&gt;0,fx_getIcon("find"),""),""),"")</f>
        <v/>
      </c>
      <c r="X138" s="400"/>
      <c r="Y138" s="400"/>
      <c r="Z138" s="367"/>
      <c r="AA138" s="367"/>
      <c r="AB138" s="367"/>
      <c r="AC138" s="367"/>
      <c r="AD138" s="367"/>
      <c r="AE138" s="367"/>
      <c r="AF138" s="2244"/>
      <c r="AG138" s="3123"/>
      <c r="AH138" s="3123"/>
      <c r="AI138" s="3124"/>
      <c r="AJ138" s="2250"/>
      <c r="AK138" s="1093"/>
      <c r="AM138" s="1441"/>
      <c r="AN138" s="400"/>
      <c r="AO138" s="2185"/>
      <c r="AP138" s="367"/>
      <c r="AQ138" s="367"/>
      <c r="AR138" s="367"/>
      <c r="AS138" s="367"/>
      <c r="AT138" s="367"/>
      <c r="AU138" s="367"/>
      <c r="BB138" s="88"/>
      <c r="BC138" s="2980">
        <f t="shared" si="23"/>
        <v>0</v>
      </c>
      <c r="BD138" s="2980" t="str">
        <f t="shared" si="24"/>
        <v>Therme Horizon</v>
      </c>
      <c r="BE138" s="2980">
        <v>80</v>
      </c>
      <c r="BF138" s="2980">
        <v>84</v>
      </c>
      <c r="BG138" s="2980" t="s">
        <v>1929</v>
      </c>
      <c r="BH138" s="2981" t="str">
        <f>$X$115</f>
        <v>2. Is there a Springing covenant on the RCF?</v>
      </c>
      <c r="BI138" s="2987">
        <f>$AD$115</f>
        <v>0</v>
      </c>
      <c r="BJ138" s="2980" t="s">
        <v>1967</v>
      </c>
      <c r="BK138" s="3"/>
      <c r="BL138" s="3"/>
      <c r="BM138" s="3"/>
      <c r="BN138" s="3"/>
      <c r="BO138" s="3"/>
    </row>
    <row r="139" spans="1:67" ht="17.25" customHeight="1">
      <c r="A139" s="60"/>
      <c r="B139" s="60"/>
      <c r="C139" s="66"/>
      <c r="D139" s="66"/>
      <c r="E139" s="66"/>
      <c r="G139" s="45"/>
      <c r="I139" s="2043"/>
      <c r="J139" s="16"/>
      <c r="K139" s="52"/>
      <c r="L139" s="101"/>
      <c r="M139" s="101"/>
      <c r="N139" s="101"/>
      <c r="O139" s="101"/>
      <c r="P139" s="39"/>
      <c r="R139" s="265"/>
      <c r="S139" s="319"/>
      <c r="T139" s="319"/>
      <c r="U139" s="320"/>
      <c r="V139" s="2254"/>
      <c r="W139" s="2246"/>
      <c r="X139" s="2246"/>
      <c r="Y139" s="2246"/>
      <c r="Z139" s="2246"/>
      <c r="AA139" s="2246"/>
      <c r="AB139" s="2246"/>
      <c r="AC139" s="2246"/>
      <c r="AD139" s="2246"/>
      <c r="AE139" s="2246"/>
      <c r="AF139" s="2246"/>
      <c r="AG139" s="2246"/>
      <c r="AH139" s="2246"/>
      <c r="AI139" s="2246"/>
      <c r="AJ139" s="2251"/>
      <c r="AK139" s="1093"/>
      <c r="AM139" s="3446" t="s">
        <v>558</v>
      </c>
      <c r="AN139" s="1425"/>
      <c r="AO139" s="2186" t="s">
        <v>225</v>
      </c>
      <c r="AP139" s="1425"/>
      <c r="AQ139" s="2188" t="e" cm="1">
        <f t="array" ca="1" aca="1" ref="AQ139">IF(fx_ProtectPush,_xldudf_CX_PUSH(AG128,CX_ENTITY,AM139,val_asOfDate))</f>
        <v>#NAME?</v>
      </c>
      <c r="AR139" s="1425"/>
      <c r="AS139" s="2202" t="e" cm="1">
        <f t="array" ca="1" aca="1" ref="AS139">_xldudf_CX_GET(CX_ENTITY,$AM139,val_asOfDate,)</f>
        <v>#NAME?</v>
      </c>
      <c r="AT139" s="2202" t="e" cm="1">
        <f t="array" ca="1" aca="1" ref="AT139">_xldudf_CX_GET(CX_ENTITY,$AN139,val_priorQtrEnd,)</f>
        <v>#NAME?</v>
      </c>
      <c r="AU139" s="1425"/>
      <c r="BB139" s="88"/>
      <c r="BC139" s="2980">
        <f t="shared" si="23"/>
        <v>0</v>
      </c>
      <c r="BD139" s="2980" t="str">
        <f t="shared" si="24"/>
        <v>Therme Horizon</v>
      </c>
      <c r="BE139" s="2980">
        <v>81</v>
      </c>
      <c r="BF139" s="2980">
        <v>85</v>
      </c>
      <c r="BG139" s="2980" t="s">
        <v>1930</v>
      </c>
      <c r="BH139" s="2981" t="str">
        <f>$X$116</f>
        <v>3. Springing threshold (% RCF drawn):</v>
      </c>
      <c r="BI139" s="2987">
        <f>$AD$116</f>
        <v>0</v>
      </c>
      <c r="BJ139" s="2980" t="s">
        <v>1967</v>
      </c>
      <c r="BK139" s="3"/>
      <c r="BL139" s="3"/>
      <c r="BM139" s="3"/>
      <c r="BN139" s="3"/>
      <c r="BO139" s="3"/>
    </row>
    <row r="140" spans="1:67" ht="15.5">
      <c r="A140" s="60"/>
      <c r="B140" s="60"/>
      <c r="C140" s="66"/>
      <c r="D140" s="66"/>
      <c r="E140" s="66"/>
      <c r="G140" s="45"/>
      <c r="I140" s="2043"/>
      <c r="J140" s="16"/>
      <c r="K140" s="52"/>
      <c r="L140" s="101"/>
      <c r="M140" s="101"/>
      <c r="N140" s="101"/>
      <c r="O140" s="101"/>
      <c r="P140" s="39"/>
      <c r="R140" s="265"/>
      <c r="S140" s="319"/>
      <c r="T140" s="319"/>
      <c r="U140" s="320"/>
      <c r="V140" s="320"/>
      <c r="W140" s="320"/>
      <c r="X140" s="320"/>
      <c r="Y140" s="320"/>
      <c r="Z140" s="320"/>
      <c r="AA140" s="320"/>
      <c r="AB140" s="320"/>
      <c r="AC140" s="320"/>
      <c r="AD140" s="320"/>
      <c r="AE140" s="320"/>
      <c r="AF140" s="320"/>
      <c r="AG140" s="320"/>
      <c r="AH140" s="320"/>
      <c r="AI140" s="320"/>
      <c r="AJ140" s="157"/>
      <c r="AK140" s="1093"/>
      <c r="AM140" s="320"/>
      <c r="AN140" s="320"/>
      <c r="AO140" s="320"/>
      <c r="AP140" s="320"/>
      <c r="AQ140" s="320"/>
      <c r="AR140" s="320"/>
      <c r="AS140" s="320"/>
      <c r="AT140" s="320"/>
      <c r="AU140" s="320"/>
      <c r="BB140" s="88"/>
      <c r="BC140" s="2980">
        <f t="shared" si="23"/>
        <v>0</v>
      </c>
      <c r="BD140" s="2980" t="str">
        <f t="shared" si="24"/>
        <v>Therme Horizon</v>
      </c>
      <c r="BE140" s="2980">
        <v>82</v>
      </c>
      <c r="BF140" s="2980">
        <v>86</v>
      </c>
      <c r="BG140" s="2980" t="s">
        <v>1841</v>
      </c>
      <c r="BH140" s="2981" t="str">
        <f>$X$117</f>
        <v>4. Total RCF Drawn %</v>
      </c>
      <c r="BI140" s="2987" t="str">
        <f ca="1">$AD$117</f>
        <v>0.0%</v>
      </c>
      <c r="BJ140" s="2980" t="s">
        <v>1967</v>
      </c>
      <c r="BK140" s="3"/>
      <c r="BL140" s="3"/>
      <c r="BM140" s="3"/>
      <c r="BN140" s="3"/>
      <c r="BO140" s="3"/>
    </row>
    <row r="141" spans="1:67" ht="11.25" customHeight="1">
      <c r="A141" s="60"/>
      <c r="B141" s="60"/>
      <c r="C141" s="66"/>
      <c r="D141" s="66"/>
      <c r="E141" s="66"/>
      <c r="G141" s="45"/>
      <c r="I141" s="2043"/>
      <c r="J141" s="16"/>
      <c r="K141" s="52"/>
      <c r="L141" s="101"/>
      <c r="M141" s="101"/>
      <c r="N141" s="101"/>
      <c r="O141" s="101"/>
      <c r="P141" s="39"/>
      <c r="R141" s="265"/>
      <c r="S141" s="319"/>
      <c r="T141" s="319"/>
      <c r="U141" s="320"/>
      <c r="V141" s="2252"/>
      <c r="W141" s="2242"/>
      <c r="X141" s="2242"/>
      <c r="Y141" s="2242"/>
      <c r="Z141" s="2242"/>
      <c r="AA141" s="2242"/>
      <c r="AB141" s="2242"/>
      <c r="AC141" s="2242"/>
      <c r="AD141" s="2242"/>
      <c r="AE141" s="2242"/>
      <c r="AF141" s="2242"/>
      <c r="AG141" s="2242"/>
      <c r="AH141" s="2242"/>
      <c r="AI141" s="2242"/>
      <c r="AJ141" s="2249"/>
      <c r="AK141" s="1093"/>
      <c r="AM141" s="1418"/>
      <c r="AN141" s="1418"/>
      <c r="AO141" s="1418"/>
      <c r="AP141" s="1418"/>
      <c r="AQ141" s="1418"/>
      <c r="AR141" s="1418"/>
      <c r="AS141" s="1418"/>
      <c r="AT141" s="1418"/>
      <c r="AU141" s="1418"/>
      <c r="BB141" s="88"/>
      <c r="BC141" s="2980">
        <f t="shared" si="23"/>
        <v>0</v>
      </c>
      <c r="BD141" s="2980" t="str">
        <f t="shared" si="24"/>
        <v>Therme Horizon</v>
      </c>
      <c r="BE141" s="2980">
        <v>83</v>
      </c>
      <c r="BF141" s="2980">
        <v>87</v>
      </c>
      <c r="BG141" s="2980" t="s">
        <v>1931</v>
      </c>
      <c r="BH141" s="2981" t="str">
        <f>$X$118</f>
        <v>5. Is the Springing covenants "Springing into effect"</v>
      </c>
      <c r="BI141" s="2987" t="str">
        <f>IF($AD$118="","n/a",$AD$118)</f>
        <v>n/a</v>
      </c>
      <c r="BJ141" s="2980" t="s">
        <v>1967</v>
      </c>
      <c r="BK141" s="3"/>
      <c r="BL141" s="3"/>
      <c r="BM141" s="3"/>
      <c r="BN141" s="3"/>
      <c r="BO141" s="3"/>
    </row>
    <row r="142" spans="1:67" ht="25">
      <c r="A142" s="60"/>
      <c r="B142" s="60"/>
      <c r="C142" s="66"/>
      <c r="D142" s="66"/>
      <c r="E142" s="66"/>
      <c r="G142" s="45"/>
      <c r="I142" s="2043"/>
      <c r="J142" s="16"/>
      <c r="K142" s="52"/>
      <c r="L142" s="101"/>
      <c r="M142" s="101"/>
      <c r="N142" s="101"/>
      <c r="O142" s="101"/>
      <c r="P142" s="39"/>
      <c r="R142" s="265"/>
      <c r="S142" s="319"/>
      <c r="T142" s="319"/>
      <c r="U142" s="320"/>
      <c r="V142" s="2253"/>
      <c r="W142" s="3447"/>
      <c r="X142" s="3448" t="s">
        <v>559</v>
      </c>
      <c r="Y142" s="3118"/>
      <c r="Z142" s="2243"/>
      <c r="AA142" s="3449" t="s">
        <v>472</v>
      </c>
      <c r="AB142" s="3431"/>
      <c r="AC142" s="3432">
        <v>0</v>
      </c>
      <c r="AD142" s="3433">
        <v>0</v>
      </c>
      <c r="AE142" s="3428"/>
      <c r="AF142" s="2238"/>
      <c r="AG142" s="3434"/>
      <c r="AH142" s="2247"/>
      <c r="AI142" s="1422">
        <f>val_asOfDate</f>
        <v>46022</v>
      </c>
      <c r="AJ142" s="1423"/>
      <c r="AK142" s="1093"/>
      <c r="AM142" s="3435" t="s">
        <v>548</v>
      </c>
      <c r="AN142" s="2187" t="str">
        <f>_xlfn.TEXTJOIN("|",FALSE,_xlfn.HSTACK(X142,AA142))</f>
        <v>Net Leverage Ratio|Actual LTM</v>
      </c>
      <c r="AO142" s="2183"/>
      <c r="AP142" s="2181"/>
      <c r="AQ142" s="2194" t="e" cm="1">
        <f t="array" ca="1" aca="1" ref="AQ142">IF(fx_ProtectPush,_xldudf_CX_PUSH(AN142,CX_ENTITY,AM142))</f>
        <v>#NAME?</v>
      </c>
      <c r="AR142" s="3450"/>
      <c r="AS142" s="2202" t="e" cm="1">
        <f t="array" ca="1" aca="1" ref="AS142">_xldudf_CX_GET(CX_ENTITY,$AM142,val_asOfDate,)</f>
        <v>#NAME?</v>
      </c>
      <c r="AT142" s="2202" t="e" cm="1">
        <f t="array" ca="1" aca="1" ref="AT142">_xldudf_CX_GET(CX_ENTITY,$AN142,val_priorQtrEnd,)</f>
        <v>#NAME?</v>
      </c>
      <c r="AU142" s="1420"/>
      <c r="BB142" s="88"/>
      <c r="BC142" s="2980">
        <f t="shared" si="23"/>
        <v>0</v>
      </c>
      <c r="BD142" s="2980" t="str">
        <f t="shared" si="24"/>
        <v>Therme Horizon</v>
      </c>
      <c r="BE142" s="2980">
        <v>84</v>
      </c>
      <c r="BF142" s="2980">
        <v>88</v>
      </c>
      <c r="BG142" s="2980" t="s">
        <v>1932</v>
      </c>
      <c r="BH142" s="2981" t="str">
        <f>$X$127</f>
        <v>Covenant Basis</v>
      </c>
      <c r="BI142" s="2987" t="str">
        <f>$X$126</f>
        <v>Gross Leverage Ratio</v>
      </c>
      <c r="BJ142" s="2980" t="s">
        <v>1967</v>
      </c>
      <c r="BK142" s="3"/>
      <c r="BL142" s="3"/>
      <c r="BM142" s="3"/>
      <c r="BN142" s="3"/>
      <c r="BO142" s="3"/>
    </row>
    <row r="143" spans="1:67" ht="15" customHeight="1">
      <c r="A143" s="60"/>
      <c r="B143" s="60"/>
      <c r="C143" s="66"/>
      <c r="D143" s="66"/>
      <c r="E143" s="66"/>
      <c r="G143" s="45"/>
      <c r="I143" s="2043"/>
      <c r="J143" s="16"/>
      <c r="K143" s="52"/>
      <c r="L143" s="101"/>
      <c r="M143" s="101"/>
      <c r="N143" s="101"/>
      <c r="O143" s="101"/>
      <c r="P143" s="39"/>
      <c r="R143" s="265"/>
      <c r="S143" s="319"/>
      <c r="T143" s="319"/>
      <c r="U143" s="320"/>
      <c r="V143" s="2253"/>
      <c r="W143" s="2238"/>
      <c r="X143" s="2245" t="s">
        <v>1953</v>
      </c>
      <c r="Y143" s="2245"/>
      <c r="Z143" s="2244"/>
      <c r="AA143" s="2244" t="s">
        <v>560</v>
      </c>
      <c r="AB143" s="2244"/>
      <c r="AC143" s="2244" t="s">
        <v>549</v>
      </c>
      <c r="AD143" s="2244" t="s">
        <v>550</v>
      </c>
      <c r="AE143" s="2244"/>
      <c r="AF143" s="2244"/>
      <c r="AG143" s="1450" t="s">
        <v>551</v>
      </c>
      <c r="AH143" s="1447"/>
      <c r="AI143" s="1447" t="s">
        <v>225</v>
      </c>
      <c r="AJ143" s="2250"/>
      <c r="AK143" s="1093"/>
      <c r="AM143" s="1449"/>
      <c r="AN143" s="1449"/>
      <c r="AO143" s="2184"/>
      <c r="AP143" s="1447"/>
      <c r="AQ143" s="1447"/>
      <c r="AR143" s="1447"/>
      <c r="AS143" s="1447"/>
      <c r="AT143" s="1447" t="s">
        <v>550</v>
      </c>
      <c r="AU143" s="1447"/>
      <c r="BB143" s="88"/>
      <c r="BC143" s="2980" t="str">
        <f t="shared" si="23"/>
        <v/>
      </c>
      <c r="BD143" s="2980" t="str">
        <f t="shared" si="24"/>
        <v>Therme Horizon</v>
      </c>
      <c r="BE143" s="2980">
        <v>84.50</v>
      </c>
      <c r="BF143" s="2980">
        <v>89</v>
      </c>
      <c r="BG143" s="2980"/>
      <c r="BH143" s="2981" t="str">
        <f>$AA$127</f>
        <v>Period</v>
      </c>
      <c r="BI143" s="2987" t="str">
        <f>$AA$126</f>
        <v>Actual L3M(A)</v>
      </c>
      <c r="BJ143" s="2980" t="s">
        <v>1967</v>
      </c>
      <c r="BK143" s="3"/>
      <c r="BL143" s="3"/>
      <c r="BM143" s="3"/>
      <c r="BN143" s="3"/>
      <c r="BO143" s="3"/>
    </row>
    <row r="144" spans="1:67" ht="15.75" customHeight="1">
      <c r="A144" s="60"/>
      <c r="B144" s="60"/>
      <c r="C144" s="66"/>
      <c r="D144" s="66"/>
      <c r="E144" s="66"/>
      <c r="G144" s="45"/>
      <c r="I144" s="2043"/>
      <c r="J144" s="16"/>
      <c r="K144" s="52"/>
      <c r="L144" s="101"/>
      <c r="M144" s="101"/>
      <c r="N144" s="101"/>
      <c r="O144" s="101"/>
      <c r="P144" s="39"/>
      <c r="R144" s="265"/>
      <c r="S144" s="319"/>
      <c r="T144" s="319"/>
      <c r="U144" s="320"/>
      <c r="V144" s="2253"/>
      <c r="W144" s="2238"/>
      <c r="X144" s="301"/>
      <c r="Y144" s="19"/>
      <c r="Z144" s="19"/>
      <c r="AA144" s="19"/>
      <c r="AB144" s="19"/>
      <c r="AC144" s="19"/>
      <c r="AD144" s="19"/>
      <c r="AE144" s="19"/>
      <c r="AF144" s="1447"/>
      <c r="AG144" s="3119" t="str">
        <f ca="1">_xlfn.LET(_xlpm.Nominator,X147,_xlpm.Denominator,X149,_xlpm.NominatorVar,AA147,_xlpm.DenominatorVar,AA149,_xlpm.Direction,_xlfn.XLOOKUP(X142,$AO$229:$AO$233,$AT$229:$AT$233),_xlpm.TargetMetric,_xlfn.XLOOKUP(X142,$AO$229:$AO$233,$AS$229:$AS$233),_xlpm.CovenantLevel,AC142,_xlpm.TargetVar,IF(_xlpm.Nominator&lt;&gt;_xlpm.TargetMetric,_xlpm.DenominatorVar,_xlpm.NominatorVar),_xlpm.CreditVar,IF(_xlpm.TargetVar=_xlpm.NominatorVar,_xlpm.DenominatorVar,_xlpm.NominatorVar),_xlpm.Limit,-_xlpm.CreditVar*_xlpm.CovenantLevel^(_xlpm.Direction),_xlpm.Diff,_xlpm.TargetVar-_xlpm.Limit,_xlpm.Pass,IF(_xlpm.Direction=1,_xlpm.Diff&lt;=0,_xlpm.Diff&gt;=0),_xlpm.Margin,ABS(_xlpm.Diff),_xlpm.MarginPct,TEXT(_xlpm.Margin/_xlpm.Limit,"0%"),_xlpm.Verdict,IF(_xlpm.Diff=0,"meets the covenant exactly",IF(_xlpm.Pass,"passes the covenant by "&amp;TEXT(_xlpm.Margin,"#,##0")&amp;" ("&amp;_xlpm.MarginPct&amp;"). ","fails the covenant by "&amp;TEXT(_xlpm.Margin,"#,##0")&amp;" ("&amp;_xlpm.MarginPct&amp;"). ")),_xlpm.RESULT,"The controllable metric ("&amp;_xlpm.TargetMetric&amp;") value of "&amp;TEXT(_xlpm.TargetVar,"#,##0")&amp;" compared to the Covenant limit of "&amp;TEXT(_xlpm.Limit,"#,##0")&amp;" "&amp;_xlpm.Verdict&amp;"",IFERROR(_xlpm.RESULT,"n/a"))</f>
        <v>n/a</v>
      </c>
      <c r="AH144" s="3119"/>
      <c r="AI144" s="3120"/>
      <c r="AJ144" s="1423"/>
      <c r="AK144" s="1093"/>
      <c r="AM144" s="3437" t="str">
        <f>X142&amp;" - Covenant Level"</f>
        <v>Net Leverage Ratio - Covenant Level</v>
      </c>
      <c r="AN144" s="19"/>
      <c r="AO144" s="3438" t="s">
        <v>225</v>
      </c>
      <c r="AP144" s="3439" t="str">
        <f>_xlfn.XLOOKUP($AA142,tbl_period_debt[Period_display],tbl_period_debt[CX Scenario])</f>
        <v>Actual</v>
      </c>
      <c r="AQ144" s="2194" t="e" cm="1">
        <f t="array" ca="1" aca="1" ref="AQ144">IF(fx_ProtectPush,_xldudf_CX_PUSH(AC142,CX_ENTITY,AM144,val_asOfDate,AO144,AP144))</f>
        <v>#NAME?</v>
      </c>
      <c r="AR144" s="19"/>
      <c r="AS144" s="2203" t="e" cm="1">
        <f t="array" ca="1" aca="1" ref="AS144">_xldudf_CX_GET(CX_ENTITY,AM144,val_asOfDate,$AO144,,$AP144)</f>
        <v>#NAME?</v>
      </c>
      <c r="AT144" s="709" t="e" cm="1">
        <f t="array" ca="1" aca="1" ref="AT144">_xldudf_CX_GET(CX_ENTITY,$AM144,val_priorQtrEnd,$AO144,,$AP144)</f>
        <v>#NAME?</v>
      </c>
      <c r="AU144" s="19"/>
      <c r="BB144" s="88"/>
      <c r="BC144" s="2980" t="str">
        <f t="shared" si="23"/>
        <v/>
      </c>
      <c r="BD144" s="2980" t="str">
        <f t="shared" si="24"/>
        <v>Therme Horizon</v>
      </c>
      <c r="BE144" s="2980">
        <v>85</v>
      </c>
      <c r="BF144" s="2980">
        <v>90</v>
      </c>
      <c r="BG144" s="2980" t="s">
        <v>1933</v>
      </c>
      <c r="BH144" s="2981" t="str">
        <f>$AC$127</f>
        <v>Covenant level</v>
      </c>
      <c r="BI144" s="2987">
        <f>$AC$126</f>
        <v>0</v>
      </c>
      <c r="BJ144" s="2980" t="s">
        <v>1967</v>
      </c>
      <c r="BK144" s="3"/>
      <c r="BL144" s="3"/>
      <c r="BM144" s="3"/>
      <c r="BN144" s="3"/>
      <c r="BO144" s="3"/>
    </row>
    <row r="145" spans="1:67" ht="15" customHeight="1">
      <c r="A145" s="60"/>
      <c r="B145" s="60"/>
      <c r="C145" s="66"/>
      <c r="D145" s="66"/>
      <c r="E145" s="66"/>
      <c r="G145" s="45"/>
      <c r="I145" s="2043"/>
      <c r="J145" s="16"/>
      <c r="K145" s="52"/>
      <c r="L145" s="101"/>
      <c r="M145" s="101"/>
      <c r="N145" s="101"/>
      <c r="O145" s="101"/>
      <c r="P145" s="39"/>
      <c r="R145" s="265"/>
      <c r="S145" s="319"/>
      <c r="T145" s="319"/>
      <c r="U145" s="320"/>
      <c r="V145" s="2253"/>
      <c r="W145" s="2241"/>
      <c r="X145" s="1437"/>
      <c r="Y145" s="496"/>
      <c r="Z145" s="497"/>
      <c r="AA145" s="497"/>
      <c r="AB145" s="497"/>
      <c r="AC145" s="497"/>
      <c r="AD145" s="497"/>
      <c r="AE145" s="497"/>
      <c r="AF145" s="1447"/>
      <c r="AG145" s="3121"/>
      <c r="AH145" s="3121"/>
      <c r="AI145" s="3122"/>
      <c r="AJ145" s="1423"/>
      <c r="AK145" s="1093"/>
      <c r="AM145" s="3437" t="str">
        <f>X142&amp;" - Forward Covenant Level"</f>
        <v>Net Leverage Ratio - Forward Covenant Level</v>
      </c>
      <c r="AN145" s="496"/>
      <c r="AO145" s="3440" t="s">
        <v>225</v>
      </c>
      <c r="AP145" s="3441" t="str">
        <f>_xlfn.XLOOKUP($AA142,tbl_period_debt[Period_display],tbl_period_debt[CX Scenario])</f>
        <v>Actual</v>
      </c>
      <c r="AQ145" s="2196" t="e" cm="1">
        <f t="array" ca="1" aca="1" ref="AQ145">IF(fx_ProtectPush,_xldudf_CX_PUSH(AD142,CX_ENTITY,AM145,val_asOfDate,AO145,AP145))</f>
        <v>#NAME?</v>
      </c>
      <c r="AR145" s="497"/>
      <c r="AS145" s="2203" t="e" cm="1">
        <f t="array" ca="1" aca="1" ref="AS145">_xldudf_CX_GET(CX_ENTITY,AM145,val_asOfDate,$AO145,,$AP145)</f>
        <v>#NAME?</v>
      </c>
      <c r="AT145" s="709" t="e" cm="1">
        <f t="array" ca="1" aca="1" ref="AT145">_xldudf_CX_GET(CX_ENTITY,$AM145,val_priorQtrEnd,$AO145,,$AP145)</f>
        <v>#NAME?</v>
      </c>
      <c r="AU145" s="497"/>
      <c r="BB145" s="88"/>
      <c r="BC145" s="2980" t="str">
        <f t="shared" si="23"/>
        <v/>
      </c>
      <c r="BD145" s="2980" t="str">
        <f t="shared" si="24"/>
        <v>Therme Horizon</v>
      </c>
      <c r="BE145" s="2980">
        <v>86</v>
      </c>
      <c r="BF145" s="2980">
        <v>91</v>
      </c>
      <c r="BG145" s="2980" t="s">
        <v>1934</v>
      </c>
      <c r="BH145" s="2981" t="str">
        <f>$AD$127</f>
        <v>Look Fwd Covenant Level</v>
      </c>
      <c r="BI145" s="2987">
        <f>$AD$126</f>
        <v>0</v>
      </c>
      <c r="BJ145" s="2980" t="s">
        <v>1967</v>
      </c>
      <c r="BK145" s="3"/>
      <c r="BL145" s="3"/>
      <c r="BM145" s="3"/>
      <c r="BN145" s="3"/>
      <c r="BO145" s="3"/>
    </row>
    <row r="146" spans="1:67" ht="15" customHeight="1">
      <c r="A146" s="60"/>
      <c r="B146" s="60"/>
      <c r="C146" s="66"/>
      <c r="D146" s="66"/>
      <c r="E146" s="66"/>
      <c r="G146" s="45"/>
      <c r="I146" s="2043"/>
      <c r="J146" s="16"/>
      <c r="K146" s="52"/>
      <c r="L146" s="101"/>
      <c r="M146" s="101"/>
      <c r="N146" s="101"/>
      <c r="O146" s="101"/>
      <c r="P146" s="39"/>
      <c r="R146" s="265"/>
      <c r="S146" s="319"/>
      <c r="T146" s="319"/>
      <c r="U146" s="320"/>
      <c r="V146" s="2253"/>
      <c r="W146" s="2241"/>
      <c r="X146" s="1438"/>
      <c r="Y146" s="320"/>
      <c r="Z146" s="320"/>
      <c r="AA146" s="1431" t="s">
        <v>552</v>
      </c>
      <c r="AB146" s="1431"/>
      <c r="AC146" s="1431" t="s">
        <v>553</v>
      </c>
      <c r="AD146" s="1431" t="s">
        <v>554</v>
      </c>
      <c r="AE146" s="1044" t="s">
        <v>555</v>
      </c>
      <c r="AF146" s="1447"/>
      <c r="AG146" s="3121"/>
      <c r="AH146" s="3121"/>
      <c r="AI146" s="3122"/>
      <c r="AJ146" s="1423"/>
      <c r="AK146" s="1093"/>
      <c r="AM146" s="1438"/>
      <c r="AN146" s="320"/>
      <c r="AO146" s="987"/>
      <c r="AP146" s="320"/>
      <c r="AQ146" s="1431"/>
      <c r="AR146" s="1431"/>
      <c r="AS146" s="1431"/>
      <c r="AT146" s="1431"/>
      <c r="AU146" s="1044" t="s">
        <v>555</v>
      </c>
      <c r="BB146" s="88"/>
      <c r="BC146" s="2980">
        <f t="shared" si="23"/>
        <v>0</v>
      </c>
      <c r="BD146" s="2980" t="str">
        <f t="shared" si="24"/>
        <v>Therme Horizon</v>
      </c>
      <c r="BE146" s="2980">
        <v>86.50</v>
      </c>
      <c r="BF146" s="2980">
        <v>92</v>
      </c>
      <c r="BG146" s="2980"/>
      <c r="BH146" s="2981" t="str">
        <f>$X$151</f>
        <v>Ratio</v>
      </c>
      <c r="BI146" s="2992" t="e">
        <f ca="1">$AA$135</f>
        <v>#NAME?</v>
      </c>
      <c r="BJ146" s="2980" t="s">
        <v>1967</v>
      </c>
      <c r="BK146" s="3"/>
      <c r="BL146" s="3"/>
      <c r="BM146" s="3"/>
      <c r="BN146" s="3"/>
      <c r="BO146" s="3"/>
    </row>
    <row r="147" spans="1:67" ht="15" customHeight="1">
      <c r="A147" s="60"/>
      <c r="B147" s="60"/>
      <c r="C147" s="66"/>
      <c r="D147" s="66"/>
      <c r="E147" s="66"/>
      <c r="G147" s="45"/>
      <c r="I147" s="2043"/>
      <c r="J147" s="16"/>
      <c r="K147" s="52"/>
      <c r="L147" s="101"/>
      <c r="M147" s="101"/>
      <c r="N147" s="101"/>
      <c r="O147" s="101"/>
      <c r="P147" s="39"/>
      <c r="R147" s="265"/>
      <c r="S147" s="319"/>
      <c r="T147" s="319"/>
      <c r="U147" s="320"/>
      <c r="V147" s="2253"/>
      <c r="W147" s="2255" t="e" vm="5" cm="1">
        <f t="array" ref="W147">IF(X147&lt;&gt;"",IFERROR(IF(_xlfn.XMATCH(X147,tbl_acctDef[Term],0)&gt;0,fx_getIcon("find"),""),""),"")</f>
        <v>#VALUE!</v>
      </c>
      <c r="X147" s="33" t="str">
        <f>_xlfn.XLOOKUP(X142,$AO$229:$AO$233,$AP$229:$AP$233,"Not found")</f>
        <v>Net (Debt)/Cash</v>
      </c>
      <c r="Y147" s="703"/>
      <c r="Z147" s="1044" t="str">
        <f>IF(_xlfn.XLOOKUP(X147,$AN$205:$AN$224,$AQ$205:$AQ$224,0)="BS","As of "&amp;TEXT(AI142,"MMM-yy"),AA142)</f>
        <v>As of Dec-25</v>
      </c>
      <c r="AA147" s="3442">
        <f ca="1">AG24</f>
        <v>0</v>
      </c>
      <c r="AB147" s="1416"/>
      <c r="AC147" s="1435"/>
      <c r="AD147" s="1432"/>
      <c r="AE147" s="1433"/>
      <c r="AF147" s="1447"/>
      <c r="AG147" s="3121"/>
      <c r="AH147" s="3121"/>
      <c r="AI147" s="3122"/>
      <c r="AJ147" s="1423"/>
      <c r="AK147" s="1093"/>
      <c r="AM147" s="3437" t="str">
        <f>X147&amp;" - Adjustment (Debt Ratio)"</f>
        <v>Net (Debt)/Cash - Adjustment (Debt Ratio)</v>
      </c>
      <c r="AN147" s="703"/>
      <c r="AO147" s="3443" t="str">
        <f>_xlfn.XLOOKUP($Z147,tbl_period_debt[Period_display],tbl_period_debt[CX Period])</f>
        <v>As of</v>
      </c>
      <c r="AP147" s="3444" t="str">
        <f>_xlfn.XLOOKUP($AA142,tbl_period_debt[Period_display],tbl_period_debt[CX Scenario])</f>
        <v>Actual</v>
      </c>
      <c r="AQ147" s="2194" t="e" cm="1">
        <f t="array" ca="1" aca="1" ref="AQ147">IF(fx_ProtectPush,_xldudf_CX_PUSH(AA147,CX_ENTITY,AM147,val_asOfDate,AO147,AP147))</f>
        <v>#NAME?</v>
      </c>
      <c r="AR147" s="1416"/>
      <c r="AS147" s="2203" t="e" cm="1">
        <f t="array" ca="1" aca="1" ref="AS147">_xldudf_CX_GET(CX_ENTITY,AM147,val_asOfDate,$AO147,,$AP147)</f>
        <v>#NAME?</v>
      </c>
      <c r="AT147" s="709" t="e" cm="1">
        <f t="array" ca="1" aca="1" ref="AT147">_xldudf_CX_GET(CX_ENTITY,$AM147,val_priorQtrEnd,$AO147,,$AP147)</f>
        <v>#NAME?</v>
      </c>
      <c r="AU147" s="1433"/>
      <c r="BB147" s="88"/>
      <c r="BC147" s="2980">
        <f t="shared" si="23"/>
        <v>0</v>
      </c>
      <c r="BD147" s="2980" t="str">
        <f t="shared" si="24"/>
        <v>Therme Horizon</v>
      </c>
      <c r="BE147" s="2980">
        <v>87</v>
      </c>
      <c r="BF147" s="2980">
        <v>93</v>
      </c>
      <c r="BG147" s="2980" t="s">
        <v>556</v>
      </c>
      <c r="BH147" s="2981" t="str">
        <f>$X$136</f>
        <v>Covenant Headroom</v>
      </c>
      <c r="BI147" s="2987" t="e">
        <f ca="1">$AA$136</f>
        <v>#NAME?</v>
      </c>
      <c r="BJ147" s="2980" t="s">
        <v>1967</v>
      </c>
      <c r="BK147" s="3"/>
      <c r="BL147" s="3"/>
      <c r="BM147" s="3"/>
      <c r="BN147" s="3"/>
      <c r="BO147" s="3"/>
    </row>
    <row r="148" spans="1:67" ht="15" customHeight="1">
      <c r="A148" s="60"/>
      <c r="B148" s="60"/>
      <c r="C148" s="82"/>
      <c r="D148" s="82"/>
      <c r="E148" s="82"/>
      <c r="G148" s="45"/>
      <c r="I148" s="2043"/>
      <c r="J148" s="16"/>
      <c r="K148" s="52"/>
      <c r="L148" s="101"/>
      <c r="M148" s="101"/>
      <c r="N148" s="101"/>
      <c r="O148" s="101"/>
      <c r="P148" s="39"/>
      <c r="R148" s="265"/>
      <c r="S148" s="319"/>
      <c r="T148" s="319"/>
      <c r="U148" s="320"/>
      <c r="V148" s="2253"/>
      <c r="W148" s="2241" t="str" cm="1">
        <f t="array" ref="W148">IF(X148&lt;&gt;"",IFERROR(IF(_xlfn.XMATCH(X148,tbl_acctDef[Term],0)&gt;0,fx_getIcon("find"),""),""),"")</f>
        <v/>
      </c>
      <c r="X148" s="1439"/>
      <c r="Y148" s="703"/>
      <c r="Z148" s="987"/>
      <c r="AA148" s="2286"/>
      <c r="AB148" s="1354"/>
      <c r="AC148" s="320"/>
      <c r="AD148" s="320"/>
      <c r="AE148" s="320"/>
      <c r="AF148" s="1447"/>
      <c r="AG148" s="3121"/>
      <c r="AH148" s="3121"/>
      <c r="AI148" s="3122"/>
      <c r="AJ148" s="1423"/>
      <c r="AK148" s="1093"/>
      <c r="AM148" s="1440"/>
      <c r="AN148" s="399"/>
      <c r="AO148" s="1044"/>
      <c r="AP148" s="987"/>
      <c r="AQ148" s="1354"/>
      <c r="AR148" s="1354"/>
      <c r="AS148" s="1354"/>
      <c r="AT148" s="320"/>
      <c r="AU148" s="320"/>
      <c r="BB148" s="88"/>
      <c r="BC148" s="2980">
        <f t="shared" si="23"/>
        <v>0</v>
      </c>
      <c r="BD148" s="2980" t="str">
        <f t="shared" si="24"/>
        <v>Therme Horizon</v>
      </c>
      <c r="BE148" s="2980">
        <v>88</v>
      </c>
      <c r="BF148" s="2980">
        <v>94</v>
      </c>
      <c r="BG148" s="2980" t="s">
        <v>557</v>
      </c>
      <c r="BH148" s="2981" t="str">
        <f>$X$137</f>
        <v>Covenant Headroom %</v>
      </c>
      <c r="BI148" s="2987" t="e">
        <f ca="1">$AA$137</f>
        <v>#NAME?</v>
      </c>
      <c r="BJ148" s="2980" t="s">
        <v>1967</v>
      </c>
      <c r="BK148" s="3"/>
      <c r="BL148" s="3"/>
      <c r="BM148" s="3"/>
      <c r="BN148" s="3"/>
      <c r="BO148" s="3"/>
    </row>
    <row r="149" spans="1:67" ht="15" customHeight="1">
      <c r="A149" s="60"/>
      <c r="B149" s="60"/>
      <c r="C149" s="82"/>
      <c r="D149" s="82"/>
      <c r="E149" s="82"/>
      <c r="G149" s="45"/>
      <c r="I149" s="2043"/>
      <c r="J149" s="16"/>
      <c r="K149" s="52"/>
      <c r="L149" s="101"/>
      <c r="M149" s="101"/>
      <c r="N149" s="101"/>
      <c r="O149" s="101"/>
      <c r="P149" s="39"/>
      <c r="R149" s="265"/>
      <c r="S149" s="319"/>
      <c r="T149" s="319"/>
      <c r="U149" s="320"/>
      <c r="V149" s="2253"/>
      <c r="W149" s="2255" t="e" vm="5" cm="1">
        <f t="array" ref="W149">IF(X149&lt;&gt;"",IFERROR(IF(_xlfn.XMATCH(X149,tbl_acctDef[Term],0)&gt;0,fx_getIcon("find"),""),""),"")</f>
        <v>#VALUE!</v>
      </c>
      <c r="X149" s="33" t="str">
        <f>_xlfn.XLOOKUP(X142,$AO$229:$AO$233,$AQ$229:$AQ$233,"Not found")</f>
        <v>Adjusted EBITDA</v>
      </c>
      <c r="Y149" s="703"/>
      <c r="Z149" s="1044" t="str">
        <f>IF(_xlfn.XLOOKUP(X149,$AN$205:$AN$224,$AQ$205:$AQ$224,0)="BS",""&amp;TEXT(AI142,"MMM-yy"),AA142)</f>
        <v>Actual LTM</v>
      </c>
      <c r="AA149" s="3442" t="str">
        <f ca="1">AG34</f>
        <v/>
      </c>
      <c r="AB149" s="1416"/>
      <c r="AC149" s="1430"/>
      <c r="AD149" s="1432"/>
      <c r="AE149" s="1433"/>
      <c r="AF149" s="1447"/>
      <c r="AG149" s="3121"/>
      <c r="AH149" s="3121"/>
      <c r="AI149" s="3122"/>
      <c r="AJ149" s="1423"/>
      <c r="AK149" s="1093"/>
      <c r="AM149" s="3437" t="str">
        <f>X149&amp;" - Adjustment (Debt Ratio)"</f>
        <v>Adjusted EBITDA - Adjustment (Debt Ratio)</v>
      </c>
      <c r="AN149" s="703"/>
      <c r="AO149" s="3443" t="str">
        <f>_xlfn.XLOOKUP($Z149,tbl_period_debt[Period_display],tbl_period_debt[CX Period])</f>
        <v>LTM</v>
      </c>
      <c r="AP149" s="3444" t="str">
        <f>_xlfn.XLOOKUP($AA142,tbl_period_debt[Period_display],tbl_period_debt[CX Scenario])</f>
        <v>Actual</v>
      </c>
      <c r="AQ149" s="2194" t="e" cm="1">
        <f t="array" ca="1" aca="1" ref="AQ149">IF(fx_ProtectPush,_xldudf_CX_PUSH(AA149,CX_ENTITY,AM149,val_asOfDate,AO149,AP149))</f>
        <v>#NAME?</v>
      </c>
      <c r="AR149" s="1416"/>
      <c r="AS149" s="2203" t="e" cm="1">
        <f t="array" ca="1" aca="1" ref="AS149">_xldudf_CX_GET(CX_ENTITY,AM149,val_asOfDate,$AO149,,$AP149)</f>
        <v>#NAME?</v>
      </c>
      <c r="AT149" s="709" t="e" cm="1">
        <f t="array" ca="1" aca="1" ref="AT149">_xldudf_CX_GET(CX_ENTITY,$AM149,val_priorQtrEnd,$AO149,,$AP149)</f>
        <v>#NAME?</v>
      </c>
      <c r="AU149" s="1433"/>
      <c r="BB149" s="88"/>
      <c r="BC149" s="2980" t="str">
        <f t="shared" si="23"/>
        <v/>
      </c>
      <c r="BD149" s="2980" t="str">
        <f t="shared" si="24"/>
        <v>Therme Horizon</v>
      </c>
      <c r="BE149" s="2980">
        <v>89</v>
      </c>
      <c r="BF149" s="2980">
        <v>95</v>
      </c>
      <c r="BG149" s="2980" t="s">
        <v>556</v>
      </c>
      <c r="BH149" s="2981"/>
      <c r="BI149" s="2987"/>
      <c r="BJ149" s="2980" t="s">
        <v>1967</v>
      </c>
      <c r="BK149" s="3"/>
      <c r="BL149" s="3"/>
      <c r="BM149" s="3"/>
      <c r="BN149" s="3"/>
      <c r="BO149" s="3"/>
    </row>
    <row r="150" spans="1:67" ht="15" customHeight="1">
      <c r="A150" s="60"/>
      <c r="B150" s="60"/>
      <c r="C150" s="82"/>
      <c r="D150" s="82"/>
      <c r="E150" s="82"/>
      <c r="G150" s="45"/>
      <c r="I150" s="2043"/>
      <c r="J150" s="16"/>
      <c r="K150" s="52"/>
      <c r="L150" s="101"/>
      <c r="M150" s="101"/>
      <c r="N150" s="101"/>
      <c r="O150" s="101"/>
      <c r="P150" s="39"/>
      <c r="R150" s="265"/>
      <c r="S150" s="319"/>
      <c r="T150" s="319"/>
      <c r="U150" s="320"/>
      <c r="V150" s="2253"/>
      <c r="W150" s="2241" t="str" cm="1">
        <f t="array" ref="W150">IF(X150&lt;&gt;"",IFERROR(IF(_xlfn.XMATCH(X150,tbl_acctDef[Term],0)&gt;0,fx_getIcon("find"),""),""),"")</f>
        <v/>
      </c>
      <c r="X150" s="1440"/>
      <c r="Y150" s="399"/>
      <c r="Z150" s="320"/>
      <c r="AA150" s="2287"/>
      <c r="AB150" s="1354"/>
      <c r="AC150" s="498"/>
      <c r="AD150" s="498"/>
      <c r="AE150" s="367"/>
      <c r="AF150" s="1447"/>
      <c r="AG150" s="3121"/>
      <c r="AH150" s="3121"/>
      <c r="AI150" s="3122"/>
      <c r="AJ150" s="1423"/>
      <c r="AK150" s="1093"/>
      <c r="AM150" s="1440"/>
      <c r="AN150" s="399"/>
      <c r="AO150" s="1044"/>
      <c r="AP150" s="320"/>
      <c r="AQ150" s="320"/>
      <c r="AR150" s="1354"/>
      <c r="AS150" s="320"/>
      <c r="AT150" s="498"/>
      <c r="AU150" s="367"/>
      <c r="BB150" s="88"/>
      <c r="BC150" s="2980" t="str">
        <f t="shared" si="23"/>
        <v/>
      </c>
      <c r="BD150" s="2980" t="str">
        <f t="shared" si="24"/>
        <v>Therme Horizon</v>
      </c>
      <c r="BE150" s="2980">
        <v>90</v>
      </c>
      <c r="BF150" s="2980">
        <v>96</v>
      </c>
      <c r="BG150" s="2980" t="s">
        <v>557</v>
      </c>
      <c r="BH150" s="2981"/>
      <c r="BI150" s="2987"/>
      <c r="BJ150" s="2980" t="s">
        <v>1967</v>
      </c>
      <c r="BK150" s="3"/>
      <c r="BL150" s="3"/>
      <c r="BM150" s="3"/>
      <c r="BN150" s="3"/>
      <c r="BO150" s="3"/>
    </row>
    <row r="151" spans="1:67" ht="15" customHeight="1">
      <c r="A151" s="60"/>
      <c r="B151" s="60"/>
      <c r="C151" s="82"/>
      <c r="D151" s="82"/>
      <c r="E151" s="82"/>
      <c r="G151" s="45"/>
      <c r="I151" s="2043"/>
      <c r="J151" s="16"/>
      <c r="K151" s="52"/>
      <c r="L151" s="101"/>
      <c r="M151" s="101"/>
      <c r="N151" s="101"/>
      <c r="O151" s="101"/>
      <c r="P151" s="39"/>
      <c r="R151" s="265"/>
      <c r="S151" s="319"/>
      <c r="T151" s="319"/>
      <c r="U151" s="320"/>
      <c r="V151" s="2253"/>
      <c r="W151" s="2241" t="str" cm="1">
        <f t="array" ref="W151">IF(X151&lt;&gt;"",IFERROR(IF(_xlfn.XMATCH(X151,tbl_acctDef[Term],0)&gt;0,fx_getIcon("find"),""),""),"")</f>
        <v/>
      </c>
      <c r="X151" s="1442" t="s">
        <v>308</v>
      </c>
      <c r="Y151" s="399"/>
      <c r="Z151" s="320"/>
      <c r="AA151" s="1443" t="str" cm="1">
        <f t="array" ca="1" aca="1" ref="AA151">_xlfn.SWITCH(TRUE,OR(AA147="",AA149=""),"n/a",OR(AA147="n/a",AA149="n/a",ISERROR(AA147),ISERROR(AA149),AA147*AA149&gt;=0),"n/a",ABS(AA147/AA149))</f>
        <v>n/a</v>
      </c>
      <c r="AB151" s="1426"/>
      <c r="AC151" s="1443"/>
      <c r="AD151" s="1443"/>
      <c r="AE151" s="1433"/>
      <c r="AF151" s="1447"/>
      <c r="AG151" s="3121"/>
      <c r="AH151" s="3121"/>
      <c r="AI151" s="3122"/>
      <c r="AJ151" s="1423"/>
      <c r="AK151" s="1093"/>
      <c r="AM151" s="3437" t="str">
        <f>X142</f>
        <v>Net Leverage Ratio</v>
      </c>
      <c r="AN151" s="399"/>
      <c r="AO151" s="3445" t="s">
        <v>225</v>
      </c>
      <c r="AP151" s="3444" t="str">
        <f>_xlfn.XLOOKUP($AA142,tbl_period_debt[Period_display],tbl_period_debt[CX Scenario])</f>
        <v>Actual</v>
      </c>
      <c r="AQ151" s="2194" t="str" cm="1">
        <f t="array" ca="1" aca="1" ref="AQ151">IF(fx_ProtectPush,IF(ISNUMBER(AA151),_xldudf_CX_PUSH(AA151,CX_ENTITY,AM151,val_asOfDate,AO151,AP151),"NaN"))</f>
        <v>NaN</v>
      </c>
      <c r="AR151" s="1426"/>
      <c r="AS151" s="2203" t="e" cm="1">
        <f t="array" ca="1" aca="1" ref="AS151">_xldudf_CX_GET(CX_ENTITY,AM151,val_asOfDate,$AO151,,$AP151)</f>
        <v>#NAME?</v>
      </c>
      <c r="AT151" s="709" t="e" cm="1">
        <f t="array" ca="1" aca="1" ref="AT151">_xldudf_CX_GET(CX_ENTITY,$AM151,val_priorQtrEnd,$AO151,,$AP151)</f>
        <v>#NAME?</v>
      </c>
      <c r="AU151" s="1433"/>
      <c r="BB151" s="88"/>
      <c r="BC151" s="2980" t="str">
        <f t="shared" si="23"/>
        <v/>
      </c>
      <c r="BD151" s="2980" t="str">
        <f t="shared" si="25" ref="BD151:BD182">val_company</f>
        <v>Therme Horizon</v>
      </c>
      <c r="BE151" s="2980">
        <v>90.50</v>
      </c>
      <c r="BF151" s="2980">
        <v>97</v>
      </c>
      <c r="BG151" s="2980"/>
      <c r="BH151" s="2981" t="str">
        <f>$AG$127</f>
        <v>Summary</v>
      </c>
      <c r="BI151" s="2987" t="str">
        <f ca="1">$AG$128</f>
        <v>n/a</v>
      </c>
      <c r="BJ151" s="2980" t="s">
        <v>1967</v>
      </c>
      <c r="BK151" s="3"/>
      <c r="BL151" s="3"/>
      <c r="BM151" s="3"/>
      <c r="BN151" s="3"/>
      <c r="BO151" s="3"/>
    </row>
    <row r="152" spans="1:67" ht="15" customHeight="1">
      <c r="A152" s="60"/>
      <c r="B152" s="60"/>
      <c r="C152" s="82"/>
      <c r="D152" s="82"/>
      <c r="E152" s="82"/>
      <c r="G152" s="45"/>
      <c r="I152" s="2043"/>
      <c r="J152" s="16"/>
      <c r="K152" s="52"/>
      <c r="L152" s="101"/>
      <c r="M152" s="101"/>
      <c r="N152" s="101"/>
      <c r="O152" s="101"/>
      <c r="P152" s="39"/>
      <c r="R152" s="265"/>
      <c r="S152" s="319"/>
      <c r="T152" s="319"/>
      <c r="U152" s="320"/>
      <c r="V152" s="2253"/>
      <c r="W152" s="2255" t="e" vm="5" cm="1">
        <f t="array" ref="W152">IF(X152&lt;&gt;"",IFERROR(IF(_xlfn.XMATCH(X152,tbl_acctDef[Term],0)&gt;0,fx_getIcon("find"),""),""),"")</f>
        <v>#VALUE!</v>
      </c>
      <c r="X152" s="33" t="s">
        <v>556</v>
      </c>
      <c r="Y152" s="399"/>
      <c r="Z152" s="399"/>
      <c r="AA152" s="1444" t="str">
        <f ca="1">_xlfn.LET(_xlpm.Nominator,X147,_xlpm.Denominator,X149,_xlpm.NominatorVar,AA147,_xlpm.DenominatorVar,AA149,_xlpm.Direction,_xlfn.XLOOKUP(X142,$AO$229:$AO$233,$AT$229:$AT$233),_xlpm.TargetMetric,_xlfn.XLOOKUP(X142,$AO$229:$AO$233,$AS$229:$AS$233),_xlpm.CovenantLevel,AC142,_xlpm.TargetVar,IF(_xlpm.Nominator&lt;&gt;_xlpm.TargetMetric,_xlpm.DenominatorVar,_xlpm.NominatorVar),_xlpm.CreditVar,IF(_xlpm.TargetVar=_xlpm.NominatorVar,_xlpm.DenominatorVar,_xlpm.NominatorVar),_xlpm.Limit,ABS(_xlpm.CreditVar)*_xlpm.CovenantLevel^(_xlpm.Direction),_xlpm.Res,IFERROR(_xlpm.TargetVar-_xlpm.Limit,"n/a"),IF(_xlpm.CreditVar&gt;0,"n/a",_xlpm.Res))</f>
        <v>n/a</v>
      </c>
      <c r="AB152" s="1416"/>
      <c r="AC152" s="1444"/>
      <c r="AD152" s="1444"/>
      <c r="AE152" s="1433"/>
      <c r="AF152" s="1447"/>
      <c r="AG152" s="3121"/>
      <c r="AH152" s="3121"/>
      <c r="AI152" s="3122"/>
      <c r="AJ152" s="1423"/>
      <c r="AK152" s="1093"/>
      <c r="AM152" s="3437" t="str">
        <f>$X$126&amp;" - Covenant Headroom"</f>
        <v>Gross Leverage Ratio - Covenant Headroom</v>
      </c>
      <c r="AN152" s="399"/>
      <c r="AO152" s="3445" t="s">
        <v>225</v>
      </c>
      <c r="AP152" s="3444" t="str">
        <f>_xlfn.XLOOKUP($AA142,tbl_period_debt[Period_display],tbl_period_debt[CX Scenario])</f>
        <v>Actual</v>
      </c>
      <c r="AQ152" s="2194" t="str" cm="1">
        <f t="array" ca="1" aca="1" ref="AQ152">IF(fx_ProtectPush,IF(ISNUMBER(AA152),_xldudf_CX_PUSH(AA152,CX_ENTITY,AM152,val_asOfDate,AO152,AP152),"NaN"))</f>
        <v>NaN</v>
      </c>
      <c r="AR152" s="1416"/>
      <c r="AS152" s="2203" t="e" cm="1">
        <f t="array" ca="1" aca="1" ref="AS152">_xldudf_CX_GET(CX_ENTITY,AM152,val_asOfDate,$AO152,,$AP152)</f>
        <v>#NAME?</v>
      </c>
      <c r="AT152" s="709" t="e" cm="1">
        <f t="array" ca="1" aca="1" ref="AT152">_xldudf_CX_GET(CX_ENTITY,$AM152,val_priorQtrEnd,$AO152,,$AP152)</f>
        <v>#NAME?</v>
      </c>
      <c r="AU152" s="1433"/>
      <c r="BB152" s="88"/>
      <c r="BC152" s="2980">
        <f t="shared" si="23"/>
        <v>0</v>
      </c>
      <c r="BD152" s="2980" t="str">
        <f t="shared" si="25"/>
        <v>Therme Horizon</v>
      </c>
      <c r="BE152" s="2980">
        <v>91</v>
      </c>
      <c r="BF152" s="2980">
        <v>98</v>
      </c>
      <c r="BG152" s="2980" t="s">
        <v>1932</v>
      </c>
      <c r="BH152" s="2981" t="str">
        <f>$X$143</f>
        <v>Covenant Basis</v>
      </c>
      <c r="BI152" s="2987" t="str">
        <f>$X$142</f>
        <v>Net Leverage Ratio</v>
      </c>
      <c r="BJ152" s="2980" t="s">
        <v>1967</v>
      </c>
      <c r="BK152" s="3"/>
      <c r="BL152" s="3"/>
      <c r="BM152" s="3"/>
      <c r="BN152" s="3"/>
      <c r="BO152" s="3"/>
    </row>
    <row r="153" spans="1:67" ht="15.75" customHeight="1">
      <c r="A153" s="60"/>
      <c r="B153" s="60"/>
      <c r="C153" s="82"/>
      <c r="D153" s="82"/>
      <c r="E153" s="82"/>
      <c r="G153" s="45"/>
      <c r="I153" s="2043"/>
      <c r="J153" s="16"/>
      <c r="K153" s="52"/>
      <c r="L153" s="101"/>
      <c r="M153" s="101"/>
      <c r="N153" s="101"/>
      <c r="O153" s="101"/>
      <c r="P153" s="39"/>
      <c r="R153" s="265"/>
      <c r="S153" s="319"/>
      <c r="T153" s="319"/>
      <c r="U153" s="320"/>
      <c r="V153" s="2253"/>
      <c r="W153" s="2255" t="e" vm="5" cm="1">
        <f t="array" ref="W153">IF(X153&lt;&gt;"",IFERROR(IF(_xlfn.XMATCH(X153,tbl_acctDef[Term],0)&gt;0,fx_getIcon("find"),""),""),"")</f>
        <v>#VALUE!</v>
      </c>
      <c r="X153" s="33" t="s">
        <v>557</v>
      </c>
      <c r="Y153" s="399"/>
      <c r="Z153" s="320"/>
      <c r="AA153" s="1445" t="str">
        <f ca="1">_xlfn.LET(_xlpm.Nominator,X147,_xlpm.Denominator,X149,_xlpm.NominatorVar,AA147,_xlpm.DenominatorVar,AA149,_xlpm.Direction,_xlfn.XLOOKUP(X142,$AO$229:$AO$233,$AT$229:$AT$233),_xlpm.TargetMetric,_xlfn.XLOOKUP(X142,$AO$229:$AO$233,$AS$229:$AS$233),_xlpm.CovenantLevel,AC142,_xlpm.TargetVar,IF(_xlpm.Nominator&lt;&gt;_xlpm.TargetMetric,_xlpm.DenominatorVar,_xlpm.NominatorVar),_xlpm.CreditVar,IF(_xlpm.TargetVar=_xlpm.NominatorVar,_xlpm.DenominatorVar,_xlpm.NominatorVar),_xlpm.Limit,ABS(_xlpm.CreditVar)*_xlpm.CovenantLevel^(_xlpm.Direction),IF(_xlpm.CreditVar&lt;=0,IFERROR((_xlpm.TargetVar-_xlpm.Limit)/_xlpm.TargetVar,"n/a"),"n/a"))</f>
        <v>n/a</v>
      </c>
      <c r="AB153" s="1429"/>
      <c r="AC153" s="1445"/>
      <c r="AD153" s="1445"/>
      <c r="AE153" s="1433"/>
      <c r="AF153" s="1447"/>
      <c r="AG153" s="3121"/>
      <c r="AH153" s="3121"/>
      <c r="AI153" s="3122"/>
      <c r="AJ153" s="1423"/>
      <c r="AK153" s="1093"/>
      <c r="AM153" s="3437" t="str">
        <f>$X$126&amp;" - Covenant Headroom %"</f>
        <v>Gross Leverage Ratio - Covenant Headroom %</v>
      </c>
      <c r="AN153" s="399"/>
      <c r="AO153" s="3445" t="s">
        <v>225</v>
      </c>
      <c r="AP153" s="3444" t="str">
        <f>_xlfn.XLOOKUP($AA142,tbl_period_debt[Period_display],tbl_period_debt[CX Scenario])</f>
        <v>Actual</v>
      </c>
      <c r="AQ153" s="2194" t="str" cm="1">
        <f t="array" ca="1" aca="1" ref="AQ153">IF(fx_ProtectPush,IF(ISNUMBER(AA153),_xldudf_CX_PUSH(AA153,CX_ENTITY,AM153,val_asOfDate,AO153,AP153),"NaN"))</f>
        <v>NaN</v>
      </c>
      <c r="AR153" s="1429"/>
      <c r="AS153" s="2203" t="e" cm="1">
        <f t="array" ca="1" aca="1" ref="AS153">_xldudf_CX_GET(CX_ENTITY,AM153,val_asOfDate,$AO153,,$AP153)</f>
        <v>#NAME?</v>
      </c>
      <c r="AT153" s="709" t="e" cm="1">
        <f t="array" ca="1" aca="1" ref="AT153">_xldudf_CX_GET(CX_ENTITY,$AM153,val_priorQtrEnd,$AO153,,$AP153)</f>
        <v>#NAME?</v>
      </c>
      <c r="AU153" s="1433"/>
      <c r="BB153" s="88"/>
      <c r="BC153" s="2980" t="str">
        <f t="shared" si="23"/>
        <v/>
      </c>
      <c r="BD153" s="2980" t="str">
        <f t="shared" si="25"/>
        <v>Therme Horizon</v>
      </c>
      <c r="BE153" s="2980">
        <v>91.50</v>
      </c>
      <c r="BF153" s="2980">
        <v>99</v>
      </c>
      <c r="BG153" s="2980"/>
      <c r="BH153" s="2981" t="str">
        <f>$AA$143</f>
        <v>Period</v>
      </c>
      <c r="BI153" s="2987" t="str">
        <f>$AA$142</f>
        <v>Actual LTM</v>
      </c>
      <c r="BJ153" s="2980" t="s">
        <v>1967</v>
      </c>
      <c r="BK153" s="3"/>
      <c r="BL153" s="3"/>
      <c r="BM153" s="3"/>
      <c r="BN153" s="3"/>
      <c r="BO153" s="3"/>
    </row>
    <row r="154" spans="1:67" ht="15.75" customHeight="1">
      <c r="A154" s="60"/>
      <c r="B154" s="60"/>
      <c r="C154" s="82"/>
      <c r="D154" s="82"/>
      <c r="E154" s="82"/>
      <c r="G154" s="45"/>
      <c r="I154" s="2043"/>
      <c r="J154" s="16"/>
      <c r="K154" s="52"/>
      <c r="L154" s="101"/>
      <c r="M154" s="101"/>
      <c r="N154" s="101"/>
      <c r="O154" s="101"/>
      <c r="P154" s="39"/>
      <c r="R154" s="265"/>
      <c r="S154" s="319"/>
      <c r="T154" s="319"/>
      <c r="U154" s="320"/>
      <c r="V154" s="2253"/>
      <c r="W154" s="2241"/>
      <c r="X154" s="1441"/>
      <c r="Y154" s="400"/>
      <c r="Z154" s="367"/>
      <c r="AA154" s="367"/>
      <c r="AB154" s="367"/>
      <c r="AC154" s="367"/>
      <c r="AD154" s="367"/>
      <c r="AE154" s="367"/>
      <c r="AF154" s="1447"/>
      <c r="AG154" s="3123"/>
      <c r="AH154" s="3123"/>
      <c r="AI154" s="3124"/>
      <c r="AJ154" s="1423"/>
      <c r="AK154" s="1093"/>
      <c r="AM154" s="1441"/>
      <c r="AN154" s="400"/>
      <c r="AO154" s="2185"/>
      <c r="AP154" s="367"/>
      <c r="AQ154" s="367"/>
      <c r="AR154" s="367"/>
      <c r="AS154" s="367"/>
      <c r="AT154" s="367"/>
      <c r="AU154" s="367"/>
      <c r="BB154" s="88"/>
      <c r="BC154" s="2980" t="str">
        <f t="shared" si="23"/>
        <v/>
      </c>
      <c r="BD154" s="2980" t="str">
        <f t="shared" si="25"/>
        <v>Therme Horizon</v>
      </c>
      <c r="BE154" s="2980">
        <v>92</v>
      </c>
      <c r="BF154" s="2980">
        <v>100</v>
      </c>
      <c r="BG154" s="2980" t="s">
        <v>1933</v>
      </c>
      <c r="BH154" s="2988" t="str">
        <f>$AC$143</f>
        <v>Covenant level</v>
      </c>
      <c r="BI154" s="2987">
        <f>$AC$142</f>
        <v>0</v>
      </c>
      <c r="BJ154" s="2980" t="s">
        <v>1967</v>
      </c>
      <c r="BK154" s="3"/>
      <c r="BL154" s="3"/>
      <c r="BM154" s="3"/>
      <c r="BN154" s="3"/>
      <c r="BO154" s="3"/>
    </row>
    <row r="155" spans="1:67" ht="16.5" customHeight="1">
      <c r="A155" s="60"/>
      <c r="B155" s="60"/>
      <c r="C155" s="82"/>
      <c r="D155" s="82"/>
      <c r="E155" s="82"/>
      <c r="G155" s="45"/>
      <c r="I155" s="2043"/>
      <c r="J155" s="16"/>
      <c r="K155" s="52"/>
      <c r="L155" s="101"/>
      <c r="M155" s="101"/>
      <c r="N155" s="101"/>
      <c r="O155" s="101"/>
      <c r="P155" s="39"/>
      <c r="R155" s="265"/>
      <c r="S155" s="319"/>
      <c r="T155" s="319"/>
      <c r="U155" s="320"/>
      <c r="V155" s="2254"/>
      <c r="W155" s="2246"/>
      <c r="X155" s="2246"/>
      <c r="Y155" s="2246"/>
      <c r="Z155" s="2246"/>
      <c r="AA155" s="2246"/>
      <c r="AB155" s="2246"/>
      <c r="AC155" s="2246"/>
      <c r="AD155" s="2246"/>
      <c r="AE155" s="2246"/>
      <c r="AF155" s="1425"/>
      <c r="AG155" s="1448"/>
      <c r="AH155" s="1448"/>
      <c r="AI155" s="1448"/>
      <c r="AJ155" s="1424"/>
      <c r="AK155" s="1093"/>
      <c r="AM155" s="3446" t="s">
        <v>558</v>
      </c>
      <c r="AN155" s="1425"/>
      <c r="AO155" s="2186" t="s">
        <v>225</v>
      </c>
      <c r="AP155" s="1425"/>
      <c r="AQ155" s="2194" t="e" cm="1">
        <f t="array" ca="1" aca="1" ref="AQ155">IF(fx_ProtectPush,_xldudf_CX_PUSH(AG144,CX_ENTITY,AM155,val_asOfDate))</f>
        <v>#NAME?</v>
      </c>
      <c r="AR155" s="1448"/>
      <c r="AS155" s="2202" t="e" cm="1">
        <f t="array" ca="1" aca="1" ref="AS155">_xldudf_CX_GET(CX_ENTITY,$AM155,val_asOfDate,)</f>
        <v>#NAME?</v>
      </c>
      <c r="AT155" s="2202" t="e" cm="1">
        <f t="array" ca="1" aca="1" ref="AT155">_xldudf_CX_GET(CX_ENTITY,$AN155,val_priorQtrEnd,)</f>
        <v>#NAME?</v>
      </c>
      <c r="AU155" s="1448"/>
      <c r="BB155" s="88"/>
      <c r="BC155" s="2980" t="str">
        <f t="shared" si="23"/>
        <v/>
      </c>
      <c r="BD155" s="2980" t="str">
        <f t="shared" si="25"/>
        <v>Therme Horizon</v>
      </c>
      <c r="BE155" s="2980">
        <v>93</v>
      </c>
      <c r="BF155" s="2980">
        <v>101</v>
      </c>
      <c r="BG155" s="2980" t="s">
        <v>1934</v>
      </c>
      <c r="BH155" s="2988" t="str">
        <f>$AD$143</f>
        <v>Look Fwd Covenant Level</v>
      </c>
      <c r="BI155" s="2987">
        <f>$AD$142</f>
        <v>0</v>
      </c>
      <c r="BJ155" s="2980" t="s">
        <v>1967</v>
      </c>
      <c r="BK155" s="3"/>
      <c r="BL155" s="3"/>
      <c r="BM155" s="3"/>
      <c r="BN155" s="3"/>
      <c r="BO155" s="3"/>
    </row>
    <row r="156" spans="1:67" ht="9.75" customHeight="1">
      <c r="A156" s="60"/>
      <c r="B156" s="60"/>
      <c r="C156" s="82"/>
      <c r="D156" s="82"/>
      <c r="E156" s="82"/>
      <c r="G156" s="45"/>
      <c r="I156" s="2043"/>
      <c r="J156" s="16"/>
      <c r="K156" s="52"/>
      <c r="L156" s="101"/>
      <c r="M156" s="101"/>
      <c r="N156" s="101"/>
      <c r="O156" s="101"/>
      <c r="P156" s="39"/>
      <c r="R156" s="265"/>
      <c r="S156" s="319"/>
      <c r="T156" s="319"/>
      <c r="U156" s="320" t="s">
        <v>561</v>
      </c>
      <c r="V156" s="320"/>
      <c r="W156" s="1115"/>
      <c r="X156" s="320"/>
      <c r="Y156" s="320"/>
      <c r="Z156" s="320"/>
      <c r="AA156" s="320"/>
      <c r="AB156" s="320"/>
      <c r="AC156" s="320"/>
      <c r="AD156" s="320"/>
      <c r="AE156" s="320"/>
      <c r="AF156" s="320"/>
      <c r="AG156" s="320"/>
      <c r="AH156" s="320"/>
      <c r="AI156" s="320"/>
      <c r="AJ156" s="157"/>
      <c r="AK156" s="1093"/>
      <c r="AM156" s="320"/>
      <c r="AN156" s="320"/>
      <c r="AO156" s="320"/>
      <c r="AP156" s="320"/>
      <c r="AQ156" s="320"/>
      <c r="AR156" s="320"/>
      <c r="AS156" s="320"/>
      <c r="AT156" s="320"/>
      <c r="AU156" s="320"/>
      <c r="BB156" s="88"/>
      <c r="BC156" s="2980">
        <f t="shared" si="23"/>
        <v>0</v>
      </c>
      <c r="BD156" s="2980" t="str">
        <f t="shared" si="25"/>
        <v>Therme Horizon</v>
      </c>
      <c r="BE156" s="2980">
        <v>93.50</v>
      </c>
      <c r="BF156" s="2980">
        <v>102</v>
      </c>
      <c r="BG156" s="2980"/>
      <c r="BH156" s="2981" t="str">
        <f>$X$151</f>
        <v>Ratio</v>
      </c>
      <c r="BI156" s="2987" t="str">
        <f ca="1">$AA$151</f>
        <v>n/a</v>
      </c>
      <c r="BJ156" s="2980" t="s">
        <v>1967</v>
      </c>
      <c r="BK156" s="3"/>
      <c r="BL156" s="3"/>
      <c r="BM156" s="3"/>
      <c r="BN156" s="3"/>
      <c r="BO156" s="3"/>
    </row>
    <row r="157" spans="1:67" ht="11.25" customHeight="1">
      <c r="A157" s="60"/>
      <c r="B157" s="60"/>
      <c r="C157" s="66"/>
      <c r="D157" s="66"/>
      <c r="E157" s="66"/>
      <c r="G157" s="45"/>
      <c r="I157" s="2043"/>
      <c r="J157" s="16"/>
      <c r="K157" s="52"/>
      <c r="L157" s="101"/>
      <c r="M157" s="101"/>
      <c r="N157" s="101"/>
      <c r="O157" s="101"/>
      <c r="P157" s="39"/>
      <c r="R157" s="265"/>
      <c r="S157" s="319"/>
      <c r="T157" s="319"/>
      <c r="U157" s="320"/>
      <c r="V157" s="2252"/>
      <c r="W157" s="2242"/>
      <c r="X157" s="2242"/>
      <c r="Y157" s="2242"/>
      <c r="Z157" s="2242"/>
      <c r="AA157" s="2242"/>
      <c r="AB157" s="2242"/>
      <c r="AC157" s="2242"/>
      <c r="AD157" s="2242"/>
      <c r="AE157" s="2242"/>
      <c r="AF157" s="1418"/>
      <c r="AG157" s="1418"/>
      <c r="AH157" s="1418"/>
      <c r="AI157" s="1418"/>
      <c r="AJ157" s="1419"/>
      <c r="AK157" s="1093"/>
      <c r="AM157" s="1418"/>
      <c r="AN157" s="1418"/>
      <c r="AO157" s="1418"/>
      <c r="AP157" s="1418"/>
      <c r="AQ157" s="1418"/>
      <c r="AR157" s="1418"/>
      <c r="AS157" s="1418"/>
      <c r="AT157" s="1418"/>
      <c r="AU157" s="1418"/>
      <c r="BB157" s="88"/>
      <c r="BC157" s="2980">
        <f t="shared" si="23"/>
        <v>0</v>
      </c>
      <c r="BD157" s="2980" t="str">
        <f t="shared" si="25"/>
        <v>Therme Horizon</v>
      </c>
      <c r="BE157" s="2980">
        <v>94</v>
      </c>
      <c r="BF157" s="2980">
        <v>103</v>
      </c>
      <c r="BG157" s="2980" t="s">
        <v>556</v>
      </c>
      <c r="BH157" s="2981" t="str">
        <f>$X$152</f>
        <v>Covenant Headroom</v>
      </c>
      <c r="BI157" s="2987" t="str">
        <f ca="1">$AA$152</f>
        <v>n/a</v>
      </c>
      <c r="BJ157" s="2980" t="s">
        <v>1967</v>
      </c>
      <c r="BK157" s="3"/>
      <c r="BL157" s="3"/>
      <c r="BM157" s="3"/>
      <c r="BN157" s="3"/>
      <c r="BO157" s="3"/>
    </row>
    <row r="158" spans="1:67" ht="25">
      <c r="A158" s="60"/>
      <c r="B158" s="60"/>
      <c r="C158" s="66"/>
      <c r="D158" s="66"/>
      <c r="E158" s="66"/>
      <c r="G158" s="45"/>
      <c r="I158" s="2043"/>
      <c r="J158" s="16"/>
      <c r="K158" s="52"/>
      <c r="L158" s="101"/>
      <c r="M158" s="101"/>
      <c r="N158" s="101"/>
      <c r="O158" s="101"/>
      <c r="P158" s="39"/>
      <c r="R158" s="265"/>
      <c r="S158" s="319"/>
      <c r="T158" s="319"/>
      <c r="U158" s="320"/>
      <c r="V158" s="2253"/>
      <c r="W158" s="3447"/>
      <c r="X158" s="3448" t="s">
        <v>562</v>
      </c>
      <c r="Y158" s="3118"/>
      <c r="Z158" s="2243"/>
      <c r="AA158" s="3449" t="s">
        <v>472</v>
      </c>
      <c r="AB158" s="3431"/>
      <c r="AC158" s="3432">
        <v>0</v>
      </c>
      <c r="AD158" s="3433">
        <v>0</v>
      </c>
      <c r="AE158" s="3428"/>
      <c r="AF158" s="1420"/>
      <c r="AG158" s="3434"/>
      <c r="AH158" s="1421"/>
      <c r="AI158" s="1422">
        <f>val_asOfDate</f>
        <v>46022</v>
      </c>
      <c r="AJ158" s="1423"/>
      <c r="AK158" s="1093"/>
      <c r="AM158" s="3435" t="s">
        <v>548</v>
      </c>
      <c r="AN158" s="2187" t="str">
        <f>_xlfn.TEXTJOIN("|",FALSE,_xlfn.HSTACK(X158,AA158))</f>
        <v>Debt Service Coverage Ratio (DSCR)|Actual LTM</v>
      </c>
      <c r="AO158" s="2183"/>
      <c r="AP158" s="2181"/>
      <c r="AQ158" s="2194" t="e" cm="1">
        <f t="array" ca="1" aca="1" ref="AQ158">IF(fx_ProtectPush,_xldudf_CX_PUSH(AN158,CX_ENTITY,AM158))</f>
        <v>#NAME?</v>
      </c>
      <c r="AR158" s="3450"/>
      <c r="AS158" s="2202" t="e" cm="1">
        <f t="array" ca="1" aca="1" ref="AS158">_xldudf_CX_GET(CX_ENTITY,$AM158,val_asOfDate,)</f>
        <v>#NAME?</v>
      </c>
      <c r="AT158" s="2202" t="e" cm="1">
        <f t="array" ca="1" aca="1" ref="AT158">_xldudf_CX_GET(CX_ENTITY,$AN158,val_priorQtrEnd,)</f>
        <v>#NAME?</v>
      </c>
      <c r="AU158" s="1420"/>
      <c r="BB158" s="88"/>
      <c r="BC158" s="2980">
        <f t="shared" si="23"/>
        <v>0</v>
      </c>
      <c r="BD158" s="2980" t="str">
        <f t="shared" si="25"/>
        <v>Therme Horizon</v>
      </c>
      <c r="BE158" s="2980">
        <v>95</v>
      </c>
      <c r="BF158" s="2980">
        <v>104</v>
      </c>
      <c r="BG158" s="2980" t="s">
        <v>557</v>
      </c>
      <c r="BH158" s="2981" t="str">
        <f>$X$153</f>
        <v>Covenant Headroom %</v>
      </c>
      <c r="BI158" s="2987" t="str">
        <f ca="1">$AA$153</f>
        <v>n/a</v>
      </c>
      <c r="BJ158" s="2980" t="s">
        <v>1967</v>
      </c>
      <c r="BK158" s="3"/>
      <c r="BL158" s="3"/>
      <c r="BM158" s="3"/>
      <c r="BN158" s="3"/>
      <c r="BO158" s="3"/>
    </row>
    <row r="159" spans="1:67" ht="17.5">
      <c r="A159" s="60"/>
      <c r="B159" s="60"/>
      <c r="C159" s="66"/>
      <c r="D159" s="66"/>
      <c r="E159" s="66"/>
      <c r="G159" s="45"/>
      <c r="I159" s="2043"/>
      <c r="J159" s="16"/>
      <c r="K159" s="52"/>
      <c r="L159" s="101"/>
      <c r="M159" s="101"/>
      <c r="N159" s="101"/>
      <c r="O159" s="101"/>
      <c r="P159" s="39"/>
      <c r="R159" s="265"/>
      <c r="S159" s="319"/>
      <c r="T159" s="319"/>
      <c r="U159" s="320"/>
      <c r="V159" s="2253"/>
      <c r="W159" s="2238"/>
      <c r="X159" s="2245" t="s">
        <v>1953</v>
      </c>
      <c r="Y159" s="2245"/>
      <c r="Z159" s="2244"/>
      <c r="AA159" s="2244" t="s">
        <v>560</v>
      </c>
      <c r="AB159" s="2244"/>
      <c r="AC159" s="2244" t="s">
        <v>549</v>
      </c>
      <c r="AD159" s="2244" t="s">
        <v>550</v>
      </c>
      <c r="AE159" s="2244"/>
      <c r="AF159" s="1447"/>
      <c r="AG159" s="1434" t="s">
        <v>551</v>
      </c>
      <c r="AH159" s="1417"/>
      <c r="AI159" s="1417" t="s">
        <v>225</v>
      </c>
      <c r="AJ159" s="1423"/>
      <c r="AK159" s="1093"/>
      <c r="AM159" s="1449"/>
      <c r="AN159" s="1449"/>
      <c r="AO159" s="2184"/>
      <c r="AP159" s="1447"/>
      <c r="AQ159" s="1447"/>
      <c r="AR159" s="1417"/>
      <c r="AS159" s="1447"/>
      <c r="AT159" s="1417"/>
      <c r="AU159" s="1417"/>
      <c r="BB159" s="88"/>
      <c r="BC159" s="2980" t="str">
        <f t="shared" si="23"/>
        <v/>
      </c>
      <c r="BD159" s="2980" t="str">
        <f t="shared" si="25"/>
        <v>Therme Horizon</v>
      </c>
      <c r="BE159" s="2980">
        <v>96</v>
      </c>
      <c r="BF159" s="2980">
        <v>105</v>
      </c>
      <c r="BG159" s="2980" t="s">
        <v>556</v>
      </c>
      <c r="BH159" s="2981"/>
      <c r="BI159" s="2987"/>
      <c r="BJ159" s="2980" t="s">
        <v>1967</v>
      </c>
      <c r="BK159" s="3"/>
      <c r="BL159" s="3"/>
      <c r="BM159" s="3"/>
      <c r="BN159" s="3"/>
      <c r="BO159" s="3"/>
    </row>
    <row r="160" spans="1:67" ht="15.75" customHeight="1">
      <c r="A160" s="60"/>
      <c r="B160" s="60"/>
      <c r="C160" s="66"/>
      <c r="D160" s="66"/>
      <c r="E160" s="66"/>
      <c r="G160" s="45"/>
      <c r="I160" s="2043"/>
      <c r="J160" s="16"/>
      <c r="K160" s="52"/>
      <c r="L160" s="101"/>
      <c r="M160" s="101"/>
      <c r="N160" s="101"/>
      <c r="O160" s="101"/>
      <c r="P160" s="39"/>
      <c r="R160" s="265"/>
      <c r="S160" s="319"/>
      <c r="T160" s="319"/>
      <c r="U160" s="320"/>
      <c r="V160" s="2253"/>
      <c r="W160" s="2238"/>
      <c r="X160" s="301"/>
      <c r="Y160" s="19"/>
      <c r="Z160" s="19"/>
      <c r="AA160" s="19"/>
      <c r="AB160" s="19"/>
      <c r="AC160" s="19"/>
      <c r="AD160" s="19"/>
      <c r="AE160" s="19"/>
      <c r="AF160" s="1447"/>
      <c r="AG160" s="3119" t="str">
        <f ca="1">_xlfn.LET(_xlpm.Nominator,X163,_xlpm.Denominator,X165,_xlpm.NominatorVar,AA163,_xlpm.DenominatorVar,AA165,_xlpm.Direction,_xlfn.XLOOKUP(X158,$AO$229:$AO$233,$AT$229:$AT$233),_xlpm.TargetMetric,_xlfn.XLOOKUP(X158,$AO$229:$AO$233,$AS$229:$AS$233),_xlpm.CovenantLevel,AC158,_xlpm.TargetVar,IF(_xlpm.Nominator&lt;&gt;_xlpm.TargetMetric,_xlpm.DenominatorVar,_xlpm.NominatorVar),_xlpm.CreditVar,IF(_xlpm.TargetVar=_xlpm.NominatorVar,_xlpm.DenominatorVar,_xlpm.NominatorVar),_xlpm.Limit,-_xlpm.CreditVar*_xlpm.CovenantLevel^(_xlpm.Direction),_xlpm.Diff,_xlpm.TargetVar-_xlpm.Limit,_xlpm.Pass,IF(_xlpm.Direction=1,_xlpm.Diff&lt;=0,_xlpm.Diff&gt;=0),_xlpm.Margin,ABS(_xlpm.Diff),_xlpm.MarginPct,TEXT(_xlpm.Margin/_xlpm.Limit,"0%"),_xlpm.Verdict,IF(_xlpm.Diff=0,"meets the covenant exactly",IF(_xlpm.Pass,"passes the covenant by "&amp;TEXT(_xlpm.Margin,"#,##0")&amp;" ("&amp;_xlpm.MarginPct&amp;"). ","fails the covenant by "&amp;TEXT(_xlpm.Margin,"#,##0")&amp;" ("&amp;_xlpm.MarginPct&amp;"). ")),_xlpm.RESULT,"The controllable metric ("&amp;_xlpm.TargetMetric&amp;") value of "&amp;TEXT(_xlpm.TargetVar,"#,##0")&amp;" compared to the Covenant limit of "&amp;TEXT(_xlpm.Limit,"#,##0")&amp;" "&amp;_xlpm.Verdict&amp;"",IFERROR(_xlpm.RESULT,"n/a"))</f>
        <v>n/a</v>
      </c>
      <c r="AH160" s="3119"/>
      <c r="AI160" s="3120"/>
      <c r="AJ160" s="1423"/>
      <c r="AK160" s="1093"/>
      <c r="AM160" s="3437" t="str">
        <f>X158&amp;" - Covenant Level"</f>
        <v>Debt Service Coverage Ratio (DSCR) - Covenant Level</v>
      </c>
      <c r="AN160" s="19"/>
      <c r="AO160" s="3438" t="s">
        <v>225</v>
      </c>
      <c r="AP160" s="3439" t="str">
        <f>_xlfn.XLOOKUP($AA158,tbl_period_debt[Period_display],tbl_period_debt[CX Scenario])</f>
        <v>Actual</v>
      </c>
      <c r="AQ160" s="2194" t="e" cm="1">
        <f t="array" ca="1" aca="1" ref="AQ160">IF(fx_ProtectPush,_xldudf_CX_PUSH(AC158,CX_ENTITY,AM160,val_asOfDate,AO160,AP160))</f>
        <v>#NAME?</v>
      </c>
      <c r="AR160" s="19"/>
      <c r="AS160" s="2203" t="e" cm="1">
        <f t="array" ca="1" aca="1" ref="AS160">_xldudf_CX_GET(CX_ENTITY,AM160,val_asOfDate,$AO160,,$AP160)</f>
        <v>#NAME?</v>
      </c>
      <c r="AT160" s="709" t="e" cm="1">
        <f t="array" ca="1" aca="1" ref="AT160">_xldudf_CX_GET(CX_ENTITY,$AM160,val_priorQtrEnd,$AO160,,$AP160)</f>
        <v>#NAME?</v>
      </c>
      <c r="AU160" s="19"/>
      <c r="BB160" s="88"/>
      <c r="BC160" s="2980" t="str">
        <f t="shared" si="23"/>
        <v/>
      </c>
      <c r="BD160" s="2980" t="str">
        <f t="shared" si="25"/>
        <v>Therme Horizon</v>
      </c>
      <c r="BE160" s="2980">
        <v>97</v>
      </c>
      <c r="BF160" s="2980">
        <v>106</v>
      </c>
      <c r="BG160" s="2980" t="s">
        <v>557</v>
      </c>
      <c r="BH160" s="2981"/>
      <c r="BI160" s="2987"/>
      <c r="BJ160" s="2980" t="s">
        <v>1967</v>
      </c>
      <c r="BK160" s="3"/>
      <c r="BL160" s="3"/>
      <c r="BM160" s="3"/>
      <c r="BN160" s="3"/>
      <c r="BO160" s="3"/>
    </row>
    <row r="161" spans="1:67" ht="15" customHeight="1">
      <c r="A161" s="60"/>
      <c r="B161" s="60"/>
      <c r="C161" s="66"/>
      <c r="D161" s="66"/>
      <c r="E161" s="66"/>
      <c r="G161" s="45"/>
      <c r="I161" s="2043"/>
      <c r="J161" s="16"/>
      <c r="K161" s="52"/>
      <c r="L161" s="101"/>
      <c r="M161" s="101"/>
      <c r="N161" s="101"/>
      <c r="O161" s="101"/>
      <c r="P161" s="39"/>
      <c r="R161" s="265"/>
      <c r="S161" s="319"/>
      <c r="T161" s="319"/>
      <c r="U161" s="320"/>
      <c r="V161" s="2253"/>
      <c r="W161" s="2241"/>
      <c r="X161" s="1437"/>
      <c r="Y161" s="496"/>
      <c r="Z161" s="497"/>
      <c r="AA161" s="497"/>
      <c r="AB161" s="497"/>
      <c r="AC161" s="497"/>
      <c r="AD161" s="497"/>
      <c r="AE161" s="497"/>
      <c r="AF161" s="1447"/>
      <c r="AG161" s="3121"/>
      <c r="AH161" s="3121"/>
      <c r="AI161" s="3122"/>
      <c r="AJ161" s="1423"/>
      <c r="AK161" s="1093"/>
      <c r="AM161" s="3437" t="str">
        <f>X158&amp;" - Forward Covenant Level"</f>
        <v>Debt Service Coverage Ratio (DSCR) - Forward Covenant Level</v>
      </c>
      <c r="AN161" s="496"/>
      <c r="AO161" s="3440" t="s">
        <v>225</v>
      </c>
      <c r="AP161" s="3451" t="str">
        <f>_xlfn.XLOOKUP($AA158,tbl_period_debt[Period_display],tbl_period_debt[CX Scenario])</f>
        <v>Actual</v>
      </c>
      <c r="AQ161" s="2189" t="e" cm="1">
        <f t="array" ca="1" aca="1" ref="AQ161">IF(fx_ProtectPush,_xldudf_CX_PUSH(AD158,CX_ENTITY,AM161,val_asOfDate,AO161,AP161))</f>
        <v>#NAME?</v>
      </c>
      <c r="AR161" s="497"/>
      <c r="AS161" s="2203" t="e" cm="1">
        <f t="array" ca="1" aca="1" ref="AS161">_xldudf_CX_GET(CX_ENTITY,AM161,val_asOfDate,$AO161,,$AP161)</f>
        <v>#NAME?</v>
      </c>
      <c r="AT161" s="709" t="e" cm="1">
        <f t="array" ca="1" aca="1" ref="AT161">_xldudf_CX_GET(CX_ENTITY,$AM161,val_priorQtrEnd,$AO161,,$AP161)</f>
        <v>#NAME?</v>
      </c>
      <c r="AU161" s="497"/>
      <c r="BB161" s="88"/>
      <c r="BC161" s="2980" t="str">
        <f t="shared" si="23"/>
        <v/>
      </c>
      <c r="BD161" s="2980" t="str">
        <f t="shared" si="25"/>
        <v>Therme Horizon</v>
      </c>
      <c r="BE161" s="2980">
        <v>97.50</v>
      </c>
      <c r="BF161" s="2980">
        <v>107</v>
      </c>
      <c r="BG161" s="2980"/>
      <c r="BH161" s="2981" t="str">
        <f>$AG$143</f>
        <v>Summary</v>
      </c>
      <c r="BI161" s="2987" t="str">
        <f ca="1">$AG$144</f>
        <v>n/a</v>
      </c>
      <c r="BJ161" s="2980" t="s">
        <v>1967</v>
      </c>
      <c r="BK161" s="3"/>
      <c r="BL161" s="3"/>
      <c r="BM161" s="3"/>
      <c r="BN161" s="3"/>
      <c r="BO161" s="3"/>
    </row>
    <row r="162" spans="1:67" ht="15" customHeight="1">
      <c r="A162" s="60"/>
      <c r="B162" s="60"/>
      <c r="C162" s="66"/>
      <c r="D162" s="66"/>
      <c r="E162" s="66"/>
      <c r="G162" s="45"/>
      <c r="I162" s="2043"/>
      <c r="J162" s="16"/>
      <c r="K162" s="52"/>
      <c r="L162" s="101"/>
      <c r="M162" s="101"/>
      <c r="N162" s="101"/>
      <c r="O162" s="101"/>
      <c r="P162" s="39"/>
      <c r="R162" s="265"/>
      <c r="S162" s="319"/>
      <c r="T162" s="319"/>
      <c r="U162" s="320"/>
      <c r="V162" s="2253"/>
      <c r="W162" s="2241"/>
      <c r="X162" s="1438"/>
      <c r="Y162" s="320"/>
      <c r="Z162" s="320"/>
      <c r="AA162" s="1431" t="s">
        <v>552</v>
      </c>
      <c r="AB162" s="1431"/>
      <c r="AC162" s="1431" t="s">
        <v>553</v>
      </c>
      <c r="AD162" s="1431" t="s">
        <v>554</v>
      </c>
      <c r="AE162" s="1044" t="s">
        <v>555</v>
      </c>
      <c r="AF162" s="1447"/>
      <c r="AG162" s="3121"/>
      <c r="AH162" s="3121"/>
      <c r="AI162" s="3122"/>
      <c r="AJ162" s="1423"/>
      <c r="AK162" s="1093"/>
      <c r="AM162" s="1438"/>
      <c r="AN162" s="320"/>
      <c r="AO162" s="987"/>
      <c r="AP162" s="320"/>
      <c r="AQ162" s="1431"/>
      <c r="AR162" s="1431"/>
      <c r="AS162" s="1431"/>
      <c r="AT162" s="1431"/>
      <c r="AU162" s="1044" t="s">
        <v>555</v>
      </c>
      <c r="BB162" s="88"/>
      <c r="BC162" s="2980">
        <f t="shared" si="23"/>
        <v>0</v>
      </c>
      <c r="BD162" s="2980" t="str">
        <f t="shared" si="25"/>
        <v>Therme Horizon</v>
      </c>
      <c r="BE162" s="2980">
        <v>98</v>
      </c>
      <c r="BF162" s="2980">
        <v>108</v>
      </c>
      <c r="BG162" s="2980" t="s">
        <v>1932</v>
      </c>
      <c r="BH162" s="2981" t="str">
        <f>$X$159</f>
        <v>Covenant Basis</v>
      </c>
      <c r="BI162" s="2987" t="str">
        <f>$X$158</f>
        <v>Debt Service Coverage Ratio (DSCR)</v>
      </c>
      <c r="BJ162" s="2980" t="s">
        <v>1967</v>
      </c>
      <c r="BK162" s="3"/>
      <c r="BL162" s="3"/>
      <c r="BM162" s="3"/>
      <c r="BN162" s="3"/>
      <c r="BO162" s="3"/>
    </row>
    <row r="163" spans="1:67" ht="15" customHeight="1">
      <c r="A163" s="60"/>
      <c r="B163" s="60"/>
      <c r="C163" s="66"/>
      <c r="D163" s="66"/>
      <c r="E163" s="66"/>
      <c r="G163" s="45"/>
      <c r="I163" s="2043"/>
      <c r="J163" s="16"/>
      <c r="K163" s="52"/>
      <c r="L163" s="101"/>
      <c r="M163" s="101"/>
      <c r="N163" s="101"/>
      <c r="O163" s="101"/>
      <c r="P163" s="39"/>
      <c r="R163" s="265"/>
      <c r="S163" s="319"/>
      <c r="T163" s="319"/>
      <c r="U163" s="320"/>
      <c r="V163" s="2253"/>
      <c r="W163" s="2255" t="e" vm="5" cm="1">
        <f t="array" ref="W163">IF(X163&lt;&gt;"",IFERROR(IF(_xlfn.XMATCH(X163,tbl_acctDef[Term],0)&gt;0,fx_getIcon("find"),""),""),"")</f>
        <v>#VALUE!</v>
      </c>
      <c r="X163" s="33" t="str">
        <f>_xlfn.XLOOKUP(X158,$AO$229:$AO$233,$AP$229:$AP$233,"Not found")</f>
        <v>Adjusted EBITDA</v>
      </c>
      <c r="Y163" s="703"/>
      <c r="Z163" s="1044" t="str">
        <f>IF(_xlfn.XLOOKUP(X163,$AN$205:$AN$224,$AQ$205:$AQ$224,0)="BS","As of "&amp;TEXT(AI158,"MMM-yy"),AA158)</f>
        <v>Actual LTM</v>
      </c>
      <c r="AA163" s="3442" t="e">
        <f ca="1">AS163</f>
        <v>#NAME?</v>
      </c>
      <c r="AB163" s="1416"/>
      <c r="AC163" s="1435"/>
      <c r="AD163" s="1432"/>
      <c r="AE163" s="1433"/>
      <c r="AF163" s="1447"/>
      <c r="AG163" s="3121"/>
      <c r="AH163" s="3121"/>
      <c r="AI163" s="3122"/>
      <c r="AJ163" s="1423"/>
      <c r="AK163" s="1093"/>
      <c r="AM163" s="3437" t="str">
        <f>X163&amp;" - Adjustment (Debt Ratio)"</f>
        <v>Adjusted EBITDA - Adjustment (Debt Ratio)</v>
      </c>
      <c r="AN163" s="703"/>
      <c r="AO163" s="3443" t="str">
        <f>_xlfn.XLOOKUP($Z163,tbl_period_debt[Period_display],tbl_period_debt[CX Period])</f>
        <v>LTM</v>
      </c>
      <c r="AP163" s="3444" t="str">
        <f>_xlfn.XLOOKUP($AA158,tbl_period_debt[Period_display],tbl_period_debt[CX Scenario])</f>
        <v>Actual</v>
      </c>
      <c r="AQ163" s="2194" t="e" cm="1">
        <f t="array" ca="1" aca="1" ref="AQ163">IF(fx_ProtectPush,_xldudf_CX_PUSH(AA163,CX_ENTITY,AM163,val_asOfDate,AO163,AP163))</f>
        <v>#NAME?</v>
      </c>
      <c r="AR163" s="1416"/>
      <c r="AS163" s="2203" t="e" cm="1">
        <f t="array" ca="1" aca="1" ref="AS163">_xldudf_CX_GET(CX_ENTITY,AM163,val_asOfDate,$AO163,,$AP163)</f>
        <v>#NAME?</v>
      </c>
      <c r="AT163" s="709" t="e" cm="1">
        <f t="array" ca="1" aca="1" ref="AT163">_xldudf_CX_GET(CX_ENTITY,$AM163,val_priorQtrEnd,$AO163,,$AP163)</f>
        <v>#NAME?</v>
      </c>
      <c r="AU163" s="1433"/>
      <c r="BB163" s="88"/>
      <c r="BC163" s="2980" t="str">
        <f t="shared" si="23"/>
        <v/>
      </c>
      <c r="BD163" s="2980" t="str">
        <f t="shared" si="25"/>
        <v>Therme Horizon</v>
      </c>
      <c r="BE163" s="2980">
        <v>98.50</v>
      </c>
      <c r="BF163" s="2980">
        <v>109</v>
      </c>
      <c r="BG163" s="2980"/>
      <c r="BH163" s="2981" t="str">
        <f>$AA$159</f>
        <v>Period</v>
      </c>
      <c r="BI163" s="2987" t="str">
        <f>$AA$158</f>
        <v>Actual LTM</v>
      </c>
      <c r="BJ163" s="2980" t="s">
        <v>1967</v>
      </c>
      <c r="BK163" s="3"/>
      <c r="BL163" s="3"/>
      <c r="BM163" s="3"/>
      <c r="BN163" s="3"/>
      <c r="BO163" s="3"/>
    </row>
    <row r="164" spans="1:67" ht="15" customHeight="1">
      <c r="A164" s="60"/>
      <c r="B164" s="60"/>
      <c r="C164" s="82"/>
      <c r="D164" s="82"/>
      <c r="E164" s="82"/>
      <c r="G164" s="45"/>
      <c r="I164" s="2043"/>
      <c r="J164" s="16"/>
      <c r="K164" s="52"/>
      <c r="L164" s="101"/>
      <c r="M164" s="101"/>
      <c r="N164" s="101"/>
      <c r="O164" s="101"/>
      <c r="P164" s="39"/>
      <c r="R164" s="265"/>
      <c r="S164" s="319"/>
      <c r="T164" s="319"/>
      <c r="U164" s="320"/>
      <c r="V164" s="2253"/>
      <c r="W164" s="2241" t="str" cm="1">
        <f t="array" ref="W164">IF(X164&lt;&gt;"",IFERROR(IF(_xlfn.XMATCH(X164,tbl_acctDef[Term],0)&gt;0,fx_getIcon("find"),""),""),"")</f>
        <v/>
      </c>
      <c r="X164" s="1439"/>
      <c r="Y164" s="703"/>
      <c r="Z164" s="987"/>
      <c r="AA164" s="2286"/>
      <c r="AB164" s="1354"/>
      <c r="AC164" s="320"/>
      <c r="AD164" s="320"/>
      <c r="AE164" s="320"/>
      <c r="AF164" s="1447"/>
      <c r="AG164" s="3121"/>
      <c r="AH164" s="3121"/>
      <c r="AI164" s="3122"/>
      <c r="AJ164" s="1423"/>
      <c r="AK164" s="1093"/>
      <c r="AM164" s="1440"/>
      <c r="AN164" s="399"/>
      <c r="AO164" s="1044"/>
      <c r="AP164" s="987"/>
      <c r="AQ164" s="1354"/>
      <c r="AR164" s="1354"/>
      <c r="AS164" s="1354"/>
      <c r="AT164" s="320"/>
      <c r="AU164" s="320"/>
      <c r="BB164" s="88"/>
      <c r="BC164" s="2980" t="str">
        <f t="shared" si="23"/>
        <v/>
      </c>
      <c r="BD164" s="2980" t="str">
        <f t="shared" si="25"/>
        <v>Therme Horizon</v>
      </c>
      <c r="BE164" s="2980">
        <v>99</v>
      </c>
      <c r="BF164" s="2980">
        <v>110</v>
      </c>
      <c r="BG164" s="2980" t="s">
        <v>1933</v>
      </c>
      <c r="BH164" s="2981" t="s">
        <v>549</v>
      </c>
      <c r="BI164" s="2987">
        <f>$AC$158</f>
        <v>0</v>
      </c>
      <c r="BJ164" s="2980" t="s">
        <v>1967</v>
      </c>
      <c r="BK164" s="3"/>
      <c r="BL164" s="3"/>
      <c r="BM164" s="3"/>
      <c r="BN164" s="3"/>
      <c r="BO164" s="3"/>
    </row>
    <row r="165" spans="1:67" ht="15" customHeight="1">
      <c r="A165" s="60"/>
      <c r="B165" s="60"/>
      <c r="C165" s="82"/>
      <c r="D165" s="82"/>
      <c r="E165" s="82"/>
      <c r="G165" s="45"/>
      <c r="I165" s="2043"/>
      <c r="J165" s="16"/>
      <c r="K165" s="52"/>
      <c r="L165" s="101"/>
      <c r="M165" s="101"/>
      <c r="N165" s="101"/>
      <c r="O165" s="101"/>
      <c r="P165" s="39"/>
      <c r="R165" s="265"/>
      <c r="S165" s="319"/>
      <c r="T165" s="319"/>
      <c r="U165" s="320"/>
      <c r="V165" s="2253"/>
      <c r="W165" s="2255" t="str" cm="1">
        <f t="array" ref="W165">IF(X165&lt;&gt;"",IFERROR(IF(_xlfn.XMATCH(X165,tbl_acctDef[Term],0)&gt;0,fx_getIcon("find"),""),""),"")</f>
        <v/>
      </c>
      <c r="X165" s="33" t="str">
        <f>_xlfn.XLOOKUP(X158,$AO$229:$AO$233,$AQ$229:$AQ$233,"Not found")</f>
        <v>Debt Service</v>
      </c>
      <c r="Y165" s="703"/>
      <c r="Z165" s="1044" t="str">
        <f>IF(_xlfn.XLOOKUP(X165,$AN$205:$AN$224,$AQ$205:$AQ$224,0)="BS",""&amp;TEXT(AI158,"MMM-yy"),AA158)</f>
        <v>Actual LTM</v>
      </c>
      <c r="AA165" s="3442" t="e">
        <f ca="1">AS165</f>
        <v>#NAME?</v>
      </c>
      <c r="AB165" s="1416"/>
      <c r="AC165" s="1430"/>
      <c r="AD165" s="1432"/>
      <c r="AE165" s="1433"/>
      <c r="AF165" s="1447"/>
      <c r="AG165" s="3121"/>
      <c r="AH165" s="3121"/>
      <c r="AI165" s="3122"/>
      <c r="AJ165" s="1423"/>
      <c r="AK165" s="1093"/>
      <c r="AM165" s="3437" t="str">
        <f>X165&amp;" - Adjustment (Debt Ratio)"</f>
        <v>Debt Service - Adjustment (Debt Ratio)</v>
      </c>
      <c r="AN165" s="703"/>
      <c r="AO165" s="3443" t="str">
        <f>_xlfn.XLOOKUP($Z165,tbl_period_debt[Period_display],tbl_period_debt[CX Period])</f>
        <v>LTM</v>
      </c>
      <c r="AP165" s="3444" t="str">
        <f>_xlfn.XLOOKUP($AA158,tbl_period_debt[Period_display],tbl_period_debt[CX Scenario])</f>
        <v>Actual</v>
      </c>
      <c r="AQ165" s="2194" t="e" cm="1">
        <f t="array" ca="1" aca="1" ref="AQ165">IF(fx_ProtectPush,_xldudf_CX_PUSH(AA165,CX_ENTITY,AM165,val_asOfDate,AO165,AP165))</f>
        <v>#NAME?</v>
      </c>
      <c r="AR165" s="1416"/>
      <c r="AS165" s="2203" t="e" cm="1">
        <f t="array" ca="1" aca="1" ref="AS165">_xldudf_CX_GET(CX_ENTITY,AM165,val_asOfDate,$AO165,,$AP165)</f>
        <v>#NAME?</v>
      </c>
      <c r="AT165" s="709" t="e" cm="1">
        <f t="array" ca="1" aca="1" ref="AT165">_xldudf_CX_GET(CX_ENTITY,$AM165,val_priorQtrEnd,$AO165,,$AP165)</f>
        <v>#NAME?</v>
      </c>
      <c r="AU165" s="1433"/>
      <c r="BB165" s="88"/>
      <c r="BC165" s="2980" t="str">
        <f t="shared" si="23"/>
        <v/>
      </c>
      <c r="BD165" s="2980" t="str">
        <f t="shared" si="25"/>
        <v>Therme Horizon</v>
      </c>
      <c r="BE165" s="2980">
        <v>100</v>
      </c>
      <c r="BF165" s="2980">
        <v>111</v>
      </c>
      <c r="BG165" s="2980" t="s">
        <v>1934</v>
      </c>
      <c r="BH165" s="2981" t="str">
        <f>$AD$159</f>
        <v>Look Fwd Covenant Level</v>
      </c>
      <c r="BI165" s="2987">
        <f>$AD$158</f>
        <v>0</v>
      </c>
      <c r="BJ165" s="2980" t="s">
        <v>1967</v>
      </c>
      <c r="BK165" s="3"/>
      <c r="BL165" s="3"/>
      <c r="BM165" s="3"/>
      <c r="BN165" s="3"/>
      <c r="BO165" s="3"/>
    </row>
    <row r="166" spans="1:67" ht="15" customHeight="1">
      <c r="A166" s="60"/>
      <c r="B166" s="60"/>
      <c r="C166" s="82"/>
      <c r="D166" s="82"/>
      <c r="E166" s="82"/>
      <c r="G166" s="45"/>
      <c r="I166" s="2043"/>
      <c r="J166" s="16"/>
      <c r="K166" s="52"/>
      <c r="L166" s="101"/>
      <c r="M166" s="101"/>
      <c r="N166" s="101"/>
      <c r="O166" s="101"/>
      <c r="P166" s="39"/>
      <c r="R166" s="265"/>
      <c r="S166" s="319"/>
      <c r="T166" s="319"/>
      <c r="U166" s="320"/>
      <c r="V166" s="2253"/>
      <c r="W166" s="2241" t="str" cm="1">
        <f t="array" ref="W166">IF(X166&lt;&gt;"",IFERROR(IF(_xlfn.XMATCH(X166,tbl_acctDef[Term],0)&gt;0,fx_getIcon("find"),""),""),"")</f>
        <v/>
      </c>
      <c r="X166" s="1440"/>
      <c r="Y166" s="399"/>
      <c r="Z166" s="320"/>
      <c r="AA166" s="2287"/>
      <c r="AB166" s="1354"/>
      <c r="AC166" s="498"/>
      <c r="AD166" s="498"/>
      <c r="AE166" s="367"/>
      <c r="AF166" s="1447"/>
      <c r="AG166" s="3121"/>
      <c r="AH166" s="3121"/>
      <c r="AI166" s="3122"/>
      <c r="AJ166" s="1423"/>
      <c r="AK166" s="1093"/>
      <c r="AM166" s="1440"/>
      <c r="AN166" s="399"/>
      <c r="AO166" s="1044"/>
      <c r="AP166" s="320"/>
      <c r="AQ166" s="320"/>
      <c r="AR166" s="1354"/>
      <c r="AS166" s="320"/>
      <c r="AT166" s="498"/>
      <c r="AU166" s="367"/>
      <c r="BB166" s="88"/>
      <c r="BC166" s="2980">
        <f t="shared" si="23"/>
        <v>0</v>
      </c>
      <c r="BD166" s="2980" t="str">
        <f t="shared" si="25"/>
        <v>Therme Horizon</v>
      </c>
      <c r="BE166" s="2980">
        <v>100.50</v>
      </c>
      <c r="BF166" s="2980">
        <v>112</v>
      </c>
      <c r="BG166" s="2980"/>
      <c r="BH166" s="2981" t="str">
        <f>$X$167</f>
        <v>Ratio</v>
      </c>
      <c r="BI166" s="2987" t="e">
        <f ca="1">$AA$167</f>
        <v>#NAME?</v>
      </c>
      <c r="BJ166" s="2980" t="s">
        <v>1967</v>
      </c>
      <c r="BK166" s="3"/>
      <c r="BL166" s="3"/>
      <c r="BM166" s="3"/>
      <c r="BN166" s="3"/>
      <c r="BO166" s="3"/>
    </row>
    <row r="167" spans="1:67" ht="15" customHeight="1">
      <c r="A167" s="60"/>
      <c r="B167" s="60"/>
      <c r="C167" s="82"/>
      <c r="D167" s="82"/>
      <c r="E167" s="82"/>
      <c r="G167" s="45"/>
      <c r="I167" s="2043"/>
      <c r="J167" s="16"/>
      <c r="K167" s="52"/>
      <c r="L167" s="101"/>
      <c r="M167" s="101"/>
      <c r="N167" s="101"/>
      <c r="O167" s="101"/>
      <c r="P167" s="39"/>
      <c r="R167" s="265"/>
      <c r="S167" s="319"/>
      <c r="T167" s="319"/>
      <c r="U167" s="320"/>
      <c r="V167" s="2253"/>
      <c r="W167" s="2241" t="str" cm="1">
        <f t="array" ref="W167">IF(X167&lt;&gt;"",IFERROR(IF(_xlfn.XMATCH(X167,tbl_acctDef[Term],0)&gt;0,fx_getIcon("find"),""),""),"")</f>
        <v/>
      </c>
      <c r="X167" s="1442" t="s">
        <v>308</v>
      </c>
      <c r="Y167" s="399"/>
      <c r="Z167" s="320"/>
      <c r="AA167" s="1443" t="e" cm="1">
        <f t="array" ca="1" aca="1" ref="AA167">_xlfn.SWITCH(TRUE,OR(AA163="",AA165=""),"n/a",OR(AA163="n/a",AA165="n/a",ISERROR(AA163),ISERROR(AA165),AA163*AA165&gt;=0),"n/a",ABS(AA163/AA165))</f>
        <v>#NAME?</v>
      </c>
      <c r="AB167" s="1426"/>
      <c r="AC167" s="1443"/>
      <c r="AD167" s="1443"/>
      <c r="AE167" s="1433"/>
      <c r="AF167" s="1447"/>
      <c r="AG167" s="3121"/>
      <c r="AH167" s="3121"/>
      <c r="AI167" s="3122"/>
      <c r="AJ167" s="1423"/>
      <c r="AK167" s="1093"/>
      <c r="AM167" s="3437" t="str">
        <f>X158</f>
        <v>Debt Service Coverage Ratio (DSCR)</v>
      </c>
      <c r="AN167" s="399"/>
      <c r="AO167" s="3445" t="s">
        <v>225</v>
      </c>
      <c r="AP167" s="3444" t="str">
        <f>_xlfn.XLOOKUP($AA158,tbl_period_debt[Period_display],tbl_period_debt[CX Scenario])</f>
        <v>Actual</v>
      </c>
      <c r="AQ167" s="2194" t="str" cm="1">
        <f t="array" ca="1" aca="1" ref="AQ167">IF(fx_ProtectPush,IF(ISNUMBER(AA167),_xldudf_CX_PUSH(AA167,CX_ENTITY,AM167,val_asOfDate,AO167,AP167),"NaN"))</f>
        <v>NaN</v>
      </c>
      <c r="AR167" s="1426"/>
      <c r="AS167" s="2203" t="e" cm="1">
        <f t="array" ca="1" aca="1" ref="AS167">_xldudf_CX_GET(CX_ENTITY,AM167,val_asOfDate,$AO167,,$AP167)</f>
        <v>#NAME?</v>
      </c>
      <c r="AT167" s="709" t="e" cm="1">
        <f t="array" ca="1" aca="1" ref="AT167">_xldudf_CX_GET(CX_ENTITY,$AM167,val_priorQtrEnd,$AO167,,$AP167)</f>
        <v>#NAME?</v>
      </c>
      <c r="AU167" s="1433"/>
      <c r="BB167" s="88"/>
      <c r="BC167" s="2980">
        <f t="shared" si="23"/>
        <v>0</v>
      </c>
      <c r="BD167" s="2980" t="str">
        <f t="shared" si="25"/>
        <v>Therme Horizon</v>
      </c>
      <c r="BE167" s="2980">
        <v>101</v>
      </c>
      <c r="BF167" s="2980">
        <v>113</v>
      </c>
      <c r="BG167" s="2980" t="s">
        <v>556</v>
      </c>
      <c r="BH167" s="2981" t="str">
        <f>$X$168</f>
        <v>Covenant Headroom</v>
      </c>
      <c r="BI167" s="2987" t="e">
        <f ca="1">$AA$168</f>
        <v>#NAME?</v>
      </c>
      <c r="BJ167" s="2980" t="s">
        <v>1967</v>
      </c>
      <c r="BK167" s="3"/>
      <c r="BL167" s="3"/>
      <c r="BM167" s="3"/>
      <c r="BN167" s="3"/>
      <c r="BO167" s="3"/>
    </row>
    <row r="168" spans="1:67" ht="15" customHeight="1">
      <c r="A168" s="60"/>
      <c r="B168" s="60"/>
      <c r="C168" s="82"/>
      <c r="D168" s="82"/>
      <c r="E168" s="82"/>
      <c r="G168" s="45"/>
      <c r="I168" s="2043"/>
      <c r="J168" s="16"/>
      <c r="K168" s="52"/>
      <c r="L168" s="101"/>
      <c r="M168" s="101"/>
      <c r="N168" s="101"/>
      <c r="O168" s="101"/>
      <c r="P168" s="39"/>
      <c r="R168" s="265"/>
      <c r="S168" s="319"/>
      <c r="T168" s="319"/>
      <c r="U168" s="320"/>
      <c r="V168" s="2253"/>
      <c r="W168" s="2255" t="e" vm="5" cm="1">
        <f t="array" ref="W168">IF(X168&lt;&gt;"",IFERROR(IF(_xlfn.XMATCH(X168,tbl_acctDef[Term],0)&gt;0,fx_getIcon("find"),""),""),"")</f>
        <v>#VALUE!</v>
      </c>
      <c r="X168" s="33" t="s">
        <v>556</v>
      </c>
      <c r="Y168" s="399"/>
      <c r="Z168" s="399"/>
      <c r="AA168" s="1444" t="e">
        <f ca="1">_xlfn.LET(_xlpm.Nominator,X163,_xlpm.Denominator,X165,_xlpm.NominatorVar,AA163,_xlpm.DenominatorVar,AA165,_xlpm.Direction,_xlfn.XLOOKUP(X158,$AO$229:$AO$233,$AT$229:$AT$233),_xlpm.TargetMetric,_xlfn.XLOOKUP(X158,$AO$229:$AO$233,$AS$229:$AS$233),_xlpm.CovenantLevel,AC158,_xlpm.TargetVar,IF(_xlpm.Nominator&lt;&gt;_xlpm.TargetMetric,_xlpm.DenominatorVar,_xlpm.NominatorVar),_xlpm.CreditVar,IF(_xlpm.TargetVar=_xlpm.NominatorVar,_xlpm.DenominatorVar,_xlpm.NominatorVar),_xlpm.Limit,ABS(_xlpm.CreditVar)*_xlpm.CovenantLevel^(_xlpm.Direction),_xlpm.Res,IFERROR(_xlpm.TargetVar-_xlpm.Limit,"n/a"),IF(_xlpm.CreditVar&gt;0,"n/a",_xlpm.Res))</f>
        <v>#NAME?</v>
      </c>
      <c r="AB168" s="1416"/>
      <c r="AC168" s="1444"/>
      <c r="AD168" s="1444"/>
      <c r="AE168" s="1433"/>
      <c r="AF168" s="1447"/>
      <c r="AG168" s="3121"/>
      <c r="AH168" s="3121"/>
      <c r="AI168" s="3122"/>
      <c r="AJ168" s="1423"/>
      <c r="AK168" s="1093"/>
      <c r="AM168" s="3437" t="str">
        <f>$X$126&amp;" - Covenant Headroom"</f>
        <v>Gross Leverage Ratio - Covenant Headroom</v>
      </c>
      <c r="AN168" s="399"/>
      <c r="AO168" s="3445" t="s">
        <v>225</v>
      </c>
      <c r="AP168" s="3444" t="str">
        <f>_xlfn.XLOOKUP($AA158,tbl_period_debt[Period_display],tbl_period_debt[CX Scenario])</f>
        <v>Actual</v>
      </c>
      <c r="AQ168" s="2194" t="str" cm="1">
        <f t="array" ca="1" aca="1" ref="AQ168">IF(fx_ProtectPush,IF(ISNUMBER(AA168),_xldudf_CX_PUSH(AA168,CX_ENTITY,AM168,val_asOfDate,AO168,AP168),"NaN"))</f>
        <v>NaN</v>
      </c>
      <c r="AR168" s="1416"/>
      <c r="AS168" s="2203" t="e" cm="1">
        <f t="array" ca="1" aca="1" ref="AS168">_xldudf_CX_GET(CX_ENTITY,AM168,val_asOfDate,$AO168,,$AP168)</f>
        <v>#NAME?</v>
      </c>
      <c r="AT168" s="709" t="e" cm="1">
        <f t="array" ca="1" aca="1" ref="AT168">_xldudf_CX_GET(CX_ENTITY,$AM168,val_priorQtrEnd,$AO168,,$AP168)</f>
        <v>#NAME?</v>
      </c>
      <c r="AU168" s="1433"/>
      <c r="BB168" s="88"/>
      <c r="BC168" s="2980">
        <f t="shared" si="23"/>
        <v>0</v>
      </c>
      <c r="BD168" s="2980" t="str">
        <f t="shared" si="25"/>
        <v>Therme Horizon</v>
      </c>
      <c r="BE168" s="2980">
        <v>102</v>
      </c>
      <c r="BF168" s="2980">
        <v>114</v>
      </c>
      <c r="BG168" s="2980" t="s">
        <v>557</v>
      </c>
      <c r="BH168" s="2981" t="str">
        <f>$X$169</f>
        <v>Covenant Headroom %</v>
      </c>
      <c r="BI168" s="2987" t="e">
        <f ca="1">$AA$169</f>
        <v>#NAME?</v>
      </c>
      <c r="BJ168" s="2980" t="s">
        <v>1967</v>
      </c>
      <c r="BK168" s="3"/>
      <c r="BL168" s="3"/>
      <c r="BM168" s="3"/>
      <c r="BN168" s="3"/>
      <c r="BO168" s="3"/>
    </row>
    <row r="169" spans="1:67" ht="15.75" customHeight="1">
      <c r="A169" s="60"/>
      <c r="B169" s="60"/>
      <c r="C169" s="82"/>
      <c r="D169" s="82"/>
      <c r="E169" s="82"/>
      <c r="G169" s="45"/>
      <c r="I169" s="2043"/>
      <c r="J169" s="16"/>
      <c r="K169" s="52"/>
      <c r="L169" s="101"/>
      <c r="M169" s="101"/>
      <c r="N169" s="101"/>
      <c r="O169" s="101"/>
      <c r="P169" s="39"/>
      <c r="R169" s="265"/>
      <c r="S169" s="319"/>
      <c r="T169" s="319"/>
      <c r="U169" s="320"/>
      <c r="V169" s="2253"/>
      <c r="W169" s="2255" t="e" vm="5" cm="1">
        <f t="array" ref="W169">IF(X169&lt;&gt;"",IFERROR(IF(_xlfn.XMATCH(X169,tbl_acctDef[Term],0)&gt;0,fx_getIcon("find"),""),""),"")</f>
        <v>#VALUE!</v>
      </c>
      <c r="X169" s="33" t="s">
        <v>557</v>
      </c>
      <c r="Y169" s="399"/>
      <c r="Z169" s="320"/>
      <c r="AA169" s="1445" t="e">
        <f ca="1">_xlfn.LET(_xlpm.Nominator,X163,_xlpm.Denominator,X165,_xlpm.NominatorVar,AA163,_xlpm.DenominatorVar,AA165,_xlpm.Direction,_xlfn.XLOOKUP(X158,$AO$229:$AO$233,$AT$229:$AT$233),_xlpm.TargetMetric,_xlfn.XLOOKUP(X158,$AO$229:$AO$233,$AS$229:$AS$233),_xlpm.CovenantLevel,AC158,_xlpm.TargetVar,IF(_xlpm.Nominator&lt;&gt;_xlpm.TargetMetric,_xlpm.DenominatorVar,_xlpm.NominatorVar),_xlpm.CreditVar,IF(_xlpm.TargetVar=_xlpm.NominatorVar,_xlpm.DenominatorVar,_xlpm.NominatorVar),_xlpm.Limit,ABS(_xlpm.CreditVar)*_xlpm.CovenantLevel^(_xlpm.Direction),IF(_xlpm.CreditVar&lt;=0,IFERROR((_xlpm.TargetVar-_xlpm.Limit)/_xlpm.TargetVar,"n/a"),"n/a"))</f>
        <v>#NAME?</v>
      </c>
      <c r="AB169" s="1429"/>
      <c r="AC169" s="1445"/>
      <c r="AD169" s="1445"/>
      <c r="AE169" s="1433"/>
      <c r="AF169" s="1447"/>
      <c r="AG169" s="3121"/>
      <c r="AH169" s="3121"/>
      <c r="AI169" s="3122"/>
      <c r="AJ169" s="1423"/>
      <c r="AK169" s="1093"/>
      <c r="AM169" s="3437" t="str">
        <f>$X$126&amp;" - Covenant Headroom %"</f>
        <v>Gross Leverage Ratio - Covenant Headroom %</v>
      </c>
      <c r="AN169" s="399"/>
      <c r="AO169" s="3445" t="s">
        <v>225</v>
      </c>
      <c r="AP169" s="3444" t="str">
        <f>_xlfn.XLOOKUP($AA158,tbl_period_debt[Period_display],tbl_period_debt[CX Scenario])</f>
        <v>Actual</v>
      </c>
      <c r="AQ169" s="2194" t="str" cm="1">
        <f t="array" ca="1" aca="1" ref="AQ169">IF(fx_ProtectPush,IF(ISNUMBER(AA169),_xldudf_CX_PUSH(AA169,CX_ENTITY,AM169,val_asOfDate,AO169,AP169),"NaN"))</f>
        <v>NaN</v>
      </c>
      <c r="AR169" s="1429"/>
      <c r="AS169" s="2203" t="e" cm="1">
        <f t="array" ca="1" aca="1" ref="AS169">_xldudf_CX_GET(CX_ENTITY,AM169,val_asOfDate,$AO169,,$AP169)</f>
        <v>#NAME?</v>
      </c>
      <c r="AT169" s="709" t="e" cm="1">
        <f t="array" ca="1" aca="1" ref="AT169">_xldudf_CX_GET(CX_ENTITY,$AM169,val_priorQtrEnd,$AO169,,$AP169)</f>
        <v>#NAME?</v>
      </c>
      <c r="AU169" s="1433"/>
      <c r="BB169" s="88"/>
      <c r="BC169" s="2980" t="str">
        <f t="shared" si="23"/>
        <v/>
      </c>
      <c r="BD169" s="2980" t="str">
        <f t="shared" si="25"/>
        <v>Therme Horizon</v>
      </c>
      <c r="BE169" s="2980">
        <v>103</v>
      </c>
      <c r="BF169" s="2980">
        <v>115</v>
      </c>
      <c r="BG169" s="2980" t="s">
        <v>556</v>
      </c>
      <c r="BH169" s="2981"/>
      <c r="BI169" s="2987"/>
      <c r="BJ169" s="2980" t="s">
        <v>1967</v>
      </c>
      <c r="BK169" s="3"/>
      <c r="BL169" s="3"/>
      <c r="BM169" s="3"/>
      <c r="BN169" s="3"/>
      <c r="BO169" s="3"/>
    </row>
    <row r="170" spans="1:67" ht="15.75" customHeight="1">
      <c r="A170" s="60"/>
      <c r="B170" s="60"/>
      <c r="C170" s="82"/>
      <c r="D170" s="82"/>
      <c r="E170" s="82"/>
      <c r="G170" s="45"/>
      <c r="I170" s="2043"/>
      <c r="J170" s="16"/>
      <c r="K170" s="52"/>
      <c r="L170" s="101"/>
      <c r="M170" s="101"/>
      <c r="N170" s="101"/>
      <c r="O170" s="101"/>
      <c r="P170" s="39"/>
      <c r="R170" s="265"/>
      <c r="S170" s="319"/>
      <c r="T170" s="319"/>
      <c r="U170" s="320"/>
      <c r="V170" s="2253"/>
      <c r="W170" s="2241"/>
      <c r="X170" s="1441"/>
      <c r="Y170" s="400"/>
      <c r="Z170" s="367"/>
      <c r="AA170" s="367"/>
      <c r="AB170" s="367"/>
      <c r="AC170" s="367"/>
      <c r="AD170" s="367"/>
      <c r="AE170" s="367"/>
      <c r="AF170" s="1447"/>
      <c r="AG170" s="3123"/>
      <c r="AH170" s="3123"/>
      <c r="AI170" s="3124"/>
      <c r="AJ170" s="1423"/>
      <c r="AK170" s="1093"/>
      <c r="AM170" s="1441"/>
      <c r="AN170" s="400"/>
      <c r="AO170" s="2185"/>
      <c r="AP170" s="367"/>
      <c r="AQ170" s="367"/>
      <c r="AR170" s="367"/>
      <c r="AS170" s="367"/>
      <c r="AT170" s="367"/>
      <c r="AU170" s="367"/>
      <c r="BB170" s="88"/>
      <c r="BC170" s="2980" t="str">
        <f t="shared" si="23"/>
        <v/>
      </c>
      <c r="BD170" s="2980" t="str">
        <f t="shared" si="25"/>
        <v>Therme Horizon</v>
      </c>
      <c r="BE170" s="2980">
        <v>104</v>
      </c>
      <c r="BF170" s="2980">
        <v>116</v>
      </c>
      <c r="BG170" s="2980" t="s">
        <v>557</v>
      </c>
      <c r="BH170" s="2981"/>
      <c r="BI170" s="2987"/>
      <c r="BJ170" s="2980" t="s">
        <v>1967</v>
      </c>
      <c r="BK170" s="3"/>
      <c r="BL170" s="3"/>
      <c r="BM170" s="3"/>
      <c r="BN170" s="3"/>
      <c r="BO170" s="3"/>
    </row>
    <row r="171" spans="1:67" ht="16.5" customHeight="1">
      <c r="A171" s="60"/>
      <c r="B171" s="60"/>
      <c r="C171" s="82"/>
      <c r="D171" s="82"/>
      <c r="E171" s="82"/>
      <c r="G171" s="45"/>
      <c r="I171" s="2043"/>
      <c r="J171" s="16"/>
      <c r="K171" s="52"/>
      <c r="L171" s="101"/>
      <c r="M171" s="101"/>
      <c r="N171" s="101"/>
      <c r="O171" s="101"/>
      <c r="P171" s="39"/>
      <c r="R171" s="265"/>
      <c r="S171" s="319"/>
      <c r="T171" s="319"/>
      <c r="U171" s="320"/>
      <c r="V171" s="2254"/>
      <c r="W171" s="2246"/>
      <c r="X171" s="2246"/>
      <c r="Y171" s="2246"/>
      <c r="Z171" s="2246"/>
      <c r="AA171" s="2246"/>
      <c r="AB171" s="2246"/>
      <c r="AC171" s="2246"/>
      <c r="AD171" s="2246"/>
      <c r="AE171" s="2246"/>
      <c r="AF171" s="1425"/>
      <c r="AG171" s="1448"/>
      <c r="AH171" s="1448"/>
      <c r="AI171" s="1448"/>
      <c r="AJ171" s="1424"/>
      <c r="AK171" s="1093"/>
      <c r="AM171" s="3446" t="s">
        <v>558</v>
      </c>
      <c r="AN171" s="1425"/>
      <c r="AO171" s="2186"/>
      <c r="AP171" s="1425"/>
      <c r="AQ171" s="2194" t="e" cm="1">
        <f t="array" ca="1" aca="1" ref="AQ171">IF(fx_ProtectPush,_xldudf_CX_PUSH(AG160,CX_ENTITY,AM171,val_asOfDate))</f>
        <v>#NAME?</v>
      </c>
      <c r="AR171" s="1448"/>
      <c r="AS171" s="2202" t="e" cm="1">
        <f t="array" ca="1" aca="1" ref="AS171">_xldudf_CX_GET(CX_ENTITY,$AM171,val_asOfDate,)</f>
        <v>#NAME?</v>
      </c>
      <c r="AT171" s="2202" t="e" cm="1">
        <f t="array" ca="1" aca="1" ref="AT171">_xldudf_CX_GET(CX_ENTITY,$AN171,val_priorQtrEnd,)</f>
        <v>#NAME?</v>
      </c>
      <c r="AU171" s="1448"/>
      <c r="BB171" s="88"/>
      <c r="BC171" s="2980" t="str">
        <f t="shared" si="23"/>
        <v/>
      </c>
      <c r="BD171" s="2980" t="str">
        <f t="shared" si="25"/>
        <v>Therme Horizon</v>
      </c>
      <c r="BE171" s="2980">
        <v>104.50</v>
      </c>
      <c r="BF171" s="2980">
        <v>117</v>
      </c>
      <c r="BG171" s="2980"/>
      <c r="BH171" s="2981" t="str">
        <f>$AG$159</f>
        <v>Summary</v>
      </c>
      <c r="BI171" s="2987" t="str">
        <f ca="1">$AG$160</f>
        <v>n/a</v>
      </c>
      <c r="BJ171" s="2980" t="s">
        <v>1967</v>
      </c>
      <c r="BK171" s="3"/>
      <c r="BL171" s="3"/>
      <c r="BM171" s="3"/>
      <c r="BN171" s="3"/>
      <c r="BO171" s="3"/>
    </row>
    <row r="172" spans="1:67" ht="9.75" customHeight="1">
      <c r="A172" s="60"/>
      <c r="B172" s="60"/>
      <c r="C172" s="82"/>
      <c r="D172" s="82"/>
      <c r="E172" s="82"/>
      <c r="G172" s="45"/>
      <c r="I172" s="2043"/>
      <c r="J172" s="16"/>
      <c r="K172" s="52"/>
      <c r="L172" s="101"/>
      <c r="M172" s="101"/>
      <c r="N172" s="101"/>
      <c r="O172" s="101"/>
      <c r="P172" s="39"/>
      <c r="R172" s="265"/>
      <c r="S172" s="319"/>
      <c r="T172" s="319"/>
      <c r="U172" s="320" t="s">
        <v>561</v>
      </c>
      <c r="V172" s="320"/>
      <c r="W172" s="1115"/>
      <c r="X172" s="320"/>
      <c r="Y172" s="320"/>
      <c r="Z172" s="320"/>
      <c r="AA172" s="320"/>
      <c r="AB172" s="320"/>
      <c r="AC172" s="320"/>
      <c r="AD172" s="320"/>
      <c r="AE172" s="320"/>
      <c r="AF172" s="320"/>
      <c r="AG172" s="320"/>
      <c r="AH172" s="320"/>
      <c r="AI172" s="320"/>
      <c r="AJ172" s="157"/>
      <c r="AK172" s="1093"/>
      <c r="AM172" s="320"/>
      <c r="AN172" s="320"/>
      <c r="AO172" s="320"/>
      <c r="AP172" s="320"/>
      <c r="AQ172" s="320"/>
      <c r="AR172" s="320"/>
      <c r="AS172" s="320"/>
      <c r="AT172" s="320"/>
      <c r="AU172" s="320"/>
      <c r="BB172" s="88"/>
      <c r="BC172" s="2980">
        <f t="shared" si="23"/>
        <v>0</v>
      </c>
      <c r="BD172" s="2980" t="str">
        <f t="shared" si="25"/>
        <v>Therme Horizon</v>
      </c>
      <c r="BE172" s="2980">
        <v>105</v>
      </c>
      <c r="BF172" s="2980">
        <v>118</v>
      </c>
      <c r="BG172" s="2980" t="s">
        <v>1932</v>
      </c>
      <c r="BH172" s="2981" t="str">
        <f>$X$175</f>
        <v>Covenant Basis</v>
      </c>
      <c r="BI172" s="2987" t="str">
        <f>$X$174</f>
        <v>Interest Coverage Ratio</v>
      </c>
      <c r="BJ172" s="2980" t="s">
        <v>1967</v>
      </c>
      <c r="BK172" s="3"/>
      <c r="BL172" s="3"/>
      <c r="BM172" s="3"/>
      <c r="BN172" s="3"/>
      <c r="BO172" s="3"/>
    </row>
    <row r="173" spans="1:67" ht="11.25" customHeight="1">
      <c r="A173" s="60"/>
      <c r="B173" s="60"/>
      <c r="C173" s="66"/>
      <c r="D173" s="66"/>
      <c r="E173" s="66"/>
      <c r="G173" s="45"/>
      <c r="I173" s="2043"/>
      <c r="J173" s="16"/>
      <c r="K173" s="52"/>
      <c r="L173" s="101"/>
      <c r="M173" s="101"/>
      <c r="N173" s="101"/>
      <c r="O173" s="101"/>
      <c r="P173" s="39"/>
      <c r="R173" s="265"/>
      <c r="S173" s="319"/>
      <c r="T173" s="319"/>
      <c r="U173" s="320"/>
      <c r="V173" s="2252"/>
      <c r="W173" s="2242"/>
      <c r="X173" s="2242"/>
      <c r="Y173" s="2242"/>
      <c r="Z173" s="2242"/>
      <c r="AA173" s="2242"/>
      <c r="AB173" s="2242"/>
      <c r="AC173" s="2242"/>
      <c r="AD173" s="2242"/>
      <c r="AE173" s="2242"/>
      <c r="AF173" s="1418"/>
      <c r="AG173" s="1418"/>
      <c r="AH173" s="1418"/>
      <c r="AI173" s="1418"/>
      <c r="AJ173" s="1419"/>
      <c r="AK173" s="1093"/>
      <c r="AM173" s="1418"/>
      <c r="AN173" s="1418"/>
      <c r="AO173" s="1418"/>
      <c r="AP173" s="1418"/>
      <c r="AQ173" s="1418"/>
      <c r="AR173" s="1418"/>
      <c r="AS173" s="1418"/>
      <c r="AT173" s="1418"/>
      <c r="AU173" s="1418"/>
      <c r="BB173" s="88"/>
      <c r="BC173" s="2980" t="str">
        <f t="shared" si="23"/>
        <v/>
      </c>
      <c r="BD173" s="2980" t="str">
        <f t="shared" si="25"/>
        <v>Therme Horizon</v>
      </c>
      <c r="BE173" s="2980">
        <v>105.50</v>
      </c>
      <c r="BF173" s="2980">
        <v>119</v>
      </c>
      <c r="BG173" s="2980"/>
      <c r="BH173" s="2981" t="str">
        <f>$AA$175</f>
        <v>Period</v>
      </c>
      <c r="BI173" s="2987" t="str">
        <f>$AA$174</f>
        <v>Actual LTM</v>
      </c>
      <c r="BJ173" s="2980" t="s">
        <v>1967</v>
      </c>
      <c r="BK173" s="3"/>
      <c r="BL173" s="3"/>
      <c r="BM173" s="3"/>
      <c r="BN173" s="3"/>
      <c r="BO173" s="3"/>
    </row>
    <row r="174" spans="1:67" ht="25">
      <c r="A174" s="60"/>
      <c r="B174" s="60"/>
      <c r="C174" s="66"/>
      <c r="D174" s="66"/>
      <c r="E174" s="66"/>
      <c r="G174" s="45"/>
      <c r="I174" s="2043"/>
      <c r="J174" s="16"/>
      <c r="K174" s="52"/>
      <c r="L174" s="101"/>
      <c r="M174" s="101"/>
      <c r="N174" s="101"/>
      <c r="O174" s="101"/>
      <c r="P174" s="39"/>
      <c r="R174" s="265"/>
      <c r="S174" s="319"/>
      <c r="T174" s="319"/>
      <c r="U174" s="320"/>
      <c r="V174" s="2253"/>
      <c r="W174" s="3447"/>
      <c r="X174" s="3448" t="s">
        <v>563</v>
      </c>
      <c r="Y174" s="3118"/>
      <c r="Z174" s="2243"/>
      <c r="AA174" s="3449" t="s">
        <v>472</v>
      </c>
      <c r="AB174" s="3431"/>
      <c r="AC174" s="3432">
        <v>0</v>
      </c>
      <c r="AD174" s="3433">
        <v>0</v>
      </c>
      <c r="AE174" s="3428"/>
      <c r="AF174" s="1420"/>
      <c r="AG174" s="3434"/>
      <c r="AH174" s="1421"/>
      <c r="AI174" s="1422">
        <f>val_asOfDate</f>
        <v>46022</v>
      </c>
      <c r="AJ174" s="1423"/>
      <c r="AK174" s="1093"/>
      <c r="AM174" s="3435" t="s">
        <v>548</v>
      </c>
      <c r="AN174" s="2187" t="str">
        <f>_xlfn.TEXTJOIN("|",FALSE,_xlfn.HSTACK(X174,AA174))</f>
        <v>Interest Coverage Ratio|Actual LTM</v>
      </c>
      <c r="AO174" s="2183"/>
      <c r="AP174" s="2181"/>
      <c r="AQ174" s="2194" t="e" cm="1">
        <f t="array" ca="1" aca="1" ref="AQ174">IF(fx_ProtectPush,_xldudf_CX_PUSH(AN174,CX_ENTITY,AM174))</f>
        <v>#NAME?</v>
      </c>
      <c r="AR174" s="3450"/>
      <c r="AS174" s="2202" t="e" cm="1">
        <f t="array" ca="1" aca="1" ref="AS174">_xldudf_CX_GET(CX_ENTITY,$AM174,val_asOfDate,)</f>
        <v>#NAME?</v>
      </c>
      <c r="AT174" s="2202" t="e" cm="1">
        <f t="array" ca="1" aca="1" ref="AT174">_xldudf_CX_GET(CX_ENTITY,$AN174,val_priorQtrEnd,)</f>
        <v>#NAME?</v>
      </c>
      <c r="AU174" s="1420"/>
      <c r="BB174" s="88"/>
      <c r="BC174" s="2980" t="str">
        <f t="shared" si="23"/>
        <v/>
      </c>
      <c r="BD174" s="2980" t="str">
        <f t="shared" si="25"/>
        <v>Therme Horizon</v>
      </c>
      <c r="BE174" s="2980">
        <v>106</v>
      </c>
      <c r="BF174" s="2980">
        <v>120</v>
      </c>
      <c r="BG174" s="2980" t="s">
        <v>1933</v>
      </c>
      <c r="BH174" s="2981" t="str">
        <f>$AC$175</f>
        <v>Covenant level</v>
      </c>
      <c r="BI174" s="2987">
        <f>$AC$174</f>
        <v>0</v>
      </c>
      <c r="BJ174" s="2980" t="s">
        <v>1967</v>
      </c>
      <c r="BK174" s="3"/>
      <c r="BL174" s="3"/>
      <c r="BM174" s="3"/>
      <c r="BN174" s="3"/>
      <c r="BO174" s="3"/>
    </row>
    <row r="175" spans="1:67" ht="17.5">
      <c r="A175" s="60"/>
      <c r="B175" s="60"/>
      <c r="C175" s="66"/>
      <c r="D175" s="66"/>
      <c r="E175" s="66"/>
      <c r="G175" s="45"/>
      <c r="I175" s="2043"/>
      <c r="J175" s="16"/>
      <c r="K175" s="52"/>
      <c r="L175" s="101"/>
      <c r="M175" s="101"/>
      <c r="N175" s="101"/>
      <c r="O175" s="101"/>
      <c r="P175" s="39"/>
      <c r="R175" s="265"/>
      <c r="S175" s="319"/>
      <c r="T175" s="319"/>
      <c r="U175" s="320"/>
      <c r="V175" s="2253"/>
      <c r="W175" s="2238"/>
      <c r="X175" s="2245" t="s">
        <v>1953</v>
      </c>
      <c r="Y175" s="2245"/>
      <c r="Z175" s="2244"/>
      <c r="AA175" s="2244" t="s">
        <v>560</v>
      </c>
      <c r="AB175" s="2244"/>
      <c r="AC175" s="2244" t="s">
        <v>549</v>
      </c>
      <c r="AD175" s="2244" t="s">
        <v>550</v>
      </c>
      <c r="AE175" s="2244"/>
      <c r="AF175" s="1447"/>
      <c r="AG175" s="1434" t="s">
        <v>551</v>
      </c>
      <c r="AH175" s="1417"/>
      <c r="AI175" s="1417" t="s">
        <v>225</v>
      </c>
      <c r="AJ175" s="1423"/>
      <c r="AK175" s="1093"/>
      <c r="AM175" s="1449"/>
      <c r="AN175" s="1449"/>
      <c r="AO175" s="2184"/>
      <c r="AP175" s="1447"/>
      <c r="AQ175" s="1447"/>
      <c r="AR175" s="1417"/>
      <c r="AS175" s="1447"/>
      <c r="AT175" s="1417"/>
      <c r="AU175" s="1417"/>
      <c r="BB175" s="88"/>
      <c r="BC175" s="2980" t="str">
        <f t="shared" si="23"/>
        <v/>
      </c>
      <c r="BD175" s="2980" t="str">
        <f t="shared" si="25"/>
        <v>Therme Horizon</v>
      </c>
      <c r="BE175" s="2980">
        <v>107</v>
      </c>
      <c r="BF175" s="2980">
        <v>121</v>
      </c>
      <c r="BG175" s="2980" t="s">
        <v>1934</v>
      </c>
      <c r="BH175" s="2981" t="str">
        <f>$AD$175</f>
        <v>Look Fwd Covenant Level</v>
      </c>
      <c r="BI175" s="2987">
        <f>$AD$174</f>
        <v>0</v>
      </c>
      <c r="BJ175" s="2980" t="s">
        <v>1967</v>
      </c>
      <c r="BK175" s="3"/>
      <c r="BL175" s="3"/>
      <c r="BM175" s="3"/>
      <c r="BN175" s="3"/>
      <c r="BO175" s="3"/>
    </row>
    <row r="176" spans="1:67" ht="15.75" customHeight="1">
      <c r="A176" s="60"/>
      <c r="B176" s="60"/>
      <c r="C176" s="66"/>
      <c r="D176" s="66"/>
      <c r="E176" s="66"/>
      <c r="G176" s="45"/>
      <c r="I176" s="2043"/>
      <c r="J176" s="16"/>
      <c r="K176" s="52"/>
      <c r="L176" s="101"/>
      <c r="M176" s="101"/>
      <c r="N176" s="101"/>
      <c r="O176" s="101"/>
      <c r="P176" s="39"/>
      <c r="R176" s="265"/>
      <c r="S176" s="319"/>
      <c r="T176" s="319"/>
      <c r="U176" s="320"/>
      <c r="V176" s="2253"/>
      <c r="W176" s="2238"/>
      <c r="X176" s="301"/>
      <c r="Y176" s="19"/>
      <c r="Z176" s="19"/>
      <c r="AA176" s="19"/>
      <c r="AB176" s="19"/>
      <c r="AC176" s="19"/>
      <c r="AD176" s="19"/>
      <c r="AE176" s="19"/>
      <c r="AF176" s="1447"/>
      <c r="AG176" s="3119" t="str">
        <f ca="1">_xlfn.LET(_xlpm.Nominator,X179,_xlpm.Denominator,X181,_xlpm.NominatorVar,AA179,_xlpm.DenominatorVar,AA181,_xlpm.Direction,_xlfn.XLOOKUP(X174,$AO$229:$AO$233,$AT$229:$AT$233),_xlpm.TargetMetric,_xlfn.XLOOKUP(X174,$AO$229:$AO$233,$AS$229:$AS$233),_xlpm.CovenantLevel,AC174,_xlpm.TargetVar,IF(_xlpm.Nominator&lt;&gt;_xlpm.TargetMetric,_xlpm.DenominatorVar,_xlpm.NominatorVar),_xlpm.CreditVar,IF(_xlpm.TargetVar=_xlpm.NominatorVar,_xlpm.DenominatorVar,_xlpm.NominatorVar),_xlpm.Limit,-_xlpm.CreditVar*_xlpm.CovenantLevel^(_xlpm.Direction),_xlpm.Diff,_xlpm.TargetVar-_xlpm.Limit,_xlpm.Pass,IF(_xlpm.Direction=1,_xlpm.Diff&lt;=0,_xlpm.Diff&gt;=0),_xlpm.Margin,ABS(_xlpm.Diff),_xlpm.MarginPct,TEXT(_xlpm.Margin/_xlpm.Limit,"0%"),_xlpm.Verdict,IF(_xlpm.Diff=0,"meets the covenant exactly",IF(_xlpm.Pass,"passes the covenant by "&amp;TEXT(_xlpm.Margin,"#,##0")&amp;" ("&amp;_xlpm.MarginPct&amp;"). ","fails the covenant by "&amp;TEXT(_xlpm.Margin,"#,##0")&amp;" ("&amp;_xlpm.MarginPct&amp;"). ")),_xlpm.RESULT,"The controllable metric ("&amp;_xlpm.TargetMetric&amp;") value of "&amp;TEXT(_xlpm.TargetVar,"#,##0")&amp;" compared to the Covenant limit of "&amp;TEXT(_xlpm.Limit,"#,##0")&amp;" "&amp;_xlpm.Verdict&amp;"",IFERROR(_xlpm.RESULT,"n/a"))</f>
        <v>n/a</v>
      </c>
      <c r="AH176" s="3119"/>
      <c r="AI176" s="3120"/>
      <c r="AJ176" s="1423"/>
      <c r="AK176" s="1093"/>
      <c r="AM176" s="3437" t="str">
        <f>X174&amp;" - Covenant Level"</f>
        <v>Interest Coverage Ratio - Covenant Level</v>
      </c>
      <c r="AN176" s="19"/>
      <c r="AO176" s="3438" t="s">
        <v>225</v>
      </c>
      <c r="AP176" s="3439" t="str">
        <f>_xlfn.XLOOKUP($AA174,tbl_period_debt[Period_display],tbl_period_debt[CX Scenario])</f>
        <v>Actual</v>
      </c>
      <c r="AQ176" s="2194" t="e" cm="1">
        <f t="array" ca="1" aca="1" ref="AQ176">IF(fx_ProtectPush,_xldudf_CX_PUSH(AC174,CX_ENTITY,AM176,val_asOfDate,AO176,AP176))</f>
        <v>#NAME?</v>
      </c>
      <c r="AR176" s="19"/>
      <c r="AS176" s="2203" t="e" cm="1">
        <f t="array" ca="1" aca="1" ref="AS176">_xldudf_CX_GET(CX_ENTITY,AM176,val_asOfDate,$AO176,,$AP176)</f>
        <v>#NAME?</v>
      </c>
      <c r="AT176" s="709" t="e" cm="1">
        <f t="array" ca="1" aca="1" ref="AT176">_xldudf_CX_GET(CX_ENTITY,$AM176,val_priorQtrEnd,$AO176,,$AP176)</f>
        <v>#NAME?</v>
      </c>
      <c r="AU176" s="19"/>
      <c r="BB176" s="88"/>
      <c r="BC176" s="2980">
        <f t="shared" si="23"/>
        <v>0</v>
      </c>
      <c r="BD176" s="2980" t="str">
        <f t="shared" si="25"/>
        <v>Therme Horizon</v>
      </c>
      <c r="BE176" s="2980">
        <v>107.50</v>
      </c>
      <c r="BF176" s="2980">
        <v>122</v>
      </c>
      <c r="BG176" s="2980"/>
      <c r="BH176" s="2981" t="str">
        <f>$X$183</f>
        <v>Ratio</v>
      </c>
      <c r="BI176" s="2987" t="e">
        <f ca="1">$AA$183</f>
        <v>#NAME?</v>
      </c>
      <c r="BJ176" s="2980" t="s">
        <v>1967</v>
      </c>
      <c r="BK176" s="3"/>
      <c r="BL176" s="3"/>
      <c r="BM176" s="3"/>
      <c r="BN176" s="3"/>
      <c r="BO176" s="3"/>
    </row>
    <row r="177" spans="1:67" ht="15" customHeight="1">
      <c r="A177" s="60"/>
      <c r="B177" s="60"/>
      <c r="C177" s="66"/>
      <c r="D177" s="66"/>
      <c r="E177" s="66"/>
      <c r="G177" s="45"/>
      <c r="I177" s="2043"/>
      <c r="J177" s="16"/>
      <c r="K177" s="52"/>
      <c r="L177" s="101"/>
      <c r="M177" s="101"/>
      <c r="N177" s="101"/>
      <c r="O177" s="101"/>
      <c r="P177" s="39"/>
      <c r="R177" s="265"/>
      <c r="S177" s="319"/>
      <c r="T177" s="319"/>
      <c r="U177" s="320"/>
      <c r="V177" s="2253"/>
      <c r="W177" s="2241"/>
      <c r="X177" s="1437"/>
      <c r="Y177" s="496"/>
      <c r="Z177" s="497"/>
      <c r="AA177" s="497"/>
      <c r="AB177" s="497"/>
      <c r="AC177" s="497"/>
      <c r="AD177" s="497"/>
      <c r="AE177" s="497"/>
      <c r="AF177" s="1447"/>
      <c r="AG177" s="3121"/>
      <c r="AH177" s="3121"/>
      <c r="AI177" s="3122"/>
      <c r="AJ177" s="1423"/>
      <c r="AK177" s="1093"/>
      <c r="AM177" s="3437" t="str">
        <f>X174&amp;" - Forward Covenant Level"</f>
        <v>Interest Coverage Ratio - Forward Covenant Level</v>
      </c>
      <c r="AN177" s="496"/>
      <c r="AO177" s="3440" t="s">
        <v>225</v>
      </c>
      <c r="AP177" s="3451" t="str">
        <f>_xlfn.XLOOKUP($AA174,tbl_period_debt[Period_display],tbl_period_debt[CX Scenario])</f>
        <v>Actual</v>
      </c>
      <c r="AQ177" s="2189" t="e" cm="1">
        <f t="array" ca="1" aca="1" ref="AQ177">IF(fx_ProtectPush,_xldudf_CX_PUSH(AD174,CX_ENTITY,AM177,val_asOfDate,AO177,AP177))</f>
        <v>#NAME?</v>
      </c>
      <c r="AR177" s="497"/>
      <c r="AS177" s="2203" t="e" cm="1">
        <f t="array" ca="1" aca="1" ref="AS177">_xldudf_CX_GET(CX_ENTITY,AM177,val_asOfDate,$AO177,,$AP177)</f>
        <v>#NAME?</v>
      </c>
      <c r="AT177" s="709" t="e" cm="1">
        <f t="array" ca="1" aca="1" ref="AT177">_xldudf_CX_GET(CX_ENTITY,$AM177,val_priorQtrEnd,$AO177,,$AP177)</f>
        <v>#NAME?</v>
      </c>
      <c r="AU177" s="497"/>
      <c r="BB177" s="88"/>
      <c r="BC177" s="2980">
        <f t="shared" si="23"/>
        <v>0</v>
      </c>
      <c r="BD177" s="2980" t="str">
        <f t="shared" si="25"/>
        <v>Therme Horizon</v>
      </c>
      <c r="BE177" s="2980">
        <v>108</v>
      </c>
      <c r="BF177" s="2980">
        <v>123</v>
      </c>
      <c r="BG177" s="2980" t="s">
        <v>556</v>
      </c>
      <c r="BH177" s="2993" t="str">
        <f>$X$184</f>
        <v>Covenant Headroom</v>
      </c>
      <c r="BI177" s="2987" t="e">
        <f ca="1">$AA$184</f>
        <v>#NAME?</v>
      </c>
      <c r="BJ177" s="2980" t="s">
        <v>1967</v>
      </c>
      <c r="BK177" s="3"/>
      <c r="BL177" s="3"/>
      <c r="BM177" s="3"/>
      <c r="BN177" s="3"/>
      <c r="BO177" s="3"/>
    </row>
    <row r="178" spans="1:67" ht="15" customHeight="1">
      <c r="A178" s="60"/>
      <c r="B178" s="60"/>
      <c r="C178" s="66"/>
      <c r="D178" s="66"/>
      <c r="E178" s="66"/>
      <c r="G178" s="45"/>
      <c r="I178" s="2043"/>
      <c r="J178" s="16"/>
      <c r="K178" s="52"/>
      <c r="L178" s="101"/>
      <c r="M178" s="101"/>
      <c r="N178" s="101"/>
      <c r="O178" s="101"/>
      <c r="P178" s="39"/>
      <c r="R178" s="265"/>
      <c r="S178" s="319"/>
      <c r="T178" s="319"/>
      <c r="U178" s="320"/>
      <c r="V178" s="2253"/>
      <c r="W178" s="2241"/>
      <c r="X178" s="1438"/>
      <c r="Y178" s="320"/>
      <c r="Z178" s="320"/>
      <c r="AA178" s="1431" t="s">
        <v>552</v>
      </c>
      <c r="AB178" s="1431"/>
      <c r="AC178" s="1431" t="s">
        <v>553</v>
      </c>
      <c r="AD178" s="1431" t="s">
        <v>554</v>
      </c>
      <c r="AE178" s="1044" t="s">
        <v>555</v>
      </c>
      <c r="AF178" s="1447"/>
      <c r="AG178" s="3121"/>
      <c r="AH178" s="3121"/>
      <c r="AI178" s="3122"/>
      <c r="AJ178" s="1423"/>
      <c r="AK178" s="1093"/>
      <c r="AM178" s="1438"/>
      <c r="AN178" s="320"/>
      <c r="AO178" s="987"/>
      <c r="AP178" s="320"/>
      <c r="AQ178" s="1431"/>
      <c r="AR178" s="1431"/>
      <c r="AS178" s="1431"/>
      <c r="AT178" s="1431"/>
      <c r="AU178" s="1044" t="s">
        <v>555</v>
      </c>
      <c r="BB178" s="88"/>
      <c r="BC178" s="2980">
        <f t="shared" si="23"/>
        <v>0</v>
      </c>
      <c r="BD178" s="2980" t="str">
        <f t="shared" si="25"/>
        <v>Therme Horizon</v>
      </c>
      <c r="BE178" s="2980">
        <v>109</v>
      </c>
      <c r="BF178" s="2980">
        <v>124</v>
      </c>
      <c r="BG178" s="2980" t="s">
        <v>557</v>
      </c>
      <c r="BH178" s="2993" t="str">
        <f>$X$185</f>
        <v>Covenant Headroom %</v>
      </c>
      <c r="BI178" s="2987" t="e">
        <f ca="1">$AA$185</f>
        <v>#NAME?</v>
      </c>
      <c r="BJ178" s="2980" t="s">
        <v>1967</v>
      </c>
      <c r="BK178" s="3"/>
      <c r="BL178" s="3"/>
      <c r="BM178" s="3"/>
      <c r="BN178" s="3"/>
      <c r="BO178" s="3"/>
    </row>
    <row r="179" spans="1:67" ht="15" customHeight="1">
      <c r="A179" s="60"/>
      <c r="B179" s="60"/>
      <c r="C179" s="66"/>
      <c r="D179" s="66"/>
      <c r="E179" s="66"/>
      <c r="G179" s="45"/>
      <c r="I179" s="2043"/>
      <c r="J179" s="16"/>
      <c r="K179" s="52"/>
      <c r="L179" s="101"/>
      <c r="M179" s="101"/>
      <c r="N179" s="101"/>
      <c r="O179" s="101"/>
      <c r="P179" s="39"/>
      <c r="R179" s="265"/>
      <c r="S179" s="319"/>
      <c r="T179" s="319"/>
      <c r="U179" s="320"/>
      <c r="V179" s="2253"/>
      <c r="W179" s="2255" t="e" vm="5" cm="1">
        <f t="array" ref="W179">IF(X179&lt;&gt;"",IFERROR(IF(_xlfn.XMATCH(X179,tbl_acctDef[Term],0)&gt;0,fx_getIcon("find"),""),""),"")</f>
        <v>#VALUE!</v>
      </c>
      <c r="X179" s="33" t="str">
        <f>_xlfn.XLOOKUP(X174,$AO$229:$AO$233,$AP$229:$AP$233,"Not found")</f>
        <v>Adjusted EBITDA</v>
      </c>
      <c r="Y179" s="703"/>
      <c r="Z179" s="1044" t="str">
        <f>IF(_xlfn.XLOOKUP(X179,$AN$205:$AN$224,$AQ$205:$AQ$224,0)="BS","As of "&amp;TEXT(AI$142,"MMM-yy"),AA$142)</f>
        <v>Actual LTM</v>
      </c>
      <c r="AA179" s="3442" t="e">
        <f ca="1">AS179</f>
        <v>#NAME?</v>
      </c>
      <c r="AB179" s="1416"/>
      <c r="AC179" s="1435"/>
      <c r="AD179" s="1432"/>
      <c r="AE179" s="1433"/>
      <c r="AF179" s="1447"/>
      <c r="AG179" s="3121"/>
      <c r="AH179" s="3121"/>
      <c r="AI179" s="3122"/>
      <c r="AJ179" s="1423"/>
      <c r="AK179" s="1093"/>
      <c r="AM179" s="3437" t="str">
        <f>X179&amp;" - Adjustment (Debt Ratio)"</f>
        <v>Adjusted EBITDA - Adjustment (Debt Ratio)</v>
      </c>
      <c r="AN179" s="703"/>
      <c r="AO179" s="3443" t="str">
        <f>_xlfn.XLOOKUP($Z179,tbl_period_debt[Period_display],tbl_period_debt[CX Period])</f>
        <v>LTM</v>
      </c>
      <c r="AP179" s="3444" t="str">
        <f>_xlfn.XLOOKUP($AA174,tbl_period_debt[Period_display],tbl_period_debt[CX Scenario])</f>
        <v>Actual</v>
      </c>
      <c r="AQ179" s="2194" t="e" cm="1">
        <f t="array" ca="1" aca="1" ref="AQ179">IF(fx_ProtectPush,_xldudf_CX_PUSH(AA179,CX_ENTITY,AM179,val_asOfDate,AO179,AP179))</f>
        <v>#NAME?</v>
      </c>
      <c r="AR179" s="1416"/>
      <c r="AS179" s="2203" t="e" cm="1">
        <f t="array" ca="1" aca="1" ref="AS179">_xldudf_CX_GET(CX_ENTITY,AM179,val_asOfDate,$AO179,,$AP179)</f>
        <v>#NAME?</v>
      </c>
      <c r="AT179" s="709" t="e" cm="1">
        <f t="array" ca="1" aca="1" ref="AT179">_xldudf_CX_GET(CX_ENTITY,$AM179,val_priorQtrEnd,$AO179,,$AP179)</f>
        <v>#NAME?</v>
      </c>
      <c r="AU179" s="1433"/>
      <c r="BB179" s="88"/>
      <c r="BC179" s="2980" t="str">
        <f t="shared" si="23"/>
        <v/>
      </c>
      <c r="BD179" s="2980" t="str">
        <f t="shared" si="25"/>
        <v>Therme Horizon</v>
      </c>
      <c r="BE179" s="2980">
        <v>110</v>
      </c>
      <c r="BF179" s="2980">
        <v>125</v>
      </c>
      <c r="BG179" s="2980" t="s">
        <v>556</v>
      </c>
      <c r="BH179" s="2981"/>
      <c r="BI179" s="2987"/>
      <c r="BJ179" s="2980" t="s">
        <v>1967</v>
      </c>
      <c r="BK179" s="3"/>
      <c r="BL179" s="3"/>
      <c r="BM179" s="3"/>
      <c r="BN179" s="3"/>
      <c r="BO179" s="3"/>
    </row>
    <row r="180" spans="1:67" ht="15" customHeight="1">
      <c r="A180" s="60"/>
      <c r="B180" s="60"/>
      <c r="C180" s="82"/>
      <c r="D180" s="82"/>
      <c r="E180" s="82"/>
      <c r="G180" s="45"/>
      <c r="I180" s="2043"/>
      <c r="J180" s="16"/>
      <c r="K180" s="52"/>
      <c r="L180" s="101"/>
      <c r="M180" s="101"/>
      <c r="N180" s="101"/>
      <c r="O180" s="101"/>
      <c r="P180" s="39"/>
      <c r="R180" s="265"/>
      <c r="S180" s="319"/>
      <c r="T180" s="319"/>
      <c r="U180" s="320"/>
      <c r="V180" s="2253"/>
      <c r="W180" s="2241" t="str" cm="1">
        <f t="array" ref="W180">IF(X180&lt;&gt;"",IFERROR(IF(_xlfn.XMATCH(X180,tbl_acctDef[Term],0)&gt;0,fx_getIcon("find"),""),""),"")</f>
        <v/>
      </c>
      <c r="X180" s="1439"/>
      <c r="Y180" s="703"/>
      <c r="Z180" s="987"/>
      <c r="AA180" s="2286"/>
      <c r="AB180" s="1354"/>
      <c r="AC180" s="320"/>
      <c r="AD180" s="320"/>
      <c r="AE180" s="320"/>
      <c r="AF180" s="1447"/>
      <c r="AG180" s="3121"/>
      <c r="AH180" s="3121"/>
      <c r="AI180" s="3122"/>
      <c r="AJ180" s="1423"/>
      <c r="AK180" s="1093"/>
      <c r="AM180" s="1440"/>
      <c r="AN180" s="399"/>
      <c r="AO180" s="1044"/>
      <c r="AP180" s="987"/>
      <c r="AQ180" s="1354"/>
      <c r="AR180" s="1354"/>
      <c r="AS180" s="1354"/>
      <c r="AT180" s="320"/>
      <c r="AU180" s="320"/>
      <c r="BB180" s="88"/>
      <c r="BC180" s="2980" t="str">
        <f t="shared" si="26" ref="BC180:BC196">IF($BH180="","",IF(ISNUMBER(_xlfn.XLOOKUP($BH180,X:X,AB:AB,"")),"",(_xlfn.XLOOKUP($BH180,X:X,AB:AB,""))))</f>
        <v/>
      </c>
      <c r="BD180" s="2980" t="str">
        <f t="shared" si="25"/>
        <v>Therme Horizon</v>
      </c>
      <c r="BE180" s="2980">
        <v>111</v>
      </c>
      <c r="BF180" s="2980">
        <v>126</v>
      </c>
      <c r="BG180" s="2980" t="s">
        <v>557</v>
      </c>
      <c r="BH180" s="2981"/>
      <c r="BI180" s="2987"/>
      <c r="BJ180" s="2980" t="s">
        <v>1967</v>
      </c>
      <c r="BK180" s="3"/>
      <c r="BL180" s="3"/>
      <c r="BM180" s="3"/>
      <c r="BN180" s="3"/>
      <c r="BO180" s="3"/>
    </row>
    <row r="181" spans="1:67" ht="15" customHeight="1">
      <c r="A181" s="60"/>
      <c r="B181" s="60"/>
      <c r="C181" s="82"/>
      <c r="D181" s="82"/>
      <c r="E181" s="82"/>
      <c r="G181" s="45"/>
      <c r="I181" s="2043"/>
      <c r="J181" s="16"/>
      <c r="K181" s="52"/>
      <c r="L181" s="101"/>
      <c r="M181" s="101"/>
      <c r="N181" s="101"/>
      <c r="O181" s="101"/>
      <c r="P181" s="39"/>
      <c r="R181" s="265"/>
      <c r="S181" s="319"/>
      <c r="T181" s="319"/>
      <c r="U181" s="320"/>
      <c r="V181" s="2253"/>
      <c r="W181" s="2255" t="str" cm="1">
        <f t="array" ref="W181">IF(X181&lt;&gt;"",IFERROR(IF(_xlfn.XMATCH(X181,tbl_acctDef[Term],0)&gt;0,fx_getIcon("find"),""),""),"")</f>
        <v/>
      </c>
      <c r="X181" s="33" t="str">
        <f>_xlfn.XLOOKUP(X174,$AO$229:$AO$233,$AQ$229:$AQ$233,"Not found")</f>
        <v>Cash Interest Expense</v>
      </c>
      <c r="Y181" s="703"/>
      <c r="Z181" s="1044" t="str">
        <f>IF(_xlfn.XLOOKUP(X181,$AN$205:$AN$224,$AQ$205:$AQ$224,0)="BS",""&amp;TEXT(AI$126,"MMM-yy"),AA$126)</f>
        <v>Actual L3M(A)</v>
      </c>
      <c r="AA181" s="3442" t="e">
        <f ca="1">AS181</f>
        <v>#NAME?</v>
      </c>
      <c r="AB181" s="1416"/>
      <c r="AC181" s="1430"/>
      <c r="AD181" s="1432"/>
      <c r="AE181" s="1433"/>
      <c r="AF181" s="1447"/>
      <c r="AG181" s="3121"/>
      <c r="AH181" s="3121"/>
      <c r="AI181" s="3122"/>
      <c r="AJ181" s="1423"/>
      <c r="AK181" s="1093"/>
      <c r="AM181" s="3437" t="str">
        <f>X181&amp;" - Adjustment (Debt Ratio)"</f>
        <v>Cash Interest Expense - Adjustment (Debt Ratio)</v>
      </c>
      <c r="AN181" s="703"/>
      <c r="AO181" s="3443" t="str">
        <f>_xlfn.XLOOKUP($Z181,tbl_period_debt[Period_display],tbl_period_debt[CX Period])</f>
        <v>Quarter</v>
      </c>
      <c r="AP181" s="3444" t="str">
        <f>_xlfn.XLOOKUP($AA174,tbl_period_debt[Period_display],tbl_period_debt[CX Scenario])</f>
        <v>Actual</v>
      </c>
      <c r="AQ181" s="2194" t="e" cm="1">
        <f t="array" ca="1" aca="1" ref="AQ181">IF(fx_ProtectPush,_xldudf_CX_PUSH(AA181,CX_ENTITY,AM181,val_asOfDate,AO181,AP181))</f>
        <v>#NAME?</v>
      </c>
      <c r="AR181" s="1416"/>
      <c r="AS181" s="2203" t="e" cm="1">
        <f t="array" ca="1" aca="1" ref="AS181">_xldudf_CX_GET(CX_ENTITY,AM181,val_asOfDate,$AO181,,$AP181)</f>
        <v>#NAME?</v>
      </c>
      <c r="AT181" s="709" t="e" cm="1">
        <f t="array" ca="1" aca="1" ref="AT181">_xldudf_CX_GET(CX_ENTITY,$AM181,val_priorQtrEnd,$AO181,,$AP181)</f>
        <v>#NAME?</v>
      </c>
      <c r="AU181" s="1433"/>
      <c r="BB181" s="88"/>
      <c r="BC181" s="2980" t="str">
        <f t="shared" si="26"/>
        <v/>
      </c>
      <c r="BD181" s="2980" t="str">
        <f t="shared" si="25"/>
        <v>Therme Horizon</v>
      </c>
      <c r="BE181" s="2980">
        <v>111.50</v>
      </c>
      <c r="BF181" s="2980">
        <v>127</v>
      </c>
      <c r="BG181" s="2980"/>
      <c r="BH181" s="2981" t="str">
        <f>$AG$175</f>
        <v>Summary</v>
      </c>
      <c r="BI181" s="2987" t="str">
        <f ca="1">$AG$176</f>
        <v>n/a</v>
      </c>
      <c r="BJ181" s="2980" t="s">
        <v>1967</v>
      </c>
      <c r="BK181" s="3"/>
      <c r="BL181" s="3"/>
      <c r="BM181" s="3"/>
      <c r="BN181" s="3"/>
      <c r="BO181" s="3"/>
    </row>
    <row r="182" spans="1:67" ht="15" customHeight="1">
      <c r="A182" s="60"/>
      <c r="B182" s="60"/>
      <c r="C182" s="82"/>
      <c r="D182" s="82"/>
      <c r="E182" s="82"/>
      <c r="G182" s="45"/>
      <c r="I182" s="2043"/>
      <c r="J182" s="16"/>
      <c r="K182" s="52"/>
      <c r="L182" s="101"/>
      <c r="M182" s="101"/>
      <c r="N182" s="101"/>
      <c r="O182" s="101"/>
      <c r="P182" s="39"/>
      <c r="R182" s="265"/>
      <c r="S182" s="319"/>
      <c r="T182" s="319"/>
      <c r="U182" s="320"/>
      <c r="V182" s="2253"/>
      <c r="W182" s="2241" t="str" cm="1">
        <f t="array" ref="W182">IF(X182&lt;&gt;"",IFERROR(IF(_xlfn.XMATCH(X182,tbl_acctDef[Term],0)&gt;0,fx_getIcon("find"),""),""),"")</f>
        <v/>
      </c>
      <c r="X182" s="1440"/>
      <c r="Y182" s="399"/>
      <c r="Z182" s="320"/>
      <c r="AA182" s="2287"/>
      <c r="AB182" s="1354"/>
      <c r="AC182" s="498"/>
      <c r="AD182" s="498"/>
      <c r="AE182" s="367"/>
      <c r="AF182" s="1447"/>
      <c r="AG182" s="3121"/>
      <c r="AH182" s="3121"/>
      <c r="AI182" s="3122"/>
      <c r="AJ182" s="1423"/>
      <c r="AK182" s="1093"/>
      <c r="AM182" s="1440"/>
      <c r="AN182" s="399"/>
      <c r="AO182" s="1044"/>
      <c r="AP182" s="320"/>
      <c r="AQ182" s="320"/>
      <c r="AR182" s="1354"/>
      <c r="AS182" s="320"/>
      <c r="AT182" s="498"/>
      <c r="AU182" s="367"/>
      <c r="BB182" s="88"/>
      <c r="BC182" s="2980" t="str">
        <f t="shared" si="26"/>
        <v/>
      </c>
      <c r="BD182" s="2980" t="str">
        <f t="shared" si="25"/>
        <v>Therme Horizon</v>
      </c>
      <c r="BE182" s="2980">
        <v>112</v>
      </c>
      <c r="BF182" s="2980">
        <v>128</v>
      </c>
      <c r="BG182" s="2980" t="s">
        <v>1935</v>
      </c>
      <c r="BH182" s="2994" t="str">
        <f>$W$190</f>
        <v>Comments</v>
      </c>
      <c r="BI182" s="2987" t="str">
        <f>IF($W$191="","n/a",$W$191)</f>
        <v>n/a</v>
      </c>
      <c r="BJ182" s="2980" t="s">
        <v>1967</v>
      </c>
      <c r="BK182" s="3"/>
      <c r="BL182" s="3"/>
      <c r="BM182" s="3"/>
      <c r="BN182" s="3"/>
      <c r="BO182" s="3"/>
    </row>
    <row r="183" spans="1:67" ht="15" customHeight="1">
      <c r="A183" s="60"/>
      <c r="B183" s="60"/>
      <c r="C183" s="82"/>
      <c r="D183" s="82"/>
      <c r="E183" s="82"/>
      <c r="G183" s="45"/>
      <c r="I183" s="2043"/>
      <c r="J183" s="16"/>
      <c r="K183" s="52"/>
      <c r="L183" s="101"/>
      <c r="M183" s="101"/>
      <c r="N183" s="101"/>
      <c r="O183" s="101"/>
      <c r="P183" s="39"/>
      <c r="R183" s="265"/>
      <c r="S183" s="319"/>
      <c r="T183" s="319"/>
      <c r="U183" s="320"/>
      <c r="V183" s="2253"/>
      <c r="W183" s="2241" t="str" cm="1">
        <f t="array" ref="W183">IF(X183&lt;&gt;"",IFERROR(IF(_xlfn.XMATCH(X183,tbl_acctDef[Term],0)&gt;0,fx_getIcon("find"),""),""),"")</f>
        <v/>
      </c>
      <c r="X183" s="1442" t="s">
        <v>308</v>
      </c>
      <c r="Y183" s="399"/>
      <c r="Z183" s="320"/>
      <c r="AA183" s="1443" t="e" cm="1">
        <f t="array" ca="1" aca="1" ref="AA183">_xlfn.SWITCH(TRUE,OR(AA179="",AA181=""),"n/a",OR(AA179="n/a",AA181="n/a",ISERROR(AA179),ISERROR(AA181),AA179*AA181&gt;=0),"n/a",ABS(AA179/AA181))</f>
        <v>#NAME?</v>
      </c>
      <c r="AB183" s="1426"/>
      <c r="AC183" s="1443"/>
      <c r="AD183" s="1443"/>
      <c r="AE183" s="1433"/>
      <c r="AF183" s="1447"/>
      <c r="AG183" s="3121"/>
      <c r="AH183" s="3121"/>
      <c r="AI183" s="3122"/>
      <c r="AJ183" s="1423"/>
      <c r="AK183" s="1093"/>
      <c r="AM183" s="3437" t="str">
        <f>X174</f>
        <v>Interest Coverage Ratio</v>
      </c>
      <c r="AN183" s="399"/>
      <c r="AO183" s="3445" t="s">
        <v>225</v>
      </c>
      <c r="AP183" s="3444" t="str">
        <f>_xlfn.XLOOKUP($AA174,tbl_period_debt[Period_display],tbl_period_debt[CX Scenario])</f>
        <v>Actual</v>
      </c>
      <c r="AQ183" s="2194" t="str" cm="1">
        <f t="array" ca="1" aca="1" ref="AQ183">IF(fx_ProtectPush,IF(ISNUMBER(AA183),_xldudf_CX_PUSH(AA183,CX_ENTITY,AM183,val_asOfDate,AO183,AP183),"NaN"))</f>
        <v>NaN</v>
      </c>
      <c r="AR183" s="1426"/>
      <c r="AS183" s="2203" t="e" cm="1">
        <f t="array" ca="1" aca="1" ref="AS183">_xldudf_CX_GET(CX_ENTITY,AM183,val_asOfDate,$AO183,,$AP183)</f>
        <v>#NAME?</v>
      </c>
      <c r="AT183" s="709" t="e" cm="1">
        <f t="array" ca="1" aca="1" ref="AT183">_xldudf_CX_GET(CX_ENTITY,$AM183,val_priorQtrEnd,$AO183,,$AP183)</f>
        <v>#NAME?</v>
      </c>
      <c r="AU183" s="1433"/>
      <c r="BB183" s="88"/>
      <c r="BC183" s="2980" t="str">
        <f t="shared" si="26"/>
        <v/>
      </c>
      <c r="BD183" s="2980" t="str">
        <f t="shared" si="27" ref="BD183:BD196">val_company</f>
        <v>Therme Horizon</v>
      </c>
      <c r="BE183" s="2980">
        <v>113</v>
      </c>
      <c r="BF183" s="2980">
        <v>129</v>
      </c>
      <c r="BG183" s="2980" t="s">
        <v>1884</v>
      </c>
      <c r="BH183" s="2981"/>
      <c r="BI183" s="2987"/>
      <c r="BJ183" s="2980"/>
      <c r="BK183" s="3"/>
      <c r="BL183" s="3"/>
      <c r="BM183" s="3"/>
      <c r="BN183" s="3"/>
      <c r="BO183" s="3"/>
    </row>
    <row r="184" spans="1:67" ht="15" customHeight="1">
      <c r="A184" s="60"/>
      <c r="B184" s="60"/>
      <c r="C184" s="82"/>
      <c r="D184" s="82"/>
      <c r="E184" s="82"/>
      <c r="G184" s="45"/>
      <c r="I184" s="2043"/>
      <c r="J184" s="16"/>
      <c r="K184" s="52"/>
      <c r="L184" s="101"/>
      <c r="M184" s="101"/>
      <c r="N184" s="101"/>
      <c r="O184" s="101"/>
      <c r="P184" s="39"/>
      <c r="R184" s="265"/>
      <c r="S184" s="319"/>
      <c r="T184" s="319"/>
      <c r="U184" s="320"/>
      <c r="V184" s="2253"/>
      <c r="W184" s="2255" t="e" vm="5" cm="1">
        <f t="array" ref="W184">IF(X184&lt;&gt;"",IFERROR(IF(_xlfn.XMATCH(X184,tbl_acctDef[Term],0)&gt;0,fx_getIcon("find"),""),""),"")</f>
        <v>#VALUE!</v>
      </c>
      <c r="X184" s="33" t="s">
        <v>556</v>
      </c>
      <c r="Y184" s="399"/>
      <c r="Z184" s="399"/>
      <c r="AA184" s="1444" t="e">
        <f ca="1">_xlfn.LET(_xlpm.Nominator,X179,_xlpm.Denominator,X181,_xlpm.NominatorVar,AA179,_xlpm.DenominatorVar,AA181,_xlpm.Direction,_xlfn.XLOOKUP(X174,$AO$229:$AO$233,$AT$229:$AT$233),_xlpm.TargetMetric,_xlfn.XLOOKUP(X174,$AO$229:$AO$233,$AS$229:$AS$233),_xlpm.CovenantLevel,AC174,_xlpm.TargetVar,IF(_xlpm.Nominator&lt;&gt;_xlpm.TargetMetric,_xlpm.DenominatorVar,_xlpm.NominatorVar),_xlpm.CreditVar,IF(_xlpm.TargetVar=_xlpm.NominatorVar,_xlpm.DenominatorVar,_xlpm.NominatorVar),_xlpm.Limit,ABS(_xlpm.CreditVar)*_xlpm.CovenantLevel^(_xlpm.Direction),_xlpm.Res,IFERROR(_xlpm.TargetVar-_xlpm.Limit,"n/a"),IF(_xlpm.CreditVar&gt;0,"n/a",_xlpm.Res))</f>
        <v>#NAME?</v>
      </c>
      <c r="AB184" s="1416"/>
      <c r="AC184" s="1444"/>
      <c r="AD184" s="1444"/>
      <c r="AE184" s="1433"/>
      <c r="AF184" s="1447"/>
      <c r="AG184" s="3121"/>
      <c r="AH184" s="3121"/>
      <c r="AI184" s="3122"/>
      <c r="AJ184" s="1423"/>
      <c r="AK184" s="1093"/>
      <c r="AM184" s="3437" t="str">
        <f>$X$126&amp;" - Covenant Headroom"</f>
        <v>Gross Leverage Ratio - Covenant Headroom</v>
      </c>
      <c r="AN184" s="399"/>
      <c r="AO184" s="3445" t="s">
        <v>225</v>
      </c>
      <c r="AP184" s="3444" t="str">
        <f>_xlfn.XLOOKUP($AA174,tbl_period_debt[Period_display],tbl_period_debt[CX Scenario])</f>
        <v>Actual</v>
      </c>
      <c r="AQ184" s="2194" t="str" cm="1">
        <f t="array" ca="1" aca="1" ref="AQ184">IF(fx_ProtectPush,IF(ISNUMBER(AA184),_xldudf_CX_PUSH(AA184,CX_ENTITY,AM184,val_asOfDate,AO184,AP184),"NaN"))</f>
        <v>NaN</v>
      </c>
      <c r="AR184" s="1416"/>
      <c r="AS184" s="2203" t="e" cm="1">
        <f t="array" ca="1" aca="1" ref="AS184">_xldudf_CX_GET(CX_ENTITY,AM184,val_asOfDate,$AO184,,$AP184)</f>
        <v>#NAME?</v>
      </c>
      <c r="AT184" s="709" t="e" cm="1">
        <f t="array" ca="1" aca="1" ref="AT184">_xldudf_CX_GET(CX_ENTITY,$AM184,val_priorQtrEnd,$AO184,,$AP184)</f>
        <v>#NAME?</v>
      </c>
      <c r="AU184" s="1433"/>
      <c r="BB184" s="88"/>
      <c r="BC184" s="2980" t="str">
        <f t="shared" si="26"/>
        <v/>
      </c>
      <c r="BD184" s="2980" t="str">
        <f t="shared" si="27"/>
        <v>Therme Horizon</v>
      </c>
      <c r="BE184" s="2980">
        <v>114</v>
      </c>
      <c r="BF184" s="2980">
        <v>130</v>
      </c>
      <c r="BG184" s="2980" t="s">
        <v>1936</v>
      </c>
      <c r="BH184" s="2981"/>
      <c r="BI184" s="2987"/>
      <c r="BJ184" s="2980"/>
      <c r="BK184" s="3"/>
      <c r="BL184" s="3"/>
      <c r="BM184" s="3"/>
      <c r="BN184" s="3"/>
      <c r="BO184" s="3"/>
    </row>
    <row r="185" spans="1:67" ht="15.75" customHeight="1">
      <c r="A185" s="60"/>
      <c r="B185" s="60"/>
      <c r="C185" s="82"/>
      <c r="D185" s="82"/>
      <c r="E185" s="82"/>
      <c r="G185" s="45"/>
      <c r="I185" s="2043"/>
      <c r="J185" s="16"/>
      <c r="K185" s="52"/>
      <c r="L185" s="101"/>
      <c r="M185" s="101"/>
      <c r="N185" s="101"/>
      <c r="O185" s="101"/>
      <c r="P185" s="39"/>
      <c r="R185" s="265"/>
      <c r="S185" s="319"/>
      <c r="T185" s="319"/>
      <c r="U185" s="320"/>
      <c r="V185" s="2253"/>
      <c r="W185" s="2255" t="e" vm="5" cm="1">
        <f t="array" ref="W185">IF(X185&lt;&gt;"",IFERROR(IF(_xlfn.XMATCH(X185,tbl_acctDef[Term],0)&gt;0,fx_getIcon("find"),""),""),"")</f>
        <v>#VALUE!</v>
      </c>
      <c r="X185" s="33" t="s">
        <v>557</v>
      </c>
      <c r="Y185" s="399"/>
      <c r="Z185" s="320"/>
      <c r="AA185" s="1445" t="e">
        <f ca="1">_xlfn.LET(_xlpm.Nominator,X179,_xlpm.Denominator,X181,_xlpm.NominatorVar,AA179,_xlpm.DenominatorVar,AA181,_xlpm.Direction,_xlfn.XLOOKUP(X174,$AO$229:$AO$233,$AT$229:$AT$233),_xlpm.TargetMetric,_xlfn.XLOOKUP(X174,$AO$229:$AO$233,$AS$229:$AS$233),_xlpm.CovenantLevel,AC174,_xlpm.TargetVar,IF(_xlpm.Nominator&lt;&gt;_xlpm.TargetMetric,_xlpm.DenominatorVar,_xlpm.NominatorVar),_xlpm.CreditVar,IF(_xlpm.TargetVar=_xlpm.NominatorVar,_xlpm.DenominatorVar,_xlpm.NominatorVar),_xlpm.Limit,ABS(_xlpm.CreditVar)*_xlpm.CovenantLevel^(_xlpm.Direction),IF(_xlpm.CreditVar&lt;=0,IFERROR((_xlpm.TargetVar-_xlpm.Limit)/_xlpm.TargetVar,"n/a"),"n/a"))</f>
        <v>#NAME?</v>
      </c>
      <c r="AB185" s="1429"/>
      <c r="AC185" s="1445"/>
      <c r="AD185" s="1445"/>
      <c r="AE185" s="1433"/>
      <c r="AF185" s="1447"/>
      <c r="AG185" s="3121"/>
      <c r="AH185" s="3121"/>
      <c r="AI185" s="3122"/>
      <c r="AJ185" s="1423"/>
      <c r="AK185" s="1093"/>
      <c r="AM185" s="3437" t="str">
        <f>$X$126&amp;" - Covenant Headroom %"</f>
        <v>Gross Leverage Ratio - Covenant Headroom %</v>
      </c>
      <c r="AN185" s="399"/>
      <c r="AO185" s="3445" t="s">
        <v>225</v>
      </c>
      <c r="AP185" s="3444" t="str">
        <f>_xlfn.XLOOKUP($AA174,tbl_period_debt[Period_display],tbl_period_debt[CX Scenario])</f>
        <v>Actual</v>
      </c>
      <c r="AQ185" s="2194" t="str" cm="1">
        <f t="array" ca="1" aca="1" ref="AQ185">IF(fx_ProtectPush,IF(ISNUMBER(AA185),_xldudf_CX_PUSH(AA185,CX_ENTITY,AM185,val_asOfDate,AO185,AP185),"NaN"))</f>
        <v>NaN</v>
      </c>
      <c r="AR185" s="1429"/>
      <c r="AS185" s="2203" t="e" cm="1">
        <f t="array" ca="1" aca="1" ref="AS185">_xldudf_CX_GET(CX_ENTITY,AM185,val_asOfDate,$AO185,,$AP185)</f>
        <v>#NAME?</v>
      </c>
      <c r="AT185" s="709" t="e" cm="1">
        <f t="array" ca="1" aca="1" ref="AT185">_xldudf_CX_GET(CX_ENTITY,$AM185,val_priorQtrEnd,$AO185,,$AP185)</f>
        <v>#NAME?</v>
      </c>
      <c r="AU185" s="1433"/>
      <c r="BB185" s="88"/>
      <c r="BC185" s="2980" t="str">
        <f t="shared" si="26"/>
        <v/>
      </c>
      <c r="BD185" s="2980" t="str">
        <f t="shared" si="27"/>
        <v>Therme Horizon</v>
      </c>
      <c r="BE185" s="2980">
        <v>7.50</v>
      </c>
      <c r="BF185" s="2980">
        <v>131</v>
      </c>
      <c r="BG185" s="2980"/>
      <c r="BH185" s="2981" t="s">
        <v>1958</v>
      </c>
      <c r="BI185" s="2987" t="str">
        <f>DebtOverview!$AR$23</f>
        <v>n/a</v>
      </c>
      <c r="BJ185" s="2980" t="s">
        <v>1947</v>
      </c>
      <c r="BK185" s="3"/>
      <c r="BL185" s="3"/>
      <c r="BM185" s="3"/>
      <c r="BN185" s="3"/>
      <c r="BO185" s="3"/>
    </row>
    <row r="186" spans="1:67" ht="15.75" customHeight="1">
      <c r="A186" s="60"/>
      <c r="B186" s="60"/>
      <c r="C186" s="82"/>
      <c r="D186" s="82"/>
      <c r="E186" s="82"/>
      <c r="G186" s="45"/>
      <c r="I186" s="2043"/>
      <c r="J186" s="16"/>
      <c r="K186" s="52"/>
      <c r="L186" s="101"/>
      <c r="M186" s="101"/>
      <c r="N186" s="101"/>
      <c r="O186" s="101"/>
      <c r="P186" s="39"/>
      <c r="R186" s="265"/>
      <c r="S186" s="319"/>
      <c r="T186" s="319"/>
      <c r="U186" s="320"/>
      <c r="V186" s="2253"/>
      <c r="W186" s="2241"/>
      <c r="X186" s="1441"/>
      <c r="Y186" s="400"/>
      <c r="Z186" s="367"/>
      <c r="AA186" s="367"/>
      <c r="AB186" s="367"/>
      <c r="AC186" s="367"/>
      <c r="AD186" s="367"/>
      <c r="AE186" s="367"/>
      <c r="AF186" s="1447"/>
      <c r="AG186" s="3123"/>
      <c r="AH186" s="3123"/>
      <c r="AI186" s="3124"/>
      <c r="AJ186" s="1423"/>
      <c r="AK186" s="1093"/>
      <c r="AM186" s="1441"/>
      <c r="AN186" s="400"/>
      <c r="AO186" s="2185"/>
      <c r="AP186" s="367"/>
      <c r="AQ186" s="367"/>
      <c r="AR186" s="367"/>
      <c r="AS186" s="367"/>
      <c r="AT186" s="367"/>
      <c r="AU186" s="367"/>
      <c r="BB186" s="88"/>
      <c r="BC186" s="2980" t="str">
        <f t="shared" si="26"/>
        <v/>
      </c>
      <c r="BD186" s="2980" t="str">
        <f t="shared" si="27"/>
        <v>Therme Horizon</v>
      </c>
      <c r="BE186" s="2980">
        <v>8.50</v>
      </c>
      <c r="BF186" s="2980">
        <v>132</v>
      </c>
      <c r="BG186" s="2980"/>
      <c r="BH186" s="2981" t="s">
        <v>1959</v>
      </c>
      <c r="BI186" s="2987" t="str">
        <f>DebtOverview!$AR$39</f>
        <v>n/a</v>
      </c>
      <c r="BJ186" s="2980" t="s">
        <v>1947</v>
      </c>
      <c r="BK186" s="3"/>
      <c r="BL186" s="3"/>
      <c r="BM186" s="3"/>
      <c r="BN186" s="3"/>
      <c r="BO186" s="3"/>
    </row>
    <row r="187" spans="1:67" ht="16.5" customHeight="1">
      <c r="A187" s="60"/>
      <c r="B187" s="60"/>
      <c r="C187" s="82"/>
      <c r="D187" s="82"/>
      <c r="E187" s="82"/>
      <c r="G187" s="45"/>
      <c r="I187" s="2043"/>
      <c r="J187" s="16"/>
      <c r="K187" s="52"/>
      <c r="L187" s="101"/>
      <c r="M187" s="101"/>
      <c r="N187" s="101"/>
      <c r="O187" s="101"/>
      <c r="P187" s="39"/>
      <c r="R187" s="265"/>
      <c r="S187" s="319"/>
      <c r="T187" s="319"/>
      <c r="U187" s="320"/>
      <c r="V187" s="2254"/>
      <c r="W187" s="2246"/>
      <c r="X187" s="2246"/>
      <c r="Y187" s="2246"/>
      <c r="Z187" s="2246"/>
      <c r="AA187" s="2246"/>
      <c r="AB187" s="2246"/>
      <c r="AC187" s="2246"/>
      <c r="AD187" s="2246"/>
      <c r="AE187" s="2246"/>
      <c r="AF187" s="1425"/>
      <c r="AG187" s="1448"/>
      <c r="AH187" s="1448"/>
      <c r="AI187" s="1448"/>
      <c r="AJ187" s="1424"/>
      <c r="AK187" s="1093"/>
      <c r="AM187" s="3446" t="s">
        <v>558</v>
      </c>
      <c r="AN187" s="1425"/>
      <c r="AO187" s="2186"/>
      <c r="AP187" s="1425"/>
      <c r="AQ187" s="2194" t="e" cm="1">
        <f t="array" ca="1" aca="1" ref="AQ187">IF(fx_ProtectPush,_xldudf_CX_PUSH(AG176,CX_ENTITY,AM187,val_asOfDate))</f>
        <v>#NAME?</v>
      </c>
      <c r="AR187" s="1448"/>
      <c r="AS187" s="2202" t="e" cm="1">
        <f t="array" ca="1" aca="1" ref="AS187">_xldudf_CX_GET(CX_ENTITY,$AM187,val_asOfDate,)</f>
        <v>#NAME?</v>
      </c>
      <c r="AT187" s="2202" t="e" cm="1">
        <f t="array" ca="1" aca="1" ref="AT187">_xldudf_CX_GET(CX_ENTITY,$AN187,val_priorQtrEnd,)</f>
        <v>#NAME?</v>
      </c>
      <c r="AU187" s="1448"/>
      <c r="BB187" s="88"/>
      <c r="BC187" s="2980" t="str">
        <f t="shared" si="26"/>
        <v/>
      </c>
      <c r="BD187" s="2980" t="str">
        <f t="shared" si="27"/>
        <v>Therme Horizon</v>
      </c>
      <c r="BE187" s="2980">
        <v>9.50</v>
      </c>
      <c r="BF187" s="2980">
        <v>133</v>
      </c>
      <c r="BG187" s="2980"/>
      <c r="BH187" s="2981" t="s">
        <v>1960</v>
      </c>
      <c r="BI187" s="2987" t="str">
        <f>DebtOverview!$AR$55</f>
        <v>n/a</v>
      </c>
      <c r="BJ187" s="2980" t="s">
        <v>1947</v>
      </c>
      <c r="BK187" s="3"/>
      <c r="BL187" s="3"/>
      <c r="BM187" s="3"/>
      <c r="BN187" s="3"/>
      <c r="BO187" s="3"/>
    </row>
    <row r="188" spans="1:67" ht="9.75" customHeight="1">
      <c r="A188" s="60"/>
      <c r="B188" s="60"/>
      <c r="C188" s="82"/>
      <c r="D188" s="82"/>
      <c r="E188" s="82"/>
      <c r="G188" s="45"/>
      <c r="I188" s="2043"/>
      <c r="J188" s="16"/>
      <c r="K188" s="52"/>
      <c r="L188" s="101"/>
      <c r="M188" s="101"/>
      <c r="N188" s="101"/>
      <c r="O188" s="101"/>
      <c r="P188" s="39"/>
      <c r="R188" s="265"/>
      <c r="S188" s="319"/>
      <c r="T188" s="319"/>
      <c r="U188" s="320" t="s">
        <v>561</v>
      </c>
      <c r="V188" s="320"/>
      <c r="W188" s="1115"/>
      <c r="X188" s="320"/>
      <c r="Y188" s="320"/>
      <c r="Z188" s="320"/>
      <c r="AA188" s="320"/>
      <c r="AB188" s="320"/>
      <c r="AC188" s="320"/>
      <c r="AD188" s="320"/>
      <c r="AE188" s="320"/>
      <c r="AF188" s="320"/>
      <c r="AG188" s="320"/>
      <c r="AH188" s="320"/>
      <c r="AI188" s="320"/>
      <c r="AJ188" s="157"/>
      <c r="AK188" s="1093"/>
      <c r="AM188" s="1439"/>
      <c r="AN188" s="399"/>
      <c r="AO188" s="1044"/>
      <c r="AP188" s="703"/>
      <c r="AQ188" s="2188"/>
      <c r="AR188" s="1439"/>
      <c r="AS188" s="2188"/>
      <c r="AT188" s="1044"/>
      <c r="AU188" s="703"/>
      <c r="BB188" s="88"/>
      <c r="BC188" s="2980" t="str">
        <f t="shared" si="26"/>
        <v/>
      </c>
      <c r="BD188" s="2980" t="str">
        <f t="shared" si="27"/>
        <v>Therme Horizon</v>
      </c>
      <c r="BE188" s="2980">
        <v>10.50</v>
      </c>
      <c r="BF188" s="2980">
        <v>134</v>
      </c>
      <c r="BG188" s="2980"/>
      <c r="BH188" s="2981" t="s">
        <v>1961</v>
      </c>
      <c r="BI188" s="2987" t="str">
        <f>DebtOverview!$AR$71</f>
        <v>n/a</v>
      </c>
      <c r="BJ188" s="2980" t="s">
        <v>1947</v>
      </c>
      <c r="BK188" s="3"/>
      <c r="BL188" s="3"/>
      <c r="BM188" s="3"/>
      <c r="BN188" s="3"/>
      <c r="BO188" s="3"/>
    </row>
    <row r="189" spans="1:67" ht="29.15" customHeight="1">
      <c r="A189" s="315"/>
      <c r="B189" s="315"/>
      <c r="C189" s="306"/>
      <c r="D189" s="244"/>
      <c r="E189" s="59"/>
      <c r="G189" s="45"/>
      <c r="I189" s="2043"/>
      <c r="J189" s="16"/>
      <c r="K189" s="52"/>
      <c r="L189" s="101"/>
      <c r="M189" s="101"/>
      <c r="N189" s="101"/>
      <c r="O189" s="101"/>
      <c r="P189" s="39"/>
      <c r="R189" s="265"/>
      <c r="S189" s="319"/>
      <c r="T189" s="319"/>
      <c r="U189" s="320"/>
      <c r="V189" s="320"/>
      <c r="W189" s="333"/>
      <c r="X189" s="333"/>
      <c r="Y189" s="333"/>
      <c r="Z189" s="334"/>
      <c r="AA189" s="334"/>
      <c r="AB189" s="334"/>
      <c r="AC189" s="334"/>
      <c r="AD189" s="334"/>
      <c r="AE189" s="334"/>
      <c r="AF189" s="334"/>
      <c r="AG189" s="335"/>
      <c r="AH189" s="335"/>
      <c r="AI189" s="335"/>
      <c r="AJ189" s="332"/>
      <c r="AK189" s="1093"/>
      <c r="AM189" s="1439"/>
      <c r="AN189" s="399"/>
      <c r="AO189" s="1044"/>
      <c r="AP189" s="703"/>
      <c r="AQ189" s="2188"/>
      <c r="AR189" s="1439"/>
      <c r="AS189" s="2188"/>
      <c r="AT189" s="1044"/>
      <c r="AU189" s="703"/>
      <c r="BB189" s="88"/>
      <c r="BC189" s="2980" t="str">
        <f t="shared" si="26"/>
        <v/>
      </c>
      <c r="BD189" s="2980" t="str">
        <f t="shared" si="27"/>
        <v>Therme Horizon</v>
      </c>
      <c r="BE189" s="2980">
        <v>19.50</v>
      </c>
      <c r="BF189" s="2980">
        <v>135</v>
      </c>
      <c r="BG189" s="2980"/>
      <c r="BH189" s="2981" t="s">
        <v>1962</v>
      </c>
      <c r="BI189" s="2987">
        <f>N(DebtOverview!$AR$144)</f>
        <v>0</v>
      </c>
      <c r="BJ189" s="2980" t="s">
        <v>1947</v>
      </c>
      <c r="BK189" s="3"/>
      <c r="BL189" s="3"/>
      <c r="BM189" s="3"/>
      <c r="BN189" s="3"/>
      <c r="BO189" s="3"/>
    </row>
    <row r="190" spans="1:67" ht="15.5">
      <c r="A190" s="59"/>
      <c r="B190" s="59"/>
      <c r="C190" s="59"/>
      <c r="D190" s="244"/>
      <c r="E190" s="59"/>
      <c r="G190" s="45"/>
      <c r="I190" s="2043"/>
      <c r="J190" s="16"/>
      <c r="K190" s="52"/>
      <c r="L190" s="101"/>
      <c r="M190" s="101"/>
      <c r="N190" s="101"/>
      <c r="O190" s="101"/>
      <c r="P190" s="39"/>
      <c r="R190" s="265"/>
      <c r="S190" s="319"/>
      <c r="T190" s="319"/>
      <c r="U190" s="320"/>
      <c r="V190" s="320"/>
      <c r="W190" s="336" t="s">
        <v>466</v>
      </c>
      <c r="X190" s="337"/>
      <c r="Y190" s="337"/>
      <c r="Z190" s="338"/>
      <c r="AA190" s="338"/>
      <c r="AB190" s="338"/>
      <c r="AC190" s="338"/>
      <c r="AD190" s="338"/>
      <c r="AE190" s="338"/>
      <c r="AF190" s="338"/>
      <c r="AG190" s="339"/>
      <c r="AH190" s="339"/>
      <c r="AI190" s="339"/>
      <c r="AJ190" s="330"/>
      <c r="AK190" s="1093"/>
      <c r="AM190" s="1439"/>
      <c r="AN190" s="399"/>
      <c r="AO190" s="1044"/>
      <c r="AP190" s="703"/>
      <c r="AQ190" s="2188"/>
      <c r="AR190" s="1439"/>
      <c r="AS190" s="2188"/>
      <c r="AT190" s="1044"/>
      <c r="AU190" s="703"/>
      <c r="BB190" s="88"/>
      <c r="BC190" s="2980" t="str">
        <f t="shared" si="26"/>
        <v/>
      </c>
      <c r="BD190" s="2980" t="str">
        <f t="shared" si="27"/>
        <v>Therme Horizon</v>
      </c>
      <c r="BE190" s="2980">
        <v>26.50</v>
      </c>
      <c r="BF190" s="2980">
        <v>136</v>
      </c>
      <c r="BG190" s="2980"/>
      <c r="BH190" s="2981" t="s">
        <v>1963</v>
      </c>
      <c r="BI190" s="2987">
        <f>N(DebtOverview!$AR$121)</f>
        <v>0</v>
      </c>
      <c r="BJ190" s="2980" t="s">
        <v>1947</v>
      </c>
      <c r="BK190" s="3"/>
      <c r="BL190" s="3"/>
      <c r="BM190" s="3"/>
      <c r="BN190" s="3"/>
      <c r="BO190" s="3"/>
    </row>
    <row r="191" spans="1:67" ht="15.5">
      <c r="A191" s="59"/>
      <c r="B191" s="59"/>
      <c r="C191" s="59"/>
      <c r="D191" s="59"/>
      <c r="E191" s="59"/>
      <c r="G191" s="45"/>
      <c r="I191" s="2043"/>
      <c r="J191" s="16"/>
      <c r="K191" s="52"/>
      <c r="L191" s="101"/>
      <c r="M191" s="101"/>
      <c r="N191" s="101"/>
      <c r="O191" s="101"/>
      <c r="P191" s="39"/>
      <c r="R191" s="265"/>
      <c r="S191" s="319"/>
      <c r="T191" s="319"/>
      <c r="U191" s="320"/>
      <c r="V191" s="320"/>
      <c r="W191" s="3108"/>
      <c r="X191" s="3109"/>
      <c r="Y191" s="3109"/>
      <c r="Z191" s="3109"/>
      <c r="AA191" s="3109"/>
      <c r="AB191" s="3109"/>
      <c r="AC191" s="3109"/>
      <c r="AD191" s="3109"/>
      <c r="AE191" s="3110"/>
      <c r="AF191" s="338"/>
      <c r="AG191" s="339"/>
      <c r="AH191" s="339"/>
      <c r="AI191" s="339"/>
      <c r="AJ191" s="330"/>
      <c r="AK191" s="1093"/>
      <c r="AM191" s="3437" t="s">
        <v>564</v>
      </c>
      <c r="AN191" s="399"/>
      <c r="AO191" s="1044"/>
      <c r="AP191" s="703"/>
      <c r="AQ191" s="2194" t="e" cm="1">
        <f t="array" ca="1" aca="1" ref="AQ191">IF(fx_ProtectPush,_xldudf_CX_PUSH(W191,CX_ENTITY,AM191,val_asOfDate))</f>
        <v>#NAME?</v>
      </c>
      <c r="AR191" s="1439"/>
      <c r="AS191" s="2202" t="e" cm="1">
        <f t="array" ca="1" aca="1" ref="AS191">_xldudf_CX_GET(CX_ENTITY,$AM191,val_asOfDate,)</f>
        <v>#NAME?</v>
      </c>
      <c r="AT191" s="2202" t="e" cm="1">
        <f t="array" ca="1" aca="1" ref="AT191">_xldudf_CX_GET(CX_ENTITY,$AN191,val_priorQtrEnd,)</f>
        <v>#NAME?</v>
      </c>
      <c r="AU191" s="703"/>
      <c r="BB191" s="88"/>
      <c r="BC191" s="2980" t="str">
        <f t="shared" si="26"/>
        <v/>
      </c>
      <c r="BD191" s="2980" t="str">
        <f t="shared" si="27"/>
        <v>Therme Horizon</v>
      </c>
      <c r="BE191" s="2980">
        <v>27.50</v>
      </c>
      <c r="BF191" s="2980">
        <v>137</v>
      </c>
      <c r="BG191" s="2980"/>
      <c r="BH191" s="2981" t="s">
        <v>1964</v>
      </c>
      <c r="BI191" s="2987">
        <f>N(DebtOverview!$AR$182)</f>
        <v>0</v>
      </c>
      <c r="BJ191" s="2980" t="s">
        <v>1947</v>
      </c>
      <c r="BK191" s="3"/>
      <c r="BL191" s="3"/>
      <c r="BM191" s="3"/>
      <c r="BN191" s="3"/>
      <c r="BO191" s="3"/>
    </row>
    <row r="192" spans="1:67" ht="15" customHeight="1">
      <c r="A192" s="59"/>
      <c r="B192" s="59"/>
      <c r="C192" s="59"/>
      <c r="D192" s="59"/>
      <c r="E192" s="59"/>
      <c r="G192" s="45"/>
      <c r="I192" s="2043"/>
      <c r="J192" s="16"/>
      <c r="K192" s="52"/>
      <c r="L192" s="101"/>
      <c r="M192" s="101"/>
      <c r="N192" s="101"/>
      <c r="O192" s="101"/>
      <c r="P192" s="39"/>
      <c r="R192" s="265"/>
      <c r="S192" s="319"/>
      <c r="T192" s="319"/>
      <c r="U192" s="320"/>
      <c r="V192" s="320"/>
      <c r="W192" s="3111"/>
      <c r="X192" s="3112"/>
      <c r="Y192" s="3112"/>
      <c r="Z192" s="3112"/>
      <c r="AA192" s="3112"/>
      <c r="AB192" s="3112"/>
      <c r="AC192" s="3112"/>
      <c r="AD192" s="3112"/>
      <c r="AE192" s="3113"/>
      <c r="AF192" s="338"/>
      <c r="AG192" s="339"/>
      <c r="AH192" s="339"/>
      <c r="AI192" s="339"/>
      <c r="AJ192" s="330"/>
      <c r="AK192" s="1093"/>
      <c r="AM192" s="1439"/>
      <c r="AN192" s="399"/>
      <c r="AO192" s="1044"/>
      <c r="AP192" s="703"/>
      <c r="AQ192" s="2188"/>
      <c r="AR192" s="1439"/>
      <c r="AS192" s="399"/>
      <c r="AT192" s="1044"/>
      <c r="AU192" s="703"/>
      <c r="BB192" s="88"/>
      <c r="BC192" s="2980" t="str">
        <f t="shared" si="26"/>
        <v/>
      </c>
      <c r="BD192" s="2980" t="str">
        <f t="shared" si="27"/>
        <v>Therme Horizon</v>
      </c>
      <c r="BE192" s="2980">
        <v>20.50</v>
      </c>
      <c r="BF192" s="2980">
        <v>138</v>
      </c>
      <c r="BG192" s="2980"/>
      <c r="BH192" s="2981" t="s">
        <v>1820</v>
      </c>
      <c r="BI192" s="2987">
        <f>DebtOverview!$AN$162</f>
        <v>0</v>
      </c>
      <c r="BJ192" s="2980" t="s">
        <v>1947</v>
      </c>
      <c r="BK192" s="3"/>
      <c r="BL192" s="3"/>
      <c r="BM192" s="3"/>
      <c r="BN192" s="3"/>
      <c r="BO192" s="3"/>
    </row>
    <row r="193" spans="1:67" ht="15" customHeight="1">
      <c r="A193" s="59"/>
      <c r="B193" s="59"/>
      <c r="C193" s="59"/>
      <c r="D193" s="59"/>
      <c r="E193" s="59"/>
      <c r="G193" s="45"/>
      <c r="I193" s="2043"/>
      <c r="J193" s="16"/>
      <c r="K193" s="52"/>
      <c r="L193" s="101"/>
      <c r="M193" s="101"/>
      <c r="N193" s="101"/>
      <c r="O193" s="101"/>
      <c r="P193" s="39"/>
      <c r="R193" s="265"/>
      <c r="S193" s="319"/>
      <c r="T193" s="319"/>
      <c r="U193" s="320"/>
      <c r="V193" s="320"/>
      <c r="W193" s="3111"/>
      <c r="X193" s="3112"/>
      <c r="Y193" s="3112"/>
      <c r="Z193" s="3112"/>
      <c r="AA193" s="3112"/>
      <c r="AB193" s="3112"/>
      <c r="AC193" s="3112"/>
      <c r="AD193" s="3112"/>
      <c r="AE193" s="3113"/>
      <c r="AF193" s="338"/>
      <c r="AG193" s="339"/>
      <c r="AH193" s="339"/>
      <c r="AI193" s="339"/>
      <c r="AJ193" s="330"/>
      <c r="AK193" s="1093"/>
      <c r="AM193" s="1439"/>
      <c r="AN193" s="399"/>
      <c r="AO193" s="1044"/>
      <c r="AP193" s="703"/>
      <c r="AQ193" s="2188"/>
      <c r="AR193" s="1439"/>
      <c r="AS193" s="399"/>
      <c r="AT193" s="1044"/>
      <c r="AU193" s="703"/>
      <c r="BB193" s="88"/>
      <c r="BC193" s="2980" t="str">
        <f t="shared" si="26"/>
        <v/>
      </c>
      <c r="BD193" s="2980" t="str">
        <f t="shared" si="27"/>
        <v>Therme Horizon</v>
      </c>
      <c r="BE193" s="2980">
        <v>19.50</v>
      </c>
      <c r="BF193" s="2980">
        <v>139</v>
      </c>
      <c r="BG193" s="2980"/>
      <c r="BH193" s="2981" t="s">
        <v>1812</v>
      </c>
      <c r="BI193" s="2987">
        <f>DebtOverview!$AN$143</f>
        <v>0</v>
      </c>
      <c r="BJ193" s="2980" t="s">
        <v>1947</v>
      </c>
      <c r="BK193" s="3"/>
      <c r="BL193" s="3"/>
      <c r="BM193" s="3"/>
      <c r="BN193" s="3"/>
      <c r="BO193" s="3"/>
    </row>
    <row r="194" spans="1:67" ht="15" customHeight="1">
      <c r="A194" s="59"/>
      <c r="B194" s="59"/>
      <c r="C194" s="59"/>
      <c r="D194" s="59"/>
      <c r="E194" s="59"/>
      <c r="G194" s="45"/>
      <c r="I194" s="2043"/>
      <c r="J194" s="16"/>
      <c r="K194" s="52"/>
      <c r="L194" s="101"/>
      <c r="M194" s="101"/>
      <c r="N194" s="101"/>
      <c r="O194" s="101"/>
      <c r="P194" s="39"/>
      <c r="R194" s="265"/>
      <c r="S194" s="319"/>
      <c r="T194" s="319"/>
      <c r="U194" s="320"/>
      <c r="V194" s="320"/>
      <c r="W194" s="3111"/>
      <c r="X194" s="3112"/>
      <c r="Y194" s="3112"/>
      <c r="Z194" s="3112"/>
      <c r="AA194" s="3112"/>
      <c r="AB194" s="3112"/>
      <c r="AC194" s="3112"/>
      <c r="AD194" s="3112"/>
      <c r="AE194" s="3113"/>
      <c r="AF194" s="338"/>
      <c r="AG194" s="339"/>
      <c r="AH194" s="339"/>
      <c r="AI194" s="339"/>
      <c r="AJ194" s="330"/>
      <c r="AK194" s="1093"/>
      <c r="AM194" s="1439"/>
      <c r="AN194" s="399"/>
      <c r="AO194" s="1044"/>
      <c r="AP194" s="703"/>
      <c r="AQ194" s="2188"/>
      <c r="AR194" s="1439"/>
      <c r="AS194" s="399"/>
      <c r="AT194" s="1044"/>
      <c r="AU194" s="703"/>
      <c r="BB194" s="88"/>
      <c r="BC194" s="2980" t="str">
        <f t="shared" si="26"/>
        <v/>
      </c>
      <c r="BD194" s="2980" t="str">
        <f t="shared" si="27"/>
        <v>Therme Horizon</v>
      </c>
      <c r="BE194" s="2980">
        <v>28.33</v>
      </c>
      <c r="BF194" s="2980">
        <v>140</v>
      </c>
      <c r="BG194" s="2980"/>
      <c r="BH194" s="2981" t="s">
        <v>1830</v>
      </c>
      <c r="BI194" s="2987">
        <f ca="1">N(DebtOverview!$AL$203)</f>
        <v>0</v>
      </c>
      <c r="BJ194" s="2980" t="s">
        <v>1947</v>
      </c>
      <c r="BK194" s="3"/>
      <c r="BL194" s="3"/>
      <c r="BM194" s="3"/>
      <c r="BN194" s="3"/>
      <c r="BO194" s="3"/>
    </row>
    <row r="195" spans="1:62" ht="15" customHeight="1">
      <c r="A195" s="59"/>
      <c r="B195" s="59"/>
      <c r="C195" s="59"/>
      <c r="D195" s="59"/>
      <c r="E195" s="59"/>
      <c r="G195" s="45"/>
      <c r="I195" s="2043"/>
      <c r="J195" s="16"/>
      <c r="K195" s="52"/>
      <c r="L195" s="101"/>
      <c r="M195" s="101"/>
      <c r="N195" s="101"/>
      <c r="O195" s="101"/>
      <c r="P195" s="39"/>
      <c r="R195" s="265"/>
      <c r="S195" s="319"/>
      <c r="T195" s="319"/>
      <c r="U195" s="320"/>
      <c r="V195" s="320"/>
      <c r="W195" s="3114"/>
      <c r="X195" s="3115"/>
      <c r="Y195" s="3115"/>
      <c r="Z195" s="3115"/>
      <c r="AA195" s="3115"/>
      <c r="AB195" s="3115"/>
      <c r="AC195" s="3115"/>
      <c r="AD195" s="3115"/>
      <c r="AE195" s="3116"/>
      <c r="AF195" s="338"/>
      <c r="AG195" s="339"/>
      <c r="AH195" s="339"/>
      <c r="AI195" s="339"/>
      <c r="AJ195" s="330"/>
      <c r="AK195" s="1093"/>
      <c r="BC195" s="2980" t="str">
        <f t="shared" si="26"/>
        <v/>
      </c>
      <c r="BD195" s="2980" t="str">
        <f t="shared" si="27"/>
        <v>Therme Horizon</v>
      </c>
      <c r="BE195" s="2980">
        <v>28.66</v>
      </c>
      <c r="BF195" s="2980">
        <v>141</v>
      </c>
      <c r="BG195" s="2980"/>
      <c r="BH195" s="2981" t="s">
        <v>1831</v>
      </c>
      <c r="BI195" s="2987">
        <f ca="1">N(DebtOverview!$AL$204)</f>
        <v>0</v>
      </c>
      <c r="BJ195" s="2980" t="s">
        <v>1947</v>
      </c>
    </row>
    <row r="196" spans="1:62" ht="15.5">
      <c r="A196" s="59"/>
      <c r="B196" s="59"/>
      <c r="C196" s="59"/>
      <c r="D196" s="59"/>
      <c r="E196" s="59"/>
      <c r="G196" s="45"/>
      <c r="I196" s="2043"/>
      <c r="J196" s="16"/>
      <c r="K196" s="52"/>
      <c r="L196" s="101"/>
      <c r="M196" s="101"/>
      <c r="N196" s="101"/>
      <c r="O196" s="101"/>
      <c r="P196" s="39"/>
      <c r="R196" s="141"/>
      <c r="S196" s="319"/>
      <c r="T196" s="319"/>
      <c r="U196" s="320"/>
      <c r="V196" s="320"/>
      <c r="W196" s="141"/>
      <c r="X196" s="141"/>
      <c r="Y196" s="141"/>
      <c r="Z196" s="304"/>
      <c r="AA196" s="304"/>
      <c r="AB196" s="304"/>
      <c r="AC196" s="304"/>
      <c r="AD196" s="304"/>
      <c r="AE196" s="304"/>
      <c r="AF196" s="304"/>
      <c r="AG196" s="339"/>
      <c r="AH196" s="339"/>
      <c r="AI196" s="339"/>
      <c r="AJ196" s="330"/>
      <c r="AK196" s="157"/>
      <c r="BC196" s="2980" t="str">
        <f t="shared" si="26"/>
        <v/>
      </c>
      <c r="BD196" s="2980" t="str">
        <f t="shared" si="27"/>
        <v>Therme Horizon</v>
      </c>
      <c r="BE196" s="2980">
        <v>31.50</v>
      </c>
      <c r="BF196" s="2980">
        <v>142</v>
      </c>
      <c r="BG196" s="2980"/>
      <c r="BH196" s="2981" t="s">
        <v>1839</v>
      </c>
      <c r="BI196" s="2987">
        <f>N(DebtOverview!$AL$213)</f>
        <v>0</v>
      </c>
      <c r="BJ196" s="2980" t="s">
        <v>1947</v>
      </c>
    </row>
    <row r="197" spans="1:62" ht="15.5">
      <c r="A197" s="83"/>
      <c r="B197" s="83"/>
      <c r="C197" s="65"/>
      <c r="D197" s="65"/>
      <c r="E197" s="65"/>
      <c r="G197" s="211"/>
      <c r="I197" s="2043"/>
      <c r="J197" s="16"/>
      <c r="K197" s="52"/>
      <c r="L197" s="101"/>
      <c r="M197" s="101"/>
      <c r="N197" s="101"/>
      <c r="O197" s="101"/>
      <c r="P197" s="39"/>
      <c r="R197" s="324"/>
      <c r="S197" s="319"/>
      <c r="T197" s="319"/>
      <c r="U197" s="320"/>
      <c r="V197" s="320"/>
      <c r="W197" s="320"/>
      <c r="X197" s="320"/>
      <c r="Y197" s="320"/>
      <c r="Z197" s="320"/>
      <c r="AA197" s="1870"/>
      <c r="AB197" s="1870"/>
      <c r="AC197" s="1870"/>
      <c r="AD197" s="1870"/>
      <c r="AE197" s="1870"/>
      <c r="AF197" s="1870"/>
      <c r="AG197" s="339"/>
      <c r="AH197" s="339"/>
      <c r="AI197" s="339"/>
      <c r="AJ197" s="330"/>
      <c r="AK197" s="157"/>
      <c r="BC197" s="88"/>
      <c r="BD197" s="88"/>
      <c r="BE197" s="88"/>
      <c r="BF197" s="88"/>
      <c r="BG197" s="88"/>
      <c r="BH197" s="88"/>
      <c r="BI197" s="1314"/>
      <c r="BJ197" s="88"/>
    </row>
    <row r="198" spans="9:37" ht="14.25" customHeight="1">
      <c r="I198" s="2043"/>
      <c r="J198" s="16"/>
      <c r="K198" s="52"/>
      <c r="L198" s="101"/>
      <c r="M198" s="101"/>
      <c r="N198" s="101"/>
      <c r="O198" s="101"/>
      <c r="P198" s="39"/>
      <c r="R198" s="324"/>
      <c r="S198" s="319"/>
      <c r="T198" s="319"/>
      <c r="U198" s="320"/>
      <c r="V198" s="320"/>
      <c r="W198" s="320"/>
      <c r="X198" s="320"/>
      <c r="Y198" s="320"/>
      <c r="Z198" s="320"/>
      <c r="AA198" s="1870"/>
      <c r="AB198" s="1870"/>
      <c r="AC198" s="1870"/>
      <c r="AD198" s="1870"/>
      <c r="AE198" s="1870"/>
      <c r="AF198" s="1870"/>
      <c r="AG198" s="339"/>
      <c r="AH198" s="339"/>
      <c r="AI198" s="339"/>
      <c r="AJ198" s="330"/>
      <c r="AK198" s="157"/>
    </row>
    <row r="199" spans="7:37" ht="14.25" customHeight="1">
      <c r="G199" s="45"/>
      <c r="I199" s="2043"/>
      <c r="J199" s="16"/>
      <c r="K199" s="52"/>
      <c r="L199" s="101"/>
      <c r="M199" s="101"/>
      <c r="N199" s="101"/>
      <c r="O199" s="101"/>
      <c r="P199" s="39"/>
      <c r="R199" s="324"/>
      <c r="S199" s="319"/>
      <c r="T199" s="319"/>
      <c r="U199" s="320"/>
      <c r="V199" s="320"/>
      <c r="W199" s="320"/>
      <c r="X199" s="320"/>
      <c r="Y199" s="320"/>
      <c r="Z199" s="320"/>
      <c r="AA199" s="1870"/>
      <c r="AB199" s="1870"/>
      <c r="AC199" s="1870"/>
      <c r="AD199" s="1870"/>
      <c r="AE199" s="1870"/>
      <c r="AF199" s="1870"/>
      <c r="AG199" s="339"/>
      <c r="AH199" s="339"/>
      <c r="AI199" s="339"/>
      <c r="AJ199" s="330"/>
      <c r="AK199" s="157"/>
    </row>
    <row r="200" spans="7:37" ht="14.25" customHeight="1">
      <c r="G200" s="45"/>
      <c r="I200" s="2043"/>
      <c r="J200" s="16"/>
      <c r="K200" s="52"/>
      <c r="L200" s="101"/>
      <c r="M200" s="126"/>
      <c r="N200" s="101"/>
      <c r="O200" s="101"/>
      <c r="P200" s="39"/>
      <c r="R200" s="265"/>
      <c r="S200" s="319"/>
      <c r="T200" s="319"/>
      <c r="U200" s="320"/>
      <c r="V200" s="320"/>
      <c r="W200" s="320"/>
      <c r="X200" s="320"/>
      <c r="Y200" s="320"/>
      <c r="Z200" s="320"/>
      <c r="AA200" s="1870"/>
      <c r="AB200" s="1870"/>
      <c r="AC200" s="1870"/>
      <c r="AD200" s="1870"/>
      <c r="AE200" s="1870"/>
      <c r="AF200" s="1870"/>
      <c r="AG200" s="339"/>
      <c r="AH200" s="339"/>
      <c r="AI200" s="339"/>
      <c r="AJ200" s="330"/>
      <c r="AK200" s="157"/>
    </row>
    <row r="201" spans="7:52" ht="14.25" customHeight="1">
      <c r="G201" s="45"/>
      <c r="I201" s="2043"/>
      <c r="J201" s="16"/>
      <c r="K201" s="52"/>
      <c r="L201" s="101"/>
      <c r="M201" s="126"/>
      <c r="N201" s="101"/>
      <c r="O201" s="101"/>
      <c r="P201" s="39"/>
      <c r="R201" s="265"/>
      <c r="S201" s="319"/>
      <c r="T201" s="319"/>
      <c r="U201" s="320"/>
      <c r="V201" s="320"/>
      <c r="W201" s="320"/>
      <c r="X201" s="320"/>
      <c r="Y201" s="320"/>
      <c r="Z201" s="320"/>
      <c r="AA201" s="1870"/>
      <c r="AB201" s="1870"/>
      <c r="AC201" s="1870"/>
      <c r="AD201" s="1870"/>
      <c r="AE201" s="1870"/>
      <c r="AF201" s="1870"/>
      <c r="AG201" s="339"/>
      <c r="AH201" s="339"/>
      <c r="AI201" s="339"/>
      <c r="AJ201" s="330"/>
      <c r="AK201" s="157"/>
      <c r="AN201" s="59"/>
      <c r="AO201" s="59"/>
      <c r="AP201" s="59"/>
      <c r="AQ201" s="1020" t="s">
        <v>565</v>
      </c>
      <c r="AR201" s="1020"/>
      <c r="AS201" s="1021">
        <f>val_asOfDate</f>
        <v>46022</v>
      </c>
      <c r="AT201" s="1021">
        <f>val_asOfDate</f>
        <v>46022</v>
      </c>
      <c r="AU201" s="1022">
        <f>val_asOfDate</f>
        <v>46022</v>
      </c>
      <c r="AV201" s="1022"/>
      <c r="AW201" s="1022" t="e">
        <f ca="1">AX201</f>
        <v>#NAME?</v>
      </c>
      <c r="AX201" s="1023" t="e" cm="1">
        <f t="array" ca="1" aca="1" ref="AX201">val_currentFYE</f>
        <v>#NAME?</v>
      </c>
      <c r="AY201" s="1023" t="e" cm="1">
        <f t="array" ca="1" aca="1" ref="AY201">val_currentFYE</f>
        <v>#NAME?</v>
      </c>
      <c r="AZ201" s="1022"/>
    </row>
    <row r="202" spans="7:52" ht="14.25" customHeight="1">
      <c r="G202" s="45"/>
      <c r="I202" s="2043"/>
      <c r="J202" s="16"/>
      <c r="K202" s="52"/>
      <c r="L202" s="101"/>
      <c r="M202" s="126"/>
      <c r="N202" s="101"/>
      <c r="O202" s="101"/>
      <c r="P202" s="39"/>
      <c r="R202" s="265"/>
      <c r="S202" s="319"/>
      <c r="T202" s="319"/>
      <c r="U202" s="320"/>
      <c r="V202" s="320"/>
      <c r="W202" s="320"/>
      <c r="X202" s="320"/>
      <c r="Y202" s="320"/>
      <c r="Z202" s="320"/>
      <c r="AA202" s="1870"/>
      <c r="AB202" s="1870"/>
      <c r="AC202" s="1870"/>
      <c r="AD202" s="1870"/>
      <c r="AE202" s="1870"/>
      <c r="AF202" s="1870"/>
      <c r="AG202" s="339"/>
      <c r="AH202" s="339"/>
      <c r="AI202" s="339"/>
      <c r="AJ202" s="330"/>
      <c r="AK202" s="157"/>
      <c r="AN202" s="61" t="s">
        <v>566</v>
      </c>
      <c r="AO202" s="61"/>
      <c r="AP202" s="247" t="s">
        <v>567</v>
      </c>
      <c r="AQ202" s="248" t="s">
        <v>560</v>
      </c>
      <c r="AR202" s="248"/>
      <c r="AS202" s="1019" t="str">
        <f>"As of  "</f>
        <v xml:space="preserve">As of  </v>
      </c>
      <c r="AT202" s="1035" t="s">
        <v>568</v>
      </c>
      <c r="AU202" s="1035" t="s">
        <v>54</v>
      </c>
      <c r="AV202" s="1035"/>
      <c r="AW202" s="1036" t="s">
        <v>54</v>
      </c>
      <c r="AX202" s="1036" t="s">
        <v>54</v>
      </c>
      <c r="AY202" s="1036" t="s">
        <v>54</v>
      </c>
      <c r="AZ202" s="1036"/>
    </row>
    <row r="203" spans="7:52" ht="14.25" customHeight="1">
      <c r="G203" s="45"/>
      <c r="I203" s="2043"/>
      <c r="J203" s="16"/>
      <c r="K203" s="52"/>
      <c r="L203" s="101"/>
      <c r="M203" s="126"/>
      <c r="N203" s="101"/>
      <c r="O203" s="101"/>
      <c r="P203" s="39"/>
      <c r="R203" s="265"/>
      <c r="S203" s="319"/>
      <c r="T203" s="319"/>
      <c r="U203" s="320"/>
      <c r="V203" s="320"/>
      <c r="W203" s="320"/>
      <c r="X203" s="320"/>
      <c r="Y203" s="320"/>
      <c r="Z203" s="320"/>
      <c r="AA203" s="1870"/>
      <c r="AB203" s="1870"/>
      <c r="AC203" s="1870"/>
      <c r="AD203" s="1870"/>
      <c r="AE203" s="1870"/>
      <c r="AF203" s="1870"/>
      <c r="AG203" s="339"/>
      <c r="AH203" s="339"/>
      <c r="AI203" s="339"/>
      <c r="AJ203" s="330"/>
      <c r="AK203" s="157"/>
      <c r="AN203" s="80"/>
      <c r="AO203" s="80"/>
      <c r="AP203" s="1024"/>
      <c r="AQ203" s="1024" t="s">
        <v>94</v>
      </c>
      <c r="AR203" s="1024"/>
      <c r="AS203" s="1033" t="s">
        <v>103</v>
      </c>
      <c r="AT203" s="1034" t="str" cm="1">
        <f t="array" ref="AT203">fx_scenarioConverter("Actual")</f>
        <v>Actual</v>
      </c>
      <c r="AU203" s="1034" t="s">
        <v>103</v>
      </c>
      <c r="AV203" s="1034"/>
      <c r="AW203" s="1034" t="s">
        <v>569</v>
      </c>
      <c r="AX203" s="1034" t="s">
        <v>570</v>
      </c>
      <c r="AY203" s="1034" t="s">
        <v>473</v>
      </c>
      <c r="AZ203" s="1034"/>
    </row>
    <row r="204" spans="7:52" ht="14.25" customHeight="1">
      <c r="G204" s="45"/>
      <c r="I204" s="2043"/>
      <c r="J204" s="16"/>
      <c r="K204" s="52"/>
      <c r="L204" s="101"/>
      <c r="M204" s="101"/>
      <c r="N204" s="101"/>
      <c r="O204" s="101"/>
      <c r="P204" s="39"/>
      <c r="R204" s="265"/>
      <c r="S204" s="319"/>
      <c r="T204" s="319"/>
      <c r="U204" s="320"/>
      <c r="V204" s="320"/>
      <c r="W204" s="320"/>
      <c r="X204" s="320"/>
      <c r="Y204" s="320"/>
      <c r="Z204" s="320"/>
      <c r="AA204" s="1870"/>
      <c r="AB204" s="1870"/>
      <c r="AC204" s="1870"/>
      <c r="AD204" s="1870"/>
      <c r="AE204" s="1870"/>
      <c r="AF204" s="1870"/>
      <c r="AG204" s="339"/>
      <c r="AH204" s="339"/>
      <c r="AI204" s="339"/>
      <c r="AJ204" s="330"/>
      <c r="AK204" s="157"/>
      <c r="AN204" s="81"/>
      <c r="AO204" s="81"/>
      <c r="AP204" s="249"/>
      <c r="AQ204" s="249"/>
      <c r="AR204" s="249"/>
      <c r="AS204" s="249" t="str">
        <f>"As of "&amp;TEXT(val_asOfDate,"mmm-yy")</f>
        <v>As of Dec-25</v>
      </c>
      <c r="AT204" s="1037" t="s">
        <v>470</v>
      </c>
      <c r="AU204" s="1037" t="s">
        <v>472</v>
      </c>
      <c r="AV204" s="1037"/>
      <c r="AW204" s="1037" t="s">
        <v>492</v>
      </c>
      <c r="AX204" s="1035" t="s">
        <v>570</v>
      </c>
      <c r="AY204" s="1035" t="s">
        <v>473</v>
      </c>
      <c r="AZ204" s="1037"/>
    </row>
    <row r="205" spans="7:52" ht="14.25" customHeight="1">
      <c r="G205" s="45"/>
      <c r="I205" s="2043"/>
      <c r="J205" s="16"/>
      <c r="K205" s="52"/>
      <c r="L205" s="101"/>
      <c r="M205" s="101"/>
      <c r="N205" s="101"/>
      <c r="O205" s="101"/>
      <c r="P205" s="39"/>
      <c r="R205" s="265"/>
      <c r="S205" s="319"/>
      <c r="T205" s="319"/>
      <c r="U205" s="320"/>
      <c r="V205" s="320"/>
      <c r="W205" s="320"/>
      <c r="X205" s="320"/>
      <c r="Y205" s="320"/>
      <c r="Z205" s="320"/>
      <c r="AA205" s="1870"/>
      <c r="AB205" s="1870"/>
      <c r="AC205" s="1870"/>
      <c r="AD205" s="1870"/>
      <c r="AE205" s="1870"/>
      <c r="AF205" s="1870"/>
      <c r="AG205" s="339"/>
      <c r="AH205" s="339"/>
      <c r="AI205" s="339"/>
      <c r="AJ205" s="330"/>
      <c r="AK205" s="157"/>
      <c r="AN205" s="1018" t="s">
        <v>571</v>
      </c>
      <c r="AO205" s="1018"/>
      <c r="AP205" s="1025"/>
      <c r="AQ205" s="250"/>
      <c r="AR205" s="250"/>
      <c r="AS205" s="250"/>
      <c r="AT205" s="250"/>
      <c r="AU205" s="250"/>
      <c r="AV205" s="250"/>
      <c r="AW205" s="250"/>
      <c r="AX205" s="250"/>
      <c r="AY205" s="250"/>
      <c r="AZ205" s="250"/>
    </row>
    <row r="206" spans="7:52" ht="14.25" customHeight="1">
      <c r="G206" s="45"/>
      <c r="I206" s="2043"/>
      <c r="J206" s="16"/>
      <c r="K206" s="52"/>
      <c r="L206" s="101"/>
      <c r="M206" s="101"/>
      <c r="N206" s="101"/>
      <c r="O206" s="101"/>
      <c r="P206" s="39"/>
      <c r="R206" s="265"/>
      <c r="S206" s="319"/>
      <c r="T206" s="319"/>
      <c r="U206" s="320"/>
      <c r="V206" s="320"/>
      <c r="W206" s="320"/>
      <c r="X206" s="320"/>
      <c r="Y206" s="320"/>
      <c r="Z206" s="320"/>
      <c r="AA206" s="1870"/>
      <c r="AB206" s="1870"/>
      <c r="AC206" s="1870"/>
      <c r="AD206" s="1870"/>
      <c r="AE206" s="1870"/>
      <c r="AF206" s="1870"/>
      <c r="AG206" s="339"/>
      <c r="AH206" s="339"/>
      <c r="AI206" s="339"/>
      <c r="AJ206" s="330"/>
      <c r="AK206" s="157"/>
      <c r="AN206" s="1017" t="s">
        <v>491</v>
      </c>
      <c r="AO206" s="1017"/>
      <c r="AP206" s="1874" t="str">
        <f>CF!AB29</f>
        <v>Cash Interest Expense (CIE)</v>
      </c>
      <c r="AQ206" s="1027" t="s">
        <v>572</v>
      </c>
      <c r="AR206" s="1027"/>
      <c r="AS206" s="1009"/>
      <c r="AT206" s="1922" cm="1">
        <f t="array" ca="1" aca="1" ref="AT206">IFERROR(-SUM(_xlfn.XLOOKUP($AP206,CF!$AB$19:$AB$63,_xlfn._xlws.FILTER(CF!$AD$19:$BN$63,_xlfn.ANCHORARRAY(CF!$AD$13)&gt;-3))),"Error")</f>
        <v>-3</v>
      </c>
      <c r="AU206" s="1922"/>
      <c r="AV206" s="1922"/>
      <c r="AW206" s="1923" t="e">
        <f ca="1">IF(OR(ISBLANK(AY206),AY206=0,ISERROR(AY206)),(CF!CP26),AY206)</f>
        <v>#NAME?</v>
      </c>
      <c r="AX206" s="1925" t="e">
        <f ca="1">ABS(N(INDEX(CF!$CD$20:$CN$37,_xlfn.XMATCH(DebtRatio!$AP206,CF!$AB$20:$AB$37,0),_xlfn.XMATCH(DebtRatio!AX$203,CF!$CD$19:$CN$19,0))))</f>
        <v>#NAME?</v>
      </c>
      <c r="AY206" s="1925" t="e" cm="1">
        <f t="array" ca="1" aca="1" ref="AY206">ABS(N(INDEX(_xlfn.XLOOKUP($AP206,CF!$AB$12:$AB$63,_xlfn._xlws.FILTER(CF!$CD$12:$CN$63,CF!$CD$19:$CN$19=AY$203)),1)))</f>
        <v>#NAME?</v>
      </c>
      <c r="AZ206" s="1923"/>
    </row>
    <row r="207" spans="7:52" ht="14.25" customHeight="1">
      <c r="G207" s="45"/>
      <c r="I207" s="2043"/>
      <c r="J207" s="16"/>
      <c r="K207" s="52"/>
      <c r="L207" s="101"/>
      <c r="M207" s="101"/>
      <c r="N207" s="101"/>
      <c r="O207" s="101"/>
      <c r="P207" s="39"/>
      <c r="R207" s="265"/>
      <c r="S207" s="319"/>
      <c r="T207" s="319"/>
      <c r="U207" s="320"/>
      <c r="V207" s="320"/>
      <c r="W207" s="320"/>
      <c r="X207" s="320"/>
      <c r="Y207" s="320"/>
      <c r="Z207" s="320"/>
      <c r="AA207" s="1870"/>
      <c r="AB207" s="1870"/>
      <c r="AC207" s="1870"/>
      <c r="AD207" s="1870"/>
      <c r="AE207" s="1870"/>
      <c r="AF207" s="1870"/>
      <c r="AG207" s="339"/>
      <c r="AH207" s="339"/>
      <c r="AI207" s="339"/>
      <c r="AJ207" s="330"/>
      <c r="AK207" s="157"/>
      <c r="AN207" s="1017" t="s">
        <v>503</v>
      </c>
      <c r="AO207" s="1017"/>
      <c r="AP207" s="1026" t="str">
        <f>CF!$AB$28</f>
        <v>Unlevered Free Cash Flow (UFCF)</v>
      </c>
      <c r="AQ207" s="1027" t="s">
        <v>572</v>
      </c>
      <c r="AR207" s="1027"/>
      <c r="AS207" s="1009"/>
      <c r="AT207" s="1922" t="e" vm="12" cm="1">
        <f t="array" ca="1" aca="1" ref="AT207">CVC.LOOKUP2($AP207,EOMONTH(AT$201,_xlfn.SEQUENCE(3,1,-3,1)),AT$203,"M")</f>
        <v>#VALUE!</v>
      </c>
      <c r="AU207" s="1922"/>
      <c r="AV207" s="1922"/>
      <c r="AW207" s="1923" t="e">
        <f ca="1">IF(OR(ISBLANK(AY207),AY207=0,ISERROR(AY207)),(AX207),AY207)</f>
        <v>#VALUE!</v>
      </c>
      <c r="AX207" s="1925" t="e" cm="1">
        <f t="array" ca="1" aca="1" ref="AX207">ABS(INDEX(_xlfn.XLOOKUP($AP207,CF!$AB$12:$AB$63,_xlfn._xlws.FILTER(CF!$CD$12:$CN$63,CF!$CD$19:$CN$19=AX$203)),1))</f>
        <v>#VALUE!</v>
      </c>
      <c r="AY207" s="1925" t="e" cm="1">
        <f t="array" ca="1" aca="1" ref="AY207">ABS(INDEX(_xlfn.XLOOKUP($AP207,CF!$AB$12:$AB$63,_xlfn._xlws.FILTER(CF!$CD$12:$CN$63,CF!$CD$19:$CN$19=AY$203)),1))</f>
        <v>#VALUE!</v>
      </c>
      <c r="AZ207" s="1923"/>
    </row>
    <row r="208" spans="7:52" ht="14.25" customHeight="1">
      <c r="G208" s="45"/>
      <c r="I208" s="2043"/>
      <c r="J208" s="16"/>
      <c r="K208" s="52"/>
      <c r="L208" s="101"/>
      <c r="M208" s="101"/>
      <c r="N208" s="101"/>
      <c r="O208" s="101"/>
      <c r="P208" s="39"/>
      <c r="R208" s="265"/>
      <c r="S208" s="319"/>
      <c r="T208" s="319"/>
      <c r="U208" s="320"/>
      <c r="V208" s="320"/>
      <c r="W208" s="320"/>
      <c r="X208" s="320"/>
      <c r="Y208" s="320"/>
      <c r="Z208" s="320"/>
      <c r="AA208" s="1870"/>
      <c r="AB208" s="1870"/>
      <c r="AC208" s="1870"/>
      <c r="AD208" s="1870"/>
      <c r="AE208" s="1870"/>
      <c r="AF208" s="1870"/>
      <c r="AG208" s="339"/>
      <c r="AH208" s="339"/>
      <c r="AI208" s="339"/>
      <c r="AJ208" s="330"/>
      <c r="AK208" s="157"/>
      <c r="AN208" s="1016" t="s">
        <v>507</v>
      </c>
      <c r="AO208" s="1016"/>
      <c r="AP208" s="1026" t="str">
        <f>CF!$AB$30</f>
        <v>Principal Repayments</v>
      </c>
      <c r="AQ208" s="1027" t="s">
        <v>572</v>
      </c>
      <c r="AR208" s="1027"/>
      <c r="AS208" s="1009"/>
      <c r="AT208" s="1922" cm="1">
        <f t="array" ca="1" aca="1" ref="AT208">IFERROR(-SUM(_xlfn.XLOOKUP($AP208,CF!$AB$19:$AB$63,_xlfn._xlws.FILTER(CF!$AD$19:$BN$63,_xlfn.ANCHORARRAY(CF!$AD$13)&gt;-3))),"Error")</f>
        <v>-3</v>
      </c>
      <c r="AU208" s="1922"/>
      <c r="AV208" s="1922"/>
      <c r="AW208" s="1923" t="e">
        <f ca="1" t="shared" si="28" ref="AW208:AW210">IF(OR(ISBLANK(AY208),AY208=0,ISERROR(AY208)),(AX208),AY208)</f>
        <v>#NAME?</v>
      </c>
      <c r="AX208" s="1925" t="e" cm="1">
        <f t="array" ca="1" aca="1" ref="AX208">ABS(N((INDEX(_xlfn.XLOOKUP($AP208,CF!$AB$12:$AB$63,_xlfn._xlws.FILTER(CF!$CD$12:$CN$63,CF!$CD$19:$CN$19=AX$203)),1))))</f>
        <v>#NAME?</v>
      </c>
      <c r="AY208" s="1925" t="e" cm="1">
        <f t="array" ca="1" aca="1" ref="AY208">ABS(N(INDEX(_xlfn.XLOOKUP($AP208,CF!$AB$12:$AB$63,_xlfn._xlws.FILTER(CF!$CD$12:$CN$63,CF!$CD$19:$CN$19=AY$203)),1)))</f>
        <v>#NAME?</v>
      </c>
      <c r="AZ208" s="1923"/>
    </row>
    <row r="209" spans="7:52" ht="14.25" customHeight="1">
      <c r="G209" s="45"/>
      <c r="I209" s="2043"/>
      <c r="J209" s="16"/>
      <c r="K209" s="52"/>
      <c r="L209" s="101"/>
      <c r="M209" s="126"/>
      <c r="N209" s="101"/>
      <c r="O209" s="101"/>
      <c r="P209" s="39"/>
      <c r="R209" s="265"/>
      <c r="S209" s="319"/>
      <c r="T209" s="319"/>
      <c r="U209" s="320"/>
      <c r="V209" s="320"/>
      <c r="W209" s="320"/>
      <c r="X209" s="320"/>
      <c r="Y209" s="320"/>
      <c r="Z209" s="320"/>
      <c r="AA209" s="1870"/>
      <c r="AB209" s="1870"/>
      <c r="AC209" s="1870"/>
      <c r="AD209" s="1870"/>
      <c r="AE209" s="1870"/>
      <c r="AF209" s="1870"/>
      <c r="AG209" s="339"/>
      <c r="AH209" s="339"/>
      <c r="AI209" s="339"/>
      <c r="AJ209" s="330"/>
      <c r="AK209" s="157"/>
      <c r="AN209" s="1017" t="s">
        <v>573</v>
      </c>
      <c r="AO209" s="1017"/>
      <c r="AP209" s="1026"/>
      <c r="AQ209" s="1027" t="s">
        <v>572</v>
      </c>
      <c r="AR209" s="1027"/>
      <c r="AS209" s="1009"/>
      <c r="AT209" s="1923">
        <f ca="1">N(AT206)+N(AT208)</f>
        <v>-6</v>
      </c>
      <c r="AU209" s="1923"/>
      <c r="AV209" s="1923"/>
      <c r="AW209" s="1923" t="e">
        <f ca="1">N(AW206)+N(AW208)</f>
        <v>#NAME?</v>
      </c>
      <c r="AX209" s="1925" t="e">
        <f ca="1">N(CF!CP26)+N(AX208)</f>
        <v>#NAME?</v>
      </c>
      <c r="AY209" s="1925" t="e">
        <f ca="1">N(AY206)+N(AY208)</f>
        <v>#NAME?</v>
      </c>
      <c r="AZ209" s="1923"/>
    </row>
    <row r="210" spans="7:52" ht="14.25" customHeight="1">
      <c r="G210" s="45"/>
      <c r="I210" s="2043"/>
      <c r="J210" s="16"/>
      <c r="K210" s="52"/>
      <c r="L210" s="101"/>
      <c r="M210" s="126"/>
      <c r="N210" s="101"/>
      <c r="O210" s="101"/>
      <c r="P210" s="39"/>
      <c r="R210" s="265"/>
      <c r="S210" s="319"/>
      <c r="T210" s="319"/>
      <c r="U210" s="320"/>
      <c r="V210" s="320"/>
      <c r="W210" s="320"/>
      <c r="X210" s="320"/>
      <c r="Y210" s="320"/>
      <c r="Z210" s="320"/>
      <c r="AA210" s="1870"/>
      <c r="AB210" s="1870"/>
      <c r="AC210" s="1870"/>
      <c r="AD210" s="1870"/>
      <c r="AE210" s="1870"/>
      <c r="AF210" s="1870"/>
      <c r="AG210" s="339"/>
      <c r="AH210" s="339"/>
      <c r="AI210" s="339"/>
      <c r="AJ210" s="330"/>
      <c r="AK210" s="157"/>
      <c r="AN210" s="1017" t="s">
        <v>241</v>
      </c>
      <c r="AO210" s="1017"/>
      <c r="AP210" s="1027" t="str">
        <f>CF!$AB$49</f>
        <v>Operating Cash Flow</v>
      </c>
      <c r="AQ210" s="1027" t="s">
        <v>572</v>
      </c>
      <c r="AR210" s="1027"/>
      <c r="AS210" s="1009"/>
      <c r="AT210" s="1922" cm="1">
        <f t="array" ca="1" aca="1" ref="AT210">IFERROR(-SUM(_xlfn.XLOOKUP($AP210,CF!$AB$19:$AB$63,_xlfn._xlws.FILTER(CF!$AD$19:$BN$63,_xlfn.ANCHORARRAY(CF!$AD$13)&gt;-3))),"Error")</f>
        <v>-18</v>
      </c>
      <c r="AU210" s="1922"/>
      <c r="AV210" s="1922"/>
      <c r="AW210" s="1923" t="e">
        <f t="shared" ca="1" si="28"/>
        <v>#VALUE!</v>
      </c>
      <c r="AX210" s="1925" t="e" cm="1">
        <f t="array" ca="1" aca="1" ref="AX210">ABS(INDEX(_xlfn.XLOOKUP($AP210,CF!$AB$12:$AB$63,_xlfn._xlws.FILTER(CF!$CD$12:$CN$63,CF!$CD$19:$CN$19=AX$203)),1))</f>
        <v>#VALUE!</v>
      </c>
      <c r="AY210" s="1925" t="e" cm="1">
        <f t="array" ca="1" aca="1" ref="AY210">ABS(INDEX(_xlfn.XLOOKUP($AP210,CF!$AB$12:$AB$63,_xlfn._xlws.FILTER(CF!$CD$12:$CN$63,CF!$CD$19:$CN$19=AY$203)),1))</f>
        <v>#VALUE!</v>
      </c>
      <c r="AZ210" s="1923"/>
    </row>
    <row r="211" spans="7:52" ht="14.25" customHeight="1">
      <c r="G211" s="45"/>
      <c r="I211" s="2043"/>
      <c r="J211" s="16"/>
      <c r="K211" s="52"/>
      <c r="L211" s="101"/>
      <c r="M211" s="126"/>
      <c r="N211" s="101"/>
      <c r="O211" s="101"/>
      <c r="P211" s="39"/>
      <c r="R211" s="265"/>
      <c r="S211" s="319"/>
      <c r="T211" s="319"/>
      <c r="U211" s="320"/>
      <c r="V211" s="320"/>
      <c r="W211" s="320"/>
      <c r="X211" s="320"/>
      <c r="Y211" s="320"/>
      <c r="Z211" s="320"/>
      <c r="AA211" s="1870"/>
      <c r="AB211" s="1870"/>
      <c r="AC211" s="1870"/>
      <c r="AD211" s="1870"/>
      <c r="AE211" s="1870"/>
      <c r="AF211" s="1870"/>
      <c r="AG211" s="339"/>
      <c r="AH211" s="339"/>
      <c r="AI211" s="339"/>
      <c r="AJ211" s="330"/>
      <c r="AK211" s="157"/>
      <c r="AN211" s="1016" t="s">
        <v>243</v>
      </c>
      <c r="AO211" s="1016"/>
      <c r="AP211" s="1027" t="str">
        <f>CF!$AB$51</f>
        <v>Capex</v>
      </c>
      <c r="AQ211" s="1027" t="s">
        <v>572</v>
      </c>
      <c r="AR211" s="1027"/>
      <c r="AS211" s="1009"/>
      <c r="AT211" s="1922" cm="1">
        <f t="array" ca="1" aca="1" ref="AT211">IFERROR(-SUM(_xlfn.XLOOKUP($AP211,CF!$AB$19:$AB$63,_xlfn._xlws.FILTER(CF!$AD$19:$BN$63,_xlfn.ANCHORARRAY(CF!$AD$13)&gt;-3))),"Error")</f>
        <v>-3</v>
      </c>
      <c r="AU211" s="1922"/>
      <c r="AV211" s="1922"/>
      <c r="AW211" s="1923" t="e">
        <f ca="1">IF(OR(ISBLANK(AY211),AY211=0,ISERROR(AY211)),(AX211),AY211)</f>
        <v>#NAME?</v>
      </c>
      <c r="AX211" s="1925" t="e" cm="1">
        <f t="array" ca="1" aca="1" ref="AX211">ABS(N(INDEX(_xlfn.XLOOKUP($AP211,CF!$AB$12:$AB$63,_xlfn._xlws.FILTER(CF!$CD$12:$CN$63,CF!$CD$19:$CN$19=AX$203)),1)))</f>
        <v>#NAME?</v>
      </c>
      <c r="AY211" s="1925" t="e" cm="1">
        <f t="array" ca="1" aca="1" ref="AY211">ABS(N(INDEX(_xlfn.XLOOKUP($AP211,CF!$AB$12:$AB$63,_xlfn._xlws.FILTER(CF!$CD$12:$CN$63,CF!$CD$19:$CN$19=AY$203)),1)))</f>
        <v>#NAME?</v>
      </c>
      <c r="AZ211" s="1923"/>
    </row>
    <row r="212" spans="7:52" ht="14.25" customHeight="1">
      <c r="G212" s="45"/>
      <c r="I212" s="2043"/>
      <c r="J212" s="16"/>
      <c r="K212" s="52"/>
      <c r="L212" s="101"/>
      <c r="M212" s="126"/>
      <c r="N212" s="101"/>
      <c r="O212" s="101"/>
      <c r="P212" s="39"/>
      <c r="R212" s="265"/>
      <c r="S212" s="319"/>
      <c r="T212" s="319"/>
      <c r="U212" s="320"/>
      <c r="V212" s="320"/>
      <c r="W212" s="320"/>
      <c r="X212" s="320"/>
      <c r="Y212" s="320"/>
      <c r="Z212" s="320"/>
      <c r="AA212" s="1870"/>
      <c r="AB212" s="1870"/>
      <c r="AC212" s="1870"/>
      <c r="AD212" s="1870"/>
      <c r="AE212" s="1870"/>
      <c r="AF212" s="1870"/>
      <c r="AG212" s="339"/>
      <c r="AH212" s="339"/>
      <c r="AI212" s="339"/>
      <c r="AJ212" s="330"/>
      <c r="AK212" s="157"/>
      <c r="AN212" s="1018" t="s">
        <v>574</v>
      </c>
      <c r="AO212" s="1018"/>
      <c r="AP212" s="1008"/>
      <c r="AQ212" s="1008"/>
      <c r="AR212" s="1008"/>
      <c r="AS212" s="1008"/>
      <c r="AT212" s="1924"/>
      <c r="AU212" s="1924"/>
      <c r="AV212" s="1924"/>
      <c r="AW212" s="1924"/>
      <c r="AX212" s="1924"/>
      <c r="AY212" s="1924"/>
      <c r="AZ212" s="1924"/>
    </row>
    <row r="213" spans="7:52" ht="14.25" customHeight="1">
      <c r="G213" s="45"/>
      <c r="I213" s="2043"/>
      <c r="J213" s="16"/>
      <c r="K213" s="52"/>
      <c r="L213" s="101"/>
      <c r="M213" s="126"/>
      <c r="N213" s="101"/>
      <c r="O213" s="101"/>
      <c r="P213" s="39"/>
      <c r="R213" s="265"/>
      <c r="S213" s="319"/>
      <c r="T213" s="319"/>
      <c r="U213" s="320"/>
      <c r="V213" s="320"/>
      <c r="W213" s="320"/>
      <c r="X213" s="320"/>
      <c r="Y213" s="320"/>
      <c r="Z213" s="320"/>
      <c r="AA213" s="1870"/>
      <c r="AB213" s="1870"/>
      <c r="AC213" s="1870"/>
      <c r="AD213" s="1870"/>
      <c r="AE213" s="1870"/>
      <c r="AF213" s="1870"/>
      <c r="AG213" s="339"/>
      <c r="AH213" s="339"/>
      <c r="AI213" s="339"/>
      <c r="AJ213" s="330"/>
      <c r="AK213" s="157"/>
      <c r="AN213" s="1016" t="s">
        <v>575</v>
      </c>
      <c r="AO213" s="1016"/>
      <c r="AP213" s="1017" t="str">
        <f>PL!$AB$20</f>
        <v>Net Revenue</v>
      </c>
      <c r="AQ213" s="1016" t="s">
        <v>576</v>
      </c>
      <c r="AR213" s="1016"/>
      <c r="AS213" s="77"/>
      <c r="AT213" s="1922" cm="1">
        <f t="array" ca="1" aca="1" ref="AT213">IFERROR(-SUM(_xlfn.XLOOKUP($AP213,PL!$AB$19:$AB$92,_xlfn._xlws.FILTER(PL!$AD$19:$BN$92,_xlfn.ANCHORARRAY(PL!$AD$13)&gt;-3))),"Error")</f>
        <v>-3</v>
      </c>
      <c r="AU213" s="1922" cm="1">
        <f t="array" ca="1" aca="1" ref="AU213">IFERROR(-SUM(_xlfn.XLOOKUP($AP213,PL!$AB$19:$AB$92,_xlfn._xlws.FILTER(PL!$AD$19:$BN$92,_xlfn.ANCHORARRAY(PL!$AD$13)&gt;-12))),"Error")</f>
        <v>-12</v>
      </c>
      <c r="AV213" s="1922"/>
      <c r="AW213" s="3264">
        <f ca="1" t="shared" si="29" ref="AW213:AW223">IF(OR(ISBLANK(AY213),AY213=0,ISERROR(AY213)),(AX213),AY213)</f>
        <v>1</v>
      </c>
      <c r="AX213" s="3265" cm="1">
        <f t="array" ca="1" aca="1" ref="AX213">IFERROR(ABS(N(INDEX(_xlfn.XLOOKUP($AP213,PL!$AB$12:$AB$433,_xlfn._xlws.FILTER(PL!$CD$12:$CN$433,PL!$CD$19:$CN$19=AX$203)),1))),"Error")</f>
        <v>1</v>
      </c>
      <c r="AY213" s="3266" cm="1">
        <f t="array" ca="1" aca="1" ref="AY213">IFERROR(ABS(N(INDEX(_xlfn.XLOOKUP($AP213,PL!$AB$12:$AB$433,_xlfn._xlws.FILTER(PL!$CD$12:$CN$433,PL!$CD$19:$CN$19=AY$203)),1))),"Error")</f>
        <v>1</v>
      </c>
      <c r="AZ213" s="1926"/>
    </row>
    <row r="214" spans="7:52" ht="14.25" customHeight="1">
      <c r="G214" s="45"/>
      <c r="I214" s="2043"/>
      <c r="J214" s="16"/>
      <c r="K214" s="52"/>
      <c r="L214" s="101"/>
      <c r="M214" s="126"/>
      <c r="N214" s="101"/>
      <c r="O214" s="101"/>
      <c r="P214" s="39"/>
      <c r="R214" s="265"/>
      <c r="S214" s="319"/>
      <c r="T214" s="319"/>
      <c r="U214" s="320"/>
      <c r="V214" s="320"/>
      <c r="W214" s="320"/>
      <c r="X214" s="320"/>
      <c r="Y214" s="320"/>
      <c r="Z214" s="320"/>
      <c r="AA214" s="1870"/>
      <c r="AB214" s="1870"/>
      <c r="AC214" s="1870"/>
      <c r="AD214" s="1870"/>
      <c r="AE214" s="1870"/>
      <c r="AF214" s="1870"/>
      <c r="AG214" s="339"/>
      <c r="AH214" s="339"/>
      <c r="AI214" s="339"/>
      <c r="AJ214" s="330"/>
      <c r="AK214" s="157"/>
      <c r="AN214" s="1016" t="s">
        <v>577</v>
      </c>
      <c r="AO214" s="1016"/>
      <c r="AP214" s="1017" t="str">
        <f>PL!$AB$168</f>
        <v>Adjusted Earning</v>
      </c>
      <c r="AQ214" s="1016" t="s">
        <v>576</v>
      </c>
      <c r="AR214" s="1016"/>
      <c r="AS214" s="77"/>
      <c r="AT214" s="1922" t="str" cm="1">
        <f t="array" ca="1" aca="1" ref="AT214">IFERROR(-SUM(_xlfn.XLOOKUP($AP214,PL!$AB$19:$AB$92,_xlfn._xlws.FILTER(PL!$AD$19:$BN$92,_xlfn.ANCHORARRAY(PL!$AD$13)&gt;-3))),"Error")</f>
        <v>Error</v>
      </c>
      <c r="AU214" s="1922" t="str" cm="1">
        <f t="array" ca="1" aca="1" ref="AU214">IFERROR(-SUM(_xlfn.XLOOKUP($AP214,PL!$AB$19:$AB$92,_xlfn._xlws.FILTER(PL!$AD$19:$BN$92,_xlfn.ANCHORARRAY(PL!$AD$13)&gt;-12))),"Error")</f>
        <v>Error</v>
      </c>
      <c r="AV214" s="1922"/>
      <c r="AW214" s="1926">
        <f t="shared" ca="1" si="29"/>
        <v>7</v>
      </c>
      <c r="AX214" s="1925" cm="1">
        <f t="array" ca="1" aca="1" ref="AX214">IFERROR(ABS(INDEX(_xlfn.XLOOKUP($AP214,PL!$AB$12:$AB$433,_xlfn._xlws.FILTER(PL!$CD$12:$CN$433,PL!$CD$19:$CN$19=AX$203)),1)),"Error")</f>
        <v>7</v>
      </c>
      <c r="AY214" s="1925" cm="1">
        <f t="array" ca="1" aca="1" ref="AY214">IFERROR(ABS(INDEX(_xlfn.XLOOKUP($AP214,PL!$AB$12:$AB$433,_xlfn._xlws.FILTER(PL!$CD$12:$CN$433,PL!$CD$19:$CN$19=AY$203)),1)),"Error")</f>
        <v>7</v>
      </c>
      <c r="AZ214" s="1926"/>
    </row>
    <row r="215" spans="7:52" ht="14.25" customHeight="1">
      <c r="G215" s="45"/>
      <c r="I215" s="2043"/>
      <c r="J215" s="16"/>
      <c r="K215" s="52"/>
      <c r="L215" s="101"/>
      <c r="M215" s="126"/>
      <c r="N215" s="101"/>
      <c r="O215" s="101"/>
      <c r="P215" s="39"/>
      <c r="R215" s="265"/>
      <c r="S215" s="319"/>
      <c r="T215" s="319"/>
      <c r="U215" s="320"/>
      <c r="V215" s="320"/>
      <c r="W215" s="320"/>
      <c r="X215" s="320"/>
      <c r="Y215" s="320"/>
      <c r="Z215" s="320"/>
      <c r="AA215" s="1870"/>
      <c r="AB215" s="1870"/>
      <c r="AC215" s="1870"/>
      <c r="AD215" s="1870"/>
      <c r="AE215" s="1870"/>
      <c r="AF215" s="1870"/>
      <c r="AG215" s="339"/>
      <c r="AH215" s="339"/>
      <c r="AI215" s="339"/>
      <c r="AJ215" s="330"/>
      <c r="AK215" s="157"/>
      <c r="AN215" s="1016" t="s">
        <v>208</v>
      </c>
      <c r="AO215" s="1016"/>
      <c r="AP215" s="1017" t="str">
        <f>PL!$AB$25</f>
        <v>Reported EBITDA</v>
      </c>
      <c r="AQ215" s="1016" t="s">
        <v>576</v>
      </c>
      <c r="AR215" s="1016"/>
      <c r="AS215" s="77"/>
      <c r="AT215" s="1922" cm="1">
        <f t="array" ca="1" aca="1" ref="AT215">IFERROR(-SUM(_xlfn.XLOOKUP($AP215,PL!$AB$19:$AB$92,_xlfn._xlws.FILTER(PL!$AD$19:$BN$92,_xlfn.ANCHORARRAY(PL!$AD$13)&gt;-3))),"Error")</f>
        <v>-9</v>
      </c>
      <c r="AU215" s="1922" cm="1">
        <f t="array" ca="1" aca="1" ref="AU215">IFERROR(-SUM(_xlfn.XLOOKUP($AP215,PL!$AB$19:$AB$92,_xlfn._xlws.FILTER(PL!$AD$19:$BN$92,_xlfn.ANCHORARRAY(PL!$AD$13)&gt;-12))),"Error")</f>
        <v>-36</v>
      </c>
      <c r="AV215" s="1922"/>
      <c r="AW215" s="1926">
        <f t="shared" ca="1" si="29"/>
        <v>3</v>
      </c>
      <c r="AX215" s="1925" cm="1">
        <f t="array" ca="1" aca="1" ref="AX215">IFERROR(ABS(INDEX(_xlfn.XLOOKUP($AP215,PL!$AB$12:$AB$433,_xlfn._xlws.FILTER(PL!$CD$12:$CN$433,PL!$CD$19:$CN$19=AX$203)),1)),"Error")</f>
        <v>3</v>
      </c>
      <c r="AY215" s="1925" cm="1">
        <f t="array" ca="1" aca="1" ref="AY215">IFERROR(ABS(INDEX(_xlfn.XLOOKUP($AP215,PL!$AB$12:$AB$433,_xlfn._xlws.FILTER(PL!$CD$12:$CN$433,PL!$CD$19:$CN$19=AY$203)),1)),"Error")</f>
        <v>3</v>
      </c>
      <c r="AZ215" s="1926"/>
    </row>
    <row r="216" spans="7:52" ht="14.25" customHeight="1">
      <c r="G216" s="45"/>
      <c r="I216" s="2043"/>
      <c r="J216" s="16"/>
      <c r="K216" s="52"/>
      <c r="L216" s="101"/>
      <c r="M216" s="126"/>
      <c r="N216" s="101"/>
      <c r="O216" s="101"/>
      <c r="P216" s="39"/>
      <c r="R216" s="265"/>
      <c r="S216" s="319"/>
      <c r="T216" s="319"/>
      <c r="U216" s="320"/>
      <c r="V216" s="320"/>
      <c r="W216" s="320"/>
      <c r="X216" s="320"/>
      <c r="Y216" s="320"/>
      <c r="Z216" s="320"/>
      <c r="AA216" s="1870"/>
      <c r="AB216" s="1870"/>
      <c r="AC216" s="1870"/>
      <c r="AD216" s="1870"/>
      <c r="AE216" s="1870"/>
      <c r="AF216" s="1870"/>
      <c r="AG216" s="339"/>
      <c r="AH216" s="339"/>
      <c r="AI216" s="339"/>
      <c r="AJ216" s="330"/>
      <c r="AK216" s="157"/>
      <c r="AN216" s="1016" t="s">
        <v>200</v>
      </c>
      <c r="AO216" s="1016"/>
      <c r="AP216" s="1017" t="str">
        <f>PL!$AB$32</f>
        <v>Adjusted EBITDA</v>
      </c>
      <c r="AQ216" s="1016" t="s">
        <v>576</v>
      </c>
      <c r="AR216" s="1016"/>
      <c r="AS216" s="77"/>
      <c r="AT216" s="1922" cm="1">
        <f t="array" ca="1" aca="1" ref="AT216">IFERROR(-SUM(_xlfn.XLOOKUP($AP216,PL!$AB$19:$AB$92,_xlfn._xlws.FILTER(PL!$AD$19:$BN$92,_xlfn.ANCHORARRAY(PL!$AD$13)&gt;-3))),"Error")</f>
        <v>-27</v>
      </c>
      <c r="AU216" s="1922" cm="1">
        <f t="array" ca="1" aca="1" ref="AU216">IFERROR(-SUM(_xlfn.XLOOKUP($AP216,PL!$AB$19:$AB$92,_xlfn._xlws.FILTER(PL!$AD$19:$BN$92,_xlfn.ANCHORARRAY(PL!$AD$13)&gt;-12))),"Error")</f>
        <v>-108</v>
      </c>
      <c r="AV216" s="1922"/>
      <c r="AW216" s="1926">
        <f t="shared" ca="1" si="29"/>
        <v>9</v>
      </c>
      <c r="AX216" s="1925" cm="1">
        <f t="array" ca="1" aca="1" ref="AX216">IFERROR(ABS(INDEX(_xlfn.XLOOKUP($AP216,PL!$AB$12:$AB$433,_xlfn._xlws.FILTER(PL!$CD$12:$CN$433,PL!$CD$19:$CN$19=AX$203)),1)),"Error")</f>
        <v>9</v>
      </c>
      <c r="AY216" s="1925" cm="1">
        <f t="array" ca="1" aca="1" ref="AY216">IFERROR(ABS(INDEX(_xlfn.XLOOKUP($AP216,PL!$AB$12:$AB$433,_xlfn._xlws.FILTER(PL!$CD$12:$CN$433,PL!$CD$19:$CN$19=AY$203)),1)),"Error")</f>
        <v>9</v>
      </c>
      <c r="AZ216" s="1926"/>
    </row>
    <row r="217" spans="7:52" ht="14.25" customHeight="1">
      <c r="G217" s="45"/>
      <c r="I217" s="2043"/>
      <c r="J217" s="16"/>
      <c r="K217" s="52"/>
      <c r="L217" s="101"/>
      <c r="M217" s="126"/>
      <c r="N217" s="101"/>
      <c r="O217" s="101"/>
      <c r="P217" s="39"/>
      <c r="R217" s="265"/>
      <c r="S217" s="319"/>
      <c r="T217" s="319"/>
      <c r="U217" s="320"/>
      <c r="V217" s="320"/>
      <c r="W217" s="320"/>
      <c r="X217" s="320"/>
      <c r="Y217" s="320"/>
      <c r="Z217" s="320"/>
      <c r="AA217" s="1870"/>
      <c r="AB217" s="1870"/>
      <c r="AC217" s="1870"/>
      <c r="AD217" s="1870"/>
      <c r="AE217" s="1870"/>
      <c r="AF217" s="1870"/>
      <c r="AG217" s="339"/>
      <c r="AH217" s="339"/>
      <c r="AI217" s="339"/>
      <c r="AJ217" s="330"/>
      <c r="AK217" s="157"/>
      <c r="AN217" s="1016" t="s">
        <v>519</v>
      </c>
      <c r="AO217" s="1016"/>
      <c r="AP217" s="1017" t="e">
        <f ca="1">PL!$AB$45</f>
        <v>#NAME?</v>
      </c>
      <c r="AQ217" s="1016" t="s">
        <v>576</v>
      </c>
      <c r="AR217" s="1016"/>
      <c r="AS217" s="77"/>
      <c r="AT217" s="1922" t="str" cm="1">
        <f t="array" ca="1" aca="1" ref="AT217">IFERROR(-SUM(_xlfn.XLOOKUP($AP217,PL!$AB$19:$AB$92,_xlfn._xlws.FILTER(PL!$AD$19:$BN$92,_xlfn.ANCHORARRAY(PL!$AD$13)&gt;-3))),"Error")</f>
        <v>Error</v>
      </c>
      <c r="AU217" s="1922" t="str" cm="1">
        <f t="array" ca="1" aca="1" ref="AU217">IFERROR(-SUM(_xlfn.XLOOKUP($AP217,PL!$AB$19:$AB$92,_xlfn._xlws.FILTER(PL!$AD$19:$BN$92,_xlfn.ANCHORARRAY(PL!$AD$13)&gt;-12))),"Error")</f>
        <v>Error</v>
      </c>
      <c r="AV217" s="1922"/>
      <c r="AW217" s="1926" t="str">
        <f t="shared" ca="1" si="29"/>
        <v>Error</v>
      </c>
      <c r="AX217" s="1925" t="str" cm="1">
        <f t="array" ca="1" aca="1" ref="AX217">IFERROR(ABS(INDEX(_xlfn.XLOOKUP($AP217,PL!$AB$12:$AB$433,_xlfn._xlws.FILTER(PL!$CD$12:$CN$433,PL!$CD$19:$CN$19=AX$203)),1)),"Error")</f>
        <v>Error</v>
      </c>
      <c r="AY217" s="1925" t="str" cm="1">
        <f t="array" ca="1" aca="1" ref="AY217">IFERROR(ABS(INDEX(_xlfn.XLOOKUP($AP217,PL!$AB$12:$AB$433,_xlfn._xlws.FILTER(PL!$CD$12:$CN$433,PL!$CD$19:$CN$19=AY$203)),1)),"Error")</f>
        <v>Error</v>
      </c>
      <c r="AZ217" s="1926"/>
    </row>
    <row r="218" spans="7:52" ht="14.25" customHeight="1">
      <c r="G218" s="45"/>
      <c r="I218" s="2043"/>
      <c r="J218" s="16"/>
      <c r="K218" s="52"/>
      <c r="L218" s="101"/>
      <c r="M218" s="126"/>
      <c r="N218" s="101"/>
      <c r="O218" s="101"/>
      <c r="P218" s="39"/>
      <c r="R218" s="265"/>
      <c r="S218" s="319"/>
      <c r="T218" s="319"/>
      <c r="U218" s="320"/>
      <c r="V218" s="320"/>
      <c r="W218" s="320"/>
      <c r="X218" s="320"/>
      <c r="Y218" s="320"/>
      <c r="Z218" s="320"/>
      <c r="AA218" s="1870"/>
      <c r="AB218" s="1870"/>
      <c r="AC218" s="1870"/>
      <c r="AD218" s="1870"/>
      <c r="AE218" s="1870"/>
      <c r="AF218" s="1870"/>
      <c r="AG218" s="339"/>
      <c r="AH218" s="339"/>
      <c r="AI218" s="339"/>
      <c r="AJ218" s="330"/>
      <c r="AK218" s="157"/>
      <c r="AN218" s="1016" t="str">
        <f>PL!AB37</f>
        <v>Interest Expense</v>
      </c>
      <c r="AO218" s="1016"/>
      <c r="AP218" s="1016" t="str">
        <f>PL!$AB$37</f>
        <v>Interest Expense</v>
      </c>
      <c r="AQ218" s="1016" t="s">
        <v>576</v>
      </c>
      <c r="AR218" s="1016"/>
      <c r="AS218" s="77"/>
      <c r="AT218" s="1922" cm="1">
        <f t="array" ca="1" aca="1" ref="AT218">IFERROR(-SUM(_xlfn.XLOOKUP($AP218,PL!$AB$19:$AB$92,_xlfn._xlws.FILTER(PL!$AD$19:$BN$92,_xlfn.ANCHORARRAY(PL!$AD$13)&gt;-3))),"Error")</f>
        <v>-3</v>
      </c>
      <c r="AU218" s="1922" cm="1">
        <f t="array" ca="1" aca="1" ref="AU218">IFERROR(-SUM(_xlfn.XLOOKUP($AP218,PL!$AB$19:$AB$92,_xlfn._xlws.FILTER(PL!$AD$19:$BN$92,_xlfn.ANCHORARRAY(PL!$AD$13)&gt;-12))),"Error")</f>
        <v>-12</v>
      </c>
      <c r="AV218" s="1922"/>
      <c r="AW218" s="3264">
        <f t="shared" ca="1" si="29"/>
        <v>1</v>
      </c>
      <c r="AX218" s="3265" cm="1">
        <f t="array" ca="1" aca="1" ref="AX218">IFERROR(ABS(INDEX(_xlfn.XLOOKUP($AP218,PL!$AB$12:$AB$433,_xlfn._xlws.FILTER(PL!$CD$12:$CN$433,PL!$CD$19:$CN$19=AX$203)),1)),"Error")</f>
        <v>1</v>
      </c>
      <c r="AY218" s="3266" cm="1">
        <f t="array" ca="1" aca="1" ref="AY218">IFERROR(ABS(INDEX(_xlfn.XLOOKUP($AP218,PL!$AB$12:$AB$433,_xlfn._xlws.FILTER(PL!$CD$12:$CN$433,PL!$CD$19:$CN$19=AY$203)),1)),"Error")</f>
        <v>1</v>
      </c>
      <c r="AZ218" s="1926"/>
    </row>
    <row r="219" spans="7:52" ht="14.25" customHeight="1">
      <c r="G219" s="45"/>
      <c r="I219" s="2043"/>
      <c r="J219" s="16"/>
      <c r="K219" s="52"/>
      <c r="L219" s="101"/>
      <c r="M219" s="126"/>
      <c r="N219" s="101"/>
      <c r="O219" s="101"/>
      <c r="P219" s="39"/>
      <c r="R219" s="265"/>
      <c r="S219" s="319"/>
      <c r="T219" s="319"/>
      <c r="U219" s="320"/>
      <c r="V219" s="320"/>
      <c r="W219" s="320"/>
      <c r="X219" s="320"/>
      <c r="Y219" s="320"/>
      <c r="Z219" s="320"/>
      <c r="AA219" s="1870"/>
      <c r="AB219" s="1870"/>
      <c r="AC219" s="1870"/>
      <c r="AD219" s="1870"/>
      <c r="AE219" s="1870"/>
      <c r="AF219" s="1870"/>
      <c r="AG219" s="339"/>
      <c r="AH219" s="339"/>
      <c r="AI219" s="339"/>
      <c r="AJ219" s="330"/>
      <c r="AK219" s="157"/>
      <c r="AN219" s="1016" t="s">
        <v>578</v>
      </c>
      <c r="AO219" s="1016"/>
      <c r="AP219" s="1016" t="str">
        <f>PL!$AB$40</f>
        <v>Tax</v>
      </c>
      <c r="AQ219" s="1016" t="s">
        <v>576</v>
      </c>
      <c r="AR219" s="1016"/>
      <c r="AS219" s="77"/>
      <c r="AT219" s="1922" cm="1">
        <f t="array" ca="1" aca="1" ref="AT219">IFERROR(-SUM(_xlfn.XLOOKUP($AP219,PL!$AB$19:$AB$92,_xlfn._xlws.FILTER(PL!$AD$19:$BN$92,_xlfn.ANCHORARRAY(PL!$AD$13)&gt;-3))),"Error")</f>
        <v>-3</v>
      </c>
      <c r="AU219" s="1922" cm="1">
        <f t="array" ca="1" aca="1" ref="AU219">IFERROR(-SUM(_xlfn.XLOOKUP($AP219,PL!$AB$19:$AB$92,_xlfn._xlws.FILTER(PL!$AD$19:$BN$92,_xlfn.ANCHORARRAY(PL!$AD$13)&gt;-12))),"Error")</f>
        <v>-12</v>
      </c>
      <c r="AV219" s="1922"/>
      <c r="AW219" s="3264">
        <f t="shared" ca="1" si="29"/>
        <v>1</v>
      </c>
      <c r="AX219" s="3265" cm="1">
        <f t="array" ca="1" aca="1" ref="AX219">IFERROR(ABS(INDEX(_xlfn.XLOOKUP($AP219,PL!$AB$12:$AB$433,_xlfn._xlws.FILTER(PL!$CD$12:$CN$433,PL!$CD$19:$CN$19=AX$203)),1)),"Error")</f>
        <v>1</v>
      </c>
      <c r="AY219" s="3266" cm="1">
        <f t="array" ca="1" aca="1" ref="AY219">IFERROR(ABS(INDEX(_xlfn.XLOOKUP($AP219,PL!$AB$12:$AB$433,_xlfn._xlws.FILTER(PL!$CD$12:$CN$433,PL!$CD$19:$CN$19=AY$203)),1)),"Error")</f>
        <v>1</v>
      </c>
      <c r="AZ219" s="1926"/>
    </row>
    <row r="220" spans="7:52" ht="14.25" customHeight="1">
      <c r="G220" s="45"/>
      <c r="I220" s="2043"/>
      <c r="J220" s="16"/>
      <c r="K220" s="52"/>
      <c r="L220" s="101"/>
      <c r="M220" s="126"/>
      <c r="N220" s="101"/>
      <c r="O220" s="101"/>
      <c r="P220" s="39"/>
      <c r="R220" s="265"/>
      <c r="S220" s="319"/>
      <c r="T220" s="319"/>
      <c r="U220" s="320"/>
      <c r="V220" s="320"/>
      <c r="W220" s="320"/>
      <c r="X220" s="320"/>
      <c r="Y220" s="320"/>
      <c r="Z220" s="320"/>
      <c r="AA220" s="1870"/>
      <c r="AB220" s="1870"/>
      <c r="AC220" s="1870"/>
      <c r="AD220" s="1870"/>
      <c r="AE220" s="1870"/>
      <c r="AF220" s="1870"/>
      <c r="AG220" s="339"/>
      <c r="AH220" s="339"/>
      <c r="AI220" s="339"/>
      <c r="AJ220" s="330"/>
      <c r="AK220" s="157"/>
      <c r="AN220" s="1018" t="s">
        <v>579</v>
      </c>
      <c r="AO220" s="1018"/>
      <c r="AP220" s="1008"/>
      <c r="AQ220" s="246"/>
      <c r="AR220" s="246"/>
      <c r="AS220" s="246"/>
      <c r="AT220" s="246"/>
      <c r="AU220" s="246"/>
      <c r="AV220" s="246"/>
      <c r="AW220" s="246"/>
      <c r="AX220" s="246"/>
      <c r="AY220" s="246"/>
      <c r="AZ220" s="246"/>
    </row>
    <row r="221" spans="7:52" ht="14.25" customHeight="1">
      <c r="G221" s="45"/>
      <c r="I221" s="2043"/>
      <c r="J221" s="16"/>
      <c r="K221" s="52"/>
      <c r="L221" s="101"/>
      <c r="M221" s="126"/>
      <c r="N221" s="101"/>
      <c r="O221" s="101"/>
      <c r="P221" s="39"/>
      <c r="R221" s="265"/>
      <c r="S221" s="319"/>
      <c r="T221" s="319"/>
      <c r="U221" s="320"/>
      <c r="V221" s="320"/>
      <c r="W221" s="320"/>
      <c r="X221" s="320"/>
      <c r="Y221" s="320"/>
      <c r="Z221" s="320"/>
      <c r="AA221" s="1870"/>
      <c r="AB221" s="1870"/>
      <c r="AC221" s="1870"/>
      <c r="AD221" s="1870"/>
      <c r="AE221" s="1870"/>
      <c r="AF221" s="1870"/>
      <c r="AG221" s="339"/>
      <c r="AH221" s="339"/>
      <c r="AI221" s="339"/>
      <c r="AJ221" s="330"/>
      <c r="AK221" s="157"/>
      <c r="AN221" s="1016" t="s">
        <v>580</v>
      </c>
      <c r="AO221" s="1016"/>
      <c r="AP221" s="1016" t="str">
        <f>BS!$AB$38</f>
        <v>Gross External Debt</v>
      </c>
      <c r="AQ221" s="1927" t="s">
        <v>581</v>
      </c>
      <c r="AR221" s="1927"/>
      <c r="AS221" s="1928" cm="1">
        <f t="array" ref="AS221">-_xlfn.XLOOKUP(AS$203&amp;AS$201,BS!$AD$19:$CH$19&amp;BS!$AD$11:$CH$11,_xlfn.XLOOKUP($AP221,BS!$AB$20:$AB$50,BS!$AD$20:$CH$50))</f>
        <v>-6</v>
      </c>
      <c r="AT221" s="1928" cm="1">
        <f t="array" ref="AT221">-_xlfn.XLOOKUP(AT$203&amp;AT$201,BS!$AD$19:$CH$19&amp;BS!$AD$11:$CH$11,_xlfn.XLOOKUP($AP221,BS!$AB$20:$AB$50,BS!$AD$20:$CH$50))</f>
        <v>-6</v>
      </c>
      <c r="AU221" s="1928" cm="1">
        <f t="array" ref="AU221">-_xlfn.XLOOKUP(AU$203&amp;AU$201,BS!$AD$19:$CH$19&amp;BS!$AD$11:$CH$11,_xlfn.XLOOKUP($AP221,BS!$AB$20:$AB$50,BS!$AD$20:$CH$50))</f>
        <v>-6</v>
      </c>
      <c r="AV221" s="1928"/>
      <c r="AW221" s="1926" t="str">
        <f t="shared" ca="1" si="29"/>
        <v/>
      </c>
      <c r="AX221" s="1928" t="str" cm="1">
        <f t="array" ca="1" aca="1" ref="AX221">IFERROR(-_xlfn.XLOOKUP(AX$203&amp;AX$201,BS!$CD$19:$CH$19&amp;BS!$CD$11:$CH$11,_xlfn.XLOOKUP($AP221,BS!$AB$20:$AB$50,BS!$CD$20:$CH$50)),"")</f>
        <v/>
      </c>
      <c r="AY221" s="1928" t="str" cm="1">
        <f t="array" ca="1" aca="1" ref="AY221">IFERROR(-_xlfn.XLOOKUP(AY$203&amp;AY$201,BS!$CD$19:$CH$19&amp;BS!$CD$11:$CH$11,_xlfn.XLOOKUP($AP221,BS!$AB$20:$AB$50,BS!$CD$20:$CH$50)),"")</f>
        <v/>
      </c>
      <c r="AZ221" s="1926"/>
    </row>
    <row r="222" spans="7:52" ht="14.25" customHeight="1">
      <c r="G222" s="45"/>
      <c r="I222" s="2043"/>
      <c r="J222" s="16"/>
      <c r="K222" s="52"/>
      <c r="L222" s="101"/>
      <c r="M222" s="126"/>
      <c r="N222" s="101"/>
      <c r="O222" s="101"/>
      <c r="P222" s="39"/>
      <c r="R222" s="265"/>
      <c r="S222" s="319"/>
      <c r="T222" s="319"/>
      <c r="U222" s="320"/>
      <c r="V222" s="320"/>
      <c r="W222" s="320"/>
      <c r="X222" s="320"/>
      <c r="Y222" s="320"/>
      <c r="Z222" s="320"/>
      <c r="AA222" s="1870"/>
      <c r="AB222" s="1870"/>
      <c r="AC222" s="1870"/>
      <c r="AD222" s="1870"/>
      <c r="AE222" s="1870"/>
      <c r="AF222" s="1870"/>
      <c r="AG222" s="339"/>
      <c r="AH222" s="339"/>
      <c r="AI222" s="339"/>
      <c r="AJ222" s="330"/>
      <c r="AK222" s="157"/>
      <c r="AN222" s="1016" t="s">
        <v>582</v>
      </c>
      <c r="AO222" s="1016"/>
      <c r="AP222" s="1016" t="str">
        <f>BS!$AB$40</f>
        <v>Net External Debt</v>
      </c>
      <c r="AQ222" s="1927" t="s">
        <v>581</v>
      </c>
      <c r="AR222" s="1927"/>
      <c r="AS222" s="1928" cm="1">
        <f t="array" ref="AS222">-_xlfn.XLOOKUP(AS$203&amp;AS$201,BS!$AD$19:$CH$19&amp;BS!$AD$11:$CH$11,_xlfn.XLOOKUP($AP222,BS!$AB$20:$AB$50,BS!$AD$20:$CH$50))</f>
        <v>-7</v>
      </c>
      <c r="AT222" s="1928" cm="1">
        <f t="array" ref="AT222">-_xlfn.XLOOKUP(AT$203&amp;AT$201,BS!$AD$19:$CH$19&amp;BS!$AD$11:$CH$11,_xlfn.XLOOKUP($AP222,BS!$AB$20:$AB$50,BS!$AD$20:$CH$50))</f>
        <v>-7</v>
      </c>
      <c r="AU222" s="1928" cm="1">
        <f t="array" ref="AU222">-_xlfn.XLOOKUP(AU$203&amp;AU$201,BS!$AD$19:$CH$19&amp;BS!$AD$11:$CH$11,_xlfn.XLOOKUP($AP222,BS!$AB$20:$AB$50,BS!$AD$20:$CH$50))</f>
        <v>-7</v>
      </c>
      <c r="AV222" s="1928"/>
      <c r="AW222" s="1926" t="str">
        <f t="shared" ca="1" si="29"/>
        <v/>
      </c>
      <c r="AX222" s="1928" t="str" cm="1">
        <f t="array" ca="1" aca="1" ref="AX222">IFERROR(-_xlfn.XLOOKUP(AX$203&amp;AX$201,BS!$CD$19:$CH$19&amp;BS!$CD$11:$CH$11,_xlfn.XLOOKUP($AP222,BS!$AB$20:$AB$50,BS!$CD$20:$CH$50)),"")</f>
        <v/>
      </c>
      <c r="AY222" s="1928" t="str" cm="1">
        <f t="array" ca="1" aca="1" ref="AY222">IFERROR(-_xlfn.XLOOKUP(AY$203&amp;AY$201,BS!$CD$19:$CH$19&amp;BS!$CD$11:$CH$11,_xlfn.XLOOKUP($AP222,BS!$AB$20:$AB$50,BS!$CD$20:$CH$50)),"")</f>
        <v/>
      </c>
      <c r="AZ222" s="1926"/>
    </row>
    <row r="223" spans="7:52" ht="15.5">
      <c r="G223" s="45"/>
      <c r="I223" s="2043"/>
      <c r="J223" s="16"/>
      <c r="K223" s="52"/>
      <c r="L223" s="101"/>
      <c r="M223" s="126"/>
      <c r="N223" s="101"/>
      <c r="O223" s="101"/>
      <c r="P223" s="39"/>
      <c r="R223" s="265"/>
      <c r="S223" s="319"/>
      <c r="T223" s="319"/>
      <c r="U223" s="320"/>
      <c r="V223" s="320"/>
      <c r="W223" s="320"/>
      <c r="X223" s="320"/>
      <c r="Y223" s="320"/>
      <c r="Z223" s="320"/>
      <c r="AA223" s="1870"/>
      <c r="AB223" s="1870"/>
      <c r="AC223" s="1870"/>
      <c r="AD223" s="1870"/>
      <c r="AE223" s="1870"/>
      <c r="AF223" s="1870"/>
      <c r="AG223" s="339"/>
      <c r="AH223" s="339"/>
      <c r="AI223" s="339"/>
      <c r="AJ223" s="330"/>
      <c r="AK223" s="305"/>
      <c r="AN223" s="1016" t="s">
        <v>523</v>
      </c>
      <c r="AO223" s="1016"/>
      <c r="AP223" s="1016" t="str">
        <f>BS!$AB$46</f>
        <v>Net Debt / (Cash)</v>
      </c>
      <c r="AQ223" s="1927" t="s">
        <v>581</v>
      </c>
      <c r="AR223" s="1927"/>
      <c r="AS223" s="1928" cm="1">
        <f t="array" ref="AS223">-_xlfn.XLOOKUP(AS$203&amp;AS$201,BS!$AD$19:$CH$19&amp;BS!$AD$11:$CH$11,_xlfn.XLOOKUP($AP223,BS!$AB$20:$AB$50,BS!$AD$20:$CH$50))</f>
        <v>-11</v>
      </c>
      <c r="AT223" s="1928" cm="1">
        <f t="array" ref="AT223">-_xlfn.XLOOKUP(AT$203&amp;AT$201,BS!$AD$19:$CH$19&amp;BS!$AD$11:$CH$11,_xlfn.XLOOKUP($AP223,BS!$AB$20:$AB$50,BS!$AD$20:$CH$50))</f>
        <v>-11</v>
      </c>
      <c r="AU223" s="1928" cm="1">
        <f t="array" ref="AU223">-_xlfn.XLOOKUP(AU$203&amp;AU$201,BS!$AD$19:$CH$19&amp;BS!$AD$11:$CH$11,_xlfn.XLOOKUP($AP223,BS!$AB$20:$AB$50,BS!$AD$20:$CH$50))</f>
        <v>-11</v>
      </c>
      <c r="AV223" s="1928"/>
      <c r="AW223" s="1926" t="str">
        <f t="shared" ca="1" si="29"/>
        <v/>
      </c>
      <c r="AX223" s="1928" t="str" cm="1">
        <f t="array" ca="1" aca="1" ref="AX223">IFERROR(-_xlfn.XLOOKUP(AX$203&amp;AX$201,BS!$CD$19:$CH$19&amp;BS!$CD$11:$CH$11,_xlfn.XLOOKUP($AP223,BS!$AB$20:$AB$50,BS!$CD$20:$CH$50)),"")</f>
        <v/>
      </c>
      <c r="AY223" s="1928" t="str" cm="1">
        <f t="array" ca="1" aca="1" ref="AY223">IFERROR(-_xlfn.XLOOKUP(AY$203&amp;AY$201,BS!$CD$19:$CH$19&amp;BS!$CD$11:$CH$11,_xlfn.XLOOKUP($AP223,BS!$AB$20:$AB$50,BS!$CD$20:$CH$50)),"")</f>
        <v/>
      </c>
      <c r="AZ223" s="1926"/>
    </row>
    <row r="224" spans="7:52" ht="15.5">
      <c r="G224" s="45"/>
      <c r="I224" s="2043"/>
      <c r="J224" s="16"/>
      <c r="K224" s="52"/>
      <c r="L224" s="101"/>
      <c r="M224" s="126"/>
      <c r="N224" s="101"/>
      <c r="O224" s="101"/>
      <c r="P224" s="39"/>
      <c r="R224" s="56"/>
      <c r="S224" s="320"/>
      <c r="T224" s="320"/>
      <c r="U224" s="320"/>
      <c r="V224" s="320"/>
      <c r="W224" s="320"/>
      <c r="X224" s="320"/>
      <c r="Y224" s="320"/>
      <c r="Z224" s="320"/>
      <c r="AA224" s="1870"/>
      <c r="AB224" s="1870"/>
      <c r="AC224" s="1870"/>
      <c r="AD224" s="1870"/>
      <c r="AE224" s="1870"/>
      <c r="AF224" s="1870"/>
      <c r="AG224" s="339"/>
      <c r="AH224" s="339"/>
      <c r="AI224" s="339"/>
      <c r="AJ224" s="330"/>
      <c r="AK224" s="157"/>
      <c r="AN224" s="1016" t="s">
        <v>583</v>
      </c>
      <c r="AO224" s="1016"/>
      <c r="AP224" s="1016" t="s">
        <v>455</v>
      </c>
      <c r="AQ224" s="1927" t="s">
        <v>581</v>
      </c>
      <c r="AR224" s="1927"/>
      <c r="AS224" s="3267" cm="1">
        <f t="array" ref="AS224">_xlfn.LET(_xlpm.findRow,_xlfn.XMATCH($AP224,BS!$AB$20:$AB$50,0),_xlpm.Choose,_xlfn.CHOOSEROWS(BS!$AD$20:$BN$50,_xlpm.findRow),_xlpm.findcol,_xlfn.XMATCH(AS$203&amp;AS$201,BS!$AD$19:$BN$19&amp;BS!$AD$11:$BN$11,0),_xlpm.RESULT,INDEX(BS!$AD$20:$BN$50,_xlpm.findRow,_xlpm.findcol),IF(ISERROR(_xlpm.RESULT),"Error",_xlpm.RESULT))</f>
        <v>1</v>
      </c>
      <c r="AT224" s="3267" cm="1">
        <f t="array" ref="AT224">_xlfn.LET(_xlpm.findRow,_xlfn.XMATCH($AP224,BS!$AB$20:$AB$50,0),_xlpm.Choose,_xlfn.CHOOSEROWS(BS!$AD$20:$BN$50,_xlpm.findRow),_xlpm.findcol,_xlfn.XMATCH(AT$203&amp;AT$201,BS!$AD$19:$BN$19&amp;BS!$AD$11:$BN$11,0),_xlpm.RESULT,INDEX(BS!$AD$20:$BN$50,_xlpm.findRow,_xlpm.findcol),IF(ISERROR(_xlpm.RESULT),"",_xlpm.RESULT))</f>
        <v>1</v>
      </c>
      <c r="AU224" s="3267" cm="1">
        <f t="array" ref="AU224">_xlfn.LET(_xlpm.findRow,_xlfn.XMATCH($AP224,BS!$AB$20:$AB$50,0),_xlpm.Choose,_xlfn.CHOOSEROWS(BS!$AD$20:$BN$50,_xlpm.findRow),_xlpm.findcol,_xlfn.XMATCH(AU$203&amp;AU$201,BS!$AD$19:$BN$19&amp;BS!$AD$11:$BN$11,0),_xlpm.RESULT,INDEX(BS!$AD$20:$BN$50,_xlpm.findRow,_xlpm.findcol),IF(ISERROR(_xlpm.RESULT),"",_xlpm.RESULT))</f>
        <v>1</v>
      </c>
      <c r="AV224" s="1928" t="str" cm="1">
        <f t="array" ref="AV224">_xlfn.LET(_xlpm.findRow,_xlfn.XMATCH($AP224,BS!$AB$20:$AB$50,0),_xlpm.Choose,_xlfn.CHOOSEROWS(BS!$AD$20:$BN$50,_xlpm.findRow),_xlpm.findcol,_xlfn.XMATCH(AV$203&amp;AV$201,BS!$AD$19:$BN$19&amp;BS!$AD$11:$BN$11,0),_xlpm.RESULT,INDEX(BS!$AD$20:$BN$50,_xlpm.findRow,_xlpm.findcol),IF(ISERROR(_xlpm.RESULT),"",_xlpm.RESULT))</f>
        <v/>
      </c>
      <c r="AW224" s="1928" t="str" cm="1">
        <f t="array" ca="1" aca="1" ref="AW224">_xlfn.LET(_xlpm.findRow,_xlfn.XMATCH($AP224,BS!$AB$20:$AB$50,0),_xlpm.Choose,_xlfn.CHOOSEROWS(BS!$AD$20:$BN$50,_xlpm.findRow),_xlpm.findcol,_xlfn.XMATCH(AW$203&amp;AW$201,BS!$AD$19:$BN$19&amp;BS!$AD$11:$BN$11,0),_xlpm.RESULT,INDEX(BS!$AD$20:$BN$50,_xlpm.findRow,_xlpm.findcol),IF(ISERROR(_xlpm.RESULT),"",_xlpm.RESULT))</f>
        <v/>
      </c>
      <c r="AX224" s="1928" t="str" cm="1">
        <f t="array" ca="1" aca="1" ref="AX224">IFERROR(-_xlfn.XLOOKUP(AX$203&amp;AX$201,BS!$CD$19:$CH$19&amp;BS!$CD$11:$CH$11,_xlfn.XLOOKUP($AP224,BS!$AB$20:$AB$50,BS!$CD$20:$CH$50)),"")</f>
        <v/>
      </c>
      <c r="AY224" s="1928" t="str" cm="1">
        <f t="array" ca="1" aca="1" ref="AY224">IFERROR(-_xlfn.XLOOKUP(AY$203&amp;AY$201,BS!$CD$19:$CH$19&amp;BS!$CD$11:$CH$11,_xlfn.XLOOKUP($AP224,BS!$AB$20:$AB$50,BS!$CD$20:$CH$50)),"")</f>
        <v/>
      </c>
      <c r="AZ224" s="1928"/>
    </row>
    <row r="225" spans="7:52" ht="15.5">
      <c r="G225" s="45"/>
      <c r="I225" s="2043"/>
      <c r="J225" s="16"/>
      <c r="K225" s="52"/>
      <c r="L225" s="101"/>
      <c r="M225" s="126"/>
      <c r="N225" s="101"/>
      <c r="O225" s="101"/>
      <c r="P225" s="39"/>
      <c r="R225" s="56"/>
      <c r="S225" s="320"/>
      <c r="T225" s="320"/>
      <c r="U225" s="320"/>
      <c r="V225" s="320"/>
      <c r="W225" s="320"/>
      <c r="X225" s="320"/>
      <c r="Y225" s="320"/>
      <c r="Z225" s="320"/>
      <c r="AA225" s="1870"/>
      <c r="AB225" s="1870"/>
      <c r="AC225" s="1870"/>
      <c r="AD225" s="1870"/>
      <c r="AE225" s="1870"/>
      <c r="AF225" s="1870"/>
      <c r="AG225" s="339"/>
      <c r="AH225" s="339"/>
      <c r="AI225" s="339"/>
      <c r="AJ225" s="330"/>
      <c r="AK225" s="157"/>
      <c r="AN225" s="1016"/>
      <c r="AO225" s="1016"/>
      <c r="AP225" s="1016"/>
      <c r="AQ225" s="1016"/>
      <c r="AR225" s="1016"/>
      <c r="AS225" s="251"/>
      <c r="AT225" s="251"/>
      <c r="AU225" s="251"/>
      <c r="AV225" s="251"/>
      <c r="AW225" s="245"/>
      <c r="AX225" s="251"/>
      <c r="AY225" s="251"/>
      <c r="AZ225" s="245"/>
    </row>
    <row r="226" spans="7:52" ht="15.5">
      <c r="G226" s="45"/>
      <c r="I226" s="2043"/>
      <c r="J226" s="16"/>
      <c r="K226" s="52"/>
      <c r="L226" s="101"/>
      <c r="M226" s="126"/>
      <c r="N226" s="101"/>
      <c r="O226" s="101"/>
      <c r="P226" s="39"/>
      <c r="R226" s="56"/>
      <c r="S226" s="320"/>
      <c r="T226" s="320"/>
      <c r="U226" s="320"/>
      <c r="V226" s="320"/>
      <c r="W226" s="320"/>
      <c r="X226" s="320"/>
      <c r="Y226" s="320"/>
      <c r="Z226" s="320"/>
      <c r="AA226" s="1870"/>
      <c r="AB226" s="1870"/>
      <c r="AC226" s="1870"/>
      <c r="AD226" s="1870"/>
      <c r="AE226" s="1870"/>
      <c r="AF226" s="1870"/>
      <c r="AG226" s="339"/>
      <c r="AH226" s="339"/>
      <c r="AI226" s="339"/>
      <c r="AJ226" s="330"/>
      <c r="AK226" s="157"/>
      <c r="AN226" s="1063" t="s">
        <v>584</v>
      </c>
      <c r="AO226" s="1063"/>
      <c r="AP226" s="1061"/>
      <c r="AQ226" s="1061"/>
      <c r="AR226" s="1061"/>
      <c r="AS226" s="1015"/>
      <c r="AT226" s="1015"/>
      <c r="AU226" s="1015"/>
      <c r="AV226" s="1015"/>
      <c r="AW226" s="1062"/>
      <c r="AX226" s="1015"/>
      <c r="AY226" s="1015"/>
      <c r="AZ226" s="1062"/>
    </row>
    <row r="227" spans="7:52" ht="15.5">
      <c r="G227" s="45"/>
      <c r="I227" s="2043"/>
      <c r="J227" s="16"/>
      <c r="K227" s="52"/>
      <c r="L227" s="101"/>
      <c r="M227" s="126"/>
      <c r="N227" s="101"/>
      <c r="O227" s="101"/>
      <c r="P227" s="39"/>
      <c r="R227" s="56"/>
      <c r="S227" s="320"/>
      <c r="T227" s="320"/>
      <c r="U227" s="320"/>
      <c r="V227" s="320"/>
      <c r="W227" s="320"/>
      <c r="X227" s="320"/>
      <c r="Y227" s="320"/>
      <c r="Z227" s="320"/>
      <c r="AA227" s="1870"/>
      <c r="AB227" s="1870"/>
      <c r="AC227" s="1870"/>
      <c r="AD227" s="1870"/>
      <c r="AE227" s="1870"/>
      <c r="AF227" s="1870"/>
      <c r="AG227" s="339"/>
      <c r="AH227" s="339"/>
      <c r="AI227" s="339"/>
      <c r="AJ227" s="330"/>
      <c r="AK227" s="157"/>
      <c r="AN227" s="1016"/>
      <c r="AO227" s="1016"/>
      <c r="AP227" s="1016"/>
      <c r="AQ227" s="1016"/>
      <c r="AR227" s="1016"/>
      <c r="AS227" s="251"/>
      <c r="AT227" s="251"/>
      <c r="AU227" s="251"/>
      <c r="AV227" s="251"/>
      <c r="AW227" s="245"/>
      <c r="AX227" s="251"/>
      <c r="AY227" s="251"/>
      <c r="AZ227" s="245"/>
    </row>
    <row r="228" spans="7:52" ht="15.5">
      <c r="G228" s="45"/>
      <c r="I228" s="2043"/>
      <c r="J228" s="16"/>
      <c r="K228" s="52"/>
      <c r="L228" s="101"/>
      <c r="M228" s="126"/>
      <c r="N228" s="101"/>
      <c r="O228" s="101"/>
      <c r="P228" s="39"/>
      <c r="R228" s="56"/>
      <c r="S228" s="320"/>
      <c r="T228" s="320"/>
      <c r="U228" s="320"/>
      <c r="V228" s="320"/>
      <c r="W228" s="320"/>
      <c r="X228" s="320"/>
      <c r="Y228" s="320"/>
      <c r="Z228" s="320"/>
      <c r="AA228" s="1870"/>
      <c r="AB228" s="1870"/>
      <c r="AC228" s="1870"/>
      <c r="AD228" s="1870"/>
      <c r="AE228" s="1870"/>
      <c r="AF228" s="1870"/>
      <c r="AG228" s="339"/>
      <c r="AH228" s="339"/>
      <c r="AI228" s="339"/>
      <c r="AJ228" s="330"/>
      <c r="AK228" s="157"/>
      <c r="AN228" s="702" t="s">
        <v>585</v>
      </c>
      <c r="AO228" s="702" t="s">
        <v>586</v>
      </c>
      <c r="AP228" s="702" t="s">
        <v>587</v>
      </c>
      <c r="AQ228" s="702" t="s">
        <v>588</v>
      </c>
      <c r="AR228" s="702"/>
      <c r="AS228" s="702" t="s">
        <v>589</v>
      </c>
      <c r="AT228" s="702" t="s">
        <v>590</v>
      </c>
      <c r="AU228" s="592"/>
      <c r="AV228" s="592"/>
      <c r="AW228" s="1081"/>
      <c r="AX228" s="1081"/>
      <c r="AY228" s="1081"/>
      <c r="AZ228" s="1081"/>
    </row>
    <row r="229" spans="7:52" ht="15" customHeight="1">
      <c r="G229" s="45"/>
      <c r="I229" s="2043"/>
      <c r="J229" s="16"/>
      <c r="K229" s="52"/>
      <c r="L229" s="101"/>
      <c r="M229" s="126"/>
      <c r="N229" s="101"/>
      <c r="O229" s="101"/>
      <c r="P229" s="39"/>
      <c r="R229" s="56"/>
      <c r="S229" s="320"/>
      <c r="T229" s="320"/>
      <c r="U229" s="320"/>
      <c r="V229" s="320"/>
      <c r="W229" s="320"/>
      <c r="X229" s="320"/>
      <c r="Y229" s="320"/>
      <c r="Z229" s="320"/>
      <c r="AA229" s="1870"/>
      <c r="AB229" s="1870"/>
      <c r="AC229" s="1870"/>
      <c r="AD229" s="1870"/>
      <c r="AE229" s="1870"/>
      <c r="AF229" s="1870"/>
      <c r="AG229" s="339"/>
      <c r="AH229" s="339"/>
      <c r="AI229" s="339"/>
      <c r="AJ229" s="330"/>
      <c r="AK229" s="157"/>
      <c r="AN229" s="66" t="s">
        <v>591</v>
      </c>
      <c r="AO229" s="1031" t="s">
        <v>559</v>
      </c>
      <c r="AP229" s="1031" t="s">
        <v>523</v>
      </c>
      <c r="AQ229" s="1031" t="s">
        <v>200</v>
      </c>
      <c r="AR229" s="3452"/>
      <c r="AS229" s="1031" t="s">
        <v>200</v>
      </c>
      <c r="AT229" s="66">
        <v>-1</v>
      </c>
      <c r="AU229" s="592"/>
      <c r="AV229" s="592"/>
      <c r="AW229" s="592"/>
      <c r="AX229" s="592"/>
      <c r="AY229" s="592"/>
      <c r="AZ229" s="592"/>
    </row>
    <row r="230" spans="7:51" ht="15.5">
      <c r="G230" s="45"/>
      <c r="I230" s="2043"/>
      <c r="J230" s="16"/>
      <c r="K230" s="52"/>
      <c r="L230" s="101"/>
      <c r="M230" s="101"/>
      <c r="N230" s="101"/>
      <c r="O230" s="101"/>
      <c r="P230" s="39"/>
      <c r="R230" s="56"/>
      <c r="S230" s="320"/>
      <c r="T230" s="320"/>
      <c r="U230" s="320"/>
      <c r="V230" s="320"/>
      <c r="W230" s="320"/>
      <c r="X230" s="320"/>
      <c r="Y230" s="320"/>
      <c r="Z230" s="320"/>
      <c r="AA230" s="1870"/>
      <c r="AB230" s="1870"/>
      <c r="AC230" s="1870"/>
      <c r="AD230" s="1870"/>
      <c r="AE230" s="1870"/>
      <c r="AF230" s="1870"/>
      <c r="AG230" s="339"/>
      <c r="AH230" s="339"/>
      <c r="AI230" s="339"/>
      <c r="AJ230" s="330"/>
      <c r="AK230" s="157"/>
      <c r="AN230" s="66" t="s">
        <v>592</v>
      </c>
      <c r="AO230" s="1031" t="s">
        <v>547</v>
      </c>
      <c r="AP230" s="1031" t="s">
        <v>580</v>
      </c>
      <c r="AQ230" s="1031" t="s">
        <v>200</v>
      </c>
      <c r="AR230" s="3453"/>
      <c r="AS230" s="1031" t="s">
        <v>200</v>
      </c>
      <c r="AT230" s="66">
        <v>-1</v>
      </c>
      <c r="AU230" s="1081" t="s">
        <v>593</v>
      </c>
      <c r="AV230" s="1081"/>
      <c r="AW230" s="3106" t="s">
        <v>594</v>
      </c>
      <c r="AX230" s="3106"/>
      <c r="AY230" s="3106"/>
    </row>
    <row r="231" spans="7:51" ht="15" customHeight="1">
      <c r="G231" s="45"/>
      <c r="I231" s="2043"/>
      <c r="J231" s="16"/>
      <c r="K231" s="52"/>
      <c r="L231" s="101"/>
      <c r="M231" s="101"/>
      <c r="N231" s="101"/>
      <c r="O231" s="101"/>
      <c r="P231" s="39"/>
      <c r="R231" s="56"/>
      <c r="S231" s="320"/>
      <c r="T231" s="320"/>
      <c r="U231" s="320"/>
      <c r="V231" s="320"/>
      <c r="W231" s="320"/>
      <c r="X231" s="320"/>
      <c r="Y231" s="320"/>
      <c r="Z231" s="320"/>
      <c r="AA231" s="1870"/>
      <c r="AB231" s="1870"/>
      <c r="AC231" s="1870"/>
      <c r="AD231" s="1870"/>
      <c r="AE231" s="1870"/>
      <c r="AF231" s="1870"/>
      <c r="AG231" s="339"/>
      <c r="AH231" s="339"/>
      <c r="AI231" s="339"/>
      <c r="AJ231" s="330"/>
      <c r="AK231" s="157"/>
      <c r="AN231" s="66" t="s">
        <v>595</v>
      </c>
      <c r="AO231" s="1031" t="s">
        <v>596</v>
      </c>
      <c r="AP231" s="1031" t="s">
        <v>523</v>
      </c>
      <c r="AQ231" s="1031" t="s">
        <v>519</v>
      </c>
      <c r="AR231" s="3453"/>
      <c r="AS231" s="1031" t="s">
        <v>519</v>
      </c>
      <c r="AT231" s="66">
        <v>-1</v>
      </c>
      <c r="AU231" s="1081" t="s">
        <v>593</v>
      </c>
      <c r="AV231" s="1081"/>
      <c r="AW231" s="3107" t="s">
        <v>597</v>
      </c>
      <c r="AX231" s="3107"/>
      <c r="AY231" s="3107"/>
    </row>
    <row r="232" spans="7:51" ht="15.5">
      <c r="G232" s="45"/>
      <c r="I232" s="2043"/>
      <c r="J232" s="16"/>
      <c r="K232" s="52"/>
      <c r="L232" s="101"/>
      <c r="M232" s="101"/>
      <c r="N232" s="101"/>
      <c r="O232" s="101"/>
      <c r="P232" s="39"/>
      <c r="R232" s="56"/>
      <c r="S232" s="320"/>
      <c r="T232" s="320"/>
      <c r="U232" s="320"/>
      <c r="V232" s="320"/>
      <c r="W232" s="320"/>
      <c r="X232" s="320"/>
      <c r="Y232" s="320"/>
      <c r="Z232" s="320"/>
      <c r="AA232" s="1870"/>
      <c r="AB232" s="1870"/>
      <c r="AC232" s="1870"/>
      <c r="AD232" s="1870"/>
      <c r="AE232" s="1870"/>
      <c r="AF232" s="1870"/>
      <c r="AG232" s="339"/>
      <c r="AH232" s="339"/>
      <c r="AI232" s="339"/>
      <c r="AJ232" s="330"/>
      <c r="AK232" s="157"/>
      <c r="AN232" s="66" t="s">
        <v>598</v>
      </c>
      <c r="AO232" s="1031" t="s">
        <v>563</v>
      </c>
      <c r="AP232" s="1031" t="s">
        <v>200</v>
      </c>
      <c r="AQ232" s="1031" t="s">
        <v>491</v>
      </c>
      <c r="AR232" s="3453"/>
      <c r="AS232" s="1031" t="s">
        <v>200</v>
      </c>
      <c r="AT232" s="3331">
        <v>1</v>
      </c>
      <c r="AU232" s="592"/>
      <c r="AV232" s="592"/>
      <c r="AW232" s="3107"/>
      <c r="AX232" s="3107"/>
      <c r="AY232" s="3107"/>
    </row>
    <row r="233" spans="7:52" ht="15.5">
      <c r="G233" s="45"/>
      <c r="I233" s="2043"/>
      <c r="J233" s="16"/>
      <c r="K233" s="52"/>
      <c r="L233" s="101"/>
      <c r="M233" s="101"/>
      <c r="N233" s="101"/>
      <c r="O233" s="101"/>
      <c r="P233" s="39"/>
      <c r="R233" s="56"/>
      <c r="S233" s="320"/>
      <c r="T233" s="320"/>
      <c r="U233" s="320"/>
      <c r="V233" s="320"/>
      <c r="W233" s="320"/>
      <c r="X233" s="320"/>
      <c r="Y233" s="320"/>
      <c r="Z233" s="320"/>
      <c r="AA233" s="1870"/>
      <c r="AB233" s="1870"/>
      <c r="AC233" s="1870"/>
      <c r="AD233" s="1870"/>
      <c r="AE233" s="1870"/>
      <c r="AF233" s="1870"/>
      <c r="AG233" s="339"/>
      <c r="AH233" s="339"/>
      <c r="AI233" s="339"/>
      <c r="AJ233" s="330"/>
      <c r="AK233" s="157"/>
      <c r="AN233" s="66" t="s">
        <v>599</v>
      </c>
      <c r="AO233" s="1031" t="s">
        <v>562</v>
      </c>
      <c r="AP233" s="1031" t="s">
        <v>200</v>
      </c>
      <c r="AQ233" s="1031" t="s">
        <v>573</v>
      </c>
      <c r="AR233" s="3453"/>
      <c r="AS233" s="1031" t="s">
        <v>200</v>
      </c>
      <c r="AT233" s="3331">
        <v>1</v>
      </c>
      <c r="AU233" s="592"/>
      <c r="AV233" s="592"/>
      <c r="AW233" s="592"/>
      <c r="AX233" s="592"/>
      <c r="AY233" s="592"/>
      <c r="AZ233" s="592"/>
    </row>
    <row r="234" spans="7:52" ht="15.5">
      <c r="G234" s="45"/>
      <c r="I234" s="2043"/>
      <c r="J234" s="16"/>
      <c r="K234" s="52"/>
      <c r="L234" s="101"/>
      <c r="M234" s="101"/>
      <c r="N234" s="101"/>
      <c r="O234" s="101"/>
      <c r="P234" s="39"/>
      <c r="R234" s="56"/>
      <c r="S234" s="320"/>
      <c r="T234" s="320"/>
      <c r="U234" s="320"/>
      <c r="V234" s="320"/>
      <c r="W234" s="320"/>
      <c r="X234" s="320"/>
      <c r="Y234" s="320"/>
      <c r="Z234" s="320"/>
      <c r="AA234" s="1870"/>
      <c r="AB234" s="1870"/>
      <c r="AC234" s="1870"/>
      <c r="AD234" s="1870"/>
      <c r="AE234" s="1870"/>
      <c r="AF234" s="1870"/>
      <c r="AG234" s="339"/>
      <c r="AH234" s="339"/>
      <c r="AI234" s="339"/>
      <c r="AJ234" s="330"/>
      <c r="AK234" s="157"/>
      <c r="AN234" s="65"/>
      <c r="AO234" s="65"/>
      <c r="AP234" s="1031"/>
      <c r="AQ234" s="1031"/>
      <c r="AR234" s="3453"/>
      <c r="AS234" s="59"/>
      <c r="AT234" s="65"/>
      <c r="AU234" s="1032"/>
      <c r="AV234" s="1032"/>
      <c r="AW234" s="65"/>
      <c r="AX234" s="65"/>
      <c r="AY234" s="65"/>
      <c r="AZ234" s="65"/>
    </row>
    <row r="235" spans="7:52" ht="15.5">
      <c r="G235" s="45"/>
      <c r="I235" s="2043"/>
      <c r="J235" s="16"/>
      <c r="K235" s="52"/>
      <c r="L235" s="101"/>
      <c r="M235" s="101"/>
      <c r="N235" s="101"/>
      <c r="O235" s="101"/>
      <c r="P235" s="39"/>
      <c r="R235" s="56"/>
      <c r="S235" s="320"/>
      <c r="T235" s="320"/>
      <c r="U235" s="320"/>
      <c r="V235" s="320"/>
      <c r="W235" s="320"/>
      <c r="X235" s="320"/>
      <c r="Y235" s="320"/>
      <c r="Z235" s="320"/>
      <c r="AA235" s="1870"/>
      <c r="AB235" s="1870"/>
      <c r="AC235" s="1870"/>
      <c r="AD235" s="1870"/>
      <c r="AE235" s="1870"/>
      <c r="AF235" s="1870"/>
      <c r="AG235" s="339"/>
      <c r="AH235" s="339"/>
      <c r="AI235" s="339"/>
      <c r="AJ235" s="330"/>
      <c r="AK235" s="157"/>
      <c r="AN235" s="60"/>
      <c r="AO235" s="60"/>
      <c r="AP235" s="60"/>
      <c r="AQ235" s="60"/>
      <c r="AR235" s="60"/>
      <c r="AS235" s="60"/>
      <c r="AT235" s="60"/>
      <c r="AU235" s="60"/>
      <c r="AV235" s="60"/>
      <c r="AW235" s="60"/>
      <c r="AX235" s="60"/>
      <c r="AY235" s="60"/>
      <c r="AZ235" s="60"/>
    </row>
    <row r="236" spans="7:52" ht="15.5">
      <c r="G236" s="45"/>
      <c r="I236" s="2043"/>
      <c r="J236" s="16"/>
      <c r="K236" s="52"/>
      <c r="L236" s="101"/>
      <c r="M236" s="101"/>
      <c r="N236" s="101"/>
      <c r="O236" s="101"/>
      <c r="P236" s="39"/>
      <c r="R236" s="56"/>
      <c r="S236" s="320"/>
      <c r="T236" s="320"/>
      <c r="U236" s="320"/>
      <c r="V236" s="320"/>
      <c r="W236" s="320"/>
      <c r="X236" s="320"/>
      <c r="Y236" s="320"/>
      <c r="Z236" s="320"/>
      <c r="AA236" s="1870"/>
      <c r="AB236" s="1870"/>
      <c r="AC236" s="1870"/>
      <c r="AD236" s="1870"/>
      <c r="AE236" s="1870"/>
      <c r="AF236" s="1870"/>
      <c r="AG236" s="339"/>
      <c r="AH236" s="339"/>
      <c r="AI236" s="339"/>
      <c r="AJ236" s="330"/>
      <c r="AK236" s="157"/>
      <c r="AN236" s="1016"/>
      <c r="AO236" s="1016"/>
      <c r="AP236" s="1016"/>
      <c r="AQ236" s="1016"/>
      <c r="AR236" s="1016"/>
      <c r="AS236" s="251"/>
      <c r="AT236" s="251"/>
      <c r="AU236" s="251"/>
      <c r="AV236" s="251"/>
      <c r="AW236" s="245"/>
      <c r="AX236" s="251"/>
      <c r="AY236" s="251"/>
      <c r="AZ236" s="245"/>
    </row>
    <row r="237" spans="7:37" ht="15.5">
      <c r="G237" s="45"/>
      <c r="I237" s="2043"/>
      <c r="J237" s="16"/>
      <c r="K237" s="52"/>
      <c r="L237" s="101"/>
      <c r="M237" s="101"/>
      <c r="N237" s="101"/>
      <c r="O237" s="101"/>
      <c r="P237" s="39"/>
      <c r="R237" s="56"/>
      <c r="S237" s="320"/>
      <c r="T237" s="320"/>
      <c r="U237" s="320"/>
      <c r="V237" s="320"/>
      <c r="W237" s="320"/>
      <c r="X237" s="320"/>
      <c r="Y237" s="320"/>
      <c r="Z237" s="320"/>
      <c r="AA237" s="1870"/>
      <c r="AB237" s="1870"/>
      <c r="AC237" s="1870"/>
      <c r="AD237" s="1870"/>
      <c r="AE237" s="1870"/>
      <c r="AF237" s="1870"/>
      <c r="AG237" s="339"/>
      <c r="AH237" s="339"/>
      <c r="AI237" s="339"/>
      <c r="AJ237" s="330"/>
      <c r="AK237" s="157"/>
    </row>
    <row r="238" spans="7:37" ht="19.75" customHeight="1">
      <c r="G238" s="45"/>
      <c r="I238" s="2043"/>
      <c r="J238" s="16"/>
      <c r="K238" s="52"/>
      <c r="L238" s="101"/>
      <c r="M238" s="101"/>
      <c r="N238" s="101"/>
      <c r="O238" s="101"/>
      <c r="P238" s="39"/>
      <c r="R238" s="265"/>
      <c r="S238" s="319"/>
      <c r="T238" s="319"/>
      <c r="U238" s="320"/>
      <c r="V238" s="320"/>
      <c r="W238" s="325"/>
      <c r="X238" s="325"/>
      <c r="Y238" s="325"/>
      <c r="Z238" s="340"/>
      <c r="AA238" s="340"/>
      <c r="AB238" s="340"/>
      <c r="AC238" s="340"/>
      <c r="AD238" s="340"/>
      <c r="AE238" s="340"/>
      <c r="AF238" s="340"/>
      <c r="AG238" s="341"/>
      <c r="AH238" s="341"/>
      <c r="AI238" s="330"/>
      <c r="AJ238" s="330"/>
      <c r="AK238" s="331"/>
    </row>
    <row r="239" spans="7:37" ht="15.5">
      <c r="G239" s="45"/>
      <c r="I239" s="2044"/>
      <c r="J239" s="17"/>
      <c r="K239" s="1873"/>
      <c r="L239" s="18"/>
      <c r="M239" s="18"/>
      <c r="N239" s="18"/>
      <c r="O239" s="18"/>
      <c r="P239" s="36"/>
      <c r="R239" s="265"/>
      <c r="S239" s="319"/>
      <c r="T239" s="319"/>
      <c r="U239" s="320"/>
      <c r="V239" s="320"/>
      <c r="W239" s="325"/>
      <c r="X239" s="325"/>
      <c r="Y239" s="325"/>
      <c r="Z239" s="340"/>
      <c r="AA239" s="340"/>
      <c r="AB239" s="340"/>
      <c r="AC239" s="340"/>
      <c r="AD239" s="340"/>
      <c r="AE239" s="340"/>
      <c r="AF239" s="340"/>
      <c r="AG239" s="341"/>
      <c r="AH239" s="341"/>
      <c r="AI239" s="330"/>
      <c r="AJ239" s="330"/>
      <c r="AK239" s="331"/>
    </row>
  </sheetData>
  <sheetProtection formatColumns="0" formatRows="0" autoFilter="0" pivotTables="0"/>
  <mergeCells count="36">
    <mergeCell ref="X126:Y126"/>
    <mergeCell ref="AG128:AI138"/>
    <mergeCell ref="AG144:AI154"/>
    <mergeCell ref="AG176:AI186"/>
    <mergeCell ref="BC47:BH48"/>
    <mergeCell ref="W122:AA122"/>
    <mergeCell ref="W124:X124"/>
    <mergeCell ref="I3:I9"/>
    <mergeCell ref="AG160:AI170"/>
    <mergeCell ref="AM48:AO48"/>
    <mergeCell ref="J4:L4"/>
    <mergeCell ref="AB12:AC12"/>
    <mergeCell ref="AB27:AC27"/>
    <mergeCell ref="N5:O6"/>
    <mergeCell ref="W12:AA12"/>
    <mergeCell ref="W27:AA27"/>
    <mergeCell ref="W60:Z60"/>
    <mergeCell ref="W63:Z63"/>
    <mergeCell ref="W57:Z57"/>
    <mergeCell ref="X142:Y142"/>
    <mergeCell ref="X158:Y158"/>
    <mergeCell ref="W86:Z86"/>
    <mergeCell ref="W92:Z92"/>
    <mergeCell ref="AW230:AY230"/>
    <mergeCell ref="AW232:AY232"/>
    <mergeCell ref="AW231:AY231"/>
    <mergeCell ref="W191:AE195"/>
    <mergeCell ref="X174:Y174"/>
    <mergeCell ref="AF37:AJ41"/>
    <mergeCell ref="W54:Z54"/>
    <mergeCell ref="W72:Z72"/>
    <mergeCell ref="W78:Y78"/>
    <mergeCell ref="W101:AE105"/>
    <mergeCell ref="W37:AE41"/>
    <mergeCell ref="W48:Z48"/>
    <mergeCell ref="W51:Z51"/>
  </mergeCells>
  <conditionalFormatting sqref="B13:B22">
    <cfRule type="expression" priority="204" dxfId="4220">
      <formula>$A13="L"</formula>
    </cfRule>
    <cfRule type="expression" priority="205" dxfId="4217">
      <formula>$A13="F"</formula>
    </cfRule>
  </conditionalFormatting>
  <conditionalFormatting sqref="B34">
    <cfRule type="expression" priority="201" dxfId="4217">
      <formula>$A82="F"</formula>
    </cfRule>
    <cfRule type="expression" priority="200" dxfId="4220">
      <formula>$A82="L"</formula>
    </cfRule>
  </conditionalFormatting>
  <conditionalFormatting sqref="R2:AK47">
    <cfRule type="expression" priority="1" dxfId="4194">
      <formula>IF($A$4,IF(CELL("protect",R2)=0,TRUE,FALSE))</formula>
    </cfRule>
  </conditionalFormatting>
  <conditionalFormatting sqref="R188:AK239">
    <cfRule type="expression" priority="3" dxfId="4194">
      <formula>IF($A$4,IF(CELL("protect",R188)=0,TRUE,FALSE))</formula>
    </cfRule>
  </conditionalFormatting>
  <conditionalFormatting sqref="V48:V51">
    <cfRule type="expression" priority="42" dxfId="4192">
      <formula>IF($A$14,IF(CELL("protect",V48)=0,TRUE,FALSE))</formula>
    </cfRule>
  </conditionalFormatting>
  <conditionalFormatting sqref="V54:V57">
    <cfRule type="expression" priority="20" dxfId="4192">
      <formula>IF($A$14,IF(CELL("protect",V54)=0,TRUE,FALSE))</formula>
    </cfRule>
  </conditionalFormatting>
  <conditionalFormatting sqref="V60:V63">
    <cfRule type="expression" priority="19" dxfId="4192">
      <formula>IF($A$14,IF(CELL("protect",V60)=0,TRUE,FALSE))</formula>
    </cfRule>
  </conditionalFormatting>
  <conditionalFormatting sqref="V48:V51 V54:V57 V60:V63 V72:V76 Z73:Z75 V78:V82 V86:V89 V92:V95">
    <cfRule type="expression" priority="24142" dxfId="4191">
      <formula>INDEX($H$1:$H$324,ROW($X47))=2</formula>
    </cfRule>
  </conditionalFormatting>
  <conditionalFormatting sqref="V72:V76 V78:V82 V86:V89">
    <cfRule type="expression" priority="64" dxfId="4192">
      <formula>IF($A$14,IF(CELL("protect",V72)=0,TRUE,FALSE))</formula>
    </cfRule>
  </conditionalFormatting>
  <conditionalFormatting sqref="V92:V95">
    <cfRule type="expression" priority="60" dxfId="4192">
      <formula>IF($A$14,IF(CELL("protect",V92)=0,TRUE,FALSE))</formula>
    </cfRule>
  </conditionalFormatting>
  <conditionalFormatting sqref="AM44:AV96 R48:U51 R52:AK53 R54:U57 W54:AK57 R58:AK59 R60:U63 W60:AK63 R64:AK71 R72:U82 W72:AK72 W73:Y76 AA73:AK75 Z76:AK76 V77:AK77 R83:V84 R85:U89 V85 R90:AK91 R92:U95 W92:AK95 R96:AK127 AM126:AQ126 R128:AG128 AJ128:AK138 R129:AF138 R139:AK143 R144:W154 X144:AG144 AJ144:AK154 X145:AF154 R155:AK156 R157:U171 V157:AK159 V160:AF170 AG160 AJ160:AK170 V171:AK171 R172:AK172 R173:U187 V173:AK175 V176:AF186 AG176 AJ176:AK186 V187:AK187">
    <cfRule type="expression" priority="206" dxfId="4194">
      <formula>IF($A$4,IF(CELL("protect",R44)=0,TRUE,FALSE))</formula>
    </cfRule>
  </conditionalFormatting>
  <conditionalFormatting sqref="W13:W24">
    <cfRule type="expression" priority="8282" dxfId="4191">
      <formula>#REF!=2</formula>
    </cfRule>
  </conditionalFormatting>
  <conditionalFormatting sqref="W28:W30">
    <cfRule type="expression" priority="247" dxfId="4191">
      <formula>#REF!=2</formula>
    </cfRule>
  </conditionalFormatting>
  <conditionalFormatting sqref="W32">
    <cfRule type="expression" priority="246" dxfId="4191">
      <formula>#REF!=2</formula>
    </cfRule>
  </conditionalFormatting>
  <conditionalFormatting sqref="W129:W138 W145:W154">
    <cfRule type="expression" priority="274" dxfId="4191">
      <formula>#REF!=2</formula>
    </cfRule>
  </conditionalFormatting>
  <conditionalFormatting sqref="W161:W170">
    <cfRule type="expression" priority="15" dxfId="4191">
      <formula>#REF!=2</formula>
    </cfRule>
  </conditionalFormatting>
  <conditionalFormatting sqref="W177:W186">
    <cfRule type="expression" priority="14" dxfId="4191">
      <formula>#REF!=2</formula>
    </cfRule>
  </conditionalFormatting>
  <conditionalFormatting sqref="W48:AK51">
    <cfRule type="expression" priority="5" dxfId="4194">
      <formula>IF($A$4,IF(CELL("protect",W48)=0,TRUE,FALSE))</formula>
    </cfRule>
  </conditionalFormatting>
  <conditionalFormatting sqref="W78:AK89">
    <cfRule type="expression" priority="2" dxfId="4194">
      <formula>IF($A$4,IF(CELL("protect",W78)=0,TRUE,FALSE))</formula>
    </cfRule>
  </conditionalFormatting>
  <conditionalFormatting sqref="Z73:Z75">
    <cfRule type="expression" priority="25" dxfId="4192">
      <formula>IF($A$14,IF(CELL("protect",Z73)=0,TRUE,FALSE))</formula>
    </cfRule>
  </conditionalFormatting>
  <conditionalFormatting sqref="AB13:AB18">
    <cfRule type="cellIs" priority="215" dxfId="1763" operator="equal">
      <formula>TRUE</formula>
    </cfRule>
  </conditionalFormatting>
  <conditionalFormatting sqref="AB22">
    <cfRule type="cellIs" priority="213" dxfId="1763" operator="equal">
      <formula>TRUE</formula>
    </cfRule>
  </conditionalFormatting>
  <conditionalFormatting sqref="AB28:AB30">
    <cfRule type="cellIs" priority="214" dxfId="1763" operator="equal">
      <formula>TRUE</formula>
    </cfRule>
  </conditionalFormatting>
  <conditionalFormatting sqref="AC49:AC53">
    <cfRule type="expression" priority="6" dxfId="1760">
      <formula>AC49=0</formula>
    </cfRule>
  </conditionalFormatting>
  <conditionalFormatting sqref="AC55:AC57">
    <cfRule type="expression" priority="56" dxfId="1760">
      <formula>AC55=0</formula>
    </cfRule>
  </conditionalFormatting>
  <conditionalFormatting sqref="AC61:AC64">
    <cfRule type="expression" priority="59" dxfId="1760">
      <formula>AC61=0</formula>
    </cfRule>
  </conditionalFormatting>
  <conditionalFormatting sqref="AC73:AC76">
    <cfRule type="expression" priority="88" dxfId="1760">
      <formula>AC73=0</formula>
    </cfRule>
  </conditionalFormatting>
  <conditionalFormatting sqref="AC79:AC82">
    <cfRule type="expression" priority="90" dxfId="1760">
      <formula>AC79=0</formula>
    </cfRule>
  </conditionalFormatting>
  <conditionalFormatting sqref="AC87:AC89">
    <cfRule type="expression" priority="24" dxfId="1760">
      <formula>AC87=0</formula>
    </cfRule>
  </conditionalFormatting>
  <conditionalFormatting sqref="AC93:AC95">
    <cfRule type="expression" priority="66" dxfId="1760">
      <formula>AC93=0</formula>
    </cfRule>
  </conditionalFormatting>
  <conditionalFormatting sqref="AD95">
    <cfRule type="expression" priority="22" dxfId="1760">
      <formula>AD95=0</formula>
    </cfRule>
  </conditionalFormatting>
  <conditionalFormatting sqref="AD116:AD117">
    <cfRule type="expression" priority="272" dxfId="1752">
      <formula>$AD$115="No"</formula>
    </cfRule>
  </conditionalFormatting>
  <conditionalFormatting sqref="AM124:AQ124">
    <cfRule type="expression" priority="129" dxfId="4194">
      <formula>IF($A$4,IF(CELL("protect",AM124)=0,TRUE,FALSE))</formula>
    </cfRule>
  </conditionalFormatting>
  <conditionalFormatting sqref="AM127:AU194">
    <cfRule type="expression" priority="98" dxfId="4194">
      <formula>IF($A$4,IF(CELL("protect",AM127)=0,TRUE,FALSE))</formula>
    </cfRule>
  </conditionalFormatting>
  <conditionalFormatting sqref="AN201:AZ236">
    <cfRule type="expression" priority="144" dxfId="4194">
      <formula>IF($A$4,IF(CELL("protect",AN201)=0,TRUE,FALSE))</formula>
    </cfRule>
  </conditionalFormatting>
  <conditionalFormatting sqref="AP49:AQ57">
    <cfRule type="expression" priority="173" dxfId="1760">
      <formula>AP49=0</formula>
    </cfRule>
  </conditionalFormatting>
  <conditionalFormatting sqref="AP61:AQ64">
    <cfRule type="expression" priority="164" dxfId="1760">
      <formula>AP61=0</formula>
    </cfRule>
  </conditionalFormatting>
  <conditionalFormatting sqref="AP73:AQ76">
    <cfRule type="expression" priority="149" dxfId="1760">
      <formula>AP73=0</formula>
    </cfRule>
  </conditionalFormatting>
  <conditionalFormatting sqref="AP79:AQ82">
    <cfRule type="expression" priority="148" dxfId="1760">
      <formula>AP79=0</formula>
    </cfRule>
  </conditionalFormatting>
  <conditionalFormatting sqref="AP87:AQ89">
    <cfRule type="expression" priority="156" dxfId="1760">
      <formula>AP87=0</formula>
    </cfRule>
  </conditionalFormatting>
  <conditionalFormatting sqref="AP93:AQ95">
    <cfRule type="expression" priority="151" dxfId="1760">
      <formula>AP93=0</formula>
    </cfRule>
  </conditionalFormatting>
  <conditionalFormatting sqref="AP101:AQ101">
    <cfRule type="expression" priority="165" dxfId="4194">
      <formula>IF($A$4,IF(CELL("protect",AP101)=0,TRUE,FALSE))</formula>
    </cfRule>
  </conditionalFormatting>
  <conditionalFormatting sqref="AS124:AU124">
    <cfRule type="expression" priority="128" dxfId="4194">
      <formula>IF($A$4,IF(CELL("protect",AS124)=0,TRUE,FALSE))</formula>
    </cfRule>
  </conditionalFormatting>
  <conditionalFormatting sqref="AS126:AU126">
    <cfRule type="expression" priority="125" dxfId="4194">
      <formula>IF($A$4,IF(CELL("protect",AS126)=0,TRUE,FALSE))</formula>
    </cfRule>
  </conditionalFormatting>
  <conditionalFormatting sqref="AX101">
    <cfRule type="expression" priority="17" dxfId="4194">
      <formula>IF($A$4,IF(CELL("protect",AX101)=0,TRUE,FALSE))</formula>
    </cfRule>
  </conditionalFormatting>
  <conditionalFormatting sqref="AX44:AY96">
    <cfRule type="expression" priority="130" dxfId="4194">
      <formula>IF($A$4,IF(CELL("protect",AX44)=0,TRUE,FALSE))</formula>
    </cfRule>
  </conditionalFormatting>
  <conditionalFormatting sqref="AZ46 AZ69">
    <cfRule type="expression" priority="145" dxfId="4194">
      <formula>IF($A$4,IF(CELL("protect",AZ46)=0,TRUE,FALSE))</formula>
    </cfRule>
  </conditionalFormatting>
  <conditionalFormatting sqref="BC47">
    <cfRule type="expression" priority="12" dxfId="4194">
      <formula>IF($A$4,IF(CELL("protect",BC47)=0,TRUE,FALSE))</formula>
    </cfRule>
  </conditionalFormatting>
  <conditionalFormatting sqref="BC52:BE63 BC64:BC196 BD64:BE76 BD80:BE196">
    <cfRule type="cellIs" priority="13" dxfId="1735" operator="equal">
      <formula>0</formula>
    </cfRule>
  </conditionalFormatting>
  <conditionalFormatting sqref="BD77:BD79">
    <cfRule type="cellIs" priority="11" dxfId="1735" operator="equal">
      <formula>0</formula>
    </cfRule>
  </conditionalFormatting>
  <dataValidations count="17">
    <dataValidation allowBlank="1" showInputMessage="1" showErrorMessage="1" prompt="Cash should show as a negative number." sqref="AA24:AC24 AA32:AC32 AA34:AB34"/>
    <dataValidation type="decimal" operator="notEqual" allowBlank="1" showInputMessage="1" showErrorMessage="1" prompt="&lt;&lt; Deal teams to add % and have Cap Markets team confirm. Typically 35% or 40%." sqref="AD116">
      <formula1>-1</formula1>
    </dataValidation>
    <dataValidation errorStyle="information" type="whole" allowBlank="1" showInputMessage="1" showErrorMessage="1" prompt="The threashold for convenant. Positive decimal numbers._x000a_" errorTitle="Numerical Only" error="This should be a numreical number, please don't include the x at the end" sqref="AC126:AD126 AC142:AD142 AC158:AD158 AC174:AD174">
      <formula1>0</formula1>
      <formula2>100</formula2>
    </dataValidation>
    <dataValidation type="list" allowBlank="1" showInputMessage="1" showErrorMessage="1" sqref="A46:A48 A52:A54 A57:A60 A63:A72 A77:A78 A83:A86 A90:A92 A96:A99 AU234:AV234">
      <formula1>$AN$205:$AN$224</formula1>
    </dataValidation>
    <dataValidation type="list" allowBlank="1" showInputMessage="1" showErrorMessage="1" sqref="AP229:AR234">
      <formula1>$AN$206:$AN$224</formula1>
    </dataValidation>
    <dataValidation allowBlank="1" showInputMessage="1" showErrorMessage="1" prompt="Cell must evaluate to a positive numerical. " sqref="AA20:AC20"/>
    <dataValidation type="list" allowBlank="1" showInputMessage="1" showErrorMessage="1" sqref="AG119:AH120 AI119">
      <formula1>"Y,N,N/A"</formula1>
    </dataValidation>
    <dataValidation type="list" allowBlank="1" showInputMessage="1" showErrorMessage="1" sqref="AC13:AC18 AC22 AC28:AC30">
      <formula1>"Debt, Cash, Other"</formula1>
    </dataValidation>
    <dataValidation type="decimal" operator="greaterThanOrEqual" allowBlank="1" showInputMessage="1" showErrorMessage="1" prompt="Debt should be input as positive figre." sqref="AD29">
      <formula1>0</formula1>
    </dataValidation>
    <dataValidation type="decimal" operator="lessThanOrEqual" allowBlank="1" showInputMessage="1" showErrorMessage="1" prompt="Cash balance as negative debt should be entered as negative figure. " sqref="AD30">
      <formula1>0</formula1>
    </dataValidation>
    <dataValidation type="list" allowBlank="1" showInputMessage="1" showErrorMessage="1" sqref="B48:B50 B54:B57 B61:B62 B65:B81 B83:B95">
      <formula1>$AN$206:$AN$219</formula1>
    </dataValidation>
    <dataValidation type="list" allowBlank="1" showInputMessage="1" showErrorMessage="1" sqref="AA126 AA142 AB143 AR143 AA158 AB159 AR159 AA174 AB175 AR175">
      <formula1>$AS$204:$AW$204</formula1>
    </dataValidation>
    <dataValidation type="list" allowBlank="1" showInputMessage="1" showErrorMessage="1" sqref="X126 X142 X158 X174">
      <formula1>$AO$229:$AO$233</formula1>
    </dataValidation>
    <dataValidation type="list" allowBlank="1" showInputMessage="1" showErrorMessage="1" sqref="C46:C48 C95:C188">
      <formula1>$AT$204:$AY$204</formula1>
    </dataValidation>
    <dataValidation type="list" allowBlank="1" showInputMessage="1" showErrorMessage="1" sqref="C49:C94">
      <formula1>$AS$204:$AY$204</formula1>
    </dataValidation>
    <dataValidation type="list" allowBlank="1" showInputMessage="1" showErrorMessage="1" sqref="AD113 AD115">
      <formula1>"Yes, No, Not selected"</formula1>
    </dataValidation>
    <dataValidation type="list" allowBlank="1" showInputMessage="1" showErrorMessage="1" sqref="A34 A49:A51 A55:A56 A61:A62 A73:A76 A79:A82 A87:A89 A93:A95">
      <formula1>'data-consol'!$M$11:$M$209</formula1>
    </dataValidation>
  </dataValidations>
  <hyperlinks>
    <hyperlink ref="W131" location="Definition!D92" tooltip="Go to Definition!D92" display="Definition!D92"/>
    <hyperlink ref="W133" location="Definition!D67" tooltip="Go to Definition!D67" display="Definition!D67"/>
    <hyperlink ref="W136" location="Definition!D123" tooltip="Go to Definition!D123" display="Definition!D123"/>
    <hyperlink ref="W137" location="Definition!D124" tooltip="Go to Definition!D124" display="Definition!D124"/>
    <hyperlink ref="W147" location="Definition!D98" tooltip="Go to Definition!D98" display="Definition!D98"/>
    <hyperlink ref="W149" location="Definition!D67" tooltip="Go to Definition!D67" display="Definition!D67"/>
    <hyperlink ref="W152" location="Definition!D123" tooltip="Go to Definition!D123" display="Definition!D123"/>
    <hyperlink ref="W153" location="Definition!D124" tooltip="Go to Definition!D124" display="Definition!D124"/>
    <hyperlink ref="W163" location="Definition!D67" tooltip="Go to Definition!D67" display="Definition!D67"/>
    <hyperlink ref="W168" location="Definition!D123" tooltip="Go to Definition!D123" display="Definition!D123"/>
    <hyperlink ref="W169" location="Definition!D124" tooltip="Go to Definition!D124" display="Definition!D124"/>
    <hyperlink ref="W179" location="Definition!D67" tooltip="Go to Definition!D67" display="Definition!D67"/>
    <hyperlink ref="W184" location="Definition!D123" tooltip="Go to Definition!D123" display="Definition!D123"/>
    <hyperlink ref="W185" location="Definition!D124" tooltip="Go to Definition!D124" display="Definition!D124"/>
  </hyperlinks>
  <pageMargins left="0.708661417322835" right="0.708661417322835" top="0.94488188976378" bottom="0.748031496062992" header="0.31496062992126" footer="0.31496062992126"/>
  <pageSetup fitToHeight="0" orientation="portrait" paperSize="8" r:id="rId4"/>
  <rowBreaks count="1" manualBreakCount="1">
    <brk id="105" min="17" max="36" man="1"/>
  </rowBreaks>
  <drawing r:id="rId2"/>
  <picture r:id="rId3"/>
  <tableParts>
    <tablePart r:id="rId1"/>
  </tableParts>
  <extLst>
    <ext xmlns:x14="http://schemas.microsoft.com/office/spreadsheetml/2009/9/main" uri="{78C0D931-6437-407d-A8EE-F0AAD7539E65}">
      <x14:conditionalFormattings>
        <x14:conditionalFormatting xmlns:xm="http://schemas.microsoft.com/office/excel/2006/main">
          <x14:cfRule type="iconSet" priority="222" id="{77427B78-8782-4764-9E8A-E8BA115A6F0F}">
            <x14:iconSet iconSet="3Arrows" custom="1" showValue="0">
              <x14:cfvo type="percent">
                <xm:f>0</xm:f>
              </x14:cfvo>
              <x14:cfvo type="num">
                <xm:f>0</xm:f>
              </x14:cfvo>
              <x14:cfvo type="num">
                <xm:f>1</xm:f>
              </x14:cfvo>
              <x14:cfIcon iconSet="NoIcons" iconId="0"/>
              <x14:cfIcon iconSet="NoIcons" iconId="0"/>
              <x14:cfIcon iconSet="3Arrows" iconId="1"/>
            </x14:iconSet>
            <x14:dxf/>
          </x14:cfRule>
          <xm:sqref>M27:M28</xm:sqref>
        </x14:conditionalFormatting>
        <x14:conditionalFormatting xmlns:xm="http://schemas.microsoft.com/office/excel/2006/main">
          <x14:cfRule type="iconSet" priority="220" id="{DB1B8D0A-4B64-489E-ABAE-EF91DCECE1D8}">
            <x14:iconSet iconSet="3Arrows" custom="1" showValue="0">
              <x14:cfvo type="percent">
                <xm:f>0</xm:f>
              </x14:cfvo>
              <x14:cfvo type="num">
                <xm:f>0</xm:f>
              </x14:cfvo>
              <x14:cfvo type="num">
                <xm:f>1</xm:f>
              </x14:cfvo>
              <x14:cfIcon iconSet="NoIcons" iconId="0"/>
              <x14:cfIcon iconSet="NoIcons" iconId="0"/>
              <x14:cfIcon iconSet="3Arrows" iconId="1"/>
            </x14:iconSet>
            <x14:dxf/>
          </x14:cfRule>
          <xm:sqref>M209</xm:sqref>
        </x14:conditionalFormatting>
        <x14:conditionalFormatting xmlns:xm="http://schemas.microsoft.com/office/excel/2006/main">
          <x14:cfRule type="iconSet" priority="223" id="{10C426A2-259C-4CBE-990C-F0ACBFB474D9}">
            <x14:iconSet iconSet="3Arrows" custom="1" showValue="0">
              <x14:cfvo type="percent">
                <xm:f>0</xm:f>
              </x14:cfvo>
              <x14:cfvo type="num">
                <xm:f>0</xm:f>
              </x14:cfvo>
              <x14:cfvo type="num">
                <xm:f>1</xm:f>
              </x14:cfvo>
              <x14:cfIcon iconSet="NoIcons" iconId="0"/>
              <x14:cfIcon iconSet="NoIcons" iconId="0"/>
              <x14:cfIcon iconSet="3Arrows" iconId="1"/>
            </x14:iconSet>
            <x14:dxf/>
          </x14:cfRule>
          <xm:sqref>M217</xm:sqref>
        </x14:conditionalFormatting>
        <x14:conditionalFormatting xmlns:xm="http://schemas.microsoft.com/office/excel/2006/main">
          <x14:cfRule type="iconSet" priority="8315" id="{BFB03806-6558-4BC7-A399-6F1652E56B23}">
            <x14:iconSet iconSet="3Symbols" custom="1" showValue="0">
              <x14:cfvo type="percent">
                <xm:f>0</xm:f>
              </x14:cfvo>
              <x14:cfvo type="num">
                <xm:f>0</xm:f>
              </x14:cfvo>
              <x14:cfvo type="num">
                <xm:f>1</xm:f>
              </x14:cfvo>
              <x14:cfIcon iconSet="5Quarters" iconId="0"/>
              <x14:cfIcon iconSet="3Symbols" iconId="0"/>
              <x14:cfIcon iconSet="3Symbols" iconId="2"/>
            </x14:iconSet>
            <x14:dxf/>
          </x14:cfRule>
          <xm:sqref>AA20:AC20 AA24:AC24 AD26:AF26</xm:sqref>
        </x14:conditionalFormatting>
        <x14:conditionalFormatting xmlns:xm="http://schemas.microsoft.com/office/excel/2006/main">
          <x14:cfRule type="iconSet" priority="258" id="{281A6049-B981-446E-B95A-04227CC4821F}">
            <x14:iconSet iconSet="3Symbols" custom="1" showValue="0">
              <x14:cfvo type="percent">
                <xm:f>0</xm:f>
              </x14:cfvo>
              <x14:cfvo type="num">
                <xm:f>0</xm:f>
              </x14:cfvo>
              <x14:cfvo type="num">
                <xm:f>1</xm:f>
              </x14:cfvo>
              <x14:cfIcon iconSet="5Quarters" iconId="0"/>
              <x14:cfIcon iconSet="3Symbols" iconId="0"/>
              <x14:cfIcon iconSet="3Symbols" iconId="2"/>
            </x14:iconSet>
            <x14:dxf/>
          </x14:cfRule>
          <xm:sqref>AA32:AC32 AA34:AB34</xm:sqref>
        </x14:conditionalFormatting>
        <x14:conditionalFormatting xmlns:xm="http://schemas.microsoft.com/office/excel/2006/main">
          <x14:cfRule type="iconSet" priority="210" id="{6492B6F9-9F3C-47A6-81C4-6A1C9D6DB008}">
            <x14:iconSet iconSet="3Symbols" custom="1" showValue="0">
              <x14:cfvo type="percent">
                <xm:f>0</xm:f>
              </x14:cfvo>
              <x14:cfvo gte="0" type="num">
                <xm:f>-1</xm:f>
              </x14:cfvo>
              <x14:cfvo gte="0" type="num">
                <xm:f>0</xm:f>
              </x14:cfvo>
              <x14:cfIcon iconSet="3Symbols" iconId="0"/>
              <x14:cfIcon iconSet="5Quarters" iconId="0"/>
              <x14:cfIcon iconSet="3Symbols" iconId="2"/>
            </x14:iconSet>
            <x14:dxf/>
          </x14:cfRule>
          <xm:sqref>AC22</xm:sqref>
        </x14:conditionalFormatting>
        <x14:conditionalFormatting xmlns:xm="http://schemas.microsoft.com/office/excel/2006/main">
          <x14:cfRule type="iconSet" priority="209" id="{4474CE81-9793-427F-ABFC-44BD22AB5D42}">
            <x14:iconSet iconSet="3Symbols" custom="1" showValue="0">
              <x14:cfvo type="percent">
                <xm:f>0</xm:f>
              </x14:cfvo>
              <x14:cfvo gte="0" type="num">
                <xm:f>-1</xm:f>
              </x14:cfvo>
              <x14:cfvo gte="0" type="num">
                <xm:f>0</xm:f>
              </x14:cfvo>
              <x14:cfIcon iconSet="3Symbols" iconId="0"/>
              <x14:cfIcon iconSet="5Quarters" iconId="0"/>
              <x14:cfIcon iconSet="3Symbols" iconId="2"/>
            </x14:iconSet>
            <x14:dxf/>
          </x14:cfRule>
          <xm:sqref>AC28:AC30</xm:sqref>
        </x14:conditionalFormatting>
        <x14:conditionalFormatting xmlns:xm="http://schemas.microsoft.com/office/excel/2006/main">
          <x14:cfRule type="iconSet" priority="216" id="{5977ED24-9C69-419F-94F4-B36C58D0FF67}">
            <x14:iconSet iconSet="3Symbols" custom="1" showValue="0">
              <x14:cfvo type="percent">
                <xm:f>0</xm:f>
              </x14:cfvo>
              <x14:cfvo gte="0" type="num">
                <xm:f>-1</xm:f>
              </x14:cfvo>
              <x14:cfvo gte="0" type="num">
                <xm:f>0</xm:f>
              </x14:cfvo>
              <x14:cfIcon iconSet="3Symbols" iconId="0"/>
              <x14:cfIcon iconSet="5Quarters" iconId="0"/>
              <x14:cfIcon iconSet="3Symbols" iconId="2"/>
            </x14:iconSet>
            <x14:dxf/>
          </x14:cfRule>
          <xm:sqref>AC34</xm:sqref>
        </x14:conditionalFormatting>
        <x14:conditionalFormatting xmlns:xm="http://schemas.microsoft.com/office/excel/2006/main">
          <x14:cfRule type="iconSet" priority="256" id="{EDFCC688-C0BE-4E2B-81F6-B185BA0B9E3A}">
            <x14:iconSet iconSet="3Symbols" custom="1" showValue="0">
              <x14:cfvo type="percent">
                <xm:f>0</xm:f>
              </x14:cfvo>
              <x14:cfvo gte="0" type="num">
                <xm:f>-1</xm:f>
              </x14:cfvo>
              <x14:cfvo gte="0" type="num">
                <xm:f>0</xm:f>
              </x14:cfvo>
              <x14:cfIcon iconSet="3Symbols" iconId="0"/>
              <x14:cfIcon iconSet="5Quarters" iconId="0"/>
              <x14:cfIcon iconSet="3Symbols" iconId="2"/>
            </x14:iconSet>
            <x14:dxf/>
          </x14:cfRule>
          <xm:sqref>AC13:AC19 AD19:AE19 AG19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5E62CC-2CEC-4D12-8524-23423F28FAAF}">
  <sheetPr codeName="Sheet1">
    <tabColor theme="7"/>
  </sheetPr>
  <dimension ref="A1:H166"/>
  <sheetViews>
    <sheetView workbookViewId="0" topLeftCell="A2">
      <selection pane="topLeft" activeCell="AL211" sqref="AL211"/>
    </sheetView>
  </sheetViews>
  <sheetFormatPr defaultColWidth="7.07777777777778" defaultRowHeight="27" customHeight="1" outlineLevelRow="1" outlineLevelCol="1"/>
  <cols>
    <col min="1" max="1" width="4.88888888888889" customWidth="1" outlineLevel="1"/>
    <col min="2" max="2" width="6.66666666666667" customWidth="1"/>
    <col min="3" max="3" width="16.3333333333333" customWidth="1"/>
    <col min="4" max="4" width="37.8888888888889" customWidth="1"/>
    <col min="5" max="5" width="11.6666666666667" customWidth="1"/>
    <col min="6" max="6" width="68" customWidth="1"/>
    <col min="7" max="7" width="68.6666666666667" customWidth="1"/>
    <col min="8" max="8" width="6.66666666666667" customWidth="1"/>
  </cols>
  <sheetData>
    <row r="1" spans="1:7" s="11" customFormat="1" ht="15.5" hidden="1" outlineLevel="1">
      <c r="A1" s="11" t="s">
        <v>1857</v>
      </c>
      <c r="B1" t="s">
        <v>1856</v>
      </c>
      <c r="F1" s="120"/>
      <c r="G1" s="120"/>
    </row>
    <row r="2" spans="2:8" ht="15.5" collapsed="1">
      <c r="B2" s="14"/>
      <c r="C2" s="15"/>
      <c r="D2" s="15"/>
      <c r="E2" s="15"/>
      <c r="F2" s="15"/>
      <c r="G2" s="15"/>
      <c r="H2" s="15"/>
    </row>
    <row r="3" spans="2:8" ht="15.5">
      <c r="B3" s="16"/>
      <c r="C3" s="101"/>
      <c r="D3" s="101"/>
      <c r="E3" s="101"/>
      <c r="F3" s="101"/>
      <c r="G3" s="101"/>
      <c r="H3" s="101"/>
    </row>
    <row r="4" spans="1:8" ht="15.5">
      <c r="A4" s="3135" t="e" vm="2" cm="1">
        <f t="array" ref="A4">IF(LEFT($A$1,3)="unp",icon_unlock,icon_lock)</f>
        <v>#VALUE!</v>
      </c>
      <c r="B4" s="16"/>
      <c r="C4" s="3133" t="s">
        <v>600</v>
      </c>
      <c r="D4" s="3133"/>
      <c r="E4" s="3133"/>
      <c r="F4" s="153"/>
      <c r="G4" s="153"/>
      <c r="H4" s="153"/>
    </row>
    <row r="5" spans="1:8" ht="15.5">
      <c r="A5" s="3135"/>
      <c r="B5" s="16"/>
      <c r="C5" s="3133"/>
      <c r="D5" s="3133"/>
      <c r="E5" s="3133"/>
      <c r="F5" s="153"/>
      <c r="G5" s="153"/>
      <c r="H5" s="153"/>
    </row>
    <row r="6" spans="1:8" ht="15.5">
      <c r="A6" s="1672"/>
      <c r="B6" s="16"/>
      <c r="C6" s="3133"/>
      <c r="D6" s="3133"/>
      <c r="E6" s="3133"/>
      <c r="F6" s="101"/>
      <c r="G6" s="101"/>
      <c r="H6" s="101"/>
    </row>
    <row r="7" spans="2:8" ht="15.5">
      <c r="B7" s="17"/>
      <c r="C7" s="18"/>
      <c r="D7" s="18"/>
      <c r="E7" s="18"/>
      <c r="F7" s="18"/>
      <c r="G7" s="107"/>
      <c r="H7" s="533"/>
    </row>
    <row r="8" spans="2:8" s="11" customFormat="1" ht="44.5">
      <c r="B8" s="25"/>
      <c r="C8" s="520"/>
      <c r="D8" s="520"/>
      <c r="E8" s="520"/>
      <c r="F8" s="521"/>
      <c r="G8" s="521"/>
      <c r="H8" s="530"/>
    </row>
    <row r="9" spans="2:8" s="11" customFormat="1" ht="15.5">
      <c r="B9" s="522"/>
      <c r="C9" s="522"/>
      <c r="D9" s="522"/>
      <c r="E9" s="522"/>
      <c r="F9" s="521"/>
      <c r="G9" s="521"/>
      <c r="H9" s="530"/>
    </row>
    <row r="10" spans="2:8" s="11" customFormat="1" ht="15.5">
      <c r="B10" s="523"/>
      <c r="C10" s="524"/>
      <c r="D10" s="524"/>
      <c r="E10" s="524"/>
      <c r="F10" s="521"/>
      <c r="G10" s="521"/>
      <c r="H10" s="530"/>
    </row>
    <row r="11" spans="2:8" s="11" customFormat="1" ht="15.5">
      <c r="B11" s="525"/>
      <c r="C11" s="522"/>
      <c r="D11" s="522"/>
      <c r="E11" s="522"/>
      <c r="F11" s="521"/>
      <c r="G11" s="521"/>
      <c r="H11" s="530"/>
    </row>
    <row r="12" spans="2:8" s="11" customFormat="1" ht="15.5">
      <c r="B12" s="526"/>
      <c r="C12" s="520"/>
      <c r="D12" s="520"/>
      <c r="E12" s="520"/>
      <c r="F12" s="521"/>
      <c r="G12" s="521"/>
      <c r="H12" s="530"/>
    </row>
    <row r="13" spans="2:8" s="11" customFormat="1" ht="15.5">
      <c r="B13" s="525"/>
      <c r="C13" s="522"/>
      <c r="D13" s="522"/>
      <c r="E13" s="522"/>
      <c r="F13" s="521"/>
      <c r="G13" s="521"/>
      <c r="H13" s="530"/>
    </row>
    <row r="14" spans="2:8" s="11" customFormat="1" ht="15.5">
      <c r="B14" s="525"/>
      <c r="C14" s="522"/>
      <c r="D14" s="522"/>
      <c r="E14" s="522"/>
      <c r="F14" s="521"/>
      <c r="G14" s="521"/>
      <c r="H14" s="530"/>
    </row>
    <row r="15" spans="2:8" s="11" customFormat="1" ht="15.5">
      <c r="B15" s="525"/>
      <c r="C15" s="522"/>
      <c r="D15" s="522"/>
      <c r="E15" s="522"/>
      <c r="F15" s="521"/>
      <c r="G15" s="521"/>
      <c r="H15" s="530"/>
    </row>
    <row r="16" spans="2:8" s="11" customFormat="1" ht="15.5">
      <c r="B16" s="527"/>
      <c r="C16" s="528"/>
      <c r="D16" s="528"/>
      <c r="E16" s="528"/>
      <c r="F16" s="521"/>
      <c r="G16" s="521"/>
      <c r="H16" s="530"/>
    </row>
    <row r="17" spans="2:8" s="11" customFormat="1" ht="15.5">
      <c r="B17" s="526"/>
      <c r="C17" s="520"/>
      <c r="D17" s="520"/>
      <c r="E17" s="520"/>
      <c r="F17" s="521"/>
      <c r="G17" s="521"/>
      <c r="H17" s="530"/>
    </row>
    <row r="18" spans="2:8" s="11" customFormat="1" ht="15.5">
      <c r="B18" s="523"/>
      <c r="C18" s="524"/>
      <c r="D18" s="524"/>
      <c r="E18" s="524"/>
      <c r="F18" s="521"/>
      <c r="G18" s="521"/>
      <c r="H18" s="530"/>
    </row>
    <row r="19" spans="2:8" s="11" customFormat="1" ht="15.5">
      <c r="B19" s="525"/>
      <c r="C19" s="522"/>
      <c r="D19" s="522"/>
      <c r="E19" s="522"/>
      <c r="F19" s="521"/>
      <c r="G19" s="521"/>
      <c r="H19" s="530"/>
    </row>
    <row r="20" spans="2:8" s="11" customFormat="1" ht="15.5">
      <c r="B20" s="525"/>
      <c r="C20" s="522"/>
      <c r="D20" s="522"/>
      <c r="E20" s="522"/>
      <c r="F20" s="521"/>
      <c r="G20" s="521"/>
      <c r="H20" s="530"/>
    </row>
    <row r="21" spans="2:8" s="11" customFormat="1" ht="15.5">
      <c r="B21" s="525"/>
      <c r="C21" s="522"/>
      <c r="D21" s="522"/>
      <c r="E21" s="522"/>
      <c r="F21" s="521"/>
      <c r="G21" s="521"/>
      <c r="H21" s="530"/>
    </row>
    <row r="22" spans="2:8" s="11" customFormat="1" ht="15.5">
      <c r="B22" s="527"/>
      <c r="C22" s="528"/>
      <c r="D22" s="528"/>
      <c r="E22" s="528"/>
      <c r="F22" s="521"/>
      <c r="G22" s="521"/>
      <c r="H22" s="530"/>
    </row>
    <row r="23" spans="2:8" s="11" customFormat="1" ht="15.5">
      <c r="B23" s="525"/>
      <c r="C23" s="522"/>
      <c r="D23" s="522"/>
      <c r="E23" s="522"/>
      <c r="F23" s="521"/>
      <c r="G23" s="521"/>
      <c r="H23" s="530"/>
    </row>
    <row r="24" spans="2:8" s="11" customFormat="1" ht="15.5">
      <c r="B24" s="523"/>
      <c r="C24" s="524"/>
      <c r="D24" s="524"/>
      <c r="E24" s="524"/>
      <c r="F24" s="521"/>
      <c r="G24" s="521"/>
      <c r="H24" s="530"/>
    </row>
    <row r="25" spans="2:8" s="11" customFormat="1" ht="15.5">
      <c r="B25" s="525"/>
      <c r="C25" s="522"/>
      <c r="D25" s="522"/>
      <c r="E25" s="522"/>
      <c r="F25" s="521"/>
      <c r="G25" s="521"/>
      <c r="H25" s="530"/>
    </row>
    <row r="26" spans="2:8" s="11" customFormat="1" ht="15.5">
      <c r="B26" s="525"/>
      <c r="C26" s="522"/>
      <c r="D26" s="522"/>
      <c r="E26" s="522"/>
      <c r="F26" s="521"/>
      <c r="G26" s="521"/>
      <c r="H26" s="530"/>
    </row>
    <row r="27" spans="2:8" s="11" customFormat="1" ht="15.5">
      <c r="B27" s="525"/>
      <c r="C27" s="522"/>
      <c r="D27" s="522"/>
      <c r="E27" s="522"/>
      <c r="F27" s="521"/>
      <c r="G27" s="521"/>
      <c r="H27" s="530"/>
    </row>
    <row r="28" spans="2:8" s="11" customFormat="1" ht="15.5" hidden="1">
      <c r="B28" s="525"/>
      <c r="C28" s="522"/>
      <c r="D28" s="522"/>
      <c r="E28" s="522"/>
      <c r="F28" s="521"/>
      <c r="G28" s="521"/>
      <c r="H28" s="530"/>
    </row>
    <row r="29" spans="2:8" s="11" customFormat="1" ht="15.5" hidden="1">
      <c r="B29" s="525"/>
      <c r="C29" s="522"/>
      <c r="D29" s="522"/>
      <c r="E29" s="522"/>
      <c r="F29" s="521"/>
      <c r="G29" s="521"/>
      <c r="H29" s="530"/>
    </row>
    <row r="30" spans="2:8" s="11" customFormat="1" ht="15.5" hidden="1">
      <c r="B30" s="525"/>
      <c r="C30" s="522"/>
      <c r="D30" s="522"/>
      <c r="E30" s="522"/>
      <c r="F30" s="521"/>
      <c r="G30" s="521"/>
      <c r="H30" s="530"/>
    </row>
    <row r="31" spans="2:8" s="11" customFormat="1" ht="15.5" hidden="1">
      <c r="B31" s="525"/>
      <c r="C31" s="522"/>
      <c r="D31" s="522"/>
      <c r="E31" s="522"/>
      <c r="F31" s="521"/>
      <c r="G31" s="521"/>
      <c r="H31" s="530"/>
    </row>
    <row r="32" spans="2:8" s="11" customFormat="1" ht="15.5" hidden="1">
      <c r="B32" s="525"/>
      <c r="C32" s="522"/>
      <c r="D32" s="522"/>
      <c r="E32" s="522"/>
      <c r="F32" s="521"/>
      <c r="G32" s="521"/>
      <c r="H32" s="530"/>
    </row>
    <row r="33" spans="2:8" s="11" customFormat="1" ht="15.5" hidden="1">
      <c r="B33" s="525"/>
      <c r="C33" s="522"/>
      <c r="D33" s="522"/>
      <c r="E33" s="522"/>
      <c r="F33" s="521"/>
      <c r="G33" s="521"/>
      <c r="H33" s="530"/>
    </row>
    <row r="34" spans="2:8" s="11" customFormat="1" ht="15.5" hidden="1">
      <c r="B34" s="527"/>
      <c r="C34" s="528"/>
      <c r="D34" s="528"/>
      <c r="E34" s="528"/>
      <c r="F34" s="521"/>
      <c r="G34" s="521"/>
      <c r="H34" s="530"/>
    </row>
    <row r="35" spans="2:8" s="11" customFormat="1" ht="15.5" hidden="1">
      <c r="B35" s="3"/>
      <c r="C35" s="3"/>
      <c r="D35" s="3"/>
      <c r="E35" s="3"/>
      <c r="F35" s="3"/>
      <c r="G35" s="521"/>
      <c r="H35" s="530"/>
    </row>
    <row r="36" spans="2:8" s="11" customFormat="1" ht="15.5" hidden="1">
      <c r="B36" s="3"/>
      <c r="C36" s="3"/>
      <c r="D36" s="3"/>
      <c r="E36" s="3"/>
      <c r="F36" s="3"/>
      <c r="G36" s="521"/>
      <c r="H36" s="530"/>
    </row>
    <row r="37" spans="2:8" s="11" customFormat="1" ht="15.5" hidden="1">
      <c r="B37" s="3"/>
      <c r="C37" s="3"/>
      <c r="D37" s="3"/>
      <c r="E37" s="3"/>
      <c r="F37" s="3"/>
      <c r="G37" s="521"/>
      <c r="H37" s="530"/>
    </row>
    <row r="38" spans="2:8" s="11" customFormat="1" ht="15.5" hidden="1">
      <c r="B38" s="3"/>
      <c r="C38" s="3"/>
      <c r="D38" s="3"/>
      <c r="E38" s="3"/>
      <c r="F38" s="3"/>
      <c r="G38" s="521"/>
      <c r="H38" s="530"/>
    </row>
    <row r="39" spans="2:8" s="11" customFormat="1" ht="15.5" hidden="1">
      <c r="B39" s="3"/>
      <c r="C39" s="3"/>
      <c r="D39" s="3"/>
      <c r="E39" s="3"/>
      <c r="F39" s="3"/>
      <c r="G39" s="521"/>
      <c r="H39" s="530"/>
    </row>
    <row r="40" spans="2:8" s="11" customFormat="1" ht="15.5">
      <c r="B40" s="3"/>
      <c r="C40" s="3"/>
      <c r="D40" s="3"/>
      <c r="E40" s="3"/>
      <c r="F40" s="3"/>
      <c r="G40" s="521"/>
      <c r="H40" s="530"/>
    </row>
    <row r="41" spans="2:8" s="11" customFormat="1" ht="15.5">
      <c r="B41" s="3"/>
      <c r="C41" s="3"/>
      <c r="D41" s="3"/>
      <c r="E41" s="3"/>
      <c r="F41" s="3"/>
      <c r="G41" s="521"/>
      <c r="H41" s="530"/>
    </row>
    <row r="42" spans="2:8" s="11" customFormat="1" ht="15.5">
      <c r="B42" s="3"/>
      <c r="C42" s="3" t="s">
        <v>601</v>
      </c>
      <c r="D42" s="3"/>
      <c r="E42" s="3"/>
      <c r="F42" s="3"/>
      <c r="G42" s="521"/>
      <c r="H42" s="530"/>
    </row>
    <row r="43" spans="1:8" s="92" customFormat="1" ht="15.5">
      <c r="A43" s="121"/>
      <c r="B43" s="529"/>
      <c r="C43" s="529" t="s">
        <v>602</v>
      </c>
      <c r="D43" s="529"/>
      <c r="E43" s="529"/>
      <c r="F43" s="521"/>
      <c r="G43" s="521"/>
      <c r="H43" s="532"/>
    </row>
    <row r="44" spans="2:8" s="11" customFormat="1" ht="34.5" customHeight="1">
      <c r="B44" s="21"/>
      <c r="C44" s="3134" t="s">
        <v>603</v>
      </c>
      <c r="D44" s="3134"/>
      <c r="E44" s="3134"/>
      <c r="F44" s="21"/>
      <c r="G44" s="21"/>
      <c r="H44" s="530"/>
    </row>
    <row r="45" spans="2:8" s="11" customFormat="1" ht="15.5">
      <c r="B45" s="530"/>
      <c r="C45" s="530"/>
      <c r="D45" s="530"/>
      <c r="E45" s="530"/>
      <c r="F45" s="521"/>
      <c r="G45" s="521"/>
      <c r="H45" s="530"/>
    </row>
    <row r="46" spans="2:8" s="11" customFormat="1" ht="15.5">
      <c r="B46" s="529"/>
      <c r="C46" s="529"/>
      <c r="D46" s="529"/>
      <c r="E46" s="529"/>
      <c r="F46" s="531"/>
      <c r="G46" s="531"/>
      <c r="H46" s="530"/>
    </row>
    <row r="47" spans="2:8" s="11" customFormat="1" ht="46.5" customHeight="1">
      <c r="B47" s="530"/>
      <c r="C47" s="129" t="s">
        <v>604</v>
      </c>
      <c r="D47" s="130" t="s">
        <v>605</v>
      </c>
      <c r="E47" s="130" t="s">
        <v>606</v>
      </c>
      <c r="F47" s="131" t="s">
        <v>600</v>
      </c>
      <c r="G47" s="132" t="s">
        <v>607</v>
      </c>
      <c r="H47" s="530"/>
    </row>
    <row r="48" spans="2:8" s="11" customFormat="1" ht="42.75" customHeight="1">
      <c r="B48" s="530"/>
      <c r="C48" s="1141" t="s">
        <v>576</v>
      </c>
      <c r="D48" s="257" t="s">
        <v>608</v>
      </c>
      <c r="E48" s="258"/>
      <c r="F48" s="259"/>
      <c r="G48" s="1946"/>
      <c r="H48" s="530"/>
    </row>
    <row r="49" spans="2:8" s="11" customFormat="1" ht="46.5" customHeight="1">
      <c r="B49" s="530"/>
      <c r="C49" s="212" t="s">
        <v>609</v>
      </c>
      <c r="D49" s="213" t="s">
        <v>610</v>
      </c>
      <c r="E49" s="214" t="s">
        <v>611</v>
      </c>
      <c r="F49" s="215" t="s">
        <v>612</v>
      </c>
      <c r="G49" s="1947"/>
      <c r="H49" s="530"/>
    </row>
    <row r="50" spans="2:8" s="11" customFormat="1" ht="46.5" customHeight="1">
      <c r="B50" s="530"/>
      <c r="C50" s="212" t="s">
        <v>613</v>
      </c>
      <c r="D50" s="216" t="s">
        <v>614</v>
      </c>
      <c r="E50" s="214" t="s">
        <v>611</v>
      </c>
      <c r="F50" s="215" t="s">
        <v>615</v>
      </c>
      <c r="G50" s="1947"/>
      <c r="H50" s="530"/>
    </row>
    <row r="51" spans="2:8" s="11" customFormat="1" ht="46.5" customHeight="1">
      <c r="B51" s="530"/>
      <c r="C51" s="212" t="s">
        <v>616</v>
      </c>
      <c r="D51" s="216" t="s">
        <v>617</v>
      </c>
      <c r="E51" s="214" t="s">
        <v>611</v>
      </c>
      <c r="F51" s="215" t="s">
        <v>618</v>
      </c>
      <c r="G51" s="1947" t="s">
        <v>619</v>
      </c>
      <c r="H51" s="530"/>
    </row>
    <row r="52" spans="2:8" s="11" customFormat="1" ht="46.5" customHeight="1">
      <c r="B52" s="530"/>
      <c r="C52" s="212" t="s">
        <v>620</v>
      </c>
      <c r="D52" s="217" t="s">
        <v>621</v>
      </c>
      <c r="E52" s="214" t="s">
        <v>611</v>
      </c>
      <c r="F52" s="215" t="s">
        <v>622</v>
      </c>
      <c r="G52" s="1947"/>
      <c r="H52" s="530"/>
    </row>
    <row r="53" spans="2:8" s="11" customFormat="1" ht="46.5" customHeight="1">
      <c r="B53" s="530"/>
      <c r="C53" s="212" t="s">
        <v>623</v>
      </c>
      <c r="D53" s="215" t="s">
        <v>624</v>
      </c>
      <c r="E53" s="214" t="s">
        <v>611</v>
      </c>
      <c r="F53" s="1520" t="s">
        <v>625</v>
      </c>
      <c r="G53" s="1947"/>
      <c r="H53" s="530"/>
    </row>
    <row r="54" spans="2:8" s="11" customFormat="1" ht="46.5" customHeight="1">
      <c r="B54" s="530"/>
      <c r="C54" s="212" t="s">
        <v>626</v>
      </c>
      <c r="D54" s="215" t="s">
        <v>627</v>
      </c>
      <c r="E54" s="214" t="s">
        <v>611</v>
      </c>
      <c r="F54" s="215" t="s">
        <v>628</v>
      </c>
      <c r="G54" s="1947"/>
      <c r="H54" s="530"/>
    </row>
    <row r="55" spans="2:8" s="11" customFormat="1" ht="46.5" customHeight="1">
      <c r="B55" s="530"/>
      <c r="C55" s="212" t="s">
        <v>629</v>
      </c>
      <c r="D55" s="215" t="s">
        <v>630</v>
      </c>
      <c r="E55" s="214" t="s">
        <v>611</v>
      </c>
      <c r="F55" s="215"/>
      <c r="G55" s="1947"/>
      <c r="H55" s="530"/>
    </row>
    <row r="56" spans="2:8" s="11" customFormat="1" ht="46.5" customHeight="1">
      <c r="B56" s="530"/>
      <c r="C56" s="212" t="s">
        <v>631</v>
      </c>
      <c r="D56" s="217" t="s">
        <v>632</v>
      </c>
      <c r="E56" s="214" t="s">
        <v>611</v>
      </c>
      <c r="F56" s="215" t="s">
        <v>633</v>
      </c>
      <c r="G56" s="1947"/>
      <c r="H56" s="530"/>
    </row>
    <row r="57" spans="2:8" s="11" customFormat="1" ht="46.5" customHeight="1">
      <c r="B57" s="530"/>
      <c r="C57" s="212" t="s">
        <v>634</v>
      </c>
      <c r="D57" s="218" t="s">
        <v>635</v>
      </c>
      <c r="E57" s="214" t="s">
        <v>611</v>
      </c>
      <c r="F57" s="215" t="s">
        <v>636</v>
      </c>
      <c r="G57" s="1947"/>
      <c r="H57" s="530"/>
    </row>
    <row r="58" spans="2:8" s="11" customFormat="1" ht="46.5" customHeight="1">
      <c r="B58" s="530"/>
      <c r="C58" s="212" t="s">
        <v>637</v>
      </c>
      <c r="D58" s="215" t="s">
        <v>638</v>
      </c>
      <c r="E58" s="214" t="s">
        <v>611</v>
      </c>
      <c r="F58" s="215" t="s">
        <v>639</v>
      </c>
      <c r="G58" s="1947"/>
      <c r="H58" s="530"/>
    </row>
    <row r="59" spans="2:8" s="11" customFormat="1" ht="46.5" customHeight="1">
      <c r="B59" s="530"/>
      <c r="C59" s="212" t="s">
        <v>640</v>
      </c>
      <c r="D59" s="213" t="s">
        <v>641</v>
      </c>
      <c r="E59" s="214" t="s">
        <v>611</v>
      </c>
      <c r="F59" s="215" t="s">
        <v>642</v>
      </c>
      <c r="G59" s="1947"/>
      <c r="H59" s="530"/>
    </row>
    <row r="60" spans="2:8" s="11" customFormat="1" ht="46.5" customHeight="1">
      <c r="B60" s="530"/>
      <c r="C60" s="212" t="s">
        <v>643</v>
      </c>
      <c r="D60" s="213" t="s">
        <v>644</v>
      </c>
      <c r="E60" s="214" t="s">
        <v>611</v>
      </c>
      <c r="F60" s="215" t="s">
        <v>645</v>
      </c>
      <c r="G60" s="1947" t="s">
        <v>646</v>
      </c>
      <c r="H60" s="530"/>
    </row>
    <row r="61" spans="2:8" s="11" customFormat="1" ht="46.5" customHeight="1">
      <c r="B61" s="530"/>
      <c r="C61" s="212" t="s">
        <v>647</v>
      </c>
      <c r="D61" s="213" t="s">
        <v>208</v>
      </c>
      <c r="E61" s="214" t="s">
        <v>611</v>
      </c>
      <c r="F61" s="219" t="s">
        <v>648</v>
      </c>
      <c r="G61" s="1947" t="s">
        <v>649</v>
      </c>
      <c r="H61" s="530"/>
    </row>
    <row r="62" spans="2:8" s="11" customFormat="1" ht="46.5" customHeight="1">
      <c r="B62" s="530"/>
      <c r="C62" s="212" t="s">
        <v>650</v>
      </c>
      <c r="D62" s="215" t="s">
        <v>651</v>
      </c>
      <c r="E62" s="214" t="s">
        <v>611</v>
      </c>
      <c r="F62" s="215" t="s">
        <v>652</v>
      </c>
      <c r="G62" s="1947"/>
      <c r="H62" s="530"/>
    </row>
    <row r="63" spans="2:8" s="11" customFormat="1" ht="46.5" customHeight="1">
      <c r="B63" s="530"/>
      <c r="C63" s="212" t="s">
        <v>653</v>
      </c>
      <c r="D63" s="215" t="s">
        <v>654</v>
      </c>
      <c r="E63" s="214" t="s">
        <v>611</v>
      </c>
      <c r="F63" s="215" t="s">
        <v>655</v>
      </c>
      <c r="G63" s="1947"/>
      <c r="H63" s="530"/>
    </row>
    <row r="64" spans="2:8" s="11" customFormat="1" ht="46.5" customHeight="1">
      <c r="B64" s="530"/>
      <c r="C64" s="212" t="s">
        <v>656</v>
      </c>
      <c r="D64" s="215" t="s">
        <v>657</v>
      </c>
      <c r="E64" s="214" t="s">
        <v>611</v>
      </c>
      <c r="F64" s="215" t="s">
        <v>658</v>
      </c>
      <c r="G64" s="1947"/>
      <c r="H64" s="530"/>
    </row>
    <row r="65" spans="2:8" s="11" customFormat="1" ht="46.5" customHeight="1">
      <c r="B65" s="530"/>
      <c r="C65" s="212" t="s">
        <v>659</v>
      </c>
      <c r="D65" s="215" t="s">
        <v>660</v>
      </c>
      <c r="E65" s="214" t="s">
        <v>611</v>
      </c>
      <c r="F65" s="215" t="s">
        <v>661</v>
      </c>
      <c r="G65" s="1947"/>
      <c r="H65" s="530"/>
    </row>
    <row r="66" spans="2:8" s="11" customFormat="1" ht="46.5" customHeight="1">
      <c r="B66" s="530"/>
      <c r="C66" s="212" t="s">
        <v>662</v>
      </c>
      <c r="D66" s="215" t="s">
        <v>663</v>
      </c>
      <c r="E66" s="214" t="s">
        <v>611</v>
      </c>
      <c r="F66" s="215" t="s">
        <v>664</v>
      </c>
      <c r="G66" s="1947"/>
      <c r="H66" s="530"/>
    </row>
    <row r="67" spans="2:8" s="11" customFormat="1" ht="78" customHeight="1">
      <c r="B67" s="530"/>
      <c r="C67" s="212" t="s">
        <v>665</v>
      </c>
      <c r="D67" s="213" t="s">
        <v>200</v>
      </c>
      <c r="E67" s="214" t="s">
        <v>611</v>
      </c>
      <c r="F67" s="219" t="s">
        <v>666</v>
      </c>
      <c r="G67" s="1947" t="s">
        <v>667</v>
      </c>
      <c r="H67" s="530"/>
    </row>
    <row r="68" spans="2:8" s="11" customFormat="1" ht="46.5" customHeight="1">
      <c r="B68" s="530"/>
      <c r="C68" s="212" t="s">
        <v>668</v>
      </c>
      <c r="D68" s="220" t="s">
        <v>669</v>
      </c>
      <c r="E68" s="214" t="s">
        <v>611</v>
      </c>
      <c r="F68" s="221" t="s">
        <v>670</v>
      </c>
      <c r="G68" s="1948"/>
      <c r="H68" s="530"/>
    </row>
    <row r="69" spans="2:8" s="11" customFormat="1" ht="46.5" customHeight="1">
      <c r="B69" s="530"/>
      <c r="C69" s="212" t="s">
        <v>671</v>
      </c>
      <c r="D69" s="215" t="s">
        <v>210</v>
      </c>
      <c r="E69" s="214" t="s">
        <v>611</v>
      </c>
      <c r="F69" s="221" t="s">
        <v>672</v>
      </c>
      <c r="G69" s="1948"/>
      <c r="H69" s="530"/>
    </row>
    <row r="70" spans="2:8" s="11" customFormat="1" ht="46.5" customHeight="1">
      <c r="B70" s="530"/>
      <c r="C70" s="212" t="s">
        <v>673</v>
      </c>
      <c r="D70" s="215" t="s">
        <v>674</v>
      </c>
      <c r="E70" s="214" t="s">
        <v>611</v>
      </c>
      <c r="F70" s="215" t="s">
        <v>675</v>
      </c>
      <c r="G70" s="1947" t="s">
        <v>676</v>
      </c>
      <c r="H70" s="530"/>
    </row>
    <row r="71" spans="2:8" s="11" customFormat="1" ht="46.5" customHeight="1">
      <c r="B71" s="530"/>
      <c r="C71" s="212" t="s">
        <v>677</v>
      </c>
      <c r="D71" s="215" t="s">
        <v>678</v>
      </c>
      <c r="E71" s="214" t="s">
        <v>611</v>
      </c>
      <c r="F71" s="215" t="s">
        <v>679</v>
      </c>
      <c r="G71" s="1947" t="s">
        <v>676</v>
      </c>
      <c r="H71" s="530"/>
    </row>
    <row r="72" spans="2:8" s="11" customFormat="1" ht="46.5" customHeight="1">
      <c r="B72" s="530"/>
      <c r="C72" s="212" t="s">
        <v>680</v>
      </c>
      <c r="D72" s="215" t="s">
        <v>681</v>
      </c>
      <c r="E72" s="214" t="s">
        <v>611</v>
      </c>
      <c r="F72" s="215" t="s">
        <v>682</v>
      </c>
      <c r="G72" s="1947"/>
      <c r="H72" s="530"/>
    </row>
    <row r="73" spans="2:8" s="11" customFormat="1" ht="46.5" customHeight="1">
      <c r="B73" s="530"/>
      <c r="C73" s="212" t="s">
        <v>683</v>
      </c>
      <c r="D73" s="215" t="s">
        <v>205</v>
      </c>
      <c r="E73" s="214" t="s">
        <v>611</v>
      </c>
      <c r="F73" s="215" t="s">
        <v>684</v>
      </c>
      <c r="G73" s="1947"/>
      <c r="H73" s="530"/>
    </row>
    <row r="74" spans="2:8" s="11" customFormat="1" ht="46.5" customHeight="1">
      <c r="B74" s="530"/>
      <c r="C74" s="212" t="s">
        <v>685</v>
      </c>
      <c r="D74" s="215" t="s">
        <v>201</v>
      </c>
      <c r="E74" s="214" t="s">
        <v>611</v>
      </c>
      <c r="F74" s="215" t="s">
        <v>686</v>
      </c>
      <c r="G74" s="1947"/>
      <c r="H74" s="530"/>
    </row>
    <row r="75" spans="2:8" s="11" customFormat="1" ht="46.5" customHeight="1">
      <c r="B75" s="530"/>
      <c r="C75" s="212" t="s">
        <v>687</v>
      </c>
      <c r="D75" s="215" t="s">
        <v>242</v>
      </c>
      <c r="E75" s="214" t="s">
        <v>611</v>
      </c>
      <c r="F75" s="215" t="s">
        <v>688</v>
      </c>
      <c r="G75" s="1947"/>
      <c r="H75" s="530"/>
    </row>
    <row r="76" spans="2:8" s="11" customFormat="1" ht="46.5" customHeight="1">
      <c r="B76" s="530"/>
      <c r="C76" s="212" t="s">
        <v>689</v>
      </c>
      <c r="D76" s="215" t="s">
        <v>690</v>
      </c>
      <c r="E76" s="214" t="s">
        <v>611</v>
      </c>
      <c r="F76" s="403" t="s">
        <v>691</v>
      </c>
      <c r="G76" s="1947"/>
      <c r="H76" s="530"/>
    </row>
    <row r="77" spans="2:8" s="11" customFormat="1" ht="46.5" customHeight="1">
      <c r="B77" s="530"/>
      <c r="C77" s="263" t="s">
        <v>581</v>
      </c>
      <c r="D77" s="262" t="s">
        <v>579</v>
      </c>
      <c r="E77" s="260"/>
      <c r="F77" s="261"/>
      <c r="G77" s="1949"/>
      <c r="H77" s="530"/>
    </row>
    <row r="78" spans="2:8" s="11" customFormat="1" ht="46.5" customHeight="1">
      <c r="B78" s="530"/>
      <c r="C78" s="212" t="s">
        <v>692</v>
      </c>
      <c r="D78" s="215" t="s">
        <v>693</v>
      </c>
      <c r="E78" s="214" t="s">
        <v>694</v>
      </c>
      <c r="F78" s="219" t="s">
        <v>695</v>
      </c>
      <c r="G78" s="1947"/>
      <c r="H78" s="530"/>
    </row>
    <row r="79" spans="2:8" s="11" customFormat="1" ht="46.5" customHeight="1">
      <c r="B79" s="530"/>
      <c r="C79" s="212" t="s">
        <v>696</v>
      </c>
      <c r="D79" s="215" t="s">
        <v>697</v>
      </c>
      <c r="E79" s="214" t="s">
        <v>694</v>
      </c>
      <c r="F79" s="219" t="s">
        <v>698</v>
      </c>
      <c r="G79" s="1947" t="s">
        <v>699</v>
      </c>
      <c r="H79" s="530"/>
    </row>
    <row r="80" spans="2:8" s="11" customFormat="1" ht="46.5" customHeight="1">
      <c r="B80" s="530"/>
      <c r="C80" s="212" t="s">
        <v>700</v>
      </c>
      <c r="D80" s="215" t="s">
        <v>701</v>
      </c>
      <c r="E80" s="214" t="s">
        <v>694</v>
      </c>
      <c r="F80" s="215" t="s">
        <v>702</v>
      </c>
      <c r="G80" s="1947"/>
      <c r="H80" s="530"/>
    </row>
    <row r="81" spans="2:8" s="11" customFormat="1" ht="46.5" customHeight="1">
      <c r="B81" s="530"/>
      <c r="C81" s="212" t="s">
        <v>703</v>
      </c>
      <c r="D81" s="215" t="s">
        <v>704</v>
      </c>
      <c r="E81" s="214" t="s">
        <v>694</v>
      </c>
      <c r="F81" s="215" t="s">
        <v>705</v>
      </c>
      <c r="G81" s="1947"/>
      <c r="H81" s="530"/>
    </row>
    <row r="82" spans="2:8" s="11" customFormat="1" ht="46.5" customHeight="1">
      <c r="B82" s="530"/>
      <c r="C82" s="212" t="s">
        <v>706</v>
      </c>
      <c r="D82" s="215" t="s">
        <v>707</v>
      </c>
      <c r="E82" s="214" t="s">
        <v>694</v>
      </c>
      <c r="F82" s="215" t="s">
        <v>708</v>
      </c>
      <c r="G82" s="1947"/>
      <c r="H82" s="530"/>
    </row>
    <row r="83" spans="2:8" s="11" customFormat="1" ht="46.5" customHeight="1">
      <c r="B83" s="530"/>
      <c r="C83" s="212" t="s">
        <v>709</v>
      </c>
      <c r="D83" s="215" t="s">
        <v>436</v>
      </c>
      <c r="E83" s="214" t="s">
        <v>694</v>
      </c>
      <c r="F83" t="s">
        <v>710</v>
      </c>
      <c r="G83" s="1947"/>
      <c r="H83" s="530"/>
    </row>
    <row r="84" spans="2:8" s="11" customFormat="1" ht="46.5" customHeight="1">
      <c r="B84" s="530"/>
      <c r="C84" s="212" t="s">
        <v>711</v>
      </c>
      <c r="D84" s="215" t="s">
        <v>712</v>
      </c>
      <c r="E84" s="214" t="s">
        <v>694</v>
      </c>
      <c r="F84" s="1058" t="s">
        <v>713</v>
      </c>
      <c r="G84" s="1947"/>
      <c r="H84" s="530"/>
    </row>
    <row r="85" spans="2:8" s="11" customFormat="1" ht="46.5" customHeight="1">
      <c r="B85" s="530"/>
      <c r="C85" s="212" t="s">
        <v>714</v>
      </c>
      <c r="D85" s="215" t="s">
        <v>715</v>
      </c>
      <c r="E85" s="214" t="s">
        <v>694</v>
      </c>
      <c r="F85" s="1058" t="s">
        <v>716</v>
      </c>
      <c r="G85" s="1947" t="s">
        <v>717</v>
      </c>
      <c r="H85" s="530"/>
    </row>
    <row r="86" spans="2:8" s="11" customFormat="1" ht="46.5" customHeight="1">
      <c r="B86" s="530"/>
      <c r="C86" s="212" t="s">
        <v>718</v>
      </c>
      <c r="D86" s="215" t="s">
        <v>437</v>
      </c>
      <c r="E86" s="214" t="s">
        <v>694</v>
      </c>
      <c r="F86" s="1058" t="s">
        <v>719</v>
      </c>
      <c r="G86" s="1947"/>
      <c r="H86" s="530"/>
    </row>
    <row r="87" spans="2:8" s="11" customFormat="1" ht="46.5" customHeight="1">
      <c r="B87" s="530"/>
      <c r="C87" s="212" t="s">
        <v>720</v>
      </c>
      <c r="D87" s="215" t="s">
        <v>721</v>
      </c>
      <c r="E87" s="214" t="s">
        <v>694</v>
      </c>
      <c r="F87" s="215" t="s">
        <v>722</v>
      </c>
      <c r="G87" s="1947"/>
      <c r="H87" s="530"/>
    </row>
    <row r="88" spans="2:8" s="11" customFormat="1" ht="46.5" customHeight="1">
      <c r="B88" s="530"/>
      <c r="C88" s="212" t="s">
        <v>723</v>
      </c>
      <c r="D88" s="215" t="s">
        <v>724</v>
      </c>
      <c r="E88" s="214" t="s">
        <v>694</v>
      </c>
      <c r="F88" s="215" t="s">
        <v>725</v>
      </c>
      <c r="G88" s="1947"/>
      <c r="H88" s="530"/>
    </row>
    <row r="89" spans="2:8" s="11" customFormat="1" ht="46.5" customHeight="1">
      <c r="B89" s="530"/>
      <c r="C89" s="212" t="s">
        <v>726</v>
      </c>
      <c r="D89" s="215" t="s">
        <v>727</v>
      </c>
      <c r="E89" s="214" t="s">
        <v>694</v>
      </c>
      <c r="F89" s="215" t="s">
        <v>728</v>
      </c>
      <c r="G89" s="1947"/>
      <c r="H89" s="530"/>
    </row>
    <row r="90" spans="2:8" s="11" customFormat="1" ht="46.5" customHeight="1">
      <c r="B90" s="530"/>
      <c r="C90" s="212" t="s">
        <v>729</v>
      </c>
      <c r="D90" s="215" t="s">
        <v>730</v>
      </c>
      <c r="E90" s="214" t="s">
        <v>694</v>
      </c>
      <c r="F90" s="215" t="s">
        <v>731</v>
      </c>
      <c r="G90" s="1947"/>
      <c r="H90" s="530"/>
    </row>
    <row r="91" spans="2:8" s="11" customFormat="1" ht="46.5" customHeight="1">
      <c r="B91" s="530"/>
      <c r="C91" s="212" t="s">
        <v>732</v>
      </c>
      <c r="D91" s="215" t="s">
        <v>733</v>
      </c>
      <c r="E91" s="214" t="s">
        <v>694</v>
      </c>
      <c r="F91" s="215" t="s">
        <v>734</v>
      </c>
      <c r="G91" s="1947"/>
      <c r="H91" s="530"/>
    </row>
    <row r="92" spans="2:8" s="11" customFormat="1" ht="46.5" customHeight="1">
      <c r="B92" s="530"/>
      <c r="C92" s="212" t="s">
        <v>735</v>
      </c>
      <c r="D92" s="213" t="s">
        <v>580</v>
      </c>
      <c r="E92" s="214" t="s">
        <v>694</v>
      </c>
      <c r="F92" s="215" t="s">
        <v>736</v>
      </c>
      <c r="G92" s="1947" t="s">
        <v>737</v>
      </c>
      <c r="H92" s="530"/>
    </row>
    <row r="93" spans="2:8" s="11" customFormat="1" ht="46.5" customHeight="1">
      <c r="B93" s="530"/>
      <c r="C93" s="212" t="s">
        <v>738</v>
      </c>
      <c r="D93" s="213" t="s">
        <v>456</v>
      </c>
      <c r="E93" s="214" t="s">
        <v>694</v>
      </c>
      <c r="F93" s="215" t="s">
        <v>739</v>
      </c>
      <c r="G93" s="1947" t="s">
        <v>740</v>
      </c>
      <c r="H93" s="530"/>
    </row>
    <row r="94" spans="2:8" s="11" customFormat="1" ht="46.5" customHeight="1">
      <c r="B94" s="530"/>
      <c r="C94" s="212" t="s">
        <v>741</v>
      </c>
      <c r="D94" s="215" t="s">
        <v>582</v>
      </c>
      <c r="E94" s="214" t="s">
        <v>694</v>
      </c>
      <c r="F94" s="219" t="s">
        <v>742</v>
      </c>
      <c r="G94" s="1947"/>
      <c r="H94" s="530"/>
    </row>
    <row r="95" spans="2:8" s="11" customFormat="1" ht="46.5" customHeight="1">
      <c r="B95" s="530"/>
      <c r="C95" s="212" t="s">
        <v>743</v>
      </c>
      <c r="D95" s="215" t="s">
        <v>744</v>
      </c>
      <c r="E95" s="214" t="s">
        <v>694</v>
      </c>
      <c r="F95" s="215" t="s">
        <v>745</v>
      </c>
      <c r="G95" s="1947"/>
      <c r="H95" s="530"/>
    </row>
    <row r="96" spans="2:8" s="11" customFormat="1" ht="46.5" customHeight="1">
      <c r="B96" s="530"/>
      <c r="C96" s="212" t="s">
        <v>746</v>
      </c>
      <c r="D96" s="215" t="s">
        <v>454</v>
      </c>
      <c r="E96" s="214" t="s">
        <v>694</v>
      </c>
      <c r="F96" s="215" t="s">
        <v>747</v>
      </c>
      <c r="G96" s="1947" t="s">
        <v>748</v>
      </c>
      <c r="H96" s="530"/>
    </row>
    <row r="97" spans="2:8" s="11" customFormat="1" ht="46.5" customHeight="1">
      <c r="B97" s="530"/>
      <c r="C97" s="212" t="s">
        <v>749</v>
      </c>
      <c r="D97" s="213" t="s">
        <v>750</v>
      </c>
      <c r="E97" s="214" t="s">
        <v>694</v>
      </c>
      <c r="F97" s="215" t="s">
        <v>751</v>
      </c>
      <c r="G97" s="1947" t="s">
        <v>752</v>
      </c>
      <c r="H97" s="530"/>
    </row>
    <row r="98" spans="2:8" s="11" customFormat="1" ht="46.5" customHeight="1">
      <c r="B98" s="530"/>
      <c r="C98" s="212" t="s">
        <v>753</v>
      </c>
      <c r="D98" s="213" t="s">
        <v>523</v>
      </c>
      <c r="E98" s="214" t="s">
        <v>694</v>
      </c>
      <c r="F98" s="219" t="s">
        <v>754</v>
      </c>
      <c r="G98" s="1947"/>
      <c r="H98" s="530"/>
    </row>
    <row r="99" spans="2:8" s="11" customFormat="1" ht="46.5" customHeight="1">
      <c r="B99" s="530"/>
      <c r="C99" s="212" t="s">
        <v>755</v>
      </c>
      <c r="D99" s="213" t="s">
        <v>756</v>
      </c>
      <c r="E99" s="214" t="s">
        <v>694</v>
      </c>
      <c r="F99" s="219" t="s">
        <v>757</v>
      </c>
      <c r="G99" s="1950" t="s">
        <v>758</v>
      </c>
      <c r="H99" s="530"/>
    </row>
    <row r="100" spans="2:8" s="11" customFormat="1" ht="46.5" customHeight="1">
      <c r="B100" s="530"/>
      <c r="C100" s="212" t="s">
        <v>759</v>
      </c>
      <c r="D100" s="215" t="s">
        <v>760</v>
      </c>
      <c r="E100" s="214" t="s">
        <v>694</v>
      </c>
      <c r="F100" s="215" t="s">
        <v>761</v>
      </c>
      <c r="G100" s="1947"/>
      <c r="H100" s="530"/>
    </row>
    <row r="101" spans="2:8" s="11" customFormat="1" ht="46.5" customHeight="1">
      <c r="B101" s="530"/>
      <c r="C101" s="212" t="s">
        <v>762</v>
      </c>
      <c r="D101" s="215" t="s">
        <v>763</v>
      </c>
      <c r="E101" s="214" t="s">
        <v>694</v>
      </c>
      <c r="F101" s="215" t="s">
        <v>764</v>
      </c>
      <c r="G101" s="1947"/>
      <c r="H101" s="530"/>
    </row>
    <row r="102" spans="2:8" s="11" customFormat="1" ht="46.5" customHeight="1">
      <c r="B102" s="530"/>
      <c r="C102" s="212" t="s">
        <v>765</v>
      </c>
      <c r="D102" s="215" t="s">
        <v>766</v>
      </c>
      <c r="E102" s="214" t="s">
        <v>694</v>
      </c>
      <c r="F102" s="219" t="s">
        <v>767</v>
      </c>
      <c r="G102" s="1947"/>
      <c r="H102" s="530"/>
    </row>
    <row r="103" spans="2:8" s="11" customFormat="1" ht="46.5" customHeight="1">
      <c r="B103" s="530"/>
      <c r="C103" s="212" t="s">
        <v>768</v>
      </c>
      <c r="D103" s="215" t="s">
        <v>769</v>
      </c>
      <c r="E103" s="214" t="s">
        <v>694</v>
      </c>
      <c r="F103" s="215" t="s">
        <v>770</v>
      </c>
      <c r="G103" s="1947"/>
      <c r="H103" s="530"/>
    </row>
    <row r="104" spans="2:8" s="11" customFormat="1" ht="46.5" customHeight="1">
      <c r="B104" s="530"/>
      <c r="C104" s="258" t="s">
        <v>572</v>
      </c>
      <c r="D104" s="262" t="s">
        <v>771</v>
      </c>
      <c r="E104" s="256"/>
      <c r="F104" s="256"/>
      <c r="G104" s="1949"/>
      <c r="H104" s="530"/>
    </row>
    <row r="105" spans="2:8" s="11" customFormat="1" ht="46.5" customHeight="1">
      <c r="B105" s="530"/>
      <c r="C105" s="2058" t="s">
        <v>772</v>
      </c>
      <c r="D105" s="215" t="s">
        <v>208</v>
      </c>
      <c r="E105" s="214" t="s">
        <v>773</v>
      </c>
      <c r="F105" s="215" t="s">
        <v>774</v>
      </c>
      <c r="G105" s="1947"/>
      <c r="H105" s="530"/>
    </row>
    <row r="106" spans="2:8" s="11" customFormat="1" ht="46.5" customHeight="1">
      <c r="B106" s="530"/>
      <c r="C106" s="2057" t="s">
        <v>775</v>
      </c>
      <c r="D106" s="215" t="s">
        <v>238</v>
      </c>
      <c r="E106" s="214" t="s">
        <v>773</v>
      </c>
      <c r="F106" s="215" t="s">
        <v>776</v>
      </c>
      <c r="G106" s="1947"/>
      <c r="H106" s="530"/>
    </row>
    <row r="107" spans="2:8" s="11" customFormat="1" ht="46.5" customHeight="1">
      <c r="B107" s="530"/>
      <c r="C107" s="2058" t="s">
        <v>777</v>
      </c>
      <c r="D107" s="213" t="s">
        <v>239</v>
      </c>
      <c r="E107" s="214" t="s">
        <v>773</v>
      </c>
      <c r="F107" s="215" t="s">
        <v>778</v>
      </c>
      <c r="G107" s="1947"/>
      <c r="H107" s="530"/>
    </row>
    <row r="108" spans="2:8" s="11" customFormat="1" ht="46.5" customHeight="1">
      <c r="B108" s="530"/>
      <c r="C108" s="2057" t="s">
        <v>779</v>
      </c>
      <c r="D108" s="134" t="s">
        <v>240</v>
      </c>
      <c r="E108" s="214" t="s">
        <v>773</v>
      </c>
      <c r="F108" s="134" t="s">
        <v>780</v>
      </c>
      <c r="G108" s="1951"/>
      <c r="H108" s="530"/>
    </row>
    <row r="109" spans="2:8" s="11" customFormat="1" ht="46.5" customHeight="1">
      <c r="B109" s="530"/>
      <c r="C109" s="2058" t="s">
        <v>781</v>
      </c>
      <c r="D109" s="134" t="s">
        <v>241</v>
      </c>
      <c r="E109" s="214" t="s">
        <v>773</v>
      </c>
      <c r="F109" s="134" t="s">
        <v>782</v>
      </c>
      <c r="G109" s="1951"/>
      <c r="H109" s="530"/>
    </row>
    <row r="110" spans="2:8" s="11" customFormat="1" ht="46.5" customHeight="1">
      <c r="B110" s="530"/>
      <c r="C110" s="2057" t="s">
        <v>783</v>
      </c>
      <c r="D110" s="134" t="s">
        <v>242</v>
      </c>
      <c r="E110" s="214" t="s">
        <v>773</v>
      </c>
      <c r="F110" s="134" t="s">
        <v>688</v>
      </c>
      <c r="G110" s="1951"/>
      <c r="H110" s="530"/>
    </row>
    <row r="111" spans="2:8" s="11" customFormat="1" ht="46.5" customHeight="1">
      <c r="B111" s="530"/>
      <c r="C111" s="2058" t="s">
        <v>784</v>
      </c>
      <c r="D111" s="133" t="s">
        <v>243</v>
      </c>
      <c r="E111" s="214" t="s">
        <v>773</v>
      </c>
      <c r="F111" s="134" t="s">
        <v>785</v>
      </c>
      <c r="G111" s="1951"/>
      <c r="H111" s="530"/>
    </row>
    <row r="112" spans="2:8" s="11" customFormat="1" ht="46.5" customHeight="1">
      <c r="B112" s="530"/>
      <c r="C112" s="2057" t="s">
        <v>786</v>
      </c>
      <c r="D112" s="134" t="s">
        <v>244</v>
      </c>
      <c r="E112" s="214" t="s">
        <v>773</v>
      </c>
      <c r="F112" s="134" t="s">
        <v>787</v>
      </c>
      <c r="G112" s="1951" t="s">
        <v>788</v>
      </c>
      <c r="H112" s="530"/>
    </row>
    <row r="113" spans="2:8" s="11" customFormat="1" ht="46.5" customHeight="1">
      <c r="B113" s="530"/>
      <c r="C113" s="2058" t="s">
        <v>789</v>
      </c>
      <c r="D113" s="133" t="s">
        <v>790</v>
      </c>
      <c r="E113" s="214" t="s">
        <v>773</v>
      </c>
      <c r="F113" s="134" t="s">
        <v>791</v>
      </c>
      <c r="G113" s="1951" t="s">
        <v>792</v>
      </c>
      <c r="H113" s="530"/>
    </row>
    <row r="114" spans="2:8" s="11" customFormat="1" ht="46.5" customHeight="1">
      <c r="B114" s="530"/>
      <c r="C114" s="2057" t="s">
        <v>793</v>
      </c>
      <c r="D114" s="134" t="s">
        <v>246</v>
      </c>
      <c r="E114" s="214" t="s">
        <v>773</v>
      </c>
      <c r="F114" s="134" t="s">
        <v>794</v>
      </c>
      <c r="G114" s="1951"/>
      <c r="H114" s="530"/>
    </row>
    <row r="115" spans="2:8" s="11" customFormat="1" ht="46.5" customHeight="1">
      <c r="B115" s="530"/>
      <c r="C115" s="2058" t="s">
        <v>795</v>
      </c>
      <c r="D115" s="134" t="s">
        <v>796</v>
      </c>
      <c r="E115" s="214" t="s">
        <v>773</v>
      </c>
      <c r="F115" s="134" t="s">
        <v>797</v>
      </c>
      <c r="G115" s="1951"/>
      <c r="H115" s="530"/>
    </row>
    <row r="116" spans="2:8" s="11" customFormat="1" ht="44.25" customHeight="1">
      <c r="B116" s="530"/>
      <c r="C116" s="2057" t="s">
        <v>798</v>
      </c>
      <c r="D116" s="134" t="s">
        <v>799</v>
      </c>
      <c r="E116" s="214" t="s">
        <v>773</v>
      </c>
      <c r="F116" s="134" t="s">
        <v>800</v>
      </c>
      <c r="G116" s="1951"/>
      <c r="H116" s="530"/>
    </row>
    <row r="117" spans="2:8" s="11" customFormat="1" ht="44.25" customHeight="1">
      <c r="B117" s="530"/>
      <c r="C117" s="2058" t="s">
        <v>801</v>
      </c>
      <c r="D117" s="134" t="s">
        <v>250</v>
      </c>
      <c r="E117" s="214" t="s">
        <v>773</v>
      </c>
      <c r="F117" s="134" t="s">
        <v>802</v>
      </c>
      <c r="G117" s="1951"/>
      <c r="H117" s="530"/>
    </row>
    <row r="118" spans="2:8" s="11" customFormat="1" ht="44.25" customHeight="1">
      <c r="B118" s="530"/>
      <c r="C118" s="2057" t="s">
        <v>803</v>
      </c>
      <c r="D118" s="134" t="s">
        <v>251</v>
      </c>
      <c r="E118" s="214" t="s">
        <v>773</v>
      </c>
      <c r="F118" s="134" t="s">
        <v>804</v>
      </c>
      <c r="G118" s="1951"/>
      <c r="H118" s="530"/>
    </row>
    <row r="119" spans="2:8" s="11" customFormat="1" ht="44.25" customHeight="1">
      <c r="B119" s="530"/>
      <c r="C119" s="2058" t="s">
        <v>805</v>
      </c>
      <c r="D119" s="134" t="s">
        <v>252</v>
      </c>
      <c r="E119" s="214" t="s">
        <v>773</v>
      </c>
      <c r="F119" s="134" t="s">
        <v>806</v>
      </c>
      <c r="G119" s="1951"/>
      <c r="H119" s="530"/>
    </row>
    <row r="120" spans="2:8" s="11" customFormat="1" ht="44.25" customHeight="1">
      <c r="B120" s="530"/>
      <c r="C120" s="2057" t="s">
        <v>807</v>
      </c>
      <c r="D120" s="133" t="s">
        <v>254</v>
      </c>
      <c r="E120" s="214" t="s">
        <v>773</v>
      </c>
      <c r="F120" s="134" t="s">
        <v>806</v>
      </c>
      <c r="G120" s="1951"/>
      <c r="H120" s="530"/>
    </row>
    <row r="121" spans="2:8" s="11" customFormat="1" ht="27" customHeight="1">
      <c r="B121" s="530"/>
      <c r="C121" s="2058" t="s">
        <v>808</v>
      </c>
      <c r="D121" s="135" t="s">
        <v>253</v>
      </c>
      <c r="E121" s="214" t="s">
        <v>773</v>
      </c>
      <c r="F121" s="135" t="s">
        <v>809</v>
      </c>
      <c r="G121" s="1952" t="s">
        <v>810</v>
      </c>
      <c r="H121" s="530"/>
    </row>
    <row r="122" spans="2:8" s="11" customFormat="1" ht="27" customHeight="1">
      <c r="B122" s="530"/>
      <c r="C122" s="258">
        <v>1059</v>
      </c>
      <c r="D122" s="262" t="s">
        <v>811</v>
      </c>
      <c r="E122" s="262"/>
      <c r="F122" s="404"/>
      <c r="G122" s="1953"/>
      <c r="H122" s="530"/>
    </row>
    <row r="123" spans="2:8" s="11" customFormat="1" ht="27" customHeight="1">
      <c r="B123" s="530"/>
      <c r="C123" s="2057" t="s">
        <v>812</v>
      </c>
      <c r="D123" s="512" t="s">
        <v>813</v>
      </c>
      <c r="E123" s="214" t="s">
        <v>814</v>
      </c>
      <c r="F123" s="513" t="s">
        <v>815</v>
      </c>
      <c r="G123" s="1954"/>
      <c r="H123" s="530"/>
    </row>
    <row r="124" spans="2:8" s="11" customFormat="1" ht="27" customHeight="1">
      <c r="B124" s="530"/>
      <c r="C124" s="2057" t="s">
        <v>816</v>
      </c>
      <c r="D124" s="135" t="s">
        <v>556</v>
      </c>
      <c r="E124" s="214" t="s">
        <v>814</v>
      </c>
      <c r="F124" s="403" t="s">
        <v>817</v>
      </c>
      <c r="G124" s="1952"/>
      <c r="H124" s="530"/>
    </row>
    <row r="125" spans="2:8" s="11" customFormat="1" ht="27" customHeight="1">
      <c r="B125" s="530"/>
      <c r="C125" s="2057" t="s">
        <v>818</v>
      </c>
      <c r="D125" s="135" t="s">
        <v>557</v>
      </c>
      <c r="E125" s="214" t="s">
        <v>814</v>
      </c>
      <c r="F125" s="403" t="s">
        <v>819</v>
      </c>
      <c r="G125" s="1952"/>
      <c r="H125" s="530"/>
    </row>
    <row r="126" spans="2:8" s="11" customFormat="1" ht="27" customHeight="1">
      <c r="B126" s="530"/>
      <c r="C126" s="2057" t="s">
        <v>820</v>
      </c>
      <c r="D126" s="135" t="s">
        <v>821</v>
      </c>
      <c r="E126" s="214" t="s">
        <v>814</v>
      </c>
      <c r="F126" s="403" t="s">
        <v>822</v>
      </c>
      <c r="G126" s="1952"/>
      <c r="H126" s="530"/>
    </row>
    <row r="127" spans="2:8" s="11" customFormat="1" ht="27" customHeight="1">
      <c r="B127" s="530"/>
      <c r="C127" s="2057" t="s">
        <v>823</v>
      </c>
      <c r="D127" s="134" t="s">
        <v>519</v>
      </c>
      <c r="E127" s="214" t="s">
        <v>611</v>
      </c>
      <c r="F127" s="1058" t="s">
        <v>821</v>
      </c>
      <c r="G127" s="1951"/>
      <c r="H127" s="530"/>
    </row>
    <row r="128" spans="2:8" s="11" customFormat="1" ht="27" customHeight="1">
      <c r="B128" s="530"/>
      <c r="C128" s="2057" t="s">
        <v>824</v>
      </c>
      <c r="D128" s="135" t="s">
        <v>512</v>
      </c>
      <c r="E128" s="214" t="s">
        <v>814</v>
      </c>
      <c r="F128" s="403" t="s">
        <v>825</v>
      </c>
      <c r="G128" s="1952"/>
      <c r="H128" s="530"/>
    </row>
    <row r="129" spans="2:8" s="11" customFormat="1" ht="27" customHeight="1">
      <c r="B129" s="530"/>
      <c r="C129" s="2057" t="s">
        <v>826</v>
      </c>
      <c r="D129" s="135" t="s">
        <v>827</v>
      </c>
      <c r="E129" s="214" t="s">
        <v>814</v>
      </c>
      <c r="F129" s="403" t="s">
        <v>828</v>
      </c>
      <c r="G129" s="1952"/>
      <c r="H129" s="530"/>
    </row>
    <row r="130" spans="2:8" s="11" customFormat="1" ht="27" customHeight="1">
      <c r="B130" s="530"/>
      <c r="C130" s="2059"/>
      <c r="D130" s="2059"/>
      <c r="E130" s="2059"/>
      <c r="F130" s="2059"/>
      <c r="G130" s="2059"/>
      <c r="H130" s="2059"/>
    </row>
    <row r="131" spans="2:8" s="11" customFormat="1" ht="27" customHeight="1">
      <c r="B131" s="530"/>
      <c r="C131" s="530"/>
      <c r="D131" s="2059"/>
      <c r="E131" s="2059"/>
      <c r="F131" s="2059"/>
      <c r="G131" s="2059"/>
      <c r="H131" s="2059"/>
    </row>
    <row r="132" spans="6:7" s="11" customFormat="1" ht="27" customHeight="1">
      <c r="F132" s="120"/>
      <c r="G132" s="120"/>
    </row>
    <row r="133" spans="6:7" s="11" customFormat="1" ht="27" customHeight="1">
      <c r="F133" s="120"/>
      <c r="G133" s="120"/>
    </row>
    <row r="134" spans="6:7" s="11" customFormat="1" ht="27" customHeight="1">
      <c r="F134" s="120"/>
      <c r="G134" s="120"/>
    </row>
    <row r="135" spans="6:7" s="11" customFormat="1" ht="27" customHeight="1">
      <c r="F135" s="120"/>
      <c r="G135" s="120"/>
    </row>
    <row r="136" spans="6:7" s="11" customFormat="1" ht="27" customHeight="1">
      <c r="F136" s="120"/>
      <c r="G136" s="120"/>
    </row>
    <row r="137" spans="6:7" s="11" customFormat="1" ht="27" customHeight="1">
      <c r="F137" s="120"/>
      <c r="G137" s="120"/>
    </row>
    <row r="138" spans="6:7" s="11" customFormat="1" ht="27" customHeight="1">
      <c r="F138" s="120"/>
      <c r="G138" s="120"/>
    </row>
    <row r="139" spans="6:7" s="11" customFormat="1" ht="27" customHeight="1">
      <c r="F139" s="120"/>
      <c r="G139" s="120"/>
    </row>
    <row r="140" spans="6:7" s="11" customFormat="1" ht="27" customHeight="1">
      <c r="F140" s="120"/>
      <c r="G140" s="120"/>
    </row>
    <row r="141" spans="6:7" s="11" customFormat="1" ht="27" customHeight="1">
      <c r="F141" s="120"/>
      <c r="G141" s="120"/>
    </row>
    <row r="142" spans="6:7" s="11" customFormat="1" ht="27" customHeight="1">
      <c r="F142" s="120"/>
      <c r="G142" s="120"/>
    </row>
    <row r="143" spans="6:7" s="11" customFormat="1" ht="27" customHeight="1">
      <c r="F143" s="120"/>
      <c r="G143" s="120"/>
    </row>
    <row r="144" spans="6:7" s="11" customFormat="1" ht="27" customHeight="1">
      <c r="F144" s="120"/>
      <c r="G144" s="120"/>
    </row>
    <row r="145" spans="6:7" s="11" customFormat="1" ht="27" customHeight="1">
      <c r="F145" s="120"/>
      <c r="G145" s="120"/>
    </row>
    <row r="146" spans="6:7" s="11" customFormat="1" ht="27" customHeight="1">
      <c r="F146" s="120"/>
      <c r="G146" s="120"/>
    </row>
    <row r="147" spans="6:7" s="11" customFormat="1" ht="27" customHeight="1">
      <c r="F147" s="120"/>
      <c r="G147" s="120"/>
    </row>
    <row r="148" spans="6:7" s="11" customFormat="1" ht="27" customHeight="1">
      <c r="F148" s="120"/>
      <c r="G148" s="120"/>
    </row>
    <row r="149" spans="6:7" s="11" customFormat="1" ht="27" customHeight="1">
      <c r="F149" s="120"/>
      <c r="G149" s="120"/>
    </row>
    <row r="150" spans="6:7" s="11" customFormat="1" ht="27" customHeight="1">
      <c r="F150" s="120"/>
      <c r="G150" s="120"/>
    </row>
    <row r="151" spans="6:7" s="11" customFormat="1" ht="27" customHeight="1">
      <c r="F151" s="120"/>
      <c r="G151" s="120"/>
    </row>
    <row r="152" spans="6:7" s="11" customFormat="1" ht="27" customHeight="1">
      <c r="F152" s="120"/>
      <c r="G152" s="120"/>
    </row>
    <row r="153" spans="6:7" s="11" customFormat="1" ht="27" customHeight="1">
      <c r="F153" s="120"/>
      <c r="G153" s="120"/>
    </row>
    <row r="154" spans="6:7" s="11" customFormat="1" ht="27" customHeight="1">
      <c r="F154" s="120"/>
      <c r="G154" s="120"/>
    </row>
    <row r="155" spans="6:7" s="11" customFormat="1" ht="27" customHeight="1">
      <c r="F155" s="120"/>
      <c r="G155" s="120"/>
    </row>
    <row r="156" spans="2:7" s="11" customFormat="1" ht="27" customHeight="1">
      <c r="B156"/>
      <c r="F156" s="120"/>
      <c r="G156" s="120"/>
    </row>
    <row r="157" spans="2:8" s="11" customFormat="1" ht="27" customHeight="1">
      <c r="B157"/>
      <c r="F157" s="120"/>
      <c r="G157" s="120"/>
      <c r="H157"/>
    </row>
    <row r="158" spans="3:7" ht="27" customHeight="1">
      <c r="C158" s="11"/>
      <c r="D158" s="11"/>
      <c r="E158" s="11"/>
      <c r="F158" s="120"/>
      <c r="G158" s="120"/>
    </row>
    <row r="159" spans="3:7" ht="27" customHeight="1">
      <c r="C159" s="11"/>
      <c r="D159" s="11"/>
      <c r="E159" s="11"/>
      <c r="F159" s="120"/>
      <c r="G159" s="120"/>
    </row>
    <row r="160" spans="3:7" ht="27" customHeight="1">
      <c r="C160" s="11"/>
      <c r="D160" s="11"/>
      <c r="E160" s="11"/>
      <c r="F160" s="120"/>
      <c r="G160" s="120"/>
    </row>
    <row r="161" spans="3:7" ht="27" customHeight="1">
      <c r="C161" s="11"/>
      <c r="D161" s="11"/>
      <c r="E161" s="11"/>
      <c r="F161" s="120"/>
      <c r="G161" s="120"/>
    </row>
    <row r="162" spans="3:7" ht="27" customHeight="1">
      <c r="C162" s="11"/>
      <c r="D162" s="11"/>
      <c r="E162" s="11"/>
      <c r="F162" s="120"/>
      <c r="G162" s="120"/>
    </row>
    <row r="163" spans="3:7" ht="27" customHeight="1">
      <c r="C163" s="11"/>
      <c r="D163" s="11"/>
      <c r="E163" s="11"/>
      <c r="F163" s="120"/>
      <c r="G163" s="120"/>
    </row>
    <row r="164" spans="3:7" ht="27" customHeight="1">
      <c r="C164" s="11"/>
      <c r="D164" s="11"/>
      <c r="E164" s="11"/>
      <c r="F164" s="120"/>
      <c r="G164" s="120"/>
    </row>
    <row r="165" spans="3:7" ht="27" customHeight="1">
      <c r="C165" s="11"/>
      <c r="D165" s="11"/>
      <c r="E165" s="11"/>
      <c r="F165" s="120"/>
      <c r="G165" s="120"/>
    </row>
    <row r="166" spans="3:7" ht="27" customHeight="1">
      <c r="C166" s="11"/>
      <c r="D166" s="11"/>
      <c r="E166" s="11"/>
      <c r="F166" s="120"/>
      <c r="G166" s="120"/>
    </row>
  </sheetData>
  <sheetProtection formatColumns="0" formatRows="0" autoFilter="0" pivotTables="0"/>
  <mergeCells count="3">
    <mergeCell ref="C4:E6"/>
    <mergeCell ref="C44:E44"/>
    <mergeCell ref="A4:A5"/>
  </mergeCells>
  <pageMargins left="0.708661417322835" right="0.708661417322835" top="0.748031496062992" bottom="0.748031496062992" header="0.31496062992126" footer="0.31496062992126"/>
  <pageSetup fitToHeight="0" orientation="landscape" paperSize="9" r:id="rId4"/>
  <drawing r:id="rId2"/>
  <picture r:id="rId3"/>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3AF70F-2FD6-4C13-A0CE-10B6C97C0FFC}">
  <sheetPr codeName="Sheet12">
    <tabColor theme="7"/>
  </sheetPr>
  <dimension ref="A1:I89"/>
  <sheetViews>
    <sheetView workbookViewId="0" topLeftCell="A32">
      <selection pane="topLeft" activeCell="AL211" sqref="AL211"/>
    </sheetView>
  </sheetViews>
  <sheetFormatPr defaultRowHeight="15.5" outlineLevelRow="1" outlineLevelCol="1"/>
  <cols>
    <col min="1" max="1" width="8.77777777777778" customWidth="1" outlineLevel="1"/>
    <col min="3" max="3" width="7.11111111111111" customWidth="1"/>
    <col min="4" max="4" width="28.7777777777778" customWidth="1"/>
    <col min="5" max="5" width="42.6666666666667" customWidth="1"/>
    <col min="6" max="6" width="10.6666666666667" customWidth="1"/>
    <col min="7" max="7" width="19.6666666666667" customWidth="1"/>
    <col min="8" max="8" width="69.5555555555556" customWidth="1"/>
  </cols>
  <sheetData>
    <row r="1" spans="1:2" ht="15.5" hidden="1" outlineLevel="1">
      <c r="A1" t="s">
        <v>1857</v>
      </c>
      <c r="B1" t="s">
        <v>1856</v>
      </c>
    </row>
    <row r="2" spans="2:9" ht="15.5" collapsed="1">
      <c r="B2" s="14"/>
      <c r="C2" s="15"/>
      <c r="D2" s="15"/>
      <c r="E2" s="15"/>
      <c r="F2" s="15"/>
      <c r="G2" s="15"/>
      <c r="H2" s="15"/>
      <c r="I2" s="38"/>
    </row>
    <row r="3" spans="2:9" ht="15.5">
      <c r="B3" s="16"/>
      <c r="C3" s="101"/>
      <c r="D3" s="101"/>
      <c r="E3" s="101"/>
      <c r="F3" s="101"/>
      <c r="G3" s="101"/>
      <c r="H3" s="101"/>
      <c r="I3" s="39"/>
    </row>
    <row r="4" spans="1:9" ht="15" customHeight="1">
      <c r="A4" s="3135" t="e" vm="2" cm="1">
        <f t="array" ref="A4">IF(LEFT($A$1,3)="unp",icon_unlock,icon_lock)</f>
        <v>#VALUE!</v>
      </c>
      <c r="B4" s="3126"/>
      <c r="C4" s="3133" t="s">
        <v>829</v>
      </c>
      <c r="D4" s="3133"/>
      <c r="E4" s="3133"/>
      <c r="F4" s="101"/>
      <c r="G4" s="101"/>
      <c r="H4" s="101"/>
      <c r="I4" s="39"/>
    </row>
    <row r="5" spans="1:9" ht="15" customHeight="1">
      <c r="A5" s="3135"/>
      <c r="B5" s="3126"/>
      <c r="C5" s="3133"/>
      <c r="D5" s="3133"/>
      <c r="E5" s="3133"/>
      <c r="F5" s="101"/>
      <c r="G5" s="101"/>
      <c r="H5" s="101"/>
      <c r="I5" s="39"/>
    </row>
    <row r="6" spans="1:9" ht="15" customHeight="1">
      <c r="A6" s="1672"/>
      <c r="B6" s="3126"/>
      <c r="C6" s="3133"/>
      <c r="D6" s="3133"/>
      <c r="E6" s="3133"/>
      <c r="F6" s="101"/>
      <c r="G6" s="101"/>
      <c r="H6" s="101"/>
      <c r="I6" s="39"/>
    </row>
    <row r="7" spans="2:9" ht="15.5">
      <c r="B7" s="17"/>
      <c r="C7" s="18"/>
      <c r="D7" s="18"/>
      <c r="E7" s="18"/>
      <c r="F7" s="18"/>
      <c r="G7" s="18"/>
      <c r="H7" s="107" t="s">
        <v>830</v>
      </c>
      <c r="I7" s="84"/>
    </row>
    <row r="8" spans="2:9" ht="15.5">
      <c r="B8" s="85"/>
      <c r="C8" s="3"/>
      <c r="D8" s="3"/>
      <c r="E8" s="3"/>
      <c r="F8" s="3"/>
      <c r="G8" s="3"/>
      <c r="H8" s="88"/>
      <c r="I8" s="88"/>
    </row>
    <row r="9" spans="2:9" ht="20">
      <c r="B9" s="85"/>
      <c r="C9" s="3136" t="s">
        <v>831</v>
      </c>
      <c r="D9" s="3136"/>
      <c r="E9" s="3136"/>
      <c r="F9" s="3"/>
      <c r="G9" s="3"/>
      <c r="H9" s="122" t="s">
        <v>832</v>
      </c>
      <c r="I9" s="88"/>
    </row>
    <row r="10" spans="2:9" ht="15.5">
      <c r="B10" s="85"/>
      <c r="C10" s="3"/>
      <c r="D10" s="3"/>
      <c r="E10" s="3"/>
      <c r="F10" s="3"/>
      <c r="G10" s="3"/>
      <c r="H10" s="88"/>
      <c r="I10" s="88"/>
    </row>
    <row r="11" spans="2:9" ht="15.5">
      <c r="B11" s="85"/>
      <c r="C11" s="3"/>
      <c r="D11" s="3"/>
      <c r="E11" s="3"/>
      <c r="F11" s="3"/>
      <c r="G11" s="3"/>
      <c r="H11" s="88"/>
      <c r="I11" s="88"/>
    </row>
    <row r="12" spans="2:9" ht="15.5">
      <c r="B12" s="85"/>
      <c r="C12" s="3"/>
      <c r="D12" s="3"/>
      <c r="E12" s="3"/>
      <c r="F12" s="3"/>
      <c r="G12" s="3"/>
      <c r="H12" s="88"/>
      <c r="I12" s="88"/>
    </row>
    <row r="13" spans="2:9" ht="15.5">
      <c r="B13" s="85"/>
      <c r="C13" s="3"/>
      <c r="D13" s="3"/>
      <c r="E13" s="3"/>
      <c r="F13" s="3"/>
      <c r="G13" s="3"/>
      <c r="H13" s="88"/>
      <c r="I13" s="88"/>
    </row>
    <row r="14" spans="2:9" ht="15.5">
      <c r="B14" s="85"/>
      <c r="C14" s="3"/>
      <c r="D14" s="3"/>
      <c r="E14" s="3"/>
      <c r="F14" s="3"/>
      <c r="G14" s="3"/>
      <c r="H14" s="88"/>
      <c r="I14" s="88"/>
    </row>
    <row r="15" spans="2:9" ht="15.5">
      <c r="B15" s="85"/>
      <c r="C15" s="3"/>
      <c r="D15" s="3"/>
      <c r="E15" s="3"/>
      <c r="F15" s="3"/>
      <c r="G15" s="3"/>
      <c r="H15" s="88"/>
      <c r="I15" s="88"/>
    </row>
    <row r="16" spans="2:9" ht="15.5">
      <c r="B16" s="85"/>
      <c r="C16" s="3"/>
      <c r="D16" s="3"/>
      <c r="E16" s="3"/>
      <c r="F16" s="3"/>
      <c r="G16" s="3"/>
      <c r="H16" s="88"/>
      <c r="I16" s="88"/>
    </row>
    <row r="17" spans="2:9" ht="15.5">
      <c r="B17" s="85"/>
      <c r="C17" s="3"/>
      <c r="D17" s="3"/>
      <c r="E17" s="3"/>
      <c r="F17" s="3"/>
      <c r="G17" s="3"/>
      <c r="H17" s="88"/>
      <c r="I17" s="88"/>
    </row>
    <row r="18" spans="2:9" ht="15.5">
      <c r="B18" s="85"/>
      <c r="C18" s="3"/>
      <c r="D18" s="3"/>
      <c r="E18" s="3"/>
      <c r="F18" s="3"/>
      <c r="G18" s="3"/>
      <c r="H18" s="88"/>
      <c r="I18" s="88"/>
    </row>
    <row r="19" spans="2:9" ht="15.5">
      <c r="B19" s="85"/>
      <c r="C19" s="3"/>
      <c r="D19" s="3"/>
      <c r="E19" s="3"/>
      <c r="F19" s="3"/>
      <c r="G19" s="3"/>
      <c r="H19" s="88"/>
      <c r="I19" s="88"/>
    </row>
    <row r="20" spans="2:9" ht="15.5">
      <c r="B20" s="85"/>
      <c r="C20" s="3"/>
      <c r="D20" s="3"/>
      <c r="E20" s="3"/>
      <c r="F20" s="3"/>
      <c r="G20" s="3"/>
      <c r="H20" s="88"/>
      <c r="I20" s="88"/>
    </row>
    <row r="21" spans="2:9" ht="15.5">
      <c r="B21" s="85"/>
      <c r="C21" s="3"/>
      <c r="D21" s="3"/>
      <c r="E21" s="3"/>
      <c r="F21" s="3"/>
      <c r="G21" s="3"/>
      <c r="H21" s="88"/>
      <c r="I21" s="88"/>
    </row>
    <row r="22" spans="2:9" ht="15.5">
      <c r="B22" s="85"/>
      <c r="C22" s="3"/>
      <c r="D22" s="3"/>
      <c r="E22" s="3"/>
      <c r="F22" s="3"/>
      <c r="G22" s="3"/>
      <c r="H22" s="88"/>
      <c r="I22" s="88"/>
    </row>
    <row r="23" spans="2:9" ht="15.5">
      <c r="B23" s="85"/>
      <c r="C23" s="3"/>
      <c r="D23" s="3"/>
      <c r="E23" s="3"/>
      <c r="F23" s="3"/>
      <c r="G23" s="3"/>
      <c r="H23" s="88"/>
      <c r="I23" s="88"/>
    </row>
    <row r="24" spans="2:9" ht="15.5">
      <c r="B24" s="85"/>
      <c r="C24" s="3"/>
      <c r="D24" s="3"/>
      <c r="E24" s="3"/>
      <c r="F24" s="3"/>
      <c r="G24" s="3"/>
      <c r="H24" s="88"/>
      <c r="I24" s="88"/>
    </row>
    <row r="25" spans="2:9" ht="15.5">
      <c r="B25" s="85"/>
      <c r="C25" s="3"/>
      <c r="D25" s="3"/>
      <c r="E25" s="3"/>
      <c r="F25" s="3"/>
      <c r="G25" s="3"/>
      <c r="H25" s="88"/>
      <c r="I25" s="88"/>
    </row>
    <row r="26" spans="2:9" ht="15.5">
      <c r="B26" s="85"/>
      <c r="C26" s="3"/>
      <c r="D26" s="3"/>
      <c r="E26" s="3"/>
      <c r="F26" s="3"/>
      <c r="G26" s="3"/>
      <c r="H26" s="88"/>
      <c r="I26" s="88"/>
    </row>
    <row r="27" spans="2:9" ht="30" customHeight="1">
      <c r="B27" s="85"/>
      <c r="C27" s="222" t="s">
        <v>833</v>
      </c>
      <c r="D27" s="222" t="s">
        <v>834</v>
      </c>
      <c r="E27" s="222" t="s">
        <v>835</v>
      </c>
      <c r="F27" s="222" t="s">
        <v>431</v>
      </c>
      <c r="G27" s="222" t="s">
        <v>836</v>
      </c>
      <c r="H27" s="223" t="s">
        <v>837</v>
      </c>
      <c r="I27" s="100"/>
    </row>
    <row r="28" spans="2:9" s="106" customFormat="1" ht="31.5" customHeight="1">
      <c r="B28" s="103"/>
      <c r="C28" s="3296">
        <v>1</v>
      </c>
      <c r="D28" s="104" t="s">
        <v>838</v>
      </c>
      <c r="E28" s="2972" t="s">
        <v>839</v>
      </c>
      <c r="F28" s="113" t="s">
        <v>840</v>
      </c>
      <c r="G28" s="224" t="s">
        <v>841</v>
      </c>
      <c r="H28" s="114" t="s">
        <v>842</v>
      </c>
      <c r="I28" s="105"/>
    </row>
    <row r="29" spans="2:9" s="106" customFormat="1" ht="31.5" customHeight="1">
      <c r="B29" s="103"/>
      <c r="C29" s="3296">
        <f>C28+1</f>
        <v>2</v>
      </c>
      <c r="D29" s="104" t="s">
        <v>838</v>
      </c>
      <c r="E29" s="2972" t="s">
        <v>843</v>
      </c>
      <c r="F29" s="112" t="s">
        <v>840</v>
      </c>
      <c r="G29" s="224" t="s">
        <v>841</v>
      </c>
      <c r="H29" s="114" t="s">
        <v>844</v>
      </c>
      <c r="I29" s="105"/>
    </row>
    <row r="30" spans="2:9" s="106" customFormat="1" ht="31.5" customHeight="1">
      <c r="B30" s="103"/>
      <c r="C30" s="104">
        <f t="shared" si="0" ref="C30:C48">C29+1</f>
        <v>3</v>
      </c>
      <c r="D30" s="104" t="s">
        <v>838</v>
      </c>
      <c r="E30" s="2972" t="s">
        <v>845</v>
      </c>
      <c r="F30" s="112" t="s">
        <v>840</v>
      </c>
      <c r="G30" s="224" t="s">
        <v>841</v>
      </c>
      <c r="H30" s="114" t="s">
        <v>846</v>
      </c>
      <c r="I30" s="105"/>
    </row>
    <row r="31" spans="2:9" s="106" customFormat="1" ht="31.5" customHeight="1">
      <c r="B31" s="103"/>
      <c r="C31" s="104">
        <f t="shared" si="0"/>
        <v>4</v>
      </c>
      <c r="D31" s="104" t="s">
        <v>838</v>
      </c>
      <c r="E31" s="2972" t="s">
        <v>847</v>
      </c>
      <c r="F31" s="112" t="s">
        <v>840</v>
      </c>
      <c r="G31" s="224" t="s">
        <v>841</v>
      </c>
      <c r="H31" s="114" t="s">
        <v>848</v>
      </c>
      <c r="I31" s="105"/>
    </row>
    <row r="32" spans="2:9" s="106" customFormat="1" ht="31.5" customHeight="1">
      <c r="B32" s="103"/>
      <c r="C32" s="104">
        <f t="shared" si="0"/>
        <v>5</v>
      </c>
      <c r="D32" s="104" t="s">
        <v>838</v>
      </c>
      <c r="E32" s="2972" t="s">
        <v>849</v>
      </c>
      <c r="F32" s="112" t="s">
        <v>840</v>
      </c>
      <c r="G32" s="224" t="s">
        <v>841</v>
      </c>
      <c r="H32" s="114" t="s">
        <v>850</v>
      </c>
      <c r="I32" s="105"/>
    </row>
    <row r="33" spans="2:9" s="106" customFormat="1" ht="31.5" customHeight="1">
      <c r="B33" s="103"/>
      <c r="C33" s="104">
        <f t="shared" si="0"/>
        <v>6</v>
      </c>
      <c r="D33" s="104" t="s">
        <v>838</v>
      </c>
      <c r="E33" s="2972" t="s">
        <v>851</v>
      </c>
      <c r="F33" s="102" t="s">
        <v>840</v>
      </c>
      <c r="G33" s="224" t="s">
        <v>841</v>
      </c>
      <c r="H33" s="114" t="s">
        <v>852</v>
      </c>
      <c r="I33" s="105"/>
    </row>
    <row r="34" spans="2:9" s="106" customFormat="1" ht="31.5" customHeight="1">
      <c r="B34" s="103"/>
      <c r="C34" s="104">
        <f t="shared" si="0"/>
        <v>7</v>
      </c>
      <c r="D34" s="104" t="s">
        <v>853</v>
      </c>
      <c r="E34" s="2972" t="s">
        <v>854</v>
      </c>
      <c r="F34" s="112" t="s">
        <v>840</v>
      </c>
      <c r="G34" s="224" t="s">
        <v>841</v>
      </c>
      <c r="H34" s="114" t="s">
        <v>855</v>
      </c>
      <c r="I34" s="105"/>
    </row>
    <row r="35" spans="2:9" s="106" customFormat="1" ht="31.5" customHeight="1">
      <c r="B35" s="103"/>
      <c r="C35" s="104">
        <f t="shared" si="0"/>
        <v>8</v>
      </c>
      <c r="D35" s="104" t="s">
        <v>853</v>
      </c>
      <c r="E35" s="2972" t="s">
        <v>856</v>
      </c>
      <c r="F35" s="112" t="s">
        <v>840</v>
      </c>
      <c r="G35" s="224" t="s">
        <v>841</v>
      </c>
      <c r="H35" s="114" t="s">
        <v>857</v>
      </c>
      <c r="I35" s="105"/>
    </row>
    <row r="36" spans="2:9" s="106" customFormat="1" ht="31.5" customHeight="1">
      <c r="B36" s="103"/>
      <c r="C36" s="104">
        <f t="shared" si="0"/>
        <v>9</v>
      </c>
      <c r="D36" s="104" t="s">
        <v>858</v>
      </c>
      <c r="E36" s="2972" t="s">
        <v>859</v>
      </c>
      <c r="F36" s="112" t="s">
        <v>840</v>
      </c>
      <c r="G36" s="224" t="s">
        <v>841</v>
      </c>
      <c r="H36" s="114" t="s">
        <v>859</v>
      </c>
      <c r="I36" s="105"/>
    </row>
    <row r="37" spans="2:9" s="106" customFormat="1" ht="31.5" customHeight="1">
      <c r="B37" s="103"/>
      <c r="C37" s="104">
        <f t="shared" si="0"/>
        <v>10</v>
      </c>
      <c r="D37" s="104" t="s">
        <v>858</v>
      </c>
      <c r="E37" s="2972" t="s">
        <v>860</v>
      </c>
      <c r="F37" s="112" t="s">
        <v>840</v>
      </c>
      <c r="G37" s="224" t="s">
        <v>841</v>
      </c>
      <c r="H37" s="114" t="s">
        <v>861</v>
      </c>
      <c r="I37" s="105"/>
    </row>
    <row r="38" spans="2:9" s="106" customFormat="1" ht="31.5" customHeight="1">
      <c r="B38" s="103"/>
      <c r="C38" s="104">
        <f t="shared" si="0"/>
        <v>11</v>
      </c>
      <c r="D38" s="104" t="s">
        <v>858</v>
      </c>
      <c r="E38" s="2972" t="s">
        <v>862</v>
      </c>
      <c r="F38" s="112" t="s">
        <v>840</v>
      </c>
      <c r="G38" s="224" t="s">
        <v>841</v>
      </c>
      <c r="H38" s="114" t="s">
        <v>863</v>
      </c>
      <c r="I38" s="105"/>
    </row>
    <row r="39" spans="2:9" s="106" customFormat="1" ht="31.5" customHeight="1">
      <c r="B39" s="103"/>
      <c r="C39" s="104">
        <f t="shared" si="0"/>
        <v>12</v>
      </c>
      <c r="D39" s="104" t="s">
        <v>864</v>
      </c>
      <c r="E39" s="2972" t="s">
        <v>865</v>
      </c>
      <c r="F39" s="224" t="s">
        <v>840</v>
      </c>
      <c r="G39" s="224" t="s">
        <v>841</v>
      </c>
      <c r="H39" s="114" t="s">
        <v>866</v>
      </c>
      <c r="I39" s="105"/>
    </row>
    <row r="40" spans="2:9" s="106" customFormat="1" ht="31.5" customHeight="1">
      <c r="B40" s="103"/>
      <c r="C40" s="104">
        <f t="shared" si="0"/>
        <v>13</v>
      </c>
      <c r="D40" s="104" t="s">
        <v>864</v>
      </c>
      <c r="E40" s="2972" t="s">
        <v>867</v>
      </c>
      <c r="F40" s="112" t="s">
        <v>840</v>
      </c>
      <c r="G40" s="508" t="s">
        <v>868</v>
      </c>
      <c r="H40" s="114" t="s">
        <v>869</v>
      </c>
      <c r="I40" s="105"/>
    </row>
    <row r="41" spans="2:9" s="106" customFormat="1" ht="31.5" customHeight="1">
      <c r="B41" s="103"/>
      <c r="C41" s="104">
        <f t="shared" si="0"/>
        <v>14</v>
      </c>
      <c r="D41" s="104" t="s">
        <v>2001</v>
      </c>
      <c r="E41" s="2973" t="s">
        <v>2000</v>
      </c>
      <c r="F41" s="112" t="s">
        <v>840</v>
      </c>
      <c r="G41" s="508" t="s">
        <v>868</v>
      </c>
      <c r="H41" s="112" t="s">
        <v>2003</v>
      </c>
      <c r="I41" s="105"/>
    </row>
    <row r="42" spans="2:9" s="106" customFormat="1" ht="31.5" customHeight="1">
      <c r="B42" s="103"/>
      <c r="C42" s="104">
        <f t="shared" si="0"/>
        <v>15</v>
      </c>
      <c r="D42" s="104" t="s">
        <v>2001</v>
      </c>
      <c r="E42" s="2973" t="s">
        <v>2002</v>
      </c>
      <c r="F42" s="112" t="s">
        <v>840</v>
      </c>
      <c r="G42" s="508" t="s">
        <v>868</v>
      </c>
      <c r="H42" s="112" t="s">
        <v>2004</v>
      </c>
      <c r="I42" s="105"/>
    </row>
    <row r="43" spans="2:9" s="106" customFormat="1" ht="31.5" customHeight="1">
      <c r="B43" s="103"/>
      <c r="C43" s="104">
        <f t="shared" si="0"/>
        <v>16</v>
      </c>
      <c r="D43" s="104" t="s">
        <v>870</v>
      </c>
      <c r="E43" s="2972" t="s">
        <v>871</v>
      </c>
      <c r="F43" s="112" t="s">
        <v>872</v>
      </c>
      <c r="G43" s="112" t="s">
        <v>868</v>
      </c>
      <c r="H43" s="114" t="s">
        <v>873</v>
      </c>
      <c r="I43" s="105"/>
    </row>
    <row r="44" spans="2:9" s="106" customFormat="1" ht="31.5" customHeight="1">
      <c r="B44" s="103"/>
      <c r="C44" s="104">
        <f t="shared" si="0"/>
        <v>17</v>
      </c>
      <c r="D44" s="104" t="s">
        <v>874</v>
      </c>
      <c r="E44" s="2972" t="s">
        <v>875</v>
      </c>
      <c r="F44" s="102" t="s">
        <v>872</v>
      </c>
      <c r="G44" s="112" t="s">
        <v>868</v>
      </c>
      <c r="H44" s="114" t="s">
        <v>876</v>
      </c>
      <c r="I44" s="105"/>
    </row>
    <row r="45" spans="2:9" s="106" customFormat="1" ht="31.5" customHeight="1">
      <c r="B45" s="103"/>
      <c r="C45" s="104">
        <f t="shared" si="0"/>
        <v>18</v>
      </c>
      <c r="D45" s="104" t="s">
        <v>877</v>
      </c>
      <c r="E45" s="2972" t="s">
        <v>878</v>
      </c>
      <c r="F45" s="102" t="s">
        <v>879</v>
      </c>
      <c r="G45" s="224" t="s">
        <v>880</v>
      </c>
      <c r="H45" s="114" t="s">
        <v>881</v>
      </c>
      <c r="I45" s="105"/>
    </row>
    <row r="46" spans="2:9" s="106" customFormat="1" ht="31.5" customHeight="1">
      <c r="B46" s="103"/>
      <c r="C46" s="104">
        <f t="shared" si="0"/>
        <v>19</v>
      </c>
      <c r="D46" s="104" t="s">
        <v>877</v>
      </c>
      <c r="E46" s="2972" t="s">
        <v>882</v>
      </c>
      <c r="F46" s="112" t="s">
        <v>879</v>
      </c>
      <c r="G46" s="224" t="s">
        <v>880</v>
      </c>
      <c r="H46" s="114" t="s">
        <v>883</v>
      </c>
      <c r="I46" s="105"/>
    </row>
    <row r="47" spans="2:9" s="106" customFormat="1" ht="31.5" customHeight="1">
      <c r="B47" s="103"/>
      <c r="C47" s="104">
        <f t="shared" si="0"/>
        <v>20</v>
      </c>
      <c r="D47" s="104" t="s">
        <v>877</v>
      </c>
      <c r="E47" s="2974" t="s">
        <v>884</v>
      </c>
      <c r="F47" s="112" t="s">
        <v>879</v>
      </c>
      <c r="G47" s="224" t="s">
        <v>880</v>
      </c>
      <c r="H47" s="114" t="s">
        <v>885</v>
      </c>
      <c r="I47" s="105"/>
    </row>
    <row r="48" spans="2:9" s="106" customFormat="1" ht="31.5" customHeight="1">
      <c r="B48" s="103"/>
      <c r="C48" s="104">
        <f t="shared" si="0"/>
        <v>21</v>
      </c>
      <c r="D48" s="104"/>
      <c r="E48" s="2972" t="s">
        <v>886</v>
      </c>
      <c r="F48" s="224"/>
      <c r="G48" s="224"/>
      <c r="H48" s="114" t="s">
        <v>887</v>
      </c>
      <c r="I48" s="105"/>
    </row>
    <row r="49" spans="2:9" s="106" customFormat="1" ht="31.5" customHeight="1">
      <c r="B49" s="103"/>
      <c r="C49" s="3"/>
      <c r="D49" s="3"/>
      <c r="E49" s="3"/>
      <c r="F49" s="88"/>
      <c r="G49" s="88"/>
      <c r="H49" s="88"/>
      <c r="I49" s="105"/>
    </row>
    <row r="50" spans="2:9" s="106" customFormat="1" ht="31.5" customHeight="1" hidden="1" outlineLevel="1">
      <c r="B50"/>
      <c r="C50"/>
      <c r="D50"/>
      <c r="E50"/>
      <c r="F50"/>
      <c r="G50"/>
      <c r="H50"/>
      <c r="I50"/>
    </row>
    <row r="51" ht="15.5" hidden="1" outlineLevel="1"/>
    <row r="52" ht="21" customHeight="1" hidden="1" outlineLevel="1"/>
    <row r="53" ht="21" customHeight="1" hidden="1" outlineLevel="1"/>
    <row r="54" ht="21" customHeight="1" hidden="1" outlineLevel="1"/>
    <row r="55" ht="21" customHeight="1" hidden="1" outlineLevel="1"/>
    <row r="56" ht="21" customHeight="1" hidden="1" outlineLevel="1"/>
    <row r="57" ht="21" customHeight="1" hidden="1" outlineLevel="1"/>
    <row r="58" ht="21" customHeight="1" hidden="1" outlineLevel="1"/>
    <row r="59" ht="21" customHeight="1" hidden="1" outlineLevel="1"/>
    <row r="60" ht="21" customHeight="1" hidden="1" outlineLevel="1"/>
    <row r="61" ht="21" customHeight="1" hidden="1" outlineLevel="1"/>
    <row r="62" ht="21" customHeight="1" hidden="1" outlineLevel="1"/>
    <row r="63" ht="21" customHeight="1" hidden="1" outlineLevel="1"/>
    <row r="64" ht="21" customHeight="1" hidden="1" outlineLevel="1"/>
    <row r="65" ht="21" customHeight="1" hidden="1" outlineLevel="1"/>
    <row r="66" ht="15.5" hidden="1" outlineLevel="1"/>
    <row r="67" ht="15.5" hidden="1" outlineLevel="1"/>
    <row r="68" ht="15.5" hidden="1" outlineLevel="1"/>
    <row r="69" ht="15.5" hidden="1" outlineLevel="1"/>
    <row r="70" ht="15.5" hidden="1" outlineLevel="1"/>
    <row r="71" ht="15.5" hidden="1" outlineLevel="1"/>
    <row r="72" ht="15.5" hidden="1" outlineLevel="1"/>
    <row r="73" ht="15.5" hidden="1" outlineLevel="1"/>
    <row r="74" ht="15.5" hidden="1" outlineLevel="1"/>
    <row r="75" ht="15.5" hidden="1" outlineLevel="1"/>
    <row r="76" ht="15.5" hidden="1" outlineLevel="1"/>
    <row r="77" ht="15.5" hidden="1" outlineLevel="1"/>
    <row r="78" ht="15.5" hidden="1" outlineLevel="1"/>
    <row r="79" ht="15.5" hidden="1" outlineLevel="1"/>
    <row r="80" ht="15.5" hidden="1" outlineLevel="1"/>
    <row r="81" ht="15.5" hidden="1" outlineLevel="1"/>
    <row r="82" ht="15.5" hidden="1" outlineLevel="1"/>
    <row r="83" ht="15.5" hidden="1" outlineLevel="1"/>
    <row r="84" spans="3:8" ht="31" hidden="1" outlineLevel="1">
      <c r="C84" s="1608">
        <v>10</v>
      </c>
      <c r="D84" s="1609" t="s">
        <v>870</v>
      </c>
      <c r="E84" s="1610" t="s">
        <v>888</v>
      </c>
      <c r="F84" s="1611" t="s">
        <v>872</v>
      </c>
      <c r="G84" s="1612" t="s">
        <v>889</v>
      </c>
      <c r="H84" s="1613" t="s">
        <v>890</v>
      </c>
    </row>
    <row r="85" ht="15.5" hidden="1" outlineLevel="1"/>
    <row r="86" spans="3:8" ht="31" hidden="1" outlineLevel="1">
      <c r="C86" s="1608">
        <v>15</v>
      </c>
      <c r="D86" s="1614" t="s">
        <v>864</v>
      </c>
      <c r="E86" s="1610" t="s">
        <v>891</v>
      </c>
      <c r="F86" s="1610" t="s">
        <v>872</v>
      </c>
      <c r="G86" s="1612" t="s">
        <v>889</v>
      </c>
      <c r="H86" s="1613" t="s">
        <v>892</v>
      </c>
    </row>
    <row r="87" spans="3:8" ht="31" hidden="1" outlineLevel="1">
      <c r="C87" s="1608">
        <v>16</v>
      </c>
      <c r="D87" s="1609" t="s">
        <v>864</v>
      </c>
      <c r="E87" s="1610" t="s">
        <v>893</v>
      </c>
      <c r="F87" s="1610" t="s">
        <v>872</v>
      </c>
      <c r="G87" s="1612" t="s">
        <v>889</v>
      </c>
      <c r="H87" s="1613" t="s">
        <v>894</v>
      </c>
    </row>
    <row r="88" ht="15.5" hidden="1" outlineLevel="1"/>
    <row r="89" spans="3:8" ht="31" hidden="1" outlineLevel="1">
      <c r="C89" s="1608">
        <v>19</v>
      </c>
      <c r="D89" s="1614" t="s">
        <v>874</v>
      </c>
      <c r="E89" s="1610" t="s">
        <v>895</v>
      </c>
      <c r="F89" s="1610" t="s">
        <v>872</v>
      </c>
      <c r="G89" s="1612" t="s">
        <v>889</v>
      </c>
      <c r="H89" s="1613" t="s">
        <v>896</v>
      </c>
    </row>
    <row r="90" ht="15.5" collapsed="1"/>
  </sheetData>
  <sheetProtection formatColumns="0" formatRows="0" autoFilter="0" pivotTables="0"/>
  <mergeCells count="4">
    <mergeCell ref="C4:E6"/>
    <mergeCell ref="C9:E9"/>
    <mergeCell ref="B4:B6"/>
    <mergeCell ref="A4:A5"/>
  </mergeCells>
  <conditionalFormatting sqref="D29:D30 D32:D38 D46:D48 D87">
    <cfRule type="expression" priority="1" dxfId="1733">
      <formula>$D29=$D28</formula>
    </cfRule>
  </conditionalFormatting>
  <conditionalFormatting sqref="D31 D86">
    <cfRule type="expression" priority="3818" dxfId="1733">
      <formula>$D31=$D29</formula>
    </cfRule>
  </conditionalFormatting>
  <conditionalFormatting sqref="D39">
    <cfRule type="expression" priority="9316" dxfId="1733">
      <formula>$D39=$D88</formula>
    </cfRule>
  </conditionalFormatting>
  <conditionalFormatting sqref="D40">
    <cfRule type="expression" priority="9315" dxfId="1733">
      <formula>$D40=$D87</formula>
    </cfRule>
  </conditionalFormatting>
  <conditionalFormatting sqref="D43:D44">
    <cfRule type="expression" priority="-29001" dxfId="1733">
      <formula>$D43=$D39</formula>
    </cfRule>
  </conditionalFormatting>
  <conditionalFormatting sqref="D45">
    <cfRule type="expression" priority="-28998" dxfId="1733">
      <formula>$D45=$D89</formula>
    </cfRule>
  </conditionalFormatting>
  <conditionalFormatting sqref="D84">
    <cfRule type="expression" priority="-28997" dxfId="1733">
      <formula>$D84=$D43</formula>
    </cfRule>
  </conditionalFormatting>
  <conditionalFormatting sqref="D89">
    <cfRule type="expression" priority="-28996" dxfId="1733">
      <formula>$D89=$D44</formula>
    </cfRule>
  </conditionalFormatting>
  <dataValidations count="1">
    <dataValidation type="list" allowBlank="1" showInputMessage="1" showErrorMessage="1" sqref="F28:F48 F84 F86:F87 F89">
      <formula1>"Type I, Type II, Type III"</formula1>
    </dataValidation>
  </dataValidations>
  <pageMargins left="0.25" right="0.25" top="0.75" bottom="0.75" header="0.3" footer="0.3"/>
  <pageSetup fitToHeight="0" orientation="portrait" paperSize="8" r:id="rId4"/>
  <drawing r:id="rId2"/>
  <picture r:id="rId3"/>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C425C5-3352-4525-91F9-D4065C19AD03}">
  <sheetPr codeName="Sheet2">
    <tabColor rgb="FF009174"/>
  </sheetPr>
  <dimension ref="A1:S45"/>
  <sheetViews>
    <sheetView workbookViewId="0" topLeftCell="A1">
      <selection pane="topLeft" activeCell="AL211" sqref="AL211"/>
    </sheetView>
  </sheetViews>
  <sheetFormatPr defaultColWidth="0" defaultRowHeight="15.5" zeroHeight="1"/>
  <cols>
    <col min="1" max="12" width="8.88888888888889" customWidth="1"/>
    <col min="13" max="13" width="2.11111111111111" customWidth="1"/>
    <col min="14" max="14" width="46.7777777777778" customWidth="1"/>
    <col min="15" max="17" width="8.88888888888889" customWidth="1"/>
    <col min="18" max="18" width="4.55555555555556" customWidth="1"/>
    <col min="19" max="19" width="3.66666666666667" customWidth="1"/>
    <col min="20" max="16384" width="8.88888888888889" hidden="1"/>
  </cols>
  <sheetData>
    <row r="1" spans="1:19" ht="15.5">
      <c r="A1" s="2261" t="s">
        <v>1857</v>
      </c>
      <c r="B1" s="2" t="s">
        <v>1856</v>
      </c>
      <c r="C1" s="2"/>
      <c r="D1" s="2"/>
      <c r="E1" s="2"/>
      <c r="F1" s="2"/>
      <c r="G1" s="2"/>
      <c r="H1" s="2"/>
      <c r="I1" s="2"/>
      <c r="J1" s="2"/>
      <c r="K1" s="2"/>
      <c r="L1" s="2"/>
      <c r="M1" s="2"/>
      <c r="N1" s="2"/>
      <c r="O1" s="2"/>
      <c r="P1" s="2"/>
      <c r="Q1" s="2"/>
      <c r="R1" s="2"/>
      <c r="S1" s="2"/>
    </row>
    <row r="2" spans="1:19" ht="15.5">
      <c r="A2" s="2"/>
      <c r="B2" s="2"/>
      <c r="C2" s="2"/>
      <c r="D2" s="2"/>
      <c r="E2" s="2"/>
      <c r="F2" s="2"/>
      <c r="G2" s="2"/>
      <c r="H2" s="2"/>
      <c r="I2" s="2"/>
      <c r="J2" s="2"/>
      <c r="K2" s="2"/>
      <c r="L2" s="2"/>
      <c r="M2" s="2"/>
      <c r="N2" s="2"/>
      <c r="O2" s="2"/>
      <c r="P2" s="2"/>
      <c r="Q2" s="2262" t="e" vm="13">
        <f>img_cvc</f>
        <v>#VALUE!</v>
      </c>
      <c r="R2" s="2"/>
      <c r="S2" s="2"/>
    </row>
    <row r="3" spans="1:19" ht="15.5">
      <c r="A3" s="2"/>
      <c r="B3" s="2"/>
      <c r="C3" s="2"/>
      <c r="D3" s="2"/>
      <c r="E3" s="2"/>
      <c r="F3" s="2"/>
      <c r="G3" s="2"/>
      <c r="H3" s="2"/>
      <c r="I3" s="2"/>
      <c r="J3" s="2"/>
      <c r="K3" s="2"/>
      <c r="L3" s="2"/>
      <c r="M3" s="2"/>
      <c r="N3" s="2"/>
      <c r="O3" s="2"/>
      <c r="P3" s="2"/>
      <c r="Q3" s="2"/>
      <c r="R3" s="2"/>
      <c r="S3" s="2"/>
    </row>
    <row r="4" spans="1:19" ht="15.5">
      <c r="A4" s="2"/>
      <c r="B4" s="2"/>
      <c r="C4" s="2"/>
      <c r="D4" s="2"/>
      <c r="E4" s="2"/>
      <c r="F4" s="2"/>
      <c r="G4" s="2"/>
      <c r="H4" s="2"/>
      <c r="I4" s="2"/>
      <c r="J4" s="2"/>
      <c r="K4" s="2"/>
      <c r="L4" s="2"/>
      <c r="M4" s="2"/>
      <c r="N4" s="2"/>
      <c r="O4" s="2"/>
      <c r="P4" s="2"/>
      <c r="Q4" s="2"/>
      <c r="R4" s="2"/>
      <c r="S4" s="2"/>
    </row>
    <row r="5" spans="1:19" ht="15.5">
      <c r="A5" s="2"/>
      <c r="B5" s="2"/>
      <c r="C5" s="2"/>
      <c r="D5" s="2"/>
      <c r="E5" s="2"/>
      <c r="F5" s="2"/>
      <c r="G5" s="2"/>
      <c r="H5" s="2"/>
      <c r="I5" s="2"/>
      <c r="J5" s="2"/>
      <c r="K5" s="2"/>
      <c r="L5" s="2"/>
      <c r="M5" s="2"/>
      <c r="N5" s="2"/>
      <c r="O5" s="2"/>
      <c r="P5" s="2"/>
      <c r="Q5" s="2"/>
      <c r="R5" s="2"/>
      <c r="S5" s="2"/>
    </row>
    <row r="6" spans="1:19" ht="15.5">
      <c r="A6" s="2"/>
      <c r="B6" s="2"/>
      <c r="C6" s="3137" t="e" vm="14">
        <v>#VALUE!</v>
      </c>
      <c r="D6" s="3137"/>
      <c r="E6" s="3137"/>
      <c r="F6" s="3137"/>
      <c r="G6" s="3137"/>
      <c r="H6" s="3137"/>
      <c r="I6" s="3137"/>
      <c r="J6" s="2"/>
      <c r="K6" s="2"/>
      <c r="L6" s="2"/>
      <c r="M6" s="2"/>
      <c r="N6" s="2"/>
      <c r="O6" s="2"/>
      <c r="P6" s="2"/>
      <c r="Q6" s="2"/>
      <c r="R6" s="2"/>
      <c r="S6" s="2"/>
    </row>
    <row r="7" spans="1:19" ht="15.5">
      <c r="A7" s="2"/>
      <c r="B7" s="2"/>
      <c r="C7" s="3137"/>
      <c r="D7" s="3137"/>
      <c r="E7" s="3137"/>
      <c r="F7" s="3137"/>
      <c r="G7" s="3137"/>
      <c r="H7" s="3137"/>
      <c r="I7" s="3137"/>
      <c r="J7" s="2"/>
      <c r="K7" s="2"/>
      <c r="L7" s="2"/>
      <c r="M7" s="2"/>
      <c r="N7" s="2"/>
      <c r="O7" s="2"/>
      <c r="P7" s="2"/>
      <c r="Q7" s="2"/>
      <c r="R7" s="2"/>
      <c r="S7" s="2"/>
    </row>
    <row r="8" spans="1:19" ht="15.5">
      <c r="A8" s="2"/>
      <c r="B8" s="2"/>
      <c r="C8" s="3137"/>
      <c r="D8" s="3137"/>
      <c r="E8" s="3137"/>
      <c r="F8" s="3137"/>
      <c r="G8" s="3137"/>
      <c r="H8" s="3137"/>
      <c r="I8" s="3137"/>
      <c r="J8" s="2"/>
      <c r="K8" s="2"/>
      <c r="L8" s="2"/>
      <c r="M8" s="2"/>
      <c r="N8" s="2"/>
      <c r="O8" s="2"/>
      <c r="P8" s="2"/>
      <c r="Q8" s="2"/>
      <c r="R8" s="2"/>
      <c r="S8" s="2"/>
    </row>
    <row r="9" spans="1:19" ht="15.5">
      <c r="A9" s="2"/>
      <c r="B9" s="2"/>
      <c r="C9" s="3137"/>
      <c r="D9" s="3137"/>
      <c r="E9" s="3137"/>
      <c r="F9" s="3137"/>
      <c r="G9" s="3137"/>
      <c r="H9" s="3137"/>
      <c r="I9" s="3137"/>
      <c r="J9" s="2"/>
      <c r="K9" s="2"/>
      <c r="L9" s="2"/>
      <c r="M9" s="2"/>
      <c r="N9" s="2"/>
      <c r="O9" s="2"/>
      <c r="P9" s="2"/>
      <c r="Q9" s="2"/>
      <c r="R9" s="2"/>
      <c r="S9" s="2"/>
    </row>
    <row r="10" spans="1:19" ht="15.5">
      <c r="A10" s="2"/>
      <c r="B10" s="2"/>
      <c r="C10" s="3137"/>
      <c r="D10" s="3137"/>
      <c r="E10" s="3137"/>
      <c r="F10" s="3137"/>
      <c r="G10" s="3137"/>
      <c r="H10" s="3137"/>
      <c r="I10" s="3137"/>
      <c r="J10" s="2"/>
      <c r="K10" s="2"/>
      <c r="L10" s="2"/>
      <c r="M10" s="2"/>
      <c r="N10" s="2"/>
      <c r="O10" s="2"/>
      <c r="P10" s="2"/>
      <c r="Q10" s="2"/>
      <c r="R10" s="2"/>
      <c r="S10" s="2"/>
    </row>
    <row r="11" spans="1:19" ht="15.5">
      <c r="A11" s="2"/>
      <c r="B11" s="2"/>
      <c r="C11" s="3137"/>
      <c r="D11" s="3137"/>
      <c r="E11" s="3137"/>
      <c r="F11" s="3137"/>
      <c r="G11" s="3137"/>
      <c r="H11" s="3137"/>
      <c r="I11" s="3137"/>
      <c r="J11" s="2"/>
      <c r="K11" s="2"/>
      <c r="L11" s="2"/>
      <c r="M11" s="2"/>
      <c r="N11" s="2"/>
      <c r="O11" s="2"/>
      <c r="P11" s="2"/>
      <c r="Q11" s="2"/>
      <c r="R11" s="2"/>
      <c r="S11" s="2"/>
    </row>
    <row r="12" spans="1:19" ht="15.5">
      <c r="A12" s="2"/>
      <c r="B12" s="2"/>
      <c r="C12" s="3137"/>
      <c r="D12" s="3137"/>
      <c r="E12" s="3137"/>
      <c r="F12" s="3137"/>
      <c r="G12" s="3137"/>
      <c r="H12" s="3137"/>
      <c r="I12" s="3137"/>
      <c r="J12" s="2"/>
      <c r="K12" s="2"/>
      <c r="L12" s="2"/>
      <c r="M12" s="2"/>
      <c r="N12" s="2"/>
      <c r="O12" s="2"/>
      <c r="P12" s="2"/>
      <c r="Q12" s="2"/>
      <c r="R12" s="2"/>
      <c r="S12" s="2"/>
    </row>
    <row r="13" spans="1:19" ht="15.5">
      <c r="A13" s="2"/>
      <c r="B13" s="2"/>
      <c r="C13" s="3137"/>
      <c r="D13" s="3137"/>
      <c r="E13" s="3137"/>
      <c r="F13" s="3137"/>
      <c r="G13" s="3137"/>
      <c r="H13" s="3137"/>
      <c r="I13" s="3137"/>
      <c r="J13" s="2"/>
      <c r="K13" s="2"/>
      <c r="L13" s="2"/>
      <c r="M13" s="2"/>
      <c r="N13" s="2"/>
      <c r="O13" s="2"/>
      <c r="P13" s="2"/>
      <c r="Q13" s="2"/>
      <c r="R13" s="2"/>
      <c r="S13" s="2"/>
    </row>
    <row r="14" spans="1:19" ht="20">
      <c r="A14" s="2"/>
      <c r="B14" s="2"/>
      <c r="C14" s="3137"/>
      <c r="D14" s="3137"/>
      <c r="E14" s="3137"/>
      <c r="F14" s="3137"/>
      <c r="G14" s="3137"/>
      <c r="H14" s="3137"/>
      <c r="I14" s="3137"/>
      <c r="J14" s="2"/>
      <c r="K14" s="2"/>
      <c r="L14" s="2" t="s">
        <v>897</v>
      </c>
      <c r="M14" s="2"/>
      <c r="N14" s="2263" t="str">
        <f>"Flash_Collection_Template_"&amp;SUBSTITUTE(val_company," ","_")&amp;"_2.0.5"</f>
        <v>Flash_Collection_Template_Therme_Horizon_2.0.5</v>
      </c>
      <c r="O14" s="2"/>
      <c r="P14" s="2"/>
      <c r="Q14" s="2"/>
      <c r="R14" s="2"/>
      <c r="S14" s="2"/>
    </row>
    <row r="15" spans="1:19" ht="15.5">
      <c r="A15" s="2"/>
      <c r="B15" s="2"/>
      <c r="C15" s="3137"/>
      <c r="D15" s="3137"/>
      <c r="E15" s="3137"/>
      <c r="F15" s="3137"/>
      <c r="G15" s="3137"/>
      <c r="H15" s="3137"/>
      <c r="I15" s="3137"/>
      <c r="J15" s="2"/>
      <c r="K15" s="2"/>
      <c r="L15" s="2"/>
      <c r="M15" s="2"/>
      <c r="N15" s="2"/>
      <c r="O15" s="2"/>
      <c r="P15" s="2"/>
      <c r="Q15" s="2"/>
      <c r="R15" s="2"/>
      <c r="S15" s="2"/>
    </row>
    <row r="16" spans="1:19" ht="15.5">
      <c r="A16" s="2"/>
      <c r="B16" s="2"/>
      <c r="C16" s="3137"/>
      <c r="D16" s="3137"/>
      <c r="E16" s="3137"/>
      <c r="F16" s="3137"/>
      <c r="G16" s="3137"/>
      <c r="H16" s="3137"/>
      <c r="I16" s="3137"/>
      <c r="J16" s="2"/>
      <c r="K16" s="2"/>
      <c r="L16" s="2" t="s">
        <v>898</v>
      </c>
      <c r="M16" s="2"/>
      <c r="N16" s="2264" t="s">
        <v>899</v>
      </c>
      <c r="O16" s="2"/>
      <c r="P16" s="2"/>
      <c r="Q16" s="2"/>
      <c r="R16" s="2"/>
      <c r="S16" s="2"/>
    </row>
    <row r="17" spans="1:19" ht="15.5">
      <c r="A17" s="2"/>
      <c r="B17" s="2"/>
      <c r="C17" s="3137"/>
      <c r="D17" s="3137"/>
      <c r="E17" s="3137"/>
      <c r="F17" s="3137"/>
      <c r="G17" s="3137"/>
      <c r="H17" s="3137"/>
      <c r="I17" s="3137"/>
      <c r="J17" s="2"/>
      <c r="K17" s="2"/>
      <c r="L17" s="2"/>
      <c r="M17" s="2"/>
      <c r="N17" s="2"/>
      <c r="O17" s="2"/>
      <c r="P17" s="2"/>
      <c r="Q17" s="2"/>
      <c r="R17" s="2"/>
      <c r="S17" s="2"/>
    </row>
    <row r="18" spans="1:19" ht="15.5">
      <c r="A18" s="2"/>
      <c r="B18" s="2"/>
      <c r="C18" s="3137"/>
      <c r="D18" s="3137"/>
      <c r="E18" s="3137"/>
      <c r="F18" s="3137"/>
      <c r="G18" s="3137"/>
      <c r="H18" s="3137"/>
      <c r="I18" s="3137"/>
      <c r="J18" s="2"/>
      <c r="K18" s="2"/>
      <c r="L18" s="2"/>
      <c r="M18" s="2"/>
      <c r="N18" s="2"/>
      <c r="O18" s="2"/>
      <c r="P18" s="2"/>
      <c r="Q18" s="2"/>
      <c r="R18" s="2"/>
      <c r="S18" s="2"/>
    </row>
    <row r="19" spans="1:19" ht="15.5">
      <c r="A19" s="2"/>
      <c r="B19" s="2"/>
      <c r="C19" s="3137"/>
      <c r="D19" s="3137"/>
      <c r="E19" s="3137"/>
      <c r="F19" s="3137"/>
      <c r="G19" s="3137"/>
      <c r="H19" s="3137"/>
      <c r="I19" s="3137"/>
      <c r="J19" s="2"/>
      <c r="K19" s="2"/>
      <c r="L19" s="2"/>
      <c r="M19" s="2"/>
      <c r="N19" s="2"/>
      <c r="O19" s="2"/>
      <c r="P19" s="2"/>
      <c r="Q19" s="2"/>
      <c r="R19" s="2"/>
      <c r="S19" s="2"/>
    </row>
    <row r="20" spans="1:19" ht="15.5">
      <c r="A20" s="2"/>
      <c r="B20" s="2"/>
      <c r="C20" s="3137"/>
      <c r="D20" s="3137"/>
      <c r="E20" s="3137"/>
      <c r="F20" s="3137"/>
      <c r="G20" s="3137"/>
      <c r="H20" s="3137"/>
      <c r="I20" s="3137"/>
      <c r="J20" s="2"/>
      <c r="K20" s="2"/>
      <c r="L20" s="2"/>
      <c r="M20" s="2"/>
      <c r="N20" s="2"/>
      <c r="O20" s="2"/>
      <c r="P20" s="2"/>
      <c r="Q20" s="2"/>
      <c r="R20" s="2"/>
      <c r="S20" s="2"/>
    </row>
    <row r="21" spans="1:19" ht="15.5">
      <c r="A21" s="2"/>
      <c r="B21" s="2"/>
      <c r="C21" s="3137"/>
      <c r="D21" s="3137"/>
      <c r="E21" s="3137"/>
      <c r="F21" s="3137"/>
      <c r="G21" s="3137"/>
      <c r="H21" s="3137"/>
      <c r="I21" s="3137"/>
      <c r="J21" s="2"/>
      <c r="K21" s="2"/>
      <c r="L21" s="2"/>
      <c r="M21" s="2"/>
      <c r="N21" s="2"/>
      <c r="O21" s="2"/>
      <c r="P21" s="2"/>
      <c r="Q21" s="2"/>
      <c r="R21" s="2"/>
      <c r="S21" s="2"/>
    </row>
    <row r="22" spans="1:19" ht="15.5">
      <c r="A22" s="2"/>
      <c r="B22" s="2"/>
      <c r="C22" s="3137"/>
      <c r="D22" s="3137"/>
      <c r="E22" s="3137"/>
      <c r="F22" s="3137"/>
      <c r="G22" s="3137"/>
      <c r="H22" s="3137"/>
      <c r="I22" s="3137"/>
      <c r="J22" s="2"/>
      <c r="K22" s="2"/>
      <c r="L22" s="2"/>
      <c r="M22" s="2"/>
      <c r="N22" s="2"/>
      <c r="O22" s="2"/>
      <c r="P22" s="2"/>
      <c r="Q22" s="2"/>
      <c r="R22" s="2"/>
      <c r="S22" s="2"/>
    </row>
    <row r="23" spans="1:19" ht="15.5">
      <c r="A23" s="2"/>
      <c r="B23" s="2"/>
      <c r="C23" s="3137"/>
      <c r="D23" s="3137"/>
      <c r="E23" s="3137"/>
      <c r="F23" s="3137"/>
      <c r="G23" s="3137"/>
      <c r="H23" s="3137"/>
      <c r="I23" s="3137"/>
      <c r="J23" s="2"/>
      <c r="K23" s="2"/>
      <c r="L23" s="2"/>
      <c r="M23" s="2"/>
      <c r="N23" s="2"/>
      <c r="O23" s="2"/>
      <c r="P23" s="2"/>
      <c r="Q23" s="2"/>
      <c r="R23" s="2"/>
      <c r="S23" s="2"/>
    </row>
    <row r="24" spans="1:19" ht="15.5">
      <c r="A24" s="2"/>
      <c r="B24" s="2"/>
      <c r="C24" s="3137"/>
      <c r="D24" s="3137"/>
      <c r="E24" s="3137"/>
      <c r="F24" s="3137"/>
      <c r="G24" s="3137"/>
      <c r="H24" s="3137"/>
      <c r="I24" s="3137"/>
      <c r="J24" s="2"/>
      <c r="K24" s="2"/>
      <c r="L24" s="2"/>
      <c r="M24" s="2"/>
      <c r="N24" s="2"/>
      <c r="O24" s="2"/>
      <c r="P24" s="2"/>
      <c r="Q24" s="2"/>
      <c r="R24" s="2"/>
      <c r="S24" s="2"/>
    </row>
    <row r="25" spans="1:19" ht="15.5">
      <c r="A25" s="2"/>
      <c r="B25" s="2"/>
      <c r="C25" s="3137"/>
      <c r="D25" s="3137"/>
      <c r="E25" s="3137"/>
      <c r="F25" s="3137"/>
      <c r="G25" s="3137"/>
      <c r="H25" s="3137"/>
      <c r="I25" s="3137"/>
      <c r="J25" s="2"/>
      <c r="K25" s="2"/>
      <c r="L25" s="2"/>
      <c r="M25" s="2"/>
      <c r="N25" s="2"/>
      <c r="O25" s="2"/>
      <c r="P25" s="2"/>
      <c r="Q25" s="2"/>
      <c r="R25" s="2"/>
      <c r="S25" s="2"/>
    </row>
    <row r="26" spans="1:19" ht="15.5">
      <c r="A26" s="2"/>
      <c r="B26" s="2"/>
      <c r="C26" s="3137"/>
      <c r="D26" s="3137"/>
      <c r="E26" s="3137"/>
      <c r="F26" s="3137"/>
      <c r="G26" s="3137"/>
      <c r="H26" s="3137"/>
      <c r="I26" s="3137"/>
      <c r="J26" s="2"/>
      <c r="K26" s="2"/>
      <c r="L26" s="2"/>
      <c r="M26" s="2"/>
      <c r="N26" s="2"/>
      <c r="O26" s="2"/>
      <c r="P26" s="2"/>
      <c r="Q26" s="2"/>
      <c r="R26" s="2"/>
      <c r="S26" s="2"/>
    </row>
    <row r="27" spans="1:19" ht="15.5">
      <c r="A27" s="2"/>
      <c r="B27" s="2"/>
      <c r="C27" s="3137"/>
      <c r="D27" s="3137"/>
      <c r="E27" s="3137"/>
      <c r="F27" s="3137"/>
      <c r="G27" s="3137"/>
      <c r="H27" s="3137"/>
      <c r="I27" s="3137"/>
      <c r="J27" s="2"/>
      <c r="K27" s="2"/>
      <c r="L27" s="2"/>
      <c r="M27" s="2"/>
      <c r="N27" s="2"/>
      <c r="O27" s="2"/>
      <c r="P27" s="2"/>
      <c r="Q27" s="2"/>
      <c r="R27" s="2"/>
      <c r="S27" s="2"/>
    </row>
    <row r="28" spans="1:19" ht="15.5">
      <c r="A28" s="2"/>
      <c r="B28" s="2"/>
      <c r="C28" s="3137"/>
      <c r="D28" s="3137"/>
      <c r="E28" s="3137"/>
      <c r="F28" s="3137"/>
      <c r="G28" s="3137"/>
      <c r="H28" s="3137"/>
      <c r="I28" s="3137"/>
      <c r="J28" s="2"/>
      <c r="K28" s="2"/>
      <c r="L28" s="2"/>
      <c r="M28" s="2"/>
      <c r="N28" s="2"/>
      <c r="O28" s="2"/>
      <c r="P28" s="2"/>
      <c r="Q28" s="2"/>
      <c r="R28" s="2"/>
      <c r="S28" s="2"/>
    </row>
    <row r="29" spans="1:19" ht="15.5">
      <c r="A29" s="2"/>
      <c r="B29" s="2"/>
      <c r="C29" s="3137"/>
      <c r="D29" s="3137"/>
      <c r="E29" s="3137"/>
      <c r="F29" s="3137"/>
      <c r="G29" s="3137"/>
      <c r="H29" s="3137"/>
      <c r="I29" s="3137"/>
      <c r="J29" s="2"/>
      <c r="K29" s="2"/>
      <c r="L29" s="2"/>
      <c r="M29" s="2"/>
      <c r="N29" s="2"/>
      <c r="O29" s="2"/>
      <c r="P29" s="2"/>
      <c r="Q29" s="2"/>
      <c r="R29" s="2"/>
      <c r="S29" s="2"/>
    </row>
    <row r="30" spans="1:19" ht="15.5">
      <c r="A30" s="2"/>
      <c r="B30" s="2"/>
      <c r="C30" s="3137"/>
      <c r="D30" s="3137"/>
      <c r="E30" s="3137"/>
      <c r="F30" s="3137"/>
      <c r="G30" s="3137"/>
      <c r="H30" s="3137"/>
      <c r="I30" s="3137"/>
      <c r="J30" s="2"/>
      <c r="K30" s="2"/>
      <c r="L30" s="2"/>
      <c r="M30" s="2"/>
      <c r="N30" s="2"/>
      <c r="O30" s="2"/>
      <c r="P30" s="2"/>
      <c r="Q30" s="2"/>
      <c r="R30" s="2"/>
      <c r="S30" s="2"/>
    </row>
    <row r="31" spans="1:19" ht="15.5">
      <c r="A31" s="2"/>
      <c r="B31" s="2"/>
      <c r="C31" s="3137"/>
      <c r="D31" s="3137"/>
      <c r="E31" s="3137"/>
      <c r="F31" s="3137"/>
      <c r="G31" s="3137"/>
      <c r="H31" s="3137"/>
      <c r="I31" s="3137"/>
      <c r="J31" s="2"/>
      <c r="K31" s="2"/>
      <c r="L31" s="2"/>
      <c r="M31" s="2"/>
      <c r="N31" s="2"/>
      <c r="O31" s="2"/>
      <c r="P31" s="2"/>
      <c r="Q31" s="2"/>
      <c r="R31" s="2"/>
      <c r="S31" s="2"/>
    </row>
    <row r="32" spans="1:19" ht="15.5">
      <c r="A32" s="2"/>
      <c r="B32" s="2"/>
      <c r="C32" s="3137"/>
      <c r="D32" s="3137"/>
      <c r="E32" s="3137"/>
      <c r="F32" s="3137"/>
      <c r="G32" s="3137"/>
      <c r="H32" s="3137"/>
      <c r="I32" s="3137"/>
      <c r="J32" s="2"/>
      <c r="K32" s="2"/>
      <c r="L32" s="2"/>
      <c r="M32" s="2"/>
      <c r="N32" s="2"/>
      <c r="O32" s="2"/>
      <c r="P32" s="2"/>
      <c r="Q32" s="2"/>
      <c r="R32" s="2"/>
      <c r="S32" s="2"/>
    </row>
    <row r="33" spans="1:19" ht="15.5">
      <c r="A33" s="2"/>
      <c r="B33" s="2"/>
      <c r="C33" s="3137"/>
      <c r="D33" s="3137"/>
      <c r="E33" s="3137"/>
      <c r="F33" s="3137"/>
      <c r="G33" s="3137"/>
      <c r="H33" s="3137"/>
      <c r="I33" s="3137"/>
      <c r="J33" s="2"/>
      <c r="K33" s="2"/>
      <c r="L33" s="2"/>
      <c r="M33" s="2"/>
      <c r="N33" s="2"/>
      <c r="O33" s="2"/>
      <c r="P33" s="2"/>
      <c r="Q33" s="2"/>
      <c r="R33" s="2"/>
      <c r="S33" s="2"/>
    </row>
    <row r="34" spans="1:19" ht="15.5">
      <c r="A34" s="2"/>
      <c r="B34" s="2"/>
      <c r="C34" s="3137"/>
      <c r="D34" s="3137"/>
      <c r="E34" s="3137"/>
      <c r="F34" s="3137"/>
      <c r="G34" s="3137"/>
      <c r="H34" s="3137"/>
      <c r="I34" s="3137"/>
      <c r="J34" s="2"/>
      <c r="K34" s="2"/>
      <c r="L34" s="2"/>
      <c r="M34" s="2"/>
      <c r="N34" s="2"/>
      <c r="O34" s="2"/>
      <c r="P34" s="2"/>
      <c r="Q34" s="2"/>
      <c r="R34" s="2"/>
      <c r="S34" s="2"/>
    </row>
    <row r="35" spans="1:19" ht="15.5">
      <c r="A35" s="2"/>
      <c r="B35" s="2"/>
      <c r="C35" s="3137"/>
      <c r="D35" s="3137"/>
      <c r="E35" s="3137"/>
      <c r="F35" s="3137"/>
      <c r="G35" s="3137"/>
      <c r="H35" s="3137"/>
      <c r="I35" s="3137"/>
      <c r="J35" s="2"/>
      <c r="K35" s="2"/>
      <c r="L35" s="2"/>
      <c r="M35" s="2"/>
      <c r="N35" s="2"/>
      <c r="O35" s="2"/>
      <c r="P35" s="2"/>
      <c r="Q35" s="2"/>
      <c r="R35" s="2"/>
      <c r="S35" s="2"/>
    </row>
    <row r="36" spans="1:19" ht="15.5">
      <c r="A36" s="2"/>
      <c r="B36" s="2"/>
      <c r="C36" s="3137"/>
      <c r="D36" s="3137"/>
      <c r="E36" s="3137"/>
      <c r="F36" s="3137"/>
      <c r="G36" s="3137"/>
      <c r="H36" s="3137"/>
      <c r="I36" s="3137"/>
      <c r="J36" s="2"/>
      <c r="K36" s="2"/>
      <c r="L36" s="2"/>
      <c r="M36" s="2"/>
      <c r="N36" s="2"/>
      <c r="O36" s="2"/>
      <c r="P36" s="2"/>
      <c r="Q36" s="2"/>
      <c r="R36" s="2"/>
      <c r="S36" s="2"/>
    </row>
    <row r="37" spans="1:19" ht="15.5">
      <c r="A37" s="2"/>
      <c r="B37" s="2"/>
      <c r="C37" s="2"/>
      <c r="D37" s="2"/>
      <c r="E37" s="2"/>
      <c r="F37" s="2"/>
      <c r="G37" s="2"/>
      <c r="H37" s="2"/>
      <c r="I37" s="2"/>
      <c r="J37" s="2"/>
      <c r="K37" s="2"/>
      <c r="L37" s="2"/>
      <c r="M37" s="2"/>
      <c r="N37" s="2"/>
      <c r="O37" s="2"/>
      <c r="P37" s="2"/>
      <c r="Q37" s="2"/>
      <c r="R37" s="2"/>
      <c r="S37" s="2"/>
    </row>
    <row r="38" spans="1:19" ht="15.5">
      <c r="A38" s="2"/>
      <c r="B38" s="2"/>
      <c r="C38" s="2"/>
      <c r="D38" s="2"/>
      <c r="E38" s="2"/>
      <c r="F38" s="2"/>
      <c r="G38" s="2"/>
      <c r="H38" s="2"/>
      <c r="I38" s="2"/>
      <c r="J38" s="2"/>
      <c r="K38" s="2"/>
      <c r="L38" s="2"/>
      <c r="M38" s="2"/>
      <c r="N38" s="2"/>
      <c r="O38" s="2"/>
      <c r="P38" s="2"/>
      <c r="Q38" s="2"/>
      <c r="R38" s="2"/>
      <c r="S38" s="2"/>
    </row>
    <row r="39" spans="1:19" ht="15.5">
      <c r="A39" s="2"/>
      <c r="B39" s="2"/>
      <c r="C39" s="2"/>
      <c r="D39" s="2"/>
      <c r="E39" s="2"/>
      <c r="F39" s="2"/>
      <c r="G39" s="2"/>
      <c r="H39" s="2"/>
      <c r="I39" s="2"/>
      <c r="J39" s="2"/>
      <c r="K39" s="2"/>
      <c r="L39" s="2"/>
      <c r="M39" s="2"/>
      <c r="N39" s="2"/>
      <c r="O39" s="2"/>
      <c r="P39" s="2"/>
      <c r="Q39" s="2"/>
      <c r="R39" s="2"/>
      <c r="S39" s="2"/>
    </row>
    <row r="40" spans="1:19" ht="15.5">
      <c r="A40" s="2"/>
      <c r="B40" s="2"/>
      <c r="C40" s="2"/>
      <c r="D40" s="2"/>
      <c r="E40" s="2"/>
      <c r="F40" s="2"/>
      <c r="G40" s="2"/>
      <c r="H40" s="2"/>
      <c r="I40" s="2"/>
      <c r="J40" s="2"/>
      <c r="K40" s="2"/>
      <c r="L40" s="2"/>
      <c r="M40" s="2"/>
      <c r="N40" s="2"/>
      <c r="O40" s="2"/>
      <c r="P40" s="2"/>
      <c r="Q40" s="2"/>
      <c r="R40" s="2"/>
      <c r="S40" s="2"/>
    </row>
    <row r="41" spans="1:19" ht="15.5">
      <c r="A41" s="2"/>
      <c r="B41" s="2"/>
      <c r="C41" s="2"/>
      <c r="D41" s="2"/>
      <c r="E41" s="2"/>
      <c r="F41" s="2"/>
      <c r="G41" s="2"/>
      <c r="H41" s="2"/>
      <c r="I41" s="2"/>
      <c r="J41" s="2"/>
      <c r="K41" s="2"/>
      <c r="L41" s="2"/>
      <c r="M41" s="2"/>
      <c r="N41" s="2"/>
      <c r="O41" s="2"/>
      <c r="P41" s="2"/>
      <c r="Q41" s="2"/>
      <c r="R41" s="2"/>
      <c r="S41" s="2"/>
    </row>
    <row r="42" spans="1:19" ht="15.5">
      <c r="A42" s="2"/>
      <c r="B42" s="2"/>
      <c r="C42" s="2"/>
      <c r="D42" s="2"/>
      <c r="E42" s="2"/>
      <c r="F42" s="2"/>
      <c r="G42" s="2"/>
      <c r="H42" s="2"/>
      <c r="I42" s="2"/>
      <c r="J42" s="2"/>
      <c r="K42" s="2"/>
      <c r="L42" s="2"/>
      <c r="M42" s="2"/>
      <c r="N42" s="2"/>
      <c r="O42" s="2"/>
      <c r="P42" s="2"/>
      <c r="Q42" s="2"/>
      <c r="R42" s="2"/>
      <c r="S42" s="2"/>
    </row>
    <row r="43" spans="1:19" ht="15.5">
      <c r="A43" s="2"/>
      <c r="B43" s="2"/>
      <c r="C43" s="2"/>
      <c r="D43" s="2"/>
      <c r="E43" s="2"/>
      <c r="F43" s="2"/>
      <c r="G43" s="2"/>
      <c r="H43" s="2"/>
      <c r="I43" s="2"/>
      <c r="J43" s="2"/>
      <c r="K43" s="2"/>
      <c r="L43" s="2"/>
      <c r="M43" s="2"/>
      <c r="N43" s="2"/>
      <c r="O43" s="2"/>
      <c r="P43" s="2"/>
      <c r="Q43" s="2"/>
      <c r="R43" s="2"/>
      <c r="S43" s="2"/>
    </row>
    <row r="44" spans="1:19" ht="15.5">
      <c r="A44" s="2"/>
      <c r="B44" s="2"/>
      <c r="C44" s="2"/>
      <c r="D44" s="2"/>
      <c r="E44" s="2"/>
      <c r="F44" s="2"/>
      <c r="G44" s="2"/>
      <c r="H44" s="2"/>
      <c r="I44" s="2"/>
      <c r="J44" s="3138" t="str">
        <f>"© CVC "&amp;YEAR(val_asOfDate)</f>
        <v>© CVC 2025</v>
      </c>
      <c r="K44" s="3138"/>
      <c r="L44" s="2"/>
      <c r="M44" s="2"/>
      <c r="N44" s="2"/>
      <c r="O44" s="2"/>
      <c r="P44" s="2"/>
      <c r="Q44" s="2"/>
      <c r="R44" s="2"/>
      <c r="S44" s="2"/>
    </row>
    <row r="45" spans="1:19" ht="15.5">
      <c r="A45" s="2"/>
      <c r="B45" s="2"/>
      <c r="C45" s="2"/>
      <c r="D45" s="2"/>
      <c r="E45" s="2"/>
      <c r="F45" s="2"/>
      <c r="G45" s="2"/>
      <c r="H45" s="2"/>
      <c r="I45" s="2"/>
      <c r="J45" s="2"/>
      <c r="K45" s="2"/>
      <c r="L45" s="2"/>
      <c r="M45" s="2"/>
      <c r="N45" s="2"/>
      <c r="O45" s="2"/>
      <c r="P45" s="2"/>
      <c r="Q45" s="2"/>
      <c r="R45" s="2"/>
      <c r="S45" s="2"/>
    </row>
  </sheetData>
  <sheetProtection formatColumns="0" formatRows="0" autoFilter="0" pivotTables="0"/>
  <mergeCells count="2">
    <mergeCell ref="C6:I36"/>
    <mergeCell ref="J44:K44"/>
  </mergeCells>
  <hyperlinks>
    <hyperlink ref="N16" r:id="rId1" display="https://forms.office.com/e/3H3SF4mRFH"/>
    <hyperlink ref="C8" r:id="rId2" display="https://forms.office.com/e/3H3SF4mRFH"/>
  </hyperlinks>
  <pageMargins left="0.7" right="0.7" top="0.75" bottom="0.75" header="0.3" footer="0.3"/>
  <pageSetup orientation="portrait" paperSize="9" r:id="rId4"/>
  <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6A76A1-7CC3-4F3B-8EC0-1EC37A372E66}">
  <sheetPr codeName="Sheet13">
    <tabColor rgb="FF0066FF"/>
  </sheetPr>
  <dimension ref="A1:CW63"/>
  <sheetViews>
    <sheetView zoomScale="50" zoomScaleNormal="50" workbookViewId="0" topLeftCell="AS57">
      <selection pane="topLeft" activeCell="AL211" sqref="AL211"/>
    </sheetView>
  </sheetViews>
  <sheetFormatPr defaultColWidth="8.84777777777778" defaultRowHeight="15.5" outlineLevelRow="1" outlineLevelCol="2"/>
  <cols>
    <col min="1" max="1" width="8.44444444444444" customWidth="1" outlineLevel="1"/>
    <col min="2" max="4" width="42.3333333333333" customWidth="1" outlineLevel="1"/>
    <col min="5" max="5" width="31.7777777777778" customWidth="1" outlineLevel="1"/>
    <col min="6" max="6" width="27.1111111111111" customWidth="1" outlineLevel="1"/>
    <col min="7" max="7" width="30.1111111111111" customWidth="1" outlineLevel="1"/>
    <col min="8" max="9" width="7.11111111111111" customWidth="1" outlineLevel="1"/>
    <col min="10" max="10" width="14.7777777777778" customWidth="1" outlineLevel="1"/>
    <col min="11" max="12" width="7.11111111111111" customWidth="1" outlineLevel="1"/>
    <col min="13" max="15" width="1.44444444444444" customWidth="1"/>
    <col min="16" max="17" width="2.66666666666667" customWidth="1"/>
    <col min="18" max="18" width="1.44444444444444" customWidth="1"/>
    <col min="19" max="19" width="41.8888888888889" hidden="1" customWidth="1" outlineLevel="1"/>
    <col min="20" max="20" width="65.8888888888889" hidden="1" customWidth="1" outlineLevel="1"/>
    <col min="21" max="21" width="1.44444444444444" hidden="1" customWidth="1" outlineLevel="1"/>
    <col min="22" max="22" width="1.44444444444444" customWidth="1" collapsed="1"/>
    <col min="23" max="23" width="11.3333333333333" customWidth="1"/>
    <col min="24" max="24" width="4.22222222222222" customWidth="1"/>
    <col min="25" max="25" width="44.6666666666667" customWidth="1"/>
    <col min="26" max="26" width="4.22222222222222" customWidth="1"/>
    <col min="27" max="27" width="4.55555555555556" customWidth="1"/>
    <col min="28" max="28" width="44.6666666666667" customWidth="1" outlineLevel="1"/>
    <col min="29" max="29" width="4.55555555555556" customWidth="1"/>
    <col min="30" max="53" width="17.8888888888889" customWidth="1" outlineLevel="2"/>
    <col min="54" max="54" width="17.8888888888889" customWidth="1"/>
    <col min="55" max="63" width="17.8888888888889" customWidth="1" outlineLevel="1"/>
    <col min="64" max="66" width="17.8888888888889" customWidth="1"/>
    <col min="67" max="78" width="17.8888888888889" hidden="1" customWidth="1"/>
    <col min="79" max="81" width="1.44444444444444" customWidth="1"/>
    <col min="82" max="83" width="17.8888888888889" customWidth="1"/>
    <col min="84" max="84" width="1.44444444444444" customWidth="1"/>
    <col min="85" max="86" width="17.8888888888889" customWidth="1"/>
    <col min="87" max="87" width="1.44444444444444" customWidth="1"/>
    <col min="88" max="89" width="17.8888888888889" customWidth="1"/>
    <col min="90" max="90" width="1.44444444444444" customWidth="1"/>
    <col min="91" max="92" width="17.8888888888889" customWidth="1"/>
    <col min="93" max="93" width="1.44444444444444" customWidth="1"/>
    <col min="94" max="95" width="17.8888888888889" customWidth="1"/>
    <col min="96" max="96" width="1.44444444444444" customWidth="1"/>
    <col min="97" max="99" width="1.66666666666667" customWidth="1"/>
    <col min="100" max="101" width="22.3333333333333" customWidth="1"/>
    <col min="103" max="103" width="14.4444444444444" bestFit="1" customWidth="1"/>
    <col min="107" max="107" width="12.3333333333333" customWidth="1"/>
  </cols>
  <sheetData>
    <row r="1" spans="1:29 87:101" ht="15.5">
      <c r="A1" s="31" t="s">
        <v>1857</v>
      </c>
      <c r="G1" s="37"/>
      <c r="H1" s="37"/>
      <c r="I1" s="587"/>
      <c r="J1" s="37"/>
      <c r="K1" s="37"/>
      <c r="L1" s="37"/>
      <c r="N1" s="115"/>
      <c r="W1" s="37"/>
      <c r="X1" s="37"/>
      <c r="Z1" s="1683"/>
      <c r="AC1" s="37"/>
      <c r="CI1" s="108"/>
      <c r="CR1" s="4"/>
      <c r="CS1" s="4"/>
      <c r="CW1" s="4"/>
    </row>
    <row r="2" spans="1:29 87:101" ht="15.5">
      <c r="A2" s="31"/>
      <c r="G2" s="37"/>
      <c r="H2" s="37"/>
      <c r="I2" s="587"/>
      <c r="J2" s="37"/>
      <c r="K2" s="37"/>
      <c r="L2" s="37"/>
      <c r="N2" s="115"/>
      <c r="W2" s="37"/>
      <c r="X2" s="37"/>
      <c r="Z2" s="1683"/>
      <c r="AC2" s="37"/>
      <c r="CI2" s="108"/>
      <c r="CR2" s="4"/>
      <c r="CS2" s="4"/>
      <c r="CW2" s="4"/>
    </row>
    <row r="3" spans="1:101" ht="25">
      <c r="A3" s="31"/>
      <c r="G3" s="37"/>
      <c r="H3" s="37"/>
      <c r="I3" s="587"/>
      <c r="J3" s="37"/>
      <c r="K3" s="37"/>
      <c r="L3" s="37"/>
      <c r="N3" s="158"/>
      <c r="O3" s="101"/>
      <c r="P3" s="15"/>
      <c r="Q3" s="15"/>
      <c r="R3" s="15"/>
      <c r="S3" s="15"/>
      <c r="T3" s="152"/>
      <c r="U3" s="38"/>
      <c r="W3" s="142"/>
      <c r="X3" s="144"/>
      <c r="Y3" s="143"/>
      <c r="Z3" s="843"/>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38"/>
      <c r="CR3" s="4"/>
      <c r="CS3" s="4"/>
      <c r="CW3" s="4"/>
    </row>
    <row r="4" spans="1:101" ht="25">
      <c r="A4" s="31"/>
      <c r="E4" s="147"/>
      <c r="G4" s="37"/>
      <c r="H4" s="37"/>
      <c r="I4" s="587"/>
      <c r="J4" s="37"/>
      <c r="K4" s="37"/>
      <c r="L4" s="37"/>
      <c r="N4" s="158"/>
      <c r="O4" s="3008" t="e" vm="2" cm="1">
        <f t="array" ref="O4">IF(LEFT($A$1,3)="unp",icon_unlock,icon_lock)</f>
        <v>#VALUE!</v>
      </c>
      <c r="P4" s="3008"/>
      <c r="Q4" s="3008"/>
      <c r="R4" s="153"/>
      <c r="S4" s="153" t="e" vm="3">
        <v>#VALUE!</v>
      </c>
      <c r="T4" s="153"/>
      <c r="U4" s="39"/>
      <c r="W4" s="767"/>
      <c r="X4" s="126"/>
      <c r="Y4" s="101"/>
      <c r="Z4" s="1684"/>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39"/>
      <c r="CR4" s="4"/>
      <c r="CS4" s="4"/>
      <c r="CW4" s="4"/>
    </row>
    <row r="5" spans="1:101" ht="44.5">
      <c r="A5" s="31"/>
      <c r="G5" s="37"/>
      <c r="H5" s="37"/>
      <c r="I5" s="587"/>
      <c r="J5" s="37"/>
      <c r="K5" s="37"/>
      <c r="L5" s="37"/>
      <c r="N5" s="158"/>
      <c r="O5" s="101"/>
      <c r="P5" s="153"/>
      <c r="Q5" s="101"/>
      <c r="R5" s="153"/>
      <c r="S5" s="3005" t="s">
        <v>25</v>
      </c>
      <c r="T5" s="3005"/>
      <c r="U5" s="39"/>
      <c r="W5" s="940"/>
      <c r="X5" s="941"/>
      <c r="Y5" s="3073" t="s">
        <v>233</v>
      </c>
      <c r="Z5" s="993"/>
      <c r="AA5" s="551"/>
      <c r="AB5" s="560"/>
      <c r="AC5" s="126"/>
      <c r="AD5" s="1482" t="str">
        <f>CX_ENTITY</f>
        <v>W06f9Irq7</v>
      </c>
      <c r="AE5" s="101"/>
      <c r="AF5" s="101"/>
      <c r="AG5" s="145"/>
      <c r="AH5" s="101"/>
      <c r="AI5" s="101"/>
      <c r="AJ5" s="138"/>
      <c r="AK5" s="35" t="s">
        <v>29</v>
      </c>
      <c r="AL5" s="42" t="s">
        <v>235</v>
      </c>
      <c r="AM5" s="35" t="s">
        <v>31</v>
      </c>
      <c r="AN5" s="101"/>
      <c r="AO5" s="770"/>
      <c r="AP5" s="770"/>
      <c r="AQ5" s="770"/>
      <c r="AR5" s="770"/>
      <c r="AS5" s="770"/>
      <c r="AT5" s="770"/>
      <c r="AU5" s="770"/>
      <c r="AV5" s="770"/>
      <c r="AW5" s="770"/>
      <c r="AX5" s="770"/>
      <c r="AY5" s="770"/>
      <c r="AZ5" s="770"/>
      <c r="BA5" s="770"/>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986"/>
      <c r="CE5" s="986"/>
      <c r="CF5" s="169"/>
      <c r="CG5" s="101"/>
      <c r="CH5" s="101"/>
      <c r="CI5" s="101"/>
      <c r="CJ5" s="210"/>
      <c r="CK5" s="210"/>
      <c r="CL5" s="101"/>
      <c r="CM5" s="210"/>
      <c r="CN5" s="210"/>
      <c r="CO5" s="39"/>
      <c r="CR5" s="4"/>
      <c r="CS5" s="4"/>
      <c r="CW5" s="4"/>
    </row>
    <row r="6" spans="1:101" ht="33" customHeight="1">
      <c r="A6" s="691"/>
      <c r="B6" s="117"/>
      <c r="C6" s="117"/>
      <c r="D6" s="117"/>
      <c r="E6" s="117"/>
      <c r="F6" s="577"/>
      <c r="G6" s="117"/>
      <c r="H6" s="1297"/>
      <c r="I6" s="1297"/>
      <c r="J6" s="1298"/>
      <c r="K6" s="30"/>
      <c r="L6" s="30"/>
      <c r="N6" s="158"/>
      <c r="O6" s="101"/>
      <c r="P6" s="153"/>
      <c r="Q6" s="153"/>
      <c r="R6" s="153"/>
      <c r="S6" s="3005"/>
      <c r="T6" s="3005"/>
      <c r="U6" s="39"/>
      <c r="W6" s="942"/>
      <c r="X6" s="941"/>
      <c r="Y6" s="3073"/>
      <c r="Z6" s="993"/>
      <c r="AA6" s="551"/>
      <c r="AB6" s="560"/>
      <c r="AC6" s="126"/>
      <c r="AD6" s="733" t="str">
        <f>val_company</f>
        <v>Therme Horizon</v>
      </c>
      <c r="AE6" s="101"/>
      <c r="AF6" s="101"/>
      <c r="AG6" s="145"/>
      <c r="AH6" s="101"/>
      <c r="AI6" s="101"/>
      <c r="AJ6" s="138"/>
      <c r="AK6" s="1483" t="e" cm="1">
        <f t="array" ca="1" aca="1" ref="AK6">val_currentFYE</f>
        <v>#NAME?</v>
      </c>
      <c r="AL6" s="287" t="str">
        <f>[0]!val_displayUnit</f>
        <v>Millions</v>
      </c>
      <c r="AM6" s="1483" t="e">
        <f ca="1">val_reportingCurrency</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39"/>
      <c r="CR6" s="4"/>
      <c r="CS6" s="4"/>
      <c r="CW6" s="4"/>
    </row>
    <row r="7" spans="1:101" ht="44.5">
      <c r="A7" s="848"/>
      <c r="B7" s="1299"/>
      <c r="C7" s="1299"/>
      <c r="D7" s="1299"/>
      <c r="E7" s="1299"/>
      <c r="F7" s="577"/>
      <c r="G7" s="731"/>
      <c r="H7" s="3321">
        <v>2</v>
      </c>
      <c r="I7" s="1301"/>
      <c r="J7" s="1302"/>
      <c r="K7" s="731"/>
      <c r="L7" s="824"/>
      <c r="N7" s="158"/>
      <c r="O7" s="101"/>
      <c r="P7" s="126"/>
      <c r="Q7" s="126"/>
      <c r="R7" s="126"/>
      <c r="S7" s="101"/>
      <c r="T7" s="154"/>
      <c r="U7" s="39"/>
      <c r="W7" s="94"/>
      <c r="X7" s="123"/>
      <c r="Y7" s="264"/>
      <c r="Z7" s="993"/>
      <c r="AA7" s="264"/>
      <c r="AB7" s="264"/>
      <c r="AC7" s="123"/>
      <c r="AD7" s="264"/>
      <c r="AE7" s="264"/>
      <c r="AF7" s="101"/>
      <c r="AG7" s="101"/>
      <c r="AH7" s="101"/>
      <c r="AI7" s="101"/>
      <c r="AJ7" s="148"/>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1083" t="s">
        <v>34</v>
      </c>
      <c r="CE7" s="772"/>
      <c r="CF7" s="773"/>
      <c r="CG7" s="774"/>
      <c r="CH7" s="774"/>
      <c r="CI7" s="774"/>
      <c r="CJ7" s="775"/>
      <c r="CK7" s="776"/>
      <c r="CL7" s="101"/>
      <c r="CM7" s="1206" t="s">
        <v>35</v>
      </c>
      <c r="CN7" s="1208"/>
      <c r="CO7" s="39"/>
      <c r="CR7" s="4"/>
      <c r="CS7" s="4"/>
      <c r="CW7" s="4"/>
    </row>
    <row r="8" spans="1:101" ht="18">
      <c r="A8" s="848"/>
      <c r="B8" s="1303"/>
      <c r="C8" s="1303"/>
      <c r="D8" s="1303"/>
      <c r="E8" s="1303"/>
      <c r="F8" s="577"/>
      <c r="G8" s="697"/>
      <c r="H8" s="1304"/>
      <c r="I8" s="1301"/>
      <c r="J8" s="1305"/>
      <c r="K8" s="697"/>
      <c r="L8" s="697"/>
      <c r="N8" s="158"/>
      <c r="O8" s="101"/>
      <c r="P8" s="18"/>
      <c r="Q8" s="18"/>
      <c r="R8" s="101"/>
      <c r="S8" s="101"/>
      <c r="T8" s="101"/>
      <c r="U8" s="39"/>
      <c r="W8" s="149"/>
      <c r="X8" s="150"/>
      <c r="Y8" s="18"/>
      <c r="Z8" s="1685"/>
      <c r="AA8" s="18"/>
      <c r="AB8" s="18"/>
      <c r="AC8" s="150"/>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18"/>
      <c r="CJ8" s="18"/>
      <c r="CK8" s="18"/>
      <c r="CL8" s="18"/>
      <c r="CM8" s="18"/>
      <c r="CN8" s="18"/>
      <c r="CO8" s="36"/>
      <c r="CR8" s="4"/>
      <c r="CS8" s="4"/>
      <c r="CW8" s="4"/>
    </row>
    <row r="9" spans="1:101" ht="25">
      <c r="A9" s="848"/>
      <c r="B9" s="1303"/>
      <c r="C9" s="1303"/>
      <c r="D9" s="1303"/>
      <c r="E9" s="1303"/>
      <c r="F9" s="577"/>
      <c r="G9" s="731"/>
      <c r="H9" s="1305"/>
      <c r="I9" s="1301"/>
      <c r="J9" s="1302"/>
      <c r="K9" s="731"/>
      <c r="L9" s="731"/>
      <c r="N9" s="158"/>
      <c r="O9" s="101"/>
      <c r="P9" s="373"/>
      <c r="Q9" s="373"/>
      <c r="R9" s="101"/>
      <c r="S9" s="801"/>
      <c r="T9" s="802"/>
      <c r="U9" s="39"/>
      <c r="W9" s="376"/>
      <c r="X9" s="378"/>
      <c r="Y9" s="377"/>
      <c r="Z9" s="844"/>
      <c r="AA9" s="281"/>
      <c r="AB9" s="281"/>
      <c r="AC9" s="378"/>
      <c r="AD9" s="379"/>
      <c r="AE9" s="379"/>
      <c r="AF9" s="379"/>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3"/>
      <c r="BP9" s="383"/>
      <c r="BQ9" s="383"/>
      <c r="BR9" s="383"/>
      <c r="BS9" s="383"/>
      <c r="BT9" s="383"/>
      <c r="BU9" s="383"/>
      <c r="BV9" s="383"/>
      <c r="BW9" s="383"/>
      <c r="BX9" s="383"/>
      <c r="BY9" s="383"/>
      <c r="BZ9" s="383"/>
      <c r="CA9" s="384"/>
      <c r="CC9" s="301"/>
      <c r="CD9" s="19"/>
      <c r="CE9" s="19"/>
      <c r="CF9" s="19"/>
      <c r="CG9" s="19"/>
      <c r="CH9" s="19"/>
      <c r="CI9" s="19"/>
      <c r="CJ9" s="19"/>
      <c r="CK9" s="19"/>
      <c r="CL9" s="19"/>
      <c r="CM9" s="19"/>
      <c r="CN9" s="19"/>
      <c r="CO9" s="227"/>
      <c r="CR9" s="4"/>
      <c r="CS9" s="4"/>
      <c r="CW9" s="4"/>
    </row>
    <row r="10" spans="1:101" ht="32.5">
      <c r="A10" s="851" t="s">
        <v>604</v>
      </c>
      <c r="B10" s="1306" t="s">
        <v>1509</v>
      </c>
      <c r="C10" s="1306" t="s">
        <v>1510</v>
      </c>
      <c r="D10" s="1303"/>
      <c r="E10" s="1306" t="s">
        <v>1511</v>
      </c>
      <c r="F10" s="1306" t="str">
        <f>IF($B10&lt;&gt;"",$B10,$E10)</f>
        <v>CVC CX Metric Names</v>
      </c>
      <c r="G10" s="731"/>
      <c r="H10" s="1126" t="s">
        <v>37</v>
      </c>
      <c r="I10" s="1126" t="s">
        <v>38</v>
      </c>
      <c r="J10" s="1307"/>
      <c r="K10" s="1308"/>
      <c r="L10" s="1309" t="s">
        <v>1512</v>
      </c>
      <c r="N10" s="158"/>
      <c r="O10" s="101"/>
      <c r="P10" s="373"/>
      <c r="Q10" s="373"/>
      <c r="R10" s="101"/>
      <c r="S10" s="802"/>
      <c r="T10" s="802"/>
      <c r="U10" s="39"/>
      <c r="W10" s="808"/>
      <c r="X10" s="382"/>
      <c r="Y10" s="382"/>
      <c r="Z10" s="994"/>
      <c r="AA10" s="95"/>
      <c r="AB10" s="95"/>
      <c r="AC10" s="382"/>
      <c r="AD10" s="97"/>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145" t="s">
        <v>41</v>
      </c>
      <c r="CE10" s="3146"/>
      <c r="CF10" s="168"/>
      <c r="CG10" s="3145" t="s">
        <v>42</v>
      </c>
      <c r="CH10" s="3146"/>
      <c r="CI10" s="88"/>
      <c r="CJ10" s="3145" t="s">
        <v>43</v>
      </c>
      <c r="CK10" s="3146"/>
      <c r="CL10" s="34"/>
      <c r="CM10" s="3147" t="s">
        <v>1666</v>
      </c>
      <c r="CN10" s="3148"/>
      <c r="CO10" s="34"/>
      <c r="CR10" s="4"/>
      <c r="CS10" s="4"/>
      <c r="CW10" s="4"/>
    </row>
    <row r="11" spans="1:101" ht="27.75" customHeight="1">
      <c r="A11" s="32"/>
      <c r="B11" s="1310" t="s">
        <v>1513</v>
      </c>
      <c r="C11" s="1310" t="s">
        <v>1514</v>
      </c>
      <c r="D11" s="1303"/>
      <c r="E11" s="1310" t="s">
        <v>1667</v>
      </c>
      <c r="F11" s="1310" t="str">
        <f>IF($B11&lt;&gt;"",$B11,$E11)</f>
        <v>Static Internal CVC COA</v>
      </c>
      <c r="G11" s="850"/>
      <c r="H11" s="849"/>
      <c r="I11" s="849"/>
      <c r="J11" s="3141"/>
      <c r="K11" s="3142"/>
      <c r="L11" s="1311"/>
      <c r="N11" s="158"/>
      <c r="O11" s="101"/>
      <c r="P11" s="126"/>
      <c r="Q11" s="126"/>
      <c r="R11" s="126"/>
      <c r="S11" s="2"/>
      <c r="T11" s="2"/>
      <c r="U11" s="197"/>
      <c r="W11" s="972"/>
      <c r="X11" s="973" t="s">
        <v>223</v>
      </c>
      <c r="Y11" s="974"/>
      <c r="Z11" s="974"/>
      <c r="AA11" s="974"/>
      <c r="AB11" s="985" t="s">
        <v>47</v>
      </c>
      <c r="AC11" s="976"/>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982" t="e" cm="1">
        <f t="array" ca="1" aca="1" ref="CD11">EOMONTH(val_currentFYE,-24)</f>
        <v>#NAME?</v>
      </c>
      <c r="CE11" s="983" t="e" cm="1">
        <f t="array" ca="1" aca="1" ref="CE11">EOMONTH(val_currentFYE,-12)</f>
        <v>#NAME?</v>
      </c>
      <c r="CF11" s="128"/>
      <c r="CG11" s="984">
        <f>EOMONTH(val_asOfDate,-1)</f>
        <v>45991</v>
      </c>
      <c r="CH11" s="978">
        <f>EOMONTH(val_asOfDate,0)</f>
        <v>46022</v>
      </c>
      <c r="CI11" s="199"/>
      <c r="CJ11" s="984">
        <f>EOMONTH(val_asOfDate,-1)</f>
        <v>45991</v>
      </c>
      <c r="CK11" s="978">
        <f>EOMONTH(val_asOfDate,0)</f>
        <v>46022</v>
      </c>
      <c r="CL11" s="200"/>
      <c r="CM11" s="984" t="e" cm="1">
        <f t="array" ca="1" aca="1" ref="CM11">val_currentFYE</f>
        <v>#NAME?</v>
      </c>
      <c r="CN11" s="978" t="e" cm="1">
        <f t="array" ca="1" aca="1" ref="CN11">val_currentFYE</f>
        <v>#NAME?</v>
      </c>
      <c r="CO11" s="200"/>
      <c r="CR11" s="4"/>
      <c r="CS11" s="4"/>
      <c r="CW11" s="4"/>
    </row>
    <row r="12" spans="1:101" ht="20.25" customHeight="1" outlineLevel="1">
      <c r="A12" s="731"/>
      <c r="B12" s="1313" t="s">
        <v>1516</v>
      </c>
      <c r="C12" s="3139" t="s">
        <v>1517</v>
      </c>
      <c r="D12" s="1303"/>
      <c r="E12" s="3140" t="s">
        <v>1668</v>
      </c>
      <c r="F12" s="3140" t="str">
        <f>IF($B12&lt;&gt;"",$B12,$E12)</f>
        <v>Static metric names as a starting point</v>
      </c>
      <c r="G12" s="850"/>
      <c r="H12" s="849"/>
      <c r="I12" s="849"/>
      <c r="J12" s="3141"/>
      <c r="K12" s="3142"/>
      <c r="L12" s="1311"/>
      <c r="N12" s="158"/>
      <c r="O12" s="101"/>
      <c r="P12" s="52"/>
      <c r="Q12" s="101"/>
      <c r="R12" s="126"/>
      <c r="S12" s="818" t="s">
        <v>49</v>
      </c>
      <c r="T12" s="818" t="s">
        <v>50</v>
      </c>
      <c r="U12" s="39"/>
      <c r="W12" s="1195" t="s">
        <v>51</v>
      </c>
      <c r="X12" s="907" t="e" vm="4" cm="1">
        <f t="array" ref="X12">fx_getIcon("select")</f>
        <v>#VALUE!</v>
      </c>
      <c r="Y12" s="860" t="s">
        <v>52</v>
      </c>
      <c r="Z12" s="3301" cm="1">
        <f t="array" ref="Z12">_xlfn.SWITCH(TRUE,_BS!$L31=TRUE,1,_BS!$L31=FALSE,-1,_BS!$L31=-1,0,"n/a")</f>
        <v>1</v>
      </c>
      <c r="AA12" s="95"/>
      <c r="AB12" s="97" t="s">
        <v>1520</v>
      </c>
      <c r="AC12" s="95"/>
      <c r="AD12" s="26" t="e" cm="1">
        <f t="array" ca="1" aca="1" ref="AD12">EOMONTH(AD11,12-MONTH(val_currentFYE))</f>
        <v>#NAME?</v>
      </c>
      <c r="AE12" s="26" t="e" cm="1">
        <f t="array" ca="1" aca="1" ref="AE12">EOMONTH(AE11,12-MONTH(val_currentFYE))</f>
        <v>#NAME?</v>
      </c>
      <c r="AF12" s="26" t="e" cm="1">
        <f t="array" ca="1" aca="1" ref="AF12">EOMONTH(AF11,12-MONTH(val_currentFYE))</f>
        <v>#NAME?</v>
      </c>
      <c r="AG12" s="26" t="e" cm="1">
        <f t="array" ca="1" aca="1" ref="AG12">EOMONTH(AG11,12-MONTH(val_currentFYE))</f>
        <v>#NAME?</v>
      </c>
      <c r="AH12" s="26" t="e" cm="1">
        <f t="array" ca="1" aca="1" ref="AH12">EOMONTH(AH11,12-MONTH(val_currentFYE))</f>
        <v>#NAME?</v>
      </c>
      <c r="AI12" s="26" t="e" cm="1">
        <f t="array" ca="1" aca="1" ref="AI12">EOMONTH(AI11,12-MONTH(val_currentFYE))</f>
        <v>#NAME?</v>
      </c>
      <c r="AJ12" s="26" t="e" cm="1">
        <f t="array" ca="1" aca="1" ref="AJ12">EOMONTH(AJ11,12-MONTH(val_currentFYE))</f>
        <v>#NAME?</v>
      </c>
      <c r="AK12" s="26" t="e" cm="1">
        <f t="array" ca="1" aca="1" ref="AK12">EOMONTH(AK11,12-MONTH(val_currentFYE))</f>
        <v>#NAME?</v>
      </c>
      <c r="AL12" s="26" t="e" cm="1">
        <f t="array" ca="1" aca="1" ref="AL12">EOMONTH(AL11,12-MONTH(val_currentFYE))</f>
        <v>#NAME?</v>
      </c>
      <c r="AM12" s="26" t="e" cm="1">
        <f t="array" ca="1" aca="1" ref="AM12">EOMONTH(AM11,12-MONTH(val_currentFYE))</f>
        <v>#NAME?</v>
      </c>
      <c r="AN12" s="26" t="e" cm="1">
        <f t="array" ca="1" aca="1" ref="AN12">EOMONTH(AN11,12-MONTH(val_currentFYE))</f>
        <v>#NAME?</v>
      </c>
      <c r="AO12" s="26" t="e" cm="1">
        <f t="array" ca="1" aca="1" ref="AO12">EOMONTH(AO11,12-MONTH(val_currentFYE))</f>
        <v>#NAME?</v>
      </c>
      <c r="AP12" s="26" t="e" cm="1">
        <f t="array" ca="1" aca="1" ref="AP12">EOMONTH(AP11,12-MONTH(val_currentFYE))</f>
        <v>#NAME?</v>
      </c>
      <c r="AQ12" s="26" t="e" cm="1">
        <f t="array" ca="1" aca="1" ref="AQ12">EOMONTH(AQ11,12-MONTH(val_currentFYE))</f>
        <v>#NAME?</v>
      </c>
      <c r="AR12" s="26" t="e" cm="1">
        <f t="array" ca="1" aca="1" ref="AR12">EOMONTH(AR11,12-MONTH(val_currentFYE))</f>
        <v>#NAME?</v>
      </c>
      <c r="AS12" s="26" t="e" cm="1">
        <f t="array" ca="1" aca="1" ref="AS12">EOMONTH(AS11,12-MONTH(val_currentFYE))</f>
        <v>#NAME?</v>
      </c>
      <c r="AT12" s="26" t="e" cm="1">
        <f t="array" ca="1" aca="1" ref="AT12">EOMONTH(AT11,12-MONTH(val_currentFYE))</f>
        <v>#NAME?</v>
      </c>
      <c r="AU12" s="26" t="e" cm="1">
        <f t="array" ca="1" aca="1" ref="AU12">EOMONTH(AU11,12-MONTH(val_currentFYE))</f>
        <v>#NAME?</v>
      </c>
      <c r="AV12" s="26" t="e" cm="1">
        <f t="array" ca="1" aca="1" ref="AV12">EOMONTH(AV11,12-MONTH(val_currentFYE))</f>
        <v>#NAME?</v>
      </c>
      <c r="AW12" s="26" t="e" cm="1">
        <f t="array" ca="1" aca="1" ref="AW12">EOMONTH(AW11,12-MONTH(val_currentFYE))</f>
        <v>#NAME?</v>
      </c>
      <c r="AX12" s="26" t="e" cm="1">
        <f t="array" ca="1" aca="1" ref="AX12">EOMONTH(AX11,12-MONTH(val_currentFYE))</f>
        <v>#NAME?</v>
      </c>
      <c r="AY12" s="26" t="e" cm="1">
        <f t="array" ca="1" aca="1" ref="AY12">EOMONTH(AY11,12-MONTH(val_currentFYE))</f>
        <v>#NAME?</v>
      </c>
      <c r="AZ12" s="26" t="e" cm="1">
        <f t="array" ca="1" aca="1" ref="AZ12">EOMONTH(AZ11,12-MONTH(val_currentFYE))</f>
        <v>#NAME?</v>
      </c>
      <c r="BA12" s="26" t="e" cm="1">
        <f t="array" ca="1" aca="1" ref="BA12">EOMONTH(BA11,12-MONTH(val_currentFYE))</f>
        <v>#NAME?</v>
      </c>
      <c r="BB12" s="26" t="e" cm="1">
        <f t="array" ca="1" aca="1" ref="BB12">EOMONTH(BB11,12-MONTH(val_currentFYE))</f>
        <v>#NAME?</v>
      </c>
      <c r="BC12" s="26" t="e" cm="1">
        <f t="array" ca="1" aca="1" ref="BC12">EOMONTH(BC11,12-MONTH(val_currentFYE))</f>
        <v>#NAME?</v>
      </c>
      <c r="BD12" s="26" t="e" cm="1">
        <f t="array" ca="1" aca="1" ref="BD12">EOMONTH(BD11,12-MONTH(val_currentFYE))</f>
        <v>#NAME?</v>
      </c>
      <c r="BE12" s="26" t="e" cm="1">
        <f t="array" ca="1" aca="1" ref="BE12">EOMONTH(BE11,12-MONTH(val_currentFYE))</f>
        <v>#NAME?</v>
      </c>
      <c r="BF12" s="26" t="e" cm="1">
        <f t="array" ca="1" aca="1" ref="BF12">EOMONTH(BF11,12-MONTH(val_currentFYE))</f>
        <v>#NAME?</v>
      </c>
      <c r="BG12" s="26" t="e" cm="1">
        <f t="array" ca="1" aca="1" ref="BG12">EOMONTH(BG11,12-MONTH(val_currentFYE))</f>
        <v>#NAME?</v>
      </c>
      <c r="BH12" s="26" t="e" cm="1">
        <f t="array" ca="1" aca="1" ref="BH12">EOMONTH(BH11,12-MONTH(val_currentFYE))</f>
        <v>#NAME?</v>
      </c>
      <c r="BI12" s="26" t="e" cm="1">
        <f t="array" ca="1" aca="1" ref="BI12">EOMONTH(BI11,12-MONTH(val_currentFYE))</f>
        <v>#NAME?</v>
      </c>
      <c r="BJ12" s="26" t="e" cm="1">
        <f t="array" ca="1" aca="1" ref="BJ12">EOMONTH(BJ11,12-MONTH(val_currentFYE))</f>
        <v>#NAME?</v>
      </c>
      <c r="BK12" s="26" t="e" cm="1">
        <f t="array" ca="1" aca="1" ref="BK12">EOMONTH(BK11,12-MONTH(val_currentFYE))</f>
        <v>#NAME?</v>
      </c>
      <c r="BL12" s="26" t="e" cm="1">
        <f t="array" ca="1" aca="1" ref="BL12">EOMONTH(BL11,12-MONTH(val_currentFYE))</f>
        <v>#NAME?</v>
      </c>
      <c r="BM12" s="26" t="e" cm="1">
        <f t="array" ca="1" aca="1" ref="BM12">EOMONTH(BM11,12-MONTH(val_currentFYE))</f>
        <v>#NAME?</v>
      </c>
      <c r="BN12" s="28" t="e" cm="1">
        <f t="array" ca="1" aca="1" ref="BN12">EOMONTH(BN11,12-MONTH(val_currentFYE))</f>
        <v>#NAME?</v>
      </c>
      <c r="BO12" s="28"/>
      <c r="BP12" s="28"/>
      <c r="BQ12" s="28"/>
      <c r="BR12" s="28"/>
      <c r="BS12" s="28"/>
      <c r="BT12" s="28"/>
      <c r="BU12" s="28"/>
      <c r="BV12" s="28"/>
      <c r="BW12" s="28"/>
      <c r="BX12" s="28"/>
      <c r="BY12" s="28"/>
      <c r="BZ12" s="28"/>
      <c r="CA12" s="384"/>
      <c r="CC12" s="33"/>
      <c r="CD12" s="203" t="e" cm="1">
        <f t="array" ca="1" aca="1" ref="CD12">YEAR(val_currentFYE)-2</f>
        <v>#NAME?</v>
      </c>
      <c r="CE12" s="204" t="e" cm="1">
        <f t="array" ca="1" aca="1" ref="CE12">YEAR(val_currentFYE)-1</f>
        <v>#NAME?</v>
      </c>
      <c r="CF12" s="128"/>
      <c r="CG12" s="205" t="e" cm="1">
        <f t="array" ca="1" aca="1" ref="CG12">YEAR(val_currentFYE)</f>
        <v>#NAME?</v>
      </c>
      <c r="CH12" s="206" t="e" cm="1">
        <f t="array" ca="1" aca="1" ref="CH12">YEAR(val_currentFYE)</f>
        <v>#NAME?</v>
      </c>
      <c r="CI12" s="207"/>
      <c r="CJ12" s="208" t="s">
        <v>54</v>
      </c>
      <c r="CK12" s="209" t="s">
        <v>54</v>
      </c>
      <c r="CL12" s="200"/>
      <c r="CM12" s="1077" t="e" cm="1">
        <f t="array" ca="1" aca="1" ref="CM12">YEAR(val_currentFYE)</f>
        <v>#NAME?</v>
      </c>
      <c r="CN12" s="1078" t="e" cm="1">
        <f t="array" ca="1" aca="1" ref="CN12">YEAR(val_currentFYE)</f>
        <v>#NAME?</v>
      </c>
      <c r="CO12" s="200"/>
      <c r="CR12" s="4"/>
      <c r="CS12" s="4"/>
      <c r="CW12" s="4"/>
    </row>
    <row r="13" spans="1:101" ht="20.25" customHeight="1" outlineLevel="1">
      <c r="A13" s="731"/>
      <c r="B13" s="1313"/>
      <c r="C13" s="3139"/>
      <c r="D13" s="1303"/>
      <c r="E13" s="3140"/>
      <c r="F13" s="3140"/>
      <c r="G13" s="846"/>
      <c r="H13" s="846" t="s">
        <v>56</v>
      </c>
      <c r="I13" s="846" t="s">
        <v>57</v>
      </c>
      <c r="J13" s="3141"/>
      <c r="K13" s="3142"/>
      <c r="L13" s="3268" t="b">
        <v>1</v>
      </c>
      <c r="N13" s="158"/>
      <c r="O13" s="101"/>
      <c r="P13" s="52"/>
      <c r="Q13" s="101"/>
      <c r="R13" s="139"/>
      <c r="S13" s="819" t="s">
        <v>59</v>
      </c>
      <c r="T13" s="819" t="s">
        <v>60</v>
      </c>
      <c r="U13" s="39"/>
      <c r="W13" s="909" t="s">
        <v>61</v>
      </c>
      <c r="X13" s="908" t="s">
        <v>62</v>
      </c>
      <c r="Y13" s="861" t="s">
        <v>63</v>
      </c>
      <c r="Z13" s="128">
        <v>-1</v>
      </c>
      <c r="AA13" s="95"/>
      <c r="AB13" s="97" t="s">
        <v>64</v>
      </c>
      <c r="AC13" s="382"/>
      <c r="AD13" s="62" cm="1">
        <f t="array" ref="AD13:BN13">_xlfn.SEQUENCE(1,37,-36,1)</f>
        <v>-36</v>
      </c>
      <c r="AE13" s="63">
        <v>-35</v>
      </c>
      <c r="AF13" s="63">
        <v>-34</v>
      </c>
      <c r="AG13" s="63">
        <v>-33</v>
      </c>
      <c r="AH13" s="63">
        <v>-32</v>
      </c>
      <c r="AI13" s="63">
        <v>-31</v>
      </c>
      <c r="AJ13" s="63">
        <v>-30</v>
      </c>
      <c r="AK13" s="63">
        <v>-29</v>
      </c>
      <c r="AL13" s="63">
        <v>-28</v>
      </c>
      <c r="AM13" s="63">
        <v>-27</v>
      </c>
      <c r="AN13" s="63">
        <v>-26</v>
      </c>
      <c r="AO13" s="63">
        <v>-25</v>
      </c>
      <c r="AP13" s="63">
        <v>-24</v>
      </c>
      <c r="AQ13" s="63">
        <v>-23</v>
      </c>
      <c r="AR13" s="63">
        <v>-22</v>
      </c>
      <c r="AS13" s="63">
        <v>-21</v>
      </c>
      <c r="AT13" s="63">
        <v>-20</v>
      </c>
      <c r="AU13" s="63">
        <v>-19</v>
      </c>
      <c r="AV13" s="63">
        <v>-18</v>
      </c>
      <c r="AW13" s="63">
        <v>-17</v>
      </c>
      <c r="AX13" s="63">
        <v>-16</v>
      </c>
      <c r="AY13" s="63">
        <v>-15</v>
      </c>
      <c r="AZ13" s="63">
        <v>-14</v>
      </c>
      <c r="BA13" s="63">
        <v>-13</v>
      </c>
      <c r="BB13" s="63">
        <v>-12</v>
      </c>
      <c r="BC13" s="63">
        <v>-11</v>
      </c>
      <c r="BD13" s="63">
        <v>-10</v>
      </c>
      <c r="BE13" s="63">
        <v>-9</v>
      </c>
      <c r="BF13" s="63">
        <v>-8</v>
      </c>
      <c r="BG13" s="63">
        <v>-7</v>
      </c>
      <c r="BH13" s="63">
        <v>-6</v>
      </c>
      <c r="BI13" s="63">
        <v>-5</v>
      </c>
      <c r="BJ13" s="63">
        <v>-4</v>
      </c>
      <c r="BK13" s="63">
        <v>-3</v>
      </c>
      <c r="BL13" s="63">
        <v>-2</v>
      </c>
      <c r="BM13" s="63">
        <v>-1</v>
      </c>
      <c r="BN13" s="64">
        <v>0</v>
      </c>
      <c r="BO13" s="64"/>
      <c r="BP13" s="64"/>
      <c r="BQ13" s="64"/>
      <c r="BR13" s="64"/>
      <c r="BS13" s="64"/>
      <c r="BT13" s="64"/>
      <c r="BU13" s="64"/>
      <c r="BV13" s="64"/>
      <c r="BW13" s="64"/>
      <c r="BX13" s="64"/>
      <c r="BY13" s="64"/>
      <c r="BZ13" s="64"/>
      <c r="CA13" s="384"/>
      <c r="CC13" s="33"/>
      <c r="CD13" s="48"/>
      <c r="CE13" s="49"/>
      <c r="CF13" s="88"/>
      <c r="CG13" s="48"/>
      <c r="CH13" s="174"/>
      <c r="CI13" s="170"/>
      <c r="CJ13" s="48"/>
      <c r="CK13" s="174"/>
      <c r="CL13" s="34"/>
      <c r="CM13" s="48"/>
      <c r="CN13" s="174"/>
      <c r="CO13" s="34"/>
      <c r="CR13" s="4"/>
      <c r="CS13" s="4"/>
      <c r="CW13" s="4"/>
    </row>
    <row r="14" spans="1:101" ht="20.25" customHeight="1" outlineLevel="1">
      <c r="A14" s="1860" t="b">
        <v>0</v>
      </c>
      <c r="B14" s="811" t="s">
        <v>66</v>
      </c>
      <c r="C14" s="3139"/>
      <c r="D14" s="1303"/>
      <c r="E14" s="3140"/>
      <c r="F14" s="3140"/>
      <c r="G14" s="846"/>
      <c r="H14" s="846"/>
      <c r="I14" s="846" t="s">
        <v>68</v>
      </c>
      <c r="J14" s="3141"/>
      <c r="K14" s="3142"/>
      <c r="L14" s="1312" t="b">
        <v>0</v>
      </c>
      <c r="N14" s="158"/>
      <c r="O14" s="101"/>
      <c r="P14" s="52"/>
      <c r="Q14" s="101"/>
      <c r="R14" s="140"/>
      <c r="S14" s="590" t="s">
        <v>70</v>
      </c>
      <c r="T14" s="590" t="s">
        <v>71</v>
      </c>
      <c r="U14" s="39"/>
      <c r="W14" s="909" t="s">
        <v>72</v>
      </c>
      <c r="X14" s="908">
        <v>0</v>
      </c>
      <c r="Y14" s="863" t="s">
        <v>73</v>
      </c>
      <c r="Z14" s="128">
        <v>0</v>
      </c>
      <c r="AA14" s="95"/>
      <c r="AB14" s="97" t="s">
        <v>74</v>
      </c>
      <c r="AC14" s="382"/>
      <c r="AD14" s="943" t="s">
        <v>75</v>
      </c>
      <c r="AE14" s="943" t="str">
        <f t="shared" si="0" ref="AE14:BN14">$AD$14</f>
        <v>Month</v>
      </c>
      <c r="AF14" s="943" t="str">
        <f t="shared" si="0"/>
        <v>Month</v>
      </c>
      <c r="AG14" s="943" t="str">
        <f t="shared" si="0"/>
        <v>Month</v>
      </c>
      <c r="AH14" s="943" t="str">
        <f t="shared" si="0"/>
        <v>Month</v>
      </c>
      <c r="AI14" s="943" t="str">
        <f t="shared" si="0"/>
        <v>Month</v>
      </c>
      <c r="AJ14" s="943" t="str">
        <f t="shared" si="0"/>
        <v>Month</v>
      </c>
      <c r="AK14" s="943" t="str">
        <f t="shared" si="0"/>
        <v>Month</v>
      </c>
      <c r="AL14" s="943" t="str">
        <f t="shared" si="0"/>
        <v>Month</v>
      </c>
      <c r="AM14" s="943" t="str">
        <f t="shared" si="0"/>
        <v>Month</v>
      </c>
      <c r="AN14" s="943" t="str">
        <f t="shared" si="0"/>
        <v>Month</v>
      </c>
      <c r="AO14" s="943" t="str">
        <f t="shared" si="0"/>
        <v>Month</v>
      </c>
      <c r="AP14" s="943" t="str">
        <f t="shared" si="0"/>
        <v>Month</v>
      </c>
      <c r="AQ14" s="943" t="str">
        <f t="shared" si="0"/>
        <v>Month</v>
      </c>
      <c r="AR14" s="943" t="str">
        <f t="shared" si="0"/>
        <v>Month</v>
      </c>
      <c r="AS14" s="943" t="str">
        <f t="shared" si="0"/>
        <v>Month</v>
      </c>
      <c r="AT14" s="943" t="str">
        <f t="shared" si="0"/>
        <v>Month</v>
      </c>
      <c r="AU14" s="943" t="str">
        <f t="shared" si="0"/>
        <v>Month</v>
      </c>
      <c r="AV14" s="943" t="str">
        <f t="shared" si="0"/>
        <v>Month</v>
      </c>
      <c r="AW14" s="943" t="str">
        <f t="shared" si="0"/>
        <v>Month</v>
      </c>
      <c r="AX14" s="943" t="str">
        <f t="shared" si="0"/>
        <v>Month</v>
      </c>
      <c r="AY14" s="943" t="str">
        <f t="shared" si="0"/>
        <v>Month</v>
      </c>
      <c r="AZ14" s="943" t="str">
        <f t="shared" si="0"/>
        <v>Month</v>
      </c>
      <c r="BA14" s="943" t="str">
        <f t="shared" si="0"/>
        <v>Month</v>
      </c>
      <c r="BB14" s="943" t="str">
        <f t="shared" si="0"/>
        <v>Month</v>
      </c>
      <c r="BC14" s="943" t="str">
        <f t="shared" si="0"/>
        <v>Month</v>
      </c>
      <c r="BD14" s="943" t="str">
        <f t="shared" si="0"/>
        <v>Month</v>
      </c>
      <c r="BE14" s="943" t="str">
        <f t="shared" si="0"/>
        <v>Month</v>
      </c>
      <c r="BF14" s="943" t="str">
        <f t="shared" si="0"/>
        <v>Month</v>
      </c>
      <c r="BG14" s="943" t="str">
        <f t="shared" si="0"/>
        <v>Month</v>
      </c>
      <c r="BH14" s="943" t="str">
        <f t="shared" si="0"/>
        <v>Month</v>
      </c>
      <c r="BI14" s="943" t="str">
        <f t="shared" si="0"/>
        <v>Month</v>
      </c>
      <c r="BJ14" s="943" t="str">
        <f t="shared" si="0"/>
        <v>Month</v>
      </c>
      <c r="BK14" s="943" t="str">
        <f t="shared" si="0"/>
        <v>Month</v>
      </c>
      <c r="BL14" s="943" t="str">
        <f t="shared" si="0"/>
        <v>Month</v>
      </c>
      <c r="BM14" s="943" t="str">
        <f t="shared" si="0"/>
        <v>Month</v>
      </c>
      <c r="BN14" s="46" t="str">
        <f t="shared" si="0"/>
        <v>Month</v>
      </c>
      <c r="BO14" s="46"/>
      <c r="BP14" s="46"/>
      <c r="BQ14" s="46"/>
      <c r="BR14" s="46"/>
      <c r="BS14" s="46"/>
      <c r="BT14" s="46"/>
      <c r="BU14" s="46"/>
      <c r="BV14" s="46"/>
      <c r="BW14" s="46"/>
      <c r="BX14" s="46"/>
      <c r="BY14" s="46"/>
      <c r="BZ14" s="46"/>
      <c r="CA14" s="384"/>
      <c r="CC14" s="33"/>
      <c r="CD14" s="191" t="s">
        <v>65</v>
      </c>
      <c r="CE14" s="192" t="s">
        <v>65</v>
      </c>
      <c r="CF14" s="88"/>
      <c r="CG14" s="191" t="s">
        <v>76</v>
      </c>
      <c r="CH14" s="192" t="s">
        <v>76</v>
      </c>
      <c r="CI14" s="173"/>
      <c r="CJ14" s="189" t="s">
        <v>54</v>
      </c>
      <c r="CK14" s="190" t="s">
        <v>54</v>
      </c>
      <c r="CL14" s="175"/>
      <c r="CM14" s="1239" t="s">
        <v>54</v>
      </c>
      <c r="CN14" s="1240" t="s">
        <v>54</v>
      </c>
      <c r="CO14" s="34"/>
      <c r="CR14" s="4"/>
      <c r="CS14" s="4"/>
      <c r="CW14" s="4"/>
    </row>
    <row r="15" spans="1:101" ht="18" customHeight="1" outlineLevel="1">
      <c r="A15" s="731"/>
      <c r="B15" s="1313"/>
      <c r="C15" s="847"/>
      <c r="D15" s="847"/>
      <c r="E15" s="847"/>
      <c r="F15" s="847"/>
      <c r="G15" s="846"/>
      <c r="H15" s="846"/>
      <c r="I15" s="846" t="s">
        <v>78</v>
      </c>
      <c r="J15" s="3141"/>
      <c r="K15" s="3142"/>
      <c r="L15" s="1311">
        <v>-1</v>
      </c>
      <c r="N15" s="158"/>
      <c r="O15" s="101"/>
      <c r="P15" s="52"/>
      <c r="Q15" s="101"/>
      <c r="R15" s="126"/>
      <c r="S15" s="820" t="e" vm="5" cm="1">
        <f t="array" ref="S15">fx_getIcon("find")</f>
        <v>#VALUE!</v>
      </c>
      <c r="T15" s="818" t="s">
        <v>79</v>
      </c>
      <c r="U15" s="39"/>
      <c r="W15" s="999"/>
      <c r="X15" s="1001"/>
      <c r="Y15" s="1001"/>
      <c r="Z15" s="845"/>
      <c r="AA15" s="95"/>
      <c r="AB15" s="97" t="s">
        <v>80</v>
      </c>
      <c r="AC15" s="382"/>
      <c r="AD15" s="387" t="e" cm="1">
        <f t="array" ca="1" aca="1" ref="AD15">IF(MONTH(AD11)=MONTH(val_currentFYE),1,IF(MOD(MONTH(AD$11)-MONTH(val_currentFYE),3)=0,2,0))</f>
        <v>#NAME?</v>
      </c>
      <c r="AE15" s="387" t="e" cm="1">
        <f t="array" ca="1" aca="1" ref="AE15">IF(MONTH(AE11)=MONTH(val_currentFYE),1,IF(MOD(MONTH(AE$11)-MONTH(val_currentFYE),3)=0,2,0))</f>
        <v>#NAME?</v>
      </c>
      <c r="AF15" s="387" t="e" cm="1">
        <f t="array" ca="1" aca="1" ref="AF15">IF(MONTH(AF11)=MONTH(val_currentFYE),1,IF(MOD(MONTH(AF$11)-MONTH(val_currentFYE),3)=0,2,0))</f>
        <v>#NAME?</v>
      </c>
      <c r="AG15" s="387" t="e" cm="1">
        <f t="array" ca="1" aca="1" ref="AG15">IF(MONTH(AG11)=MONTH(val_currentFYE),1,IF(MOD(MONTH(AG$11)-MONTH(val_currentFYE),3)=0,2,0))</f>
        <v>#NAME?</v>
      </c>
      <c r="AH15" s="387" t="e" cm="1">
        <f t="array" ca="1" aca="1" ref="AH15">IF(MONTH(AH11)=MONTH(val_currentFYE),1,IF(MOD(MONTH(AH$11)-MONTH(val_currentFYE),3)=0,2,0))</f>
        <v>#NAME?</v>
      </c>
      <c r="AI15" s="387" t="e" cm="1">
        <f t="array" ca="1" aca="1" ref="AI15">IF(MONTH(AI11)=MONTH(val_currentFYE),1,IF(MOD(MONTH(AI$11)-MONTH(val_currentFYE),3)=0,2,0))</f>
        <v>#NAME?</v>
      </c>
      <c r="AJ15" s="387" t="e" cm="1">
        <f t="array" ca="1" aca="1" ref="AJ15">IF(MONTH(AJ11)=MONTH(val_currentFYE),1,IF(MOD(MONTH(AJ$11)-MONTH(val_currentFYE),3)=0,2,0))</f>
        <v>#NAME?</v>
      </c>
      <c r="AK15" s="387" t="e" cm="1">
        <f t="array" ca="1" aca="1" ref="AK15">IF(MONTH(AK11)=MONTH(val_currentFYE),1,IF(MOD(MONTH(AK$11)-MONTH(val_currentFYE),3)=0,2,0))</f>
        <v>#NAME?</v>
      </c>
      <c r="AL15" s="387" t="e" cm="1">
        <f t="array" ca="1" aca="1" ref="AL15">IF(MONTH(AL11)=MONTH(val_currentFYE),1,IF(MOD(MONTH(AL$11)-MONTH(val_currentFYE),3)=0,2,0))</f>
        <v>#NAME?</v>
      </c>
      <c r="AM15" s="387" t="e" cm="1">
        <f t="array" ca="1" aca="1" ref="AM15">IF(MONTH(AM11)=MONTH(val_currentFYE),1,IF(MOD(MONTH(AM$11)-MONTH(val_currentFYE),3)=0,2,0))</f>
        <v>#NAME?</v>
      </c>
      <c r="AN15" s="387" t="e" cm="1">
        <f t="array" ca="1" aca="1" ref="AN15">IF(MONTH(AN11)=MONTH(val_currentFYE),1,IF(MOD(MONTH(AN$11)-MONTH(val_currentFYE),3)=0,2,0))</f>
        <v>#NAME?</v>
      </c>
      <c r="AO15" s="387" t="e" cm="1">
        <f t="array" ca="1" aca="1" ref="AO15">IF(MONTH(AO11)=MONTH(val_currentFYE),1,IF(MOD(MONTH(AO$11)-MONTH(val_currentFYE),3)=0,2,0))</f>
        <v>#NAME?</v>
      </c>
      <c r="AP15" s="387" t="e" cm="1">
        <f t="array" ca="1" aca="1" ref="AP15">IF(MONTH(AP11)=MONTH(val_currentFYE),1,IF(MOD(MONTH(AP$11)-MONTH(val_currentFYE),3)=0,2,0))</f>
        <v>#NAME?</v>
      </c>
      <c r="AQ15" s="387" t="e" cm="1">
        <f t="array" ca="1" aca="1" ref="AQ15">IF(MONTH(AQ11)=MONTH(val_currentFYE),1,IF(MOD(MONTH(AQ$11)-MONTH(val_currentFYE),3)=0,2,0))</f>
        <v>#NAME?</v>
      </c>
      <c r="AR15" s="387" t="e" cm="1">
        <f t="array" ca="1" aca="1" ref="AR15">IF(MONTH(AR11)=MONTH(val_currentFYE),1,IF(MOD(MONTH(AR$11)-MONTH(val_currentFYE),3)=0,2,0))</f>
        <v>#NAME?</v>
      </c>
      <c r="AS15" s="387" t="e" cm="1">
        <f t="array" ca="1" aca="1" ref="AS15">IF(MONTH(AS11)=MONTH(val_currentFYE),1,IF(MOD(MONTH(AS$11)-MONTH(val_currentFYE),3)=0,2,0))</f>
        <v>#NAME?</v>
      </c>
      <c r="AT15" s="387" t="e" cm="1">
        <f t="array" ca="1" aca="1" ref="AT15">IF(MONTH(AT11)=MONTH(val_currentFYE),1,IF(MOD(MONTH(AT$11)-MONTH(val_currentFYE),3)=0,2,0))</f>
        <v>#NAME?</v>
      </c>
      <c r="AU15" s="387" t="e" cm="1">
        <f t="array" ca="1" aca="1" ref="AU15">IF(MONTH(AU11)=MONTH(val_currentFYE),1,IF(MOD(MONTH(AU$11)-MONTH(val_currentFYE),3)=0,2,0))</f>
        <v>#NAME?</v>
      </c>
      <c r="AV15" s="387" t="e" cm="1">
        <f t="array" ca="1" aca="1" ref="AV15">IF(MONTH(AV11)=MONTH(val_currentFYE),1,IF(MOD(MONTH(AV$11)-MONTH(val_currentFYE),3)=0,2,0))</f>
        <v>#NAME?</v>
      </c>
      <c r="AW15" s="387" t="e" cm="1">
        <f t="array" ca="1" aca="1" ref="AW15">IF(MONTH(AW11)=MONTH(val_currentFYE),1,IF(MOD(MONTH(AW$11)-MONTH(val_currentFYE),3)=0,2,0))</f>
        <v>#NAME?</v>
      </c>
      <c r="AX15" s="387" t="e" cm="1">
        <f t="array" ca="1" aca="1" ref="AX15">IF(MONTH(AX11)=MONTH(val_currentFYE),1,IF(MOD(MONTH(AX$11)-MONTH(val_currentFYE),3)=0,2,0))</f>
        <v>#NAME?</v>
      </c>
      <c r="AY15" s="387" t="e" cm="1">
        <f t="array" ca="1" aca="1" ref="AY15">IF(MONTH(AY11)=MONTH(val_currentFYE),1,IF(MOD(MONTH(AY$11)-MONTH(val_currentFYE),3)=0,2,0))</f>
        <v>#NAME?</v>
      </c>
      <c r="AZ15" s="387" t="e" cm="1">
        <f t="array" ca="1" aca="1" ref="AZ15">IF(MONTH(AZ11)=MONTH(val_currentFYE),1,IF(MOD(MONTH(AZ$11)-MONTH(val_currentFYE),3)=0,2,0))</f>
        <v>#NAME?</v>
      </c>
      <c r="BA15" s="387" t="e" cm="1">
        <f t="array" ca="1" aca="1" ref="BA15">IF(MONTH(BA11)=MONTH(val_currentFYE),1,IF(MOD(MONTH(BA$11)-MONTH(val_currentFYE),3)=0,2,0))</f>
        <v>#NAME?</v>
      </c>
      <c r="BB15" s="387" t="e" cm="1">
        <f t="array" ca="1" aca="1" ref="BB15">IF(MONTH(BB11)=MONTH(val_currentFYE),1,IF(MOD(MONTH(BB$11)-MONTH(val_currentFYE),3)=0,2,0))</f>
        <v>#NAME?</v>
      </c>
      <c r="BC15" s="387" t="e" cm="1">
        <f t="array" ca="1" aca="1" ref="BC15">IF(MONTH(BC11)=MONTH(val_currentFYE),1,IF(MOD(MONTH(BC$11)-MONTH(val_currentFYE),3)=0,2,0))</f>
        <v>#NAME?</v>
      </c>
      <c r="BD15" s="387" t="e" cm="1">
        <f t="array" ca="1" aca="1" ref="BD15">IF(MONTH(BD11)=MONTH(val_currentFYE),1,IF(MOD(MONTH(BD$11)-MONTH(val_currentFYE),3)=0,2,0))</f>
        <v>#NAME?</v>
      </c>
      <c r="BE15" s="387" t="e" cm="1">
        <f t="array" ca="1" aca="1" ref="BE15">IF(MONTH(BE11)=MONTH(val_currentFYE),1,IF(MOD(MONTH(BE$11)-MONTH(val_currentFYE),3)=0,2,0))</f>
        <v>#NAME?</v>
      </c>
      <c r="BF15" s="387" t="e" cm="1">
        <f t="array" ca="1" aca="1" ref="BF15">IF(MONTH(BF11)=MONTH(val_currentFYE),1,IF(MOD(MONTH(BF$11)-MONTH(val_currentFYE),3)=0,2,0))</f>
        <v>#NAME?</v>
      </c>
      <c r="BG15" s="387" t="e" cm="1">
        <f t="array" ca="1" aca="1" ref="BG15">IF(MONTH(BG11)=MONTH(val_currentFYE),1,IF(MOD(MONTH(BG$11)-MONTH(val_currentFYE),3)=0,2,0))</f>
        <v>#NAME?</v>
      </c>
      <c r="BH15" s="387" t="e" cm="1">
        <f t="array" ca="1" aca="1" ref="BH15">IF(MONTH(BH11)=MONTH(val_currentFYE),1,IF(MOD(MONTH(BH$11)-MONTH(val_currentFYE),3)=0,2,0))</f>
        <v>#NAME?</v>
      </c>
      <c r="BI15" s="387" t="e" cm="1">
        <f t="array" ca="1" aca="1" ref="BI15">IF(MONTH(BI11)=MONTH(val_currentFYE),1,IF(MOD(MONTH(BI$11)-MONTH(val_currentFYE),3)=0,2,0))</f>
        <v>#NAME?</v>
      </c>
      <c r="BJ15" s="387" t="e" cm="1">
        <f t="array" ca="1" aca="1" ref="BJ15">IF(MONTH(BJ11)=MONTH(val_currentFYE),1,IF(MOD(MONTH(BJ$11)-MONTH(val_currentFYE),3)=0,2,0))</f>
        <v>#NAME?</v>
      </c>
      <c r="BK15" s="387" t="e" cm="1">
        <f t="array" ca="1" aca="1" ref="BK15">IF(MONTH(BK11)=MONTH(val_currentFYE),1,IF(MOD(MONTH(BK$11)-MONTH(val_currentFYE),3)=0,2,0))</f>
        <v>#NAME?</v>
      </c>
      <c r="BL15" s="387" t="e" cm="1">
        <f t="array" ca="1" aca="1" ref="BL15">IF(MONTH(BL11)=MONTH(val_currentFYE),1,IF(MOD(MONTH(BL$11)-MONTH(val_currentFYE),3)=0,2,0))</f>
        <v>#NAME?</v>
      </c>
      <c r="BM15" s="387" t="e" cm="1">
        <f t="array" ca="1" aca="1" ref="BM15">IF(MONTH(BM11)=MONTH(val_currentFYE),1,IF(MOD(MONTH(BM$11)-MONTH(val_currentFYE),3)=0,2,0))</f>
        <v>#NAME?</v>
      </c>
      <c r="BN15" s="388" t="e" cm="1">
        <f t="array" ca="1" aca="1" ref="BN15">IF(MONTH(BN11)=MONTH(val_currentFYE),1,IF(MOD(MONTH(BN$11)-MONTH(val_currentFYE),3)=0,2,0))</f>
        <v>#NAME?</v>
      </c>
      <c r="BO15" s="388"/>
      <c r="BP15" s="388"/>
      <c r="BQ15" s="388"/>
      <c r="BR15" s="388"/>
      <c r="BS15" s="388"/>
      <c r="BT15" s="388"/>
      <c r="BU15" s="388"/>
      <c r="BV15" s="388"/>
      <c r="BW15" s="388"/>
      <c r="BX15" s="388"/>
      <c r="BY15" s="388"/>
      <c r="BZ15" s="388"/>
      <c r="CA15" s="384"/>
      <c r="CC15" s="33"/>
      <c r="CD15" s="1235"/>
      <c r="CE15" s="1236"/>
      <c r="CF15" s="88"/>
      <c r="CG15" s="1235"/>
      <c r="CH15" s="1236"/>
      <c r="CI15" s="170"/>
      <c r="CJ15" s="1235"/>
      <c r="CK15" s="1236"/>
      <c r="CL15" s="88"/>
      <c r="CM15" s="1235"/>
      <c r="CN15" s="1236"/>
      <c r="CO15" s="34"/>
      <c r="CP15" s="1241"/>
      <c r="CQ15" s="255"/>
      <c r="CR15" s="4"/>
      <c r="CS15" s="4"/>
      <c r="CW15" s="4"/>
    </row>
    <row r="16" spans="1:101" ht="15.5">
      <c r="A16" s="693"/>
      <c r="B16" s="577"/>
      <c r="C16" s="577"/>
      <c r="D16" s="1079"/>
      <c r="E16" s="1315">
        <v>0</v>
      </c>
      <c r="F16" s="847"/>
      <c r="G16" s="577"/>
      <c r="H16" s="578"/>
      <c r="I16" s="578"/>
      <c r="J16" s="578"/>
      <c r="K16" s="578"/>
      <c r="L16" s="578"/>
      <c r="N16" s="158"/>
      <c r="O16" s="101"/>
      <c r="P16" s="52"/>
      <c r="Q16" s="101"/>
      <c r="R16" s="101"/>
      <c r="S16" s="101"/>
      <c r="T16" s="101"/>
      <c r="U16" s="39"/>
      <c r="W16" s="198"/>
      <c r="X16" s="128"/>
      <c r="Y16" s="88"/>
      <c r="Z16" s="1686"/>
      <c r="AA16" s="97"/>
      <c r="AB16" s="97"/>
      <c r="AC16" s="128"/>
      <c r="AD16" s="88"/>
      <c r="AE16" s="88"/>
      <c r="AF16" s="88"/>
      <c r="AG16" s="88"/>
      <c r="AH16" s="88"/>
      <c r="AI16" s="88"/>
      <c r="AJ16" s="88"/>
      <c r="AK16" s="88"/>
      <c r="AL16" s="88"/>
      <c r="AM16" s="88"/>
      <c r="AN16" s="88"/>
      <c r="AO16" s="88"/>
      <c r="AP16" s="88"/>
      <c r="AQ16" s="88"/>
      <c r="AR16" s="88"/>
      <c r="AS16" s="88"/>
      <c r="AT16" s="781"/>
      <c r="AU16" s="782"/>
      <c r="AV16" s="782"/>
      <c r="AW16" s="782"/>
      <c r="AX16" s="782"/>
      <c r="AY16" s="782"/>
      <c r="AZ16" s="782"/>
      <c r="BA16" s="782"/>
      <c r="BB16" s="782"/>
      <c r="BC16" s="782"/>
      <c r="BD16" s="782"/>
      <c r="BE16" s="782"/>
      <c r="BF16" s="782"/>
      <c r="BG16" s="782"/>
      <c r="BH16" s="782"/>
      <c r="BI16" s="782"/>
      <c r="BJ16" s="783"/>
      <c r="BK16" s="783"/>
      <c r="BL16" s="783"/>
      <c r="BM16" s="783"/>
      <c r="BN16" s="1213"/>
      <c r="BO16" s="1213"/>
      <c r="BP16" s="1213"/>
      <c r="BQ16" s="1213"/>
      <c r="BR16" s="1213"/>
      <c r="BS16" s="1213"/>
      <c r="BT16" s="1213"/>
      <c r="BU16" s="1213"/>
      <c r="BV16" s="1213"/>
      <c r="BW16" s="1213"/>
      <c r="BX16" s="1213"/>
      <c r="BY16" s="1213"/>
      <c r="BZ16" s="1213"/>
      <c r="CA16" s="384"/>
      <c r="CC16" s="181"/>
      <c r="CD16" s="779"/>
      <c r="CE16" s="780"/>
      <c r="CF16" s="296"/>
      <c r="CG16" s="33"/>
      <c r="CH16" s="34"/>
      <c r="CI16" s="296"/>
      <c r="CJ16" s="33"/>
      <c r="CK16" s="34"/>
      <c r="CL16" s="88"/>
      <c r="CM16" s="33"/>
      <c r="CN16" s="34"/>
      <c r="CO16" s="34"/>
      <c r="CP16" s="1242"/>
      <c r="CQ16" s="979"/>
      <c r="CR16" s="4"/>
      <c r="CS16" s="4"/>
      <c r="CW16" s="4"/>
    </row>
    <row r="17" spans="1:101" ht="20.25" customHeight="1">
      <c r="A17" s="693"/>
      <c r="B17" s="1316"/>
      <c r="C17" s="1316"/>
      <c r="D17" s="1079"/>
      <c r="E17" s="1316"/>
      <c r="F17" s="577"/>
      <c r="G17" s="853"/>
      <c r="H17" s="578"/>
      <c r="I17" s="578"/>
      <c r="J17" s="578"/>
      <c r="K17" s="578"/>
      <c r="L17" s="578"/>
      <c r="N17" s="158"/>
      <c r="O17" s="101"/>
      <c r="P17" s="288"/>
      <c r="Q17" s="288"/>
      <c r="R17" s="101"/>
      <c r="S17" s="101"/>
      <c r="T17" s="101"/>
      <c r="U17" s="39"/>
      <c r="W17" s="3045" t="str" cm="1">
        <f t="array" ref="W17">fx_scenarioConverter("Actual")</f>
        <v>Actual</v>
      </c>
      <c r="X17" s="1234"/>
      <c r="Y17" s="856" t="s">
        <v>237</v>
      </c>
      <c r="Z17" s="804" t="s">
        <v>82</v>
      </c>
      <c r="AA17" s="281"/>
      <c r="AB17" s="858"/>
      <c r="AC17" s="876"/>
      <c r="AD17" s="859"/>
      <c r="AE17" s="859"/>
      <c r="AF17" s="859"/>
      <c r="AG17" s="859"/>
      <c r="AH17" s="859"/>
      <c r="AI17" s="859"/>
      <c r="AJ17" s="859"/>
      <c r="AK17" s="859"/>
      <c r="AL17" s="859"/>
      <c r="AM17" s="859"/>
      <c r="AN17" s="859"/>
      <c r="AO17" s="859"/>
      <c r="AP17" s="859"/>
      <c r="AQ17" s="859"/>
      <c r="AR17" s="859"/>
      <c r="AS17" s="859"/>
      <c r="AT17" s="859"/>
      <c r="AU17" s="859"/>
      <c r="AV17" s="859"/>
      <c r="AW17" s="859"/>
      <c r="AX17" s="859"/>
      <c r="AY17" s="859"/>
      <c r="AZ17" s="859"/>
      <c r="BA17" s="859"/>
      <c r="BB17" s="859"/>
      <c r="BC17" s="859"/>
      <c r="BD17" s="859"/>
      <c r="BE17" s="859"/>
      <c r="BF17" s="859"/>
      <c r="BG17" s="859"/>
      <c r="BH17" s="859"/>
      <c r="BI17" s="859"/>
      <c r="BJ17" s="859"/>
      <c r="BK17" s="859"/>
      <c r="BL17" s="859"/>
      <c r="BM17" s="859"/>
      <c r="BN17" s="1215"/>
      <c r="BO17" s="1804"/>
      <c r="BP17" s="1804"/>
      <c r="BQ17" s="1804"/>
      <c r="BR17" s="1804"/>
      <c r="BS17" s="1804"/>
      <c r="BT17" s="1804"/>
      <c r="BU17" s="1804"/>
      <c r="BV17" s="1804"/>
      <c r="BW17" s="1804"/>
      <c r="BX17" s="1804"/>
      <c r="BY17" s="1804"/>
      <c r="BZ17" s="1804"/>
      <c r="CA17" s="384"/>
      <c r="CC17" s="33"/>
      <c r="CD17" s="779"/>
      <c r="CE17" s="780"/>
      <c r="CF17" s="88"/>
      <c r="CG17" s="48"/>
      <c r="CH17" s="174"/>
      <c r="CI17" s="170"/>
      <c r="CJ17" s="48"/>
      <c r="CK17" s="49"/>
      <c r="CL17" s="34"/>
      <c r="CM17" s="859"/>
      <c r="CN17" s="1215"/>
      <c r="CO17" s="88"/>
      <c r="CP17" s="1242"/>
      <c r="CQ17" s="979"/>
      <c r="CR17" s="4"/>
      <c r="CS17" s="4"/>
      <c r="CW17" s="4"/>
    </row>
    <row r="18" spans="1:101" ht="20.25" customHeight="1">
      <c r="A18" s="693"/>
      <c r="B18" s="1316"/>
      <c r="C18" s="1316"/>
      <c r="D18" s="1079"/>
      <c r="E18" s="1316"/>
      <c r="F18" s="577"/>
      <c r="G18" s="853"/>
      <c r="H18" s="578"/>
      <c r="I18" s="578"/>
      <c r="J18" s="578"/>
      <c r="K18" s="578"/>
      <c r="L18" s="578"/>
      <c r="N18" s="158"/>
      <c r="O18" s="101"/>
      <c r="P18" s="101"/>
      <c r="Q18" s="101"/>
      <c r="R18" s="101"/>
      <c r="S18" s="101"/>
      <c r="T18" s="101"/>
      <c r="U18" s="39"/>
      <c r="W18" s="3046"/>
      <c r="X18" s="1218"/>
      <c r="Y18" s="544"/>
      <c r="Z18" s="1216"/>
      <c r="AA18" s="95"/>
      <c r="AB18" s="992"/>
      <c r="AC18" s="1164"/>
      <c r="AD18" s="1477"/>
      <c r="AE18" s="1477"/>
      <c r="AF18" s="1477"/>
      <c r="AG18" s="1477"/>
      <c r="AH18" s="1477"/>
      <c r="AI18" s="1477"/>
      <c r="AJ18" s="1477"/>
      <c r="AK18" s="1477"/>
      <c r="AL18" s="1477"/>
      <c r="AM18" s="1477"/>
      <c r="AN18" s="1477"/>
      <c r="AO18" s="1477"/>
      <c r="AP18" s="1477"/>
      <c r="AQ18" s="1477"/>
      <c r="AR18" s="1477"/>
      <c r="AS18" s="1477"/>
      <c r="AT18" s="1477"/>
      <c r="AU18" s="1477"/>
      <c r="AV18" s="1477"/>
      <c r="AW18" s="1477"/>
      <c r="AX18" s="1477"/>
      <c r="AY18" s="1477"/>
      <c r="AZ18" s="1477"/>
      <c r="BA18" s="1477"/>
      <c r="BB18" s="1477"/>
      <c r="BC18" s="1477"/>
      <c r="BD18" s="1477"/>
      <c r="BE18" s="1477"/>
      <c r="BF18" s="1477"/>
      <c r="BG18" s="1477"/>
      <c r="BH18" s="1477"/>
      <c r="BI18" s="1477"/>
      <c r="BJ18" s="1477"/>
      <c r="BK18" s="1477"/>
      <c r="BL18" s="1477"/>
      <c r="BM18" s="1477"/>
      <c r="BN18" s="1478"/>
      <c r="BO18" s="1478"/>
      <c r="BP18" s="1478"/>
      <c r="BQ18" s="1478"/>
      <c r="BR18" s="1478"/>
      <c r="BS18" s="1478"/>
      <c r="BT18" s="1478"/>
      <c r="BU18" s="1478"/>
      <c r="BV18" s="1478"/>
      <c r="BW18" s="1478"/>
      <c r="BX18" s="1478"/>
      <c r="BY18" s="1478"/>
      <c r="BZ18" s="1478"/>
      <c r="CA18" s="384"/>
      <c r="CC18" s="33"/>
      <c r="CD18" s="779"/>
      <c r="CE18" s="780"/>
      <c r="CF18" s="88"/>
      <c r="CG18" s="48"/>
      <c r="CH18" s="174"/>
      <c r="CI18" s="170"/>
      <c r="CJ18" s="48"/>
      <c r="CK18" s="49"/>
      <c r="CL18" s="34"/>
      <c r="CM18" s="1478"/>
      <c r="CN18" s="1478"/>
      <c r="CO18" s="34"/>
      <c r="CP18" s="1243"/>
      <c r="CQ18" s="47"/>
      <c r="CR18" s="4"/>
      <c r="CS18" s="4"/>
      <c r="CW18" s="4"/>
    </row>
    <row r="19" spans="1:101" ht="27.75" customHeight="1" outlineLevel="1">
      <c r="A19" s="693"/>
      <c r="B19" s="1318" t="s">
        <v>1522</v>
      </c>
      <c r="C19" s="1318" t="s">
        <v>1523</v>
      </c>
      <c r="D19" s="1319"/>
      <c r="E19" s="1318" t="s">
        <v>1524</v>
      </c>
      <c r="F19" s="1318" t="str">
        <f t="shared" si="1" ref="F19:F37">IF($B19&lt;&gt;"",$B19,$E19)</f>
        <v>Global (Metric Name)</v>
      </c>
      <c r="G19" s="1318"/>
      <c r="H19" s="1320" t="s">
        <v>37</v>
      </c>
      <c r="I19" s="1320" t="s">
        <v>1525</v>
      </c>
      <c r="J19" s="1320"/>
      <c r="K19" s="1320"/>
      <c r="L19" s="1321" t="s">
        <v>1526</v>
      </c>
      <c r="N19" s="158"/>
      <c r="O19" s="101"/>
      <c r="P19" s="101"/>
      <c r="Q19" s="2"/>
      <c r="R19" s="101"/>
      <c r="S19" s="101"/>
      <c r="T19" s="101"/>
      <c r="U19" s="39"/>
      <c r="W19" s="1225" t="s">
        <v>94</v>
      </c>
      <c r="X19" s="1232" t="s">
        <v>62</v>
      </c>
      <c r="Y19" s="1233" t="str">
        <f>val_company&amp;" CF Accounts"</f>
        <v>Therme Horizon CF Accounts</v>
      </c>
      <c r="Z19" s="1227"/>
      <c r="AA19" s="1227"/>
      <c r="AB19" s="1226" t="s">
        <v>1669</v>
      </c>
      <c r="AC19" s="1229"/>
      <c r="AD19" s="1227" t="str">
        <f>($W$17)</f>
        <v>Actual</v>
      </c>
      <c r="AE19" s="1227" t="str">
        <f t="shared" si="2" ref="AE19:BN19">($W$17)</f>
        <v>Actual</v>
      </c>
      <c r="AF19" s="1227" t="str">
        <f t="shared" si="2"/>
        <v>Actual</v>
      </c>
      <c r="AG19" s="1227" t="str">
        <f t="shared" si="2"/>
        <v>Actual</v>
      </c>
      <c r="AH19" s="1227" t="str">
        <f t="shared" si="2"/>
        <v>Actual</v>
      </c>
      <c r="AI19" s="1227" t="str">
        <f t="shared" si="2"/>
        <v>Actual</v>
      </c>
      <c r="AJ19" s="1227" t="str">
        <f t="shared" si="2"/>
        <v>Actual</v>
      </c>
      <c r="AK19" s="1227" t="str">
        <f t="shared" si="2"/>
        <v>Actual</v>
      </c>
      <c r="AL19" s="1227" t="str">
        <f t="shared" si="2"/>
        <v>Actual</v>
      </c>
      <c r="AM19" s="1227" t="str">
        <f t="shared" si="2"/>
        <v>Actual</v>
      </c>
      <c r="AN19" s="1227" t="str">
        <f t="shared" si="2"/>
        <v>Actual</v>
      </c>
      <c r="AO19" s="1227" t="str">
        <f t="shared" si="2"/>
        <v>Actual</v>
      </c>
      <c r="AP19" s="1227" t="str">
        <f t="shared" si="2"/>
        <v>Actual</v>
      </c>
      <c r="AQ19" s="1227" t="str">
        <f t="shared" si="2"/>
        <v>Actual</v>
      </c>
      <c r="AR19" s="1227" t="str">
        <f t="shared" si="2"/>
        <v>Actual</v>
      </c>
      <c r="AS19" s="1227" t="str">
        <f t="shared" si="2"/>
        <v>Actual</v>
      </c>
      <c r="AT19" s="1227" t="str">
        <f t="shared" si="2"/>
        <v>Actual</v>
      </c>
      <c r="AU19" s="1227" t="str">
        <f t="shared" si="2"/>
        <v>Actual</v>
      </c>
      <c r="AV19" s="1227" t="str">
        <f t="shared" si="2"/>
        <v>Actual</v>
      </c>
      <c r="AW19" s="1227" t="str">
        <f t="shared" si="2"/>
        <v>Actual</v>
      </c>
      <c r="AX19" s="1227" t="str">
        <f t="shared" si="2"/>
        <v>Actual</v>
      </c>
      <c r="AY19" s="1227" t="str">
        <f t="shared" si="2"/>
        <v>Actual</v>
      </c>
      <c r="AZ19" s="1227" t="str">
        <f t="shared" si="2"/>
        <v>Actual</v>
      </c>
      <c r="BA19" s="1227" t="str">
        <f t="shared" si="2"/>
        <v>Actual</v>
      </c>
      <c r="BB19" s="1227" t="str">
        <f t="shared" si="2"/>
        <v>Actual</v>
      </c>
      <c r="BC19" s="1227" t="str">
        <f t="shared" si="2"/>
        <v>Actual</v>
      </c>
      <c r="BD19" s="1227" t="str">
        <f t="shared" si="2"/>
        <v>Actual</v>
      </c>
      <c r="BE19" s="1227" t="str">
        <f t="shared" si="2"/>
        <v>Actual</v>
      </c>
      <c r="BF19" s="1227" t="str">
        <f t="shared" si="2"/>
        <v>Actual</v>
      </c>
      <c r="BG19" s="1227" t="str">
        <f t="shared" si="2"/>
        <v>Actual</v>
      </c>
      <c r="BH19" s="1227" t="str">
        <f t="shared" si="2"/>
        <v>Actual</v>
      </c>
      <c r="BI19" s="1227" t="str">
        <f t="shared" si="2"/>
        <v>Actual</v>
      </c>
      <c r="BJ19" s="1227" t="str">
        <f t="shared" si="2"/>
        <v>Actual</v>
      </c>
      <c r="BK19" s="1227" t="str">
        <f t="shared" si="2"/>
        <v>Actual</v>
      </c>
      <c r="BL19" s="1227" t="str">
        <f t="shared" si="2"/>
        <v>Actual</v>
      </c>
      <c r="BM19" s="1227" t="str">
        <f t="shared" si="2"/>
        <v>Actual</v>
      </c>
      <c r="BN19" s="1227" t="str">
        <f t="shared" si="2"/>
        <v>Actual</v>
      </c>
      <c r="BO19" s="2094"/>
      <c r="BP19" s="2094"/>
      <c r="BQ19" s="2094"/>
      <c r="BR19" s="2094"/>
      <c r="BS19" s="2094"/>
      <c r="BT19" s="2094"/>
      <c r="BU19" s="2094"/>
      <c r="BV19" s="2094"/>
      <c r="BW19" s="2094"/>
      <c r="BX19" s="2094"/>
      <c r="BY19" s="2094"/>
      <c r="BZ19" s="2094"/>
      <c r="CA19" s="384"/>
      <c r="CC19" s="33"/>
      <c r="CD19" s="1720" t="str">
        <f t="shared" si="3" ref="CD19:CK19">($W$17)</f>
        <v>Actual</v>
      </c>
      <c r="CE19" s="1720" t="str">
        <f t="shared" si="3"/>
        <v>Actual</v>
      </c>
      <c r="CF19" s="128"/>
      <c r="CG19" s="1734" t="str">
        <f t="shared" si="3"/>
        <v>Actual</v>
      </c>
      <c r="CH19" s="1735" t="str">
        <f t="shared" si="3"/>
        <v>Actual</v>
      </c>
      <c r="CI19" s="207" t="str">
        <f>$AD19</f>
        <v>Actual</v>
      </c>
      <c r="CJ19" s="1724" t="str">
        <f t="shared" si="3"/>
        <v>Actual</v>
      </c>
      <c r="CK19" s="1725" t="str">
        <f t="shared" si="3"/>
        <v>Actual</v>
      </c>
      <c r="CL19" s="869"/>
      <c r="CM19" s="1198" t="str" cm="1">
        <f t="array" ref="CM19">fx_scenarioConverter("Original Budget")</f>
        <v>Original Budget</v>
      </c>
      <c r="CN19" s="1199" t="str" cm="1">
        <f t="array" ref="CN19">fx_scenarioConverter("LE")</f>
        <v>LE</v>
      </c>
      <c r="CO19" s="34"/>
      <c r="CR19" s="4"/>
      <c r="CS19" s="4"/>
      <c r="CW19" s="4"/>
    </row>
    <row r="20" spans="1:101" ht="21" customHeight="1">
      <c r="A20" s="696"/>
      <c r="B20" s="574" t="s">
        <v>208</v>
      </c>
      <c r="C20" s="574" t="s">
        <v>1535</v>
      </c>
      <c r="D20" s="574"/>
      <c r="E20" s="577" t="e" cm="1">
        <f t="array" ca="1" aca="1" ref="E20">_xlfn.LET(_xlpm.Attr,$C20,_xlpm.Lookback,$E$16,_xlpm.QueryDate,EOMONTH(val_asOfDate,_xlpm.Lookback),_xlpm.ReadField,_xldudf_CX_GET(CX_ENTITY,fx_attrConverter($C20),_xlpm.QueryDate),_xlpm.AttrBlank,_xlpm.Attr="",_xlpm.RESULT,IF(_xlpm.AttrBlank,val_blankRefText,fx_attrConverter(_xlpm.ReadField,0)),IF(_xlpm.RESULT="Error","",_xlpm.RESULT))</f>
        <v>#NAME?</v>
      </c>
      <c r="F20" s="577" t="str">
        <f t="shared" si="1"/>
        <v>Reported EBITDA</v>
      </c>
      <c r="G20" s="401"/>
      <c r="H20" s="3305">
        <v>2</v>
      </c>
      <c r="I20" s="3305">
        <v>1</v>
      </c>
      <c r="J20" s="401"/>
      <c r="K20" s="401"/>
      <c r="L20" s="579">
        <v>-1</v>
      </c>
      <c r="N20" s="158"/>
      <c r="O20" s="101"/>
      <c r="P20" s="5"/>
      <c r="Q20" s="101"/>
      <c r="R20" s="126"/>
      <c r="S20" s="101"/>
      <c r="T20" s="101"/>
      <c r="U20" s="39"/>
      <c r="W20" s="932" t="str">
        <f>(W17)</f>
        <v>Actual</v>
      </c>
      <c r="X20" s="761">
        <v>0</v>
      </c>
      <c r="Y20" s="88" t="e" cm="1">
        <f t="array" ca="1" aca="1" ref="Y20">IF($B20="",IFBLANK($E20,"Please select or type in or leave as blank"),IFBLANK($E20,$B20))</f>
        <v>#NAME?</v>
      </c>
      <c r="Z20" s="200" cm="1">
        <f t="array" ref="Z20">_xlfn.SWITCH(TRUE,_CF!$L20=TRUE,1,_CF!$L20=FALSE,-1,_CF!$L20=-1,0,"n/a")</f>
        <v>0</v>
      </c>
      <c r="AA20" s="200"/>
      <c r="AB20" s="88" t="s">
        <v>208</v>
      </c>
      <c r="AC20" s="88"/>
      <c r="AD20" s="855" t="e" cm="1">
        <f t="array" ca="1" aca="1" ref="AD20">_xlfn.LET(_xlpm.val,IF($F20="",val_blankRefText,_xldudf_CX_GET(CX_ENTITY,($F20),AD$11,AD$14,,(AD$19))),_xlpm.Res,IF(OR(_xlpm.val="",_xlpm.val="Error"),"",_xlpm.val),_xlpm.Res)</f>
        <v>#NAME?</v>
      </c>
      <c r="AE20" s="855" t="e" cm="1">
        <f t="array" ca="1" aca="1" ref="AE20">_xlfn.LET(_xlpm.val,IF($F20="",val_blankRefText,_xldudf_CX_GET(CX_ENTITY,($F20),AE$11,AE$14,,(AE$19))),_xlpm.Res,IF(OR(_xlpm.val="",_xlpm.val="Error"),"",_xlpm.val),_xlpm.Res)</f>
        <v>#NAME?</v>
      </c>
      <c r="AF20" s="855" t="e" cm="1">
        <f t="array" ca="1" aca="1" ref="AF20">_xlfn.LET(_xlpm.val,IF($F20="",val_blankRefText,_xldudf_CX_GET(CX_ENTITY,($F20),AF$11,AF$14,,(AF$19))),_xlpm.Res,IF(OR(_xlpm.val="",_xlpm.val="Error"),"",_xlpm.val),_xlpm.Res)</f>
        <v>#NAME?</v>
      </c>
      <c r="AG20" s="855" t="e" cm="1">
        <f t="array" ca="1" aca="1" ref="AG20">_xlfn.LET(_xlpm.val,IF($F20="",val_blankRefText,_xldudf_CX_GET(CX_ENTITY,($F20),AG$11,AG$14,,(AG$19))),_xlpm.Res,IF(OR(_xlpm.val="",_xlpm.val="Error"),"",_xlpm.val),_xlpm.Res)</f>
        <v>#NAME?</v>
      </c>
      <c r="AH20" s="855" t="e" cm="1">
        <f t="array" ca="1" aca="1" ref="AH20">_xlfn.LET(_xlpm.val,IF($F20="",val_blankRefText,_xldudf_CX_GET(CX_ENTITY,($F20),AH$11,AH$14,,(AH$19))),_xlpm.Res,IF(OR(_xlpm.val="",_xlpm.val="Error"),"",_xlpm.val),_xlpm.Res)</f>
        <v>#NAME?</v>
      </c>
      <c r="AI20" s="855" t="e" cm="1">
        <f t="array" ca="1" aca="1" ref="AI20">_xlfn.LET(_xlpm.val,IF($F20="",val_blankRefText,_xldudf_CX_GET(CX_ENTITY,($F20),AI$11,AI$14,,(AI$19))),_xlpm.Res,IF(OR(_xlpm.val="",_xlpm.val="Error"),"",_xlpm.val),_xlpm.Res)</f>
        <v>#NAME?</v>
      </c>
      <c r="AJ20" s="855" t="e" cm="1">
        <f t="array" ca="1" aca="1" ref="AJ20">_xlfn.LET(_xlpm.val,IF($F20="",val_blankRefText,_xldudf_CX_GET(CX_ENTITY,($F20),AJ$11,AJ$14,,(AJ$19))),_xlpm.Res,IF(OR(_xlpm.val="",_xlpm.val="Error"),"",_xlpm.val),_xlpm.Res)</f>
        <v>#NAME?</v>
      </c>
      <c r="AK20" s="855" t="e" cm="1">
        <f t="array" ca="1" aca="1" ref="AK20">_xlfn.LET(_xlpm.val,IF($F20="",val_blankRefText,_xldudf_CX_GET(CX_ENTITY,($F20),AK$11,AK$14,,(AK$19))),_xlpm.Res,IF(OR(_xlpm.val="",_xlpm.val="Error"),"",_xlpm.val),_xlpm.Res)</f>
        <v>#NAME?</v>
      </c>
      <c r="AL20" s="855" t="e" cm="1">
        <f t="array" ca="1" aca="1" ref="AL20">_xlfn.LET(_xlpm.val,IF($F20="",val_blankRefText,_xldudf_CX_GET(CX_ENTITY,($F20),AL$11,AL$14,,(AL$19))),_xlpm.Res,IF(OR(_xlpm.val="",_xlpm.val="Error"),"",_xlpm.val),_xlpm.Res)</f>
        <v>#NAME?</v>
      </c>
      <c r="AM20" s="855" t="e" cm="1">
        <f t="array" ca="1" aca="1" ref="AM20">_xlfn.LET(_xlpm.val,IF($F20="",val_blankRefText,_xldudf_CX_GET(CX_ENTITY,($F20),AM$11,AM$14,,(AM$19))),_xlpm.Res,IF(OR(_xlpm.val="",_xlpm.val="Error"),"",_xlpm.val),_xlpm.Res)</f>
        <v>#NAME?</v>
      </c>
      <c r="AN20" s="855" t="e" cm="1">
        <f t="array" ca="1" aca="1" ref="AN20">_xlfn.LET(_xlpm.val,IF($F20="",val_blankRefText,_xldudf_CX_GET(CX_ENTITY,($F20),AN$11,AN$14,,(AN$19))),_xlpm.Res,IF(OR(_xlpm.val="",_xlpm.val="Error"),"",_xlpm.val),_xlpm.Res)</f>
        <v>#NAME?</v>
      </c>
      <c r="AO20" s="855" t="e" cm="1">
        <f t="array" ca="1" aca="1" ref="AO20">_xlfn.LET(_xlpm.val,IF($F20="",val_blankRefText,_xldudf_CX_GET(CX_ENTITY,($F20),AO$11,AO$14,,(AO$19))),_xlpm.Res,IF(OR(_xlpm.val="",_xlpm.val="Error"),"",_xlpm.val),_xlpm.Res)</f>
        <v>#NAME?</v>
      </c>
      <c r="AP20" s="855" t="e" cm="1">
        <f t="array" ca="1" aca="1" ref="AP20">_xlfn.LET(_xlpm.val,IF($F20="",val_blankRefText,_xldudf_CX_GET(CX_ENTITY,($F20),AP$11,AP$14,,(AP$19))),_xlpm.Res,IF(OR(_xlpm.val="",_xlpm.val="Error"),"",_xlpm.val),_xlpm.Res)</f>
        <v>#NAME?</v>
      </c>
      <c r="AQ20" s="855" t="e" cm="1">
        <f t="array" ca="1" aca="1" ref="AQ20">_xlfn.LET(_xlpm.val,IF($F20="",val_blankRefText,_xldudf_CX_GET(CX_ENTITY,($F20),AQ$11,AQ$14,,(AQ$19))),_xlpm.Res,IF(OR(_xlpm.val="",_xlpm.val="Error"),"",_xlpm.val),_xlpm.Res)</f>
        <v>#NAME?</v>
      </c>
      <c r="AR20" s="855" t="e" cm="1">
        <f t="array" ca="1" aca="1" ref="AR20">_xlfn.LET(_xlpm.val,IF($F20="",val_blankRefText,_xldudf_CX_GET(CX_ENTITY,($F20),AR$11,AR$14,,(AR$19))),_xlpm.Res,IF(OR(_xlpm.val="",_xlpm.val="Error"),"",_xlpm.val),_xlpm.Res)</f>
        <v>#NAME?</v>
      </c>
      <c r="AS20" s="855" t="e" cm="1">
        <f t="array" ca="1" aca="1" ref="AS20">_xlfn.LET(_xlpm.val,IF($F20="",val_blankRefText,_xldudf_CX_GET(CX_ENTITY,($F20),AS$11,AS$14,,(AS$19))),_xlpm.Res,IF(OR(_xlpm.val="",_xlpm.val="Error"),"",_xlpm.val),_xlpm.Res)</f>
        <v>#NAME?</v>
      </c>
      <c r="AT20" s="855" t="e" cm="1">
        <f t="array" ca="1" aca="1" ref="AT20">_xlfn.LET(_xlpm.val,IF($F20="",val_blankRefText,_xldudf_CX_GET(CX_ENTITY,($F20),AT$11,AT$14,,(AT$19))),_xlpm.Res,IF(OR(_xlpm.val="",_xlpm.val="Error"),"",_xlpm.val),_xlpm.Res)</f>
        <v>#NAME?</v>
      </c>
      <c r="AU20" s="855" t="e" cm="1">
        <f t="array" ca="1" aca="1" ref="AU20">_xlfn.LET(_xlpm.val,IF($F20="",val_blankRefText,_xldudf_CX_GET(CX_ENTITY,($F20),AU$11,AU$14,,(AU$19))),_xlpm.Res,IF(OR(_xlpm.val="",_xlpm.val="Error"),"",_xlpm.val),_xlpm.Res)</f>
        <v>#NAME?</v>
      </c>
      <c r="AV20" s="855" t="e" cm="1">
        <f t="array" ca="1" aca="1" ref="AV20">_xlfn.LET(_xlpm.val,IF($F20="",val_blankRefText,_xldudf_CX_GET(CX_ENTITY,($F20),AV$11,AV$14,,(AV$19))),_xlpm.Res,IF(OR(_xlpm.val="",_xlpm.val="Error"),"",_xlpm.val),_xlpm.Res)</f>
        <v>#NAME?</v>
      </c>
      <c r="AW20" s="855" t="e" cm="1">
        <f t="array" ca="1" aca="1" ref="AW20">_xlfn.LET(_xlpm.val,IF($F20="",val_blankRefText,_xldudf_CX_GET(CX_ENTITY,($F20),AW$11,AW$14,,(AW$19))),_xlpm.Res,IF(OR(_xlpm.val="",_xlpm.val="Error"),"",_xlpm.val),_xlpm.Res)</f>
        <v>#NAME?</v>
      </c>
      <c r="AX20" s="855" t="e" cm="1">
        <f t="array" ca="1" aca="1" ref="AX20">_xlfn.LET(_xlpm.val,IF($F20="",val_blankRefText,_xldudf_CX_GET(CX_ENTITY,($F20),AX$11,AX$14,,(AX$19))),_xlpm.Res,IF(OR(_xlpm.val="",_xlpm.val="Error"),"",_xlpm.val),_xlpm.Res)</f>
        <v>#NAME?</v>
      </c>
      <c r="AY20" s="855" t="e" cm="1">
        <f t="array" ca="1" aca="1" ref="AY20">_xlfn.LET(_xlpm.val,IF($F20="",val_blankRefText,_xldudf_CX_GET(CX_ENTITY,($F20),AY$11,AY$14,,(AY$19))),_xlpm.Res,IF(OR(_xlpm.val="",_xlpm.val="Error"),"",_xlpm.val),_xlpm.Res)</f>
        <v>#NAME?</v>
      </c>
      <c r="AZ20" s="855" t="e" cm="1">
        <f t="array" ca="1" aca="1" ref="AZ20">_xlfn.LET(_xlpm.val,IF($F20="",val_blankRefText,_xldudf_CX_GET(CX_ENTITY,($F20),AZ$11,AZ$14,,(AZ$19))),_xlpm.Res,IF(OR(_xlpm.val="",_xlpm.val="Error"),"",_xlpm.val),_xlpm.Res)</f>
        <v>#NAME?</v>
      </c>
      <c r="BA20" s="855" t="e" cm="1">
        <f t="array" ca="1" aca="1" ref="BA20">_xlfn.LET(_xlpm.val,IF($F20="",val_blankRefText,_xldudf_CX_GET(CX_ENTITY,($F20),BA$11,BA$14,,(BA$19))),_xlpm.Res,IF(OR(_xlpm.val="",_xlpm.val="Error"),"",_xlpm.val),_xlpm.Res)</f>
        <v>#NAME?</v>
      </c>
      <c r="BB20" s="855" t="e" cm="1">
        <f t="array" ca="1" aca="1" ref="BB20">_xlfn.LET(_xlpm.val,IF($F20="",val_blankRefText,_xldudf_CX_GET(CX_ENTITY,($F20),BB$11,BB$14,,(BB$19))),_xlpm.Res,IF(OR(_xlpm.val="",_xlpm.val="Error"),"",_xlpm.val),_xlpm.Res)</f>
        <v>#NAME?</v>
      </c>
      <c r="BC20" s="855" t="e" cm="1">
        <f t="array" ca="1" aca="1" ref="BC20">_xlfn.LET(_xlpm.val,IF($F20="",val_blankRefText,_xldudf_CX_GET(CX_ENTITY,($F20),BC$11,BC$14,,(BC$19))),_xlpm.Res,IF(OR(_xlpm.val="",_xlpm.val="Error"),"",_xlpm.val),_xlpm.Res)</f>
        <v>#NAME?</v>
      </c>
      <c r="BD20" s="855" t="e" cm="1">
        <f t="array" ca="1" aca="1" ref="BD20">_xlfn.LET(_xlpm.val,IF($F20="",val_blankRefText,_xldudf_CX_GET(CX_ENTITY,($F20),BD$11,BD$14,,(BD$19))),_xlpm.Res,IF(OR(_xlpm.val="",_xlpm.val="Error"),"",_xlpm.val),_xlpm.Res)</f>
        <v>#NAME?</v>
      </c>
      <c r="BE20" s="855" t="e" cm="1">
        <f t="array" ca="1" aca="1" ref="BE20">_xlfn.LET(_xlpm.val,IF($F20="",val_blankRefText,_xldudf_CX_GET(CX_ENTITY,($F20),BE$11,BE$14,,(BE$19))),_xlpm.Res,IF(OR(_xlpm.val="",_xlpm.val="Error"),"",_xlpm.val),_xlpm.Res)</f>
        <v>#NAME?</v>
      </c>
      <c r="BF20" s="855" t="e" cm="1">
        <f t="array" ca="1" aca="1" ref="BF20">_xlfn.LET(_xlpm.val,IF($F20="",val_blankRefText,_xldudf_CX_GET(CX_ENTITY,($F20),BF$11,BF$14,,(BF$19))),_xlpm.Res,IF(OR(_xlpm.val="",_xlpm.val="Error"),"",_xlpm.val),_xlpm.Res)</f>
        <v>#NAME?</v>
      </c>
      <c r="BG20" s="855" t="e" cm="1">
        <f t="array" ca="1" aca="1" ref="BG20">_xlfn.LET(_xlpm.val,IF($F20="",val_blankRefText,_xldudf_CX_GET(CX_ENTITY,($F20),BG$11,BG$14,,(BG$19))),_xlpm.Res,IF(OR(_xlpm.val="",_xlpm.val="Error"),"",_xlpm.val),_xlpm.Res)</f>
        <v>#NAME?</v>
      </c>
      <c r="BH20" s="855" t="e" cm="1">
        <f t="array" ca="1" aca="1" ref="BH20">_xlfn.LET(_xlpm.val,IF($F20="",val_blankRefText,_xldudf_CX_GET(CX_ENTITY,($F20),BH$11,BH$14,,(BH$19))),_xlpm.Res,IF(OR(_xlpm.val="",_xlpm.val="Error"),"",_xlpm.val),_xlpm.Res)</f>
        <v>#NAME?</v>
      </c>
      <c r="BI20" s="855" t="e" cm="1">
        <f t="array" ca="1" aca="1" ref="BI20">_xlfn.LET(_xlpm.val,IF($F20="",val_blankRefText,_xldudf_CX_GET(CX_ENTITY,($F20),BI$11,BI$14,,(BI$19))),_xlpm.Res,IF(OR(_xlpm.val="",_xlpm.val="Error"),"",_xlpm.val),_xlpm.Res)</f>
        <v>#NAME?</v>
      </c>
      <c r="BJ20" s="855" t="e" cm="1">
        <f t="array" ca="1" aca="1" ref="BJ20">_xlfn.LET(_xlpm.val,IF($F20="",val_blankRefText,_xldudf_CX_GET(CX_ENTITY,($F20),BJ$11,BJ$14,,(BJ$19))),_xlpm.Res,IF(OR(_xlpm.val="",_xlpm.val="Error"),"",_xlpm.val),_xlpm.Res)</f>
        <v>#NAME?</v>
      </c>
      <c r="BK20" s="855" t="e" cm="1">
        <f t="array" ca="1" aca="1" ref="BK20">_xlfn.LET(_xlpm.val,IF($F20="",val_blankRefText,_xldudf_CX_GET(CX_ENTITY,($F20),BK$11,BK$14,,(BK$19))),_xlpm.Res,IF(OR(_xlpm.val="",_xlpm.val="Error"),"",_xlpm.val),_xlpm.Res)</f>
        <v>#NAME?</v>
      </c>
      <c r="BL20" s="855" t="e" cm="1">
        <f t="array" ca="1" aca="1" ref="BL20">_xlfn.LET(_xlpm.val,IF($F20="",val_blankRefText,_xldudf_CX_GET(CX_ENTITY,($F20),BL$11,BL$14,,(BL$19))),_xlpm.Res,IF(OR(_xlpm.val="",_xlpm.val="Error"),"",_xlpm.val),_xlpm.Res)</f>
        <v>#NAME?</v>
      </c>
      <c r="BM20" s="855" t="e" cm="1">
        <f t="array" ca="1" aca="1" ref="BM20">_xlfn.LET(_xlpm.val,IF($F20="",val_blankRefText,_xldudf_CX_GET(CX_ENTITY,($F20),BM$11,BM$14,,(BM$19))),_xlpm.Res,IF(OR(_xlpm.val="",_xlpm.val="Error"),"",_xlpm.val),_xlpm.Res)</f>
        <v>#NAME?</v>
      </c>
      <c r="BN20" s="855" t="e" cm="1">
        <f t="array" ca="1" aca="1" ref="BN20">_xlfn.LET(_xlpm.val,IF($F20="",val_blankRefText,_xldudf_CX_GET(CX_ENTITY,($F20),BN$11,BN$14,,(BN$19))),_xlpm.Res,IF(OR(_xlpm.val="",_xlpm.val="Error"),"",_xlpm.val),_xlpm.Res)</f>
        <v>#NAME?</v>
      </c>
      <c r="BO20" s="1844"/>
      <c r="BP20" s="1844"/>
      <c r="BQ20" s="1844"/>
      <c r="BR20" s="1844"/>
      <c r="BS20" s="1844"/>
      <c r="BT20" s="1844"/>
      <c r="BU20" s="1844"/>
      <c r="BV20" s="1844"/>
      <c r="BW20" s="1844"/>
      <c r="BX20" s="1844"/>
      <c r="BY20" s="1844"/>
      <c r="BZ20" s="1844"/>
      <c r="CA20" s="34"/>
      <c r="CC20" s="33"/>
      <c r="CD20" s="1461" t="e" cm="1">
        <f t="array" ca="1" aca="1" ref="CD20">_xlfn.LET(_xlpm.CheckBlank,SUM(CF!$AD20:$BN20)=0,IF(_xlpm.CheckBlank,"",SUM(_xlfn._xlws.FILTER(CF!$AD20:$BN20,(YEAR(CF!$AD$12:$BN$12)=CF!CD$12)*(array_timeline&lt;=CF!CD$11)))))</f>
        <v>#NAME?</v>
      </c>
      <c r="CE20" s="1461" t="e" cm="1">
        <f t="array" ca="1" aca="1" ref="CE20">_xlfn.LET(_xlpm.CheckBlank,SUM(CF!$AD20:$BN20)=0,IF(_xlpm.CheckBlank,"",SUM(_xlfn._xlws.FILTER(CF!$AD20:$BN20,(YEAR(CF!$AD$12:$BN$12)=CF!CE$12)*(array_timeline&lt;=CF!CE$11)))))</f>
        <v>#NAME?</v>
      </c>
      <c r="CF20" s="1314"/>
      <c r="CG20" s="1461" t="e" cm="1">
        <f t="array" ca="1" aca="1" ref="CG20">_xlfn.LET(_xlpm.CheckBlank,SUM(CF!$AD20:$BN20)=0,IF(_xlpm.CheckBlank,"",SUM(_xlfn._xlws.FILTER(CF!$AD20:$BN20,(YEAR(CF!$AD$12:$BN$12)=CF!CG$12)*(array_timeline&lt;=CF!CG$11)))))</f>
        <v>#NAME?</v>
      </c>
      <c r="CH20" s="1461" t="e" cm="1">
        <f t="array" ca="1" aca="1" ref="CH20">_xlfn.LET(_xlpm.CheckBlank,SUM(CF!$AD20:$BN20)=0,IF(_xlpm.CheckBlank,"",SUM(_xlfn._xlws.FILTER(CF!$AD20:$BN20,(YEAR(CF!$AD$12:$BN$12)=CF!CH$12)*(array_timeline&lt;=CF!CH$11)))))</f>
        <v>#NAME?</v>
      </c>
      <c r="CI20" s="1314"/>
      <c r="CJ20" s="1657" cm="1">
        <f t="array" ref="CJ20">_xlfn.LET(_xlpm.CheckBlank,SUM(CF!$AD20:$BN20)=0,IF(_xlpm.CheckBlank,"",SUM(_xlfn.TAKE(_xlfn.DROP(CF!$AD20:$BN20,,-DATEDIFF(CF!CJ$11,val_asOfDate,"M")),1,-12))))</f>
        <v>36</v>
      </c>
      <c r="CK20" s="1657" cm="1">
        <f t="array" ref="CK20">_xlfn.LET(_xlpm.CheckBlank,SUM(CF!$AD20:$BN20)=0,IF(_xlpm.CheckBlank,"",SUM(_xlfn.TAKE(_xlfn.DROP(CF!$AD20:$BN20,,-DATEDIFF(CF!CK$11,val_asOfDate,"M")),1,-12))))</f>
        <v>36</v>
      </c>
      <c r="CL20" s="88"/>
      <c r="CM20" s="541" t="e" cm="1">
        <f t="array" ca="1" aca="1" ref="CM20">_xlfn.LET(_xlpm.val,IF($F20="",val_blankRefText,_xldudf_CX_GET(CX_ENTITY,($F20),CM$11,CM$14,,(CM$19))),_xlpm.Res,IF(OR(_xlpm.val="",_xlpm.val="Error"),"",_xlpm.val),_xlpm.Res)</f>
        <v>#NAME?</v>
      </c>
      <c r="CN20" s="541" t="e" cm="1">
        <f t="array" ca="1" aca="1" ref="CN20">_xlfn.LET(_xlpm.val,IF($F20="",val_blankRefText,_xldudf_CX_GET(CX_ENTITY,($F20),CN$11,CN$14,,(CN$19))),_xlpm.Res,IF(OR(_xlpm.val="",_xlpm.val="Error"),"",_xlpm.val),_xlpm.Res)</f>
        <v>#NAME?</v>
      </c>
      <c r="CO20" s="34"/>
      <c r="CR20" s="4"/>
      <c r="CS20" s="4"/>
      <c r="CW20" s="4"/>
    </row>
    <row r="21" spans="1:101" ht="21" customHeight="1">
      <c r="A21" s="696"/>
      <c r="B21" s="574" t="s">
        <v>238</v>
      </c>
      <c r="C21" s="574" t="s">
        <v>1670</v>
      </c>
      <c r="D21" s="574"/>
      <c r="E21" s="577" t="e" cm="1">
        <f t="array" ca="1" aca="1" ref="E21">_xlfn.LET(_xlpm.Attr,$C21,_xlpm.Lookback,$E$16,_xlpm.QueryDate,EOMONTH(val_asOfDate,_xlpm.Lookback),_xlpm.ReadField,_xldudf_CX_GET(CX_ENTITY,fx_attrConverter($C21),_xlpm.QueryDate),_xlpm.AttrBlank,_xlpm.Attr="",_xlpm.RESULT,IF(_xlpm.AttrBlank,val_blankRefText,fx_attrConverter(_xlpm.ReadField,0)),IF(_xlpm.RESULT="Error","",_xlpm.RESULT))</f>
        <v>#NAME?</v>
      </c>
      <c r="F21" s="577" t="str">
        <f t="shared" si="1"/>
        <v>Non-Cash Adjustments</v>
      </c>
      <c r="G21" s="401"/>
      <c r="H21" s="3280">
        <v>1</v>
      </c>
      <c r="I21" s="3280">
        <v>1</v>
      </c>
      <c r="J21" s="401"/>
      <c r="K21" s="401"/>
      <c r="L21" s="3269" t="b">
        <v>1</v>
      </c>
      <c r="N21" s="158"/>
      <c r="O21" s="101"/>
      <c r="P21" s="52"/>
      <c r="Q21" s="101"/>
      <c r="R21" s="126"/>
      <c r="S21" s="101"/>
      <c r="T21" s="101"/>
      <c r="U21" s="39"/>
      <c r="W21" s="932" t="str">
        <f>$W$20</f>
        <v>Actual</v>
      </c>
      <c r="X21" s="761" t="s">
        <v>62</v>
      </c>
      <c r="Y21" s="88" t="e" cm="1">
        <f t="array" ca="1" aca="1" ref="Y21">IF($B21="",IFBLANK($E21,"Please select or type in or leave as blank"),IFBLANK($E21,$B21))</f>
        <v>#NAME?</v>
      </c>
      <c r="Z21" s="3300" cm="1">
        <f t="array" ref="Z21">_xlfn.SWITCH(TRUE,_CF!$L21=TRUE,1,_CF!$L21=FALSE,-1,_CF!$L21=-1,0,"n/a")</f>
        <v>1</v>
      </c>
      <c r="AA21" s="200"/>
      <c r="AB21" s="88" t="s">
        <v>238</v>
      </c>
      <c r="AC21" s="88"/>
      <c r="AD21" s="855" t="e" cm="1">
        <f t="array" ca="1" aca="1" ref="AD21">_xlfn.LET(_xlpm.val,IF($F21="",val_blankRefText,_xldudf_CX_GET(CX_ENTITY,($F21),AD$11,AD$14,,(AD$19))),_xlpm.Res,IF(OR(_xlpm.val="",_xlpm.val="Error"),"",_xlpm.val),_xlpm.Res)</f>
        <v>#NAME?</v>
      </c>
      <c r="AE21" s="855" t="e" cm="1">
        <f t="array" ca="1" aca="1" ref="AE21">_xlfn.LET(_xlpm.val,IF($F21="",val_blankRefText,_xldudf_CX_GET(CX_ENTITY,($F21),AE$11,AE$14,,(AE$19))),_xlpm.Res,IF(OR(_xlpm.val="",_xlpm.val="Error"),"",_xlpm.val),_xlpm.Res)</f>
        <v>#NAME?</v>
      </c>
      <c r="AF21" s="855" t="e" cm="1">
        <f t="array" ca="1" aca="1" ref="AF21">_xlfn.LET(_xlpm.val,IF($F21="",val_blankRefText,_xldudf_CX_GET(CX_ENTITY,($F21),AF$11,AF$14,,(AF$19))),_xlpm.Res,IF(OR(_xlpm.val="",_xlpm.val="Error"),"",_xlpm.val),_xlpm.Res)</f>
        <v>#NAME?</v>
      </c>
      <c r="AG21" s="855" t="e" cm="1">
        <f t="array" ca="1" aca="1" ref="AG21">_xlfn.LET(_xlpm.val,IF($F21="",val_blankRefText,_xldudf_CX_GET(CX_ENTITY,($F21),AG$11,AG$14,,(AG$19))),_xlpm.Res,IF(OR(_xlpm.val="",_xlpm.val="Error"),"",_xlpm.val),_xlpm.Res)</f>
        <v>#NAME?</v>
      </c>
      <c r="AH21" s="855" t="e" cm="1">
        <f t="array" ca="1" aca="1" ref="AH21">_xlfn.LET(_xlpm.val,IF($F21="",val_blankRefText,_xldudf_CX_GET(CX_ENTITY,($F21),AH$11,AH$14,,(AH$19))),_xlpm.Res,IF(OR(_xlpm.val="",_xlpm.val="Error"),"",_xlpm.val),_xlpm.Res)</f>
        <v>#NAME?</v>
      </c>
      <c r="AI21" s="855" t="e" cm="1">
        <f t="array" ca="1" aca="1" ref="AI21">_xlfn.LET(_xlpm.val,IF($F21="",val_blankRefText,_xldudf_CX_GET(CX_ENTITY,($F21),AI$11,AI$14,,(AI$19))),_xlpm.Res,IF(OR(_xlpm.val="",_xlpm.val="Error"),"",_xlpm.val),_xlpm.Res)</f>
        <v>#NAME?</v>
      </c>
      <c r="AJ21" s="855" t="e" cm="1">
        <f t="array" ca="1" aca="1" ref="AJ21">_xlfn.LET(_xlpm.val,IF($F21="",val_blankRefText,_xldudf_CX_GET(CX_ENTITY,($F21),AJ$11,AJ$14,,(AJ$19))),_xlpm.Res,IF(OR(_xlpm.val="",_xlpm.val="Error"),"",_xlpm.val),_xlpm.Res)</f>
        <v>#NAME?</v>
      </c>
      <c r="AK21" s="855" t="e" cm="1">
        <f t="array" ca="1" aca="1" ref="AK21">_xlfn.LET(_xlpm.val,IF($F21="",val_blankRefText,_xldudf_CX_GET(CX_ENTITY,($F21),AK$11,AK$14,,(AK$19))),_xlpm.Res,IF(OR(_xlpm.val="",_xlpm.val="Error"),"",_xlpm.val),_xlpm.Res)</f>
        <v>#NAME?</v>
      </c>
      <c r="AL21" s="855" t="e" cm="1">
        <f t="array" ca="1" aca="1" ref="AL21">_xlfn.LET(_xlpm.val,IF($F21="",val_blankRefText,_xldudf_CX_GET(CX_ENTITY,($F21),AL$11,AL$14,,(AL$19))),_xlpm.Res,IF(OR(_xlpm.val="",_xlpm.val="Error"),"",_xlpm.val),_xlpm.Res)</f>
        <v>#NAME?</v>
      </c>
      <c r="AM21" s="855" t="e" cm="1">
        <f t="array" ca="1" aca="1" ref="AM21">_xlfn.LET(_xlpm.val,IF($F21="",val_blankRefText,_xldudf_CX_GET(CX_ENTITY,($F21),AM$11,AM$14,,(AM$19))),_xlpm.Res,IF(OR(_xlpm.val="",_xlpm.val="Error"),"",_xlpm.val),_xlpm.Res)</f>
        <v>#NAME?</v>
      </c>
      <c r="AN21" s="855" t="e" cm="1">
        <f t="array" ca="1" aca="1" ref="AN21">_xlfn.LET(_xlpm.val,IF($F21="",val_blankRefText,_xldudf_CX_GET(CX_ENTITY,($F21),AN$11,AN$14,,(AN$19))),_xlpm.Res,IF(OR(_xlpm.val="",_xlpm.val="Error"),"",_xlpm.val),_xlpm.Res)</f>
        <v>#NAME?</v>
      </c>
      <c r="AO21" s="855" t="e" cm="1">
        <f t="array" ca="1" aca="1" ref="AO21">_xlfn.LET(_xlpm.val,IF($F21="",val_blankRefText,_xldudf_CX_GET(CX_ENTITY,($F21),AO$11,AO$14,,(AO$19))),_xlpm.Res,IF(OR(_xlpm.val="",_xlpm.val="Error"),"",_xlpm.val),_xlpm.Res)</f>
        <v>#NAME?</v>
      </c>
      <c r="AP21" s="855" t="e" cm="1">
        <f t="array" ca="1" aca="1" ref="AP21">_xlfn.LET(_xlpm.val,IF($F21="",val_blankRefText,_xldudf_CX_GET(CX_ENTITY,($F21),AP$11,AP$14,,(AP$19))),_xlpm.Res,IF(OR(_xlpm.val="",_xlpm.val="Error"),"",_xlpm.val),_xlpm.Res)</f>
        <v>#NAME?</v>
      </c>
      <c r="AQ21" s="855" t="e" cm="1">
        <f t="array" ca="1" aca="1" ref="AQ21">_xlfn.LET(_xlpm.val,IF($F21="",val_blankRefText,_xldudf_CX_GET(CX_ENTITY,($F21),AQ$11,AQ$14,,(AQ$19))),_xlpm.Res,IF(OR(_xlpm.val="",_xlpm.val="Error"),"",_xlpm.val),_xlpm.Res)</f>
        <v>#NAME?</v>
      </c>
      <c r="AR21" s="855" t="e" cm="1">
        <f t="array" ca="1" aca="1" ref="AR21">_xlfn.LET(_xlpm.val,IF($F21="",val_blankRefText,_xldudf_CX_GET(CX_ENTITY,($F21),AR$11,AR$14,,(AR$19))),_xlpm.Res,IF(OR(_xlpm.val="",_xlpm.val="Error"),"",_xlpm.val),_xlpm.Res)</f>
        <v>#NAME?</v>
      </c>
      <c r="AS21" s="855" t="e" cm="1">
        <f t="array" ca="1" aca="1" ref="AS21">_xlfn.LET(_xlpm.val,IF($F21="",val_blankRefText,_xldudf_CX_GET(CX_ENTITY,($F21),AS$11,AS$14,,(AS$19))),_xlpm.Res,IF(OR(_xlpm.val="",_xlpm.val="Error"),"",_xlpm.val),_xlpm.Res)</f>
        <v>#NAME?</v>
      </c>
      <c r="AT21" s="855" t="e" cm="1">
        <f t="array" ca="1" aca="1" ref="AT21">_xlfn.LET(_xlpm.val,IF($F21="",val_blankRefText,_xldudf_CX_GET(CX_ENTITY,($F21),AT$11,AT$14,,(AT$19))),_xlpm.Res,IF(OR(_xlpm.val="",_xlpm.val="Error"),"",_xlpm.val),_xlpm.Res)</f>
        <v>#NAME?</v>
      </c>
      <c r="AU21" s="855" t="e" cm="1">
        <f t="array" ca="1" aca="1" ref="AU21">_xlfn.LET(_xlpm.val,IF($F21="",val_blankRefText,_xldudf_CX_GET(CX_ENTITY,($F21),AU$11,AU$14,,(AU$19))),_xlpm.Res,IF(OR(_xlpm.val="",_xlpm.val="Error"),"",_xlpm.val),_xlpm.Res)</f>
        <v>#NAME?</v>
      </c>
      <c r="AV21" s="855" t="e" cm="1">
        <f t="array" ca="1" aca="1" ref="AV21">_xlfn.LET(_xlpm.val,IF($F21="",val_blankRefText,_xldudf_CX_GET(CX_ENTITY,($F21),AV$11,AV$14,,(AV$19))),_xlpm.Res,IF(OR(_xlpm.val="",_xlpm.val="Error"),"",_xlpm.val),_xlpm.Res)</f>
        <v>#NAME?</v>
      </c>
      <c r="AW21" s="855" t="e" cm="1">
        <f t="array" ca="1" aca="1" ref="AW21">_xlfn.LET(_xlpm.val,IF($F21="",val_blankRefText,_xldudf_CX_GET(CX_ENTITY,($F21),AW$11,AW$14,,(AW$19))),_xlpm.Res,IF(OR(_xlpm.val="",_xlpm.val="Error"),"",_xlpm.val),_xlpm.Res)</f>
        <v>#NAME?</v>
      </c>
      <c r="AX21" s="855" t="e" cm="1">
        <f t="array" ca="1" aca="1" ref="AX21">_xlfn.LET(_xlpm.val,IF($F21="",val_blankRefText,_xldudf_CX_GET(CX_ENTITY,($F21),AX$11,AX$14,,(AX$19))),_xlpm.Res,IF(OR(_xlpm.val="",_xlpm.val="Error"),"",_xlpm.val),_xlpm.Res)</f>
        <v>#NAME?</v>
      </c>
      <c r="AY21" s="855" t="e" cm="1">
        <f t="array" ca="1" aca="1" ref="AY21">_xlfn.LET(_xlpm.val,IF($F21="",val_blankRefText,_xldudf_CX_GET(CX_ENTITY,($F21),AY$11,AY$14,,(AY$19))),_xlpm.Res,IF(OR(_xlpm.val="",_xlpm.val="Error"),"",_xlpm.val),_xlpm.Res)</f>
        <v>#NAME?</v>
      </c>
      <c r="AZ21" s="855" t="e" cm="1">
        <f t="array" ca="1" aca="1" ref="AZ21">_xlfn.LET(_xlpm.val,IF($F21="",val_blankRefText,_xldudf_CX_GET(CX_ENTITY,($F21),AZ$11,AZ$14,,(AZ$19))),_xlpm.Res,IF(OR(_xlpm.val="",_xlpm.val="Error"),"",_xlpm.val),_xlpm.Res)</f>
        <v>#NAME?</v>
      </c>
      <c r="BA21" s="855" t="e" cm="1">
        <f t="array" ca="1" aca="1" ref="BA21">_xlfn.LET(_xlpm.val,IF($F21="",val_blankRefText,_xldudf_CX_GET(CX_ENTITY,($F21),BA$11,BA$14,,(BA$19))),_xlpm.Res,IF(OR(_xlpm.val="",_xlpm.val="Error"),"",_xlpm.val),_xlpm.Res)</f>
        <v>#NAME?</v>
      </c>
      <c r="BB21" s="855" t="e" cm="1">
        <f t="array" ca="1" aca="1" ref="BB21">_xlfn.LET(_xlpm.val,IF($F21="",val_blankRefText,_xldudf_CX_GET(CX_ENTITY,($F21),BB$11,BB$14,,(BB$19))),_xlpm.Res,IF(OR(_xlpm.val="",_xlpm.val="Error"),"",_xlpm.val),_xlpm.Res)</f>
        <v>#NAME?</v>
      </c>
      <c r="BC21" s="855" t="e" cm="1">
        <f t="array" ca="1" aca="1" ref="BC21">_xlfn.LET(_xlpm.val,IF($F21="",val_blankRefText,_xldudf_CX_GET(CX_ENTITY,($F21),BC$11,BC$14,,(BC$19))),_xlpm.Res,IF(OR(_xlpm.val="",_xlpm.val="Error"),"",_xlpm.val),_xlpm.Res)</f>
        <v>#NAME?</v>
      </c>
      <c r="BD21" s="855" t="e" cm="1">
        <f t="array" ca="1" aca="1" ref="BD21">_xlfn.LET(_xlpm.val,IF($F21="",val_blankRefText,_xldudf_CX_GET(CX_ENTITY,($F21),BD$11,BD$14,,(BD$19))),_xlpm.Res,IF(OR(_xlpm.val="",_xlpm.val="Error"),"",_xlpm.val),_xlpm.Res)</f>
        <v>#NAME?</v>
      </c>
      <c r="BE21" s="855" t="e" cm="1">
        <f t="array" ca="1" aca="1" ref="BE21">_xlfn.LET(_xlpm.val,IF($F21="",val_blankRefText,_xldudf_CX_GET(CX_ENTITY,($F21),BE$11,BE$14,,(BE$19))),_xlpm.Res,IF(OR(_xlpm.val="",_xlpm.val="Error"),"",_xlpm.val),_xlpm.Res)</f>
        <v>#NAME?</v>
      </c>
      <c r="BF21" s="855" t="e" cm="1">
        <f t="array" ca="1" aca="1" ref="BF21">_xlfn.LET(_xlpm.val,IF($F21="",val_blankRefText,_xldudf_CX_GET(CX_ENTITY,($F21),BF$11,BF$14,,(BF$19))),_xlpm.Res,IF(OR(_xlpm.val="",_xlpm.val="Error"),"",_xlpm.val),_xlpm.Res)</f>
        <v>#NAME?</v>
      </c>
      <c r="BG21" s="855" t="e" cm="1">
        <f t="array" ca="1" aca="1" ref="BG21">_xlfn.LET(_xlpm.val,IF($F21="",val_blankRefText,_xldudf_CX_GET(CX_ENTITY,($F21),BG$11,BG$14,,(BG$19))),_xlpm.Res,IF(OR(_xlpm.val="",_xlpm.val="Error"),"",_xlpm.val),_xlpm.Res)</f>
        <v>#NAME?</v>
      </c>
      <c r="BH21" s="855" t="e" cm="1">
        <f t="array" ca="1" aca="1" ref="BH21">_xlfn.LET(_xlpm.val,IF($F21="",val_blankRefText,_xldudf_CX_GET(CX_ENTITY,($F21),BH$11,BH$14,,(BH$19))),_xlpm.Res,IF(OR(_xlpm.val="",_xlpm.val="Error"),"",_xlpm.val),_xlpm.Res)</f>
        <v>#NAME?</v>
      </c>
      <c r="BI21" s="855" t="e" cm="1">
        <f t="array" ca="1" aca="1" ref="BI21">_xlfn.LET(_xlpm.val,IF($F21="",val_blankRefText,_xldudf_CX_GET(CX_ENTITY,($F21),BI$11,BI$14,,(BI$19))),_xlpm.Res,IF(OR(_xlpm.val="",_xlpm.val="Error"),"",_xlpm.val),_xlpm.Res)</f>
        <v>#NAME?</v>
      </c>
      <c r="BJ21" s="855" t="e" cm="1">
        <f t="array" ca="1" aca="1" ref="BJ21">_xlfn.LET(_xlpm.val,IF($F21="",val_blankRefText,_xldudf_CX_GET(CX_ENTITY,($F21),BJ$11,BJ$14,,(BJ$19))),_xlpm.Res,IF(OR(_xlpm.val="",_xlpm.val="Error"),"",_xlpm.val),_xlpm.Res)</f>
        <v>#NAME?</v>
      </c>
      <c r="BK21" s="855" t="e" cm="1">
        <f t="array" ca="1" aca="1" ref="BK21">_xlfn.LET(_xlpm.val,IF($F21="",val_blankRefText,_xldudf_CX_GET(CX_ENTITY,($F21),BK$11,BK$14,,(BK$19))),_xlpm.Res,IF(OR(_xlpm.val="",_xlpm.val="Error"),"",_xlpm.val),_xlpm.Res)</f>
        <v>#NAME?</v>
      </c>
      <c r="BL21" s="855" t="e" cm="1">
        <f t="array" ca="1" aca="1" ref="BL21">_xlfn.LET(_xlpm.val,IF($F21="",val_blankRefText,_xldudf_CX_GET(CX_ENTITY,($F21),BL$11,BL$14,,(BL$19))),_xlpm.Res,IF(OR(_xlpm.val="",_xlpm.val="Error"),"",_xlpm.val),_xlpm.Res)</f>
        <v>#NAME?</v>
      </c>
      <c r="BM21" s="855" t="e" cm="1">
        <f t="array" ca="1" aca="1" ref="BM21">_xlfn.LET(_xlpm.val,IF($F21="",val_blankRefText,_xldudf_CX_GET(CX_ENTITY,($F21),BM$11,BM$14,,(BM$19))),_xlpm.Res,IF(OR(_xlpm.val="",_xlpm.val="Error"),"",_xlpm.val),_xlpm.Res)</f>
        <v>#NAME?</v>
      </c>
      <c r="BN21" s="855" t="e" cm="1">
        <f t="array" ca="1" aca="1" ref="BN21">_xlfn.LET(_xlpm.val,IF($F21="",val_blankRefText,_xldudf_CX_GET(CX_ENTITY,($F21),BN$11,BN$14,,(BN$19))),_xlpm.Res,IF(OR(_xlpm.val="",_xlpm.val="Error"),"",_xlpm.val),_xlpm.Res)</f>
        <v>#NAME?</v>
      </c>
      <c r="BO21" s="1844"/>
      <c r="BP21" s="1844"/>
      <c r="BQ21" s="1844"/>
      <c r="BR21" s="1844"/>
      <c r="BS21" s="1844"/>
      <c r="BT21" s="1844"/>
      <c r="BU21" s="1844"/>
      <c r="BV21" s="1844"/>
      <c r="BW21" s="1844"/>
      <c r="BX21" s="1844"/>
      <c r="BY21" s="1844"/>
      <c r="BZ21" s="1844"/>
      <c r="CA21" s="34"/>
      <c r="CC21" s="33"/>
      <c r="CD21" s="1461" t="e" cm="1">
        <f t="array" ca="1" aca="1" ref="CD21">_xlfn.LET(_xlpm.CheckBlank,SUM(CF!$AD21:$BN21)=0,IF(_xlpm.CheckBlank,"",SUM(_xlfn._xlws.FILTER(CF!$AD21:$BN21,(YEAR(CF!$AD$12:$BN$12)=CF!CD$12)*(array_timeline&lt;=CF!CD$11)))))</f>
        <v>#NAME?</v>
      </c>
      <c r="CE21" s="1461" t="e" cm="1">
        <f t="array" ca="1" aca="1" ref="CE21">_xlfn.LET(_xlpm.CheckBlank,SUM(CF!$AD21:$BN21)=0,IF(_xlpm.CheckBlank,"",SUM(_xlfn._xlws.FILTER(CF!$AD21:$BN21,(YEAR(CF!$AD$12:$BN$12)=CF!CE$12)*(array_timeline&lt;=CF!CE$11)))))</f>
        <v>#NAME?</v>
      </c>
      <c r="CF21" s="1314"/>
      <c r="CG21" s="1461" t="e" cm="1">
        <f t="array" ca="1" aca="1" ref="CG21">_xlfn.LET(_xlpm.CheckBlank,SUM(CF!$AD21:$BN21)=0,IF(_xlpm.CheckBlank,"",SUM(_xlfn._xlws.FILTER(CF!$AD21:$BN21,(YEAR(CF!$AD$12:$BN$12)=CF!CG$12)*(array_timeline&lt;=CF!CG$11)))))</f>
        <v>#NAME?</v>
      </c>
      <c r="CH21" s="1461" t="e" cm="1">
        <f t="array" ca="1" aca="1" ref="CH21">_xlfn.LET(_xlpm.CheckBlank,SUM(CF!$AD21:$BN21)=0,IF(_xlpm.CheckBlank,"",SUM(_xlfn._xlws.FILTER(CF!$AD21:$BN21,(YEAR(CF!$AD$12:$BN$12)=CF!CH$12)*(array_timeline&lt;=CF!CH$11)))))</f>
        <v>#NAME?</v>
      </c>
      <c r="CI21" s="1314"/>
      <c r="CJ21" s="1657" cm="1">
        <f t="array" ref="CJ21">_xlfn.LET(_xlpm.CheckBlank,SUM(CF!$AD21:$BN21)=0,IF(_xlpm.CheckBlank,"",SUM(_xlfn.TAKE(_xlfn.DROP(CF!$AD21:$BN21,,-DATEDIFF(CF!CJ$11,val_asOfDate,"M")),1,-12))))</f>
        <v>12</v>
      </c>
      <c r="CK21" s="1657" cm="1">
        <f t="array" ref="CK21">_xlfn.LET(_xlpm.CheckBlank,SUM(CF!$AD21:$BN21)=0,IF(_xlpm.CheckBlank,"",SUM(_xlfn.TAKE(_xlfn.DROP(CF!$AD21:$BN21,,-DATEDIFF(CF!CK$11,val_asOfDate,"M")),1,-12))))</f>
        <v>12</v>
      </c>
      <c r="CL21" s="88"/>
      <c r="CM21" s="541" t="e" cm="1">
        <f t="array" ca="1" aca="1" ref="CM21">_xlfn.LET(_xlpm.val,IF($F21="",val_blankRefText,_xldudf_CX_GET(CX_ENTITY,($F21),CM$11,CM$14,,(CM$19))),_xlpm.Res,IF(OR(_xlpm.val="",_xlpm.val="Error"),"",_xlpm.val),_xlpm.Res)</f>
        <v>#NAME?</v>
      </c>
      <c r="CN21" s="541" t="e" cm="1">
        <f t="array" ca="1" aca="1" ref="CN21">_xlfn.LET(_xlpm.val,IF($F21="",val_blankRefText,_xldudf_CX_GET(CX_ENTITY,($F21),CN$11,CN$14,,(CN$19))),_xlpm.Res,IF(OR(_xlpm.val="",_xlpm.val="Error"),"",_xlpm.val),_xlpm.Res)</f>
        <v>#NAME?</v>
      </c>
      <c r="CO21" s="34"/>
      <c r="CR21" s="4"/>
      <c r="CS21" s="4"/>
      <c r="CW21" s="4"/>
    </row>
    <row r="22" spans="1:101" ht="21" customHeight="1">
      <c r="A22" s="696"/>
      <c r="B22" s="574" t="s">
        <v>239</v>
      </c>
      <c r="C22" s="574" t="s">
        <v>1671</v>
      </c>
      <c r="D22" s="574"/>
      <c r="E22" s="577" t="e" cm="1">
        <f t="array" ca="1" aca="1" ref="E22">_xlfn.LET(_xlpm.Attr,$C22,_xlpm.Lookback,$E$16,_xlpm.QueryDate,EOMONTH(val_asOfDate,_xlpm.Lookback),_xlpm.ReadField,_xldudf_CX_GET(CX_ENTITY,fx_attrConverter($C22),_xlpm.QueryDate),_xlpm.AttrBlank,_xlpm.Attr="",_xlpm.RESULT,IF(_xlpm.AttrBlank,val_blankRefText,fx_attrConverter(_xlpm.ReadField,0)),IF(_xlpm.RESULT="Error","",_xlpm.RESULT))</f>
        <v>#NAME?</v>
      </c>
      <c r="F22" s="577" t="str">
        <f t="shared" si="1"/>
        <v>(Increase)/Decrease in NWC</v>
      </c>
      <c r="G22" s="401"/>
      <c r="H22" s="3280">
        <v>1</v>
      </c>
      <c r="I22" s="3280">
        <v>1</v>
      </c>
      <c r="J22" s="401"/>
      <c r="K22" s="401"/>
      <c r="L22" s="3269" t="b">
        <v>1</v>
      </c>
      <c r="N22" s="158"/>
      <c r="O22" s="101"/>
      <c r="P22" s="52"/>
      <c r="Q22" s="101"/>
      <c r="R22" s="101"/>
      <c r="S22" s="101"/>
      <c r="T22" s="101"/>
      <c r="U22" s="39"/>
      <c r="W22" s="932" t="str">
        <f t="shared" si="4" ref="W22:W37">$W$20</f>
        <v>Actual</v>
      </c>
      <c r="X22" s="761" t="s">
        <v>62</v>
      </c>
      <c r="Y22" s="88" t="e" cm="1">
        <f t="array" ca="1" aca="1" ref="Y22">IF($B22="",IFBLANK($E22,"Please select or type in or leave as blank"),IFBLANK($E22,$B22))</f>
        <v>#NAME?</v>
      </c>
      <c r="Z22" s="3300" cm="1">
        <f t="array" ref="Z22">_xlfn.SWITCH(TRUE,_CF!$L22=TRUE,1,_CF!$L22=FALSE,-1,_CF!$L22=-1,0,"n/a")</f>
        <v>1</v>
      </c>
      <c r="AA22" s="200"/>
      <c r="AB22" s="88" t="s">
        <v>239</v>
      </c>
      <c r="AC22" s="88"/>
      <c r="AD22" s="855" t="e" cm="1">
        <f t="array" ca="1" aca="1" ref="AD22">_xlfn.LET(_xlpm.val,IF($F22="",val_blankRefText,_xldudf_CX_GET(CX_ENTITY,($F22),AD$11,AD$14,,(AD$19))),_xlpm.Res,IF(OR(_xlpm.val="",_xlpm.val="Error"),"",_xlpm.val),_xlpm.Res)</f>
        <v>#NAME?</v>
      </c>
      <c r="AE22" s="855" t="e" cm="1">
        <f t="array" ca="1" aca="1" ref="AE22">_xlfn.LET(_xlpm.val,IF($F22="",val_blankRefText,_xldudf_CX_GET(CX_ENTITY,($F22),AE$11,AE$14,,(AE$19))),_xlpm.Res,IF(OR(_xlpm.val="",_xlpm.val="Error"),"",_xlpm.val),_xlpm.Res)</f>
        <v>#NAME?</v>
      </c>
      <c r="AF22" s="855" t="e" cm="1">
        <f t="array" ca="1" aca="1" ref="AF22">_xlfn.LET(_xlpm.val,IF($F22="",val_blankRefText,_xldudf_CX_GET(CX_ENTITY,($F22),AF$11,AF$14,,(AF$19))),_xlpm.Res,IF(OR(_xlpm.val="",_xlpm.val="Error"),"",_xlpm.val),_xlpm.Res)</f>
        <v>#NAME?</v>
      </c>
      <c r="AG22" s="855" t="e" cm="1">
        <f t="array" ca="1" aca="1" ref="AG22">_xlfn.LET(_xlpm.val,IF($F22="",val_blankRefText,_xldudf_CX_GET(CX_ENTITY,($F22),AG$11,AG$14,,(AG$19))),_xlpm.Res,IF(OR(_xlpm.val="",_xlpm.val="Error"),"",_xlpm.val),_xlpm.Res)</f>
        <v>#NAME?</v>
      </c>
      <c r="AH22" s="855" t="e" cm="1">
        <f t="array" ca="1" aca="1" ref="AH22">_xlfn.LET(_xlpm.val,IF($F22="",val_blankRefText,_xldudf_CX_GET(CX_ENTITY,($F22),AH$11,AH$14,,(AH$19))),_xlpm.Res,IF(OR(_xlpm.val="",_xlpm.val="Error"),"",_xlpm.val),_xlpm.Res)</f>
        <v>#NAME?</v>
      </c>
      <c r="AI22" s="855" t="e" cm="1">
        <f t="array" ca="1" aca="1" ref="AI22">_xlfn.LET(_xlpm.val,IF($F22="",val_blankRefText,_xldudf_CX_GET(CX_ENTITY,($F22),AI$11,AI$14,,(AI$19))),_xlpm.Res,IF(OR(_xlpm.val="",_xlpm.val="Error"),"",_xlpm.val),_xlpm.Res)</f>
        <v>#NAME?</v>
      </c>
      <c r="AJ22" s="855" t="e" cm="1">
        <f t="array" ca="1" aca="1" ref="AJ22">_xlfn.LET(_xlpm.val,IF($F22="",val_blankRefText,_xldudf_CX_GET(CX_ENTITY,($F22),AJ$11,AJ$14,,(AJ$19))),_xlpm.Res,IF(OR(_xlpm.val="",_xlpm.val="Error"),"",_xlpm.val),_xlpm.Res)</f>
        <v>#NAME?</v>
      </c>
      <c r="AK22" s="855" t="e" cm="1">
        <f t="array" ca="1" aca="1" ref="AK22">_xlfn.LET(_xlpm.val,IF($F22="",val_blankRefText,_xldudf_CX_GET(CX_ENTITY,($F22),AK$11,AK$14,,(AK$19))),_xlpm.Res,IF(OR(_xlpm.val="",_xlpm.val="Error"),"",_xlpm.val),_xlpm.Res)</f>
        <v>#NAME?</v>
      </c>
      <c r="AL22" s="855" t="e" cm="1">
        <f t="array" ca="1" aca="1" ref="AL22">_xlfn.LET(_xlpm.val,IF($F22="",val_blankRefText,_xldudf_CX_GET(CX_ENTITY,($F22),AL$11,AL$14,,(AL$19))),_xlpm.Res,IF(OR(_xlpm.val="",_xlpm.val="Error"),"",_xlpm.val),_xlpm.Res)</f>
        <v>#NAME?</v>
      </c>
      <c r="AM22" s="855" t="e" cm="1">
        <f t="array" ca="1" aca="1" ref="AM22">_xlfn.LET(_xlpm.val,IF($F22="",val_blankRefText,_xldudf_CX_GET(CX_ENTITY,($F22),AM$11,AM$14,,(AM$19))),_xlpm.Res,IF(OR(_xlpm.val="",_xlpm.val="Error"),"",_xlpm.val),_xlpm.Res)</f>
        <v>#NAME?</v>
      </c>
      <c r="AN22" s="855" t="e" cm="1">
        <f t="array" ca="1" aca="1" ref="AN22">_xlfn.LET(_xlpm.val,IF($F22="",val_blankRefText,_xldudf_CX_GET(CX_ENTITY,($F22),AN$11,AN$14,,(AN$19))),_xlpm.Res,IF(OR(_xlpm.val="",_xlpm.val="Error"),"",_xlpm.val),_xlpm.Res)</f>
        <v>#NAME?</v>
      </c>
      <c r="AO22" s="855" t="e" cm="1">
        <f t="array" ca="1" aca="1" ref="AO22">_xlfn.LET(_xlpm.val,IF($F22="",val_blankRefText,_xldudf_CX_GET(CX_ENTITY,($F22),AO$11,AO$14,,(AO$19))),_xlpm.Res,IF(OR(_xlpm.val="",_xlpm.val="Error"),"",_xlpm.val),_xlpm.Res)</f>
        <v>#NAME?</v>
      </c>
      <c r="AP22" s="855" t="e" cm="1">
        <f t="array" ca="1" aca="1" ref="AP22">_xlfn.LET(_xlpm.val,IF($F22="",val_blankRefText,_xldudf_CX_GET(CX_ENTITY,($F22),AP$11,AP$14,,(AP$19))),_xlpm.Res,IF(OR(_xlpm.val="",_xlpm.val="Error"),"",_xlpm.val),_xlpm.Res)</f>
        <v>#NAME?</v>
      </c>
      <c r="AQ22" s="855" t="e" cm="1">
        <f t="array" ca="1" aca="1" ref="AQ22">_xlfn.LET(_xlpm.val,IF($F22="",val_blankRefText,_xldudf_CX_GET(CX_ENTITY,($F22),AQ$11,AQ$14,,(AQ$19))),_xlpm.Res,IF(OR(_xlpm.val="",_xlpm.val="Error"),"",_xlpm.val),_xlpm.Res)</f>
        <v>#NAME?</v>
      </c>
      <c r="AR22" s="855" t="e" cm="1">
        <f t="array" ca="1" aca="1" ref="AR22">_xlfn.LET(_xlpm.val,IF($F22="",val_blankRefText,_xldudf_CX_GET(CX_ENTITY,($F22),AR$11,AR$14,,(AR$19))),_xlpm.Res,IF(OR(_xlpm.val="",_xlpm.val="Error"),"",_xlpm.val),_xlpm.Res)</f>
        <v>#NAME?</v>
      </c>
      <c r="AS22" s="855" t="e" cm="1">
        <f t="array" ca="1" aca="1" ref="AS22">_xlfn.LET(_xlpm.val,IF($F22="",val_blankRefText,_xldudf_CX_GET(CX_ENTITY,($F22),AS$11,AS$14,,(AS$19))),_xlpm.Res,IF(OR(_xlpm.val="",_xlpm.val="Error"),"",_xlpm.val),_xlpm.Res)</f>
        <v>#NAME?</v>
      </c>
      <c r="AT22" s="855" t="e" cm="1">
        <f t="array" ca="1" aca="1" ref="AT22">_xlfn.LET(_xlpm.val,IF($F22="",val_blankRefText,_xldudf_CX_GET(CX_ENTITY,($F22),AT$11,AT$14,,(AT$19))),_xlpm.Res,IF(OR(_xlpm.val="",_xlpm.val="Error"),"",_xlpm.val),_xlpm.Res)</f>
        <v>#NAME?</v>
      </c>
      <c r="AU22" s="855" t="e" cm="1">
        <f t="array" ca="1" aca="1" ref="AU22">_xlfn.LET(_xlpm.val,IF($F22="",val_blankRefText,_xldudf_CX_GET(CX_ENTITY,($F22),AU$11,AU$14,,(AU$19))),_xlpm.Res,IF(OR(_xlpm.val="",_xlpm.val="Error"),"",_xlpm.val),_xlpm.Res)</f>
        <v>#NAME?</v>
      </c>
      <c r="AV22" s="855" t="e" cm="1">
        <f t="array" ca="1" aca="1" ref="AV22">_xlfn.LET(_xlpm.val,IF($F22="",val_blankRefText,_xldudf_CX_GET(CX_ENTITY,($F22),AV$11,AV$14,,(AV$19))),_xlpm.Res,IF(OR(_xlpm.val="",_xlpm.val="Error"),"",_xlpm.val),_xlpm.Res)</f>
        <v>#NAME?</v>
      </c>
      <c r="AW22" s="855" t="e" cm="1">
        <f t="array" ca="1" aca="1" ref="AW22">_xlfn.LET(_xlpm.val,IF($F22="",val_blankRefText,_xldudf_CX_GET(CX_ENTITY,($F22),AW$11,AW$14,,(AW$19))),_xlpm.Res,IF(OR(_xlpm.val="",_xlpm.val="Error"),"",_xlpm.val),_xlpm.Res)</f>
        <v>#NAME?</v>
      </c>
      <c r="AX22" s="855" t="e" cm="1">
        <f t="array" ca="1" aca="1" ref="AX22">_xlfn.LET(_xlpm.val,IF($F22="",val_blankRefText,_xldudf_CX_GET(CX_ENTITY,($F22),AX$11,AX$14,,(AX$19))),_xlpm.Res,IF(OR(_xlpm.val="",_xlpm.val="Error"),"",_xlpm.val),_xlpm.Res)</f>
        <v>#NAME?</v>
      </c>
      <c r="AY22" s="855" t="e" cm="1">
        <f t="array" ca="1" aca="1" ref="AY22">_xlfn.LET(_xlpm.val,IF($F22="",val_blankRefText,_xldudf_CX_GET(CX_ENTITY,($F22),AY$11,AY$14,,(AY$19))),_xlpm.Res,IF(OR(_xlpm.val="",_xlpm.val="Error"),"",_xlpm.val),_xlpm.Res)</f>
        <v>#NAME?</v>
      </c>
      <c r="AZ22" s="855" t="e" cm="1">
        <f t="array" ca="1" aca="1" ref="AZ22">_xlfn.LET(_xlpm.val,IF($F22="",val_blankRefText,_xldudf_CX_GET(CX_ENTITY,($F22),AZ$11,AZ$14,,(AZ$19))),_xlpm.Res,IF(OR(_xlpm.val="",_xlpm.val="Error"),"",_xlpm.val),_xlpm.Res)</f>
        <v>#NAME?</v>
      </c>
      <c r="BA22" s="855" t="e" cm="1">
        <f t="array" ca="1" aca="1" ref="BA22">_xlfn.LET(_xlpm.val,IF($F22="",val_blankRefText,_xldudf_CX_GET(CX_ENTITY,($F22),BA$11,BA$14,,(BA$19))),_xlpm.Res,IF(OR(_xlpm.val="",_xlpm.val="Error"),"",_xlpm.val),_xlpm.Res)</f>
        <v>#NAME?</v>
      </c>
      <c r="BB22" s="855" t="e" cm="1">
        <f t="array" ca="1" aca="1" ref="BB22">_xlfn.LET(_xlpm.val,IF($F22="",val_blankRefText,_xldudf_CX_GET(CX_ENTITY,($F22),BB$11,BB$14,,(BB$19))),_xlpm.Res,IF(OR(_xlpm.val="",_xlpm.val="Error"),"",_xlpm.val),_xlpm.Res)</f>
        <v>#NAME?</v>
      </c>
      <c r="BC22" s="855" t="e" cm="1">
        <f t="array" ca="1" aca="1" ref="BC22">_xlfn.LET(_xlpm.val,IF($F22="",val_blankRefText,_xldudf_CX_GET(CX_ENTITY,($F22),BC$11,BC$14,,(BC$19))),_xlpm.Res,IF(OR(_xlpm.val="",_xlpm.val="Error"),"",_xlpm.val),_xlpm.Res)</f>
        <v>#NAME?</v>
      </c>
      <c r="BD22" s="855" t="e" cm="1">
        <f t="array" ca="1" aca="1" ref="BD22">_xlfn.LET(_xlpm.val,IF($F22="",val_blankRefText,_xldudf_CX_GET(CX_ENTITY,($F22),BD$11,BD$14,,(BD$19))),_xlpm.Res,IF(OR(_xlpm.val="",_xlpm.val="Error"),"",_xlpm.val),_xlpm.Res)</f>
        <v>#NAME?</v>
      </c>
      <c r="BE22" s="855" t="e" cm="1">
        <f t="array" ca="1" aca="1" ref="BE22">_xlfn.LET(_xlpm.val,IF($F22="",val_blankRefText,_xldudf_CX_GET(CX_ENTITY,($F22),BE$11,BE$14,,(BE$19))),_xlpm.Res,IF(OR(_xlpm.val="",_xlpm.val="Error"),"",_xlpm.val),_xlpm.Res)</f>
        <v>#NAME?</v>
      </c>
      <c r="BF22" s="855" t="e" cm="1">
        <f t="array" ca="1" aca="1" ref="BF22">_xlfn.LET(_xlpm.val,IF($F22="",val_blankRefText,_xldudf_CX_GET(CX_ENTITY,($F22),BF$11,BF$14,,(BF$19))),_xlpm.Res,IF(OR(_xlpm.val="",_xlpm.val="Error"),"",_xlpm.val),_xlpm.Res)</f>
        <v>#NAME?</v>
      </c>
      <c r="BG22" s="855" t="e" cm="1">
        <f t="array" ca="1" aca="1" ref="BG22">_xlfn.LET(_xlpm.val,IF($F22="",val_blankRefText,_xldudf_CX_GET(CX_ENTITY,($F22),BG$11,BG$14,,(BG$19))),_xlpm.Res,IF(OR(_xlpm.val="",_xlpm.val="Error"),"",_xlpm.val),_xlpm.Res)</f>
        <v>#NAME?</v>
      </c>
      <c r="BH22" s="855" t="e" cm="1">
        <f t="array" ca="1" aca="1" ref="BH22">_xlfn.LET(_xlpm.val,IF($F22="",val_blankRefText,_xldudf_CX_GET(CX_ENTITY,($F22),BH$11,BH$14,,(BH$19))),_xlpm.Res,IF(OR(_xlpm.val="",_xlpm.val="Error"),"",_xlpm.val),_xlpm.Res)</f>
        <v>#NAME?</v>
      </c>
      <c r="BI22" s="855" t="e" cm="1">
        <f t="array" ca="1" aca="1" ref="BI22">_xlfn.LET(_xlpm.val,IF($F22="",val_blankRefText,_xldudf_CX_GET(CX_ENTITY,($F22),BI$11,BI$14,,(BI$19))),_xlpm.Res,IF(OR(_xlpm.val="",_xlpm.val="Error"),"",_xlpm.val),_xlpm.Res)</f>
        <v>#NAME?</v>
      </c>
      <c r="BJ22" s="855" t="e" cm="1">
        <f t="array" ca="1" aca="1" ref="BJ22">_xlfn.LET(_xlpm.val,IF($F22="",val_blankRefText,_xldudf_CX_GET(CX_ENTITY,($F22),BJ$11,BJ$14,,(BJ$19))),_xlpm.Res,IF(OR(_xlpm.val="",_xlpm.val="Error"),"",_xlpm.val),_xlpm.Res)</f>
        <v>#NAME?</v>
      </c>
      <c r="BK22" s="855" t="e" cm="1">
        <f t="array" ca="1" aca="1" ref="BK22">_xlfn.LET(_xlpm.val,IF($F22="",val_blankRefText,_xldudf_CX_GET(CX_ENTITY,($F22),BK$11,BK$14,,(BK$19))),_xlpm.Res,IF(OR(_xlpm.val="",_xlpm.val="Error"),"",_xlpm.val),_xlpm.Res)</f>
        <v>#NAME?</v>
      </c>
      <c r="BL22" s="855" t="e" cm="1">
        <f t="array" ca="1" aca="1" ref="BL22">_xlfn.LET(_xlpm.val,IF($F22="",val_blankRefText,_xldudf_CX_GET(CX_ENTITY,($F22),BL$11,BL$14,,(BL$19))),_xlpm.Res,IF(OR(_xlpm.val="",_xlpm.val="Error"),"",_xlpm.val),_xlpm.Res)</f>
        <v>#NAME?</v>
      </c>
      <c r="BM22" s="855" t="e" cm="1">
        <f t="array" ca="1" aca="1" ref="BM22">_xlfn.LET(_xlpm.val,IF($F22="",val_blankRefText,_xldudf_CX_GET(CX_ENTITY,($F22),BM$11,BM$14,,(BM$19))),_xlpm.Res,IF(OR(_xlpm.val="",_xlpm.val="Error"),"",_xlpm.val),_xlpm.Res)</f>
        <v>#NAME?</v>
      </c>
      <c r="BN22" s="855" t="e" cm="1">
        <f t="array" ca="1" aca="1" ref="BN22">_xlfn.LET(_xlpm.val,IF($F22="",val_blankRefText,_xldudf_CX_GET(CX_ENTITY,($F22),BN$11,BN$14,,(BN$19))),_xlpm.Res,IF(OR(_xlpm.val="",_xlpm.val="Error"),"",_xlpm.val),_xlpm.Res)</f>
        <v>#NAME?</v>
      </c>
      <c r="BO22" s="1844"/>
      <c r="BP22" s="1844"/>
      <c r="BQ22" s="1844"/>
      <c r="BR22" s="1844"/>
      <c r="BS22" s="1844"/>
      <c r="BT22" s="1844"/>
      <c r="BU22" s="1844"/>
      <c r="BV22" s="1844"/>
      <c r="BW22" s="1844"/>
      <c r="BX22" s="1844"/>
      <c r="BY22" s="1844"/>
      <c r="BZ22" s="1844"/>
      <c r="CA22" s="34"/>
      <c r="CC22" s="33"/>
      <c r="CD22" s="1461" t="e" cm="1">
        <f t="array" ca="1" aca="1" ref="CD22">_xlfn.LET(_xlpm.CheckBlank,SUM(CF!$AD22:$BN22)=0,IF(_xlpm.CheckBlank,"",SUM(_xlfn._xlws.FILTER(CF!$AD22:$BN22,(YEAR(CF!$AD$12:$BN$12)=CF!CD$12)*(array_timeline&lt;=CF!CD$11)))))</f>
        <v>#NAME?</v>
      </c>
      <c r="CE22" s="1461" t="e" cm="1">
        <f t="array" ca="1" aca="1" ref="CE22">_xlfn.LET(_xlpm.CheckBlank,SUM(CF!$AD22:$BN22)=0,IF(_xlpm.CheckBlank,"",SUM(_xlfn._xlws.FILTER(CF!$AD22:$BN22,(YEAR(CF!$AD$12:$BN$12)=CF!CE$12)*(array_timeline&lt;=CF!CE$11)))))</f>
        <v>#NAME?</v>
      </c>
      <c r="CF22" s="1314"/>
      <c r="CG22" s="1461" t="e" cm="1">
        <f t="array" ca="1" aca="1" ref="CG22">_xlfn.LET(_xlpm.CheckBlank,SUM(CF!$AD22:$BN22)=0,IF(_xlpm.CheckBlank,"",SUM(_xlfn._xlws.FILTER(CF!$AD22:$BN22,(YEAR(CF!$AD$12:$BN$12)=CF!CG$12)*(array_timeline&lt;=CF!CG$11)))))</f>
        <v>#NAME?</v>
      </c>
      <c r="CH22" s="1461" t="e" cm="1">
        <f t="array" ca="1" aca="1" ref="CH22">_xlfn.LET(_xlpm.CheckBlank,SUM(CF!$AD22:$BN22)=0,IF(_xlpm.CheckBlank,"",SUM(_xlfn._xlws.FILTER(CF!$AD22:$BN22,(YEAR(CF!$AD$12:$BN$12)=CF!CH$12)*(array_timeline&lt;=CF!CH$11)))))</f>
        <v>#NAME?</v>
      </c>
      <c r="CI22" s="1314"/>
      <c r="CJ22" s="1657" cm="1">
        <f t="array" ref="CJ22">_xlfn.LET(_xlpm.CheckBlank,SUM(CF!$AD22:$BN22)=0,IF(_xlpm.CheckBlank,"",SUM(_xlfn.TAKE(_xlfn.DROP(CF!$AD22:$BN22,,-DATEDIFF(CF!CJ$11,val_asOfDate,"M")),1,-12))))</f>
        <v>12</v>
      </c>
      <c r="CK22" s="1657" cm="1">
        <f t="array" ref="CK22">_xlfn.LET(_xlpm.CheckBlank,SUM(CF!$AD22:$BN22)=0,IF(_xlpm.CheckBlank,"",SUM(_xlfn.TAKE(_xlfn.DROP(CF!$AD22:$BN22,,-DATEDIFF(CF!CK$11,val_asOfDate,"M")),1,-12))))</f>
        <v>12</v>
      </c>
      <c r="CL22" s="88"/>
      <c r="CM22" s="541" t="e" cm="1">
        <f t="array" ca="1" aca="1" ref="CM22">_xlfn.LET(_xlpm.val,IF($F22="",val_blankRefText,_xldudf_CX_GET(CX_ENTITY,($F22),CM$11,CM$14,,(CM$19))),_xlpm.Res,IF(OR(_xlpm.val="",_xlpm.val="Error"),"",_xlpm.val),_xlpm.Res)</f>
        <v>#NAME?</v>
      </c>
      <c r="CN22" s="541" t="e" cm="1">
        <f t="array" ca="1" aca="1" ref="CN22">_xlfn.LET(_xlpm.val,IF($F22="",val_blankRefText,_xldudf_CX_GET(CX_ENTITY,($F22),CN$11,CN$14,,(CN$19))),_xlpm.Res,IF(OR(_xlpm.val="",_xlpm.val="Error"),"",_xlpm.val),_xlpm.Res)</f>
        <v>#NAME?</v>
      </c>
      <c r="CO22" s="34"/>
      <c r="CR22" s="4"/>
      <c r="CS22" s="4"/>
      <c r="CW22" s="4"/>
    </row>
    <row r="23" spans="1:101" ht="21" customHeight="1">
      <c r="A23" s="696"/>
      <c r="B23" s="574" t="s">
        <v>240</v>
      </c>
      <c r="C23" s="574" t="s">
        <v>1672</v>
      </c>
      <c r="D23" s="574"/>
      <c r="E23" s="577" t="e" cm="1">
        <f t="array" ca="1" aca="1" ref="E23">_xlfn.LET(_xlpm.Attr,$C23,_xlpm.Lookback,$E$16,_xlpm.QueryDate,EOMONTH(val_asOfDate,_xlpm.Lookback),_xlpm.ReadField,_xldudf_CX_GET(CX_ENTITY,fx_attrConverter($C23),_xlpm.QueryDate),_xlpm.AttrBlank,_xlpm.Attr="",_xlpm.RESULT,IF(_xlpm.AttrBlank,val_blankRefText,fx_attrConverter(_xlpm.ReadField,0)),IF(_xlpm.RESULT="Error","",_xlpm.RESULT))</f>
        <v>#NAME?</v>
      </c>
      <c r="F23" s="577" t="str">
        <f t="shared" si="1"/>
        <v>Other Operating Cash Flows</v>
      </c>
      <c r="G23" s="401"/>
      <c r="H23" s="3280">
        <v>1</v>
      </c>
      <c r="I23" s="3280">
        <v>1</v>
      </c>
      <c r="J23" s="401"/>
      <c r="K23" s="401"/>
      <c r="L23" s="3269" t="b">
        <v>1</v>
      </c>
      <c r="N23" s="158"/>
      <c r="O23" s="101"/>
      <c r="P23" s="52"/>
      <c r="Q23" s="101"/>
      <c r="R23" s="101"/>
      <c r="S23" s="101"/>
      <c r="T23" s="101"/>
      <c r="U23" s="39"/>
      <c r="W23" s="932" t="str">
        <f t="shared" si="4"/>
        <v>Actual</v>
      </c>
      <c r="X23" s="761" t="s">
        <v>62</v>
      </c>
      <c r="Y23" s="88" t="e" cm="1">
        <f t="array" ca="1" aca="1" ref="Y23">IF($B23="",IFBLANK($E23,"Please select or type in or leave as blank"),IFBLANK($E23,$B23))</f>
        <v>#NAME?</v>
      </c>
      <c r="Z23" s="3300" cm="1">
        <f t="array" ref="Z23">_xlfn.SWITCH(TRUE,_CF!$L23=TRUE,1,_CF!$L23=FALSE,-1,_CF!$L23=-1,0,"n/a")</f>
        <v>1</v>
      </c>
      <c r="AA23" s="200"/>
      <c r="AB23" s="88" t="s">
        <v>240</v>
      </c>
      <c r="AC23" s="88"/>
      <c r="AD23" s="855" t="e" cm="1">
        <f t="array" ca="1" aca="1" ref="AD23">_xlfn.LET(_xlpm.val,IF($F23="",val_blankRefText,_xldudf_CX_GET(CX_ENTITY,($F23),AD$11,AD$14,,(AD$19))),_xlpm.Res,IF(OR(_xlpm.val="",_xlpm.val="Error"),"",_xlpm.val),_xlpm.Res)</f>
        <v>#NAME?</v>
      </c>
      <c r="AE23" s="855" t="e" cm="1">
        <f t="array" ca="1" aca="1" ref="AE23">_xlfn.LET(_xlpm.val,IF($F23="",val_blankRefText,_xldudf_CX_GET(CX_ENTITY,($F23),AE$11,AE$14,,(AE$19))),_xlpm.Res,IF(OR(_xlpm.val="",_xlpm.val="Error"),"",_xlpm.val),_xlpm.Res)</f>
        <v>#NAME?</v>
      </c>
      <c r="AF23" s="855" t="e" cm="1">
        <f t="array" ca="1" aca="1" ref="AF23">_xlfn.LET(_xlpm.val,IF($F23="",val_blankRefText,_xldudf_CX_GET(CX_ENTITY,($F23),AF$11,AF$14,,(AF$19))),_xlpm.Res,IF(OR(_xlpm.val="",_xlpm.val="Error"),"",_xlpm.val),_xlpm.Res)</f>
        <v>#NAME?</v>
      </c>
      <c r="AG23" s="855" t="e" cm="1">
        <f t="array" ca="1" aca="1" ref="AG23">_xlfn.LET(_xlpm.val,IF($F23="",val_blankRefText,_xldudf_CX_GET(CX_ENTITY,($F23),AG$11,AG$14,,(AG$19))),_xlpm.Res,IF(OR(_xlpm.val="",_xlpm.val="Error"),"",_xlpm.val),_xlpm.Res)</f>
        <v>#NAME?</v>
      </c>
      <c r="AH23" s="855" t="e" cm="1">
        <f t="array" ca="1" aca="1" ref="AH23">_xlfn.LET(_xlpm.val,IF($F23="",val_blankRefText,_xldudf_CX_GET(CX_ENTITY,($F23),AH$11,AH$14,,(AH$19))),_xlpm.Res,IF(OR(_xlpm.val="",_xlpm.val="Error"),"",_xlpm.val),_xlpm.Res)</f>
        <v>#NAME?</v>
      </c>
      <c r="AI23" s="855" t="e" cm="1">
        <f t="array" ca="1" aca="1" ref="AI23">_xlfn.LET(_xlpm.val,IF($F23="",val_blankRefText,_xldudf_CX_GET(CX_ENTITY,($F23),AI$11,AI$14,,(AI$19))),_xlpm.Res,IF(OR(_xlpm.val="",_xlpm.val="Error"),"",_xlpm.val),_xlpm.Res)</f>
        <v>#NAME?</v>
      </c>
      <c r="AJ23" s="855" t="e" cm="1">
        <f t="array" ca="1" aca="1" ref="AJ23">_xlfn.LET(_xlpm.val,IF($F23="",val_blankRefText,_xldudf_CX_GET(CX_ENTITY,($F23),AJ$11,AJ$14,,(AJ$19))),_xlpm.Res,IF(OR(_xlpm.val="",_xlpm.val="Error"),"",_xlpm.val),_xlpm.Res)</f>
        <v>#NAME?</v>
      </c>
      <c r="AK23" s="855" t="e" cm="1">
        <f t="array" ca="1" aca="1" ref="AK23">_xlfn.LET(_xlpm.val,IF($F23="",val_blankRefText,_xldudf_CX_GET(CX_ENTITY,($F23),AK$11,AK$14,,(AK$19))),_xlpm.Res,IF(OR(_xlpm.val="",_xlpm.val="Error"),"",_xlpm.val),_xlpm.Res)</f>
        <v>#NAME?</v>
      </c>
      <c r="AL23" s="855" t="e" cm="1">
        <f t="array" ca="1" aca="1" ref="AL23">_xlfn.LET(_xlpm.val,IF($F23="",val_blankRefText,_xldudf_CX_GET(CX_ENTITY,($F23),AL$11,AL$14,,(AL$19))),_xlpm.Res,IF(OR(_xlpm.val="",_xlpm.val="Error"),"",_xlpm.val),_xlpm.Res)</f>
        <v>#NAME?</v>
      </c>
      <c r="AM23" s="855" t="e" cm="1">
        <f t="array" ca="1" aca="1" ref="AM23">_xlfn.LET(_xlpm.val,IF($F23="",val_blankRefText,_xldudf_CX_GET(CX_ENTITY,($F23),AM$11,AM$14,,(AM$19))),_xlpm.Res,IF(OR(_xlpm.val="",_xlpm.val="Error"),"",_xlpm.val),_xlpm.Res)</f>
        <v>#NAME?</v>
      </c>
      <c r="AN23" s="855" t="e" cm="1">
        <f t="array" ca="1" aca="1" ref="AN23">_xlfn.LET(_xlpm.val,IF($F23="",val_blankRefText,_xldudf_CX_GET(CX_ENTITY,($F23),AN$11,AN$14,,(AN$19))),_xlpm.Res,IF(OR(_xlpm.val="",_xlpm.val="Error"),"",_xlpm.val),_xlpm.Res)</f>
        <v>#NAME?</v>
      </c>
      <c r="AO23" s="855" t="e" cm="1">
        <f t="array" ca="1" aca="1" ref="AO23">_xlfn.LET(_xlpm.val,IF($F23="",val_blankRefText,_xldudf_CX_GET(CX_ENTITY,($F23),AO$11,AO$14,,(AO$19))),_xlpm.Res,IF(OR(_xlpm.val="",_xlpm.val="Error"),"",_xlpm.val),_xlpm.Res)</f>
        <v>#NAME?</v>
      </c>
      <c r="AP23" s="855" t="e" cm="1">
        <f t="array" ca="1" aca="1" ref="AP23">_xlfn.LET(_xlpm.val,IF($F23="",val_blankRefText,_xldudf_CX_GET(CX_ENTITY,($F23),AP$11,AP$14,,(AP$19))),_xlpm.Res,IF(OR(_xlpm.val="",_xlpm.val="Error"),"",_xlpm.val),_xlpm.Res)</f>
        <v>#NAME?</v>
      </c>
      <c r="AQ23" s="855" t="e" cm="1">
        <f t="array" ca="1" aca="1" ref="AQ23">_xlfn.LET(_xlpm.val,IF($F23="",val_blankRefText,_xldudf_CX_GET(CX_ENTITY,($F23),AQ$11,AQ$14,,(AQ$19))),_xlpm.Res,IF(OR(_xlpm.val="",_xlpm.val="Error"),"",_xlpm.val),_xlpm.Res)</f>
        <v>#NAME?</v>
      </c>
      <c r="AR23" s="855" t="e" cm="1">
        <f t="array" ca="1" aca="1" ref="AR23">_xlfn.LET(_xlpm.val,IF($F23="",val_blankRefText,_xldudf_CX_GET(CX_ENTITY,($F23),AR$11,AR$14,,(AR$19))),_xlpm.Res,IF(OR(_xlpm.val="",_xlpm.val="Error"),"",_xlpm.val),_xlpm.Res)</f>
        <v>#NAME?</v>
      </c>
      <c r="AS23" s="855" t="e" cm="1">
        <f t="array" ca="1" aca="1" ref="AS23">_xlfn.LET(_xlpm.val,IF($F23="",val_blankRefText,_xldudf_CX_GET(CX_ENTITY,($F23),AS$11,AS$14,,(AS$19))),_xlpm.Res,IF(OR(_xlpm.val="",_xlpm.val="Error"),"",_xlpm.val),_xlpm.Res)</f>
        <v>#NAME?</v>
      </c>
      <c r="AT23" s="855" t="e" cm="1">
        <f t="array" ca="1" aca="1" ref="AT23">_xlfn.LET(_xlpm.val,IF($F23="",val_blankRefText,_xldudf_CX_GET(CX_ENTITY,($F23),AT$11,AT$14,,(AT$19))),_xlpm.Res,IF(OR(_xlpm.val="",_xlpm.val="Error"),"",_xlpm.val),_xlpm.Res)</f>
        <v>#NAME?</v>
      </c>
      <c r="AU23" s="855" t="e" cm="1">
        <f t="array" ca="1" aca="1" ref="AU23">_xlfn.LET(_xlpm.val,IF($F23="",val_blankRefText,_xldudf_CX_GET(CX_ENTITY,($F23),AU$11,AU$14,,(AU$19))),_xlpm.Res,IF(OR(_xlpm.val="",_xlpm.val="Error"),"",_xlpm.val),_xlpm.Res)</f>
        <v>#NAME?</v>
      </c>
      <c r="AV23" s="855" t="e" cm="1">
        <f t="array" ca="1" aca="1" ref="AV23">_xlfn.LET(_xlpm.val,IF($F23="",val_blankRefText,_xldudf_CX_GET(CX_ENTITY,($F23),AV$11,AV$14,,(AV$19))),_xlpm.Res,IF(OR(_xlpm.val="",_xlpm.val="Error"),"",_xlpm.val),_xlpm.Res)</f>
        <v>#NAME?</v>
      </c>
      <c r="AW23" s="855" t="e" cm="1">
        <f t="array" ca="1" aca="1" ref="AW23">_xlfn.LET(_xlpm.val,IF($F23="",val_blankRefText,_xldudf_CX_GET(CX_ENTITY,($F23),AW$11,AW$14,,(AW$19))),_xlpm.Res,IF(OR(_xlpm.val="",_xlpm.val="Error"),"",_xlpm.val),_xlpm.Res)</f>
        <v>#NAME?</v>
      </c>
      <c r="AX23" s="855" t="e" cm="1">
        <f t="array" ca="1" aca="1" ref="AX23">_xlfn.LET(_xlpm.val,IF($F23="",val_blankRefText,_xldudf_CX_GET(CX_ENTITY,($F23),AX$11,AX$14,,(AX$19))),_xlpm.Res,IF(OR(_xlpm.val="",_xlpm.val="Error"),"",_xlpm.val),_xlpm.Res)</f>
        <v>#NAME?</v>
      </c>
      <c r="AY23" s="855" t="e" cm="1">
        <f t="array" ca="1" aca="1" ref="AY23">_xlfn.LET(_xlpm.val,IF($F23="",val_blankRefText,_xldudf_CX_GET(CX_ENTITY,($F23),AY$11,AY$14,,(AY$19))),_xlpm.Res,IF(OR(_xlpm.val="",_xlpm.val="Error"),"",_xlpm.val),_xlpm.Res)</f>
        <v>#NAME?</v>
      </c>
      <c r="AZ23" s="855" t="e" cm="1">
        <f t="array" ca="1" aca="1" ref="AZ23">_xlfn.LET(_xlpm.val,IF($F23="",val_blankRefText,_xldudf_CX_GET(CX_ENTITY,($F23),AZ$11,AZ$14,,(AZ$19))),_xlpm.Res,IF(OR(_xlpm.val="",_xlpm.val="Error"),"",_xlpm.val),_xlpm.Res)</f>
        <v>#NAME?</v>
      </c>
      <c r="BA23" s="855" t="e" cm="1">
        <f t="array" ca="1" aca="1" ref="BA23">_xlfn.LET(_xlpm.val,IF($F23="",val_blankRefText,_xldudf_CX_GET(CX_ENTITY,($F23),BA$11,BA$14,,(BA$19))),_xlpm.Res,IF(OR(_xlpm.val="",_xlpm.val="Error"),"",_xlpm.val),_xlpm.Res)</f>
        <v>#NAME?</v>
      </c>
      <c r="BB23" s="855" t="e" cm="1">
        <f t="array" ca="1" aca="1" ref="BB23">_xlfn.LET(_xlpm.val,IF($F23="",val_blankRefText,_xldudf_CX_GET(CX_ENTITY,($F23),BB$11,BB$14,,(BB$19))),_xlpm.Res,IF(OR(_xlpm.val="",_xlpm.val="Error"),"",_xlpm.val),_xlpm.Res)</f>
        <v>#NAME?</v>
      </c>
      <c r="BC23" s="855" t="e" cm="1">
        <f t="array" ca="1" aca="1" ref="BC23">_xlfn.LET(_xlpm.val,IF($F23="",val_blankRefText,_xldudf_CX_GET(CX_ENTITY,($F23),BC$11,BC$14,,(BC$19))),_xlpm.Res,IF(OR(_xlpm.val="",_xlpm.val="Error"),"",_xlpm.val),_xlpm.Res)</f>
        <v>#NAME?</v>
      </c>
      <c r="BD23" s="855" t="e" cm="1">
        <f t="array" ca="1" aca="1" ref="BD23">_xlfn.LET(_xlpm.val,IF($F23="",val_blankRefText,_xldudf_CX_GET(CX_ENTITY,($F23),BD$11,BD$14,,(BD$19))),_xlpm.Res,IF(OR(_xlpm.val="",_xlpm.val="Error"),"",_xlpm.val),_xlpm.Res)</f>
        <v>#NAME?</v>
      </c>
      <c r="BE23" s="855" t="e" cm="1">
        <f t="array" ca="1" aca="1" ref="BE23">_xlfn.LET(_xlpm.val,IF($F23="",val_blankRefText,_xldudf_CX_GET(CX_ENTITY,($F23),BE$11,BE$14,,(BE$19))),_xlpm.Res,IF(OR(_xlpm.val="",_xlpm.val="Error"),"",_xlpm.val),_xlpm.Res)</f>
        <v>#NAME?</v>
      </c>
      <c r="BF23" s="855" t="e" cm="1">
        <f t="array" ca="1" aca="1" ref="BF23">_xlfn.LET(_xlpm.val,IF($F23="",val_blankRefText,_xldudf_CX_GET(CX_ENTITY,($F23),BF$11,BF$14,,(BF$19))),_xlpm.Res,IF(OR(_xlpm.val="",_xlpm.val="Error"),"",_xlpm.val),_xlpm.Res)</f>
        <v>#NAME?</v>
      </c>
      <c r="BG23" s="855" t="e" cm="1">
        <f t="array" ca="1" aca="1" ref="BG23">_xlfn.LET(_xlpm.val,IF($F23="",val_blankRefText,_xldudf_CX_GET(CX_ENTITY,($F23),BG$11,BG$14,,(BG$19))),_xlpm.Res,IF(OR(_xlpm.val="",_xlpm.val="Error"),"",_xlpm.val),_xlpm.Res)</f>
        <v>#NAME?</v>
      </c>
      <c r="BH23" s="855" t="e" cm="1">
        <f t="array" ca="1" aca="1" ref="BH23">_xlfn.LET(_xlpm.val,IF($F23="",val_blankRefText,_xldudf_CX_GET(CX_ENTITY,($F23),BH$11,BH$14,,(BH$19))),_xlpm.Res,IF(OR(_xlpm.val="",_xlpm.val="Error"),"",_xlpm.val),_xlpm.Res)</f>
        <v>#NAME?</v>
      </c>
      <c r="BI23" s="855" t="e" cm="1">
        <f t="array" ca="1" aca="1" ref="BI23">_xlfn.LET(_xlpm.val,IF($F23="",val_blankRefText,_xldudf_CX_GET(CX_ENTITY,($F23),BI$11,BI$14,,(BI$19))),_xlpm.Res,IF(OR(_xlpm.val="",_xlpm.val="Error"),"",_xlpm.val),_xlpm.Res)</f>
        <v>#NAME?</v>
      </c>
      <c r="BJ23" s="855" t="e" cm="1">
        <f t="array" ca="1" aca="1" ref="BJ23">_xlfn.LET(_xlpm.val,IF($F23="",val_blankRefText,_xldudf_CX_GET(CX_ENTITY,($F23),BJ$11,BJ$14,,(BJ$19))),_xlpm.Res,IF(OR(_xlpm.val="",_xlpm.val="Error"),"",_xlpm.val),_xlpm.Res)</f>
        <v>#NAME?</v>
      </c>
      <c r="BK23" s="855" t="e" cm="1">
        <f t="array" ca="1" aca="1" ref="BK23">_xlfn.LET(_xlpm.val,IF($F23="",val_blankRefText,_xldudf_CX_GET(CX_ENTITY,($F23),BK$11,BK$14,,(BK$19))),_xlpm.Res,IF(OR(_xlpm.val="",_xlpm.val="Error"),"",_xlpm.val),_xlpm.Res)</f>
        <v>#NAME?</v>
      </c>
      <c r="BL23" s="855" t="e" cm="1">
        <f t="array" ca="1" aca="1" ref="BL23">_xlfn.LET(_xlpm.val,IF($F23="",val_blankRefText,_xldudf_CX_GET(CX_ENTITY,($F23),BL$11,BL$14,,(BL$19))),_xlpm.Res,IF(OR(_xlpm.val="",_xlpm.val="Error"),"",_xlpm.val),_xlpm.Res)</f>
        <v>#NAME?</v>
      </c>
      <c r="BM23" s="855" t="e" cm="1">
        <f t="array" ca="1" aca="1" ref="BM23">_xlfn.LET(_xlpm.val,IF($F23="",val_blankRefText,_xldudf_CX_GET(CX_ENTITY,($F23),BM$11,BM$14,,(BM$19))),_xlpm.Res,IF(OR(_xlpm.val="",_xlpm.val="Error"),"",_xlpm.val),_xlpm.Res)</f>
        <v>#NAME?</v>
      </c>
      <c r="BN23" s="855" t="e" cm="1">
        <f t="array" ca="1" aca="1" ref="BN23">_xlfn.LET(_xlpm.val,IF($F23="",val_blankRefText,_xldudf_CX_GET(CX_ENTITY,($F23),BN$11,BN$14,,(BN$19))),_xlpm.Res,IF(OR(_xlpm.val="",_xlpm.val="Error"),"",_xlpm.val),_xlpm.Res)</f>
        <v>#NAME?</v>
      </c>
      <c r="BO23" s="1844"/>
      <c r="BP23" s="1844"/>
      <c r="BQ23" s="1844"/>
      <c r="BR23" s="1844"/>
      <c r="BS23" s="1844"/>
      <c r="BT23" s="1844"/>
      <c r="BU23" s="1844"/>
      <c r="BV23" s="1844"/>
      <c r="BW23" s="1844"/>
      <c r="BX23" s="1844"/>
      <c r="BY23" s="1844"/>
      <c r="BZ23" s="1844"/>
      <c r="CA23" s="34"/>
      <c r="CC23" s="33"/>
      <c r="CD23" s="1461" t="e" cm="1">
        <f t="array" ca="1" aca="1" ref="CD23">_xlfn.LET(_xlpm.CheckBlank,SUM(CF!$AD23:$BN23)=0,IF(_xlpm.CheckBlank,"",SUM(_xlfn._xlws.FILTER(CF!$AD23:$BN23,(YEAR(CF!$AD$12:$BN$12)=CF!CD$12)*(array_timeline&lt;=CF!CD$11)))))</f>
        <v>#NAME?</v>
      </c>
      <c r="CE23" s="1461" t="e" cm="1">
        <f t="array" ca="1" aca="1" ref="CE23">_xlfn.LET(_xlpm.CheckBlank,SUM(CF!$AD23:$BN23)=0,IF(_xlpm.CheckBlank,"",SUM(_xlfn._xlws.FILTER(CF!$AD23:$BN23,(YEAR(CF!$AD$12:$BN$12)=CF!CE$12)*(array_timeline&lt;=CF!CE$11)))))</f>
        <v>#NAME?</v>
      </c>
      <c r="CF23" s="1314"/>
      <c r="CG23" s="1461" t="e" cm="1">
        <f t="array" ca="1" aca="1" ref="CG23">_xlfn.LET(_xlpm.CheckBlank,SUM(CF!$AD23:$BN23)=0,IF(_xlpm.CheckBlank,"",SUM(_xlfn._xlws.FILTER(CF!$AD23:$BN23,(YEAR(CF!$AD$12:$BN$12)=CF!CG$12)*(array_timeline&lt;=CF!CG$11)))))</f>
        <v>#NAME?</v>
      </c>
      <c r="CH23" s="1461" t="e" cm="1">
        <f t="array" ca="1" aca="1" ref="CH23">_xlfn.LET(_xlpm.CheckBlank,SUM(CF!$AD23:$BN23)=0,IF(_xlpm.CheckBlank,"",SUM(_xlfn._xlws.FILTER(CF!$AD23:$BN23,(YEAR(CF!$AD$12:$BN$12)=CF!CH$12)*(array_timeline&lt;=CF!CH$11)))))</f>
        <v>#NAME?</v>
      </c>
      <c r="CI23" s="1314"/>
      <c r="CJ23" s="1657" cm="1">
        <f t="array" ref="CJ23">_xlfn.LET(_xlpm.CheckBlank,SUM(CF!$AD23:$BN23)=0,IF(_xlpm.CheckBlank,"",SUM(_xlfn.TAKE(_xlfn.DROP(CF!$AD23:$BN23,,-DATEDIFF(CF!CJ$11,val_asOfDate,"M")),1,-12))))</f>
        <v>12</v>
      </c>
      <c r="CK23" s="1657" cm="1">
        <f t="array" ref="CK23">_xlfn.LET(_xlpm.CheckBlank,SUM(CF!$AD23:$BN23)=0,IF(_xlpm.CheckBlank,"",SUM(_xlfn.TAKE(_xlfn.DROP(CF!$AD23:$BN23,,-DATEDIFF(CF!CK$11,val_asOfDate,"M")),1,-12))))</f>
        <v>12</v>
      </c>
      <c r="CL23" s="88"/>
      <c r="CM23" s="541" t="e" cm="1">
        <f t="array" ca="1" aca="1" ref="CM23">_xlfn.LET(_xlpm.val,IF($F23="",val_blankRefText,_xldudf_CX_GET(CX_ENTITY,($F23),CM$11,CM$14,,(CM$19))),_xlpm.Res,IF(OR(_xlpm.val="",_xlpm.val="Error"),"",_xlpm.val),_xlpm.Res)</f>
        <v>#NAME?</v>
      </c>
      <c r="CN23" s="541" t="e" cm="1">
        <f t="array" ca="1" aca="1" ref="CN23">_xlfn.LET(_xlpm.val,IF($F23="",val_blankRefText,_xldudf_CX_GET(CX_ENTITY,($F23),CN$11,CN$14,,(CN$19))),_xlpm.Res,IF(OR(_xlpm.val="",_xlpm.val="Error"),"",_xlpm.val),_xlpm.Res)</f>
        <v>#NAME?</v>
      </c>
      <c r="CO23" s="34"/>
      <c r="CR23" s="4"/>
      <c r="CS23" s="4"/>
      <c r="CW23" s="4"/>
    </row>
    <row r="24" spans="1:101" ht="21" customHeight="1">
      <c r="A24" s="696"/>
      <c r="B24" s="574" t="s">
        <v>241</v>
      </c>
      <c r="C24" s="574" t="s">
        <v>1673</v>
      </c>
      <c r="D24" s="574"/>
      <c r="E24" s="577" t="e" cm="1">
        <f t="array" ca="1" aca="1" ref="E24">_xlfn.LET(_xlpm.Attr,$C24,_xlpm.Lookback,$E$16,_xlpm.QueryDate,EOMONTH(val_asOfDate,_xlpm.Lookback),_xlpm.ReadField,_xldudf_CX_GET(CX_ENTITY,fx_attrConverter($C24),_xlpm.QueryDate),_xlpm.AttrBlank,_xlpm.Attr="",_xlpm.RESULT,IF(_xlpm.AttrBlank,val_blankRefText,fx_attrConverter(_xlpm.ReadField,0)),IF(_xlpm.RESULT="Error","",_xlpm.RESULT))</f>
        <v>#NAME?</v>
      </c>
      <c r="F24" s="577" t="str">
        <f t="shared" si="1"/>
        <v>Operating Cash Flow</v>
      </c>
      <c r="G24" s="401"/>
      <c r="H24" s="3280">
        <v>2</v>
      </c>
      <c r="I24" s="3280">
        <v>1</v>
      </c>
      <c r="J24" s="401"/>
      <c r="K24" s="401"/>
      <c r="L24" s="579">
        <v>-1</v>
      </c>
      <c r="N24" s="158"/>
      <c r="O24" s="101"/>
      <c r="P24" s="52"/>
      <c r="Q24" s="101"/>
      <c r="R24" s="101"/>
      <c r="S24" s="101"/>
      <c r="T24" s="101"/>
      <c r="U24" s="39"/>
      <c r="W24" s="932" t="str">
        <f t="shared" si="4"/>
        <v>Actual</v>
      </c>
      <c r="X24" s="761">
        <f>0</f>
        <v>0</v>
      </c>
      <c r="Y24" s="88" t="e" cm="1">
        <f t="array" ca="1" aca="1" ref="Y24">IF($B24="",IFBLANK($E24,"Please select or type in or leave as blank"),IFBLANK($E24,$B24))</f>
        <v>#NAME?</v>
      </c>
      <c r="Z24" s="200" cm="1">
        <f t="array" ref="Z24">_xlfn.SWITCH(TRUE,_CF!$L24=TRUE,1,_CF!$L24=FALSE,-1,_CF!$L24=-1,0,"n/a")</f>
        <v>0</v>
      </c>
      <c r="AA24" s="200"/>
      <c r="AB24" s="88" t="s">
        <v>241</v>
      </c>
      <c r="AC24" s="88"/>
      <c r="AD24" s="855" t="e" cm="1">
        <f t="array" ca="1" aca="1" ref="AD24">_xlfn.LET(_xlpm.val,IF($F24="",val_blankRefText,_xldudf_CX_GET(CX_ENTITY,($F24),AD$11,AD$14,,(AD$19))),_xlpm.Res,IF(OR(_xlpm.val="",_xlpm.val="Error"),"",_xlpm.val),_xlpm.Res)</f>
        <v>#NAME?</v>
      </c>
      <c r="AE24" s="855" t="e" cm="1">
        <f t="array" ca="1" aca="1" ref="AE24">_xlfn.LET(_xlpm.val,IF($F24="",val_blankRefText,_xldudf_CX_GET(CX_ENTITY,($F24),AE$11,AE$14,,(AE$19))),_xlpm.Res,IF(OR(_xlpm.val="",_xlpm.val="Error"),"",_xlpm.val),_xlpm.Res)</f>
        <v>#NAME?</v>
      </c>
      <c r="AF24" s="855" t="e" cm="1">
        <f t="array" ca="1" aca="1" ref="AF24">_xlfn.LET(_xlpm.val,IF($F24="",val_blankRefText,_xldudf_CX_GET(CX_ENTITY,($F24),AF$11,AF$14,,(AF$19))),_xlpm.Res,IF(OR(_xlpm.val="",_xlpm.val="Error"),"",_xlpm.val),_xlpm.Res)</f>
        <v>#NAME?</v>
      </c>
      <c r="AG24" s="855" t="e" cm="1">
        <f t="array" ca="1" aca="1" ref="AG24">_xlfn.LET(_xlpm.val,IF($F24="",val_blankRefText,_xldudf_CX_GET(CX_ENTITY,($F24),AG$11,AG$14,,(AG$19))),_xlpm.Res,IF(OR(_xlpm.val="",_xlpm.val="Error"),"",_xlpm.val),_xlpm.Res)</f>
        <v>#NAME?</v>
      </c>
      <c r="AH24" s="855" t="e" cm="1">
        <f t="array" ca="1" aca="1" ref="AH24">_xlfn.LET(_xlpm.val,IF($F24="",val_blankRefText,_xldudf_CX_GET(CX_ENTITY,($F24),AH$11,AH$14,,(AH$19))),_xlpm.Res,IF(OR(_xlpm.val="",_xlpm.val="Error"),"",_xlpm.val),_xlpm.Res)</f>
        <v>#NAME?</v>
      </c>
      <c r="AI24" s="855" t="e" cm="1">
        <f t="array" ca="1" aca="1" ref="AI24">_xlfn.LET(_xlpm.val,IF($F24="",val_blankRefText,_xldudf_CX_GET(CX_ENTITY,($F24),AI$11,AI$14,,(AI$19))),_xlpm.Res,IF(OR(_xlpm.val="",_xlpm.val="Error"),"",_xlpm.val),_xlpm.Res)</f>
        <v>#NAME?</v>
      </c>
      <c r="AJ24" s="855" t="e" cm="1">
        <f t="array" ca="1" aca="1" ref="AJ24">_xlfn.LET(_xlpm.val,IF($F24="",val_blankRefText,_xldudf_CX_GET(CX_ENTITY,($F24),AJ$11,AJ$14,,(AJ$19))),_xlpm.Res,IF(OR(_xlpm.val="",_xlpm.val="Error"),"",_xlpm.val),_xlpm.Res)</f>
        <v>#NAME?</v>
      </c>
      <c r="AK24" s="855" t="e" cm="1">
        <f t="array" ca="1" aca="1" ref="AK24">_xlfn.LET(_xlpm.val,IF($F24="",val_blankRefText,_xldudf_CX_GET(CX_ENTITY,($F24),AK$11,AK$14,,(AK$19))),_xlpm.Res,IF(OR(_xlpm.val="",_xlpm.val="Error"),"",_xlpm.val),_xlpm.Res)</f>
        <v>#NAME?</v>
      </c>
      <c r="AL24" s="855" t="e" cm="1">
        <f t="array" ca="1" aca="1" ref="AL24">_xlfn.LET(_xlpm.val,IF($F24="",val_blankRefText,_xldudf_CX_GET(CX_ENTITY,($F24),AL$11,AL$14,,(AL$19))),_xlpm.Res,IF(OR(_xlpm.val="",_xlpm.val="Error"),"",_xlpm.val),_xlpm.Res)</f>
        <v>#NAME?</v>
      </c>
      <c r="AM24" s="855" t="e" cm="1">
        <f t="array" ca="1" aca="1" ref="AM24">_xlfn.LET(_xlpm.val,IF($F24="",val_blankRefText,_xldudf_CX_GET(CX_ENTITY,($F24),AM$11,AM$14,,(AM$19))),_xlpm.Res,IF(OR(_xlpm.val="",_xlpm.val="Error"),"",_xlpm.val),_xlpm.Res)</f>
        <v>#NAME?</v>
      </c>
      <c r="AN24" s="855" t="e" cm="1">
        <f t="array" ca="1" aca="1" ref="AN24">_xlfn.LET(_xlpm.val,IF($F24="",val_blankRefText,_xldudf_CX_GET(CX_ENTITY,($F24),AN$11,AN$14,,(AN$19))),_xlpm.Res,IF(OR(_xlpm.val="",_xlpm.val="Error"),"",_xlpm.val),_xlpm.Res)</f>
        <v>#NAME?</v>
      </c>
      <c r="AO24" s="855" t="e" cm="1">
        <f t="array" ca="1" aca="1" ref="AO24">_xlfn.LET(_xlpm.val,IF($F24="",val_blankRefText,_xldudf_CX_GET(CX_ENTITY,($F24),AO$11,AO$14,,(AO$19))),_xlpm.Res,IF(OR(_xlpm.val="",_xlpm.val="Error"),"",_xlpm.val),_xlpm.Res)</f>
        <v>#NAME?</v>
      </c>
      <c r="AP24" s="855" t="e" cm="1">
        <f t="array" ca="1" aca="1" ref="AP24">_xlfn.LET(_xlpm.val,IF($F24="",val_blankRefText,_xldudf_CX_GET(CX_ENTITY,($F24),AP$11,AP$14,,(AP$19))),_xlpm.Res,IF(OR(_xlpm.val="",_xlpm.val="Error"),"",_xlpm.val),_xlpm.Res)</f>
        <v>#NAME?</v>
      </c>
      <c r="AQ24" s="855" t="e" cm="1">
        <f t="array" ca="1" aca="1" ref="AQ24">_xlfn.LET(_xlpm.val,IF($F24="",val_blankRefText,_xldudf_CX_GET(CX_ENTITY,($F24),AQ$11,AQ$14,,(AQ$19))),_xlpm.Res,IF(OR(_xlpm.val="",_xlpm.val="Error"),"",_xlpm.val),_xlpm.Res)</f>
        <v>#NAME?</v>
      </c>
      <c r="AR24" s="855" t="e" cm="1">
        <f t="array" ca="1" aca="1" ref="AR24">_xlfn.LET(_xlpm.val,IF($F24="",val_blankRefText,_xldudf_CX_GET(CX_ENTITY,($F24),AR$11,AR$14,,(AR$19))),_xlpm.Res,IF(OR(_xlpm.val="",_xlpm.val="Error"),"",_xlpm.val),_xlpm.Res)</f>
        <v>#NAME?</v>
      </c>
      <c r="AS24" s="855" t="e" cm="1">
        <f t="array" ca="1" aca="1" ref="AS24">_xlfn.LET(_xlpm.val,IF($F24="",val_blankRefText,_xldudf_CX_GET(CX_ENTITY,($F24),AS$11,AS$14,,(AS$19))),_xlpm.Res,IF(OR(_xlpm.val="",_xlpm.val="Error"),"",_xlpm.val),_xlpm.Res)</f>
        <v>#NAME?</v>
      </c>
      <c r="AT24" s="855" t="e" cm="1">
        <f t="array" ca="1" aca="1" ref="AT24">_xlfn.LET(_xlpm.val,IF($F24="",val_blankRefText,_xldudf_CX_GET(CX_ENTITY,($F24),AT$11,AT$14,,(AT$19))),_xlpm.Res,IF(OR(_xlpm.val="",_xlpm.val="Error"),"",_xlpm.val),_xlpm.Res)</f>
        <v>#NAME?</v>
      </c>
      <c r="AU24" s="855" t="e" cm="1">
        <f t="array" ca="1" aca="1" ref="AU24">_xlfn.LET(_xlpm.val,IF($F24="",val_blankRefText,_xldudf_CX_GET(CX_ENTITY,($F24),AU$11,AU$14,,(AU$19))),_xlpm.Res,IF(OR(_xlpm.val="",_xlpm.val="Error"),"",_xlpm.val),_xlpm.Res)</f>
        <v>#NAME?</v>
      </c>
      <c r="AV24" s="855" t="e" cm="1">
        <f t="array" ca="1" aca="1" ref="AV24">_xlfn.LET(_xlpm.val,IF($F24="",val_blankRefText,_xldudf_CX_GET(CX_ENTITY,($F24),AV$11,AV$14,,(AV$19))),_xlpm.Res,IF(OR(_xlpm.val="",_xlpm.val="Error"),"",_xlpm.val),_xlpm.Res)</f>
        <v>#NAME?</v>
      </c>
      <c r="AW24" s="855" t="e" cm="1">
        <f t="array" ca="1" aca="1" ref="AW24">_xlfn.LET(_xlpm.val,IF($F24="",val_blankRefText,_xldudf_CX_GET(CX_ENTITY,($F24),AW$11,AW$14,,(AW$19))),_xlpm.Res,IF(OR(_xlpm.val="",_xlpm.val="Error"),"",_xlpm.val),_xlpm.Res)</f>
        <v>#NAME?</v>
      </c>
      <c r="AX24" s="855" t="e" cm="1">
        <f t="array" ca="1" aca="1" ref="AX24">_xlfn.LET(_xlpm.val,IF($F24="",val_blankRefText,_xldudf_CX_GET(CX_ENTITY,($F24),AX$11,AX$14,,(AX$19))),_xlpm.Res,IF(OR(_xlpm.val="",_xlpm.val="Error"),"",_xlpm.val),_xlpm.Res)</f>
        <v>#NAME?</v>
      </c>
      <c r="AY24" s="855" t="e" cm="1">
        <f t="array" ca="1" aca="1" ref="AY24">_xlfn.LET(_xlpm.val,IF($F24="",val_blankRefText,_xldudf_CX_GET(CX_ENTITY,($F24),AY$11,AY$14,,(AY$19))),_xlpm.Res,IF(OR(_xlpm.val="",_xlpm.val="Error"),"",_xlpm.val),_xlpm.Res)</f>
        <v>#NAME?</v>
      </c>
      <c r="AZ24" s="855" t="e" cm="1">
        <f t="array" ca="1" aca="1" ref="AZ24">_xlfn.LET(_xlpm.val,IF($F24="",val_blankRefText,_xldudf_CX_GET(CX_ENTITY,($F24),AZ$11,AZ$14,,(AZ$19))),_xlpm.Res,IF(OR(_xlpm.val="",_xlpm.val="Error"),"",_xlpm.val),_xlpm.Res)</f>
        <v>#NAME?</v>
      </c>
      <c r="BA24" s="855" t="e" cm="1">
        <f t="array" ca="1" aca="1" ref="BA24">_xlfn.LET(_xlpm.val,IF($F24="",val_blankRefText,_xldudf_CX_GET(CX_ENTITY,($F24),BA$11,BA$14,,(BA$19))),_xlpm.Res,IF(OR(_xlpm.val="",_xlpm.val="Error"),"",_xlpm.val),_xlpm.Res)</f>
        <v>#NAME?</v>
      </c>
      <c r="BB24" s="855" t="e" cm="1">
        <f t="array" ca="1" aca="1" ref="BB24">_xlfn.LET(_xlpm.val,IF($F24="",val_blankRefText,_xldudf_CX_GET(CX_ENTITY,($F24),BB$11,BB$14,,(BB$19))),_xlpm.Res,IF(OR(_xlpm.val="",_xlpm.val="Error"),"",_xlpm.val),_xlpm.Res)</f>
        <v>#NAME?</v>
      </c>
      <c r="BC24" s="855" t="e" cm="1">
        <f t="array" ca="1" aca="1" ref="BC24">_xlfn.LET(_xlpm.val,IF($F24="",val_blankRefText,_xldudf_CX_GET(CX_ENTITY,($F24),BC$11,BC$14,,(BC$19))),_xlpm.Res,IF(OR(_xlpm.val="",_xlpm.val="Error"),"",_xlpm.val),_xlpm.Res)</f>
        <v>#NAME?</v>
      </c>
      <c r="BD24" s="855" t="e" cm="1">
        <f t="array" ca="1" aca="1" ref="BD24">_xlfn.LET(_xlpm.val,IF($F24="",val_blankRefText,_xldudf_CX_GET(CX_ENTITY,($F24),BD$11,BD$14,,(BD$19))),_xlpm.Res,IF(OR(_xlpm.val="",_xlpm.val="Error"),"",_xlpm.val),_xlpm.Res)</f>
        <v>#NAME?</v>
      </c>
      <c r="BE24" s="855" t="e" cm="1">
        <f t="array" ca="1" aca="1" ref="BE24">_xlfn.LET(_xlpm.val,IF($F24="",val_blankRefText,_xldudf_CX_GET(CX_ENTITY,($F24),BE$11,BE$14,,(BE$19))),_xlpm.Res,IF(OR(_xlpm.val="",_xlpm.val="Error"),"",_xlpm.val),_xlpm.Res)</f>
        <v>#NAME?</v>
      </c>
      <c r="BF24" s="855" t="e" cm="1">
        <f t="array" ca="1" aca="1" ref="BF24">_xlfn.LET(_xlpm.val,IF($F24="",val_blankRefText,_xldudf_CX_GET(CX_ENTITY,($F24),BF$11,BF$14,,(BF$19))),_xlpm.Res,IF(OR(_xlpm.val="",_xlpm.val="Error"),"",_xlpm.val),_xlpm.Res)</f>
        <v>#NAME?</v>
      </c>
      <c r="BG24" s="855" t="e" cm="1">
        <f t="array" ca="1" aca="1" ref="BG24">_xlfn.LET(_xlpm.val,IF($F24="",val_blankRefText,_xldudf_CX_GET(CX_ENTITY,($F24),BG$11,BG$14,,(BG$19))),_xlpm.Res,IF(OR(_xlpm.val="",_xlpm.val="Error"),"",_xlpm.val),_xlpm.Res)</f>
        <v>#NAME?</v>
      </c>
      <c r="BH24" s="855" t="e" cm="1">
        <f t="array" ca="1" aca="1" ref="BH24">_xlfn.LET(_xlpm.val,IF($F24="",val_blankRefText,_xldudf_CX_GET(CX_ENTITY,($F24),BH$11,BH$14,,(BH$19))),_xlpm.Res,IF(OR(_xlpm.val="",_xlpm.val="Error"),"",_xlpm.val),_xlpm.Res)</f>
        <v>#NAME?</v>
      </c>
      <c r="BI24" s="855" t="e" cm="1">
        <f t="array" ca="1" aca="1" ref="BI24">_xlfn.LET(_xlpm.val,IF($F24="",val_blankRefText,_xldudf_CX_GET(CX_ENTITY,($F24),BI$11,BI$14,,(BI$19))),_xlpm.Res,IF(OR(_xlpm.val="",_xlpm.val="Error"),"",_xlpm.val),_xlpm.Res)</f>
        <v>#NAME?</v>
      </c>
      <c r="BJ24" s="855" t="e" cm="1">
        <f t="array" ca="1" aca="1" ref="BJ24">_xlfn.LET(_xlpm.val,IF($F24="",val_blankRefText,_xldudf_CX_GET(CX_ENTITY,($F24),BJ$11,BJ$14,,(BJ$19))),_xlpm.Res,IF(OR(_xlpm.val="",_xlpm.val="Error"),"",_xlpm.val),_xlpm.Res)</f>
        <v>#NAME?</v>
      </c>
      <c r="BK24" s="855" t="e" cm="1">
        <f t="array" ca="1" aca="1" ref="BK24">_xlfn.LET(_xlpm.val,IF($F24="",val_blankRefText,_xldudf_CX_GET(CX_ENTITY,($F24),BK$11,BK$14,,(BK$19))),_xlpm.Res,IF(OR(_xlpm.val="",_xlpm.val="Error"),"",_xlpm.val),_xlpm.Res)</f>
        <v>#NAME?</v>
      </c>
      <c r="BL24" s="855" t="e" cm="1">
        <f t="array" ca="1" aca="1" ref="BL24">_xlfn.LET(_xlpm.val,IF($F24="",val_blankRefText,_xldudf_CX_GET(CX_ENTITY,($F24),BL$11,BL$14,,(BL$19))),_xlpm.Res,IF(OR(_xlpm.val="",_xlpm.val="Error"),"",_xlpm.val),_xlpm.Res)</f>
        <v>#NAME?</v>
      </c>
      <c r="BM24" s="855" t="e" cm="1">
        <f t="array" ca="1" aca="1" ref="BM24">_xlfn.LET(_xlpm.val,IF($F24="",val_blankRefText,_xldudf_CX_GET(CX_ENTITY,($F24),BM$11,BM$14,,(BM$19))),_xlpm.Res,IF(OR(_xlpm.val="",_xlpm.val="Error"),"",_xlpm.val),_xlpm.Res)</f>
        <v>#NAME?</v>
      </c>
      <c r="BN24" s="855" t="e" cm="1">
        <f t="array" ca="1" aca="1" ref="BN24">_xlfn.LET(_xlpm.val,IF($F24="",val_blankRefText,_xldudf_CX_GET(CX_ENTITY,($F24),BN$11,BN$14,,(BN$19))),_xlpm.Res,IF(OR(_xlpm.val="",_xlpm.val="Error"),"",_xlpm.val),_xlpm.Res)</f>
        <v>#NAME?</v>
      </c>
      <c r="BO24" s="1844"/>
      <c r="BP24" s="1844"/>
      <c r="BQ24" s="1844"/>
      <c r="BR24" s="1844"/>
      <c r="BS24" s="1844"/>
      <c r="BT24" s="1844"/>
      <c r="BU24" s="1844"/>
      <c r="BV24" s="1844"/>
      <c r="BW24" s="1844"/>
      <c r="BX24" s="1844"/>
      <c r="BY24" s="1844"/>
      <c r="BZ24" s="1844"/>
      <c r="CA24" s="34"/>
      <c r="CC24" s="33"/>
      <c r="CD24" s="1461" t="e" cm="1">
        <f t="array" ca="1" aca="1" ref="CD24">_xlfn.LET(_xlpm.CheckBlank,SUM(CF!$AD24:$BN24)=0,IF(_xlpm.CheckBlank,"",SUM(_xlfn._xlws.FILTER(CF!$AD24:$BN24,(YEAR(CF!$AD$12:$BN$12)=CF!CD$12)*(array_timeline&lt;=CF!CD$11)))))</f>
        <v>#NAME?</v>
      </c>
      <c r="CE24" s="1461" t="e" cm="1">
        <f t="array" ca="1" aca="1" ref="CE24">_xlfn.LET(_xlpm.CheckBlank,SUM(CF!$AD24:$BN24)=0,IF(_xlpm.CheckBlank,"",SUM(_xlfn._xlws.FILTER(CF!$AD24:$BN24,(YEAR(CF!$AD$12:$BN$12)=CF!CE$12)*(array_timeline&lt;=CF!CE$11)))))</f>
        <v>#NAME?</v>
      </c>
      <c r="CF24" s="1314"/>
      <c r="CG24" s="1461" t="e" cm="1">
        <f t="array" ca="1" aca="1" ref="CG24">_xlfn.LET(_xlpm.CheckBlank,SUM(CF!$AD24:$BN24)=0,IF(_xlpm.CheckBlank,"",SUM(_xlfn._xlws.FILTER(CF!$AD24:$BN24,(YEAR(CF!$AD$12:$BN$12)=CF!CG$12)*(array_timeline&lt;=CF!CG$11)))))</f>
        <v>#NAME?</v>
      </c>
      <c r="CH24" s="1461" t="e" cm="1">
        <f t="array" ca="1" aca="1" ref="CH24">_xlfn.LET(_xlpm.CheckBlank,SUM(CF!$AD24:$BN24)=0,IF(_xlpm.CheckBlank,"",SUM(_xlfn._xlws.FILTER(CF!$AD24:$BN24,(YEAR(CF!$AD$12:$BN$12)=CF!CH$12)*(array_timeline&lt;=CF!CH$11)))))</f>
        <v>#NAME?</v>
      </c>
      <c r="CI24" s="1314"/>
      <c r="CJ24" s="1657" cm="1">
        <f t="array" ref="CJ24">_xlfn.LET(_xlpm.CheckBlank,SUM(CF!$AD24:$BN24)=0,IF(_xlpm.CheckBlank,"",SUM(_xlfn.TAKE(_xlfn.DROP(CF!$AD24:$BN24,,-DATEDIFF(CF!CJ$11,val_asOfDate,"M")),1,-12))))</f>
        <v>72</v>
      </c>
      <c r="CK24" s="1657" cm="1">
        <f t="array" ref="CK24">_xlfn.LET(_xlpm.CheckBlank,SUM(CF!$AD24:$BN24)=0,IF(_xlpm.CheckBlank,"",SUM(_xlfn.TAKE(_xlfn.DROP(CF!$AD24:$BN24,,-DATEDIFF(CF!CK$11,val_asOfDate,"M")),1,-12))))</f>
        <v>72</v>
      </c>
      <c r="CL24" s="88"/>
      <c r="CM24" s="541" t="e" cm="1">
        <f t="array" ca="1" aca="1" ref="CM24">_xlfn.LET(_xlpm.val,IF($F24="",val_blankRefText,_xldudf_CX_GET(CX_ENTITY,($F24),CM$11,CM$14,,(CM$19))),_xlpm.Res,IF(OR(_xlpm.val="",_xlpm.val="Error"),"",_xlpm.val),_xlpm.Res)</f>
        <v>#NAME?</v>
      </c>
      <c r="CN24" s="541" t="e" cm="1">
        <f t="array" ca="1" aca="1" ref="CN24">_xlfn.LET(_xlpm.val,IF($F24="",val_blankRefText,_xldudf_CX_GET(CX_ENTITY,($F24),CN$11,CN$14,,(CN$19))),_xlpm.Res,IF(OR(_xlpm.val="",_xlpm.val="Error"),"",_xlpm.val),_xlpm.Res)</f>
        <v>#NAME?</v>
      </c>
      <c r="CO24" s="34"/>
      <c r="CR24" s="4"/>
      <c r="CS24" s="4"/>
      <c r="CW24" s="4"/>
    </row>
    <row r="25" spans="1:101" ht="21" customHeight="1">
      <c r="A25" s="696"/>
      <c r="B25" s="574" t="s">
        <v>242</v>
      </c>
      <c r="C25" s="574" t="s">
        <v>1674</v>
      </c>
      <c r="D25" s="574"/>
      <c r="E25" s="577" t="e" cm="1">
        <f t="array" ca="1" aca="1" ref="E25">_xlfn.LET(_xlpm.Attr,$C25,_xlpm.Lookback,$E$16,_xlpm.QueryDate,EOMONTH(val_asOfDate,_xlpm.Lookback),_xlpm.ReadField,_xldudf_CX_GET(CX_ENTITY,fx_attrConverter($C25),_xlpm.QueryDate),_xlpm.AttrBlank,_xlpm.Attr="",_xlpm.RESULT,IF(_xlpm.AttrBlank,val_blankRefText,fx_attrConverter(_xlpm.ReadField,0)),IF(_xlpm.RESULT="Error","",_xlpm.RESULT))</f>
        <v>#NAME?</v>
      </c>
      <c r="F25" s="577" t="str">
        <f t="shared" si="1"/>
        <v>Cash Tax</v>
      </c>
      <c r="G25" s="401"/>
      <c r="H25" s="3280">
        <v>1</v>
      </c>
      <c r="I25" s="3280">
        <v>1</v>
      </c>
      <c r="J25" s="401"/>
      <c r="K25" s="401"/>
      <c r="L25" s="3269" t="b">
        <v>1</v>
      </c>
      <c r="N25" s="158"/>
      <c r="O25" s="101"/>
      <c r="P25" s="52"/>
      <c r="Q25" s="101"/>
      <c r="R25" s="101"/>
      <c r="S25" s="101"/>
      <c r="T25" s="101"/>
      <c r="U25" s="39"/>
      <c r="W25" s="932" t="str">
        <f t="shared" si="4"/>
        <v>Actual</v>
      </c>
      <c r="X25" s="761">
        <v>-1</v>
      </c>
      <c r="Y25" s="88" t="e" cm="1">
        <f t="array" ca="1" aca="1" ref="Y25">IF($B25="",IFBLANK($E25,"Please select or type in or leave as blank"),IFBLANK($E25,$B25))</f>
        <v>#NAME?</v>
      </c>
      <c r="Z25" s="3300" cm="1">
        <f t="array" ref="Z25">_xlfn.SWITCH(TRUE,_CF!$L25=TRUE,1,_CF!$L25=FALSE,-1,_CF!$L25=-1,0,"n/a")</f>
        <v>1</v>
      </c>
      <c r="AA25" s="200"/>
      <c r="AB25" s="88" t="s">
        <v>242</v>
      </c>
      <c r="AC25" s="88"/>
      <c r="AD25" s="855" t="e" cm="1">
        <f t="array" ca="1" aca="1" ref="AD25">_xlfn.LET(_xlpm.val,IF($F25="",val_blankRefText,_xldudf_CX_GET(CX_ENTITY,($F25),AD$11,AD$14,,(AD$19))),_xlpm.Res,IF(OR(_xlpm.val="",_xlpm.val="Error"),"",_xlpm.val),_xlpm.Res)</f>
        <v>#NAME?</v>
      </c>
      <c r="AE25" s="855" t="e" cm="1">
        <f t="array" ca="1" aca="1" ref="AE25">_xlfn.LET(_xlpm.val,IF($F25="",val_blankRefText,_xldudf_CX_GET(CX_ENTITY,($F25),AE$11,AE$14,,(AE$19))),_xlpm.Res,IF(OR(_xlpm.val="",_xlpm.val="Error"),"",_xlpm.val),_xlpm.Res)</f>
        <v>#NAME?</v>
      </c>
      <c r="AF25" s="855" t="e" cm="1">
        <f t="array" ca="1" aca="1" ref="AF25">_xlfn.LET(_xlpm.val,IF($F25="",val_blankRefText,_xldudf_CX_GET(CX_ENTITY,($F25),AF$11,AF$14,,(AF$19))),_xlpm.Res,IF(OR(_xlpm.val="",_xlpm.val="Error"),"",_xlpm.val),_xlpm.Res)</f>
        <v>#NAME?</v>
      </c>
      <c r="AG25" s="855" t="e" cm="1">
        <f t="array" ca="1" aca="1" ref="AG25">_xlfn.LET(_xlpm.val,IF($F25="",val_blankRefText,_xldudf_CX_GET(CX_ENTITY,($F25),AG$11,AG$14,,(AG$19))),_xlpm.Res,IF(OR(_xlpm.val="",_xlpm.val="Error"),"",_xlpm.val),_xlpm.Res)</f>
        <v>#NAME?</v>
      </c>
      <c r="AH25" s="855" t="e" cm="1">
        <f t="array" ca="1" aca="1" ref="AH25">_xlfn.LET(_xlpm.val,IF($F25="",val_blankRefText,_xldudf_CX_GET(CX_ENTITY,($F25),AH$11,AH$14,,(AH$19))),_xlpm.Res,IF(OR(_xlpm.val="",_xlpm.val="Error"),"",_xlpm.val),_xlpm.Res)</f>
        <v>#NAME?</v>
      </c>
      <c r="AI25" s="855" t="e" cm="1">
        <f t="array" ca="1" aca="1" ref="AI25">_xlfn.LET(_xlpm.val,IF($F25="",val_blankRefText,_xldudf_CX_GET(CX_ENTITY,($F25),AI$11,AI$14,,(AI$19))),_xlpm.Res,IF(OR(_xlpm.val="",_xlpm.val="Error"),"",_xlpm.val),_xlpm.Res)</f>
        <v>#NAME?</v>
      </c>
      <c r="AJ25" s="855" t="e" cm="1">
        <f t="array" ca="1" aca="1" ref="AJ25">_xlfn.LET(_xlpm.val,IF($F25="",val_blankRefText,_xldudf_CX_GET(CX_ENTITY,($F25),AJ$11,AJ$14,,(AJ$19))),_xlpm.Res,IF(OR(_xlpm.val="",_xlpm.val="Error"),"",_xlpm.val),_xlpm.Res)</f>
        <v>#NAME?</v>
      </c>
      <c r="AK25" s="855" t="e" cm="1">
        <f t="array" ca="1" aca="1" ref="AK25">_xlfn.LET(_xlpm.val,IF($F25="",val_blankRefText,_xldudf_CX_GET(CX_ENTITY,($F25),AK$11,AK$14,,(AK$19))),_xlpm.Res,IF(OR(_xlpm.val="",_xlpm.val="Error"),"",_xlpm.val),_xlpm.Res)</f>
        <v>#NAME?</v>
      </c>
      <c r="AL25" s="855" t="e" cm="1">
        <f t="array" ca="1" aca="1" ref="AL25">_xlfn.LET(_xlpm.val,IF($F25="",val_blankRefText,_xldudf_CX_GET(CX_ENTITY,($F25),AL$11,AL$14,,(AL$19))),_xlpm.Res,IF(OR(_xlpm.val="",_xlpm.val="Error"),"",_xlpm.val),_xlpm.Res)</f>
        <v>#NAME?</v>
      </c>
      <c r="AM25" s="855" t="e" cm="1">
        <f t="array" ca="1" aca="1" ref="AM25">_xlfn.LET(_xlpm.val,IF($F25="",val_blankRefText,_xldudf_CX_GET(CX_ENTITY,($F25),AM$11,AM$14,,(AM$19))),_xlpm.Res,IF(OR(_xlpm.val="",_xlpm.val="Error"),"",_xlpm.val),_xlpm.Res)</f>
        <v>#NAME?</v>
      </c>
      <c r="AN25" s="855" t="e" cm="1">
        <f t="array" ca="1" aca="1" ref="AN25">_xlfn.LET(_xlpm.val,IF($F25="",val_blankRefText,_xldudf_CX_GET(CX_ENTITY,($F25),AN$11,AN$14,,(AN$19))),_xlpm.Res,IF(OR(_xlpm.val="",_xlpm.val="Error"),"",_xlpm.val),_xlpm.Res)</f>
        <v>#NAME?</v>
      </c>
      <c r="AO25" s="855" t="e" cm="1">
        <f t="array" ca="1" aca="1" ref="AO25">_xlfn.LET(_xlpm.val,IF($F25="",val_blankRefText,_xldudf_CX_GET(CX_ENTITY,($F25),AO$11,AO$14,,(AO$19))),_xlpm.Res,IF(OR(_xlpm.val="",_xlpm.val="Error"),"",_xlpm.val),_xlpm.Res)</f>
        <v>#NAME?</v>
      </c>
      <c r="AP25" s="855" t="e" cm="1">
        <f t="array" ca="1" aca="1" ref="AP25">_xlfn.LET(_xlpm.val,IF($F25="",val_blankRefText,_xldudf_CX_GET(CX_ENTITY,($F25),AP$11,AP$14,,(AP$19))),_xlpm.Res,IF(OR(_xlpm.val="",_xlpm.val="Error"),"",_xlpm.val),_xlpm.Res)</f>
        <v>#NAME?</v>
      </c>
      <c r="AQ25" s="855" t="e" cm="1">
        <f t="array" ca="1" aca="1" ref="AQ25">_xlfn.LET(_xlpm.val,IF($F25="",val_blankRefText,_xldudf_CX_GET(CX_ENTITY,($F25),AQ$11,AQ$14,,(AQ$19))),_xlpm.Res,IF(OR(_xlpm.val="",_xlpm.val="Error"),"",_xlpm.val),_xlpm.Res)</f>
        <v>#NAME?</v>
      </c>
      <c r="AR25" s="855" t="e" cm="1">
        <f t="array" ca="1" aca="1" ref="AR25">_xlfn.LET(_xlpm.val,IF($F25="",val_blankRefText,_xldudf_CX_GET(CX_ENTITY,($F25),AR$11,AR$14,,(AR$19))),_xlpm.Res,IF(OR(_xlpm.val="",_xlpm.val="Error"),"",_xlpm.val),_xlpm.Res)</f>
        <v>#NAME?</v>
      </c>
      <c r="AS25" s="855" t="e" cm="1">
        <f t="array" ca="1" aca="1" ref="AS25">_xlfn.LET(_xlpm.val,IF($F25="",val_blankRefText,_xldudf_CX_GET(CX_ENTITY,($F25),AS$11,AS$14,,(AS$19))),_xlpm.Res,IF(OR(_xlpm.val="",_xlpm.val="Error"),"",_xlpm.val),_xlpm.Res)</f>
        <v>#NAME?</v>
      </c>
      <c r="AT25" s="855" t="e" cm="1">
        <f t="array" ca="1" aca="1" ref="AT25">_xlfn.LET(_xlpm.val,IF($F25="",val_blankRefText,_xldudf_CX_GET(CX_ENTITY,($F25),AT$11,AT$14,,(AT$19))),_xlpm.Res,IF(OR(_xlpm.val="",_xlpm.val="Error"),"",_xlpm.val),_xlpm.Res)</f>
        <v>#NAME?</v>
      </c>
      <c r="AU25" s="855" t="e" cm="1">
        <f t="array" ca="1" aca="1" ref="AU25">_xlfn.LET(_xlpm.val,IF($F25="",val_blankRefText,_xldudf_CX_GET(CX_ENTITY,($F25),AU$11,AU$14,,(AU$19))),_xlpm.Res,IF(OR(_xlpm.val="",_xlpm.val="Error"),"",_xlpm.val),_xlpm.Res)</f>
        <v>#NAME?</v>
      </c>
      <c r="AV25" s="855" t="e" cm="1">
        <f t="array" ca="1" aca="1" ref="AV25">_xlfn.LET(_xlpm.val,IF($F25="",val_blankRefText,_xldudf_CX_GET(CX_ENTITY,($F25),AV$11,AV$14,,(AV$19))),_xlpm.Res,IF(OR(_xlpm.val="",_xlpm.val="Error"),"",_xlpm.val),_xlpm.Res)</f>
        <v>#NAME?</v>
      </c>
      <c r="AW25" s="855" t="e" cm="1">
        <f t="array" ca="1" aca="1" ref="AW25">_xlfn.LET(_xlpm.val,IF($F25="",val_blankRefText,_xldudf_CX_GET(CX_ENTITY,($F25),AW$11,AW$14,,(AW$19))),_xlpm.Res,IF(OR(_xlpm.val="",_xlpm.val="Error"),"",_xlpm.val),_xlpm.Res)</f>
        <v>#NAME?</v>
      </c>
      <c r="AX25" s="855" t="e" cm="1">
        <f t="array" ca="1" aca="1" ref="AX25">_xlfn.LET(_xlpm.val,IF($F25="",val_blankRefText,_xldudf_CX_GET(CX_ENTITY,($F25),AX$11,AX$14,,(AX$19))),_xlpm.Res,IF(OR(_xlpm.val="",_xlpm.val="Error"),"",_xlpm.val),_xlpm.Res)</f>
        <v>#NAME?</v>
      </c>
      <c r="AY25" s="855" t="e" cm="1">
        <f t="array" ca="1" aca="1" ref="AY25">_xlfn.LET(_xlpm.val,IF($F25="",val_blankRefText,_xldudf_CX_GET(CX_ENTITY,($F25),AY$11,AY$14,,(AY$19))),_xlpm.Res,IF(OR(_xlpm.val="",_xlpm.val="Error"),"",_xlpm.val),_xlpm.Res)</f>
        <v>#NAME?</v>
      </c>
      <c r="AZ25" s="855" t="e" cm="1">
        <f t="array" ca="1" aca="1" ref="AZ25">_xlfn.LET(_xlpm.val,IF($F25="",val_blankRefText,_xldudf_CX_GET(CX_ENTITY,($F25),AZ$11,AZ$14,,(AZ$19))),_xlpm.Res,IF(OR(_xlpm.val="",_xlpm.val="Error"),"",_xlpm.val),_xlpm.Res)</f>
        <v>#NAME?</v>
      </c>
      <c r="BA25" s="855" t="e" cm="1">
        <f t="array" ca="1" aca="1" ref="BA25">_xlfn.LET(_xlpm.val,IF($F25="",val_blankRefText,_xldudf_CX_GET(CX_ENTITY,($F25),BA$11,BA$14,,(BA$19))),_xlpm.Res,IF(OR(_xlpm.val="",_xlpm.val="Error"),"",_xlpm.val),_xlpm.Res)</f>
        <v>#NAME?</v>
      </c>
      <c r="BB25" s="855" t="e" cm="1">
        <f t="array" ca="1" aca="1" ref="BB25">_xlfn.LET(_xlpm.val,IF($F25="",val_blankRefText,_xldudf_CX_GET(CX_ENTITY,($F25),BB$11,BB$14,,(BB$19))),_xlpm.Res,IF(OR(_xlpm.val="",_xlpm.val="Error"),"",_xlpm.val),_xlpm.Res)</f>
        <v>#NAME?</v>
      </c>
      <c r="BC25" s="855" t="e" cm="1">
        <f t="array" ca="1" aca="1" ref="BC25">_xlfn.LET(_xlpm.val,IF($F25="",val_blankRefText,_xldudf_CX_GET(CX_ENTITY,($F25),BC$11,BC$14,,(BC$19))),_xlpm.Res,IF(OR(_xlpm.val="",_xlpm.val="Error"),"",_xlpm.val),_xlpm.Res)</f>
        <v>#NAME?</v>
      </c>
      <c r="BD25" s="855" t="e" cm="1">
        <f t="array" ca="1" aca="1" ref="BD25">_xlfn.LET(_xlpm.val,IF($F25="",val_blankRefText,_xldudf_CX_GET(CX_ENTITY,($F25),BD$11,BD$14,,(BD$19))),_xlpm.Res,IF(OR(_xlpm.val="",_xlpm.val="Error"),"",_xlpm.val),_xlpm.Res)</f>
        <v>#NAME?</v>
      </c>
      <c r="BE25" s="855" t="e" cm="1">
        <f t="array" ca="1" aca="1" ref="BE25">_xlfn.LET(_xlpm.val,IF($F25="",val_blankRefText,_xldudf_CX_GET(CX_ENTITY,($F25),BE$11,BE$14,,(BE$19))),_xlpm.Res,IF(OR(_xlpm.val="",_xlpm.val="Error"),"",_xlpm.val),_xlpm.Res)</f>
        <v>#NAME?</v>
      </c>
      <c r="BF25" s="855" t="e" cm="1">
        <f t="array" ca="1" aca="1" ref="BF25">_xlfn.LET(_xlpm.val,IF($F25="",val_blankRefText,_xldudf_CX_GET(CX_ENTITY,($F25),BF$11,BF$14,,(BF$19))),_xlpm.Res,IF(OR(_xlpm.val="",_xlpm.val="Error"),"",_xlpm.val),_xlpm.Res)</f>
        <v>#NAME?</v>
      </c>
      <c r="BG25" s="855" t="e" cm="1">
        <f t="array" ca="1" aca="1" ref="BG25">_xlfn.LET(_xlpm.val,IF($F25="",val_blankRefText,_xldudf_CX_GET(CX_ENTITY,($F25),BG$11,BG$14,,(BG$19))),_xlpm.Res,IF(OR(_xlpm.val="",_xlpm.val="Error"),"",_xlpm.val),_xlpm.Res)</f>
        <v>#NAME?</v>
      </c>
      <c r="BH25" s="855" t="e" cm="1">
        <f t="array" ca="1" aca="1" ref="BH25">_xlfn.LET(_xlpm.val,IF($F25="",val_blankRefText,_xldudf_CX_GET(CX_ENTITY,($F25),BH$11,BH$14,,(BH$19))),_xlpm.Res,IF(OR(_xlpm.val="",_xlpm.val="Error"),"",_xlpm.val),_xlpm.Res)</f>
        <v>#NAME?</v>
      </c>
      <c r="BI25" s="855" t="e" cm="1">
        <f t="array" ca="1" aca="1" ref="BI25">_xlfn.LET(_xlpm.val,IF($F25="",val_blankRefText,_xldudf_CX_GET(CX_ENTITY,($F25),BI$11,BI$14,,(BI$19))),_xlpm.Res,IF(OR(_xlpm.val="",_xlpm.val="Error"),"",_xlpm.val),_xlpm.Res)</f>
        <v>#NAME?</v>
      </c>
      <c r="BJ25" s="855" t="e" cm="1">
        <f t="array" ca="1" aca="1" ref="BJ25">_xlfn.LET(_xlpm.val,IF($F25="",val_blankRefText,_xldudf_CX_GET(CX_ENTITY,($F25),BJ$11,BJ$14,,(BJ$19))),_xlpm.Res,IF(OR(_xlpm.val="",_xlpm.val="Error"),"",_xlpm.val),_xlpm.Res)</f>
        <v>#NAME?</v>
      </c>
      <c r="BK25" s="855" t="e" cm="1">
        <f t="array" ca="1" aca="1" ref="BK25">_xlfn.LET(_xlpm.val,IF($F25="",val_blankRefText,_xldudf_CX_GET(CX_ENTITY,($F25),BK$11,BK$14,,(BK$19))),_xlpm.Res,IF(OR(_xlpm.val="",_xlpm.val="Error"),"",_xlpm.val),_xlpm.Res)</f>
        <v>#NAME?</v>
      </c>
      <c r="BL25" s="855" t="e" cm="1">
        <f t="array" ca="1" aca="1" ref="BL25">_xlfn.LET(_xlpm.val,IF($F25="",val_blankRefText,_xldudf_CX_GET(CX_ENTITY,($F25),BL$11,BL$14,,(BL$19))),_xlpm.Res,IF(OR(_xlpm.val="",_xlpm.val="Error"),"",_xlpm.val),_xlpm.Res)</f>
        <v>#NAME?</v>
      </c>
      <c r="BM25" s="855" t="e" cm="1">
        <f t="array" ca="1" aca="1" ref="BM25">_xlfn.LET(_xlpm.val,IF($F25="",val_blankRefText,_xldudf_CX_GET(CX_ENTITY,($F25),BM$11,BM$14,,(BM$19))),_xlpm.Res,IF(OR(_xlpm.val="",_xlpm.val="Error"),"",_xlpm.val),_xlpm.Res)</f>
        <v>#NAME?</v>
      </c>
      <c r="BN25" s="855" t="e" cm="1">
        <f t="array" ca="1" aca="1" ref="BN25">_xlfn.LET(_xlpm.val,IF($F25="",val_blankRefText,_xldudf_CX_GET(CX_ENTITY,($F25),BN$11,BN$14,,(BN$19))),_xlpm.Res,IF(OR(_xlpm.val="",_xlpm.val="Error"),"",_xlpm.val),_xlpm.Res)</f>
        <v>#NAME?</v>
      </c>
      <c r="BO25" s="1844"/>
      <c r="BP25" s="1844"/>
      <c r="BQ25" s="1844"/>
      <c r="BR25" s="1844"/>
      <c r="BS25" s="1844"/>
      <c r="BT25" s="1844"/>
      <c r="BU25" s="1844"/>
      <c r="BV25" s="1844"/>
      <c r="BW25" s="1844"/>
      <c r="BX25" s="1844"/>
      <c r="BY25" s="1844"/>
      <c r="BZ25" s="1844"/>
      <c r="CA25" s="34"/>
      <c r="CC25" s="33"/>
      <c r="CD25" s="1461" t="e" cm="1">
        <f t="array" ca="1" aca="1" ref="CD25">_xlfn.LET(_xlpm.CheckBlank,SUM(CF!$AD25:$BN25)=0,IF(_xlpm.CheckBlank,"",SUM(_xlfn._xlws.FILTER(CF!$AD25:$BN25,(YEAR(CF!$AD$12:$BN$12)=CF!CD$12)*(array_timeline&lt;=CF!CD$11)))))</f>
        <v>#NAME?</v>
      </c>
      <c r="CE25" s="1461" t="e" cm="1">
        <f t="array" ca="1" aca="1" ref="CE25">_xlfn.LET(_xlpm.CheckBlank,SUM(CF!$AD25:$BN25)=0,IF(_xlpm.CheckBlank,"",SUM(_xlfn._xlws.FILTER(CF!$AD25:$BN25,(YEAR(CF!$AD$12:$BN$12)=CF!CE$12)*(array_timeline&lt;=CF!CE$11)))))</f>
        <v>#NAME?</v>
      </c>
      <c r="CF25" s="1314"/>
      <c r="CG25" s="1461" t="e" cm="1">
        <f t="array" ca="1" aca="1" ref="CG25">_xlfn.LET(_xlpm.CheckBlank,SUM(CF!$AD25:$BN25)=0,IF(_xlpm.CheckBlank,"",SUM(_xlfn._xlws.FILTER(CF!$AD25:$BN25,(YEAR(CF!$AD$12:$BN$12)=CF!CG$12)*(array_timeline&lt;=CF!CG$11)))))</f>
        <v>#NAME?</v>
      </c>
      <c r="CH25" s="1461" t="e" cm="1">
        <f t="array" ca="1" aca="1" ref="CH25">_xlfn.LET(_xlpm.CheckBlank,SUM(CF!$AD25:$BN25)=0,IF(_xlpm.CheckBlank,"",SUM(_xlfn._xlws.FILTER(CF!$AD25:$BN25,(YEAR(CF!$AD$12:$BN$12)=CF!CH$12)*(array_timeline&lt;=CF!CH$11)))))</f>
        <v>#NAME?</v>
      </c>
      <c r="CI25" s="1314"/>
      <c r="CJ25" s="1657" cm="1">
        <f t="array" ref="CJ25">_xlfn.LET(_xlpm.CheckBlank,SUM(CF!$AD25:$BN25)=0,IF(_xlpm.CheckBlank,"",SUM(_xlfn.TAKE(_xlfn.DROP(CF!$AD25:$BN25,,-DATEDIFF(CF!CJ$11,val_asOfDate,"M")),1,-12))))</f>
        <v>12</v>
      </c>
      <c r="CK25" s="1657" cm="1">
        <f t="array" ref="CK25">_xlfn.LET(_xlpm.CheckBlank,SUM(CF!$AD25:$BN25)=0,IF(_xlpm.CheckBlank,"",SUM(_xlfn.TAKE(_xlfn.DROP(CF!$AD25:$BN25,,-DATEDIFF(CF!CK$11,val_asOfDate,"M")),1,-12))))</f>
        <v>12</v>
      </c>
      <c r="CL25" s="88"/>
      <c r="CM25" s="541" t="e" cm="1">
        <f t="array" ca="1" aca="1" ref="CM25">_xlfn.LET(_xlpm.val,IF($F25="",val_blankRefText,_xldudf_CX_GET(CX_ENTITY,($F25),CM$11,CM$14,,(CM$19))),_xlpm.Res,IF(OR(_xlpm.val="",_xlpm.val="Error"),"",_xlpm.val),_xlpm.Res)</f>
        <v>#NAME?</v>
      </c>
      <c r="CN25" s="541" t="e" cm="1">
        <f t="array" ca="1" aca="1" ref="CN25">_xlfn.LET(_xlpm.val,IF($F25="",val_blankRefText,_xldudf_CX_GET(CX_ENTITY,($F25),CN$11,CN$14,,(CN$19))),_xlpm.Res,IF(OR(_xlpm.val="",_xlpm.val="Error"),"",_xlpm.val),_xlpm.Res)</f>
        <v>#NAME?</v>
      </c>
      <c r="CO25" s="34"/>
      <c r="CR25" s="4"/>
      <c r="CS25" s="4"/>
      <c r="CW25" s="4"/>
    </row>
    <row r="26" spans="1:101" ht="21" customHeight="1">
      <c r="A26" s="696"/>
      <c r="B26" s="574" t="s">
        <v>243</v>
      </c>
      <c r="C26" s="574" t="s">
        <v>1675</v>
      </c>
      <c r="D26" s="574"/>
      <c r="E26" s="577" t="e" cm="1">
        <f t="array" ca="1" aca="1" ref="E26">_xlfn.LET(_xlpm.Attr,$C26,_xlpm.Lookback,$E$16,_xlpm.QueryDate,EOMONTH(val_asOfDate,_xlpm.Lookback),_xlpm.ReadField,_xldudf_CX_GET(CX_ENTITY,fx_attrConverter($C26),_xlpm.QueryDate),_xlpm.AttrBlank,_xlpm.Attr="",_xlpm.RESULT,IF(_xlpm.AttrBlank,val_blankRefText,fx_attrConverter(_xlpm.ReadField,0)),IF(_xlpm.RESULT="Error","",_xlpm.RESULT))</f>
        <v>#NAME?</v>
      </c>
      <c r="F26" s="577" t="str">
        <f t="shared" si="1"/>
        <v>Capex</v>
      </c>
      <c r="G26" s="401"/>
      <c r="H26" s="3280">
        <v>1</v>
      </c>
      <c r="I26" s="3280">
        <v>1</v>
      </c>
      <c r="J26" s="401"/>
      <c r="K26" s="401"/>
      <c r="L26" s="3269" t="b">
        <v>1</v>
      </c>
      <c r="N26" s="158"/>
      <c r="O26" s="101"/>
      <c r="P26" s="52"/>
      <c r="Q26" s="101"/>
      <c r="R26" s="126"/>
      <c r="S26" s="101"/>
      <c r="T26" s="101"/>
      <c r="U26" s="39"/>
      <c r="W26" s="932" t="str">
        <f t="shared" si="4"/>
        <v>Actual</v>
      </c>
      <c r="X26" s="761">
        <v>-1</v>
      </c>
      <c r="Y26" s="88" t="e" cm="1">
        <f t="array" ca="1" aca="1" ref="Y26">IF($B26="",IFBLANK($E26,"Please select or type in or leave as blank"),IFBLANK($E26,$B26))</f>
        <v>#NAME?</v>
      </c>
      <c r="Z26" s="3300" cm="1">
        <f t="array" ref="Z26">_xlfn.SWITCH(TRUE,_CF!$L26=TRUE,1,_CF!$L26=FALSE,-1,_CF!$L26=-1,0,"n/a")</f>
        <v>1</v>
      </c>
      <c r="AA26" s="200"/>
      <c r="AB26" s="88" t="s">
        <v>243</v>
      </c>
      <c r="AC26" s="88"/>
      <c r="AD26" s="855" t="e" cm="1">
        <f t="array" ca="1" aca="1" ref="AD26">_xlfn.LET(_xlpm.val,IF($F26="",val_blankRefText,_xldudf_CX_GET(CX_ENTITY,($F26),AD$11,AD$14,,(AD$19))),_xlpm.Res,IF(OR(_xlpm.val="",_xlpm.val="Error"),"",_xlpm.val),_xlpm.Res)</f>
        <v>#NAME?</v>
      </c>
      <c r="AE26" s="855" t="e" cm="1">
        <f t="array" ca="1" aca="1" ref="AE26">_xlfn.LET(_xlpm.val,IF($F26="",val_blankRefText,_xldudf_CX_GET(CX_ENTITY,($F26),AE$11,AE$14,,(AE$19))),_xlpm.Res,IF(OR(_xlpm.val="",_xlpm.val="Error"),"",_xlpm.val),_xlpm.Res)</f>
        <v>#NAME?</v>
      </c>
      <c r="AF26" s="855" t="e" cm="1">
        <f t="array" ca="1" aca="1" ref="AF26">_xlfn.LET(_xlpm.val,IF($F26="",val_blankRefText,_xldudf_CX_GET(CX_ENTITY,($F26),AF$11,AF$14,,(AF$19))),_xlpm.Res,IF(OR(_xlpm.val="",_xlpm.val="Error"),"",_xlpm.val),_xlpm.Res)</f>
        <v>#NAME?</v>
      </c>
      <c r="AG26" s="855" t="e" cm="1">
        <f t="array" ca="1" aca="1" ref="AG26">_xlfn.LET(_xlpm.val,IF($F26="",val_blankRefText,_xldudf_CX_GET(CX_ENTITY,($F26),AG$11,AG$14,,(AG$19))),_xlpm.Res,IF(OR(_xlpm.val="",_xlpm.val="Error"),"",_xlpm.val),_xlpm.Res)</f>
        <v>#NAME?</v>
      </c>
      <c r="AH26" s="855" t="e" cm="1">
        <f t="array" ca="1" aca="1" ref="AH26">_xlfn.LET(_xlpm.val,IF($F26="",val_blankRefText,_xldudf_CX_GET(CX_ENTITY,($F26),AH$11,AH$14,,(AH$19))),_xlpm.Res,IF(OR(_xlpm.val="",_xlpm.val="Error"),"",_xlpm.val),_xlpm.Res)</f>
        <v>#NAME?</v>
      </c>
      <c r="AI26" s="855" t="e" cm="1">
        <f t="array" ca="1" aca="1" ref="AI26">_xlfn.LET(_xlpm.val,IF($F26="",val_blankRefText,_xldudf_CX_GET(CX_ENTITY,($F26),AI$11,AI$14,,(AI$19))),_xlpm.Res,IF(OR(_xlpm.val="",_xlpm.val="Error"),"",_xlpm.val),_xlpm.Res)</f>
        <v>#NAME?</v>
      </c>
      <c r="AJ26" s="855" t="e" cm="1">
        <f t="array" ca="1" aca="1" ref="AJ26">_xlfn.LET(_xlpm.val,IF($F26="",val_blankRefText,_xldudf_CX_GET(CX_ENTITY,($F26),AJ$11,AJ$14,,(AJ$19))),_xlpm.Res,IF(OR(_xlpm.val="",_xlpm.val="Error"),"",_xlpm.val),_xlpm.Res)</f>
        <v>#NAME?</v>
      </c>
      <c r="AK26" s="855" t="e" cm="1">
        <f t="array" ca="1" aca="1" ref="AK26">_xlfn.LET(_xlpm.val,IF($F26="",val_blankRefText,_xldudf_CX_GET(CX_ENTITY,($F26),AK$11,AK$14,,(AK$19))),_xlpm.Res,IF(OR(_xlpm.val="",_xlpm.val="Error"),"",_xlpm.val),_xlpm.Res)</f>
        <v>#NAME?</v>
      </c>
      <c r="AL26" s="855" t="e" cm="1">
        <f t="array" ca="1" aca="1" ref="AL26">_xlfn.LET(_xlpm.val,IF($F26="",val_blankRefText,_xldudf_CX_GET(CX_ENTITY,($F26),AL$11,AL$14,,(AL$19))),_xlpm.Res,IF(OR(_xlpm.val="",_xlpm.val="Error"),"",_xlpm.val),_xlpm.Res)</f>
        <v>#NAME?</v>
      </c>
      <c r="AM26" s="855" t="e" cm="1">
        <f t="array" ca="1" aca="1" ref="AM26">_xlfn.LET(_xlpm.val,IF($F26="",val_blankRefText,_xldudf_CX_GET(CX_ENTITY,($F26),AM$11,AM$14,,(AM$19))),_xlpm.Res,IF(OR(_xlpm.val="",_xlpm.val="Error"),"",_xlpm.val),_xlpm.Res)</f>
        <v>#NAME?</v>
      </c>
      <c r="AN26" s="855" t="e" cm="1">
        <f t="array" ca="1" aca="1" ref="AN26">_xlfn.LET(_xlpm.val,IF($F26="",val_blankRefText,_xldudf_CX_GET(CX_ENTITY,($F26),AN$11,AN$14,,(AN$19))),_xlpm.Res,IF(OR(_xlpm.val="",_xlpm.val="Error"),"",_xlpm.val),_xlpm.Res)</f>
        <v>#NAME?</v>
      </c>
      <c r="AO26" s="855" t="e" cm="1">
        <f t="array" ca="1" aca="1" ref="AO26">_xlfn.LET(_xlpm.val,IF($F26="",val_blankRefText,_xldudf_CX_GET(CX_ENTITY,($F26),AO$11,AO$14,,(AO$19))),_xlpm.Res,IF(OR(_xlpm.val="",_xlpm.val="Error"),"",_xlpm.val),_xlpm.Res)</f>
        <v>#NAME?</v>
      </c>
      <c r="AP26" s="855" t="e" cm="1">
        <f t="array" ca="1" aca="1" ref="AP26">_xlfn.LET(_xlpm.val,IF($F26="",val_blankRefText,_xldudf_CX_GET(CX_ENTITY,($F26),AP$11,AP$14,,(AP$19))),_xlpm.Res,IF(OR(_xlpm.val="",_xlpm.val="Error"),"",_xlpm.val),_xlpm.Res)</f>
        <v>#NAME?</v>
      </c>
      <c r="AQ26" s="855" t="e" cm="1">
        <f t="array" ca="1" aca="1" ref="AQ26">_xlfn.LET(_xlpm.val,IF($F26="",val_blankRefText,_xldudf_CX_GET(CX_ENTITY,($F26),AQ$11,AQ$14,,(AQ$19))),_xlpm.Res,IF(OR(_xlpm.val="",_xlpm.val="Error"),"",_xlpm.val),_xlpm.Res)</f>
        <v>#NAME?</v>
      </c>
      <c r="AR26" s="855" t="e" cm="1">
        <f t="array" ca="1" aca="1" ref="AR26">_xlfn.LET(_xlpm.val,IF($F26="",val_blankRefText,_xldudf_CX_GET(CX_ENTITY,($F26),AR$11,AR$14,,(AR$19))),_xlpm.Res,IF(OR(_xlpm.val="",_xlpm.val="Error"),"",_xlpm.val),_xlpm.Res)</f>
        <v>#NAME?</v>
      </c>
      <c r="AS26" s="855" t="e" cm="1">
        <f t="array" ca="1" aca="1" ref="AS26">_xlfn.LET(_xlpm.val,IF($F26="",val_blankRefText,_xldudf_CX_GET(CX_ENTITY,($F26),AS$11,AS$14,,(AS$19))),_xlpm.Res,IF(OR(_xlpm.val="",_xlpm.val="Error"),"",_xlpm.val),_xlpm.Res)</f>
        <v>#NAME?</v>
      </c>
      <c r="AT26" s="855" t="e" cm="1">
        <f t="array" ca="1" aca="1" ref="AT26">_xlfn.LET(_xlpm.val,IF($F26="",val_blankRefText,_xldudf_CX_GET(CX_ENTITY,($F26),AT$11,AT$14,,(AT$19))),_xlpm.Res,IF(OR(_xlpm.val="",_xlpm.val="Error"),"",_xlpm.val),_xlpm.Res)</f>
        <v>#NAME?</v>
      </c>
      <c r="AU26" s="855" t="e" cm="1">
        <f t="array" ca="1" aca="1" ref="AU26">_xlfn.LET(_xlpm.val,IF($F26="",val_blankRefText,_xldudf_CX_GET(CX_ENTITY,($F26),AU$11,AU$14,,(AU$19))),_xlpm.Res,IF(OR(_xlpm.val="",_xlpm.val="Error"),"",_xlpm.val),_xlpm.Res)</f>
        <v>#NAME?</v>
      </c>
      <c r="AV26" s="855" t="e" cm="1">
        <f t="array" ca="1" aca="1" ref="AV26">_xlfn.LET(_xlpm.val,IF($F26="",val_blankRefText,_xldudf_CX_GET(CX_ENTITY,($F26),AV$11,AV$14,,(AV$19))),_xlpm.Res,IF(OR(_xlpm.val="",_xlpm.val="Error"),"",_xlpm.val),_xlpm.Res)</f>
        <v>#NAME?</v>
      </c>
      <c r="AW26" s="855" t="e" cm="1">
        <f t="array" ca="1" aca="1" ref="AW26">_xlfn.LET(_xlpm.val,IF($F26="",val_blankRefText,_xldudf_CX_GET(CX_ENTITY,($F26),AW$11,AW$14,,(AW$19))),_xlpm.Res,IF(OR(_xlpm.val="",_xlpm.val="Error"),"",_xlpm.val),_xlpm.Res)</f>
        <v>#NAME?</v>
      </c>
      <c r="AX26" s="855" t="e" cm="1">
        <f t="array" ca="1" aca="1" ref="AX26">_xlfn.LET(_xlpm.val,IF($F26="",val_blankRefText,_xldudf_CX_GET(CX_ENTITY,($F26),AX$11,AX$14,,(AX$19))),_xlpm.Res,IF(OR(_xlpm.val="",_xlpm.val="Error"),"",_xlpm.val),_xlpm.Res)</f>
        <v>#NAME?</v>
      </c>
      <c r="AY26" s="855" t="e" cm="1">
        <f t="array" ca="1" aca="1" ref="AY26">_xlfn.LET(_xlpm.val,IF($F26="",val_blankRefText,_xldudf_CX_GET(CX_ENTITY,($F26),AY$11,AY$14,,(AY$19))),_xlpm.Res,IF(OR(_xlpm.val="",_xlpm.val="Error"),"",_xlpm.val),_xlpm.Res)</f>
        <v>#NAME?</v>
      </c>
      <c r="AZ26" s="855" t="e" cm="1">
        <f t="array" ca="1" aca="1" ref="AZ26">_xlfn.LET(_xlpm.val,IF($F26="",val_blankRefText,_xldudf_CX_GET(CX_ENTITY,($F26),AZ$11,AZ$14,,(AZ$19))),_xlpm.Res,IF(OR(_xlpm.val="",_xlpm.val="Error"),"",_xlpm.val),_xlpm.Res)</f>
        <v>#NAME?</v>
      </c>
      <c r="BA26" s="855" t="e" cm="1">
        <f t="array" ca="1" aca="1" ref="BA26">_xlfn.LET(_xlpm.val,IF($F26="",val_blankRefText,_xldudf_CX_GET(CX_ENTITY,($F26),BA$11,BA$14,,(BA$19))),_xlpm.Res,IF(OR(_xlpm.val="",_xlpm.val="Error"),"",_xlpm.val),_xlpm.Res)</f>
        <v>#NAME?</v>
      </c>
      <c r="BB26" s="855" t="e" cm="1">
        <f t="array" ca="1" aca="1" ref="BB26">_xlfn.LET(_xlpm.val,IF($F26="",val_blankRefText,_xldudf_CX_GET(CX_ENTITY,($F26),BB$11,BB$14,,(BB$19))),_xlpm.Res,IF(OR(_xlpm.val="",_xlpm.val="Error"),"",_xlpm.val),_xlpm.Res)</f>
        <v>#NAME?</v>
      </c>
      <c r="BC26" s="855" t="e" cm="1">
        <f t="array" ca="1" aca="1" ref="BC26">_xlfn.LET(_xlpm.val,IF($F26="",val_blankRefText,_xldudf_CX_GET(CX_ENTITY,($F26),BC$11,BC$14,,(BC$19))),_xlpm.Res,IF(OR(_xlpm.val="",_xlpm.val="Error"),"",_xlpm.val),_xlpm.Res)</f>
        <v>#NAME?</v>
      </c>
      <c r="BD26" s="855" t="e" cm="1">
        <f t="array" ca="1" aca="1" ref="BD26">_xlfn.LET(_xlpm.val,IF($F26="",val_blankRefText,_xldudf_CX_GET(CX_ENTITY,($F26),BD$11,BD$14,,(BD$19))),_xlpm.Res,IF(OR(_xlpm.val="",_xlpm.val="Error"),"",_xlpm.val),_xlpm.Res)</f>
        <v>#NAME?</v>
      </c>
      <c r="BE26" s="855" t="e" cm="1">
        <f t="array" ca="1" aca="1" ref="BE26">_xlfn.LET(_xlpm.val,IF($F26="",val_blankRefText,_xldudf_CX_GET(CX_ENTITY,($F26),BE$11,BE$14,,(BE$19))),_xlpm.Res,IF(OR(_xlpm.val="",_xlpm.val="Error"),"",_xlpm.val),_xlpm.Res)</f>
        <v>#NAME?</v>
      </c>
      <c r="BF26" s="855" t="e" cm="1">
        <f t="array" ca="1" aca="1" ref="BF26">_xlfn.LET(_xlpm.val,IF($F26="",val_blankRefText,_xldudf_CX_GET(CX_ENTITY,($F26),BF$11,BF$14,,(BF$19))),_xlpm.Res,IF(OR(_xlpm.val="",_xlpm.val="Error"),"",_xlpm.val),_xlpm.Res)</f>
        <v>#NAME?</v>
      </c>
      <c r="BG26" s="855" t="e" cm="1">
        <f t="array" ca="1" aca="1" ref="BG26">_xlfn.LET(_xlpm.val,IF($F26="",val_blankRefText,_xldudf_CX_GET(CX_ENTITY,($F26),BG$11,BG$14,,(BG$19))),_xlpm.Res,IF(OR(_xlpm.val="",_xlpm.val="Error"),"",_xlpm.val),_xlpm.Res)</f>
        <v>#NAME?</v>
      </c>
      <c r="BH26" s="855" t="e" cm="1">
        <f t="array" ca="1" aca="1" ref="BH26">_xlfn.LET(_xlpm.val,IF($F26="",val_blankRefText,_xldudf_CX_GET(CX_ENTITY,($F26),BH$11,BH$14,,(BH$19))),_xlpm.Res,IF(OR(_xlpm.val="",_xlpm.val="Error"),"",_xlpm.val),_xlpm.Res)</f>
        <v>#NAME?</v>
      </c>
      <c r="BI26" s="855" t="e" cm="1">
        <f t="array" ca="1" aca="1" ref="BI26">_xlfn.LET(_xlpm.val,IF($F26="",val_blankRefText,_xldudf_CX_GET(CX_ENTITY,($F26),BI$11,BI$14,,(BI$19))),_xlpm.Res,IF(OR(_xlpm.val="",_xlpm.val="Error"),"",_xlpm.val),_xlpm.Res)</f>
        <v>#NAME?</v>
      </c>
      <c r="BJ26" s="855" t="e" cm="1">
        <f t="array" ca="1" aca="1" ref="BJ26">_xlfn.LET(_xlpm.val,IF($F26="",val_blankRefText,_xldudf_CX_GET(CX_ENTITY,($F26),BJ$11,BJ$14,,(BJ$19))),_xlpm.Res,IF(OR(_xlpm.val="",_xlpm.val="Error"),"",_xlpm.val),_xlpm.Res)</f>
        <v>#NAME?</v>
      </c>
      <c r="BK26" s="855" t="e" cm="1">
        <f t="array" ca="1" aca="1" ref="BK26">_xlfn.LET(_xlpm.val,IF($F26="",val_blankRefText,_xldudf_CX_GET(CX_ENTITY,($F26),BK$11,BK$14,,(BK$19))),_xlpm.Res,IF(OR(_xlpm.val="",_xlpm.val="Error"),"",_xlpm.val),_xlpm.Res)</f>
        <v>#NAME?</v>
      </c>
      <c r="BL26" s="855" t="e" cm="1">
        <f t="array" ca="1" aca="1" ref="BL26">_xlfn.LET(_xlpm.val,IF($F26="",val_blankRefText,_xldudf_CX_GET(CX_ENTITY,($F26),BL$11,BL$14,,(BL$19))),_xlpm.Res,IF(OR(_xlpm.val="",_xlpm.val="Error"),"",_xlpm.val),_xlpm.Res)</f>
        <v>#NAME?</v>
      </c>
      <c r="BM26" s="855" t="e" cm="1">
        <f t="array" ca="1" aca="1" ref="BM26">_xlfn.LET(_xlpm.val,IF($F26="",val_blankRefText,_xldudf_CX_GET(CX_ENTITY,($F26),BM$11,BM$14,,(BM$19))),_xlpm.Res,IF(OR(_xlpm.val="",_xlpm.val="Error"),"",_xlpm.val),_xlpm.Res)</f>
        <v>#NAME?</v>
      </c>
      <c r="BN26" s="855" t="e" cm="1">
        <f t="array" ca="1" aca="1" ref="BN26">_xlfn.LET(_xlpm.val,IF($F26="",val_blankRefText,_xldudf_CX_GET(CX_ENTITY,($F26),BN$11,BN$14,,(BN$19))),_xlpm.Res,IF(OR(_xlpm.val="",_xlpm.val="Error"),"",_xlpm.val),_xlpm.Res)</f>
        <v>#NAME?</v>
      </c>
      <c r="BO26" s="1844"/>
      <c r="BP26" s="1844"/>
      <c r="BQ26" s="1844"/>
      <c r="BR26" s="1844"/>
      <c r="BS26" s="1844"/>
      <c r="BT26" s="1844"/>
      <c r="BU26" s="1844"/>
      <c r="BV26" s="1844"/>
      <c r="BW26" s="1844"/>
      <c r="BX26" s="1844"/>
      <c r="BY26" s="1844"/>
      <c r="BZ26" s="1844"/>
      <c r="CA26" s="34"/>
      <c r="CC26" s="33"/>
      <c r="CD26" s="1461" t="e" cm="1">
        <f t="array" ca="1" aca="1" ref="CD26">_xlfn.LET(_xlpm.CheckBlank,SUM(CF!$AD26:$BN26)=0,IF(_xlpm.CheckBlank,"",SUM(_xlfn._xlws.FILTER(CF!$AD26:$BN26,(YEAR(CF!$AD$12:$BN$12)=CF!CD$12)*(array_timeline&lt;=CF!CD$11)))))</f>
        <v>#NAME?</v>
      </c>
      <c r="CE26" s="1461" t="e" cm="1">
        <f t="array" ca="1" aca="1" ref="CE26">_xlfn.LET(_xlpm.CheckBlank,SUM(CF!$AD26:$BN26)=0,IF(_xlpm.CheckBlank,"",SUM(_xlfn._xlws.FILTER(CF!$AD26:$BN26,(YEAR(CF!$AD$12:$BN$12)=CF!CE$12)*(array_timeline&lt;=CF!CE$11)))))</f>
        <v>#NAME?</v>
      </c>
      <c r="CF26" s="1314"/>
      <c r="CG26" s="1461" t="e" cm="1">
        <f t="array" ca="1" aca="1" ref="CG26">_xlfn.LET(_xlpm.CheckBlank,SUM(CF!$AD26:$BN26)=0,IF(_xlpm.CheckBlank,"",SUM(_xlfn._xlws.FILTER(CF!$AD26:$BN26,(YEAR(CF!$AD$12:$BN$12)=CF!CG$12)*(array_timeline&lt;=CF!CG$11)))))</f>
        <v>#NAME?</v>
      </c>
      <c r="CH26" s="1461" t="e" cm="1">
        <f t="array" ca="1" aca="1" ref="CH26">_xlfn.LET(_xlpm.CheckBlank,SUM(CF!$AD26:$BN26)=0,IF(_xlpm.CheckBlank,"",SUM(_xlfn._xlws.FILTER(CF!$AD26:$BN26,(YEAR(CF!$AD$12:$BN$12)=CF!CH$12)*(array_timeline&lt;=CF!CH$11)))))</f>
        <v>#NAME?</v>
      </c>
      <c r="CI26" s="1314"/>
      <c r="CJ26" s="1657" cm="1">
        <f t="array" ref="CJ26">_xlfn.LET(_xlpm.CheckBlank,SUM(CF!$AD26:$BN26)=0,IF(_xlpm.CheckBlank,"",SUM(_xlfn.TAKE(_xlfn.DROP(CF!$AD26:$BN26,,-DATEDIFF(CF!CJ$11,val_asOfDate,"M")),1,-12))))</f>
        <v>12</v>
      </c>
      <c r="CK26" s="1657" cm="1">
        <f t="array" ref="CK26">_xlfn.LET(_xlpm.CheckBlank,SUM(CF!$AD26:$BN26)=0,IF(_xlpm.CheckBlank,"",SUM(_xlfn.TAKE(_xlfn.DROP(CF!$AD26:$BN26,,-DATEDIFF(CF!CK$11,val_asOfDate,"M")),1,-12))))</f>
        <v>12</v>
      </c>
      <c r="CL26" s="88"/>
      <c r="CM26" s="541" t="e" cm="1">
        <f t="array" ca="1" aca="1" ref="CM26">_xlfn.LET(_xlpm.val,IF($F26="",val_blankRefText,_xldudf_CX_GET(CX_ENTITY,($F26),CM$11,CM$14,,(CM$19))),_xlpm.Res,IF(OR(_xlpm.val="",_xlpm.val="Error"),"",_xlpm.val),_xlpm.Res)</f>
        <v>#NAME?</v>
      </c>
      <c r="CN26" s="541" t="e" cm="1">
        <f t="array" ca="1" aca="1" ref="CN26">_xlfn.LET(_xlpm.val,IF($F26="",val_blankRefText,_xldudf_CX_GET(CX_ENTITY,($F26),CN$11,CN$14,,(CN$19))),_xlpm.Res,IF(OR(_xlpm.val="",_xlpm.val="Error"),"",_xlpm.val),_xlpm.Res)</f>
        <v>#NAME?</v>
      </c>
      <c r="CO26" s="34"/>
      <c r="CR26" s="4"/>
      <c r="CS26" s="4"/>
      <c r="CW26" s="4"/>
    </row>
    <row r="27" spans="1:101" ht="21" customHeight="1">
      <c r="A27" s="696"/>
      <c r="B27" s="574" t="s">
        <v>244</v>
      </c>
      <c r="C27" s="574" t="s">
        <v>1676</v>
      </c>
      <c r="D27" s="574"/>
      <c r="E27" s="577" t="e" cm="1">
        <f t="array" ca="1" aca="1" ref="E27">_xlfn.LET(_xlpm.Attr,$C27,_xlpm.Lookback,$E$16,_xlpm.QueryDate,EOMONTH(val_asOfDate,_xlpm.Lookback),_xlpm.ReadField,_xldudf_CX_GET(CX_ENTITY,fx_attrConverter($C27),_xlpm.QueryDate),_xlpm.AttrBlank,_xlpm.Attr="",_xlpm.RESULT,IF(_xlpm.AttrBlank,val_blankRefText,fx_attrConverter(_xlpm.ReadField,0)),IF(_xlpm.RESULT="Error","",_xlpm.RESULT))</f>
        <v>#NAME?</v>
      </c>
      <c r="F27" s="577" t="str">
        <f t="shared" si="1"/>
        <v>Exceptional/VCP/One-off Cash Flows</v>
      </c>
      <c r="G27" s="401"/>
      <c r="H27" s="3280">
        <v>1</v>
      </c>
      <c r="I27" s="3280">
        <v>1</v>
      </c>
      <c r="J27" s="401"/>
      <c r="K27" s="401"/>
      <c r="L27" s="3269" t="b">
        <v>1</v>
      </c>
      <c r="N27" s="158"/>
      <c r="O27" s="101"/>
      <c r="P27" s="52"/>
      <c r="Q27" s="101"/>
      <c r="R27" s="126"/>
      <c r="S27" s="101"/>
      <c r="T27" s="101"/>
      <c r="U27" s="39"/>
      <c r="W27" s="932" t="str">
        <f t="shared" si="4"/>
        <v>Actual</v>
      </c>
      <c r="X27" s="761" t="s">
        <v>62</v>
      </c>
      <c r="Y27" s="88" t="e" cm="1">
        <f t="array" ca="1" aca="1" ref="Y27">IF($B27="",IFBLANK($E27,"Please select or type in or leave as blank"),IFBLANK($E27,$B27))</f>
        <v>#NAME?</v>
      </c>
      <c r="Z27" s="3300" cm="1">
        <f t="array" ref="Z27">_xlfn.SWITCH(TRUE,_CF!$L27=TRUE,1,_CF!$L27=FALSE,-1,_CF!$L27=-1,0,"n/a")</f>
        <v>1</v>
      </c>
      <c r="AA27" s="200"/>
      <c r="AB27" s="88" t="s">
        <v>244</v>
      </c>
      <c r="AC27" s="88"/>
      <c r="AD27" s="855" t="e" cm="1">
        <f t="array" ca="1" aca="1" ref="AD27">_xlfn.LET(_xlpm.val,IF($F27="",val_blankRefText,_xldudf_CX_GET(CX_ENTITY,($F27),AD$11,AD$14,,(AD$19))),_xlpm.Res,IF(OR(_xlpm.val="",_xlpm.val="Error"),"",_xlpm.val),_xlpm.Res)</f>
        <v>#NAME?</v>
      </c>
      <c r="AE27" s="855" t="e" cm="1">
        <f t="array" ca="1" aca="1" ref="AE27">_xlfn.LET(_xlpm.val,IF($F27="",val_blankRefText,_xldudf_CX_GET(CX_ENTITY,($F27),AE$11,AE$14,,(AE$19))),_xlpm.Res,IF(OR(_xlpm.val="",_xlpm.val="Error"),"",_xlpm.val),_xlpm.Res)</f>
        <v>#NAME?</v>
      </c>
      <c r="AF27" s="855" t="e" cm="1">
        <f t="array" ca="1" aca="1" ref="AF27">_xlfn.LET(_xlpm.val,IF($F27="",val_blankRefText,_xldudf_CX_GET(CX_ENTITY,($F27),AF$11,AF$14,,(AF$19))),_xlpm.Res,IF(OR(_xlpm.val="",_xlpm.val="Error"),"",_xlpm.val),_xlpm.Res)</f>
        <v>#NAME?</v>
      </c>
      <c r="AG27" s="855" t="e" cm="1">
        <f t="array" ca="1" aca="1" ref="AG27">_xlfn.LET(_xlpm.val,IF($F27="",val_blankRefText,_xldudf_CX_GET(CX_ENTITY,($F27),AG$11,AG$14,,(AG$19))),_xlpm.Res,IF(OR(_xlpm.val="",_xlpm.val="Error"),"",_xlpm.val),_xlpm.Res)</f>
        <v>#NAME?</v>
      </c>
      <c r="AH27" s="855" t="e" cm="1">
        <f t="array" ca="1" aca="1" ref="AH27">_xlfn.LET(_xlpm.val,IF($F27="",val_blankRefText,_xldudf_CX_GET(CX_ENTITY,($F27),AH$11,AH$14,,(AH$19))),_xlpm.Res,IF(OR(_xlpm.val="",_xlpm.val="Error"),"",_xlpm.val),_xlpm.Res)</f>
        <v>#NAME?</v>
      </c>
      <c r="AI27" s="855" t="e" cm="1">
        <f t="array" ca="1" aca="1" ref="AI27">_xlfn.LET(_xlpm.val,IF($F27="",val_blankRefText,_xldudf_CX_GET(CX_ENTITY,($F27),AI$11,AI$14,,(AI$19))),_xlpm.Res,IF(OR(_xlpm.val="",_xlpm.val="Error"),"",_xlpm.val),_xlpm.Res)</f>
        <v>#NAME?</v>
      </c>
      <c r="AJ27" s="855" t="e" cm="1">
        <f t="array" ca="1" aca="1" ref="AJ27">_xlfn.LET(_xlpm.val,IF($F27="",val_blankRefText,_xldudf_CX_GET(CX_ENTITY,($F27),AJ$11,AJ$14,,(AJ$19))),_xlpm.Res,IF(OR(_xlpm.val="",_xlpm.val="Error"),"",_xlpm.val),_xlpm.Res)</f>
        <v>#NAME?</v>
      </c>
      <c r="AK27" s="855" t="e" cm="1">
        <f t="array" ca="1" aca="1" ref="AK27">_xlfn.LET(_xlpm.val,IF($F27="",val_blankRefText,_xldudf_CX_GET(CX_ENTITY,($F27),AK$11,AK$14,,(AK$19))),_xlpm.Res,IF(OR(_xlpm.val="",_xlpm.val="Error"),"",_xlpm.val),_xlpm.Res)</f>
        <v>#NAME?</v>
      </c>
      <c r="AL27" s="855" t="e" cm="1">
        <f t="array" ca="1" aca="1" ref="AL27">_xlfn.LET(_xlpm.val,IF($F27="",val_blankRefText,_xldudf_CX_GET(CX_ENTITY,($F27),AL$11,AL$14,,(AL$19))),_xlpm.Res,IF(OR(_xlpm.val="",_xlpm.val="Error"),"",_xlpm.val),_xlpm.Res)</f>
        <v>#NAME?</v>
      </c>
      <c r="AM27" s="855" t="e" cm="1">
        <f t="array" ca="1" aca="1" ref="AM27">_xlfn.LET(_xlpm.val,IF($F27="",val_blankRefText,_xldudf_CX_GET(CX_ENTITY,($F27),AM$11,AM$14,,(AM$19))),_xlpm.Res,IF(OR(_xlpm.val="",_xlpm.val="Error"),"",_xlpm.val),_xlpm.Res)</f>
        <v>#NAME?</v>
      </c>
      <c r="AN27" s="855" t="e" cm="1">
        <f t="array" ca="1" aca="1" ref="AN27">_xlfn.LET(_xlpm.val,IF($F27="",val_blankRefText,_xldudf_CX_GET(CX_ENTITY,($F27),AN$11,AN$14,,(AN$19))),_xlpm.Res,IF(OR(_xlpm.val="",_xlpm.val="Error"),"",_xlpm.val),_xlpm.Res)</f>
        <v>#NAME?</v>
      </c>
      <c r="AO27" s="855" t="e" cm="1">
        <f t="array" ca="1" aca="1" ref="AO27">_xlfn.LET(_xlpm.val,IF($F27="",val_blankRefText,_xldudf_CX_GET(CX_ENTITY,($F27),AO$11,AO$14,,(AO$19))),_xlpm.Res,IF(OR(_xlpm.val="",_xlpm.val="Error"),"",_xlpm.val),_xlpm.Res)</f>
        <v>#NAME?</v>
      </c>
      <c r="AP27" s="855" t="e" cm="1">
        <f t="array" ca="1" aca="1" ref="AP27">_xlfn.LET(_xlpm.val,IF($F27="",val_blankRefText,_xldudf_CX_GET(CX_ENTITY,($F27),AP$11,AP$14,,(AP$19))),_xlpm.Res,IF(OR(_xlpm.val="",_xlpm.val="Error"),"",_xlpm.val),_xlpm.Res)</f>
        <v>#NAME?</v>
      </c>
      <c r="AQ27" s="855" t="e" cm="1">
        <f t="array" ca="1" aca="1" ref="AQ27">_xlfn.LET(_xlpm.val,IF($F27="",val_blankRefText,_xldudf_CX_GET(CX_ENTITY,($F27),AQ$11,AQ$14,,(AQ$19))),_xlpm.Res,IF(OR(_xlpm.val="",_xlpm.val="Error"),"",_xlpm.val),_xlpm.Res)</f>
        <v>#NAME?</v>
      </c>
      <c r="AR27" s="855" t="e" cm="1">
        <f t="array" ca="1" aca="1" ref="AR27">_xlfn.LET(_xlpm.val,IF($F27="",val_blankRefText,_xldudf_CX_GET(CX_ENTITY,($F27),AR$11,AR$14,,(AR$19))),_xlpm.Res,IF(OR(_xlpm.val="",_xlpm.val="Error"),"",_xlpm.val),_xlpm.Res)</f>
        <v>#NAME?</v>
      </c>
      <c r="AS27" s="855" t="e" cm="1">
        <f t="array" ca="1" aca="1" ref="AS27">_xlfn.LET(_xlpm.val,IF($F27="",val_blankRefText,_xldudf_CX_GET(CX_ENTITY,($F27),AS$11,AS$14,,(AS$19))),_xlpm.Res,IF(OR(_xlpm.val="",_xlpm.val="Error"),"",_xlpm.val),_xlpm.Res)</f>
        <v>#NAME?</v>
      </c>
      <c r="AT27" s="855" t="e" cm="1">
        <f t="array" ca="1" aca="1" ref="AT27">_xlfn.LET(_xlpm.val,IF($F27="",val_blankRefText,_xldudf_CX_GET(CX_ENTITY,($F27),AT$11,AT$14,,(AT$19))),_xlpm.Res,IF(OR(_xlpm.val="",_xlpm.val="Error"),"",_xlpm.val),_xlpm.Res)</f>
        <v>#NAME?</v>
      </c>
      <c r="AU27" s="855" t="e" cm="1">
        <f t="array" ca="1" aca="1" ref="AU27">_xlfn.LET(_xlpm.val,IF($F27="",val_blankRefText,_xldudf_CX_GET(CX_ENTITY,($F27),AU$11,AU$14,,(AU$19))),_xlpm.Res,IF(OR(_xlpm.val="",_xlpm.val="Error"),"",_xlpm.val),_xlpm.Res)</f>
        <v>#NAME?</v>
      </c>
      <c r="AV27" s="855" t="e" cm="1">
        <f t="array" ca="1" aca="1" ref="AV27">_xlfn.LET(_xlpm.val,IF($F27="",val_blankRefText,_xldudf_CX_GET(CX_ENTITY,($F27),AV$11,AV$14,,(AV$19))),_xlpm.Res,IF(OR(_xlpm.val="",_xlpm.val="Error"),"",_xlpm.val),_xlpm.Res)</f>
        <v>#NAME?</v>
      </c>
      <c r="AW27" s="855" t="e" cm="1">
        <f t="array" ca="1" aca="1" ref="AW27">_xlfn.LET(_xlpm.val,IF($F27="",val_blankRefText,_xldudf_CX_GET(CX_ENTITY,($F27),AW$11,AW$14,,(AW$19))),_xlpm.Res,IF(OR(_xlpm.val="",_xlpm.val="Error"),"",_xlpm.val),_xlpm.Res)</f>
        <v>#NAME?</v>
      </c>
      <c r="AX27" s="855" t="e" cm="1">
        <f t="array" ca="1" aca="1" ref="AX27">_xlfn.LET(_xlpm.val,IF($F27="",val_blankRefText,_xldudf_CX_GET(CX_ENTITY,($F27),AX$11,AX$14,,(AX$19))),_xlpm.Res,IF(OR(_xlpm.val="",_xlpm.val="Error"),"",_xlpm.val),_xlpm.Res)</f>
        <v>#NAME?</v>
      </c>
      <c r="AY27" s="855" t="e" cm="1">
        <f t="array" ca="1" aca="1" ref="AY27">_xlfn.LET(_xlpm.val,IF($F27="",val_blankRefText,_xldudf_CX_GET(CX_ENTITY,($F27),AY$11,AY$14,,(AY$19))),_xlpm.Res,IF(OR(_xlpm.val="",_xlpm.val="Error"),"",_xlpm.val),_xlpm.Res)</f>
        <v>#NAME?</v>
      </c>
      <c r="AZ27" s="855" t="e" cm="1">
        <f t="array" ca="1" aca="1" ref="AZ27">_xlfn.LET(_xlpm.val,IF($F27="",val_blankRefText,_xldudf_CX_GET(CX_ENTITY,($F27),AZ$11,AZ$14,,(AZ$19))),_xlpm.Res,IF(OR(_xlpm.val="",_xlpm.val="Error"),"",_xlpm.val),_xlpm.Res)</f>
        <v>#NAME?</v>
      </c>
      <c r="BA27" s="855" t="e" cm="1">
        <f t="array" ca="1" aca="1" ref="BA27">_xlfn.LET(_xlpm.val,IF($F27="",val_blankRefText,_xldudf_CX_GET(CX_ENTITY,($F27),BA$11,BA$14,,(BA$19))),_xlpm.Res,IF(OR(_xlpm.val="",_xlpm.val="Error"),"",_xlpm.val),_xlpm.Res)</f>
        <v>#NAME?</v>
      </c>
      <c r="BB27" s="855" t="e" cm="1">
        <f t="array" ca="1" aca="1" ref="BB27">_xlfn.LET(_xlpm.val,IF($F27="",val_blankRefText,_xldudf_CX_GET(CX_ENTITY,($F27),BB$11,BB$14,,(BB$19))),_xlpm.Res,IF(OR(_xlpm.val="",_xlpm.val="Error"),"",_xlpm.val),_xlpm.Res)</f>
        <v>#NAME?</v>
      </c>
      <c r="BC27" s="855" t="e" cm="1">
        <f t="array" ca="1" aca="1" ref="BC27">_xlfn.LET(_xlpm.val,IF($F27="",val_blankRefText,_xldudf_CX_GET(CX_ENTITY,($F27),BC$11,BC$14,,(BC$19))),_xlpm.Res,IF(OR(_xlpm.val="",_xlpm.val="Error"),"",_xlpm.val),_xlpm.Res)</f>
        <v>#NAME?</v>
      </c>
      <c r="BD27" s="855" t="e" cm="1">
        <f t="array" ca="1" aca="1" ref="BD27">_xlfn.LET(_xlpm.val,IF($F27="",val_blankRefText,_xldudf_CX_GET(CX_ENTITY,($F27),BD$11,BD$14,,(BD$19))),_xlpm.Res,IF(OR(_xlpm.val="",_xlpm.val="Error"),"",_xlpm.val),_xlpm.Res)</f>
        <v>#NAME?</v>
      </c>
      <c r="BE27" s="855" t="e" cm="1">
        <f t="array" ca="1" aca="1" ref="BE27">_xlfn.LET(_xlpm.val,IF($F27="",val_blankRefText,_xldudf_CX_GET(CX_ENTITY,($F27),BE$11,BE$14,,(BE$19))),_xlpm.Res,IF(OR(_xlpm.val="",_xlpm.val="Error"),"",_xlpm.val),_xlpm.Res)</f>
        <v>#NAME?</v>
      </c>
      <c r="BF27" s="855" t="e" cm="1">
        <f t="array" ca="1" aca="1" ref="BF27">_xlfn.LET(_xlpm.val,IF($F27="",val_blankRefText,_xldudf_CX_GET(CX_ENTITY,($F27),BF$11,BF$14,,(BF$19))),_xlpm.Res,IF(OR(_xlpm.val="",_xlpm.val="Error"),"",_xlpm.val),_xlpm.Res)</f>
        <v>#NAME?</v>
      </c>
      <c r="BG27" s="855" t="e" cm="1">
        <f t="array" ca="1" aca="1" ref="BG27">_xlfn.LET(_xlpm.val,IF($F27="",val_blankRefText,_xldudf_CX_GET(CX_ENTITY,($F27),BG$11,BG$14,,(BG$19))),_xlpm.Res,IF(OR(_xlpm.val="",_xlpm.val="Error"),"",_xlpm.val),_xlpm.Res)</f>
        <v>#NAME?</v>
      </c>
      <c r="BH27" s="855" t="e" cm="1">
        <f t="array" ca="1" aca="1" ref="BH27">_xlfn.LET(_xlpm.val,IF($F27="",val_blankRefText,_xldudf_CX_GET(CX_ENTITY,($F27),BH$11,BH$14,,(BH$19))),_xlpm.Res,IF(OR(_xlpm.val="",_xlpm.val="Error"),"",_xlpm.val),_xlpm.Res)</f>
        <v>#NAME?</v>
      </c>
      <c r="BI27" s="855" t="e" cm="1">
        <f t="array" ca="1" aca="1" ref="BI27">_xlfn.LET(_xlpm.val,IF($F27="",val_blankRefText,_xldudf_CX_GET(CX_ENTITY,($F27),BI$11,BI$14,,(BI$19))),_xlpm.Res,IF(OR(_xlpm.val="",_xlpm.val="Error"),"",_xlpm.val),_xlpm.Res)</f>
        <v>#NAME?</v>
      </c>
      <c r="BJ27" s="855" t="e" cm="1">
        <f t="array" ca="1" aca="1" ref="BJ27">_xlfn.LET(_xlpm.val,IF($F27="",val_blankRefText,_xldudf_CX_GET(CX_ENTITY,($F27),BJ$11,BJ$14,,(BJ$19))),_xlpm.Res,IF(OR(_xlpm.val="",_xlpm.val="Error"),"",_xlpm.val),_xlpm.Res)</f>
        <v>#NAME?</v>
      </c>
      <c r="BK27" s="855" t="e" cm="1">
        <f t="array" ca="1" aca="1" ref="BK27">_xlfn.LET(_xlpm.val,IF($F27="",val_blankRefText,_xldudf_CX_GET(CX_ENTITY,($F27),BK$11,BK$14,,(BK$19))),_xlpm.Res,IF(OR(_xlpm.val="",_xlpm.val="Error"),"",_xlpm.val),_xlpm.Res)</f>
        <v>#NAME?</v>
      </c>
      <c r="BL27" s="855" t="e" cm="1">
        <f t="array" ca="1" aca="1" ref="BL27">_xlfn.LET(_xlpm.val,IF($F27="",val_blankRefText,_xldudf_CX_GET(CX_ENTITY,($F27),BL$11,BL$14,,(BL$19))),_xlpm.Res,IF(OR(_xlpm.val="",_xlpm.val="Error"),"",_xlpm.val),_xlpm.Res)</f>
        <v>#NAME?</v>
      </c>
      <c r="BM27" s="855" t="e" cm="1">
        <f t="array" ca="1" aca="1" ref="BM27">_xlfn.LET(_xlpm.val,IF($F27="",val_blankRefText,_xldudf_CX_GET(CX_ENTITY,($F27),BM$11,BM$14,,(BM$19))),_xlpm.Res,IF(OR(_xlpm.val="",_xlpm.val="Error"),"",_xlpm.val),_xlpm.Res)</f>
        <v>#NAME?</v>
      </c>
      <c r="BN27" s="855" t="e" cm="1">
        <f t="array" ca="1" aca="1" ref="BN27">_xlfn.LET(_xlpm.val,IF($F27="",val_blankRefText,_xldudf_CX_GET(CX_ENTITY,($F27),BN$11,BN$14,,(BN$19))),_xlpm.Res,IF(OR(_xlpm.val="",_xlpm.val="Error"),"",_xlpm.val),_xlpm.Res)</f>
        <v>#NAME?</v>
      </c>
      <c r="BO27" s="1844"/>
      <c r="BP27" s="1844"/>
      <c r="BQ27" s="1844"/>
      <c r="BR27" s="1844"/>
      <c r="BS27" s="1844"/>
      <c r="BT27" s="1844"/>
      <c r="BU27" s="1844"/>
      <c r="BV27" s="1844"/>
      <c r="BW27" s="1844"/>
      <c r="BX27" s="1844"/>
      <c r="BY27" s="1844"/>
      <c r="BZ27" s="1844"/>
      <c r="CA27" s="34"/>
      <c r="CC27" s="33"/>
      <c r="CD27" s="1461" t="e" cm="1">
        <f t="array" ca="1" aca="1" ref="CD27">_xlfn.LET(_xlpm.CheckBlank,SUM(CF!$AD27:$BN27)=0,IF(_xlpm.CheckBlank,"",SUM(_xlfn._xlws.FILTER(CF!$AD27:$BN27,(YEAR(CF!$AD$12:$BN$12)=CF!CD$12)*(array_timeline&lt;=CF!CD$11)))))</f>
        <v>#NAME?</v>
      </c>
      <c r="CE27" s="1461" t="e" cm="1">
        <f t="array" ca="1" aca="1" ref="CE27">_xlfn.LET(_xlpm.CheckBlank,SUM(CF!$AD27:$BN27)=0,IF(_xlpm.CheckBlank,"",SUM(_xlfn._xlws.FILTER(CF!$AD27:$BN27,(YEAR(CF!$AD$12:$BN$12)=CF!CE$12)*(array_timeline&lt;=CF!CE$11)))))</f>
        <v>#NAME?</v>
      </c>
      <c r="CF27" s="1314"/>
      <c r="CG27" s="1461" t="e" cm="1">
        <f t="array" ca="1" aca="1" ref="CG27">_xlfn.LET(_xlpm.CheckBlank,SUM(CF!$AD27:$BN27)=0,IF(_xlpm.CheckBlank,"",SUM(_xlfn._xlws.FILTER(CF!$AD27:$BN27,(YEAR(CF!$AD$12:$BN$12)=CF!CG$12)*(array_timeline&lt;=CF!CG$11)))))</f>
        <v>#NAME?</v>
      </c>
      <c r="CH27" s="1461" t="e" cm="1">
        <f t="array" ca="1" aca="1" ref="CH27">_xlfn.LET(_xlpm.CheckBlank,SUM(CF!$AD27:$BN27)=0,IF(_xlpm.CheckBlank,"",SUM(_xlfn._xlws.FILTER(CF!$AD27:$BN27,(YEAR(CF!$AD$12:$BN$12)=CF!CH$12)*(array_timeline&lt;=CF!CH$11)))))</f>
        <v>#NAME?</v>
      </c>
      <c r="CI27" s="1314"/>
      <c r="CJ27" s="1657" cm="1">
        <f t="array" ref="CJ27">_xlfn.LET(_xlpm.CheckBlank,SUM(CF!$AD27:$BN27)=0,IF(_xlpm.CheckBlank,"",SUM(_xlfn.TAKE(_xlfn.DROP(CF!$AD27:$BN27,,-DATEDIFF(CF!CJ$11,val_asOfDate,"M")),1,-12))))</f>
        <v>12</v>
      </c>
      <c r="CK27" s="1657" cm="1">
        <f t="array" ref="CK27">_xlfn.LET(_xlpm.CheckBlank,SUM(CF!$AD27:$BN27)=0,IF(_xlpm.CheckBlank,"",SUM(_xlfn.TAKE(_xlfn.DROP(CF!$AD27:$BN27,,-DATEDIFF(CF!CK$11,val_asOfDate,"M")),1,-12))))</f>
        <v>12</v>
      </c>
      <c r="CL27" s="88"/>
      <c r="CM27" s="541" t="e" cm="1">
        <f t="array" ca="1" aca="1" ref="CM27">_xlfn.LET(_xlpm.val,IF($F27="",val_blankRefText,_xldudf_CX_GET(CX_ENTITY,($F27),CM$11,CM$14,,(CM$19))),_xlpm.Res,IF(OR(_xlpm.val="",_xlpm.val="Error"),"",_xlpm.val),_xlpm.Res)</f>
        <v>#NAME?</v>
      </c>
      <c r="CN27" s="541" t="e" cm="1">
        <f t="array" ca="1" aca="1" ref="CN27">_xlfn.LET(_xlpm.val,IF($F27="",val_blankRefText,_xldudf_CX_GET(CX_ENTITY,($F27),CN$11,CN$14,,(CN$19))),_xlpm.Res,IF(OR(_xlpm.val="",_xlpm.val="Error"),"",_xlpm.val),_xlpm.Res)</f>
        <v>#NAME?</v>
      </c>
      <c r="CO27" s="34"/>
      <c r="CR27" s="4"/>
      <c r="CS27" s="4"/>
      <c r="CW27" s="4"/>
    </row>
    <row r="28" spans="1:101" ht="21" customHeight="1">
      <c r="A28" s="696"/>
      <c r="B28" s="574" t="s">
        <v>790</v>
      </c>
      <c r="C28" s="574" t="s">
        <v>1677</v>
      </c>
      <c r="D28" s="574"/>
      <c r="E28" s="577" t="e" cm="1">
        <f t="array" ca="1" aca="1" ref="E28">_xlfn.LET(_xlpm.Attr,$C28,_xlpm.Lookback,$E$16,_xlpm.QueryDate,EOMONTH(val_asOfDate,_xlpm.Lookback),_xlpm.ReadField,_xldudf_CX_GET(CX_ENTITY,fx_attrConverter($C28),_xlpm.QueryDate),_xlpm.AttrBlank,_xlpm.Attr="",_xlpm.RESULT,IF(_xlpm.AttrBlank,val_blankRefText,fx_attrConverter(_xlpm.ReadField,0)),IF(_xlpm.RESULT="Error","",_xlpm.RESULT))</f>
        <v>#NAME?</v>
      </c>
      <c r="F28" s="577" t="str">
        <f t="shared" si="1"/>
        <v>Unlevered Free Cash Flow (UFCF)</v>
      </c>
      <c r="G28" s="401"/>
      <c r="H28" s="3280">
        <v>2</v>
      </c>
      <c r="I28" s="3280">
        <v>1</v>
      </c>
      <c r="J28" s="401"/>
      <c r="K28" s="401"/>
      <c r="L28" s="579">
        <v>-1</v>
      </c>
      <c r="N28" s="158"/>
      <c r="O28" s="101"/>
      <c r="P28" s="52"/>
      <c r="Q28" s="2"/>
      <c r="R28" s="539"/>
      <c r="S28" s="2"/>
      <c r="T28" s="2"/>
      <c r="U28" s="39"/>
      <c r="W28" s="932" t="str">
        <f t="shared" si="4"/>
        <v>Actual</v>
      </c>
      <c r="X28" s="761">
        <v>0</v>
      </c>
      <c r="Y28" s="88" t="e" cm="1">
        <f t="array" ca="1" aca="1" ref="Y28">IF($B28="",IFBLANK($E28,"Please select or type in or leave as blank"),IFBLANK($E28,$B28))</f>
        <v>#NAME?</v>
      </c>
      <c r="Z28" s="200" cm="1">
        <f t="array" ref="Z28">_xlfn.SWITCH(TRUE,_CF!$L28=TRUE,1,_CF!$L28=FALSE,-1,_CF!$L28=-1,0,"n/a")</f>
        <v>0</v>
      </c>
      <c r="AA28" s="200"/>
      <c r="AB28" s="88" t="s">
        <v>790</v>
      </c>
      <c r="AC28" s="88"/>
      <c r="AD28" s="855" t="e" cm="1">
        <f t="array" ca="1" aca="1" ref="AD28">_xlfn.LET(_xlpm.val,IF($F28="",val_blankRefText,_xldudf_CX_GET(CX_ENTITY,($F28),AD$11,AD$14,,(AD$19))),_xlpm.Res,IF(OR(_xlpm.val="",_xlpm.val="Error"),"",_xlpm.val),_xlpm.Res)</f>
        <v>#NAME?</v>
      </c>
      <c r="AE28" s="855" t="e" cm="1">
        <f t="array" ca="1" aca="1" ref="AE28">_xlfn.LET(_xlpm.val,IF($F28="",val_blankRefText,_xldudf_CX_GET(CX_ENTITY,($F28),AE$11,AE$14,,(AE$19))),_xlpm.Res,IF(OR(_xlpm.val="",_xlpm.val="Error"),"",_xlpm.val),_xlpm.Res)</f>
        <v>#NAME?</v>
      </c>
      <c r="AF28" s="855" t="e" cm="1">
        <f t="array" ca="1" aca="1" ref="AF28">_xlfn.LET(_xlpm.val,IF($F28="",val_blankRefText,_xldudf_CX_GET(CX_ENTITY,($F28),AF$11,AF$14,,(AF$19))),_xlpm.Res,IF(OR(_xlpm.val="",_xlpm.val="Error"),"",_xlpm.val),_xlpm.Res)</f>
        <v>#NAME?</v>
      </c>
      <c r="AG28" s="855" t="e" cm="1">
        <f t="array" ca="1" aca="1" ref="AG28">_xlfn.LET(_xlpm.val,IF($F28="",val_blankRefText,_xldudf_CX_GET(CX_ENTITY,($F28),AG$11,AG$14,,(AG$19))),_xlpm.Res,IF(OR(_xlpm.val="",_xlpm.val="Error"),"",_xlpm.val),_xlpm.Res)</f>
        <v>#NAME?</v>
      </c>
      <c r="AH28" s="855" t="e" cm="1">
        <f t="array" ca="1" aca="1" ref="AH28">_xlfn.LET(_xlpm.val,IF($F28="",val_blankRefText,_xldudf_CX_GET(CX_ENTITY,($F28),AH$11,AH$14,,(AH$19))),_xlpm.Res,IF(OR(_xlpm.val="",_xlpm.val="Error"),"",_xlpm.val),_xlpm.Res)</f>
        <v>#NAME?</v>
      </c>
      <c r="AI28" s="855" t="e" cm="1">
        <f t="array" ca="1" aca="1" ref="AI28">_xlfn.LET(_xlpm.val,IF($F28="",val_blankRefText,_xldudf_CX_GET(CX_ENTITY,($F28),AI$11,AI$14,,(AI$19))),_xlpm.Res,IF(OR(_xlpm.val="",_xlpm.val="Error"),"",_xlpm.val),_xlpm.Res)</f>
        <v>#NAME?</v>
      </c>
      <c r="AJ28" s="855" t="e" cm="1">
        <f t="array" ca="1" aca="1" ref="AJ28">_xlfn.LET(_xlpm.val,IF($F28="",val_blankRefText,_xldudf_CX_GET(CX_ENTITY,($F28),AJ$11,AJ$14,,(AJ$19))),_xlpm.Res,IF(OR(_xlpm.val="",_xlpm.val="Error"),"",_xlpm.val),_xlpm.Res)</f>
        <v>#NAME?</v>
      </c>
      <c r="AK28" s="855" t="e" cm="1">
        <f t="array" ca="1" aca="1" ref="AK28">_xlfn.LET(_xlpm.val,IF($F28="",val_blankRefText,_xldudf_CX_GET(CX_ENTITY,($F28),AK$11,AK$14,,(AK$19))),_xlpm.Res,IF(OR(_xlpm.val="",_xlpm.val="Error"),"",_xlpm.val),_xlpm.Res)</f>
        <v>#NAME?</v>
      </c>
      <c r="AL28" s="855" t="e" cm="1">
        <f t="array" ca="1" aca="1" ref="AL28">_xlfn.LET(_xlpm.val,IF($F28="",val_blankRefText,_xldudf_CX_GET(CX_ENTITY,($F28),AL$11,AL$14,,(AL$19))),_xlpm.Res,IF(OR(_xlpm.val="",_xlpm.val="Error"),"",_xlpm.val),_xlpm.Res)</f>
        <v>#NAME?</v>
      </c>
      <c r="AM28" s="855" t="e" cm="1">
        <f t="array" ca="1" aca="1" ref="AM28">_xlfn.LET(_xlpm.val,IF($F28="",val_blankRefText,_xldudf_CX_GET(CX_ENTITY,($F28),AM$11,AM$14,,(AM$19))),_xlpm.Res,IF(OR(_xlpm.val="",_xlpm.val="Error"),"",_xlpm.val),_xlpm.Res)</f>
        <v>#NAME?</v>
      </c>
      <c r="AN28" s="855" t="e" cm="1">
        <f t="array" ca="1" aca="1" ref="AN28">_xlfn.LET(_xlpm.val,IF($F28="",val_blankRefText,_xldudf_CX_GET(CX_ENTITY,($F28),AN$11,AN$14,,(AN$19))),_xlpm.Res,IF(OR(_xlpm.val="",_xlpm.val="Error"),"",_xlpm.val),_xlpm.Res)</f>
        <v>#NAME?</v>
      </c>
      <c r="AO28" s="855" t="e" cm="1">
        <f t="array" ca="1" aca="1" ref="AO28">_xlfn.LET(_xlpm.val,IF($F28="",val_blankRefText,_xldudf_CX_GET(CX_ENTITY,($F28),AO$11,AO$14,,(AO$19))),_xlpm.Res,IF(OR(_xlpm.val="",_xlpm.val="Error"),"",_xlpm.val),_xlpm.Res)</f>
        <v>#NAME?</v>
      </c>
      <c r="AP28" s="855" t="e" cm="1">
        <f t="array" ca="1" aca="1" ref="AP28">_xlfn.LET(_xlpm.val,IF($F28="",val_blankRefText,_xldudf_CX_GET(CX_ENTITY,($F28),AP$11,AP$14,,(AP$19))),_xlpm.Res,IF(OR(_xlpm.val="",_xlpm.val="Error"),"",_xlpm.val),_xlpm.Res)</f>
        <v>#NAME?</v>
      </c>
      <c r="AQ28" s="855" t="e" cm="1">
        <f t="array" ca="1" aca="1" ref="AQ28">_xlfn.LET(_xlpm.val,IF($F28="",val_blankRefText,_xldudf_CX_GET(CX_ENTITY,($F28),AQ$11,AQ$14,,(AQ$19))),_xlpm.Res,IF(OR(_xlpm.val="",_xlpm.val="Error"),"",_xlpm.val),_xlpm.Res)</f>
        <v>#NAME?</v>
      </c>
      <c r="AR28" s="855" t="e" cm="1">
        <f t="array" ca="1" aca="1" ref="AR28">_xlfn.LET(_xlpm.val,IF($F28="",val_blankRefText,_xldudf_CX_GET(CX_ENTITY,($F28),AR$11,AR$14,,(AR$19))),_xlpm.Res,IF(OR(_xlpm.val="",_xlpm.val="Error"),"",_xlpm.val),_xlpm.Res)</f>
        <v>#NAME?</v>
      </c>
      <c r="AS28" s="855" t="e" cm="1">
        <f t="array" ca="1" aca="1" ref="AS28">_xlfn.LET(_xlpm.val,IF($F28="",val_blankRefText,_xldudf_CX_GET(CX_ENTITY,($F28),AS$11,AS$14,,(AS$19))),_xlpm.Res,IF(OR(_xlpm.val="",_xlpm.val="Error"),"",_xlpm.val),_xlpm.Res)</f>
        <v>#NAME?</v>
      </c>
      <c r="AT28" s="855" t="e" cm="1">
        <f t="array" ca="1" aca="1" ref="AT28">_xlfn.LET(_xlpm.val,IF($F28="",val_blankRefText,_xldudf_CX_GET(CX_ENTITY,($F28),AT$11,AT$14,,(AT$19))),_xlpm.Res,IF(OR(_xlpm.val="",_xlpm.val="Error"),"",_xlpm.val),_xlpm.Res)</f>
        <v>#NAME?</v>
      </c>
      <c r="AU28" s="855" t="e" cm="1">
        <f t="array" ca="1" aca="1" ref="AU28">_xlfn.LET(_xlpm.val,IF($F28="",val_blankRefText,_xldudf_CX_GET(CX_ENTITY,($F28),AU$11,AU$14,,(AU$19))),_xlpm.Res,IF(OR(_xlpm.val="",_xlpm.val="Error"),"",_xlpm.val),_xlpm.Res)</f>
        <v>#NAME?</v>
      </c>
      <c r="AV28" s="855" t="e" cm="1">
        <f t="array" ca="1" aca="1" ref="AV28">_xlfn.LET(_xlpm.val,IF($F28="",val_blankRefText,_xldudf_CX_GET(CX_ENTITY,($F28),AV$11,AV$14,,(AV$19))),_xlpm.Res,IF(OR(_xlpm.val="",_xlpm.val="Error"),"",_xlpm.val),_xlpm.Res)</f>
        <v>#NAME?</v>
      </c>
      <c r="AW28" s="855" t="e" cm="1">
        <f t="array" ca="1" aca="1" ref="AW28">_xlfn.LET(_xlpm.val,IF($F28="",val_blankRefText,_xldudf_CX_GET(CX_ENTITY,($F28),AW$11,AW$14,,(AW$19))),_xlpm.Res,IF(OR(_xlpm.val="",_xlpm.val="Error"),"",_xlpm.val),_xlpm.Res)</f>
        <v>#NAME?</v>
      </c>
      <c r="AX28" s="855" t="e" cm="1">
        <f t="array" ca="1" aca="1" ref="AX28">_xlfn.LET(_xlpm.val,IF($F28="",val_blankRefText,_xldudf_CX_GET(CX_ENTITY,($F28),AX$11,AX$14,,(AX$19))),_xlpm.Res,IF(OR(_xlpm.val="",_xlpm.val="Error"),"",_xlpm.val),_xlpm.Res)</f>
        <v>#NAME?</v>
      </c>
      <c r="AY28" s="855" t="e" cm="1">
        <f t="array" ca="1" aca="1" ref="AY28">_xlfn.LET(_xlpm.val,IF($F28="",val_blankRefText,_xldudf_CX_GET(CX_ENTITY,($F28),AY$11,AY$14,,(AY$19))),_xlpm.Res,IF(OR(_xlpm.val="",_xlpm.val="Error"),"",_xlpm.val),_xlpm.Res)</f>
        <v>#NAME?</v>
      </c>
      <c r="AZ28" s="855" t="e" cm="1">
        <f t="array" ca="1" aca="1" ref="AZ28">_xlfn.LET(_xlpm.val,IF($F28="",val_blankRefText,_xldudf_CX_GET(CX_ENTITY,($F28),AZ$11,AZ$14,,(AZ$19))),_xlpm.Res,IF(OR(_xlpm.val="",_xlpm.val="Error"),"",_xlpm.val),_xlpm.Res)</f>
        <v>#NAME?</v>
      </c>
      <c r="BA28" s="855" t="e" cm="1">
        <f t="array" ca="1" aca="1" ref="BA28">_xlfn.LET(_xlpm.val,IF($F28="",val_blankRefText,_xldudf_CX_GET(CX_ENTITY,($F28),BA$11,BA$14,,(BA$19))),_xlpm.Res,IF(OR(_xlpm.val="",_xlpm.val="Error"),"",_xlpm.val),_xlpm.Res)</f>
        <v>#NAME?</v>
      </c>
      <c r="BB28" s="855" t="e" cm="1">
        <f t="array" ca="1" aca="1" ref="BB28">_xlfn.LET(_xlpm.val,IF($F28="",val_blankRefText,_xldudf_CX_GET(CX_ENTITY,($F28),BB$11,BB$14,,(BB$19))),_xlpm.Res,IF(OR(_xlpm.val="",_xlpm.val="Error"),"",_xlpm.val),_xlpm.Res)</f>
        <v>#NAME?</v>
      </c>
      <c r="BC28" s="855" t="e" cm="1">
        <f t="array" ca="1" aca="1" ref="BC28">_xlfn.LET(_xlpm.val,IF($F28="",val_blankRefText,_xldudf_CX_GET(CX_ENTITY,($F28),BC$11,BC$14,,(BC$19))),_xlpm.Res,IF(OR(_xlpm.val="",_xlpm.val="Error"),"",_xlpm.val),_xlpm.Res)</f>
        <v>#NAME?</v>
      </c>
      <c r="BD28" s="855" t="e" cm="1">
        <f t="array" ca="1" aca="1" ref="BD28">_xlfn.LET(_xlpm.val,IF($F28="",val_blankRefText,_xldudf_CX_GET(CX_ENTITY,($F28),BD$11,BD$14,,(BD$19))),_xlpm.Res,IF(OR(_xlpm.val="",_xlpm.val="Error"),"",_xlpm.val),_xlpm.Res)</f>
        <v>#NAME?</v>
      </c>
      <c r="BE28" s="855" t="e" cm="1">
        <f t="array" ca="1" aca="1" ref="BE28">_xlfn.LET(_xlpm.val,IF($F28="",val_blankRefText,_xldudf_CX_GET(CX_ENTITY,($F28),BE$11,BE$14,,(BE$19))),_xlpm.Res,IF(OR(_xlpm.val="",_xlpm.val="Error"),"",_xlpm.val),_xlpm.Res)</f>
        <v>#NAME?</v>
      </c>
      <c r="BF28" s="855" t="e" cm="1">
        <f t="array" ca="1" aca="1" ref="BF28">_xlfn.LET(_xlpm.val,IF($F28="",val_blankRefText,_xldudf_CX_GET(CX_ENTITY,($F28),BF$11,BF$14,,(BF$19))),_xlpm.Res,IF(OR(_xlpm.val="",_xlpm.val="Error"),"",_xlpm.val),_xlpm.Res)</f>
        <v>#NAME?</v>
      </c>
      <c r="BG28" s="855" t="e" cm="1">
        <f t="array" ca="1" aca="1" ref="BG28">_xlfn.LET(_xlpm.val,IF($F28="",val_blankRefText,_xldudf_CX_GET(CX_ENTITY,($F28),BG$11,BG$14,,(BG$19))),_xlpm.Res,IF(OR(_xlpm.val="",_xlpm.val="Error"),"",_xlpm.val),_xlpm.Res)</f>
        <v>#NAME?</v>
      </c>
      <c r="BH28" s="855" t="e" cm="1">
        <f t="array" ca="1" aca="1" ref="BH28">_xlfn.LET(_xlpm.val,IF($F28="",val_blankRefText,_xldudf_CX_GET(CX_ENTITY,($F28),BH$11,BH$14,,(BH$19))),_xlpm.Res,IF(OR(_xlpm.val="",_xlpm.val="Error"),"",_xlpm.val),_xlpm.Res)</f>
        <v>#NAME?</v>
      </c>
      <c r="BI28" s="855" t="e" cm="1">
        <f t="array" ca="1" aca="1" ref="BI28">_xlfn.LET(_xlpm.val,IF($F28="",val_blankRefText,_xldudf_CX_GET(CX_ENTITY,($F28),BI$11,BI$14,,(BI$19))),_xlpm.Res,IF(OR(_xlpm.val="",_xlpm.val="Error"),"",_xlpm.val),_xlpm.Res)</f>
        <v>#NAME?</v>
      </c>
      <c r="BJ28" s="855" t="e" cm="1">
        <f t="array" ca="1" aca="1" ref="BJ28">_xlfn.LET(_xlpm.val,IF($F28="",val_blankRefText,_xldudf_CX_GET(CX_ENTITY,($F28),BJ$11,BJ$14,,(BJ$19))),_xlpm.Res,IF(OR(_xlpm.val="",_xlpm.val="Error"),"",_xlpm.val),_xlpm.Res)</f>
        <v>#NAME?</v>
      </c>
      <c r="BK28" s="855" t="e" cm="1">
        <f t="array" ca="1" aca="1" ref="BK28">_xlfn.LET(_xlpm.val,IF($F28="",val_blankRefText,_xldudf_CX_GET(CX_ENTITY,($F28),BK$11,BK$14,,(BK$19))),_xlpm.Res,IF(OR(_xlpm.val="",_xlpm.val="Error"),"",_xlpm.val),_xlpm.Res)</f>
        <v>#NAME?</v>
      </c>
      <c r="BL28" s="855" t="e" cm="1">
        <f t="array" ca="1" aca="1" ref="BL28">_xlfn.LET(_xlpm.val,IF($F28="",val_blankRefText,_xldudf_CX_GET(CX_ENTITY,($F28),BL$11,BL$14,,(BL$19))),_xlpm.Res,IF(OR(_xlpm.val="",_xlpm.val="Error"),"",_xlpm.val),_xlpm.Res)</f>
        <v>#NAME?</v>
      </c>
      <c r="BM28" s="855" t="e" cm="1">
        <f t="array" ca="1" aca="1" ref="BM28">_xlfn.LET(_xlpm.val,IF($F28="",val_blankRefText,_xldudf_CX_GET(CX_ENTITY,($F28),BM$11,BM$14,,(BM$19))),_xlpm.Res,IF(OR(_xlpm.val="",_xlpm.val="Error"),"",_xlpm.val),_xlpm.Res)</f>
        <v>#NAME?</v>
      </c>
      <c r="BN28" s="855" t="e" cm="1">
        <f t="array" ca="1" aca="1" ref="BN28">_xlfn.LET(_xlpm.val,IF($F28="",val_blankRefText,_xldudf_CX_GET(CX_ENTITY,($F28),BN$11,BN$14,,(BN$19))),_xlpm.Res,IF(OR(_xlpm.val="",_xlpm.val="Error"),"",_xlpm.val),_xlpm.Res)</f>
        <v>#NAME?</v>
      </c>
      <c r="BO28" s="1844"/>
      <c r="BP28" s="1844"/>
      <c r="BQ28" s="1844"/>
      <c r="BR28" s="1844"/>
      <c r="BS28" s="1844"/>
      <c r="BT28" s="1844"/>
      <c r="BU28" s="1844"/>
      <c r="BV28" s="1844"/>
      <c r="BW28" s="1844"/>
      <c r="BX28" s="1844"/>
      <c r="BY28" s="1844"/>
      <c r="BZ28" s="1844"/>
      <c r="CA28" s="34"/>
      <c r="CC28" s="33"/>
      <c r="CD28" s="1461" t="e" cm="1">
        <f t="array" ca="1" aca="1" ref="CD28">_xlfn.LET(_xlpm.CheckBlank,SUM(CF!$AD28:$BN28)=0,IF(_xlpm.CheckBlank,"",SUM(_xlfn._xlws.FILTER(CF!$AD28:$BN28,(YEAR(CF!$AD$12:$BN$12)=CF!CD$12)*(array_timeline&lt;=CF!CD$11)))))</f>
        <v>#NAME?</v>
      </c>
      <c r="CE28" s="1461" t="e" cm="1">
        <f t="array" ca="1" aca="1" ref="CE28">_xlfn.LET(_xlpm.CheckBlank,SUM(CF!$AD28:$BN28)=0,IF(_xlpm.CheckBlank,"",SUM(_xlfn._xlws.FILTER(CF!$AD28:$BN28,(YEAR(CF!$AD$12:$BN$12)=CF!CE$12)*(array_timeline&lt;=CF!CE$11)))))</f>
        <v>#NAME?</v>
      </c>
      <c r="CF28" s="1314"/>
      <c r="CG28" s="1461" t="e" cm="1">
        <f t="array" ca="1" aca="1" ref="CG28">_xlfn.LET(_xlpm.CheckBlank,SUM(CF!$AD28:$BN28)=0,IF(_xlpm.CheckBlank,"",SUM(_xlfn._xlws.FILTER(CF!$AD28:$BN28,(YEAR(CF!$AD$12:$BN$12)=CF!CG$12)*(array_timeline&lt;=CF!CG$11)))))</f>
        <v>#NAME?</v>
      </c>
      <c r="CH28" s="1461" t="e" cm="1">
        <f t="array" ca="1" aca="1" ref="CH28">_xlfn.LET(_xlpm.CheckBlank,SUM(CF!$AD28:$BN28)=0,IF(_xlpm.CheckBlank,"",SUM(_xlfn._xlws.FILTER(CF!$AD28:$BN28,(YEAR(CF!$AD$12:$BN$12)=CF!CH$12)*(array_timeline&lt;=CF!CH$11)))))</f>
        <v>#NAME?</v>
      </c>
      <c r="CI28" s="1314"/>
      <c r="CJ28" s="1657" cm="1">
        <f t="array" ref="CJ28">_xlfn.LET(_xlpm.CheckBlank,SUM(CF!$AD28:$BN28)=0,IF(_xlpm.CheckBlank,"",SUM(_xlfn.TAKE(_xlfn.DROP(CF!$AD28:$BN28,,-DATEDIFF(CF!CJ$11,val_asOfDate,"M")),1,-12))))</f>
        <v>108</v>
      </c>
      <c r="CK28" s="1657" cm="1">
        <f t="array" ref="CK28">_xlfn.LET(_xlpm.CheckBlank,SUM(CF!$AD28:$BN28)=0,IF(_xlpm.CheckBlank,"",SUM(_xlfn.TAKE(_xlfn.DROP(CF!$AD28:$BN28,,-DATEDIFF(CF!CK$11,val_asOfDate,"M")),1,-12))))</f>
        <v>108</v>
      </c>
      <c r="CL28" s="88"/>
      <c r="CM28" s="541" t="e" cm="1">
        <f t="array" ca="1" aca="1" ref="CM28">_xlfn.LET(_xlpm.val,IF($F28="",val_blankRefText,_xldudf_CX_GET(CX_ENTITY,($F28),CM$11,CM$14,,(CM$19))),_xlpm.Res,IF(OR(_xlpm.val="",_xlpm.val="Error"),"",_xlpm.val),_xlpm.Res)</f>
        <v>#NAME?</v>
      </c>
      <c r="CN28" s="541" t="e" cm="1">
        <f t="array" ca="1" aca="1" ref="CN28">_xlfn.LET(_xlpm.val,IF($F28="",val_blankRefText,_xldudf_CX_GET(CX_ENTITY,($F28),CN$11,CN$14,,(CN$19))),_xlpm.Res,IF(OR(_xlpm.val="",_xlpm.val="Error"),"",_xlpm.val),_xlpm.Res)</f>
        <v>#NAME?</v>
      </c>
      <c r="CO28" s="34"/>
      <c r="CR28" s="4"/>
      <c r="CS28" s="4"/>
      <c r="CW28" s="4"/>
    </row>
    <row r="29" spans="1:101" ht="21" customHeight="1">
      <c r="A29" s="696"/>
      <c r="B29" s="574" t="s">
        <v>246</v>
      </c>
      <c r="C29" s="574" t="s">
        <v>1678</v>
      </c>
      <c r="D29" s="574"/>
      <c r="E29" s="577" t="e" cm="1">
        <f t="array" ca="1" aca="1" ref="E29">_xlfn.LET(_xlpm.Attr,$C29,_xlpm.Lookback,$E$16,_xlpm.QueryDate,EOMONTH(val_asOfDate,_xlpm.Lookback),_xlpm.ReadField,_xldudf_CX_GET(CX_ENTITY,fx_attrConverter($C29),_xlpm.QueryDate),_xlpm.AttrBlank,_xlpm.Attr="",_xlpm.RESULT,IF(_xlpm.AttrBlank,val_blankRefText,fx_attrConverter(_xlpm.ReadField,0)),IF(_xlpm.RESULT="Error","",_xlpm.RESULT))</f>
        <v>#NAME?</v>
      </c>
      <c r="F29" s="577" t="str">
        <f t="shared" si="1"/>
        <v>Cash Interest Expense (CIE)</v>
      </c>
      <c r="G29" s="401"/>
      <c r="H29" s="401">
        <v>0</v>
      </c>
      <c r="I29" s="3280">
        <v>1</v>
      </c>
      <c r="J29" s="401"/>
      <c r="K29" s="401"/>
      <c r="L29" s="3269" t="b">
        <v>1</v>
      </c>
      <c r="N29" s="158"/>
      <c r="O29" s="101"/>
      <c r="P29" s="52"/>
      <c r="Q29" s="101"/>
      <c r="R29" s="126"/>
      <c r="S29" s="101"/>
      <c r="T29" s="101"/>
      <c r="U29" s="39"/>
      <c r="W29" s="932" t="str">
        <f t="shared" si="4"/>
        <v>Actual</v>
      </c>
      <c r="X29" s="761">
        <v>-1</v>
      </c>
      <c r="Y29" s="88" t="e" cm="1">
        <f t="array" ca="1" aca="1" ref="Y29">IF($B29="",IFBLANK($E29,"Please select or type in or leave as blank"),IFBLANK($E29,$B29))</f>
        <v>#NAME?</v>
      </c>
      <c r="Z29" s="3300" cm="1">
        <f t="array" ref="Z29">_xlfn.SWITCH(TRUE,_CF!$L29=TRUE,1,_CF!$L29=FALSE,-1,_CF!$L29=-1,0,"n/a")</f>
        <v>1</v>
      </c>
      <c r="AA29" s="200"/>
      <c r="AB29" s="88" t="s">
        <v>246</v>
      </c>
      <c r="AC29" s="88"/>
      <c r="AD29" s="855" t="e" cm="1">
        <f t="array" ca="1" aca="1" ref="AD29">_xlfn.LET(_xlpm.val,IF($F29="",val_blankRefText,_xldudf_CX_GET(CX_ENTITY,($F29),AD$11,AD$14,,(AD$19))),_xlpm.Res,IF(OR(_xlpm.val="",_xlpm.val="Error"),"",_xlpm.val),_xlpm.Res)</f>
        <v>#NAME?</v>
      </c>
      <c r="AE29" s="855" t="e" cm="1">
        <f t="array" ca="1" aca="1" ref="AE29">_xlfn.LET(_xlpm.val,IF($F29="",val_blankRefText,_xldudf_CX_GET(CX_ENTITY,($F29),AE$11,AE$14,,(AE$19))),_xlpm.Res,IF(OR(_xlpm.val="",_xlpm.val="Error"),"",_xlpm.val),_xlpm.Res)</f>
        <v>#NAME?</v>
      </c>
      <c r="AF29" s="855" t="e" cm="1">
        <f t="array" ca="1" aca="1" ref="AF29">_xlfn.LET(_xlpm.val,IF($F29="",val_blankRefText,_xldudf_CX_GET(CX_ENTITY,($F29),AF$11,AF$14,,(AF$19))),_xlpm.Res,IF(OR(_xlpm.val="",_xlpm.val="Error"),"",_xlpm.val),_xlpm.Res)</f>
        <v>#NAME?</v>
      </c>
      <c r="AG29" s="855" t="e" cm="1">
        <f t="array" ca="1" aca="1" ref="AG29">_xlfn.LET(_xlpm.val,IF($F29="",val_blankRefText,_xldudf_CX_GET(CX_ENTITY,($F29),AG$11,AG$14,,(AG$19))),_xlpm.Res,IF(OR(_xlpm.val="",_xlpm.val="Error"),"",_xlpm.val),_xlpm.Res)</f>
        <v>#NAME?</v>
      </c>
      <c r="AH29" s="855" t="e" cm="1">
        <f t="array" ca="1" aca="1" ref="AH29">_xlfn.LET(_xlpm.val,IF($F29="",val_blankRefText,_xldudf_CX_GET(CX_ENTITY,($F29),AH$11,AH$14,,(AH$19))),_xlpm.Res,IF(OR(_xlpm.val="",_xlpm.val="Error"),"",_xlpm.val),_xlpm.Res)</f>
        <v>#NAME?</v>
      </c>
      <c r="AI29" s="855" t="e" cm="1">
        <f t="array" ca="1" aca="1" ref="AI29">_xlfn.LET(_xlpm.val,IF($F29="",val_blankRefText,_xldudf_CX_GET(CX_ENTITY,($F29),AI$11,AI$14,,(AI$19))),_xlpm.Res,IF(OR(_xlpm.val="",_xlpm.val="Error"),"",_xlpm.val),_xlpm.Res)</f>
        <v>#NAME?</v>
      </c>
      <c r="AJ29" s="855" t="e" cm="1">
        <f t="array" ca="1" aca="1" ref="AJ29">_xlfn.LET(_xlpm.val,IF($F29="",val_blankRefText,_xldudf_CX_GET(CX_ENTITY,($F29),AJ$11,AJ$14,,(AJ$19))),_xlpm.Res,IF(OR(_xlpm.val="",_xlpm.val="Error"),"",_xlpm.val),_xlpm.Res)</f>
        <v>#NAME?</v>
      </c>
      <c r="AK29" s="855" t="e" cm="1">
        <f t="array" ca="1" aca="1" ref="AK29">_xlfn.LET(_xlpm.val,IF($F29="",val_blankRefText,_xldudf_CX_GET(CX_ENTITY,($F29),AK$11,AK$14,,(AK$19))),_xlpm.Res,IF(OR(_xlpm.val="",_xlpm.val="Error"),"",_xlpm.val),_xlpm.Res)</f>
        <v>#NAME?</v>
      </c>
      <c r="AL29" s="855" t="e" cm="1">
        <f t="array" ca="1" aca="1" ref="AL29">_xlfn.LET(_xlpm.val,IF($F29="",val_blankRefText,_xldudf_CX_GET(CX_ENTITY,($F29),AL$11,AL$14,,(AL$19))),_xlpm.Res,IF(OR(_xlpm.val="",_xlpm.val="Error"),"",_xlpm.val),_xlpm.Res)</f>
        <v>#NAME?</v>
      </c>
      <c r="AM29" s="855" t="e" cm="1">
        <f t="array" ca="1" aca="1" ref="AM29">_xlfn.LET(_xlpm.val,IF($F29="",val_blankRefText,_xldudf_CX_GET(CX_ENTITY,($F29),AM$11,AM$14,,(AM$19))),_xlpm.Res,IF(OR(_xlpm.val="",_xlpm.val="Error"),"",_xlpm.val),_xlpm.Res)</f>
        <v>#NAME?</v>
      </c>
      <c r="AN29" s="855" t="e" cm="1">
        <f t="array" ca="1" aca="1" ref="AN29">_xlfn.LET(_xlpm.val,IF($F29="",val_blankRefText,_xldudf_CX_GET(CX_ENTITY,($F29),AN$11,AN$14,,(AN$19))),_xlpm.Res,IF(OR(_xlpm.val="",_xlpm.val="Error"),"",_xlpm.val),_xlpm.Res)</f>
        <v>#NAME?</v>
      </c>
      <c r="AO29" s="855" t="e" cm="1">
        <f t="array" ca="1" aca="1" ref="AO29">_xlfn.LET(_xlpm.val,IF($F29="",val_blankRefText,_xldudf_CX_GET(CX_ENTITY,($F29),AO$11,AO$14,,(AO$19))),_xlpm.Res,IF(OR(_xlpm.val="",_xlpm.val="Error"),"",_xlpm.val),_xlpm.Res)</f>
        <v>#NAME?</v>
      </c>
      <c r="AP29" s="855" t="e" cm="1">
        <f t="array" ca="1" aca="1" ref="AP29">_xlfn.LET(_xlpm.val,IF($F29="",val_blankRefText,_xldudf_CX_GET(CX_ENTITY,($F29),AP$11,AP$14,,(AP$19))),_xlpm.Res,IF(OR(_xlpm.val="",_xlpm.val="Error"),"",_xlpm.val),_xlpm.Res)</f>
        <v>#NAME?</v>
      </c>
      <c r="AQ29" s="855" t="e" cm="1">
        <f t="array" ca="1" aca="1" ref="AQ29">_xlfn.LET(_xlpm.val,IF($F29="",val_blankRefText,_xldudf_CX_GET(CX_ENTITY,($F29),AQ$11,AQ$14,,(AQ$19))),_xlpm.Res,IF(OR(_xlpm.val="",_xlpm.val="Error"),"",_xlpm.val),_xlpm.Res)</f>
        <v>#NAME?</v>
      </c>
      <c r="AR29" s="855" t="e" cm="1">
        <f t="array" ca="1" aca="1" ref="AR29">_xlfn.LET(_xlpm.val,IF($F29="",val_blankRefText,_xldudf_CX_GET(CX_ENTITY,($F29),AR$11,AR$14,,(AR$19))),_xlpm.Res,IF(OR(_xlpm.val="",_xlpm.val="Error"),"",_xlpm.val),_xlpm.Res)</f>
        <v>#NAME?</v>
      </c>
      <c r="AS29" s="855" t="e" cm="1">
        <f t="array" ca="1" aca="1" ref="AS29">_xlfn.LET(_xlpm.val,IF($F29="",val_blankRefText,_xldudf_CX_GET(CX_ENTITY,($F29),AS$11,AS$14,,(AS$19))),_xlpm.Res,IF(OR(_xlpm.val="",_xlpm.val="Error"),"",_xlpm.val),_xlpm.Res)</f>
        <v>#NAME?</v>
      </c>
      <c r="AT29" s="855" t="e" cm="1">
        <f t="array" ca="1" aca="1" ref="AT29">_xlfn.LET(_xlpm.val,IF($F29="",val_blankRefText,_xldudf_CX_GET(CX_ENTITY,($F29),AT$11,AT$14,,(AT$19))),_xlpm.Res,IF(OR(_xlpm.val="",_xlpm.val="Error"),"",_xlpm.val),_xlpm.Res)</f>
        <v>#NAME?</v>
      </c>
      <c r="AU29" s="855" t="e" cm="1">
        <f t="array" ca="1" aca="1" ref="AU29">_xlfn.LET(_xlpm.val,IF($F29="",val_blankRefText,_xldudf_CX_GET(CX_ENTITY,($F29),AU$11,AU$14,,(AU$19))),_xlpm.Res,IF(OR(_xlpm.val="",_xlpm.val="Error"),"",_xlpm.val),_xlpm.Res)</f>
        <v>#NAME?</v>
      </c>
      <c r="AV29" s="855" t="e" cm="1">
        <f t="array" ca="1" aca="1" ref="AV29">_xlfn.LET(_xlpm.val,IF($F29="",val_blankRefText,_xldudf_CX_GET(CX_ENTITY,($F29),AV$11,AV$14,,(AV$19))),_xlpm.Res,IF(OR(_xlpm.val="",_xlpm.val="Error"),"",_xlpm.val),_xlpm.Res)</f>
        <v>#NAME?</v>
      </c>
      <c r="AW29" s="855" t="e" cm="1">
        <f t="array" ca="1" aca="1" ref="AW29">_xlfn.LET(_xlpm.val,IF($F29="",val_blankRefText,_xldudf_CX_GET(CX_ENTITY,($F29),AW$11,AW$14,,(AW$19))),_xlpm.Res,IF(OR(_xlpm.val="",_xlpm.val="Error"),"",_xlpm.val),_xlpm.Res)</f>
        <v>#NAME?</v>
      </c>
      <c r="AX29" s="855" t="e" cm="1">
        <f t="array" ca="1" aca="1" ref="AX29">_xlfn.LET(_xlpm.val,IF($F29="",val_blankRefText,_xldudf_CX_GET(CX_ENTITY,($F29),AX$11,AX$14,,(AX$19))),_xlpm.Res,IF(OR(_xlpm.val="",_xlpm.val="Error"),"",_xlpm.val),_xlpm.Res)</f>
        <v>#NAME?</v>
      </c>
      <c r="AY29" s="855" t="e" cm="1">
        <f t="array" ca="1" aca="1" ref="AY29">_xlfn.LET(_xlpm.val,IF($F29="",val_blankRefText,_xldudf_CX_GET(CX_ENTITY,($F29),AY$11,AY$14,,(AY$19))),_xlpm.Res,IF(OR(_xlpm.val="",_xlpm.val="Error"),"",_xlpm.val),_xlpm.Res)</f>
        <v>#NAME?</v>
      </c>
      <c r="AZ29" s="855" t="e" cm="1">
        <f t="array" ca="1" aca="1" ref="AZ29">_xlfn.LET(_xlpm.val,IF($F29="",val_blankRefText,_xldudf_CX_GET(CX_ENTITY,($F29),AZ$11,AZ$14,,(AZ$19))),_xlpm.Res,IF(OR(_xlpm.val="",_xlpm.val="Error"),"",_xlpm.val),_xlpm.Res)</f>
        <v>#NAME?</v>
      </c>
      <c r="BA29" s="855" t="e" cm="1">
        <f t="array" ca="1" aca="1" ref="BA29">_xlfn.LET(_xlpm.val,IF($F29="",val_blankRefText,_xldudf_CX_GET(CX_ENTITY,($F29),BA$11,BA$14,,(BA$19))),_xlpm.Res,IF(OR(_xlpm.val="",_xlpm.val="Error"),"",_xlpm.val),_xlpm.Res)</f>
        <v>#NAME?</v>
      </c>
      <c r="BB29" s="855" t="e" cm="1">
        <f t="array" ca="1" aca="1" ref="BB29">_xlfn.LET(_xlpm.val,IF($F29="",val_blankRefText,_xldudf_CX_GET(CX_ENTITY,($F29),BB$11,BB$14,,(BB$19))),_xlpm.Res,IF(OR(_xlpm.val="",_xlpm.val="Error"),"",_xlpm.val),_xlpm.Res)</f>
        <v>#NAME?</v>
      </c>
      <c r="BC29" s="855" t="e" cm="1">
        <f t="array" ca="1" aca="1" ref="BC29">_xlfn.LET(_xlpm.val,IF($F29="",val_blankRefText,_xldudf_CX_GET(CX_ENTITY,($F29),BC$11,BC$14,,(BC$19))),_xlpm.Res,IF(OR(_xlpm.val="",_xlpm.val="Error"),"",_xlpm.val),_xlpm.Res)</f>
        <v>#NAME?</v>
      </c>
      <c r="BD29" s="855" t="e" cm="1">
        <f t="array" ca="1" aca="1" ref="BD29">_xlfn.LET(_xlpm.val,IF($F29="",val_blankRefText,_xldudf_CX_GET(CX_ENTITY,($F29),BD$11,BD$14,,(BD$19))),_xlpm.Res,IF(OR(_xlpm.val="",_xlpm.val="Error"),"",_xlpm.val),_xlpm.Res)</f>
        <v>#NAME?</v>
      </c>
      <c r="BE29" s="855" t="e" cm="1">
        <f t="array" ca="1" aca="1" ref="BE29">_xlfn.LET(_xlpm.val,IF($F29="",val_blankRefText,_xldudf_CX_GET(CX_ENTITY,($F29),BE$11,BE$14,,(BE$19))),_xlpm.Res,IF(OR(_xlpm.val="",_xlpm.val="Error"),"",_xlpm.val),_xlpm.Res)</f>
        <v>#NAME?</v>
      </c>
      <c r="BF29" s="855" t="e" cm="1">
        <f t="array" ca="1" aca="1" ref="BF29">_xlfn.LET(_xlpm.val,IF($F29="",val_blankRefText,_xldudf_CX_GET(CX_ENTITY,($F29),BF$11,BF$14,,(BF$19))),_xlpm.Res,IF(OR(_xlpm.val="",_xlpm.val="Error"),"",_xlpm.val),_xlpm.Res)</f>
        <v>#NAME?</v>
      </c>
      <c r="BG29" s="855" t="e" cm="1">
        <f t="array" ca="1" aca="1" ref="BG29">_xlfn.LET(_xlpm.val,IF($F29="",val_blankRefText,_xldudf_CX_GET(CX_ENTITY,($F29),BG$11,BG$14,,(BG$19))),_xlpm.Res,IF(OR(_xlpm.val="",_xlpm.val="Error"),"",_xlpm.val),_xlpm.Res)</f>
        <v>#NAME?</v>
      </c>
      <c r="BH29" s="855" t="e" cm="1">
        <f t="array" ca="1" aca="1" ref="BH29">_xlfn.LET(_xlpm.val,IF($F29="",val_blankRefText,_xldudf_CX_GET(CX_ENTITY,($F29),BH$11,BH$14,,(BH$19))),_xlpm.Res,IF(OR(_xlpm.val="",_xlpm.val="Error"),"",_xlpm.val),_xlpm.Res)</f>
        <v>#NAME?</v>
      </c>
      <c r="BI29" s="855" t="e" cm="1">
        <f t="array" ca="1" aca="1" ref="BI29">_xlfn.LET(_xlpm.val,IF($F29="",val_blankRefText,_xldudf_CX_GET(CX_ENTITY,($F29),BI$11,BI$14,,(BI$19))),_xlpm.Res,IF(OR(_xlpm.val="",_xlpm.val="Error"),"",_xlpm.val),_xlpm.Res)</f>
        <v>#NAME?</v>
      </c>
      <c r="BJ29" s="855" t="e" cm="1">
        <f t="array" ca="1" aca="1" ref="BJ29">_xlfn.LET(_xlpm.val,IF($F29="",val_blankRefText,_xldudf_CX_GET(CX_ENTITY,($F29),BJ$11,BJ$14,,(BJ$19))),_xlpm.Res,IF(OR(_xlpm.val="",_xlpm.val="Error"),"",_xlpm.val),_xlpm.Res)</f>
        <v>#NAME?</v>
      </c>
      <c r="BK29" s="855" t="e" cm="1">
        <f t="array" ca="1" aca="1" ref="BK29">_xlfn.LET(_xlpm.val,IF($F29="",val_blankRefText,_xldudf_CX_GET(CX_ENTITY,($F29),BK$11,BK$14,,(BK$19))),_xlpm.Res,IF(OR(_xlpm.val="",_xlpm.val="Error"),"",_xlpm.val),_xlpm.Res)</f>
        <v>#NAME?</v>
      </c>
      <c r="BL29" s="855" t="e" cm="1">
        <f t="array" ca="1" aca="1" ref="BL29">_xlfn.LET(_xlpm.val,IF($F29="",val_blankRefText,_xldudf_CX_GET(CX_ENTITY,($F29),BL$11,BL$14,,(BL$19))),_xlpm.Res,IF(OR(_xlpm.val="",_xlpm.val="Error"),"",_xlpm.val),_xlpm.Res)</f>
        <v>#NAME?</v>
      </c>
      <c r="BM29" s="855" t="e" cm="1">
        <f t="array" ca="1" aca="1" ref="BM29">_xlfn.LET(_xlpm.val,IF($F29="",val_blankRefText,_xldudf_CX_GET(CX_ENTITY,($F29),BM$11,BM$14,,(BM$19))),_xlpm.Res,IF(OR(_xlpm.val="",_xlpm.val="Error"),"",_xlpm.val),_xlpm.Res)</f>
        <v>#NAME?</v>
      </c>
      <c r="BN29" s="855" t="e" cm="1">
        <f t="array" ca="1" aca="1" ref="BN29">_xlfn.LET(_xlpm.val,IF($F29="",val_blankRefText,_xldudf_CX_GET(CX_ENTITY,($F29),BN$11,BN$14,,(BN$19))),_xlpm.Res,IF(OR(_xlpm.val="",_xlpm.val="Error"),"",_xlpm.val),_xlpm.Res)</f>
        <v>#NAME?</v>
      </c>
      <c r="BO29" s="1844"/>
      <c r="BP29" s="1844"/>
      <c r="BQ29" s="1844"/>
      <c r="BR29" s="1844"/>
      <c r="BS29" s="1844"/>
      <c r="BT29" s="1844"/>
      <c r="BU29" s="1844"/>
      <c r="BV29" s="1844"/>
      <c r="BW29" s="1844"/>
      <c r="BX29" s="1844"/>
      <c r="BY29" s="1844"/>
      <c r="BZ29" s="1844"/>
      <c r="CA29" s="34"/>
      <c r="CC29" s="33"/>
      <c r="CD29" s="1461" t="e" cm="1">
        <f t="array" ca="1" aca="1" ref="CD29">_xlfn.LET(_xlpm.CheckBlank,SUM(CF!$AD29:$BN29)=0,IF(_xlpm.CheckBlank,"",SUM(_xlfn._xlws.FILTER(CF!$AD29:$BN29,(YEAR(CF!$AD$12:$BN$12)=CF!CD$12)*(array_timeline&lt;=CF!CD$11)))))</f>
        <v>#NAME?</v>
      </c>
      <c r="CE29" s="1461" t="e" cm="1">
        <f t="array" ca="1" aca="1" ref="CE29">_xlfn.LET(_xlpm.CheckBlank,SUM(CF!$AD29:$BN29)=0,IF(_xlpm.CheckBlank,"",SUM(_xlfn._xlws.FILTER(CF!$AD29:$BN29,(YEAR(CF!$AD$12:$BN$12)=CF!CE$12)*(array_timeline&lt;=CF!CE$11)))))</f>
        <v>#NAME?</v>
      </c>
      <c r="CF29" s="1314"/>
      <c r="CG29" s="1461" t="e" cm="1">
        <f t="array" ca="1" aca="1" ref="CG29">_xlfn.LET(_xlpm.CheckBlank,SUM(CF!$AD29:$BN29)=0,IF(_xlpm.CheckBlank,"",SUM(_xlfn._xlws.FILTER(CF!$AD29:$BN29,(YEAR(CF!$AD$12:$BN$12)=CF!CG$12)*(array_timeline&lt;=CF!CG$11)))))</f>
        <v>#NAME?</v>
      </c>
      <c r="CH29" s="1461" t="e" cm="1">
        <f t="array" ca="1" aca="1" ref="CH29">_xlfn.LET(_xlpm.CheckBlank,SUM(CF!$AD29:$BN29)=0,IF(_xlpm.CheckBlank,"",SUM(_xlfn._xlws.FILTER(CF!$AD29:$BN29,(YEAR(CF!$AD$12:$BN$12)=CF!CH$12)*(array_timeline&lt;=CF!CH$11)))))</f>
        <v>#NAME?</v>
      </c>
      <c r="CI29" s="1314"/>
      <c r="CJ29" s="1657" cm="1">
        <f t="array" ref="CJ29">_xlfn.LET(_xlpm.CheckBlank,SUM(CF!$AD29:$BN29)=0,IF(_xlpm.CheckBlank,"",SUM(_xlfn.TAKE(_xlfn.DROP(CF!$AD29:$BN29,,-DATEDIFF(CF!CJ$11,val_asOfDate,"M")),1,-12))))</f>
        <v>12</v>
      </c>
      <c r="CK29" s="1657" cm="1">
        <f t="array" ref="CK29">_xlfn.LET(_xlpm.CheckBlank,SUM(CF!$AD29:$BN29)=0,IF(_xlpm.CheckBlank,"",SUM(_xlfn.TAKE(_xlfn.DROP(CF!$AD29:$BN29,,-DATEDIFF(CF!CK$11,val_asOfDate,"M")),1,-12))))</f>
        <v>12</v>
      </c>
      <c r="CL29" s="88"/>
      <c r="CM29" s="541" t="e" cm="1">
        <f t="array" ca="1" aca="1" ref="CM29">_xlfn.LET(_xlpm.val,IF($F29="",val_blankRefText,_xldudf_CX_GET(CX_ENTITY,($F29),CM$11,CM$14,,(CM$19))),_xlpm.Res,IF(OR(_xlpm.val="",_xlpm.val="Error"),"",_xlpm.val),_xlpm.Res)</f>
        <v>#NAME?</v>
      </c>
      <c r="CN29" s="541" t="e" cm="1">
        <f t="array" ca="1" aca="1" ref="CN29">_xlfn.LET(_xlpm.val,IF($F29="",val_blankRefText,_xldudf_CX_GET(CX_ENTITY,($F29),CN$11,CN$14,,(CN$19))),_xlpm.Res,IF(OR(_xlpm.val="",_xlpm.val="Error"),"",_xlpm.val),_xlpm.Res)</f>
        <v>#NAME?</v>
      </c>
      <c r="CO29" s="34"/>
      <c r="CR29" s="4"/>
      <c r="CS29" s="4"/>
      <c r="CW29" s="4"/>
    </row>
    <row r="30" spans="1:101" ht="21" customHeight="1">
      <c r="A30" s="696"/>
      <c r="B30" s="574" t="s">
        <v>247</v>
      </c>
      <c r="C30" s="574" t="s">
        <v>1679</v>
      </c>
      <c r="D30" s="574"/>
      <c r="E30" s="577" t="e" cm="1">
        <f t="array" ca="1" aca="1" ref="E30">_xlfn.LET(_xlpm.Attr,$C30,_xlpm.Lookback,$E$16,_xlpm.QueryDate,EOMONTH(val_asOfDate,_xlpm.Lookback),_xlpm.ReadField,_xldudf_CX_GET(CX_ENTITY,fx_attrConverter($C30),_xlpm.QueryDate),_xlpm.AttrBlank,_xlpm.Attr="",_xlpm.RESULT,IF(_xlpm.AttrBlank,val_blankRefText,fx_attrConverter(_xlpm.ReadField,0)),IF(_xlpm.RESULT="Error","",_xlpm.RESULT))</f>
        <v>#NAME?</v>
      </c>
      <c r="F30" s="577" t="str">
        <f t="shared" si="1"/>
        <v>Principal Repayments</v>
      </c>
      <c r="G30" s="401"/>
      <c r="H30" s="401">
        <v>0</v>
      </c>
      <c r="I30" s="3280">
        <v>1</v>
      </c>
      <c r="J30" s="401"/>
      <c r="K30" s="401"/>
      <c r="L30" s="3269" t="b">
        <v>1</v>
      </c>
      <c r="N30" s="158"/>
      <c r="O30" s="101"/>
      <c r="P30" s="52"/>
      <c r="Q30" s="101"/>
      <c r="R30" s="126"/>
      <c r="S30" s="101"/>
      <c r="T30" s="101"/>
      <c r="U30" s="39"/>
      <c r="W30" s="932" t="str">
        <f t="shared" si="4"/>
        <v>Actual</v>
      </c>
      <c r="X30" s="761">
        <v>-1</v>
      </c>
      <c r="Y30" s="88" t="e" cm="1">
        <f t="array" ca="1" aca="1" ref="Y30">IF($B30="",IFBLANK($E30,"Please select or type in or leave as blank"),IFBLANK($E30,$B30))</f>
        <v>#NAME?</v>
      </c>
      <c r="Z30" s="3300" cm="1">
        <f t="array" ref="Z30">_xlfn.SWITCH(TRUE,_CF!$L30=TRUE,1,_CF!$L30=FALSE,-1,_CF!$L30=-1,0,"n/a")</f>
        <v>1</v>
      </c>
      <c r="AA30" s="200"/>
      <c r="AB30" s="88" t="s">
        <v>247</v>
      </c>
      <c r="AC30" s="88"/>
      <c r="AD30" s="855" t="e" cm="1">
        <f t="array" ca="1" aca="1" ref="AD30">_xlfn.LET(_xlpm.val,IF($F30="",val_blankRefText,_xldudf_CX_GET(CX_ENTITY,($F30),AD$11,AD$14,,(AD$19))),_xlpm.Res,IF(OR(_xlpm.val="",_xlpm.val="Error"),"",_xlpm.val),_xlpm.Res)</f>
        <v>#NAME?</v>
      </c>
      <c r="AE30" s="855" t="e" cm="1">
        <f t="array" ca="1" aca="1" ref="AE30">_xlfn.LET(_xlpm.val,IF($F30="",val_blankRefText,_xldudf_CX_GET(CX_ENTITY,($F30),AE$11,AE$14,,(AE$19))),_xlpm.Res,IF(OR(_xlpm.val="",_xlpm.val="Error"),"",_xlpm.val),_xlpm.Res)</f>
        <v>#NAME?</v>
      </c>
      <c r="AF30" s="855" t="e" cm="1">
        <f t="array" ca="1" aca="1" ref="AF30">_xlfn.LET(_xlpm.val,IF($F30="",val_blankRefText,_xldudf_CX_GET(CX_ENTITY,($F30),AF$11,AF$14,,(AF$19))),_xlpm.Res,IF(OR(_xlpm.val="",_xlpm.val="Error"),"",_xlpm.val),_xlpm.Res)</f>
        <v>#NAME?</v>
      </c>
      <c r="AG30" s="855" t="e" cm="1">
        <f t="array" ca="1" aca="1" ref="AG30">_xlfn.LET(_xlpm.val,IF($F30="",val_blankRefText,_xldudf_CX_GET(CX_ENTITY,($F30),AG$11,AG$14,,(AG$19))),_xlpm.Res,IF(OR(_xlpm.val="",_xlpm.val="Error"),"",_xlpm.val),_xlpm.Res)</f>
        <v>#NAME?</v>
      </c>
      <c r="AH30" s="855" t="e" cm="1">
        <f t="array" ca="1" aca="1" ref="AH30">_xlfn.LET(_xlpm.val,IF($F30="",val_blankRefText,_xldudf_CX_GET(CX_ENTITY,($F30),AH$11,AH$14,,(AH$19))),_xlpm.Res,IF(OR(_xlpm.val="",_xlpm.val="Error"),"",_xlpm.val),_xlpm.Res)</f>
        <v>#NAME?</v>
      </c>
      <c r="AI30" s="855" t="e" cm="1">
        <f t="array" ca="1" aca="1" ref="AI30">_xlfn.LET(_xlpm.val,IF($F30="",val_blankRefText,_xldudf_CX_GET(CX_ENTITY,($F30),AI$11,AI$14,,(AI$19))),_xlpm.Res,IF(OR(_xlpm.val="",_xlpm.val="Error"),"",_xlpm.val),_xlpm.Res)</f>
        <v>#NAME?</v>
      </c>
      <c r="AJ30" s="855" t="e" cm="1">
        <f t="array" ca="1" aca="1" ref="AJ30">_xlfn.LET(_xlpm.val,IF($F30="",val_blankRefText,_xldudf_CX_GET(CX_ENTITY,($F30),AJ$11,AJ$14,,(AJ$19))),_xlpm.Res,IF(OR(_xlpm.val="",_xlpm.val="Error"),"",_xlpm.val),_xlpm.Res)</f>
        <v>#NAME?</v>
      </c>
      <c r="AK30" s="855" t="e" cm="1">
        <f t="array" ca="1" aca="1" ref="AK30">_xlfn.LET(_xlpm.val,IF($F30="",val_blankRefText,_xldudf_CX_GET(CX_ENTITY,($F30),AK$11,AK$14,,(AK$19))),_xlpm.Res,IF(OR(_xlpm.val="",_xlpm.val="Error"),"",_xlpm.val),_xlpm.Res)</f>
        <v>#NAME?</v>
      </c>
      <c r="AL30" s="855" t="e" cm="1">
        <f t="array" ca="1" aca="1" ref="AL30">_xlfn.LET(_xlpm.val,IF($F30="",val_blankRefText,_xldudf_CX_GET(CX_ENTITY,($F30),AL$11,AL$14,,(AL$19))),_xlpm.Res,IF(OR(_xlpm.val="",_xlpm.val="Error"),"",_xlpm.val),_xlpm.Res)</f>
        <v>#NAME?</v>
      </c>
      <c r="AM30" s="855" t="e" cm="1">
        <f t="array" ca="1" aca="1" ref="AM30">_xlfn.LET(_xlpm.val,IF($F30="",val_blankRefText,_xldudf_CX_GET(CX_ENTITY,($F30),AM$11,AM$14,,(AM$19))),_xlpm.Res,IF(OR(_xlpm.val="",_xlpm.val="Error"),"",_xlpm.val),_xlpm.Res)</f>
        <v>#NAME?</v>
      </c>
      <c r="AN30" s="855" t="e" cm="1">
        <f t="array" ca="1" aca="1" ref="AN30">_xlfn.LET(_xlpm.val,IF($F30="",val_blankRefText,_xldudf_CX_GET(CX_ENTITY,($F30),AN$11,AN$14,,(AN$19))),_xlpm.Res,IF(OR(_xlpm.val="",_xlpm.val="Error"),"",_xlpm.val),_xlpm.Res)</f>
        <v>#NAME?</v>
      </c>
      <c r="AO30" s="855" t="e" cm="1">
        <f t="array" ca="1" aca="1" ref="AO30">_xlfn.LET(_xlpm.val,IF($F30="",val_blankRefText,_xldudf_CX_GET(CX_ENTITY,($F30),AO$11,AO$14,,(AO$19))),_xlpm.Res,IF(OR(_xlpm.val="",_xlpm.val="Error"),"",_xlpm.val),_xlpm.Res)</f>
        <v>#NAME?</v>
      </c>
      <c r="AP30" s="855" t="e" cm="1">
        <f t="array" ca="1" aca="1" ref="AP30">_xlfn.LET(_xlpm.val,IF($F30="",val_blankRefText,_xldudf_CX_GET(CX_ENTITY,($F30),AP$11,AP$14,,(AP$19))),_xlpm.Res,IF(OR(_xlpm.val="",_xlpm.val="Error"),"",_xlpm.val),_xlpm.Res)</f>
        <v>#NAME?</v>
      </c>
      <c r="AQ30" s="855" t="e" cm="1">
        <f t="array" ca="1" aca="1" ref="AQ30">_xlfn.LET(_xlpm.val,IF($F30="",val_blankRefText,_xldudf_CX_GET(CX_ENTITY,($F30),AQ$11,AQ$14,,(AQ$19))),_xlpm.Res,IF(OR(_xlpm.val="",_xlpm.val="Error"),"",_xlpm.val),_xlpm.Res)</f>
        <v>#NAME?</v>
      </c>
      <c r="AR30" s="855" t="e" cm="1">
        <f t="array" ca="1" aca="1" ref="AR30">_xlfn.LET(_xlpm.val,IF($F30="",val_blankRefText,_xldudf_CX_GET(CX_ENTITY,($F30),AR$11,AR$14,,(AR$19))),_xlpm.Res,IF(OR(_xlpm.val="",_xlpm.val="Error"),"",_xlpm.val),_xlpm.Res)</f>
        <v>#NAME?</v>
      </c>
      <c r="AS30" s="855" t="e" cm="1">
        <f t="array" ca="1" aca="1" ref="AS30">_xlfn.LET(_xlpm.val,IF($F30="",val_blankRefText,_xldudf_CX_GET(CX_ENTITY,($F30),AS$11,AS$14,,(AS$19))),_xlpm.Res,IF(OR(_xlpm.val="",_xlpm.val="Error"),"",_xlpm.val),_xlpm.Res)</f>
        <v>#NAME?</v>
      </c>
      <c r="AT30" s="855" t="e" cm="1">
        <f t="array" ca="1" aca="1" ref="AT30">_xlfn.LET(_xlpm.val,IF($F30="",val_blankRefText,_xldudf_CX_GET(CX_ENTITY,($F30),AT$11,AT$14,,(AT$19))),_xlpm.Res,IF(OR(_xlpm.val="",_xlpm.val="Error"),"",_xlpm.val),_xlpm.Res)</f>
        <v>#NAME?</v>
      </c>
      <c r="AU30" s="855" t="e" cm="1">
        <f t="array" ca="1" aca="1" ref="AU30">_xlfn.LET(_xlpm.val,IF($F30="",val_blankRefText,_xldudf_CX_GET(CX_ENTITY,($F30),AU$11,AU$14,,(AU$19))),_xlpm.Res,IF(OR(_xlpm.val="",_xlpm.val="Error"),"",_xlpm.val),_xlpm.Res)</f>
        <v>#NAME?</v>
      </c>
      <c r="AV30" s="855" t="e" cm="1">
        <f t="array" ca="1" aca="1" ref="AV30">_xlfn.LET(_xlpm.val,IF($F30="",val_blankRefText,_xldudf_CX_GET(CX_ENTITY,($F30),AV$11,AV$14,,(AV$19))),_xlpm.Res,IF(OR(_xlpm.val="",_xlpm.val="Error"),"",_xlpm.val),_xlpm.Res)</f>
        <v>#NAME?</v>
      </c>
      <c r="AW30" s="855" t="e" cm="1">
        <f t="array" ca="1" aca="1" ref="AW30">_xlfn.LET(_xlpm.val,IF($F30="",val_blankRefText,_xldudf_CX_GET(CX_ENTITY,($F30),AW$11,AW$14,,(AW$19))),_xlpm.Res,IF(OR(_xlpm.val="",_xlpm.val="Error"),"",_xlpm.val),_xlpm.Res)</f>
        <v>#NAME?</v>
      </c>
      <c r="AX30" s="855" t="e" cm="1">
        <f t="array" ca="1" aca="1" ref="AX30">_xlfn.LET(_xlpm.val,IF($F30="",val_blankRefText,_xldudf_CX_GET(CX_ENTITY,($F30),AX$11,AX$14,,(AX$19))),_xlpm.Res,IF(OR(_xlpm.val="",_xlpm.val="Error"),"",_xlpm.val),_xlpm.Res)</f>
        <v>#NAME?</v>
      </c>
      <c r="AY30" s="855" t="e" cm="1">
        <f t="array" ca="1" aca="1" ref="AY30">_xlfn.LET(_xlpm.val,IF($F30="",val_blankRefText,_xldudf_CX_GET(CX_ENTITY,($F30),AY$11,AY$14,,(AY$19))),_xlpm.Res,IF(OR(_xlpm.val="",_xlpm.val="Error"),"",_xlpm.val),_xlpm.Res)</f>
        <v>#NAME?</v>
      </c>
      <c r="AZ30" s="855" t="e" cm="1">
        <f t="array" ca="1" aca="1" ref="AZ30">_xlfn.LET(_xlpm.val,IF($F30="",val_blankRefText,_xldudf_CX_GET(CX_ENTITY,($F30),AZ$11,AZ$14,,(AZ$19))),_xlpm.Res,IF(OR(_xlpm.val="",_xlpm.val="Error"),"",_xlpm.val),_xlpm.Res)</f>
        <v>#NAME?</v>
      </c>
      <c r="BA30" s="855" t="e" cm="1">
        <f t="array" ca="1" aca="1" ref="BA30">_xlfn.LET(_xlpm.val,IF($F30="",val_blankRefText,_xldudf_CX_GET(CX_ENTITY,($F30),BA$11,BA$14,,(BA$19))),_xlpm.Res,IF(OR(_xlpm.val="",_xlpm.val="Error"),"",_xlpm.val),_xlpm.Res)</f>
        <v>#NAME?</v>
      </c>
      <c r="BB30" s="855" t="e" cm="1">
        <f t="array" ca="1" aca="1" ref="BB30">_xlfn.LET(_xlpm.val,IF($F30="",val_blankRefText,_xldudf_CX_GET(CX_ENTITY,($F30),BB$11,BB$14,,(BB$19))),_xlpm.Res,IF(OR(_xlpm.val="",_xlpm.val="Error"),"",_xlpm.val),_xlpm.Res)</f>
        <v>#NAME?</v>
      </c>
      <c r="BC30" s="855" t="e" cm="1">
        <f t="array" ca="1" aca="1" ref="BC30">_xlfn.LET(_xlpm.val,IF($F30="",val_blankRefText,_xldudf_CX_GET(CX_ENTITY,($F30),BC$11,BC$14,,(BC$19))),_xlpm.Res,IF(OR(_xlpm.val="",_xlpm.val="Error"),"",_xlpm.val),_xlpm.Res)</f>
        <v>#NAME?</v>
      </c>
      <c r="BD30" s="855" t="e" cm="1">
        <f t="array" ca="1" aca="1" ref="BD30">_xlfn.LET(_xlpm.val,IF($F30="",val_blankRefText,_xldudf_CX_GET(CX_ENTITY,($F30),BD$11,BD$14,,(BD$19))),_xlpm.Res,IF(OR(_xlpm.val="",_xlpm.val="Error"),"",_xlpm.val),_xlpm.Res)</f>
        <v>#NAME?</v>
      </c>
      <c r="BE30" s="855" t="e" cm="1">
        <f t="array" ca="1" aca="1" ref="BE30">_xlfn.LET(_xlpm.val,IF($F30="",val_blankRefText,_xldudf_CX_GET(CX_ENTITY,($F30),BE$11,BE$14,,(BE$19))),_xlpm.Res,IF(OR(_xlpm.val="",_xlpm.val="Error"),"",_xlpm.val),_xlpm.Res)</f>
        <v>#NAME?</v>
      </c>
      <c r="BF30" s="855" t="e" cm="1">
        <f t="array" ca="1" aca="1" ref="BF30">_xlfn.LET(_xlpm.val,IF($F30="",val_blankRefText,_xldudf_CX_GET(CX_ENTITY,($F30),BF$11,BF$14,,(BF$19))),_xlpm.Res,IF(OR(_xlpm.val="",_xlpm.val="Error"),"",_xlpm.val),_xlpm.Res)</f>
        <v>#NAME?</v>
      </c>
      <c r="BG30" s="855" t="e" cm="1">
        <f t="array" ca="1" aca="1" ref="BG30">_xlfn.LET(_xlpm.val,IF($F30="",val_blankRefText,_xldudf_CX_GET(CX_ENTITY,($F30),BG$11,BG$14,,(BG$19))),_xlpm.Res,IF(OR(_xlpm.val="",_xlpm.val="Error"),"",_xlpm.val),_xlpm.Res)</f>
        <v>#NAME?</v>
      </c>
      <c r="BH30" s="855" t="e" cm="1">
        <f t="array" ca="1" aca="1" ref="BH30">_xlfn.LET(_xlpm.val,IF($F30="",val_blankRefText,_xldudf_CX_GET(CX_ENTITY,($F30),BH$11,BH$14,,(BH$19))),_xlpm.Res,IF(OR(_xlpm.val="",_xlpm.val="Error"),"",_xlpm.val),_xlpm.Res)</f>
        <v>#NAME?</v>
      </c>
      <c r="BI30" s="855" t="e" cm="1">
        <f t="array" ca="1" aca="1" ref="BI30">_xlfn.LET(_xlpm.val,IF($F30="",val_blankRefText,_xldudf_CX_GET(CX_ENTITY,($F30),BI$11,BI$14,,(BI$19))),_xlpm.Res,IF(OR(_xlpm.val="",_xlpm.val="Error"),"",_xlpm.val),_xlpm.Res)</f>
        <v>#NAME?</v>
      </c>
      <c r="BJ30" s="855" t="e" cm="1">
        <f t="array" ca="1" aca="1" ref="BJ30">_xlfn.LET(_xlpm.val,IF($F30="",val_blankRefText,_xldudf_CX_GET(CX_ENTITY,($F30),BJ$11,BJ$14,,(BJ$19))),_xlpm.Res,IF(OR(_xlpm.val="",_xlpm.val="Error"),"",_xlpm.val),_xlpm.Res)</f>
        <v>#NAME?</v>
      </c>
      <c r="BK30" s="855" t="e" cm="1">
        <f t="array" ca="1" aca="1" ref="BK30">_xlfn.LET(_xlpm.val,IF($F30="",val_blankRefText,_xldudf_CX_GET(CX_ENTITY,($F30),BK$11,BK$14,,(BK$19))),_xlpm.Res,IF(OR(_xlpm.val="",_xlpm.val="Error"),"",_xlpm.val),_xlpm.Res)</f>
        <v>#NAME?</v>
      </c>
      <c r="BL30" s="855" t="e" cm="1">
        <f t="array" ca="1" aca="1" ref="BL30">_xlfn.LET(_xlpm.val,IF($F30="",val_blankRefText,_xldudf_CX_GET(CX_ENTITY,($F30),BL$11,BL$14,,(BL$19))),_xlpm.Res,IF(OR(_xlpm.val="",_xlpm.val="Error"),"",_xlpm.val),_xlpm.Res)</f>
        <v>#NAME?</v>
      </c>
      <c r="BM30" s="855" t="e" cm="1">
        <f t="array" ca="1" aca="1" ref="BM30">_xlfn.LET(_xlpm.val,IF($F30="",val_blankRefText,_xldudf_CX_GET(CX_ENTITY,($F30),BM$11,BM$14,,(BM$19))),_xlpm.Res,IF(OR(_xlpm.val="",_xlpm.val="Error"),"",_xlpm.val),_xlpm.Res)</f>
        <v>#NAME?</v>
      </c>
      <c r="BN30" s="855" t="e" cm="1">
        <f t="array" ca="1" aca="1" ref="BN30">_xlfn.LET(_xlpm.val,IF($F30="",val_blankRefText,_xldudf_CX_GET(CX_ENTITY,($F30),BN$11,BN$14,,(BN$19))),_xlpm.Res,IF(OR(_xlpm.val="",_xlpm.val="Error"),"",_xlpm.val),_xlpm.Res)</f>
        <v>#NAME?</v>
      </c>
      <c r="BO30" s="1844"/>
      <c r="BP30" s="1844"/>
      <c r="BQ30" s="1844"/>
      <c r="BR30" s="1844"/>
      <c r="BS30" s="1844"/>
      <c r="BT30" s="1844"/>
      <c r="BU30" s="1844"/>
      <c r="BV30" s="1844"/>
      <c r="BW30" s="1844"/>
      <c r="BX30" s="1844"/>
      <c r="BY30" s="1844"/>
      <c r="BZ30" s="1844"/>
      <c r="CA30" s="34"/>
      <c r="CC30" s="33"/>
      <c r="CD30" s="1461" t="e" cm="1">
        <f t="array" ca="1" aca="1" ref="CD30">_xlfn.LET(_xlpm.CheckBlank,SUM(CF!$AD30:$BN30)=0,IF(_xlpm.CheckBlank,"",SUM(_xlfn._xlws.FILTER(CF!$AD30:$BN30,(YEAR(CF!$AD$12:$BN$12)=CF!CD$12)*(array_timeline&lt;=CF!CD$11)))))</f>
        <v>#NAME?</v>
      </c>
      <c r="CE30" s="1461" t="e" cm="1">
        <f t="array" ca="1" aca="1" ref="CE30">_xlfn.LET(_xlpm.CheckBlank,SUM(CF!$AD30:$BN30)=0,IF(_xlpm.CheckBlank,"",SUM(_xlfn._xlws.FILTER(CF!$AD30:$BN30,(YEAR(CF!$AD$12:$BN$12)=CF!CE$12)*(array_timeline&lt;=CF!CE$11)))))</f>
        <v>#NAME?</v>
      </c>
      <c r="CF30" s="1314"/>
      <c r="CG30" s="1461" t="e" cm="1">
        <f t="array" ca="1" aca="1" ref="CG30">_xlfn.LET(_xlpm.CheckBlank,SUM(CF!$AD30:$BN30)=0,IF(_xlpm.CheckBlank,"",SUM(_xlfn._xlws.FILTER(CF!$AD30:$BN30,(YEAR(CF!$AD$12:$BN$12)=CF!CG$12)*(array_timeline&lt;=CF!CG$11)))))</f>
        <v>#NAME?</v>
      </c>
      <c r="CH30" s="1461" t="e" cm="1">
        <f t="array" ca="1" aca="1" ref="CH30">_xlfn.LET(_xlpm.CheckBlank,SUM(CF!$AD30:$BN30)=0,IF(_xlpm.CheckBlank,"",SUM(_xlfn._xlws.FILTER(CF!$AD30:$BN30,(YEAR(CF!$AD$12:$BN$12)=CF!CH$12)*(array_timeline&lt;=CF!CH$11)))))</f>
        <v>#NAME?</v>
      </c>
      <c r="CI30" s="1314"/>
      <c r="CJ30" s="1657" cm="1">
        <f t="array" ref="CJ30">_xlfn.LET(_xlpm.CheckBlank,SUM(CF!$AD30:$BN30)=0,IF(_xlpm.CheckBlank,"",SUM(_xlfn.TAKE(_xlfn.DROP(CF!$AD30:$BN30,,-DATEDIFF(CF!CJ$11,val_asOfDate,"M")),1,-12))))</f>
        <v>12</v>
      </c>
      <c r="CK30" s="1657" cm="1">
        <f t="array" ref="CK30">_xlfn.LET(_xlpm.CheckBlank,SUM(CF!$AD30:$BN30)=0,IF(_xlpm.CheckBlank,"",SUM(_xlfn.TAKE(_xlfn.DROP(CF!$AD30:$BN30,,-DATEDIFF(CF!CK$11,val_asOfDate,"M")),1,-12))))</f>
        <v>12</v>
      </c>
      <c r="CL30" s="88"/>
      <c r="CM30" s="541" t="e" cm="1">
        <f t="array" ca="1" aca="1" ref="CM30">_xlfn.LET(_xlpm.val,IF($F30="",val_blankRefText,_xldudf_CX_GET(CX_ENTITY,($F30),CM$11,CM$14,,(CM$19))),_xlpm.Res,IF(OR(_xlpm.val="",_xlpm.val="Error"),"",_xlpm.val),_xlpm.Res)</f>
        <v>#NAME?</v>
      </c>
      <c r="CN30" s="541" t="e" cm="1">
        <f t="array" ca="1" aca="1" ref="CN30">_xlfn.LET(_xlpm.val,IF($F30="",val_blankRefText,_xldudf_CX_GET(CX_ENTITY,($F30),CN$11,CN$14,,(CN$19))),_xlpm.Res,IF(OR(_xlpm.val="",_xlpm.val="Error"),"",_xlpm.val),_xlpm.Res)</f>
        <v>#NAME?</v>
      </c>
      <c r="CO30" s="34"/>
      <c r="CR30" s="4"/>
      <c r="CS30" s="4"/>
      <c r="CW30" s="4"/>
    </row>
    <row r="31" spans="1:101" ht="21" customHeight="1">
      <c r="A31" s="696"/>
      <c r="B31" s="574" t="s">
        <v>248</v>
      </c>
      <c r="C31" s="574" t="s">
        <v>1680</v>
      </c>
      <c r="D31" s="574"/>
      <c r="E31" s="577" t="e" cm="1">
        <f t="array" ca="1" aca="1" ref="E31">_xlfn.LET(_xlpm.Attr,$C31,_xlpm.Lookback,$E$16,_xlpm.QueryDate,EOMONTH(val_asOfDate,_xlpm.Lookback),_xlpm.ReadField,_xldudf_CX_GET(CX_ENTITY,fx_attrConverter($C31),_xlpm.QueryDate),_xlpm.AttrBlank,_xlpm.Attr="",_xlpm.RESULT,IF(_xlpm.AttrBlank,val_blankRefText,fx_attrConverter(_xlpm.ReadField,0)),IF(_xlpm.RESULT="Error","",_xlpm.RESULT))</f>
        <v>#NAME?</v>
      </c>
      <c r="F31" s="577" t="str">
        <f t="shared" si="1"/>
        <v>Levered Free Cash Flow (LFCF)</v>
      </c>
      <c r="G31" s="401"/>
      <c r="H31" s="3280">
        <v>2</v>
      </c>
      <c r="I31" s="3280">
        <v>1</v>
      </c>
      <c r="J31" s="401"/>
      <c r="K31" s="401"/>
      <c r="L31" s="579">
        <v>-1</v>
      </c>
      <c r="N31" s="158"/>
      <c r="O31" s="101"/>
      <c r="P31" s="52"/>
      <c r="Q31" s="101"/>
      <c r="R31" s="126"/>
      <c r="S31" s="101"/>
      <c r="T31" s="101"/>
      <c r="U31" s="39"/>
      <c r="W31" s="932" t="str">
        <f t="shared" si="4"/>
        <v>Actual</v>
      </c>
      <c r="X31" s="761">
        <v>0</v>
      </c>
      <c r="Y31" s="88" t="e" cm="1">
        <f t="array" ca="1" aca="1" ref="Y31">IF($B31="",IFBLANK($E31,"Please select or type in or leave as blank"),IFBLANK($E31,$B31))</f>
        <v>#NAME?</v>
      </c>
      <c r="Z31" s="200" cm="1">
        <f t="array" ref="Z31">_xlfn.SWITCH(TRUE,_CF!$L31=TRUE,1,_CF!$L31=FALSE,-1,_CF!$L31=-1,0,"n/a")</f>
        <v>0</v>
      </c>
      <c r="AA31" s="200"/>
      <c r="AB31" s="88" t="s">
        <v>248</v>
      </c>
      <c r="AC31" s="88"/>
      <c r="AD31" s="855" t="e" cm="1">
        <f t="array" ca="1" aca="1" ref="AD31">_xlfn.LET(_xlpm.val,IF($F31="",val_blankRefText,_xldudf_CX_GET(CX_ENTITY,($F31),AD$11,AD$14,,(AD$19))),_xlpm.Res,IF(OR(_xlpm.val="",_xlpm.val="Error"),"",_xlpm.val),_xlpm.Res)</f>
        <v>#NAME?</v>
      </c>
      <c r="AE31" s="855" t="e" cm="1">
        <f t="array" ca="1" aca="1" ref="AE31">_xlfn.LET(_xlpm.val,IF($F31="",val_blankRefText,_xldudf_CX_GET(CX_ENTITY,($F31),AE$11,AE$14,,(AE$19))),_xlpm.Res,IF(OR(_xlpm.val="",_xlpm.val="Error"),"",_xlpm.val),_xlpm.Res)</f>
        <v>#NAME?</v>
      </c>
      <c r="AF31" s="855" t="e" cm="1">
        <f t="array" ca="1" aca="1" ref="AF31">_xlfn.LET(_xlpm.val,IF($F31="",val_blankRefText,_xldudf_CX_GET(CX_ENTITY,($F31),AF$11,AF$14,,(AF$19))),_xlpm.Res,IF(OR(_xlpm.val="",_xlpm.val="Error"),"",_xlpm.val),_xlpm.Res)</f>
        <v>#NAME?</v>
      </c>
      <c r="AG31" s="855" t="e" cm="1">
        <f t="array" ca="1" aca="1" ref="AG31">_xlfn.LET(_xlpm.val,IF($F31="",val_blankRefText,_xldudf_CX_GET(CX_ENTITY,($F31),AG$11,AG$14,,(AG$19))),_xlpm.Res,IF(OR(_xlpm.val="",_xlpm.val="Error"),"",_xlpm.val),_xlpm.Res)</f>
        <v>#NAME?</v>
      </c>
      <c r="AH31" s="855" t="e" cm="1">
        <f t="array" ca="1" aca="1" ref="AH31">_xlfn.LET(_xlpm.val,IF($F31="",val_blankRefText,_xldudf_CX_GET(CX_ENTITY,($F31),AH$11,AH$14,,(AH$19))),_xlpm.Res,IF(OR(_xlpm.val="",_xlpm.val="Error"),"",_xlpm.val),_xlpm.Res)</f>
        <v>#NAME?</v>
      </c>
      <c r="AI31" s="855" t="e" cm="1">
        <f t="array" ca="1" aca="1" ref="AI31">_xlfn.LET(_xlpm.val,IF($F31="",val_blankRefText,_xldudf_CX_GET(CX_ENTITY,($F31),AI$11,AI$14,,(AI$19))),_xlpm.Res,IF(OR(_xlpm.val="",_xlpm.val="Error"),"",_xlpm.val),_xlpm.Res)</f>
        <v>#NAME?</v>
      </c>
      <c r="AJ31" s="855" t="e" cm="1">
        <f t="array" ca="1" aca="1" ref="AJ31">_xlfn.LET(_xlpm.val,IF($F31="",val_blankRefText,_xldudf_CX_GET(CX_ENTITY,($F31),AJ$11,AJ$14,,(AJ$19))),_xlpm.Res,IF(OR(_xlpm.val="",_xlpm.val="Error"),"",_xlpm.val),_xlpm.Res)</f>
        <v>#NAME?</v>
      </c>
      <c r="AK31" s="855" t="e" cm="1">
        <f t="array" ca="1" aca="1" ref="AK31">_xlfn.LET(_xlpm.val,IF($F31="",val_blankRefText,_xldudf_CX_GET(CX_ENTITY,($F31),AK$11,AK$14,,(AK$19))),_xlpm.Res,IF(OR(_xlpm.val="",_xlpm.val="Error"),"",_xlpm.val),_xlpm.Res)</f>
        <v>#NAME?</v>
      </c>
      <c r="AL31" s="855" t="e" cm="1">
        <f t="array" ca="1" aca="1" ref="AL31">_xlfn.LET(_xlpm.val,IF($F31="",val_blankRefText,_xldudf_CX_GET(CX_ENTITY,($F31),AL$11,AL$14,,(AL$19))),_xlpm.Res,IF(OR(_xlpm.val="",_xlpm.val="Error"),"",_xlpm.val),_xlpm.Res)</f>
        <v>#NAME?</v>
      </c>
      <c r="AM31" s="855" t="e" cm="1">
        <f t="array" ca="1" aca="1" ref="AM31">_xlfn.LET(_xlpm.val,IF($F31="",val_blankRefText,_xldudf_CX_GET(CX_ENTITY,($F31),AM$11,AM$14,,(AM$19))),_xlpm.Res,IF(OR(_xlpm.val="",_xlpm.val="Error"),"",_xlpm.val),_xlpm.Res)</f>
        <v>#NAME?</v>
      </c>
      <c r="AN31" s="855" t="e" cm="1">
        <f t="array" ca="1" aca="1" ref="AN31">_xlfn.LET(_xlpm.val,IF($F31="",val_blankRefText,_xldudf_CX_GET(CX_ENTITY,($F31),AN$11,AN$14,,(AN$19))),_xlpm.Res,IF(OR(_xlpm.val="",_xlpm.val="Error"),"",_xlpm.val),_xlpm.Res)</f>
        <v>#NAME?</v>
      </c>
      <c r="AO31" s="855" t="e" cm="1">
        <f t="array" ca="1" aca="1" ref="AO31">_xlfn.LET(_xlpm.val,IF($F31="",val_blankRefText,_xldudf_CX_GET(CX_ENTITY,($F31),AO$11,AO$14,,(AO$19))),_xlpm.Res,IF(OR(_xlpm.val="",_xlpm.val="Error"),"",_xlpm.val),_xlpm.Res)</f>
        <v>#NAME?</v>
      </c>
      <c r="AP31" s="855" t="e" cm="1">
        <f t="array" ca="1" aca="1" ref="AP31">_xlfn.LET(_xlpm.val,IF($F31="",val_blankRefText,_xldudf_CX_GET(CX_ENTITY,($F31),AP$11,AP$14,,(AP$19))),_xlpm.Res,IF(OR(_xlpm.val="",_xlpm.val="Error"),"",_xlpm.val),_xlpm.Res)</f>
        <v>#NAME?</v>
      </c>
      <c r="AQ31" s="855" t="e" cm="1">
        <f t="array" ca="1" aca="1" ref="AQ31">_xlfn.LET(_xlpm.val,IF($F31="",val_blankRefText,_xldudf_CX_GET(CX_ENTITY,($F31),AQ$11,AQ$14,,(AQ$19))),_xlpm.Res,IF(OR(_xlpm.val="",_xlpm.val="Error"),"",_xlpm.val),_xlpm.Res)</f>
        <v>#NAME?</v>
      </c>
      <c r="AR31" s="855" t="e" cm="1">
        <f t="array" ca="1" aca="1" ref="AR31">_xlfn.LET(_xlpm.val,IF($F31="",val_blankRefText,_xldudf_CX_GET(CX_ENTITY,($F31),AR$11,AR$14,,(AR$19))),_xlpm.Res,IF(OR(_xlpm.val="",_xlpm.val="Error"),"",_xlpm.val),_xlpm.Res)</f>
        <v>#NAME?</v>
      </c>
      <c r="AS31" s="855" t="e" cm="1">
        <f t="array" ca="1" aca="1" ref="AS31">_xlfn.LET(_xlpm.val,IF($F31="",val_blankRefText,_xldudf_CX_GET(CX_ENTITY,($F31),AS$11,AS$14,,(AS$19))),_xlpm.Res,IF(OR(_xlpm.val="",_xlpm.val="Error"),"",_xlpm.val),_xlpm.Res)</f>
        <v>#NAME?</v>
      </c>
      <c r="AT31" s="855" t="e" cm="1">
        <f t="array" ca="1" aca="1" ref="AT31">_xlfn.LET(_xlpm.val,IF($F31="",val_blankRefText,_xldudf_CX_GET(CX_ENTITY,($F31),AT$11,AT$14,,(AT$19))),_xlpm.Res,IF(OR(_xlpm.val="",_xlpm.val="Error"),"",_xlpm.val),_xlpm.Res)</f>
        <v>#NAME?</v>
      </c>
      <c r="AU31" s="855" t="e" cm="1">
        <f t="array" ca="1" aca="1" ref="AU31">_xlfn.LET(_xlpm.val,IF($F31="",val_blankRefText,_xldudf_CX_GET(CX_ENTITY,($F31),AU$11,AU$14,,(AU$19))),_xlpm.Res,IF(OR(_xlpm.val="",_xlpm.val="Error"),"",_xlpm.val),_xlpm.Res)</f>
        <v>#NAME?</v>
      </c>
      <c r="AV31" s="855" t="e" cm="1">
        <f t="array" ca="1" aca="1" ref="AV31">_xlfn.LET(_xlpm.val,IF($F31="",val_blankRefText,_xldudf_CX_GET(CX_ENTITY,($F31),AV$11,AV$14,,(AV$19))),_xlpm.Res,IF(OR(_xlpm.val="",_xlpm.val="Error"),"",_xlpm.val),_xlpm.Res)</f>
        <v>#NAME?</v>
      </c>
      <c r="AW31" s="855" t="e" cm="1">
        <f t="array" ca="1" aca="1" ref="AW31">_xlfn.LET(_xlpm.val,IF($F31="",val_blankRefText,_xldudf_CX_GET(CX_ENTITY,($F31),AW$11,AW$14,,(AW$19))),_xlpm.Res,IF(OR(_xlpm.val="",_xlpm.val="Error"),"",_xlpm.val),_xlpm.Res)</f>
        <v>#NAME?</v>
      </c>
      <c r="AX31" s="855" t="e" cm="1">
        <f t="array" ca="1" aca="1" ref="AX31">_xlfn.LET(_xlpm.val,IF($F31="",val_blankRefText,_xldudf_CX_GET(CX_ENTITY,($F31),AX$11,AX$14,,(AX$19))),_xlpm.Res,IF(OR(_xlpm.val="",_xlpm.val="Error"),"",_xlpm.val),_xlpm.Res)</f>
        <v>#NAME?</v>
      </c>
      <c r="AY31" s="855" t="e" cm="1">
        <f t="array" ca="1" aca="1" ref="AY31">_xlfn.LET(_xlpm.val,IF($F31="",val_blankRefText,_xldudf_CX_GET(CX_ENTITY,($F31),AY$11,AY$14,,(AY$19))),_xlpm.Res,IF(OR(_xlpm.val="",_xlpm.val="Error"),"",_xlpm.val),_xlpm.Res)</f>
        <v>#NAME?</v>
      </c>
      <c r="AZ31" s="855" t="e" cm="1">
        <f t="array" ca="1" aca="1" ref="AZ31">_xlfn.LET(_xlpm.val,IF($F31="",val_blankRefText,_xldudf_CX_GET(CX_ENTITY,($F31),AZ$11,AZ$14,,(AZ$19))),_xlpm.Res,IF(OR(_xlpm.val="",_xlpm.val="Error"),"",_xlpm.val),_xlpm.Res)</f>
        <v>#NAME?</v>
      </c>
      <c r="BA31" s="855" t="e" cm="1">
        <f t="array" ca="1" aca="1" ref="BA31">_xlfn.LET(_xlpm.val,IF($F31="",val_blankRefText,_xldudf_CX_GET(CX_ENTITY,($F31),BA$11,BA$14,,(BA$19))),_xlpm.Res,IF(OR(_xlpm.val="",_xlpm.val="Error"),"",_xlpm.val),_xlpm.Res)</f>
        <v>#NAME?</v>
      </c>
      <c r="BB31" s="855" t="e" cm="1">
        <f t="array" ca="1" aca="1" ref="BB31">_xlfn.LET(_xlpm.val,IF($F31="",val_blankRefText,_xldudf_CX_GET(CX_ENTITY,($F31),BB$11,BB$14,,(BB$19))),_xlpm.Res,IF(OR(_xlpm.val="",_xlpm.val="Error"),"",_xlpm.val),_xlpm.Res)</f>
        <v>#NAME?</v>
      </c>
      <c r="BC31" s="855" t="e" cm="1">
        <f t="array" ca="1" aca="1" ref="BC31">_xlfn.LET(_xlpm.val,IF($F31="",val_blankRefText,_xldudf_CX_GET(CX_ENTITY,($F31),BC$11,BC$14,,(BC$19))),_xlpm.Res,IF(OR(_xlpm.val="",_xlpm.val="Error"),"",_xlpm.val),_xlpm.Res)</f>
        <v>#NAME?</v>
      </c>
      <c r="BD31" s="855" t="e" cm="1">
        <f t="array" ca="1" aca="1" ref="BD31">_xlfn.LET(_xlpm.val,IF($F31="",val_blankRefText,_xldudf_CX_GET(CX_ENTITY,($F31),BD$11,BD$14,,(BD$19))),_xlpm.Res,IF(OR(_xlpm.val="",_xlpm.val="Error"),"",_xlpm.val),_xlpm.Res)</f>
        <v>#NAME?</v>
      </c>
      <c r="BE31" s="855" t="e" cm="1">
        <f t="array" ca="1" aca="1" ref="BE31">_xlfn.LET(_xlpm.val,IF($F31="",val_blankRefText,_xldudf_CX_GET(CX_ENTITY,($F31),BE$11,BE$14,,(BE$19))),_xlpm.Res,IF(OR(_xlpm.val="",_xlpm.val="Error"),"",_xlpm.val),_xlpm.Res)</f>
        <v>#NAME?</v>
      </c>
      <c r="BF31" s="855" t="e" cm="1">
        <f t="array" ca="1" aca="1" ref="BF31">_xlfn.LET(_xlpm.val,IF($F31="",val_blankRefText,_xldudf_CX_GET(CX_ENTITY,($F31),BF$11,BF$14,,(BF$19))),_xlpm.Res,IF(OR(_xlpm.val="",_xlpm.val="Error"),"",_xlpm.val),_xlpm.Res)</f>
        <v>#NAME?</v>
      </c>
      <c r="BG31" s="855" t="e" cm="1">
        <f t="array" ca="1" aca="1" ref="BG31">_xlfn.LET(_xlpm.val,IF($F31="",val_blankRefText,_xldudf_CX_GET(CX_ENTITY,($F31),BG$11,BG$14,,(BG$19))),_xlpm.Res,IF(OR(_xlpm.val="",_xlpm.val="Error"),"",_xlpm.val),_xlpm.Res)</f>
        <v>#NAME?</v>
      </c>
      <c r="BH31" s="855" t="e" cm="1">
        <f t="array" ca="1" aca="1" ref="BH31">_xlfn.LET(_xlpm.val,IF($F31="",val_blankRefText,_xldudf_CX_GET(CX_ENTITY,($F31),BH$11,BH$14,,(BH$19))),_xlpm.Res,IF(OR(_xlpm.val="",_xlpm.val="Error"),"",_xlpm.val),_xlpm.Res)</f>
        <v>#NAME?</v>
      </c>
      <c r="BI31" s="855" t="e" cm="1">
        <f t="array" ca="1" aca="1" ref="BI31">_xlfn.LET(_xlpm.val,IF($F31="",val_blankRefText,_xldudf_CX_GET(CX_ENTITY,($F31),BI$11,BI$14,,(BI$19))),_xlpm.Res,IF(OR(_xlpm.val="",_xlpm.val="Error"),"",_xlpm.val),_xlpm.Res)</f>
        <v>#NAME?</v>
      </c>
      <c r="BJ31" s="855" t="e" cm="1">
        <f t="array" ca="1" aca="1" ref="BJ31">_xlfn.LET(_xlpm.val,IF($F31="",val_blankRefText,_xldudf_CX_GET(CX_ENTITY,($F31),BJ$11,BJ$14,,(BJ$19))),_xlpm.Res,IF(OR(_xlpm.val="",_xlpm.val="Error"),"",_xlpm.val),_xlpm.Res)</f>
        <v>#NAME?</v>
      </c>
      <c r="BK31" s="855" t="e" cm="1">
        <f t="array" ca="1" aca="1" ref="BK31">_xlfn.LET(_xlpm.val,IF($F31="",val_blankRefText,_xldudf_CX_GET(CX_ENTITY,($F31),BK$11,BK$14,,(BK$19))),_xlpm.Res,IF(OR(_xlpm.val="",_xlpm.val="Error"),"",_xlpm.val),_xlpm.Res)</f>
        <v>#NAME?</v>
      </c>
      <c r="BL31" s="855" t="e" cm="1">
        <f t="array" ca="1" aca="1" ref="BL31">_xlfn.LET(_xlpm.val,IF($F31="",val_blankRefText,_xldudf_CX_GET(CX_ENTITY,($F31),BL$11,BL$14,,(BL$19))),_xlpm.Res,IF(OR(_xlpm.val="",_xlpm.val="Error"),"",_xlpm.val),_xlpm.Res)</f>
        <v>#NAME?</v>
      </c>
      <c r="BM31" s="855" t="e" cm="1">
        <f t="array" ca="1" aca="1" ref="BM31">_xlfn.LET(_xlpm.val,IF($F31="",val_blankRefText,_xldudf_CX_GET(CX_ENTITY,($F31),BM$11,BM$14,,(BM$19))),_xlpm.Res,IF(OR(_xlpm.val="",_xlpm.val="Error"),"",_xlpm.val),_xlpm.Res)</f>
        <v>#NAME?</v>
      </c>
      <c r="BN31" s="855" t="e" cm="1">
        <f t="array" ca="1" aca="1" ref="BN31">_xlfn.LET(_xlpm.val,IF($F31="",val_blankRefText,_xldudf_CX_GET(CX_ENTITY,($F31),BN$11,BN$14,,(BN$19))),_xlpm.Res,IF(OR(_xlpm.val="",_xlpm.val="Error"),"",_xlpm.val),_xlpm.Res)</f>
        <v>#NAME?</v>
      </c>
      <c r="BO31" s="1844"/>
      <c r="BP31" s="1844"/>
      <c r="BQ31" s="1844"/>
      <c r="BR31" s="1844"/>
      <c r="BS31" s="1844"/>
      <c r="BT31" s="1844"/>
      <c r="BU31" s="1844"/>
      <c r="BV31" s="1844"/>
      <c r="BW31" s="1844"/>
      <c r="BX31" s="1844"/>
      <c r="BY31" s="1844"/>
      <c r="BZ31" s="1844"/>
      <c r="CA31" s="34"/>
      <c r="CC31" s="33"/>
      <c r="CD31" s="1461" t="e" cm="1">
        <f t="array" ca="1" aca="1" ref="CD31">_xlfn.LET(_xlpm.CheckBlank,SUM(CF!$AD31:$BN31)=0,IF(_xlpm.CheckBlank,"",SUM(_xlfn._xlws.FILTER(CF!$AD31:$BN31,(YEAR(CF!$AD$12:$BN$12)=CF!CD$12)*(array_timeline&lt;=CF!CD$11)))))</f>
        <v>#NAME?</v>
      </c>
      <c r="CE31" s="1461" t="e" cm="1">
        <f t="array" ca="1" aca="1" ref="CE31">_xlfn.LET(_xlpm.CheckBlank,SUM(CF!$AD31:$BN31)=0,IF(_xlpm.CheckBlank,"",SUM(_xlfn._xlws.FILTER(CF!$AD31:$BN31,(YEAR(CF!$AD$12:$BN$12)=CF!CE$12)*(array_timeline&lt;=CF!CE$11)))))</f>
        <v>#NAME?</v>
      </c>
      <c r="CF31" s="1314"/>
      <c r="CG31" s="1461" t="e" cm="1">
        <f t="array" ca="1" aca="1" ref="CG31">_xlfn.LET(_xlpm.CheckBlank,SUM(CF!$AD31:$BN31)=0,IF(_xlpm.CheckBlank,"",SUM(_xlfn._xlws.FILTER(CF!$AD31:$BN31,(YEAR(CF!$AD$12:$BN$12)=CF!CG$12)*(array_timeline&lt;=CF!CG$11)))))</f>
        <v>#NAME?</v>
      </c>
      <c r="CH31" s="1461" t="e" cm="1">
        <f t="array" ca="1" aca="1" ref="CH31">_xlfn.LET(_xlpm.CheckBlank,SUM(CF!$AD31:$BN31)=0,IF(_xlpm.CheckBlank,"",SUM(_xlfn._xlws.FILTER(CF!$AD31:$BN31,(YEAR(CF!$AD$12:$BN$12)=CF!CH$12)*(array_timeline&lt;=CF!CH$11)))))</f>
        <v>#NAME?</v>
      </c>
      <c r="CI31" s="1314"/>
      <c r="CJ31" s="1657" cm="1">
        <f t="array" ref="CJ31">_xlfn.LET(_xlpm.CheckBlank,SUM(CF!$AD31:$BN31)=0,IF(_xlpm.CheckBlank,"",SUM(_xlfn.TAKE(_xlfn.DROP(CF!$AD31:$BN31,,-DATEDIFF(CF!CJ$11,val_asOfDate,"M")),1,-12))))</f>
        <v>132</v>
      </c>
      <c r="CK31" s="1657" cm="1">
        <f t="array" ref="CK31">_xlfn.LET(_xlpm.CheckBlank,SUM(CF!$AD31:$BN31)=0,IF(_xlpm.CheckBlank,"",SUM(_xlfn.TAKE(_xlfn.DROP(CF!$AD31:$BN31,,-DATEDIFF(CF!CK$11,val_asOfDate,"M")),1,-12))))</f>
        <v>132</v>
      </c>
      <c r="CL31" s="88"/>
      <c r="CM31" s="541" t="e" cm="1">
        <f t="array" ca="1" aca="1" ref="CM31">_xlfn.LET(_xlpm.val,IF($F31="",val_blankRefText,_xldudf_CX_GET(CX_ENTITY,($F31),CM$11,CM$14,,(CM$19))),_xlpm.Res,IF(OR(_xlpm.val="",_xlpm.val="Error"),"",_xlpm.val),_xlpm.Res)</f>
        <v>#NAME?</v>
      </c>
      <c r="CN31" s="541" t="e" cm="1">
        <f t="array" ca="1" aca="1" ref="CN31">_xlfn.LET(_xlpm.val,IF($F31="",val_blankRefText,_xldudf_CX_GET(CX_ENTITY,($F31),CN$11,CN$14,,(CN$19))),_xlpm.Res,IF(OR(_xlpm.val="",_xlpm.val="Error"),"",_xlpm.val),_xlpm.Res)</f>
        <v>#NAME?</v>
      </c>
      <c r="CO31" s="34"/>
      <c r="CR31" s="4"/>
      <c r="CS31" s="4"/>
      <c r="CW31" s="4"/>
    </row>
    <row r="32" spans="1:101" ht="21" customHeight="1">
      <c r="A32" s="696"/>
      <c r="B32" s="574" t="s">
        <v>249</v>
      </c>
      <c r="C32" s="574" t="s">
        <v>1681</v>
      </c>
      <c r="D32" s="574"/>
      <c r="E32" s="577" t="e" cm="1">
        <f t="array" ca="1" aca="1" ref="E32">_xlfn.LET(_xlpm.Attr,$C32,_xlpm.Lookback,$E$16,_xlpm.QueryDate,EOMONTH(val_asOfDate,_xlpm.Lookback),_xlpm.ReadField,_xldudf_CX_GET(CX_ENTITY,fx_attrConverter($C32),_xlpm.QueryDate),_xlpm.AttrBlank,_xlpm.Attr="",_xlpm.RESULT,IF(_xlpm.AttrBlank,val_blankRefText,fx_attrConverter(_xlpm.ReadField,0)),IF(_xlpm.RESULT="Error","",_xlpm.RESULT))</f>
        <v>#NAME?</v>
      </c>
      <c r="F32" s="577" t="str">
        <f t="shared" si="1"/>
        <v>Financing Proceeds</v>
      </c>
      <c r="G32" s="401"/>
      <c r="H32" s="3280">
        <v>1</v>
      </c>
      <c r="I32" s="3280">
        <v>1</v>
      </c>
      <c r="J32" s="401"/>
      <c r="K32" s="401"/>
      <c r="L32" s="3269" t="b">
        <v>1</v>
      </c>
      <c r="N32" s="158"/>
      <c r="O32" s="101"/>
      <c r="P32" s="52"/>
      <c r="Q32" s="101"/>
      <c r="R32" s="126"/>
      <c r="S32" s="101"/>
      <c r="T32" s="101"/>
      <c r="U32" s="39"/>
      <c r="W32" s="932" t="str">
        <f t="shared" si="4"/>
        <v>Actual</v>
      </c>
      <c r="X32" s="3316">
        <v>1</v>
      </c>
      <c r="Y32" s="88" t="e" cm="1">
        <f t="array" ca="1" aca="1" ref="Y32">IF($B32="",IFBLANK($E32,"Please select or type in or leave as blank"),IFBLANK($E32,$B32))</f>
        <v>#NAME?</v>
      </c>
      <c r="Z32" s="3300" cm="1">
        <f t="array" ref="Z32">_xlfn.SWITCH(TRUE,_CF!$L32=TRUE,1,_CF!$L32=FALSE,-1,_CF!$L32=-1,0,"n/a")</f>
        <v>1</v>
      </c>
      <c r="AA32" s="200"/>
      <c r="AB32" s="88" t="s">
        <v>249</v>
      </c>
      <c r="AC32" s="88"/>
      <c r="AD32" s="855" t="e" cm="1">
        <f t="array" ca="1" aca="1" ref="AD32">_xlfn.LET(_xlpm.val,IF($F32="",val_blankRefText,_xldudf_CX_GET(CX_ENTITY,($F32),AD$11,AD$14,,(AD$19))),_xlpm.Res,IF(OR(_xlpm.val="",_xlpm.val="Error"),"",_xlpm.val),_xlpm.Res)</f>
        <v>#NAME?</v>
      </c>
      <c r="AE32" s="855" t="e" cm="1">
        <f t="array" ca="1" aca="1" ref="AE32">_xlfn.LET(_xlpm.val,IF($F32="",val_blankRefText,_xldudf_CX_GET(CX_ENTITY,($F32),AE$11,AE$14,,(AE$19))),_xlpm.Res,IF(OR(_xlpm.val="",_xlpm.val="Error"),"",_xlpm.val),_xlpm.Res)</f>
        <v>#NAME?</v>
      </c>
      <c r="AF32" s="855" t="e" cm="1">
        <f t="array" ca="1" aca="1" ref="AF32">_xlfn.LET(_xlpm.val,IF($F32="",val_blankRefText,_xldudf_CX_GET(CX_ENTITY,($F32),AF$11,AF$14,,(AF$19))),_xlpm.Res,IF(OR(_xlpm.val="",_xlpm.val="Error"),"",_xlpm.val),_xlpm.Res)</f>
        <v>#NAME?</v>
      </c>
      <c r="AG32" s="855" t="e" cm="1">
        <f t="array" ca="1" aca="1" ref="AG32">_xlfn.LET(_xlpm.val,IF($F32="",val_blankRefText,_xldudf_CX_GET(CX_ENTITY,($F32),AG$11,AG$14,,(AG$19))),_xlpm.Res,IF(OR(_xlpm.val="",_xlpm.val="Error"),"",_xlpm.val),_xlpm.Res)</f>
        <v>#NAME?</v>
      </c>
      <c r="AH32" s="855" t="e" cm="1">
        <f t="array" ca="1" aca="1" ref="AH32">_xlfn.LET(_xlpm.val,IF($F32="",val_blankRefText,_xldudf_CX_GET(CX_ENTITY,($F32),AH$11,AH$14,,(AH$19))),_xlpm.Res,IF(OR(_xlpm.val="",_xlpm.val="Error"),"",_xlpm.val),_xlpm.Res)</f>
        <v>#NAME?</v>
      </c>
      <c r="AI32" s="855" t="e" cm="1">
        <f t="array" ca="1" aca="1" ref="AI32">_xlfn.LET(_xlpm.val,IF($F32="",val_blankRefText,_xldudf_CX_GET(CX_ENTITY,($F32),AI$11,AI$14,,(AI$19))),_xlpm.Res,IF(OR(_xlpm.val="",_xlpm.val="Error"),"",_xlpm.val),_xlpm.Res)</f>
        <v>#NAME?</v>
      </c>
      <c r="AJ32" s="855" t="e" cm="1">
        <f t="array" ca="1" aca="1" ref="AJ32">_xlfn.LET(_xlpm.val,IF($F32="",val_blankRefText,_xldudf_CX_GET(CX_ENTITY,($F32),AJ$11,AJ$14,,(AJ$19))),_xlpm.Res,IF(OR(_xlpm.val="",_xlpm.val="Error"),"",_xlpm.val),_xlpm.Res)</f>
        <v>#NAME?</v>
      </c>
      <c r="AK32" s="855" t="e" cm="1">
        <f t="array" ca="1" aca="1" ref="AK32">_xlfn.LET(_xlpm.val,IF($F32="",val_blankRefText,_xldudf_CX_GET(CX_ENTITY,($F32),AK$11,AK$14,,(AK$19))),_xlpm.Res,IF(OR(_xlpm.val="",_xlpm.val="Error"),"",_xlpm.val),_xlpm.Res)</f>
        <v>#NAME?</v>
      </c>
      <c r="AL32" s="855" t="e" cm="1">
        <f t="array" ca="1" aca="1" ref="AL32">_xlfn.LET(_xlpm.val,IF($F32="",val_blankRefText,_xldudf_CX_GET(CX_ENTITY,($F32),AL$11,AL$14,,(AL$19))),_xlpm.Res,IF(OR(_xlpm.val="",_xlpm.val="Error"),"",_xlpm.val),_xlpm.Res)</f>
        <v>#NAME?</v>
      </c>
      <c r="AM32" s="855" t="e" cm="1">
        <f t="array" ca="1" aca="1" ref="AM32">_xlfn.LET(_xlpm.val,IF($F32="",val_blankRefText,_xldudf_CX_GET(CX_ENTITY,($F32),AM$11,AM$14,,(AM$19))),_xlpm.Res,IF(OR(_xlpm.val="",_xlpm.val="Error"),"",_xlpm.val),_xlpm.Res)</f>
        <v>#NAME?</v>
      </c>
      <c r="AN32" s="855" t="e" cm="1">
        <f t="array" ca="1" aca="1" ref="AN32">_xlfn.LET(_xlpm.val,IF($F32="",val_blankRefText,_xldudf_CX_GET(CX_ENTITY,($F32),AN$11,AN$14,,(AN$19))),_xlpm.Res,IF(OR(_xlpm.val="",_xlpm.val="Error"),"",_xlpm.val),_xlpm.Res)</f>
        <v>#NAME?</v>
      </c>
      <c r="AO32" s="855" t="e" cm="1">
        <f t="array" ca="1" aca="1" ref="AO32">_xlfn.LET(_xlpm.val,IF($F32="",val_blankRefText,_xldudf_CX_GET(CX_ENTITY,($F32),AO$11,AO$14,,(AO$19))),_xlpm.Res,IF(OR(_xlpm.val="",_xlpm.val="Error"),"",_xlpm.val),_xlpm.Res)</f>
        <v>#NAME?</v>
      </c>
      <c r="AP32" s="855" t="e" cm="1">
        <f t="array" ca="1" aca="1" ref="AP32">_xlfn.LET(_xlpm.val,IF($F32="",val_blankRefText,_xldudf_CX_GET(CX_ENTITY,($F32),AP$11,AP$14,,(AP$19))),_xlpm.Res,IF(OR(_xlpm.val="",_xlpm.val="Error"),"",_xlpm.val),_xlpm.Res)</f>
        <v>#NAME?</v>
      </c>
      <c r="AQ32" s="855" t="e" cm="1">
        <f t="array" ca="1" aca="1" ref="AQ32">_xlfn.LET(_xlpm.val,IF($F32="",val_blankRefText,_xldudf_CX_GET(CX_ENTITY,($F32),AQ$11,AQ$14,,(AQ$19))),_xlpm.Res,IF(OR(_xlpm.val="",_xlpm.val="Error"),"",_xlpm.val),_xlpm.Res)</f>
        <v>#NAME?</v>
      </c>
      <c r="AR32" s="855" t="e" cm="1">
        <f t="array" ca="1" aca="1" ref="AR32">_xlfn.LET(_xlpm.val,IF($F32="",val_blankRefText,_xldudf_CX_GET(CX_ENTITY,($F32),AR$11,AR$14,,(AR$19))),_xlpm.Res,IF(OR(_xlpm.val="",_xlpm.val="Error"),"",_xlpm.val),_xlpm.Res)</f>
        <v>#NAME?</v>
      </c>
      <c r="AS32" s="855" t="e" cm="1">
        <f t="array" ca="1" aca="1" ref="AS32">_xlfn.LET(_xlpm.val,IF($F32="",val_blankRefText,_xldudf_CX_GET(CX_ENTITY,($F32),AS$11,AS$14,,(AS$19))),_xlpm.Res,IF(OR(_xlpm.val="",_xlpm.val="Error"),"",_xlpm.val),_xlpm.Res)</f>
        <v>#NAME?</v>
      </c>
      <c r="AT32" s="855" t="e" cm="1">
        <f t="array" ca="1" aca="1" ref="AT32">_xlfn.LET(_xlpm.val,IF($F32="",val_blankRefText,_xldudf_CX_GET(CX_ENTITY,($F32),AT$11,AT$14,,(AT$19))),_xlpm.Res,IF(OR(_xlpm.val="",_xlpm.val="Error"),"",_xlpm.val),_xlpm.Res)</f>
        <v>#NAME?</v>
      </c>
      <c r="AU32" s="855" t="e" cm="1">
        <f t="array" ca="1" aca="1" ref="AU32">_xlfn.LET(_xlpm.val,IF($F32="",val_blankRefText,_xldudf_CX_GET(CX_ENTITY,($F32),AU$11,AU$14,,(AU$19))),_xlpm.Res,IF(OR(_xlpm.val="",_xlpm.val="Error"),"",_xlpm.val),_xlpm.Res)</f>
        <v>#NAME?</v>
      </c>
      <c r="AV32" s="855" t="e" cm="1">
        <f t="array" ca="1" aca="1" ref="AV32">_xlfn.LET(_xlpm.val,IF($F32="",val_blankRefText,_xldudf_CX_GET(CX_ENTITY,($F32),AV$11,AV$14,,(AV$19))),_xlpm.Res,IF(OR(_xlpm.val="",_xlpm.val="Error"),"",_xlpm.val),_xlpm.Res)</f>
        <v>#NAME?</v>
      </c>
      <c r="AW32" s="855" t="e" cm="1">
        <f t="array" ca="1" aca="1" ref="AW32">_xlfn.LET(_xlpm.val,IF($F32="",val_blankRefText,_xldudf_CX_GET(CX_ENTITY,($F32),AW$11,AW$14,,(AW$19))),_xlpm.Res,IF(OR(_xlpm.val="",_xlpm.val="Error"),"",_xlpm.val),_xlpm.Res)</f>
        <v>#NAME?</v>
      </c>
      <c r="AX32" s="855" t="e" cm="1">
        <f t="array" ca="1" aca="1" ref="AX32">_xlfn.LET(_xlpm.val,IF($F32="",val_blankRefText,_xldudf_CX_GET(CX_ENTITY,($F32),AX$11,AX$14,,(AX$19))),_xlpm.Res,IF(OR(_xlpm.val="",_xlpm.val="Error"),"",_xlpm.val),_xlpm.Res)</f>
        <v>#NAME?</v>
      </c>
      <c r="AY32" s="855" t="e" cm="1">
        <f t="array" ca="1" aca="1" ref="AY32">_xlfn.LET(_xlpm.val,IF($F32="",val_blankRefText,_xldudf_CX_GET(CX_ENTITY,($F32),AY$11,AY$14,,(AY$19))),_xlpm.Res,IF(OR(_xlpm.val="",_xlpm.val="Error"),"",_xlpm.val),_xlpm.Res)</f>
        <v>#NAME?</v>
      </c>
      <c r="AZ32" s="855" t="e" cm="1">
        <f t="array" ca="1" aca="1" ref="AZ32">_xlfn.LET(_xlpm.val,IF($F32="",val_blankRefText,_xldudf_CX_GET(CX_ENTITY,($F32),AZ$11,AZ$14,,(AZ$19))),_xlpm.Res,IF(OR(_xlpm.val="",_xlpm.val="Error"),"",_xlpm.val),_xlpm.Res)</f>
        <v>#NAME?</v>
      </c>
      <c r="BA32" s="855" t="e" cm="1">
        <f t="array" ca="1" aca="1" ref="BA32">_xlfn.LET(_xlpm.val,IF($F32="",val_blankRefText,_xldudf_CX_GET(CX_ENTITY,($F32),BA$11,BA$14,,(BA$19))),_xlpm.Res,IF(OR(_xlpm.val="",_xlpm.val="Error"),"",_xlpm.val),_xlpm.Res)</f>
        <v>#NAME?</v>
      </c>
      <c r="BB32" s="855" t="e" cm="1">
        <f t="array" ca="1" aca="1" ref="BB32">_xlfn.LET(_xlpm.val,IF($F32="",val_blankRefText,_xldudf_CX_GET(CX_ENTITY,($F32),BB$11,BB$14,,(BB$19))),_xlpm.Res,IF(OR(_xlpm.val="",_xlpm.val="Error"),"",_xlpm.val),_xlpm.Res)</f>
        <v>#NAME?</v>
      </c>
      <c r="BC32" s="855" t="e" cm="1">
        <f t="array" ca="1" aca="1" ref="BC32">_xlfn.LET(_xlpm.val,IF($F32="",val_blankRefText,_xldudf_CX_GET(CX_ENTITY,($F32),BC$11,BC$14,,(BC$19))),_xlpm.Res,IF(OR(_xlpm.val="",_xlpm.val="Error"),"",_xlpm.val),_xlpm.Res)</f>
        <v>#NAME?</v>
      </c>
      <c r="BD32" s="855" t="e" cm="1">
        <f t="array" ca="1" aca="1" ref="BD32">_xlfn.LET(_xlpm.val,IF($F32="",val_blankRefText,_xldudf_CX_GET(CX_ENTITY,($F32),BD$11,BD$14,,(BD$19))),_xlpm.Res,IF(OR(_xlpm.val="",_xlpm.val="Error"),"",_xlpm.val),_xlpm.Res)</f>
        <v>#NAME?</v>
      </c>
      <c r="BE32" s="855" t="e" cm="1">
        <f t="array" ca="1" aca="1" ref="BE32">_xlfn.LET(_xlpm.val,IF($F32="",val_blankRefText,_xldudf_CX_GET(CX_ENTITY,($F32),BE$11,BE$14,,(BE$19))),_xlpm.Res,IF(OR(_xlpm.val="",_xlpm.val="Error"),"",_xlpm.val),_xlpm.Res)</f>
        <v>#NAME?</v>
      </c>
      <c r="BF32" s="855" t="e" cm="1">
        <f t="array" ca="1" aca="1" ref="BF32">_xlfn.LET(_xlpm.val,IF($F32="",val_blankRefText,_xldudf_CX_GET(CX_ENTITY,($F32),BF$11,BF$14,,(BF$19))),_xlpm.Res,IF(OR(_xlpm.val="",_xlpm.val="Error"),"",_xlpm.val),_xlpm.Res)</f>
        <v>#NAME?</v>
      </c>
      <c r="BG32" s="855" t="e" cm="1">
        <f t="array" ca="1" aca="1" ref="BG32">_xlfn.LET(_xlpm.val,IF($F32="",val_blankRefText,_xldudf_CX_GET(CX_ENTITY,($F32),BG$11,BG$14,,(BG$19))),_xlpm.Res,IF(OR(_xlpm.val="",_xlpm.val="Error"),"",_xlpm.val),_xlpm.Res)</f>
        <v>#NAME?</v>
      </c>
      <c r="BH32" s="855" t="e" cm="1">
        <f t="array" ca="1" aca="1" ref="BH32">_xlfn.LET(_xlpm.val,IF($F32="",val_blankRefText,_xldudf_CX_GET(CX_ENTITY,($F32),BH$11,BH$14,,(BH$19))),_xlpm.Res,IF(OR(_xlpm.val="",_xlpm.val="Error"),"",_xlpm.val),_xlpm.Res)</f>
        <v>#NAME?</v>
      </c>
      <c r="BI32" s="855" t="e" cm="1">
        <f t="array" ca="1" aca="1" ref="BI32">_xlfn.LET(_xlpm.val,IF($F32="",val_blankRefText,_xldudf_CX_GET(CX_ENTITY,($F32),BI$11,BI$14,,(BI$19))),_xlpm.Res,IF(OR(_xlpm.val="",_xlpm.val="Error"),"",_xlpm.val),_xlpm.Res)</f>
        <v>#NAME?</v>
      </c>
      <c r="BJ32" s="855" t="e" cm="1">
        <f t="array" ca="1" aca="1" ref="BJ32">_xlfn.LET(_xlpm.val,IF($F32="",val_blankRefText,_xldudf_CX_GET(CX_ENTITY,($F32),BJ$11,BJ$14,,(BJ$19))),_xlpm.Res,IF(OR(_xlpm.val="",_xlpm.val="Error"),"",_xlpm.val),_xlpm.Res)</f>
        <v>#NAME?</v>
      </c>
      <c r="BK32" s="855" t="e" cm="1">
        <f t="array" ca="1" aca="1" ref="BK32">_xlfn.LET(_xlpm.val,IF($F32="",val_blankRefText,_xldudf_CX_GET(CX_ENTITY,($F32),BK$11,BK$14,,(BK$19))),_xlpm.Res,IF(OR(_xlpm.val="",_xlpm.val="Error"),"",_xlpm.val),_xlpm.Res)</f>
        <v>#NAME?</v>
      </c>
      <c r="BL32" s="855" t="e" cm="1">
        <f t="array" ca="1" aca="1" ref="BL32">_xlfn.LET(_xlpm.val,IF($F32="",val_blankRefText,_xldudf_CX_GET(CX_ENTITY,($F32),BL$11,BL$14,,(BL$19))),_xlpm.Res,IF(OR(_xlpm.val="",_xlpm.val="Error"),"",_xlpm.val),_xlpm.Res)</f>
        <v>#NAME?</v>
      </c>
      <c r="BM32" s="855" t="e" cm="1">
        <f t="array" ca="1" aca="1" ref="BM32">_xlfn.LET(_xlpm.val,IF($F32="",val_blankRefText,_xldudf_CX_GET(CX_ENTITY,($F32),BM$11,BM$14,,(BM$19))),_xlpm.Res,IF(OR(_xlpm.val="",_xlpm.val="Error"),"",_xlpm.val),_xlpm.Res)</f>
        <v>#NAME?</v>
      </c>
      <c r="BN32" s="855" t="e" cm="1">
        <f t="array" ca="1" aca="1" ref="BN32">_xlfn.LET(_xlpm.val,IF($F32="",val_blankRefText,_xldudf_CX_GET(CX_ENTITY,($F32),BN$11,BN$14,,(BN$19))),_xlpm.Res,IF(OR(_xlpm.val="",_xlpm.val="Error"),"",_xlpm.val),_xlpm.Res)</f>
        <v>#NAME?</v>
      </c>
      <c r="BO32" s="1844"/>
      <c r="BP32" s="1844"/>
      <c r="BQ32" s="1844"/>
      <c r="BR32" s="1844"/>
      <c r="BS32" s="1844"/>
      <c r="BT32" s="1844"/>
      <c r="BU32" s="1844"/>
      <c r="BV32" s="1844"/>
      <c r="BW32" s="1844"/>
      <c r="BX32" s="1844"/>
      <c r="BY32" s="1844"/>
      <c r="BZ32" s="1844"/>
      <c r="CA32" s="34"/>
      <c r="CC32" s="33"/>
      <c r="CD32" s="1461" t="e" cm="1">
        <f t="array" ca="1" aca="1" ref="CD32">_xlfn.LET(_xlpm.CheckBlank,SUM(CF!$AD32:$BN32)=0,IF(_xlpm.CheckBlank,"",SUM(_xlfn._xlws.FILTER(CF!$AD32:$BN32,(YEAR(CF!$AD$12:$BN$12)=CF!CD$12)*(array_timeline&lt;=CF!CD$11)))))</f>
        <v>#NAME?</v>
      </c>
      <c r="CE32" s="1461" t="e" cm="1">
        <f t="array" ca="1" aca="1" ref="CE32">_xlfn.LET(_xlpm.CheckBlank,SUM(CF!$AD32:$BN32)=0,IF(_xlpm.CheckBlank,"",SUM(_xlfn._xlws.FILTER(CF!$AD32:$BN32,(YEAR(CF!$AD$12:$BN$12)=CF!CE$12)*(array_timeline&lt;=CF!CE$11)))))</f>
        <v>#NAME?</v>
      </c>
      <c r="CF32" s="1314"/>
      <c r="CG32" s="1461" t="e" cm="1">
        <f t="array" ca="1" aca="1" ref="CG32">_xlfn.LET(_xlpm.CheckBlank,SUM(CF!$AD32:$BN32)=0,IF(_xlpm.CheckBlank,"",SUM(_xlfn._xlws.FILTER(CF!$AD32:$BN32,(YEAR(CF!$AD$12:$BN$12)=CF!CG$12)*(array_timeline&lt;=CF!CG$11)))))</f>
        <v>#NAME?</v>
      </c>
      <c r="CH32" s="1461" t="e" cm="1">
        <f t="array" ca="1" aca="1" ref="CH32">_xlfn.LET(_xlpm.CheckBlank,SUM(CF!$AD32:$BN32)=0,IF(_xlpm.CheckBlank,"",SUM(_xlfn._xlws.FILTER(CF!$AD32:$BN32,(YEAR(CF!$AD$12:$BN$12)=CF!CH$12)*(array_timeline&lt;=CF!CH$11)))))</f>
        <v>#NAME?</v>
      </c>
      <c r="CI32" s="1314"/>
      <c r="CJ32" s="1657" cm="1">
        <f t="array" ref="CJ32">_xlfn.LET(_xlpm.CheckBlank,SUM(CF!$AD32:$BN32)=0,IF(_xlpm.CheckBlank,"",SUM(_xlfn.TAKE(_xlfn.DROP(CF!$AD32:$BN32,,-DATEDIFF(CF!CJ$11,val_asOfDate,"M")),1,-12))))</f>
        <v>12</v>
      </c>
      <c r="CK32" s="1657" cm="1">
        <f t="array" ref="CK32">_xlfn.LET(_xlpm.CheckBlank,SUM(CF!$AD32:$BN32)=0,IF(_xlpm.CheckBlank,"",SUM(_xlfn.TAKE(_xlfn.DROP(CF!$AD32:$BN32,,-DATEDIFF(CF!CK$11,val_asOfDate,"M")),1,-12))))</f>
        <v>12</v>
      </c>
      <c r="CL32" s="88"/>
      <c r="CM32" s="541" t="e" cm="1">
        <f t="array" ca="1" aca="1" ref="CM32">_xlfn.LET(_xlpm.val,IF($F32="",val_blankRefText,_xldudf_CX_GET(CX_ENTITY,($F32),CM$11,CM$14,,(CM$19))),_xlpm.Res,IF(OR(_xlpm.val="",_xlpm.val="Error"),"",_xlpm.val),_xlpm.Res)</f>
        <v>#NAME?</v>
      </c>
      <c r="CN32" s="541" t="e" cm="1">
        <f t="array" ca="1" aca="1" ref="CN32">_xlfn.LET(_xlpm.val,IF($F32="",val_blankRefText,_xldudf_CX_GET(CX_ENTITY,($F32),CN$11,CN$14,,(CN$19))),_xlpm.Res,IF(OR(_xlpm.val="",_xlpm.val="Error"),"",_xlpm.val),_xlpm.Res)</f>
        <v>#NAME?</v>
      </c>
      <c r="CO32" s="34"/>
      <c r="CR32" s="4"/>
      <c r="CS32" s="4"/>
      <c r="CW32" s="4"/>
    </row>
    <row r="33" spans="1:101" ht="21" customHeight="1">
      <c r="A33" s="696"/>
      <c r="B33" s="574" t="s">
        <v>250</v>
      </c>
      <c r="C33" s="574" t="s">
        <v>1682</v>
      </c>
      <c r="D33" s="574"/>
      <c r="E33" s="577" t="e" cm="1">
        <f t="array" ca="1" aca="1" ref="E33">_xlfn.LET(_xlpm.Attr,$C33,_xlpm.Lookback,$E$16,_xlpm.QueryDate,EOMONTH(val_asOfDate,_xlpm.Lookback),_xlpm.ReadField,_xldudf_CX_GET(CX_ENTITY,fx_attrConverter($C33),_xlpm.QueryDate),_xlpm.AttrBlank,_xlpm.Attr="",_xlpm.RESULT,IF(_xlpm.AttrBlank,val_blankRefText,fx_attrConverter(_xlpm.ReadField,0)),IF(_xlpm.RESULT="Error","",_xlpm.RESULT))</f>
        <v>#NAME?</v>
      </c>
      <c r="F33" s="577" t="str">
        <f t="shared" si="1"/>
        <v>M&amp;A</v>
      </c>
      <c r="G33" s="401"/>
      <c r="H33" s="3280">
        <v>1</v>
      </c>
      <c r="I33" s="3280">
        <v>1</v>
      </c>
      <c r="J33" s="401"/>
      <c r="K33" s="401"/>
      <c r="L33" s="3269" t="b">
        <v>1</v>
      </c>
      <c r="N33" s="158"/>
      <c r="O33" s="101"/>
      <c r="P33" s="52"/>
      <c r="Q33" s="101"/>
      <c r="R33" s="126"/>
      <c r="S33" s="101"/>
      <c r="T33" s="101"/>
      <c r="U33" s="39"/>
      <c r="W33" s="932" t="str">
        <f t="shared" si="4"/>
        <v>Actual</v>
      </c>
      <c r="X33" s="761">
        <v>-1</v>
      </c>
      <c r="Y33" s="88" t="e" cm="1">
        <f t="array" ca="1" aca="1" ref="Y33">IF($B33="",IFBLANK($E33,"Please select or type in or leave as blank"),IFBLANK($E33,$B33))</f>
        <v>#NAME?</v>
      </c>
      <c r="Z33" s="3300" cm="1">
        <f t="array" ref="Z33">_xlfn.SWITCH(TRUE,_CF!$L33=TRUE,1,_CF!$L33=FALSE,-1,_CF!$L33=-1,0,"n/a")</f>
        <v>1</v>
      </c>
      <c r="AA33" s="200"/>
      <c r="AB33" s="88" t="s">
        <v>250</v>
      </c>
      <c r="AC33" s="88"/>
      <c r="AD33" s="855" t="e" cm="1">
        <f t="array" ca="1" aca="1" ref="AD33">_xlfn.LET(_xlpm.val,IF($F33="",val_blankRefText,_xldudf_CX_GET(CX_ENTITY,($F33),AD$11,AD$14,,(AD$19))),_xlpm.Res,IF(OR(_xlpm.val="",_xlpm.val="Error"),"",_xlpm.val),_xlpm.Res)</f>
        <v>#NAME?</v>
      </c>
      <c r="AE33" s="855" t="e" cm="1">
        <f t="array" ca="1" aca="1" ref="AE33">_xlfn.LET(_xlpm.val,IF($F33="",val_blankRefText,_xldudf_CX_GET(CX_ENTITY,($F33),AE$11,AE$14,,(AE$19))),_xlpm.Res,IF(OR(_xlpm.val="",_xlpm.val="Error"),"",_xlpm.val),_xlpm.Res)</f>
        <v>#NAME?</v>
      </c>
      <c r="AF33" s="855" t="e" cm="1">
        <f t="array" ca="1" aca="1" ref="AF33">_xlfn.LET(_xlpm.val,IF($F33="",val_blankRefText,_xldudf_CX_GET(CX_ENTITY,($F33),AF$11,AF$14,,(AF$19))),_xlpm.Res,IF(OR(_xlpm.val="",_xlpm.val="Error"),"",_xlpm.val),_xlpm.Res)</f>
        <v>#NAME?</v>
      </c>
      <c r="AG33" s="855" t="e" cm="1">
        <f t="array" ca="1" aca="1" ref="AG33">_xlfn.LET(_xlpm.val,IF($F33="",val_blankRefText,_xldudf_CX_GET(CX_ENTITY,($F33),AG$11,AG$14,,(AG$19))),_xlpm.Res,IF(OR(_xlpm.val="",_xlpm.val="Error"),"",_xlpm.val),_xlpm.Res)</f>
        <v>#NAME?</v>
      </c>
      <c r="AH33" s="855" t="e" cm="1">
        <f t="array" ca="1" aca="1" ref="AH33">_xlfn.LET(_xlpm.val,IF($F33="",val_blankRefText,_xldudf_CX_GET(CX_ENTITY,($F33),AH$11,AH$14,,(AH$19))),_xlpm.Res,IF(OR(_xlpm.val="",_xlpm.val="Error"),"",_xlpm.val),_xlpm.Res)</f>
        <v>#NAME?</v>
      </c>
      <c r="AI33" s="855" t="e" cm="1">
        <f t="array" ca="1" aca="1" ref="AI33">_xlfn.LET(_xlpm.val,IF($F33="",val_blankRefText,_xldudf_CX_GET(CX_ENTITY,($F33),AI$11,AI$14,,(AI$19))),_xlpm.Res,IF(OR(_xlpm.val="",_xlpm.val="Error"),"",_xlpm.val),_xlpm.Res)</f>
        <v>#NAME?</v>
      </c>
      <c r="AJ33" s="855" t="e" cm="1">
        <f t="array" ca="1" aca="1" ref="AJ33">_xlfn.LET(_xlpm.val,IF($F33="",val_blankRefText,_xldudf_CX_GET(CX_ENTITY,($F33),AJ$11,AJ$14,,(AJ$19))),_xlpm.Res,IF(OR(_xlpm.val="",_xlpm.val="Error"),"",_xlpm.val),_xlpm.Res)</f>
        <v>#NAME?</v>
      </c>
      <c r="AK33" s="855" t="e" cm="1">
        <f t="array" ca="1" aca="1" ref="AK33">_xlfn.LET(_xlpm.val,IF($F33="",val_blankRefText,_xldudf_CX_GET(CX_ENTITY,($F33),AK$11,AK$14,,(AK$19))),_xlpm.Res,IF(OR(_xlpm.val="",_xlpm.val="Error"),"",_xlpm.val),_xlpm.Res)</f>
        <v>#NAME?</v>
      </c>
      <c r="AL33" s="855" t="e" cm="1">
        <f t="array" ca="1" aca="1" ref="AL33">_xlfn.LET(_xlpm.val,IF($F33="",val_blankRefText,_xldudf_CX_GET(CX_ENTITY,($F33),AL$11,AL$14,,(AL$19))),_xlpm.Res,IF(OR(_xlpm.val="",_xlpm.val="Error"),"",_xlpm.val),_xlpm.Res)</f>
        <v>#NAME?</v>
      </c>
      <c r="AM33" s="855" t="e" cm="1">
        <f t="array" ca="1" aca="1" ref="AM33">_xlfn.LET(_xlpm.val,IF($F33="",val_blankRefText,_xldudf_CX_GET(CX_ENTITY,($F33),AM$11,AM$14,,(AM$19))),_xlpm.Res,IF(OR(_xlpm.val="",_xlpm.val="Error"),"",_xlpm.val),_xlpm.Res)</f>
        <v>#NAME?</v>
      </c>
      <c r="AN33" s="855" t="e" cm="1">
        <f t="array" ca="1" aca="1" ref="AN33">_xlfn.LET(_xlpm.val,IF($F33="",val_blankRefText,_xldudf_CX_GET(CX_ENTITY,($F33),AN$11,AN$14,,(AN$19))),_xlpm.Res,IF(OR(_xlpm.val="",_xlpm.val="Error"),"",_xlpm.val),_xlpm.Res)</f>
        <v>#NAME?</v>
      </c>
      <c r="AO33" s="855" t="e" cm="1">
        <f t="array" ca="1" aca="1" ref="AO33">_xlfn.LET(_xlpm.val,IF($F33="",val_blankRefText,_xldudf_CX_GET(CX_ENTITY,($F33),AO$11,AO$14,,(AO$19))),_xlpm.Res,IF(OR(_xlpm.val="",_xlpm.val="Error"),"",_xlpm.val),_xlpm.Res)</f>
        <v>#NAME?</v>
      </c>
      <c r="AP33" s="855" t="e" cm="1">
        <f t="array" ca="1" aca="1" ref="AP33">_xlfn.LET(_xlpm.val,IF($F33="",val_blankRefText,_xldudf_CX_GET(CX_ENTITY,($F33),AP$11,AP$14,,(AP$19))),_xlpm.Res,IF(OR(_xlpm.val="",_xlpm.val="Error"),"",_xlpm.val),_xlpm.Res)</f>
        <v>#NAME?</v>
      </c>
      <c r="AQ33" s="855" t="e" cm="1">
        <f t="array" ca="1" aca="1" ref="AQ33">_xlfn.LET(_xlpm.val,IF($F33="",val_blankRefText,_xldudf_CX_GET(CX_ENTITY,($F33),AQ$11,AQ$14,,(AQ$19))),_xlpm.Res,IF(OR(_xlpm.val="",_xlpm.val="Error"),"",_xlpm.val),_xlpm.Res)</f>
        <v>#NAME?</v>
      </c>
      <c r="AR33" s="855" t="e" cm="1">
        <f t="array" ca="1" aca="1" ref="AR33">_xlfn.LET(_xlpm.val,IF($F33="",val_blankRefText,_xldudf_CX_GET(CX_ENTITY,($F33),AR$11,AR$14,,(AR$19))),_xlpm.Res,IF(OR(_xlpm.val="",_xlpm.val="Error"),"",_xlpm.val),_xlpm.Res)</f>
        <v>#NAME?</v>
      </c>
      <c r="AS33" s="855" t="e" cm="1">
        <f t="array" ca="1" aca="1" ref="AS33">_xlfn.LET(_xlpm.val,IF($F33="",val_blankRefText,_xldudf_CX_GET(CX_ENTITY,($F33),AS$11,AS$14,,(AS$19))),_xlpm.Res,IF(OR(_xlpm.val="",_xlpm.val="Error"),"",_xlpm.val),_xlpm.Res)</f>
        <v>#NAME?</v>
      </c>
      <c r="AT33" s="855" t="e" cm="1">
        <f t="array" ca="1" aca="1" ref="AT33">_xlfn.LET(_xlpm.val,IF($F33="",val_blankRefText,_xldudf_CX_GET(CX_ENTITY,($F33),AT$11,AT$14,,(AT$19))),_xlpm.Res,IF(OR(_xlpm.val="",_xlpm.val="Error"),"",_xlpm.val),_xlpm.Res)</f>
        <v>#NAME?</v>
      </c>
      <c r="AU33" s="855" t="e" cm="1">
        <f t="array" ca="1" aca="1" ref="AU33">_xlfn.LET(_xlpm.val,IF($F33="",val_blankRefText,_xldudf_CX_GET(CX_ENTITY,($F33),AU$11,AU$14,,(AU$19))),_xlpm.Res,IF(OR(_xlpm.val="",_xlpm.val="Error"),"",_xlpm.val),_xlpm.Res)</f>
        <v>#NAME?</v>
      </c>
      <c r="AV33" s="855" t="e" cm="1">
        <f t="array" ca="1" aca="1" ref="AV33">_xlfn.LET(_xlpm.val,IF($F33="",val_blankRefText,_xldudf_CX_GET(CX_ENTITY,($F33),AV$11,AV$14,,(AV$19))),_xlpm.Res,IF(OR(_xlpm.val="",_xlpm.val="Error"),"",_xlpm.val),_xlpm.Res)</f>
        <v>#NAME?</v>
      </c>
      <c r="AW33" s="855" t="e" cm="1">
        <f t="array" ca="1" aca="1" ref="AW33">_xlfn.LET(_xlpm.val,IF($F33="",val_blankRefText,_xldudf_CX_GET(CX_ENTITY,($F33),AW$11,AW$14,,(AW$19))),_xlpm.Res,IF(OR(_xlpm.val="",_xlpm.val="Error"),"",_xlpm.val),_xlpm.Res)</f>
        <v>#NAME?</v>
      </c>
      <c r="AX33" s="855" t="e" cm="1">
        <f t="array" ca="1" aca="1" ref="AX33">_xlfn.LET(_xlpm.val,IF($F33="",val_blankRefText,_xldudf_CX_GET(CX_ENTITY,($F33),AX$11,AX$14,,(AX$19))),_xlpm.Res,IF(OR(_xlpm.val="",_xlpm.val="Error"),"",_xlpm.val),_xlpm.Res)</f>
        <v>#NAME?</v>
      </c>
      <c r="AY33" s="855" t="e" cm="1">
        <f t="array" ca="1" aca="1" ref="AY33">_xlfn.LET(_xlpm.val,IF($F33="",val_blankRefText,_xldudf_CX_GET(CX_ENTITY,($F33),AY$11,AY$14,,(AY$19))),_xlpm.Res,IF(OR(_xlpm.val="",_xlpm.val="Error"),"",_xlpm.val),_xlpm.Res)</f>
        <v>#NAME?</v>
      </c>
      <c r="AZ33" s="855" t="e" cm="1">
        <f t="array" ca="1" aca="1" ref="AZ33">_xlfn.LET(_xlpm.val,IF($F33="",val_blankRefText,_xldudf_CX_GET(CX_ENTITY,($F33),AZ$11,AZ$14,,(AZ$19))),_xlpm.Res,IF(OR(_xlpm.val="",_xlpm.val="Error"),"",_xlpm.val),_xlpm.Res)</f>
        <v>#NAME?</v>
      </c>
      <c r="BA33" s="855" t="e" cm="1">
        <f t="array" ca="1" aca="1" ref="BA33">_xlfn.LET(_xlpm.val,IF($F33="",val_blankRefText,_xldudf_CX_GET(CX_ENTITY,($F33),BA$11,BA$14,,(BA$19))),_xlpm.Res,IF(OR(_xlpm.val="",_xlpm.val="Error"),"",_xlpm.val),_xlpm.Res)</f>
        <v>#NAME?</v>
      </c>
      <c r="BB33" s="855" t="e" cm="1">
        <f t="array" ca="1" aca="1" ref="BB33">_xlfn.LET(_xlpm.val,IF($F33="",val_blankRefText,_xldudf_CX_GET(CX_ENTITY,($F33),BB$11,BB$14,,(BB$19))),_xlpm.Res,IF(OR(_xlpm.val="",_xlpm.val="Error"),"",_xlpm.val),_xlpm.Res)</f>
        <v>#NAME?</v>
      </c>
      <c r="BC33" s="855" t="e" cm="1">
        <f t="array" ca="1" aca="1" ref="BC33">_xlfn.LET(_xlpm.val,IF($F33="",val_blankRefText,_xldudf_CX_GET(CX_ENTITY,($F33),BC$11,BC$14,,(BC$19))),_xlpm.Res,IF(OR(_xlpm.val="",_xlpm.val="Error"),"",_xlpm.val),_xlpm.Res)</f>
        <v>#NAME?</v>
      </c>
      <c r="BD33" s="855" t="e" cm="1">
        <f t="array" ca="1" aca="1" ref="BD33">_xlfn.LET(_xlpm.val,IF($F33="",val_blankRefText,_xldudf_CX_GET(CX_ENTITY,($F33),BD$11,BD$14,,(BD$19))),_xlpm.Res,IF(OR(_xlpm.val="",_xlpm.val="Error"),"",_xlpm.val),_xlpm.Res)</f>
        <v>#NAME?</v>
      </c>
      <c r="BE33" s="855" t="e" cm="1">
        <f t="array" ca="1" aca="1" ref="BE33">_xlfn.LET(_xlpm.val,IF($F33="",val_blankRefText,_xldudf_CX_GET(CX_ENTITY,($F33),BE$11,BE$14,,(BE$19))),_xlpm.Res,IF(OR(_xlpm.val="",_xlpm.val="Error"),"",_xlpm.val),_xlpm.Res)</f>
        <v>#NAME?</v>
      </c>
      <c r="BF33" s="855" t="e" cm="1">
        <f t="array" ca="1" aca="1" ref="BF33">_xlfn.LET(_xlpm.val,IF($F33="",val_blankRefText,_xldudf_CX_GET(CX_ENTITY,($F33),BF$11,BF$14,,(BF$19))),_xlpm.Res,IF(OR(_xlpm.val="",_xlpm.val="Error"),"",_xlpm.val),_xlpm.Res)</f>
        <v>#NAME?</v>
      </c>
      <c r="BG33" s="855" t="e" cm="1">
        <f t="array" ca="1" aca="1" ref="BG33">_xlfn.LET(_xlpm.val,IF($F33="",val_blankRefText,_xldudf_CX_GET(CX_ENTITY,($F33),BG$11,BG$14,,(BG$19))),_xlpm.Res,IF(OR(_xlpm.val="",_xlpm.val="Error"),"",_xlpm.val),_xlpm.Res)</f>
        <v>#NAME?</v>
      </c>
      <c r="BH33" s="855" t="e" cm="1">
        <f t="array" ca="1" aca="1" ref="BH33">_xlfn.LET(_xlpm.val,IF($F33="",val_blankRefText,_xldudf_CX_GET(CX_ENTITY,($F33),BH$11,BH$14,,(BH$19))),_xlpm.Res,IF(OR(_xlpm.val="",_xlpm.val="Error"),"",_xlpm.val),_xlpm.Res)</f>
        <v>#NAME?</v>
      </c>
      <c r="BI33" s="855" t="e" cm="1">
        <f t="array" ca="1" aca="1" ref="BI33">_xlfn.LET(_xlpm.val,IF($F33="",val_blankRefText,_xldudf_CX_GET(CX_ENTITY,($F33),BI$11,BI$14,,(BI$19))),_xlpm.Res,IF(OR(_xlpm.val="",_xlpm.val="Error"),"",_xlpm.val),_xlpm.Res)</f>
        <v>#NAME?</v>
      </c>
      <c r="BJ33" s="855" t="e" cm="1">
        <f t="array" ca="1" aca="1" ref="BJ33">_xlfn.LET(_xlpm.val,IF($F33="",val_blankRefText,_xldudf_CX_GET(CX_ENTITY,($F33),BJ$11,BJ$14,,(BJ$19))),_xlpm.Res,IF(OR(_xlpm.val="",_xlpm.val="Error"),"",_xlpm.val),_xlpm.Res)</f>
        <v>#NAME?</v>
      </c>
      <c r="BK33" s="855" t="e" cm="1">
        <f t="array" ca="1" aca="1" ref="BK33">_xlfn.LET(_xlpm.val,IF($F33="",val_blankRefText,_xldudf_CX_GET(CX_ENTITY,($F33),BK$11,BK$14,,(BK$19))),_xlpm.Res,IF(OR(_xlpm.val="",_xlpm.val="Error"),"",_xlpm.val),_xlpm.Res)</f>
        <v>#NAME?</v>
      </c>
      <c r="BL33" s="855" t="e" cm="1">
        <f t="array" ca="1" aca="1" ref="BL33">_xlfn.LET(_xlpm.val,IF($F33="",val_blankRefText,_xldudf_CX_GET(CX_ENTITY,($F33),BL$11,BL$14,,(BL$19))),_xlpm.Res,IF(OR(_xlpm.val="",_xlpm.val="Error"),"",_xlpm.val),_xlpm.Res)</f>
        <v>#NAME?</v>
      </c>
      <c r="BM33" s="855" t="e" cm="1">
        <f t="array" ca="1" aca="1" ref="BM33">_xlfn.LET(_xlpm.val,IF($F33="",val_blankRefText,_xldudf_CX_GET(CX_ENTITY,($F33),BM$11,BM$14,,(BM$19))),_xlpm.Res,IF(OR(_xlpm.val="",_xlpm.val="Error"),"",_xlpm.val),_xlpm.Res)</f>
        <v>#NAME?</v>
      </c>
      <c r="BN33" s="855" t="e" cm="1">
        <f t="array" ca="1" aca="1" ref="BN33">_xlfn.LET(_xlpm.val,IF($F33="",val_blankRefText,_xldudf_CX_GET(CX_ENTITY,($F33),BN$11,BN$14,,(BN$19))),_xlpm.Res,IF(OR(_xlpm.val="",_xlpm.val="Error"),"",_xlpm.val),_xlpm.Res)</f>
        <v>#NAME?</v>
      </c>
      <c r="BO33" s="1844"/>
      <c r="BP33" s="1844"/>
      <c r="BQ33" s="1844"/>
      <c r="BR33" s="1844"/>
      <c r="BS33" s="1844"/>
      <c r="BT33" s="1844"/>
      <c r="BU33" s="1844"/>
      <c r="BV33" s="1844"/>
      <c r="BW33" s="1844"/>
      <c r="BX33" s="1844"/>
      <c r="BY33" s="1844"/>
      <c r="BZ33" s="1844"/>
      <c r="CA33" s="34"/>
      <c r="CC33" s="33"/>
      <c r="CD33" s="1461" t="e" cm="1">
        <f t="array" ca="1" aca="1" ref="CD33">_xlfn.LET(_xlpm.CheckBlank,SUM(CF!$AD33:$BN33)=0,IF(_xlpm.CheckBlank,"",SUM(_xlfn._xlws.FILTER(CF!$AD33:$BN33,(YEAR(CF!$AD$12:$BN$12)=CF!CD$12)*(array_timeline&lt;=CF!CD$11)))))</f>
        <v>#NAME?</v>
      </c>
      <c r="CE33" s="1461" t="e" cm="1">
        <f t="array" ca="1" aca="1" ref="CE33">_xlfn.LET(_xlpm.CheckBlank,SUM(CF!$AD33:$BN33)=0,IF(_xlpm.CheckBlank,"",SUM(_xlfn._xlws.FILTER(CF!$AD33:$BN33,(YEAR(CF!$AD$12:$BN$12)=CF!CE$12)*(array_timeline&lt;=CF!CE$11)))))</f>
        <v>#NAME?</v>
      </c>
      <c r="CF33" s="1314"/>
      <c r="CG33" s="1461" t="e" cm="1">
        <f t="array" ca="1" aca="1" ref="CG33">_xlfn.LET(_xlpm.CheckBlank,SUM(CF!$AD33:$BN33)=0,IF(_xlpm.CheckBlank,"",SUM(_xlfn._xlws.FILTER(CF!$AD33:$BN33,(YEAR(CF!$AD$12:$BN$12)=CF!CG$12)*(array_timeline&lt;=CF!CG$11)))))</f>
        <v>#NAME?</v>
      </c>
      <c r="CH33" s="1461" t="e" cm="1">
        <f t="array" ca="1" aca="1" ref="CH33">_xlfn.LET(_xlpm.CheckBlank,SUM(CF!$AD33:$BN33)=0,IF(_xlpm.CheckBlank,"",SUM(_xlfn._xlws.FILTER(CF!$AD33:$BN33,(YEAR(CF!$AD$12:$BN$12)=CF!CH$12)*(array_timeline&lt;=CF!CH$11)))))</f>
        <v>#NAME?</v>
      </c>
      <c r="CI33" s="1314"/>
      <c r="CJ33" s="1657" cm="1">
        <f t="array" ref="CJ33">_xlfn.LET(_xlpm.CheckBlank,SUM(CF!$AD33:$BN33)=0,IF(_xlpm.CheckBlank,"",SUM(_xlfn.TAKE(_xlfn.DROP(CF!$AD33:$BN33,,-DATEDIFF(CF!CJ$11,val_asOfDate,"M")),1,-12))))</f>
        <v>12</v>
      </c>
      <c r="CK33" s="1657" cm="1">
        <f t="array" ref="CK33">_xlfn.LET(_xlpm.CheckBlank,SUM(CF!$AD33:$BN33)=0,IF(_xlpm.CheckBlank,"",SUM(_xlfn.TAKE(_xlfn.DROP(CF!$AD33:$BN33,,-DATEDIFF(CF!CK$11,val_asOfDate,"M")),1,-12))))</f>
        <v>12</v>
      </c>
      <c r="CL33" s="88"/>
      <c r="CM33" s="541" t="e" cm="1">
        <f t="array" ca="1" aca="1" ref="CM33">_xlfn.LET(_xlpm.val,IF($F33="",val_blankRefText,_xldudf_CX_GET(CX_ENTITY,($F33),CM$11,CM$14,,(CM$19))),_xlpm.Res,IF(OR(_xlpm.val="",_xlpm.val="Error"),"",_xlpm.val),_xlpm.Res)</f>
        <v>#NAME?</v>
      </c>
      <c r="CN33" s="541" t="e" cm="1">
        <f t="array" ca="1" aca="1" ref="CN33">_xlfn.LET(_xlpm.val,IF($F33="",val_blankRefText,_xldudf_CX_GET(CX_ENTITY,($F33),CN$11,CN$14,,(CN$19))),_xlpm.Res,IF(OR(_xlpm.val="",_xlpm.val="Error"),"",_xlpm.val),_xlpm.Res)</f>
        <v>#NAME?</v>
      </c>
      <c r="CO33" s="34"/>
      <c r="CR33" s="4"/>
      <c r="CS33" s="4"/>
      <c r="CW33" s="4"/>
    </row>
    <row r="34" spans="1:101" ht="21" customHeight="1">
      <c r="A34" s="696"/>
      <c r="B34" s="574" t="s">
        <v>1683</v>
      </c>
      <c r="C34" s="574" t="s">
        <v>1684</v>
      </c>
      <c r="D34" s="574"/>
      <c r="E34" s="577" t="e" cm="1">
        <f t="array" ca="1" aca="1" ref="E34">_xlfn.LET(_xlpm.Attr,$C34,_xlpm.Lookback,$E$16,_xlpm.QueryDate,EOMONTH(val_asOfDate,_xlpm.Lookback),_xlpm.ReadField,_xldudf_CX_GET(CX_ENTITY,fx_attrConverter($C34),_xlpm.QueryDate),_xlpm.AttrBlank,_xlpm.Attr="",_xlpm.RESULT,IF(_xlpm.AttrBlank,val_blankRefText,fx_attrConverter(_xlpm.ReadField,0)),IF(_xlpm.RESULT="Error","",_xlpm.RESULT))</f>
        <v>#NAME?</v>
      </c>
      <c r="F34" s="577" t="str">
        <f t="shared" si="1"/>
        <v>Dividend Payments</v>
      </c>
      <c r="G34" s="401"/>
      <c r="H34" s="3280">
        <v>1</v>
      </c>
      <c r="I34" s="3280">
        <v>1</v>
      </c>
      <c r="J34" s="401"/>
      <c r="K34" s="401"/>
      <c r="L34" s="3269" t="b">
        <v>1</v>
      </c>
      <c r="N34" s="158"/>
      <c r="O34" s="101"/>
      <c r="P34" s="52"/>
      <c r="Q34" s="101"/>
      <c r="R34" s="126"/>
      <c r="S34" s="101"/>
      <c r="T34" s="101"/>
      <c r="U34" s="39"/>
      <c r="W34" s="932" t="str">
        <f t="shared" si="4"/>
        <v>Actual</v>
      </c>
      <c r="X34" s="761">
        <v>-1</v>
      </c>
      <c r="Y34" s="88" t="e" cm="1">
        <f t="array" ca="1" aca="1" ref="Y34">IF($B34="",IFBLANK($E34,"Please select or type in or leave as blank"),IFBLANK($E34,$B34))</f>
        <v>#NAME?</v>
      </c>
      <c r="Z34" s="3300" cm="1">
        <f t="array" ref="Z34">_xlfn.SWITCH(TRUE,_CF!$L34=TRUE,1,_CF!$L34=FALSE,-1,_CF!$L34=-1,0,"n/a")</f>
        <v>1</v>
      </c>
      <c r="AA34" s="200"/>
      <c r="AB34" s="88" t="s">
        <v>251</v>
      </c>
      <c r="AC34" s="88"/>
      <c r="AD34" s="855" t="e" cm="1">
        <f t="array" ca="1" aca="1" ref="AD34">_xlfn.LET(_xlpm.val,IF($F34="",val_blankRefText,_xldudf_CX_GET(CX_ENTITY,($F34),AD$11,AD$14,,(AD$19))),_xlpm.Res,IF(OR(_xlpm.val="",_xlpm.val="Error"),"",_xlpm.val),_xlpm.Res)</f>
        <v>#NAME?</v>
      </c>
      <c r="AE34" s="855" t="e" cm="1">
        <f t="array" ca="1" aca="1" ref="AE34">_xlfn.LET(_xlpm.val,IF($F34="",val_blankRefText,_xldudf_CX_GET(CX_ENTITY,($F34),AE$11,AE$14,,(AE$19))),_xlpm.Res,IF(OR(_xlpm.val="",_xlpm.val="Error"),"",_xlpm.val),_xlpm.Res)</f>
        <v>#NAME?</v>
      </c>
      <c r="AF34" s="855" t="e" cm="1">
        <f t="array" ca="1" aca="1" ref="AF34">_xlfn.LET(_xlpm.val,IF($F34="",val_blankRefText,_xldudf_CX_GET(CX_ENTITY,($F34),AF$11,AF$14,,(AF$19))),_xlpm.Res,IF(OR(_xlpm.val="",_xlpm.val="Error"),"",_xlpm.val),_xlpm.Res)</f>
        <v>#NAME?</v>
      </c>
      <c r="AG34" s="855" t="e" cm="1">
        <f t="array" ca="1" aca="1" ref="AG34">_xlfn.LET(_xlpm.val,IF($F34="",val_blankRefText,_xldudf_CX_GET(CX_ENTITY,($F34),AG$11,AG$14,,(AG$19))),_xlpm.Res,IF(OR(_xlpm.val="",_xlpm.val="Error"),"",_xlpm.val),_xlpm.Res)</f>
        <v>#NAME?</v>
      </c>
      <c r="AH34" s="855" t="e" cm="1">
        <f t="array" ca="1" aca="1" ref="AH34">_xlfn.LET(_xlpm.val,IF($F34="",val_blankRefText,_xldudf_CX_GET(CX_ENTITY,($F34),AH$11,AH$14,,(AH$19))),_xlpm.Res,IF(OR(_xlpm.val="",_xlpm.val="Error"),"",_xlpm.val),_xlpm.Res)</f>
        <v>#NAME?</v>
      </c>
      <c r="AI34" s="855" t="e" cm="1">
        <f t="array" ca="1" aca="1" ref="AI34">_xlfn.LET(_xlpm.val,IF($F34="",val_blankRefText,_xldudf_CX_GET(CX_ENTITY,($F34),AI$11,AI$14,,(AI$19))),_xlpm.Res,IF(OR(_xlpm.val="",_xlpm.val="Error"),"",_xlpm.val),_xlpm.Res)</f>
        <v>#NAME?</v>
      </c>
      <c r="AJ34" s="855" t="e" cm="1">
        <f t="array" ca="1" aca="1" ref="AJ34">_xlfn.LET(_xlpm.val,IF($F34="",val_blankRefText,_xldudf_CX_GET(CX_ENTITY,($F34),AJ$11,AJ$14,,(AJ$19))),_xlpm.Res,IF(OR(_xlpm.val="",_xlpm.val="Error"),"",_xlpm.val),_xlpm.Res)</f>
        <v>#NAME?</v>
      </c>
      <c r="AK34" s="855" t="e" cm="1">
        <f t="array" ca="1" aca="1" ref="AK34">_xlfn.LET(_xlpm.val,IF($F34="",val_blankRefText,_xldudf_CX_GET(CX_ENTITY,($F34),AK$11,AK$14,,(AK$19))),_xlpm.Res,IF(OR(_xlpm.val="",_xlpm.val="Error"),"",_xlpm.val),_xlpm.Res)</f>
        <v>#NAME?</v>
      </c>
      <c r="AL34" s="855" t="e" cm="1">
        <f t="array" ca="1" aca="1" ref="AL34">_xlfn.LET(_xlpm.val,IF($F34="",val_blankRefText,_xldudf_CX_GET(CX_ENTITY,($F34),AL$11,AL$14,,(AL$19))),_xlpm.Res,IF(OR(_xlpm.val="",_xlpm.val="Error"),"",_xlpm.val),_xlpm.Res)</f>
        <v>#NAME?</v>
      </c>
      <c r="AM34" s="855" t="e" cm="1">
        <f t="array" ca="1" aca="1" ref="AM34">_xlfn.LET(_xlpm.val,IF($F34="",val_blankRefText,_xldudf_CX_GET(CX_ENTITY,($F34),AM$11,AM$14,,(AM$19))),_xlpm.Res,IF(OR(_xlpm.val="",_xlpm.val="Error"),"",_xlpm.val),_xlpm.Res)</f>
        <v>#NAME?</v>
      </c>
      <c r="AN34" s="855" t="e" cm="1">
        <f t="array" ca="1" aca="1" ref="AN34">_xlfn.LET(_xlpm.val,IF($F34="",val_blankRefText,_xldudf_CX_GET(CX_ENTITY,($F34),AN$11,AN$14,,(AN$19))),_xlpm.Res,IF(OR(_xlpm.val="",_xlpm.val="Error"),"",_xlpm.val),_xlpm.Res)</f>
        <v>#NAME?</v>
      </c>
      <c r="AO34" s="855" t="e" cm="1">
        <f t="array" ca="1" aca="1" ref="AO34">_xlfn.LET(_xlpm.val,IF($F34="",val_blankRefText,_xldudf_CX_GET(CX_ENTITY,($F34),AO$11,AO$14,,(AO$19))),_xlpm.Res,IF(OR(_xlpm.val="",_xlpm.val="Error"),"",_xlpm.val),_xlpm.Res)</f>
        <v>#NAME?</v>
      </c>
      <c r="AP34" s="855" t="e" cm="1">
        <f t="array" ca="1" aca="1" ref="AP34">_xlfn.LET(_xlpm.val,IF($F34="",val_blankRefText,_xldudf_CX_GET(CX_ENTITY,($F34),AP$11,AP$14,,(AP$19))),_xlpm.Res,IF(OR(_xlpm.val="",_xlpm.val="Error"),"",_xlpm.val),_xlpm.Res)</f>
        <v>#NAME?</v>
      </c>
      <c r="AQ34" s="855" t="e" cm="1">
        <f t="array" ca="1" aca="1" ref="AQ34">_xlfn.LET(_xlpm.val,IF($F34="",val_blankRefText,_xldudf_CX_GET(CX_ENTITY,($F34),AQ$11,AQ$14,,(AQ$19))),_xlpm.Res,IF(OR(_xlpm.val="",_xlpm.val="Error"),"",_xlpm.val),_xlpm.Res)</f>
        <v>#NAME?</v>
      </c>
      <c r="AR34" s="855" t="e" cm="1">
        <f t="array" ca="1" aca="1" ref="AR34">_xlfn.LET(_xlpm.val,IF($F34="",val_blankRefText,_xldudf_CX_GET(CX_ENTITY,($F34),AR$11,AR$14,,(AR$19))),_xlpm.Res,IF(OR(_xlpm.val="",_xlpm.val="Error"),"",_xlpm.val),_xlpm.Res)</f>
        <v>#NAME?</v>
      </c>
      <c r="AS34" s="855" t="e" cm="1">
        <f t="array" ca="1" aca="1" ref="AS34">_xlfn.LET(_xlpm.val,IF($F34="",val_blankRefText,_xldudf_CX_GET(CX_ENTITY,($F34),AS$11,AS$14,,(AS$19))),_xlpm.Res,IF(OR(_xlpm.val="",_xlpm.val="Error"),"",_xlpm.val),_xlpm.Res)</f>
        <v>#NAME?</v>
      </c>
      <c r="AT34" s="855" t="e" cm="1">
        <f t="array" ca="1" aca="1" ref="AT34">_xlfn.LET(_xlpm.val,IF($F34="",val_blankRefText,_xldudf_CX_GET(CX_ENTITY,($F34),AT$11,AT$14,,(AT$19))),_xlpm.Res,IF(OR(_xlpm.val="",_xlpm.val="Error"),"",_xlpm.val),_xlpm.Res)</f>
        <v>#NAME?</v>
      </c>
      <c r="AU34" s="855" t="e" cm="1">
        <f t="array" ca="1" aca="1" ref="AU34">_xlfn.LET(_xlpm.val,IF($F34="",val_blankRefText,_xldudf_CX_GET(CX_ENTITY,($F34),AU$11,AU$14,,(AU$19))),_xlpm.Res,IF(OR(_xlpm.val="",_xlpm.val="Error"),"",_xlpm.val),_xlpm.Res)</f>
        <v>#NAME?</v>
      </c>
      <c r="AV34" s="855" t="e" cm="1">
        <f t="array" ca="1" aca="1" ref="AV34">_xlfn.LET(_xlpm.val,IF($F34="",val_blankRefText,_xldudf_CX_GET(CX_ENTITY,($F34),AV$11,AV$14,,(AV$19))),_xlpm.Res,IF(OR(_xlpm.val="",_xlpm.val="Error"),"",_xlpm.val),_xlpm.Res)</f>
        <v>#NAME?</v>
      </c>
      <c r="AW34" s="855" t="e" cm="1">
        <f t="array" ca="1" aca="1" ref="AW34">_xlfn.LET(_xlpm.val,IF($F34="",val_blankRefText,_xldudf_CX_GET(CX_ENTITY,($F34),AW$11,AW$14,,(AW$19))),_xlpm.Res,IF(OR(_xlpm.val="",_xlpm.val="Error"),"",_xlpm.val),_xlpm.Res)</f>
        <v>#NAME?</v>
      </c>
      <c r="AX34" s="855" t="e" cm="1">
        <f t="array" ca="1" aca="1" ref="AX34">_xlfn.LET(_xlpm.val,IF($F34="",val_blankRefText,_xldudf_CX_GET(CX_ENTITY,($F34),AX$11,AX$14,,(AX$19))),_xlpm.Res,IF(OR(_xlpm.val="",_xlpm.val="Error"),"",_xlpm.val),_xlpm.Res)</f>
        <v>#NAME?</v>
      </c>
      <c r="AY34" s="855" t="e" cm="1">
        <f t="array" ca="1" aca="1" ref="AY34">_xlfn.LET(_xlpm.val,IF($F34="",val_blankRefText,_xldudf_CX_GET(CX_ENTITY,($F34),AY$11,AY$14,,(AY$19))),_xlpm.Res,IF(OR(_xlpm.val="",_xlpm.val="Error"),"",_xlpm.val),_xlpm.Res)</f>
        <v>#NAME?</v>
      </c>
      <c r="AZ34" s="855" t="e" cm="1">
        <f t="array" ca="1" aca="1" ref="AZ34">_xlfn.LET(_xlpm.val,IF($F34="",val_blankRefText,_xldudf_CX_GET(CX_ENTITY,($F34),AZ$11,AZ$14,,(AZ$19))),_xlpm.Res,IF(OR(_xlpm.val="",_xlpm.val="Error"),"",_xlpm.val),_xlpm.Res)</f>
        <v>#NAME?</v>
      </c>
      <c r="BA34" s="855" t="e" cm="1">
        <f t="array" ca="1" aca="1" ref="BA34">_xlfn.LET(_xlpm.val,IF($F34="",val_blankRefText,_xldudf_CX_GET(CX_ENTITY,($F34),BA$11,BA$14,,(BA$19))),_xlpm.Res,IF(OR(_xlpm.val="",_xlpm.val="Error"),"",_xlpm.val),_xlpm.Res)</f>
        <v>#NAME?</v>
      </c>
      <c r="BB34" s="855" t="e" cm="1">
        <f t="array" ca="1" aca="1" ref="BB34">_xlfn.LET(_xlpm.val,IF($F34="",val_blankRefText,_xldudf_CX_GET(CX_ENTITY,($F34),BB$11,BB$14,,(BB$19))),_xlpm.Res,IF(OR(_xlpm.val="",_xlpm.val="Error"),"",_xlpm.val),_xlpm.Res)</f>
        <v>#NAME?</v>
      </c>
      <c r="BC34" s="855" t="e" cm="1">
        <f t="array" ca="1" aca="1" ref="BC34">_xlfn.LET(_xlpm.val,IF($F34="",val_blankRefText,_xldudf_CX_GET(CX_ENTITY,($F34),BC$11,BC$14,,(BC$19))),_xlpm.Res,IF(OR(_xlpm.val="",_xlpm.val="Error"),"",_xlpm.val),_xlpm.Res)</f>
        <v>#NAME?</v>
      </c>
      <c r="BD34" s="855" t="e" cm="1">
        <f t="array" ca="1" aca="1" ref="BD34">_xlfn.LET(_xlpm.val,IF($F34="",val_blankRefText,_xldudf_CX_GET(CX_ENTITY,($F34),BD$11,BD$14,,(BD$19))),_xlpm.Res,IF(OR(_xlpm.val="",_xlpm.val="Error"),"",_xlpm.val),_xlpm.Res)</f>
        <v>#NAME?</v>
      </c>
      <c r="BE34" s="855" t="e" cm="1">
        <f t="array" ca="1" aca="1" ref="BE34">_xlfn.LET(_xlpm.val,IF($F34="",val_blankRefText,_xldudf_CX_GET(CX_ENTITY,($F34),BE$11,BE$14,,(BE$19))),_xlpm.Res,IF(OR(_xlpm.val="",_xlpm.val="Error"),"",_xlpm.val),_xlpm.Res)</f>
        <v>#NAME?</v>
      </c>
      <c r="BF34" s="855" t="e" cm="1">
        <f t="array" ca="1" aca="1" ref="BF34">_xlfn.LET(_xlpm.val,IF($F34="",val_blankRefText,_xldudf_CX_GET(CX_ENTITY,($F34),BF$11,BF$14,,(BF$19))),_xlpm.Res,IF(OR(_xlpm.val="",_xlpm.val="Error"),"",_xlpm.val),_xlpm.Res)</f>
        <v>#NAME?</v>
      </c>
      <c r="BG34" s="855" t="e" cm="1">
        <f t="array" ca="1" aca="1" ref="BG34">_xlfn.LET(_xlpm.val,IF($F34="",val_blankRefText,_xldudf_CX_GET(CX_ENTITY,($F34),BG$11,BG$14,,(BG$19))),_xlpm.Res,IF(OR(_xlpm.val="",_xlpm.val="Error"),"",_xlpm.val),_xlpm.Res)</f>
        <v>#NAME?</v>
      </c>
      <c r="BH34" s="855" t="e" cm="1">
        <f t="array" ca="1" aca="1" ref="BH34">_xlfn.LET(_xlpm.val,IF($F34="",val_blankRefText,_xldudf_CX_GET(CX_ENTITY,($F34),BH$11,BH$14,,(BH$19))),_xlpm.Res,IF(OR(_xlpm.val="",_xlpm.val="Error"),"",_xlpm.val),_xlpm.Res)</f>
        <v>#NAME?</v>
      </c>
      <c r="BI34" s="855" t="e" cm="1">
        <f t="array" ca="1" aca="1" ref="BI34">_xlfn.LET(_xlpm.val,IF($F34="",val_blankRefText,_xldudf_CX_GET(CX_ENTITY,($F34),BI$11,BI$14,,(BI$19))),_xlpm.Res,IF(OR(_xlpm.val="",_xlpm.val="Error"),"",_xlpm.val),_xlpm.Res)</f>
        <v>#NAME?</v>
      </c>
      <c r="BJ34" s="855" t="e" cm="1">
        <f t="array" ca="1" aca="1" ref="BJ34">_xlfn.LET(_xlpm.val,IF($F34="",val_blankRefText,_xldudf_CX_GET(CX_ENTITY,($F34),BJ$11,BJ$14,,(BJ$19))),_xlpm.Res,IF(OR(_xlpm.val="",_xlpm.val="Error"),"",_xlpm.val),_xlpm.Res)</f>
        <v>#NAME?</v>
      </c>
      <c r="BK34" s="855" t="e" cm="1">
        <f t="array" ca="1" aca="1" ref="BK34">_xlfn.LET(_xlpm.val,IF($F34="",val_blankRefText,_xldudf_CX_GET(CX_ENTITY,($F34),BK$11,BK$14,,(BK$19))),_xlpm.Res,IF(OR(_xlpm.val="",_xlpm.val="Error"),"",_xlpm.val),_xlpm.Res)</f>
        <v>#NAME?</v>
      </c>
      <c r="BL34" s="855" t="e" cm="1">
        <f t="array" ca="1" aca="1" ref="BL34">_xlfn.LET(_xlpm.val,IF($F34="",val_blankRefText,_xldudf_CX_GET(CX_ENTITY,($F34),BL$11,BL$14,,(BL$19))),_xlpm.Res,IF(OR(_xlpm.val="",_xlpm.val="Error"),"",_xlpm.val),_xlpm.Res)</f>
        <v>#NAME?</v>
      </c>
      <c r="BM34" s="855" t="e" cm="1">
        <f t="array" ca="1" aca="1" ref="BM34">_xlfn.LET(_xlpm.val,IF($F34="",val_blankRefText,_xldudf_CX_GET(CX_ENTITY,($F34),BM$11,BM$14,,(BM$19))),_xlpm.Res,IF(OR(_xlpm.val="",_xlpm.val="Error"),"",_xlpm.val),_xlpm.Res)</f>
        <v>#NAME?</v>
      </c>
      <c r="BN34" s="855" t="e" cm="1">
        <f t="array" ca="1" aca="1" ref="BN34">_xlfn.LET(_xlpm.val,IF($F34="",val_blankRefText,_xldudf_CX_GET(CX_ENTITY,($F34),BN$11,BN$14,,(BN$19))),_xlpm.Res,IF(OR(_xlpm.val="",_xlpm.val="Error"),"",_xlpm.val),_xlpm.Res)</f>
        <v>#NAME?</v>
      </c>
      <c r="BO34" s="1844"/>
      <c r="BP34" s="1844"/>
      <c r="BQ34" s="1844"/>
      <c r="BR34" s="1844"/>
      <c r="BS34" s="1844"/>
      <c r="BT34" s="1844"/>
      <c r="BU34" s="1844"/>
      <c r="BV34" s="1844"/>
      <c r="BW34" s="1844"/>
      <c r="BX34" s="1844"/>
      <c r="BY34" s="1844"/>
      <c r="BZ34" s="1844"/>
      <c r="CA34" s="34"/>
      <c r="CC34" s="33"/>
      <c r="CD34" s="1461" t="e" cm="1">
        <f t="array" ca="1" aca="1" ref="CD34">_xlfn.LET(_xlpm.CheckBlank,SUM(CF!$AD34:$BN34)=0,IF(_xlpm.CheckBlank,"",SUM(_xlfn._xlws.FILTER(CF!$AD34:$BN34,(YEAR(CF!$AD$12:$BN$12)=CF!CD$12)*(array_timeline&lt;=CF!CD$11)))))</f>
        <v>#NAME?</v>
      </c>
      <c r="CE34" s="1461" t="e" cm="1">
        <f t="array" ca="1" aca="1" ref="CE34">_xlfn.LET(_xlpm.CheckBlank,SUM(CF!$AD34:$BN34)=0,IF(_xlpm.CheckBlank,"",SUM(_xlfn._xlws.FILTER(CF!$AD34:$BN34,(YEAR(CF!$AD$12:$BN$12)=CF!CE$12)*(array_timeline&lt;=CF!CE$11)))))</f>
        <v>#NAME?</v>
      </c>
      <c r="CF34" s="1314"/>
      <c r="CG34" s="1461" t="e" cm="1">
        <f t="array" ca="1" aca="1" ref="CG34">_xlfn.LET(_xlpm.CheckBlank,SUM(CF!$AD34:$BN34)=0,IF(_xlpm.CheckBlank,"",SUM(_xlfn._xlws.FILTER(CF!$AD34:$BN34,(YEAR(CF!$AD$12:$BN$12)=CF!CG$12)*(array_timeline&lt;=CF!CG$11)))))</f>
        <v>#NAME?</v>
      </c>
      <c r="CH34" s="1461" t="e" cm="1">
        <f t="array" ca="1" aca="1" ref="CH34">_xlfn.LET(_xlpm.CheckBlank,SUM(CF!$AD34:$BN34)=0,IF(_xlpm.CheckBlank,"",SUM(_xlfn._xlws.FILTER(CF!$AD34:$BN34,(YEAR(CF!$AD$12:$BN$12)=CF!CH$12)*(array_timeline&lt;=CF!CH$11)))))</f>
        <v>#NAME?</v>
      </c>
      <c r="CI34" s="1314"/>
      <c r="CJ34" s="1657" cm="1">
        <f t="array" ref="CJ34">_xlfn.LET(_xlpm.CheckBlank,SUM(CF!$AD34:$BN34)=0,IF(_xlpm.CheckBlank,"",SUM(_xlfn.TAKE(_xlfn.DROP(CF!$AD34:$BN34,,-DATEDIFF(CF!CJ$11,val_asOfDate,"M")),1,-12))))</f>
        <v>12</v>
      </c>
      <c r="CK34" s="1657" cm="1">
        <f t="array" ref="CK34">_xlfn.LET(_xlpm.CheckBlank,SUM(CF!$AD34:$BN34)=0,IF(_xlpm.CheckBlank,"",SUM(_xlfn.TAKE(_xlfn.DROP(CF!$AD34:$BN34,,-DATEDIFF(CF!CK$11,val_asOfDate,"M")),1,-12))))</f>
        <v>12</v>
      </c>
      <c r="CL34" s="88"/>
      <c r="CM34" s="541" t="e" cm="1">
        <f t="array" ca="1" aca="1" ref="CM34">_xlfn.LET(_xlpm.val,IF($F34="",val_blankRefText,_xldudf_CX_GET(CX_ENTITY,($F34),CM$11,CM$14,,(CM$19))),_xlpm.Res,IF(OR(_xlpm.val="",_xlpm.val="Error"),"",_xlpm.val),_xlpm.Res)</f>
        <v>#NAME?</v>
      </c>
      <c r="CN34" s="541" t="e" cm="1">
        <f t="array" ca="1" aca="1" ref="CN34">_xlfn.LET(_xlpm.val,IF($F34="",val_blankRefText,_xldudf_CX_GET(CX_ENTITY,($F34),CN$11,CN$14,,(CN$19))),_xlpm.Res,IF(OR(_xlpm.val="",_xlpm.val="Error"),"",_xlpm.val),_xlpm.Res)</f>
        <v>#NAME?</v>
      </c>
      <c r="CO34" s="34"/>
      <c r="CR34" s="4"/>
      <c r="CS34" s="4"/>
      <c r="CW34" s="4"/>
    </row>
    <row r="35" spans="1:101" ht="21" customHeight="1">
      <c r="A35" s="696"/>
      <c r="B35" s="574" t="s">
        <v>252</v>
      </c>
      <c r="C35" s="574" t="s">
        <v>1685</v>
      </c>
      <c r="D35" s="574"/>
      <c r="E35" s="577" t="e" cm="1">
        <f t="array" ca="1" aca="1" ref="E35">_xlfn.LET(_xlpm.Attr,$C35,_xlpm.Lookback,$E$16,_xlpm.QueryDate,EOMONTH(val_asOfDate,_xlpm.Lookback),_xlpm.ReadField,_xldudf_CX_GET(CX_ENTITY,fx_attrConverter($C35),_xlpm.QueryDate),_xlpm.AttrBlank,_xlpm.Attr="",_xlpm.RESULT,IF(_xlpm.AttrBlank,val_blankRefText,fx_attrConverter(_xlpm.ReadField,0)),IF(_xlpm.RESULT="Error","",_xlpm.RESULT))</f>
        <v>#NAME?</v>
      </c>
      <c r="F35" s="577" t="str">
        <f t="shared" si="1"/>
        <v>Other Financing Cash Flows</v>
      </c>
      <c r="G35" s="401"/>
      <c r="H35" s="3280">
        <v>1</v>
      </c>
      <c r="I35" s="3280">
        <v>1</v>
      </c>
      <c r="J35" s="401"/>
      <c r="K35" s="401"/>
      <c r="L35" s="3269" t="b">
        <v>1</v>
      </c>
      <c r="N35" s="158"/>
      <c r="O35" s="101"/>
      <c r="P35" s="52"/>
      <c r="Q35" s="101"/>
      <c r="R35" s="126"/>
      <c r="S35" s="101"/>
      <c r="T35" s="101"/>
      <c r="U35" s="39"/>
      <c r="W35" s="932" t="str">
        <f t="shared" si="4"/>
        <v>Actual</v>
      </c>
      <c r="X35" s="761" t="s">
        <v>62</v>
      </c>
      <c r="Y35" s="88" t="e" cm="1">
        <f t="array" ca="1" aca="1" ref="Y35">IF($B35="",IFBLANK($E35,"Please select or type in or leave as blank"),IFBLANK($E35,$B35))</f>
        <v>#NAME?</v>
      </c>
      <c r="Z35" s="3300" cm="1">
        <f t="array" ref="Z35">_xlfn.SWITCH(TRUE,_CF!$L35=TRUE,1,_CF!$L35=FALSE,-1,_CF!$L35=-1,0,"n/a")</f>
        <v>1</v>
      </c>
      <c r="AA35" s="200"/>
      <c r="AB35" s="88" t="s">
        <v>252</v>
      </c>
      <c r="AC35" s="88"/>
      <c r="AD35" s="855" t="e" cm="1">
        <f t="array" ca="1" aca="1" ref="AD35">_xlfn.LET(_xlpm.val,IF($F35="",val_blankRefText,_xldudf_CX_GET(CX_ENTITY,($F35),AD$11,AD$14,,(AD$19))),_xlpm.Res,IF(OR(_xlpm.val="",_xlpm.val="Error"),"",_xlpm.val),_xlpm.Res)</f>
        <v>#NAME?</v>
      </c>
      <c r="AE35" s="855" t="e" cm="1">
        <f t="array" ca="1" aca="1" ref="AE35">_xlfn.LET(_xlpm.val,IF($F35="",val_blankRefText,_xldudf_CX_GET(CX_ENTITY,($F35),AE$11,AE$14,,(AE$19))),_xlpm.Res,IF(OR(_xlpm.val="",_xlpm.val="Error"),"",_xlpm.val),_xlpm.Res)</f>
        <v>#NAME?</v>
      </c>
      <c r="AF35" s="855" t="e" cm="1">
        <f t="array" ca="1" aca="1" ref="AF35">_xlfn.LET(_xlpm.val,IF($F35="",val_blankRefText,_xldudf_CX_GET(CX_ENTITY,($F35),AF$11,AF$14,,(AF$19))),_xlpm.Res,IF(OR(_xlpm.val="",_xlpm.val="Error"),"",_xlpm.val),_xlpm.Res)</f>
        <v>#NAME?</v>
      </c>
      <c r="AG35" s="855" t="e" cm="1">
        <f t="array" ca="1" aca="1" ref="AG35">_xlfn.LET(_xlpm.val,IF($F35="",val_blankRefText,_xldudf_CX_GET(CX_ENTITY,($F35),AG$11,AG$14,,(AG$19))),_xlpm.Res,IF(OR(_xlpm.val="",_xlpm.val="Error"),"",_xlpm.val),_xlpm.Res)</f>
        <v>#NAME?</v>
      </c>
      <c r="AH35" s="855" t="e" cm="1">
        <f t="array" ca="1" aca="1" ref="AH35">_xlfn.LET(_xlpm.val,IF($F35="",val_blankRefText,_xldudf_CX_GET(CX_ENTITY,($F35),AH$11,AH$14,,(AH$19))),_xlpm.Res,IF(OR(_xlpm.val="",_xlpm.val="Error"),"",_xlpm.val),_xlpm.Res)</f>
        <v>#NAME?</v>
      </c>
      <c r="AI35" s="855" t="e" cm="1">
        <f t="array" ca="1" aca="1" ref="AI35">_xlfn.LET(_xlpm.val,IF($F35="",val_blankRefText,_xldudf_CX_GET(CX_ENTITY,($F35),AI$11,AI$14,,(AI$19))),_xlpm.Res,IF(OR(_xlpm.val="",_xlpm.val="Error"),"",_xlpm.val),_xlpm.Res)</f>
        <v>#NAME?</v>
      </c>
      <c r="AJ35" s="855" t="e" cm="1">
        <f t="array" ca="1" aca="1" ref="AJ35">_xlfn.LET(_xlpm.val,IF($F35="",val_blankRefText,_xldudf_CX_GET(CX_ENTITY,($F35),AJ$11,AJ$14,,(AJ$19))),_xlpm.Res,IF(OR(_xlpm.val="",_xlpm.val="Error"),"",_xlpm.val),_xlpm.Res)</f>
        <v>#NAME?</v>
      </c>
      <c r="AK35" s="855" t="e" cm="1">
        <f t="array" ca="1" aca="1" ref="AK35">_xlfn.LET(_xlpm.val,IF($F35="",val_blankRefText,_xldudf_CX_GET(CX_ENTITY,($F35),AK$11,AK$14,,(AK$19))),_xlpm.Res,IF(OR(_xlpm.val="",_xlpm.val="Error"),"",_xlpm.val),_xlpm.Res)</f>
        <v>#NAME?</v>
      </c>
      <c r="AL35" s="855" t="e" cm="1">
        <f t="array" ca="1" aca="1" ref="AL35">_xlfn.LET(_xlpm.val,IF($F35="",val_blankRefText,_xldudf_CX_GET(CX_ENTITY,($F35),AL$11,AL$14,,(AL$19))),_xlpm.Res,IF(OR(_xlpm.val="",_xlpm.val="Error"),"",_xlpm.val),_xlpm.Res)</f>
        <v>#NAME?</v>
      </c>
      <c r="AM35" s="855" t="e" cm="1">
        <f t="array" ca="1" aca="1" ref="AM35">_xlfn.LET(_xlpm.val,IF($F35="",val_blankRefText,_xldudf_CX_GET(CX_ENTITY,($F35),AM$11,AM$14,,(AM$19))),_xlpm.Res,IF(OR(_xlpm.val="",_xlpm.val="Error"),"",_xlpm.val),_xlpm.Res)</f>
        <v>#NAME?</v>
      </c>
      <c r="AN35" s="855" t="e" cm="1">
        <f t="array" ca="1" aca="1" ref="AN35">_xlfn.LET(_xlpm.val,IF($F35="",val_blankRefText,_xldudf_CX_GET(CX_ENTITY,($F35),AN$11,AN$14,,(AN$19))),_xlpm.Res,IF(OR(_xlpm.val="",_xlpm.val="Error"),"",_xlpm.val),_xlpm.Res)</f>
        <v>#NAME?</v>
      </c>
      <c r="AO35" s="855" t="e" cm="1">
        <f t="array" ca="1" aca="1" ref="AO35">_xlfn.LET(_xlpm.val,IF($F35="",val_blankRefText,_xldudf_CX_GET(CX_ENTITY,($F35),AO$11,AO$14,,(AO$19))),_xlpm.Res,IF(OR(_xlpm.val="",_xlpm.val="Error"),"",_xlpm.val),_xlpm.Res)</f>
        <v>#NAME?</v>
      </c>
      <c r="AP35" s="855" t="e" cm="1">
        <f t="array" ca="1" aca="1" ref="AP35">_xlfn.LET(_xlpm.val,IF($F35="",val_blankRefText,_xldudf_CX_GET(CX_ENTITY,($F35),AP$11,AP$14,,(AP$19))),_xlpm.Res,IF(OR(_xlpm.val="",_xlpm.val="Error"),"",_xlpm.val),_xlpm.Res)</f>
        <v>#NAME?</v>
      </c>
      <c r="AQ35" s="855" t="e" cm="1">
        <f t="array" ca="1" aca="1" ref="AQ35">_xlfn.LET(_xlpm.val,IF($F35="",val_blankRefText,_xldudf_CX_GET(CX_ENTITY,($F35),AQ$11,AQ$14,,(AQ$19))),_xlpm.Res,IF(OR(_xlpm.val="",_xlpm.val="Error"),"",_xlpm.val),_xlpm.Res)</f>
        <v>#NAME?</v>
      </c>
      <c r="AR35" s="855" t="e" cm="1">
        <f t="array" ca="1" aca="1" ref="AR35">_xlfn.LET(_xlpm.val,IF($F35="",val_blankRefText,_xldudf_CX_GET(CX_ENTITY,($F35),AR$11,AR$14,,(AR$19))),_xlpm.Res,IF(OR(_xlpm.val="",_xlpm.val="Error"),"",_xlpm.val),_xlpm.Res)</f>
        <v>#NAME?</v>
      </c>
      <c r="AS35" s="855" t="e" cm="1">
        <f t="array" ca="1" aca="1" ref="AS35">_xlfn.LET(_xlpm.val,IF($F35="",val_blankRefText,_xldudf_CX_GET(CX_ENTITY,($F35),AS$11,AS$14,,(AS$19))),_xlpm.Res,IF(OR(_xlpm.val="",_xlpm.val="Error"),"",_xlpm.val),_xlpm.Res)</f>
        <v>#NAME?</v>
      </c>
      <c r="AT35" s="855" t="e" cm="1">
        <f t="array" ca="1" aca="1" ref="AT35">_xlfn.LET(_xlpm.val,IF($F35="",val_blankRefText,_xldudf_CX_GET(CX_ENTITY,($F35),AT$11,AT$14,,(AT$19))),_xlpm.Res,IF(OR(_xlpm.val="",_xlpm.val="Error"),"",_xlpm.val),_xlpm.Res)</f>
        <v>#NAME?</v>
      </c>
      <c r="AU35" s="855" t="e" cm="1">
        <f t="array" ca="1" aca="1" ref="AU35">_xlfn.LET(_xlpm.val,IF($F35="",val_blankRefText,_xldudf_CX_GET(CX_ENTITY,($F35),AU$11,AU$14,,(AU$19))),_xlpm.Res,IF(OR(_xlpm.val="",_xlpm.val="Error"),"",_xlpm.val),_xlpm.Res)</f>
        <v>#NAME?</v>
      </c>
      <c r="AV35" s="855" t="e" cm="1">
        <f t="array" ca="1" aca="1" ref="AV35">_xlfn.LET(_xlpm.val,IF($F35="",val_blankRefText,_xldudf_CX_GET(CX_ENTITY,($F35),AV$11,AV$14,,(AV$19))),_xlpm.Res,IF(OR(_xlpm.val="",_xlpm.val="Error"),"",_xlpm.val),_xlpm.Res)</f>
        <v>#NAME?</v>
      </c>
      <c r="AW35" s="855" t="e" cm="1">
        <f t="array" ca="1" aca="1" ref="AW35">_xlfn.LET(_xlpm.val,IF($F35="",val_blankRefText,_xldudf_CX_GET(CX_ENTITY,($F35),AW$11,AW$14,,(AW$19))),_xlpm.Res,IF(OR(_xlpm.val="",_xlpm.val="Error"),"",_xlpm.val),_xlpm.Res)</f>
        <v>#NAME?</v>
      </c>
      <c r="AX35" s="855" t="e" cm="1">
        <f t="array" ca="1" aca="1" ref="AX35">_xlfn.LET(_xlpm.val,IF($F35="",val_blankRefText,_xldudf_CX_GET(CX_ENTITY,($F35),AX$11,AX$14,,(AX$19))),_xlpm.Res,IF(OR(_xlpm.val="",_xlpm.val="Error"),"",_xlpm.val),_xlpm.Res)</f>
        <v>#NAME?</v>
      </c>
      <c r="AY35" s="855" t="e" cm="1">
        <f t="array" ca="1" aca="1" ref="AY35">_xlfn.LET(_xlpm.val,IF($F35="",val_blankRefText,_xldudf_CX_GET(CX_ENTITY,($F35),AY$11,AY$14,,(AY$19))),_xlpm.Res,IF(OR(_xlpm.val="",_xlpm.val="Error"),"",_xlpm.val),_xlpm.Res)</f>
        <v>#NAME?</v>
      </c>
      <c r="AZ35" s="855" t="e" cm="1">
        <f t="array" ca="1" aca="1" ref="AZ35">_xlfn.LET(_xlpm.val,IF($F35="",val_blankRefText,_xldudf_CX_GET(CX_ENTITY,($F35),AZ$11,AZ$14,,(AZ$19))),_xlpm.Res,IF(OR(_xlpm.val="",_xlpm.val="Error"),"",_xlpm.val),_xlpm.Res)</f>
        <v>#NAME?</v>
      </c>
      <c r="BA35" s="855" t="e" cm="1">
        <f t="array" ca="1" aca="1" ref="BA35">_xlfn.LET(_xlpm.val,IF($F35="",val_blankRefText,_xldudf_CX_GET(CX_ENTITY,($F35),BA$11,BA$14,,(BA$19))),_xlpm.Res,IF(OR(_xlpm.val="",_xlpm.val="Error"),"",_xlpm.val),_xlpm.Res)</f>
        <v>#NAME?</v>
      </c>
      <c r="BB35" s="855" t="e" cm="1">
        <f t="array" ca="1" aca="1" ref="BB35">_xlfn.LET(_xlpm.val,IF($F35="",val_blankRefText,_xldudf_CX_GET(CX_ENTITY,($F35),BB$11,BB$14,,(BB$19))),_xlpm.Res,IF(OR(_xlpm.val="",_xlpm.val="Error"),"",_xlpm.val),_xlpm.Res)</f>
        <v>#NAME?</v>
      </c>
      <c r="BC35" s="855" t="e" cm="1">
        <f t="array" ca="1" aca="1" ref="BC35">_xlfn.LET(_xlpm.val,IF($F35="",val_blankRefText,_xldudf_CX_GET(CX_ENTITY,($F35),BC$11,BC$14,,(BC$19))),_xlpm.Res,IF(OR(_xlpm.val="",_xlpm.val="Error"),"",_xlpm.val),_xlpm.Res)</f>
        <v>#NAME?</v>
      </c>
      <c r="BD35" s="855" t="e" cm="1">
        <f t="array" ca="1" aca="1" ref="BD35">_xlfn.LET(_xlpm.val,IF($F35="",val_blankRefText,_xldudf_CX_GET(CX_ENTITY,($F35),BD$11,BD$14,,(BD$19))),_xlpm.Res,IF(OR(_xlpm.val="",_xlpm.val="Error"),"",_xlpm.val),_xlpm.Res)</f>
        <v>#NAME?</v>
      </c>
      <c r="BE35" s="855" t="e" cm="1">
        <f t="array" ca="1" aca="1" ref="BE35">_xlfn.LET(_xlpm.val,IF($F35="",val_blankRefText,_xldudf_CX_GET(CX_ENTITY,($F35),BE$11,BE$14,,(BE$19))),_xlpm.Res,IF(OR(_xlpm.val="",_xlpm.val="Error"),"",_xlpm.val),_xlpm.Res)</f>
        <v>#NAME?</v>
      </c>
      <c r="BF35" s="855" t="e" cm="1">
        <f t="array" ca="1" aca="1" ref="BF35">_xlfn.LET(_xlpm.val,IF($F35="",val_blankRefText,_xldudf_CX_GET(CX_ENTITY,($F35),BF$11,BF$14,,(BF$19))),_xlpm.Res,IF(OR(_xlpm.val="",_xlpm.val="Error"),"",_xlpm.val),_xlpm.Res)</f>
        <v>#NAME?</v>
      </c>
      <c r="BG35" s="855" t="e" cm="1">
        <f t="array" ca="1" aca="1" ref="BG35">_xlfn.LET(_xlpm.val,IF($F35="",val_blankRefText,_xldudf_CX_GET(CX_ENTITY,($F35),BG$11,BG$14,,(BG$19))),_xlpm.Res,IF(OR(_xlpm.val="",_xlpm.val="Error"),"",_xlpm.val),_xlpm.Res)</f>
        <v>#NAME?</v>
      </c>
      <c r="BH35" s="855" t="e" cm="1">
        <f t="array" ca="1" aca="1" ref="BH35">_xlfn.LET(_xlpm.val,IF($F35="",val_blankRefText,_xldudf_CX_GET(CX_ENTITY,($F35),BH$11,BH$14,,(BH$19))),_xlpm.Res,IF(OR(_xlpm.val="",_xlpm.val="Error"),"",_xlpm.val),_xlpm.Res)</f>
        <v>#NAME?</v>
      </c>
      <c r="BI35" s="855" t="e" cm="1">
        <f t="array" ca="1" aca="1" ref="BI35">_xlfn.LET(_xlpm.val,IF($F35="",val_blankRefText,_xldudf_CX_GET(CX_ENTITY,($F35),BI$11,BI$14,,(BI$19))),_xlpm.Res,IF(OR(_xlpm.val="",_xlpm.val="Error"),"",_xlpm.val),_xlpm.Res)</f>
        <v>#NAME?</v>
      </c>
      <c r="BJ35" s="855" t="e" cm="1">
        <f t="array" ca="1" aca="1" ref="BJ35">_xlfn.LET(_xlpm.val,IF($F35="",val_blankRefText,_xldudf_CX_GET(CX_ENTITY,($F35),BJ$11,BJ$14,,(BJ$19))),_xlpm.Res,IF(OR(_xlpm.val="",_xlpm.val="Error"),"",_xlpm.val),_xlpm.Res)</f>
        <v>#NAME?</v>
      </c>
      <c r="BK35" s="855" t="e" cm="1">
        <f t="array" ca="1" aca="1" ref="BK35">_xlfn.LET(_xlpm.val,IF($F35="",val_blankRefText,_xldudf_CX_GET(CX_ENTITY,($F35),BK$11,BK$14,,(BK$19))),_xlpm.Res,IF(OR(_xlpm.val="",_xlpm.val="Error"),"",_xlpm.val),_xlpm.Res)</f>
        <v>#NAME?</v>
      </c>
      <c r="BL35" s="855" t="e" cm="1">
        <f t="array" ca="1" aca="1" ref="BL35">_xlfn.LET(_xlpm.val,IF($F35="",val_blankRefText,_xldudf_CX_GET(CX_ENTITY,($F35),BL$11,BL$14,,(BL$19))),_xlpm.Res,IF(OR(_xlpm.val="",_xlpm.val="Error"),"",_xlpm.val),_xlpm.Res)</f>
        <v>#NAME?</v>
      </c>
      <c r="BM35" s="855" t="e" cm="1">
        <f t="array" ca="1" aca="1" ref="BM35">_xlfn.LET(_xlpm.val,IF($F35="",val_blankRefText,_xldudf_CX_GET(CX_ENTITY,($F35),BM$11,BM$14,,(BM$19))),_xlpm.Res,IF(OR(_xlpm.val="",_xlpm.val="Error"),"",_xlpm.val),_xlpm.Res)</f>
        <v>#NAME?</v>
      </c>
      <c r="BN35" s="855" t="e" cm="1">
        <f t="array" ca="1" aca="1" ref="BN35">_xlfn.LET(_xlpm.val,IF($F35="",val_blankRefText,_xldudf_CX_GET(CX_ENTITY,($F35),BN$11,BN$14,,(BN$19))),_xlpm.Res,IF(OR(_xlpm.val="",_xlpm.val="Error"),"",_xlpm.val),_xlpm.Res)</f>
        <v>#NAME?</v>
      </c>
      <c r="BO35" s="1844"/>
      <c r="BP35" s="1844"/>
      <c r="BQ35" s="1844"/>
      <c r="BR35" s="1844"/>
      <c r="BS35" s="1844"/>
      <c r="BT35" s="1844"/>
      <c r="BU35" s="1844"/>
      <c r="BV35" s="1844"/>
      <c r="BW35" s="1844"/>
      <c r="BX35" s="1844"/>
      <c r="BY35" s="1844"/>
      <c r="BZ35" s="1844"/>
      <c r="CA35" s="34"/>
      <c r="CC35" s="33"/>
      <c r="CD35" s="1461" t="e" cm="1">
        <f t="array" ca="1" aca="1" ref="CD35">_xlfn.LET(_xlpm.CheckBlank,SUM(CF!$AD35:$BN35)=0,IF(_xlpm.CheckBlank,"",SUM(_xlfn._xlws.FILTER(CF!$AD35:$BN35,(YEAR(CF!$AD$12:$BN$12)=CF!CD$12)*(array_timeline&lt;=CF!CD$11)))))</f>
        <v>#NAME?</v>
      </c>
      <c r="CE35" s="1461" t="e" cm="1">
        <f t="array" ca="1" aca="1" ref="CE35">_xlfn.LET(_xlpm.CheckBlank,SUM(CF!$AD35:$BN35)=0,IF(_xlpm.CheckBlank,"",SUM(_xlfn._xlws.FILTER(CF!$AD35:$BN35,(YEAR(CF!$AD$12:$BN$12)=CF!CE$12)*(array_timeline&lt;=CF!CE$11)))))</f>
        <v>#NAME?</v>
      </c>
      <c r="CF35" s="1314"/>
      <c r="CG35" s="1461" t="e" cm="1">
        <f t="array" ca="1" aca="1" ref="CG35">_xlfn.LET(_xlpm.CheckBlank,SUM(CF!$AD35:$BN35)=0,IF(_xlpm.CheckBlank,"",SUM(_xlfn._xlws.FILTER(CF!$AD35:$BN35,(YEAR(CF!$AD$12:$BN$12)=CF!CG$12)*(array_timeline&lt;=CF!CG$11)))))</f>
        <v>#NAME?</v>
      </c>
      <c r="CH35" s="1461" t="e" cm="1">
        <f t="array" ca="1" aca="1" ref="CH35">_xlfn.LET(_xlpm.CheckBlank,SUM(CF!$AD35:$BN35)=0,IF(_xlpm.CheckBlank,"",SUM(_xlfn._xlws.FILTER(CF!$AD35:$BN35,(YEAR(CF!$AD$12:$BN$12)=CF!CH$12)*(array_timeline&lt;=CF!CH$11)))))</f>
        <v>#NAME?</v>
      </c>
      <c r="CI35" s="1314"/>
      <c r="CJ35" s="1657" cm="1">
        <f t="array" ref="CJ35">_xlfn.LET(_xlpm.CheckBlank,SUM(CF!$AD35:$BN35)=0,IF(_xlpm.CheckBlank,"",SUM(_xlfn.TAKE(_xlfn.DROP(CF!$AD35:$BN35,,-DATEDIFF(CF!CJ$11,val_asOfDate,"M")),1,-12))))</f>
        <v>12</v>
      </c>
      <c r="CK35" s="1657" cm="1">
        <f t="array" ref="CK35">_xlfn.LET(_xlpm.CheckBlank,SUM(CF!$AD35:$BN35)=0,IF(_xlpm.CheckBlank,"",SUM(_xlfn.TAKE(_xlfn.DROP(CF!$AD35:$BN35,,-DATEDIFF(CF!CK$11,val_asOfDate,"M")),1,-12))))</f>
        <v>12</v>
      </c>
      <c r="CL35" s="88"/>
      <c r="CM35" s="541" t="e" cm="1">
        <f t="array" ca="1" aca="1" ref="CM35">_xlfn.LET(_xlpm.val,IF($F35="",val_blankRefText,_xldudf_CX_GET(CX_ENTITY,($F35),CM$11,CM$14,,(CM$19))),_xlpm.Res,IF(OR(_xlpm.val="",_xlpm.val="Error"),"",_xlpm.val),_xlpm.Res)</f>
        <v>#NAME?</v>
      </c>
      <c r="CN35" s="541" t="e" cm="1">
        <f t="array" ca="1" aca="1" ref="CN35">_xlfn.LET(_xlpm.val,IF($F35="",val_blankRefText,_xldudf_CX_GET(CX_ENTITY,($F35),CN$11,CN$14,,(CN$19))),_xlpm.Res,IF(OR(_xlpm.val="",_xlpm.val="Error"),"",_xlpm.val),_xlpm.Res)</f>
        <v>#NAME?</v>
      </c>
      <c r="CO35" s="34"/>
      <c r="CR35" s="4"/>
      <c r="CS35" s="4"/>
      <c r="CW35" s="4"/>
    </row>
    <row r="36" spans="1:101" ht="21" customHeight="1">
      <c r="A36" s="696"/>
      <c r="B36" s="574" t="s">
        <v>253</v>
      </c>
      <c r="C36" s="574" t="s">
        <v>1686</v>
      </c>
      <c r="D36" s="574"/>
      <c r="E36" s="577" t="e" cm="1">
        <f t="array" ca="1" aca="1" ref="E36">_xlfn.LET(_xlpm.Attr,$C36,_xlpm.Lookback,$E$16,_xlpm.QueryDate,EOMONTH(val_asOfDate,_xlpm.Lookback),_xlpm.ReadField,_xldudf_CX_GET(CX_ENTITY,fx_attrConverter($C36),_xlpm.QueryDate),_xlpm.AttrBlank,_xlpm.Attr="",_xlpm.RESULT,IF(_xlpm.AttrBlank,val_blankRefText,fx_attrConverter(_xlpm.ReadField,0)),IF(_xlpm.RESULT="Error","",_xlpm.RESULT))</f>
        <v>#NAME?</v>
      </c>
      <c r="F36" s="577" t="str">
        <f t="shared" si="1"/>
        <v>Unreconciled Cash Flows</v>
      </c>
      <c r="G36" s="401"/>
      <c r="H36" s="3280">
        <v>1</v>
      </c>
      <c r="I36" s="3280">
        <v>1</v>
      </c>
      <c r="J36" s="401"/>
      <c r="K36" s="401"/>
      <c r="L36" s="579">
        <v>-1</v>
      </c>
      <c r="N36" s="158"/>
      <c r="O36" s="101"/>
      <c r="P36" s="52"/>
      <c r="Q36" s="2"/>
      <c r="R36" s="539"/>
      <c r="S36" s="2"/>
      <c r="T36" s="2"/>
      <c r="U36" s="39"/>
      <c r="W36" s="932" t="str">
        <f t="shared" si="4"/>
        <v>Actual</v>
      </c>
      <c r="X36" s="761" t="s">
        <v>62</v>
      </c>
      <c r="Y36" s="88" t="e" cm="1">
        <f t="array" ca="1" aca="1" ref="Y36">IF($B36="",IFBLANK($E36,"Please select or type in or leave as blank"),IFBLANK($E36,$B36))</f>
        <v>#NAME?</v>
      </c>
      <c r="Z36" s="200" cm="1">
        <f t="array" ref="Z36">_xlfn.SWITCH(TRUE,_CF!$L36=TRUE,1,_CF!$L36=FALSE,-1,_CF!$L36=-1,0,"n/a")</f>
        <v>0</v>
      </c>
      <c r="AA36" s="200"/>
      <c r="AB36" s="88" t="s">
        <v>253</v>
      </c>
      <c r="AC36" s="88"/>
      <c r="AD36" s="855" t="e" cm="1">
        <f t="array" ca="1" aca="1" ref="AD36">_xlfn.LET(_xlpm.val,IF($F36="",val_blankRefText,_xldudf_CX_GET(CX_ENTITY,($F36),AD$11,AD$14,,(AD$19))),_xlpm.Res,IF(OR(_xlpm.val="",_xlpm.val="Error"),"",_xlpm.val),_xlpm.Res)</f>
        <v>#NAME?</v>
      </c>
      <c r="AE36" s="855" t="e" cm="1">
        <f t="array" ca="1" aca="1" ref="AE36">_xlfn.LET(_xlpm.val,IF($F36="",val_blankRefText,_xldudf_CX_GET(CX_ENTITY,($F36),AE$11,AE$14,,(AE$19))),_xlpm.Res,IF(OR(_xlpm.val="",_xlpm.val="Error"),"",_xlpm.val),_xlpm.Res)</f>
        <v>#NAME?</v>
      </c>
      <c r="AF36" s="855" t="e" cm="1">
        <f t="array" ca="1" aca="1" ref="AF36">_xlfn.LET(_xlpm.val,IF($F36="",val_blankRefText,_xldudf_CX_GET(CX_ENTITY,($F36),AF$11,AF$14,,(AF$19))),_xlpm.Res,IF(OR(_xlpm.val="",_xlpm.val="Error"),"",_xlpm.val),_xlpm.Res)</f>
        <v>#NAME?</v>
      </c>
      <c r="AG36" s="855" t="e" cm="1">
        <f t="array" ca="1" aca="1" ref="AG36">_xlfn.LET(_xlpm.val,IF($F36="",val_blankRefText,_xldudf_CX_GET(CX_ENTITY,($F36),AG$11,AG$14,,(AG$19))),_xlpm.Res,IF(OR(_xlpm.val="",_xlpm.val="Error"),"",_xlpm.val),_xlpm.Res)</f>
        <v>#NAME?</v>
      </c>
      <c r="AH36" s="855" t="e" cm="1">
        <f t="array" ca="1" aca="1" ref="AH36">_xlfn.LET(_xlpm.val,IF($F36="",val_blankRefText,_xldudf_CX_GET(CX_ENTITY,($F36),AH$11,AH$14,,(AH$19))),_xlpm.Res,IF(OR(_xlpm.val="",_xlpm.val="Error"),"",_xlpm.val),_xlpm.Res)</f>
        <v>#NAME?</v>
      </c>
      <c r="AI36" s="855" t="e" cm="1">
        <f t="array" ca="1" aca="1" ref="AI36">_xlfn.LET(_xlpm.val,IF($F36="",val_blankRefText,_xldudf_CX_GET(CX_ENTITY,($F36),AI$11,AI$14,,(AI$19))),_xlpm.Res,IF(OR(_xlpm.val="",_xlpm.val="Error"),"",_xlpm.val),_xlpm.Res)</f>
        <v>#NAME?</v>
      </c>
      <c r="AJ36" s="855" t="e" cm="1">
        <f t="array" ca="1" aca="1" ref="AJ36">_xlfn.LET(_xlpm.val,IF($F36="",val_blankRefText,_xldudf_CX_GET(CX_ENTITY,($F36),AJ$11,AJ$14,,(AJ$19))),_xlpm.Res,IF(OR(_xlpm.val="",_xlpm.val="Error"),"",_xlpm.val),_xlpm.Res)</f>
        <v>#NAME?</v>
      </c>
      <c r="AK36" s="855" t="e" cm="1">
        <f t="array" ca="1" aca="1" ref="AK36">_xlfn.LET(_xlpm.val,IF($F36="",val_blankRefText,_xldudf_CX_GET(CX_ENTITY,($F36),AK$11,AK$14,,(AK$19))),_xlpm.Res,IF(OR(_xlpm.val="",_xlpm.val="Error"),"",_xlpm.val),_xlpm.Res)</f>
        <v>#NAME?</v>
      </c>
      <c r="AL36" s="855" t="e" cm="1">
        <f t="array" ca="1" aca="1" ref="AL36">_xlfn.LET(_xlpm.val,IF($F36="",val_blankRefText,_xldudf_CX_GET(CX_ENTITY,($F36),AL$11,AL$14,,(AL$19))),_xlpm.Res,IF(OR(_xlpm.val="",_xlpm.val="Error"),"",_xlpm.val),_xlpm.Res)</f>
        <v>#NAME?</v>
      </c>
      <c r="AM36" s="855" t="e" cm="1">
        <f t="array" ca="1" aca="1" ref="AM36">_xlfn.LET(_xlpm.val,IF($F36="",val_blankRefText,_xldudf_CX_GET(CX_ENTITY,($F36),AM$11,AM$14,,(AM$19))),_xlpm.Res,IF(OR(_xlpm.val="",_xlpm.val="Error"),"",_xlpm.val),_xlpm.Res)</f>
        <v>#NAME?</v>
      </c>
      <c r="AN36" s="855" t="e" cm="1">
        <f t="array" ca="1" aca="1" ref="AN36">_xlfn.LET(_xlpm.val,IF($F36="",val_blankRefText,_xldudf_CX_GET(CX_ENTITY,($F36),AN$11,AN$14,,(AN$19))),_xlpm.Res,IF(OR(_xlpm.val="",_xlpm.val="Error"),"",_xlpm.val),_xlpm.Res)</f>
        <v>#NAME?</v>
      </c>
      <c r="AO36" s="855" t="e" cm="1">
        <f t="array" ca="1" aca="1" ref="AO36">_xlfn.LET(_xlpm.val,IF($F36="",val_blankRefText,_xldudf_CX_GET(CX_ENTITY,($F36),AO$11,AO$14,,(AO$19))),_xlpm.Res,IF(OR(_xlpm.val="",_xlpm.val="Error"),"",_xlpm.val),_xlpm.Res)</f>
        <v>#NAME?</v>
      </c>
      <c r="AP36" s="855" t="e" cm="1">
        <f t="array" ca="1" aca="1" ref="AP36">_xlfn.LET(_xlpm.val,IF($F36="",val_blankRefText,_xldudf_CX_GET(CX_ENTITY,($F36),AP$11,AP$14,,(AP$19))),_xlpm.Res,IF(OR(_xlpm.val="",_xlpm.val="Error"),"",_xlpm.val),_xlpm.Res)</f>
        <v>#NAME?</v>
      </c>
      <c r="AQ36" s="855" t="e" cm="1">
        <f t="array" ca="1" aca="1" ref="AQ36">_xlfn.LET(_xlpm.val,IF($F36="",val_blankRefText,_xldudf_CX_GET(CX_ENTITY,($F36),AQ$11,AQ$14,,(AQ$19))),_xlpm.Res,IF(OR(_xlpm.val="",_xlpm.val="Error"),"",_xlpm.val),_xlpm.Res)</f>
        <v>#NAME?</v>
      </c>
      <c r="AR36" s="855" t="e" cm="1">
        <f t="array" ca="1" aca="1" ref="AR36">_xlfn.LET(_xlpm.val,IF($F36="",val_blankRefText,_xldudf_CX_GET(CX_ENTITY,($F36),AR$11,AR$14,,(AR$19))),_xlpm.Res,IF(OR(_xlpm.val="",_xlpm.val="Error"),"",_xlpm.val),_xlpm.Res)</f>
        <v>#NAME?</v>
      </c>
      <c r="AS36" s="855" t="e" cm="1">
        <f t="array" ca="1" aca="1" ref="AS36">_xlfn.LET(_xlpm.val,IF($F36="",val_blankRefText,_xldudf_CX_GET(CX_ENTITY,($F36),AS$11,AS$14,,(AS$19))),_xlpm.Res,IF(OR(_xlpm.val="",_xlpm.val="Error"),"",_xlpm.val),_xlpm.Res)</f>
        <v>#NAME?</v>
      </c>
      <c r="AT36" s="855" t="e" cm="1">
        <f t="array" ca="1" aca="1" ref="AT36">_xlfn.LET(_xlpm.val,IF($F36="",val_blankRefText,_xldudf_CX_GET(CX_ENTITY,($F36),AT$11,AT$14,,(AT$19))),_xlpm.Res,IF(OR(_xlpm.val="",_xlpm.val="Error"),"",_xlpm.val),_xlpm.Res)</f>
        <v>#NAME?</v>
      </c>
      <c r="AU36" s="855" t="e" cm="1">
        <f t="array" ca="1" aca="1" ref="AU36">_xlfn.LET(_xlpm.val,IF($F36="",val_blankRefText,_xldudf_CX_GET(CX_ENTITY,($F36),AU$11,AU$14,,(AU$19))),_xlpm.Res,IF(OR(_xlpm.val="",_xlpm.val="Error"),"",_xlpm.val),_xlpm.Res)</f>
        <v>#NAME?</v>
      </c>
      <c r="AV36" s="855" t="e" cm="1">
        <f t="array" ca="1" aca="1" ref="AV36">_xlfn.LET(_xlpm.val,IF($F36="",val_blankRefText,_xldudf_CX_GET(CX_ENTITY,($F36),AV$11,AV$14,,(AV$19))),_xlpm.Res,IF(OR(_xlpm.val="",_xlpm.val="Error"),"",_xlpm.val),_xlpm.Res)</f>
        <v>#NAME?</v>
      </c>
      <c r="AW36" s="855" t="e" cm="1">
        <f t="array" ca="1" aca="1" ref="AW36">_xlfn.LET(_xlpm.val,IF($F36="",val_blankRefText,_xldudf_CX_GET(CX_ENTITY,($F36),AW$11,AW$14,,(AW$19))),_xlpm.Res,IF(OR(_xlpm.val="",_xlpm.val="Error"),"",_xlpm.val),_xlpm.Res)</f>
        <v>#NAME?</v>
      </c>
      <c r="AX36" s="855" t="e" cm="1">
        <f t="array" ca="1" aca="1" ref="AX36">_xlfn.LET(_xlpm.val,IF($F36="",val_blankRefText,_xldudf_CX_GET(CX_ENTITY,($F36),AX$11,AX$14,,(AX$19))),_xlpm.Res,IF(OR(_xlpm.val="",_xlpm.val="Error"),"",_xlpm.val),_xlpm.Res)</f>
        <v>#NAME?</v>
      </c>
      <c r="AY36" s="855" t="e" cm="1">
        <f t="array" ca="1" aca="1" ref="AY36">_xlfn.LET(_xlpm.val,IF($F36="",val_blankRefText,_xldudf_CX_GET(CX_ENTITY,($F36),AY$11,AY$14,,(AY$19))),_xlpm.Res,IF(OR(_xlpm.val="",_xlpm.val="Error"),"",_xlpm.val),_xlpm.Res)</f>
        <v>#NAME?</v>
      </c>
      <c r="AZ36" s="855" t="e" cm="1">
        <f t="array" ca="1" aca="1" ref="AZ36">_xlfn.LET(_xlpm.val,IF($F36="",val_blankRefText,_xldudf_CX_GET(CX_ENTITY,($F36),AZ$11,AZ$14,,(AZ$19))),_xlpm.Res,IF(OR(_xlpm.val="",_xlpm.val="Error"),"",_xlpm.val),_xlpm.Res)</f>
        <v>#NAME?</v>
      </c>
      <c r="BA36" s="855" t="e" cm="1">
        <f t="array" ca="1" aca="1" ref="BA36">_xlfn.LET(_xlpm.val,IF($F36="",val_blankRefText,_xldudf_CX_GET(CX_ENTITY,($F36),BA$11,BA$14,,(BA$19))),_xlpm.Res,IF(OR(_xlpm.val="",_xlpm.val="Error"),"",_xlpm.val),_xlpm.Res)</f>
        <v>#NAME?</v>
      </c>
      <c r="BB36" s="855" t="e" cm="1">
        <f t="array" ca="1" aca="1" ref="BB36">_xlfn.LET(_xlpm.val,IF($F36="",val_blankRefText,_xldudf_CX_GET(CX_ENTITY,($F36),BB$11,BB$14,,(BB$19))),_xlpm.Res,IF(OR(_xlpm.val="",_xlpm.val="Error"),"",_xlpm.val),_xlpm.Res)</f>
        <v>#NAME?</v>
      </c>
      <c r="BC36" s="855" t="e" cm="1">
        <f t="array" ca="1" aca="1" ref="BC36">_xlfn.LET(_xlpm.val,IF($F36="",val_blankRefText,_xldudf_CX_GET(CX_ENTITY,($F36),BC$11,BC$14,,(BC$19))),_xlpm.Res,IF(OR(_xlpm.val="",_xlpm.val="Error"),"",_xlpm.val),_xlpm.Res)</f>
        <v>#NAME?</v>
      </c>
      <c r="BD36" s="855" t="e" cm="1">
        <f t="array" ca="1" aca="1" ref="BD36">_xlfn.LET(_xlpm.val,IF($F36="",val_blankRefText,_xldudf_CX_GET(CX_ENTITY,($F36),BD$11,BD$14,,(BD$19))),_xlpm.Res,IF(OR(_xlpm.val="",_xlpm.val="Error"),"",_xlpm.val),_xlpm.Res)</f>
        <v>#NAME?</v>
      </c>
      <c r="BE36" s="855" t="e" cm="1">
        <f t="array" ca="1" aca="1" ref="BE36">_xlfn.LET(_xlpm.val,IF($F36="",val_blankRefText,_xldudf_CX_GET(CX_ENTITY,($F36),BE$11,BE$14,,(BE$19))),_xlpm.Res,IF(OR(_xlpm.val="",_xlpm.val="Error"),"",_xlpm.val),_xlpm.Res)</f>
        <v>#NAME?</v>
      </c>
      <c r="BF36" s="855" t="e" cm="1">
        <f t="array" ca="1" aca="1" ref="BF36">_xlfn.LET(_xlpm.val,IF($F36="",val_blankRefText,_xldudf_CX_GET(CX_ENTITY,($F36),BF$11,BF$14,,(BF$19))),_xlpm.Res,IF(OR(_xlpm.val="",_xlpm.val="Error"),"",_xlpm.val),_xlpm.Res)</f>
        <v>#NAME?</v>
      </c>
      <c r="BG36" s="855" t="e" cm="1">
        <f t="array" ca="1" aca="1" ref="BG36">_xlfn.LET(_xlpm.val,IF($F36="",val_blankRefText,_xldudf_CX_GET(CX_ENTITY,($F36),BG$11,BG$14,,(BG$19))),_xlpm.Res,IF(OR(_xlpm.val="",_xlpm.val="Error"),"",_xlpm.val),_xlpm.Res)</f>
        <v>#NAME?</v>
      </c>
      <c r="BH36" s="855" t="e" cm="1">
        <f t="array" ca="1" aca="1" ref="BH36">_xlfn.LET(_xlpm.val,IF($F36="",val_blankRefText,_xldudf_CX_GET(CX_ENTITY,($F36),BH$11,BH$14,,(BH$19))),_xlpm.Res,IF(OR(_xlpm.val="",_xlpm.val="Error"),"",_xlpm.val),_xlpm.Res)</f>
        <v>#NAME?</v>
      </c>
      <c r="BI36" s="855" t="e" cm="1">
        <f t="array" ca="1" aca="1" ref="BI36">_xlfn.LET(_xlpm.val,IF($F36="",val_blankRefText,_xldudf_CX_GET(CX_ENTITY,($F36),BI$11,BI$14,,(BI$19))),_xlpm.Res,IF(OR(_xlpm.val="",_xlpm.val="Error"),"",_xlpm.val),_xlpm.Res)</f>
        <v>#NAME?</v>
      </c>
      <c r="BJ36" s="855" t="e" cm="1">
        <f t="array" ca="1" aca="1" ref="BJ36">_xlfn.LET(_xlpm.val,IF($F36="",val_blankRefText,_xldudf_CX_GET(CX_ENTITY,($F36),BJ$11,BJ$14,,(BJ$19))),_xlpm.Res,IF(OR(_xlpm.val="",_xlpm.val="Error"),"",_xlpm.val),_xlpm.Res)</f>
        <v>#NAME?</v>
      </c>
      <c r="BK36" s="855" t="e" cm="1">
        <f t="array" ca="1" aca="1" ref="BK36">_xlfn.LET(_xlpm.val,IF($F36="",val_blankRefText,_xldudf_CX_GET(CX_ENTITY,($F36),BK$11,BK$14,,(BK$19))),_xlpm.Res,IF(OR(_xlpm.val="",_xlpm.val="Error"),"",_xlpm.val),_xlpm.Res)</f>
        <v>#NAME?</v>
      </c>
      <c r="BL36" s="855" t="e" cm="1">
        <f t="array" ca="1" aca="1" ref="BL36">_xlfn.LET(_xlpm.val,IF($F36="",val_blankRefText,_xldudf_CX_GET(CX_ENTITY,($F36),BL$11,BL$14,,(BL$19))),_xlpm.Res,IF(OR(_xlpm.val="",_xlpm.val="Error"),"",_xlpm.val),_xlpm.Res)</f>
        <v>#NAME?</v>
      </c>
      <c r="BM36" s="855" t="e" cm="1">
        <f t="array" ca="1" aca="1" ref="BM36">_xlfn.LET(_xlpm.val,IF($F36="",val_blankRefText,_xldudf_CX_GET(CX_ENTITY,($F36),BM$11,BM$14,,(BM$19))),_xlpm.Res,IF(OR(_xlpm.val="",_xlpm.val="Error"),"",_xlpm.val),_xlpm.Res)</f>
        <v>#NAME?</v>
      </c>
      <c r="BN36" s="855" t="e" cm="1">
        <f t="array" ca="1" aca="1" ref="BN36">_xlfn.LET(_xlpm.val,IF($F36="",val_blankRefText,_xldudf_CX_GET(CX_ENTITY,($F36),BN$11,BN$14,,(BN$19))),_xlpm.Res,IF(OR(_xlpm.val="",_xlpm.val="Error"),"",_xlpm.val),_xlpm.Res)</f>
        <v>#NAME?</v>
      </c>
      <c r="BO36" s="1844"/>
      <c r="BP36" s="1844"/>
      <c r="BQ36" s="1844"/>
      <c r="BR36" s="1844"/>
      <c r="BS36" s="1844"/>
      <c r="BT36" s="1844"/>
      <c r="BU36" s="1844"/>
      <c r="BV36" s="1844"/>
      <c r="BW36" s="1844"/>
      <c r="BX36" s="1844"/>
      <c r="BY36" s="1844"/>
      <c r="BZ36" s="1844"/>
      <c r="CA36" s="384"/>
      <c r="CB36" s="12"/>
      <c r="CC36" s="33"/>
      <c r="CD36" s="1461" t="e" cm="1">
        <f t="array" ca="1" aca="1" ref="CD36">_xlfn.LET(_xlpm.CheckBlank,SUM(CF!$AD36:$BN36)=0,IF(_xlpm.CheckBlank,"",SUM(_xlfn._xlws.FILTER(CF!$AD36:$BN36,(YEAR(CF!$AD$12:$BN$12)=CF!CD$12)*(array_timeline&lt;=CF!CD$11)))))</f>
        <v>#NAME?</v>
      </c>
      <c r="CE36" s="1461" t="e" cm="1">
        <f t="array" ca="1" aca="1" ref="CE36">_xlfn.LET(_xlpm.CheckBlank,SUM(CF!$AD36:$BN36)=0,IF(_xlpm.CheckBlank,"",SUM(_xlfn._xlws.FILTER(CF!$AD36:$BN36,(YEAR(CF!$AD$12:$BN$12)=CF!CE$12)*(array_timeline&lt;=CF!CE$11)))))</f>
        <v>#NAME?</v>
      </c>
      <c r="CF36" s="1314"/>
      <c r="CG36" s="1461" t="e" cm="1">
        <f t="array" ca="1" aca="1" ref="CG36">_xlfn.LET(_xlpm.CheckBlank,SUM(CF!$AD36:$BN36)=0,IF(_xlpm.CheckBlank,"",SUM(_xlfn._xlws.FILTER(CF!$AD36:$BN36,(YEAR(CF!$AD$12:$BN$12)=CF!CG$12)*(array_timeline&lt;=CF!CG$11)))))</f>
        <v>#NAME?</v>
      </c>
      <c r="CH36" s="1461" t="e" cm="1">
        <f t="array" ca="1" aca="1" ref="CH36">_xlfn.LET(_xlpm.CheckBlank,SUM(CF!$AD36:$BN36)=0,IF(_xlpm.CheckBlank,"",SUM(_xlfn._xlws.FILTER(CF!$AD36:$BN36,(YEAR(CF!$AD$12:$BN$12)=CF!CH$12)*(array_timeline&lt;=CF!CH$11)))))</f>
        <v>#NAME?</v>
      </c>
      <c r="CI36" s="1314"/>
      <c r="CJ36" s="1657" cm="1">
        <f t="array" ca="1" aca="1" ref="CJ36">_xlfn.LET(_xlpm.CheckBlank,SUM(CF!$AD36:$BN36)=0,IF(_xlpm.CheckBlank,"",SUM(_xlfn.TAKE(_xlfn.DROP(CF!$AD36:$BN36,,-DATEDIFF(CF!CJ$11,val_asOfDate,"M")),1,-12))))</f>
        <v>-180</v>
      </c>
      <c r="CK36" s="1657" cm="1">
        <f t="array" ca="1" aca="1" ref="CK36">_xlfn.LET(_xlpm.CheckBlank,SUM(CF!$AD36:$BN36)=0,IF(_xlpm.CheckBlank,"",SUM(_xlfn.TAKE(_xlfn.DROP(CF!$AD36:$BN36,,-DATEDIFF(CF!CK$11,val_asOfDate,"M")),1,-12))))</f>
        <v>-180</v>
      </c>
      <c r="CL36" s="88"/>
      <c r="CM36" s="43" t="e" cm="1">
        <f t="array" ca="1" aca="1" ref="CM36">_xlfn.LET(_xlpm.val,IF($F36="",val_blankRefText,_xldudf_CX_GET(CX_ENTITY,($F36),CM$11,CM$14,,(CM$19))),_xlpm.Res,IF(OR(_xlpm.val="",_xlpm.val="Error"),"",_xlpm.val),_xlpm.Res)</f>
        <v>#NAME?</v>
      </c>
      <c r="CN36" s="43" t="e" cm="1">
        <f t="array" ca="1" aca="1" ref="CN36">_xlfn.LET(_xlpm.val,IF($F36="",val_blankRefText,_xldudf_CX_GET(CX_ENTITY,($F36),CN$11,CN$14,,(CN$19))),_xlpm.Res,IF(OR(_xlpm.val="",_xlpm.val="Error"),"",_xlpm.val),_xlpm.Res)</f>
        <v>#NAME?</v>
      </c>
      <c r="CO36" s="34"/>
      <c r="CR36" s="4"/>
      <c r="CS36" s="4"/>
      <c r="CW36" s="4"/>
    </row>
    <row r="37" spans="1:101" ht="21" customHeight="1">
      <c r="A37" s="696"/>
      <c r="B37" s="574" t="s">
        <v>254</v>
      </c>
      <c r="C37" s="574" t="s">
        <v>1687</v>
      </c>
      <c r="D37" s="574"/>
      <c r="E37" s="577" t="e" cm="1">
        <f t="array" ca="1" aca="1" ref="E37">_xlfn.LET(_xlpm.Attr,$C37,_xlpm.Lookback,$E$16,_xlpm.QueryDate,EOMONTH(val_asOfDate,_xlpm.Lookback),_xlpm.ReadField,_xldudf_CX_GET(CX_ENTITY,fx_attrConverter($C37),_xlpm.QueryDate),_xlpm.AttrBlank,_xlpm.Attr="",_xlpm.RESULT,IF(_xlpm.AttrBlank,val_blankRefText,fx_attrConverter(_xlpm.ReadField,0)),IF(_xlpm.RESULT="Error","",_xlpm.RESULT))</f>
        <v>#NAME?</v>
      </c>
      <c r="F37" s="577" t="str">
        <f t="shared" si="1"/>
        <v>Net Cash Flow</v>
      </c>
      <c r="G37" s="401"/>
      <c r="H37" s="3280">
        <v>2</v>
      </c>
      <c r="I37" s="3280">
        <v>1</v>
      </c>
      <c r="J37" s="401"/>
      <c r="K37" s="401"/>
      <c r="L37" s="579">
        <v>-1</v>
      </c>
      <c r="N37" s="158"/>
      <c r="O37" s="101"/>
      <c r="P37" s="52"/>
      <c r="Q37" s="101"/>
      <c r="R37" s="126"/>
      <c r="S37" s="101"/>
      <c r="T37" s="101"/>
      <c r="U37" s="39"/>
      <c r="W37" s="934" t="str">
        <f t="shared" si="4"/>
        <v>Actual</v>
      </c>
      <c r="X37" s="761">
        <v>0</v>
      </c>
      <c r="Y37" s="88" t="e" cm="1">
        <f t="array" ca="1" aca="1" ref="Y37">IF($B37="",IFBLANK($E37,"Please select or type in or leave as blank"),IFBLANK($E37,$B37))</f>
        <v>#NAME?</v>
      </c>
      <c r="Z37" s="787" cm="1">
        <f t="array" ref="Z37">_xlfn.SWITCH(TRUE,_CF!$L37=TRUE,1,_CF!$L37=FALSE,-1,_CF!$L37=-1,0,"n/a")</f>
        <v>0</v>
      </c>
      <c r="AA37" s="200"/>
      <c r="AB37" s="88" t="s">
        <v>254</v>
      </c>
      <c r="AC37" s="88"/>
      <c r="AD37" s="855" t="e" cm="1">
        <f t="array" ca="1" aca="1" ref="AD37">_xlfn.LET(_xlpm.val,IF($F37="",val_blankRefText,_xldudf_CX_GET(CX_ENTITY,($F37),AD$11,AD$14,,(AD$19))),_xlpm.Res,IF(OR(_xlpm.val="",_xlpm.val="Error"),"",_xlpm.val),_xlpm.Res)</f>
        <v>#NAME?</v>
      </c>
      <c r="AE37" s="855" t="e" cm="1">
        <f t="array" ca="1" aca="1" ref="AE37">_xlfn.LET(_xlpm.val,IF($F37="",val_blankRefText,_xldudf_CX_GET(CX_ENTITY,($F37),AE$11,AE$14,,(AE$19))),_xlpm.Res,IF(OR(_xlpm.val="",_xlpm.val="Error"),"",_xlpm.val),_xlpm.Res)</f>
        <v>#NAME?</v>
      </c>
      <c r="AF37" s="855" t="e" cm="1">
        <f t="array" ca="1" aca="1" ref="AF37">_xlfn.LET(_xlpm.val,IF($F37="",val_blankRefText,_xldudf_CX_GET(CX_ENTITY,($F37),AF$11,AF$14,,(AF$19))),_xlpm.Res,IF(OR(_xlpm.val="",_xlpm.val="Error"),"",_xlpm.val),_xlpm.Res)</f>
        <v>#NAME?</v>
      </c>
      <c r="AG37" s="855" t="e" cm="1">
        <f t="array" ca="1" aca="1" ref="AG37">_xlfn.LET(_xlpm.val,IF($F37="",val_blankRefText,_xldudf_CX_GET(CX_ENTITY,($F37),AG$11,AG$14,,(AG$19))),_xlpm.Res,IF(OR(_xlpm.val="",_xlpm.val="Error"),"",_xlpm.val),_xlpm.Res)</f>
        <v>#NAME?</v>
      </c>
      <c r="AH37" s="855" t="e" cm="1">
        <f t="array" ca="1" aca="1" ref="AH37">_xlfn.LET(_xlpm.val,IF($F37="",val_blankRefText,_xldudf_CX_GET(CX_ENTITY,($F37),AH$11,AH$14,,(AH$19))),_xlpm.Res,IF(OR(_xlpm.val="",_xlpm.val="Error"),"",_xlpm.val),_xlpm.Res)</f>
        <v>#NAME?</v>
      </c>
      <c r="AI37" s="855" t="e" cm="1">
        <f t="array" ca="1" aca="1" ref="AI37">_xlfn.LET(_xlpm.val,IF($F37="",val_blankRefText,_xldudf_CX_GET(CX_ENTITY,($F37),AI$11,AI$14,,(AI$19))),_xlpm.Res,IF(OR(_xlpm.val="",_xlpm.val="Error"),"",_xlpm.val),_xlpm.Res)</f>
        <v>#NAME?</v>
      </c>
      <c r="AJ37" s="855" t="e" cm="1">
        <f t="array" ca="1" aca="1" ref="AJ37">_xlfn.LET(_xlpm.val,IF($F37="",val_blankRefText,_xldudf_CX_GET(CX_ENTITY,($F37),AJ$11,AJ$14,,(AJ$19))),_xlpm.Res,IF(OR(_xlpm.val="",_xlpm.val="Error"),"",_xlpm.val),_xlpm.Res)</f>
        <v>#NAME?</v>
      </c>
      <c r="AK37" s="855" t="e" cm="1">
        <f t="array" ca="1" aca="1" ref="AK37">_xlfn.LET(_xlpm.val,IF($F37="",val_blankRefText,_xldudf_CX_GET(CX_ENTITY,($F37),AK$11,AK$14,,(AK$19))),_xlpm.Res,IF(OR(_xlpm.val="",_xlpm.val="Error"),"",_xlpm.val),_xlpm.Res)</f>
        <v>#NAME?</v>
      </c>
      <c r="AL37" s="855" t="e" cm="1">
        <f t="array" ca="1" aca="1" ref="AL37">_xlfn.LET(_xlpm.val,IF($F37="",val_blankRefText,_xldudf_CX_GET(CX_ENTITY,($F37),AL$11,AL$14,,(AL$19))),_xlpm.Res,IF(OR(_xlpm.val="",_xlpm.val="Error"),"",_xlpm.val),_xlpm.Res)</f>
        <v>#NAME?</v>
      </c>
      <c r="AM37" s="855" t="e" cm="1">
        <f t="array" ca="1" aca="1" ref="AM37">_xlfn.LET(_xlpm.val,IF($F37="",val_blankRefText,_xldudf_CX_GET(CX_ENTITY,($F37),AM$11,AM$14,,(AM$19))),_xlpm.Res,IF(OR(_xlpm.val="",_xlpm.val="Error"),"",_xlpm.val),_xlpm.Res)</f>
        <v>#NAME?</v>
      </c>
      <c r="AN37" s="855" t="e" cm="1">
        <f t="array" ca="1" aca="1" ref="AN37">_xlfn.LET(_xlpm.val,IF($F37="",val_blankRefText,_xldudf_CX_GET(CX_ENTITY,($F37),AN$11,AN$14,,(AN$19))),_xlpm.Res,IF(OR(_xlpm.val="",_xlpm.val="Error"),"",_xlpm.val),_xlpm.Res)</f>
        <v>#NAME?</v>
      </c>
      <c r="AO37" s="855" t="e" cm="1">
        <f t="array" ca="1" aca="1" ref="AO37">_xlfn.LET(_xlpm.val,IF($F37="",val_blankRefText,_xldudf_CX_GET(CX_ENTITY,($F37),AO$11,AO$14,,(AO$19))),_xlpm.Res,IF(OR(_xlpm.val="",_xlpm.val="Error"),"",_xlpm.val),_xlpm.Res)</f>
        <v>#NAME?</v>
      </c>
      <c r="AP37" s="855" t="e" cm="1">
        <f t="array" ca="1" aca="1" ref="AP37">_xlfn.LET(_xlpm.val,IF($F37="",val_blankRefText,_xldudf_CX_GET(CX_ENTITY,($F37),AP$11,AP$14,,(AP$19))),_xlpm.Res,IF(OR(_xlpm.val="",_xlpm.val="Error"),"",_xlpm.val),_xlpm.Res)</f>
        <v>#NAME?</v>
      </c>
      <c r="AQ37" s="855" t="e" cm="1">
        <f t="array" ca="1" aca="1" ref="AQ37">_xlfn.LET(_xlpm.val,IF($F37="",val_blankRefText,_xldudf_CX_GET(CX_ENTITY,($F37),AQ$11,AQ$14,,(AQ$19))),_xlpm.Res,IF(OR(_xlpm.val="",_xlpm.val="Error"),"",_xlpm.val),_xlpm.Res)</f>
        <v>#NAME?</v>
      </c>
      <c r="AR37" s="855" t="e" cm="1">
        <f t="array" ca="1" aca="1" ref="AR37">_xlfn.LET(_xlpm.val,IF($F37="",val_blankRefText,_xldudf_CX_GET(CX_ENTITY,($F37),AR$11,AR$14,,(AR$19))),_xlpm.Res,IF(OR(_xlpm.val="",_xlpm.val="Error"),"",_xlpm.val),_xlpm.Res)</f>
        <v>#NAME?</v>
      </c>
      <c r="AS37" s="855" t="e" cm="1">
        <f t="array" ca="1" aca="1" ref="AS37">_xlfn.LET(_xlpm.val,IF($F37="",val_blankRefText,_xldudf_CX_GET(CX_ENTITY,($F37),AS$11,AS$14,,(AS$19))),_xlpm.Res,IF(OR(_xlpm.val="",_xlpm.val="Error"),"",_xlpm.val),_xlpm.Res)</f>
        <v>#NAME?</v>
      </c>
      <c r="AT37" s="855" t="e" cm="1">
        <f t="array" ca="1" aca="1" ref="AT37">_xlfn.LET(_xlpm.val,IF($F37="",val_blankRefText,_xldudf_CX_GET(CX_ENTITY,($F37),AT$11,AT$14,,(AT$19))),_xlpm.Res,IF(OR(_xlpm.val="",_xlpm.val="Error"),"",_xlpm.val),_xlpm.Res)</f>
        <v>#NAME?</v>
      </c>
      <c r="AU37" s="855" t="e" cm="1">
        <f t="array" ca="1" aca="1" ref="AU37">_xlfn.LET(_xlpm.val,IF($F37="",val_blankRefText,_xldudf_CX_GET(CX_ENTITY,($F37),AU$11,AU$14,,(AU$19))),_xlpm.Res,IF(OR(_xlpm.val="",_xlpm.val="Error"),"",_xlpm.val),_xlpm.Res)</f>
        <v>#NAME?</v>
      </c>
      <c r="AV37" s="855" t="e" cm="1">
        <f t="array" ca="1" aca="1" ref="AV37">_xlfn.LET(_xlpm.val,IF($F37="",val_blankRefText,_xldudf_CX_GET(CX_ENTITY,($F37),AV$11,AV$14,,(AV$19))),_xlpm.Res,IF(OR(_xlpm.val="",_xlpm.val="Error"),"",_xlpm.val),_xlpm.Res)</f>
        <v>#NAME?</v>
      </c>
      <c r="AW37" s="855" t="e" cm="1">
        <f t="array" ca="1" aca="1" ref="AW37">_xlfn.LET(_xlpm.val,IF($F37="",val_blankRefText,_xldudf_CX_GET(CX_ENTITY,($F37),AW$11,AW$14,,(AW$19))),_xlpm.Res,IF(OR(_xlpm.val="",_xlpm.val="Error"),"",_xlpm.val),_xlpm.Res)</f>
        <v>#NAME?</v>
      </c>
      <c r="AX37" s="855" t="e" cm="1">
        <f t="array" ca="1" aca="1" ref="AX37">_xlfn.LET(_xlpm.val,IF($F37="",val_blankRefText,_xldudf_CX_GET(CX_ENTITY,($F37),AX$11,AX$14,,(AX$19))),_xlpm.Res,IF(OR(_xlpm.val="",_xlpm.val="Error"),"",_xlpm.val),_xlpm.Res)</f>
        <v>#NAME?</v>
      </c>
      <c r="AY37" s="855" t="e" cm="1">
        <f t="array" ca="1" aca="1" ref="AY37">_xlfn.LET(_xlpm.val,IF($F37="",val_blankRefText,_xldudf_CX_GET(CX_ENTITY,($F37),AY$11,AY$14,,(AY$19))),_xlpm.Res,IF(OR(_xlpm.val="",_xlpm.val="Error"),"",_xlpm.val),_xlpm.Res)</f>
        <v>#NAME?</v>
      </c>
      <c r="AZ37" s="855" t="e" cm="1">
        <f t="array" ca="1" aca="1" ref="AZ37">_xlfn.LET(_xlpm.val,IF($F37="",val_blankRefText,_xldudf_CX_GET(CX_ENTITY,($F37),AZ$11,AZ$14,,(AZ$19))),_xlpm.Res,IF(OR(_xlpm.val="",_xlpm.val="Error"),"",_xlpm.val),_xlpm.Res)</f>
        <v>#NAME?</v>
      </c>
      <c r="BA37" s="855" t="e" cm="1">
        <f t="array" ca="1" aca="1" ref="BA37">_xlfn.LET(_xlpm.val,IF($F37="",val_blankRefText,_xldudf_CX_GET(CX_ENTITY,($F37),BA$11,BA$14,,(BA$19))),_xlpm.Res,IF(OR(_xlpm.val="",_xlpm.val="Error"),"",_xlpm.val),_xlpm.Res)</f>
        <v>#NAME?</v>
      </c>
      <c r="BB37" s="855" t="e" cm="1">
        <f t="array" ca="1" aca="1" ref="BB37">_xlfn.LET(_xlpm.val,IF($F37="",val_blankRefText,_xldudf_CX_GET(CX_ENTITY,($F37),BB$11,BB$14,,(BB$19))),_xlpm.Res,IF(OR(_xlpm.val="",_xlpm.val="Error"),"",_xlpm.val),_xlpm.Res)</f>
        <v>#NAME?</v>
      </c>
      <c r="BC37" s="855" t="e" cm="1">
        <f t="array" ca="1" aca="1" ref="BC37">_xlfn.LET(_xlpm.val,IF($F37="",val_blankRefText,_xldudf_CX_GET(CX_ENTITY,($F37),BC$11,BC$14,,(BC$19))),_xlpm.Res,IF(OR(_xlpm.val="",_xlpm.val="Error"),"",_xlpm.val),_xlpm.Res)</f>
        <v>#NAME?</v>
      </c>
      <c r="BD37" s="855" t="e" cm="1">
        <f t="array" ca="1" aca="1" ref="BD37">_xlfn.LET(_xlpm.val,IF($F37="",val_blankRefText,_xldudf_CX_GET(CX_ENTITY,($F37),BD$11,BD$14,,(BD$19))),_xlpm.Res,IF(OR(_xlpm.val="",_xlpm.val="Error"),"",_xlpm.val),_xlpm.Res)</f>
        <v>#NAME?</v>
      </c>
      <c r="BE37" s="855" t="e" cm="1">
        <f t="array" ca="1" aca="1" ref="BE37">_xlfn.LET(_xlpm.val,IF($F37="",val_blankRefText,_xldudf_CX_GET(CX_ENTITY,($F37),BE$11,BE$14,,(BE$19))),_xlpm.Res,IF(OR(_xlpm.val="",_xlpm.val="Error"),"",_xlpm.val),_xlpm.Res)</f>
        <v>#NAME?</v>
      </c>
      <c r="BF37" s="855" t="e" cm="1">
        <f t="array" ca="1" aca="1" ref="BF37">_xlfn.LET(_xlpm.val,IF($F37="",val_blankRefText,_xldudf_CX_GET(CX_ENTITY,($F37),BF$11,BF$14,,(BF$19))),_xlpm.Res,IF(OR(_xlpm.val="",_xlpm.val="Error"),"",_xlpm.val),_xlpm.Res)</f>
        <v>#NAME?</v>
      </c>
      <c r="BG37" s="855" t="e" cm="1">
        <f t="array" ca="1" aca="1" ref="BG37">_xlfn.LET(_xlpm.val,IF($F37="",val_blankRefText,_xldudf_CX_GET(CX_ENTITY,($F37),BG$11,BG$14,,(BG$19))),_xlpm.Res,IF(OR(_xlpm.val="",_xlpm.val="Error"),"",_xlpm.val),_xlpm.Res)</f>
        <v>#NAME?</v>
      </c>
      <c r="BH37" s="855" t="e" cm="1">
        <f t="array" ca="1" aca="1" ref="BH37">_xlfn.LET(_xlpm.val,IF($F37="",val_blankRefText,_xldudf_CX_GET(CX_ENTITY,($F37),BH$11,BH$14,,(BH$19))),_xlpm.Res,IF(OR(_xlpm.val="",_xlpm.val="Error"),"",_xlpm.val),_xlpm.Res)</f>
        <v>#NAME?</v>
      </c>
      <c r="BI37" s="855" t="e" cm="1">
        <f t="array" ca="1" aca="1" ref="BI37">_xlfn.LET(_xlpm.val,IF($F37="",val_blankRefText,_xldudf_CX_GET(CX_ENTITY,($F37),BI$11,BI$14,,(BI$19))),_xlpm.Res,IF(OR(_xlpm.val="",_xlpm.val="Error"),"",_xlpm.val),_xlpm.Res)</f>
        <v>#NAME?</v>
      </c>
      <c r="BJ37" s="855" t="e" cm="1">
        <f t="array" ca="1" aca="1" ref="BJ37">_xlfn.LET(_xlpm.val,IF($F37="",val_blankRefText,_xldudf_CX_GET(CX_ENTITY,($F37),BJ$11,BJ$14,,(BJ$19))),_xlpm.Res,IF(OR(_xlpm.val="",_xlpm.val="Error"),"",_xlpm.val),_xlpm.Res)</f>
        <v>#NAME?</v>
      </c>
      <c r="BK37" s="855" t="e" cm="1">
        <f t="array" ca="1" aca="1" ref="BK37">_xlfn.LET(_xlpm.val,IF($F37="",val_blankRefText,_xldudf_CX_GET(CX_ENTITY,($F37),BK$11,BK$14,,(BK$19))),_xlpm.Res,IF(OR(_xlpm.val="",_xlpm.val="Error"),"",_xlpm.val),_xlpm.Res)</f>
        <v>#NAME?</v>
      </c>
      <c r="BL37" s="855" t="e" cm="1">
        <f t="array" ca="1" aca="1" ref="BL37">_xlfn.LET(_xlpm.val,IF($F37="",val_blankRefText,_xldudf_CX_GET(CX_ENTITY,($F37),BL$11,BL$14,,(BL$19))),_xlpm.Res,IF(OR(_xlpm.val="",_xlpm.val="Error"),"",_xlpm.val),_xlpm.Res)</f>
        <v>#NAME?</v>
      </c>
      <c r="BM37" s="855" t="e" cm="1">
        <f t="array" ca="1" aca="1" ref="BM37">_xlfn.LET(_xlpm.val,IF($F37="",val_blankRefText,_xldudf_CX_GET(CX_ENTITY,($F37),BM$11,BM$14,,(BM$19))),_xlpm.Res,IF(OR(_xlpm.val="",_xlpm.val="Error"),"",_xlpm.val),_xlpm.Res)</f>
        <v>#NAME?</v>
      </c>
      <c r="BN37" s="855" t="e" cm="1">
        <f t="array" ca="1" aca="1" ref="BN37">_xlfn.LET(_xlpm.val,IF($F37="",val_blankRefText,_xldudf_CX_GET(CX_ENTITY,($F37),BN$11,BN$14,,(BN$19))),_xlpm.Res,IF(OR(_xlpm.val="",_xlpm.val="Error"),"",_xlpm.val),_xlpm.Res)</f>
        <v>#NAME?</v>
      </c>
      <c r="BO37" s="1844"/>
      <c r="BP37" s="1844"/>
      <c r="BQ37" s="1844"/>
      <c r="BR37" s="1844"/>
      <c r="BS37" s="1844"/>
      <c r="BT37" s="1844"/>
      <c r="BU37" s="1844"/>
      <c r="BV37" s="1844"/>
      <c r="BW37" s="1844"/>
      <c r="BX37" s="1844"/>
      <c r="BY37" s="1844"/>
      <c r="BZ37" s="1844"/>
      <c r="CA37" s="34"/>
      <c r="CC37" s="33"/>
      <c r="CD37" s="1964" t="e" cm="1">
        <f t="array" ca="1" aca="1" ref="CD37">_xlfn.LET(_xlpm.CheckBlank,SUM(CF!$AD37:$BN37)=0,IF(_xlpm.CheckBlank,"",SUM(_xlfn._xlws.FILTER(CF!$AD37:$BN37,(YEAR(CF!$AD$12:$BN$12)=CF!CD$12)*(array_timeline&lt;=CF!CD$11)))))</f>
        <v>#NAME?</v>
      </c>
      <c r="CE37" s="1461" t="e" cm="1">
        <f t="array" ca="1" aca="1" ref="CE37">_xlfn.LET(_xlpm.CheckBlank,SUM(CF!$AD37:$BN37)=0,IF(_xlpm.CheckBlank,"",SUM(_xlfn._xlws.FILTER(CF!$AD37:$BN37,(YEAR(CF!$AD$12:$BN$12)=CF!CE$12)*(array_timeline&lt;=CF!CE$11)))))</f>
        <v>#NAME?</v>
      </c>
      <c r="CF37" s="1314"/>
      <c r="CG37" s="1461" t="e" cm="1">
        <f t="array" ca="1" aca="1" ref="CG37">_xlfn.LET(_xlpm.CheckBlank,SUM(CF!$AD37:$BN37)=0,SUM(_xlfn._xlws.FILTER(CF!$AD37:$BN37,(YEAR(CF!$AD$12:$BN$12)=CF!CG$12)*(array_timeline&lt;=CF!CG$11))))</f>
        <v>#NAME?</v>
      </c>
      <c r="CH37" s="1461" t="e" cm="1">
        <f t="array" ca="1" aca="1" ref="CH37">_xlfn.LET(_xlpm.CheckBlank,SUM(CF!$AD37:$BN37)=0,SUM(_xlfn._xlws.FILTER(CF!$AD37:$BN37,(YEAR(CF!$AD$12:$BN$12)=CF!CH$12)*(array_timeline&lt;=CF!CH$11))))</f>
        <v>#NAME?</v>
      </c>
      <c r="CI37" s="1314"/>
      <c r="CJ37" s="1657" cm="1">
        <f t="array" ca="1" aca="1" ref="CJ37">_xlfn.LET(_xlpm.CheckBlank,SUM(CF!$AD37:$BN37)=0,IF(_xlpm.CheckBlank,"",SUM(_xlfn.TAKE(_xlfn.DROP(CF!$AD37:$BN37,,-DATEDIFF(CF!CJ$11,val_asOfDate,"M")),1,-12))))</f>
        <v>0</v>
      </c>
      <c r="CK37" s="1657" cm="1">
        <f t="array" ca="1" aca="1" ref="CK37">_xlfn.LET(_xlpm.CheckBlank,SUM(CF!$AD37:$BN37)=0,IF(_xlpm.CheckBlank,"",SUM(_xlfn.TAKE(_xlfn.DROP(CF!$AD37:$BN37,,-DATEDIFF(CF!CK$11,val_asOfDate,"M")),1,-12))))</f>
        <v>0</v>
      </c>
      <c r="CL37" s="88"/>
      <c r="CM37" s="541" t="e" cm="1">
        <f t="array" ca="1" aca="1" ref="CM37">_xlfn.LET(_xlpm.val,IF($F37="",val_blankRefText,_xldudf_CX_GET(CX_ENTITY,($F37),CM$11,CM$14,,(CM$19))),_xlpm.Res,IF(OR(_xlpm.val="",_xlpm.val="Error"),"",_xlpm.val),_xlpm.Res)</f>
        <v>#NAME?</v>
      </c>
      <c r="CN37" s="541" t="e" cm="1">
        <f t="array" ca="1" aca="1" ref="CN37">_xlfn.LET(_xlpm.val,IF($F37="",val_blankRefText,_xldudf_CX_GET(CX_ENTITY,($F37),CN$11,CN$14,,(CN$19))),_xlpm.Res,IF(OR(_xlpm.val="",_xlpm.val="Error"),"",_xlpm.val),_xlpm.Res)</f>
        <v>#NAME?</v>
      </c>
      <c r="CO37" s="34"/>
      <c r="CR37" s="4"/>
      <c r="CS37" s="4"/>
      <c r="CW37" s="4"/>
    </row>
    <row r="38" spans="1:101" ht="15.5">
      <c r="A38" s="696"/>
      <c r="B38" s="574"/>
      <c r="C38" s="574"/>
      <c r="D38" s="574"/>
      <c r="E38" s="574"/>
      <c r="F38" s="577"/>
      <c r="G38" s="401"/>
      <c r="H38" s="574"/>
      <c r="I38" s="574"/>
      <c r="J38" s="574"/>
      <c r="K38" s="574"/>
      <c r="L38" s="579"/>
      <c r="N38" s="158"/>
      <c r="O38" s="101"/>
      <c r="P38" s="52"/>
      <c r="Q38" s="101"/>
      <c r="R38" s="126"/>
      <c r="S38" s="101"/>
      <c r="T38" s="101"/>
      <c r="U38" s="39"/>
      <c r="W38" s="91"/>
      <c r="X38" s="127"/>
      <c r="Y38" s="127"/>
      <c r="Z38" s="803"/>
      <c r="AA38" s="803"/>
      <c r="AB38" s="97"/>
      <c r="AC38" s="97"/>
      <c r="AD38" s="97"/>
      <c r="AE38" s="97"/>
      <c r="AF38" s="97"/>
      <c r="AG38" s="97"/>
      <c r="AH38" s="97"/>
      <c r="AI38" s="97"/>
      <c r="AJ38" s="97"/>
      <c r="AK38" s="97"/>
      <c r="AL38" s="97"/>
      <c r="AM38" s="97"/>
      <c r="AN38" s="97"/>
      <c r="AO38" s="97"/>
      <c r="AP38" s="97"/>
      <c r="AQ38" s="97"/>
      <c r="AR38" s="97"/>
      <c r="AS38" s="97"/>
      <c r="AT38" s="97"/>
      <c r="AU38" s="97"/>
      <c r="AV38" s="97"/>
      <c r="AW38" s="97"/>
      <c r="AX38" s="97"/>
      <c r="AY38" s="97"/>
      <c r="AZ38" s="97"/>
      <c r="BA38" s="97"/>
      <c r="BB38" s="97"/>
      <c r="BC38" s="97"/>
      <c r="BD38" s="97"/>
      <c r="BE38" s="97"/>
      <c r="BF38" s="97"/>
      <c r="BG38" s="97"/>
      <c r="BH38" s="97"/>
      <c r="BI38" s="97"/>
      <c r="BJ38" s="97"/>
      <c r="BK38" s="97"/>
      <c r="BL38" s="97"/>
      <c r="BM38" s="97"/>
      <c r="BN38" s="97"/>
      <c r="BO38" s="97"/>
      <c r="BP38" s="97"/>
      <c r="BQ38" s="97"/>
      <c r="BR38" s="97"/>
      <c r="BS38" s="97"/>
      <c r="BT38" s="97"/>
      <c r="BU38" s="97"/>
      <c r="BV38" s="97"/>
      <c r="BW38" s="97"/>
      <c r="BX38" s="97"/>
      <c r="BY38" s="97"/>
      <c r="BZ38" s="97"/>
      <c r="CA38" s="384"/>
      <c r="CB38" s="12"/>
      <c r="CC38" s="33"/>
      <c r="CD38" s="1314"/>
      <c r="CE38" s="1314"/>
      <c r="CF38" s="1314"/>
      <c r="CG38" s="1490"/>
      <c r="CH38" s="1490"/>
      <c r="CI38" s="1314"/>
      <c r="CJ38" s="1490"/>
      <c r="CK38" s="1490"/>
      <c r="CL38" s="88"/>
      <c r="CM38" s="1843"/>
      <c r="CN38" s="1843"/>
      <c r="CO38" s="34"/>
      <c r="CR38" s="4"/>
      <c r="CS38" s="4"/>
      <c r="CW38" s="4"/>
    </row>
    <row r="39" spans="1:101" ht="18">
      <c r="A39" s="696"/>
      <c r="B39" s="574"/>
      <c r="C39" s="574"/>
      <c r="D39" s="574"/>
      <c r="E39" s="574"/>
      <c r="F39" s="577"/>
      <c r="G39" s="401"/>
      <c r="H39" s="574"/>
      <c r="I39" s="574"/>
      <c r="J39" s="574"/>
      <c r="K39" s="574"/>
      <c r="L39" s="579"/>
      <c r="N39" s="158"/>
      <c r="O39" s="101"/>
      <c r="P39" s="52"/>
      <c r="Q39" s="101"/>
      <c r="R39" s="126"/>
      <c r="S39" s="101"/>
      <c r="T39" s="101"/>
      <c r="U39" s="39"/>
      <c r="W39" s="944"/>
      <c r="X39" s="754"/>
      <c r="Y39" s="754"/>
      <c r="Z39" s="803"/>
      <c r="AA39" s="803"/>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6"/>
      <c r="BJ39" s="96"/>
      <c r="BK39" s="96"/>
      <c r="BL39" s="96"/>
      <c r="BM39" s="96"/>
      <c r="BN39" s="96"/>
      <c r="BO39" s="96"/>
      <c r="BP39" s="96"/>
      <c r="BQ39" s="96"/>
      <c r="BR39" s="96"/>
      <c r="BS39" s="96"/>
      <c r="BT39" s="96"/>
      <c r="BU39" s="96"/>
      <c r="BV39" s="96"/>
      <c r="BW39" s="96"/>
      <c r="BX39" s="96"/>
      <c r="BY39" s="96"/>
      <c r="BZ39" s="96"/>
      <c r="CA39" s="384"/>
      <c r="CB39" s="12"/>
      <c r="CC39" s="33"/>
      <c r="CD39" s="1963"/>
      <c r="CE39" s="1314"/>
      <c r="CF39" s="1314"/>
      <c r="CG39" s="1314"/>
      <c r="CH39" s="1314"/>
      <c r="CI39" s="1314"/>
      <c r="CJ39" s="1314"/>
      <c r="CK39" s="1314"/>
      <c r="CL39" s="88"/>
      <c r="CM39" s="88"/>
      <c r="CN39" s="88"/>
      <c r="CO39" s="34"/>
      <c r="CR39" s="4"/>
      <c r="CS39" s="4"/>
      <c r="CW39" s="4"/>
    </row>
    <row r="40" spans="1:101" ht="15.5">
      <c r="A40" s="696"/>
      <c r="B40" s="574"/>
      <c r="C40" s="574"/>
      <c r="D40" s="574"/>
      <c r="E40" s="574"/>
      <c r="F40" s="577"/>
      <c r="G40" s="401"/>
      <c r="H40" s="574"/>
      <c r="I40" s="574"/>
      <c r="J40" s="574"/>
      <c r="K40" s="574"/>
      <c r="L40" s="579"/>
      <c r="N40" s="158"/>
      <c r="O40" s="101"/>
      <c r="P40" s="52"/>
      <c r="Q40" s="101"/>
      <c r="R40" s="126"/>
      <c r="S40" s="101"/>
      <c r="T40" s="101"/>
      <c r="U40" s="39"/>
      <c r="W40" s="944"/>
      <c r="X40" s="754"/>
      <c r="Y40" s="754"/>
      <c r="Z40" s="803"/>
      <c r="AA40" s="803"/>
      <c r="AB40" s="755"/>
      <c r="AC40" s="755"/>
      <c r="AD40" s="755"/>
      <c r="AE40" s="755"/>
      <c r="AF40" s="755"/>
      <c r="AG40" s="755"/>
      <c r="AH40" s="755"/>
      <c r="AI40" s="755"/>
      <c r="AJ40" s="755"/>
      <c r="AK40" s="755"/>
      <c r="AL40" s="755"/>
      <c r="AM40" s="755"/>
      <c r="AN40" s="755"/>
      <c r="AO40" s="755"/>
      <c r="AP40" s="755"/>
      <c r="AQ40" s="755"/>
      <c r="AR40" s="755"/>
      <c r="AS40" s="755"/>
      <c r="AT40" s="755"/>
      <c r="AU40" s="755"/>
      <c r="AV40" s="755"/>
      <c r="AW40" s="755"/>
      <c r="AX40" s="755"/>
      <c r="AY40" s="755"/>
      <c r="AZ40" s="755"/>
      <c r="BA40" s="755"/>
      <c r="BB40" s="755"/>
      <c r="BC40" s="755"/>
      <c r="BD40" s="755"/>
      <c r="BE40" s="755"/>
      <c r="BF40" s="755"/>
      <c r="BG40" s="755"/>
      <c r="BH40" s="755"/>
      <c r="BI40" s="755"/>
      <c r="BJ40" s="755"/>
      <c r="BK40" s="755"/>
      <c r="BL40" s="755"/>
      <c r="BM40" s="755"/>
      <c r="BN40" s="755"/>
      <c r="BO40" s="755"/>
      <c r="BP40" s="755"/>
      <c r="BQ40" s="755"/>
      <c r="BR40" s="755"/>
      <c r="BS40" s="755"/>
      <c r="BT40" s="755"/>
      <c r="BU40" s="755"/>
      <c r="BV40" s="755"/>
      <c r="BW40" s="755"/>
      <c r="BX40" s="755"/>
      <c r="BY40" s="755"/>
      <c r="BZ40" s="755"/>
      <c r="CA40" s="384"/>
      <c r="CB40" s="12"/>
      <c r="CC40" s="33"/>
      <c r="CD40" s="1314"/>
      <c r="CE40" s="1314"/>
      <c r="CF40" s="1314"/>
      <c r="CG40" s="1314"/>
      <c r="CH40" s="1314"/>
      <c r="CI40" s="1314"/>
      <c r="CJ40" s="1314"/>
      <c r="CK40" s="1314"/>
      <c r="CL40" s="88"/>
      <c r="CM40" s="88"/>
      <c r="CN40" s="88"/>
      <c r="CO40" s="34"/>
      <c r="CR40" s="4"/>
      <c r="CS40" s="4"/>
      <c r="CW40" s="4"/>
    </row>
    <row r="41" spans="1:101" ht="19.5" customHeight="1" collapsed="1">
      <c r="A41" s="810"/>
      <c r="B41" s="574"/>
      <c r="C41" s="574"/>
      <c r="D41" s="574"/>
      <c r="E41" s="574"/>
      <c r="F41" s="577"/>
      <c r="G41" s="401"/>
      <c r="H41" s="574"/>
      <c r="I41" s="574"/>
      <c r="J41" s="574"/>
      <c r="K41" s="574"/>
      <c r="L41" s="579"/>
      <c r="N41" s="158"/>
      <c r="O41" s="101"/>
      <c r="P41" s="151"/>
      <c r="Q41" s="151"/>
      <c r="R41" s="140"/>
      <c r="S41" s="101"/>
      <c r="T41" s="101"/>
      <c r="U41" s="39"/>
      <c r="W41" s="3143" t="str" cm="1">
        <f t="array" ref="W41">fx_scenarioConverter("Budget")</f>
        <v>Budget</v>
      </c>
      <c r="X41" s="547"/>
      <c r="Y41" s="196" t="s">
        <v>237</v>
      </c>
      <c r="Z41" s="866" t="s">
        <v>82</v>
      </c>
      <c r="AA41" s="194"/>
      <c r="AB41" s="194"/>
      <c r="AC41" s="125"/>
      <c r="AD41" s="859"/>
      <c r="AE41" s="859"/>
      <c r="AF41" s="859"/>
      <c r="AG41" s="859"/>
      <c r="AH41" s="859"/>
      <c r="AI41" s="859"/>
      <c r="AJ41" s="859"/>
      <c r="AK41" s="859"/>
      <c r="AL41" s="859"/>
      <c r="AM41" s="859"/>
      <c r="AN41" s="859"/>
      <c r="AO41" s="859"/>
      <c r="AP41" s="859"/>
      <c r="AQ41" s="859"/>
      <c r="AR41" s="859"/>
      <c r="AS41" s="859"/>
      <c r="AT41" s="859"/>
      <c r="AU41" s="859"/>
      <c r="AV41" s="859"/>
      <c r="AW41" s="859"/>
      <c r="AX41" s="859"/>
      <c r="AY41" s="859"/>
      <c r="AZ41" s="859"/>
      <c r="BA41" s="859"/>
      <c r="BB41" s="859"/>
      <c r="BC41" s="859"/>
      <c r="BD41" s="859"/>
      <c r="BE41" s="859"/>
      <c r="BF41" s="859"/>
      <c r="BG41" s="859"/>
      <c r="BH41" s="859"/>
      <c r="BI41" s="859"/>
      <c r="BJ41" s="859"/>
      <c r="BK41" s="859"/>
      <c r="BL41" s="859"/>
      <c r="BM41" s="859"/>
      <c r="BN41" s="859"/>
      <c r="BO41" s="542"/>
      <c r="BP41" s="542"/>
      <c r="BQ41" s="542"/>
      <c r="BR41" s="542"/>
      <c r="BS41" s="542"/>
      <c r="BT41" s="542"/>
      <c r="BU41" s="542"/>
      <c r="BV41" s="542"/>
      <c r="BW41" s="542"/>
      <c r="BX41" s="542"/>
      <c r="BY41" s="542"/>
      <c r="BZ41" s="542"/>
      <c r="CA41" s="34"/>
      <c r="CC41" s="57"/>
      <c r="CD41" s="3151" t="s">
        <v>41</v>
      </c>
      <c r="CE41" s="3152"/>
      <c r="CF41" s="1471"/>
      <c r="CG41" s="3151" t="s">
        <v>42</v>
      </c>
      <c r="CH41" s="3152"/>
      <c r="CI41" s="1314"/>
      <c r="CJ41" s="3151" t="s">
        <v>43</v>
      </c>
      <c r="CK41" s="3152"/>
      <c r="CL41" s="88"/>
      <c r="CM41" s="3149" t="s">
        <v>43</v>
      </c>
      <c r="CN41" s="3150"/>
      <c r="CO41" s="34"/>
      <c r="CR41" s="4"/>
      <c r="CS41" s="4"/>
      <c r="CW41" s="4"/>
    </row>
    <row r="42" spans="1:101" ht="19.5" customHeight="1">
      <c r="A42" s="810"/>
      <c r="B42" s="574"/>
      <c r="C42" s="574"/>
      <c r="D42" s="574"/>
      <c r="E42" s="574"/>
      <c r="F42" s="577"/>
      <c r="G42" s="401"/>
      <c r="H42" s="574"/>
      <c r="I42" s="574"/>
      <c r="J42" s="574"/>
      <c r="K42" s="574"/>
      <c r="L42" s="579"/>
      <c r="N42" s="158"/>
      <c r="O42" s="101"/>
      <c r="P42" s="151"/>
      <c r="Q42" s="151"/>
      <c r="R42" s="140"/>
      <c r="S42" s="101"/>
      <c r="T42" s="101"/>
      <c r="U42" s="39"/>
      <c r="W42" s="3144"/>
      <c r="X42" s="546"/>
      <c r="Y42" s="1479"/>
      <c r="Z42" s="866"/>
      <c r="AA42" s="185"/>
      <c r="AB42" s="185"/>
      <c r="AC42" s="124"/>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c r="BD42" s="201"/>
      <c r="BE42" s="201"/>
      <c r="BF42" s="201"/>
      <c r="BG42" s="201"/>
      <c r="BH42" s="201"/>
      <c r="BI42" s="201"/>
      <c r="BJ42" s="201"/>
      <c r="BK42" s="201"/>
      <c r="BL42" s="201"/>
      <c r="BM42" s="201"/>
      <c r="BN42" s="282"/>
      <c r="BO42" s="1804"/>
      <c r="BP42" s="1804"/>
      <c r="BQ42" s="1804"/>
      <c r="BR42" s="1804"/>
      <c r="BS42" s="1804"/>
      <c r="BT42" s="1804"/>
      <c r="BU42" s="1804"/>
      <c r="BV42" s="1804"/>
      <c r="BW42" s="1804"/>
      <c r="BX42" s="1804"/>
      <c r="BY42" s="1804"/>
      <c r="BZ42" s="1804"/>
      <c r="CA42" s="34"/>
      <c r="CC42" s="57"/>
      <c r="CD42" s="1480"/>
      <c r="CE42" s="1481"/>
      <c r="CF42" s="1471"/>
      <c r="CG42" s="1480"/>
      <c r="CH42" s="1481"/>
      <c r="CI42" s="1314"/>
      <c r="CJ42" s="1480"/>
      <c r="CK42" s="1481"/>
      <c r="CL42" s="88"/>
      <c r="CM42" s="1338"/>
      <c r="CN42" s="1339"/>
      <c r="CO42" s="34"/>
      <c r="CR42" s="4"/>
      <c r="CS42" s="4"/>
      <c r="CW42" s="4"/>
    </row>
    <row r="43" spans="1:101" ht="27.75" customHeight="1">
      <c r="A43" s="810"/>
      <c r="B43" s="574"/>
      <c r="C43" s="574"/>
      <c r="D43" s="574"/>
      <c r="E43" s="574"/>
      <c r="F43" s="577"/>
      <c r="G43" s="401"/>
      <c r="H43" s="574"/>
      <c r="I43" s="574"/>
      <c r="J43" s="574"/>
      <c r="K43" s="574"/>
      <c r="L43" s="579"/>
      <c r="N43" s="158"/>
      <c r="O43" s="101"/>
      <c r="P43" s="52"/>
      <c r="Q43" s="101"/>
      <c r="R43" s="126"/>
      <c r="S43" s="101"/>
      <c r="T43" s="101"/>
      <c r="U43" s="39"/>
      <c r="W43" s="33"/>
      <c r="X43" s="88"/>
      <c r="Y43" s="88"/>
      <c r="Z43" s="536"/>
      <c r="AA43" s="185"/>
      <c r="AB43" s="266" t="s">
        <v>107</v>
      </c>
      <c r="AC43" s="185"/>
      <c r="AD43" s="374" cm="1">
        <f t="array" ref="AD43:BN43">EOMONTH(val_asOfDate,_xlfn.SEQUENCE(1,37,-36,1))</f>
        <v>44926</v>
      </c>
      <c r="AE43" s="374">
        <v>44957</v>
      </c>
      <c r="AF43" s="374">
        <v>44985</v>
      </c>
      <c r="AG43" s="374">
        <v>45016</v>
      </c>
      <c r="AH43" s="374">
        <v>45046</v>
      </c>
      <c r="AI43" s="374">
        <v>45077</v>
      </c>
      <c r="AJ43" s="374">
        <v>45107</v>
      </c>
      <c r="AK43" s="374">
        <v>45138</v>
      </c>
      <c r="AL43" s="374">
        <v>45169</v>
      </c>
      <c r="AM43" s="374">
        <v>45199</v>
      </c>
      <c r="AN43" s="374">
        <v>45230</v>
      </c>
      <c r="AO43" s="374">
        <v>45260</v>
      </c>
      <c r="AP43" s="374">
        <v>45291</v>
      </c>
      <c r="AQ43" s="374">
        <v>45322</v>
      </c>
      <c r="AR43" s="374">
        <v>45351</v>
      </c>
      <c r="AS43" s="374">
        <v>45382</v>
      </c>
      <c r="AT43" s="374">
        <v>45412</v>
      </c>
      <c r="AU43" s="374">
        <v>45443</v>
      </c>
      <c r="AV43" s="374">
        <v>45473</v>
      </c>
      <c r="AW43" s="374">
        <v>45504</v>
      </c>
      <c r="AX43" s="374">
        <v>45535</v>
      </c>
      <c r="AY43" s="374">
        <v>45565</v>
      </c>
      <c r="AZ43" s="374">
        <v>45596</v>
      </c>
      <c r="BA43" s="374">
        <v>45626</v>
      </c>
      <c r="BB43" s="374">
        <v>45657</v>
      </c>
      <c r="BC43" s="374">
        <v>45688</v>
      </c>
      <c r="BD43" s="374">
        <v>45716</v>
      </c>
      <c r="BE43" s="374">
        <v>45747</v>
      </c>
      <c r="BF43" s="374">
        <v>45777</v>
      </c>
      <c r="BG43" s="374">
        <v>45808</v>
      </c>
      <c r="BH43" s="374">
        <v>45838</v>
      </c>
      <c r="BI43" s="374">
        <v>45869</v>
      </c>
      <c r="BJ43" s="374">
        <v>45900</v>
      </c>
      <c r="BK43" s="374">
        <v>45930</v>
      </c>
      <c r="BL43" s="374">
        <v>45961</v>
      </c>
      <c r="BM43" s="374">
        <v>45991</v>
      </c>
      <c r="BN43" s="375">
        <v>46022</v>
      </c>
      <c r="BO43" s="2111"/>
      <c r="BP43" s="2111"/>
      <c r="BQ43" s="2111"/>
      <c r="BR43" s="2111"/>
      <c r="BS43" s="2111"/>
      <c r="BT43" s="2111"/>
      <c r="BU43" s="2111"/>
      <c r="BV43" s="2111"/>
      <c r="BW43" s="2111"/>
      <c r="BX43" s="2111"/>
      <c r="BY43" s="2111"/>
      <c r="BZ43" s="2111"/>
      <c r="CA43" s="384"/>
      <c r="CC43" s="33"/>
      <c r="CD43" s="1494" t="e" cm="1">
        <f t="array" ca="1" aca="1" ref="CD43">EOMONTH(val_currentFYE,-24)</f>
        <v>#NAME?</v>
      </c>
      <c r="CE43" s="1495" t="e" cm="1">
        <f t="array" ca="1" aca="1" ref="CE43">EOMONTH(val_currentFYE,-12)</f>
        <v>#NAME?</v>
      </c>
      <c r="CF43" s="1496"/>
      <c r="CG43" s="1497">
        <f>EOMONTH(val_asOfDate,-1)</f>
        <v>45991</v>
      </c>
      <c r="CH43" s="1498">
        <f>EOMONTH(val_asOfDate,0)</f>
        <v>46022</v>
      </c>
      <c r="CI43" s="1499"/>
      <c r="CJ43" s="1500">
        <f>EOMONTH(val_asOfDate,-1)</f>
        <v>45991</v>
      </c>
      <c r="CK43" s="1501">
        <f>EOMONTH(val_asOfDate,0)</f>
        <v>46022</v>
      </c>
      <c r="CL43" s="88"/>
      <c r="CM43" s="984" t="e" cm="1">
        <f t="array" ca="1" aca="1" ref="CM43">val_currentFYE</f>
        <v>#NAME?</v>
      </c>
      <c r="CN43" s="978" t="e" cm="1">
        <f t="array" ca="1" aca="1" ref="CN43">val_currentFYE</f>
        <v>#NAME?</v>
      </c>
      <c r="CO43" s="34"/>
      <c r="CR43" s="4"/>
      <c r="CS43" s="4"/>
      <c r="CW43" s="4"/>
    </row>
    <row r="44" spans="1:101" ht="27.75" customHeight="1">
      <c r="A44" s="810"/>
      <c r="B44" s="574"/>
      <c r="C44" s="574"/>
      <c r="D44" s="574"/>
      <c r="E44" s="574"/>
      <c r="F44" s="577"/>
      <c r="G44" s="401"/>
      <c r="H44" s="574"/>
      <c r="I44" s="574"/>
      <c r="J44" s="574"/>
      <c r="K44" s="574"/>
      <c r="L44" s="579"/>
      <c r="N44" s="158"/>
      <c r="O44" s="101"/>
      <c r="P44" s="52"/>
      <c r="Q44" s="101"/>
      <c r="R44" s="126"/>
      <c r="S44" s="101"/>
      <c r="T44" s="101"/>
      <c r="U44" s="39"/>
      <c r="W44" s="29" t="s">
        <v>94</v>
      </c>
      <c r="X44" s="753"/>
      <c r="Y44" s="53" t="str">
        <f>val_company&amp;" Internal Accounts"</f>
        <v>Therme Horizon Internal Accounts</v>
      </c>
      <c r="Z44" s="939"/>
      <c r="AA44" s="939"/>
      <c r="AB44" s="54" t="s">
        <v>227</v>
      </c>
      <c r="AC44" s="55"/>
      <c r="AD44" s="1227" t="str">
        <f>$W$41</f>
        <v>Budget</v>
      </c>
      <c r="AE44" s="1227" t="str">
        <f t="shared" si="5" ref="AE44:BN44">$W$41</f>
        <v>Budget</v>
      </c>
      <c r="AF44" s="1227" t="str">
        <f t="shared" si="5"/>
        <v>Budget</v>
      </c>
      <c r="AG44" s="1227" t="str">
        <f t="shared" si="5"/>
        <v>Budget</v>
      </c>
      <c r="AH44" s="1227" t="str">
        <f t="shared" si="5"/>
        <v>Budget</v>
      </c>
      <c r="AI44" s="1227" t="str">
        <f t="shared" si="5"/>
        <v>Budget</v>
      </c>
      <c r="AJ44" s="1227" t="str">
        <f t="shared" si="5"/>
        <v>Budget</v>
      </c>
      <c r="AK44" s="1227" t="str">
        <f t="shared" si="5"/>
        <v>Budget</v>
      </c>
      <c r="AL44" s="1227" t="str">
        <f t="shared" si="5"/>
        <v>Budget</v>
      </c>
      <c r="AM44" s="1227" t="str">
        <f t="shared" si="5"/>
        <v>Budget</v>
      </c>
      <c r="AN44" s="1227" t="str">
        <f t="shared" si="5"/>
        <v>Budget</v>
      </c>
      <c r="AO44" s="1227" t="str">
        <f t="shared" si="5"/>
        <v>Budget</v>
      </c>
      <c r="AP44" s="1227" t="str">
        <f t="shared" si="5"/>
        <v>Budget</v>
      </c>
      <c r="AQ44" s="1227" t="str">
        <f t="shared" si="5"/>
        <v>Budget</v>
      </c>
      <c r="AR44" s="1227" t="str">
        <f t="shared" si="5"/>
        <v>Budget</v>
      </c>
      <c r="AS44" s="1227" t="str">
        <f t="shared" si="5"/>
        <v>Budget</v>
      </c>
      <c r="AT44" s="1227" t="str">
        <f t="shared" si="5"/>
        <v>Budget</v>
      </c>
      <c r="AU44" s="1227" t="str">
        <f t="shared" si="5"/>
        <v>Budget</v>
      </c>
      <c r="AV44" s="1227" t="str">
        <f t="shared" si="5"/>
        <v>Budget</v>
      </c>
      <c r="AW44" s="1227" t="str">
        <f t="shared" si="5"/>
        <v>Budget</v>
      </c>
      <c r="AX44" s="1227" t="str">
        <f t="shared" si="5"/>
        <v>Budget</v>
      </c>
      <c r="AY44" s="1227" t="str">
        <f t="shared" si="5"/>
        <v>Budget</v>
      </c>
      <c r="AZ44" s="1227" t="str">
        <f t="shared" si="5"/>
        <v>Budget</v>
      </c>
      <c r="BA44" s="1227" t="str">
        <f t="shared" si="5"/>
        <v>Budget</v>
      </c>
      <c r="BB44" s="1227" t="str">
        <f t="shared" si="5"/>
        <v>Budget</v>
      </c>
      <c r="BC44" s="1227" t="str">
        <f t="shared" si="5"/>
        <v>Budget</v>
      </c>
      <c r="BD44" s="1227" t="str">
        <f t="shared" si="5"/>
        <v>Budget</v>
      </c>
      <c r="BE44" s="1227" t="str">
        <f t="shared" si="5"/>
        <v>Budget</v>
      </c>
      <c r="BF44" s="1227" t="str">
        <f t="shared" si="5"/>
        <v>Budget</v>
      </c>
      <c r="BG44" s="1227" t="str">
        <f t="shared" si="5"/>
        <v>Budget</v>
      </c>
      <c r="BH44" s="1227" t="str">
        <f t="shared" si="5"/>
        <v>Budget</v>
      </c>
      <c r="BI44" s="1227" t="str">
        <f t="shared" si="5"/>
        <v>Budget</v>
      </c>
      <c r="BJ44" s="1227" t="str">
        <f t="shared" si="5"/>
        <v>Budget</v>
      </c>
      <c r="BK44" s="1227" t="str">
        <f t="shared" si="5"/>
        <v>Budget</v>
      </c>
      <c r="BL44" s="1227" t="str">
        <f t="shared" si="5"/>
        <v>Budget</v>
      </c>
      <c r="BM44" s="1227" t="str">
        <f t="shared" si="5"/>
        <v>Budget</v>
      </c>
      <c r="BN44" s="1227" t="str">
        <f t="shared" si="5"/>
        <v>Budget</v>
      </c>
      <c r="BO44" s="2094"/>
      <c r="BP44" s="2094"/>
      <c r="BQ44" s="2094"/>
      <c r="BR44" s="2094"/>
      <c r="BS44" s="2094"/>
      <c r="BT44" s="2094"/>
      <c r="BU44" s="2094"/>
      <c r="BV44" s="2094"/>
      <c r="BW44" s="2094"/>
      <c r="BX44" s="2094"/>
      <c r="BY44" s="2094"/>
      <c r="BZ44" s="2094"/>
      <c r="CA44" s="384"/>
      <c r="CC44" s="33"/>
      <c r="CD44" s="1720" t="str">
        <f>$W$41</f>
        <v>Budget</v>
      </c>
      <c r="CE44" s="1720" t="str">
        <f>$W$41</f>
        <v>Budget</v>
      </c>
      <c r="CF44" s="128"/>
      <c r="CG44" s="1734" t="str">
        <f t="shared" si="6" ref="CG44:CK44">$W$41</f>
        <v>Budget</v>
      </c>
      <c r="CH44" s="1735" t="str">
        <f t="shared" si="6"/>
        <v>Budget</v>
      </c>
      <c r="CI44" s="207" t="str">
        <f>$AD44</f>
        <v>Budget</v>
      </c>
      <c r="CJ44" s="1724" t="str">
        <f t="shared" si="6"/>
        <v>Budget</v>
      </c>
      <c r="CK44" s="1725" t="str">
        <f t="shared" si="6"/>
        <v>Budget</v>
      </c>
      <c r="CL44" s="869"/>
      <c r="CM44" s="1198" t="str">
        <f>CM19</f>
        <v>Original Budget</v>
      </c>
      <c r="CN44" s="1198" t="str">
        <f>CN19</f>
        <v>LE</v>
      </c>
      <c r="CO44" s="34"/>
      <c r="CR44" s="4"/>
      <c r="CS44" s="4"/>
      <c r="CW44" s="4"/>
    </row>
    <row r="45" spans="1:101" ht="21" customHeight="1">
      <c r="A45" s="810"/>
      <c r="B45" s="574" t="s">
        <v>208</v>
      </c>
      <c r="C45" s="574" t="str">
        <f t="shared" si="7" ref="C45:C62">C20</f>
        <v>Reported EBITDA (Company View)</v>
      </c>
      <c r="D45" s="574"/>
      <c r="E45" s="577" t="e" cm="1">
        <f t="array" ca="1" aca="1" ref="E45">_xlfn.LET(_xlpm.Attr,$C45,_xlpm.Lookback,$E$16,_xlpm.QueryDate,EOMONTH(val_asOfDate,_xlpm.Lookback),_xlpm.ReadField,_xldudf_CX_GET(CX_ENTITY,fx_attrConverter($C45),_xlpm.QueryDate),_xlpm.AttrBlank,_xlpm.Attr="",_xlpm.RESULT,IF(_xlpm.AttrBlank,val_blankRefText,fx_attrConverter(_xlpm.ReadField,0)),IF(_xlpm.RESULT="Error","",_xlpm.RESULT))</f>
        <v>#NAME?</v>
      </c>
      <c r="F45" s="577" t="str">
        <f t="shared" si="8" ref="F45:F62">IF($B45&lt;&gt;"",$B45,$E45)</f>
        <v>Reported EBITDA</v>
      </c>
      <c r="G45" s="401"/>
      <c r="H45" s="3280">
        <v>2</v>
      </c>
      <c r="I45" s="3280">
        <v>1</v>
      </c>
      <c r="J45" s="401"/>
      <c r="K45" s="401"/>
      <c r="L45" s="579">
        <v>-1</v>
      </c>
      <c r="N45" s="158"/>
      <c r="O45" s="101"/>
      <c r="P45" s="52"/>
      <c r="Q45" s="101"/>
      <c r="R45" s="126"/>
      <c r="S45" s="101"/>
      <c r="T45" s="101"/>
      <c r="U45" s="39"/>
      <c r="W45" s="933" t="str">
        <f>(W41)</f>
        <v>Budget</v>
      </c>
      <c r="X45" s="761">
        <v>0</v>
      </c>
      <c r="Y45" s="88" t="e">
        <f ca="1" t="shared" si="9" ref="Y45:Y62">Y20</f>
        <v>#NAME?</v>
      </c>
      <c r="Z45" s="200" cm="1">
        <f t="array" ref="Z45">_xlfn.SWITCH(TRUE,_CF!$L45=TRUE,1,_CF!$L45=FALSE,-1,_CF!$L45=-1,0,"n/a")</f>
        <v>0</v>
      </c>
      <c r="AA45" s="200"/>
      <c r="AB45" s="88" t="str">
        <f t="shared" si="10" ref="AB45:AB62">AB20</f>
        <v>Reported EBITDA</v>
      </c>
      <c r="AC45" s="88"/>
      <c r="AD45" s="855" t="e" cm="1">
        <f t="array" ca="1" aca="1" ref="AD45">_xlfn.LET(_xlpm.val,IF($F45="",val_blankRefText,_xldudf_CX_GET(CX_ENTITY,$F45,AD$11,AD$14,,(AD$44))),_xlpm.Res,IF(OR(_xlpm.val="",_xlpm.val="Error"),"",_xlpm.val),_xlpm.Res)</f>
        <v>#NAME?</v>
      </c>
      <c r="AE45" s="855" t="e" cm="1">
        <f t="array" ca="1" aca="1" ref="AE45">_xlfn.LET(_xlpm.val,IF($F45="",val_blankRefText,_xldudf_CX_GET(CX_ENTITY,$F45,AE$11,AE$14,,(AE$44))),_xlpm.Res,IF(OR(_xlpm.val="",_xlpm.val="Error"),"",_xlpm.val),_xlpm.Res)</f>
        <v>#NAME?</v>
      </c>
      <c r="AF45" s="855" t="e" cm="1">
        <f t="array" ca="1" aca="1" ref="AF45">_xlfn.LET(_xlpm.val,IF($F45="",val_blankRefText,_xldudf_CX_GET(CX_ENTITY,$F45,AF$11,AF$14,,(AF$44))),_xlpm.Res,IF(OR(_xlpm.val="",_xlpm.val="Error"),"",_xlpm.val),_xlpm.Res)</f>
        <v>#NAME?</v>
      </c>
      <c r="AG45" s="855" t="e" cm="1">
        <f t="array" ca="1" aca="1" ref="AG45">_xlfn.LET(_xlpm.val,IF($F45="",val_blankRefText,_xldudf_CX_GET(CX_ENTITY,$F45,AG$11,AG$14,,(AG$44))),_xlpm.Res,IF(OR(_xlpm.val="",_xlpm.val="Error"),"",_xlpm.val),_xlpm.Res)</f>
        <v>#NAME?</v>
      </c>
      <c r="AH45" s="855" t="e" cm="1">
        <f t="array" ca="1" aca="1" ref="AH45">_xlfn.LET(_xlpm.val,IF($F45="",val_blankRefText,_xldudf_CX_GET(CX_ENTITY,$F45,AH$11,AH$14,,(AH$44))),_xlpm.Res,IF(OR(_xlpm.val="",_xlpm.val="Error"),"",_xlpm.val),_xlpm.Res)</f>
        <v>#NAME?</v>
      </c>
      <c r="AI45" s="855" t="e" cm="1">
        <f t="array" ca="1" aca="1" ref="AI45">_xlfn.LET(_xlpm.val,IF($F45="",val_blankRefText,_xldudf_CX_GET(CX_ENTITY,$F45,AI$11,AI$14,,(AI$44))),_xlpm.Res,IF(OR(_xlpm.val="",_xlpm.val="Error"),"",_xlpm.val),_xlpm.Res)</f>
        <v>#NAME?</v>
      </c>
      <c r="AJ45" s="855" t="e" cm="1">
        <f t="array" ca="1" aca="1" ref="AJ45">_xlfn.LET(_xlpm.val,IF($F45="",val_blankRefText,_xldudf_CX_GET(CX_ENTITY,$F45,AJ$11,AJ$14,,(AJ$44))),_xlpm.Res,IF(OR(_xlpm.val="",_xlpm.val="Error"),"",_xlpm.val),_xlpm.Res)</f>
        <v>#NAME?</v>
      </c>
      <c r="AK45" s="855" t="e" cm="1">
        <f t="array" ca="1" aca="1" ref="AK45">_xlfn.LET(_xlpm.val,IF($F45="",val_blankRefText,_xldudf_CX_GET(CX_ENTITY,$F45,AK$11,AK$14,,(AK$44))),_xlpm.Res,IF(OR(_xlpm.val="",_xlpm.val="Error"),"",_xlpm.val),_xlpm.Res)</f>
        <v>#NAME?</v>
      </c>
      <c r="AL45" s="855" t="e" cm="1">
        <f t="array" ca="1" aca="1" ref="AL45">_xlfn.LET(_xlpm.val,IF($F45="",val_blankRefText,_xldudf_CX_GET(CX_ENTITY,$F45,AL$11,AL$14,,(AL$44))),_xlpm.Res,IF(OR(_xlpm.val="",_xlpm.val="Error"),"",_xlpm.val),_xlpm.Res)</f>
        <v>#NAME?</v>
      </c>
      <c r="AM45" s="855" t="e" cm="1">
        <f t="array" ca="1" aca="1" ref="AM45">_xlfn.LET(_xlpm.val,IF($F45="",val_blankRefText,_xldudf_CX_GET(CX_ENTITY,$F45,AM$11,AM$14,,(AM$44))),_xlpm.Res,IF(OR(_xlpm.val="",_xlpm.val="Error"),"",_xlpm.val),_xlpm.Res)</f>
        <v>#NAME?</v>
      </c>
      <c r="AN45" s="855" t="e" cm="1">
        <f t="array" ca="1" aca="1" ref="AN45">_xlfn.LET(_xlpm.val,IF($F45="",val_blankRefText,_xldudf_CX_GET(CX_ENTITY,$F45,AN$11,AN$14,,(AN$44))),_xlpm.Res,IF(OR(_xlpm.val="",_xlpm.val="Error"),"",_xlpm.val),_xlpm.Res)</f>
        <v>#NAME?</v>
      </c>
      <c r="AO45" s="855" t="e" cm="1">
        <f t="array" ca="1" aca="1" ref="AO45">_xlfn.LET(_xlpm.val,IF($F45="",val_blankRefText,_xldudf_CX_GET(CX_ENTITY,$F45,AO$11,AO$14,,(AO$44))),_xlpm.Res,IF(OR(_xlpm.val="",_xlpm.val="Error"),"",_xlpm.val),_xlpm.Res)</f>
        <v>#NAME?</v>
      </c>
      <c r="AP45" s="855" t="e" cm="1">
        <f t="array" ca="1" aca="1" ref="AP45">_xlfn.LET(_xlpm.val,IF($F45="",val_blankRefText,_xldudf_CX_GET(CX_ENTITY,$F45,AP$11,AP$14,,(AP$44))),_xlpm.Res,IF(OR(_xlpm.val="",_xlpm.val="Error"),"",_xlpm.val),_xlpm.Res)</f>
        <v>#NAME?</v>
      </c>
      <c r="AQ45" s="855" t="e" cm="1">
        <f t="array" ca="1" aca="1" ref="AQ45">_xlfn.LET(_xlpm.val,IF($F45="",val_blankRefText,_xldudf_CX_GET(CX_ENTITY,$F45,AQ$11,AQ$14,,(AQ$44))),_xlpm.Res,IF(OR(_xlpm.val="",_xlpm.val="Error"),"",_xlpm.val),_xlpm.Res)</f>
        <v>#NAME?</v>
      </c>
      <c r="AR45" s="855" t="e" cm="1">
        <f t="array" ca="1" aca="1" ref="AR45">_xlfn.LET(_xlpm.val,IF($F45="",val_blankRefText,_xldudf_CX_GET(CX_ENTITY,$F45,AR$11,AR$14,,(AR$44))),_xlpm.Res,IF(OR(_xlpm.val="",_xlpm.val="Error"),"",_xlpm.val),_xlpm.Res)</f>
        <v>#NAME?</v>
      </c>
      <c r="AS45" s="855" t="e" cm="1">
        <f t="array" ca="1" aca="1" ref="AS45">_xlfn.LET(_xlpm.val,IF($F45="",val_blankRefText,_xldudf_CX_GET(CX_ENTITY,$F45,AS$11,AS$14,,(AS$44))),_xlpm.Res,IF(OR(_xlpm.val="",_xlpm.val="Error"),"",_xlpm.val),_xlpm.Res)</f>
        <v>#NAME?</v>
      </c>
      <c r="AT45" s="855" t="e" cm="1">
        <f t="array" ca="1" aca="1" ref="AT45">_xlfn.LET(_xlpm.val,IF($F45="",val_blankRefText,_xldudf_CX_GET(CX_ENTITY,$F45,AT$11,AT$14,,(AT$44))),_xlpm.Res,IF(OR(_xlpm.val="",_xlpm.val="Error"),"",_xlpm.val),_xlpm.Res)</f>
        <v>#NAME?</v>
      </c>
      <c r="AU45" s="855" t="e" cm="1">
        <f t="array" ca="1" aca="1" ref="AU45">_xlfn.LET(_xlpm.val,IF($F45="",val_blankRefText,_xldudf_CX_GET(CX_ENTITY,$F45,AU$11,AU$14,,(AU$44))),_xlpm.Res,IF(OR(_xlpm.val="",_xlpm.val="Error"),"",_xlpm.val),_xlpm.Res)</f>
        <v>#NAME?</v>
      </c>
      <c r="AV45" s="855" t="e" cm="1">
        <f t="array" ca="1" aca="1" ref="AV45">_xlfn.LET(_xlpm.val,IF($F45="",val_blankRefText,_xldudf_CX_GET(CX_ENTITY,$F45,AV$11,AV$14,,(AV$44))),_xlpm.Res,IF(OR(_xlpm.val="",_xlpm.val="Error"),"",_xlpm.val),_xlpm.Res)</f>
        <v>#NAME?</v>
      </c>
      <c r="AW45" s="855" t="e" cm="1">
        <f t="array" ca="1" aca="1" ref="AW45">_xlfn.LET(_xlpm.val,IF($F45="",val_blankRefText,_xldudf_CX_GET(CX_ENTITY,$F45,AW$11,AW$14,,(AW$44))),_xlpm.Res,IF(OR(_xlpm.val="",_xlpm.val="Error"),"",_xlpm.val),_xlpm.Res)</f>
        <v>#NAME?</v>
      </c>
      <c r="AX45" s="855" t="e" cm="1">
        <f t="array" ca="1" aca="1" ref="AX45">_xlfn.LET(_xlpm.val,IF($F45="",val_blankRefText,_xldudf_CX_GET(CX_ENTITY,$F45,AX$11,AX$14,,(AX$44))),_xlpm.Res,IF(OR(_xlpm.val="",_xlpm.val="Error"),"",_xlpm.val),_xlpm.Res)</f>
        <v>#NAME?</v>
      </c>
      <c r="AY45" s="855" t="e" cm="1">
        <f t="array" ca="1" aca="1" ref="AY45">_xlfn.LET(_xlpm.val,IF($F45="",val_blankRefText,_xldudf_CX_GET(CX_ENTITY,$F45,AY$11,AY$14,,(AY$44))),_xlpm.Res,IF(OR(_xlpm.val="",_xlpm.val="Error"),"",_xlpm.val),_xlpm.Res)</f>
        <v>#NAME?</v>
      </c>
      <c r="AZ45" s="855" t="e" cm="1">
        <f t="array" ca="1" aca="1" ref="AZ45">_xlfn.LET(_xlpm.val,IF($F45="",val_blankRefText,_xldudf_CX_GET(CX_ENTITY,$F45,AZ$11,AZ$14,,(AZ$44))),_xlpm.Res,IF(OR(_xlpm.val="",_xlpm.val="Error"),"",_xlpm.val),_xlpm.Res)</f>
        <v>#NAME?</v>
      </c>
      <c r="BA45" s="855" t="e" cm="1">
        <f t="array" ca="1" aca="1" ref="BA45">_xlfn.LET(_xlpm.val,IF($F45="",val_blankRefText,_xldudf_CX_GET(CX_ENTITY,$F45,BA$11,BA$14,,(BA$44))),_xlpm.Res,IF(OR(_xlpm.val="",_xlpm.val="Error"),"",_xlpm.val),_xlpm.Res)</f>
        <v>#NAME?</v>
      </c>
      <c r="BB45" s="855" t="e" cm="1">
        <f t="array" ca="1" aca="1" ref="BB45">_xlfn.LET(_xlpm.val,IF($F45="",val_blankRefText,_xldudf_CX_GET(CX_ENTITY,$F45,BB$11,BB$14,,(BB$44))),_xlpm.Res,IF(OR(_xlpm.val="",_xlpm.val="Error"),"",_xlpm.val),_xlpm.Res)</f>
        <v>#NAME?</v>
      </c>
      <c r="BC45" s="855" t="e" cm="1">
        <f t="array" ca="1" aca="1" ref="BC45">_xlfn.LET(_xlpm.val,IF($F45="",val_blankRefText,_xldudf_CX_GET(CX_ENTITY,$F45,BC$11,BC$14,,(BC$44))),_xlpm.Res,IF(OR(_xlpm.val="",_xlpm.val="Error"),"",_xlpm.val),_xlpm.Res)</f>
        <v>#NAME?</v>
      </c>
      <c r="BD45" s="855" t="e" cm="1">
        <f t="array" ca="1" aca="1" ref="BD45">_xlfn.LET(_xlpm.val,IF($F45="",val_blankRefText,_xldudf_CX_GET(CX_ENTITY,$F45,BD$11,BD$14,,(BD$44))),_xlpm.Res,IF(OR(_xlpm.val="",_xlpm.val="Error"),"",_xlpm.val),_xlpm.Res)</f>
        <v>#NAME?</v>
      </c>
      <c r="BE45" s="855" t="e" cm="1">
        <f t="array" ca="1" aca="1" ref="BE45">_xlfn.LET(_xlpm.val,IF($F45="",val_blankRefText,_xldudf_CX_GET(CX_ENTITY,$F45,BE$11,BE$14,,(BE$44))),_xlpm.Res,IF(OR(_xlpm.val="",_xlpm.val="Error"),"",_xlpm.val),_xlpm.Res)</f>
        <v>#NAME?</v>
      </c>
      <c r="BF45" s="855" t="e" cm="1">
        <f t="array" ca="1" aca="1" ref="BF45">_xlfn.LET(_xlpm.val,IF($F45="",val_blankRefText,_xldudf_CX_GET(CX_ENTITY,$F45,BF$11,BF$14,,(BF$44))),_xlpm.Res,IF(OR(_xlpm.val="",_xlpm.val="Error"),"",_xlpm.val),_xlpm.Res)</f>
        <v>#NAME?</v>
      </c>
      <c r="BG45" s="855" t="e" cm="1">
        <f t="array" ca="1" aca="1" ref="BG45">_xlfn.LET(_xlpm.val,IF($F45="",val_blankRefText,_xldudf_CX_GET(CX_ENTITY,$F45,BG$11,BG$14,,(BG$44))),_xlpm.Res,IF(OR(_xlpm.val="",_xlpm.val="Error"),"",_xlpm.val),_xlpm.Res)</f>
        <v>#NAME?</v>
      </c>
      <c r="BH45" s="855" t="e" cm="1">
        <f t="array" ca="1" aca="1" ref="BH45">_xlfn.LET(_xlpm.val,IF($F45="",val_blankRefText,_xldudf_CX_GET(CX_ENTITY,$F45,BH$11,BH$14,,(BH$44))),_xlpm.Res,IF(OR(_xlpm.val="",_xlpm.val="Error"),"",_xlpm.val),_xlpm.Res)</f>
        <v>#NAME?</v>
      </c>
      <c r="BI45" s="855" t="e" cm="1">
        <f t="array" ca="1" aca="1" ref="BI45">_xlfn.LET(_xlpm.val,IF($F45="",val_blankRefText,_xldudf_CX_GET(CX_ENTITY,$F45,BI$11,BI$14,,(BI$44))),_xlpm.Res,IF(OR(_xlpm.val="",_xlpm.val="Error"),"",_xlpm.val),_xlpm.Res)</f>
        <v>#NAME?</v>
      </c>
      <c r="BJ45" s="855" t="e" cm="1">
        <f t="array" ca="1" aca="1" ref="BJ45">_xlfn.LET(_xlpm.val,IF($F45="",val_blankRefText,_xldudf_CX_GET(CX_ENTITY,$F45,BJ$11,BJ$14,,(BJ$44))),_xlpm.Res,IF(OR(_xlpm.val="",_xlpm.val="Error"),"",_xlpm.val),_xlpm.Res)</f>
        <v>#NAME?</v>
      </c>
      <c r="BK45" s="855" t="e" cm="1">
        <f t="array" ca="1" aca="1" ref="BK45">_xlfn.LET(_xlpm.val,IF($F45="",val_blankRefText,_xldudf_CX_GET(CX_ENTITY,$F45,BK$11,BK$14,,(BK$44))),_xlpm.Res,IF(OR(_xlpm.val="",_xlpm.val="Error"),"",_xlpm.val),_xlpm.Res)</f>
        <v>#NAME?</v>
      </c>
      <c r="BL45" s="855" t="e" cm="1">
        <f t="array" ca="1" aca="1" ref="BL45">_xlfn.LET(_xlpm.val,IF($F45="",val_blankRefText,_xldudf_CX_GET(CX_ENTITY,$F45,BL$11,BL$14,,(BL$44))),_xlpm.Res,IF(OR(_xlpm.val="",_xlpm.val="Error"),"",_xlpm.val),_xlpm.Res)</f>
        <v>#NAME?</v>
      </c>
      <c r="BM45" s="855" t="e" cm="1">
        <f t="array" ca="1" aca="1" ref="BM45">_xlfn.LET(_xlpm.val,IF($F45="",val_blankRefText,_xldudf_CX_GET(CX_ENTITY,$F45,BM$11,BM$14,,(BM$44))),_xlpm.Res,IF(OR(_xlpm.val="",_xlpm.val="Error"),"",_xlpm.val),_xlpm.Res)</f>
        <v>#NAME?</v>
      </c>
      <c r="BN45" s="855" t="e" cm="1">
        <f t="array" ca="1" aca="1" ref="BN45">_xlfn.LET(_xlpm.val,IF($F45="",val_blankRefText,_xldudf_CX_GET(CX_ENTITY,$F45,BN$11,BN$14,,(BN$44))),_xlpm.Res,IF(OR(_xlpm.val="",_xlpm.val="Error"),"",_xlpm.val),_xlpm.Res)</f>
        <v>#NAME?</v>
      </c>
      <c r="BO45" s="1844"/>
      <c r="BP45" s="1844"/>
      <c r="BQ45" s="1844"/>
      <c r="BR45" s="1844"/>
      <c r="BS45" s="1844"/>
      <c r="BT45" s="1844"/>
      <c r="BU45" s="1844"/>
      <c r="BV45" s="1844"/>
      <c r="BW45" s="1844"/>
      <c r="BX45" s="1844"/>
      <c r="BY45" s="1844"/>
      <c r="BZ45" s="1844"/>
      <c r="CA45" s="384"/>
      <c r="CC45" s="33"/>
      <c r="CD45" s="1461" t="e" cm="1">
        <f t="array" ca="1" aca="1" ref="CD45">_xlfn.LET(_xlpm.CheckBlank,SUM(CF!$AD45:$BN45)=0,IF(_xlpm.CheckBlank,"",SUM(_xlfn._xlws.FILTER(CF!$AD45:$BN45,(YEAR(CF!$AD$12:$BN$12)=CF!CD$12)*(array_timeline&lt;=CF!CD$11)))))</f>
        <v>#NAME?</v>
      </c>
      <c r="CE45" s="1461" t="e" cm="1">
        <f t="array" ca="1" aca="1" ref="CE45">_xlfn.LET(_xlpm.CheckBlank,SUM(CF!$AD45:$BN45)=0,IF(_xlpm.CheckBlank,"",SUM(_xlfn._xlws.FILTER(CF!$AD45:$BN45,(YEAR(CF!$AD$12:$BN$12)=CF!CE$12)*(array_timeline&lt;=CF!CE$11)))))</f>
        <v>#NAME?</v>
      </c>
      <c r="CF45" s="1463"/>
      <c r="CG45" s="1461" t="e" cm="1">
        <f t="array" ca="1" aca="1" ref="CG45">_xlfn.LET(_xlpm.CheckBlank,SUM(CF!$AD45:$BN45)=0,IF(_xlpm.CheckBlank,"",SUM(_xlfn._xlws.FILTER(CF!$AD45:$BN45,(YEAR(CF!$AD$12:$BN$12)=CF!CG$12)*(array_timeline&lt;=CF!CG$11)))))</f>
        <v>#NAME?</v>
      </c>
      <c r="CH45" s="1461" t="e" cm="1">
        <f t="array" ca="1" aca="1" ref="CH45">_xlfn.LET(_xlpm.CheckBlank,SUM(CF!$AD45:$BN45)=0,IF(_xlpm.CheckBlank,"",SUM(_xlfn._xlws.FILTER(CF!$AD45:$BN45,(YEAR(CF!$AD$12:$BN$12)=CF!CH$12)*(array_timeline&lt;=CF!CH$11)))))</f>
        <v>#NAME?</v>
      </c>
      <c r="CI45" s="1314"/>
      <c r="CJ45" s="1657" cm="1">
        <f t="array" ref="CJ45">_xlfn.LET(_xlpm.CheckBlank,SUM(CF!$AD45:$BN45)=0,IF(_xlpm.CheckBlank,"",SUM(_xlfn.TAKE(_xlfn.DROP(CF!$AD45:$BN45,,-DATEDIFF(CF!CJ$11,val_asOfDate,"M")),1,-12))))</f>
        <v>36</v>
      </c>
      <c r="CK45" s="1657" cm="1">
        <f t="array" ref="CK45">_xlfn.LET(_xlpm.CheckBlank,SUM(CF!$AD45:$BN45)=0,IF(_xlpm.CheckBlank,"",SUM(_xlfn.TAKE(_xlfn.DROP(CF!$AD45:$BN45,,-DATEDIFF(CF!CK$11,val_asOfDate,"M")),1,-12))))</f>
        <v>36</v>
      </c>
      <c r="CL45" s="88"/>
      <c r="CM45" s="541" t="e">
        <f ca="1">CM20</f>
        <v>#NAME?</v>
      </c>
      <c r="CN45" s="541" t="e">
        <f ca="1" t="shared" si="11" ref="CN45:CN62">CN20</f>
        <v>#NAME?</v>
      </c>
      <c r="CO45" s="34"/>
      <c r="CR45" s="4"/>
      <c r="CS45" s="4"/>
      <c r="CW45" s="4"/>
    </row>
    <row r="46" spans="1:101" ht="21" customHeight="1">
      <c r="A46" s="696"/>
      <c r="B46" s="574" t="s">
        <v>238</v>
      </c>
      <c r="C46" s="574" t="str">
        <f t="shared" si="7"/>
        <v>Non-Cash Adjustments (Company View)</v>
      </c>
      <c r="D46" s="574"/>
      <c r="E46" s="577" t="e" cm="1">
        <f t="array" ca="1" aca="1" ref="E46">_xlfn.LET(_xlpm.Attr,$C46,_xlpm.Lookback,$E$16,_xlpm.QueryDate,EOMONTH(val_asOfDate,_xlpm.Lookback),_xlpm.ReadField,_xldudf_CX_GET(CX_ENTITY,fx_attrConverter($C46),_xlpm.QueryDate),_xlpm.AttrBlank,_xlpm.Attr="",_xlpm.RESULT,IF(_xlpm.AttrBlank,val_blankRefText,fx_attrConverter(_xlpm.ReadField,0)),IF(_xlpm.RESULT="Error","",_xlpm.RESULT))</f>
        <v>#NAME?</v>
      </c>
      <c r="F46" s="577" t="str">
        <f t="shared" si="8"/>
        <v>Non-Cash Adjustments</v>
      </c>
      <c r="G46" s="401"/>
      <c r="H46" s="3280">
        <v>1</v>
      </c>
      <c r="I46" s="3280">
        <v>1</v>
      </c>
      <c r="J46" s="401"/>
      <c r="K46" s="401"/>
      <c r="L46" s="3269" t="b">
        <v>1</v>
      </c>
      <c r="N46" s="158"/>
      <c r="O46" s="101"/>
      <c r="P46" s="52"/>
      <c r="Q46" s="101"/>
      <c r="R46" s="126"/>
      <c r="S46" s="101"/>
      <c r="T46" s="101"/>
      <c r="U46" s="39"/>
      <c r="W46" s="932" t="str">
        <f>$W$45</f>
        <v>Budget</v>
      </c>
      <c r="X46" s="761" t="s">
        <v>62</v>
      </c>
      <c r="Y46" s="88" t="e">
        <f t="shared" ca="1" si="9"/>
        <v>#NAME?</v>
      </c>
      <c r="Z46" s="3300" cm="1">
        <f t="array" ref="Z46">_xlfn.SWITCH(TRUE,_CF!$L46=TRUE,1,_CF!$L46=FALSE,-1,_CF!$L46=-1,0,"n/a")</f>
        <v>1</v>
      </c>
      <c r="AA46" s="200"/>
      <c r="AB46" s="88" t="str">
        <f t="shared" si="10"/>
        <v>Non-Cash Adjustments</v>
      </c>
      <c r="AC46" s="88"/>
      <c r="AD46" s="855" t="e" cm="1">
        <f t="array" ca="1" aca="1" ref="AD46">_xlfn.LET(_xlpm.val,IF($F46="",val_blankRefText,_xldudf_CX_GET(CX_ENTITY,$F46,AD$11,AD$14,,(AD$44))),_xlpm.Res,IF(OR(_xlpm.val="",_xlpm.val="Error"),"",_xlpm.val),_xlpm.Res)</f>
        <v>#NAME?</v>
      </c>
      <c r="AE46" s="855" t="e" cm="1">
        <f t="array" ca="1" aca="1" ref="AE46">_xlfn.LET(_xlpm.val,IF($F46="",val_blankRefText,_xldudf_CX_GET(CX_ENTITY,$F46,AE$11,AE$14,,(AE$44))),_xlpm.Res,IF(OR(_xlpm.val="",_xlpm.val="Error"),"",_xlpm.val),_xlpm.Res)</f>
        <v>#NAME?</v>
      </c>
      <c r="AF46" s="855" t="e" cm="1">
        <f t="array" ca="1" aca="1" ref="AF46">_xlfn.LET(_xlpm.val,IF($F46="",val_blankRefText,_xldudf_CX_GET(CX_ENTITY,$F46,AF$11,AF$14,,(AF$44))),_xlpm.Res,IF(OR(_xlpm.val="",_xlpm.val="Error"),"",_xlpm.val),_xlpm.Res)</f>
        <v>#NAME?</v>
      </c>
      <c r="AG46" s="855" t="e" cm="1">
        <f t="array" ca="1" aca="1" ref="AG46">_xlfn.LET(_xlpm.val,IF($F46="",val_blankRefText,_xldudf_CX_GET(CX_ENTITY,$F46,AG$11,AG$14,,(AG$44))),_xlpm.Res,IF(OR(_xlpm.val="",_xlpm.val="Error"),"",_xlpm.val),_xlpm.Res)</f>
        <v>#NAME?</v>
      </c>
      <c r="AH46" s="855" t="e" cm="1">
        <f t="array" ca="1" aca="1" ref="AH46">_xlfn.LET(_xlpm.val,IF($F46="",val_blankRefText,_xldudf_CX_GET(CX_ENTITY,$F46,AH$11,AH$14,,(AH$44))),_xlpm.Res,IF(OR(_xlpm.val="",_xlpm.val="Error"),"",_xlpm.val),_xlpm.Res)</f>
        <v>#NAME?</v>
      </c>
      <c r="AI46" s="855" t="e" cm="1">
        <f t="array" ca="1" aca="1" ref="AI46">_xlfn.LET(_xlpm.val,IF($F46="",val_blankRefText,_xldudf_CX_GET(CX_ENTITY,$F46,AI$11,AI$14,,(AI$44))),_xlpm.Res,IF(OR(_xlpm.val="",_xlpm.val="Error"),"",_xlpm.val),_xlpm.Res)</f>
        <v>#NAME?</v>
      </c>
      <c r="AJ46" s="855" t="e" cm="1">
        <f t="array" ca="1" aca="1" ref="AJ46">_xlfn.LET(_xlpm.val,IF($F46="",val_blankRefText,_xldudf_CX_GET(CX_ENTITY,$F46,AJ$11,AJ$14,,(AJ$44))),_xlpm.Res,IF(OR(_xlpm.val="",_xlpm.val="Error"),"",_xlpm.val),_xlpm.Res)</f>
        <v>#NAME?</v>
      </c>
      <c r="AK46" s="855" t="e" cm="1">
        <f t="array" ca="1" aca="1" ref="AK46">_xlfn.LET(_xlpm.val,IF($F46="",val_blankRefText,_xldudf_CX_GET(CX_ENTITY,$F46,AK$11,AK$14,,(AK$44))),_xlpm.Res,IF(OR(_xlpm.val="",_xlpm.val="Error"),"",_xlpm.val),_xlpm.Res)</f>
        <v>#NAME?</v>
      </c>
      <c r="AL46" s="855" t="e" cm="1">
        <f t="array" ca="1" aca="1" ref="AL46">_xlfn.LET(_xlpm.val,IF($F46="",val_blankRefText,_xldudf_CX_GET(CX_ENTITY,$F46,AL$11,AL$14,,(AL$44))),_xlpm.Res,IF(OR(_xlpm.val="",_xlpm.val="Error"),"",_xlpm.val),_xlpm.Res)</f>
        <v>#NAME?</v>
      </c>
      <c r="AM46" s="855" t="e" cm="1">
        <f t="array" ca="1" aca="1" ref="AM46">_xlfn.LET(_xlpm.val,IF($F46="",val_blankRefText,_xldudf_CX_GET(CX_ENTITY,$F46,AM$11,AM$14,,(AM$44))),_xlpm.Res,IF(OR(_xlpm.val="",_xlpm.val="Error"),"",_xlpm.val),_xlpm.Res)</f>
        <v>#NAME?</v>
      </c>
      <c r="AN46" s="855" t="e" cm="1">
        <f t="array" ca="1" aca="1" ref="AN46">_xlfn.LET(_xlpm.val,IF($F46="",val_blankRefText,_xldudf_CX_GET(CX_ENTITY,$F46,AN$11,AN$14,,(AN$44))),_xlpm.Res,IF(OR(_xlpm.val="",_xlpm.val="Error"),"",_xlpm.val),_xlpm.Res)</f>
        <v>#NAME?</v>
      </c>
      <c r="AO46" s="855" t="e" cm="1">
        <f t="array" ca="1" aca="1" ref="AO46">_xlfn.LET(_xlpm.val,IF($F46="",val_blankRefText,_xldudf_CX_GET(CX_ENTITY,$F46,AO$11,AO$14,,(AO$44))),_xlpm.Res,IF(OR(_xlpm.val="",_xlpm.val="Error"),"",_xlpm.val),_xlpm.Res)</f>
        <v>#NAME?</v>
      </c>
      <c r="AP46" s="855" t="e" cm="1">
        <f t="array" ca="1" aca="1" ref="AP46">_xlfn.LET(_xlpm.val,IF($F46="",val_blankRefText,_xldudf_CX_GET(CX_ENTITY,$F46,AP$11,AP$14,,(AP$44))),_xlpm.Res,IF(OR(_xlpm.val="",_xlpm.val="Error"),"",_xlpm.val),_xlpm.Res)</f>
        <v>#NAME?</v>
      </c>
      <c r="AQ46" s="855" t="e" cm="1">
        <f t="array" ca="1" aca="1" ref="AQ46">_xlfn.LET(_xlpm.val,IF($F46="",val_blankRefText,_xldudf_CX_GET(CX_ENTITY,$F46,AQ$11,AQ$14,,(AQ$44))),_xlpm.Res,IF(OR(_xlpm.val="",_xlpm.val="Error"),"",_xlpm.val),_xlpm.Res)</f>
        <v>#NAME?</v>
      </c>
      <c r="AR46" s="855" t="e" cm="1">
        <f t="array" ca="1" aca="1" ref="AR46">_xlfn.LET(_xlpm.val,IF($F46="",val_blankRefText,_xldudf_CX_GET(CX_ENTITY,$F46,AR$11,AR$14,,(AR$44))),_xlpm.Res,IF(OR(_xlpm.val="",_xlpm.val="Error"),"",_xlpm.val),_xlpm.Res)</f>
        <v>#NAME?</v>
      </c>
      <c r="AS46" s="855" t="e" cm="1">
        <f t="array" ca="1" aca="1" ref="AS46">_xlfn.LET(_xlpm.val,IF($F46="",val_blankRefText,_xldudf_CX_GET(CX_ENTITY,$F46,AS$11,AS$14,,(AS$44))),_xlpm.Res,IF(OR(_xlpm.val="",_xlpm.val="Error"),"",_xlpm.val),_xlpm.Res)</f>
        <v>#NAME?</v>
      </c>
      <c r="AT46" s="855" t="e" cm="1">
        <f t="array" ca="1" aca="1" ref="AT46">_xlfn.LET(_xlpm.val,IF($F46="",val_blankRefText,_xldudf_CX_GET(CX_ENTITY,$F46,AT$11,AT$14,,(AT$44))),_xlpm.Res,IF(OR(_xlpm.val="",_xlpm.val="Error"),"",_xlpm.val),_xlpm.Res)</f>
        <v>#NAME?</v>
      </c>
      <c r="AU46" s="855" t="e" cm="1">
        <f t="array" ca="1" aca="1" ref="AU46">_xlfn.LET(_xlpm.val,IF($F46="",val_blankRefText,_xldudf_CX_GET(CX_ENTITY,$F46,AU$11,AU$14,,(AU$44))),_xlpm.Res,IF(OR(_xlpm.val="",_xlpm.val="Error"),"",_xlpm.val),_xlpm.Res)</f>
        <v>#NAME?</v>
      </c>
      <c r="AV46" s="855" t="e" cm="1">
        <f t="array" ca="1" aca="1" ref="AV46">_xlfn.LET(_xlpm.val,IF($F46="",val_blankRefText,_xldudf_CX_GET(CX_ENTITY,$F46,AV$11,AV$14,,(AV$44))),_xlpm.Res,IF(OR(_xlpm.val="",_xlpm.val="Error"),"",_xlpm.val),_xlpm.Res)</f>
        <v>#NAME?</v>
      </c>
      <c r="AW46" s="855" t="e" cm="1">
        <f t="array" ca="1" aca="1" ref="AW46">_xlfn.LET(_xlpm.val,IF($F46="",val_blankRefText,_xldudf_CX_GET(CX_ENTITY,$F46,AW$11,AW$14,,(AW$44))),_xlpm.Res,IF(OR(_xlpm.val="",_xlpm.val="Error"),"",_xlpm.val),_xlpm.Res)</f>
        <v>#NAME?</v>
      </c>
      <c r="AX46" s="855" t="e" cm="1">
        <f t="array" ca="1" aca="1" ref="AX46">_xlfn.LET(_xlpm.val,IF($F46="",val_blankRefText,_xldudf_CX_GET(CX_ENTITY,$F46,AX$11,AX$14,,(AX$44))),_xlpm.Res,IF(OR(_xlpm.val="",_xlpm.val="Error"),"",_xlpm.val),_xlpm.Res)</f>
        <v>#NAME?</v>
      </c>
      <c r="AY46" s="855" t="e" cm="1">
        <f t="array" ca="1" aca="1" ref="AY46">_xlfn.LET(_xlpm.val,IF($F46="",val_blankRefText,_xldudf_CX_GET(CX_ENTITY,$F46,AY$11,AY$14,,(AY$44))),_xlpm.Res,IF(OR(_xlpm.val="",_xlpm.val="Error"),"",_xlpm.val),_xlpm.Res)</f>
        <v>#NAME?</v>
      </c>
      <c r="AZ46" s="855" t="e" cm="1">
        <f t="array" ca="1" aca="1" ref="AZ46">_xlfn.LET(_xlpm.val,IF($F46="",val_blankRefText,_xldudf_CX_GET(CX_ENTITY,$F46,AZ$11,AZ$14,,(AZ$44))),_xlpm.Res,IF(OR(_xlpm.val="",_xlpm.val="Error"),"",_xlpm.val),_xlpm.Res)</f>
        <v>#NAME?</v>
      </c>
      <c r="BA46" s="855" t="e" cm="1">
        <f t="array" ca="1" aca="1" ref="BA46">_xlfn.LET(_xlpm.val,IF($F46="",val_blankRefText,_xldudf_CX_GET(CX_ENTITY,$F46,BA$11,BA$14,,(BA$44))),_xlpm.Res,IF(OR(_xlpm.val="",_xlpm.val="Error"),"",_xlpm.val),_xlpm.Res)</f>
        <v>#NAME?</v>
      </c>
      <c r="BB46" s="855" t="e" cm="1">
        <f t="array" ca="1" aca="1" ref="BB46">_xlfn.LET(_xlpm.val,IF($F46="",val_blankRefText,_xldudf_CX_GET(CX_ENTITY,$F46,BB$11,BB$14,,(BB$44))),_xlpm.Res,IF(OR(_xlpm.val="",_xlpm.val="Error"),"",_xlpm.val),_xlpm.Res)</f>
        <v>#NAME?</v>
      </c>
      <c r="BC46" s="855" t="e" cm="1">
        <f t="array" ca="1" aca="1" ref="BC46">_xlfn.LET(_xlpm.val,IF($F46="",val_blankRefText,_xldudf_CX_GET(CX_ENTITY,$F46,BC$11,BC$14,,(BC$44))),_xlpm.Res,IF(OR(_xlpm.val="",_xlpm.val="Error"),"",_xlpm.val),_xlpm.Res)</f>
        <v>#NAME?</v>
      </c>
      <c r="BD46" s="855" t="e" cm="1">
        <f t="array" ca="1" aca="1" ref="BD46">_xlfn.LET(_xlpm.val,IF($F46="",val_blankRefText,_xldudf_CX_GET(CX_ENTITY,$F46,BD$11,BD$14,,(BD$44))),_xlpm.Res,IF(OR(_xlpm.val="",_xlpm.val="Error"),"",_xlpm.val),_xlpm.Res)</f>
        <v>#NAME?</v>
      </c>
      <c r="BE46" s="855" t="e" cm="1">
        <f t="array" ca="1" aca="1" ref="BE46">_xlfn.LET(_xlpm.val,IF($F46="",val_blankRefText,_xldudf_CX_GET(CX_ENTITY,$F46,BE$11,BE$14,,(BE$44))),_xlpm.Res,IF(OR(_xlpm.val="",_xlpm.val="Error"),"",_xlpm.val),_xlpm.Res)</f>
        <v>#NAME?</v>
      </c>
      <c r="BF46" s="855" t="e" cm="1">
        <f t="array" ca="1" aca="1" ref="BF46">_xlfn.LET(_xlpm.val,IF($F46="",val_blankRefText,_xldudf_CX_GET(CX_ENTITY,$F46,BF$11,BF$14,,(BF$44))),_xlpm.Res,IF(OR(_xlpm.val="",_xlpm.val="Error"),"",_xlpm.val),_xlpm.Res)</f>
        <v>#NAME?</v>
      </c>
      <c r="BG46" s="855" t="e" cm="1">
        <f t="array" ca="1" aca="1" ref="BG46">_xlfn.LET(_xlpm.val,IF($F46="",val_blankRefText,_xldudf_CX_GET(CX_ENTITY,$F46,BG$11,BG$14,,(BG$44))),_xlpm.Res,IF(OR(_xlpm.val="",_xlpm.val="Error"),"",_xlpm.val),_xlpm.Res)</f>
        <v>#NAME?</v>
      </c>
      <c r="BH46" s="855" t="e" cm="1">
        <f t="array" ca="1" aca="1" ref="BH46">_xlfn.LET(_xlpm.val,IF($F46="",val_blankRefText,_xldudf_CX_GET(CX_ENTITY,$F46,BH$11,BH$14,,(BH$44))),_xlpm.Res,IF(OR(_xlpm.val="",_xlpm.val="Error"),"",_xlpm.val),_xlpm.Res)</f>
        <v>#NAME?</v>
      </c>
      <c r="BI46" s="855" t="e" cm="1">
        <f t="array" ca="1" aca="1" ref="BI46">_xlfn.LET(_xlpm.val,IF($F46="",val_blankRefText,_xldudf_CX_GET(CX_ENTITY,$F46,BI$11,BI$14,,(BI$44))),_xlpm.Res,IF(OR(_xlpm.val="",_xlpm.val="Error"),"",_xlpm.val),_xlpm.Res)</f>
        <v>#NAME?</v>
      </c>
      <c r="BJ46" s="855" t="e" cm="1">
        <f t="array" ca="1" aca="1" ref="BJ46">_xlfn.LET(_xlpm.val,IF($F46="",val_blankRefText,_xldudf_CX_GET(CX_ENTITY,$F46,BJ$11,BJ$14,,(BJ$44))),_xlpm.Res,IF(OR(_xlpm.val="",_xlpm.val="Error"),"",_xlpm.val),_xlpm.Res)</f>
        <v>#NAME?</v>
      </c>
      <c r="BK46" s="855" t="e" cm="1">
        <f t="array" ca="1" aca="1" ref="BK46">_xlfn.LET(_xlpm.val,IF($F46="",val_blankRefText,_xldudf_CX_GET(CX_ENTITY,$F46,BK$11,BK$14,,(BK$44))),_xlpm.Res,IF(OR(_xlpm.val="",_xlpm.val="Error"),"",_xlpm.val),_xlpm.Res)</f>
        <v>#NAME?</v>
      </c>
      <c r="BL46" s="855" t="e" cm="1">
        <f t="array" ca="1" aca="1" ref="BL46">_xlfn.LET(_xlpm.val,IF($F46="",val_blankRefText,_xldudf_CX_GET(CX_ENTITY,$F46,BL$11,BL$14,,(BL$44))),_xlpm.Res,IF(OR(_xlpm.val="",_xlpm.val="Error"),"",_xlpm.val),_xlpm.Res)</f>
        <v>#NAME?</v>
      </c>
      <c r="BM46" s="855" t="e" cm="1">
        <f t="array" ca="1" aca="1" ref="BM46">_xlfn.LET(_xlpm.val,IF($F46="",val_blankRefText,_xldudf_CX_GET(CX_ENTITY,$F46,BM$11,BM$14,,(BM$44))),_xlpm.Res,IF(OR(_xlpm.val="",_xlpm.val="Error"),"",_xlpm.val),_xlpm.Res)</f>
        <v>#NAME?</v>
      </c>
      <c r="BN46" s="855" t="e" cm="1">
        <f t="array" ca="1" aca="1" ref="BN46">_xlfn.LET(_xlpm.val,IF($F46="",val_blankRefText,_xldudf_CX_GET(CX_ENTITY,$F46,BN$11,BN$14,,(BN$44))),_xlpm.Res,IF(OR(_xlpm.val="",_xlpm.val="Error"),"",_xlpm.val),_xlpm.Res)</f>
        <v>#NAME?</v>
      </c>
      <c r="BO46" s="1844"/>
      <c r="BP46" s="1844"/>
      <c r="BQ46" s="1844"/>
      <c r="BR46" s="1844"/>
      <c r="BS46" s="1844"/>
      <c r="BT46" s="1844"/>
      <c r="BU46" s="1844"/>
      <c r="BV46" s="1844"/>
      <c r="BW46" s="1844"/>
      <c r="BX46" s="1844"/>
      <c r="BY46" s="1844"/>
      <c r="BZ46" s="1844"/>
      <c r="CA46" s="384"/>
      <c r="CC46" s="33"/>
      <c r="CD46" s="1461" t="e" cm="1">
        <f t="array" ca="1" aca="1" ref="CD46">_xlfn.LET(_xlpm.CheckBlank,SUM(CF!$AD46:$BN46)=0,IF(_xlpm.CheckBlank,"",SUM(_xlfn._xlws.FILTER(CF!$AD46:$BN46,(YEAR(CF!$AD$12:$BN$12)=CF!CD$12)*(array_timeline&lt;=CF!CD$11)))))</f>
        <v>#NAME?</v>
      </c>
      <c r="CE46" s="1461" t="e" cm="1">
        <f t="array" ca="1" aca="1" ref="CE46">_xlfn.LET(_xlpm.CheckBlank,SUM(CF!$AD46:$BN46)=0,IF(_xlpm.CheckBlank,"",SUM(_xlfn._xlws.FILTER(CF!$AD46:$BN46,(YEAR(CF!$AD$12:$BN$12)=CF!CE$12)*(array_timeline&lt;=CF!CE$11)))))</f>
        <v>#NAME?</v>
      </c>
      <c r="CF46" s="1314"/>
      <c r="CG46" s="1461" t="e" cm="1">
        <f t="array" ca="1" aca="1" ref="CG46">_xlfn.LET(_xlpm.CheckBlank,SUM(CF!$AD46:$BN46)=0,IF(_xlpm.CheckBlank,"",SUM(_xlfn._xlws.FILTER(CF!$AD46:$BN46,(YEAR(CF!$AD$12:$BN$12)=CF!CG$12)*(array_timeline&lt;=CF!CG$11)))))</f>
        <v>#NAME?</v>
      </c>
      <c r="CH46" s="1461" t="e" cm="1">
        <f t="array" ca="1" aca="1" ref="CH46">_xlfn.LET(_xlpm.CheckBlank,SUM(CF!$AD46:$BN46)=0,IF(_xlpm.CheckBlank,"",SUM(_xlfn._xlws.FILTER(CF!$AD46:$BN46,(YEAR(CF!$AD$12:$BN$12)=CF!CH$12)*(array_timeline&lt;=CF!CH$11)))))</f>
        <v>#NAME?</v>
      </c>
      <c r="CI46" s="1314"/>
      <c r="CJ46" s="1657" cm="1">
        <f t="array" ref="CJ46">_xlfn.LET(_xlpm.CheckBlank,SUM(CF!$AD46:$BN46)=0,IF(_xlpm.CheckBlank,"",SUM(_xlfn.TAKE(_xlfn.DROP(CF!$AD46:$BN46,,-DATEDIFF(CF!CJ$11,val_asOfDate,"M")),1,-12))))</f>
        <v>12</v>
      </c>
      <c r="CK46" s="1657" cm="1">
        <f t="array" ref="CK46">_xlfn.LET(_xlpm.CheckBlank,SUM(CF!$AD46:$BN46)=0,IF(_xlpm.CheckBlank,"",SUM(_xlfn.TAKE(_xlfn.DROP(CF!$AD46:$BN46,,-DATEDIFF(CF!CK$11,val_asOfDate,"M")),1,-12))))</f>
        <v>12</v>
      </c>
      <c r="CL46" s="88"/>
      <c r="CM46" s="541" t="e">
        <f ca="1" t="shared" si="12" ref="CM46">CM21</f>
        <v>#NAME?</v>
      </c>
      <c r="CN46" s="541" t="e">
        <f t="shared" ca="1" si="11"/>
        <v>#NAME?</v>
      </c>
      <c r="CO46" s="34"/>
      <c r="CR46" s="4"/>
      <c r="CS46" s="4"/>
      <c r="CW46" s="4"/>
    </row>
    <row r="47" spans="1:101" ht="21" customHeight="1">
      <c r="A47" s="696"/>
      <c r="B47" s="574" t="s">
        <v>239</v>
      </c>
      <c r="C47" s="574" t="str">
        <f t="shared" si="7"/>
        <v>(Increase)/Decrease in NWC (Company View)</v>
      </c>
      <c r="D47" s="574"/>
      <c r="E47" s="577" t="e" cm="1">
        <f t="array" ca="1" aca="1" ref="E47">_xlfn.LET(_xlpm.Attr,$C47,_xlpm.Lookback,$E$16,_xlpm.QueryDate,EOMONTH(val_asOfDate,_xlpm.Lookback),_xlpm.ReadField,_xldudf_CX_GET(CX_ENTITY,fx_attrConverter($C47),_xlpm.QueryDate),_xlpm.AttrBlank,_xlpm.Attr="",_xlpm.RESULT,IF(_xlpm.AttrBlank,val_blankRefText,fx_attrConverter(_xlpm.ReadField,0)),IF(_xlpm.RESULT="Error","",_xlpm.RESULT))</f>
        <v>#NAME?</v>
      </c>
      <c r="F47" s="577" t="str">
        <f t="shared" si="8"/>
        <v>(Increase)/Decrease in NWC</v>
      </c>
      <c r="G47" s="401"/>
      <c r="H47" s="3280">
        <v>1</v>
      </c>
      <c r="I47" s="3280">
        <v>1</v>
      </c>
      <c r="J47" s="401"/>
      <c r="K47" s="401"/>
      <c r="L47" s="3269" t="b">
        <v>1</v>
      </c>
      <c r="N47" s="158"/>
      <c r="O47" s="101"/>
      <c r="P47" s="52"/>
      <c r="Q47" s="101"/>
      <c r="R47" s="126"/>
      <c r="S47" s="101"/>
      <c r="T47" s="101"/>
      <c r="U47" s="39"/>
      <c r="W47" s="932" t="str">
        <f t="shared" si="13" ref="W47:W62">$W$45</f>
        <v>Budget</v>
      </c>
      <c r="X47" s="761" t="s">
        <v>62</v>
      </c>
      <c r="Y47" s="88" t="e">
        <f t="shared" ca="1" si="9"/>
        <v>#NAME?</v>
      </c>
      <c r="Z47" s="3300" cm="1">
        <f t="array" ref="Z47">_xlfn.SWITCH(TRUE,_CF!$L47=TRUE,1,_CF!$L47=FALSE,-1,_CF!$L47=-1,0,"n/a")</f>
        <v>1</v>
      </c>
      <c r="AA47" s="200"/>
      <c r="AB47" s="88" t="str">
        <f t="shared" si="10"/>
        <v>(Increase)/Decrease in NWC</v>
      </c>
      <c r="AC47" s="88"/>
      <c r="AD47" s="855" t="e" cm="1">
        <f t="array" ca="1" aca="1" ref="AD47">_xlfn.LET(_xlpm.val,IF($F47="",val_blankRefText,_xldudf_CX_GET(CX_ENTITY,$F47,AD$11,AD$14,,(AD$44))),_xlpm.Res,IF(OR(_xlpm.val="",_xlpm.val="Error"),"",_xlpm.val),_xlpm.Res)</f>
        <v>#NAME?</v>
      </c>
      <c r="AE47" s="855" t="e" cm="1">
        <f t="array" ca="1" aca="1" ref="AE47">_xlfn.LET(_xlpm.val,IF($F47="",val_blankRefText,_xldudf_CX_GET(CX_ENTITY,$F47,AE$11,AE$14,,(AE$44))),_xlpm.Res,IF(OR(_xlpm.val="",_xlpm.val="Error"),"",_xlpm.val),_xlpm.Res)</f>
        <v>#NAME?</v>
      </c>
      <c r="AF47" s="855" t="e" cm="1">
        <f t="array" ca="1" aca="1" ref="AF47">_xlfn.LET(_xlpm.val,IF($F47="",val_blankRefText,_xldudf_CX_GET(CX_ENTITY,$F47,AF$11,AF$14,,(AF$44))),_xlpm.Res,IF(OR(_xlpm.val="",_xlpm.val="Error"),"",_xlpm.val),_xlpm.Res)</f>
        <v>#NAME?</v>
      </c>
      <c r="AG47" s="855" t="e" cm="1">
        <f t="array" ca="1" aca="1" ref="AG47">_xlfn.LET(_xlpm.val,IF($F47="",val_blankRefText,_xldudf_CX_GET(CX_ENTITY,$F47,AG$11,AG$14,,(AG$44))),_xlpm.Res,IF(OR(_xlpm.val="",_xlpm.val="Error"),"",_xlpm.val),_xlpm.Res)</f>
        <v>#NAME?</v>
      </c>
      <c r="AH47" s="855" t="e" cm="1">
        <f t="array" ca="1" aca="1" ref="AH47">_xlfn.LET(_xlpm.val,IF($F47="",val_blankRefText,_xldudf_CX_GET(CX_ENTITY,$F47,AH$11,AH$14,,(AH$44))),_xlpm.Res,IF(OR(_xlpm.val="",_xlpm.val="Error"),"",_xlpm.val),_xlpm.Res)</f>
        <v>#NAME?</v>
      </c>
      <c r="AI47" s="855" t="e" cm="1">
        <f t="array" ca="1" aca="1" ref="AI47">_xlfn.LET(_xlpm.val,IF($F47="",val_blankRefText,_xldudf_CX_GET(CX_ENTITY,$F47,AI$11,AI$14,,(AI$44))),_xlpm.Res,IF(OR(_xlpm.val="",_xlpm.val="Error"),"",_xlpm.val),_xlpm.Res)</f>
        <v>#NAME?</v>
      </c>
      <c r="AJ47" s="855" t="e" cm="1">
        <f t="array" ca="1" aca="1" ref="AJ47">_xlfn.LET(_xlpm.val,IF($F47="",val_blankRefText,_xldudf_CX_GET(CX_ENTITY,$F47,AJ$11,AJ$14,,(AJ$44))),_xlpm.Res,IF(OR(_xlpm.val="",_xlpm.val="Error"),"",_xlpm.val),_xlpm.Res)</f>
        <v>#NAME?</v>
      </c>
      <c r="AK47" s="855" t="e" cm="1">
        <f t="array" ca="1" aca="1" ref="AK47">_xlfn.LET(_xlpm.val,IF($F47="",val_blankRefText,_xldudf_CX_GET(CX_ENTITY,$F47,AK$11,AK$14,,(AK$44))),_xlpm.Res,IF(OR(_xlpm.val="",_xlpm.val="Error"),"",_xlpm.val),_xlpm.Res)</f>
        <v>#NAME?</v>
      </c>
      <c r="AL47" s="855" t="e" cm="1">
        <f t="array" ca="1" aca="1" ref="AL47">_xlfn.LET(_xlpm.val,IF($F47="",val_blankRefText,_xldudf_CX_GET(CX_ENTITY,$F47,AL$11,AL$14,,(AL$44))),_xlpm.Res,IF(OR(_xlpm.val="",_xlpm.val="Error"),"",_xlpm.val),_xlpm.Res)</f>
        <v>#NAME?</v>
      </c>
      <c r="AM47" s="855" t="e" cm="1">
        <f t="array" ca="1" aca="1" ref="AM47">_xlfn.LET(_xlpm.val,IF($F47="",val_blankRefText,_xldudf_CX_GET(CX_ENTITY,$F47,AM$11,AM$14,,(AM$44))),_xlpm.Res,IF(OR(_xlpm.val="",_xlpm.val="Error"),"",_xlpm.val),_xlpm.Res)</f>
        <v>#NAME?</v>
      </c>
      <c r="AN47" s="855" t="e" cm="1">
        <f t="array" ca="1" aca="1" ref="AN47">_xlfn.LET(_xlpm.val,IF($F47="",val_blankRefText,_xldudf_CX_GET(CX_ENTITY,$F47,AN$11,AN$14,,(AN$44))),_xlpm.Res,IF(OR(_xlpm.val="",_xlpm.val="Error"),"",_xlpm.val),_xlpm.Res)</f>
        <v>#NAME?</v>
      </c>
      <c r="AO47" s="855" t="e" cm="1">
        <f t="array" ca="1" aca="1" ref="AO47">_xlfn.LET(_xlpm.val,IF($F47="",val_blankRefText,_xldudf_CX_GET(CX_ENTITY,$F47,AO$11,AO$14,,(AO$44))),_xlpm.Res,IF(OR(_xlpm.val="",_xlpm.val="Error"),"",_xlpm.val),_xlpm.Res)</f>
        <v>#NAME?</v>
      </c>
      <c r="AP47" s="855" t="e" cm="1">
        <f t="array" ca="1" aca="1" ref="AP47">_xlfn.LET(_xlpm.val,IF($F47="",val_blankRefText,_xldudf_CX_GET(CX_ENTITY,$F47,AP$11,AP$14,,(AP$44))),_xlpm.Res,IF(OR(_xlpm.val="",_xlpm.val="Error"),"",_xlpm.val),_xlpm.Res)</f>
        <v>#NAME?</v>
      </c>
      <c r="AQ47" s="855" t="e" cm="1">
        <f t="array" ca="1" aca="1" ref="AQ47">_xlfn.LET(_xlpm.val,IF($F47="",val_blankRefText,_xldudf_CX_GET(CX_ENTITY,$F47,AQ$11,AQ$14,,(AQ$44))),_xlpm.Res,IF(OR(_xlpm.val="",_xlpm.val="Error"),"",_xlpm.val),_xlpm.Res)</f>
        <v>#NAME?</v>
      </c>
      <c r="AR47" s="855" t="e" cm="1">
        <f t="array" ca="1" aca="1" ref="AR47">_xlfn.LET(_xlpm.val,IF($F47="",val_blankRefText,_xldudf_CX_GET(CX_ENTITY,$F47,AR$11,AR$14,,(AR$44))),_xlpm.Res,IF(OR(_xlpm.val="",_xlpm.val="Error"),"",_xlpm.val),_xlpm.Res)</f>
        <v>#NAME?</v>
      </c>
      <c r="AS47" s="855" t="e" cm="1">
        <f t="array" ca="1" aca="1" ref="AS47">_xlfn.LET(_xlpm.val,IF($F47="",val_blankRefText,_xldudf_CX_GET(CX_ENTITY,$F47,AS$11,AS$14,,(AS$44))),_xlpm.Res,IF(OR(_xlpm.val="",_xlpm.val="Error"),"",_xlpm.val),_xlpm.Res)</f>
        <v>#NAME?</v>
      </c>
      <c r="AT47" s="855" t="e" cm="1">
        <f t="array" ca="1" aca="1" ref="AT47">_xlfn.LET(_xlpm.val,IF($F47="",val_blankRefText,_xldudf_CX_GET(CX_ENTITY,$F47,AT$11,AT$14,,(AT$44))),_xlpm.Res,IF(OR(_xlpm.val="",_xlpm.val="Error"),"",_xlpm.val),_xlpm.Res)</f>
        <v>#NAME?</v>
      </c>
      <c r="AU47" s="855" t="e" cm="1">
        <f t="array" ca="1" aca="1" ref="AU47">_xlfn.LET(_xlpm.val,IF($F47="",val_blankRefText,_xldudf_CX_GET(CX_ENTITY,$F47,AU$11,AU$14,,(AU$44))),_xlpm.Res,IF(OR(_xlpm.val="",_xlpm.val="Error"),"",_xlpm.val),_xlpm.Res)</f>
        <v>#NAME?</v>
      </c>
      <c r="AV47" s="855" t="e" cm="1">
        <f t="array" ca="1" aca="1" ref="AV47">_xlfn.LET(_xlpm.val,IF($F47="",val_blankRefText,_xldudf_CX_GET(CX_ENTITY,$F47,AV$11,AV$14,,(AV$44))),_xlpm.Res,IF(OR(_xlpm.val="",_xlpm.val="Error"),"",_xlpm.val),_xlpm.Res)</f>
        <v>#NAME?</v>
      </c>
      <c r="AW47" s="855" t="e" cm="1">
        <f t="array" ca="1" aca="1" ref="AW47">_xlfn.LET(_xlpm.val,IF($F47="",val_blankRefText,_xldudf_CX_GET(CX_ENTITY,$F47,AW$11,AW$14,,(AW$44))),_xlpm.Res,IF(OR(_xlpm.val="",_xlpm.val="Error"),"",_xlpm.val),_xlpm.Res)</f>
        <v>#NAME?</v>
      </c>
      <c r="AX47" s="855" t="e" cm="1">
        <f t="array" ca="1" aca="1" ref="AX47">_xlfn.LET(_xlpm.val,IF($F47="",val_blankRefText,_xldudf_CX_GET(CX_ENTITY,$F47,AX$11,AX$14,,(AX$44))),_xlpm.Res,IF(OR(_xlpm.val="",_xlpm.val="Error"),"",_xlpm.val),_xlpm.Res)</f>
        <v>#NAME?</v>
      </c>
      <c r="AY47" s="855" t="e" cm="1">
        <f t="array" ca="1" aca="1" ref="AY47">_xlfn.LET(_xlpm.val,IF($F47="",val_blankRefText,_xldudf_CX_GET(CX_ENTITY,$F47,AY$11,AY$14,,(AY$44))),_xlpm.Res,IF(OR(_xlpm.val="",_xlpm.val="Error"),"",_xlpm.val),_xlpm.Res)</f>
        <v>#NAME?</v>
      </c>
      <c r="AZ47" s="855" t="e" cm="1">
        <f t="array" ca="1" aca="1" ref="AZ47">_xlfn.LET(_xlpm.val,IF($F47="",val_blankRefText,_xldudf_CX_GET(CX_ENTITY,$F47,AZ$11,AZ$14,,(AZ$44))),_xlpm.Res,IF(OR(_xlpm.val="",_xlpm.val="Error"),"",_xlpm.val),_xlpm.Res)</f>
        <v>#NAME?</v>
      </c>
      <c r="BA47" s="855" t="e" cm="1">
        <f t="array" ca="1" aca="1" ref="BA47">_xlfn.LET(_xlpm.val,IF($F47="",val_blankRefText,_xldudf_CX_GET(CX_ENTITY,$F47,BA$11,BA$14,,(BA$44))),_xlpm.Res,IF(OR(_xlpm.val="",_xlpm.val="Error"),"",_xlpm.val),_xlpm.Res)</f>
        <v>#NAME?</v>
      </c>
      <c r="BB47" s="855" t="e" cm="1">
        <f t="array" ca="1" aca="1" ref="BB47">_xlfn.LET(_xlpm.val,IF($F47="",val_blankRefText,_xldudf_CX_GET(CX_ENTITY,$F47,BB$11,BB$14,,(BB$44))),_xlpm.Res,IF(OR(_xlpm.val="",_xlpm.val="Error"),"",_xlpm.val),_xlpm.Res)</f>
        <v>#NAME?</v>
      </c>
      <c r="BC47" s="855" t="e" cm="1">
        <f t="array" ca="1" aca="1" ref="BC47">_xlfn.LET(_xlpm.val,IF($F47="",val_blankRefText,_xldudf_CX_GET(CX_ENTITY,$F47,BC$11,BC$14,,(BC$44))),_xlpm.Res,IF(OR(_xlpm.val="",_xlpm.val="Error"),"",_xlpm.val),_xlpm.Res)</f>
        <v>#NAME?</v>
      </c>
      <c r="BD47" s="855" t="e" cm="1">
        <f t="array" ca="1" aca="1" ref="BD47">_xlfn.LET(_xlpm.val,IF($F47="",val_blankRefText,_xldudf_CX_GET(CX_ENTITY,$F47,BD$11,BD$14,,(BD$44))),_xlpm.Res,IF(OR(_xlpm.val="",_xlpm.val="Error"),"",_xlpm.val),_xlpm.Res)</f>
        <v>#NAME?</v>
      </c>
      <c r="BE47" s="855" t="e" cm="1">
        <f t="array" ca="1" aca="1" ref="BE47">_xlfn.LET(_xlpm.val,IF($F47="",val_blankRefText,_xldudf_CX_GET(CX_ENTITY,$F47,BE$11,BE$14,,(BE$44))),_xlpm.Res,IF(OR(_xlpm.val="",_xlpm.val="Error"),"",_xlpm.val),_xlpm.Res)</f>
        <v>#NAME?</v>
      </c>
      <c r="BF47" s="855" t="e" cm="1">
        <f t="array" ca="1" aca="1" ref="BF47">_xlfn.LET(_xlpm.val,IF($F47="",val_blankRefText,_xldudf_CX_GET(CX_ENTITY,$F47,BF$11,BF$14,,(BF$44))),_xlpm.Res,IF(OR(_xlpm.val="",_xlpm.val="Error"),"",_xlpm.val),_xlpm.Res)</f>
        <v>#NAME?</v>
      </c>
      <c r="BG47" s="855" t="e" cm="1">
        <f t="array" ca="1" aca="1" ref="BG47">_xlfn.LET(_xlpm.val,IF($F47="",val_blankRefText,_xldudf_CX_GET(CX_ENTITY,$F47,BG$11,BG$14,,(BG$44))),_xlpm.Res,IF(OR(_xlpm.val="",_xlpm.val="Error"),"",_xlpm.val),_xlpm.Res)</f>
        <v>#NAME?</v>
      </c>
      <c r="BH47" s="855" t="e" cm="1">
        <f t="array" ca="1" aca="1" ref="BH47">_xlfn.LET(_xlpm.val,IF($F47="",val_blankRefText,_xldudf_CX_GET(CX_ENTITY,$F47,BH$11,BH$14,,(BH$44))),_xlpm.Res,IF(OR(_xlpm.val="",_xlpm.val="Error"),"",_xlpm.val),_xlpm.Res)</f>
        <v>#NAME?</v>
      </c>
      <c r="BI47" s="855" t="e" cm="1">
        <f t="array" ca="1" aca="1" ref="BI47">_xlfn.LET(_xlpm.val,IF($F47="",val_blankRefText,_xldudf_CX_GET(CX_ENTITY,$F47,BI$11,BI$14,,(BI$44))),_xlpm.Res,IF(OR(_xlpm.val="",_xlpm.val="Error"),"",_xlpm.val),_xlpm.Res)</f>
        <v>#NAME?</v>
      </c>
      <c r="BJ47" s="855" t="e" cm="1">
        <f t="array" ca="1" aca="1" ref="BJ47">_xlfn.LET(_xlpm.val,IF($F47="",val_blankRefText,_xldudf_CX_GET(CX_ENTITY,$F47,BJ$11,BJ$14,,(BJ$44))),_xlpm.Res,IF(OR(_xlpm.val="",_xlpm.val="Error"),"",_xlpm.val),_xlpm.Res)</f>
        <v>#NAME?</v>
      </c>
      <c r="BK47" s="855" t="e" cm="1">
        <f t="array" ca="1" aca="1" ref="BK47">_xlfn.LET(_xlpm.val,IF($F47="",val_blankRefText,_xldudf_CX_GET(CX_ENTITY,$F47,BK$11,BK$14,,(BK$44))),_xlpm.Res,IF(OR(_xlpm.val="",_xlpm.val="Error"),"",_xlpm.val),_xlpm.Res)</f>
        <v>#NAME?</v>
      </c>
      <c r="BL47" s="855" t="e" cm="1">
        <f t="array" ca="1" aca="1" ref="BL47">_xlfn.LET(_xlpm.val,IF($F47="",val_blankRefText,_xldudf_CX_GET(CX_ENTITY,$F47,BL$11,BL$14,,(BL$44))),_xlpm.Res,IF(OR(_xlpm.val="",_xlpm.val="Error"),"",_xlpm.val),_xlpm.Res)</f>
        <v>#NAME?</v>
      </c>
      <c r="BM47" s="855" t="e" cm="1">
        <f t="array" ca="1" aca="1" ref="BM47">_xlfn.LET(_xlpm.val,IF($F47="",val_blankRefText,_xldudf_CX_GET(CX_ENTITY,$F47,BM$11,BM$14,,(BM$44))),_xlpm.Res,IF(OR(_xlpm.val="",_xlpm.val="Error"),"",_xlpm.val),_xlpm.Res)</f>
        <v>#NAME?</v>
      </c>
      <c r="BN47" s="855" t="e" cm="1">
        <f t="array" ca="1" aca="1" ref="BN47">_xlfn.LET(_xlpm.val,IF($F47="",val_blankRefText,_xldudf_CX_GET(CX_ENTITY,$F47,BN$11,BN$14,,(BN$44))),_xlpm.Res,IF(OR(_xlpm.val="",_xlpm.val="Error"),"",_xlpm.val),_xlpm.Res)</f>
        <v>#NAME?</v>
      </c>
      <c r="BO47" s="1844"/>
      <c r="BP47" s="1844"/>
      <c r="BQ47" s="1844"/>
      <c r="BR47" s="1844"/>
      <c r="BS47" s="1844"/>
      <c r="BT47" s="1844"/>
      <c r="BU47" s="1844"/>
      <c r="BV47" s="1844"/>
      <c r="BW47" s="1844"/>
      <c r="BX47" s="1844"/>
      <c r="BY47" s="1844"/>
      <c r="BZ47" s="1844"/>
      <c r="CA47" s="384"/>
      <c r="CC47" s="33"/>
      <c r="CD47" s="1461" t="e" cm="1">
        <f t="array" ca="1" aca="1" ref="CD47">_xlfn.LET(_xlpm.CheckBlank,SUM(CF!$AD47:$BN47)=0,IF(_xlpm.CheckBlank,"",SUM(_xlfn._xlws.FILTER(CF!$AD47:$BN47,(YEAR(CF!$AD$12:$BN$12)=CF!CD$12)*(array_timeline&lt;=CF!CD$11)))))</f>
        <v>#NAME?</v>
      </c>
      <c r="CE47" s="1461" t="e" cm="1">
        <f t="array" ca="1" aca="1" ref="CE47">_xlfn.LET(_xlpm.CheckBlank,SUM(CF!$AD47:$BN47)=0,IF(_xlpm.CheckBlank,"",SUM(_xlfn._xlws.FILTER(CF!$AD47:$BN47,(YEAR(CF!$AD$12:$BN$12)=CF!CE$12)*(array_timeline&lt;=CF!CE$11)))))</f>
        <v>#NAME?</v>
      </c>
      <c r="CF47" s="1314"/>
      <c r="CG47" s="1461" t="e" cm="1">
        <f t="array" ca="1" aca="1" ref="CG47">_xlfn.LET(_xlpm.CheckBlank,SUM(CF!$AD47:$BN47)=0,IF(_xlpm.CheckBlank,"",SUM(_xlfn._xlws.FILTER(CF!$AD47:$BN47,(YEAR(CF!$AD$12:$BN$12)=CF!CG$12)*(array_timeline&lt;=CF!CG$11)))))</f>
        <v>#NAME?</v>
      </c>
      <c r="CH47" s="1461" t="e" cm="1">
        <f t="array" ca="1" aca="1" ref="CH47">_xlfn.LET(_xlpm.CheckBlank,SUM(CF!$AD47:$BN47)=0,IF(_xlpm.CheckBlank,"",SUM(_xlfn._xlws.FILTER(CF!$AD47:$BN47,(YEAR(CF!$AD$12:$BN$12)=CF!CH$12)*(array_timeline&lt;=CF!CH$11)))))</f>
        <v>#NAME?</v>
      </c>
      <c r="CI47" s="1314"/>
      <c r="CJ47" s="1657" cm="1">
        <f t="array" ref="CJ47">_xlfn.LET(_xlpm.CheckBlank,SUM(CF!$AD47:$BN47)=0,IF(_xlpm.CheckBlank,"",SUM(_xlfn.TAKE(_xlfn.DROP(CF!$AD47:$BN47,,-DATEDIFF(CF!CJ$11,val_asOfDate,"M")),1,-12))))</f>
        <v>12</v>
      </c>
      <c r="CK47" s="1657" cm="1">
        <f t="array" ref="CK47">_xlfn.LET(_xlpm.CheckBlank,SUM(CF!$AD47:$BN47)=0,IF(_xlpm.CheckBlank,"",SUM(_xlfn.TAKE(_xlfn.DROP(CF!$AD47:$BN47,,-DATEDIFF(CF!CK$11,val_asOfDate,"M")),1,-12))))</f>
        <v>12</v>
      </c>
      <c r="CL47" s="88"/>
      <c r="CM47" s="541" t="e">
        <f ca="1" t="shared" si="14" ref="CM47">CM22</f>
        <v>#NAME?</v>
      </c>
      <c r="CN47" s="541" t="e">
        <f t="shared" ca="1" si="11"/>
        <v>#NAME?</v>
      </c>
      <c r="CO47" s="34"/>
      <c r="CR47" s="4"/>
      <c r="CS47" s="4"/>
      <c r="CW47" s="4"/>
    </row>
    <row r="48" spans="1:101" ht="21" customHeight="1">
      <c r="A48" s="696"/>
      <c r="B48" s="574" t="s">
        <v>240</v>
      </c>
      <c r="C48" s="574" t="str">
        <f t="shared" si="7"/>
        <v>Other Operating Cash Flows (Company View)</v>
      </c>
      <c r="D48" s="574"/>
      <c r="E48" s="577" t="e" cm="1">
        <f t="array" ca="1" aca="1" ref="E48">_xlfn.LET(_xlpm.Attr,$C48,_xlpm.Lookback,$E$16,_xlpm.QueryDate,EOMONTH(val_asOfDate,_xlpm.Lookback),_xlpm.ReadField,_xldudf_CX_GET(CX_ENTITY,fx_attrConverter($C48),_xlpm.QueryDate),_xlpm.AttrBlank,_xlpm.Attr="",_xlpm.RESULT,IF(_xlpm.AttrBlank,val_blankRefText,fx_attrConverter(_xlpm.ReadField,0)),IF(_xlpm.RESULT="Error","",_xlpm.RESULT))</f>
        <v>#NAME?</v>
      </c>
      <c r="F48" s="577" t="str">
        <f t="shared" si="8"/>
        <v>Other Operating Cash Flows</v>
      </c>
      <c r="G48" s="401"/>
      <c r="H48" s="3280">
        <v>1</v>
      </c>
      <c r="I48" s="3280">
        <v>1</v>
      </c>
      <c r="J48" s="401"/>
      <c r="K48" s="401"/>
      <c r="L48" s="3269" t="b">
        <v>1</v>
      </c>
      <c r="N48" s="158"/>
      <c r="O48" s="101"/>
      <c r="P48" s="52"/>
      <c r="Q48" s="101"/>
      <c r="R48" s="126"/>
      <c r="S48" s="101"/>
      <c r="T48" s="101"/>
      <c r="U48" s="39"/>
      <c r="W48" s="932" t="str">
        <f t="shared" si="13"/>
        <v>Budget</v>
      </c>
      <c r="X48" s="761" t="s">
        <v>62</v>
      </c>
      <c r="Y48" s="88" t="e">
        <f t="shared" ca="1" si="9"/>
        <v>#NAME?</v>
      </c>
      <c r="Z48" s="3300" cm="1">
        <f t="array" ref="Z48">_xlfn.SWITCH(TRUE,_CF!$L48=TRUE,1,_CF!$L48=FALSE,-1,_CF!$L48=-1,0,"n/a")</f>
        <v>1</v>
      </c>
      <c r="AA48" s="200"/>
      <c r="AB48" s="88" t="str">
        <f t="shared" si="10"/>
        <v>Other Operating Cash Flows</v>
      </c>
      <c r="AC48" s="88"/>
      <c r="AD48" s="855" t="e" cm="1">
        <f t="array" ca="1" aca="1" ref="AD48">_xlfn.LET(_xlpm.val,IF($F48="",val_blankRefText,_xldudf_CX_GET(CX_ENTITY,$F48,AD$11,AD$14,,(AD$44))),_xlpm.Res,IF(OR(_xlpm.val="",_xlpm.val="Error"),"",_xlpm.val),_xlpm.Res)</f>
        <v>#NAME?</v>
      </c>
      <c r="AE48" s="855" t="e" cm="1">
        <f t="array" ca="1" aca="1" ref="AE48">_xlfn.LET(_xlpm.val,IF($F48="",val_blankRefText,_xldudf_CX_GET(CX_ENTITY,$F48,AE$11,AE$14,,(AE$44))),_xlpm.Res,IF(OR(_xlpm.val="",_xlpm.val="Error"),"",_xlpm.val),_xlpm.Res)</f>
        <v>#NAME?</v>
      </c>
      <c r="AF48" s="855" t="e" cm="1">
        <f t="array" ca="1" aca="1" ref="AF48">_xlfn.LET(_xlpm.val,IF($F48="",val_blankRefText,_xldudf_CX_GET(CX_ENTITY,$F48,AF$11,AF$14,,(AF$44))),_xlpm.Res,IF(OR(_xlpm.val="",_xlpm.val="Error"),"",_xlpm.val),_xlpm.Res)</f>
        <v>#NAME?</v>
      </c>
      <c r="AG48" s="855" t="e" cm="1">
        <f t="array" ca="1" aca="1" ref="AG48">_xlfn.LET(_xlpm.val,IF($F48="",val_blankRefText,_xldudf_CX_GET(CX_ENTITY,$F48,AG$11,AG$14,,(AG$44))),_xlpm.Res,IF(OR(_xlpm.val="",_xlpm.val="Error"),"",_xlpm.val),_xlpm.Res)</f>
        <v>#NAME?</v>
      </c>
      <c r="AH48" s="855" t="e" cm="1">
        <f t="array" ca="1" aca="1" ref="AH48">_xlfn.LET(_xlpm.val,IF($F48="",val_blankRefText,_xldudf_CX_GET(CX_ENTITY,$F48,AH$11,AH$14,,(AH$44))),_xlpm.Res,IF(OR(_xlpm.val="",_xlpm.val="Error"),"",_xlpm.val),_xlpm.Res)</f>
        <v>#NAME?</v>
      </c>
      <c r="AI48" s="855" t="e" cm="1">
        <f t="array" ca="1" aca="1" ref="AI48">_xlfn.LET(_xlpm.val,IF($F48="",val_blankRefText,_xldudf_CX_GET(CX_ENTITY,$F48,AI$11,AI$14,,(AI$44))),_xlpm.Res,IF(OR(_xlpm.val="",_xlpm.val="Error"),"",_xlpm.val),_xlpm.Res)</f>
        <v>#NAME?</v>
      </c>
      <c r="AJ48" s="855" t="e" cm="1">
        <f t="array" ca="1" aca="1" ref="AJ48">_xlfn.LET(_xlpm.val,IF($F48="",val_blankRefText,_xldudf_CX_GET(CX_ENTITY,$F48,AJ$11,AJ$14,,(AJ$44))),_xlpm.Res,IF(OR(_xlpm.val="",_xlpm.val="Error"),"",_xlpm.val),_xlpm.Res)</f>
        <v>#NAME?</v>
      </c>
      <c r="AK48" s="855" t="e" cm="1">
        <f t="array" ca="1" aca="1" ref="AK48">_xlfn.LET(_xlpm.val,IF($F48="",val_blankRefText,_xldudf_CX_GET(CX_ENTITY,$F48,AK$11,AK$14,,(AK$44))),_xlpm.Res,IF(OR(_xlpm.val="",_xlpm.val="Error"),"",_xlpm.val),_xlpm.Res)</f>
        <v>#NAME?</v>
      </c>
      <c r="AL48" s="855" t="e" cm="1">
        <f t="array" ca="1" aca="1" ref="AL48">_xlfn.LET(_xlpm.val,IF($F48="",val_blankRefText,_xldudf_CX_GET(CX_ENTITY,$F48,AL$11,AL$14,,(AL$44))),_xlpm.Res,IF(OR(_xlpm.val="",_xlpm.val="Error"),"",_xlpm.val),_xlpm.Res)</f>
        <v>#NAME?</v>
      </c>
      <c r="AM48" s="855" t="e" cm="1">
        <f t="array" ca="1" aca="1" ref="AM48">_xlfn.LET(_xlpm.val,IF($F48="",val_blankRefText,_xldudf_CX_GET(CX_ENTITY,$F48,AM$11,AM$14,,(AM$44))),_xlpm.Res,IF(OR(_xlpm.val="",_xlpm.val="Error"),"",_xlpm.val),_xlpm.Res)</f>
        <v>#NAME?</v>
      </c>
      <c r="AN48" s="855" t="e" cm="1">
        <f t="array" ca="1" aca="1" ref="AN48">_xlfn.LET(_xlpm.val,IF($F48="",val_blankRefText,_xldudf_CX_GET(CX_ENTITY,$F48,AN$11,AN$14,,(AN$44))),_xlpm.Res,IF(OR(_xlpm.val="",_xlpm.val="Error"),"",_xlpm.val),_xlpm.Res)</f>
        <v>#NAME?</v>
      </c>
      <c r="AO48" s="855" t="e" cm="1">
        <f t="array" ca="1" aca="1" ref="AO48">_xlfn.LET(_xlpm.val,IF($F48="",val_blankRefText,_xldudf_CX_GET(CX_ENTITY,$F48,AO$11,AO$14,,(AO$44))),_xlpm.Res,IF(OR(_xlpm.val="",_xlpm.val="Error"),"",_xlpm.val),_xlpm.Res)</f>
        <v>#NAME?</v>
      </c>
      <c r="AP48" s="855" t="e" cm="1">
        <f t="array" ca="1" aca="1" ref="AP48">_xlfn.LET(_xlpm.val,IF($F48="",val_blankRefText,_xldudf_CX_GET(CX_ENTITY,$F48,AP$11,AP$14,,(AP$44))),_xlpm.Res,IF(OR(_xlpm.val="",_xlpm.val="Error"),"",_xlpm.val),_xlpm.Res)</f>
        <v>#NAME?</v>
      </c>
      <c r="AQ48" s="855" t="e" cm="1">
        <f t="array" ca="1" aca="1" ref="AQ48">_xlfn.LET(_xlpm.val,IF($F48="",val_blankRefText,_xldudf_CX_GET(CX_ENTITY,$F48,AQ$11,AQ$14,,(AQ$44))),_xlpm.Res,IF(OR(_xlpm.val="",_xlpm.val="Error"),"",_xlpm.val),_xlpm.Res)</f>
        <v>#NAME?</v>
      </c>
      <c r="AR48" s="855" t="e" cm="1">
        <f t="array" ca="1" aca="1" ref="AR48">_xlfn.LET(_xlpm.val,IF($F48="",val_blankRefText,_xldudf_CX_GET(CX_ENTITY,$F48,AR$11,AR$14,,(AR$44))),_xlpm.Res,IF(OR(_xlpm.val="",_xlpm.val="Error"),"",_xlpm.val),_xlpm.Res)</f>
        <v>#NAME?</v>
      </c>
      <c r="AS48" s="855" t="e" cm="1">
        <f t="array" ca="1" aca="1" ref="AS48">_xlfn.LET(_xlpm.val,IF($F48="",val_blankRefText,_xldudf_CX_GET(CX_ENTITY,$F48,AS$11,AS$14,,(AS$44))),_xlpm.Res,IF(OR(_xlpm.val="",_xlpm.val="Error"),"",_xlpm.val),_xlpm.Res)</f>
        <v>#NAME?</v>
      </c>
      <c r="AT48" s="855" t="e" cm="1">
        <f t="array" ca="1" aca="1" ref="AT48">_xlfn.LET(_xlpm.val,IF($F48="",val_blankRefText,_xldudf_CX_GET(CX_ENTITY,$F48,AT$11,AT$14,,(AT$44))),_xlpm.Res,IF(OR(_xlpm.val="",_xlpm.val="Error"),"",_xlpm.val),_xlpm.Res)</f>
        <v>#NAME?</v>
      </c>
      <c r="AU48" s="855" t="e" cm="1">
        <f t="array" ca="1" aca="1" ref="AU48">_xlfn.LET(_xlpm.val,IF($F48="",val_blankRefText,_xldudf_CX_GET(CX_ENTITY,$F48,AU$11,AU$14,,(AU$44))),_xlpm.Res,IF(OR(_xlpm.val="",_xlpm.val="Error"),"",_xlpm.val),_xlpm.Res)</f>
        <v>#NAME?</v>
      </c>
      <c r="AV48" s="855" t="e" cm="1">
        <f t="array" ca="1" aca="1" ref="AV48">_xlfn.LET(_xlpm.val,IF($F48="",val_blankRefText,_xldudf_CX_GET(CX_ENTITY,$F48,AV$11,AV$14,,(AV$44))),_xlpm.Res,IF(OR(_xlpm.val="",_xlpm.val="Error"),"",_xlpm.val),_xlpm.Res)</f>
        <v>#NAME?</v>
      </c>
      <c r="AW48" s="855" t="e" cm="1">
        <f t="array" ca="1" aca="1" ref="AW48">_xlfn.LET(_xlpm.val,IF($F48="",val_blankRefText,_xldudf_CX_GET(CX_ENTITY,$F48,AW$11,AW$14,,(AW$44))),_xlpm.Res,IF(OR(_xlpm.val="",_xlpm.val="Error"),"",_xlpm.val),_xlpm.Res)</f>
        <v>#NAME?</v>
      </c>
      <c r="AX48" s="855" t="e" cm="1">
        <f t="array" ca="1" aca="1" ref="AX48">_xlfn.LET(_xlpm.val,IF($F48="",val_blankRefText,_xldudf_CX_GET(CX_ENTITY,$F48,AX$11,AX$14,,(AX$44))),_xlpm.Res,IF(OR(_xlpm.val="",_xlpm.val="Error"),"",_xlpm.val),_xlpm.Res)</f>
        <v>#NAME?</v>
      </c>
      <c r="AY48" s="855" t="e" cm="1">
        <f t="array" ca="1" aca="1" ref="AY48">_xlfn.LET(_xlpm.val,IF($F48="",val_blankRefText,_xldudf_CX_GET(CX_ENTITY,$F48,AY$11,AY$14,,(AY$44))),_xlpm.Res,IF(OR(_xlpm.val="",_xlpm.val="Error"),"",_xlpm.val),_xlpm.Res)</f>
        <v>#NAME?</v>
      </c>
      <c r="AZ48" s="855" t="e" cm="1">
        <f t="array" ca="1" aca="1" ref="AZ48">_xlfn.LET(_xlpm.val,IF($F48="",val_blankRefText,_xldudf_CX_GET(CX_ENTITY,$F48,AZ$11,AZ$14,,(AZ$44))),_xlpm.Res,IF(OR(_xlpm.val="",_xlpm.val="Error"),"",_xlpm.val),_xlpm.Res)</f>
        <v>#NAME?</v>
      </c>
      <c r="BA48" s="855" t="e" cm="1">
        <f t="array" ca="1" aca="1" ref="BA48">_xlfn.LET(_xlpm.val,IF($F48="",val_blankRefText,_xldudf_CX_GET(CX_ENTITY,$F48,BA$11,BA$14,,(BA$44))),_xlpm.Res,IF(OR(_xlpm.val="",_xlpm.val="Error"),"",_xlpm.val),_xlpm.Res)</f>
        <v>#NAME?</v>
      </c>
      <c r="BB48" s="855" t="e" cm="1">
        <f t="array" ca="1" aca="1" ref="BB48">_xlfn.LET(_xlpm.val,IF($F48="",val_blankRefText,_xldudf_CX_GET(CX_ENTITY,$F48,BB$11,BB$14,,(BB$44))),_xlpm.Res,IF(OR(_xlpm.val="",_xlpm.val="Error"),"",_xlpm.val),_xlpm.Res)</f>
        <v>#NAME?</v>
      </c>
      <c r="BC48" s="855" t="e" cm="1">
        <f t="array" ca="1" aca="1" ref="BC48">_xlfn.LET(_xlpm.val,IF($F48="",val_blankRefText,_xldudf_CX_GET(CX_ENTITY,$F48,BC$11,BC$14,,(BC$44))),_xlpm.Res,IF(OR(_xlpm.val="",_xlpm.val="Error"),"",_xlpm.val),_xlpm.Res)</f>
        <v>#NAME?</v>
      </c>
      <c r="BD48" s="855" t="e" cm="1">
        <f t="array" ca="1" aca="1" ref="BD48">_xlfn.LET(_xlpm.val,IF($F48="",val_blankRefText,_xldudf_CX_GET(CX_ENTITY,$F48,BD$11,BD$14,,(BD$44))),_xlpm.Res,IF(OR(_xlpm.val="",_xlpm.val="Error"),"",_xlpm.val),_xlpm.Res)</f>
        <v>#NAME?</v>
      </c>
      <c r="BE48" s="855" t="e" cm="1">
        <f t="array" ca="1" aca="1" ref="BE48">_xlfn.LET(_xlpm.val,IF($F48="",val_blankRefText,_xldudf_CX_GET(CX_ENTITY,$F48,BE$11,BE$14,,(BE$44))),_xlpm.Res,IF(OR(_xlpm.val="",_xlpm.val="Error"),"",_xlpm.val),_xlpm.Res)</f>
        <v>#NAME?</v>
      </c>
      <c r="BF48" s="855" t="e" cm="1">
        <f t="array" ca="1" aca="1" ref="BF48">_xlfn.LET(_xlpm.val,IF($F48="",val_blankRefText,_xldudf_CX_GET(CX_ENTITY,$F48,BF$11,BF$14,,(BF$44))),_xlpm.Res,IF(OR(_xlpm.val="",_xlpm.val="Error"),"",_xlpm.val),_xlpm.Res)</f>
        <v>#NAME?</v>
      </c>
      <c r="BG48" s="855" t="e" cm="1">
        <f t="array" ca="1" aca="1" ref="BG48">_xlfn.LET(_xlpm.val,IF($F48="",val_blankRefText,_xldudf_CX_GET(CX_ENTITY,$F48,BG$11,BG$14,,(BG$44))),_xlpm.Res,IF(OR(_xlpm.val="",_xlpm.val="Error"),"",_xlpm.val),_xlpm.Res)</f>
        <v>#NAME?</v>
      </c>
      <c r="BH48" s="855" t="e" cm="1">
        <f t="array" ca="1" aca="1" ref="BH48">_xlfn.LET(_xlpm.val,IF($F48="",val_blankRefText,_xldudf_CX_GET(CX_ENTITY,$F48,BH$11,BH$14,,(BH$44))),_xlpm.Res,IF(OR(_xlpm.val="",_xlpm.val="Error"),"",_xlpm.val),_xlpm.Res)</f>
        <v>#NAME?</v>
      </c>
      <c r="BI48" s="855" t="e" cm="1">
        <f t="array" ca="1" aca="1" ref="BI48">_xlfn.LET(_xlpm.val,IF($F48="",val_blankRefText,_xldudf_CX_GET(CX_ENTITY,$F48,BI$11,BI$14,,(BI$44))),_xlpm.Res,IF(OR(_xlpm.val="",_xlpm.val="Error"),"",_xlpm.val),_xlpm.Res)</f>
        <v>#NAME?</v>
      </c>
      <c r="BJ48" s="855" t="e" cm="1">
        <f t="array" ca="1" aca="1" ref="BJ48">_xlfn.LET(_xlpm.val,IF($F48="",val_blankRefText,_xldudf_CX_GET(CX_ENTITY,$F48,BJ$11,BJ$14,,(BJ$44))),_xlpm.Res,IF(OR(_xlpm.val="",_xlpm.val="Error"),"",_xlpm.val),_xlpm.Res)</f>
        <v>#NAME?</v>
      </c>
      <c r="BK48" s="855" t="e" cm="1">
        <f t="array" ca="1" aca="1" ref="BK48">_xlfn.LET(_xlpm.val,IF($F48="",val_blankRefText,_xldudf_CX_GET(CX_ENTITY,$F48,BK$11,BK$14,,(BK$44))),_xlpm.Res,IF(OR(_xlpm.val="",_xlpm.val="Error"),"",_xlpm.val),_xlpm.Res)</f>
        <v>#NAME?</v>
      </c>
      <c r="BL48" s="855" t="e" cm="1">
        <f t="array" ca="1" aca="1" ref="BL48">_xlfn.LET(_xlpm.val,IF($F48="",val_blankRefText,_xldudf_CX_GET(CX_ENTITY,$F48,BL$11,BL$14,,(BL$44))),_xlpm.Res,IF(OR(_xlpm.val="",_xlpm.val="Error"),"",_xlpm.val),_xlpm.Res)</f>
        <v>#NAME?</v>
      </c>
      <c r="BM48" s="855" t="e" cm="1">
        <f t="array" ca="1" aca="1" ref="BM48">_xlfn.LET(_xlpm.val,IF($F48="",val_blankRefText,_xldudf_CX_GET(CX_ENTITY,$F48,BM$11,BM$14,,(BM$44))),_xlpm.Res,IF(OR(_xlpm.val="",_xlpm.val="Error"),"",_xlpm.val),_xlpm.Res)</f>
        <v>#NAME?</v>
      </c>
      <c r="BN48" s="855" t="e" cm="1">
        <f t="array" ca="1" aca="1" ref="BN48">_xlfn.LET(_xlpm.val,IF($F48="",val_blankRefText,_xldudf_CX_GET(CX_ENTITY,$F48,BN$11,BN$14,,(BN$44))),_xlpm.Res,IF(OR(_xlpm.val="",_xlpm.val="Error"),"",_xlpm.val),_xlpm.Res)</f>
        <v>#NAME?</v>
      </c>
      <c r="BO48" s="1844"/>
      <c r="BP48" s="1844"/>
      <c r="BQ48" s="1844"/>
      <c r="BR48" s="1844"/>
      <c r="BS48" s="1844"/>
      <c r="BT48" s="1844"/>
      <c r="BU48" s="1844"/>
      <c r="BV48" s="1844"/>
      <c r="BW48" s="1844"/>
      <c r="BX48" s="1844"/>
      <c r="BY48" s="1844"/>
      <c r="BZ48" s="1844"/>
      <c r="CA48" s="384"/>
      <c r="CC48" s="33"/>
      <c r="CD48" s="1461" t="e" cm="1">
        <f t="array" ca="1" aca="1" ref="CD48">_xlfn.LET(_xlpm.CheckBlank,SUM(CF!$AD48:$BN48)=0,IF(_xlpm.CheckBlank,"",SUM(_xlfn._xlws.FILTER(CF!$AD48:$BN48,(YEAR(CF!$AD$12:$BN$12)=CF!CD$12)*(array_timeline&lt;=CF!CD$11)))))</f>
        <v>#NAME?</v>
      </c>
      <c r="CE48" s="1461" t="e" cm="1">
        <f t="array" ca="1" aca="1" ref="CE48">_xlfn.LET(_xlpm.CheckBlank,SUM(CF!$AD48:$BN48)=0,IF(_xlpm.CheckBlank,"",SUM(_xlfn._xlws.FILTER(CF!$AD48:$BN48,(YEAR(CF!$AD$12:$BN$12)=CF!CE$12)*(array_timeline&lt;=CF!CE$11)))))</f>
        <v>#NAME?</v>
      </c>
      <c r="CF48" s="1314"/>
      <c r="CG48" s="1461" t="e" cm="1">
        <f t="array" ca="1" aca="1" ref="CG48">_xlfn.LET(_xlpm.CheckBlank,SUM(CF!$AD48:$BN48)=0,IF(_xlpm.CheckBlank,"",SUM(_xlfn._xlws.FILTER(CF!$AD48:$BN48,(YEAR(CF!$AD$12:$BN$12)=CF!CG$12)*(array_timeline&lt;=CF!CG$11)))))</f>
        <v>#NAME?</v>
      </c>
      <c r="CH48" s="1461" t="e" cm="1">
        <f t="array" ca="1" aca="1" ref="CH48">_xlfn.LET(_xlpm.CheckBlank,SUM(CF!$AD48:$BN48)=0,IF(_xlpm.CheckBlank,"",SUM(_xlfn._xlws.FILTER(CF!$AD48:$BN48,(YEAR(CF!$AD$12:$BN$12)=CF!CH$12)*(array_timeline&lt;=CF!CH$11)))))</f>
        <v>#NAME?</v>
      </c>
      <c r="CI48" s="1314"/>
      <c r="CJ48" s="1657" cm="1">
        <f t="array" ref="CJ48">_xlfn.LET(_xlpm.CheckBlank,SUM(CF!$AD48:$BN48)=0,IF(_xlpm.CheckBlank,"",SUM(_xlfn.TAKE(_xlfn.DROP(CF!$AD48:$BN48,,-DATEDIFF(CF!CJ$11,val_asOfDate,"M")),1,-12))))</f>
        <v>12</v>
      </c>
      <c r="CK48" s="1657" cm="1">
        <f t="array" ref="CK48">_xlfn.LET(_xlpm.CheckBlank,SUM(CF!$AD48:$BN48)=0,IF(_xlpm.CheckBlank,"",SUM(_xlfn.TAKE(_xlfn.DROP(CF!$AD48:$BN48,,-DATEDIFF(CF!CK$11,val_asOfDate,"M")),1,-12))))</f>
        <v>12</v>
      </c>
      <c r="CL48" s="88"/>
      <c r="CM48" s="541" t="e">
        <f ca="1" t="shared" si="15" ref="CM48">CM23</f>
        <v>#NAME?</v>
      </c>
      <c r="CN48" s="541" t="e">
        <f t="shared" ca="1" si="11"/>
        <v>#NAME?</v>
      </c>
      <c r="CO48" s="34"/>
      <c r="CR48" s="4"/>
      <c r="CS48" s="4"/>
      <c r="CW48" s="4"/>
    </row>
    <row r="49" spans="1:101" ht="21" customHeight="1">
      <c r="A49" s="696"/>
      <c r="B49" s="574" t="s">
        <v>241</v>
      </c>
      <c r="C49" s="574" t="str">
        <f t="shared" si="7"/>
        <v>Operating Cash Flow (Company View)</v>
      </c>
      <c r="D49" s="574"/>
      <c r="E49" s="577" t="e" cm="1">
        <f t="array" ca="1" aca="1" ref="E49">_xlfn.LET(_xlpm.Attr,$C49,_xlpm.Lookback,$E$16,_xlpm.QueryDate,EOMONTH(val_asOfDate,_xlpm.Lookback),_xlpm.ReadField,_xldudf_CX_GET(CX_ENTITY,fx_attrConverter($C49),_xlpm.QueryDate),_xlpm.AttrBlank,_xlpm.Attr="",_xlpm.RESULT,IF(_xlpm.AttrBlank,val_blankRefText,fx_attrConverter(_xlpm.ReadField,0)),IF(_xlpm.RESULT="Error","",_xlpm.RESULT))</f>
        <v>#NAME?</v>
      </c>
      <c r="F49" s="577" t="str">
        <f t="shared" si="8"/>
        <v>Operating Cash Flow</v>
      </c>
      <c r="G49" s="401"/>
      <c r="H49" s="3280">
        <v>2</v>
      </c>
      <c r="I49" s="3280">
        <v>1</v>
      </c>
      <c r="J49" s="401"/>
      <c r="K49" s="401"/>
      <c r="L49" s="579">
        <v>-1</v>
      </c>
      <c r="N49" s="158"/>
      <c r="O49" s="101"/>
      <c r="P49" s="52"/>
      <c r="Q49" s="101"/>
      <c r="R49" s="126"/>
      <c r="S49" s="101"/>
      <c r="T49" s="101"/>
      <c r="U49" s="39"/>
      <c r="W49" s="932" t="str">
        <f t="shared" si="13"/>
        <v>Budget</v>
      </c>
      <c r="X49" s="761">
        <f>0</f>
        <v>0</v>
      </c>
      <c r="Y49" s="88" t="e">
        <f t="shared" ca="1" si="9"/>
        <v>#NAME?</v>
      </c>
      <c r="Z49" s="200" cm="1">
        <f t="array" ref="Z49">_xlfn.SWITCH(TRUE,_CF!$L49=TRUE,1,_CF!$L49=FALSE,-1,_CF!$L49=-1,0,"n/a")</f>
        <v>0</v>
      </c>
      <c r="AA49" s="200"/>
      <c r="AB49" s="88" t="str">
        <f t="shared" si="10"/>
        <v>Operating Cash Flow</v>
      </c>
      <c r="AC49" s="88"/>
      <c r="AD49" s="855" t="e" cm="1">
        <f t="array" ca="1" aca="1" ref="AD49">_xlfn.LET(_xlpm.val,IF($F49="",val_blankRefText,_xldudf_CX_GET(CX_ENTITY,$F49,AD$11,AD$14,,(AD$44))),_xlpm.Res,IF(OR(_xlpm.val="",_xlpm.val="Error"),"",_xlpm.val),_xlpm.Res)</f>
        <v>#NAME?</v>
      </c>
      <c r="AE49" s="855" t="e" cm="1">
        <f t="array" ca="1" aca="1" ref="AE49">_xlfn.LET(_xlpm.val,IF($F49="",val_blankRefText,_xldudf_CX_GET(CX_ENTITY,$F49,AE$11,AE$14,,(AE$44))),_xlpm.Res,IF(OR(_xlpm.val="",_xlpm.val="Error"),"",_xlpm.val),_xlpm.Res)</f>
        <v>#NAME?</v>
      </c>
      <c r="AF49" s="855" t="e" cm="1">
        <f t="array" ca="1" aca="1" ref="AF49">_xlfn.LET(_xlpm.val,IF($F49="",val_blankRefText,_xldudf_CX_GET(CX_ENTITY,$F49,AF$11,AF$14,,(AF$44))),_xlpm.Res,IF(OR(_xlpm.val="",_xlpm.val="Error"),"",_xlpm.val),_xlpm.Res)</f>
        <v>#NAME?</v>
      </c>
      <c r="AG49" s="855" t="e" cm="1">
        <f t="array" ca="1" aca="1" ref="AG49">_xlfn.LET(_xlpm.val,IF($F49="",val_blankRefText,_xldudf_CX_GET(CX_ENTITY,$F49,AG$11,AG$14,,(AG$44))),_xlpm.Res,IF(OR(_xlpm.val="",_xlpm.val="Error"),"",_xlpm.val),_xlpm.Res)</f>
        <v>#NAME?</v>
      </c>
      <c r="AH49" s="855" t="e" cm="1">
        <f t="array" ca="1" aca="1" ref="AH49">_xlfn.LET(_xlpm.val,IF($F49="",val_blankRefText,_xldudf_CX_GET(CX_ENTITY,$F49,AH$11,AH$14,,(AH$44))),_xlpm.Res,IF(OR(_xlpm.val="",_xlpm.val="Error"),"",_xlpm.val),_xlpm.Res)</f>
        <v>#NAME?</v>
      </c>
      <c r="AI49" s="855" t="e" cm="1">
        <f t="array" ca="1" aca="1" ref="AI49">_xlfn.LET(_xlpm.val,IF($F49="",val_blankRefText,_xldudf_CX_GET(CX_ENTITY,$F49,AI$11,AI$14,,(AI$44))),_xlpm.Res,IF(OR(_xlpm.val="",_xlpm.val="Error"),"",_xlpm.val),_xlpm.Res)</f>
        <v>#NAME?</v>
      </c>
      <c r="AJ49" s="855" t="e" cm="1">
        <f t="array" ca="1" aca="1" ref="AJ49">_xlfn.LET(_xlpm.val,IF($F49="",val_blankRefText,_xldudf_CX_GET(CX_ENTITY,$F49,AJ$11,AJ$14,,(AJ$44))),_xlpm.Res,IF(OR(_xlpm.val="",_xlpm.val="Error"),"",_xlpm.val),_xlpm.Res)</f>
        <v>#NAME?</v>
      </c>
      <c r="AK49" s="855" t="e" cm="1">
        <f t="array" ca="1" aca="1" ref="AK49">_xlfn.LET(_xlpm.val,IF($F49="",val_blankRefText,_xldudf_CX_GET(CX_ENTITY,$F49,AK$11,AK$14,,(AK$44))),_xlpm.Res,IF(OR(_xlpm.val="",_xlpm.val="Error"),"",_xlpm.val),_xlpm.Res)</f>
        <v>#NAME?</v>
      </c>
      <c r="AL49" s="855" t="e" cm="1">
        <f t="array" ca="1" aca="1" ref="AL49">_xlfn.LET(_xlpm.val,IF($F49="",val_blankRefText,_xldudf_CX_GET(CX_ENTITY,$F49,AL$11,AL$14,,(AL$44))),_xlpm.Res,IF(OR(_xlpm.val="",_xlpm.val="Error"),"",_xlpm.val),_xlpm.Res)</f>
        <v>#NAME?</v>
      </c>
      <c r="AM49" s="855" t="e" cm="1">
        <f t="array" ca="1" aca="1" ref="AM49">_xlfn.LET(_xlpm.val,IF($F49="",val_blankRefText,_xldudf_CX_GET(CX_ENTITY,$F49,AM$11,AM$14,,(AM$44))),_xlpm.Res,IF(OR(_xlpm.val="",_xlpm.val="Error"),"",_xlpm.val),_xlpm.Res)</f>
        <v>#NAME?</v>
      </c>
      <c r="AN49" s="855" t="e" cm="1">
        <f t="array" ca="1" aca="1" ref="AN49">_xlfn.LET(_xlpm.val,IF($F49="",val_blankRefText,_xldudf_CX_GET(CX_ENTITY,$F49,AN$11,AN$14,,(AN$44))),_xlpm.Res,IF(OR(_xlpm.val="",_xlpm.val="Error"),"",_xlpm.val),_xlpm.Res)</f>
        <v>#NAME?</v>
      </c>
      <c r="AO49" s="855" t="e" cm="1">
        <f t="array" ca="1" aca="1" ref="AO49">_xlfn.LET(_xlpm.val,IF($F49="",val_blankRefText,_xldudf_CX_GET(CX_ENTITY,$F49,AO$11,AO$14,,(AO$44))),_xlpm.Res,IF(OR(_xlpm.val="",_xlpm.val="Error"),"",_xlpm.val),_xlpm.Res)</f>
        <v>#NAME?</v>
      </c>
      <c r="AP49" s="855" t="e" cm="1">
        <f t="array" ca="1" aca="1" ref="AP49">_xlfn.LET(_xlpm.val,IF($F49="",val_blankRefText,_xldudf_CX_GET(CX_ENTITY,$F49,AP$11,AP$14,,(AP$44))),_xlpm.Res,IF(OR(_xlpm.val="",_xlpm.val="Error"),"",_xlpm.val),_xlpm.Res)</f>
        <v>#NAME?</v>
      </c>
      <c r="AQ49" s="855" t="e" cm="1">
        <f t="array" ca="1" aca="1" ref="AQ49">_xlfn.LET(_xlpm.val,IF($F49="",val_blankRefText,_xldudf_CX_GET(CX_ENTITY,$F49,AQ$11,AQ$14,,(AQ$44))),_xlpm.Res,IF(OR(_xlpm.val="",_xlpm.val="Error"),"",_xlpm.val),_xlpm.Res)</f>
        <v>#NAME?</v>
      </c>
      <c r="AR49" s="855" t="e" cm="1">
        <f t="array" ca="1" aca="1" ref="AR49">_xlfn.LET(_xlpm.val,IF($F49="",val_blankRefText,_xldudf_CX_GET(CX_ENTITY,$F49,AR$11,AR$14,,(AR$44))),_xlpm.Res,IF(OR(_xlpm.val="",_xlpm.val="Error"),"",_xlpm.val),_xlpm.Res)</f>
        <v>#NAME?</v>
      </c>
      <c r="AS49" s="855" t="e" cm="1">
        <f t="array" ca="1" aca="1" ref="AS49">_xlfn.LET(_xlpm.val,IF($F49="",val_blankRefText,_xldudf_CX_GET(CX_ENTITY,$F49,AS$11,AS$14,,(AS$44))),_xlpm.Res,IF(OR(_xlpm.val="",_xlpm.val="Error"),"",_xlpm.val),_xlpm.Res)</f>
        <v>#NAME?</v>
      </c>
      <c r="AT49" s="855" t="e" cm="1">
        <f t="array" ca="1" aca="1" ref="AT49">_xlfn.LET(_xlpm.val,IF($F49="",val_blankRefText,_xldudf_CX_GET(CX_ENTITY,$F49,AT$11,AT$14,,(AT$44))),_xlpm.Res,IF(OR(_xlpm.val="",_xlpm.val="Error"),"",_xlpm.val),_xlpm.Res)</f>
        <v>#NAME?</v>
      </c>
      <c r="AU49" s="855" t="e" cm="1">
        <f t="array" ca="1" aca="1" ref="AU49">_xlfn.LET(_xlpm.val,IF($F49="",val_blankRefText,_xldudf_CX_GET(CX_ENTITY,$F49,AU$11,AU$14,,(AU$44))),_xlpm.Res,IF(OR(_xlpm.val="",_xlpm.val="Error"),"",_xlpm.val),_xlpm.Res)</f>
        <v>#NAME?</v>
      </c>
      <c r="AV49" s="855" t="e" cm="1">
        <f t="array" ca="1" aca="1" ref="AV49">_xlfn.LET(_xlpm.val,IF($F49="",val_blankRefText,_xldudf_CX_GET(CX_ENTITY,$F49,AV$11,AV$14,,(AV$44))),_xlpm.Res,IF(OR(_xlpm.val="",_xlpm.val="Error"),"",_xlpm.val),_xlpm.Res)</f>
        <v>#NAME?</v>
      </c>
      <c r="AW49" s="855" t="e" cm="1">
        <f t="array" ca="1" aca="1" ref="AW49">_xlfn.LET(_xlpm.val,IF($F49="",val_blankRefText,_xldudf_CX_GET(CX_ENTITY,$F49,AW$11,AW$14,,(AW$44))),_xlpm.Res,IF(OR(_xlpm.val="",_xlpm.val="Error"),"",_xlpm.val),_xlpm.Res)</f>
        <v>#NAME?</v>
      </c>
      <c r="AX49" s="855" t="e" cm="1">
        <f t="array" ca="1" aca="1" ref="AX49">_xlfn.LET(_xlpm.val,IF($F49="",val_blankRefText,_xldudf_CX_GET(CX_ENTITY,$F49,AX$11,AX$14,,(AX$44))),_xlpm.Res,IF(OR(_xlpm.val="",_xlpm.val="Error"),"",_xlpm.val),_xlpm.Res)</f>
        <v>#NAME?</v>
      </c>
      <c r="AY49" s="855" t="e" cm="1">
        <f t="array" ca="1" aca="1" ref="AY49">_xlfn.LET(_xlpm.val,IF($F49="",val_blankRefText,_xldudf_CX_GET(CX_ENTITY,$F49,AY$11,AY$14,,(AY$44))),_xlpm.Res,IF(OR(_xlpm.val="",_xlpm.val="Error"),"",_xlpm.val),_xlpm.Res)</f>
        <v>#NAME?</v>
      </c>
      <c r="AZ49" s="855" t="e" cm="1">
        <f t="array" ca="1" aca="1" ref="AZ49">_xlfn.LET(_xlpm.val,IF($F49="",val_blankRefText,_xldudf_CX_GET(CX_ENTITY,$F49,AZ$11,AZ$14,,(AZ$44))),_xlpm.Res,IF(OR(_xlpm.val="",_xlpm.val="Error"),"",_xlpm.val),_xlpm.Res)</f>
        <v>#NAME?</v>
      </c>
      <c r="BA49" s="855" t="e" cm="1">
        <f t="array" ca="1" aca="1" ref="BA49">_xlfn.LET(_xlpm.val,IF($F49="",val_blankRefText,_xldudf_CX_GET(CX_ENTITY,$F49,BA$11,BA$14,,(BA$44))),_xlpm.Res,IF(OR(_xlpm.val="",_xlpm.val="Error"),"",_xlpm.val),_xlpm.Res)</f>
        <v>#NAME?</v>
      </c>
      <c r="BB49" s="855" t="e" cm="1">
        <f t="array" ca="1" aca="1" ref="BB49">_xlfn.LET(_xlpm.val,IF($F49="",val_blankRefText,_xldudf_CX_GET(CX_ENTITY,$F49,BB$11,BB$14,,(BB$44))),_xlpm.Res,IF(OR(_xlpm.val="",_xlpm.val="Error"),"",_xlpm.val),_xlpm.Res)</f>
        <v>#NAME?</v>
      </c>
      <c r="BC49" s="855" t="e" cm="1">
        <f t="array" ca="1" aca="1" ref="BC49">_xlfn.LET(_xlpm.val,IF($F49="",val_blankRefText,_xldudf_CX_GET(CX_ENTITY,$F49,BC$11,BC$14,,(BC$44))),_xlpm.Res,IF(OR(_xlpm.val="",_xlpm.val="Error"),"",_xlpm.val),_xlpm.Res)</f>
        <v>#NAME?</v>
      </c>
      <c r="BD49" s="855" t="e" cm="1">
        <f t="array" ca="1" aca="1" ref="BD49">_xlfn.LET(_xlpm.val,IF($F49="",val_blankRefText,_xldudf_CX_GET(CX_ENTITY,$F49,BD$11,BD$14,,(BD$44))),_xlpm.Res,IF(OR(_xlpm.val="",_xlpm.val="Error"),"",_xlpm.val),_xlpm.Res)</f>
        <v>#NAME?</v>
      </c>
      <c r="BE49" s="855" t="e" cm="1">
        <f t="array" ca="1" aca="1" ref="BE49">_xlfn.LET(_xlpm.val,IF($F49="",val_blankRefText,_xldudf_CX_GET(CX_ENTITY,$F49,BE$11,BE$14,,(BE$44))),_xlpm.Res,IF(OR(_xlpm.val="",_xlpm.val="Error"),"",_xlpm.val),_xlpm.Res)</f>
        <v>#NAME?</v>
      </c>
      <c r="BF49" s="855" t="e" cm="1">
        <f t="array" ca="1" aca="1" ref="BF49">_xlfn.LET(_xlpm.val,IF($F49="",val_blankRefText,_xldudf_CX_GET(CX_ENTITY,$F49,BF$11,BF$14,,(BF$44))),_xlpm.Res,IF(OR(_xlpm.val="",_xlpm.val="Error"),"",_xlpm.val),_xlpm.Res)</f>
        <v>#NAME?</v>
      </c>
      <c r="BG49" s="855" t="e" cm="1">
        <f t="array" ca="1" aca="1" ref="BG49">_xlfn.LET(_xlpm.val,IF($F49="",val_blankRefText,_xldudf_CX_GET(CX_ENTITY,$F49,BG$11,BG$14,,(BG$44))),_xlpm.Res,IF(OR(_xlpm.val="",_xlpm.val="Error"),"",_xlpm.val),_xlpm.Res)</f>
        <v>#NAME?</v>
      </c>
      <c r="BH49" s="855" t="e" cm="1">
        <f t="array" ca="1" aca="1" ref="BH49">_xlfn.LET(_xlpm.val,IF($F49="",val_blankRefText,_xldudf_CX_GET(CX_ENTITY,$F49,BH$11,BH$14,,(BH$44))),_xlpm.Res,IF(OR(_xlpm.val="",_xlpm.val="Error"),"",_xlpm.val),_xlpm.Res)</f>
        <v>#NAME?</v>
      </c>
      <c r="BI49" s="855" t="e" cm="1">
        <f t="array" ca="1" aca="1" ref="BI49">_xlfn.LET(_xlpm.val,IF($F49="",val_blankRefText,_xldudf_CX_GET(CX_ENTITY,$F49,BI$11,BI$14,,(BI$44))),_xlpm.Res,IF(OR(_xlpm.val="",_xlpm.val="Error"),"",_xlpm.val),_xlpm.Res)</f>
        <v>#NAME?</v>
      </c>
      <c r="BJ49" s="855" t="e" cm="1">
        <f t="array" ca="1" aca="1" ref="BJ49">_xlfn.LET(_xlpm.val,IF($F49="",val_blankRefText,_xldudf_CX_GET(CX_ENTITY,$F49,BJ$11,BJ$14,,(BJ$44))),_xlpm.Res,IF(OR(_xlpm.val="",_xlpm.val="Error"),"",_xlpm.val),_xlpm.Res)</f>
        <v>#NAME?</v>
      </c>
      <c r="BK49" s="855" t="e" cm="1">
        <f t="array" ca="1" aca="1" ref="BK49">_xlfn.LET(_xlpm.val,IF($F49="",val_blankRefText,_xldudf_CX_GET(CX_ENTITY,$F49,BK$11,BK$14,,(BK$44))),_xlpm.Res,IF(OR(_xlpm.val="",_xlpm.val="Error"),"",_xlpm.val),_xlpm.Res)</f>
        <v>#NAME?</v>
      </c>
      <c r="BL49" s="855" t="e" cm="1">
        <f t="array" ca="1" aca="1" ref="BL49">_xlfn.LET(_xlpm.val,IF($F49="",val_blankRefText,_xldudf_CX_GET(CX_ENTITY,$F49,BL$11,BL$14,,(BL$44))),_xlpm.Res,IF(OR(_xlpm.val="",_xlpm.val="Error"),"",_xlpm.val),_xlpm.Res)</f>
        <v>#NAME?</v>
      </c>
      <c r="BM49" s="855" t="e" cm="1">
        <f t="array" ca="1" aca="1" ref="BM49">_xlfn.LET(_xlpm.val,IF($F49="",val_blankRefText,_xldudf_CX_GET(CX_ENTITY,$F49,BM$11,BM$14,,(BM$44))),_xlpm.Res,IF(OR(_xlpm.val="",_xlpm.val="Error"),"",_xlpm.val),_xlpm.Res)</f>
        <v>#NAME?</v>
      </c>
      <c r="BN49" s="855" t="e" cm="1">
        <f t="array" ca="1" aca="1" ref="BN49">_xlfn.LET(_xlpm.val,IF($F49="",val_blankRefText,_xldudf_CX_GET(CX_ENTITY,$F49,BN$11,BN$14,,(BN$44))),_xlpm.Res,IF(OR(_xlpm.val="",_xlpm.val="Error"),"",_xlpm.val),_xlpm.Res)</f>
        <v>#NAME?</v>
      </c>
      <c r="BO49" s="1844"/>
      <c r="BP49" s="1844"/>
      <c r="BQ49" s="1844"/>
      <c r="BR49" s="1844"/>
      <c r="BS49" s="1844"/>
      <c r="BT49" s="1844"/>
      <c r="BU49" s="1844"/>
      <c r="BV49" s="1844"/>
      <c r="BW49" s="1844"/>
      <c r="BX49" s="1844"/>
      <c r="BY49" s="1844"/>
      <c r="BZ49" s="1844"/>
      <c r="CA49" s="384"/>
      <c r="CC49" s="33"/>
      <c r="CD49" s="1461" t="e" cm="1">
        <f t="array" ca="1" aca="1" ref="CD49">_xlfn.LET(_xlpm.CheckBlank,SUM(CF!$AD49:$BN49)=0,IF(_xlpm.CheckBlank,"",SUM(_xlfn._xlws.FILTER(CF!$AD49:$BN49,(YEAR(CF!$AD$12:$BN$12)=CF!CD$12)*(array_timeline&lt;=CF!CD$11)))))</f>
        <v>#NAME?</v>
      </c>
      <c r="CE49" s="1461" t="e" cm="1">
        <f t="array" ca="1" aca="1" ref="CE49">_xlfn.LET(_xlpm.CheckBlank,SUM(CF!$AD49:$BN49)=0,IF(_xlpm.CheckBlank,"",SUM(_xlfn._xlws.FILTER(CF!$AD49:$BN49,(YEAR(CF!$AD$12:$BN$12)=CF!CE$12)*(array_timeline&lt;=CF!CE$11)))))</f>
        <v>#NAME?</v>
      </c>
      <c r="CF49" s="1314"/>
      <c r="CG49" s="1461" t="e" cm="1">
        <f t="array" ca="1" aca="1" ref="CG49">_xlfn.LET(_xlpm.CheckBlank,SUM(CF!$AD49:$BN49)=0,IF(_xlpm.CheckBlank,"",SUM(_xlfn._xlws.FILTER(CF!$AD49:$BN49,(YEAR(CF!$AD$12:$BN$12)=CF!CG$12)*(array_timeline&lt;=CF!CG$11)))))</f>
        <v>#NAME?</v>
      </c>
      <c r="CH49" s="1461" t="e" cm="1">
        <f t="array" ca="1" aca="1" ref="CH49">_xlfn.LET(_xlpm.CheckBlank,SUM(CF!$AD49:$BN49)=0,IF(_xlpm.CheckBlank,"",SUM(_xlfn._xlws.FILTER(CF!$AD49:$BN49,(YEAR(CF!$AD$12:$BN$12)=CF!CH$12)*(array_timeline&lt;=CF!CH$11)))))</f>
        <v>#NAME?</v>
      </c>
      <c r="CI49" s="1314"/>
      <c r="CJ49" s="1657" cm="1">
        <f t="array" ref="CJ49">_xlfn.LET(_xlpm.CheckBlank,SUM(CF!$AD49:$BN49)=0,IF(_xlpm.CheckBlank,"",SUM(_xlfn.TAKE(_xlfn.DROP(CF!$AD49:$BN49,,-DATEDIFF(CF!CJ$11,val_asOfDate,"M")),1,-12))))</f>
        <v>72</v>
      </c>
      <c r="CK49" s="1657" cm="1">
        <f t="array" ref="CK49">_xlfn.LET(_xlpm.CheckBlank,SUM(CF!$AD49:$BN49)=0,IF(_xlpm.CheckBlank,"",SUM(_xlfn.TAKE(_xlfn.DROP(CF!$AD49:$BN49,,-DATEDIFF(CF!CK$11,val_asOfDate,"M")),1,-12))))</f>
        <v>72</v>
      </c>
      <c r="CL49" s="88"/>
      <c r="CM49" s="541" t="e">
        <f ca="1" t="shared" si="16" ref="CM49">CM24</f>
        <v>#NAME?</v>
      </c>
      <c r="CN49" s="541" t="e">
        <f t="shared" ca="1" si="11"/>
        <v>#NAME?</v>
      </c>
      <c r="CO49" s="34"/>
      <c r="CR49" s="4"/>
      <c r="CS49" s="4"/>
      <c r="CW49" s="4"/>
    </row>
    <row r="50" spans="1:101" ht="21" customHeight="1">
      <c r="A50" s="812"/>
      <c r="B50" s="574" t="s">
        <v>242</v>
      </c>
      <c r="C50" s="574" t="str">
        <f t="shared" si="7"/>
        <v>Cash Tax (Company View)</v>
      </c>
      <c r="D50" s="574"/>
      <c r="E50" s="577" t="e" cm="1">
        <f t="array" ca="1" aca="1" ref="E50">_xlfn.LET(_xlpm.Attr,$C50,_xlpm.Lookback,$E$16,_xlpm.QueryDate,EOMONTH(val_asOfDate,_xlpm.Lookback),_xlpm.ReadField,_xldudf_CX_GET(CX_ENTITY,fx_attrConverter($C50),_xlpm.QueryDate),_xlpm.AttrBlank,_xlpm.Attr="",_xlpm.RESULT,IF(_xlpm.AttrBlank,val_blankRefText,fx_attrConverter(_xlpm.ReadField,0)),IF(_xlpm.RESULT="Error","",_xlpm.RESULT))</f>
        <v>#NAME?</v>
      </c>
      <c r="F50" s="577" t="str">
        <f t="shared" si="8"/>
        <v>Cash Tax</v>
      </c>
      <c r="G50" s="401"/>
      <c r="H50" s="3280">
        <v>1</v>
      </c>
      <c r="I50" s="3280">
        <v>1</v>
      </c>
      <c r="J50" s="401"/>
      <c r="K50" s="401"/>
      <c r="L50" s="3269" t="b">
        <v>1</v>
      </c>
      <c r="N50" s="158"/>
      <c r="O50" s="101"/>
      <c r="P50" s="52"/>
      <c r="Q50" s="101"/>
      <c r="R50" s="126"/>
      <c r="S50" s="101"/>
      <c r="T50" s="101"/>
      <c r="U50" s="39"/>
      <c r="W50" s="932" t="str">
        <f t="shared" si="13"/>
        <v>Budget</v>
      </c>
      <c r="X50" s="761">
        <v>-1</v>
      </c>
      <c r="Y50" s="88" t="e">
        <f t="shared" ca="1" si="9"/>
        <v>#NAME?</v>
      </c>
      <c r="Z50" s="3300" cm="1">
        <f t="array" ref="Z50">_xlfn.SWITCH(TRUE,_CF!$L50=TRUE,1,_CF!$L50=FALSE,-1,_CF!$L50=-1,0,"n/a")</f>
        <v>1</v>
      </c>
      <c r="AA50" s="200"/>
      <c r="AB50" s="88" t="str">
        <f t="shared" si="10"/>
        <v>Cash Tax</v>
      </c>
      <c r="AC50" s="88"/>
      <c r="AD50" s="855" t="e" cm="1">
        <f t="array" ca="1" aca="1" ref="AD50">_xlfn.LET(_xlpm.val,IF($F50="",val_blankRefText,_xldudf_CX_GET(CX_ENTITY,$F50,AD$11,AD$14,,(AD$44))),_xlpm.Res,IF(OR(_xlpm.val="",_xlpm.val="Error"),"",_xlpm.val),_xlpm.Res)</f>
        <v>#NAME?</v>
      </c>
      <c r="AE50" s="855" t="e" cm="1">
        <f t="array" ca="1" aca="1" ref="AE50">_xlfn.LET(_xlpm.val,IF($F50="",val_blankRefText,_xldudf_CX_GET(CX_ENTITY,$F50,AE$11,AE$14,,(AE$44))),_xlpm.Res,IF(OR(_xlpm.val="",_xlpm.val="Error"),"",_xlpm.val),_xlpm.Res)</f>
        <v>#NAME?</v>
      </c>
      <c r="AF50" s="855" t="e" cm="1">
        <f t="array" ca="1" aca="1" ref="AF50">_xlfn.LET(_xlpm.val,IF($F50="",val_blankRefText,_xldudf_CX_GET(CX_ENTITY,$F50,AF$11,AF$14,,(AF$44))),_xlpm.Res,IF(OR(_xlpm.val="",_xlpm.val="Error"),"",_xlpm.val),_xlpm.Res)</f>
        <v>#NAME?</v>
      </c>
      <c r="AG50" s="855" t="e" cm="1">
        <f t="array" ca="1" aca="1" ref="AG50">_xlfn.LET(_xlpm.val,IF($F50="",val_blankRefText,_xldudf_CX_GET(CX_ENTITY,$F50,AG$11,AG$14,,(AG$44))),_xlpm.Res,IF(OR(_xlpm.val="",_xlpm.val="Error"),"",_xlpm.val),_xlpm.Res)</f>
        <v>#NAME?</v>
      </c>
      <c r="AH50" s="855" t="e" cm="1">
        <f t="array" ca="1" aca="1" ref="AH50">_xlfn.LET(_xlpm.val,IF($F50="",val_blankRefText,_xldudf_CX_GET(CX_ENTITY,$F50,AH$11,AH$14,,(AH$44))),_xlpm.Res,IF(OR(_xlpm.val="",_xlpm.val="Error"),"",_xlpm.val),_xlpm.Res)</f>
        <v>#NAME?</v>
      </c>
      <c r="AI50" s="855" t="e" cm="1">
        <f t="array" ca="1" aca="1" ref="AI50">_xlfn.LET(_xlpm.val,IF($F50="",val_blankRefText,_xldudf_CX_GET(CX_ENTITY,$F50,AI$11,AI$14,,(AI$44))),_xlpm.Res,IF(OR(_xlpm.val="",_xlpm.val="Error"),"",_xlpm.val),_xlpm.Res)</f>
        <v>#NAME?</v>
      </c>
      <c r="AJ50" s="855" t="e" cm="1">
        <f t="array" ca="1" aca="1" ref="AJ50">_xlfn.LET(_xlpm.val,IF($F50="",val_blankRefText,_xldudf_CX_GET(CX_ENTITY,$F50,AJ$11,AJ$14,,(AJ$44))),_xlpm.Res,IF(OR(_xlpm.val="",_xlpm.val="Error"),"",_xlpm.val),_xlpm.Res)</f>
        <v>#NAME?</v>
      </c>
      <c r="AK50" s="855" t="e" cm="1">
        <f t="array" ca="1" aca="1" ref="AK50">_xlfn.LET(_xlpm.val,IF($F50="",val_blankRefText,_xldudf_CX_GET(CX_ENTITY,$F50,AK$11,AK$14,,(AK$44))),_xlpm.Res,IF(OR(_xlpm.val="",_xlpm.val="Error"),"",_xlpm.val),_xlpm.Res)</f>
        <v>#NAME?</v>
      </c>
      <c r="AL50" s="855" t="e" cm="1">
        <f t="array" ca="1" aca="1" ref="AL50">_xlfn.LET(_xlpm.val,IF($F50="",val_blankRefText,_xldudf_CX_GET(CX_ENTITY,$F50,AL$11,AL$14,,(AL$44))),_xlpm.Res,IF(OR(_xlpm.val="",_xlpm.val="Error"),"",_xlpm.val),_xlpm.Res)</f>
        <v>#NAME?</v>
      </c>
      <c r="AM50" s="855" t="e" cm="1">
        <f t="array" ca="1" aca="1" ref="AM50">_xlfn.LET(_xlpm.val,IF($F50="",val_blankRefText,_xldudf_CX_GET(CX_ENTITY,$F50,AM$11,AM$14,,(AM$44))),_xlpm.Res,IF(OR(_xlpm.val="",_xlpm.val="Error"),"",_xlpm.val),_xlpm.Res)</f>
        <v>#NAME?</v>
      </c>
      <c r="AN50" s="855" t="e" cm="1">
        <f t="array" ca="1" aca="1" ref="AN50">_xlfn.LET(_xlpm.val,IF($F50="",val_blankRefText,_xldudf_CX_GET(CX_ENTITY,$F50,AN$11,AN$14,,(AN$44))),_xlpm.Res,IF(OR(_xlpm.val="",_xlpm.val="Error"),"",_xlpm.val),_xlpm.Res)</f>
        <v>#NAME?</v>
      </c>
      <c r="AO50" s="855" t="e" cm="1">
        <f t="array" ca="1" aca="1" ref="AO50">_xlfn.LET(_xlpm.val,IF($F50="",val_blankRefText,_xldudf_CX_GET(CX_ENTITY,$F50,AO$11,AO$14,,(AO$44))),_xlpm.Res,IF(OR(_xlpm.val="",_xlpm.val="Error"),"",_xlpm.val),_xlpm.Res)</f>
        <v>#NAME?</v>
      </c>
      <c r="AP50" s="855" t="e" cm="1">
        <f t="array" ca="1" aca="1" ref="AP50">_xlfn.LET(_xlpm.val,IF($F50="",val_blankRefText,_xldudf_CX_GET(CX_ENTITY,$F50,AP$11,AP$14,,(AP$44))),_xlpm.Res,IF(OR(_xlpm.val="",_xlpm.val="Error"),"",_xlpm.val),_xlpm.Res)</f>
        <v>#NAME?</v>
      </c>
      <c r="AQ50" s="855" t="e" cm="1">
        <f t="array" ca="1" aca="1" ref="AQ50">_xlfn.LET(_xlpm.val,IF($F50="",val_blankRefText,_xldudf_CX_GET(CX_ENTITY,$F50,AQ$11,AQ$14,,(AQ$44))),_xlpm.Res,IF(OR(_xlpm.val="",_xlpm.val="Error"),"",_xlpm.val),_xlpm.Res)</f>
        <v>#NAME?</v>
      </c>
      <c r="AR50" s="855" t="e" cm="1">
        <f t="array" ca="1" aca="1" ref="AR50">_xlfn.LET(_xlpm.val,IF($F50="",val_blankRefText,_xldudf_CX_GET(CX_ENTITY,$F50,AR$11,AR$14,,(AR$44))),_xlpm.Res,IF(OR(_xlpm.val="",_xlpm.val="Error"),"",_xlpm.val),_xlpm.Res)</f>
        <v>#NAME?</v>
      </c>
      <c r="AS50" s="855" t="e" cm="1">
        <f t="array" ca="1" aca="1" ref="AS50">_xlfn.LET(_xlpm.val,IF($F50="",val_blankRefText,_xldudf_CX_GET(CX_ENTITY,$F50,AS$11,AS$14,,(AS$44))),_xlpm.Res,IF(OR(_xlpm.val="",_xlpm.val="Error"),"",_xlpm.val),_xlpm.Res)</f>
        <v>#NAME?</v>
      </c>
      <c r="AT50" s="855" t="e" cm="1">
        <f t="array" ca="1" aca="1" ref="AT50">_xlfn.LET(_xlpm.val,IF($F50="",val_blankRefText,_xldudf_CX_GET(CX_ENTITY,$F50,AT$11,AT$14,,(AT$44))),_xlpm.Res,IF(OR(_xlpm.val="",_xlpm.val="Error"),"",_xlpm.val),_xlpm.Res)</f>
        <v>#NAME?</v>
      </c>
      <c r="AU50" s="855" t="e" cm="1">
        <f t="array" ca="1" aca="1" ref="AU50">_xlfn.LET(_xlpm.val,IF($F50="",val_blankRefText,_xldudf_CX_GET(CX_ENTITY,$F50,AU$11,AU$14,,(AU$44))),_xlpm.Res,IF(OR(_xlpm.val="",_xlpm.val="Error"),"",_xlpm.val),_xlpm.Res)</f>
        <v>#NAME?</v>
      </c>
      <c r="AV50" s="855" t="e" cm="1">
        <f t="array" ca="1" aca="1" ref="AV50">_xlfn.LET(_xlpm.val,IF($F50="",val_blankRefText,_xldudf_CX_GET(CX_ENTITY,$F50,AV$11,AV$14,,(AV$44))),_xlpm.Res,IF(OR(_xlpm.val="",_xlpm.val="Error"),"",_xlpm.val),_xlpm.Res)</f>
        <v>#NAME?</v>
      </c>
      <c r="AW50" s="855" t="e" cm="1">
        <f t="array" ca="1" aca="1" ref="AW50">_xlfn.LET(_xlpm.val,IF($F50="",val_blankRefText,_xldudf_CX_GET(CX_ENTITY,$F50,AW$11,AW$14,,(AW$44))),_xlpm.Res,IF(OR(_xlpm.val="",_xlpm.val="Error"),"",_xlpm.val),_xlpm.Res)</f>
        <v>#NAME?</v>
      </c>
      <c r="AX50" s="855" t="e" cm="1">
        <f t="array" ca="1" aca="1" ref="AX50">_xlfn.LET(_xlpm.val,IF($F50="",val_blankRefText,_xldudf_CX_GET(CX_ENTITY,$F50,AX$11,AX$14,,(AX$44))),_xlpm.Res,IF(OR(_xlpm.val="",_xlpm.val="Error"),"",_xlpm.val),_xlpm.Res)</f>
        <v>#NAME?</v>
      </c>
      <c r="AY50" s="855" t="e" cm="1">
        <f t="array" ca="1" aca="1" ref="AY50">_xlfn.LET(_xlpm.val,IF($F50="",val_blankRefText,_xldudf_CX_GET(CX_ENTITY,$F50,AY$11,AY$14,,(AY$44))),_xlpm.Res,IF(OR(_xlpm.val="",_xlpm.val="Error"),"",_xlpm.val),_xlpm.Res)</f>
        <v>#NAME?</v>
      </c>
      <c r="AZ50" s="855" t="e" cm="1">
        <f t="array" ca="1" aca="1" ref="AZ50">_xlfn.LET(_xlpm.val,IF($F50="",val_blankRefText,_xldudf_CX_GET(CX_ENTITY,$F50,AZ$11,AZ$14,,(AZ$44))),_xlpm.Res,IF(OR(_xlpm.val="",_xlpm.val="Error"),"",_xlpm.val),_xlpm.Res)</f>
        <v>#NAME?</v>
      </c>
      <c r="BA50" s="855" t="e" cm="1">
        <f t="array" ca="1" aca="1" ref="BA50">_xlfn.LET(_xlpm.val,IF($F50="",val_blankRefText,_xldudf_CX_GET(CX_ENTITY,$F50,BA$11,BA$14,,(BA$44))),_xlpm.Res,IF(OR(_xlpm.val="",_xlpm.val="Error"),"",_xlpm.val),_xlpm.Res)</f>
        <v>#NAME?</v>
      </c>
      <c r="BB50" s="855" t="e" cm="1">
        <f t="array" ca="1" aca="1" ref="BB50">_xlfn.LET(_xlpm.val,IF($F50="",val_blankRefText,_xldudf_CX_GET(CX_ENTITY,$F50,BB$11,BB$14,,(BB$44))),_xlpm.Res,IF(OR(_xlpm.val="",_xlpm.val="Error"),"",_xlpm.val),_xlpm.Res)</f>
        <v>#NAME?</v>
      </c>
      <c r="BC50" s="855" t="e" cm="1">
        <f t="array" ca="1" aca="1" ref="BC50">_xlfn.LET(_xlpm.val,IF($F50="",val_blankRefText,_xldudf_CX_GET(CX_ENTITY,$F50,BC$11,BC$14,,(BC$44))),_xlpm.Res,IF(OR(_xlpm.val="",_xlpm.val="Error"),"",_xlpm.val),_xlpm.Res)</f>
        <v>#NAME?</v>
      </c>
      <c r="BD50" s="855" t="e" cm="1">
        <f t="array" ca="1" aca="1" ref="BD50">_xlfn.LET(_xlpm.val,IF($F50="",val_blankRefText,_xldudf_CX_GET(CX_ENTITY,$F50,BD$11,BD$14,,(BD$44))),_xlpm.Res,IF(OR(_xlpm.val="",_xlpm.val="Error"),"",_xlpm.val),_xlpm.Res)</f>
        <v>#NAME?</v>
      </c>
      <c r="BE50" s="855" t="e" cm="1">
        <f t="array" ca="1" aca="1" ref="BE50">_xlfn.LET(_xlpm.val,IF($F50="",val_blankRefText,_xldudf_CX_GET(CX_ENTITY,$F50,BE$11,BE$14,,(BE$44))),_xlpm.Res,IF(OR(_xlpm.val="",_xlpm.val="Error"),"",_xlpm.val),_xlpm.Res)</f>
        <v>#NAME?</v>
      </c>
      <c r="BF50" s="855" t="e" cm="1">
        <f t="array" ca="1" aca="1" ref="BF50">_xlfn.LET(_xlpm.val,IF($F50="",val_blankRefText,_xldudf_CX_GET(CX_ENTITY,$F50,BF$11,BF$14,,(BF$44))),_xlpm.Res,IF(OR(_xlpm.val="",_xlpm.val="Error"),"",_xlpm.val),_xlpm.Res)</f>
        <v>#NAME?</v>
      </c>
      <c r="BG50" s="855" t="e" cm="1">
        <f t="array" ca="1" aca="1" ref="BG50">_xlfn.LET(_xlpm.val,IF($F50="",val_blankRefText,_xldudf_CX_GET(CX_ENTITY,$F50,BG$11,BG$14,,(BG$44))),_xlpm.Res,IF(OR(_xlpm.val="",_xlpm.val="Error"),"",_xlpm.val),_xlpm.Res)</f>
        <v>#NAME?</v>
      </c>
      <c r="BH50" s="855" t="e" cm="1">
        <f t="array" ca="1" aca="1" ref="BH50">_xlfn.LET(_xlpm.val,IF($F50="",val_blankRefText,_xldudf_CX_GET(CX_ENTITY,$F50,BH$11,BH$14,,(BH$44))),_xlpm.Res,IF(OR(_xlpm.val="",_xlpm.val="Error"),"",_xlpm.val),_xlpm.Res)</f>
        <v>#NAME?</v>
      </c>
      <c r="BI50" s="855" t="e" cm="1">
        <f t="array" ca="1" aca="1" ref="BI50">_xlfn.LET(_xlpm.val,IF($F50="",val_blankRefText,_xldudf_CX_GET(CX_ENTITY,$F50,BI$11,BI$14,,(BI$44))),_xlpm.Res,IF(OR(_xlpm.val="",_xlpm.val="Error"),"",_xlpm.val),_xlpm.Res)</f>
        <v>#NAME?</v>
      </c>
      <c r="BJ50" s="855" t="e" cm="1">
        <f t="array" ca="1" aca="1" ref="BJ50">_xlfn.LET(_xlpm.val,IF($F50="",val_blankRefText,_xldudf_CX_GET(CX_ENTITY,$F50,BJ$11,BJ$14,,(BJ$44))),_xlpm.Res,IF(OR(_xlpm.val="",_xlpm.val="Error"),"",_xlpm.val),_xlpm.Res)</f>
        <v>#NAME?</v>
      </c>
      <c r="BK50" s="855" t="e" cm="1">
        <f t="array" ca="1" aca="1" ref="BK50">_xlfn.LET(_xlpm.val,IF($F50="",val_blankRefText,_xldudf_CX_GET(CX_ENTITY,$F50,BK$11,BK$14,,(BK$44))),_xlpm.Res,IF(OR(_xlpm.val="",_xlpm.val="Error"),"",_xlpm.val),_xlpm.Res)</f>
        <v>#NAME?</v>
      </c>
      <c r="BL50" s="855" t="e" cm="1">
        <f t="array" ca="1" aca="1" ref="BL50">_xlfn.LET(_xlpm.val,IF($F50="",val_blankRefText,_xldudf_CX_GET(CX_ENTITY,$F50,BL$11,BL$14,,(BL$44))),_xlpm.Res,IF(OR(_xlpm.val="",_xlpm.val="Error"),"",_xlpm.val),_xlpm.Res)</f>
        <v>#NAME?</v>
      </c>
      <c r="BM50" s="855" t="e" cm="1">
        <f t="array" ca="1" aca="1" ref="BM50">_xlfn.LET(_xlpm.val,IF($F50="",val_blankRefText,_xldudf_CX_GET(CX_ENTITY,$F50,BM$11,BM$14,,(BM$44))),_xlpm.Res,IF(OR(_xlpm.val="",_xlpm.val="Error"),"",_xlpm.val),_xlpm.Res)</f>
        <v>#NAME?</v>
      </c>
      <c r="BN50" s="855" t="e" cm="1">
        <f t="array" ca="1" aca="1" ref="BN50">_xlfn.LET(_xlpm.val,IF($F50="",val_blankRefText,_xldudf_CX_GET(CX_ENTITY,$F50,BN$11,BN$14,,(BN$44))),_xlpm.Res,IF(OR(_xlpm.val="",_xlpm.val="Error"),"",_xlpm.val),_xlpm.Res)</f>
        <v>#NAME?</v>
      </c>
      <c r="BO50" s="1844"/>
      <c r="BP50" s="1844"/>
      <c r="BQ50" s="1844"/>
      <c r="BR50" s="1844"/>
      <c r="BS50" s="1844"/>
      <c r="BT50" s="1844"/>
      <c r="BU50" s="1844"/>
      <c r="BV50" s="1844"/>
      <c r="BW50" s="1844"/>
      <c r="BX50" s="1844"/>
      <c r="BY50" s="1844"/>
      <c r="BZ50" s="1844"/>
      <c r="CA50" s="384"/>
      <c r="CC50" s="33"/>
      <c r="CD50" s="1461" t="e" cm="1">
        <f t="array" ca="1" aca="1" ref="CD50">_xlfn.LET(_xlpm.CheckBlank,SUM(CF!$AD50:$BN50)=0,IF(_xlpm.CheckBlank,"",SUM(_xlfn._xlws.FILTER(CF!$AD50:$BN50,(YEAR(CF!$AD$12:$BN$12)=CF!CD$12)*(array_timeline&lt;=CF!CD$11)))))</f>
        <v>#NAME?</v>
      </c>
      <c r="CE50" s="1461" t="e" cm="1">
        <f t="array" ca="1" aca="1" ref="CE50">_xlfn.LET(_xlpm.CheckBlank,SUM(CF!$AD50:$BN50)=0,IF(_xlpm.CheckBlank,"",SUM(_xlfn._xlws.FILTER(CF!$AD50:$BN50,(YEAR(CF!$AD$12:$BN$12)=CF!CE$12)*(array_timeline&lt;=CF!CE$11)))))</f>
        <v>#NAME?</v>
      </c>
      <c r="CF50" s="1314"/>
      <c r="CG50" s="1461" t="e" cm="1">
        <f t="array" ca="1" aca="1" ref="CG50">_xlfn.LET(_xlpm.CheckBlank,SUM(CF!$AD50:$BN50)=0,IF(_xlpm.CheckBlank,"",SUM(_xlfn._xlws.FILTER(CF!$AD50:$BN50,(YEAR(CF!$AD$12:$BN$12)=CF!CG$12)*(array_timeline&lt;=CF!CG$11)))))</f>
        <v>#NAME?</v>
      </c>
      <c r="CH50" s="1461" t="e" cm="1">
        <f t="array" ca="1" aca="1" ref="CH50">_xlfn.LET(_xlpm.CheckBlank,SUM(CF!$AD50:$BN50)=0,IF(_xlpm.CheckBlank,"",SUM(_xlfn._xlws.FILTER(CF!$AD50:$BN50,(YEAR(CF!$AD$12:$BN$12)=CF!CH$12)*(array_timeline&lt;=CF!CH$11)))))</f>
        <v>#NAME?</v>
      </c>
      <c r="CI50" s="1314"/>
      <c r="CJ50" s="1657" cm="1">
        <f t="array" ref="CJ50">_xlfn.LET(_xlpm.CheckBlank,SUM(CF!$AD50:$BN50)=0,IF(_xlpm.CheckBlank,"",SUM(_xlfn.TAKE(_xlfn.DROP(CF!$AD50:$BN50,,-DATEDIFF(CF!CJ$11,val_asOfDate,"M")),1,-12))))</f>
        <v>12</v>
      </c>
      <c r="CK50" s="1657" cm="1">
        <f t="array" ref="CK50">_xlfn.LET(_xlpm.CheckBlank,SUM(CF!$AD50:$BN50)=0,IF(_xlpm.CheckBlank,"",SUM(_xlfn.TAKE(_xlfn.DROP(CF!$AD50:$BN50,,-DATEDIFF(CF!CK$11,val_asOfDate,"M")),1,-12))))</f>
        <v>12</v>
      </c>
      <c r="CL50" s="88"/>
      <c r="CM50" s="541" t="e">
        <f ca="1" t="shared" si="17" ref="CM50">CM25</f>
        <v>#NAME?</v>
      </c>
      <c r="CN50" s="541" t="e">
        <f t="shared" ca="1" si="11"/>
        <v>#NAME?</v>
      </c>
      <c r="CO50" s="34"/>
      <c r="CR50" s="4"/>
      <c r="CS50" s="4"/>
      <c r="CW50" s="4"/>
    </row>
    <row r="51" spans="1:101" ht="21" customHeight="1">
      <c r="A51" s="696"/>
      <c r="B51" s="574" t="s">
        <v>243</v>
      </c>
      <c r="C51" s="574" t="str">
        <f t="shared" si="7"/>
        <v>Capex (Company View)</v>
      </c>
      <c r="D51" s="574"/>
      <c r="E51" s="577" t="e" cm="1">
        <f t="array" ca="1" aca="1" ref="E51">_xlfn.LET(_xlpm.Attr,$C51,_xlpm.Lookback,$E$16,_xlpm.QueryDate,EOMONTH(val_asOfDate,_xlpm.Lookback),_xlpm.ReadField,_xldudf_CX_GET(CX_ENTITY,fx_attrConverter($C51),_xlpm.QueryDate),_xlpm.AttrBlank,_xlpm.Attr="",_xlpm.RESULT,IF(_xlpm.AttrBlank,val_blankRefText,fx_attrConverter(_xlpm.ReadField,0)),IF(_xlpm.RESULT="Error","",_xlpm.RESULT))</f>
        <v>#NAME?</v>
      </c>
      <c r="F51" s="577" t="str">
        <f t="shared" si="8"/>
        <v>Capex</v>
      </c>
      <c r="G51" s="401"/>
      <c r="H51" s="3280">
        <v>1</v>
      </c>
      <c r="I51" s="3280">
        <v>1</v>
      </c>
      <c r="J51" s="401"/>
      <c r="K51" s="401"/>
      <c r="L51" s="3269" t="b">
        <v>1</v>
      </c>
      <c r="N51" s="158"/>
      <c r="O51" s="101"/>
      <c r="P51" s="52"/>
      <c r="Q51" s="101"/>
      <c r="R51" s="126"/>
      <c r="S51" s="101"/>
      <c r="T51" s="101"/>
      <c r="U51" s="39"/>
      <c r="W51" s="932" t="str">
        <f t="shared" si="13"/>
        <v>Budget</v>
      </c>
      <c r="X51" s="761">
        <v>-1</v>
      </c>
      <c r="Y51" s="88" t="e">
        <f t="shared" ca="1" si="9"/>
        <v>#NAME?</v>
      </c>
      <c r="Z51" s="3300" cm="1">
        <f t="array" ref="Z51">_xlfn.SWITCH(TRUE,_CF!$L51=TRUE,1,_CF!$L51=FALSE,-1,_CF!$L51=-1,0,"n/a")</f>
        <v>1</v>
      </c>
      <c r="AA51" s="200"/>
      <c r="AB51" s="88" t="str">
        <f t="shared" si="10"/>
        <v>Capex</v>
      </c>
      <c r="AC51" s="88"/>
      <c r="AD51" s="855" t="e" cm="1">
        <f t="array" ca="1" aca="1" ref="AD51">_xlfn.LET(_xlpm.val,IF($F51="",val_blankRefText,_xldudf_CX_GET(CX_ENTITY,$F51,AD$11,AD$14,,(AD$44))),_xlpm.Res,IF(OR(_xlpm.val="",_xlpm.val="Error"),"",_xlpm.val),_xlpm.Res)</f>
        <v>#NAME?</v>
      </c>
      <c r="AE51" s="855" t="e" cm="1">
        <f t="array" ca="1" aca="1" ref="AE51">_xlfn.LET(_xlpm.val,IF($F51="",val_blankRefText,_xldudf_CX_GET(CX_ENTITY,$F51,AE$11,AE$14,,(AE$44))),_xlpm.Res,IF(OR(_xlpm.val="",_xlpm.val="Error"),"",_xlpm.val),_xlpm.Res)</f>
        <v>#NAME?</v>
      </c>
      <c r="AF51" s="855" t="e" cm="1">
        <f t="array" ca="1" aca="1" ref="AF51">_xlfn.LET(_xlpm.val,IF($F51="",val_blankRefText,_xldudf_CX_GET(CX_ENTITY,$F51,AF$11,AF$14,,(AF$44))),_xlpm.Res,IF(OR(_xlpm.val="",_xlpm.val="Error"),"",_xlpm.val),_xlpm.Res)</f>
        <v>#NAME?</v>
      </c>
      <c r="AG51" s="855" t="e" cm="1">
        <f t="array" ca="1" aca="1" ref="AG51">_xlfn.LET(_xlpm.val,IF($F51="",val_blankRefText,_xldudf_CX_GET(CX_ENTITY,$F51,AG$11,AG$14,,(AG$44))),_xlpm.Res,IF(OR(_xlpm.val="",_xlpm.val="Error"),"",_xlpm.val),_xlpm.Res)</f>
        <v>#NAME?</v>
      </c>
      <c r="AH51" s="855" t="e" cm="1">
        <f t="array" ca="1" aca="1" ref="AH51">_xlfn.LET(_xlpm.val,IF($F51="",val_blankRefText,_xldudf_CX_GET(CX_ENTITY,$F51,AH$11,AH$14,,(AH$44))),_xlpm.Res,IF(OR(_xlpm.val="",_xlpm.val="Error"),"",_xlpm.val),_xlpm.Res)</f>
        <v>#NAME?</v>
      </c>
      <c r="AI51" s="855" t="e" cm="1">
        <f t="array" ca="1" aca="1" ref="AI51">_xlfn.LET(_xlpm.val,IF($F51="",val_blankRefText,_xldudf_CX_GET(CX_ENTITY,$F51,AI$11,AI$14,,(AI$44))),_xlpm.Res,IF(OR(_xlpm.val="",_xlpm.val="Error"),"",_xlpm.val),_xlpm.Res)</f>
        <v>#NAME?</v>
      </c>
      <c r="AJ51" s="855" t="e" cm="1">
        <f t="array" ca="1" aca="1" ref="AJ51">_xlfn.LET(_xlpm.val,IF($F51="",val_blankRefText,_xldudf_CX_GET(CX_ENTITY,$F51,AJ$11,AJ$14,,(AJ$44))),_xlpm.Res,IF(OR(_xlpm.val="",_xlpm.val="Error"),"",_xlpm.val),_xlpm.Res)</f>
        <v>#NAME?</v>
      </c>
      <c r="AK51" s="855" t="e" cm="1">
        <f t="array" ca="1" aca="1" ref="AK51">_xlfn.LET(_xlpm.val,IF($F51="",val_blankRefText,_xldudf_CX_GET(CX_ENTITY,$F51,AK$11,AK$14,,(AK$44))),_xlpm.Res,IF(OR(_xlpm.val="",_xlpm.val="Error"),"",_xlpm.val),_xlpm.Res)</f>
        <v>#NAME?</v>
      </c>
      <c r="AL51" s="855" t="e" cm="1">
        <f t="array" ca="1" aca="1" ref="AL51">_xlfn.LET(_xlpm.val,IF($F51="",val_blankRefText,_xldudf_CX_GET(CX_ENTITY,$F51,AL$11,AL$14,,(AL$44))),_xlpm.Res,IF(OR(_xlpm.val="",_xlpm.val="Error"),"",_xlpm.val),_xlpm.Res)</f>
        <v>#NAME?</v>
      </c>
      <c r="AM51" s="855" t="e" cm="1">
        <f t="array" ca="1" aca="1" ref="AM51">_xlfn.LET(_xlpm.val,IF($F51="",val_blankRefText,_xldudf_CX_GET(CX_ENTITY,$F51,AM$11,AM$14,,(AM$44))),_xlpm.Res,IF(OR(_xlpm.val="",_xlpm.val="Error"),"",_xlpm.val),_xlpm.Res)</f>
        <v>#NAME?</v>
      </c>
      <c r="AN51" s="855" t="e" cm="1">
        <f t="array" ca="1" aca="1" ref="AN51">_xlfn.LET(_xlpm.val,IF($F51="",val_blankRefText,_xldudf_CX_GET(CX_ENTITY,$F51,AN$11,AN$14,,(AN$44))),_xlpm.Res,IF(OR(_xlpm.val="",_xlpm.val="Error"),"",_xlpm.val),_xlpm.Res)</f>
        <v>#NAME?</v>
      </c>
      <c r="AO51" s="855" t="e" cm="1">
        <f t="array" ca="1" aca="1" ref="AO51">_xlfn.LET(_xlpm.val,IF($F51="",val_blankRefText,_xldudf_CX_GET(CX_ENTITY,$F51,AO$11,AO$14,,(AO$44))),_xlpm.Res,IF(OR(_xlpm.val="",_xlpm.val="Error"),"",_xlpm.val),_xlpm.Res)</f>
        <v>#NAME?</v>
      </c>
      <c r="AP51" s="855" t="e" cm="1">
        <f t="array" ca="1" aca="1" ref="AP51">_xlfn.LET(_xlpm.val,IF($F51="",val_blankRefText,_xldudf_CX_GET(CX_ENTITY,$F51,AP$11,AP$14,,(AP$44))),_xlpm.Res,IF(OR(_xlpm.val="",_xlpm.val="Error"),"",_xlpm.val),_xlpm.Res)</f>
        <v>#NAME?</v>
      </c>
      <c r="AQ51" s="855" t="e" cm="1">
        <f t="array" ca="1" aca="1" ref="AQ51">_xlfn.LET(_xlpm.val,IF($F51="",val_blankRefText,_xldudf_CX_GET(CX_ENTITY,$F51,AQ$11,AQ$14,,(AQ$44))),_xlpm.Res,IF(OR(_xlpm.val="",_xlpm.val="Error"),"",_xlpm.val),_xlpm.Res)</f>
        <v>#NAME?</v>
      </c>
      <c r="AR51" s="855" t="e" cm="1">
        <f t="array" ca="1" aca="1" ref="AR51">_xlfn.LET(_xlpm.val,IF($F51="",val_blankRefText,_xldudf_CX_GET(CX_ENTITY,$F51,AR$11,AR$14,,(AR$44))),_xlpm.Res,IF(OR(_xlpm.val="",_xlpm.val="Error"),"",_xlpm.val),_xlpm.Res)</f>
        <v>#NAME?</v>
      </c>
      <c r="AS51" s="855" t="e" cm="1">
        <f t="array" ca="1" aca="1" ref="AS51">_xlfn.LET(_xlpm.val,IF($F51="",val_blankRefText,_xldudf_CX_GET(CX_ENTITY,$F51,AS$11,AS$14,,(AS$44))),_xlpm.Res,IF(OR(_xlpm.val="",_xlpm.val="Error"),"",_xlpm.val),_xlpm.Res)</f>
        <v>#NAME?</v>
      </c>
      <c r="AT51" s="855" t="e" cm="1">
        <f t="array" ca="1" aca="1" ref="AT51">_xlfn.LET(_xlpm.val,IF($F51="",val_blankRefText,_xldudf_CX_GET(CX_ENTITY,$F51,AT$11,AT$14,,(AT$44))),_xlpm.Res,IF(OR(_xlpm.val="",_xlpm.val="Error"),"",_xlpm.val),_xlpm.Res)</f>
        <v>#NAME?</v>
      </c>
      <c r="AU51" s="855" t="e" cm="1">
        <f t="array" ca="1" aca="1" ref="AU51">_xlfn.LET(_xlpm.val,IF($F51="",val_blankRefText,_xldudf_CX_GET(CX_ENTITY,$F51,AU$11,AU$14,,(AU$44))),_xlpm.Res,IF(OR(_xlpm.val="",_xlpm.val="Error"),"",_xlpm.val),_xlpm.Res)</f>
        <v>#NAME?</v>
      </c>
      <c r="AV51" s="855" t="e" cm="1">
        <f t="array" ca="1" aca="1" ref="AV51">_xlfn.LET(_xlpm.val,IF($F51="",val_blankRefText,_xldudf_CX_GET(CX_ENTITY,$F51,AV$11,AV$14,,(AV$44))),_xlpm.Res,IF(OR(_xlpm.val="",_xlpm.val="Error"),"",_xlpm.val),_xlpm.Res)</f>
        <v>#NAME?</v>
      </c>
      <c r="AW51" s="855" t="e" cm="1">
        <f t="array" ca="1" aca="1" ref="AW51">_xlfn.LET(_xlpm.val,IF($F51="",val_blankRefText,_xldudf_CX_GET(CX_ENTITY,$F51,AW$11,AW$14,,(AW$44))),_xlpm.Res,IF(OR(_xlpm.val="",_xlpm.val="Error"),"",_xlpm.val),_xlpm.Res)</f>
        <v>#NAME?</v>
      </c>
      <c r="AX51" s="855" t="e" cm="1">
        <f t="array" ca="1" aca="1" ref="AX51">_xlfn.LET(_xlpm.val,IF($F51="",val_blankRefText,_xldudf_CX_GET(CX_ENTITY,$F51,AX$11,AX$14,,(AX$44))),_xlpm.Res,IF(OR(_xlpm.val="",_xlpm.val="Error"),"",_xlpm.val),_xlpm.Res)</f>
        <v>#NAME?</v>
      </c>
      <c r="AY51" s="855" t="e" cm="1">
        <f t="array" ca="1" aca="1" ref="AY51">_xlfn.LET(_xlpm.val,IF($F51="",val_blankRefText,_xldudf_CX_GET(CX_ENTITY,$F51,AY$11,AY$14,,(AY$44))),_xlpm.Res,IF(OR(_xlpm.val="",_xlpm.val="Error"),"",_xlpm.val),_xlpm.Res)</f>
        <v>#NAME?</v>
      </c>
      <c r="AZ51" s="855" t="e" cm="1">
        <f t="array" ca="1" aca="1" ref="AZ51">_xlfn.LET(_xlpm.val,IF($F51="",val_blankRefText,_xldudf_CX_GET(CX_ENTITY,$F51,AZ$11,AZ$14,,(AZ$44))),_xlpm.Res,IF(OR(_xlpm.val="",_xlpm.val="Error"),"",_xlpm.val),_xlpm.Res)</f>
        <v>#NAME?</v>
      </c>
      <c r="BA51" s="855" t="e" cm="1">
        <f t="array" ca="1" aca="1" ref="BA51">_xlfn.LET(_xlpm.val,IF($F51="",val_blankRefText,_xldudf_CX_GET(CX_ENTITY,$F51,BA$11,BA$14,,(BA$44))),_xlpm.Res,IF(OR(_xlpm.val="",_xlpm.val="Error"),"",_xlpm.val),_xlpm.Res)</f>
        <v>#NAME?</v>
      </c>
      <c r="BB51" s="855" t="e" cm="1">
        <f t="array" ca="1" aca="1" ref="BB51">_xlfn.LET(_xlpm.val,IF($F51="",val_blankRefText,_xldudf_CX_GET(CX_ENTITY,$F51,BB$11,BB$14,,(BB$44))),_xlpm.Res,IF(OR(_xlpm.val="",_xlpm.val="Error"),"",_xlpm.val),_xlpm.Res)</f>
        <v>#NAME?</v>
      </c>
      <c r="BC51" s="855" t="e" cm="1">
        <f t="array" ca="1" aca="1" ref="BC51">_xlfn.LET(_xlpm.val,IF($F51="",val_blankRefText,_xldudf_CX_GET(CX_ENTITY,$F51,BC$11,BC$14,,(BC$44))),_xlpm.Res,IF(OR(_xlpm.val="",_xlpm.val="Error"),"",_xlpm.val),_xlpm.Res)</f>
        <v>#NAME?</v>
      </c>
      <c r="BD51" s="855" t="e" cm="1">
        <f t="array" ca="1" aca="1" ref="BD51">_xlfn.LET(_xlpm.val,IF($F51="",val_blankRefText,_xldudf_CX_GET(CX_ENTITY,$F51,BD$11,BD$14,,(BD$44))),_xlpm.Res,IF(OR(_xlpm.val="",_xlpm.val="Error"),"",_xlpm.val),_xlpm.Res)</f>
        <v>#NAME?</v>
      </c>
      <c r="BE51" s="855" t="e" cm="1">
        <f t="array" ca="1" aca="1" ref="BE51">_xlfn.LET(_xlpm.val,IF($F51="",val_blankRefText,_xldudf_CX_GET(CX_ENTITY,$F51,BE$11,BE$14,,(BE$44))),_xlpm.Res,IF(OR(_xlpm.val="",_xlpm.val="Error"),"",_xlpm.val),_xlpm.Res)</f>
        <v>#NAME?</v>
      </c>
      <c r="BF51" s="855" t="e" cm="1">
        <f t="array" ca="1" aca="1" ref="BF51">_xlfn.LET(_xlpm.val,IF($F51="",val_blankRefText,_xldudf_CX_GET(CX_ENTITY,$F51,BF$11,BF$14,,(BF$44))),_xlpm.Res,IF(OR(_xlpm.val="",_xlpm.val="Error"),"",_xlpm.val),_xlpm.Res)</f>
        <v>#NAME?</v>
      </c>
      <c r="BG51" s="855" t="e" cm="1">
        <f t="array" ca="1" aca="1" ref="BG51">_xlfn.LET(_xlpm.val,IF($F51="",val_blankRefText,_xldudf_CX_GET(CX_ENTITY,$F51,BG$11,BG$14,,(BG$44))),_xlpm.Res,IF(OR(_xlpm.val="",_xlpm.val="Error"),"",_xlpm.val),_xlpm.Res)</f>
        <v>#NAME?</v>
      </c>
      <c r="BH51" s="855" t="e" cm="1">
        <f t="array" ca="1" aca="1" ref="BH51">_xlfn.LET(_xlpm.val,IF($F51="",val_blankRefText,_xldudf_CX_GET(CX_ENTITY,$F51,BH$11,BH$14,,(BH$44))),_xlpm.Res,IF(OR(_xlpm.val="",_xlpm.val="Error"),"",_xlpm.val),_xlpm.Res)</f>
        <v>#NAME?</v>
      </c>
      <c r="BI51" s="855" t="e" cm="1">
        <f t="array" ca="1" aca="1" ref="BI51">_xlfn.LET(_xlpm.val,IF($F51="",val_blankRefText,_xldudf_CX_GET(CX_ENTITY,$F51,BI$11,BI$14,,(BI$44))),_xlpm.Res,IF(OR(_xlpm.val="",_xlpm.val="Error"),"",_xlpm.val),_xlpm.Res)</f>
        <v>#NAME?</v>
      </c>
      <c r="BJ51" s="855" t="e" cm="1">
        <f t="array" ca="1" aca="1" ref="BJ51">_xlfn.LET(_xlpm.val,IF($F51="",val_blankRefText,_xldudf_CX_GET(CX_ENTITY,$F51,BJ$11,BJ$14,,(BJ$44))),_xlpm.Res,IF(OR(_xlpm.val="",_xlpm.val="Error"),"",_xlpm.val),_xlpm.Res)</f>
        <v>#NAME?</v>
      </c>
      <c r="BK51" s="855" t="e" cm="1">
        <f t="array" ca="1" aca="1" ref="BK51">_xlfn.LET(_xlpm.val,IF($F51="",val_blankRefText,_xldudf_CX_GET(CX_ENTITY,$F51,BK$11,BK$14,,(BK$44))),_xlpm.Res,IF(OR(_xlpm.val="",_xlpm.val="Error"),"",_xlpm.val),_xlpm.Res)</f>
        <v>#NAME?</v>
      </c>
      <c r="BL51" s="855" t="e" cm="1">
        <f t="array" ca="1" aca="1" ref="BL51">_xlfn.LET(_xlpm.val,IF($F51="",val_blankRefText,_xldudf_CX_GET(CX_ENTITY,$F51,BL$11,BL$14,,(BL$44))),_xlpm.Res,IF(OR(_xlpm.val="",_xlpm.val="Error"),"",_xlpm.val),_xlpm.Res)</f>
        <v>#NAME?</v>
      </c>
      <c r="BM51" s="855" t="e" cm="1">
        <f t="array" ca="1" aca="1" ref="BM51">_xlfn.LET(_xlpm.val,IF($F51="",val_blankRefText,_xldudf_CX_GET(CX_ENTITY,$F51,BM$11,BM$14,,(BM$44))),_xlpm.Res,IF(OR(_xlpm.val="",_xlpm.val="Error"),"",_xlpm.val),_xlpm.Res)</f>
        <v>#NAME?</v>
      </c>
      <c r="BN51" s="855" t="e" cm="1">
        <f t="array" ca="1" aca="1" ref="BN51">_xlfn.LET(_xlpm.val,IF($F51="",val_blankRefText,_xldudf_CX_GET(CX_ENTITY,$F51,BN$11,BN$14,,(BN$44))),_xlpm.Res,IF(OR(_xlpm.val="",_xlpm.val="Error"),"",_xlpm.val),_xlpm.Res)</f>
        <v>#NAME?</v>
      </c>
      <c r="BO51" s="1844"/>
      <c r="BP51" s="1844"/>
      <c r="BQ51" s="1844"/>
      <c r="BR51" s="1844"/>
      <c r="BS51" s="1844"/>
      <c r="BT51" s="1844"/>
      <c r="BU51" s="1844"/>
      <c r="BV51" s="1844"/>
      <c r="BW51" s="1844"/>
      <c r="BX51" s="1844"/>
      <c r="BY51" s="1844"/>
      <c r="BZ51" s="1844"/>
      <c r="CA51" s="384"/>
      <c r="CC51" s="33"/>
      <c r="CD51" s="1461" t="e" cm="1">
        <f t="array" ca="1" aca="1" ref="CD51">_xlfn.LET(_xlpm.CheckBlank,SUM(CF!$AD51:$BN51)=0,IF(_xlpm.CheckBlank,"",SUM(_xlfn._xlws.FILTER(CF!$AD51:$BN51,(YEAR(CF!$AD$12:$BN$12)=CF!CD$12)*(array_timeline&lt;=CF!CD$11)))))</f>
        <v>#NAME?</v>
      </c>
      <c r="CE51" s="1461" t="e" cm="1">
        <f t="array" ca="1" aca="1" ref="CE51">_xlfn.LET(_xlpm.CheckBlank,SUM(CF!$AD51:$BN51)=0,IF(_xlpm.CheckBlank,"",SUM(_xlfn._xlws.FILTER(CF!$AD51:$BN51,(YEAR(CF!$AD$12:$BN$12)=CF!CE$12)*(array_timeline&lt;=CF!CE$11)))))</f>
        <v>#NAME?</v>
      </c>
      <c r="CF51" s="1314"/>
      <c r="CG51" s="1461" t="e" cm="1">
        <f t="array" ca="1" aca="1" ref="CG51">_xlfn.LET(_xlpm.CheckBlank,SUM(CF!$AD51:$BN51)=0,IF(_xlpm.CheckBlank,"",SUM(_xlfn._xlws.FILTER(CF!$AD51:$BN51,(YEAR(CF!$AD$12:$BN$12)=CF!CG$12)*(array_timeline&lt;=CF!CG$11)))))</f>
        <v>#NAME?</v>
      </c>
      <c r="CH51" s="1461" t="e" cm="1">
        <f t="array" ca="1" aca="1" ref="CH51">_xlfn.LET(_xlpm.CheckBlank,SUM(CF!$AD51:$BN51)=0,IF(_xlpm.CheckBlank,"",SUM(_xlfn._xlws.FILTER(CF!$AD51:$BN51,(YEAR(CF!$AD$12:$BN$12)=CF!CH$12)*(array_timeline&lt;=CF!CH$11)))))</f>
        <v>#NAME?</v>
      </c>
      <c r="CI51" s="1314"/>
      <c r="CJ51" s="1657" cm="1">
        <f t="array" ref="CJ51">_xlfn.LET(_xlpm.CheckBlank,SUM(CF!$AD51:$BN51)=0,IF(_xlpm.CheckBlank,"",SUM(_xlfn.TAKE(_xlfn.DROP(CF!$AD51:$BN51,,-DATEDIFF(CF!CJ$11,val_asOfDate,"M")),1,-12))))</f>
        <v>12</v>
      </c>
      <c r="CK51" s="1657" cm="1">
        <f t="array" ref="CK51">_xlfn.LET(_xlpm.CheckBlank,SUM(CF!$AD51:$BN51)=0,IF(_xlpm.CheckBlank,"",SUM(_xlfn.TAKE(_xlfn.DROP(CF!$AD51:$BN51,,-DATEDIFF(CF!CK$11,val_asOfDate,"M")),1,-12))))</f>
        <v>12</v>
      </c>
      <c r="CL51" s="88"/>
      <c r="CM51" s="541" t="e">
        <f ca="1" t="shared" si="18" ref="CM51">CM26</f>
        <v>#NAME?</v>
      </c>
      <c r="CN51" s="541" t="e">
        <f t="shared" ca="1" si="11"/>
        <v>#NAME?</v>
      </c>
      <c r="CO51" s="34"/>
      <c r="CR51" s="4"/>
      <c r="CS51" s="4"/>
      <c r="CW51" s="4"/>
    </row>
    <row r="52" spans="1:101" ht="21" customHeight="1">
      <c r="A52" s="696"/>
      <c r="B52" s="574" t="s">
        <v>244</v>
      </c>
      <c r="C52" s="574" t="str">
        <f t="shared" si="7"/>
        <v>Exceptional/VCP/One-off Cash Flows (Company View)</v>
      </c>
      <c r="D52" s="574"/>
      <c r="E52" s="577" t="e" cm="1">
        <f t="array" ca="1" aca="1" ref="E52">_xlfn.LET(_xlpm.Attr,$C52,_xlpm.Lookback,$E$16,_xlpm.QueryDate,EOMONTH(val_asOfDate,_xlpm.Lookback),_xlpm.ReadField,_xldudf_CX_GET(CX_ENTITY,fx_attrConverter($C52),_xlpm.QueryDate),_xlpm.AttrBlank,_xlpm.Attr="",_xlpm.RESULT,IF(_xlpm.AttrBlank,val_blankRefText,fx_attrConverter(_xlpm.ReadField,0)),IF(_xlpm.RESULT="Error","",_xlpm.RESULT))</f>
        <v>#NAME?</v>
      </c>
      <c r="F52" s="577" t="str">
        <f t="shared" si="8"/>
        <v>Exceptional/VCP/One-off Cash Flows</v>
      </c>
      <c r="G52" s="401"/>
      <c r="H52" s="3280">
        <v>1</v>
      </c>
      <c r="I52" s="3280">
        <v>1</v>
      </c>
      <c r="J52" s="401"/>
      <c r="K52" s="401"/>
      <c r="L52" s="3269" t="b">
        <v>1</v>
      </c>
      <c r="N52" s="158"/>
      <c r="O52" s="101"/>
      <c r="P52" s="52"/>
      <c r="Q52" s="101"/>
      <c r="R52" s="126"/>
      <c r="S52" s="101"/>
      <c r="T52" s="101"/>
      <c r="U52" s="39"/>
      <c r="W52" s="932" t="str">
        <f t="shared" si="13"/>
        <v>Budget</v>
      </c>
      <c r="X52" s="761" t="s">
        <v>62</v>
      </c>
      <c r="Y52" s="88" t="e">
        <f t="shared" ca="1" si="9"/>
        <v>#NAME?</v>
      </c>
      <c r="Z52" s="3300" cm="1">
        <f t="array" ref="Z52">_xlfn.SWITCH(TRUE,_CF!$L52=TRUE,1,_CF!$L52=FALSE,-1,_CF!$L52=-1,0,"n/a")</f>
        <v>1</v>
      </c>
      <c r="AA52" s="200"/>
      <c r="AB52" s="88" t="str">
        <f t="shared" si="10"/>
        <v>Exceptional/VCP/One-off Cash Flows</v>
      </c>
      <c r="AC52" s="88"/>
      <c r="AD52" s="855" t="e" cm="1">
        <f t="array" ca="1" aca="1" ref="AD52">_xlfn.LET(_xlpm.val,IF($F52="",val_blankRefText,_xldudf_CX_GET(CX_ENTITY,$F52,AD$11,AD$14,,(AD$44))),_xlpm.Res,IF(OR(_xlpm.val="",_xlpm.val="Error"),"",_xlpm.val),_xlpm.Res)</f>
        <v>#NAME?</v>
      </c>
      <c r="AE52" s="855" t="e" cm="1">
        <f t="array" ca="1" aca="1" ref="AE52">_xlfn.LET(_xlpm.val,IF($F52="",val_blankRefText,_xldudf_CX_GET(CX_ENTITY,$F52,AE$11,AE$14,,(AE$44))),_xlpm.Res,IF(OR(_xlpm.val="",_xlpm.val="Error"),"",_xlpm.val),_xlpm.Res)</f>
        <v>#NAME?</v>
      </c>
      <c r="AF52" s="855" t="e" cm="1">
        <f t="array" ca="1" aca="1" ref="AF52">_xlfn.LET(_xlpm.val,IF($F52="",val_blankRefText,_xldudf_CX_GET(CX_ENTITY,$F52,AF$11,AF$14,,(AF$44))),_xlpm.Res,IF(OR(_xlpm.val="",_xlpm.val="Error"),"",_xlpm.val),_xlpm.Res)</f>
        <v>#NAME?</v>
      </c>
      <c r="AG52" s="855" t="e" cm="1">
        <f t="array" ca="1" aca="1" ref="AG52">_xlfn.LET(_xlpm.val,IF($F52="",val_blankRefText,_xldudf_CX_GET(CX_ENTITY,$F52,AG$11,AG$14,,(AG$44))),_xlpm.Res,IF(OR(_xlpm.val="",_xlpm.val="Error"),"",_xlpm.val),_xlpm.Res)</f>
        <v>#NAME?</v>
      </c>
      <c r="AH52" s="855" t="e" cm="1">
        <f t="array" ca="1" aca="1" ref="AH52">_xlfn.LET(_xlpm.val,IF($F52="",val_blankRefText,_xldudf_CX_GET(CX_ENTITY,$F52,AH$11,AH$14,,(AH$44))),_xlpm.Res,IF(OR(_xlpm.val="",_xlpm.val="Error"),"",_xlpm.val),_xlpm.Res)</f>
        <v>#NAME?</v>
      </c>
      <c r="AI52" s="855" t="e" cm="1">
        <f t="array" ca="1" aca="1" ref="AI52">_xlfn.LET(_xlpm.val,IF($F52="",val_blankRefText,_xldudf_CX_GET(CX_ENTITY,$F52,AI$11,AI$14,,(AI$44))),_xlpm.Res,IF(OR(_xlpm.val="",_xlpm.val="Error"),"",_xlpm.val),_xlpm.Res)</f>
        <v>#NAME?</v>
      </c>
      <c r="AJ52" s="855" t="e" cm="1">
        <f t="array" ca="1" aca="1" ref="AJ52">_xlfn.LET(_xlpm.val,IF($F52="",val_blankRefText,_xldudf_CX_GET(CX_ENTITY,$F52,AJ$11,AJ$14,,(AJ$44))),_xlpm.Res,IF(OR(_xlpm.val="",_xlpm.val="Error"),"",_xlpm.val),_xlpm.Res)</f>
        <v>#NAME?</v>
      </c>
      <c r="AK52" s="855" t="e" cm="1">
        <f t="array" ca="1" aca="1" ref="AK52">_xlfn.LET(_xlpm.val,IF($F52="",val_blankRefText,_xldudf_CX_GET(CX_ENTITY,$F52,AK$11,AK$14,,(AK$44))),_xlpm.Res,IF(OR(_xlpm.val="",_xlpm.val="Error"),"",_xlpm.val),_xlpm.Res)</f>
        <v>#NAME?</v>
      </c>
      <c r="AL52" s="855" t="e" cm="1">
        <f t="array" ca="1" aca="1" ref="AL52">_xlfn.LET(_xlpm.val,IF($F52="",val_blankRefText,_xldudf_CX_GET(CX_ENTITY,$F52,AL$11,AL$14,,(AL$44))),_xlpm.Res,IF(OR(_xlpm.val="",_xlpm.val="Error"),"",_xlpm.val),_xlpm.Res)</f>
        <v>#NAME?</v>
      </c>
      <c r="AM52" s="855" t="e" cm="1">
        <f t="array" ca="1" aca="1" ref="AM52">_xlfn.LET(_xlpm.val,IF($F52="",val_blankRefText,_xldudf_CX_GET(CX_ENTITY,$F52,AM$11,AM$14,,(AM$44))),_xlpm.Res,IF(OR(_xlpm.val="",_xlpm.val="Error"),"",_xlpm.val),_xlpm.Res)</f>
        <v>#NAME?</v>
      </c>
      <c r="AN52" s="855" t="e" cm="1">
        <f t="array" ca="1" aca="1" ref="AN52">_xlfn.LET(_xlpm.val,IF($F52="",val_blankRefText,_xldudf_CX_GET(CX_ENTITY,$F52,AN$11,AN$14,,(AN$44))),_xlpm.Res,IF(OR(_xlpm.val="",_xlpm.val="Error"),"",_xlpm.val),_xlpm.Res)</f>
        <v>#NAME?</v>
      </c>
      <c r="AO52" s="855" t="e" cm="1">
        <f t="array" ca="1" aca="1" ref="AO52">_xlfn.LET(_xlpm.val,IF($F52="",val_blankRefText,_xldudf_CX_GET(CX_ENTITY,$F52,AO$11,AO$14,,(AO$44))),_xlpm.Res,IF(OR(_xlpm.val="",_xlpm.val="Error"),"",_xlpm.val),_xlpm.Res)</f>
        <v>#NAME?</v>
      </c>
      <c r="AP52" s="855" t="e" cm="1">
        <f t="array" ca="1" aca="1" ref="AP52">_xlfn.LET(_xlpm.val,IF($F52="",val_blankRefText,_xldudf_CX_GET(CX_ENTITY,$F52,AP$11,AP$14,,(AP$44))),_xlpm.Res,IF(OR(_xlpm.val="",_xlpm.val="Error"),"",_xlpm.val),_xlpm.Res)</f>
        <v>#NAME?</v>
      </c>
      <c r="AQ52" s="855" t="e" cm="1">
        <f t="array" ca="1" aca="1" ref="AQ52">_xlfn.LET(_xlpm.val,IF($F52="",val_blankRefText,_xldudf_CX_GET(CX_ENTITY,$F52,AQ$11,AQ$14,,(AQ$44))),_xlpm.Res,IF(OR(_xlpm.val="",_xlpm.val="Error"),"",_xlpm.val),_xlpm.Res)</f>
        <v>#NAME?</v>
      </c>
      <c r="AR52" s="855" t="e" cm="1">
        <f t="array" ca="1" aca="1" ref="AR52">_xlfn.LET(_xlpm.val,IF($F52="",val_blankRefText,_xldudf_CX_GET(CX_ENTITY,$F52,AR$11,AR$14,,(AR$44))),_xlpm.Res,IF(OR(_xlpm.val="",_xlpm.val="Error"),"",_xlpm.val),_xlpm.Res)</f>
        <v>#NAME?</v>
      </c>
      <c r="AS52" s="855" t="e" cm="1">
        <f t="array" ca="1" aca="1" ref="AS52">_xlfn.LET(_xlpm.val,IF($F52="",val_blankRefText,_xldudf_CX_GET(CX_ENTITY,$F52,AS$11,AS$14,,(AS$44))),_xlpm.Res,IF(OR(_xlpm.val="",_xlpm.val="Error"),"",_xlpm.val),_xlpm.Res)</f>
        <v>#NAME?</v>
      </c>
      <c r="AT52" s="855" t="e" cm="1">
        <f t="array" ca="1" aca="1" ref="AT52">_xlfn.LET(_xlpm.val,IF($F52="",val_blankRefText,_xldudf_CX_GET(CX_ENTITY,$F52,AT$11,AT$14,,(AT$44))),_xlpm.Res,IF(OR(_xlpm.val="",_xlpm.val="Error"),"",_xlpm.val),_xlpm.Res)</f>
        <v>#NAME?</v>
      </c>
      <c r="AU52" s="855" t="e" cm="1">
        <f t="array" ca="1" aca="1" ref="AU52">_xlfn.LET(_xlpm.val,IF($F52="",val_blankRefText,_xldudf_CX_GET(CX_ENTITY,$F52,AU$11,AU$14,,(AU$44))),_xlpm.Res,IF(OR(_xlpm.val="",_xlpm.val="Error"),"",_xlpm.val),_xlpm.Res)</f>
        <v>#NAME?</v>
      </c>
      <c r="AV52" s="855" t="e" cm="1">
        <f t="array" ca="1" aca="1" ref="AV52">_xlfn.LET(_xlpm.val,IF($F52="",val_blankRefText,_xldudf_CX_GET(CX_ENTITY,$F52,AV$11,AV$14,,(AV$44))),_xlpm.Res,IF(OR(_xlpm.val="",_xlpm.val="Error"),"",_xlpm.val),_xlpm.Res)</f>
        <v>#NAME?</v>
      </c>
      <c r="AW52" s="855" t="e" cm="1">
        <f t="array" ca="1" aca="1" ref="AW52">_xlfn.LET(_xlpm.val,IF($F52="",val_blankRefText,_xldudf_CX_GET(CX_ENTITY,$F52,AW$11,AW$14,,(AW$44))),_xlpm.Res,IF(OR(_xlpm.val="",_xlpm.val="Error"),"",_xlpm.val),_xlpm.Res)</f>
        <v>#NAME?</v>
      </c>
      <c r="AX52" s="855" t="e" cm="1">
        <f t="array" ca="1" aca="1" ref="AX52">_xlfn.LET(_xlpm.val,IF($F52="",val_blankRefText,_xldudf_CX_GET(CX_ENTITY,$F52,AX$11,AX$14,,(AX$44))),_xlpm.Res,IF(OR(_xlpm.val="",_xlpm.val="Error"),"",_xlpm.val),_xlpm.Res)</f>
        <v>#NAME?</v>
      </c>
      <c r="AY52" s="855" t="e" cm="1">
        <f t="array" ca="1" aca="1" ref="AY52">_xlfn.LET(_xlpm.val,IF($F52="",val_blankRefText,_xldudf_CX_GET(CX_ENTITY,$F52,AY$11,AY$14,,(AY$44))),_xlpm.Res,IF(OR(_xlpm.val="",_xlpm.val="Error"),"",_xlpm.val),_xlpm.Res)</f>
        <v>#NAME?</v>
      </c>
      <c r="AZ52" s="855" t="e" cm="1">
        <f t="array" ca="1" aca="1" ref="AZ52">_xlfn.LET(_xlpm.val,IF($F52="",val_blankRefText,_xldudf_CX_GET(CX_ENTITY,$F52,AZ$11,AZ$14,,(AZ$44))),_xlpm.Res,IF(OR(_xlpm.val="",_xlpm.val="Error"),"",_xlpm.val),_xlpm.Res)</f>
        <v>#NAME?</v>
      </c>
      <c r="BA52" s="855" t="e" cm="1">
        <f t="array" ca="1" aca="1" ref="BA52">_xlfn.LET(_xlpm.val,IF($F52="",val_blankRefText,_xldudf_CX_GET(CX_ENTITY,$F52,BA$11,BA$14,,(BA$44))),_xlpm.Res,IF(OR(_xlpm.val="",_xlpm.val="Error"),"",_xlpm.val),_xlpm.Res)</f>
        <v>#NAME?</v>
      </c>
      <c r="BB52" s="855" t="e" cm="1">
        <f t="array" ca="1" aca="1" ref="BB52">_xlfn.LET(_xlpm.val,IF($F52="",val_blankRefText,_xldudf_CX_GET(CX_ENTITY,$F52,BB$11,BB$14,,(BB$44))),_xlpm.Res,IF(OR(_xlpm.val="",_xlpm.val="Error"),"",_xlpm.val),_xlpm.Res)</f>
        <v>#NAME?</v>
      </c>
      <c r="BC52" s="855" t="e" cm="1">
        <f t="array" ca="1" aca="1" ref="BC52">_xlfn.LET(_xlpm.val,IF($F52="",val_blankRefText,_xldudf_CX_GET(CX_ENTITY,$F52,BC$11,BC$14,,(BC$44))),_xlpm.Res,IF(OR(_xlpm.val="",_xlpm.val="Error"),"",_xlpm.val),_xlpm.Res)</f>
        <v>#NAME?</v>
      </c>
      <c r="BD52" s="855" t="e" cm="1">
        <f t="array" ca="1" aca="1" ref="BD52">_xlfn.LET(_xlpm.val,IF($F52="",val_blankRefText,_xldudf_CX_GET(CX_ENTITY,$F52,BD$11,BD$14,,(BD$44))),_xlpm.Res,IF(OR(_xlpm.val="",_xlpm.val="Error"),"",_xlpm.val),_xlpm.Res)</f>
        <v>#NAME?</v>
      </c>
      <c r="BE52" s="855" t="e" cm="1">
        <f t="array" ca="1" aca="1" ref="BE52">_xlfn.LET(_xlpm.val,IF($F52="",val_blankRefText,_xldudf_CX_GET(CX_ENTITY,$F52,BE$11,BE$14,,(BE$44))),_xlpm.Res,IF(OR(_xlpm.val="",_xlpm.val="Error"),"",_xlpm.val),_xlpm.Res)</f>
        <v>#NAME?</v>
      </c>
      <c r="BF52" s="855" t="e" cm="1">
        <f t="array" ca="1" aca="1" ref="BF52">_xlfn.LET(_xlpm.val,IF($F52="",val_blankRefText,_xldudf_CX_GET(CX_ENTITY,$F52,BF$11,BF$14,,(BF$44))),_xlpm.Res,IF(OR(_xlpm.val="",_xlpm.val="Error"),"",_xlpm.val),_xlpm.Res)</f>
        <v>#NAME?</v>
      </c>
      <c r="BG52" s="855" t="e" cm="1">
        <f t="array" ca="1" aca="1" ref="BG52">_xlfn.LET(_xlpm.val,IF($F52="",val_blankRefText,_xldudf_CX_GET(CX_ENTITY,$F52,BG$11,BG$14,,(BG$44))),_xlpm.Res,IF(OR(_xlpm.val="",_xlpm.val="Error"),"",_xlpm.val),_xlpm.Res)</f>
        <v>#NAME?</v>
      </c>
      <c r="BH52" s="855" t="e" cm="1">
        <f t="array" ca="1" aca="1" ref="BH52">_xlfn.LET(_xlpm.val,IF($F52="",val_blankRefText,_xldudf_CX_GET(CX_ENTITY,$F52,BH$11,BH$14,,(BH$44))),_xlpm.Res,IF(OR(_xlpm.val="",_xlpm.val="Error"),"",_xlpm.val),_xlpm.Res)</f>
        <v>#NAME?</v>
      </c>
      <c r="BI52" s="855" t="e" cm="1">
        <f t="array" ca="1" aca="1" ref="BI52">_xlfn.LET(_xlpm.val,IF($F52="",val_blankRefText,_xldudf_CX_GET(CX_ENTITY,$F52,BI$11,BI$14,,(BI$44))),_xlpm.Res,IF(OR(_xlpm.val="",_xlpm.val="Error"),"",_xlpm.val),_xlpm.Res)</f>
        <v>#NAME?</v>
      </c>
      <c r="BJ52" s="855" t="e" cm="1">
        <f t="array" ca="1" aca="1" ref="BJ52">_xlfn.LET(_xlpm.val,IF($F52="",val_blankRefText,_xldudf_CX_GET(CX_ENTITY,$F52,BJ$11,BJ$14,,(BJ$44))),_xlpm.Res,IF(OR(_xlpm.val="",_xlpm.val="Error"),"",_xlpm.val),_xlpm.Res)</f>
        <v>#NAME?</v>
      </c>
      <c r="BK52" s="855" t="e" cm="1">
        <f t="array" ca="1" aca="1" ref="BK52">_xlfn.LET(_xlpm.val,IF($F52="",val_blankRefText,_xldudf_CX_GET(CX_ENTITY,$F52,BK$11,BK$14,,(BK$44))),_xlpm.Res,IF(OR(_xlpm.val="",_xlpm.val="Error"),"",_xlpm.val),_xlpm.Res)</f>
        <v>#NAME?</v>
      </c>
      <c r="BL52" s="855" t="e" cm="1">
        <f t="array" ca="1" aca="1" ref="BL52">_xlfn.LET(_xlpm.val,IF($F52="",val_blankRefText,_xldudf_CX_GET(CX_ENTITY,$F52,BL$11,BL$14,,(BL$44))),_xlpm.Res,IF(OR(_xlpm.val="",_xlpm.val="Error"),"",_xlpm.val),_xlpm.Res)</f>
        <v>#NAME?</v>
      </c>
      <c r="BM52" s="855" t="e" cm="1">
        <f t="array" ca="1" aca="1" ref="BM52">_xlfn.LET(_xlpm.val,IF($F52="",val_blankRefText,_xldudf_CX_GET(CX_ENTITY,$F52,BM$11,BM$14,,(BM$44))),_xlpm.Res,IF(OR(_xlpm.val="",_xlpm.val="Error"),"",_xlpm.val),_xlpm.Res)</f>
        <v>#NAME?</v>
      </c>
      <c r="BN52" s="855" t="e" cm="1">
        <f t="array" ca="1" aca="1" ref="BN52">_xlfn.LET(_xlpm.val,IF($F52="",val_blankRefText,_xldudf_CX_GET(CX_ENTITY,$F52,BN$11,BN$14,,(BN$44))),_xlpm.Res,IF(OR(_xlpm.val="",_xlpm.val="Error"),"",_xlpm.val),_xlpm.Res)</f>
        <v>#NAME?</v>
      </c>
      <c r="BO52" s="1844"/>
      <c r="BP52" s="1844"/>
      <c r="BQ52" s="1844"/>
      <c r="BR52" s="1844"/>
      <c r="BS52" s="1844"/>
      <c r="BT52" s="1844"/>
      <c r="BU52" s="1844"/>
      <c r="BV52" s="1844"/>
      <c r="BW52" s="1844"/>
      <c r="BX52" s="1844"/>
      <c r="BY52" s="1844"/>
      <c r="BZ52" s="1844"/>
      <c r="CA52" s="384"/>
      <c r="CC52" s="33"/>
      <c r="CD52" s="1461" t="e" cm="1">
        <f t="array" ca="1" aca="1" ref="CD52">_xlfn.LET(_xlpm.CheckBlank,SUM(CF!$AD52:$BN52)=0,IF(_xlpm.CheckBlank,"",SUM(_xlfn._xlws.FILTER(CF!$AD52:$BN52,(YEAR(CF!$AD$12:$BN$12)=CF!CD$12)*(array_timeline&lt;=CF!CD$11)))))</f>
        <v>#NAME?</v>
      </c>
      <c r="CE52" s="1461" t="e" cm="1">
        <f t="array" ca="1" aca="1" ref="CE52">_xlfn.LET(_xlpm.CheckBlank,SUM(CF!$AD52:$BN52)=0,IF(_xlpm.CheckBlank,"",SUM(_xlfn._xlws.FILTER(CF!$AD52:$BN52,(YEAR(CF!$AD$12:$BN$12)=CF!CE$12)*(array_timeline&lt;=CF!CE$11)))))</f>
        <v>#NAME?</v>
      </c>
      <c r="CF52" s="1314"/>
      <c r="CG52" s="1461" t="e" cm="1">
        <f t="array" ca="1" aca="1" ref="CG52">_xlfn.LET(_xlpm.CheckBlank,SUM(CF!$AD52:$BN52)=0,IF(_xlpm.CheckBlank,"",SUM(_xlfn._xlws.FILTER(CF!$AD52:$BN52,(YEAR(CF!$AD$12:$BN$12)=CF!CG$12)*(array_timeline&lt;=CF!CG$11)))))</f>
        <v>#NAME?</v>
      </c>
      <c r="CH52" s="1461" t="e" cm="1">
        <f t="array" ca="1" aca="1" ref="CH52">_xlfn.LET(_xlpm.CheckBlank,SUM(CF!$AD52:$BN52)=0,IF(_xlpm.CheckBlank,"",SUM(_xlfn._xlws.FILTER(CF!$AD52:$BN52,(YEAR(CF!$AD$12:$BN$12)=CF!CH$12)*(array_timeline&lt;=CF!CH$11)))))</f>
        <v>#NAME?</v>
      </c>
      <c r="CI52" s="1314"/>
      <c r="CJ52" s="1657" cm="1">
        <f t="array" ref="CJ52">_xlfn.LET(_xlpm.CheckBlank,SUM(CF!$AD52:$BN52)=0,IF(_xlpm.CheckBlank,"",SUM(_xlfn.TAKE(_xlfn.DROP(CF!$AD52:$BN52,,-DATEDIFF(CF!CJ$11,val_asOfDate,"M")),1,-12))))</f>
        <v>12</v>
      </c>
      <c r="CK52" s="1657" cm="1">
        <f t="array" ref="CK52">_xlfn.LET(_xlpm.CheckBlank,SUM(CF!$AD52:$BN52)=0,IF(_xlpm.CheckBlank,"",SUM(_xlfn.TAKE(_xlfn.DROP(CF!$AD52:$BN52,,-DATEDIFF(CF!CK$11,val_asOfDate,"M")),1,-12))))</f>
        <v>12</v>
      </c>
      <c r="CL52" s="88"/>
      <c r="CM52" s="541" t="e">
        <f ca="1" t="shared" si="19" ref="CM52">CM27</f>
        <v>#NAME?</v>
      </c>
      <c r="CN52" s="541" t="e">
        <f t="shared" ca="1" si="11"/>
        <v>#NAME?</v>
      </c>
      <c r="CO52" s="34"/>
      <c r="CR52" s="4"/>
      <c r="CS52" s="4"/>
      <c r="CW52" s="4"/>
    </row>
    <row r="53" spans="1:101" ht="21" customHeight="1">
      <c r="A53" s="696"/>
      <c r="B53" s="574" t="s">
        <v>790</v>
      </c>
      <c r="C53" s="574" t="str">
        <f t="shared" si="7"/>
        <v>Unlevered Free Cash Flow (UFCF) (Company View)</v>
      </c>
      <c r="D53" s="574"/>
      <c r="E53" s="577" t="e" cm="1">
        <f t="array" ca="1" aca="1" ref="E53">_xlfn.LET(_xlpm.Attr,$C53,_xlpm.Lookback,$E$16,_xlpm.QueryDate,EOMONTH(val_asOfDate,_xlpm.Lookback),_xlpm.ReadField,_xldudf_CX_GET(CX_ENTITY,fx_attrConverter($C53),_xlpm.QueryDate),_xlpm.AttrBlank,_xlpm.Attr="",_xlpm.RESULT,IF(_xlpm.AttrBlank,val_blankRefText,fx_attrConverter(_xlpm.ReadField,0)),IF(_xlpm.RESULT="Error","",_xlpm.RESULT))</f>
        <v>#NAME?</v>
      </c>
      <c r="F53" s="577" t="str">
        <f t="shared" si="8"/>
        <v>Unlevered Free Cash Flow (UFCF)</v>
      </c>
      <c r="G53" s="401"/>
      <c r="H53" s="3280">
        <v>2</v>
      </c>
      <c r="I53" s="3280">
        <v>1</v>
      </c>
      <c r="J53" s="401"/>
      <c r="K53" s="401"/>
      <c r="L53" s="579">
        <v>-1</v>
      </c>
      <c r="N53" s="158"/>
      <c r="O53" s="101"/>
      <c r="P53" s="52"/>
      <c r="Q53" s="101"/>
      <c r="R53" s="126"/>
      <c r="S53" s="101"/>
      <c r="T53" s="101"/>
      <c r="U53" s="39"/>
      <c r="W53" s="932" t="str">
        <f t="shared" si="13"/>
        <v>Budget</v>
      </c>
      <c r="X53" s="761">
        <v>0</v>
      </c>
      <c r="Y53" s="88" t="e">
        <f t="shared" ca="1" si="9"/>
        <v>#NAME?</v>
      </c>
      <c r="Z53" s="200" cm="1">
        <f t="array" ref="Z53">_xlfn.SWITCH(TRUE,_CF!$L53=TRUE,1,_CF!$L53=FALSE,-1,_CF!$L53=-1,0,"n/a")</f>
        <v>0</v>
      </c>
      <c r="AA53" s="200"/>
      <c r="AB53" s="88" t="str">
        <f t="shared" si="10"/>
        <v>Unlevered Free Cash Flow (UFCF)</v>
      </c>
      <c r="AC53" s="88"/>
      <c r="AD53" s="855" t="e" cm="1">
        <f t="array" ca="1" aca="1" ref="AD53">_xlfn.LET(_xlpm.val,IF($F53="",val_blankRefText,_xldudf_CX_GET(CX_ENTITY,$F53,AD$11,AD$14,,(AD$44))),_xlpm.Res,IF(OR(_xlpm.val="",_xlpm.val="Error"),"",_xlpm.val),_xlpm.Res)</f>
        <v>#NAME?</v>
      </c>
      <c r="AE53" s="855" t="e" cm="1">
        <f t="array" ca="1" aca="1" ref="AE53">_xlfn.LET(_xlpm.val,IF($F53="",val_blankRefText,_xldudf_CX_GET(CX_ENTITY,$F53,AE$11,AE$14,,(AE$44))),_xlpm.Res,IF(OR(_xlpm.val="",_xlpm.val="Error"),"",_xlpm.val),_xlpm.Res)</f>
        <v>#NAME?</v>
      </c>
      <c r="AF53" s="855" t="e" cm="1">
        <f t="array" ca="1" aca="1" ref="AF53">_xlfn.LET(_xlpm.val,IF($F53="",val_blankRefText,_xldudf_CX_GET(CX_ENTITY,$F53,AF$11,AF$14,,(AF$44))),_xlpm.Res,IF(OR(_xlpm.val="",_xlpm.val="Error"),"",_xlpm.val),_xlpm.Res)</f>
        <v>#NAME?</v>
      </c>
      <c r="AG53" s="855" t="e" cm="1">
        <f t="array" ca="1" aca="1" ref="AG53">_xlfn.LET(_xlpm.val,IF($F53="",val_blankRefText,_xldudf_CX_GET(CX_ENTITY,$F53,AG$11,AG$14,,(AG$44))),_xlpm.Res,IF(OR(_xlpm.val="",_xlpm.val="Error"),"",_xlpm.val),_xlpm.Res)</f>
        <v>#NAME?</v>
      </c>
      <c r="AH53" s="855" t="e" cm="1">
        <f t="array" ca="1" aca="1" ref="AH53">_xlfn.LET(_xlpm.val,IF($F53="",val_blankRefText,_xldudf_CX_GET(CX_ENTITY,$F53,AH$11,AH$14,,(AH$44))),_xlpm.Res,IF(OR(_xlpm.val="",_xlpm.val="Error"),"",_xlpm.val),_xlpm.Res)</f>
        <v>#NAME?</v>
      </c>
      <c r="AI53" s="855" t="e" cm="1">
        <f t="array" ca="1" aca="1" ref="AI53">_xlfn.LET(_xlpm.val,IF($F53="",val_blankRefText,_xldudf_CX_GET(CX_ENTITY,$F53,AI$11,AI$14,,(AI$44))),_xlpm.Res,IF(OR(_xlpm.val="",_xlpm.val="Error"),"",_xlpm.val),_xlpm.Res)</f>
        <v>#NAME?</v>
      </c>
      <c r="AJ53" s="855" t="e" cm="1">
        <f t="array" ca="1" aca="1" ref="AJ53">_xlfn.LET(_xlpm.val,IF($F53="",val_blankRefText,_xldudf_CX_GET(CX_ENTITY,$F53,AJ$11,AJ$14,,(AJ$44))),_xlpm.Res,IF(OR(_xlpm.val="",_xlpm.val="Error"),"",_xlpm.val),_xlpm.Res)</f>
        <v>#NAME?</v>
      </c>
      <c r="AK53" s="855" t="e" cm="1">
        <f t="array" ca="1" aca="1" ref="AK53">_xlfn.LET(_xlpm.val,IF($F53="",val_blankRefText,_xldudf_CX_GET(CX_ENTITY,$F53,AK$11,AK$14,,(AK$44))),_xlpm.Res,IF(OR(_xlpm.val="",_xlpm.val="Error"),"",_xlpm.val),_xlpm.Res)</f>
        <v>#NAME?</v>
      </c>
      <c r="AL53" s="855" t="e" cm="1">
        <f t="array" ca="1" aca="1" ref="AL53">_xlfn.LET(_xlpm.val,IF($F53="",val_blankRefText,_xldudf_CX_GET(CX_ENTITY,$F53,AL$11,AL$14,,(AL$44))),_xlpm.Res,IF(OR(_xlpm.val="",_xlpm.val="Error"),"",_xlpm.val),_xlpm.Res)</f>
        <v>#NAME?</v>
      </c>
      <c r="AM53" s="855" t="e" cm="1">
        <f t="array" ca="1" aca="1" ref="AM53">_xlfn.LET(_xlpm.val,IF($F53="",val_blankRefText,_xldudf_CX_GET(CX_ENTITY,$F53,AM$11,AM$14,,(AM$44))),_xlpm.Res,IF(OR(_xlpm.val="",_xlpm.val="Error"),"",_xlpm.val),_xlpm.Res)</f>
        <v>#NAME?</v>
      </c>
      <c r="AN53" s="855" t="e" cm="1">
        <f t="array" ca="1" aca="1" ref="AN53">_xlfn.LET(_xlpm.val,IF($F53="",val_blankRefText,_xldudf_CX_GET(CX_ENTITY,$F53,AN$11,AN$14,,(AN$44))),_xlpm.Res,IF(OR(_xlpm.val="",_xlpm.val="Error"),"",_xlpm.val),_xlpm.Res)</f>
        <v>#NAME?</v>
      </c>
      <c r="AO53" s="855" t="e" cm="1">
        <f t="array" ca="1" aca="1" ref="AO53">_xlfn.LET(_xlpm.val,IF($F53="",val_blankRefText,_xldudf_CX_GET(CX_ENTITY,$F53,AO$11,AO$14,,(AO$44))),_xlpm.Res,IF(OR(_xlpm.val="",_xlpm.val="Error"),"",_xlpm.val),_xlpm.Res)</f>
        <v>#NAME?</v>
      </c>
      <c r="AP53" s="855" t="e" cm="1">
        <f t="array" ca="1" aca="1" ref="AP53">_xlfn.LET(_xlpm.val,IF($F53="",val_blankRefText,_xldudf_CX_GET(CX_ENTITY,$F53,AP$11,AP$14,,(AP$44))),_xlpm.Res,IF(OR(_xlpm.val="",_xlpm.val="Error"),"",_xlpm.val),_xlpm.Res)</f>
        <v>#NAME?</v>
      </c>
      <c r="AQ53" s="855" t="e" cm="1">
        <f t="array" ca="1" aca="1" ref="AQ53">_xlfn.LET(_xlpm.val,IF($F53="",val_blankRefText,_xldudf_CX_GET(CX_ENTITY,$F53,AQ$11,AQ$14,,(AQ$44))),_xlpm.Res,IF(OR(_xlpm.val="",_xlpm.val="Error"),"",_xlpm.val),_xlpm.Res)</f>
        <v>#NAME?</v>
      </c>
      <c r="AR53" s="855" t="e" cm="1">
        <f t="array" ca="1" aca="1" ref="AR53">_xlfn.LET(_xlpm.val,IF($F53="",val_blankRefText,_xldudf_CX_GET(CX_ENTITY,$F53,AR$11,AR$14,,(AR$44))),_xlpm.Res,IF(OR(_xlpm.val="",_xlpm.val="Error"),"",_xlpm.val),_xlpm.Res)</f>
        <v>#NAME?</v>
      </c>
      <c r="AS53" s="855" t="e" cm="1">
        <f t="array" ca="1" aca="1" ref="AS53">_xlfn.LET(_xlpm.val,IF($F53="",val_blankRefText,_xldudf_CX_GET(CX_ENTITY,$F53,AS$11,AS$14,,(AS$44))),_xlpm.Res,IF(OR(_xlpm.val="",_xlpm.val="Error"),"",_xlpm.val),_xlpm.Res)</f>
        <v>#NAME?</v>
      </c>
      <c r="AT53" s="855" t="e" cm="1">
        <f t="array" ca="1" aca="1" ref="AT53">_xlfn.LET(_xlpm.val,IF($F53="",val_blankRefText,_xldudf_CX_GET(CX_ENTITY,$F53,AT$11,AT$14,,(AT$44))),_xlpm.Res,IF(OR(_xlpm.val="",_xlpm.val="Error"),"",_xlpm.val),_xlpm.Res)</f>
        <v>#NAME?</v>
      </c>
      <c r="AU53" s="855" t="e" cm="1">
        <f t="array" ca="1" aca="1" ref="AU53">_xlfn.LET(_xlpm.val,IF($F53="",val_blankRefText,_xldudf_CX_GET(CX_ENTITY,$F53,AU$11,AU$14,,(AU$44))),_xlpm.Res,IF(OR(_xlpm.val="",_xlpm.val="Error"),"",_xlpm.val),_xlpm.Res)</f>
        <v>#NAME?</v>
      </c>
      <c r="AV53" s="855" t="e" cm="1">
        <f t="array" ca="1" aca="1" ref="AV53">_xlfn.LET(_xlpm.val,IF($F53="",val_blankRefText,_xldudf_CX_GET(CX_ENTITY,$F53,AV$11,AV$14,,(AV$44))),_xlpm.Res,IF(OR(_xlpm.val="",_xlpm.val="Error"),"",_xlpm.val),_xlpm.Res)</f>
        <v>#NAME?</v>
      </c>
      <c r="AW53" s="855" t="e" cm="1">
        <f t="array" ca="1" aca="1" ref="AW53">_xlfn.LET(_xlpm.val,IF($F53="",val_blankRefText,_xldudf_CX_GET(CX_ENTITY,$F53,AW$11,AW$14,,(AW$44))),_xlpm.Res,IF(OR(_xlpm.val="",_xlpm.val="Error"),"",_xlpm.val),_xlpm.Res)</f>
        <v>#NAME?</v>
      </c>
      <c r="AX53" s="855" t="e" cm="1">
        <f t="array" ca="1" aca="1" ref="AX53">_xlfn.LET(_xlpm.val,IF($F53="",val_blankRefText,_xldudf_CX_GET(CX_ENTITY,$F53,AX$11,AX$14,,(AX$44))),_xlpm.Res,IF(OR(_xlpm.val="",_xlpm.val="Error"),"",_xlpm.val),_xlpm.Res)</f>
        <v>#NAME?</v>
      </c>
      <c r="AY53" s="855" t="e" cm="1">
        <f t="array" ca="1" aca="1" ref="AY53">_xlfn.LET(_xlpm.val,IF($F53="",val_blankRefText,_xldudf_CX_GET(CX_ENTITY,$F53,AY$11,AY$14,,(AY$44))),_xlpm.Res,IF(OR(_xlpm.val="",_xlpm.val="Error"),"",_xlpm.val),_xlpm.Res)</f>
        <v>#NAME?</v>
      </c>
      <c r="AZ53" s="855" t="e" cm="1">
        <f t="array" ca="1" aca="1" ref="AZ53">_xlfn.LET(_xlpm.val,IF($F53="",val_blankRefText,_xldudf_CX_GET(CX_ENTITY,$F53,AZ$11,AZ$14,,(AZ$44))),_xlpm.Res,IF(OR(_xlpm.val="",_xlpm.val="Error"),"",_xlpm.val),_xlpm.Res)</f>
        <v>#NAME?</v>
      </c>
      <c r="BA53" s="855" t="e" cm="1">
        <f t="array" ca="1" aca="1" ref="BA53">_xlfn.LET(_xlpm.val,IF($F53="",val_blankRefText,_xldudf_CX_GET(CX_ENTITY,$F53,BA$11,BA$14,,(BA$44))),_xlpm.Res,IF(OR(_xlpm.val="",_xlpm.val="Error"),"",_xlpm.val),_xlpm.Res)</f>
        <v>#NAME?</v>
      </c>
      <c r="BB53" s="855" t="e" cm="1">
        <f t="array" ca="1" aca="1" ref="BB53">_xlfn.LET(_xlpm.val,IF($F53="",val_blankRefText,_xldudf_CX_GET(CX_ENTITY,$F53,BB$11,BB$14,,(BB$44))),_xlpm.Res,IF(OR(_xlpm.val="",_xlpm.val="Error"),"",_xlpm.val),_xlpm.Res)</f>
        <v>#NAME?</v>
      </c>
      <c r="BC53" s="855" t="e" cm="1">
        <f t="array" ca="1" aca="1" ref="BC53">_xlfn.LET(_xlpm.val,IF($F53="",val_blankRefText,_xldudf_CX_GET(CX_ENTITY,$F53,BC$11,BC$14,,(BC$44))),_xlpm.Res,IF(OR(_xlpm.val="",_xlpm.val="Error"),"",_xlpm.val),_xlpm.Res)</f>
        <v>#NAME?</v>
      </c>
      <c r="BD53" s="855" t="e" cm="1">
        <f t="array" ca="1" aca="1" ref="BD53">_xlfn.LET(_xlpm.val,IF($F53="",val_blankRefText,_xldudf_CX_GET(CX_ENTITY,$F53,BD$11,BD$14,,(BD$44))),_xlpm.Res,IF(OR(_xlpm.val="",_xlpm.val="Error"),"",_xlpm.val),_xlpm.Res)</f>
        <v>#NAME?</v>
      </c>
      <c r="BE53" s="855" t="e" cm="1">
        <f t="array" ca="1" aca="1" ref="BE53">_xlfn.LET(_xlpm.val,IF($F53="",val_blankRefText,_xldudf_CX_GET(CX_ENTITY,$F53,BE$11,BE$14,,(BE$44))),_xlpm.Res,IF(OR(_xlpm.val="",_xlpm.val="Error"),"",_xlpm.val),_xlpm.Res)</f>
        <v>#NAME?</v>
      </c>
      <c r="BF53" s="855" t="e" cm="1">
        <f t="array" ca="1" aca="1" ref="BF53">_xlfn.LET(_xlpm.val,IF($F53="",val_blankRefText,_xldudf_CX_GET(CX_ENTITY,$F53,BF$11,BF$14,,(BF$44))),_xlpm.Res,IF(OR(_xlpm.val="",_xlpm.val="Error"),"",_xlpm.val),_xlpm.Res)</f>
        <v>#NAME?</v>
      </c>
      <c r="BG53" s="855" t="e" cm="1">
        <f t="array" ca="1" aca="1" ref="BG53">_xlfn.LET(_xlpm.val,IF($F53="",val_blankRefText,_xldudf_CX_GET(CX_ENTITY,$F53,BG$11,BG$14,,(BG$44))),_xlpm.Res,IF(OR(_xlpm.val="",_xlpm.val="Error"),"",_xlpm.val),_xlpm.Res)</f>
        <v>#NAME?</v>
      </c>
      <c r="BH53" s="855" t="e" cm="1">
        <f t="array" ca="1" aca="1" ref="BH53">_xlfn.LET(_xlpm.val,IF($F53="",val_blankRefText,_xldudf_CX_GET(CX_ENTITY,$F53,BH$11,BH$14,,(BH$44))),_xlpm.Res,IF(OR(_xlpm.val="",_xlpm.val="Error"),"",_xlpm.val),_xlpm.Res)</f>
        <v>#NAME?</v>
      </c>
      <c r="BI53" s="855" t="e" cm="1">
        <f t="array" ca="1" aca="1" ref="BI53">_xlfn.LET(_xlpm.val,IF($F53="",val_blankRefText,_xldudf_CX_GET(CX_ENTITY,$F53,BI$11,BI$14,,(BI$44))),_xlpm.Res,IF(OR(_xlpm.val="",_xlpm.val="Error"),"",_xlpm.val),_xlpm.Res)</f>
        <v>#NAME?</v>
      </c>
      <c r="BJ53" s="855" t="e" cm="1">
        <f t="array" ca="1" aca="1" ref="BJ53">_xlfn.LET(_xlpm.val,IF($F53="",val_blankRefText,_xldudf_CX_GET(CX_ENTITY,$F53,BJ$11,BJ$14,,(BJ$44))),_xlpm.Res,IF(OR(_xlpm.val="",_xlpm.val="Error"),"",_xlpm.val),_xlpm.Res)</f>
        <v>#NAME?</v>
      </c>
      <c r="BK53" s="855" t="e" cm="1">
        <f t="array" ca="1" aca="1" ref="BK53">_xlfn.LET(_xlpm.val,IF($F53="",val_blankRefText,_xldudf_CX_GET(CX_ENTITY,$F53,BK$11,BK$14,,(BK$44))),_xlpm.Res,IF(OR(_xlpm.val="",_xlpm.val="Error"),"",_xlpm.val),_xlpm.Res)</f>
        <v>#NAME?</v>
      </c>
      <c r="BL53" s="855" t="e" cm="1">
        <f t="array" ca="1" aca="1" ref="BL53">_xlfn.LET(_xlpm.val,IF($F53="",val_blankRefText,_xldudf_CX_GET(CX_ENTITY,$F53,BL$11,BL$14,,(BL$44))),_xlpm.Res,IF(OR(_xlpm.val="",_xlpm.val="Error"),"",_xlpm.val),_xlpm.Res)</f>
        <v>#NAME?</v>
      </c>
      <c r="BM53" s="855" t="e" cm="1">
        <f t="array" ca="1" aca="1" ref="BM53">_xlfn.LET(_xlpm.val,IF($F53="",val_blankRefText,_xldudf_CX_GET(CX_ENTITY,$F53,BM$11,BM$14,,(BM$44))),_xlpm.Res,IF(OR(_xlpm.val="",_xlpm.val="Error"),"",_xlpm.val),_xlpm.Res)</f>
        <v>#NAME?</v>
      </c>
      <c r="BN53" s="855" t="e" cm="1">
        <f t="array" ca="1" aca="1" ref="BN53">_xlfn.LET(_xlpm.val,IF($F53="",val_blankRefText,_xldudf_CX_GET(CX_ENTITY,$F53,BN$11,BN$14,,(BN$44))),_xlpm.Res,IF(OR(_xlpm.val="",_xlpm.val="Error"),"",_xlpm.val),_xlpm.Res)</f>
        <v>#NAME?</v>
      </c>
      <c r="BO53" s="1844"/>
      <c r="BP53" s="1844"/>
      <c r="BQ53" s="1844"/>
      <c r="BR53" s="1844"/>
      <c r="BS53" s="1844"/>
      <c r="BT53" s="1844"/>
      <c r="BU53" s="1844"/>
      <c r="BV53" s="1844"/>
      <c r="BW53" s="1844"/>
      <c r="BX53" s="1844"/>
      <c r="BY53" s="1844"/>
      <c r="BZ53" s="1844"/>
      <c r="CA53" s="384"/>
      <c r="CC53" s="33"/>
      <c r="CD53" s="1461" t="e" cm="1">
        <f t="array" ca="1" aca="1" ref="CD53">_xlfn.LET(_xlpm.CheckBlank,SUM(CF!$AD53:$BN53)=0,IF(_xlpm.CheckBlank,"",SUM(_xlfn._xlws.FILTER(CF!$AD53:$BN53,(YEAR(CF!$AD$12:$BN$12)=CF!CD$12)*(array_timeline&lt;=CF!CD$11)))))</f>
        <v>#NAME?</v>
      </c>
      <c r="CE53" s="1461" t="e" cm="1">
        <f t="array" ca="1" aca="1" ref="CE53">_xlfn.LET(_xlpm.CheckBlank,SUM(CF!$AD53:$BN53)=0,IF(_xlpm.CheckBlank,"",SUM(_xlfn._xlws.FILTER(CF!$AD53:$BN53,(YEAR(CF!$AD$12:$BN$12)=CF!CE$12)*(array_timeline&lt;=CF!CE$11)))))</f>
        <v>#NAME?</v>
      </c>
      <c r="CF53" s="1314"/>
      <c r="CG53" s="1461" t="e" cm="1">
        <f t="array" ca="1" aca="1" ref="CG53">_xlfn.LET(_xlpm.CheckBlank,SUM(CF!$AD53:$BN53)=0,IF(_xlpm.CheckBlank,"",SUM(_xlfn._xlws.FILTER(CF!$AD53:$BN53,(YEAR(CF!$AD$12:$BN$12)=CF!CG$12)*(array_timeline&lt;=CF!CG$11)))))</f>
        <v>#NAME?</v>
      </c>
      <c r="CH53" s="1461" t="e" cm="1">
        <f t="array" ca="1" aca="1" ref="CH53">_xlfn.LET(_xlpm.CheckBlank,SUM(CF!$AD53:$BN53)=0,IF(_xlpm.CheckBlank,"",SUM(_xlfn._xlws.FILTER(CF!$AD53:$BN53,(YEAR(CF!$AD$12:$BN$12)=CF!CH$12)*(array_timeline&lt;=CF!CH$11)))))</f>
        <v>#NAME?</v>
      </c>
      <c r="CI53" s="1314"/>
      <c r="CJ53" s="1657" cm="1">
        <f t="array" ref="CJ53">_xlfn.LET(_xlpm.CheckBlank,SUM(CF!$AD53:$BN53)=0,IF(_xlpm.CheckBlank,"",SUM(_xlfn.TAKE(_xlfn.DROP(CF!$AD53:$BN53,,-DATEDIFF(CF!CJ$11,val_asOfDate,"M")),1,-12))))</f>
        <v>108</v>
      </c>
      <c r="CK53" s="1657" cm="1">
        <f t="array" ref="CK53">_xlfn.LET(_xlpm.CheckBlank,SUM(CF!$AD53:$BN53)=0,IF(_xlpm.CheckBlank,"",SUM(_xlfn.TAKE(_xlfn.DROP(CF!$AD53:$BN53,,-DATEDIFF(CF!CK$11,val_asOfDate,"M")),1,-12))))</f>
        <v>108</v>
      </c>
      <c r="CL53" s="88"/>
      <c r="CM53" s="541" t="e">
        <f ca="1" t="shared" si="20" ref="CM53">CM28</f>
        <v>#NAME?</v>
      </c>
      <c r="CN53" s="541" t="e">
        <f t="shared" ca="1" si="11"/>
        <v>#NAME?</v>
      </c>
      <c r="CO53" s="34"/>
      <c r="CR53" s="4"/>
      <c r="CS53" s="4"/>
      <c r="CW53" s="4"/>
    </row>
    <row r="54" spans="1:101" ht="21" customHeight="1">
      <c r="A54" s="696"/>
      <c r="B54" s="574" t="s">
        <v>246</v>
      </c>
      <c r="C54" s="574" t="str">
        <f t="shared" si="7"/>
        <v>Cash Interest Expense (CIE) (Company View)</v>
      </c>
      <c r="D54" s="574"/>
      <c r="E54" s="577" t="e" cm="1">
        <f t="array" ca="1" aca="1" ref="E54">_xlfn.LET(_xlpm.Attr,$C54,_xlpm.Lookback,$E$16,_xlpm.QueryDate,EOMONTH(val_asOfDate,_xlpm.Lookback),_xlpm.ReadField,_xldudf_CX_GET(CX_ENTITY,fx_attrConverter($C54),_xlpm.QueryDate),_xlpm.AttrBlank,_xlpm.Attr="",_xlpm.RESULT,IF(_xlpm.AttrBlank,val_blankRefText,fx_attrConverter(_xlpm.ReadField,0)),IF(_xlpm.RESULT="Error","",_xlpm.RESULT))</f>
        <v>#NAME?</v>
      </c>
      <c r="F54" s="577" t="str">
        <f t="shared" si="8"/>
        <v>Cash Interest Expense (CIE)</v>
      </c>
      <c r="G54" s="401"/>
      <c r="H54" s="401">
        <v>0</v>
      </c>
      <c r="I54" s="3280">
        <v>1</v>
      </c>
      <c r="J54" s="401"/>
      <c r="K54" s="401"/>
      <c r="L54" s="3269" t="b">
        <v>1</v>
      </c>
      <c r="N54" s="158"/>
      <c r="O54" s="101"/>
      <c r="P54" s="52"/>
      <c r="Q54" s="101"/>
      <c r="R54" s="126"/>
      <c r="S54" s="101"/>
      <c r="T54" s="101"/>
      <c r="U54" s="39"/>
      <c r="W54" s="932" t="str">
        <f t="shared" si="13"/>
        <v>Budget</v>
      </c>
      <c r="X54" s="761">
        <v>-1</v>
      </c>
      <c r="Y54" s="88" t="e">
        <f t="shared" ca="1" si="9"/>
        <v>#NAME?</v>
      </c>
      <c r="Z54" s="3300" cm="1">
        <f t="array" ref="Z54">_xlfn.SWITCH(TRUE,_CF!$L54=TRUE,1,_CF!$L54=FALSE,-1,_CF!$L54=-1,0,"n/a")</f>
        <v>1</v>
      </c>
      <c r="AA54" s="200"/>
      <c r="AB54" s="88" t="str">
        <f t="shared" si="10"/>
        <v>Cash Interest Expense (CIE)</v>
      </c>
      <c r="AC54" s="88"/>
      <c r="AD54" s="855" t="e" cm="1">
        <f t="array" ca="1" aca="1" ref="AD54">_xlfn.LET(_xlpm.val,IF($F54="",val_blankRefText,_xldudf_CX_GET(CX_ENTITY,$F54,AD$11,AD$14,,(AD$44))),_xlpm.Res,IF(OR(_xlpm.val="",_xlpm.val="Error"),"",_xlpm.val),_xlpm.Res)</f>
        <v>#NAME?</v>
      </c>
      <c r="AE54" s="855" t="e" cm="1">
        <f t="array" ca="1" aca="1" ref="AE54">_xlfn.LET(_xlpm.val,IF($F54="",val_blankRefText,_xldudf_CX_GET(CX_ENTITY,$F54,AE$11,AE$14,,(AE$44))),_xlpm.Res,IF(OR(_xlpm.val="",_xlpm.val="Error"),"",_xlpm.val),_xlpm.Res)</f>
        <v>#NAME?</v>
      </c>
      <c r="AF54" s="855" t="e" cm="1">
        <f t="array" ca="1" aca="1" ref="AF54">_xlfn.LET(_xlpm.val,IF($F54="",val_blankRefText,_xldudf_CX_GET(CX_ENTITY,$F54,AF$11,AF$14,,(AF$44))),_xlpm.Res,IF(OR(_xlpm.val="",_xlpm.val="Error"),"",_xlpm.val),_xlpm.Res)</f>
        <v>#NAME?</v>
      </c>
      <c r="AG54" s="855" t="e" cm="1">
        <f t="array" ca="1" aca="1" ref="AG54">_xlfn.LET(_xlpm.val,IF($F54="",val_blankRefText,_xldudf_CX_GET(CX_ENTITY,$F54,AG$11,AG$14,,(AG$44))),_xlpm.Res,IF(OR(_xlpm.val="",_xlpm.val="Error"),"",_xlpm.val),_xlpm.Res)</f>
        <v>#NAME?</v>
      </c>
      <c r="AH54" s="855" t="e" cm="1">
        <f t="array" ca="1" aca="1" ref="AH54">_xlfn.LET(_xlpm.val,IF($F54="",val_blankRefText,_xldudf_CX_GET(CX_ENTITY,$F54,AH$11,AH$14,,(AH$44))),_xlpm.Res,IF(OR(_xlpm.val="",_xlpm.val="Error"),"",_xlpm.val),_xlpm.Res)</f>
        <v>#NAME?</v>
      </c>
      <c r="AI54" s="855" t="e" cm="1">
        <f t="array" ca="1" aca="1" ref="AI54">_xlfn.LET(_xlpm.val,IF($F54="",val_blankRefText,_xldudf_CX_GET(CX_ENTITY,$F54,AI$11,AI$14,,(AI$44))),_xlpm.Res,IF(OR(_xlpm.val="",_xlpm.val="Error"),"",_xlpm.val),_xlpm.Res)</f>
        <v>#NAME?</v>
      </c>
      <c r="AJ54" s="855" t="e" cm="1">
        <f t="array" ca="1" aca="1" ref="AJ54">_xlfn.LET(_xlpm.val,IF($F54="",val_blankRefText,_xldudf_CX_GET(CX_ENTITY,$F54,AJ$11,AJ$14,,(AJ$44))),_xlpm.Res,IF(OR(_xlpm.val="",_xlpm.val="Error"),"",_xlpm.val),_xlpm.Res)</f>
        <v>#NAME?</v>
      </c>
      <c r="AK54" s="855" t="e" cm="1">
        <f t="array" ca="1" aca="1" ref="AK54">_xlfn.LET(_xlpm.val,IF($F54="",val_blankRefText,_xldudf_CX_GET(CX_ENTITY,$F54,AK$11,AK$14,,(AK$44))),_xlpm.Res,IF(OR(_xlpm.val="",_xlpm.val="Error"),"",_xlpm.val),_xlpm.Res)</f>
        <v>#NAME?</v>
      </c>
      <c r="AL54" s="855" t="e" cm="1">
        <f t="array" ca="1" aca="1" ref="AL54">_xlfn.LET(_xlpm.val,IF($F54="",val_blankRefText,_xldudf_CX_GET(CX_ENTITY,$F54,AL$11,AL$14,,(AL$44))),_xlpm.Res,IF(OR(_xlpm.val="",_xlpm.val="Error"),"",_xlpm.val),_xlpm.Res)</f>
        <v>#NAME?</v>
      </c>
      <c r="AM54" s="855" t="e" cm="1">
        <f t="array" ca="1" aca="1" ref="AM54">_xlfn.LET(_xlpm.val,IF($F54="",val_blankRefText,_xldudf_CX_GET(CX_ENTITY,$F54,AM$11,AM$14,,(AM$44))),_xlpm.Res,IF(OR(_xlpm.val="",_xlpm.val="Error"),"",_xlpm.val),_xlpm.Res)</f>
        <v>#NAME?</v>
      </c>
      <c r="AN54" s="855" t="e" cm="1">
        <f t="array" ca="1" aca="1" ref="AN54">_xlfn.LET(_xlpm.val,IF($F54="",val_blankRefText,_xldudf_CX_GET(CX_ENTITY,$F54,AN$11,AN$14,,(AN$44))),_xlpm.Res,IF(OR(_xlpm.val="",_xlpm.val="Error"),"",_xlpm.val),_xlpm.Res)</f>
        <v>#NAME?</v>
      </c>
      <c r="AO54" s="855" t="e" cm="1">
        <f t="array" ca="1" aca="1" ref="AO54">_xlfn.LET(_xlpm.val,IF($F54="",val_blankRefText,_xldudf_CX_GET(CX_ENTITY,$F54,AO$11,AO$14,,(AO$44))),_xlpm.Res,IF(OR(_xlpm.val="",_xlpm.val="Error"),"",_xlpm.val),_xlpm.Res)</f>
        <v>#NAME?</v>
      </c>
      <c r="AP54" s="855" t="e" cm="1">
        <f t="array" ca="1" aca="1" ref="AP54">_xlfn.LET(_xlpm.val,IF($F54="",val_blankRefText,_xldudf_CX_GET(CX_ENTITY,$F54,AP$11,AP$14,,(AP$44))),_xlpm.Res,IF(OR(_xlpm.val="",_xlpm.val="Error"),"",_xlpm.val),_xlpm.Res)</f>
        <v>#NAME?</v>
      </c>
      <c r="AQ54" s="855" t="e" cm="1">
        <f t="array" ca="1" aca="1" ref="AQ54">_xlfn.LET(_xlpm.val,IF($F54="",val_blankRefText,_xldudf_CX_GET(CX_ENTITY,$F54,AQ$11,AQ$14,,(AQ$44))),_xlpm.Res,IF(OR(_xlpm.val="",_xlpm.val="Error"),"",_xlpm.val),_xlpm.Res)</f>
        <v>#NAME?</v>
      </c>
      <c r="AR54" s="855" t="e" cm="1">
        <f t="array" ca="1" aca="1" ref="AR54">_xlfn.LET(_xlpm.val,IF($F54="",val_blankRefText,_xldudf_CX_GET(CX_ENTITY,$F54,AR$11,AR$14,,(AR$44))),_xlpm.Res,IF(OR(_xlpm.val="",_xlpm.val="Error"),"",_xlpm.val),_xlpm.Res)</f>
        <v>#NAME?</v>
      </c>
      <c r="AS54" s="855" t="e" cm="1">
        <f t="array" ca="1" aca="1" ref="AS54">_xlfn.LET(_xlpm.val,IF($F54="",val_blankRefText,_xldudf_CX_GET(CX_ENTITY,$F54,AS$11,AS$14,,(AS$44))),_xlpm.Res,IF(OR(_xlpm.val="",_xlpm.val="Error"),"",_xlpm.val),_xlpm.Res)</f>
        <v>#NAME?</v>
      </c>
      <c r="AT54" s="855" t="e" cm="1">
        <f t="array" ca="1" aca="1" ref="AT54">_xlfn.LET(_xlpm.val,IF($F54="",val_blankRefText,_xldudf_CX_GET(CX_ENTITY,$F54,AT$11,AT$14,,(AT$44))),_xlpm.Res,IF(OR(_xlpm.val="",_xlpm.val="Error"),"",_xlpm.val),_xlpm.Res)</f>
        <v>#NAME?</v>
      </c>
      <c r="AU54" s="855" t="e" cm="1">
        <f t="array" ca="1" aca="1" ref="AU54">_xlfn.LET(_xlpm.val,IF($F54="",val_blankRefText,_xldudf_CX_GET(CX_ENTITY,$F54,AU$11,AU$14,,(AU$44))),_xlpm.Res,IF(OR(_xlpm.val="",_xlpm.val="Error"),"",_xlpm.val),_xlpm.Res)</f>
        <v>#NAME?</v>
      </c>
      <c r="AV54" s="855" t="e" cm="1">
        <f t="array" ca="1" aca="1" ref="AV54">_xlfn.LET(_xlpm.val,IF($F54="",val_blankRefText,_xldudf_CX_GET(CX_ENTITY,$F54,AV$11,AV$14,,(AV$44))),_xlpm.Res,IF(OR(_xlpm.val="",_xlpm.val="Error"),"",_xlpm.val),_xlpm.Res)</f>
        <v>#NAME?</v>
      </c>
      <c r="AW54" s="855" t="e" cm="1">
        <f t="array" ca="1" aca="1" ref="AW54">_xlfn.LET(_xlpm.val,IF($F54="",val_blankRefText,_xldudf_CX_GET(CX_ENTITY,$F54,AW$11,AW$14,,(AW$44))),_xlpm.Res,IF(OR(_xlpm.val="",_xlpm.val="Error"),"",_xlpm.val),_xlpm.Res)</f>
        <v>#NAME?</v>
      </c>
      <c r="AX54" s="855" t="e" cm="1">
        <f t="array" ca="1" aca="1" ref="AX54">_xlfn.LET(_xlpm.val,IF($F54="",val_blankRefText,_xldudf_CX_GET(CX_ENTITY,$F54,AX$11,AX$14,,(AX$44))),_xlpm.Res,IF(OR(_xlpm.val="",_xlpm.val="Error"),"",_xlpm.val),_xlpm.Res)</f>
        <v>#NAME?</v>
      </c>
      <c r="AY54" s="855" t="e" cm="1">
        <f t="array" ca="1" aca="1" ref="AY54">_xlfn.LET(_xlpm.val,IF($F54="",val_blankRefText,_xldudf_CX_GET(CX_ENTITY,$F54,AY$11,AY$14,,(AY$44))),_xlpm.Res,IF(OR(_xlpm.val="",_xlpm.val="Error"),"",_xlpm.val),_xlpm.Res)</f>
        <v>#NAME?</v>
      </c>
      <c r="AZ54" s="855" t="e" cm="1">
        <f t="array" ca="1" aca="1" ref="AZ54">_xlfn.LET(_xlpm.val,IF($F54="",val_blankRefText,_xldudf_CX_GET(CX_ENTITY,$F54,AZ$11,AZ$14,,(AZ$44))),_xlpm.Res,IF(OR(_xlpm.val="",_xlpm.val="Error"),"",_xlpm.val),_xlpm.Res)</f>
        <v>#NAME?</v>
      </c>
      <c r="BA54" s="855" t="e" cm="1">
        <f t="array" ca="1" aca="1" ref="BA54">_xlfn.LET(_xlpm.val,IF($F54="",val_blankRefText,_xldudf_CX_GET(CX_ENTITY,$F54,BA$11,BA$14,,(BA$44))),_xlpm.Res,IF(OR(_xlpm.val="",_xlpm.val="Error"),"",_xlpm.val),_xlpm.Res)</f>
        <v>#NAME?</v>
      </c>
      <c r="BB54" s="855" t="e" cm="1">
        <f t="array" ca="1" aca="1" ref="BB54">_xlfn.LET(_xlpm.val,IF($F54="",val_blankRefText,_xldudf_CX_GET(CX_ENTITY,$F54,BB$11,BB$14,,(BB$44))),_xlpm.Res,IF(OR(_xlpm.val="",_xlpm.val="Error"),"",_xlpm.val),_xlpm.Res)</f>
        <v>#NAME?</v>
      </c>
      <c r="BC54" s="855" t="e" cm="1">
        <f t="array" ca="1" aca="1" ref="BC54">_xlfn.LET(_xlpm.val,IF($F54="",val_blankRefText,_xldudf_CX_GET(CX_ENTITY,$F54,BC$11,BC$14,,(BC$44))),_xlpm.Res,IF(OR(_xlpm.val="",_xlpm.val="Error"),"",_xlpm.val),_xlpm.Res)</f>
        <v>#NAME?</v>
      </c>
      <c r="BD54" s="855" t="e" cm="1">
        <f t="array" ca="1" aca="1" ref="BD54">_xlfn.LET(_xlpm.val,IF($F54="",val_blankRefText,_xldudf_CX_GET(CX_ENTITY,$F54,BD$11,BD$14,,(BD$44))),_xlpm.Res,IF(OR(_xlpm.val="",_xlpm.val="Error"),"",_xlpm.val),_xlpm.Res)</f>
        <v>#NAME?</v>
      </c>
      <c r="BE54" s="855" t="e" cm="1">
        <f t="array" ca="1" aca="1" ref="BE54">_xlfn.LET(_xlpm.val,IF($F54="",val_blankRefText,_xldudf_CX_GET(CX_ENTITY,$F54,BE$11,BE$14,,(BE$44))),_xlpm.Res,IF(OR(_xlpm.val="",_xlpm.val="Error"),"",_xlpm.val),_xlpm.Res)</f>
        <v>#NAME?</v>
      </c>
      <c r="BF54" s="855" t="e" cm="1">
        <f t="array" ca="1" aca="1" ref="BF54">_xlfn.LET(_xlpm.val,IF($F54="",val_blankRefText,_xldudf_CX_GET(CX_ENTITY,$F54,BF$11,BF$14,,(BF$44))),_xlpm.Res,IF(OR(_xlpm.val="",_xlpm.val="Error"),"",_xlpm.val),_xlpm.Res)</f>
        <v>#NAME?</v>
      </c>
      <c r="BG54" s="855" t="e" cm="1">
        <f t="array" ca="1" aca="1" ref="BG54">_xlfn.LET(_xlpm.val,IF($F54="",val_blankRefText,_xldudf_CX_GET(CX_ENTITY,$F54,BG$11,BG$14,,(BG$44))),_xlpm.Res,IF(OR(_xlpm.val="",_xlpm.val="Error"),"",_xlpm.val),_xlpm.Res)</f>
        <v>#NAME?</v>
      </c>
      <c r="BH54" s="855" t="e" cm="1">
        <f t="array" ca="1" aca="1" ref="BH54">_xlfn.LET(_xlpm.val,IF($F54="",val_blankRefText,_xldudf_CX_GET(CX_ENTITY,$F54,BH$11,BH$14,,(BH$44))),_xlpm.Res,IF(OR(_xlpm.val="",_xlpm.val="Error"),"",_xlpm.val),_xlpm.Res)</f>
        <v>#NAME?</v>
      </c>
      <c r="BI54" s="855" t="e" cm="1">
        <f t="array" ca="1" aca="1" ref="BI54">_xlfn.LET(_xlpm.val,IF($F54="",val_blankRefText,_xldudf_CX_GET(CX_ENTITY,$F54,BI$11,BI$14,,(BI$44))),_xlpm.Res,IF(OR(_xlpm.val="",_xlpm.val="Error"),"",_xlpm.val),_xlpm.Res)</f>
        <v>#NAME?</v>
      </c>
      <c r="BJ54" s="855" t="e" cm="1">
        <f t="array" ca="1" aca="1" ref="BJ54">_xlfn.LET(_xlpm.val,IF($F54="",val_blankRefText,_xldudf_CX_GET(CX_ENTITY,$F54,BJ$11,BJ$14,,(BJ$44))),_xlpm.Res,IF(OR(_xlpm.val="",_xlpm.val="Error"),"",_xlpm.val),_xlpm.Res)</f>
        <v>#NAME?</v>
      </c>
      <c r="BK54" s="855" t="e" cm="1">
        <f t="array" ca="1" aca="1" ref="BK54">_xlfn.LET(_xlpm.val,IF($F54="",val_blankRefText,_xldudf_CX_GET(CX_ENTITY,$F54,BK$11,BK$14,,(BK$44))),_xlpm.Res,IF(OR(_xlpm.val="",_xlpm.val="Error"),"",_xlpm.val),_xlpm.Res)</f>
        <v>#NAME?</v>
      </c>
      <c r="BL54" s="855" t="e" cm="1">
        <f t="array" ca="1" aca="1" ref="BL54">_xlfn.LET(_xlpm.val,IF($F54="",val_blankRefText,_xldudf_CX_GET(CX_ENTITY,$F54,BL$11,BL$14,,(BL$44))),_xlpm.Res,IF(OR(_xlpm.val="",_xlpm.val="Error"),"",_xlpm.val),_xlpm.Res)</f>
        <v>#NAME?</v>
      </c>
      <c r="BM54" s="855" t="e" cm="1">
        <f t="array" ca="1" aca="1" ref="BM54">_xlfn.LET(_xlpm.val,IF($F54="",val_blankRefText,_xldudf_CX_GET(CX_ENTITY,$F54,BM$11,BM$14,,(BM$44))),_xlpm.Res,IF(OR(_xlpm.val="",_xlpm.val="Error"),"",_xlpm.val),_xlpm.Res)</f>
        <v>#NAME?</v>
      </c>
      <c r="BN54" s="855" t="e" cm="1">
        <f t="array" ca="1" aca="1" ref="BN54">_xlfn.LET(_xlpm.val,IF($F54="",val_blankRefText,_xldudf_CX_GET(CX_ENTITY,$F54,BN$11,BN$14,,(BN$44))),_xlpm.Res,IF(OR(_xlpm.val="",_xlpm.val="Error"),"",_xlpm.val),_xlpm.Res)</f>
        <v>#NAME?</v>
      </c>
      <c r="BO54" s="1844"/>
      <c r="BP54" s="1844"/>
      <c r="BQ54" s="1844"/>
      <c r="BR54" s="1844"/>
      <c r="BS54" s="1844"/>
      <c r="BT54" s="1844"/>
      <c r="BU54" s="1844"/>
      <c r="BV54" s="1844"/>
      <c r="BW54" s="1844"/>
      <c r="BX54" s="1844"/>
      <c r="BY54" s="1844"/>
      <c r="BZ54" s="1844"/>
      <c r="CA54" s="384"/>
      <c r="CC54" s="33"/>
      <c r="CD54" s="1461" t="e" cm="1">
        <f t="array" ca="1" aca="1" ref="CD54">_xlfn.LET(_xlpm.CheckBlank,SUM(CF!$AD54:$BN54)=0,IF(_xlpm.CheckBlank,"",SUM(_xlfn._xlws.FILTER(CF!$AD54:$BN54,(YEAR(CF!$AD$12:$BN$12)=CF!CD$12)*(array_timeline&lt;=CF!CD$11)))))</f>
        <v>#NAME?</v>
      </c>
      <c r="CE54" s="1461" t="e" cm="1">
        <f t="array" ca="1" aca="1" ref="CE54">_xlfn.LET(_xlpm.CheckBlank,SUM(CF!$AD54:$BN54)=0,IF(_xlpm.CheckBlank,"",SUM(_xlfn._xlws.FILTER(CF!$AD54:$BN54,(YEAR(CF!$AD$12:$BN$12)=CF!CE$12)*(array_timeline&lt;=CF!CE$11)))))</f>
        <v>#NAME?</v>
      </c>
      <c r="CF54" s="1314"/>
      <c r="CG54" s="1461" t="e" cm="1">
        <f t="array" ca="1" aca="1" ref="CG54">_xlfn.LET(_xlpm.CheckBlank,SUM(CF!$AD54:$BN54)=0,IF(_xlpm.CheckBlank,"",SUM(_xlfn._xlws.FILTER(CF!$AD54:$BN54,(YEAR(CF!$AD$12:$BN$12)=CF!CG$12)*(array_timeline&lt;=CF!CG$11)))))</f>
        <v>#NAME?</v>
      </c>
      <c r="CH54" s="1461" t="e" cm="1">
        <f t="array" ca="1" aca="1" ref="CH54">_xlfn.LET(_xlpm.CheckBlank,SUM(CF!$AD54:$BN54)=0,IF(_xlpm.CheckBlank,"",SUM(_xlfn._xlws.FILTER(CF!$AD54:$BN54,(YEAR(CF!$AD$12:$BN$12)=CF!CH$12)*(array_timeline&lt;=CF!CH$11)))))</f>
        <v>#NAME?</v>
      </c>
      <c r="CI54" s="1314"/>
      <c r="CJ54" s="1657" cm="1">
        <f t="array" ref="CJ54">_xlfn.LET(_xlpm.CheckBlank,SUM(CF!$AD54:$BN54)=0,IF(_xlpm.CheckBlank,"",SUM(_xlfn.TAKE(_xlfn.DROP(CF!$AD54:$BN54,,-DATEDIFF(CF!CJ$11,val_asOfDate,"M")),1,-12))))</f>
        <v>12</v>
      </c>
      <c r="CK54" s="1657" cm="1">
        <f t="array" ref="CK54">_xlfn.LET(_xlpm.CheckBlank,SUM(CF!$AD54:$BN54)=0,IF(_xlpm.CheckBlank,"",SUM(_xlfn.TAKE(_xlfn.DROP(CF!$AD54:$BN54,,-DATEDIFF(CF!CK$11,val_asOfDate,"M")),1,-12))))</f>
        <v>12</v>
      </c>
      <c r="CL54" s="88"/>
      <c r="CM54" s="541" t="e">
        <f ca="1" t="shared" si="21" ref="CM54">CM29</f>
        <v>#NAME?</v>
      </c>
      <c r="CN54" s="541" t="e">
        <f t="shared" ca="1" si="11"/>
        <v>#NAME?</v>
      </c>
      <c r="CO54" s="34"/>
      <c r="CR54" s="4"/>
      <c r="CS54" s="4"/>
      <c r="CW54" s="4"/>
    </row>
    <row r="55" spans="1:101" ht="21" customHeight="1">
      <c r="A55" s="696"/>
      <c r="B55" s="574" t="s">
        <v>247</v>
      </c>
      <c r="C55" s="574" t="str">
        <f t="shared" si="7"/>
        <v>Principal Repayments (Company View)</v>
      </c>
      <c r="D55" s="574"/>
      <c r="E55" s="577" t="e" cm="1">
        <f t="array" ca="1" aca="1" ref="E55">_xlfn.LET(_xlpm.Attr,$C55,_xlpm.Lookback,$E$16,_xlpm.QueryDate,EOMONTH(val_asOfDate,_xlpm.Lookback),_xlpm.ReadField,_xldudf_CX_GET(CX_ENTITY,fx_attrConverter($C55),_xlpm.QueryDate),_xlpm.AttrBlank,_xlpm.Attr="",_xlpm.RESULT,IF(_xlpm.AttrBlank,val_blankRefText,fx_attrConverter(_xlpm.ReadField,0)),IF(_xlpm.RESULT="Error","",_xlpm.RESULT))</f>
        <v>#NAME?</v>
      </c>
      <c r="F55" s="577" t="str">
        <f t="shared" si="8"/>
        <v>Principal Repayments</v>
      </c>
      <c r="G55" s="401"/>
      <c r="H55" s="401">
        <v>0</v>
      </c>
      <c r="I55" s="3280">
        <v>1</v>
      </c>
      <c r="J55" s="401"/>
      <c r="K55" s="401"/>
      <c r="L55" s="3269" t="b">
        <v>1</v>
      </c>
      <c r="N55" s="158"/>
      <c r="O55" s="101"/>
      <c r="P55" s="52"/>
      <c r="Q55" s="101"/>
      <c r="R55" s="126"/>
      <c r="S55" s="101"/>
      <c r="T55" s="101"/>
      <c r="U55" s="39"/>
      <c r="W55" s="932" t="str">
        <f t="shared" si="13"/>
        <v>Budget</v>
      </c>
      <c r="X55" s="761">
        <v>-1</v>
      </c>
      <c r="Y55" s="88" t="e">
        <f t="shared" ca="1" si="9"/>
        <v>#NAME?</v>
      </c>
      <c r="Z55" s="3300" cm="1">
        <f t="array" ref="Z55">_xlfn.SWITCH(TRUE,_CF!$L55=TRUE,1,_CF!$L55=FALSE,-1,_CF!$L55=-1,0,"n/a")</f>
        <v>1</v>
      </c>
      <c r="AA55" s="200"/>
      <c r="AB55" s="88" t="str">
        <f t="shared" si="10"/>
        <v>Principal Repayments</v>
      </c>
      <c r="AC55" s="88"/>
      <c r="AD55" s="855" t="e" cm="1">
        <f t="array" ca="1" aca="1" ref="AD55">_xlfn.LET(_xlpm.val,IF($F55="",val_blankRefText,_xldudf_CX_GET(CX_ENTITY,$F55,AD$11,AD$14,,(AD$44))),_xlpm.Res,IF(OR(_xlpm.val="",_xlpm.val="Error"),"",_xlpm.val),_xlpm.Res)</f>
        <v>#NAME?</v>
      </c>
      <c r="AE55" s="855" t="e" cm="1">
        <f t="array" ca="1" aca="1" ref="AE55">_xlfn.LET(_xlpm.val,IF($F55="",val_blankRefText,_xldudf_CX_GET(CX_ENTITY,$F55,AE$11,AE$14,,(AE$44))),_xlpm.Res,IF(OR(_xlpm.val="",_xlpm.val="Error"),"",_xlpm.val),_xlpm.Res)</f>
        <v>#NAME?</v>
      </c>
      <c r="AF55" s="855" t="e" cm="1">
        <f t="array" ca="1" aca="1" ref="AF55">_xlfn.LET(_xlpm.val,IF($F55="",val_blankRefText,_xldudf_CX_GET(CX_ENTITY,$F55,AF$11,AF$14,,(AF$44))),_xlpm.Res,IF(OR(_xlpm.val="",_xlpm.val="Error"),"",_xlpm.val),_xlpm.Res)</f>
        <v>#NAME?</v>
      </c>
      <c r="AG55" s="855" t="e" cm="1">
        <f t="array" ca="1" aca="1" ref="AG55">_xlfn.LET(_xlpm.val,IF($F55="",val_blankRefText,_xldudf_CX_GET(CX_ENTITY,$F55,AG$11,AG$14,,(AG$44))),_xlpm.Res,IF(OR(_xlpm.val="",_xlpm.val="Error"),"",_xlpm.val),_xlpm.Res)</f>
        <v>#NAME?</v>
      </c>
      <c r="AH55" s="855" t="e" cm="1">
        <f t="array" ca="1" aca="1" ref="AH55">_xlfn.LET(_xlpm.val,IF($F55="",val_blankRefText,_xldudf_CX_GET(CX_ENTITY,$F55,AH$11,AH$14,,(AH$44))),_xlpm.Res,IF(OR(_xlpm.val="",_xlpm.val="Error"),"",_xlpm.val),_xlpm.Res)</f>
        <v>#NAME?</v>
      </c>
      <c r="AI55" s="855" t="e" cm="1">
        <f t="array" ca="1" aca="1" ref="AI55">_xlfn.LET(_xlpm.val,IF($F55="",val_blankRefText,_xldudf_CX_GET(CX_ENTITY,$F55,AI$11,AI$14,,(AI$44))),_xlpm.Res,IF(OR(_xlpm.val="",_xlpm.val="Error"),"",_xlpm.val),_xlpm.Res)</f>
        <v>#NAME?</v>
      </c>
      <c r="AJ55" s="855" t="e" cm="1">
        <f t="array" ca="1" aca="1" ref="AJ55">_xlfn.LET(_xlpm.val,IF($F55="",val_blankRefText,_xldudf_CX_GET(CX_ENTITY,$F55,AJ$11,AJ$14,,(AJ$44))),_xlpm.Res,IF(OR(_xlpm.val="",_xlpm.val="Error"),"",_xlpm.val),_xlpm.Res)</f>
        <v>#NAME?</v>
      </c>
      <c r="AK55" s="855" t="e" cm="1">
        <f t="array" ca="1" aca="1" ref="AK55">_xlfn.LET(_xlpm.val,IF($F55="",val_blankRefText,_xldudf_CX_GET(CX_ENTITY,$F55,AK$11,AK$14,,(AK$44))),_xlpm.Res,IF(OR(_xlpm.val="",_xlpm.val="Error"),"",_xlpm.val),_xlpm.Res)</f>
        <v>#NAME?</v>
      </c>
      <c r="AL55" s="855" t="e" cm="1">
        <f t="array" ca="1" aca="1" ref="AL55">_xlfn.LET(_xlpm.val,IF($F55="",val_blankRefText,_xldudf_CX_GET(CX_ENTITY,$F55,AL$11,AL$14,,(AL$44))),_xlpm.Res,IF(OR(_xlpm.val="",_xlpm.val="Error"),"",_xlpm.val),_xlpm.Res)</f>
        <v>#NAME?</v>
      </c>
      <c r="AM55" s="855" t="e" cm="1">
        <f t="array" ca="1" aca="1" ref="AM55">_xlfn.LET(_xlpm.val,IF($F55="",val_blankRefText,_xldudf_CX_GET(CX_ENTITY,$F55,AM$11,AM$14,,(AM$44))),_xlpm.Res,IF(OR(_xlpm.val="",_xlpm.val="Error"),"",_xlpm.val),_xlpm.Res)</f>
        <v>#NAME?</v>
      </c>
      <c r="AN55" s="855" t="e" cm="1">
        <f t="array" ca="1" aca="1" ref="AN55">_xlfn.LET(_xlpm.val,IF($F55="",val_blankRefText,_xldudf_CX_GET(CX_ENTITY,$F55,AN$11,AN$14,,(AN$44))),_xlpm.Res,IF(OR(_xlpm.val="",_xlpm.val="Error"),"",_xlpm.val),_xlpm.Res)</f>
        <v>#NAME?</v>
      </c>
      <c r="AO55" s="855" t="e" cm="1">
        <f t="array" ca="1" aca="1" ref="AO55">_xlfn.LET(_xlpm.val,IF($F55="",val_blankRefText,_xldudf_CX_GET(CX_ENTITY,$F55,AO$11,AO$14,,(AO$44))),_xlpm.Res,IF(OR(_xlpm.val="",_xlpm.val="Error"),"",_xlpm.val),_xlpm.Res)</f>
        <v>#NAME?</v>
      </c>
      <c r="AP55" s="855" t="e" cm="1">
        <f t="array" ca="1" aca="1" ref="AP55">_xlfn.LET(_xlpm.val,IF($F55="",val_blankRefText,_xldudf_CX_GET(CX_ENTITY,$F55,AP$11,AP$14,,(AP$44))),_xlpm.Res,IF(OR(_xlpm.val="",_xlpm.val="Error"),"",_xlpm.val),_xlpm.Res)</f>
        <v>#NAME?</v>
      </c>
      <c r="AQ55" s="855" t="e" cm="1">
        <f t="array" ca="1" aca="1" ref="AQ55">_xlfn.LET(_xlpm.val,IF($F55="",val_blankRefText,_xldudf_CX_GET(CX_ENTITY,$F55,AQ$11,AQ$14,,(AQ$44))),_xlpm.Res,IF(OR(_xlpm.val="",_xlpm.val="Error"),"",_xlpm.val),_xlpm.Res)</f>
        <v>#NAME?</v>
      </c>
      <c r="AR55" s="855" t="e" cm="1">
        <f t="array" ca="1" aca="1" ref="AR55">_xlfn.LET(_xlpm.val,IF($F55="",val_blankRefText,_xldudf_CX_GET(CX_ENTITY,$F55,AR$11,AR$14,,(AR$44))),_xlpm.Res,IF(OR(_xlpm.val="",_xlpm.val="Error"),"",_xlpm.val),_xlpm.Res)</f>
        <v>#NAME?</v>
      </c>
      <c r="AS55" s="855" t="e" cm="1">
        <f t="array" ca="1" aca="1" ref="AS55">_xlfn.LET(_xlpm.val,IF($F55="",val_blankRefText,_xldudf_CX_GET(CX_ENTITY,$F55,AS$11,AS$14,,(AS$44))),_xlpm.Res,IF(OR(_xlpm.val="",_xlpm.val="Error"),"",_xlpm.val),_xlpm.Res)</f>
        <v>#NAME?</v>
      </c>
      <c r="AT55" s="855" t="e" cm="1">
        <f t="array" ca="1" aca="1" ref="AT55">_xlfn.LET(_xlpm.val,IF($F55="",val_blankRefText,_xldudf_CX_GET(CX_ENTITY,$F55,AT$11,AT$14,,(AT$44))),_xlpm.Res,IF(OR(_xlpm.val="",_xlpm.val="Error"),"",_xlpm.val),_xlpm.Res)</f>
        <v>#NAME?</v>
      </c>
      <c r="AU55" s="855" t="e" cm="1">
        <f t="array" ca="1" aca="1" ref="AU55">_xlfn.LET(_xlpm.val,IF($F55="",val_blankRefText,_xldudf_CX_GET(CX_ENTITY,$F55,AU$11,AU$14,,(AU$44))),_xlpm.Res,IF(OR(_xlpm.val="",_xlpm.val="Error"),"",_xlpm.val),_xlpm.Res)</f>
        <v>#NAME?</v>
      </c>
      <c r="AV55" s="855" t="e" cm="1">
        <f t="array" ca="1" aca="1" ref="AV55">_xlfn.LET(_xlpm.val,IF($F55="",val_blankRefText,_xldudf_CX_GET(CX_ENTITY,$F55,AV$11,AV$14,,(AV$44))),_xlpm.Res,IF(OR(_xlpm.val="",_xlpm.val="Error"),"",_xlpm.val),_xlpm.Res)</f>
        <v>#NAME?</v>
      </c>
      <c r="AW55" s="855" t="e" cm="1">
        <f t="array" ca="1" aca="1" ref="AW55">_xlfn.LET(_xlpm.val,IF($F55="",val_blankRefText,_xldudf_CX_GET(CX_ENTITY,$F55,AW$11,AW$14,,(AW$44))),_xlpm.Res,IF(OR(_xlpm.val="",_xlpm.val="Error"),"",_xlpm.val),_xlpm.Res)</f>
        <v>#NAME?</v>
      </c>
      <c r="AX55" s="855" t="e" cm="1">
        <f t="array" ca="1" aca="1" ref="AX55">_xlfn.LET(_xlpm.val,IF($F55="",val_blankRefText,_xldudf_CX_GET(CX_ENTITY,$F55,AX$11,AX$14,,(AX$44))),_xlpm.Res,IF(OR(_xlpm.val="",_xlpm.val="Error"),"",_xlpm.val),_xlpm.Res)</f>
        <v>#NAME?</v>
      </c>
      <c r="AY55" s="855" t="e" cm="1">
        <f t="array" ca="1" aca="1" ref="AY55">_xlfn.LET(_xlpm.val,IF($F55="",val_blankRefText,_xldudf_CX_GET(CX_ENTITY,$F55,AY$11,AY$14,,(AY$44))),_xlpm.Res,IF(OR(_xlpm.val="",_xlpm.val="Error"),"",_xlpm.val),_xlpm.Res)</f>
        <v>#NAME?</v>
      </c>
      <c r="AZ55" s="855" t="e" cm="1">
        <f t="array" ca="1" aca="1" ref="AZ55">_xlfn.LET(_xlpm.val,IF($F55="",val_blankRefText,_xldudf_CX_GET(CX_ENTITY,$F55,AZ$11,AZ$14,,(AZ$44))),_xlpm.Res,IF(OR(_xlpm.val="",_xlpm.val="Error"),"",_xlpm.val),_xlpm.Res)</f>
        <v>#NAME?</v>
      </c>
      <c r="BA55" s="855" t="e" cm="1">
        <f t="array" ca="1" aca="1" ref="BA55">_xlfn.LET(_xlpm.val,IF($F55="",val_blankRefText,_xldudf_CX_GET(CX_ENTITY,$F55,BA$11,BA$14,,(BA$44))),_xlpm.Res,IF(OR(_xlpm.val="",_xlpm.val="Error"),"",_xlpm.val),_xlpm.Res)</f>
        <v>#NAME?</v>
      </c>
      <c r="BB55" s="855" t="e" cm="1">
        <f t="array" ca="1" aca="1" ref="BB55">_xlfn.LET(_xlpm.val,IF($F55="",val_blankRefText,_xldudf_CX_GET(CX_ENTITY,$F55,BB$11,BB$14,,(BB$44))),_xlpm.Res,IF(OR(_xlpm.val="",_xlpm.val="Error"),"",_xlpm.val),_xlpm.Res)</f>
        <v>#NAME?</v>
      </c>
      <c r="BC55" s="855" t="e" cm="1">
        <f t="array" ca="1" aca="1" ref="BC55">_xlfn.LET(_xlpm.val,IF($F55="",val_blankRefText,_xldudf_CX_GET(CX_ENTITY,$F55,BC$11,BC$14,,(BC$44))),_xlpm.Res,IF(OR(_xlpm.val="",_xlpm.val="Error"),"",_xlpm.val),_xlpm.Res)</f>
        <v>#NAME?</v>
      </c>
      <c r="BD55" s="855" t="e" cm="1">
        <f t="array" ca="1" aca="1" ref="BD55">_xlfn.LET(_xlpm.val,IF($F55="",val_blankRefText,_xldudf_CX_GET(CX_ENTITY,$F55,BD$11,BD$14,,(BD$44))),_xlpm.Res,IF(OR(_xlpm.val="",_xlpm.val="Error"),"",_xlpm.val),_xlpm.Res)</f>
        <v>#NAME?</v>
      </c>
      <c r="BE55" s="855" t="e" cm="1">
        <f t="array" ca="1" aca="1" ref="BE55">_xlfn.LET(_xlpm.val,IF($F55="",val_blankRefText,_xldudf_CX_GET(CX_ENTITY,$F55,BE$11,BE$14,,(BE$44))),_xlpm.Res,IF(OR(_xlpm.val="",_xlpm.val="Error"),"",_xlpm.val),_xlpm.Res)</f>
        <v>#NAME?</v>
      </c>
      <c r="BF55" s="855" t="e" cm="1">
        <f t="array" ca="1" aca="1" ref="BF55">_xlfn.LET(_xlpm.val,IF($F55="",val_blankRefText,_xldudf_CX_GET(CX_ENTITY,$F55,BF$11,BF$14,,(BF$44))),_xlpm.Res,IF(OR(_xlpm.val="",_xlpm.val="Error"),"",_xlpm.val),_xlpm.Res)</f>
        <v>#NAME?</v>
      </c>
      <c r="BG55" s="855" t="e" cm="1">
        <f t="array" ca="1" aca="1" ref="BG55">_xlfn.LET(_xlpm.val,IF($F55="",val_blankRefText,_xldudf_CX_GET(CX_ENTITY,$F55,BG$11,BG$14,,(BG$44))),_xlpm.Res,IF(OR(_xlpm.val="",_xlpm.val="Error"),"",_xlpm.val),_xlpm.Res)</f>
        <v>#NAME?</v>
      </c>
      <c r="BH55" s="855" t="e" cm="1">
        <f t="array" ca="1" aca="1" ref="BH55">_xlfn.LET(_xlpm.val,IF($F55="",val_blankRefText,_xldudf_CX_GET(CX_ENTITY,$F55,BH$11,BH$14,,(BH$44))),_xlpm.Res,IF(OR(_xlpm.val="",_xlpm.val="Error"),"",_xlpm.val),_xlpm.Res)</f>
        <v>#NAME?</v>
      </c>
      <c r="BI55" s="855" t="e" cm="1">
        <f t="array" ca="1" aca="1" ref="BI55">_xlfn.LET(_xlpm.val,IF($F55="",val_blankRefText,_xldudf_CX_GET(CX_ENTITY,$F55,BI$11,BI$14,,(BI$44))),_xlpm.Res,IF(OR(_xlpm.val="",_xlpm.val="Error"),"",_xlpm.val),_xlpm.Res)</f>
        <v>#NAME?</v>
      </c>
      <c r="BJ55" s="855" t="e" cm="1">
        <f t="array" ca="1" aca="1" ref="BJ55">_xlfn.LET(_xlpm.val,IF($F55="",val_blankRefText,_xldudf_CX_GET(CX_ENTITY,$F55,BJ$11,BJ$14,,(BJ$44))),_xlpm.Res,IF(OR(_xlpm.val="",_xlpm.val="Error"),"",_xlpm.val),_xlpm.Res)</f>
        <v>#NAME?</v>
      </c>
      <c r="BK55" s="855" t="e" cm="1">
        <f t="array" ca="1" aca="1" ref="BK55">_xlfn.LET(_xlpm.val,IF($F55="",val_blankRefText,_xldudf_CX_GET(CX_ENTITY,$F55,BK$11,BK$14,,(BK$44))),_xlpm.Res,IF(OR(_xlpm.val="",_xlpm.val="Error"),"",_xlpm.val),_xlpm.Res)</f>
        <v>#NAME?</v>
      </c>
      <c r="BL55" s="855" t="e" cm="1">
        <f t="array" ca="1" aca="1" ref="BL55">_xlfn.LET(_xlpm.val,IF($F55="",val_blankRefText,_xldudf_CX_GET(CX_ENTITY,$F55,BL$11,BL$14,,(BL$44))),_xlpm.Res,IF(OR(_xlpm.val="",_xlpm.val="Error"),"",_xlpm.val),_xlpm.Res)</f>
        <v>#NAME?</v>
      </c>
      <c r="BM55" s="855" t="e" cm="1">
        <f t="array" ca="1" aca="1" ref="BM55">_xlfn.LET(_xlpm.val,IF($F55="",val_blankRefText,_xldudf_CX_GET(CX_ENTITY,$F55,BM$11,BM$14,,(BM$44))),_xlpm.Res,IF(OR(_xlpm.val="",_xlpm.val="Error"),"",_xlpm.val),_xlpm.Res)</f>
        <v>#NAME?</v>
      </c>
      <c r="BN55" s="855" t="e" cm="1">
        <f t="array" ca="1" aca="1" ref="BN55">_xlfn.LET(_xlpm.val,IF($F55="",val_blankRefText,_xldudf_CX_GET(CX_ENTITY,$F55,BN$11,BN$14,,(BN$44))),_xlpm.Res,IF(OR(_xlpm.val="",_xlpm.val="Error"),"",_xlpm.val),_xlpm.Res)</f>
        <v>#NAME?</v>
      </c>
      <c r="BO55" s="1844"/>
      <c r="BP55" s="1844"/>
      <c r="BQ55" s="1844"/>
      <c r="BR55" s="1844"/>
      <c r="BS55" s="1844"/>
      <c r="BT55" s="1844"/>
      <c r="BU55" s="1844"/>
      <c r="BV55" s="1844"/>
      <c r="BW55" s="1844"/>
      <c r="BX55" s="1844"/>
      <c r="BY55" s="1844"/>
      <c r="BZ55" s="1844"/>
      <c r="CA55" s="384"/>
      <c r="CC55" s="33"/>
      <c r="CD55" s="1461" t="e" cm="1">
        <f t="array" ca="1" aca="1" ref="CD55">_xlfn.LET(_xlpm.CheckBlank,SUM(CF!$AD55:$BN55)=0,IF(_xlpm.CheckBlank,"",SUM(_xlfn._xlws.FILTER(CF!$AD55:$BN55,(YEAR(CF!$AD$12:$BN$12)=CF!CD$12)*(array_timeline&lt;=CF!CD$11)))))</f>
        <v>#NAME?</v>
      </c>
      <c r="CE55" s="1461" t="e" cm="1">
        <f t="array" ca="1" aca="1" ref="CE55">_xlfn.LET(_xlpm.CheckBlank,SUM(CF!$AD55:$BN55)=0,IF(_xlpm.CheckBlank,"",SUM(_xlfn._xlws.FILTER(CF!$AD55:$BN55,(YEAR(CF!$AD$12:$BN$12)=CF!CE$12)*(array_timeline&lt;=CF!CE$11)))))</f>
        <v>#NAME?</v>
      </c>
      <c r="CF55" s="1314"/>
      <c r="CG55" s="1461" t="e" cm="1">
        <f t="array" ca="1" aca="1" ref="CG55">_xlfn.LET(_xlpm.CheckBlank,SUM(CF!$AD55:$BN55)=0,IF(_xlpm.CheckBlank,"",SUM(_xlfn._xlws.FILTER(CF!$AD55:$BN55,(YEAR(CF!$AD$12:$BN$12)=CF!CG$12)*(array_timeline&lt;=CF!CG$11)))))</f>
        <v>#NAME?</v>
      </c>
      <c r="CH55" s="1461" t="e" cm="1">
        <f t="array" ca="1" aca="1" ref="CH55">_xlfn.LET(_xlpm.CheckBlank,SUM(CF!$AD55:$BN55)=0,IF(_xlpm.CheckBlank,"",SUM(_xlfn._xlws.FILTER(CF!$AD55:$BN55,(YEAR(CF!$AD$12:$BN$12)=CF!CH$12)*(array_timeline&lt;=CF!CH$11)))))</f>
        <v>#NAME?</v>
      </c>
      <c r="CI55" s="1314"/>
      <c r="CJ55" s="1657" cm="1">
        <f t="array" ref="CJ55">_xlfn.LET(_xlpm.CheckBlank,SUM(CF!$AD55:$BN55)=0,IF(_xlpm.CheckBlank,"",SUM(_xlfn.TAKE(_xlfn.DROP(CF!$AD55:$BN55,,-DATEDIFF(CF!CJ$11,val_asOfDate,"M")),1,-12))))</f>
        <v>12</v>
      </c>
      <c r="CK55" s="1657" cm="1">
        <f t="array" ref="CK55">_xlfn.LET(_xlpm.CheckBlank,SUM(CF!$AD55:$BN55)=0,IF(_xlpm.CheckBlank,"",SUM(_xlfn.TAKE(_xlfn.DROP(CF!$AD55:$BN55,,-DATEDIFF(CF!CK$11,val_asOfDate,"M")),1,-12))))</f>
        <v>12</v>
      </c>
      <c r="CL55" s="88"/>
      <c r="CM55" s="541" t="e">
        <f ca="1" t="shared" si="22" ref="CM55">CM30</f>
        <v>#NAME?</v>
      </c>
      <c r="CN55" s="541" t="e">
        <f t="shared" ca="1" si="11"/>
        <v>#NAME?</v>
      </c>
      <c r="CO55" s="34"/>
      <c r="CR55" s="4"/>
      <c r="CS55" s="4"/>
      <c r="CW55" s="4"/>
    </row>
    <row r="56" spans="1:101" ht="21" customHeight="1">
      <c r="A56" s="696"/>
      <c r="B56" s="574" t="s">
        <v>248</v>
      </c>
      <c r="C56" s="574" t="str">
        <f t="shared" si="7"/>
        <v>Levered Free Cash Flow (LFCF) (Company View)</v>
      </c>
      <c r="D56" s="574"/>
      <c r="E56" s="577" t="e" cm="1">
        <f t="array" ca="1" aca="1" ref="E56">_xlfn.LET(_xlpm.Attr,$C56,_xlpm.Lookback,$E$16,_xlpm.QueryDate,EOMONTH(val_asOfDate,_xlpm.Lookback),_xlpm.ReadField,_xldudf_CX_GET(CX_ENTITY,fx_attrConverter($C56),_xlpm.QueryDate),_xlpm.AttrBlank,_xlpm.Attr="",_xlpm.RESULT,IF(_xlpm.AttrBlank,val_blankRefText,fx_attrConverter(_xlpm.ReadField,0)),IF(_xlpm.RESULT="Error","",_xlpm.RESULT))</f>
        <v>#NAME?</v>
      </c>
      <c r="F56" s="577" t="str">
        <f t="shared" si="8"/>
        <v>Levered Free Cash Flow (LFCF)</v>
      </c>
      <c r="G56" s="401"/>
      <c r="H56" s="3280">
        <v>2</v>
      </c>
      <c r="I56" s="3280">
        <v>1</v>
      </c>
      <c r="J56" s="401"/>
      <c r="K56" s="401"/>
      <c r="L56" s="579">
        <v>-1</v>
      </c>
      <c r="N56" s="158"/>
      <c r="O56" s="101"/>
      <c r="P56" s="52"/>
      <c r="Q56" s="101"/>
      <c r="R56" s="126"/>
      <c r="S56" s="101"/>
      <c r="T56" s="101"/>
      <c r="U56" s="39"/>
      <c r="W56" s="932" t="str">
        <f t="shared" si="13"/>
        <v>Budget</v>
      </c>
      <c r="X56" s="761">
        <v>0</v>
      </c>
      <c r="Y56" s="88" t="e">
        <f t="shared" ca="1" si="9"/>
        <v>#NAME?</v>
      </c>
      <c r="Z56" s="200" cm="1">
        <f t="array" ref="Z56">_xlfn.SWITCH(TRUE,_CF!$L56=TRUE,1,_CF!$L56=FALSE,-1,_CF!$L56=-1,0,"n/a")</f>
        <v>0</v>
      </c>
      <c r="AA56" s="200"/>
      <c r="AB56" s="88" t="str">
        <f t="shared" si="10"/>
        <v>Levered Free Cash Flow (LFCF)</v>
      </c>
      <c r="AC56" s="88"/>
      <c r="AD56" s="855" t="e" cm="1">
        <f t="array" ca="1" aca="1" ref="AD56">_xlfn.LET(_xlpm.val,IF($F56="",val_blankRefText,_xldudf_CX_GET(CX_ENTITY,$F56,AD$11,AD$14,,(AD$44))),_xlpm.Res,IF(OR(_xlpm.val="",_xlpm.val="Error"),"",_xlpm.val),_xlpm.Res)</f>
        <v>#NAME?</v>
      </c>
      <c r="AE56" s="855" t="e" cm="1">
        <f t="array" ca="1" aca="1" ref="AE56">_xlfn.LET(_xlpm.val,IF($F56="",val_blankRefText,_xldudf_CX_GET(CX_ENTITY,$F56,AE$11,AE$14,,(AE$44))),_xlpm.Res,IF(OR(_xlpm.val="",_xlpm.val="Error"),"",_xlpm.val),_xlpm.Res)</f>
        <v>#NAME?</v>
      </c>
      <c r="AF56" s="855" t="e" cm="1">
        <f t="array" ca="1" aca="1" ref="AF56">_xlfn.LET(_xlpm.val,IF($F56="",val_blankRefText,_xldudf_CX_GET(CX_ENTITY,$F56,AF$11,AF$14,,(AF$44))),_xlpm.Res,IF(OR(_xlpm.val="",_xlpm.val="Error"),"",_xlpm.val),_xlpm.Res)</f>
        <v>#NAME?</v>
      </c>
      <c r="AG56" s="855" t="e" cm="1">
        <f t="array" ca="1" aca="1" ref="AG56">_xlfn.LET(_xlpm.val,IF($F56="",val_blankRefText,_xldudf_CX_GET(CX_ENTITY,$F56,AG$11,AG$14,,(AG$44))),_xlpm.Res,IF(OR(_xlpm.val="",_xlpm.val="Error"),"",_xlpm.val),_xlpm.Res)</f>
        <v>#NAME?</v>
      </c>
      <c r="AH56" s="855" t="e" cm="1">
        <f t="array" ca="1" aca="1" ref="AH56">_xlfn.LET(_xlpm.val,IF($F56="",val_blankRefText,_xldudf_CX_GET(CX_ENTITY,$F56,AH$11,AH$14,,(AH$44))),_xlpm.Res,IF(OR(_xlpm.val="",_xlpm.val="Error"),"",_xlpm.val),_xlpm.Res)</f>
        <v>#NAME?</v>
      </c>
      <c r="AI56" s="855" t="e" cm="1">
        <f t="array" ca="1" aca="1" ref="AI56">_xlfn.LET(_xlpm.val,IF($F56="",val_blankRefText,_xldudf_CX_GET(CX_ENTITY,$F56,AI$11,AI$14,,(AI$44))),_xlpm.Res,IF(OR(_xlpm.val="",_xlpm.val="Error"),"",_xlpm.val),_xlpm.Res)</f>
        <v>#NAME?</v>
      </c>
      <c r="AJ56" s="855" t="e" cm="1">
        <f t="array" ca="1" aca="1" ref="AJ56">_xlfn.LET(_xlpm.val,IF($F56="",val_blankRefText,_xldudf_CX_GET(CX_ENTITY,$F56,AJ$11,AJ$14,,(AJ$44))),_xlpm.Res,IF(OR(_xlpm.val="",_xlpm.val="Error"),"",_xlpm.val),_xlpm.Res)</f>
        <v>#NAME?</v>
      </c>
      <c r="AK56" s="855" t="e" cm="1">
        <f t="array" ca="1" aca="1" ref="AK56">_xlfn.LET(_xlpm.val,IF($F56="",val_blankRefText,_xldudf_CX_GET(CX_ENTITY,$F56,AK$11,AK$14,,(AK$44))),_xlpm.Res,IF(OR(_xlpm.val="",_xlpm.val="Error"),"",_xlpm.val),_xlpm.Res)</f>
        <v>#NAME?</v>
      </c>
      <c r="AL56" s="855" t="e" cm="1">
        <f t="array" ca="1" aca="1" ref="AL56">_xlfn.LET(_xlpm.val,IF($F56="",val_blankRefText,_xldudf_CX_GET(CX_ENTITY,$F56,AL$11,AL$14,,(AL$44))),_xlpm.Res,IF(OR(_xlpm.val="",_xlpm.val="Error"),"",_xlpm.val),_xlpm.Res)</f>
        <v>#NAME?</v>
      </c>
      <c r="AM56" s="855" t="e" cm="1">
        <f t="array" ca="1" aca="1" ref="AM56">_xlfn.LET(_xlpm.val,IF($F56="",val_blankRefText,_xldudf_CX_GET(CX_ENTITY,$F56,AM$11,AM$14,,(AM$44))),_xlpm.Res,IF(OR(_xlpm.val="",_xlpm.val="Error"),"",_xlpm.val),_xlpm.Res)</f>
        <v>#NAME?</v>
      </c>
      <c r="AN56" s="855" t="e" cm="1">
        <f t="array" ca="1" aca="1" ref="AN56">_xlfn.LET(_xlpm.val,IF($F56="",val_blankRefText,_xldudf_CX_GET(CX_ENTITY,$F56,AN$11,AN$14,,(AN$44))),_xlpm.Res,IF(OR(_xlpm.val="",_xlpm.val="Error"),"",_xlpm.val),_xlpm.Res)</f>
        <v>#NAME?</v>
      </c>
      <c r="AO56" s="855" t="e" cm="1">
        <f t="array" ca="1" aca="1" ref="AO56">_xlfn.LET(_xlpm.val,IF($F56="",val_blankRefText,_xldudf_CX_GET(CX_ENTITY,$F56,AO$11,AO$14,,(AO$44))),_xlpm.Res,IF(OR(_xlpm.val="",_xlpm.val="Error"),"",_xlpm.val),_xlpm.Res)</f>
        <v>#NAME?</v>
      </c>
      <c r="AP56" s="855" t="e" cm="1">
        <f t="array" ca="1" aca="1" ref="AP56">_xlfn.LET(_xlpm.val,IF($F56="",val_blankRefText,_xldudf_CX_GET(CX_ENTITY,$F56,AP$11,AP$14,,(AP$44))),_xlpm.Res,IF(OR(_xlpm.val="",_xlpm.val="Error"),"",_xlpm.val),_xlpm.Res)</f>
        <v>#NAME?</v>
      </c>
      <c r="AQ56" s="855" t="e" cm="1">
        <f t="array" ca="1" aca="1" ref="AQ56">_xlfn.LET(_xlpm.val,IF($F56="",val_blankRefText,_xldudf_CX_GET(CX_ENTITY,$F56,AQ$11,AQ$14,,(AQ$44))),_xlpm.Res,IF(OR(_xlpm.val="",_xlpm.val="Error"),"",_xlpm.val),_xlpm.Res)</f>
        <v>#NAME?</v>
      </c>
      <c r="AR56" s="855" t="e" cm="1">
        <f t="array" ca="1" aca="1" ref="AR56">_xlfn.LET(_xlpm.val,IF($F56="",val_blankRefText,_xldudf_CX_GET(CX_ENTITY,$F56,AR$11,AR$14,,(AR$44))),_xlpm.Res,IF(OR(_xlpm.val="",_xlpm.val="Error"),"",_xlpm.val),_xlpm.Res)</f>
        <v>#NAME?</v>
      </c>
      <c r="AS56" s="855" t="e" cm="1">
        <f t="array" ca="1" aca="1" ref="AS56">_xlfn.LET(_xlpm.val,IF($F56="",val_blankRefText,_xldudf_CX_GET(CX_ENTITY,$F56,AS$11,AS$14,,(AS$44))),_xlpm.Res,IF(OR(_xlpm.val="",_xlpm.val="Error"),"",_xlpm.val),_xlpm.Res)</f>
        <v>#NAME?</v>
      </c>
      <c r="AT56" s="855" t="e" cm="1">
        <f t="array" ca="1" aca="1" ref="AT56">_xlfn.LET(_xlpm.val,IF($F56="",val_blankRefText,_xldudf_CX_GET(CX_ENTITY,$F56,AT$11,AT$14,,(AT$44))),_xlpm.Res,IF(OR(_xlpm.val="",_xlpm.val="Error"),"",_xlpm.val),_xlpm.Res)</f>
        <v>#NAME?</v>
      </c>
      <c r="AU56" s="855" t="e" cm="1">
        <f t="array" ca="1" aca="1" ref="AU56">_xlfn.LET(_xlpm.val,IF($F56="",val_blankRefText,_xldudf_CX_GET(CX_ENTITY,$F56,AU$11,AU$14,,(AU$44))),_xlpm.Res,IF(OR(_xlpm.val="",_xlpm.val="Error"),"",_xlpm.val),_xlpm.Res)</f>
        <v>#NAME?</v>
      </c>
      <c r="AV56" s="855" t="e" cm="1">
        <f t="array" ca="1" aca="1" ref="AV56">_xlfn.LET(_xlpm.val,IF($F56="",val_blankRefText,_xldudf_CX_GET(CX_ENTITY,$F56,AV$11,AV$14,,(AV$44))),_xlpm.Res,IF(OR(_xlpm.val="",_xlpm.val="Error"),"",_xlpm.val),_xlpm.Res)</f>
        <v>#NAME?</v>
      </c>
      <c r="AW56" s="855" t="e" cm="1">
        <f t="array" ca="1" aca="1" ref="AW56">_xlfn.LET(_xlpm.val,IF($F56="",val_blankRefText,_xldudf_CX_GET(CX_ENTITY,$F56,AW$11,AW$14,,(AW$44))),_xlpm.Res,IF(OR(_xlpm.val="",_xlpm.val="Error"),"",_xlpm.val),_xlpm.Res)</f>
        <v>#NAME?</v>
      </c>
      <c r="AX56" s="855" t="e" cm="1">
        <f t="array" ca="1" aca="1" ref="AX56">_xlfn.LET(_xlpm.val,IF($F56="",val_blankRefText,_xldudf_CX_GET(CX_ENTITY,$F56,AX$11,AX$14,,(AX$44))),_xlpm.Res,IF(OR(_xlpm.val="",_xlpm.val="Error"),"",_xlpm.val),_xlpm.Res)</f>
        <v>#NAME?</v>
      </c>
      <c r="AY56" s="855" t="e" cm="1">
        <f t="array" ca="1" aca="1" ref="AY56">_xlfn.LET(_xlpm.val,IF($F56="",val_blankRefText,_xldudf_CX_GET(CX_ENTITY,$F56,AY$11,AY$14,,(AY$44))),_xlpm.Res,IF(OR(_xlpm.val="",_xlpm.val="Error"),"",_xlpm.val),_xlpm.Res)</f>
        <v>#NAME?</v>
      </c>
      <c r="AZ56" s="855" t="e" cm="1">
        <f t="array" ca="1" aca="1" ref="AZ56">_xlfn.LET(_xlpm.val,IF($F56="",val_blankRefText,_xldudf_CX_GET(CX_ENTITY,$F56,AZ$11,AZ$14,,(AZ$44))),_xlpm.Res,IF(OR(_xlpm.val="",_xlpm.val="Error"),"",_xlpm.val),_xlpm.Res)</f>
        <v>#NAME?</v>
      </c>
      <c r="BA56" s="855" t="e" cm="1">
        <f t="array" ca="1" aca="1" ref="BA56">_xlfn.LET(_xlpm.val,IF($F56="",val_blankRefText,_xldudf_CX_GET(CX_ENTITY,$F56,BA$11,BA$14,,(BA$44))),_xlpm.Res,IF(OR(_xlpm.val="",_xlpm.val="Error"),"",_xlpm.val),_xlpm.Res)</f>
        <v>#NAME?</v>
      </c>
      <c r="BB56" s="855" t="e" cm="1">
        <f t="array" ca="1" aca="1" ref="BB56">_xlfn.LET(_xlpm.val,IF($F56="",val_blankRefText,_xldudf_CX_GET(CX_ENTITY,$F56,BB$11,BB$14,,(BB$44))),_xlpm.Res,IF(OR(_xlpm.val="",_xlpm.val="Error"),"",_xlpm.val),_xlpm.Res)</f>
        <v>#NAME?</v>
      </c>
      <c r="BC56" s="855" t="e" cm="1">
        <f t="array" ca="1" aca="1" ref="BC56">_xlfn.LET(_xlpm.val,IF($F56="",val_blankRefText,_xldudf_CX_GET(CX_ENTITY,$F56,BC$11,BC$14,,(BC$44))),_xlpm.Res,IF(OR(_xlpm.val="",_xlpm.val="Error"),"",_xlpm.val),_xlpm.Res)</f>
        <v>#NAME?</v>
      </c>
      <c r="BD56" s="855" t="e" cm="1">
        <f t="array" ca="1" aca="1" ref="BD56">_xlfn.LET(_xlpm.val,IF($F56="",val_blankRefText,_xldudf_CX_GET(CX_ENTITY,$F56,BD$11,BD$14,,(BD$44))),_xlpm.Res,IF(OR(_xlpm.val="",_xlpm.val="Error"),"",_xlpm.val),_xlpm.Res)</f>
        <v>#NAME?</v>
      </c>
      <c r="BE56" s="855" t="e" cm="1">
        <f t="array" ca="1" aca="1" ref="BE56">_xlfn.LET(_xlpm.val,IF($F56="",val_blankRefText,_xldudf_CX_GET(CX_ENTITY,$F56,BE$11,BE$14,,(BE$44))),_xlpm.Res,IF(OR(_xlpm.val="",_xlpm.val="Error"),"",_xlpm.val),_xlpm.Res)</f>
        <v>#NAME?</v>
      </c>
      <c r="BF56" s="855" t="e" cm="1">
        <f t="array" ca="1" aca="1" ref="BF56">_xlfn.LET(_xlpm.val,IF($F56="",val_blankRefText,_xldudf_CX_GET(CX_ENTITY,$F56,BF$11,BF$14,,(BF$44))),_xlpm.Res,IF(OR(_xlpm.val="",_xlpm.val="Error"),"",_xlpm.val),_xlpm.Res)</f>
        <v>#NAME?</v>
      </c>
      <c r="BG56" s="855" t="e" cm="1">
        <f t="array" ca="1" aca="1" ref="BG56">_xlfn.LET(_xlpm.val,IF($F56="",val_blankRefText,_xldudf_CX_GET(CX_ENTITY,$F56,BG$11,BG$14,,(BG$44))),_xlpm.Res,IF(OR(_xlpm.val="",_xlpm.val="Error"),"",_xlpm.val),_xlpm.Res)</f>
        <v>#NAME?</v>
      </c>
      <c r="BH56" s="855" t="e" cm="1">
        <f t="array" ca="1" aca="1" ref="BH56">_xlfn.LET(_xlpm.val,IF($F56="",val_blankRefText,_xldudf_CX_GET(CX_ENTITY,$F56,BH$11,BH$14,,(BH$44))),_xlpm.Res,IF(OR(_xlpm.val="",_xlpm.val="Error"),"",_xlpm.val),_xlpm.Res)</f>
        <v>#NAME?</v>
      </c>
      <c r="BI56" s="855" t="e" cm="1">
        <f t="array" ca="1" aca="1" ref="BI56">_xlfn.LET(_xlpm.val,IF($F56="",val_blankRefText,_xldudf_CX_GET(CX_ENTITY,$F56,BI$11,BI$14,,(BI$44))),_xlpm.Res,IF(OR(_xlpm.val="",_xlpm.val="Error"),"",_xlpm.val),_xlpm.Res)</f>
        <v>#NAME?</v>
      </c>
      <c r="BJ56" s="855" t="e" cm="1">
        <f t="array" ca="1" aca="1" ref="BJ56">_xlfn.LET(_xlpm.val,IF($F56="",val_blankRefText,_xldudf_CX_GET(CX_ENTITY,$F56,BJ$11,BJ$14,,(BJ$44))),_xlpm.Res,IF(OR(_xlpm.val="",_xlpm.val="Error"),"",_xlpm.val),_xlpm.Res)</f>
        <v>#NAME?</v>
      </c>
      <c r="BK56" s="855" t="e" cm="1">
        <f t="array" ca="1" aca="1" ref="BK56">_xlfn.LET(_xlpm.val,IF($F56="",val_blankRefText,_xldudf_CX_GET(CX_ENTITY,$F56,BK$11,BK$14,,(BK$44))),_xlpm.Res,IF(OR(_xlpm.val="",_xlpm.val="Error"),"",_xlpm.val),_xlpm.Res)</f>
        <v>#NAME?</v>
      </c>
      <c r="BL56" s="855" t="e" cm="1">
        <f t="array" ca="1" aca="1" ref="BL56">_xlfn.LET(_xlpm.val,IF($F56="",val_blankRefText,_xldudf_CX_GET(CX_ENTITY,$F56,BL$11,BL$14,,(BL$44))),_xlpm.Res,IF(OR(_xlpm.val="",_xlpm.val="Error"),"",_xlpm.val),_xlpm.Res)</f>
        <v>#NAME?</v>
      </c>
      <c r="BM56" s="855" t="e" cm="1">
        <f t="array" ca="1" aca="1" ref="BM56">_xlfn.LET(_xlpm.val,IF($F56="",val_blankRefText,_xldudf_CX_GET(CX_ENTITY,$F56,BM$11,BM$14,,(BM$44))),_xlpm.Res,IF(OR(_xlpm.val="",_xlpm.val="Error"),"",_xlpm.val),_xlpm.Res)</f>
        <v>#NAME?</v>
      </c>
      <c r="BN56" s="855" t="e" cm="1">
        <f t="array" ca="1" aca="1" ref="BN56">_xlfn.LET(_xlpm.val,IF($F56="",val_blankRefText,_xldudf_CX_GET(CX_ENTITY,$F56,BN$11,BN$14,,(BN$44))),_xlpm.Res,IF(OR(_xlpm.val="",_xlpm.val="Error"),"",_xlpm.val),_xlpm.Res)</f>
        <v>#NAME?</v>
      </c>
      <c r="BO56" s="1844"/>
      <c r="BP56" s="1844"/>
      <c r="BQ56" s="1844"/>
      <c r="BR56" s="1844"/>
      <c r="BS56" s="1844"/>
      <c r="BT56" s="1844"/>
      <c r="BU56" s="1844"/>
      <c r="BV56" s="1844"/>
      <c r="BW56" s="1844"/>
      <c r="BX56" s="1844"/>
      <c r="BY56" s="1844"/>
      <c r="BZ56" s="1844"/>
      <c r="CA56" s="384"/>
      <c r="CC56" s="33"/>
      <c r="CD56" s="1461" t="e" cm="1">
        <f t="array" ca="1" aca="1" ref="CD56">_xlfn.LET(_xlpm.CheckBlank,SUM(CF!$AD56:$BN56)=0,IF(_xlpm.CheckBlank,"",SUM(_xlfn._xlws.FILTER(CF!$AD56:$BN56,(YEAR(CF!$AD$12:$BN$12)=CF!CD$12)*(array_timeline&lt;=CF!CD$11)))))</f>
        <v>#NAME?</v>
      </c>
      <c r="CE56" s="1461" t="e" cm="1">
        <f t="array" ca="1" aca="1" ref="CE56">_xlfn.LET(_xlpm.CheckBlank,SUM(CF!$AD56:$BN56)=0,IF(_xlpm.CheckBlank,"",SUM(_xlfn._xlws.FILTER(CF!$AD56:$BN56,(YEAR(CF!$AD$12:$BN$12)=CF!CE$12)*(array_timeline&lt;=CF!CE$11)))))</f>
        <v>#NAME?</v>
      </c>
      <c r="CF56" s="1314"/>
      <c r="CG56" s="1461" t="e" cm="1">
        <f t="array" ca="1" aca="1" ref="CG56">_xlfn.LET(_xlpm.CheckBlank,SUM(CF!$AD56:$BN56)=0,IF(_xlpm.CheckBlank,"",SUM(_xlfn._xlws.FILTER(CF!$AD56:$BN56,(YEAR(CF!$AD$12:$BN$12)=CF!CG$12)*(array_timeline&lt;=CF!CG$11)))))</f>
        <v>#NAME?</v>
      </c>
      <c r="CH56" s="1461" t="e" cm="1">
        <f t="array" ca="1" aca="1" ref="CH56">_xlfn.LET(_xlpm.CheckBlank,SUM(CF!$AD56:$BN56)=0,IF(_xlpm.CheckBlank,"",SUM(_xlfn._xlws.FILTER(CF!$AD56:$BN56,(YEAR(CF!$AD$12:$BN$12)=CF!CH$12)*(array_timeline&lt;=CF!CH$11)))))</f>
        <v>#NAME?</v>
      </c>
      <c r="CI56" s="1314"/>
      <c r="CJ56" s="1657" cm="1">
        <f t="array" ref="CJ56">_xlfn.LET(_xlpm.CheckBlank,SUM(CF!$AD56:$BN56)=0,IF(_xlpm.CheckBlank,"",SUM(_xlfn.TAKE(_xlfn.DROP(CF!$AD56:$BN56,,-DATEDIFF(CF!CJ$11,val_asOfDate,"M")),1,-12))))</f>
        <v>132</v>
      </c>
      <c r="CK56" s="1657" cm="1">
        <f t="array" ref="CK56">_xlfn.LET(_xlpm.CheckBlank,SUM(CF!$AD56:$BN56)=0,IF(_xlpm.CheckBlank,"",SUM(_xlfn.TAKE(_xlfn.DROP(CF!$AD56:$BN56,,-DATEDIFF(CF!CK$11,val_asOfDate,"M")),1,-12))))</f>
        <v>132</v>
      </c>
      <c r="CL56" s="88"/>
      <c r="CM56" s="541" t="e">
        <f ca="1" t="shared" si="23" ref="CM56">CM31</f>
        <v>#NAME?</v>
      </c>
      <c r="CN56" s="541" t="e">
        <f t="shared" ca="1" si="11"/>
        <v>#NAME?</v>
      </c>
      <c r="CO56" s="34"/>
      <c r="CR56" s="4"/>
      <c r="CS56" s="4"/>
      <c r="CW56" s="4"/>
    </row>
    <row r="57" spans="1:101" ht="21" customHeight="1">
      <c r="A57" s="696"/>
      <c r="B57" s="574" t="s">
        <v>249</v>
      </c>
      <c r="C57" s="574" t="str">
        <f t="shared" si="7"/>
        <v>Financing Proceeds (Company View)</v>
      </c>
      <c r="D57" s="574"/>
      <c r="E57" s="577" t="e" cm="1">
        <f t="array" ca="1" aca="1" ref="E57">_xlfn.LET(_xlpm.Attr,$C57,_xlpm.Lookback,$E$16,_xlpm.QueryDate,EOMONTH(val_asOfDate,_xlpm.Lookback),_xlpm.ReadField,_xldudf_CX_GET(CX_ENTITY,fx_attrConverter($C57),_xlpm.QueryDate),_xlpm.AttrBlank,_xlpm.Attr="",_xlpm.RESULT,IF(_xlpm.AttrBlank,val_blankRefText,fx_attrConverter(_xlpm.ReadField,0)),IF(_xlpm.RESULT="Error","",_xlpm.RESULT))</f>
        <v>#NAME?</v>
      </c>
      <c r="F57" s="577" t="str">
        <f t="shared" si="8"/>
        <v>Financing Proceeds</v>
      </c>
      <c r="G57" s="401"/>
      <c r="H57" s="3280">
        <v>1</v>
      </c>
      <c r="I57" s="3280">
        <v>1</v>
      </c>
      <c r="J57" s="401"/>
      <c r="K57" s="401"/>
      <c r="L57" s="3269" t="b">
        <v>1</v>
      </c>
      <c r="N57" s="158"/>
      <c r="O57" s="101"/>
      <c r="P57" s="52"/>
      <c r="Q57" s="101"/>
      <c r="R57" s="126"/>
      <c r="S57" s="101"/>
      <c r="T57" s="101"/>
      <c r="U57" s="39"/>
      <c r="W57" s="932" t="str">
        <f t="shared" si="13"/>
        <v>Budget</v>
      </c>
      <c r="X57" s="3316">
        <v>1</v>
      </c>
      <c r="Y57" s="88" t="e">
        <f t="shared" ca="1" si="9"/>
        <v>#NAME?</v>
      </c>
      <c r="Z57" s="3300" cm="1">
        <f t="array" ref="Z57">_xlfn.SWITCH(TRUE,_CF!$L57=TRUE,1,_CF!$L57=FALSE,-1,_CF!$L57=-1,0,"n/a")</f>
        <v>1</v>
      </c>
      <c r="AA57" s="200"/>
      <c r="AB57" s="88" t="str">
        <f t="shared" si="10"/>
        <v>Financing Proceeds</v>
      </c>
      <c r="AC57" s="88"/>
      <c r="AD57" s="855" t="e" cm="1">
        <f t="array" ca="1" aca="1" ref="AD57">_xlfn.LET(_xlpm.val,IF($F57="",val_blankRefText,_xldudf_CX_GET(CX_ENTITY,$F57,AD$11,AD$14,,(AD$44))),_xlpm.Res,IF(OR(_xlpm.val="",_xlpm.val="Error"),"",_xlpm.val),_xlpm.Res)</f>
        <v>#NAME?</v>
      </c>
      <c r="AE57" s="855" t="e" cm="1">
        <f t="array" ca="1" aca="1" ref="AE57">_xlfn.LET(_xlpm.val,IF($F57="",val_blankRefText,_xldudf_CX_GET(CX_ENTITY,$F57,AE$11,AE$14,,(AE$44))),_xlpm.Res,IF(OR(_xlpm.val="",_xlpm.val="Error"),"",_xlpm.val),_xlpm.Res)</f>
        <v>#NAME?</v>
      </c>
      <c r="AF57" s="855" t="e" cm="1">
        <f t="array" ca="1" aca="1" ref="AF57">_xlfn.LET(_xlpm.val,IF($F57="",val_blankRefText,_xldudf_CX_GET(CX_ENTITY,$F57,AF$11,AF$14,,(AF$44))),_xlpm.Res,IF(OR(_xlpm.val="",_xlpm.val="Error"),"",_xlpm.val),_xlpm.Res)</f>
        <v>#NAME?</v>
      </c>
      <c r="AG57" s="855" t="e" cm="1">
        <f t="array" ca="1" aca="1" ref="AG57">_xlfn.LET(_xlpm.val,IF($F57="",val_blankRefText,_xldudf_CX_GET(CX_ENTITY,$F57,AG$11,AG$14,,(AG$44))),_xlpm.Res,IF(OR(_xlpm.val="",_xlpm.val="Error"),"",_xlpm.val),_xlpm.Res)</f>
        <v>#NAME?</v>
      </c>
      <c r="AH57" s="855" t="e" cm="1">
        <f t="array" ca="1" aca="1" ref="AH57">_xlfn.LET(_xlpm.val,IF($F57="",val_blankRefText,_xldudf_CX_GET(CX_ENTITY,$F57,AH$11,AH$14,,(AH$44))),_xlpm.Res,IF(OR(_xlpm.val="",_xlpm.val="Error"),"",_xlpm.val),_xlpm.Res)</f>
        <v>#NAME?</v>
      </c>
      <c r="AI57" s="855" t="e" cm="1">
        <f t="array" ca="1" aca="1" ref="AI57">_xlfn.LET(_xlpm.val,IF($F57="",val_blankRefText,_xldudf_CX_GET(CX_ENTITY,$F57,AI$11,AI$14,,(AI$44))),_xlpm.Res,IF(OR(_xlpm.val="",_xlpm.val="Error"),"",_xlpm.val),_xlpm.Res)</f>
        <v>#NAME?</v>
      </c>
      <c r="AJ57" s="855" t="e" cm="1">
        <f t="array" ca="1" aca="1" ref="AJ57">_xlfn.LET(_xlpm.val,IF($F57="",val_blankRefText,_xldudf_CX_GET(CX_ENTITY,$F57,AJ$11,AJ$14,,(AJ$44))),_xlpm.Res,IF(OR(_xlpm.val="",_xlpm.val="Error"),"",_xlpm.val),_xlpm.Res)</f>
        <v>#NAME?</v>
      </c>
      <c r="AK57" s="855" t="e" cm="1">
        <f t="array" ca="1" aca="1" ref="AK57">_xlfn.LET(_xlpm.val,IF($F57="",val_blankRefText,_xldudf_CX_GET(CX_ENTITY,$F57,AK$11,AK$14,,(AK$44))),_xlpm.Res,IF(OR(_xlpm.val="",_xlpm.val="Error"),"",_xlpm.val),_xlpm.Res)</f>
        <v>#NAME?</v>
      </c>
      <c r="AL57" s="855" t="e" cm="1">
        <f t="array" ca="1" aca="1" ref="AL57">_xlfn.LET(_xlpm.val,IF($F57="",val_blankRefText,_xldudf_CX_GET(CX_ENTITY,$F57,AL$11,AL$14,,(AL$44))),_xlpm.Res,IF(OR(_xlpm.val="",_xlpm.val="Error"),"",_xlpm.val),_xlpm.Res)</f>
        <v>#NAME?</v>
      </c>
      <c r="AM57" s="855" t="e" cm="1">
        <f t="array" ca="1" aca="1" ref="AM57">_xlfn.LET(_xlpm.val,IF($F57="",val_blankRefText,_xldudf_CX_GET(CX_ENTITY,$F57,AM$11,AM$14,,(AM$44))),_xlpm.Res,IF(OR(_xlpm.val="",_xlpm.val="Error"),"",_xlpm.val),_xlpm.Res)</f>
        <v>#NAME?</v>
      </c>
      <c r="AN57" s="855" t="e" cm="1">
        <f t="array" ca="1" aca="1" ref="AN57">_xlfn.LET(_xlpm.val,IF($F57="",val_blankRefText,_xldudf_CX_GET(CX_ENTITY,$F57,AN$11,AN$14,,(AN$44))),_xlpm.Res,IF(OR(_xlpm.val="",_xlpm.val="Error"),"",_xlpm.val),_xlpm.Res)</f>
        <v>#NAME?</v>
      </c>
      <c r="AO57" s="855" t="e" cm="1">
        <f t="array" ca="1" aca="1" ref="AO57">_xlfn.LET(_xlpm.val,IF($F57="",val_blankRefText,_xldudf_CX_GET(CX_ENTITY,$F57,AO$11,AO$14,,(AO$44))),_xlpm.Res,IF(OR(_xlpm.val="",_xlpm.val="Error"),"",_xlpm.val),_xlpm.Res)</f>
        <v>#NAME?</v>
      </c>
      <c r="AP57" s="855" t="e" cm="1">
        <f t="array" ca="1" aca="1" ref="AP57">_xlfn.LET(_xlpm.val,IF($F57="",val_blankRefText,_xldudf_CX_GET(CX_ENTITY,$F57,AP$11,AP$14,,(AP$44))),_xlpm.Res,IF(OR(_xlpm.val="",_xlpm.val="Error"),"",_xlpm.val),_xlpm.Res)</f>
        <v>#NAME?</v>
      </c>
      <c r="AQ57" s="855" t="e" cm="1">
        <f t="array" ca="1" aca="1" ref="AQ57">_xlfn.LET(_xlpm.val,IF($F57="",val_blankRefText,_xldudf_CX_GET(CX_ENTITY,$F57,AQ$11,AQ$14,,(AQ$44))),_xlpm.Res,IF(OR(_xlpm.val="",_xlpm.val="Error"),"",_xlpm.val),_xlpm.Res)</f>
        <v>#NAME?</v>
      </c>
      <c r="AR57" s="855" t="e" cm="1">
        <f t="array" ca="1" aca="1" ref="AR57">_xlfn.LET(_xlpm.val,IF($F57="",val_blankRefText,_xldudf_CX_GET(CX_ENTITY,$F57,AR$11,AR$14,,(AR$44))),_xlpm.Res,IF(OR(_xlpm.val="",_xlpm.val="Error"),"",_xlpm.val),_xlpm.Res)</f>
        <v>#NAME?</v>
      </c>
      <c r="AS57" s="855" t="e" cm="1">
        <f t="array" ca="1" aca="1" ref="AS57">_xlfn.LET(_xlpm.val,IF($F57="",val_blankRefText,_xldudf_CX_GET(CX_ENTITY,$F57,AS$11,AS$14,,(AS$44))),_xlpm.Res,IF(OR(_xlpm.val="",_xlpm.val="Error"),"",_xlpm.val),_xlpm.Res)</f>
        <v>#NAME?</v>
      </c>
      <c r="AT57" s="855" t="e" cm="1">
        <f t="array" ca="1" aca="1" ref="AT57">_xlfn.LET(_xlpm.val,IF($F57="",val_blankRefText,_xldudf_CX_GET(CX_ENTITY,$F57,AT$11,AT$14,,(AT$44))),_xlpm.Res,IF(OR(_xlpm.val="",_xlpm.val="Error"),"",_xlpm.val),_xlpm.Res)</f>
        <v>#NAME?</v>
      </c>
      <c r="AU57" s="855" t="e" cm="1">
        <f t="array" ca="1" aca="1" ref="AU57">_xlfn.LET(_xlpm.val,IF($F57="",val_blankRefText,_xldudf_CX_GET(CX_ENTITY,$F57,AU$11,AU$14,,(AU$44))),_xlpm.Res,IF(OR(_xlpm.val="",_xlpm.val="Error"),"",_xlpm.val),_xlpm.Res)</f>
        <v>#NAME?</v>
      </c>
      <c r="AV57" s="855" t="e" cm="1">
        <f t="array" ca="1" aca="1" ref="AV57">_xlfn.LET(_xlpm.val,IF($F57="",val_blankRefText,_xldudf_CX_GET(CX_ENTITY,$F57,AV$11,AV$14,,(AV$44))),_xlpm.Res,IF(OR(_xlpm.val="",_xlpm.val="Error"),"",_xlpm.val),_xlpm.Res)</f>
        <v>#NAME?</v>
      </c>
      <c r="AW57" s="855" t="e" cm="1">
        <f t="array" ca="1" aca="1" ref="AW57">_xlfn.LET(_xlpm.val,IF($F57="",val_blankRefText,_xldudf_CX_GET(CX_ENTITY,$F57,AW$11,AW$14,,(AW$44))),_xlpm.Res,IF(OR(_xlpm.val="",_xlpm.val="Error"),"",_xlpm.val),_xlpm.Res)</f>
        <v>#NAME?</v>
      </c>
      <c r="AX57" s="855" t="e" cm="1">
        <f t="array" ca="1" aca="1" ref="AX57">_xlfn.LET(_xlpm.val,IF($F57="",val_blankRefText,_xldudf_CX_GET(CX_ENTITY,$F57,AX$11,AX$14,,(AX$44))),_xlpm.Res,IF(OR(_xlpm.val="",_xlpm.val="Error"),"",_xlpm.val),_xlpm.Res)</f>
        <v>#NAME?</v>
      </c>
      <c r="AY57" s="855" t="e" cm="1">
        <f t="array" ca="1" aca="1" ref="AY57">_xlfn.LET(_xlpm.val,IF($F57="",val_blankRefText,_xldudf_CX_GET(CX_ENTITY,$F57,AY$11,AY$14,,(AY$44))),_xlpm.Res,IF(OR(_xlpm.val="",_xlpm.val="Error"),"",_xlpm.val),_xlpm.Res)</f>
        <v>#NAME?</v>
      </c>
      <c r="AZ57" s="855" t="e" cm="1">
        <f t="array" ca="1" aca="1" ref="AZ57">_xlfn.LET(_xlpm.val,IF($F57="",val_blankRefText,_xldudf_CX_GET(CX_ENTITY,$F57,AZ$11,AZ$14,,(AZ$44))),_xlpm.Res,IF(OR(_xlpm.val="",_xlpm.val="Error"),"",_xlpm.val),_xlpm.Res)</f>
        <v>#NAME?</v>
      </c>
      <c r="BA57" s="855" t="e" cm="1">
        <f t="array" ca="1" aca="1" ref="BA57">_xlfn.LET(_xlpm.val,IF($F57="",val_blankRefText,_xldudf_CX_GET(CX_ENTITY,$F57,BA$11,BA$14,,(BA$44))),_xlpm.Res,IF(OR(_xlpm.val="",_xlpm.val="Error"),"",_xlpm.val),_xlpm.Res)</f>
        <v>#NAME?</v>
      </c>
      <c r="BB57" s="855" t="e" cm="1">
        <f t="array" ca="1" aca="1" ref="BB57">_xlfn.LET(_xlpm.val,IF($F57="",val_blankRefText,_xldudf_CX_GET(CX_ENTITY,$F57,BB$11,BB$14,,(BB$44))),_xlpm.Res,IF(OR(_xlpm.val="",_xlpm.val="Error"),"",_xlpm.val),_xlpm.Res)</f>
        <v>#NAME?</v>
      </c>
      <c r="BC57" s="855" t="e" cm="1">
        <f t="array" ca="1" aca="1" ref="BC57">_xlfn.LET(_xlpm.val,IF($F57="",val_blankRefText,_xldudf_CX_GET(CX_ENTITY,$F57,BC$11,BC$14,,(BC$44))),_xlpm.Res,IF(OR(_xlpm.val="",_xlpm.val="Error"),"",_xlpm.val),_xlpm.Res)</f>
        <v>#NAME?</v>
      </c>
      <c r="BD57" s="855" t="e" cm="1">
        <f t="array" ca="1" aca="1" ref="BD57">_xlfn.LET(_xlpm.val,IF($F57="",val_blankRefText,_xldudf_CX_GET(CX_ENTITY,$F57,BD$11,BD$14,,(BD$44))),_xlpm.Res,IF(OR(_xlpm.val="",_xlpm.val="Error"),"",_xlpm.val),_xlpm.Res)</f>
        <v>#NAME?</v>
      </c>
      <c r="BE57" s="855" t="e" cm="1">
        <f t="array" ca="1" aca="1" ref="BE57">_xlfn.LET(_xlpm.val,IF($F57="",val_blankRefText,_xldudf_CX_GET(CX_ENTITY,$F57,BE$11,BE$14,,(BE$44))),_xlpm.Res,IF(OR(_xlpm.val="",_xlpm.val="Error"),"",_xlpm.val),_xlpm.Res)</f>
        <v>#NAME?</v>
      </c>
      <c r="BF57" s="855" t="e" cm="1">
        <f t="array" ca="1" aca="1" ref="BF57">_xlfn.LET(_xlpm.val,IF($F57="",val_blankRefText,_xldudf_CX_GET(CX_ENTITY,$F57,BF$11,BF$14,,(BF$44))),_xlpm.Res,IF(OR(_xlpm.val="",_xlpm.val="Error"),"",_xlpm.val),_xlpm.Res)</f>
        <v>#NAME?</v>
      </c>
      <c r="BG57" s="855" t="e" cm="1">
        <f t="array" ca="1" aca="1" ref="BG57">_xlfn.LET(_xlpm.val,IF($F57="",val_blankRefText,_xldudf_CX_GET(CX_ENTITY,$F57,BG$11,BG$14,,(BG$44))),_xlpm.Res,IF(OR(_xlpm.val="",_xlpm.val="Error"),"",_xlpm.val),_xlpm.Res)</f>
        <v>#NAME?</v>
      </c>
      <c r="BH57" s="855" t="e" cm="1">
        <f t="array" ca="1" aca="1" ref="BH57">_xlfn.LET(_xlpm.val,IF($F57="",val_blankRefText,_xldudf_CX_GET(CX_ENTITY,$F57,BH$11,BH$14,,(BH$44))),_xlpm.Res,IF(OR(_xlpm.val="",_xlpm.val="Error"),"",_xlpm.val),_xlpm.Res)</f>
        <v>#NAME?</v>
      </c>
      <c r="BI57" s="855" t="e" cm="1">
        <f t="array" ca="1" aca="1" ref="BI57">_xlfn.LET(_xlpm.val,IF($F57="",val_blankRefText,_xldudf_CX_GET(CX_ENTITY,$F57,BI$11,BI$14,,(BI$44))),_xlpm.Res,IF(OR(_xlpm.val="",_xlpm.val="Error"),"",_xlpm.val),_xlpm.Res)</f>
        <v>#NAME?</v>
      </c>
      <c r="BJ57" s="855" t="e" cm="1">
        <f t="array" ca="1" aca="1" ref="BJ57">_xlfn.LET(_xlpm.val,IF($F57="",val_blankRefText,_xldudf_CX_GET(CX_ENTITY,$F57,BJ$11,BJ$14,,(BJ$44))),_xlpm.Res,IF(OR(_xlpm.val="",_xlpm.val="Error"),"",_xlpm.val),_xlpm.Res)</f>
        <v>#NAME?</v>
      </c>
      <c r="BK57" s="855" t="e" cm="1">
        <f t="array" ca="1" aca="1" ref="BK57">_xlfn.LET(_xlpm.val,IF($F57="",val_blankRefText,_xldudf_CX_GET(CX_ENTITY,$F57,BK$11,BK$14,,(BK$44))),_xlpm.Res,IF(OR(_xlpm.val="",_xlpm.val="Error"),"",_xlpm.val),_xlpm.Res)</f>
        <v>#NAME?</v>
      </c>
      <c r="BL57" s="855" t="e" cm="1">
        <f t="array" ca="1" aca="1" ref="BL57">_xlfn.LET(_xlpm.val,IF($F57="",val_blankRefText,_xldudf_CX_GET(CX_ENTITY,$F57,BL$11,BL$14,,(BL$44))),_xlpm.Res,IF(OR(_xlpm.val="",_xlpm.val="Error"),"",_xlpm.val),_xlpm.Res)</f>
        <v>#NAME?</v>
      </c>
      <c r="BM57" s="855" t="e" cm="1">
        <f t="array" ca="1" aca="1" ref="BM57">_xlfn.LET(_xlpm.val,IF($F57="",val_blankRefText,_xldudf_CX_GET(CX_ENTITY,$F57,BM$11,BM$14,,(BM$44))),_xlpm.Res,IF(OR(_xlpm.val="",_xlpm.val="Error"),"",_xlpm.val),_xlpm.Res)</f>
        <v>#NAME?</v>
      </c>
      <c r="BN57" s="855" t="e" cm="1">
        <f t="array" ca="1" aca="1" ref="BN57">_xlfn.LET(_xlpm.val,IF($F57="",val_blankRefText,_xldudf_CX_GET(CX_ENTITY,$F57,BN$11,BN$14,,(BN$44))),_xlpm.Res,IF(OR(_xlpm.val="",_xlpm.val="Error"),"",_xlpm.val),_xlpm.Res)</f>
        <v>#NAME?</v>
      </c>
      <c r="BO57" s="1844"/>
      <c r="BP57" s="1844"/>
      <c r="BQ57" s="1844"/>
      <c r="BR57" s="1844"/>
      <c r="BS57" s="1844"/>
      <c r="BT57" s="1844"/>
      <c r="BU57" s="1844"/>
      <c r="BV57" s="1844"/>
      <c r="BW57" s="1844"/>
      <c r="BX57" s="1844"/>
      <c r="BY57" s="1844"/>
      <c r="BZ57" s="1844"/>
      <c r="CA57" s="384"/>
      <c r="CC57" s="33"/>
      <c r="CD57" s="1461" t="e" cm="1">
        <f t="array" ca="1" aca="1" ref="CD57">_xlfn.LET(_xlpm.CheckBlank,SUM(CF!$AD57:$BN57)=0,IF(_xlpm.CheckBlank,"",SUM(_xlfn._xlws.FILTER(CF!$AD57:$BN57,(YEAR(CF!$AD$12:$BN$12)=CF!CD$12)*(array_timeline&lt;=CF!CD$11)))))</f>
        <v>#NAME?</v>
      </c>
      <c r="CE57" s="1461" t="e" cm="1">
        <f t="array" ca="1" aca="1" ref="CE57">_xlfn.LET(_xlpm.CheckBlank,SUM(CF!$AD57:$BN57)=0,IF(_xlpm.CheckBlank,"",SUM(_xlfn._xlws.FILTER(CF!$AD57:$BN57,(YEAR(CF!$AD$12:$BN$12)=CF!CE$12)*(array_timeline&lt;=CF!CE$11)))))</f>
        <v>#NAME?</v>
      </c>
      <c r="CF57" s="1314"/>
      <c r="CG57" s="1461" t="e" cm="1">
        <f t="array" ca="1" aca="1" ref="CG57">_xlfn.LET(_xlpm.CheckBlank,SUM(CF!$AD57:$BN57)=0,IF(_xlpm.CheckBlank,"",SUM(_xlfn._xlws.FILTER(CF!$AD57:$BN57,(YEAR(CF!$AD$12:$BN$12)=CF!CG$12)*(array_timeline&lt;=CF!CG$11)))))</f>
        <v>#NAME?</v>
      </c>
      <c r="CH57" s="1461" t="e" cm="1">
        <f t="array" ca="1" aca="1" ref="CH57">_xlfn.LET(_xlpm.CheckBlank,SUM(CF!$AD57:$BN57)=0,IF(_xlpm.CheckBlank,"",SUM(_xlfn._xlws.FILTER(CF!$AD57:$BN57,(YEAR(CF!$AD$12:$BN$12)=CF!CH$12)*(array_timeline&lt;=CF!CH$11)))))</f>
        <v>#NAME?</v>
      </c>
      <c r="CI57" s="1314"/>
      <c r="CJ57" s="1657" cm="1">
        <f t="array" ref="CJ57">_xlfn.LET(_xlpm.CheckBlank,SUM(CF!$AD57:$BN57)=0,IF(_xlpm.CheckBlank,"",SUM(_xlfn.TAKE(_xlfn.DROP(CF!$AD57:$BN57,,-DATEDIFF(CF!CJ$11,val_asOfDate,"M")),1,-12))))</f>
        <v>12</v>
      </c>
      <c r="CK57" s="1657" cm="1">
        <f t="array" ref="CK57">_xlfn.LET(_xlpm.CheckBlank,SUM(CF!$AD57:$BN57)=0,IF(_xlpm.CheckBlank,"",SUM(_xlfn.TAKE(_xlfn.DROP(CF!$AD57:$BN57,,-DATEDIFF(CF!CK$11,val_asOfDate,"M")),1,-12))))</f>
        <v>12</v>
      </c>
      <c r="CL57" s="88"/>
      <c r="CM57" s="541" t="e">
        <f ca="1" t="shared" si="24" ref="CM57">CM32</f>
        <v>#NAME?</v>
      </c>
      <c r="CN57" s="541" t="e">
        <f t="shared" ca="1" si="11"/>
        <v>#NAME?</v>
      </c>
      <c r="CO57" s="34"/>
      <c r="CR57" s="4"/>
      <c r="CS57" s="4"/>
      <c r="CW57" s="4"/>
    </row>
    <row r="58" spans="1:101" ht="21" customHeight="1">
      <c r="A58" s="696"/>
      <c r="B58" s="574" t="s">
        <v>250</v>
      </c>
      <c r="C58" s="574" t="str">
        <f t="shared" si="7"/>
        <v>M&amp;A (Company View)</v>
      </c>
      <c r="D58" s="574"/>
      <c r="E58" s="577" t="e" cm="1">
        <f t="array" ca="1" aca="1" ref="E58">_xlfn.LET(_xlpm.Attr,$C58,_xlpm.Lookback,$E$16,_xlpm.QueryDate,EOMONTH(val_asOfDate,_xlpm.Lookback),_xlpm.ReadField,_xldudf_CX_GET(CX_ENTITY,fx_attrConverter($C58),_xlpm.QueryDate),_xlpm.AttrBlank,_xlpm.Attr="",_xlpm.RESULT,IF(_xlpm.AttrBlank,val_blankRefText,fx_attrConverter(_xlpm.ReadField,0)),IF(_xlpm.RESULT="Error","",_xlpm.RESULT))</f>
        <v>#NAME?</v>
      </c>
      <c r="F58" s="577" t="str">
        <f t="shared" si="8"/>
        <v>M&amp;A</v>
      </c>
      <c r="G58" s="401"/>
      <c r="H58" s="3280">
        <v>1</v>
      </c>
      <c r="I58" s="3280">
        <v>1</v>
      </c>
      <c r="J58" s="401"/>
      <c r="K58" s="401"/>
      <c r="L58" s="3269" t="b">
        <v>1</v>
      </c>
      <c r="N58" s="158"/>
      <c r="O58" s="101"/>
      <c r="P58" s="52"/>
      <c r="Q58" s="101"/>
      <c r="R58" s="126"/>
      <c r="S58" s="101"/>
      <c r="T58" s="101"/>
      <c r="U58" s="39"/>
      <c r="W58" s="932" t="str">
        <f t="shared" si="13"/>
        <v>Budget</v>
      </c>
      <c r="X58" s="761">
        <v>-1</v>
      </c>
      <c r="Y58" s="88" t="e">
        <f t="shared" ca="1" si="9"/>
        <v>#NAME?</v>
      </c>
      <c r="Z58" s="3300" cm="1">
        <f t="array" ref="Z58">_xlfn.SWITCH(TRUE,_CF!$L58=TRUE,1,_CF!$L58=FALSE,-1,_CF!$L58=-1,0,"n/a")</f>
        <v>1</v>
      </c>
      <c r="AA58" s="200"/>
      <c r="AB58" s="88" t="str">
        <f t="shared" si="10"/>
        <v>M&amp;A</v>
      </c>
      <c r="AC58" s="88"/>
      <c r="AD58" s="855" t="e" cm="1">
        <f t="array" ca="1" aca="1" ref="AD58">_xlfn.LET(_xlpm.val,IF($F58="",val_blankRefText,_xldudf_CX_GET(CX_ENTITY,$F58,AD$11,AD$14,,(AD$44))),_xlpm.Res,IF(OR(_xlpm.val="",_xlpm.val="Error"),"",_xlpm.val),_xlpm.Res)</f>
        <v>#NAME?</v>
      </c>
      <c r="AE58" s="855" t="e" cm="1">
        <f t="array" ca="1" aca="1" ref="AE58">_xlfn.LET(_xlpm.val,IF($F58="",val_blankRefText,_xldudf_CX_GET(CX_ENTITY,$F58,AE$11,AE$14,,(AE$44))),_xlpm.Res,IF(OR(_xlpm.val="",_xlpm.val="Error"),"",_xlpm.val),_xlpm.Res)</f>
        <v>#NAME?</v>
      </c>
      <c r="AF58" s="855" t="e" cm="1">
        <f t="array" ca="1" aca="1" ref="AF58">_xlfn.LET(_xlpm.val,IF($F58="",val_blankRefText,_xldudf_CX_GET(CX_ENTITY,$F58,AF$11,AF$14,,(AF$44))),_xlpm.Res,IF(OR(_xlpm.val="",_xlpm.val="Error"),"",_xlpm.val),_xlpm.Res)</f>
        <v>#NAME?</v>
      </c>
      <c r="AG58" s="855" t="e" cm="1">
        <f t="array" ca="1" aca="1" ref="AG58">_xlfn.LET(_xlpm.val,IF($F58="",val_blankRefText,_xldudf_CX_GET(CX_ENTITY,$F58,AG$11,AG$14,,(AG$44))),_xlpm.Res,IF(OR(_xlpm.val="",_xlpm.val="Error"),"",_xlpm.val),_xlpm.Res)</f>
        <v>#NAME?</v>
      </c>
      <c r="AH58" s="855" t="e" cm="1">
        <f t="array" ca="1" aca="1" ref="AH58">_xlfn.LET(_xlpm.val,IF($F58="",val_blankRefText,_xldudf_CX_GET(CX_ENTITY,$F58,AH$11,AH$14,,(AH$44))),_xlpm.Res,IF(OR(_xlpm.val="",_xlpm.val="Error"),"",_xlpm.val),_xlpm.Res)</f>
        <v>#NAME?</v>
      </c>
      <c r="AI58" s="855" t="e" cm="1">
        <f t="array" ca="1" aca="1" ref="AI58">_xlfn.LET(_xlpm.val,IF($F58="",val_blankRefText,_xldudf_CX_GET(CX_ENTITY,$F58,AI$11,AI$14,,(AI$44))),_xlpm.Res,IF(OR(_xlpm.val="",_xlpm.val="Error"),"",_xlpm.val),_xlpm.Res)</f>
        <v>#NAME?</v>
      </c>
      <c r="AJ58" s="855" t="e" cm="1">
        <f t="array" ca="1" aca="1" ref="AJ58">_xlfn.LET(_xlpm.val,IF($F58="",val_blankRefText,_xldudf_CX_GET(CX_ENTITY,$F58,AJ$11,AJ$14,,(AJ$44))),_xlpm.Res,IF(OR(_xlpm.val="",_xlpm.val="Error"),"",_xlpm.val),_xlpm.Res)</f>
        <v>#NAME?</v>
      </c>
      <c r="AK58" s="855" t="e" cm="1">
        <f t="array" ca="1" aca="1" ref="AK58">_xlfn.LET(_xlpm.val,IF($F58="",val_blankRefText,_xldudf_CX_GET(CX_ENTITY,$F58,AK$11,AK$14,,(AK$44))),_xlpm.Res,IF(OR(_xlpm.val="",_xlpm.val="Error"),"",_xlpm.val),_xlpm.Res)</f>
        <v>#NAME?</v>
      </c>
      <c r="AL58" s="855" t="e" cm="1">
        <f t="array" ca="1" aca="1" ref="AL58">_xlfn.LET(_xlpm.val,IF($F58="",val_blankRefText,_xldudf_CX_GET(CX_ENTITY,$F58,AL$11,AL$14,,(AL$44))),_xlpm.Res,IF(OR(_xlpm.val="",_xlpm.val="Error"),"",_xlpm.val),_xlpm.Res)</f>
        <v>#NAME?</v>
      </c>
      <c r="AM58" s="855" t="e" cm="1">
        <f t="array" ca="1" aca="1" ref="AM58">_xlfn.LET(_xlpm.val,IF($F58="",val_blankRefText,_xldudf_CX_GET(CX_ENTITY,$F58,AM$11,AM$14,,(AM$44))),_xlpm.Res,IF(OR(_xlpm.val="",_xlpm.val="Error"),"",_xlpm.val),_xlpm.Res)</f>
        <v>#NAME?</v>
      </c>
      <c r="AN58" s="855" t="e" cm="1">
        <f t="array" ca="1" aca="1" ref="AN58">_xlfn.LET(_xlpm.val,IF($F58="",val_blankRefText,_xldudf_CX_GET(CX_ENTITY,$F58,AN$11,AN$14,,(AN$44))),_xlpm.Res,IF(OR(_xlpm.val="",_xlpm.val="Error"),"",_xlpm.val),_xlpm.Res)</f>
        <v>#NAME?</v>
      </c>
      <c r="AO58" s="855" t="e" cm="1">
        <f t="array" ca="1" aca="1" ref="AO58">_xlfn.LET(_xlpm.val,IF($F58="",val_blankRefText,_xldudf_CX_GET(CX_ENTITY,$F58,AO$11,AO$14,,(AO$44))),_xlpm.Res,IF(OR(_xlpm.val="",_xlpm.val="Error"),"",_xlpm.val),_xlpm.Res)</f>
        <v>#NAME?</v>
      </c>
      <c r="AP58" s="855" t="e" cm="1">
        <f t="array" ca="1" aca="1" ref="AP58">_xlfn.LET(_xlpm.val,IF($F58="",val_blankRefText,_xldudf_CX_GET(CX_ENTITY,$F58,AP$11,AP$14,,(AP$44))),_xlpm.Res,IF(OR(_xlpm.val="",_xlpm.val="Error"),"",_xlpm.val),_xlpm.Res)</f>
        <v>#NAME?</v>
      </c>
      <c r="AQ58" s="855" t="e" cm="1">
        <f t="array" ca="1" aca="1" ref="AQ58">_xlfn.LET(_xlpm.val,IF($F58="",val_blankRefText,_xldudf_CX_GET(CX_ENTITY,$F58,AQ$11,AQ$14,,(AQ$44))),_xlpm.Res,IF(OR(_xlpm.val="",_xlpm.val="Error"),"",_xlpm.val),_xlpm.Res)</f>
        <v>#NAME?</v>
      </c>
      <c r="AR58" s="855" t="e" cm="1">
        <f t="array" ca="1" aca="1" ref="AR58">_xlfn.LET(_xlpm.val,IF($F58="",val_blankRefText,_xldudf_CX_GET(CX_ENTITY,$F58,AR$11,AR$14,,(AR$44))),_xlpm.Res,IF(OR(_xlpm.val="",_xlpm.val="Error"),"",_xlpm.val),_xlpm.Res)</f>
        <v>#NAME?</v>
      </c>
      <c r="AS58" s="855" t="e" cm="1">
        <f t="array" ca="1" aca="1" ref="AS58">_xlfn.LET(_xlpm.val,IF($F58="",val_blankRefText,_xldudf_CX_GET(CX_ENTITY,$F58,AS$11,AS$14,,(AS$44))),_xlpm.Res,IF(OR(_xlpm.val="",_xlpm.val="Error"),"",_xlpm.val),_xlpm.Res)</f>
        <v>#NAME?</v>
      </c>
      <c r="AT58" s="855" t="e" cm="1">
        <f t="array" ca="1" aca="1" ref="AT58">_xlfn.LET(_xlpm.val,IF($F58="",val_blankRefText,_xldudf_CX_GET(CX_ENTITY,$F58,AT$11,AT$14,,(AT$44))),_xlpm.Res,IF(OR(_xlpm.val="",_xlpm.val="Error"),"",_xlpm.val),_xlpm.Res)</f>
        <v>#NAME?</v>
      </c>
      <c r="AU58" s="855" t="e" cm="1">
        <f t="array" ca="1" aca="1" ref="AU58">_xlfn.LET(_xlpm.val,IF($F58="",val_blankRefText,_xldudf_CX_GET(CX_ENTITY,$F58,AU$11,AU$14,,(AU$44))),_xlpm.Res,IF(OR(_xlpm.val="",_xlpm.val="Error"),"",_xlpm.val),_xlpm.Res)</f>
        <v>#NAME?</v>
      </c>
      <c r="AV58" s="855" t="e" cm="1">
        <f t="array" ca="1" aca="1" ref="AV58">_xlfn.LET(_xlpm.val,IF($F58="",val_blankRefText,_xldudf_CX_GET(CX_ENTITY,$F58,AV$11,AV$14,,(AV$44))),_xlpm.Res,IF(OR(_xlpm.val="",_xlpm.val="Error"),"",_xlpm.val),_xlpm.Res)</f>
        <v>#NAME?</v>
      </c>
      <c r="AW58" s="855" t="e" cm="1">
        <f t="array" ca="1" aca="1" ref="AW58">_xlfn.LET(_xlpm.val,IF($F58="",val_blankRefText,_xldudf_CX_GET(CX_ENTITY,$F58,AW$11,AW$14,,(AW$44))),_xlpm.Res,IF(OR(_xlpm.val="",_xlpm.val="Error"),"",_xlpm.val),_xlpm.Res)</f>
        <v>#NAME?</v>
      </c>
      <c r="AX58" s="855" t="e" cm="1">
        <f t="array" ca="1" aca="1" ref="AX58">_xlfn.LET(_xlpm.val,IF($F58="",val_blankRefText,_xldudf_CX_GET(CX_ENTITY,$F58,AX$11,AX$14,,(AX$44))),_xlpm.Res,IF(OR(_xlpm.val="",_xlpm.val="Error"),"",_xlpm.val),_xlpm.Res)</f>
        <v>#NAME?</v>
      </c>
      <c r="AY58" s="855" t="e" cm="1">
        <f t="array" ca="1" aca="1" ref="AY58">_xlfn.LET(_xlpm.val,IF($F58="",val_blankRefText,_xldudf_CX_GET(CX_ENTITY,$F58,AY$11,AY$14,,(AY$44))),_xlpm.Res,IF(OR(_xlpm.val="",_xlpm.val="Error"),"",_xlpm.val),_xlpm.Res)</f>
        <v>#NAME?</v>
      </c>
      <c r="AZ58" s="855" t="e" cm="1">
        <f t="array" ca="1" aca="1" ref="AZ58">_xlfn.LET(_xlpm.val,IF($F58="",val_blankRefText,_xldudf_CX_GET(CX_ENTITY,$F58,AZ$11,AZ$14,,(AZ$44))),_xlpm.Res,IF(OR(_xlpm.val="",_xlpm.val="Error"),"",_xlpm.val),_xlpm.Res)</f>
        <v>#NAME?</v>
      </c>
      <c r="BA58" s="855" t="e" cm="1">
        <f t="array" ca="1" aca="1" ref="BA58">_xlfn.LET(_xlpm.val,IF($F58="",val_blankRefText,_xldudf_CX_GET(CX_ENTITY,$F58,BA$11,BA$14,,(BA$44))),_xlpm.Res,IF(OR(_xlpm.val="",_xlpm.val="Error"),"",_xlpm.val),_xlpm.Res)</f>
        <v>#NAME?</v>
      </c>
      <c r="BB58" s="855" t="e" cm="1">
        <f t="array" ca="1" aca="1" ref="BB58">_xlfn.LET(_xlpm.val,IF($F58="",val_blankRefText,_xldudf_CX_GET(CX_ENTITY,$F58,BB$11,BB$14,,(BB$44))),_xlpm.Res,IF(OR(_xlpm.val="",_xlpm.val="Error"),"",_xlpm.val),_xlpm.Res)</f>
        <v>#NAME?</v>
      </c>
      <c r="BC58" s="855" t="e" cm="1">
        <f t="array" ca="1" aca="1" ref="BC58">_xlfn.LET(_xlpm.val,IF($F58="",val_blankRefText,_xldudf_CX_GET(CX_ENTITY,$F58,BC$11,BC$14,,(BC$44))),_xlpm.Res,IF(OR(_xlpm.val="",_xlpm.val="Error"),"",_xlpm.val),_xlpm.Res)</f>
        <v>#NAME?</v>
      </c>
      <c r="BD58" s="855" t="e" cm="1">
        <f t="array" ca="1" aca="1" ref="BD58">_xlfn.LET(_xlpm.val,IF($F58="",val_blankRefText,_xldudf_CX_GET(CX_ENTITY,$F58,BD$11,BD$14,,(BD$44))),_xlpm.Res,IF(OR(_xlpm.val="",_xlpm.val="Error"),"",_xlpm.val),_xlpm.Res)</f>
        <v>#NAME?</v>
      </c>
      <c r="BE58" s="855" t="e" cm="1">
        <f t="array" ca="1" aca="1" ref="BE58">_xlfn.LET(_xlpm.val,IF($F58="",val_blankRefText,_xldudf_CX_GET(CX_ENTITY,$F58,BE$11,BE$14,,(BE$44))),_xlpm.Res,IF(OR(_xlpm.val="",_xlpm.val="Error"),"",_xlpm.val),_xlpm.Res)</f>
        <v>#NAME?</v>
      </c>
      <c r="BF58" s="855" t="e" cm="1">
        <f t="array" ca="1" aca="1" ref="BF58">_xlfn.LET(_xlpm.val,IF($F58="",val_blankRefText,_xldudf_CX_GET(CX_ENTITY,$F58,BF$11,BF$14,,(BF$44))),_xlpm.Res,IF(OR(_xlpm.val="",_xlpm.val="Error"),"",_xlpm.val),_xlpm.Res)</f>
        <v>#NAME?</v>
      </c>
      <c r="BG58" s="855" t="e" cm="1">
        <f t="array" ca="1" aca="1" ref="BG58">_xlfn.LET(_xlpm.val,IF($F58="",val_blankRefText,_xldudf_CX_GET(CX_ENTITY,$F58,BG$11,BG$14,,(BG$44))),_xlpm.Res,IF(OR(_xlpm.val="",_xlpm.val="Error"),"",_xlpm.val),_xlpm.Res)</f>
        <v>#NAME?</v>
      </c>
      <c r="BH58" s="855" t="e" cm="1">
        <f t="array" ca="1" aca="1" ref="BH58">_xlfn.LET(_xlpm.val,IF($F58="",val_blankRefText,_xldudf_CX_GET(CX_ENTITY,$F58,BH$11,BH$14,,(BH$44))),_xlpm.Res,IF(OR(_xlpm.val="",_xlpm.val="Error"),"",_xlpm.val),_xlpm.Res)</f>
        <v>#NAME?</v>
      </c>
      <c r="BI58" s="855" t="e" cm="1">
        <f t="array" ca="1" aca="1" ref="BI58">_xlfn.LET(_xlpm.val,IF($F58="",val_blankRefText,_xldudf_CX_GET(CX_ENTITY,$F58,BI$11,BI$14,,(BI$44))),_xlpm.Res,IF(OR(_xlpm.val="",_xlpm.val="Error"),"",_xlpm.val),_xlpm.Res)</f>
        <v>#NAME?</v>
      </c>
      <c r="BJ58" s="855" t="e" cm="1">
        <f t="array" ca="1" aca="1" ref="BJ58">_xlfn.LET(_xlpm.val,IF($F58="",val_blankRefText,_xldudf_CX_GET(CX_ENTITY,$F58,BJ$11,BJ$14,,(BJ$44))),_xlpm.Res,IF(OR(_xlpm.val="",_xlpm.val="Error"),"",_xlpm.val),_xlpm.Res)</f>
        <v>#NAME?</v>
      </c>
      <c r="BK58" s="855" t="e" cm="1">
        <f t="array" ca="1" aca="1" ref="BK58">_xlfn.LET(_xlpm.val,IF($F58="",val_blankRefText,_xldudf_CX_GET(CX_ENTITY,$F58,BK$11,BK$14,,(BK$44))),_xlpm.Res,IF(OR(_xlpm.val="",_xlpm.val="Error"),"",_xlpm.val),_xlpm.Res)</f>
        <v>#NAME?</v>
      </c>
      <c r="BL58" s="855" t="e" cm="1">
        <f t="array" ca="1" aca="1" ref="BL58">_xlfn.LET(_xlpm.val,IF($F58="",val_blankRefText,_xldudf_CX_GET(CX_ENTITY,$F58,BL$11,BL$14,,(BL$44))),_xlpm.Res,IF(OR(_xlpm.val="",_xlpm.val="Error"),"",_xlpm.val),_xlpm.Res)</f>
        <v>#NAME?</v>
      </c>
      <c r="BM58" s="855" t="e" cm="1">
        <f t="array" ca="1" aca="1" ref="BM58">_xlfn.LET(_xlpm.val,IF($F58="",val_blankRefText,_xldudf_CX_GET(CX_ENTITY,$F58,BM$11,BM$14,,(BM$44))),_xlpm.Res,IF(OR(_xlpm.val="",_xlpm.val="Error"),"",_xlpm.val),_xlpm.Res)</f>
        <v>#NAME?</v>
      </c>
      <c r="BN58" s="855" t="e" cm="1">
        <f t="array" ca="1" aca="1" ref="BN58">_xlfn.LET(_xlpm.val,IF($F58="",val_blankRefText,_xldudf_CX_GET(CX_ENTITY,$F58,BN$11,BN$14,,(BN$44))),_xlpm.Res,IF(OR(_xlpm.val="",_xlpm.val="Error"),"",_xlpm.val),_xlpm.Res)</f>
        <v>#NAME?</v>
      </c>
      <c r="BO58" s="1844"/>
      <c r="BP58" s="1844"/>
      <c r="BQ58" s="1844"/>
      <c r="BR58" s="1844"/>
      <c r="BS58" s="1844"/>
      <c r="BT58" s="1844"/>
      <c r="BU58" s="1844"/>
      <c r="BV58" s="1844"/>
      <c r="BW58" s="1844"/>
      <c r="BX58" s="1844"/>
      <c r="BY58" s="1844"/>
      <c r="BZ58" s="1844"/>
      <c r="CA58" s="384"/>
      <c r="CC58" s="33"/>
      <c r="CD58" s="1461" t="e" cm="1">
        <f t="array" ca="1" aca="1" ref="CD58">_xlfn.LET(_xlpm.CheckBlank,SUM(CF!$AD58:$BN58)=0,IF(_xlpm.CheckBlank,"",SUM(_xlfn._xlws.FILTER(CF!$AD58:$BN58,(YEAR(CF!$AD$12:$BN$12)=CF!CD$12)*(array_timeline&lt;=CF!CD$11)))))</f>
        <v>#NAME?</v>
      </c>
      <c r="CE58" s="1461" t="e" cm="1">
        <f t="array" ca="1" aca="1" ref="CE58">_xlfn.LET(_xlpm.CheckBlank,SUM(CF!$AD58:$BN58)=0,IF(_xlpm.CheckBlank,"",SUM(_xlfn._xlws.FILTER(CF!$AD58:$BN58,(YEAR(CF!$AD$12:$BN$12)=CF!CE$12)*(array_timeline&lt;=CF!CE$11)))))</f>
        <v>#NAME?</v>
      </c>
      <c r="CF58" s="1314"/>
      <c r="CG58" s="1461" t="e" cm="1">
        <f t="array" ca="1" aca="1" ref="CG58">_xlfn.LET(_xlpm.CheckBlank,SUM(CF!$AD58:$BN58)=0,IF(_xlpm.CheckBlank,"",SUM(_xlfn._xlws.FILTER(CF!$AD58:$BN58,(YEAR(CF!$AD$12:$BN$12)=CF!CG$12)*(array_timeline&lt;=CF!CG$11)))))</f>
        <v>#NAME?</v>
      </c>
      <c r="CH58" s="1461" t="e" cm="1">
        <f t="array" ca="1" aca="1" ref="CH58">_xlfn.LET(_xlpm.CheckBlank,SUM(CF!$AD58:$BN58)=0,IF(_xlpm.CheckBlank,"",SUM(_xlfn._xlws.FILTER(CF!$AD58:$BN58,(YEAR(CF!$AD$12:$BN$12)=CF!CH$12)*(array_timeline&lt;=CF!CH$11)))))</f>
        <v>#NAME?</v>
      </c>
      <c r="CI58" s="1314"/>
      <c r="CJ58" s="1657" cm="1">
        <f t="array" ref="CJ58">_xlfn.LET(_xlpm.CheckBlank,SUM(CF!$AD58:$BN58)=0,IF(_xlpm.CheckBlank,"",SUM(_xlfn.TAKE(_xlfn.DROP(CF!$AD58:$BN58,,-DATEDIFF(CF!CJ$11,val_asOfDate,"M")),1,-12))))</f>
        <v>12</v>
      </c>
      <c r="CK58" s="1657" cm="1">
        <f t="array" ref="CK58">_xlfn.LET(_xlpm.CheckBlank,SUM(CF!$AD58:$BN58)=0,IF(_xlpm.CheckBlank,"",SUM(_xlfn.TAKE(_xlfn.DROP(CF!$AD58:$BN58,,-DATEDIFF(CF!CK$11,val_asOfDate,"M")),1,-12))))</f>
        <v>12</v>
      </c>
      <c r="CL58" s="88"/>
      <c r="CM58" s="541" t="e">
        <f ca="1" t="shared" si="25" ref="CM58">CM33</f>
        <v>#NAME?</v>
      </c>
      <c r="CN58" s="541" t="e">
        <f t="shared" ca="1" si="11"/>
        <v>#NAME?</v>
      </c>
      <c r="CO58" s="34"/>
      <c r="CR58" s="4"/>
      <c r="CS58" s="4"/>
      <c r="CW58" s="4"/>
    </row>
    <row r="59" spans="1:101" ht="21" customHeight="1">
      <c r="A59" s="696"/>
      <c r="B59" s="574" t="s">
        <v>1683</v>
      </c>
      <c r="C59" s="574" t="str">
        <f t="shared" si="7"/>
        <v>Dividend Payments (Company View)</v>
      </c>
      <c r="D59" s="574"/>
      <c r="E59" s="577" t="e" cm="1">
        <f t="array" ca="1" aca="1" ref="E59">_xlfn.LET(_xlpm.Attr,$C59,_xlpm.Lookback,$E$16,_xlpm.QueryDate,EOMONTH(val_asOfDate,_xlpm.Lookback),_xlpm.ReadField,_xldudf_CX_GET(CX_ENTITY,fx_attrConverter($C59),_xlpm.QueryDate),_xlpm.AttrBlank,_xlpm.Attr="",_xlpm.RESULT,IF(_xlpm.AttrBlank,val_blankRefText,fx_attrConverter(_xlpm.ReadField,0)),IF(_xlpm.RESULT="Error","",_xlpm.RESULT))</f>
        <v>#NAME?</v>
      </c>
      <c r="F59" s="577" t="str">
        <f t="shared" si="8"/>
        <v>Dividend Payments</v>
      </c>
      <c r="G59" s="401"/>
      <c r="H59" s="3280">
        <v>1</v>
      </c>
      <c r="I59" s="3280">
        <v>1</v>
      </c>
      <c r="J59" s="401"/>
      <c r="K59" s="401"/>
      <c r="L59" s="3269" t="b">
        <v>1</v>
      </c>
      <c r="N59" s="158"/>
      <c r="O59" s="101"/>
      <c r="P59" s="52"/>
      <c r="Q59" s="101"/>
      <c r="R59" s="126"/>
      <c r="S59" s="101"/>
      <c r="T59" s="101"/>
      <c r="U59" s="39"/>
      <c r="W59" s="932" t="str">
        <f t="shared" si="13"/>
        <v>Budget</v>
      </c>
      <c r="X59" s="761">
        <v>-1</v>
      </c>
      <c r="Y59" s="88" t="e">
        <f t="shared" ca="1" si="9"/>
        <v>#NAME?</v>
      </c>
      <c r="Z59" s="3300" cm="1">
        <f t="array" ref="Z59">_xlfn.SWITCH(TRUE,_CF!$L59=TRUE,1,_CF!$L59=FALSE,-1,_CF!$L59=-1,0,"n/a")</f>
        <v>1</v>
      </c>
      <c r="AA59" s="200"/>
      <c r="AB59" s="88" t="str">
        <f t="shared" si="10"/>
        <v>Dividend payments</v>
      </c>
      <c r="AC59" s="88"/>
      <c r="AD59" s="855" t="e" cm="1">
        <f t="array" ca="1" aca="1" ref="AD59">_xlfn.LET(_xlpm.val,IF($F59="",val_blankRefText,_xldudf_CX_GET(CX_ENTITY,$F59,AD$11,AD$14,,(AD$44))),_xlpm.Res,IF(OR(_xlpm.val="",_xlpm.val="Error"),"",_xlpm.val),_xlpm.Res)</f>
        <v>#NAME?</v>
      </c>
      <c r="AE59" s="855" t="e" cm="1">
        <f t="array" ca="1" aca="1" ref="AE59">_xlfn.LET(_xlpm.val,IF($F59="",val_blankRefText,_xldudf_CX_GET(CX_ENTITY,$F59,AE$11,AE$14,,(AE$44))),_xlpm.Res,IF(OR(_xlpm.val="",_xlpm.val="Error"),"",_xlpm.val),_xlpm.Res)</f>
        <v>#NAME?</v>
      </c>
      <c r="AF59" s="855" t="e" cm="1">
        <f t="array" ca="1" aca="1" ref="AF59">_xlfn.LET(_xlpm.val,IF($F59="",val_blankRefText,_xldudf_CX_GET(CX_ENTITY,$F59,AF$11,AF$14,,(AF$44))),_xlpm.Res,IF(OR(_xlpm.val="",_xlpm.val="Error"),"",_xlpm.val),_xlpm.Res)</f>
        <v>#NAME?</v>
      </c>
      <c r="AG59" s="855" t="e" cm="1">
        <f t="array" ca="1" aca="1" ref="AG59">_xlfn.LET(_xlpm.val,IF($F59="",val_blankRefText,_xldudf_CX_GET(CX_ENTITY,$F59,AG$11,AG$14,,(AG$44))),_xlpm.Res,IF(OR(_xlpm.val="",_xlpm.val="Error"),"",_xlpm.val),_xlpm.Res)</f>
        <v>#NAME?</v>
      </c>
      <c r="AH59" s="855" t="e" cm="1">
        <f t="array" ca="1" aca="1" ref="AH59">_xlfn.LET(_xlpm.val,IF($F59="",val_blankRefText,_xldudf_CX_GET(CX_ENTITY,$F59,AH$11,AH$14,,(AH$44))),_xlpm.Res,IF(OR(_xlpm.val="",_xlpm.val="Error"),"",_xlpm.val),_xlpm.Res)</f>
        <v>#NAME?</v>
      </c>
      <c r="AI59" s="855" t="e" cm="1">
        <f t="array" ca="1" aca="1" ref="AI59">_xlfn.LET(_xlpm.val,IF($F59="",val_blankRefText,_xldudf_CX_GET(CX_ENTITY,$F59,AI$11,AI$14,,(AI$44))),_xlpm.Res,IF(OR(_xlpm.val="",_xlpm.val="Error"),"",_xlpm.val),_xlpm.Res)</f>
        <v>#NAME?</v>
      </c>
      <c r="AJ59" s="855" t="e" cm="1">
        <f t="array" ca="1" aca="1" ref="AJ59">_xlfn.LET(_xlpm.val,IF($F59="",val_blankRefText,_xldudf_CX_GET(CX_ENTITY,$F59,AJ$11,AJ$14,,(AJ$44))),_xlpm.Res,IF(OR(_xlpm.val="",_xlpm.val="Error"),"",_xlpm.val),_xlpm.Res)</f>
        <v>#NAME?</v>
      </c>
      <c r="AK59" s="855" t="e" cm="1">
        <f t="array" ca="1" aca="1" ref="AK59">_xlfn.LET(_xlpm.val,IF($F59="",val_blankRefText,_xldudf_CX_GET(CX_ENTITY,$F59,AK$11,AK$14,,(AK$44))),_xlpm.Res,IF(OR(_xlpm.val="",_xlpm.val="Error"),"",_xlpm.val),_xlpm.Res)</f>
        <v>#NAME?</v>
      </c>
      <c r="AL59" s="855" t="e" cm="1">
        <f t="array" ca="1" aca="1" ref="AL59">_xlfn.LET(_xlpm.val,IF($F59="",val_blankRefText,_xldudf_CX_GET(CX_ENTITY,$F59,AL$11,AL$14,,(AL$44))),_xlpm.Res,IF(OR(_xlpm.val="",_xlpm.val="Error"),"",_xlpm.val),_xlpm.Res)</f>
        <v>#NAME?</v>
      </c>
      <c r="AM59" s="855" t="e" cm="1">
        <f t="array" ca="1" aca="1" ref="AM59">_xlfn.LET(_xlpm.val,IF($F59="",val_blankRefText,_xldudf_CX_GET(CX_ENTITY,$F59,AM$11,AM$14,,(AM$44))),_xlpm.Res,IF(OR(_xlpm.val="",_xlpm.val="Error"),"",_xlpm.val),_xlpm.Res)</f>
        <v>#NAME?</v>
      </c>
      <c r="AN59" s="855" t="e" cm="1">
        <f t="array" ca="1" aca="1" ref="AN59">_xlfn.LET(_xlpm.val,IF($F59="",val_blankRefText,_xldudf_CX_GET(CX_ENTITY,$F59,AN$11,AN$14,,(AN$44))),_xlpm.Res,IF(OR(_xlpm.val="",_xlpm.val="Error"),"",_xlpm.val),_xlpm.Res)</f>
        <v>#NAME?</v>
      </c>
      <c r="AO59" s="855" t="e" cm="1">
        <f t="array" ca="1" aca="1" ref="AO59">_xlfn.LET(_xlpm.val,IF($F59="",val_blankRefText,_xldudf_CX_GET(CX_ENTITY,$F59,AO$11,AO$14,,(AO$44))),_xlpm.Res,IF(OR(_xlpm.val="",_xlpm.val="Error"),"",_xlpm.val),_xlpm.Res)</f>
        <v>#NAME?</v>
      </c>
      <c r="AP59" s="855" t="e" cm="1">
        <f t="array" ca="1" aca="1" ref="AP59">_xlfn.LET(_xlpm.val,IF($F59="",val_blankRefText,_xldudf_CX_GET(CX_ENTITY,$F59,AP$11,AP$14,,(AP$44))),_xlpm.Res,IF(OR(_xlpm.val="",_xlpm.val="Error"),"",_xlpm.val),_xlpm.Res)</f>
        <v>#NAME?</v>
      </c>
      <c r="AQ59" s="855" t="e" cm="1">
        <f t="array" ca="1" aca="1" ref="AQ59">_xlfn.LET(_xlpm.val,IF($F59="",val_blankRefText,_xldudf_CX_GET(CX_ENTITY,$F59,AQ$11,AQ$14,,(AQ$44))),_xlpm.Res,IF(OR(_xlpm.val="",_xlpm.val="Error"),"",_xlpm.val),_xlpm.Res)</f>
        <v>#NAME?</v>
      </c>
      <c r="AR59" s="855" t="e" cm="1">
        <f t="array" ca="1" aca="1" ref="AR59">_xlfn.LET(_xlpm.val,IF($F59="",val_blankRefText,_xldudf_CX_GET(CX_ENTITY,$F59,AR$11,AR$14,,(AR$44))),_xlpm.Res,IF(OR(_xlpm.val="",_xlpm.val="Error"),"",_xlpm.val),_xlpm.Res)</f>
        <v>#NAME?</v>
      </c>
      <c r="AS59" s="855" t="e" cm="1">
        <f t="array" ca="1" aca="1" ref="AS59">_xlfn.LET(_xlpm.val,IF($F59="",val_blankRefText,_xldudf_CX_GET(CX_ENTITY,$F59,AS$11,AS$14,,(AS$44))),_xlpm.Res,IF(OR(_xlpm.val="",_xlpm.val="Error"),"",_xlpm.val),_xlpm.Res)</f>
        <v>#NAME?</v>
      </c>
      <c r="AT59" s="855" t="e" cm="1">
        <f t="array" ca="1" aca="1" ref="AT59">_xlfn.LET(_xlpm.val,IF($F59="",val_blankRefText,_xldudf_CX_GET(CX_ENTITY,$F59,AT$11,AT$14,,(AT$44))),_xlpm.Res,IF(OR(_xlpm.val="",_xlpm.val="Error"),"",_xlpm.val),_xlpm.Res)</f>
        <v>#NAME?</v>
      </c>
      <c r="AU59" s="855" t="e" cm="1">
        <f t="array" ca="1" aca="1" ref="AU59">_xlfn.LET(_xlpm.val,IF($F59="",val_blankRefText,_xldudf_CX_GET(CX_ENTITY,$F59,AU$11,AU$14,,(AU$44))),_xlpm.Res,IF(OR(_xlpm.val="",_xlpm.val="Error"),"",_xlpm.val),_xlpm.Res)</f>
        <v>#NAME?</v>
      </c>
      <c r="AV59" s="855" t="e" cm="1">
        <f t="array" ca="1" aca="1" ref="AV59">_xlfn.LET(_xlpm.val,IF($F59="",val_blankRefText,_xldudf_CX_GET(CX_ENTITY,$F59,AV$11,AV$14,,(AV$44))),_xlpm.Res,IF(OR(_xlpm.val="",_xlpm.val="Error"),"",_xlpm.val),_xlpm.Res)</f>
        <v>#NAME?</v>
      </c>
      <c r="AW59" s="855" t="e" cm="1">
        <f t="array" ca="1" aca="1" ref="AW59">_xlfn.LET(_xlpm.val,IF($F59="",val_blankRefText,_xldudf_CX_GET(CX_ENTITY,$F59,AW$11,AW$14,,(AW$44))),_xlpm.Res,IF(OR(_xlpm.val="",_xlpm.val="Error"),"",_xlpm.val),_xlpm.Res)</f>
        <v>#NAME?</v>
      </c>
      <c r="AX59" s="855" t="e" cm="1">
        <f t="array" ca="1" aca="1" ref="AX59">_xlfn.LET(_xlpm.val,IF($F59="",val_blankRefText,_xldudf_CX_GET(CX_ENTITY,$F59,AX$11,AX$14,,(AX$44))),_xlpm.Res,IF(OR(_xlpm.val="",_xlpm.val="Error"),"",_xlpm.val),_xlpm.Res)</f>
        <v>#NAME?</v>
      </c>
      <c r="AY59" s="855" t="e" cm="1">
        <f t="array" ca="1" aca="1" ref="AY59">_xlfn.LET(_xlpm.val,IF($F59="",val_blankRefText,_xldudf_CX_GET(CX_ENTITY,$F59,AY$11,AY$14,,(AY$44))),_xlpm.Res,IF(OR(_xlpm.val="",_xlpm.val="Error"),"",_xlpm.val),_xlpm.Res)</f>
        <v>#NAME?</v>
      </c>
      <c r="AZ59" s="855" t="e" cm="1">
        <f t="array" ca="1" aca="1" ref="AZ59">_xlfn.LET(_xlpm.val,IF($F59="",val_blankRefText,_xldudf_CX_GET(CX_ENTITY,$F59,AZ$11,AZ$14,,(AZ$44))),_xlpm.Res,IF(OR(_xlpm.val="",_xlpm.val="Error"),"",_xlpm.val),_xlpm.Res)</f>
        <v>#NAME?</v>
      </c>
      <c r="BA59" s="855" t="e" cm="1">
        <f t="array" ca="1" aca="1" ref="BA59">_xlfn.LET(_xlpm.val,IF($F59="",val_blankRefText,_xldudf_CX_GET(CX_ENTITY,$F59,BA$11,BA$14,,(BA$44))),_xlpm.Res,IF(OR(_xlpm.val="",_xlpm.val="Error"),"",_xlpm.val),_xlpm.Res)</f>
        <v>#NAME?</v>
      </c>
      <c r="BB59" s="855" t="e" cm="1">
        <f t="array" ca="1" aca="1" ref="BB59">_xlfn.LET(_xlpm.val,IF($F59="",val_blankRefText,_xldudf_CX_GET(CX_ENTITY,$F59,BB$11,BB$14,,(BB$44))),_xlpm.Res,IF(OR(_xlpm.val="",_xlpm.val="Error"),"",_xlpm.val),_xlpm.Res)</f>
        <v>#NAME?</v>
      </c>
      <c r="BC59" s="855" t="e" cm="1">
        <f t="array" ca="1" aca="1" ref="BC59">_xlfn.LET(_xlpm.val,IF($F59="",val_blankRefText,_xldudf_CX_GET(CX_ENTITY,$F59,BC$11,BC$14,,(BC$44))),_xlpm.Res,IF(OR(_xlpm.val="",_xlpm.val="Error"),"",_xlpm.val),_xlpm.Res)</f>
        <v>#NAME?</v>
      </c>
      <c r="BD59" s="855" t="e" cm="1">
        <f t="array" ca="1" aca="1" ref="BD59">_xlfn.LET(_xlpm.val,IF($F59="",val_blankRefText,_xldudf_CX_GET(CX_ENTITY,$F59,BD$11,BD$14,,(BD$44))),_xlpm.Res,IF(OR(_xlpm.val="",_xlpm.val="Error"),"",_xlpm.val),_xlpm.Res)</f>
        <v>#NAME?</v>
      </c>
      <c r="BE59" s="855" t="e" cm="1">
        <f t="array" ca="1" aca="1" ref="BE59">_xlfn.LET(_xlpm.val,IF($F59="",val_blankRefText,_xldudf_CX_GET(CX_ENTITY,$F59,BE$11,BE$14,,(BE$44))),_xlpm.Res,IF(OR(_xlpm.val="",_xlpm.val="Error"),"",_xlpm.val),_xlpm.Res)</f>
        <v>#NAME?</v>
      </c>
      <c r="BF59" s="855" t="e" cm="1">
        <f t="array" ca="1" aca="1" ref="BF59">_xlfn.LET(_xlpm.val,IF($F59="",val_blankRefText,_xldudf_CX_GET(CX_ENTITY,$F59,BF$11,BF$14,,(BF$44))),_xlpm.Res,IF(OR(_xlpm.val="",_xlpm.val="Error"),"",_xlpm.val),_xlpm.Res)</f>
        <v>#NAME?</v>
      </c>
      <c r="BG59" s="855" t="e" cm="1">
        <f t="array" ca="1" aca="1" ref="BG59">_xlfn.LET(_xlpm.val,IF($F59="",val_blankRefText,_xldudf_CX_GET(CX_ENTITY,$F59,BG$11,BG$14,,(BG$44))),_xlpm.Res,IF(OR(_xlpm.val="",_xlpm.val="Error"),"",_xlpm.val),_xlpm.Res)</f>
        <v>#NAME?</v>
      </c>
      <c r="BH59" s="855" t="e" cm="1">
        <f t="array" ca="1" aca="1" ref="BH59">_xlfn.LET(_xlpm.val,IF($F59="",val_blankRefText,_xldudf_CX_GET(CX_ENTITY,$F59,BH$11,BH$14,,(BH$44))),_xlpm.Res,IF(OR(_xlpm.val="",_xlpm.val="Error"),"",_xlpm.val),_xlpm.Res)</f>
        <v>#NAME?</v>
      </c>
      <c r="BI59" s="855" t="e" cm="1">
        <f t="array" ca="1" aca="1" ref="BI59">_xlfn.LET(_xlpm.val,IF($F59="",val_blankRefText,_xldudf_CX_GET(CX_ENTITY,$F59,BI$11,BI$14,,(BI$44))),_xlpm.Res,IF(OR(_xlpm.val="",_xlpm.val="Error"),"",_xlpm.val),_xlpm.Res)</f>
        <v>#NAME?</v>
      </c>
      <c r="BJ59" s="855" t="e" cm="1">
        <f t="array" ca="1" aca="1" ref="BJ59">_xlfn.LET(_xlpm.val,IF($F59="",val_blankRefText,_xldudf_CX_GET(CX_ENTITY,$F59,BJ$11,BJ$14,,(BJ$44))),_xlpm.Res,IF(OR(_xlpm.val="",_xlpm.val="Error"),"",_xlpm.val),_xlpm.Res)</f>
        <v>#NAME?</v>
      </c>
      <c r="BK59" s="855" t="e" cm="1">
        <f t="array" ca="1" aca="1" ref="BK59">_xlfn.LET(_xlpm.val,IF($F59="",val_blankRefText,_xldudf_CX_GET(CX_ENTITY,$F59,BK$11,BK$14,,(BK$44))),_xlpm.Res,IF(OR(_xlpm.val="",_xlpm.val="Error"),"",_xlpm.val),_xlpm.Res)</f>
        <v>#NAME?</v>
      </c>
      <c r="BL59" s="855" t="e" cm="1">
        <f t="array" ca="1" aca="1" ref="BL59">_xlfn.LET(_xlpm.val,IF($F59="",val_blankRefText,_xldudf_CX_GET(CX_ENTITY,$F59,BL$11,BL$14,,(BL$44))),_xlpm.Res,IF(OR(_xlpm.val="",_xlpm.val="Error"),"",_xlpm.val),_xlpm.Res)</f>
        <v>#NAME?</v>
      </c>
      <c r="BM59" s="855" t="e" cm="1">
        <f t="array" ca="1" aca="1" ref="BM59">_xlfn.LET(_xlpm.val,IF($F59="",val_blankRefText,_xldudf_CX_GET(CX_ENTITY,$F59,BM$11,BM$14,,(BM$44))),_xlpm.Res,IF(OR(_xlpm.val="",_xlpm.val="Error"),"",_xlpm.val),_xlpm.Res)</f>
        <v>#NAME?</v>
      </c>
      <c r="BN59" s="855" t="e" cm="1">
        <f t="array" ca="1" aca="1" ref="BN59">_xlfn.LET(_xlpm.val,IF($F59="",val_blankRefText,_xldudf_CX_GET(CX_ENTITY,$F59,BN$11,BN$14,,(BN$44))),_xlpm.Res,IF(OR(_xlpm.val="",_xlpm.val="Error"),"",_xlpm.val),_xlpm.Res)</f>
        <v>#NAME?</v>
      </c>
      <c r="BO59" s="1844"/>
      <c r="BP59" s="1844"/>
      <c r="BQ59" s="1844"/>
      <c r="BR59" s="1844"/>
      <c r="BS59" s="1844"/>
      <c r="BT59" s="1844"/>
      <c r="BU59" s="1844"/>
      <c r="BV59" s="1844"/>
      <c r="BW59" s="1844"/>
      <c r="BX59" s="1844"/>
      <c r="BY59" s="1844"/>
      <c r="BZ59" s="1844"/>
      <c r="CA59" s="384"/>
      <c r="CC59" s="33"/>
      <c r="CD59" s="1461" t="e" cm="1">
        <f t="array" ca="1" aca="1" ref="CD59">_xlfn.LET(_xlpm.CheckBlank,SUM(CF!$AD59:$BN59)=0,IF(_xlpm.CheckBlank,"",SUM(_xlfn._xlws.FILTER(CF!$AD59:$BN59,(YEAR(CF!$AD$12:$BN$12)=CF!CD$12)*(array_timeline&lt;=CF!CD$11)))))</f>
        <v>#NAME?</v>
      </c>
      <c r="CE59" s="1461" t="e" cm="1">
        <f t="array" ca="1" aca="1" ref="CE59">_xlfn.LET(_xlpm.CheckBlank,SUM(CF!$AD59:$BN59)=0,IF(_xlpm.CheckBlank,"",SUM(_xlfn._xlws.FILTER(CF!$AD59:$BN59,(YEAR(CF!$AD$12:$BN$12)=CF!CE$12)*(array_timeline&lt;=CF!CE$11)))))</f>
        <v>#NAME?</v>
      </c>
      <c r="CF59" s="1314"/>
      <c r="CG59" s="1461" t="e" cm="1">
        <f t="array" ca="1" aca="1" ref="CG59">_xlfn.LET(_xlpm.CheckBlank,SUM(CF!$AD59:$BN59)=0,IF(_xlpm.CheckBlank,"",SUM(_xlfn._xlws.FILTER(CF!$AD59:$BN59,(YEAR(CF!$AD$12:$BN$12)=CF!CG$12)*(array_timeline&lt;=CF!CG$11)))))</f>
        <v>#NAME?</v>
      </c>
      <c r="CH59" s="1461" t="e" cm="1">
        <f t="array" ca="1" aca="1" ref="CH59">_xlfn.LET(_xlpm.CheckBlank,SUM(CF!$AD59:$BN59)=0,IF(_xlpm.CheckBlank,"",SUM(_xlfn._xlws.FILTER(CF!$AD59:$BN59,(YEAR(CF!$AD$12:$BN$12)=CF!CH$12)*(array_timeline&lt;=CF!CH$11)))))</f>
        <v>#NAME?</v>
      </c>
      <c r="CI59" s="1314"/>
      <c r="CJ59" s="1657" cm="1">
        <f t="array" ref="CJ59">_xlfn.LET(_xlpm.CheckBlank,SUM(CF!$AD59:$BN59)=0,IF(_xlpm.CheckBlank,"",SUM(_xlfn.TAKE(_xlfn.DROP(CF!$AD59:$BN59,,-DATEDIFF(CF!CJ$11,val_asOfDate,"M")),1,-12))))</f>
        <v>12</v>
      </c>
      <c r="CK59" s="1657" cm="1">
        <f t="array" ref="CK59">_xlfn.LET(_xlpm.CheckBlank,SUM(CF!$AD59:$BN59)=0,IF(_xlpm.CheckBlank,"",SUM(_xlfn.TAKE(_xlfn.DROP(CF!$AD59:$BN59,,-DATEDIFF(CF!CK$11,val_asOfDate,"M")),1,-12))))</f>
        <v>12</v>
      </c>
      <c r="CL59" s="88"/>
      <c r="CM59" s="541" t="e">
        <f ca="1" t="shared" si="26" ref="CM59">CM34</f>
        <v>#NAME?</v>
      </c>
      <c r="CN59" s="541" t="e">
        <f t="shared" ca="1" si="11"/>
        <v>#NAME?</v>
      </c>
      <c r="CO59" s="34"/>
      <c r="CR59" s="4"/>
      <c r="CS59" s="4"/>
      <c r="CW59" s="4"/>
    </row>
    <row r="60" spans="1:101" ht="21" customHeight="1">
      <c r="A60" s="696"/>
      <c r="B60" s="574" t="s">
        <v>252</v>
      </c>
      <c r="C60" s="574" t="str">
        <f t="shared" si="7"/>
        <v>Other Financing Cash Flows (Company View)</v>
      </c>
      <c r="D60" s="574"/>
      <c r="E60" s="577" t="e" cm="1">
        <f t="array" ca="1" aca="1" ref="E60">_xlfn.LET(_xlpm.Attr,$C60,_xlpm.Lookback,$E$16,_xlpm.QueryDate,EOMONTH(val_asOfDate,_xlpm.Lookback),_xlpm.ReadField,_xldudf_CX_GET(CX_ENTITY,fx_attrConverter($C60),_xlpm.QueryDate),_xlpm.AttrBlank,_xlpm.Attr="",_xlpm.RESULT,IF(_xlpm.AttrBlank,val_blankRefText,fx_attrConverter(_xlpm.ReadField,0)),IF(_xlpm.RESULT="Error","",_xlpm.RESULT))</f>
        <v>#NAME?</v>
      </c>
      <c r="F60" s="577" t="str">
        <f t="shared" si="8"/>
        <v>Other Financing Cash Flows</v>
      </c>
      <c r="G60" s="401"/>
      <c r="H60" s="3280">
        <v>1</v>
      </c>
      <c r="I60" s="3280">
        <v>1</v>
      </c>
      <c r="J60" s="401"/>
      <c r="K60" s="401"/>
      <c r="L60" s="3269" t="b">
        <v>1</v>
      </c>
      <c r="N60" s="158"/>
      <c r="O60" s="101"/>
      <c r="P60" s="52"/>
      <c r="Q60" s="101"/>
      <c r="R60" s="126"/>
      <c r="S60" s="101"/>
      <c r="T60" s="101"/>
      <c r="U60" s="39"/>
      <c r="W60" s="932" t="str">
        <f t="shared" si="13"/>
        <v>Budget</v>
      </c>
      <c r="X60" s="761" t="s">
        <v>62</v>
      </c>
      <c r="Y60" s="88" t="e">
        <f t="shared" ca="1" si="9"/>
        <v>#NAME?</v>
      </c>
      <c r="Z60" s="3300" cm="1">
        <f t="array" ref="Z60">_xlfn.SWITCH(TRUE,_CF!$L60=TRUE,1,_CF!$L60=FALSE,-1,_CF!$L60=-1,0,"n/a")</f>
        <v>1</v>
      </c>
      <c r="AA60" s="200"/>
      <c r="AB60" s="88" t="str">
        <f t="shared" si="10"/>
        <v>Other Financing Cash Flows</v>
      </c>
      <c r="AC60" s="88"/>
      <c r="AD60" s="855" t="e" cm="1">
        <f t="array" ca="1" aca="1" ref="AD60">_xlfn.LET(_xlpm.val,IF($F60="",val_blankRefText,_xldudf_CX_GET(CX_ENTITY,$F60,AD$11,AD$14,,(AD$44))),_xlpm.Res,IF(OR(_xlpm.val="",_xlpm.val="Error"),"",_xlpm.val),_xlpm.Res)</f>
        <v>#NAME?</v>
      </c>
      <c r="AE60" s="855" t="e" cm="1">
        <f t="array" ca="1" aca="1" ref="AE60">_xlfn.LET(_xlpm.val,IF($F60="",val_blankRefText,_xldudf_CX_GET(CX_ENTITY,$F60,AE$11,AE$14,,(AE$44))),_xlpm.Res,IF(OR(_xlpm.val="",_xlpm.val="Error"),"",_xlpm.val),_xlpm.Res)</f>
        <v>#NAME?</v>
      </c>
      <c r="AF60" s="855" t="e" cm="1">
        <f t="array" ca="1" aca="1" ref="AF60">_xlfn.LET(_xlpm.val,IF($F60="",val_blankRefText,_xldudf_CX_GET(CX_ENTITY,$F60,AF$11,AF$14,,(AF$44))),_xlpm.Res,IF(OR(_xlpm.val="",_xlpm.val="Error"),"",_xlpm.val),_xlpm.Res)</f>
        <v>#NAME?</v>
      </c>
      <c r="AG60" s="855" t="e" cm="1">
        <f t="array" ca="1" aca="1" ref="AG60">_xlfn.LET(_xlpm.val,IF($F60="",val_blankRefText,_xldudf_CX_GET(CX_ENTITY,$F60,AG$11,AG$14,,(AG$44))),_xlpm.Res,IF(OR(_xlpm.val="",_xlpm.val="Error"),"",_xlpm.val),_xlpm.Res)</f>
        <v>#NAME?</v>
      </c>
      <c r="AH60" s="855" t="e" cm="1">
        <f t="array" ca="1" aca="1" ref="AH60">_xlfn.LET(_xlpm.val,IF($F60="",val_blankRefText,_xldudf_CX_GET(CX_ENTITY,$F60,AH$11,AH$14,,(AH$44))),_xlpm.Res,IF(OR(_xlpm.val="",_xlpm.val="Error"),"",_xlpm.val),_xlpm.Res)</f>
        <v>#NAME?</v>
      </c>
      <c r="AI60" s="855" t="e" cm="1">
        <f t="array" ca="1" aca="1" ref="AI60">_xlfn.LET(_xlpm.val,IF($F60="",val_blankRefText,_xldudf_CX_GET(CX_ENTITY,$F60,AI$11,AI$14,,(AI$44))),_xlpm.Res,IF(OR(_xlpm.val="",_xlpm.val="Error"),"",_xlpm.val),_xlpm.Res)</f>
        <v>#NAME?</v>
      </c>
      <c r="AJ60" s="855" t="e" cm="1">
        <f t="array" ca="1" aca="1" ref="AJ60">_xlfn.LET(_xlpm.val,IF($F60="",val_blankRefText,_xldudf_CX_GET(CX_ENTITY,$F60,AJ$11,AJ$14,,(AJ$44))),_xlpm.Res,IF(OR(_xlpm.val="",_xlpm.val="Error"),"",_xlpm.val),_xlpm.Res)</f>
        <v>#NAME?</v>
      </c>
      <c r="AK60" s="855" t="e" cm="1">
        <f t="array" ca="1" aca="1" ref="AK60">_xlfn.LET(_xlpm.val,IF($F60="",val_blankRefText,_xldudf_CX_GET(CX_ENTITY,$F60,AK$11,AK$14,,(AK$44))),_xlpm.Res,IF(OR(_xlpm.val="",_xlpm.val="Error"),"",_xlpm.val),_xlpm.Res)</f>
        <v>#NAME?</v>
      </c>
      <c r="AL60" s="855" t="e" cm="1">
        <f t="array" ca="1" aca="1" ref="AL60">_xlfn.LET(_xlpm.val,IF($F60="",val_blankRefText,_xldudf_CX_GET(CX_ENTITY,$F60,AL$11,AL$14,,(AL$44))),_xlpm.Res,IF(OR(_xlpm.val="",_xlpm.val="Error"),"",_xlpm.val),_xlpm.Res)</f>
        <v>#NAME?</v>
      </c>
      <c r="AM60" s="855" t="e" cm="1">
        <f t="array" ca="1" aca="1" ref="AM60">_xlfn.LET(_xlpm.val,IF($F60="",val_blankRefText,_xldudf_CX_GET(CX_ENTITY,$F60,AM$11,AM$14,,(AM$44))),_xlpm.Res,IF(OR(_xlpm.val="",_xlpm.val="Error"),"",_xlpm.val),_xlpm.Res)</f>
        <v>#NAME?</v>
      </c>
      <c r="AN60" s="855" t="e" cm="1">
        <f t="array" ca="1" aca="1" ref="AN60">_xlfn.LET(_xlpm.val,IF($F60="",val_blankRefText,_xldudf_CX_GET(CX_ENTITY,$F60,AN$11,AN$14,,(AN$44))),_xlpm.Res,IF(OR(_xlpm.val="",_xlpm.val="Error"),"",_xlpm.val),_xlpm.Res)</f>
        <v>#NAME?</v>
      </c>
      <c r="AO60" s="855" t="e" cm="1">
        <f t="array" ca="1" aca="1" ref="AO60">_xlfn.LET(_xlpm.val,IF($F60="",val_blankRefText,_xldudf_CX_GET(CX_ENTITY,$F60,AO$11,AO$14,,(AO$44))),_xlpm.Res,IF(OR(_xlpm.val="",_xlpm.val="Error"),"",_xlpm.val),_xlpm.Res)</f>
        <v>#NAME?</v>
      </c>
      <c r="AP60" s="855" t="e" cm="1">
        <f t="array" ca="1" aca="1" ref="AP60">_xlfn.LET(_xlpm.val,IF($F60="",val_blankRefText,_xldudf_CX_GET(CX_ENTITY,$F60,AP$11,AP$14,,(AP$44))),_xlpm.Res,IF(OR(_xlpm.val="",_xlpm.val="Error"),"",_xlpm.val),_xlpm.Res)</f>
        <v>#NAME?</v>
      </c>
      <c r="AQ60" s="855" t="e" cm="1">
        <f t="array" ca="1" aca="1" ref="AQ60">_xlfn.LET(_xlpm.val,IF($F60="",val_blankRefText,_xldudf_CX_GET(CX_ENTITY,$F60,AQ$11,AQ$14,,(AQ$44))),_xlpm.Res,IF(OR(_xlpm.val="",_xlpm.val="Error"),"",_xlpm.val),_xlpm.Res)</f>
        <v>#NAME?</v>
      </c>
      <c r="AR60" s="855" t="e" cm="1">
        <f t="array" ca="1" aca="1" ref="AR60">_xlfn.LET(_xlpm.val,IF($F60="",val_blankRefText,_xldudf_CX_GET(CX_ENTITY,$F60,AR$11,AR$14,,(AR$44))),_xlpm.Res,IF(OR(_xlpm.val="",_xlpm.val="Error"),"",_xlpm.val),_xlpm.Res)</f>
        <v>#NAME?</v>
      </c>
      <c r="AS60" s="855" t="e" cm="1">
        <f t="array" ca="1" aca="1" ref="AS60">_xlfn.LET(_xlpm.val,IF($F60="",val_blankRefText,_xldudf_CX_GET(CX_ENTITY,$F60,AS$11,AS$14,,(AS$44))),_xlpm.Res,IF(OR(_xlpm.val="",_xlpm.val="Error"),"",_xlpm.val),_xlpm.Res)</f>
        <v>#NAME?</v>
      </c>
      <c r="AT60" s="855" t="e" cm="1">
        <f t="array" ca="1" aca="1" ref="AT60">_xlfn.LET(_xlpm.val,IF($F60="",val_blankRefText,_xldudf_CX_GET(CX_ENTITY,$F60,AT$11,AT$14,,(AT$44))),_xlpm.Res,IF(OR(_xlpm.val="",_xlpm.val="Error"),"",_xlpm.val),_xlpm.Res)</f>
        <v>#NAME?</v>
      </c>
      <c r="AU60" s="855" t="e" cm="1">
        <f t="array" ca="1" aca="1" ref="AU60">_xlfn.LET(_xlpm.val,IF($F60="",val_blankRefText,_xldudf_CX_GET(CX_ENTITY,$F60,AU$11,AU$14,,(AU$44))),_xlpm.Res,IF(OR(_xlpm.val="",_xlpm.val="Error"),"",_xlpm.val),_xlpm.Res)</f>
        <v>#NAME?</v>
      </c>
      <c r="AV60" s="855" t="e" cm="1">
        <f t="array" ca="1" aca="1" ref="AV60">_xlfn.LET(_xlpm.val,IF($F60="",val_blankRefText,_xldudf_CX_GET(CX_ENTITY,$F60,AV$11,AV$14,,(AV$44))),_xlpm.Res,IF(OR(_xlpm.val="",_xlpm.val="Error"),"",_xlpm.val),_xlpm.Res)</f>
        <v>#NAME?</v>
      </c>
      <c r="AW60" s="855" t="e" cm="1">
        <f t="array" ca="1" aca="1" ref="AW60">_xlfn.LET(_xlpm.val,IF($F60="",val_blankRefText,_xldudf_CX_GET(CX_ENTITY,$F60,AW$11,AW$14,,(AW$44))),_xlpm.Res,IF(OR(_xlpm.val="",_xlpm.val="Error"),"",_xlpm.val),_xlpm.Res)</f>
        <v>#NAME?</v>
      </c>
      <c r="AX60" s="855" t="e" cm="1">
        <f t="array" ca="1" aca="1" ref="AX60">_xlfn.LET(_xlpm.val,IF($F60="",val_blankRefText,_xldudf_CX_GET(CX_ENTITY,$F60,AX$11,AX$14,,(AX$44))),_xlpm.Res,IF(OR(_xlpm.val="",_xlpm.val="Error"),"",_xlpm.val),_xlpm.Res)</f>
        <v>#NAME?</v>
      </c>
      <c r="AY60" s="855" t="e" cm="1">
        <f t="array" ca="1" aca="1" ref="AY60">_xlfn.LET(_xlpm.val,IF($F60="",val_blankRefText,_xldudf_CX_GET(CX_ENTITY,$F60,AY$11,AY$14,,(AY$44))),_xlpm.Res,IF(OR(_xlpm.val="",_xlpm.val="Error"),"",_xlpm.val),_xlpm.Res)</f>
        <v>#NAME?</v>
      </c>
      <c r="AZ60" s="855" t="e" cm="1">
        <f t="array" ca="1" aca="1" ref="AZ60">_xlfn.LET(_xlpm.val,IF($F60="",val_blankRefText,_xldudf_CX_GET(CX_ENTITY,$F60,AZ$11,AZ$14,,(AZ$44))),_xlpm.Res,IF(OR(_xlpm.val="",_xlpm.val="Error"),"",_xlpm.val),_xlpm.Res)</f>
        <v>#NAME?</v>
      </c>
      <c r="BA60" s="855" t="e" cm="1">
        <f t="array" ca="1" aca="1" ref="BA60">_xlfn.LET(_xlpm.val,IF($F60="",val_blankRefText,_xldudf_CX_GET(CX_ENTITY,$F60,BA$11,BA$14,,(BA$44))),_xlpm.Res,IF(OR(_xlpm.val="",_xlpm.val="Error"),"",_xlpm.val),_xlpm.Res)</f>
        <v>#NAME?</v>
      </c>
      <c r="BB60" s="855" t="e" cm="1">
        <f t="array" ca="1" aca="1" ref="BB60">_xlfn.LET(_xlpm.val,IF($F60="",val_blankRefText,_xldudf_CX_GET(CX_ENTITY,$F60,BB$11,BB$14,,(BB$44))),_xlpm.Res,IF(OR(_xlpm.val="",_xlpm.val="Error"),"",_xlpm.val),_xlpm.Res)</f>
        <v>#NAME?</v>
      </c>
      <c r="BC60" s="855" t="e" cm="1">
        <f t="array" ca="1" aca="1" ref="BC60">_xlfn.LET(_xlpm.val,IF($F60="",val_blankRefText,_xldudf_CX_GET(CX_ENTITY,$F60,BC$11,BC$14,,(BC$44))),_xlpm.Res,IF(OR(_xlpm.val="",_xlpm.val="Error"),"",_xlpm.val),_xlpm.Res)</f>
        <v>#NAME?</v>
      </c>
      <c r="BD60" s="855" t="e" cm="1">
        <f t="array" ca="1" aca="1" ref="BD60">_xlfn.LET(_xlpm.val,IF($F60="",val_blankRefText,_xldudf_CX_GET(CX_ENTITY,$F60,BD$11,BD$14,,(BD$44))),_xlpm.Res,IF(OR(_xlpm.val="",_xlpm.val="Error"),"",_xlpm.val),_xlpm.Res)</f>
        <v>#NAME?</v>
      </c>
      <c r="BE60" s="855" t="e" cm="1">
        <f t="array" ca="1" aca="1" ref="BE60">_xlfn.LET(_xlpm.val,IF($F60="",val_blankRefText,_xldudf_CX_GET(CX_ENTITY,$F60,BE$11,BE$14,,(BE$44))),_xlpm.Res,IF(OR(_xlpm.val="",_xlpm.val="Error"),"",_xlpm.val),_xlpm.Res)</f>
        <v>#NAME?</v>
      </c>
      <c r="BF60" s="855" t="e" cm="1">
        <f t="array" ca="1" aca="1" ref="BF60">_xlfn.LET(_xlpm.val,IF($F60="",val_blankRefText,_xldudf_CX_GET(CX_ENTITY,$F60,BF$11,BF$14,,(BF$44))),_xlpm.Res,IF(OR(_xlpm.val="",_xlpm.val="Error"),"",_xlpm.val),_xlpm.Res)</f>
        <v>#NAME?</v>
      </c>
      <c r="BG60" s="855" t="e" cm="1">
        <f t="array" ca="1" aca="1" ref="BG60">_xlfn.LET(_xlpm.val,IF($F60="",val_blankRefText,_xldudf_CX_GET(CX_ENTITY,$F60,BG$11,BG$14,,(BG$44))),_xlpm.Res,IF(OR(_xlpm.val="",_xlpm.val="Error"),"",_xlpm.val),_xlpm.Res)</f>
        <v>#NAME?</v>
      </c>
      <c r="BH60" s="855" t="e" cm="1">
        <f t="array" ca="1" aca="1" ref="BH60">_xlfn.LET(_xlpm.val,IF($F60="",val_blankRefText,_xldudf_CX_GET(CX_ENTITY,$F60,BH$11,BH$14,,(BH$44))),_xlpm.Res,IF(OR(_xlpm.val="",_xlpm.val="Error"),"",_xlpm.val),_xlpm.Res)</f>
        <v>#NAME?</v>
      </c>
      <c r="BI60" s="855" t="e" cm="1">
        <f t="array" ca="1" aca="1" ref="BI60">_xlfn.LET(_xlpm.val,IF($F60="",val_blankRefText,_xldudf_CX_GET(CX_ENTITY,$F60,BI$11,BI$14,,(BI$44))),_xlpm.Res,IF(OR(_xlpm.val="",_xlpm.val="Error"),"",_xlpm.val),_xlpm.Res)</f>
        <v>#NAME?</v>
      </c>
      <c r="BJ60" s="855" t="e" cm="1">
        <f t="array" ca="1" aca="1" ref="BJ60">_xlfn.LET(_xlpm.val,IF($F60="",val_blankRefText,_xldudf_CX_GET(CX_ENTITY,$F60,BJ$11,BJ$14,,(BJ$44))),_xlpm.Res,IF(OR(_xlpm.val="",_xlpm.val="Error"),"",_xlpm.val),_xlpm.Res)</f>
        <v>#NAME?</v>
      </c>
      <c r="BK60" s="855" t="e" cm="1">
        <f t="array" ca="1" aca="1" ref="BK60">_xlfn.LET(_xlpm.val,IF($F60="",val_blankRefText,_xldudf_CX_GET(CX_ENTITY,$F60,BK$11,BK$14,,(BK$44))),_xlpm.Res,IF(OR(_xlpm.val="",_xlpm.val="Error"),"",_xlpm.val),_xlpm.Res)</f>
        <v>#NAME?</v>
      </c>
      <c r="BL60" s="855" t="e" cm="1">
        <f t="array" ca="1" aca="1" ref="BL60">_xlfn.LET(_xlpm.val,IF($F60="",val_blankRefText,_xldudf_CX_GET(CX_ENTITY,$F60,BL$11,BL$14,,(BL$44))),_xlpm.Res,IF(OR(_xlpm.val="",_xlpm.val="Error"),"",_xlpm.val),_xlpm.Res)</f>
        <v>#NAME?</v>
      </c>
      <c r="BM60" s="855" t="e" cm="1">
        <f t="array" ca="1" aca="1" ref="BM60">_xlfn.LET(_xlpm.val,IF($F60="",val_blankRefText,_xldudf_CX_GET(CX_ENTITY,$F60,BM$11,BM$14,,(BM$44))),_xlpm.Res,IF(OR(_xlpm.val="",_xlpm.val="Error"),"",_xlpm.val),_xlpm.Res)</f>
        <v>#NAME?</v>
      </c>
      <c r="BN60" s="855" t="e" cm="1">
        <f t="array" ca="1" aca="1" ref="BN60">_xlfn.LET(_xlpm.val,IF($F60="",val_blankRefText,_xldudf_CX_GET(CX_ENTITY,$F60,BN$11,BN$14,,(BN$44))),_xlpm.Res,IF(OR(_xlpm.val="",_xlpm.val="Error"),"",_xlpm.val),_xlpm.Res)</f>
        <v>#NAME?</v>
      </c>
      <c r="BO60" s="1844"/>
      <c r="BP60" s="1844"/>
      <c r="BQ60" s="1844"/>
      <c r="BR60" s="1844"/>
      <c r="BS60" s="1844"/>
      <c r="BT60" s="1844"/>
      <c r="BU60" s="1844"/>
      <c r="BV60" s="1844"/>
      <c r="BW60" s="1844"/>
      <c r="BX60" s="1844"/>
      <c r="BY60" s="1844"/>
      <c r="BZ60" s="1844"/>
      <c r="CA60" s="384"/>
      <c r="CC60" s="33"/>
      <c r="CD60" s="1461" t="e" cm="1">
        <f t="array" ca="1" aca="1" ref="CD60">_xlfn.LET(_xlpm.CheckBlank,SUM(CF!$AD60:$BN60)=0,IF(_xlpm.CheckBlank,"",SUM(_xlfn._xlws.FILTER(CF!$AD60:$BN60,(YEAR(CF!$AD$12:$BN$12)=CF!CD$12)*(array_timeline&lt;=CF!CD$11)))))</f>
        <v>#NAME?</v>
      </c>
      <c r="CE60" s="1461" t="e" cm="1">
        <f t="array" ca="1" aca="1" ref="CE60">_xlfn.LET(_xlpm.CheckBlank,SUM(CF!$AD60:$BN60)=0,IF(_xlpm.CheckBlank,"",SUM(_xlfn._xlws.FILTER(CF!$AD60:$BN60,(YEAR(CF!$AD$12:$BN$12)=CF!CE$12)*(array_timeline&lt;=CF!CE$11)))))</f>
        <v>#NAME?</v>
      </c>
      <c r="CF60" s="1314"/>
      <c r="CG60" s="1461" t="e" cm="1">
        <f t="array" ca="1" aca="1" ref="CG60">_xlfn.LET(_xlpm.CheckBlank,SUM(CF!$AD60:$BN60)=0,IF(_xlpm.CheckBlank,"",SUM(_xlfn._xlws.FILTER(CF!$AD60:$BN60,(YEAR(CF!$AD$12:$BN$12)=CF!CG$12)*(array_timeline&lt;=CF!CG$11)))))</f>
        <v>#NAME?</v>
      </c>
      <c r="CH60" s="1461" t="e" cm="1">
        <f t="array" ca="1" aca="1" ref="CH60">_xlfn.LET(_xlpm.CheckBlank,SUM(CF!$AD60:$BN60)=0,IF(_xlpm.CheckBlank,"",SUM(_xlfn._xlws.FILTER(CF!$AD60:$BN60,(YEAR(CF!$AD$12:$BN$12)=CF!CH$12)*(array_timeline&lt;=CF!CH$11)))))</f>
        <v>#NAME?</v>
      </c>
      <c r="CI60" s="1314"/>
      <c r="CJ60" s="1657" cm="1">
        <f t="array" ref="CJ60">_xlfn.LET(_xlpm.CheckBlank,SUM(CF!$AD60:$BN60)=0,IF(_xlpm.CheckBlank,"",SUM(_xlfn.TAKE(_xlfn.DROP(CF!$AD60:$BN60,,-DATEDIFF(CF!CJ$11,val_asOfDate,"M")),1,-12))))</f>
        <v>12</v>
      </c>
      <c r="CK60" s="1657" cm="1">
        <f t="array" ref="CK60">_xlfn.LET(_xlpm.CheckBlank,SUM(CF!$AD60:$BN60)=0,IF(_xlpm.CheckBlank,"",SUM(_xlfn.TAKE(_xlfn.DROP(CF!$AD60:$BN60,,-DATEDIFF(CF!CK$11,val_asOfDate,"M")),1,-12))))</f>
        <v>12</v>
      </c>
      <c r="CL60" s="88"/>
      <c r="CM60" s="541" t="e">
        <f ca="1" t="shared" si="27" ref="CM60">CM35</f>
        <v>#NAME?</v>
      </c>
      <c r="CN60" s="541" t="e">
        <f t="shared" ca="1" si="11"/>
        <v>#NAME?</v>
      </c>
      <c r="CO60" s="34"/>
      <c r="CR60" s="4"/>
      <c r="CS60" s="4"/>
      <c r="CW60" s="4"/>
    </row>
    <row r="61" spans="1:101" ht="21" customHeight="1">
      <c r="A61" s="696"/>
      <c r="B61" s="574" t="s">
        <v>253</v>
      </c>
      <c r="C61" s="574" t="str">
        <f t="shared" si="7"/>
        <v>Unreconciled Cash Flows (Company View)</v>
      </c>
      <c r="D61" s="574"/>
      <c r="E61" s="577" t="e" cm="1">
        <f t="array" ca="1" aca="1" ref="E61">_xlfn.LET(_xlpm.Attr,$C61,_xlpm.Lookback,$E$16,_xlpm.QueryDate,EOMONTH(val_asOfDate,_xlpm.Lookback),_xlpm.ReadField,_xldudf_CX_GET(CX_ENTITY,fx_attrConverter($C61),_xlpm.QueryDate),_xlpm.AttrBlank,_xlpm.Attr="",_xlpm.RESULT,IF(_xlpm.AttrBlank,val_blankRefText,fx_attrConverter(_xlpm.ReadField,0)),IF(_xlpm.RESULT="Error","",_xlpm.RESULT))</f>
        <v>#NAME?</v>
      </c>
      <c r="F61" s="577" t="str">
        <f t="shared" si="8"/>
        <v>Unreconciled Cash Flows</v>
      </c>
      <c r="G61" s="401"/>
      <c r="H61" s="3280">
        <v>1</v>
      </c>
      <c r="I61" s="3280">
        <v>1</v>
      </c>
      <c r="J61" s="401"/>
      <c r="K61" s="401"/>
      <c r="L61" s="579">
        <v>-1</v>
      </c>
      <c r="N61" s="158"/>
      <c r="O61" s="101"/>
      <c r="P61" s="52"/>
      <c r="Q61" s="101"/>
      <c r="R61" s="126"/>
      <c r="S61" s="101"/>
      <c r="T61" s="101"/>
      <c r="U61" s="39"/>
      <c r="W61" s="932" t="str">
        <f t="shared" si="13"/>
        <v>Budget</v>
      </c>
      <c r="X61" s="807" t="s">
        <v>62</v>
      </c>
      <c r="Y61" s="97" t="e">
        <f t="shared" ca="1" si="9"/>
        <v>#NAME?</v>
      </c>
      <c r="Z61" s="200" cm="1">
        <f t="array" ref="Z61">_xlfn.SWITCH(TRUE,_CF!$L61=TRUE,1,_CF!$L61=FALSE,-1,_CF!$L61=-1,0,"n/a")</f>
        <v>0</v>
      </c>
      <c r="AA61" s="200"/>
      <c r="AB61" s="97" t="str">
        <f t="shared" si="10"/>
        <v>Unreconciled Cash Flows</v>
      </c>
      <c r="AC61" s="755"/>
      <c r="AD61" s="855" t="e" cm="1">
        <f t="array" ca="1" aca="1" ref="AD61">_xlfn.LET(_xlpm.val,IF($F61="",val_blankRefText,_xldudf_CX_GET(CX_ENTITY,$F61,AD$11,AD$14,,(AD$44))),_xlpm.Res,IF(OR(_xlpm.val="",_xlpm.val="Error"),"",_xlpm.val),_xlpm.Res)</f>
        <v>#NAME?</v>
      </c>
      <c r="AE61" s="855" t="e" cm="1">
        <f t="array" ca="1" aca="1" ref="AE61">_xlfn.LET(_xlpm.val,IF($F61="",val_blankRefText,_xldudf_CX_GET(CX_ENTITY,$F61,AE$11,AE$14,,(AE$44))),_xlpm.Res,IF(OR(_xlpm.val="",_xlpm.val="Error"),"",_xlpm.val),_xlpm.Res)</f>
        <v>#NAME?</v>
      </c>
      <c r="AF61" s="855" t="e" cm="1">
        <f t="array" ca="1" aca="1" ref="AF61">_xlfn.LET(_xlpm.val,IF($F61="",val_blankRefText,_xldudf_CX_GET(CX_ENTITY,$F61,AF$11,AF$14,,(AF$44))),_xlpm.Res,IF(OR(_xlpm.val="",_xlpm.val="Error"),"",_xlpm.val),_xlpm.Res)</f>
        <v>#NAME?</v>
      </c>
      <c r="AG61" s="855" t="e" cm="1">
        <f t="array" ca="1" aca="1" ref="AG61">_xlfn.LET(_xlpm.val,IF($F61="",val_blankRefText,_xldudf_CX_GET(CX_ENTITY,$F61,AG$11,AG$14,,(AG$44))),_xlpm.Res,IF(OR(_xlpm.val="",_xlpm.val="Error"),"",_xlpm.val),_xlpm.Res)</f>
        <v>#NAME?</v>
      </c>
      <c r="AH61" s="855" t="e" cm="1">
        <f t="array" ca="1" aca="1" ref="AH61">_xlfn.LET(_xlpm.val,IF($F61="",val_blankRefText,_xldudf_CX_GET(CX_ENTITY,$F61,AH$11,AH$14,,(AH$44))),_xlpm.Res,IF(OR(_xlpm.val="",_xlpm.val="Error"),"",_xlpm.val),_xlpm.Res)</f>
        <v>#NAME?</v>
      </c>
      <c r="AI61" s="855" t="e" cm="1">
        <f t="array" ca="1" aca="1" ref="AI61">_xlfn.LET(_xlpm.val,IF($F61="",val_blankRefText,_xldudf_CX_GET(CX_ENTITY,$F61,AI$11,AI$14,,(AI$44))),_xlpm.Res,IF(OR(_xlpm.val="",_xlpm.val="Error"),"",_xlpm.val),_xlpm.Res)</f>
        <v>#NAME?</v>
      </c>
      <c r="AJ61" s="855" t="e" cm="1">
        <f t="array" ca="1" aca="1" ref="AJ61">_xlfn.LET(_xlpm.val,IF($F61="",val_blankRefText,_xldudf_CX_GET(CX_ENTITY,$F61,AJ$11,AJ$14,,(AJ$44))),_xlpm.Res,IF(OR(_xlpm.val="",_xlpm.val="Error"),"",_xlpm.val),_xlpm.Res)</f>
        <v>#NAME?</v>
      </c>
      <c r="AK61" s="855" t="e" cm="1">
        <f t="array" ca="1" aca="1" ref="AK61">_xlfn.LET(_xlpm.val,IF($F61="",val_blankRefText,_xldudf_CX_GET(CX_ENTITY,$F61,AK$11,AK$14,,(AK$44))),_xlpm.Res,IF(OR(_xlpm.val="",_xlpm.val="Error"),"",_xlpm.val),_xlpm.Res)</f>
        <v>#NAME?</v>
      </c>
      <c r="AL61" s="855" t="e" cm="1">
        <f t="array" ca="1" aca="1" ref="AL61">_xlfn.LET(_xlpm.val,IF($F61="",val_blankRefText,_xldudf_CX_GET(CX_ENTITY,$F61,AL$11,AL$14,,(AL$44))),_xlpm.Res,IF(OR(_xlpm.val="",_xlpm.val="Error"),"",_xlpm.val),_xlpm.Res)</f>
        <v>#NAME?</v>
      </c>
      <c r="AM61" s="855" t="e" cm="1">
        <f t="array" ca="1" aca="1" ref="AM61">_xlfn.LET(_xlpm.val,IF($F61="",val_blankRefText,_xldudf_CX_GET(CX_ENTITY,$F61,AM$11,AM$14,,(AM$44))),_xlpm.Res,IF(OR(_xlpm.val="",_xlpm.val="Error"),"",_xlpm.val),_xlpm.Res)</f>
        <v>#NAME?</v>
      </c>
      <c r="AN61" s="855" t="e" cm="1">
        <f t="array" ca="1" aca="1" ref="AN61">_xlfn.LET(_xlpm.val,IF($F61="",val_blankRefText,_xldudf_CX_GET(CX_ENTITY,$F61,AN$11,AN$14,,(AN$44))),_xlpm.Res,IF(OR(_xlpm.val="",_xlpm.val="Error"),"",_xlpm.val),_xlpm.Res)</f>
        <v>#NAME?</v>
      </c>
      <c r="AO61" s="855" t="e" cm="1">
        <f t="array" ca="1" aca="1" ref="AO61">_xlfn.LET(_xlpm.val,IF($F61="",val_blankRefText,_xldudf_CX_GET(CX_ENTITY,$F61,AO$11,AO$14,,(AO$44))),_xlpm.Res,IF(OR(_xlpm.val="",_xlpm.val="Error"),"",_xlpm.val),_xlpm.Res)</f>
        <v>#NAME?</v>
      </c>
      <c r="AP61" s="855" t="e" cm="1">
        <f t="array" ca="1" aca="1" ref="AP61">_xlfn.LET(_xlpm.val,IF($F61="",val_blankRefText,_xldudf_CX_GET(CX_ENTITY,$F61,AP$11,AP$14,,(AP$44))),_xlpm.Res,IF(OR(_xlpm.val="",_xlpm.val="Error"),"",_xlpm.val),_xlpm.Res)</f>
        <v>#NAME?</v>
      </c>
      <c r="AQ61" s="855" t="e" cm="1">
        <f t="array" ca="1" aca="1" ref="AQ61">_xlfn.LET(_xlpm.val,IF($F61="",val_blankRefText,_xldudf_CX_GET(CX_ENTITY,$F61,AQ$11,AQ$14,,(AQ$44))),_xlpm.Res,IF(OR(_xlpm.val="",_xlpm.val="Error"),"",_xlpm.val),_xlpm.Res)</f>
        <v>#NAME?</v>
      </c>
      <c r="AR61" s="855" t="e" cm="1">
        <f t="array" ca="1" aca="1" ref="AR61">_xlfn.LET(_xlpm.val,IF($F61="",val_blankRefText,_xldudf_CX_GET(CX_ENTITY,$F61,AR$11,AR$14,,(AR$44))),_xlpm.Res,IF(OR(_xlpm.val="",_xlpm.val="Error"),"",_xlpm.val),_xlpm.Res)</f>
        <v>#NAME?</v>
      </c>
      <c r="AS61" s="855" t="e" cm="1">
        <f t="array" ca="1" aca="1" ref="AS61">_xlfn.LET(_xlpm.val,IF($F61="",val_blankRefText,_xldudf_CX_GET(CX_ENTITY,$F61,AS$11,AS$14,,(AS$44))),_xlpm.Res,IF(OR(_xlpm.val="",_xlpm.val="Error"),"",_xlpm.val),_xlpm.Res)</f>
        <v>#NAME?</v>
      </c>
      <c r="AT61" s="855" t="e" cm="1">
        <f t="array" ca="1" aca="1" ref="AT61">_xlfn.LET(_xlpm.val,IF($F61="",val_blankRefText,_xldudf_CX_GET(CX_ENTITY,$F61,AT$11,AT$14,,(AT$44))),_xlpm.Res,IF(OR(_xlpm.val="",_xlpm.val="Error"),"",_xlpm.val),_xlpm.Res)</f>
        <v>#NAME?</v>
      </c>
      <c r="AU61" s="855" t="e" cm="1">
        <f t="array" ca="1" aca="1" ref="AU61">_xlfn.LET(_xlpm.val,IF($F61="",val_blankRefText,_xldudf_CX_GET(CX_ENTITY,$F61,AU$11,AU$14,,(AU$44))),_xlpm.Res,IF(OR(_xlpm.val="",_xlpm.val="Error"),"",_xlpm.val),_xlpm.Res)</f>
        <v>#NAME?</v>
      </c>
      <c r="AV61" s="855" t="e" cm="1">
        <f t="array" ca="1" aca="1" ref="AV61">_xlfn.LET(_xlpm.val,IF($F61="",val_blankRefText,_xldudf_CX_GET(CX_ENTITY,$F61,AV$11,AV$14,,(AV$44))),_xlpm.Res,IF(OR(_xlpm.val="",_xlpm.val="Error"),"",_xlpm.val),_xlpm.Res)</f>
        <v>#NAME?</v>
      </c>
      <c r="AW61" s="855" t="e" cm="1">
        <f t="array" ca="1" aca="1" ref="AW61">_xlfn.LET(_xlpm.val,IF($F61="",val_blankRefText,_xldudf_CX_GET(CX_ENTITY,$F61,AW$11,AW$14,,(AW$44))),_xlpm.Res,IF(OR(_xlpm.val="",_xlpm.val="Error"),"",_xlpm.val),_xlpm.Res)</f>
        <v>#NAME?</v>
      </c>
      <c r="AX61" s="855" t="e" cm="1">
        <f t="array" ca="1" aca="1" ref="AX61">_xlfn.LET(_xlpm.val,IF($F61="",val_blankRefText,_xldudf_CX_GET(CX_ENTITY,$F61,AX$11,AX$14,,(AX$44))),_xlpm.Res,IF(OR(_xlpm.val="",_xlpm.val="Error"),"",_xlpm.val),_xlpm.Res)</f>
        <v>#NAME?</v>
      </c>
      <c r="AY61" s="855" t="e" cm="1">
        <f t="array" ca="1" aca="1" ref="AY61">_xlfn.LET(_xlpm.val,IF($F61="",val_blankRefText,_xldudf_CX_GET(CX_ENTITY,$F61,AY$11,AY$14,,(AY$44))),_xlpm.Res,IF(OR(_xlpm.val="",_xlpm.val="Error"),"",_xlpm.val),_xlpm.Res)</f>
        <v>#NAME?</v>
      </c>
      <c r="AZ61" s="855" t="e" cm="1">
        <f t="array" ca="1" aca="1" ref="AZ61">_xlfn.LET(_xlpm.val,IF($F61="",val_blankRefText,_xldudf_CX_GET(CX_ENTITY,$F61,AZ$11,AZ$14,,(AZ$44))),_xlpm.Res,IF(OR(_xlpm.val="",_xlpm.val="Error"),"",_xlpm.val),_xlpm.Res)</f>
        <v>#NAME?</v>
      </c>
      <c r="BA61" s="855" t="e" cm="1">
        <f t="array" ca="1" aca="1" ref="BA61">_xlfn.LET(_xlpm.val,IF($F61="",val_blankRefText,_xldudf_CX_GET(CX_ENTITY,$F61,BA$11,BA$14,,(BA$44))),_xlpm.Res,IF(OR(_xlpm.val="",_xlpm.val="Error"),"",_xlpm.val),_xlpm.Res)</f>
        <v>#NAME?</v>
      </c>
      <c r="BB61" s="855" t="e" cm="1">
        <f t="array" ca="1" aca="1" ref="BB61">_xlfn.LET(_xlpm.val,IF($F61="",val_blankRefText,_xldudf_CX_GET(CX_ENTITY,$F61,BB$11,BB$14,,(BB$44))),_xlpm.Res,IF(OR(_xlpm.val="",_xlpm.val="Error"),"",_xlpm.val),_xlpm.Res)</f>
        <v>#NAME?</v>
      </c>
      <c r="BC61" s="855" t="e" cm="1">
        <f t="array" ca="1" aca="1" ref="BC61">_xlfn.LET(_xlpm.val,IF($F61="",val_blankRefText,_xldudf_CX_GET(CX_ENTITY,$F61,BC$11,BC$14,,(BC$44))),_xlpm.Res,IF(OR(_xlpm.val="",_xlpm.val="Error"),"",_xlpm.val),_xlpm.Res)</f>
        <v>#NAME?</v>
      </c>
      <c r="BD61" s="855" t="e" cm="1">
        <f t="array" ca="1" aca="1" ref="BD61">_xlfn.LET(_xlpm.val,IF($F61="",val_blankRefText,_xldudf_CX_GET(CX_ENTITY,$F61,BD$11,BD$14,,(BD$44))),_xlpm.Res,IF(OR(_xlpm.val="",_xlpm.val="Error"),"",_xlpm.val),_xlpm.Res)</f>
        <v>#NAME?</v>
      </c>
      <c r="BE61" s="855" t="e" cm="1">
        <f t="array" ca="1" aca="1" ref="BE61">_xlfn.LET(_xlpm.val,IF($F61="",val_blankRefText,_xldudf_CX_GET(CX_ENTITY,$F61,BE$11,BE$14,,(BE$44))),_xlpm.Res,IF(OR(_xlpm.val="",_xlpm.val="Error"),"",_xlpm.val),_xlpm.Res)</f>
        <v>#NAME?</v>
      </c>
      <c r="BF61" s="855" t="e" cm="1">
        <f t="array" ca="1" aca="1" ref="BF61">_xlfn.LET(_xlpm.val,IF($F61="",val_blankRefText,_xldudf_CX_GET(CX_ENTITY,$F61,BF$11,BF$14,,(BF$44))),_xlpm.Res,IF(OR(_xlpm.val="",_xlpm.val="Error"),"",_xlpm.val),_xlpm.Res)</f>
        <v>#NAME?</v>
      </c>
      <c r="BG61" s="855" t="e" cm="1">
        <f t="array" ca="1" aca="1" ref="BG61">_xlfn.LET(_xlpm.val,IF($F61="",val_blankRefText,_xldudf_CX_GET(CX_ENTITY,$F61,BG$11,BG$14,,(BG$44))),_xlpm.Res,IF(OR(_xlpm.val="",_xlpm.val="Error"),"",_xlpm.val),_xlpm.Res)</f>
        <v>#NAME?</v>
      </c>
      <c r="BH61" s="855" t="e" cm="1">
        <f t="array" ca="1" aca="1" ref="BH61">_xlfn.LET(_xlpm.val,IF($F61="",val_blankRefText,_xldudf_CX_GET(CX_ENTITY,$F61,BH$11,BH$14,,(BH$44))),_xlpm.Res,IF(OR(_xlpm.val="",_xlpm.val="Error"),"",_xlpm.val),_xlpm.Res)</f>
        <v>#NAME?</v>
      </c>
      <c r="BI61" s="855" t="e" cm="1">
        <f t="array" ca="1" aca="1" ref="BI61">_xlfn.LET(_xlpm.val,IF($F61="",val_blankRefText,_xldudf_CX_GET(CX_ENTITY,$F61,BI$11,BI$14,,(BI$44))),_xlpm.Res,IF(OR(_xlpm.val="",_xlpm.val="Error"),"",_xlpm.val),_xlpm.Res)</f>
        <v>#NAME?</v>
      </c>
      <c r="BJ61" s="855" t="e" cm="1">
        <f t="array" ca="1" aca="1" ref="BJ61">_xlfn.LET(_xlpm.val,IF($F61="",val_blankRefText,_xldudf_CX_GET(CX_ENTITY,$F61,BJ$11,BJ$14,,(BJ$44))),_xlpm.Res,IF(OR(_xlpm.val="",_xlpm.val="Error"),"",_xlpm.val),_xlpm.Res)</f>
        <v>#NAME?</v>
      </c>
      <c r="BK61" s="855" t="e" cm="1">
        <f t="array" ca="1" aca="1" ref="BK61">_xlfn.LET(_xlpm.val,IF($F61="",val_blankRefText,_xldudf_CX_GET(CX_ENTITY,$F61,BK$11,BK$14,,(BK$44))),_xlpm.Res,IF(OR(_xlpm.val="",_xlpm.val="Error"),"",_xlpm.val),_xlpm.Res)</f>
        <v>#NAME?</v>
      </c>
      <c r="BL61" s="855" t="e" cm="1">
        <f t="array" ca="1" aca="1" ref="BL61">_xlfn.LET(_xlpm.val,IF($F61="",val_blankRefText,_xldudf_CX_GET(CX_ENTITY,$F61,BL$11,BL$14,,(BL$44))),_xlpm.Res,IF(OR(_xlpm.val="",_xlpm.val="Error"),"",_xlpm.val),_xlpm.Res)</f>
        <v>#NAME?</v>
      </c>
      <c r="BM61" s="855" t="e" cm="1">
        <f t="array" ca="1" aca="1" ref="BM61">_xlfn.LET(_xlpm.val,IF($F61="",val_blankRefText,_xldudf_CX_GET(CX_ENTITY,$F61,BM$11,BM$14,,(BM$44))),_xlpm.Res,IF(OR(_xlpm.val="",_xlpm.val="Error"),"",_xlpm.val),_xlpm.Res)</f>
        <v>#NAME?</v>
      </c>
      <c r="BN61" s="855" t="e" cm="1">
        <f t="array" ca="1" aca="1" ref="BN61">_xlfn.LET(_xlpm.val,IF($F61="",val_blankRefText,_xldudf_CX_GET(CX_ENTITY,$F61,BN$11,BN$14,,(BN$44))),_xlpm.Res,IF(OR(_xlpm.val="",_xlpm.val="Error"),"",_xlpm.val),_xlpm.Res)</f>
        <v>#NAME?</v>
      </c>
      <c r="BO61" s="1844"/>
      <c r="BP61" s="1844"/>
      <c r="BQ61" s="1844"/>
      <c r="BR61" s="1844"/>
      <c r="BS61" s="1844"/>
      <c r="BT61" s="1844"/>
      <c r="BU61" s="1844"/>
      <c r="BV61" s="1844"/>
      <c r="BW61" s="1844"/>
      <c r="BX61" s="1844"/>
      <c r="BY61" s="1844"/>
      <c r="BZ61" s="1844"/>
      <c r="CA61" s="384"/>
      <c r="CC61" s="33"/>
      <c r="CD61" s="1461" t="e" cm="1">
        <f t="array" ca="1" aca="1" ref="CD61">_xlfn.LET(_xlpm.CheckBlank,SUM(CF!$AD61:$BN61)=0,IF(_xlpm.CheckBlank,"",SUM(_xlfn._xlws.FILTER(CF!$AD61:$BN61,(YEAR(CF!$AD$12:$BN$12)=CF!CD$12)*(array_timeline&lt;=CF!CD$11)))))</f>
        <v>#NAME?</v>
      </c>
      <c r="CE61" s="1461" t="e" cm="1">
        <f t="array" ca="1" aca="1" ref="CE61">_xlfn.LET(_xlpm.CheckBlank,SUM(CF!$AD61:$BN61)=0,IF(_xlpm.CheckBlank,"",SUM(_xlfn._xlws.FILTER(CF!$AD61:$BN61,(YEAR(CF!$AD$12:$BN$12)=CF!CE$12)*(array_timeline&lt;=CF!CE$11)))))</f>
        <v>#NAME?</v>
      </c>
      <c r="CF61" s="1314"/>
      <c r="CG61" s="1461" t="e" cm="1">
        <f t="array" ca="1" aca="1" ref="CG61">_xlfn.LET(_xlpm.CheckBlank,SUM(CF!$AD61:$BN61)=0,IF(_xlpm.CheckBlank,"",SUM(_xlfn._xlws.FILTER(CF!$AD61:$BN61,(YEAR(CF!$AD$12:$BN$12)=CF!CG$12)*(array_timeline&lt;=CF!CG$11)))))</f>
        <v>#NAME?</v>
      </c>
      <c r="CH61" s="1461" t="e" cm="1">
        <f t="array" ca="1" aca="1" ref="CH61">_xlfn.LET(_xlpm.CheckBlank,SUM(CF!$AD61:$BN61)=0,IF(_xlpm.CheckBlank,"",SUM(_xlfn._xlws.FILTER(CF!$AD61:$BN61,(YEAR(CF!$AD$12:$BN$12)=CF!CH$12)*(array_timeline&lt;=CF!CH$11)))))</f>
        <v>#NAME?</v>
      </c>
      <c r="CI61" s="1314"/>
      <c r="CJ61" s="1657" cm="1">
        <f t="array" ca="1" aca="1" ref="CJ61">_xlfn.LET(_xlpm.CheckBlank,SUM(CF!$AD61:$BN61)=0,IF(_xlpm.CheckBlank,"",SUM(_xlfn.TAKE(_xlfn.DROP(CF!$AD61:$BN61,,-DATEDIFF(CF!CJ$11,val_asOfDate,"M")),1,-12))))</f>
        <v>-180</v>
      </c>
      <c r="CK61" s="1657" cm="1">
        <f t="array" ca="1" aca="1" ref="CK61">_xlfn.LET(_xlpm.CheckBlank,SUM(CF!$AD61:$BN61)=0,IF(_xlpm.CheckBlank,"",SUM(_xlfn.TAKE(_xlfn.DROP(CF!$AD61:$BN61,,-DATEDIFF(CF!CK$11,val_asOfDate,"M")),1,-12))))</f>
        <v>-180</v>
      </c>
      <c r="CL61" s="88"/>
      <c r="CM61" s="43" t="e">
        <f ca="1" t="shared" si="28" ref="CM61">CM36</f>
        <v>#NAME?</v>
      </c>
      <c r="CN61" s="43" t="e">
        <f t="shared" ca="1" si="11"/>
        <v>#NAME?</v>
      </c>
      <c r="CO61" s="34"/>
      <c r="CR61" s="4"/>
      <c r="CS61" s="4"/>
      <c r="CW61" s="4"/>
    </row>
    <row r="62" spans="1:101" ht="21" customHeight="1">
      <c r="A62" s="696"/>
      <c r="B62" s="574" t="s">
        <v>254</v>
      </c>
      <c r="C62" s="574" t="str">
        <f t="shared" si="7"/>
        <v>Net Cash Flow (Company View)</v>
      </c>
      <c r="D62" s="574"/>
      <c r="E62" s="577" t="e" cm="1">
        <f t="array" ca="1" aca="1" ref="E62">_xlfn.LET(_xlpm.Attr,$C62,_xlpm.Lookback,$E$16,_xlpm.QueryDate,EOMONTH(val_asOfDate,_xlpm.Lookback),_xlpm.ReadField,_xldudf_CX_GET(CX_ENTITY,fx_attrConverter($C62),_xlpm.QueryDate),_xlpm.AttrBlank,_xlpm.Attr="",_xlpm.RESULT,IF(_xlpm.AttrBlank,val_blankRefText,fx_attrConverter(_xlpm.ReadField,0)),IF(_xlpm.RESULT="Error","",_xlpm.RESULT))</f>
        <v>#NAME?</v>
      </c>
      <c r="F62" s="577" t="str">
        <f t="shared" si="8"/>
        <v>Net Cash Flow</v>
      </c>
      <c r="G62" s="401"/>
      <c r="H62" s="3280">
        <v>2</v>
      </c>
      <c r="I62" s="3280">
        <v>1</v>
      </c>
      <c r="J62" s="401"/>
      <c r="K62" s="401"/>
      <c r="L62" s="579">
        <v>-1</v>
      </c>
      <c r="N62" s="158"/>
      <c r="O62" s="101"/>
      <c r="P62" s="5"/>
      <c r="Q62" s="101"/>
      <c r="R62" s="126"/>
      <c r="S62" s="101"/>
      <c r="T62" s="101"/>
      <c r="U62" s="39"/>
      <c r="W62" s="934" t="str">
        <f t="shared" si="13"/>
        <v>Budget</v>
      </c>
      <c r="X62" s="807">
        <v>0</v>
      </c>
      <c r="Y62" s="119" t="e">
        <f t="shared" ca="1" si="9"/>
        <v>#NAME?</v>
      </c>
      <c r="Z62" s="787" cm="1">
        <f t="array" ref="Z62">_xlfn.SWITCH(TRUE,_CF!$L62=TRUE,1,_CF!$L62=FALSE,-1,_CF!$L62=-1,0,"n/a")</f>
        <v>0</v>
      </c>
      <c r="AA62" s="200"/>
      <c r="AB62" s="119" t="str">
        <f t="shared" si="10"/>
        <v>Net Cash Flow</v>
      </c>
      <c r="AC62" s="119"/>
      <c r="AD62" s="855" t="e" cm="1">
        <f t="array" ca="1" aca="1" ref="AD62">_xlfn.LET(_xlpm.val,IF($F62="",val_blankRefText,_xldudf_CX_GET(CX_ENTITY,$F62,AD$11,AD$14,,(AD$44))),_xlpm.Res,IF(OR(_xlpm.val="",_xlpm.val="Error"),"",_xlpm.val),_xlpm.Res)</f>
        <v>#NAME?</v>
      </c>
      <c r="AE62" s="855" t="e" cm="1">
        <f t="array" ca="1" aca="1" ref="AE62">_xlfn.LET(_xlpm.val,IF($F62="",val_blankRefText,_xldudf_CX_GET(CX_ENTITY,$F62,AE$11,AE$14,,(AE$44))),_xlpm.Res,IF(OR(_xlpm.val="",_xlpm.val="Error"),"",_xlpm.val),_xlpm.Res)</f>
        <v>#NAME?</v>
      </c>
      <c r="AF62" s="855" t="e" cm="1">
        <f t="array" ca="1" aca="1" ref="AF62">_xlfn.LET(_xlpm.val,IF($F62="",val_blankRefText,_xldudf_CX_GET(CX_ENTITY,$F62,AF$11,AF$14,,(AF$44))),_xlpm.Res,IF(OR(_xlpm.val="",_xlpm.val="Error"),"",_xlpm.val),_xlpm.Res)</f>
        <v>#NAME?</v>
      </c>
      <c r="AG62" s="855" t="e" cm="1">
        <f t="array" ca="1" aca="1" ref="AG62">_xlfn.LET(_xlpm.val,IF($F62="",val_blankRefText,_xldudf_CX_GET(CX_ENTITY,$F62,AG$11,AG$14,,(AG$44))),_xlpm.Res,IF(OR(_xlpm.val="",_xlpm.val="Error"),"",_xlpm.val),_xlpm.Res)</f>
        <v>#NAME?</v>
      </c>
      <c r="AH62" s="855" t="e" cm="1">
        <f t="array" ca="1" aca="1" ref="AH62">_xlfn.LET(_xlpm.val,IF($F62="",val_blankRefText,_xldudf_CX_GET(CX_ENTITY,$F62,AH$11,AH$14,,(AH$44))),_xlpm.Res,IF(OR(_xlpm.val="",_xlpm.val="Error"),"",_xlpm.val),_xlpm.Res)</f>
        <v>#NAME?</v>
      </c>
      <c r="AI62" s="855" t="e" cm="1">
        <f t="array" ca="1" aca="1" ref="AI62">_xlfn.LET(_xlpm.val,IF($F62="",val_blankRefText,_xldudf_CX_GET(CX_ENTITY,$F62,AI$11,AI$14,,(AI$44))),_xlpm.Res,IF(OR(_xlpm.val="",_xlpm.val="Error"),"",_xlpm.val),_xlpm.Res)</f>
        <v>#NAME?</v>
      </c>
      <c r="AJ62" s="855" t="e" cm="1">
        <f t="array" ca="1" aca="1" ref="AJ62">_xlfn.LET(_xlpm.val,IF($F62="",val_blankRefText,_xldudf_CX_GET(CX_ENTITY,$F62,AJ$11,AJ$14,,(AJ$44))),_xlpm.Res,IF(OR(_xlpm.val="",_xlpm.val="Error"),"",_xlpm.val),_xlpm.Res)</f>
        <v>#NAME?</v>
      </c>
      <c r="AK62" s="855" t="e" cm="1">
        <f t="array" ca="1" aca="1" ref="AK62">_xlfn.LET(_xlpm.val,IF($F62="",val_blankRefText,_xldudf_CX_GET(CX_ENTITY,$F62,AK$11,AK$14,,(AK$44))),_xlpm.Res,IF(OR(_xlpm.val="",_xlpm.val="Error"),"",_xlpm.val),_xlpm.Res)</f>
        <v>#NAME?</v>
      </c>
      <c r="AL62" s="855" t="e" cm="1">
        <f t="array" ca="1" aca="1" ref="AL62">_xlfn.LET(_xlpm.val,IF($F62="",val_blankRefText,_xldudf_CX_GET(CX_ENTITY,$F62,AL$11,AL$14,,(AL$44))),_xlpm.Res,IF(OR(_xlpm.val="",_xlpm.val="Error"),"",_xlpm.val),_xlpm.Res)</f>
        <v>#NAME?</v>
      </c>
      <c r="AM62" s="855" t="e" cm="1">
        <f t="array" ca="1" aca="1" ref="AM62">_xlfn.LET(_xlpm.val,IF($F62="",val_blankRefText,_xldudf_CX_GET(CX_ENTITY,$F62,AM$11,AM$14,,(AM$44))),_xlpm.Res,IF(OR(_xlpm.val="",_xlpm.val="Error"),"",_xlpm.val),_xlpm.Res)</f>
        <v>#NAME?</v>
      </c>
      <c r="AN62" s="855" t="e" cm="1">
        <f t="array" ca="1" aca="1" ref="AN62">_xlfn.LET(_xlpm.val,IF($F62="",val_blankRefText,_xldudf_CX_GET(CX_ENTITY,$F62,AN$11,AN$14,,(AN$44))),_xlpm.Res,IF(OR(_xlpm.val="",_xlpm.val="Error"),"",_xlpm.val),_xlpm.Res)</f>
        <v>#NAME?</v>
      </c>
      <c r="AO62" s="855" t="e" cm="1">
        <f t="array" ca="1" aca="1" ref="AO62">_xlfn.LET(_xlpm.val,IF($F62="",val_blankRefText,_xldudf_CX_GET(CX_ENTITY,$F62,AO$11,AO$14,,(AO$44))),_xlpm.Res,IF(OR(_xlpm.val="",_xlpm.val="Error"),"",_xlpm.val),_xlpm.Res)</f>
        <v>#NAME?</v>
      </c>
      <c r="AP62" s="855" t="e" cm="1">
        <f t="array" ca="1" aca="1" ref="AP62">_xlfn.LET(_xlpm.val,IF($F62="",val_blankRefText,_xldudf_CX_GET(CX_ENTITY,$F62,AP$11,AP$14,,(AP$44))),_xlpm.Res,IF(OR(_xlpm.val="",_xlpm.val="Error"),"",_xlpm.val),_xlpm.Res)</f>
        <v>#NAME?</v>
      </c>
      <c r="AQ62" s="855" t="e" cm="1">
        <f t="array" ca="1" aca="1" ref="AQ62">_xlfn.LET(_xlpm.val,IF($F62="",val_blankRefText,_xldudf_CX_GET(CX_ENTITY,$F62,AQ$11,AQ$14,,(AQ$44))),_xlpm.Res,IF(OR(_xlpm.val="",_xlpm.val="Error"),"",_xlpm.val),_xlpm.Res)</f>
        <v>#NAME?</v>
      </c>
      <c r="AR62" s="855" t="e" cm="1">
        <f t="array" ca="1" aca="1" ref="AR62">_xlfn.LET(_xlpm.val,IF($F62="",val_blankRefText,_xldudf_CX_GET(CX_ENTITY,$F62,AR$11,AR$14,,(AR$44))),_xlpm.Res,IF(OR(_xlpm.val="",_xlpm.val="Error"),"",_xlpm.val),_xlpm.Res)</f>
        <v>#NAME?</v>
      </c>
      <c r="AS62" s="855" t="e" cm="1">
        <f t="array" ca="1" aca="1" ref="AS62">_xlfn.LET(_xlpm.val,IF($F62="",val_blankRefText,_xldudf_CX_GET(CX_ENTITY,$F62,AS$11,AS$14,,(AS$44))),_xlpm.Res,IF(OR(_xlpm.val="",_xlpm.val="Error"),"",_xlpm.val),_xlpm.Res)</f>
        <v>#NAME?</v>
      </c>
      <c r="AT62" s="855" t="e" cm="1">
        <f t="array" ca="1" aca="1" ref="AT62">_xlfn.LET(_xlpm.val,IF($F62="",val_blankRefText,_xldudf_CX_GET(CX_ENTITY,$F62,AT$11,AT$14,,(AT$44))),_xlpm.Res,IF(OR(_xlpm.val="",_xlpm.val="Error"),"",_xlpm.val),_xlpm.Res)</f>
        <v>#NAME?</v>
      </c>
      <c r="AU62" s="855" t="e" cm="1">
        <f t="array" ca="1" aca="1" ref="AU62">_xlfn.LET(_xlpm.val,IF($F62="",val_blankRefText,_xldudf_CX_GET(CX_ENTITY,$F62,AU$11,AU$14,,(AU$44))),_xlpm.Res,IF(OR(_xlpm.val="",_xlpm.val="Error"),"",_xlpm.val),_xlpm.Res)</f>
        <v>#NAME?</v>
      </c>
      <c r="AV62" s="855" t="e" cm="1">
        <f t="array" ca="1" aca="1" ref="AV62">_xlfn.LET(_xlpm.val,IF($F62="",val_blankRefText,_xldudf_CX_GET(CX_ENTITY,$F62,AV$11,AV$14,,(AV$44))),_xlpm.Res,IF(OR(_xlpm.val="",_xlpm.val="Error"),"",_xlpm.val),_xlpm.Res)</f>
        <v>#NAME?</v>
      </c>
      <c r="AW62" s="855" t="e" cm="1">
        <f t="array" ca="1" aca="1" ref="AW62">_xlfn.LET(_xlpm.val,IF($F62="",val_blankRefText,_xldudf_CX_GET(CX_ENTITY,$F62,AW$11,AW$14,,(AW$44))),_xlpm.Res,IF(OR(_xlpm.val="",_xlpm.val="Error"),"",_xlpm.val),_xlpm.Res)</f>
        <v>#NAME?</v>
      </c>
      <c r="AX62" s="855" t="e" cm="1">
        <f t="array" ca="1" aca="1" ref="AX62">_xlfn.LET(_xlpm.val,IF($F62="",val_blankRefText,_xldudf_CX_GET(CX_ENTITY,$F62,AX$11,AX$14,,(AX$44))),_xlpm.Res,IF(OR(_xlpm.val="",_xlpm.val="Error"),"",_xlpm.val),_xlpm.Res)</f>
        <v>#NAME?</v>
      </c>
      <c r="AY62" s="855" t="e" cm="1">
        <f t="array" ca="1" aca="1" ref="AY62">_xlfn.LET(_xlpm.val,IF($F62="",val_blankRefText,_xldudf_CX_GET(CX_ENTITY,$F62,AY$11,AY$14,,(AY$44))),_xlpm.Res,IF(OR(_xlpm.val="",_xlpm.val="Error"),"",_xlpm.val),_xlpm.Res)</f>
        <v>#NAME?</v>
      </c>
      <c r="AZ62" s="855" t="e" cm="1">
        <f t="array" ca="1" aca="1" ref="AZ62">_xlfn.LET(_xlpm.val,IF($F62="",val_blankRefText,_xldudf_CX_GET(CX_ENTITY,$F62,AZ$11,AZ$14,,(AZ$44))),_xlpm.Res,IF(OR(_xlpm.val="",_xlpm.val="Error"),"",_xlpm.val),_xlpm.Res)</f>
        <v>#NAME?</v>
      </c>
      <c r="BA62" s="855" t="e" cm="1">
        <f t="array" ca="1" aca="1" ref="BA62">_xlfn.LET(_xlpm.val,IF($F62="",val_blankRefText,_xldudf_CX_GET(CX_ENTITY,$F62,BA$11,BA$14,,(BA$44))),_xlpm.Res,IF(OR(_xlpm.val="",_xlpm.val="Error"),"",_xlpm.val),_xlpm.Res)</f>
        <v>#NAME?</v>
      </c>
      <c r="BB62" s="855" t="e" cm="1">
        <f t="array" ca="1" aca="1" ref="BB62">_xlfn.LET(_xlpm.val,IF($F62="",val_blankRefText,_xldudf_CX_GET(CX_ENTITY,$F62,BB$11,BB$14,,(BB$44))),_xlpm.Res,IF(OR(_xlpm.val="",_xlpm.val="Error"),"",_xlpm.val),_xlpm.Res)</f>
        <v>#NAME?</v>
      </c>
      <c r="BC62" s="855" t="e" cm="1">
        <f t="array" ca="1" aca="1" ref="BC62">_xlfn.LET(_xlpm.val,IF($F62="",val_blankRefText,_xldudf_CX_GET(CX_ENTITY,$F62,BC$11,BC$14,,(BC$44))),_xlpm.Res,IF(OR(_xlpm.val="",_xlpm.val="Error"),"",_xlpm.val),_xlpm.Res)</f>
        <v>#NAME?</v>
      </c>
      <c r="BD62" s="855" t="e" cm="1">
        <f t="array" ca="1" aca="1" ref="BD62">_xlfn.LET(_xlpm.val,IF($F62="",val_blankRefText,_xldudf_CX_GET(CX_ENTITY,$F62,BD$11,BD$14,,(BD$44))),_xlpm.Res,IF(OR(_xlpm.val="",_xlpm.val="Error"),"",_xlpm.val),_xlpm.Res)</f>
        <v>#NAME?</v>
      </c>
      <c r="BE62" s="855" t="e" cm="1">
        <f t="array" ca="1" aca="1" ref="BE62">_xlfn.LET(_xlpm.val,IF($F62="",val_blankRefText,_xldudf_CX_GET(CX_ENTITY,$F62,BE$11,BE$14,,(BE$44))),_xlpm.Res,IF(OR(_xlpm.val="",_xlpm.val="Error"),"",_xlpm.val),_xlpm.Res)</f>
        <v>#NAME?</v>
      </c>
      <c r="BF62" s="855" t="e" cm="1">
        <f t="array" ca="1" aca="1" ref="BF62">_xlfn.LET(_xlpm.val,IF($F62="",val_blankRefText,_xldudf_CX_GET(CX_ENTITY,$F62,BF$11,BF$14,,(BF$44))),_xlpm.Res,IF(OR(_xlpm.val="",_xlpm.val="Error"),"",_xlpm.val),_xlpm.Res)</f>
        <v>#NAME?</v>
      </c>
      <c r="BG62" s="855" t="e" cm="1">
        <f t="array" ca="1" aca="1" ref="BG62">_xlfn.LET(_xlpm.val,IF($F62="",val_blankRefText,_xldudf_CX_GET(CX_ENTITY,$F62,BG$11,BG$14,,(BG$44))),_xlpm.Res,IF(OR(_xlpm.val="",_xlpm.val="Error"),"",_xlpm.val),_xlpm.Res)</f>
        <v>#NAME?</v>
      </c>
      <c r="BH62" s="855" t="e" cm="1">
        <f t="array" ca="1" aca="1" ref="BH62">_xlfn.LET(_xlpm.val,IF($F62="",val_blankRefText,_xldudf_CX_GET(CX_ENTITY,$F62,BH$11,BH$14,,(BH$44))),_xlpm.Res,IF(OR(_xlpm.val="",_xlpm.val="Error"),"",_xlpm.val),_xlpm.Res)</f>
        <v>#NAME?</v>
      </c>
      <c r="BI62" s="855" t="e" cm="1">
        <f t="array" ca="1" aca="1" ref="BI62">_xlfn.LET(_xlpm.val,IF($F62="",val_blankRefText,_xldudf_CX_GET(CX_ENTITY,$F62,BI$11,BI$14,,(BI$44))),_xlpm.Res,IF(OR(_xlpm.val="",_xlpm.val="Error"),"",_xlpm.val),_xlpm.Res)</f>
        <v>#NAME?</v>
      </c>
      <c r="BJ62" s="855" t="e" cm="1">
        <f t="array" ca="1" aca="1" ref="BJ62">_xlfn.LET(_xlpm.val,IF($F62="",val_blankRefText,_xldudf_CX_GET(CX_ENTITY,$F62,BJ$11,BJ$14,,(BJ$44))),_xlpm.Res,IF(OR(_xlpm.val="",_xlpm.val="Error"),"",_xlpm.val),_xlpm.Res)</f>
        <v>#NAME?</v>
      </c>
      <c r="BK62" s="855" t="e" cm="1">
        <f t="array" ca="1" aca="1" ref="BK62">_xlfn.LET(_xlpm.val,IF($F62="",val_blankRefText,_xldudf_CX_GET(CX_ENTITY,$F62,BK$11,BK$14,,(BK$44))),_xlpm.Res,IF(OR(_xlpm.val="",_xlpm.val="Error"),"",_xlpm.val),_xlpm.Res)</f>
        <v>#NAME?</v>
      </c>
      <c r="BL62" s="855" t="e" cm="1">
        <f t="array" ca="1" aca="1" ref="BL62">_xlfn.LET(_xlpm.val,IF($F62="",val_blankRefText,_xldudf_CX_GET(CX_ENTITY,$F62,BL$11,BL$14,,(BL$44))),_xlpm.Res,IF(OR(_xlpm.val="",_xlpm.val="Error"),"",_xlpm.val),_xlpm.Res)</f>
        <v>#NAME?</v>
      </c>
      <c r="BM62" s="855" t="e" cm="1">
        <f t="array" ca="1" aca="1" ref="BM62">_xlfn.LET(_xlpm.val,IF($F62="",val_blankRefText,_xldudf_CX_GET(CX_ENTITY,$F62,BM$11,BM$14,,(BM$44))),_xlpm.Res,IF(OR(_xlpm.val="",_xlpm.val="Error"),"",_xlpm.val),_xlpm.Res)</f>
        <v>#NAME?</v>
      </c>
      <c r="BN62" s="855" t="e" cm="1">
        <f t="array" ca="1" aca="1" ref="BN62">_xlfn.LET(_xlpm.val,IF($F62="",val_blankRefText,_xldudf_CX_GET(CX_ENTITY,$F62,BN$11,BN$14,,(BN$44))),_xlpm.Res,IF(OR(_xlpm.val="",_xlpm.val="Error"),"",_xlpm.val),_xlpm.Res)</f>
        <v>#NAME?</v>
      </c>
      <c r="BO62" s="1844"/>
      <c r="BP62" s="1844"/>
      <c r="BQ62" s="1844"/>
      <c r="BR62" s="1844"/>
      <c r="BS62" s="1844"/>
      <c r="BT62" s="1844"/>
      <c r="BU62" s="1844"/>
      <c r="BV62" s="1844"/>
      <c r="BW62" s="1844"/>
      <c r="BX62" s="1844"/>
      <c r="BY62" s="1844"/>
      <c r="BZ62" s="1844"/>
      <c r="CA62" s="384"/>
      <c r="CC62" s="33"/>
      <c r="CD62" s="1461" t="e" cm="1">
        <f t="array" ca="1" aca="1" ref="CD62">_xlfn.LET(_xlpm.CheckBlank,SUM(CF!$AD62:$BN62)=0,IF(_xlpm.CheckBlank,"",SUM(_xlfn._xlws.FILTER(CF!$AD62:$BN62,(YEAR(CF!$AD$12:$BN$12)=CF!CD$12)*(array_timeline&lt;=CF!CD$11)))))</f>
        <v>#NAME?</v>
      </c>
      <c r="CE62" s="1461" t="e" cm="1">
        <f t="array" ca="1" aca="1" ref="CE62">_xlfn.LET(_xlpm.CheckBlank,SUM(CF!$AD62:$BN62)=0,IF(_xlpm.CheckBlank,"",SUM(_xlfn._xlws.FILTER(CF!$AD62:$BN62,(YEAR(CF!$AD$12:$BN$12)=CF!CE$12)*(array_timeline&lt;=CF!CE$11)))))</f>
        <v>#NAME?</v>
      </c>
      <c r="CF62" s="1314"/>
      <c r="CG62" s="1462" t="e" cm="1">
        <f t="array" ca="1" aca="1" ref="CG62">_xlfn.LET(_xlpm.CheckBlank,SUM(CF!$AD62:$BN62)=0,IF(_xlpm.CheckBlank,"",SUM(_xlfn._xlws.FILTER(CF!$AD62:$BN62,(YEAR(CF!$AD$12:$BN$12)=CF!CG$12)*(array_timeline&lt;=CF!CG$11)))))</f>
        <v>#NAME?</v>
      </c>
      <c r="CH62" s="1462" t="e" cm="1">
        <f t="array" ca="1" aca="1" ref="CH62">_xlfn.LET(_xlpm.CheckBlank,SUM(CF!$AD62:$BN62)=0,IF(_xlpm.CheckBlank,"",SUM(_xlfn._xlws.FILTER(CF!$AD62:$BN62,(YEAR(CF!$AD$12:$BN$12)=CF!CH$12)*(array_timeline&lt;=CF!CH$11)))))</f>
        <v>#NAME?</v>
      </c>
      <c r="CI62" s="1314"/>
      <c r="CJ62" s="1657" cm="1">
        <f t="array" ca="1" aca="1" ref="CJ62">_xlfn.LET(_xlpm.CheckBlank,SUM(CF!$AD62:$BN62)=0,IF(_xlpm.CheckBlank,"",SUM(_xlfn.TAKE(_xlfn.DROP(CF!$AD62:$BN62,,-DATEDIFF(CF!CJ$11,val_asOfDate,"M")),1,-12))))</f>
        <v>0</v>
      </c>
      <c r="CK62" s="1657" cm="1">
        <f t="array" ca="1" aca="1" ref="CK62">_xlfn.LET(_xlpm.CheckBlank,SUM(CF!$AD62:$BN62)=0,IF(_xlpm.CheckBlank,"",SUM(_xlfn.TAKE(_xlfn.DROP(CF!$AD62:$BN62,,-DATEDIFF(CF!CK$11,val_asOfDate,"M")),1,-12))))</f>
        <v>0</v>
      </c>
      <c r="CL62" s="88"/>
      <c r="CM62" s="541" t="e">
        <f ca="1" t="shared" si="29" ref="CM62">CM37</f>
        <v>#NAME?</v>
      </c>
      <c r="CN62" s="541" t="e">
        <f t="shared" ca="1" si="11"/>
        <v>#NAME?</v>
      </c>
      <c r="CO62" s="34"/>
      <c r="CR62" s="4"/>
      <c r="CS62" s="4"/>
      <c r="CW62" s="4"/>
    </row>
    <row r="63" spans="1:101" ht="15.5">
      <c r="A63" s="696"/>
      <c r="B63" s="574"/>
      <c r="C63" s="574"/>
      <c r="D63" s="574"/>
      <c r="E63" s="811"/>
      <c r="F63" s="574"/>
      <c r="G63" s="577"/>
      <c r="H63" s="401"/>
      <c r="I63" s="401"/>
      <c r="J63" s="401"/>
      <c r="K63" s="401"/>
      <c r="L63" s="579"/>
      <c r="N63" s="158"/>
      <c r="O63" s="101"/>
      <c r="P63" s="52"/>
      <c r="Q63" s="101"/>
      <c r="R63" s="126"/>
      <c r="S63" s="153"/>
      <c r="T63" s="153"/>
      <c r="U63" s="39"/>
      <c r="W63" s="945"/>
      <c r="X63" s="946"/>
      <c r="Y63" s="946"/>
      <c r="Z63" s="1687"/>
      <c r="AA63" s="946"/>
      <c r="AB63" s="946"/>
      <c r="AC63" s="946"/>
      <c r="AD63" s="946"/>
      <c r="AE63" s="946"/>
      <c r="AF63" s="946"/>
      <c r="AG63" s="946"/>
      <c r="AH63" s="946"/>
      <c r="AI63" s="946"/>
      <c r="AJ63" s="946"/>
      <c r="AK63" s="946"/>
      <c r="AL63" s="946"/>
      <c r="AM63" s="946"/>
      <c r="AN63" s="946"/>
      <c r="AO63" s="946"/>
      <c r="AP63" s="946"/>
      <c r="AQ63" s="946"/>
      <c r="AR63" s="946"/>
      <c r="AS63" s="946"/>
      <c r="AT63" s="946"/>
      <c r="AU63" s="946"/>
      <c r="AV63" s="946"/>
      <c r="AW63" s="946"/>
      <c r="AX63" s="946"/>
      <c r="AY63" s="946"/>
      <c r="AZ63" s="946"/>
      <c r="BA63" s="946"/>
      <c r="BB63" s="946"/>
      <c r="BC63" s="946"/>
      <c r="BD63" s="946"/>
      <c r="BE63" s="946"/>
      <c r="BF63" s="946"/>
      <c r="BG63" s="946"/>
      <c r="BH63" s="946"/>
      <c r="BI63" s="946"/>
      <c r="BJ63" s="946"/>
      <c r="BK63" s="946"/>
      <c r="BL63" s="946"/>
      <c r="BM63" s="946"/>
      <c r="BN63" s="946"/>
      <c r="BO63" s="946"/>
      <c r="BP63" s="946"/>
      <c r="BQ63" s="946"/>
      <c r="BR63" s="946"/>
      <c r="BS63" s="946"/>
      <c r="BT63" s="946"/>
      <c r="BU63" s="946"/>
      <c r="BV63" s="946"/>
      <c r="BW63" s="946"/>
      <c r="BX63" s="946"/>
      <c r="BY63" s="946"/>
      <c r="BZ63" s="946"/>
      <c r="CA63" s="995"/>
      <c r="CB63" s="12"/>
      <c r="CC63" s="949"/>
      <c r="CD63" s="947"/>
      <c r="CE63" s="947"/>
      <c r="CF63" s="947"/>
      <c r="CG63" s="947"/>
      <c r="CH63" s="947"/>
      <c r="CI63" s="947"/>
      <c r="CJ63" s="947"/>
      <c r="CK63" s="947"/>
      <c r="CL63" s="13"/>
      <c r="CM63" s="1843"/>
      <c r="CN63" s="1843"/>
      <c r="CO63" s="41"/>
      <c r="CR63" s="4"/>
      <c r="CS63" s="4"/>
      <c r="CW63" s="4"/>
    </row>
  </sheetData>
  <sheetProtection formatColumns="0" formatRows="0" autoFilter="0" pivotTables="0"/>
  <mergeCells count="18">
    <mergeCell ref="W17:W18"/>
    <mergeCell ref="W41:W42"/>
    <mergeCell ref="CG10:CH10"/>
    <mergeCell ref="CM10:CN10"/>
    <mergeCell ref="S5:T6"/>
    <mergeCell ref="Y5:Y6"/>
    <mergeCell ref="CD10:CE10"/>
    <mergeCell ref="CM41:CN41"/>
    <mergeCell ref="CG41:CH41"/>
    <mergeCell ref="CJ41:CK41"/>
    <mergeCell ref="CD41:CE41"/>
    <mergeCell ref="CJ10:CK10"/>
    <mergeCell ref="O4:Q4"/>
    <mergeCell ref="C12:C14"/>
    <mergeCell ref="E12:E14"/>
    <mergeCell ref="F12:F14"/>
    <mergeCell ref="J11:J15"/>
    <mergeCell ref="K11:K15"/>
  </mergeCells>
  <conditionalFormatting sqref="E4">
    <cfRule type="cellIs" priority="321" dxfId="4201" operator="equal">
      <formula>"Unlinked"</formula>
    </cfRule>
    <cfRule type="cellIs" priority="320" dxfId="4202" operator="equal">
      <formula>"Linked"</formula>
    </cfRule>
  </conditionalFormatting>
  <conditionalFormatting sqref="E20:E37">
    <cfRule type="expression" priority="127" dxfId="4199">
      <formula>fx_hasCX(E20)</formula>
    </cfRule>
  </conditionalFormatting>
  <conditionalFormatting sqref="E45:E62">
    <cfRule type="expression" priority="125" dxfId="4199">
      <formula>fx_hasCX(E45)</formula>
    </cfRule>
  </conditionalFormatting>
  <conditionalFormatting sqref="F20:F37">
    <cfRule type="expression" priority="126" dxfId="4199">
      <formula>fx_hasCX(F1048412)</formula>
    </cfRule>
  </conditionalFormatting>
  <conditionalFormatting sqref="F38:F44">
    <cfRule type="expression" priority="214" dxfId="4199">
      <formula>fx_hasCX(F38)</formula>
    </cfRule>
  </conditionalFormatting>
  <conditionalFormatting sqref="F45:F62">
    <cfRule type="expression" priority="124" dxfId="4199">
      <formula>fx_hasCX(F1048441)</formula>
    </cfRule>
  </conditionalFormatting>
  <conditionalFormatting sqref="G63">
    <cfRule type="expression" priority="220" dxfId="4199">
      <formula>fx_hasCX(G63)</formula>
    </cfRule>
  </conditionalFormatting>
  <conditionalFormatting sqref="W20:W37">
    <cfRule type="expression" priority="31" dxfId="2589">
      <formula>IF($A$14,IF(CELL("protect",W20)=0,TRUE,FALSE))</formula>
    </cfRule>
  </conditionalFormatting>
  <conditionalFormatting sqref="W45:W62">
    <cfRule type="expression" priority="32" dxfId="2589">
      <formula>IF($A$14,IF(CELL("protect",W45)=0,TRUE,FALSE))</formula>
    </cfRule>
  </conditionalFormatting>
  <conditionalFormatting sqref="X19:X37 Z41:AC43">
    <cfRule type="expression" priority="170" dxfId="4191">
      <formula>$H19=2</formula>
    </cfRule>
  </conditionalFormatting>
  <conditionalFormatting sqref="X62">
    <cfRule type="containsText" priority="260" dxfId="4202" operator="containsText" text="F8">
      <formula>NOT(ISERROR(SEARCH("F8",X62)))</formula>
    </cfRule>
  </conditionalFormatting>
  <conditionalFormatting sqref="X41:Y42">
    <cfRule type="expression" priority="294" dxfId="4191">
      <formula>$H41=2</formula>
    </cfRule>
  </conditionalFormatting>
  <conditionalFormatting sqref="X45:Y60">
    <cfRule type="expression" priority="90" dxfId="4191">
      <formula>$H45=2</formula>
    </cfRule>
  </conditionalFormatting>
  <conditionalFormatting sqref="X16:BZ16">
    <cfRule type="expression" priority="326" dxfId="4191">
      <formula>$H16=2</formula>
    </cfRule>
  </conditionalFormatting>
  <conditionalFormatting sqref="W17:CN17 X18:CN18 W19:AC19 X20:CN37 W38:CN41 X42:CN42 W43:CN43 W44:AC44 X45:CN62 W63:CN63">
    <cfRule type="expression" priority="37" dxfId="4192">
      <formula>IF($A$14,IF(CELL("protect",W17)=0,TRUE,FALSE))</formula>
    </cfRule>
  </conditionalFormatting>
  <conditionalFormatting sqref="Y44">
    <cfRule type="duplicateValues" priority="334" dxfId="4202"/>
  </conditionalFormatting>
  <conditionalFormatting sqref="Y61">
    <cfRule type="containsText" priority="91" dxfId="4202" operator="containsText" text="F8">
      <formula>NOT(ISERROR(SEARCH("F8",Y61)))</formula>
    </cfRule>
  </conditionalFormatting>
  <conditionalFormatting sqref="Y20:BZ37">
    <cfRule type="expression" priority="89" dxfId="4191">
      <formula>$H20=2</formula>
    </cfRule>
  </conditionalFormatting>
  <conditionalFormatting sqref="Z12">
    <cfRule type="expression" priority="9340" dxfId="4191">
      <formula>$H31=2</formula>
    </cfRule>
  </conditionalFormatting>
  <conditionalFormatting sqref="Z13:Z14">
    <cfRule type="expression" priority="164" dxfId="4191">
      <formula>$H13=2</formula>
    </cfRule>
  </conditionalFormatting>
  <conditionalFormatting sqref="Z17:Z18">
    <cfRule type="expression" priority="177" dxfId="4191">
      <formula>$H17=2</formula>
    </cfRule>
  </conditionalFormatting>
  <conditionalFormatting sqref="Z45:Z62">
    <cfRule type="expression" priority="179" dxfId="4191">
      <formula>$H45=2</formula>
    </cfRule>
  </conditionalFormatting>
  <conditionalFormatting sqref="Z38:AA40">
    <cfRule type="containsText" priority="186" dxfId="4202" operator="containsText" text="F8">
      <formula>NOT(ISERROR(SEARCH("F8",Z38)))</formula>
    </cfRule>
  </conditionalFormatting>
  <conditionalFormatting sqref="AA61:AA62">
    <cfRule type="expression" priority="291" dxfId="4191">
      <formula>$H61=2</formula>
    </cfRule>
  </conditionalFormatting>
  <conditionalFormatting sqref="AA45:AC60">
    <cfRule type="expression" priority="226" dxfId="4191">
      <formula>$H45=2</formula>
    </cfRule>
  </conditionalFormatting>
  <conditionalFormatting sqref="AB44">
    <cfRule type="duplicateValues" priority="335" dxfId="4202"/>
  </conditionalFormatting>
  <conditionalFormatting sqref="AB38:BZ39 AB61:AC61">
    <cfRule type="containsText" priority="353" dxfId="4202" operator="containsText" text="F8">
      <formula>NOT(ISERROR(SEARCH("F8",AB38)))</formula>
    </cfRule>
  </conditionalFormatting>
  <conditionalFormatting sqref="AB39:BZ39">
    <cfRule type="duplicateValues" priority="356" dxfId="4202"/>
  </conditionalFormatting>
  <conditionalFormatting sqref="AD11:BZ11">
    <cfRule type="expression" priority="122" dxfId="4188">
      <formula>AD$15=2</formula>
    </cfRule>
    <cfRule type="expression" priority="123" dxfId="4189">
      <formula>AD$15=1</formula>
    </cfRule>
  </conditionalFormatting>
  <conditionalFormatting sqref="AD17:BZ17">
    <cfRule type="expression" priority="147" dxfId="4186">
      <formula>fmt_styleOn(AD17,3)</formula>
    </cfRule>
    <cfRule type="expression" priority="149" dxfId="1693">
      <formula>fmt_styleOn(AD17,1)</formula>
    </cfRule>
    <cfRule type="expression" priority="148" dxfId="4185">
      <formula>fmt_styleOn(AD17,2)</formula>
    </cfRule>
    <cfRule type="expression" priority="150" dxfId="4191">
      <formula>fmt_shadeOn(AD17)</formula>
    </cfRule>
  </conditionalFormatting>
  <conditionalFormatting sqref="AD18:BZ18">
    <cfRule type="iconSet" priority="327">
      <iconSet iconSet="3Symbols" showValue="0">
        <cfvo type="percent" val="0"/>
        <cfvo type="num" val="-1"/>
        <cfvo type="num" val="2"/>
      </iconSet>
    </cfRule>
  </conditionalFormatting>
  <conditionalFormatting sqref="AD20:BZ37">
    <cfRule type="expression" priority="203" dxfId="1690">
      <formula>$I20=1</formula>
    </cfRule>
    <cfRule type="expression" priority="202" dxfId="1689">
      <formula>$I20=2</formula>
    </cfRule>
    <cfRule type="expression" priority="201" dxfId="4186">
      <formula>$I20=3</formula>
    </cfRule>
  </conditionalFormatting>
  <conditionalFormatting sqref="AD41:BZ41">
    <cfRule type="expression" priority="130" dxfId="1693">
      <formula>fmt_styleOn(AD41,1)</formula>
    </cfRule>
    <cfRule type="expression" priority="131" dxfId="4191">
      <formula>fmt_shadeOn(AD41)</formula>
    </cfRule>
    <cfRule type="expression" priority="128" dxfId="4186">
      <formula>fmt_styleOn(AD41,3)</formula>
    </cfRule>
    <cfRule type="expression" priority="129" dxfId="4185">
      <formula>fmt_styleOn(AD41,2)</formula>
    </cfRule>
  </conditionalFormatting>
  <conditionalFormatting sqref="AD42:BZ42">
    <cfRule type="expression" priority="298" dxfId="1689">
      <formula>$I42=2</formula>
    </cfRule>
    <cfRule type="iconSet" priority="300">
      <iconSet iconSet="3Symbols" showValue="0">
        <cfvo type="percent" val="0"/>
        <cfvo type="num" val="-1"/>
        <cfvo type="num" val="2"/>
      </iconSet>
    </cfRule>
    <cfRule type="expression" priority="297" dxfId="4186">
      <formula>$I42=3</formula>
    </cfRule>
    <cfRule type="expression" priority="299" dxfId="1681">
      <formula>$I42=1</formula>
    </cfRule>
  </conditionalFormatting>
  <conditionalFormatting sqref="AD43:BZ43">
    <cfRule type="expression" priority="222" dxfId="1680">
      <formula>AD$15=2</formula>
    </cfRule>
    <cfRule type="expression" priority="223" dxfId="1679" stopIfTrue="1">
      <formula>AD$15=1</formula>
    </cfRule>
  </conditionalFormatting>
  <conditionalFormatting sqref="AD45:BZ62">
    <cfRule type="expression" priority="119" dxfId="1690">
      <formula>$I45=1</formula>
    </cfRule>
    <cfRule type="expression" priority="117" dxfId="4186">
      <formula>$I45=3</formula>
    </cfRule>
    <cfRule type="expression" priority="33" dxfId="4191">
      <formula>$H45=2</formula>
    </cfRule>
    <cfRule type="expression" priority="34" dxfId="4186">
      <formula>$I45=3</formula>
    </cfRule>
    <cfRule type="expression" priority="35" dxfId="1689">
      <formula>$I45=2</formula>
    </cfRule>
    <cfRule type="expression" priority="36" dxfId="1690">
      <formula>$I45=1</formula>
    </cfRule>
    <cfRule type="expression" priority="116" dxfId="4191">
      <formula>$H45=2</formula>
    </cfRule>
    <cfRule type="expression" priority="118" dxfId="1689">
      <formula>$I45=2</formula>
    </cfRule>
  </conditionalFormatting>
  <conditionalFormatting sqref="AD19:CC19">
    <cfRule type="expression" priority="28" dxfId="4186">
      <formula>INDEX($I$1:$I$300,ROW(AD18))=3</formula>
    </cfRule>
    <cfRule type="expression" priority="30" dxfId="4166">
      <formula>INDEX($I$1:$I$300,ROW(AD18))=1</formula>
    </cfRule>
    <cfRule type="expression" priority="27" dxfId="2566">
      <formula>_xlfn.SWITCH(INDEX($X$1:$X$300,ROW(AD19)),-1,SIGN(AD19)&gt;0,1,SIGN(AD19)&lt;0)</formula>
    </cfRule>
    <cfRule type="expression" priority="29" dxfId="4185">
      <formula>INDEX($I$1:$I$300,ROW(AD18))=2</formula>
    </cfRule>
  </conditionalFormatting>
  <conditionalFormatting sqref="AD44:CC44">
    <cfRule type="expression" priority="12" dxfId="2566">
      <formula>_xlfn.SWITCH(INDEX($X$1:$X$300,ROW(AD44)),-1,SIGN(AD44)&gt;0,1,SIGN(AD44)&lt;0)</formula>
    </cfRule>
    <cfRule type="expression" priority="13" dxfId="4186">
      <formula>INDEX($I$1:$I$300,ROW(AD43))=3</formula>
    </cfRule>
    <cfRule type="expression" priority="14" dxfId="4185">
      <formula>INDEX($I$1:$I$300,ROW(AD43))=2</formula>
    </cfRule>
    <cfRule type="expression" priority="15" dxfId="4166">
      <formula>INDEX($I$1:$I$300,ROW(AD43))=1</formula>
    </cfRule>
  </conditionalFormatting>
  <conditionalFormatting sqref="AD19:CL19">
    <cfRule type="expression" priority="22" dxfId="2589">
      <formula>IF($A$14,IF(CELL("protect",AD19)=0,TRUE,FALSE))</formula>
    </cfRule>
  </conditionalFormatting>
  <conditionalFormatting sqref="AD44:CL44">
    <cfRule type="expression" priority="11" dxfId="2589">
      <formula>IF($A$14,IF(CELL("protect",AD44)=0,TRUE,FALSE))</formula>
    </cfRule>
  </conditionalFormatting>
  <conditionalFormatting sqref="CB36 CB38:CB40 CB63">
    <cfRule type="cellIs" priority="331" dxfId="4202" operator="equal">
      <formula>"No"</formula>
    </cfRule>
  </conditionalFormatting>
  <conditionalFormatting sqref="CD11:CE11 CG11:CH11 CJ11:CK11 CM11:CN11">
    <cfRule type="expression" priority="308" dxfId="1679" stopIfTrue="1">
      <formula>CD$15=1</formula>
    </cfRule>
  </conditionalFormatting>
  <conditionalFormatting sqref="CD20:CE20 CG20:CH43 CJ20:CK43 CD24:CE43 CD45:CE62 CG45:CH62">
    <cfRule type="expression" priority="62" dxfId="4191">
      <formula>INDEX($H$1:$H$300,ROW(CD20))=2</formula>
    </cfRule>
  </conditionalFormatting>
  <conditionalFormatting sqref="CD20:CE37">
    <cfRule type="expression" priority="54" dxfId="4166">
      <formula>INDEX($I$1:$I$300,ROW(CD20))=1</formula>
    </cfRule>
    <cfRule type="expression" priority="57" dxfId="4191">
      <formula>INDEX($H$1:$H$300,ROW($X20))=2</formula>
    </cfRule>
    <cfRule type="expression" priority="56" dxfId="4165">
      <formula>_xlfn.SWITCH(INDEX($X$1:$X$300,ROW(CD20)),-1,SIGN(CD20)&gt;0,1,SIGN(CD20)&lt;0)</formula>
    </cfRule>
    <cfRule type="expression" priority="55" dxfId="4185">
      <formula>INDEX($I$1:$I$300,ROW(CD20))=2</formula>
    </cfRule>
    <cfRule type="expression" priority="53" dxfId="4186">
      <formula>INDEX($I$1:$I$300,ROW(CD20))=3</formula>
    </cfRule>
  </conditionalFormatting>
  <conditionalFormatting sqref="CD45:CE62">
    <cfRule type="expression" priority="49" dxfId="4166">
      <formula>INDEX($I$1:$I$300,ROW(CD45))=1</formula>
    </cfRule>
    <cfRule type="expression" priority="50" dxfId="4185">
      <formula>INDEX($I$1:$I$300,ROW(CD45))=2</formula>
    </cfRule>
    <cfRule type="expression" priority="48" dxfId="4186">
      <formula>INDEX($I$1:$I$300,ROW(CD45))=3</formula>
    </cfRule>
    <cfRule type="expression" priority="51" dxfId="4165">
      <formula>_xlfn.SWITCH(INDEX($X$1:$X$300,ROW(CD45)),-1,SIGN(CD45)&gt;0,1,SIGN(CD45)&lt;0)</formula>
    </cfRule>
    <cfRule type="expression" priority="52" dxfId="4191">
      <formula>INDEX($H$1:$H$300,ROW($X45))=2</formula>
    </cfRule>
  </conditionalFormatting>
  <conditionalFormatting sqref="CD20:CI20 CJ20:CK35 CF21:CI23 CD24:CI35 CD36:CK43 CD45:CI62">
    <cfRule type="expression" priority="59" dxfId="4186">
      <formula>INDEX($I$1:$I$300,ROW(CD19))=3</formula>
    </cfRule>
    <cfRule type="expression" priority="58" dxfId="2566">
      <formula>_xlfn.SWITCH(INDEX($X$1:$X$300,ROW(CD20)),-1,SIGN(CD20)&gt;0,1,SIGN(CD20)&lt;0)</formula>
    </cfRule>
  </conditionalFormatting>
  <conditionalFormatting sqref="CD20:CI20 CJ20:CK35 CF21:CI23 CD24:CI35 CD36:CK43 CD45:CI62">
    <cfRule type="expression" priority="60" dxfId="4185">
      <formula>INDEX($I$1:$I$300,ROW(CD19))=2</formula>
    </cfRule>
    <cfRule type="expression" priority="61" dxfId="4166">
      <formula>INDEX($I$1:$I$300,ROW(CD19))=1</formula>
    </cfRule>
  </conditionalFormatting>
  <conditionalFormatting sqref="CJ20:CK37">
    <cfRule type="expression" priority="46" dxfId="4165">
      <formula>_xlfn.SWITCH(INDEX($X$1:$X$300,ROW(CJ20)),-1,SIGN(CJ20)&gt;0,1,SIGN(CJ20)&lt;0)</formula>
    </cfRule>
    <cfRule type="expression" priority="45" dxfId="4185">
      <formula>INDEX($I$1:$I$300,ROW(CJ20))=2</formula>
    </cfRule>
    <cfRule type="expression" priority="43" dxfId="4186">
      <formula>INDEX($I$1:$I$300,ROW(CJ20))=3</formula>
    </cfRule>
    <cfRule type="expression" priority="44" dxfId="4166">
      <formula>INDEX($I$1:$I$300,ROW(CJ20))=1</formula>
    </cfRule>
    <cfRule type="expression" priority="47" dxfId="4191">
      <formula>INDEX($H$1:$H$300,ROW($X20))=2</formula>
    </cfRule>
  </conditionalFormatting>
  <conditionalFormatting sqref="CJ45:CK62">
    <cfRule type="expression" priority="38" dxfId="4186">
      <formula>INDEX($I$1:$I$300,ROW(CJ45))=3</formula>
    </cfRule>
    <cfRule type="expression" priority="42" dxfId="4191">
      <formula>INDEX($H$1:$H$300,ROW($X45))=2</formula>
    </cfRule>
    <cfRule type="expression" priority="41" dxfId="4165">
      <formula>_xlfn.SWITCH(INDEX($X$1:$X$300,ROW(CJ45)),-1,SIGN(CJ45)&gt;0,1,SIGN(CJ45)&lt;0)</formula>
    </cfRule>
    <cfRule type="expression" priority="40" dxfId="4185">
      <formula>INDEX($I$1:$I$300,ROW(CJ45))=2</formula>
    </cfRule>
    <cfRule type="expression" priority="39" dxfId="4166">
      <formula>INDEX($I$1:$I$300,ROW(CJ45))=1</formula>
    </cfRule>
  </conditionalFormatting>
  <conditionalFormatting sqref="CL19">
    <cfRule type="expression" priority="26" dxfId="4165">
      <formula>_xlfn.SWITCH(INDEX($X$1:$X$300,ROW(CL19)),-1,SIGN(CL19)&gt;0,1,SIGN(CL19)&lt;0)</formula>
    </cfRule>
  </conditionalFormatting>
  <conditionalFormatting sqref="CL19:CN19">
    <cfRule type="expression" priority="18" dxfId="4186">
      <formula>INDEX($I$1:$I$300,ROW(CL19))=3</formula>
    </cfRule>
    <cfRule type="expression" priority="19" dxfId="4166">
      <formula>INDEX($I$1:$I$300,ROW(CL19))=1</formula>
    </cfRule>
    <cfRule type="expression" priority="20" dxfId="4185">
      <formula>INDEX($I$1:$I$300,ROW(CL19))=2</formula>
    </cfRule>
  </conditionalFormatting>
  <conditionalFormatting sqref="CL44:CN44">
    <cfRule type="expression" priority="2" dxfId="4165">
      <formula>_xlfn.SWITCH(INDEX($X$1:$X$300,ROW(CL44)),-1,SIGN(CL44)&gt;0,1,SIGN(CL44)&lt;0)</formula>
    </cfRule>
    <cfRule type="expression" priority="3" dxfId="4186">
      <formula>INDEX($I$1:$I$300,ROW(CL44))=3</formula>
    </cfRule>
    <cfRule type="expression" priority="4" dxfId="4166">
      <formula>INDEX($I$1:$I$300,ROW(CL44))=1</formula>
    </cfRule>
    <cfRule type="expression" priority="5" dxfId="4185">
      <formula>INDEX($I$1:$I$300,ROW(CL44))=2</formula>
    </cfRule>
  </conditionalFormatting>
  <conditionalFormatting sqref="CM18">
    <cfRule type="iconSet" priority="145">
      <iconSet iconSet="3Symbols" showValue="0">
        <cfvo type="percent" val="0"/>
        <cfvo type="num" val="-1"/>
        <cfvo type="num" val="2"/>
      </iconSet>
    </cfRule>
  </conditionalFormatting>
  <conditionalFormatting sqref="CM20:CN35 CM36:CM37">
    <cfRule type="expression" priority="176" dxfId="1625">
      <formula>$H20=2</formula>
    </cfRule>
    <cfRule type="expression" priority="189" dxfId="4186">
      <formula>$I20=3</formula>
    </cfRule>
  </conditionalFormatting>
  <conditionalFormatting sqref="CM17:CN17">
    <cfRule type="expression" priority="136" dxfId="4191">
      <formula>fmt_shadeOn(CM17)</formula>
    </cfRule>
    <cfRule type="expression" priority="133" dxfId="4186">
      <formula>fmt_styleOn(CM17,3)</formula>
    </cfRule>
    <cfRule type="expression" priority="135" dxfId="1693">
      <formula>fmt_styleOn(CM17,1)</formula>
    </cfRule>
    <cfRule type="expression" priority="134" dxfId="4185">
      <formula>fmt_styleOn(CM17,2)</formula>
    </cfRule>
  </conditionalFormatting>
  <conditionalFormatting sqref="CM19:CN19">
    <cfRule type="expression" priority="21" dxfId="4167">
      <formula>INDEX($H$1:$H$300,ROW($CM19))=2</formula>
    </cfRule>
    <cfRule type="expression" priority="17" dxfId="4165">
      <formula>_xlfn.SWITCH(INDEX($X$1:$X$300,ROW(CM19)),-1,SIGN(CM19)&gt;0,1,SIGN(CM19)&lt;0)</formula>
    </cfRule>
    <cfRule type="expression" priority="16" dxfId="4194">
      <formula>IF($A$14,IF(CELL("protect",CM19)=0,TRUE,FALSE))</formula>
    </cfRule>
  </conditionalFormatting>
  <conditionalFormatting sqref="CM20:CN35 CM36:CM37">
    <cfRule type="expression" priority="190" dxfId="1689">
      <formula>$I20=2</formula>
    </cfRule>
    <cfRule type="expression" priority="191" dxfId="1690">
      <formula>$I20=1</formula>
    </cfRule>
    <cfRule type="expression" priority="192" dxfId="4191">
      <formula>$H20=2</formula>
    </cfRule>
  </conditionalFormatting>
  <conditionalFormatting sqref="CM37:CN37">
    <cfRule type="expression" priority="172" dxfId="4186">
      <formula>$I37=3</formula>
    </cfRule>
    <cfRule type="expression" priority="171" dxfId="1625">
      <formula>$H37=2</formula>
    </cfRule>
    <cfRule type="expression" priority="173" dxfId="1689">
      <formula>$I37=2</formula>
    </cfRule>
    <cfRule type="expression" priority="175" dxfId="4191">
      <formula>$H37=2</formula>
    </cfRule>
    <cfRule type="expression" priority="174" dxfId="1690">
      <formula>$I37=1</formula>
    </cfRule>
  </conditionalFormatting>
  <conditionalFormatting sqref="CM43:CN43">
    <cfRule type="expression" priority="152" dxfId="1679" stopIfTrue="1">
      <formula>CM$15=1</formula>
    </cfRule>
  </conditionalFormatting>
  <conditionalFormatting sqref="CM44:CN44">
    <cfRule type="expression" priority="1" dxfId="4194">
      <formula>IF($A$14,IF(CELL("protect",CM44)=0,TRUE,FALSE))</formula>
    </cfRule>
    <cfRule type="expression" priority="6" dxfId="4167">
      <formula>INDEX($H$1:$H$300,ROW($CM44))=2</formula>
    </cfRule>
  </conditionalFormatting>
  <conditionalFormatting sqref="CM45:CN60">
    <cfRule type="expression" priority="162" dxfId="4191">
      <formula>$H45=2</formula>
    </cfRule>
    <cfRule type="expression" priority="161" dxfId="1690">
      <formula>$I45=1</formula>
    </cfRule>
    <cfRule type="expression" priority="160" dxfId="1689">
      <formula>$I45=2</formula>
    </cfRule>
    <cfRule type="expression" priority="159" dxfId="4186">
      <formula>$I45=3</formula>
    </cfRule>
    <cfRule type="expression" priority="158" dxfId="1625">
      <formula>$H45=2</formula>
    </cfRule>
  </conditionalFormatting>
  <conditionalFormatting sqref="CM62:CN62">
    <cfRule type="expression" priority="153" dxfId="1625">
      <formula>$H62=2</formula>
    </cfRule>
    <cfRule type="expression" priority="154" dxfId="4186">
      <formula>$I62=3</formula>
    </cfRule>
    <cfRule type="expression" priority="157" dxfId="4191">
      <formula>$H62=2</formula>
    </cfRule>
    <cfRule type="expression" priority="156" dxfId="1690">
      <formula>$I62=1</formula>
    </cfRule>
    <cfRule type="expression" priority="155" dxfId="1689">
      <formula>$I62=2</formula>
    </cfRule>
  </conditionalFormatting>
  <conditionalFormatting sqref="CN18">
    <cfRule type="iconSet" priority="138">
      <iconSet iconSet="3Symbols" showValue="0">
        <cfvo type="percent" val="0"/>
        <cfvo type="num" val="-1"/>
        <cfvo type="num" val="2"/>
      </iconSet>
    </cfRule>
  </conditionalFormatting>
  <dataValidations count="7">
    <dataValidation allowBlank="1" showInputMessage="1" promptTitle="What is this for?" prompt="You can overwrite the system year end to test the model. Please remove them or switch it to the factual (provided below) to avoid confusion. " sqref="AK6"/>
    <dataValidation allowBlank="1" showInputMessage="1" sqref="AD4 AF4:BZ4 CM4:CN4 AG5:AJ6 AK5 AL5:AN6 AO5:BZ7 CM5 AJ7:AN7 AD8:AD15 AF8:BZ8 AE9:BZ15 CF11:CF12 CJ11:CK38 CM11:CN38 CD12:CE12 CG12:CI12 CD13:CI14 CD15:CE15 CG15:CH38 CI15:CI19 AD16:BZ37 CC16:CF16 CD17:CE18 CD19:CF40 CB20:CB40 CG39:CN40 AD41:BZ62 CL41:CL43 CM43:CN44 CD44:CF44 CG44:CH62 CI44 CJ44:CK62 CD45:CE62 CL45:CN63 CF46:CF62 CB63"/>
    <dataValidation type="whole" allowBlank="1" showInputMessage="1" promptTitle="Sign" prompt="1=Positive/Plus, -1 = Negatives/Minus; 0 =Equal_x000a_" sqref="X41:X42">
      <formula1>-1</formula1>
      <formula2>1</formula2>
    </dataValidation>
    <dataValidation allowBlank="1" showInputMessage="1" promptTitle="Company Reporting Currency" prompt="You are not supposed to change the currency display here. " sqref="AM5:AM6"/>
    <dataValidation type="list" allowBlank="1" showInputMessage="1" showErrorMessage="1" sqref="J10:K10">
      <formula1>"1,0"</formula1>
    </dataValidation>
    <dataValidation type="list" allowBlank="1" showInputMessage="1" sqref="AL6">
      <formula1>Developer!$B$52:$B$55</formula1>
    </dataValidation>
    <dataValidation type="list" allowBlank="1" showInputMessage="1" showErrorMessage="1" sqref="H4:I4">
      <formula1>_xlfn.ANCHORARRAY(Developer!#REF!)</formula1>
    </dataValidation>
  </dataValidations>
  <hyperlinks>
    <hyperlink ref="AD6" location="val_company" display="val_company"/>
  </hyperlinks>
  <pageMargins left="0.25" right="0.25" top="0.75" bottom="0.75" header="0.3" footer="0.3"/>
  <pageSetup fitToHeight="0" orientation="portrait" paperSize="8" r:id="rId2"/>
  <picture r:id="rId1"/>
  <extLst>
    <ext xmlns:x14="http://schemas.microsoft.com/office/spreadsheetml/2009/9/main" uri="{78C0D931-6437-407d-A8EE-F0AAD7539E65}">
      <x14:conditionalFormattings>
        <x14:conditionalFormatting xmlns:xm="http://schemas.microsoft.com/office/excel/2006/main">
          <x14:cfRule type="iconSet" priority="318" id="{7FB92B44-2A0D-4E0F-86D7-8C31776E6E7C}">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J20:K26</xm:sqref>
        </x14:conditionalFormatting>
        <x14:conditionalFormatting xmlns:xm="http://schemas.microsoft.com/office/excel/2006/main">
          <x14:cfRule type="iconSet" priority="310" id="{2827E263-51C8-416D-A92C-7F9C7037FCCF}">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J28:K28</xm:sqref>
        </x14:conditionalFormatting>
        <x14:conditionalFormatting xmlns:xm="http://schemas.microsoft.com/office/excel/2006/main">
          <x14:cfRule type="iconSet" priority="309" id="{DD2FD477-1D1F-485F-9424-965AE3B6E073}">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J36:K36</xm:sqref>
        </x14:conditionalFormatting>
        <x14:conditionalFormatting xmlns:xm="http://schemas.microsoft.com/office/excel/2006/main">
          <x14:cfRule type="iconSet" priority="290" id="{B0B43262-89EE-4290-8E72-EB2FE15698F4}">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J45:K51</xm:sqref>
        </x14:conditionalFormatting>
        <x14:conditionalFormatting xmlns:xm="http://schemas.microsoft.com/office/excel/2006/main">
          <x14:cfRule type="iconSet" priority="289" id="{85460271-B0D8-43EF-A07A-CFF37CDA6779}">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J53:K53</xm:sqref>
        </x14:conditionalFormatting>
        <x14:conditionalFormatting xmlns:xm="http://schemas.microsoft.com/office/excel/2006/main">
          <x14:cfRule type="iconSet" priority="288" id="{4D7C7646-3744-490B-A6F6-ADA92404CF71}">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J61:K61</xm:sqref>
        </x14:conditionalFormatting>
        <x14:conditionalFormatting xmlns:xm="http://schemas.microsoft.com/office/excel/2006/main">
          <x14:cfRule type="iconSet" priority="88" id="{678D9538-D5A0-4B49-AF68-5C05D333D647}">
            <x14:iconSet iconSet="4RedToBlack" custom="1" showValue="0">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dxf/>
          </x14:cfRule>
          <xm:sqref>L20:L63</xm:sqref>
        </x14:conditionalFormatting>
        <x14:conditionalFormatting xmlns:xm="http://schemas.microsoft.com/office/excel/2006/main">
          <x14:cfRule type="iconSet" priority="9339" id="{1A258467-9DB6-44C0-A20D-AAC981F11A26}">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Z12</xm:sqref>
        </x14:conditionalFormatting>
        <x14:conditionalFormatting xmlns:xm="http://schemas.microsoft.com/office/excel/2006/main">
          <x14:cfRule type="iconSet" priority="168" id="{738E7311-E3DC-4713-B8CC-BF7A7D9D5420}">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Z13</xm:sqref>
        </x14:conditionalFormatting>
        <x14:conditionalFormatting xmlns:xm="http://schemas.microsoft.com/office/excel/2006/main">
          <x14:cfRule type="iconSet" priority="165" id="{7BFE6B7C-F221-4C2D-BC57-A2763E5BF63C}">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Z14</xm:sqref>
        </x14:conditionalFormatting>
        <x14:conditionalFormatting xmlns:xm="http://schemas.microsoft.com/office/excel/2006/main">
          <x14:cfRule type="iconSet" priority="182" id="{65031E33-FC88-48C7-85E2-B2DD1187832E}">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Z20:Z37</xm:sqref>
        </x14:conditionalFormatting>
        <x14:conditionalFormatting xmlns:xm="http://schemas.microsoft.com/office/excel/2006/main">
          <x14:cfRule type="iconSet" priority="180" id="{428258D9-DD26-4560-83B3-EAB4FDB4DB95}">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Z45</xm:sqref>
        </x14:conditionalFormatting>
        <x14:conditionalFormatting xmlns:xm="http://schemas.microsoft.com/office/excel/2006/main">
          <x14:cfRule type="iconSet" priority="178" id="{0E278426-8E73-4E61-82AA-129D7BCF4F64}">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Z46:Z62</xm:sqref>
        </x14:conditionalFormatting>
        <x14:conditionalFormatting xmlns:xm="http://schemas.microsoft.com/office/excel/2006/main">
          <x14:cfRule type="iconSet" priority="263" id="{8491EFC3-8FAC-44C3-A4CF-E6EF618C73F5}">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AA20:AA37</xm:sqref>
        </x14:conditionalFormatting>
        <x14:conditionalFormatting xmlns:xm="http://schemas.microsoft.com/office/excel/2006/main">
          <x14:cfRule type="iconSet" priority="232" id="{F8D992A2-B531-4F50-B3C5-016C7BCCE975}">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AA45:AA60</xm:sqref>
        </x14:conditionalFormatting>
        <x14:conditionalFormatting xmlns:xm="http://schemas.microsoft.com/office/excel/2006/main">
          <x14:cfRule type="iconSet" priority="292" id="{1D8E36DD-669C-47BB-B4E3-09B26AAA8A29}">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AA61:AA62</xm:sqref>
        </x14:conditionalFormatting>
        <x14:conditionalFormatting xmlns:xm="http://schemas.microsoft.com/office/excel/2006/main">
          <x14:cfRule type="iconSet" priority="329" id="{23A1AC8E-D928-46CD-8D50-016D721833ED}">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AC6</xm:sqref>
        </x14:conditionalFormatting>
        <x14:conditionalFormatting xmlns:xm="http://schemas.microsoft.com/office/excel/2006/main">
          <x14:cfRule type="iconSet" priority="325" id="{6440C0C9-42CA-48DF-BF05-807749C807E1}">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AD15:BZ15</xm:sqref>
        </x14:conditionalFormatting>
        <x14:conditionalFormatting xmlns:xm="http://schemas.microsoft.com/office/excel/2006/main">
          <x14:cfRule type="iconSet" priority="151" id="{4243ECF5-335E-4400-ABF6-2605C3A25F2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AD17:BZ17</xm:sqref>
        </x14:conditionalFormatting>
        <x14:conditionalFormatting xmlns:xm="http://schemas.microsoft.com/office/excel/2006/main">
          <x14:cfRule type="iconSet" priority="328" id="{D8F48764-A5C7-4080-886B-F5EF682261C7}">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AD18:BZ18</xm:sqref>
        </x14:conditionalFormatting>
        <x14:conditionalFormatting xmlns:xm="http://schemas.microsoft.com/office/excel/2006/main">
          <x14:cfRule type="iconSet" priority="132" id="{16E6B01D-0A33-467E-B2EA-4345D43E38C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AD41:BZ41</xm:sqref>
        </x14:conditionalFormatting>
        <x14:conditionalFormatting xmlns:xm="http://schemas.microsoft.com/office/excel/2006/main">
          <x14:cfRule type="iconSet" priority="301" id="{BA716B0E-5665-42A7-8F6D-EA8558029C7B}">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AD42:BZ42</xm:sqref>
        </x14:conditionalFormatting>
        <x14:conditionalFormatting xmlns:xm="http://schemas.microsoft.com/office/excel/2006/main">
          <x14:cfRule type="iconSet" priority="144" id="{2083CB23-4D88-49F0-B5EB-424378318B1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xm:sqref>
        </x14:conditionalFormatting>
        <x14:conditionalFormatting xmlns:xm="http://schemas.microsoft.com/office/excel/2006/main">
          <x14:cfRule type="iconSet" priority="146" id="{9CD63A39-8C6A-47A3-871F-88A98F1CB497}">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CM18</xm:sqref>
        </x14:conditionalFormatting>
        <x14:conditionalFormatting xmlns:xm="http://schemas.microsoft.com/office/excel/2006/main">
          <x14:cfRule type="iconSet" priority="137" id="{4E553936-5324-47A7-9CA6-0F392C63D3E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CN17</xm:sqref>
        </x14:conditionalFormatting>
        <x14:conditionalFormatting xmlns:xm="http://schemas.microsoft.com/office/excel/2006/main">
          <x14:cfRule type="iconSet" priority="139" id="{52FC45A8-5B5A-418B-9DE2-15676126FBA6}">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CN18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14C287-41F6-499D-AD3D-AD0B0144A739}">
  <sheetPr codeName="Sheet11">
    <tabColor rgb="FF0066FF"/>
  </sheetPr>
  <dimension ref="A1:EP338"/>
  <sheetViews>
    <sheetView zoomScale="70" zoomScaleNormal="70" workbookViewId="0" topLeftCell="A106">
      <selection pane="topLeft" activeCell="AL211" sqref="AL211"/>
    </sheetView>
  </sheetViews>
  <sheetFormatPr defaultRowHeight="15.5" outlineLevelRow="2" outlineLevelCol="1"/>
  <cols>
    <col min="1" max="1" width="8.44444444444444" customWidth="1" outlineLevel="1"/>
    <col min="2" max="2" width="42.2222222222222" customWidth="1" outlineLevel="1"/>
    <col min="3" max="3" width="31.1111111111111" customWidth="1" outlineLevel="1"/>
    <col min="4" max="4" width="15.7777777777778" customWidth="1" outlineLevel="1"/>
    <col min="5" max="5" width="28.7777777777778" customWidth="1" outlineLevel="1"/>
    <col min="6" max="6" width="53.3333333333333" customWidth="1" outlineLevel="1"/>
    <col min="7" max="7" width="27.3333333333333" customWidth="1" outlineLevel="1"/>
    <col min="8" max="12" width="7.11111111111111" customWidth="1" outlineLevel="1"/>
    <col min="13" max="13" width="1.44444444444444" customWidth="1"/>
    <col min="14" max="14" width="4.22222222222222" customWidth="1"/>
    <col min="15" max="15" width="1.44444444444444" hidden="1" customWidth="1" outlineLevel="1"/>
    <col min="16" max="17" width="2.66666666666667" hidden="1" customWidth="1" outlineLevel="1"/>
    <col min="18" max="18" width="1.44444444444444" hidden="1" customWidth="1" outlineLevel="1"/>
    <col min="19" max="19" width="34.2222222222222" hidden="1" customWidth="1" outlineLevel="1"/>
    <col min="20" max="20" width="53" hidden="1" customWidth="1" outlineLevel="1"/>
    <col min="21" max="22" width="1.44444444444444" hidden="1" customWidth="1" outlineLevel="1"/>
    <col min="23" max="23" width="11.3333333333333" customWidth="1" collapsed="1"/>
    <col min="24" max="24" width="4.22222222222222" customWidth="1"/>
    <col min="25" max="25" width="84" bestFit="1" customWidth="1"/>
    <col min="26" max="26" width="4.22222222222222" customWidth="1"/>
    <col min="27" max="27" width="6.55555555555556" customWidth="1"/>
    <col min="28" max="28" width="44.6666666666667" customWidth="1" outlineLevel="1"/>
    <col min="29" max="29" width="4.55555555555556" customWidth="1"/>
    <col min="30" max="35" width="17.8888888888889" customWidth="1" outlineLevel="1"/>
    <col min="36" max="36" width="17.8888888888889" customWidth="1" outlineLevel="1" collapsed="1"/>
    <col min="37" max="53" width="17.8888888888889" customWidth="1" outlineLevel="1"/>
    <col min="54" max="54" width="17.8888888888889" customWidth="1" outlineLevel="1" collapsed="1"/>
    <col min="55" max="65" width="17.8888888888889" customWidth="1" outlineLevel="1"/>
    <col min="66" max="66" width="17.8888888888889" customWidth="1"/>
    <col min="67" max="78" width="17.8888888888889" hidden="1" customWidth="1"/>
    <col min="79" max="81" width="1.44444444444444" customWidth="1"/>
    <col min="82" max="83" width="17.8888888888889" customWidth="1"/>
    <col min="84" max="84" width="1.44444444444444" customWidth="1"/>
    <col min="85" max="86" width="17.8888888888889" customWidth="1"/>
    <col min="87" max="87" width="1.44444444444444" customWidth="1"/>
    <col min="88" max="89" width="17.8888888888889" customWidth="1"/>
    <col min="90" max="90" width="1.44444444444444" customWidth="1"/>
    <col min="91" max="92" width="17.8888888888889" customWidth="1"/>
    <col min="93" max="93" width="1.44444444444444" customWidth="1"/>
    <col min="94" max="94" width="18.5555555555556" bestFit="1" customWidth="1"/>
    <col min="95" max="95" width="17.8888888888889" customWidth="1"/>
    <col min="96" max="96" width="1.44444444444444" customWidth="1"/>
    <col min="97" max="97" width="2.66666666666667" customWidth="1"/>
    <col min="98" max="98" width="16.8888888888889" customWidth="1"/>
    <col min="99" max="99" width="9" bestFit="1" customWidth="1"/>
    <col min="100" max="100" width="11.6666666666667" bestFit="1" customWidth="1"/>
    <col min="101" max="101" width="38.5555555555556" customWidth="1"/>
    <col min="102" max="102" width="13.8888888888889" customWidth="1"/>
    <col min="103" max="103" width="33.7777777777778" customWidth="1"/>
    <col min="104" max="108" width="13.8888888888889" customWidth="1"/>
    <col min="109" max="109" width="14.2222222222222" customWidth="1"/>
  </cols>
  <sheetData>
    <row r="1" spans="1:29 87:87" ht="15.5">
      <c r="A1" s="31" t="s">
        <v>1857</v>
      </c>
      <c r="H1" s="37"/>
      <c r="I1" s="587"/>
      <c r="J1" s="587"/>
      <c r="K1" s="37"/>
      <c r="L1" s="37"/>
      <c r="N1" s="115"/>
      <c r="W1" s="37"/>
      <c r="X1" s="880"/>
      <c r="Z1" s="765"/>
      <c r="AC1" s="37"/>
      <c r="CI1" s="108"/>
    </row>
    <row r="2" spans="1:29 87:87" ht="15.5">
      <c r="A2" s="31"/>
      <c r="H2" s="37"/>
      <c r="I2" s="587"/>
      <c r="J2" s="587"/>
      <c r="K2" s="37"/>
      <c r="L2" s="37"/>
      <c r="N2" s="115"/>
      <c r="W2" s="37"/>
      <c r="X2" s="880"/>
      <c r="Z2" s="765"/>
      <c r="AC2" s="37"/>
      <c r="CI2" s="108"/>
    </row>
    <row r="3" spans="1:96" ht="25">
      <c r="A3" s="31"/>
      <c r="H3" s="37"/>
      <c r="I3" s="587"/>
      <c r="J3" s="587"/>
      <c r="K3" s="37"/>
      <c r="L3" s="37"/>
      <c r="N3" s="371"/>
      <c r="O3" s="15"/>
      <c r="P3" s="15"/>
      <c r="Q3" s="15"/>
      <c r="R3" s="15"/>
      <c r="S3" s="15"/>
      <c r="T3" s="152"/>
      <c r="U3" s="38"/>
      <c r="W3" s="142"/>
      <c r="X3" s="881"/>
      <c r="Y3" s="143"/>
      <c r="Z3" s="766"/>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15"/>
      <c r="CP3" s="15"/>
      <c r="CQ3" s="15"/>
      <c r="CR3" s="38"/>
    </row>
    <row r="4" spans="1:96" ht="15.5">
      <c r="A4" s="31"/>
      <c r="H4" s="37"/>
      <c r="I4" s="587"/>
      <c r="J4" s="587"/>
      <c r="K4" s="37"/>
      <c r="L4" s="37"/>
      <c r="N4" s="372"/>
      <c r="O4" s="3008" t="e" vm="2" cm="1">
        <f t="array" ref="O4">IF(LEFT($A$1,3)="unp",icon_unlock,icon_lock)</f>
        <v>#VALUE!</v>
      </c>
      <c r="P4" s="3008"/>
      <c r="Q4" s="3008"/>
      <c r="R4" s="153"/>
      <c r="S4" s="153" t="e" vm="3">
        <v>#VALUE!</v>
      </c>
      <c r="T4" s="153"/>
      <c r="U4" s="39"/>
      <c r="W4" s="767"/>
      <c r="X4" s="882"/>
      <c r="Y4" s="3073" t="s">
        <v>1508</v>
      </c>
      <c r="Z4" s="768"/>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101"/>
      <c r="CP4" s="101"/>
      <c r="CQ4" s="101"/>
      <c r="CR4" s="39"/>
    </row>
    <row r="5" spans="1:96" ht="44.5">
      <c r="A5" s="31"/>
      <c r="H5" s="37"/>
      <c r="I5" s="587"/>
      <c r="J5" s="587"/>
      <c r="K5" s="37"/>
      <c r="L5" s="37"/>
      <c r="N5" s="372"/>
      <c r="O5" s="101"/>
      <c r="P5" s="153"/>
      <c r="Q5" s="101"/>
      <c r="R5" s="153"/>
      <c r="S5" s="1605" t="s">
        <v>25</v>
      </c>
      <c r="T5" s="1605"/>
      <c r="U5" s="39"/>
      <c r="W5" s="767"/>
      <c r="X5" s="996"/>
      <c r="Y5" s="3073"/>
      <c r="Z5" s="989"/>
      <c r="AA5" s="551"/>
      <c r="AB5" s="560"/>
      <c r="AC5" s="126"/>
      <c r="AD5" s="126"/>
      <c r="AE5" s="35" t="str">
        <f>CX_ENTITY</f>
        <v>W06f9Irq7</v>
      </c>
      <c r="AF5" s="101"/>
      <c r="AG5" s="145"/>
      <c r="AH5" s="101"/>
      <c r="AI5" s="101"/>
      <c r="AJ5" s="35" t="s">
        <v>28</v>
      </c>
      <c r="AK5" s="35" t="s">
        <v>29</v>
      </c>
      <c r="AL5" s="35" t="s">
        <v>235</v>
      </c>
      <c r="AM5" s="35" t="s">
        <v>31</v>
      </c>
      <c r="AN5" s="101"/>
      <c r="AO5" s="770"/>
      <c r="AP5" s="770"/>
      <c r="AQ5" s="770"/>
      <c r="AR5" s="770"/>
      <c r="AS5" s="770"/>
      <c r="AT5" s="770"/>
      <c r="AU5" s="770"/>
      <c r="AV5" s="770"/>
      <c r="AW5" s="770"/>
      <c r="AX5" s="770"/>
      <c r="AY5" s="770"/>
      <c r="AZ5" s="770"/>
      <c r="BA5" s="770"/>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986"/>
      <c r="CE5" s="986"/>
      <c r="CF5" s="169"/>
      <c r="CG5" s="101"/>
      <c r="CH5" s="101"/>
      <c r="CI5" s="101"/>
      <c r="CJ5" s="210"/>
      <c r="CK5" s="210"/>
      <c r="CL5" s="101"/>
      <c r="CM5" s="210"/>
      <c r="CN5" s="210"/>
      <c r="CO5" s="101"/>
      <c r="CP5" s="210"/>
      <c r="CQ5" s="210"/>
      <c r="CR5" s="39"/>
    </row>
    <row r="6" spans="1:96" ht="44.5">
      <c r="A6" s="118"/>
      <c r="B6" s="117"/>
      <c r="C6" s="117"/>
      <c r="D6" s="117"/>
      <c r="E6" s="117"/>
      <c r="F6" s="577"/>
      <c r="G6" s="117"/>
      <c r="H6" s="1297"/>
      <c r="I6" s="1297"/>
      <c r="J6" s="1298"/>
      <c r="K6" s="30"/>
      <c r="L6" s="30"/>
      <c r="N6" s="372"/>
      <c r="O6" s="101"/>
      <c r="P6" s="153"/>
      <c r="Q6" s="153"/>
      <c r="R6" s="153"/>
      <c r="S6" s="1605"/>
      <c r="T6" s="1605"/>
      <c r="U6" s="39"/>
      <c r="W6" s="767"/>
      <c r="X6" s="996"/>
      <c r="Y6" s="264"/>
      <c r="Z6" s="989"/>
      <c r="AA6" s="551"/>
      <c r="AB6" s="2132"/>
      <c r="AC6" s="126"/>
      <c r="AD6" s="126"/>
      <c r="AE6" s="1829" t="str">
        <f>val_company</f>
        <v>Therme Horizon</v>
      </c>
      <c r="AF6" s="101"/>
      <c r="AG6" s="145"/>
      <c r="AH6" s="101"/>
      <c r="AI6" s="101"/>
      <c r="AJ6" s="1155" t="e" cm="1">
        <f t="array" ca="1" aca="1" ref="AJ6">_xldudf_CX_GET(CX_ENTITY,"Fiscal_Year_End")</f>
        <v>#NAME?</v>
      </c>
      <c r="AK6" s="1155" t="e">
        <f ca="1">EOMONTH(DATE(YEAR(EOMONTH(val_asOfDate,12-MONTH($AJ$6))),MONTH(AJ6),1),0)</f>
        <v>#NAME?</v>
      </c>
      <c r="AL6" s="816" t="str">
        <f>val_displayUnit</f>
        <v>Millions</v>
      </c>
      <c r="AM6" s="1156" t="e" cm="1">
        <f t="array" ca="1" aca="1" ref="AM6">_xldudf_CX_GET(CX_ENTITY,"reporting_currency")</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101"/>
      <c r="CP6" s="101"/>
      <c r="CQ6" s="101"/>
      <c r="CR6" s="39"/>
    </row>
    <row r="7" spans="1:96" ht="44.5">
      <c r="A7" s="398"/>
      <c r="B7" s="1299"/>
      <c r="C7" s="1299"/>
      <c r="D7" s="1299"/>
      <c r="E7" s="1299"/>
      <c r="F7" s="577"/>
      <c r="G7" s="731"/>
      <c r="H7" s="3321">
        <v>2</v>
      </c>
      <c r="I7" s="1301"/>
      <c r="J7" s="1302"/>
      <c r="K7" s="731"/>
      <c r="L7" s="824"/>
      <c r="N7" s="372"/>
      <c r="O7" s="101"/>
      <c r="P7" s="126"/>
      <c r="Q7" s="126"/>
      <c r="R7" s="126"/>
      <c r="S7" s="101"/>
      <c r="T7" s="154"/>
      <c r="U7" s="39"/>
      <c r="W7" s="94"/>
      <c r="X7" s="997"/>
      <c r="Y7" s="264"/>
      <c r="Z7" s="989"/>
      <c r="AA7" s="264"/>
      <c r="AB7" s="264"/>
      <c r="AC7" s="123"/>
      <c r="AD7" s="2288"/>
      <c r="AE7" s="2288"/>
      <c r="AF7" s="2288"/>
      <c r="AG7" s="2288"/>
      <c r="AH7" s="2288"/>
      <c r="AI7" s="2288"/>
      <c r="AJ7" s="2288"/>
      <c r="AK7" s="2288"/>
      <c r="AL7" s="2288"/>
      <c r="AM7" s="2288"/>
      <c r="AN7" s="2288"/>
      <c r="AO7" s="2288"/>
      <c r="AP7" s="2288"/>
      <c r="AQ7" s="2288"/>
      <c r="AR7" s="2288"/>
      <c r="AS7" s="2288"/>
      <c r="AT7" s="2288"/>
      <c r="AU7" s="2288"/>
      <c r="AV7" s="2288"/>
      <c r="AW7" s="2288"/>
      <c r="AX7" s="2288"/>
      <c r="AY7" s="2288"/>
      <c r="AZ7" s="2288"/>
      <c r="BA7" s="2288"/>
      <c r="BB7" s="2288"/>
      <c r="BC7" s="2288"/>
      <c r="BD7" s="2288"/>
      <c r="BE7" s="2288"/>
      <c r="BF7" s="2288"/>
      <c r="BG7" s="2288"/>
      <c r="BH7" s="2288"/>
      <c r="BI7" s="2288"/>
      <c r="BJ7" s="2288"/>
      <c r="BK7" s="2288"/>
      <c r="BL7" s="2288"/>
      <c r="BM7" s="2288"/>
      <c r="BN7" s="2288"/>
      <c r="BO7" s="101"/>
      <c r="BP7" s="101"/>
      <c r="BQ7" s="101"/>
      <c r="BR7" s="101"/>
      <c r="BS7" s="101"/>
      <c r="BT7" s="101"/>
      <c r="BU7" s="101"/>
      <c r="BV7" s="101"/>
      <c r="BW7" s="101"/>
      <c r="BX7" s="101"/>
      <c r="BY7" s="101"/>
      <c r="BZ7" s="101"/>
      <c r="CA7" s="39"/>
      <c r="CC7" s="16"/>
      <c r="CD7" s="771" t="s">
        <v>34</v>
      </c>
      <c r="CE7" s="772"/>
      <c r="CF7" s="773"/>
      <c r="CG7" s="774"/>
      <c r="CH7" s="774"/>
      <c r="CI7" s="774"/>
      <c r="CJ7" s="775"/>
      <c r="CK7" s="776"/>
      <c r="CL7" s="101"/>
      <c r="CM7" s="1206" t="s">
        <v>35</v>
      </c>
      <c r="CN7" s="1207"/>
      <c r="CO7" s="1207"/>
      <c r="CP7" s="1207"/>
      <c r="CQ7" s="1208"/>
      <c r="CR7" s="39"/>
    </row>
    <row r="8" spans="1:96" ht="18">
      <c r="A8" s="398"/>
      <c r="B8" s="1303"/>
      <c r="C8" s="1303"/>
      <c r="D8" s="1303"/>
      <c r="E8" s="1303"/>
      <c r="F8" s="577"/>
      <c r="G8" s="697"/>
      <c r="H8" s="1304"/>
      <c r="I8" s="1301"/>
      <c r="J8" s="1305"/>
      <c r="K8" s="697"/>
      <c r="L8" s="697"/>
      <c r="N8" s="372"/>
      <c r="O8" s="101"/>
      <c r="P8" s="18"/>
      <c r="Q8" s="18"/>
      <c r="R8" s="101"/>
      <c r="S8" s="101"/>
      <c r="T8" s="101"/>
      <c r="U8" s="39"/>
      <c r="W8" s="767"/>
      <c r="X8" s="882"/>
      <c r="Y8" s="101"/>
      <c r="Z8" s="768"/>
      <c r="AA8" s="101"/>
      <c r="AB8" s="101"/>
      <c r="AC8" s="126"/>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101"/>
      <c r="BW8" s="101"/>
      <c r="BX8" s="101"/>
      <c r="BY8" s="101"/>
      <c r="BZ8" s="101"/>
      <c r="CA8" s="39"/>
      <c r="CC8" s="17"/>
      <c r="CD8" s="18"/>
      <c r="CE8" s="18"/>
      <c r="CF8" s="18"/>
      <c r="CG8" s="18"/>
      <c r="CH8" s="18"/>
      <c r="CI8" s="18"/>
      <c r="CJ8" s="18"/>
      <c r="CK8" s="18"/>
      <c r="CL8" s="18"/>
      <c r="CM8" s="18"/>
      <c r="CN8" s="18"/>
      <c r="CO8" s="18"/>
      <c r="CP8" s="18"/>
      <c r="CQ8" s="18"/>
      <c r="CR8" s="36"/>
    </row>
    <row r="9" spans="1:96" ht="18" customHeight="1">
      <c r="A9" s="398"/>
      <c r="B9" s="1303"/>
      <c r="C9" s="1303"/>
      <c r="D9" s="1303"/>
      <c r="E9" s="1303"/>
      <c r="F9" s="577"/>
      <c r="G9" s="731"/>
      <c r="H9" s="1305"/>
      <c r="I9" s="1301"/>
      <c r="J9" s="1302"/>
      <c r="K9" s="731"/>
      <c r="L9" s="731"/>
      <c r="N9" s="372"/>
      <c r="O9" s="101"/>
      <c r="P9" s="373"/>
      <c r="Q9" s="373"/>
      <c r="R9" s="101"/>
      <c r="S9" s="3047"/>
      <c r="T9" s="3009"/>
      <c r="U9" s="39"/>
      <c r="W9" s="376"/>
      <c r="X9" s="883"/>
      <c r="Y9" s="377"/>
      <c r="Z9" s="778"/>
      <c r="AA9" s="281"/>
      <c r="AB9" s="281"/>
      <c r="AC9" s="378"/>
      <c r="AD9" s="379"/>
      <c r="AE9" s="379"/>
      <c r="AF9" s="379"/>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19"/>
      <c r="CJ9" s="19"/>
      <c r="CK9" s="19"/>
      <c r="CL9" s="19"/>
      <c r="CM9" s="19"/>
      <c r="CN9" s="19"/>
      <c r="CO9" s="19"/>
      <c r="CP9" s="19"/>
      <c r="CQ9" s="19"/>
      <c r="CR9" s="227"/>
    </row>
    <row r="10" spans="1:96" ht="32.5">
      <c r="A10" s="849"/>
      <c r="B10" s="1306" t="s">
        <v>1509</v>
      </c>
      <c r="C10" s="1306" t="s">
        <v>1510</v>
      </c>
      <c r="D10" s="1303"/>
      <c r="E10" s="1306" t="s">
        <v>1511</v>
      </c>
      <c r="F10" s="1306" t="str">
        <f>IF($B10&lt;&gt;"",$B10,$E10)</f>
        <v>CVC CX Metric Names</v>
      </c>
      <c r="G10" s="731"/>
      <c r="H10" s="1126" t="s">
        <v>37</v>
      </c>
      <c r="I10" s="1126" t="s">
        <v>38</v>
      </c>
      <c r="J10" s="1307"/>
      <c r="K10" s="1308"/>
      <c r="L10" s="1309" t="s">
        <v>1512</v>
      </c>
      <c r="N10" s="372"/>
      <c r="O10" s="101"/>
      <c r="P10" s="373"/>
      <c r="Q10" s="373"/>
      <c r="R10" s="101"/>
      <c r="S10" s="3009"/>
      <c r="T10" s="3009"/>
      <c r="U10" s="39"/>
      <c r="W10" s="808"/>
      <c r="X10" s="382"/>
      <c r="Y10" s="382"/>
      <c r="Z10" s="990"/>
      <c r="AA10" s="185"/>
      <c r="AB10" s="95"/>
      <c r="AC10" s="382"/>
      <c r="AD10" s="1209"/>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8" t="s">
        <v>41</v>
      </c>
      <c r="CE10" s="3029"/>
      <c r="CF10" s="1468"/>
      <c r="CG10" s="3030" t="s">
        <v>42</v>
      </c>
      <c r="CH10" s="3031"/>
      <c r="CI10" s="1325"/>
      <c r="CJ10" s="3032" t="s">
        <v>43</v>
      </c>
      <c r="CK10" s="3033"/>
      <c r="CL10" s="1469"/>
      <c r="CM10" s="3015" t="s">
        <v>44</v>
      </c>
      <c r="CN10" s="3016"/>
      <c r="CO10" s="1470"/>
      <c r="CP10" s="3015" t="s">
        <v>45</v>
      </c>
      <c r="CQ10" s="3016"/>
      <c r="CR10" s="34"/>
    </row>
    <row r="11" spans="1:96" ht="27" customHeight="1">
      <c r="A11" s="731"/>
      <c r="B11" s="1310" t="s">
        <v>1513</v>
      </c>
      <c r="C11" s="1310" t="s">
        <v>1514</v>
      </c>
      <c r="D11" s="1303"/>
      <c r="E11" s="1310" t="s">
        <v>1515</v>
      </c>
      <c r="F11" s="1310" t="s">
        <v>1515</v>
      </c>
      <c r="G11" s="850"/>
      <c r="H11" s="849"/>
      <c r="I11" s="849"/>
      <c r="J11" s="3141"/>
      <c r="K11" s="3142"/>
      <c r="L11" s="1311"/>
      <c r="N11" s="372"/>
      <c r="O11" s="101"/>
      <c r="P11" s="126"/>
      <c r="Q11" s="126"/>
      <c r="R11" s="126"/>
      <c r="S11" s="2"/>
      <c r="T11" s="2"/>
      <c r="U11" s="197"/>
      <c r="W11" s="972"/>
      <c r="X11" s="973" t="s">
        <v>223</v>
      </c>
      <c r="Y11" s="974"/>
      <c r="Z11" s="973"/>
      <c r="AA11" s="974"/>
      <c r="AB11" s="975" t="s">
        <v>47</v>
      </c>
      <c r="AC11" s="976"/>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1722" t="e" cm="1">
        <f t="array" ca="1" aca="1" ref="CD11">EOMONTH(val_currentFYE,-24)</f>
        <v>#NAME?</v>
      </c>
      <c r="CE11" s="1723" t="e" cm="1">
        <f t="array" ca="1" aca="1" ref="CE11">EOMONTH(val_currentFYE,-12)</f>
        <v>#NAME?</v>
      </c>
      <c r="CF11" s="277"/>
      <c r="CG11" s="1732">
        <f>EOMONTH(val_asOfDate,-1)</f>
        <v>45991</v>
      </c>
      <c r="CH11" s="1733">
        <f>EOMONTH(val_asOfDate,0)</f>
        <v>46022</v>
      </c>
      <c r="CI11" s="276"/>
      <c r="CJ11" s="1730">
        <f>EOMONTH(val_asOfDate,-1)</f>
        <v>45991</v>
      </c>
      <c r="CK11" s="1731">
        <f>EOMONTH(val_asOfDate,0)</f>
        <v>46022</v>
      </c>
      <c r="CL11" s="88"/>
      <c r="CM11" s="1728" t="e" cm="1">
        <f t="array" ca="1" aca="1" ref="CM11">val_currentFYE</f>
        <v>#NAME?</v>
      </c>
      <c r="CN11" s="1729" t="e" cm="1">
        <f t="array" ca="1" aca="1" ref="CN11">val_currentFYE</f>
        <v>#NAME?</v>
      </c>
      <c r="CO11" s="88"/>
      <c r="CP11" s="1728" t="e" cm="1">
        <f t="array" ca="1" aca="1" ref="CP11">EOMONTH(val_currentFYE,12)</f>
        <v>#NAME?</v>
      </c>
      <c r="CQ11" s="1728" t="e" cm="1">
        <f t="array" ca="1" aca="1" ref="CQ11">EOMONTH(val_currentFYE,12)</f>
        <v>#NAME?</v>
      </c>
      <c r="CR11" s="200"/>
    </row>
    <row r="12" spans="1:96" ht="20.25" customHeight="1" outlineLevel="1">
      <c r="A12" s="731"/>
      <c r="B12" s="1313" t="s">
        <v>1516</v>
      </c>
      <c r="C12" s="3139" t="s">
        <v>1517</v>
      </c>
      <c r="D12" s="1303"/>
      <c r="E12" s="3140" t="s">
        <v>1518</v>
      </c>
      <c r="F12" s="3140" t="s">
        <v>1519</v>
      </c>
      <c r="G12" s="850"/>
      <c r="H12" s="849"/>
      <c r="I12" s="849"/>
      <c r="J12" s="3141"/>
      <c r="K12" s="3142"/>
      <c r="L12" s="1311"/>
      <c r="N12" s="372"/>
      <c r="O12" s="101"/>
      <c r="P12" s="52"/>
      <c r="Q12" s="101"/>
      <c r="R12" s="126"/>
      <c r="S12" s="1882" t="str">
        <f>""</f>
        <v/>
      </c>
      <c r="T12" s="818" t="s">
        <v>50</v>
      </c>
      <c r="U12" s="39"/>
      <c r="W12" s="1195" t="s">
        <v>51</v>
      </c>
      <c r="X12" s="907" t="e" vm="4" cm="1">
        <f t="array" ref="X12">fx_getIcon("select")</f>
        <v>#VALUE!</v>
      </c>
      <c r="Y12" s="860" t="s">
        <v>52</v>
      </c>
      <c r="Z12" s="3301" cm="1">
        <f t="array" ref="Z12">_xlfn.SWITCH(TRUE,_BS!$L31=TRUE,1,_BS!$L31=FALSE,-1,_BS!$L31=-1,0,"n/a")</f>
        <v>1</v>
      </c>
      <c r="AA12" s="95"/>
      <c r="AB12" s="867" t="s">
        <v>1520</v>
      </c>
      <c r="AC12" s="868"/>
      <c r="AD12" s="1603" t="e">
        <f ca="1">EOMONTH(AD11,12-MONTH(val_currentFYE))</f>
        <v>#NAME?</v>
      </c>
      <c r="AE12" s="1603" t="e" cm="1">
        <f t="array" ca="1" aca="1" ref="AE12">EOMONTH(AE11,12-MONTH(val_currentFYE))</f>
        <v>#NAME?</v>
      </c>
      <c r="AF12" s="1603" t="e" cm="1">
        <f t="array" ca="1" aca="1" ref="AF12">EOMONTH(AF11,12-MONTH(val_currentFYE))</f>
        <v>#NAME?</v>
      </c>
      <c r="AG12" s="1603" t="e" cm="1">
        <f t="array" ca="1" aca="1" ref="AG12">EOMONTH(AG11,12-MONTH(val_currentFYE))</f>
        <v>#NAME?</v>
      </c>
      <c r="AH12" s="1603" t="e" cm="1">
        <f t="array" ca="1" aca="1" ref="AH12">EOMONTH(AH11,12-MONTH(val_currentFYE))</f>
        <v>#NAME?</v>
      </c>
      <c r="AI12" s="1603" t="e" cm="1">
        <f t="array" ca="1" aca="1" ref="AI12">EOMONTH(AI11,12-MONTH(val_currentFYE))</f>
        <v>#NAME?</v>
      </c>
      <c r="AJ12" s="1603" t="e" cm="1">
        <f t="array" ca="1" aca="1" ref="AJ12">EOMONTH(AJ11,12-MONTH(val_currentFYE))</f>
        <v>#NAME?</v>
      </c>
      <c r="AK12" s="1603" t="e" cm="1">
        <f t="array" ca="1" aca="1" ref="AK12">EOMONTH(AK11,12-MONTH(val_currentFYE))</f>
        <v>#NAME?</v>
      </c>
      <c r="AL12" s="1603" t="e" cm="1">
        <f t="array" ca="1" aca="1" ref="AL12">EOMONTH(AL11,12-MONTH(val_currentFYE))</f>
        <v>#NAME?</v>
      </c>
      <c r="AM12" s="1603" t="e" cm="1">
        <f t="array" ca="1" aca="1" ref="AM12">EOMONTH(AM11,12-MONTH(val_currentFYE))</f>
        <v>#NAME?</v>
      </c>
      <c r="AN12" s="1603" t="e">
        <f ca="1">EOMONTH(AN11,12-MONTH(val_currentFYE))</f>
        <v>#NAME?</v>
      </c>
      <c r="AO12" s="1603" t="e" cm="1">
        <f t="array" ca="1" aca="1" ref="AO12">EOMONTH(AO11,12-MONTH(val_currentFYE))</f>
        <v>#NAME?</v>
      </c>
      <c r="AP12" s="1603" t="e" cm="1">
        <f t="array" ca="1" aca="1" ref="AP12">EOMONTH(AP11,12-MONTH(val_currentFYE))</f>
        <v>#NAME?</v>
      </c>
      <c r="AQ12" s="1603" t="e" cm="1">
        <f t="array" ca="1" aca="1" ref="AQ12">EOMONTH(AQ11,12-MONTH(val_currentFYE))</f>
        <v>#NAME?</v>
      </c>
      <c r="AR12" s="1603" t="e" cm="1">
        <f t="array" ca="1" aca="1" ref="AR12">EOMONTH(AR11,12-MONTH(val_currentFYE))</f>
        <v>#NAME?</v>
      </c>
      <c r="AS12" s="1603" t="e" cm="1">
        <f t="array" ca="1" aca="1" ref="AS12">EOMONTH(AS11,12-MONTH(val_currentFYE))</f>
        <v>#NAME?</v>
      </c>
      <c r="AT12" s="1603" t="e" cm="1">
        <f t="array" ca="1" aca="1" ref="AT12">EOMONTH(AT11,12-MONTH(val_currentFYE))</f>
        <v>#NAME?</v>
      </c>
      <c r="AU12" s="1603" t="e" cm="1">
        <f t="array" ca="1" aca="1" ref="AU12">EOMONTH(AU11,12-MONTH(val_currentFYE))</f>
        <v>#NAME?</v>
      </c>
      <c r="AV12" s="1603" t="e" cm="1">
        <f t="array" ca="1" aca="1" ref="AV12">EOMONTH(AV11,12-MONTH(val_currentFYE))</f>
        <v>#NAME?</v>
      </c>
      <c r="AW12" s="1603" t="e" cm="1">
        <f t="array" ca="1" aca="1" ref="AW12">EOMONTH(AW11,12-MONTH(val_currentFYE))</f>
        <v>#NAME?</v>
      </c>
      <c r="AX12" s="1603" t="e" cm="1">
        <f t="array" ca="1" aca="1" ref="AX12">EOMONTH(AX11,12-MONTH(val_currentFYE))</f>
        <v>#NAME?</v>
      </c>
      <c r="AY12" s="1603" t="e" cm="1">
        <f t="array" ca="1" aca="1" ref="AY12">EOMONTH(AY11,12-MONTH(val_currentFYE))</f>
        <v>#NAME?</v>
      </c>
      <c r="AZ12" s="1603" t="e" cm="1">
        <f t="array" ca="1" aca="1" ref="AZ12">EOMONTH(AZ11,12-MONTH(val_currentFYE))</f>
        <v>#NAME?</v>
      </c>
      <c r="BA12" s="1603" t="e" cm="1">
        <f t="array" ca="1" aca="1" ref="BA12">EOMONTH(BA11,12-MONTH(val_currentFYE))</f>
        <v>#NAME?</v>
      </c>
      <c r="BB12" s="1603" t="e" cm="1">
        <f t="array" ca="1" aca="1" ref="BB12">EOMONTH(BB11,12-MONTH(val_currentFYE))</f>
        <v>#NAME?</v>
      </c>
      <c r="BC12" s="1603" t="e" cm="1">
        <f t="array" ca="1" aca="1" ref="BC12">EOMONTH(BC11,12-MONTH(val_currentFYE))</f>
        <v>#NAME?</v>
      </c>
      <c r="BD12" s="1603" t="e" cm="1">
        <f t="array" ca="1" aca="1" ref="BD12">EOMONTH(BD11,12-MONTH(val_currentFYE))</f>
        <v>#NAME?</v>
      </c>
      <c r="BE12" s="1603" t="e" cm="1">
        <f t="array" ca="1" aca="1" ref="BE12">EOMONTH(BE11,12-MONTH(val_currentFYE))</f>
        <v>#NAME?</v>
      </c>
      <c r="BF12" s="1603" t="e" cm="1">
        <f t="array" ca="1" aca="1" ref="BF12">EOMONTH(BF11,12-MONTH(val_currentFYE))</f>
        <v>#NAME?</v>
      </c>
      <c r="BG12" s="1603" t="e" cm="1">
        <f t="array" ca="1" aca="1" ref="BG12">EOMONTH(BG11,12-MONTH(val_currentFYE))</f>
        <v>#NAME?</v>
      </c>
      <c r="BH12" s="1603" t="e" cm="1">
        <f t="array" ca="1" aca="1" ref="BH12">EOMONTH(BH11,12-MONTH(val_currentFYE))</f>
        <v>#NAME?</v>
      </c>
      <c r="BI12" s="1603" t="e" cm="1">
        <f t="array" ca="1" aca="1" ref="BI12">EOMONTH(BI11,12-MONTH(val_currentFYE))</f>
        <v>#NAME?</v>
      </c>
      <c r="BJ12" s="1603" t="e" cm="1">
        <f t="array" ca="1" aca="1" ref="BJ12">EOMONTH(BJ11,12-MONTH(val_currentFYE))</f>
        <v>#NAME?</v>
      </c>
      <c r="BK12" s="1603" t="e" cm="1">
        <f t="array" ca="1" aca="1" ref="BK12">EOMONTH(BK11,12-MONTH(val_currentFYE))</f>
        <v>#NAME?</v>
      </c>
      <c r="BL12" s="1603" t="e" cm="1">
        <f t="array" ca="1" aca="1" ref="BL12">EOMONTH(BL11,12-MONTH(val_currentFYE))</f>
        <v>#NAME?</v>
      </c>
      <c r="BM12" s="1603" t="e" cm="1">
        <f t="array" ca="1" aca="1" ref="BM12">EOMONTH(BM11,12-MONTH(val_currentFYE))</f>
        <v>#NAME?</v>
      </c>
      <c r="BN12" s="1604" t="e">
        <f ca="1">EOMONTH(BN11,12-MONTH(val_currentFYE))</f>
        <v>#NAME?</v>
      </c>
      <c r="BO12" s="2091"/>
      <c r="BP12" s="2091"/>
      <c r="BQ12" s="2091"/>
      <c r="BR12" s="2091"/>
      <c r="BS12" s="2091"/>
      <c r="BT12" s="2091"/>
      <c r="BU12" s="2091"/>
      <c r="BV12" s="2091"/>
      <c r="BW12" s="2091"/>
      <c r="BX12" s="2091"/>
      <c r="BY12" s="2091"/>
      <c r="BZ12" s="2091"/>
      <c r="CA12" s="384"/>
      <c r="CC12" s="33"/>
      <c r="CD12" s="1720" t="e" cm="1">
        <f t="array" ca="1" aca="1" ref="CD12">YEAR(val_currentFYE)-2</f>
        <v>#NAME?</v>
      </c>
      <c r="CE12" s="1721" t="e" cm="1">
        <f t="array" ca="1" aca="1" ref="CE12">YEAR(val_currentFYE)-1</f>
        <v>#NAME?</v>
      </c>
      <c r="CF12" s="128"/>
      <c r="CG12" s="1734" t="e">
        <f ca="1">YEAR(EOMONTH(CG$11,12-MONTH(val_currentFYE)))</f>
        <v>#NAME?</v>
      </c>
      <c r="CH12" s="1734" t="e">
        <f ca="1">YEAR(EOMONTH(CH$11,12-MONTH(val_currentFYE)))</f>
        <v>#NAME?</v>
      </c>
      <c r="CI12" s="207"/>
      <c r="CJ12" s="1724" t="s">
        <v>54</v>
      </c>
      <c r="CK12" s="1725" t="s">
        <v>54</v>
      </c>
      <c r="CL12" s="128"/>
      <c r="CM12" s="1726" t="e" cm="1">
        <f t="array" ca="1" aca="1" ref="CM12">YEAR(val_currentFYE)</f>
        <v>#NAME?</v>
      </c>
      <c r="CN12" s="1727" t="e" cm="1">
        <f t="array" ca="1" aca="1" ref="CN12">YEAR(val_currentFYE)</f>
        <v>#NAME?</v>
      </c>
      <c r="CO12" s="128"/>
      <c r="CP12" s="1726" t="e" cm="1">
        <f t="array" ca="1" aca="1" ref="CP12">YEAR(val_currentFYE)+1</f>
        <v>#NAME?</v>
      </c>
      <c r="CQ12" s="1727" t="e" cm="1">
        <f t="array" ca="1" aca="1" ref="CQ12">YEAR(val_currentFYE)+1</f>
        <v>#NAME?</v>
      </c>
      <c r="CR12" s="200"/>
    </row>
    <row r="13" spans="1:96" ht="20.25" customHeight="1" outlineLevel="1">
      <c r="A13" s="731"/>
      <c r="B13" s="1313"/>
      <c r="C13" s="3139"/>
      <c r="D13" s="1303"/>
      <c r="E13" s="3140"/>
      <c r="F13" s="3140"/>
      <c r="G13" s="846"/>
      <c r="H13" s="1606" t="s">
        <v>56</v>
      </c>
      <c r="I13" s="1606" t="s">
        <v>57</v>
      </c>
      <c r="J13" s="3141"/>
      <c r="K13" s="3142"/>
      <c r="L13" s="3270" t="b">
        <v>1</v>
      </c>
      <c r="N13" s="372"/>
      <c r="O13" s="101"/>
      <c r="P13" s="52"/>
      <c r="Q13" s="101"/>
      <c r="R13" s="139"/>
      <c r="S13" s="819" t="s">
        <v>59</v>
      </c>
      <c r="T13" s="819" t="s">
        <v>60</v>
      </c>
      <c r="U13" s="39"/>
      <c r="W13" s="909" t="s">
        <v>61</v>
      </c>
      <c r="X13" s="908" t="s">
        <v>62</v>
      </c>
      <c r="Y13" s="861" t="s">
        <v>63</v>
      </c>
      <c r="Z13" s="128">
        <v>-1</v>
      </c>
      <c r="AA13" s="95"/>
      <c r="AB13" s="869" t="s">
        <v>64</v>
      </c>
      <c r="AC13" s="870"/>
      <c r="AD13" s="871" cm="1">
        <f t="array" ref="AD13:BN13">_xlfn.SEQUENCE(1,37,-36,1)</f>
        <v>-36</v>
      </c>
      <c r="AE13" s="871">
        <v>-35</v>
      </c>
      <c r="AF13" s="871">
        <v>-34</v>
      </c>
      <c r="AG13" s="871">
        <v>-33</v>
      </c>
      <c r="AH13" s="871">
        <v>-32</v>
      </c>
      <c r="AI13" s="871">
        <v>-31</v>
      </c>
      <c r="AJ13" s="871">
        <v>-30</v>
      </c>
      <c r="AK13" s="871">
        <v>-29</v>
      </c>
      <c r="AL13" s="871">
        <v>-28</v>
      </c>
      <c r="AM13" s="871">
        <v>-27</v>
      </c>
      <c r="AN13" s="871">
        <v>-26</v>
      </c>
      <c r="AO13" s="871">
        <v>-25</v>
      </c>
      <c r="AP13" s="871">
        <v>-24</v>
      </c>
      <c r="AQ13" s="871">
        <v>-23</v>
      </c>
      <c r="AR13" s="871">
        <v>-22</v>
      </c>
      <c r="AS13" s="871">
        <v>-21</v>
      </c>
      <c r="AT13" s="871">
        <v>-20</v>
      </c>
      <c r="AU13" s="871">
        <v>-19</v>
      </c>
      <c r="AV13" s="871">
        <v>-18</v>
      </c>
      <c r="AW13" s="871">
        <v>-17</v>
      </c>
      <c r="AX13" s="871">
        <v>-16</v>
      </c>
      <c r="AY13" s="871">
        <v>-15</v>
      </c>
      <c r="AZ13" s="871">
        <v>-14</v>
      </c>
      <c r="BA13" s="871">
        <v>-13</v>
      </c>
      <c r="BB13" s="871">
        <v>-12</v>
      </c>
      <c r="BC13" s="871">
        <v>-11</v>
      </c>
      <c r="BD13" s="871">
        <v>-10</v>
      </c>
      <c r="BE13" s="871">
        <v>-9</v>
      </c>
      <c r="BF13" s="871">
        <v>-8</v>
      </c>
      <c r="BG13" s="871">
        <v>-7</v>
      </c>
      <c r="BH13" s="871">
        <v>-6</v>
      </c>
      <c r="BI13" s="871">
        <v>-5</v>
      </c>
      <c r="BJ13" s="871">
        <v>-4</v>
      </c>
      <c r="BK13" s="871">
        <v>-3</v>
      </c>
      <c r="BL13" s="871">
        <v>-2</v>
      </c>
      <c r="BM13" s="871">
        <v>-1</v>
      </c>
      <c r="BN13" s="872">
        <v>0</v>
      </c>
      <c r="BO13" s="872"/>
      <c r="BP13" s="872"/>
      <c r="BQ13" s="872"/>
      <c r="BR13" s="872"/>
      <c r="BS13" s="872"/>
      <c r="BT13" s="872"/>
      <c r="BU13" s="872"/>
      <c r="BV13" s="872"/>
      <c r="BW13" s="872"/>
      <c r="BX13" s="872"/>
      <c r="BY13" s="872"/>
      <c r="BZ13" s="872"/>
      <c r="CA13" s="384"/>
      <c r="CC13" s="33"/>
      <c r="CD13" s="48"/>
      <c r="CE13" s="49"/>
      <c r="CF13" s="88"/>
      <c r="CG13" s="48"/>
      <c r="CH13" s="174"/>
      <c r="CI13" s="170"/>
      <c r="CJ13" s="48"/>
      <c r="CK13" s="174"/>
      <c r="CL13" s="88"/>
      <c r="CM13" s="48"/>
      <c r="CN13" s="174"/>
      <c r="CO13" s="88"/>
      <c r="CP13" s="48"/>
      <c r="CQ13" s="174"/>
      <c r="CR13" s="34"/>
    </row>
    <row r="14" spans="1:96" ht="20.25" customHeight="1" outlineLevel="1">
      <c r="A14" s="1860" t="b">
        <v>0</v>
      </c>
      <c r="B14" s="811" t="s">
        <v>66</v>
      </c>
      <c r="C14" s="3139"/>
      <c r="D14" s="1303"/>
      <c r="E14" s="3140"/>
      <c r="F14" s="3140"/>
      <c r="G14" s="846"/>
      <c r="H14" s="1606"/>
      <c r="I14" s="1606" t="s">
        <v>68</v>
      </c>
      <c r="J14" s="3141"/>
      <c r="K14" s="3142"/>
      <c r="L14" s="1606" t="b">
        <v>0</v>
      </c>
      <c r="N14" s="372"/>
      <c r="O14" s="101"/>
      <c r="P14" s="52"/>
      <c r="Q14" s="101"/>
      <c r="R14" s="140"/>
      <c r="S14" s="590" t="s">
        <v>70</v>
      </c>
      <c r="T14" s="590" t="s">
        <v>71</v>
      </c>
      <c r="U14" s="39"/>
      <c r="W14" s="909" t="s">
        <v>72</v>
      </c>
      <c r="X14" s="908">
        <v>0</v>
      </c>
      <c r="Y14" s="863" t="s">
        <v>73</v>
      </c>
      <c r="Z14" s="128">
        <v>0</v>
      </c>
      <c r="AA14" s="95"/>
      <c r="AB14" s="869" t="s">
        <v>74</v>
      </c>
      <c r="AC14" s="870"/>
      <c r="AD14" s="873" t="s">
        <v>75</v>
      </c>
      <c r="AE14" s="874" t="str">
        <f t="shared" si="0" ref="AE14:BN14">$AD$14</f>
        <v>Month</v>
      </c>
      <c r="AF14" s="874" t="str">
        <f t="shared" si="0"/>
        <v>Month</v>
      </c>
      <c r="AG14" s="874" t="str">
        <f t="shared" si="0"/>
        <v>Month</v>
      </c>
      <c r="AH14" s="874" t="str">
        <f t="shared" si="0"/>
        <v>Month</v>
      </c>
      <c r="AI14" s="874" t="str">
        <f t="shared" si="0"/>
        <v>Month</v>
      </c>
      <c r="AJ14" s="874" t="str">
        <f t="shared" si="0"/>
        <v>Month</v>
      </c>
      <c r="AK14" s="874" t="str">
        <f t="shared" si="0"/>
        <v>Month</v>
      </c>
      <c r="AL14" s="874" t="str">
        <f t="shared" si="0"/>
        <v>Month</v>
      </c>
      <c r="AM14" s="874" t="str">
        <f t="shared" si="0"/>
        <v>Month</v>
      </c>
      <c r="AN14" s="874" t="str">
        <f t="shared" si="0"/>
        <v>Month</v>
      </c>
      <c r="AO14" s="874" t="str">
        <f t="shared" si="0"/>
        <v>Month</v>
      </c>
      <c r="AP14" s="874" t="str">
        <f t="shared" si="0"/>
        <v>Month</v>
      </c>
      <c r="AQ14" s="874" t="str">
        <f t="shared" si="0"/>
        <v>Month</v>
      </c>
      <c r="AR14" s="874" t="str">
        <f t="shared" si="0"/>
        <v>Month</v>
      </c>
      <c r="AS14" s="874" t="str">
        <f t="shared" si="0"/>
        <v>Month</v>
      </c>
      <c r="AT14" s="874" t="str">
        <f t="shared" si="0"/>
        <v>Month</v>
      </c>
      <c r="AU14" s="874" t="str">
        <f t="shared" si="0"/>
        <v>Month</v>
      </c>
      <c r="AV14" s="874" t="str">
        <f t="shared" si="0"/>
        <v>Month</v>
      </c>
      <c r="AW14" s="874" t="str">
        <f t="shared" si="0"/>
        <v>Month</v>
      </c>
      <c r="AX14" s="874" t="str">
        <f t="shared" si="0"/>
        <v>Month</v>
      </c>
      <c r="AY14" s="874" t="str">
        <f t="shared" si="0"/>
        <v>Month</v>
      </c>
      <c r="AZ14" s="874" t="str">
        <f t="shared" si="0"/>
        <v>Month</v>
      </c>
      <c r="BA14" s="874" t="str">
        <f t="shared" si="0"/>
        <v>Month</v>
      </c>
      <c r="BB14" s="874" t="str">
        <f t="shared" si="0"/>
        <v>Month</v>
      </c>
      <c r="BC14" s="874" t="str">
        <f t="shared" si="0"/>
        <v>Month</v>
      </c>
      <c r="BD14" s="874" t="str">
        <f t="shared" si="0"/>
        <v>Month</v>
      </c>
      <c r="BE14" s="874" t="str">
        <f t="shared" si="0"/>
        <v>Month</v>
      </c>
      <c r="BF14" s="874" t="str">
        <f t="shared" si="0"/>
        <v>Month</v>
      </c>
      <c r="BG14" s="874" t="str">
        <f t="shared" si="0"/>
        <v>Month</v>
      </c>
      <c r="BH14" s="874" t="str">
        <f t="shared" si="0"/>
        <v>Month</v>
      </c>
      <c r="BI14" s="874" t="str">
        <f t="shared" si="0"/>
        <v>Month</v>
      </c>
      <c r="BJ14" s="874" t="str">
        <f t="shared" si="0"/>
        <v>Month</v>
      </c>
      <c r="BK14" s="874" t="str">
        <f t="shared" si="0"/>
        <v>Month</v>
      </c>
      <c r="BL14" s="874" t="str">
        <f t="shared" si="0"/>
        <v>Month</v>
      </c>
      <c r="BM14" s="874" t="str">
        <f t="shared" si="0"/>
        <v>Month</v>
      </c>
      <c r="BN14" s="875" t="str">
        <f t="shared" si="0"/>
        <v>Month</v>
      </c>
      <c r="BO14" s="2092"/>
      <c r="BP14" s="2092"/>
      <c r="BQ14" s="2092"/>
      <c r="BR14" s="2092"/>
      <c r="BS14" s="2092"/>
      <c r="BT14" s="2092"/>
      <c r="BU14" s="2092"/>
      <c r="BV14" s="2092"/>
      <c r="BW14" s="2092"/>
      <c r="BX14" s="2092"/>
      <c r="BY14" s="2092"/>
      <c r="BZ14" s="2092"/>
      <c r="CA14" s="384"/>
      <c r="CC14" s="33"/>
      <c r="CD14" s="191" t="s">
        <v>65</v>
      </c>
      <c r="CE14" s="192" t="s">
        <v>65</v>
      </c>
      <c r="CF14" s="88"/>
      <c r="CG14" s="191" t="s">
        <v>76</v>
      </c>
      <c r="CH14" s="192" t="s">
        <v>76</v>
      </c>
      <c r="CI14" s="173"/>
      <c r="CJ14" s="189" t="s">
        <v>54</v>
      </c>
      <c r="CK14" s="190" t="s">
        <v>54</v>
      </c>
      <c r="CL14" s="869"/>
      <c r="CM14" s="1239" t="s">
        <v>54</v>
      </c>
      <c r="CN14" s="1240" t="s">
        <v>54</v>
      </c>
      <c r="CO14" s="869"/>
      <c r="CP14" s="1239" t="s">
        <v>54</v>
      </c>
      <c r="CQ14" s="1240" t="s">
        <v>54</v>
      </c>
      <c r="CR14" s="34"/>
    </row>
    <row r="15" spans="1:96" ht="18" customHeight="1" outlineLevel="1">
      <c r="A15" s="731"/>
      <c r="B15" s="1313"/>
      <c r="C15" s="847"/>
      <c r="D15" s="847"/>
      <c r="E15" s="847"/>
      <c r="F15" s="847" t="e" cm="1">
        <f t="array" ca="1" aca="1" ref="F15">_xldudf_CX_GET("vnpCXIKbr","EBITDA Adjustment Type I - Label 1",45838)</f>
        <v>#NAME?</v>
      </c>
      <c r="G15" s="846"/>
      <c r="H15" s="1606"/>
      <c r="I15" s="1606" t="s">
        <v>78</v>
      </c>
      <c r="J15" s="3141"/>
      <c r="K15" s="3142"/>
      <c r="L15" s="1606">
        <v>-1</v>
      </c>
      <c r="N15" s="372"/>
      <c r="O15" s="101"/>
      <c r="P15" s="52"/>
      <c r="Q15" s="101"/>
      <c r="R15" s="126"/>
      <c r="S15" s="820" t="e" vm="5" cm="1">
        <f t="array" ref="S15">fx_getIcon("find")</f>
        <v>#VALUE!</v>
      </c>
      <c r="T15" s="818" t="s">
        <v>79</v>
      </c>
      <c r="U15" s="39"/>
      <c r="W15" s="999"/>
      <c r="X15" s="1001"/>
      <c r="Y15" s="1001"/>
      <c r="Z15" s="1002"/>
      <c r="AA15" s="185"/>
      <c r="AB15" s="1005" t="s">
        <v>80</v>
      </c>
      <c r="AC15" s="1000"/>
      <c r="AD15" s="1003" t="e" cm="1">
        <f t="array" ca="1" aca="1" ref="AD15">IF(MONTH(AD11)=MONTH(val_currentFYE),1,IF(MOD(MONTH(AD$11)-MONTH(val_currentFYE),3)=0,2,0))</f>
        <v>#NAME?</v>
      </c>
      <c r="AE15" s="1003" t="e" cm="1">
        <f t="array" ca="1" aca="1" ref="AE15">IF(MONTH(AE11)=MONTH(val_currentFYE),1,IF(MOD(MONTH(AE$11)-MONTH(val_currentFYE),3)=0,2,0))</f>
        <v>#NAME?</v>
      </c>
      <c r="AF15" s="1003" t="e" cm="1">
        <f t="array" ca="1" aca="1" ref="AF15">IF(MONTH(AF11)=MONTH(val_currentFYE),1,IF(MOD(MONTH(AF$11)-MONTH(val_currentFYE),3)=0,2,0))</f>
        <v>#NAME?</v>
      </c>
      <c r="AG15" s="1003" t="e" cm="1">
        <f t="array" ca="1" aca="1" ref="AG15">IF(MONTH(AG11)=MONTH(val_currentFYE),1,IF(MOD(MONTH(AG$11)-MONTH(val_currentFYE),3)=0,2,0))</f>
        <v>#NAME?</v>
      </c>
      <c r="AH15" s="1003" t="e" cm="1">
        <f t="array" ca="1" aca="1" ref="AH15">IF(MONTH(AH11)=MONTH(val_currentFYE),1,IF(MOD(MONTH(AH$11)-MONTH(val_currentFYE),3)=0,2,0))</f>
        <v>#NAME?</v>
      </c>
      <c r="AI15" s="1003" t="e" cm="1">
        <f t="array" ca="1" aca="1" ref="AI15">IF(MONTH(AI11)=MONTH(val_currentFYE),1,IF(MOD(MONTH(AI$11)-MONTH(val_currentFYE),3)=0,2,0))</f>
        <v>#NAME?</v>
      </c>
      <c r="AJ15" s="1003" t="e" cm="1">
        <f t="array" ca="1" aca="1" ref="AJ15">IF(MONTH(AJ11)=MONTH(val_currentFYE),1,IF(MOD(MONTH(AJ$11)-MONTH(val_currentFYE),3)=0,2,0))</f>
        <v>#NAME?</v>
      </c>
      <c r="AK15" s="1003" t="e" cm="1">
        <f t="array" ca="1" aca="1" ref="AK15">IF(MONTH(AK11)=MONTH(val_currentFYE),1,IF(MOD(MONTH(AK$11)-MONTH(val_currentFYE),3)=0,2,0))</f>
        <v>#NAME?</v>
      </c>
      <c r="AL15" s="1003" t="e" cm="1">
        <f t="array" ca="1" aca="1" ref="AL15">IF(MONTH(AL11)=MONTH(val_currentFYE),1,IF(MOD(MONTH(AL$11)-MONTH(val_currentFYE),3)=0,2,0))</f>
        <v>#NAME?</v>
      </c>
      <c r="AM15" s="1003" t="e" cm="1">
        <f t="array" ca="1" aca="1" ref="AM15">IF(MONTH(AM11)=MONTH(val_currentFYE),1,IF(MOD(MONTH(AM$11)-MONTH(val_currentFYE),3)=0,2,0))</f>
        <v>#NAME?</v>
      </c>
      <c r="AN15" s="1003" t="e" cm="1">
        <f t="array" ca="1" aca="1" ref="AN15">IF(MONTH(AN11)=MONTH(val_currentFYE),1,IF(MOD(MONTH(AN$11)-MONTH(val_currentFYE),3)=0,2,0))</f>
        <v>#NAME?</v>
      </c>
      <c r="AO15" s="1003" t="e" cm="1">
        <f t="array" ca="1" aca="1" ref="AO15">IF(MONTH(AO11)=MONTH(val_currentFYE),1,IF(MOD(MONTH(AO$11)-MONTH(val_currentFYE),3)=0,2,0))</f>
        <v>#NAME?</v>
      </c>
      <c r="AP15" s="1003" t="e" cm="1">
        <f t="array" ca="1" aca="1" ref="AP15">IF(MONTH(AP11)=MONTH(val_currentFYE),1,IF(MOD(MONTH(AP$11)-MONTH(val_currentFYE),3)=0,2,0))</f>
        <v>#NAME?</v>
      </c>
      <c r="AQ15" s="1003" t="e" cm="1">
        <f t="array" ca="1" aca="1" ref="AQ15">IF(MONTH(AQ11)=MONTH(val_currentFYE),1,IF(MOD(MONTH(AQ$11)-MONTH(val_currentFYE),3)=0,2,0))</f>
        <v>#NAME?</v>
      </c>
      <c r="AR15" s="1003" t="e" cm="1">
        <f t="array" ca="1" aca="1" ref="AR15">IF(MONTH(AR11)=MONTH(val_currentFYE),1,IF(MOD(MONTH(AR$11)-MONTH(val_currentFYE),3)=0,2,0))</f>
        <v>#NAME?</v>
      </c>
      <c r="AS15" s="1003" t="e" cm="1">
        <f t="array" ca="1" aca="1" ref="AS15">IF(MONTH(AS11)=MONTH(val_currentFYE),1,IF(MOD(MONTH(AS$11)-MONTH(val_currentFYE),3)=0,2,0))</f>
        <v>#NAME?</v>
      </c>
      <c r="AT15" s="1003" t="e" cm="1">
        <f t="array" ca="1" aca="1" ref="AT15">IF(MONTH(AT11)=MONTH(val_currentFYE),1,IF(MOD(MONTH(AT$11)-MONTH(val_currentFYE),3)=0,2,0))</f>
        <v>#NAME?</v>
      </c>
      <c r="AU15" s="1003" t="e" cm="1">
        <f t="array" ca="1" aca="1" ref="AU15">IF(MONTH(AU11)=MONTH(val_currentFYE),1,IF(MOD(MONTH(AU$11)-MONTH(val_currentFYE),3)=0,2,0))</f>
        <v>#NAME?</v>
      </c>
      <c r="AV15" s="1003" t="e" cm="1">
        <f t="array" ca="1" aca="1" ref="AV15">IF(MONTH(AV11)=MONTH(val_currentFYE),1,IF(MOD(MONTH(AV$11)-MONTH(val_currentFYE),3)=0,2,0))</f>
        <v>#NAME?</v>
      </c>
      <c r="AW15" s="1003" t="e" cm="1">
        <f t="array" ca="1" aca="1" ref="AW15">IF(MONTH(AW11)=MONTH(val_currentFYE),1,IF(MOD(MONTH(AW$11)-MONTH(val_currentFYE),3)=0,2,0))</f>
        <v>#NAME?</v>
      </c>
      <c r="AX15" s="1003" t="e" cm="1">
        <f t="array" ca="1" aca="1" ref="AX15">IF(MONTH(AX11)=MONTH(val_currentFYE),1,IF(MOD(MONTH(AX$11)-MONTH(val_currentFYE),3)=0,2,0))</f>
        <v>#NAME?</v>
      </c>
      <c r="AY15" s="1003" t="e" cm="1">
        <f t="array" ca="1" aca="1" ref="AY15">IF(MONTH(AY11)=MONTH(val_currentFYE),1,IF(MOD(MONTH(AY$11)-MONTH(val_currentFYE),3)=0,2,0))</f>
        <v>#NAME?</v>
      </c>
      <c r="AZ15" s="1003" t="e" cm="1">
        <f t="array" ca="1" aca="1" ref="AZ15">IF(MONTH(AZ11)=MONTH(val_currentFYE),1,IF(MOD(MONTH(AZ$11)-MONTH(val_currentFYE),3)=0,2,0))</f>
        <v>#NAME?</v>
      </c>
      <c r="BA15" s="1003" t="e" cm="1">
        <f t="array" ca="1" aca="1" ref="BA15">IF(MONTH(BA11)=MONTH(val_currentFYE),1,IF(MOD(MONTH(BA$11)-MONTH(val_currentFYE),3)=0,2,0))</f>
        <v>#NAME?</v>
      </c>
      <c r="BB15" s="1003" t="e" cm="1">
        <f t="array" ca="1" aca="1" ref="BB15">IF(MONTH(BB11)=MONTH(val_currentFYE),1,IF(MOD(MONTH(BB$11)-MONTH(val_currentFYE),3)=0,2,0))</f>
        <v>#NAME?</v>
      </c>
      <c r="BC15" s="1003" t="e" cm="1">
        <f t="array" ca="1" aca="1" ref="BC15">IF(MONTH(BC11)=MONTH(val_currentFYE),1,IF(MOD(MONTH(BC$11)-MONTH(val_currentFYE),3)=0,2,0))</f>
        <v>#NAME?</v>
      </c>
      <c r="BD15" s="1003" t="e" cm="1">
        <f t="array" ca="1" aca="1" ref="BD15">IF(MONTH(BD11)=MONTH(val_currentFYE),1,IF(MOD(MONTH(BD$11)-MONTH(val_currentFYE),3)=0,2,0))</f>
        <v>#NAME?</v>
      </c>
      <c r="BE15" s="1003" t="e" cm="1">
        <f t="array" ca="1" aca="1" ref="BE15">IF(MONTH(BE11)=MONTH(val_currentFYE),1,IF(MOD(MONTH(BE$11)-MONTH(val_currentFYE),3)=0,2,0))</f>
        <v>#NAME?</v>
      </c>
      <c r="BF15" s="1003" t="e" cm="1">
        <f t="array" ca="1" aca="1" ref="BF15">IF(MONTH(BF11)=MONTH(val_currentFYE),1,IF(MOD(MONTH(BF$11)-MONTH(val_currentFYE),3)=0,2,0))</f>
        <v>#NAME?</v>
      </c>
      <c r="BG15" s="1003" t="e" cm="1">
        <f t="array" ca="1" aca="1" ref="BG15">IF(MONTH(BG11)=MONTH(val_currentFYE),1,IF(MOD(MONTH(BG$11)-MONTH(val_currentFYE),3)=0,2,0))</f>
        <v>#NAME?</v>
      </c>
      <c r="BH15" s="1003" t="e" cm="1">
        <f t="array" ca="1" aca="1" ref="BH15">IF(MONTH(BH11)=MONTH(val_currentFYE),1,IF(MOD(MONTH(BH$11)-MONTH(val_currentFYE),3)=0,2,0))</f>
        <v>#NAME?</v>
      </c>
      <c r="BI15" s="1003" t="e" cm="1">
        <f t="array" ca="1" aca="1" ref="BI15">IF(MONTH(BI11)=MONTH(val_currentFYE),1,IF(MOD(MONTH(BI$11)-MONTH(val_currentFYE),3)=0,2,0))</f>
        <v>#NAME?</v>
      </c>
      <c r="BJ15" s="1003" t="e" cm="1">
        <f t="array" ca="1" aca="1" ref="BJ15">IF(MONTH(BJ11)=MONTH(val_currentFYE),1,IF(MOD(MONTH(BJ$11)-MONTH(val_currentFYE),3)=0,2,0))</f>
        <v>#NAME?</v>
      </c>
      <c r="BK15" s="1003" t="e" cm="1">
        <f t="array" ca="1" aca="1" ref="BK15">IF(MONTH(BK11)=MONTH(val_currentFYE),1,IF(MOD(MONTH(BK$11)-MONTH(val_currentFYE),3)=0,2,0))</f>
        <v>#NAME?</v>
      </c>
      <c r="BL15" s="1003" t="e" cm="1">
        <f t="array" ca="1" aca="1" ref="BL15">IF(MONTH(BL11)=MONTH(val_currentFYE),1,IF(MOD(MONTH(BL$11)-MONTH(val_currentFYE),3)=0,2,0))</f>
        <v>#NAME?</v>
      </c>
      <c r="BM15" s="1003" t="e" cm="1">
        <f t="array" ca="1" aca="1" ref="BM15">IF(MONTH(BM11)=MONTH(val_currentFYE),1,IF(MOD(MONTH(BM$11)-MONTH(val_currentFYE),3)=0,2,0))</f>
        <v>#NAME?</v>
      </c>
      <c r="BN15" s="1004" t="e" cm="1">
        <f t="array" ca="1" aca="1" ref="BN15">IF(MONTH(BN11)=MONTH(val_currentFYE),1,IF(MOD(MONTH(BN$11)-MONTH(val_currentFYE),3)=0,2,0))</f>
        <v>#NAME?</v>
      </c>
      <c r="BO15" s="388"/>
      <c r="BP15" s="388"/>
      <c r="BQ15" s="388"/>
      <c r="BR15" s="388"/>
      <c r="BS15" s="388"/>
      <c r="BT15" s="388"/>
      <c r="BU15" s="388"/>
      <c r="BV15" s="388"/>
      <c r="BW15" s="388"/>
      <c r="BX15" s="388"/>
      <c r="BY15" s="388"/>
      <c r="BZ15" s="388"/>
      <c r="CA15" s="384"/>
      <c r="CC15" s="33"/>
      <c r="CD15" s="1235"/>
      <c r="CE15" s="1236"/>
      <c r="CF15" s="88"/>
      <c r="CG15" s="1235"/>
      <c r="CH15" s="1236"/>
      <c r="CI15" s="170"/>
      <c r="CJ15" s="1235"/>
      <c r="CK15" s="1236"/>
      <c r="CL15" s="88"/>
      <c r="CM15" s="1235"/>
      <c r="CN15" s="1236"/>
      <c r="CO15" s="88"/>
      <c r="CP15" s="1235"/>
      <c r="CQ15" s="1236"/>
      <c r="CR15" s="34"/>
    </row>
    <row r="16" spans="1:96" ht="15.5">
      <c r="A16" s="580"/>
      <c r="B16" s="577"/>
      <c r="C16" s="577"/>
      <c r="D16" s="1079"/>
      <c r="E16" s="1315">
        <v>0</v>
      </c>
      <c r="F16" s="847" t="e" cm="1">
        <f t="array" ca="1" aca="1" ref="F16">_xldudf_CX_GET("vnpCXIKbr","EBITDA Adjustment Type I - Label 1",45838)</f>
        <v>#NAME?</v>
      </c>
      <c r="G16" s="577"/>
      <c r="H16" s="578"/>
      <c r="I16" s="578"/>
      <c r="J16" s="578"/>
      <c r="K16" s="578"/>
      <c r="L16" s="1607"/>
      <c r="N16" s="158"/>
      <c r="O16" s="101"/>
      <c r="P16" s="101"/>
      <c r="Q16" s="101"/>
      <c r="R16" s="101"/>
      <c r="S16" s="101"/>
      <c r="T16" s="101"/>
      <c r="U16" s="39"/>
      <c r="W16" s="198"/>
      <c r="X16" s="88"/>
      <c r="Y16" s="88" t="s">
        <v>1521</v>
      </c>
      <c r="Z16" s="543"/>
      <c r="AA16" s="97"/>
      <c r="AB16" s="869"/>
      <c r="AC16" s="128"/>
      <c r="AD16" s="1271"/>
      <c r="AE16" s="1211"/>
      <c r="AF16" s="1211"/>
      <c r="AG16" s="1211"/>
      <c r="AH16" s="998"/>
      <c r="AI16" s="998"/>
      <c r="AJ16" s="998"/>
      <c r="AK16" s="998"/>
      <c r="AL16" s="998"/>
      <c r="AM16" s="998"/>
      <c r="AN16" s="998"/>
      <c r="AO16" s="998"/>
      <c r="AP16" s="998"/>
      <c r="AQ16" s="998"/>
      <c r="AR16" s="998"/>
      <c r="AS16" s="998"/>
      <c r="AT16" s="998"/>
      <c r="AU16" s="998"/>
      <c r="AV16" s="998"/>
      <c r="AW16" s="998"/>
      <c r="AX16" s="998"/>
      <c r="AY16" s="998"/>
      <c r="AZ16" s="998"/>
      <c r="BA16" s="998"/>
      <c r="BB16" s="998"/>
      <c r="BC16" s="998"/>
      <c r="BD16" s="998"/>
      <c r="BE16" s="998"/>
      <c r="BF16" s="998"/>
      <c r="BG16" s="998"/>
      <c r="BH16" s="998"/>
      <c r="BI16" s="998"/>
      <c r="BJ16" s="998"/>
      <c r="BK16" s="998"/>
      <c r="BL16" s="998"/>
      <c r="BM16" s="998"/>
      <c r="BN16" s="1212"/>
      <c r="BO16" s="1212"/>
      <c r="BP16" s="1212"/>
      <c r="BQ16" s="1212"/>
      <c r="BR16" s="1212"/>
      <c r="BS16" s="1212"/>
      <c r="BT16" s="1212"/>
      <c r="BU16" s="1212"/>
      <c r="BV16" s="1212"/>
      <c r="BW16" s="1212"/>
      <c r="BX16" s="1212"/>
      <c r="BY16" s="1212"/>
      <c r="BZ16" s="1212"/>
      <c r="CA16" s="34"/>
      <c r="CC16" s="181"/>
      <c r="CD16" s="33"/>
      <c r="CE16" s="34"/>
      <c r="CF16" s="296"/>
      <c r="CG16" s="33"/>
      <c r="CH16" s="34"/>
      <c r="CI16" s="296"/>
      <c r="CJ16" s="33"/>
      <c r="CK16" s="34"/>
      <c r="CL16" s="88"/>
      <c r="CM16" s="33"/>
      <c r="CN16" s="34"/>
      <c r="CO16" s="88"/>
      <c r="CP16" s="33"/>
      <c r="CQ16" s="34"/>
      <c r="CR16" s="34"/>
    </row>
    <row r="17" spans="1:96" ht="20.25" customHeight="1">
      <c r="A17" s="697"/>
      <c r="B17" s="1316"/>
      <c r="C17" s="1316"/>
      <c r="D17" s="1079"/>
      <c r="E17" s="1316"/>
      <c r="F17" s="577"/>
      <c r="G17" s="853"/>
      <c r="H17" s="578"/>
      <c r="I17" s="578"/>
      <c r="J17" s="578"/>
      <c r="K17" s="578"/>
      <c r="L17" s="578"/>
      <c r="N17" s="158"/>
      <c r="O17" s="101"/>
      <c r="P17" s="151"/>
      <c r="Q17" s="151"/>
      <c r="R17" s="101"/>
      <c r="S17" s="291"/>
      <c r="T17" s="291"/>
      <c r="U17" s="39"/>
      <c r="W17" s="3045" t="str" cm="1">
        <f t="array" ref="W17">fx_scenarioConverter("Actual")</f>
        <v>Actual</v>
      </c>
      <c r="X17" s="1247"/>
      <c r="Y17" s="3040" t="s">
        <v>81</v>
      </c>
      <c r="Z17" s="1248" t="s">
        <v>82</v>
      </c>
      <c r="AA17" s="1249"/>
      <c r="AB17" s="1630"/>
      <c r="AC17" s="1273"/>
      <c r="AD17" s="859"/>
      <c r="AE17" s="859"/>
      <c r="AF17" s="859"/>
      <c r="AG17" s="859"/>
      <c r="AH17" s="859"/>
      <c r="AI17" s="859"/>
      <c r="AJ17" s="859"/>
      <c r="AK17" s="859"/>
      <c r="AL17" s="859"/>
      <c r="AM17" s="859"/>
      <c r="AN17" s="859"/>
      <c r="AO17" s="859"/>
      <c r="AP17" s="859"/>
      <c r="AQ17" s="859"/>
      <c r="AR17" s="859"/>
      <c r="AS17" s="859"/>
      <c r="AT17" s="859"/>
      <c r="AU17" s="859"/>
      <c r="AV17" s="859"/>
      <c r="AW17" s="859"/>
      <c r="AX17" s="859"/>
      <c r="AY17" s="859"/>
      <c r="AZ17" s="859"/>
      <c r="BA17" s="859"/>
      <c r="BB17" s="859"/>
      <c r="BC17" s="859"/>
      <c r="BD17" s="859"/>
      <c r="BE17" s="859"/>
      <c r="BF17" s="859"/>
      <c r="BG17" s="859"/>
      <c r="BH17" s="859"/>
      <c r="BI17" s="859"/>
      <c r="BJ17" s="859"/>
      <c r="BK17" s="859"/>
      <c r="BL17" s="859"/>
      <c r="BM17" s="859"/>
      <c r="BN17" s="1215"/>
      <c r="BO17" s="1804"/>
      <c r="BP17" s="1804"/>
      <c r="BQ17" s="1804"/>
      <c r="BR17" s="1804"/>
      <c r="BS17" s="1804"/>
      <c r="BT17" s="1804"/>
      <c r="BU17" s="1804"/>
      <c r="BV17" s="1804"/>
      <c r="BW17" s="1804"/>
      <c r="BX17" s="1804"/>
      <c r="BY17" s="1804"/>
      <c r="BZ17" s="1804"/>
      <c r="CA17" s="34"/>
      <c r="CC17" s="33"/>
      <c r="CD17" s="48"/>
      <c r="CE17" s="49"/>
      <c r="CF17" s="88"/>
      <c r="CG17" s="48"/>
      <c r="CH17" s="174"/>
      <c r="CI17" s="170"/>
      <c r="CJ17" s="48"/>
      <c r="CK17" s="49"/>
      <c r="CL17" s="88"/>
      <c r="CM17" s="1511"/>
      <c r="CN17" s="1215"/>
      <c r="CO17" s="88"/>
      <c r="CP17" s="1511"/>
      <c r="CQ17" s="1215"/>
      <c r="CR17" s="34"/>
    </row>
    <row r="18" spans="1:96" ht="20.25" customHeight="1">
      <c r="A18" s="697"/>
      <c r="B18" s="1316"/>
      <c r="C18" s="1316"/>
      <c r="D18" s="1079"/>
      <c r="E18" s="1316"/>
      <c r="F18" s="577"/>
      <c r="G18" s="853"/>
      <c r="H18" s="578"/>
      <c r="I18" s="578"/>
      <c r="J18" s="578"/>
      <c r="K18" s="578"/>
      <c r="L18" s="578"/>
      <c r="N18" s="158"/>
      <c r="O18" s="101"/>
      <c r="P18" s="151"/>
      <c r="Q18" s="151"/>
      <c r="R18" s="101"/>
      <c r="S18" s="289"/>
      <c r="T18" s="289"/>
      <c r="U18" s="39"/>
      <c r="W18" s="3046"/>
      <c r="X18" s="1250"/>
      <c r="Y18" s="3041"/>
      <c r="Z18" s="1251"/>
      <c r="AA18" s="1252"/>
      <c r="AB18" s="1631"/>
      <c r="AC18" s="1162"/>
      <c r="AD18" s="1253"/>
      <c r="AE18" s="1253"/>
      <c r="AF18" s="1253"/>
      <c r="AG18" s="1253"/>
      <c r="AH18" s="1253"/>
      <c r="AI18" s="1253"/>
      <c r="AJ18" s="1253"/>
      <c r="AK18" s="1253"/>
      <c r="AL18" s="1253"/>
      <c r="AM18" s="1253"/>
      <c r="AN18" s="1253"/>
      <c r="AO18" s="1253"/>
      <c r="AP18" s="1253"/>
      <c r="AQ18" s="1253"/>
      <c r="AR18" s="1253"/>
      <c r="AS18" s="1253"/>
      <c r="AT18" s="1253"/>
      <c r="AU18" s="1253"/>
      <c r="AV18" s="1253"/>
      <c r="AW18" s="1253"/>
      <c r="AX18" s="1253"/>
      <c r="AY18" s="1253"/>
      <c r="AZ18" s="1253"/>
      <c r="BA18" s="1253"/>
      <c r="BB18" s="1253"/>
      <c r="BC18" s="1253"/>
      <c r="BD18" s="1253"/>
      <c r="BE18" s="1253"/>
      <c r="BF18" s="1253"/>
      <c r="BG18" s="1253"/>
      <c r="BH18" s="1253"/>
      <c r="BI18" s="1253"/>
      <c r="BJ18" s="1253"/>
      <c r="BK18" s="1253"/>
      <c r="BL18" s="1253"/>
      <c r="BM18" s="1253"/>
      <c r="BN18" s="1513"/>
      <c r="BO18" s="2093"/>
      <c r="BP18" s="2093"/>
      <c r="BQ18" s="2093"/>
      <c r="BR18" s="2093"/>
      <c r="BS18" s="2093"/>
      <c r="BT18" s="2093"/>
      <c r="BU18" s="2093"/>
      <c r="BV18" s="2093"/>
      <c r="BW18" s="2093"/>
      <c r="BX18" s="2093"/>
      <c r="BY18" s="2093"/>
      <c r="BZ18" s="2093"/>
      <c r="CA18" s="34"/>
      <c r="CC18" s="33"/>
      <c r="CD18" s="48"/>
      <c r="CE18" s="49"/>
      <c r="CF18" s="88"/>
      <c r="CG18" s="48"/>
      <c r="CH18" s="174"/>
      <c r="CI18" s="170"/>
      <c r="CJ18" s="48"/>
      <c r="CK18" s="49"/>
      <c r="CL18" s="88"/>
      <c r="CM18" s="1512"/>
      <c r="CN18" s="1513"/>
      <c r="CO18" s="88"/>
      <c r="CP18" s="1512"/>
      <c r="CQ18" s="1513"/>
      <c r="CR18" s="34"/>
    </row>
    <row r="19" spans="1:96" ht="27.75" customHeight="1" outlineLevel="1">
      <c r="A19" s="1317"/>
      <c r="B19" s="1318" t="s">
        <v>1522</v>
      </c>
      <c r="C19" s="1318" t="s">
        <v>1523</v>
      </c>
      <c r="D19" s="1319"/>
      <c r="E19" s="1318" t="s">
        <v>1524</v>
      </c>
      <c r="F19" s="1318" t="str">
        <f t="shared" si="1" ref="F19:F41">IF($B19&lt;&gt;"",$B19,$E19)</f>
        <v>Global (Metric Name)</v>
      </c>
      <c r="G19" s="1318"/>
      <c r="H19" s="1320" t="s">
        <v>37</v>
      </c>
      <c r="I19" s="1320" t="s">
        <v>1525</v>
      </c>
      <c r="J19" s="1320"/>
      <c r="K19" s="1320"/>
      <c r="L19" s="1321" t="s">
        <v>1526</v>
      </c>
      <c r="N19" s="158"/>
      <c r="O19" s="101"/>
      <c r="P19" s="101"/>
      <c r="Q19" s="101"/>
      <c r="R19" s="101"/>
      <c r="S19" s="101"/>
      <c r="T19" s="101"/>
      <c r="U19" s="39"/>
      <c r="W19" s="1225" t="s">
        <v>94</v>
      </c>
      <c r="X19" s="1232" t="s">
        <v>62</v>
      </c>
      <c r="Y19" s="1233" t="str">
        <f>val_company&amp;" P&amp;L Accounts"</f>
        <v>Therme Horizon P&amp;L Accounts</v>
      </c>
      <c r="Z19" s="1227"/>
      <c r="AA19" s="1227"/>
      <c r="AB19" s="1226" t="s">
        <v>95</v>
      </c>
      <c r="AC19" s="1227"/>
      <c r="AD19" s="1227" t="str">
        <f>$W$17</f>
        <v>Actual</v>
      </c>
      <c r="AE19" s="1227" t="str">
        <f t="shared" si="2" ref="AE19:BN19">$W$17</f>
        <v>Actual</v>
      </c>
      <c r="AF19" s="1227" t="str">
        <f t="shared" si="2"/>
        <v>Actual</v>
      </c>
      <c r="AG19" s="1227" t="str">
        <f t="shared" si="2"/>
        <v>Actual</v>
      </c>
      <c r="AH19" s="1227" t="str">
        <f t="shared" si="2"/>
        <v>Actual</v>
      </c>
      <c r="AI19" s="1227" t="str">
        <f t="shared" si="2"/>
        <v>Actual</v>
      </c>
      <c r="AJ19" s="1227" t="str">
        <f t="shared" si="2"/>
        <v>Actual</v>
      </c>
      <c r="AK19" s="1227" t="str">
        <f t="shared" si="2"/>
        <v>Actual</v>
      </c>
      <c r="AL19" s="1227" t="str">
        <f t="shared" si="2"/>
        <v>Actual</v>
      </c>
      <c r="AM19" s="1227" t="str">
        <f t="shared" si="2"/>
        <v>Actual</v>
      </c>
      <c r="AN19" s="1227" t="str">
        <f t="shared" si="2"/>
        <v>Actual</v>
      </c>
      <c r="AO19" s="1227" t="str">
        <f t="shared" si="2"/>
        <v>Actual</v>
      </c>
      <c r="AP19" s="1227" t="str">
        <f t="shared" si="2"/>
        <v>Actual</v>
      </c>
      <c r="AQ19" s="1227" t="str">
        <f t="shared" si="2"/>
        <v>Actual</v>
      </c>
      <c r="AR19" s="1227" t="str">
        <f t="shared" si="2"/>
        <v>Actual</v>
      </c>
      <c r="AS19" s="1227" t="str">
        <f t="shared" si="2"/>
        <v>Actual</v>
      </c>
      <c r="AT19" s="1227" t="str">
        <f t="shared" si="2"/>
        <v>Actual</v>
      </c>
      <c r="AU19" s="1227" t="str">
        <f t="shared" si="2"/>
        <v>Actual</v>
      </c>
      <c r="AV19" s="1227" t="str">
        <f t="shared" si="2"/>
        <v>Actual</v>
      </c>
      <c r="AW19" s="1227" t="str">
        <f t="shared" si="2"/>
        <v>Actual</v>
      </c>
      <c r="AX19" s="1227" t="str">
        <f t="shared" si="2"/>
        <v>Actual</v>
      </c>
      <c r="AY19" s="1227" t="str">
        <f t="shared" si="2"/>
        <v>Actual</v>
      </c>
      <c r="AZ19" s="1227" t="str">
        <f t="shared" si="2"/>
        <v>Actual</v>
      </c>
      <c r="BA19" s="1227" t="str">
        <f t="shared" si="2"/>
        <v>Actual</v>
      </c>
      <c r="BB19" s="1227" t="str">
        <f t="shared" si="2"/>
        <v>Actual</v>
      </c>
      <c r="BC19" s="1227" t="str">
        <f t="shared" si="2"/>
        <v>Actual</v>
      </c>
      <c r="BD19" s="1227" t="str">
        <f t="shared" si="2"/>
        <v>Actual</v>
      </c>
      <c r="BE19" s="1227" t="str">
        <f t="shared" si="2"/>
        <v>Actual</v>
      </c>
      <c r="BF19" s="1227" t="str">
        <f t="shared" si="2"/>
        <v>Actual</v>
      </c>
      <c r="BG19" s="1227" t="str">
        <f t="shared" si="2"/>
        <v>Actual</v>
      </c>
      <c r="BH19" s="1227" t="str">
        <f t="shared" si="2"/>
        <v>Actual</v>
      </c>
      <c r="BI19" s="1227" t="str">
        <f t="shared" si="2"/>
        <v>Actual</v>
      </c>
      <c r="BJ19" s="1227" t="str">
        <f t="shared" si="2"/>
        <v>Actual</v>
      </c>
      <c r="BK19" s="1227" t="str">
        <f t="shared" si="2"/>
        <v>Actual</v>
      </c>
      <c r="BL19" s="1227" t="str">
        <f t="shared" si="2"/>
        <v>Actual</v>
      </c>
      <c r="BM19" s="1227" t="str">
        <f t="shared" si="2"/>
        <v>Actual</v>
      </c>
      <c r="BN19" s="1228" t="str">
        <f t="shared" si="2"/>
        <v>Actual</v>
      </c>
      <c r="BO19" s="2094"/>
      <c r="BP19" s="2094"/>
      <c r="BQ19" s="2094"/>
      <c r="BR19" s="2094"/>
      <c r="BS19" s="2094"/>
      <c r="BT19" s="2094"/>
      <c r="BU19" s="2094"/>
      <c r="BV19" s="2094"/>
      <c r="BW19" s="2094"/>
      <c r="BX19" s="2094"/>
      <c r="BY19" s="2094"/>
      <c r="BZ19" s="2094"/>
      <c r="CA19" s="34"/>
      <c r="CC19" s="33"/>
      <c r="CD19" s="1228" t="str">
        <f t="shared" si="3" ref="CD19:CK19">$W$17</f>
        <v>Actual</v>
      </c>
      <c r="CE19" s="1228" t="str">
        <f t="shared" si="3"/>
        <v>Actual</v>
      </c>
      <c r="CF19" s="88"/>
      <c r="CG19" s="1228" t="str">
        <f t="shared" si="3"/>
        <v>Actual</v>
      </c>
      <c r="CH19" s="1228" t="str">
        <f t="shared" si="3"/>
        <v>Actual</v>
      </c>
      <c r="CI19" s="128"/>
      <c r="CJ19" s="1228" t="str">
        <f t="shared" si="3"/>
        <v>Actual</v>
      </c>
      <c r="CK19" s="1228" t="str">
        <f t="shared" si="3"/>
        <v>Actual</v>
      </c>
      <c r="CL19" s="869"/>
      <c r="CM19" s="1819" t="str" cm="1">
        <f t="array" ref="CM19">fx_scenarioConverter("Original Budget")</f>
        <v>Original Budget</v>
      </c>
      <c r="CN19" s="1199" t="str" cm="1">
        <f t="array" ref="CN19">fx_scenarioConverter("LE")</f>
        <v>LE</v>
      </c>
      <c r="CO19" s="1205"/>
      <c r="CP19" s="1819" t="str" cm="1">
        <f t="array" ref="CP19">fx_scenarioConverter("Original Budget")</f>
        <v>Original Budget</v>
      </c>
      <c r="CQ19" s="1199" t="str" cm="1">
        <f t="array" ref="CQ19">fx_scenarioConverter("LE")</f>
        <v>LE</v>
      </c>
      <c r="CR19" s="34"/>
    </row>
    <row r="20" spans="1:96" ht="21" customHeight="1" outlineLevel="1">
      <c r="A20" s="1322"/>
      <c r="B20" s="577" t="s">
        <v>610</v>
      </c>
      <c r="C20" s="2125" t="s">
        <v>1527</v>
      </c>
      <c r="D20" s="1079"/>
      <c r="E20" s="577" t="e" cm="1">
        <f t="array" ca="1" aca="1" ref="E20">_xlfn.LET(_xlpm.val,IF($C20="",val_blankRefText,_xldudf_CX_GET(CX_ENTITY,($C20),val_asOfDate)),_xlpm.Res,IF(OR(_xlpm.val="",_xlpm.val="Error"),"",_xlpm.val),_xlpm.Res)</f>
        <v>#NAME?</v>
      </c>
      <c r="F20" s="577" t="str">
        <f t="shared" si="1"/>
        <v>Net Revenue</v>
      </c>
      <c r="G20" s="577" t="s">
        <v>1528</v>
      </c>
      <c r="H20" s="3305">
        <v>1</v>
      </c>
      <c r="I20" s="3305">
        <v>1</v>
      </c>
      <c r="J20" s="578"/>
      <c r="K20" s="578"/>
      <c r="L20" s="3271" t="b">
        <v>1</v>
      </c>
      <c r="N20" s="158"/>
      <c r="O20" s="101"/>
      <c r="P20" s="52"/>
      <c r="Q20" s="101"/>
      <c r="R20" s="126"/>
      <c r="S20" s="101"/>
      <c r="T20" s="101"/>
      <c r="U20" s="39"/>
      <c r="W20" s="91" t="str">
        <f t="shared" si="4" ref="W20:W41">$W$17</f>
        <v>Actual</v>
      </c>
      <c r="X20" s="3312">
        <v>1</v>
      </c>
      <c r="Y20" s="911" t="e" cm="1">
        <f t="array" ca="1" aca="1" ref="Y20">IF($B20="",IFBLANK($E20,"Please select or type in or leave as blank"),IFBLANK($E20,$B20))</f>
        <v>#NAME?</v>
      </c>
      <c r="Z20" s="3286" cm="1">
        <f t="array" ref="Z20">_xlfn.SWITCH(TRUE,ISBLANK(_PL!$L20),"",_PL!$L20=TRUE,1,_PL!$L20=FALSE,-1,_PL!$L20=-1,0,"n/a")</f>
        <v>1</v>
      </c>
      <c r="AA20" s="200"/>
      <c r="AB20" s="33" t="s">
        <v>610</v>
      </c>
      <c r="AC20" s="300" t="e" vm="5" cm="1">
        <f t="array" ref="AC20">_xlfn.LET(_xlpm.Def,IF(_xlfn.XMATCH(AB20,tbl_acctDef[Term],0)&gt;0,fx_getIcon("find"),""),_xlpm.Adj,IF(_xlfn.XMATCH(AB20,tbl_adjExample[Items],0)&gt;0,fx_getIcon("find"),""),IFERROR(IFBLANK(_xlpm.Def,_xlpm.Adj),""))</f>
        <v>#VALUE!</v>
      </c>
      <c r="AD20" s="1669" t="e" cm="1">
        <f t="array" ca="1" aca="1" ref="AD20">_xlfn.LET(_xlpm.val,IF($F20="",val_blankRefText,_xldudf_CX_GET(CX_ENTITY,($F20),AD$11,AD$14,,(AD$19))),_xlpm.Res,IF(OR(_xlpm.val="",_xlpm.val="Error"),"",_xlpm.val),_xlpm.Res)</f>
        <v>#NAME?</v>
      </c>
      <c r="AE20" s="1669" t="e" cm="1">
        <f t="array" ca="1" aca="1" ref="AE20">_xlfn.LET(_xlpm.val,IF($F20="",val_blankRefText,_xldudf_CX_GET(CX_ENTITY,($F20),AE$11,AE$14,,(AE$19))),_xlpm.Res,IF(OR(_xlpm.val="",_xlpm.val="Error"),"",_xlpm.val),_xlpm.Res)</f>
        <v>#NAME?</v>
      </c>
      <c r="AF20" s="1669" t="e" cm="1">
        <f t="array" ca="1" aca="1" ref="AF20">_xlfn.LET(_xlpm.val,IF($F20="",val_blankRefText,_xldudf_CX_GET(CX_ENTITY,($F20),AF$11,AF$14,,(AF$19))),_xlpm.Res,IF(OR(_xlpm.val="",_xlpm.val="Error"),"",_xlpm.val),_xlpm.Res)</f>
        <v>#NAME?</v>
      </c>
      <c r="AG20" s="1669" t="e" cm="1">
        <f t="array" ca="1" aca="1" ref="AG20">_xlfn.LET(_xlpm.val,IF($F20="",val_blankRefText,_xldudf_CX_GET(CX_ENTITY,($F20),AG$11,AG$14,,(AG$19))),_xlpm.Res,IF(OR(_xlpm.val="",_xlpm.val="Error"),"",_xlpm.val),_xlpm.Res)</f>
        <v>#NAME?</v>
      </c>
      <c r="AH20" s="1669" t="e" cm="1">
        <f t="array" ca="1" aca="1" ref="AH20">_xlfn.LET(_xlpm.val,IF($F20="",val_blankRefText,_xldudf_CX_GET(CX_ENTITY,($F20),AH$11,AH$14,,(AH$19))),_xlpm.Res,IF(OR(_xlpm.val="",_xlpm.val="Error"),"",_xlpm.val),_xlpm.Res)</f>
        <v>#NAME?</v>
      </c>
      <c r="AI20" s="1669" t="e" cm="1">
        <f t="array" ca="1" aca="1" ref="AI20">_xlfn.LET(_xlpm.val,IF($F20="",val_blankRefText,_xldudf_CX_GET(CX_ENTITY,($F20),AI$11,AI$14,,(AI$19))),_xlpm.Res,IF(OR(_xlpm.val="",_xlpm.val="Error"),"",_xlpm.val),_xlpm.Res)</f>
        <v>#NAME?</v>
      </c>
      <c r="AJ20" s="1669" t="e" cm="1">
        <f t="array" ca="1" aca="1" ref="AJ20">_xlfn.LET(_xlpm.val,IF($F20="",val_blankRefText,_xldudf_CX_GET(CX_ENTITY,($F20),AJ$11,AJ$14,,(AJ$19))),_xlpm.Res,IF(OR(_xlpm.val="",_xlpm.val="Error"),"",_xlpm.val),_xlpm.Res)</f>
        <v>#NAME?</v>
      </c>
      <c r="AK20" s="1669" t="e" cm="1">
        <f t="array" ca="1" aca="1" ref="AK20">_xlfn.LET(_xlpm.val,IF($F20="",val_blankRefText,_xldudf_CX_GET(CX_ENTITY,($F20),AK$11,AK$14,,(AK$19))),_xlpm.Res,IF(OR(_xlpm.val="",_xlpm.val="Error"),"",_xlpm.val),_xlpm.Res)</f>
        <v>#NAME?</v>
      </c>
      <c r="AL20" s="1669" t="e" cm="1">
        <f t="array" ca="1" aca="1" ref="AL20">_xlfn.LET(_xlpm.val,IF($F20="",val_blankRefText,_xldudf_CX_GET(CX_ENTITY,($F20),AL$11,AL$14,,(AL$19))),_xlpm.Res,IF(OR(_xlpm.val="",_xlpm.val="Error"),"",_xlpm.val),_xlpm.Res)</f>
        <v>#NAME?</v>
      </c>
      <c r="AM20" s="1669" t="e" cm="1">
        <f t="array" ca="1" aca="1" ref="AM20">_xlfn.LET(_xlpm.val,IF($F20="",val_blankRefText,_xldudf_CX_GET(CX_ENTITY,($F20),AM$11,AM$14,,(AM$19))),_xlpm.Res,IF(OR(_xlpm.val="",_xlpm.val="Error"),"",_xlpm.val),_xlpm.Res)</f>
        <v>#NAME?</v>
      </c>
      <c r="AN20" s="1669" t="e" cm="1">
        <f t="array" ca="1" aca="1" ref="AN20">_xlfn.LET(_xlpm.val,IF($F20="",val_blankRefText,_xldudf_CX_GET(CX_ENTITY,($F20),AN$11,AN$14,,(AN$19))),_xlpm.Res,IF(OR(_xlpm.val="",_xlpm.val="Error"),"",_xlpm.val),_xlpm.Res)</f>
        <v>#NAME?</v>
      </c>
      <c r="AO20" s="1669" t="e" cm="1">
        <f t="array" ca="1" aca="1" ref="AO20">_xlfn.LET(_xlpm.val,IF($F20="",val_blankRefText,_xldudf_CX_GET(CX_ENTITY,($F20),AO$11,AO$14,,(AO$19))),_xlpm.Res,IF(OR(_xlpm.val="",_xlpm.val="Error"),"",_xlpm.val),_xlpm.Res)</f>
        <v>#NAME?</v>
      </c>
      <c r="AP20" s="1669" t="e" cm="1">
        <f t="array" ca="1" aca="1" ref="AP20">_xlfn.LET(_xlpm.val,IF($F20="",val_blankRefText,_xldudf_CX_GET(CX_ENTITY,($F20),AP$11,AP$14,,(AP$19))),_xlpm.Res,IF(OR(_xlpm.val="",_xlpm.val="Error"),"",_xlpm.val),_xlpm.Res)</f>
        <v>#NAME?</v>
      </c>
      <c r="AQ20" s="1669" t="e" cm="1">
        <f t="array" ca="1" aca="1" ref="AQ20">_xlfn.LET(_xlpm.val,IF($F20="",val_blankRefText,_xldudf_CX_GET(CX_ENTITY,($F20),AQ$11,AQ$14,,(AQ$19))),_xlpm.Res,IF(OR(_xlpm.val="",_xlpm.val="Error"),"",_xlpm.val),_xlpm.Res)</f>
        <v>#NAME?</v>
      </c>
      <c r="AR20" s="1669" t="e" cm="1">
        <f t="array" ca="1" aca="1" ref="AR20">_xlfn.LET(_xlpm.val,IF($F20="",val_blankRefText,_xldudf_CX_GET(CX_ENTITY,($F20),AR$11,AR$14,,(AR$19))),_xlpm.Res,IF(OR(_xlpm.val="",_xlpm.val="Error"),"",_xlpm.val),_xlpm.Res)</f>
        <v>#NAME?</v>
      </c>
      <c r="AS20" s="1669" t="e" cm="1">
        <f t="array" ca="1" aca="1" ref="AS20">_xlfn.LET(_xlpm.val,IF($F20="",val_blankRefText,_xldudf_CX_GET(CX_ENTITY,($F20),AS$11,AS$14,,(AS$19))),_xlpm.Res,IF(OR(_xlpm.val="",_xlpm.val="Error"),"",_xlpm.val),_xlpm.Res)</f>
        <v>#NAME?</v>
      </c>
      <c r="AT20" s="1669" t="e" cm="1">
        <f t="array" ca="1" aca="1" ref="AT20">_xlfn.LET(_xlpm.val,IF($F20="",val_blankRefText,_xldudf_CX_GET(CX_ENTITY,($F20),AT$11,AT$14,,(AT$19))),_xlpm.Res,IF(OR(_xlpm.val="",_xlpm.val="Error"),"",_xlpm.val),_xlpm.Res)</f>
        <v>#NAME?</v>
      </c>
      <c r="AU20" s="1669" t="e" cm="1">
        <f t="array" ca="1" aca="1" ref="AU20">_xlfn.LET(_xlpm.val,IF($F20="",val_blankRefText,_xldudf_CX_GET(CX_ENTITY,($F20),AU$11,AU$14,,(AU$19))),_xlpm.Res,IF(OR(_xlpm.val="",_xlpm.val="Error"),"",_xlpm.val),_xlpm.Res)</f>
        <v>#NAME?</v>
      </c>
      <c r="AV20" s="1669" t="e" cm="1">
        <f t="array" ca="1" aca="1" ref="AV20">_xlfn.LET(_xlpm.val,IF($F20="",val_blankRefText,_xldudf_CX_GET(CX_ENTITY,($F20),AV$11,AV$14,,(AV$19))),_xlpm.Res,IF(OR(_xlpm.val="",_xlpm.val="Error"),"",_xlpm.val),_xlpm.Res)</f>
        <v>#NAME?</v>
      </c>
      <c r="AW20" s="1669" t="e" cm="1">
        <f t="array" ca="1" aca="1" ref="AW20">_xlfn.LET(_xlpm.val,IF($F20="",val_blankRefText,_xldudf_CX_GET(CX_ENTITY,($F20),AW$11,AW$14,,(AW$19))),_xlpm.Res,IF(OR(_xlpm.val="",_xlpm.val="Error"),"",_xlpm.val),_xlpm.Res)</f>
        <v>#NAME?</v>
      </c>
      <c r="AX20" s="1669" t="e" cm="1">
        <f t="array" ca="1" aca="1" ref="AX20">_xlfn.LET(_xlpm.val,IF($F20="",val_blankRefText,_xldudf_CX_GET(CX_ENTITY,($F20),AX$11,AX$14,,(AX$19))),_xlpm.Res,IF(OR(_xlpm.val="",_xlpm.val="Error"),"",_xlpm.val),_xlpm.Res)</f>
        <v>#NAME?</v>
      </c>
      <c r="AY20" s="1669" t="e" cm="1">
        <f t="array" ca="1" aca="1" ref="AY20">_xlfn.LET(_xlpm.val,IF($F20="",val_blankRefText,_xldudf_CX_GET(CX_ENTITY,($F20),AY$11,AY$14,,(AY$19))),_xlpm.Res,IF(OR(_xlpm.val="",_xlpm.val="Error"),"",_xlpm.val),_xlpm.Res)</f>
        <v>#NAME?</v>
      </c>
      <c r="AZ20" s="1669" t="e" cm="1">
        <f t="array" ca="1" aca="1" ref="AZ20">_xlfn.LET(_xlpm.val,IF($F20="",val_blankRefText,_xldudf_CX_GET(CX_ENTITY,($F20),AZ$11,AZ$14,,(AZ$19))),_xlpm.Res,IF(OR(_xlpm.val="",_xlpm.val="Error"),"",_xlpm.val),_xlpm.Res)</f>
        <v>#NAME?</v>
      </c>
      <c r="BA20" s="1669" t="e" cm="1">
        <f t="array" ca="1" aca="1" ref="BA20">_xlfn.LET(_xlpm.val,IF($F20="",val_blankRefText,_xldudf_CX_GET(CX_ENTITY,($F20),BA$11,BA$14,,(BA$19))),_xlpm.Res,IF(OR(_xlpm.val="",_xlpm.val="Error"),"",_xlpm.val),_xlpm.Res)</f>
        <v>#NAME?</v>
      </c>
      <c r="BB20" s="1669" t="e" cm="1">
        <f t="array" ca="1" aca="1" ref="BB20">_xlfn.LET(_xlpm.val,IF($F20="",val_blankRefText,_xldudf_CX_GET(CX_ENTITY,($F20),BB$11,BB$14,,(BB$19))),_xlpm.Res,IF(OR(_xlpm.val="",_xlpm.val="Error"),"",_xlpm.val),_xlpm.Res)</f>
        <v>#NAME?</v>
      </c>
      <c r="BC20" s="1669" t="e" cm="1">
        <f t="array" ca="1" aca="1" ref="BC20">_xlfn.LET(_xlpm.val,IF($F20="",val_blankRefText,_xldudf_CX_GET(CX_ENTITY,($F20),BC$11,BC$14,,(BC$19))),_xlpm.Res,IF(OR(_xlpm.val="",_xlpm.val="Error"),"",_xlpm.val),_xlpm.Res)</f>
        <v>#NAME?</v>
      </c>
      <c r="BD20" s="1669" t="e" cm="1">
        <f t="array" ca="1" aca="1" ref="BD20">_xlfn.LET(_xlpm.val,IF($F20="",val_blankRefText,_xldudf_CX_GET(CX_ENTITY,($F20),BD$11,BD$14,,(BD$19))),_xlpm.Res,IF(OR(_xlpm.val="",_xlpm.val="Error"),"",_xlpm.val),_xlpm.Res)</f>
        <v>#NAME?</v>
      </c>
      <c r="BE20" s="1669" t="e" cm="1">
        <f t="array" ca="1" aca="1" ref="BE20">_xlfn.LET(_xlpm.val,IF($F20="",val_blankRefText,_xldudf_CX_GET(CX_ENTITY,($F20),BE$11,BE$14,,(BE$19))),_xlpm.Res,IF(OR(_xlpm.val="",_xlpm.val="Error"),"",_xlpm.val),_xlpm.Res)</f>
        <v>#NAME?</v>
      </c>
      <c r="BF20" s="1669" t="e" cm="1">
        <f t="array" ca="1" aca="1" ref="BF20">_xlfn.LET(_xlpm.val,IF($F20="",val_blankRefText,_xldudf_CX_GET(CX_ENTITY,($F20),BF$11,BF$14,,(BF$19))),_xlpm.Res,IF(OR(_xlpm.val="",_xlpm.val="Error"),"",_xlpm.val),_xlpm.Res)</f>
        <v>#NAME?</v>
      </c>
      <c r="BG20" s="1669" t="e" cm="1">
        <f t="array" ca="1" aca="1" ref="BG20">_xlfn.LET(_xlpm.val,IF($F20="",val_blankRefText,_xldudf_CX_GET(CX_ENTITY,($F20),BG$11,BG$14,,(BG$19))),_xlpm.Res,IF(OR(_xlpm.val="",_xlpm.val="Error"),"",_xlpm.val),_xlpm.Res)</f>
        <v>#NAME?</v>
      </c>
      <c r="BH20" s="1669" t="e" cm="1">
        <f t="array" ca="1" aca="1" ref="BH20">_xlfn.LET(_xlpm.val,IF($F20="",val_blankRefText,_xldudf_CX_GET(CX_ENTITY,($F20),BH$11,BH$14,,(BH$19))),_xlpm.Res,IF(OR(_xlpm.val="",_xlpm.val="Error"),"",_xlpm.val),_xlpm.Res)</f>
        <v>#NAME?</v>
      </c>
      <c r="BI20" s="1669" t="e" cm="1">
        <f t="array" ca="1" aca="1" ref="BI20">_xlfn.LET(_xlpm.val,IF($F20="",val_blankRefText,_xldudf_CX_GET(CX_ENTITY,($F20),BI$11,BI$14,,(BI$19))),_xlpm.Res,IF(OR(_xlpm.val="",_xlpm.val="Error"),"",_xlpm.val),_xlpm.Res)</f>
        <v>#NAME?</v>
      </c>
      <c r="BJ20" s="1669" t="e" cm="1">
        <f t="array" ca="1" aca="1" ref="BJ20">_xlfn.LET(_xlpm.val,IF($F20="",val_blankRefText,_xldudf_CX_GET(CX_ENTITY,($F20),BJ$11,BJ$14,,(BJ$19))),_xlpm.Res,IF(OR(_xlpm.val="",_xlpm.val="Error"),"",_xlpm.val),_xlpm.Res)</f>
        <v>#NAME?</v>
      </c>
      <c r="BK20" s="1669" t="e" cm="1">
        <f t="array" ca="1" aca="1" ref="BK20">_xlfn.LET(_xlpm.val,IF($F20="",val_blankRefText,_xldudf_CX_GET(CX_ENTITY,($F20),BK$11,BK$14,,(BK$19))),_xlpm.Res,IF(OR(_xlpm.val="",_xlpm.val="Error"),"",_xlpm.val),_xlpm.Res)</f>
        <v>#NAME?</v>
      </c>
      <c r="BL20" s="1669" t="e" cm="1">
        <f t="array" ca="1" aca="1" ref="BL20">_xlfn.LET(_xlpm.val,IF($F20="",val_blankRefText,_xldudf_CX_GET(CX_ENTITY,($F20),BL$11,BL$14,,(BL$19))),_xlpm.Res,IF(OR(_xlpm.val="",_xlpm.val="Error"),"",_xlpm.val),_xlpm.Res)</f>
        <v>#NAME?</v>
      </c>
      <c r="BM20" s="1669" t="e" cm="1">
        <f t="array" ca="1" aca="1" ref="BM20">_xlfn.LET(_xlpm.val,IF($F20="",val_blankRefText,_xldudf_CX_GET(CX_ENTITY,($F20),BM$11,BM$14,,(BM$19))),_xlpm.Res,IF(OR(_xlpm.val="",_xlpm.val="Error"),"",_xlpm.val),_xlpm.Res)</f>
        <v>#NAME?</v>
      </c>
      <c r="BN20" s="1669" t="e" cm="1">
        <f t="array" ca="1" aca="1" ref="BN20">_xlfn.LET(_xlpm.val,IF($F20="",val_blankRefText,_xldudf_CX_GET(CX_ENTITY,($F20),BN$11,BN$14,,(BN$19))),_xlpm.Res,IF(OR(_xlpm.val="",_xlpm.val="Error"),"",_xlpm.val),_xlpm.Res)</f>
        <v>#NAME?</v>
      </c>
      <c r="BO20" s="2095"/>
      <c r="BP20" s="2095"/>
      <c r="BQ20" s="2095"/>
      <c r="BR20" s="2095"/>
      <c r="BS20" s="2095"/>
      <c r="BT20" s="2095"/>
      <c r="BU20" s="2095"/>
      <c r="BV20" s="2095"/>
      <c r="BW20" s="2095"/>
      <c r="BX20" s="2095"/>
      <c r="BY20" s="2095"/>
      <c r="BZ20" s="2095"/>
      <c r="CA20" s="34"/>
      <c r="CC20" s="33"/>
      <c r="CD20" s="1461" t="e" cm="1">
        <f t="array" ca="1" aca="1" ref="CD20">_xlfn.LET(_xlpm.CheckBlank,SUM(PL!$AD20:PL!$BN20)=0,IF(_xlpm.CheckBlank,"",SUM(_xlfn._xlws.FILTER(PL!$AD20:$BN20,(YEAR(PL!$AD$12:$BN$12)=PL!CD$12)*(array_timeline&lt;=PL!CD$11)))))</f>
        <v>#NAME?</v>
      </c>
      <c r="CE20" s="1461" t="e" cm="1">
        <f t="array" ca="1" aca="1" ref="CE20">_xlfn.LET(_xlpm.CheckBlank,SUM(PL!$AD20:PL!$BN20)=0,IF(_xlpm.CheckBlank,"",SUM(_xlfn._xlws.FILTER(PL!$AD20:$BN20,(YEAR(PL!$AD$12:$BN$12)=PL!CE$12)*(array_timeline&lt;=PL!CE$11)))))</f>
        <v>#NAME?</v>
      </c>
      <c r="CF20" s="88"/>
      <c r="CG20" s="1461" t="e" cm="1">
        <f t="array" ca="1" aca="1" ref="CG20">IF(SUM(PL!$AD20:$BN20)=0,"",SUM(_xlfn._xlws.FILTER(PL!$AD20:$BN20,(YEAR(PL!$AD$12:$BN$12)=PL!CG$12)*(array_timeline&lt;=PL!CG$11))))</f>
        <v>#NAME?</v>
      </c>
      <c r="CH20" s="1461" t="e" cm="1">
        <f t="array" ca="1" aca="1" ref="CH20">_xlfn.LET(_xlpm.CheckBlank,SUM(PL!$AD20:$BN20)=0,IF(_xlpm.CheckBlank,"",SUM(_xlfn._xlws.FILTER(PL!$AD20:$BN20,(YEAR(PL!$AD$12:$BN$12)=PL!CH$12)*(array_timeline&lt;=PL!CH$11)))))</f>
        <v>#NAME?</v>
      </c>
      <c r="CI20" s="88"/>
      <c r="CJ20" s="1461" cm="1">
        <f t="array" ref="CJ20">_xlfn.LET(_xlpm.CheckBlank,SUM(PL!$AD20:$BN20)=0,IF(_xlpm.CheckBlank,"",SUM(_xlfn.TAKE(_xlfn.DROP(PL!$AD20:$BN20,,-DATEDIFF(PL!CJ$11,val_asOfDate,"M")),1,-12))))</f>
        <v>12</v>
      </c>
      <c r="CK20" s="1461" cm="1">
        <f t="array" ref="CK20">_xlfn.LET(_xlpm.CheckBlank,SUM(PL!$AD20:$BN20)=0,IF(_xlpm.CheckBlank,"",SUM(_xlfn.TAKE(_xlfn.DROP(PL!$AD20:$BN20,,-DATEDIFF(PL!CK$11,val_asOfDate,"M")),1,-12))))</f>
        <v>12</v>
      </c>
      <c r="CL20" s="88"/>
      <c r="CM20" s="1168" t="e" cm="1">
        <f t="array" ca="1" aca="1" ref="CM20">_xlfn.LET(_xlpm.val,IF($F20="",val_blankRefText,_xldudf_CX_GET(CX_ENTITY,($F20),CM$11,CM$14,,(CM$19))),_xlpm.Res,IF(OR(_xlpm.val="",_xlpm.val="Error"),"",_xlpm.val),_xlpm.Res)</f>
        <v>#NAME?</v>
      </c>
      <c r="CN20" s="1168" t="e" cm="1">
        <f t="array" ca="1" aca="1" ref="CN20">_xlfn.LET(_xlpm.val,IF($F20="",val_blankRefText,_xldudf_CX_GET(CX_ENTITY,($F20),CN$11,CN$14,,(CN$19))),_xlpm.Res,IF(OR(_xlpm.val="",_xlpm.val="Error"),"",_xlpm.val),_xlpm.Res)</f>
        <v>#NAME?</v>
      </c>
      <c r="CO20" s="1169"/>
      <c r="CP20" s="1168" t="e" cm="1">
        <f t="array" ca="1" aca="1" ref="CP20">_xlfn.LET(_xlpm.val,IF($F20="",val_blankRefText,_xldudf_CX_GET(CX_ENTITY,($F20),CP$11,CP$14,,(CP$19))),_xlpm.Res,IF(OR(_xlpm.val="",_xlpm.val="Error"),"",_xlpm.val),_xlpm.Res)</f>
        <v>#NAME?</v>
      </c>
      <c r="CQ20" s="1168" t="e" cm="1">
        <f t="array" ca="1" aca="1" ref="CQ20">_xlfn.LET(_xlpm.val,IF($F20="",val_blankRefText,_xldudf_CX_GET(CX_ENTITY,($F20),CQ$11,CQ$14,,(CQ$19))),_xlpm.Res,IF(OR(_xlpm.val="",_xlpm.val="Error"),"",_xlpm.val),_xlpm.Res)</f>
        <v>#NAME?</v>
      </c>
      <c r="CR20" s="34"/>
    </row>
    <row r="21" spans="1:96" ht="21" customHeight="1" outlineLevel="1">
      <c r="A21" s="1322"/>
      <c r="B21" s="577" t="s">
        <v>638</v>
      </c>
      <c r="C21" s="2125" t="s">
        <v>1529</v>
      </c>
      <c r="D21" s="1079"/>
      <c r="E21" s="577" t="e" cm="1">
        <f t="array" ca="1" aca="1" ref="E21">_xlfn.LET(_xlpm.val,IF($C21="",val_blankRefText,_xldudf_CX_GET(CX_ENTITY,($C21),val_asOfDate)),_xlpm.Res,IF(OR(_xlpm.val="",_xlpm.val="Error"),"",_xlpm.val),_xlpm.Res)</f>
        <v>#NAME?</v>
      </c>
      <c r="F21" s="577" t="str">
        <f t="shared" si="1"/>
        <v>Cost of Sales</v>
      </c>
      <c r="G21" s="577" t="s">
        <v>1528</v>
      </c>
      <c r="H21" s="1323">
        <v>0</v>
      </c>
      <c r="I21" s="3279">
        <v>1</v>
      </c>
      <c r="J21" s="578"/>
      <c r="K21" s="578"/>
      <c r="L21" s="3269" t="b">
        <v>1</v>
      </c>
      <c r="N21" s="158"/>
      <c r="O21" s="101"/>
      <c r="P21" s="52"/>
      <c r="Q21" s="101"/>
      <c r="R21" s="126"/>
      <c r="S21" s="101"/>
      <c r="T21" s="101"/>
      <c r="U21" s="39"/>
      <c r="W21" s="91" t="str">
        <f t="shared" si="4"/>
        <v>Actual</v>
      </c>
      <c r="X21" s="884">
        <v>-1</v>
      </c>
      <c r="Y21" s="911" t="e" cm="1">
        <f t="array" ca="1" aca="1" ref="Y21">IF($B21="",IFBLANK($E21,"Please select or type in or leave as blank"),IFBLANK($E21,$B21))</f>
        <v>#NAME?</v>
      </c>
      <c r="Z21" s="3291" cm="1">
        <f t="array" ref="Z21">_xlfn.SWITCH(TRUE,ISBLANK(_PL!$L21),"",_PL!$L21=TRUE,1,_PL!$L21=FALSE,-1,_PL!$L21=-1,0,"n/a")</f>
        <v>1</v>
      </c>
      <c r="AA21" s="200"/>
      <c r="AB21" s="301" t="s">
        <v>638</v>
      </c>
      <c r="AC21" s="300" t="e" vm="5" cm="1">
        <f t="array" ref="AC21">_xlfn.LET(_xlpm.Def,IF(_xlfn.XMATCH(AB21,tbl_acctDef[Term],0)&gt;0,fx_getIcon("find"),""),_xlpm.Adj,IF(_xlfn.XMATCH(AB21,tbl_adjExample[Items],0)&gt;0,fx_getIcon("find"),""),IFERROR(IFBLANK(_xlpm.Def,_xlpm.Adj),""))</f>
        <v>#VALUE!</v>
      </c>
      <c r="AD21" s="1669" t="e" cm="1">
        <f t="array" ca="1" aca="1" ref="AD21">_xlfn.LET(_xlpm.val,IF($F21="",val_blankRefText,_xldudf_CX_GET(CX_ENTITY,($F21),AD$11,AD$14,,(AD$19))),_xlpm.Res,IF(OR(_xlpm.val="",_xlpm.val="Error"),"",_xlpm.val),_xlpm.Res)</f>
        <v>#NAME?</v>
      </c>
      <c r="AE21" s="1669" t="e" cm="1">
        <f t="array" ca="1" aca="1" ref="AE21">_xlfn.LET(_xlpm.val,IF($F21="",val_blankRefText,_xldudf_CX_GET(CX_ENTITY,($F21),AE$11,AE$14,,(AE$19))),_xlpm.Res,IF(OR(_xlpm.val="",_xlpm.val="Error"),"",_xlpm.val),_xlpm.Res)</f>
        <v>#NAME?</v>
      </c>
      <c r="AF21" s="1669" t="e" cm="1">
        <f t="array" ca="1" aca="1" ref="AF21">_xlfn.LET(_xlpm.val,IF($F21="",val_blankRefText,_xldudf_CX_GET(CX_ENTITY,($F21),AF$11,AF$14,,(AF$19))),_xlpm.Res,IF(OR(_xlpm.val="",_xlpm.val="Error"),"",_xlpm.val),_xlpm.Res)</f>
        <v>#NAME?</v>
      </c>
      <c r="AG21" s="1669" t="e" cm="1">
        <f t="array" ca="1" aca="1" ref="AG21">_xlfn.LET(_xlpm.val,IF($F21="",val_blankRefText,_xldudf_CX_GET(CX_ENTITY,($F21),AG$11,AG$14,,(AG$19))),_xlpm.Res,IF(OR(_xlpm.val="",_xlpm.val="Error"),"",_xlpm.val),_xlpm.Res)</f>
        <v>#NAME?</v>
      </c>
      <c r="AH21" s="1669" t="e" cm="1">
        <f t="array" ca="1" aca="1" ref="AH21">_xlfn.LET(_xlpm.val,IF($F21="",val_blankRefText,_xldudf_CX_GET(CX_ENTITY,($F21),AH$11,AH$14,,(AH$19))),_xlpm.Res,IF(OR(_xlpm.val="",_xlpm.val="Error"),"",_xlpm.val),_xlpm.Res)</f>
        <v>#NAME?</v>
      </c>
      <c r="AI21" s="1669" t="e" cm="1">
        <f t="array" ca="1" aca="1" ref="AI21">_xlfn.LET(_xlpm.val,IF($F21="",val_blankRefText,_xldudf_CX_GET(CX_ENTITY,($F21),AI$11,AI$14,,(AI$19))),_xlpm.Res,IF(OR(_xlpm.val="",_xlpm.val="Error"),"",_xlpm.val),_xlpm.Res)</f>
        <v>#NAME?</v>
      </c>
      <c r="AJ21" s="1669" t="e" cm="1">
        <f t="array" ca="1" aca="1" ref="AJ21">_xlfn.LET(_xlpm.val,IF($F21="",val_blankRefText,_xldudf_CX_GET(CX_ENTITY,($F21),AJ$11,AJ$14,,(AJ$19))),_xlpm.Res,IF(OR(_xlpm.val="",_xlpm.val="Error"),"",_xlpm.val),_xlpm.Res)</f>
        <v>#NAME?</v>
      </c>
      <c r="AK21" s="1669" t="e" cm="1">
        <f t="array" ca="1" aca="1" ref="AK21">_xlfn.LET(_xlpm.val,IF($F21="",val_blankRefText,_xldudf_CX_GET(CX_ENTITY,($F21),AK$11,AK$14,,(AK$19))),_xlpm.Res,IF(OR(_xlpm.val="",_xlpm.val="Error"),"",_xlpm.val),_xlpm.Res)</f>
        <v>#NAME?</v>
      </c>
      <c r="AL21" s="1669" t="e" cm="1">
        <f t="array" ca="1" aca="1" ref="AL21">_xlfn.LET(_xlpm.val,IF($F21="",val_blankRefText,_xldudf_CX_GET(CX_ENTITY,($F21),AL$11,AL$14,,(AL$19))),_xlpm.Res,IF(OR(_xlpm.val="",_xlpm.val="Error"),"",_xlpm.val),_xlpm.Res)</f>
        <v>#NAME?</v>
      </c>
      <c r="AM21" s="1669" t="e" cm="1">
        <f t="array" ca="1" aca="1" ref="AM21">_xlfn.LET(_xlpm.val,IF($F21="",val_blankRefText,_xldudf_CX_GET(CX_ENTITY,($F21),AM$11,AM$14,,(AM$19))),_xlpm.Res,IF(OR(_xlpm.val="",_xlpm.val="Error"),"",_xlpm.val),_xlpm.Res)</f>
        <v>#NAME?</v>
      </c>
      <c r="AN21" s="1669" t="e" cm="1">
        <f t="array" ca="1" aca="1" ref="AN21">_xlfn.LET(_xlpm.val,IF($F21="",val_blankRefText,_xldudf_CX_GET(CX_ENTITY,($F21),AN$11,AN$14,,(AN$19))),_xlpm.Res,IF(OR(_xlpm.val="",_xlpm.val="Error"),"",_xlpm.val),_xlpm.Res)</f>
        <v>#NAME?</v>
      </c>
      <c r="AO21" s="1669" t="e" cm="1">
        <f t="array" ca="1" aca="1" ref="AO21">_xlfn.LET(_xlpm.val,IF($F21="",val_blankRefText,_xldudf_CX_GET(CX_ENTITY,($F21),AO$11,AO$14,,(AO$19))),_xlpm.Res,IF(OR(_xlpm.val="",_xlpm.val="Error"),"",_xlpm.val),_xlpm.Res)</f>
        <v>#NAME?</v>
      </c>
      <c r="AP21" s="1669" t="e" cm="1">
        <f t="array" ca="1" aca="1" ref="AP21">_xlfn.LET(_xlpm.val,IF($F21="",val_blankRefText,_xldudf_CX_GET(CX_ENTITY,($F21),AP$11,AP$14,,(AP$19))),_xlpm.Res,IF(OR(_xlpm.val="",_xlpm.val="Error"),"",_xlpm.val),_xlpm.Res)</f>
        <v>#NAME?</v>
      </c>
      <c r="AQ21" s="1669" t="e" cm="1">
        <f t="array" ca="1" aca="1" ref="AQ21">_xlfn.LET(_xlpm.val,IF($F21="",val_blankRefText,_xldudf_CX_GET(CX_ENTITY,($F21),AQ$11,AQ$14,,(AQ$19))),_xlpm.Res,IF(OR(_xlpm.val="",_xlpm.val="Error"),"",_xlpm.val),_xlpm.Res)</f>
        <v>#NAME?</v>
      </c>
      <c r="AR21" s="1669" t="e" cm="1">
        <f t="array" ca="1" aca="1" ref="AR21">_xlfn.LET(_xlpm.val,IF($F21="",val_blankRefText,_xldudf_CX_GET(CX_ENTITY,($F21),AR$11,AR$14,,(AR$19))),_xlpm.Res,IF(OR(_xlpm.val="",_xlpm.val="Error"),"",_xlpm.val),_xlpm.Res)</f>
        <v>#NAME?</v>
      </c>
      <c r="AS21" s="1669" t="e" cm="1">
        <f t="array" ca="1" aca="1" ref="AS21">_xlfn.LET(_xlpm.val,IF($F21="",val_blankRefText,_xldudf_CX_GET(CX_ENTITY,($F21),AS$11,AS$14,,(AS$19))),_xlpm.Res,IF(OR(_xlpm.val="",_xlpm.val="Error"),"",_xlpm.val),_xlpm.Res)</f>
        <v>#NAME?</v>
      </c>
      <c r="AT21" s="1669" t="e" cm="1">
        <f t="array" ca="1" aca="1" ref="AT21">_xlfn.LET(_xlpm.val,IF($F21="",val_blankRefText,_xldudf_CX_GET(CX_ENTITY,($F21),AT$11,AT$14,,(AT$19))),_xlpm.Res,IF(OR(_xlpm.val="",_xlpm.val="Error"),"",_xlpm.val),_xlpm.Res)</f>
        <v>#NAME?</v>
      </c>
      <c r="AU21" s="1669" t="e" cm="1">
        <f t="array" ca="1" aca="1" ref="AU21">_xlfn.LET(_xlpm.val,IF($F21="",val_blankRefText,_xldudf_CX_GET(CX_ENTITY,($F21),AU$11,AU$14,,(AU$19))),_xlpm.Res,IF(OR(_xlpm.val="",_xlpm.val="Error"),"",_xlpm.val),_xlpm.Res)</f>
        <v>#NAME?</v>
      </c>
      <c r="AV21" s="1669" t="e" cm="1">
        <f t="array" ca="1" aca="1" ref="AV21">_xlfn.LET(_xlpm.val,IF($F21="",val_blankRefText,_xldudf_CX_GET(CX_ENTITY,($F21),AV$11,AV$14,,(AV$19))),_xlpm.Res,IF(OR(_xlpm.val="",_xlpm.val="Error"),"",_xlpm.val),_xlpm.Res)</f>
        <v>#NAME?</v>
      </c>
      <c r="AW21" s="1669" t="e" cm="1">
        <f t="array" ca="1" aca="1" ref="AW21">_xlfn.LET(_xlpm.val,IF($F21="",val_blankRefText,_xldudf_CX_GET(CX_ENTITY,($F21),AW$11,AW$14,,(AW$19))),_xlpm.Res,IF(OR(_xlpm.val="",_xlpm.val="Error"),"",_xlpm.val),_xlpm.Res)</f>
        <v>#NAME?</v>
      </c>
      <c r="AX21" s="1669" t="e" cm="1">
        <f t="array" ca="1" aca="1" ref="AX21">_xlfn.LET(_xlpm.val,IF($F21="",val_blankRefText,_xldudf_CX_GET(CX_ENTITY,($F21),AX$11,AX$14,,(AX$19))),_xlpm.Res,IF(OR(_xlpm.val="",_xlpm.val="Error"),"",_xlpm.val),_xlpm.Res)</f>
        <v>#NAME?</v>
      </c>
      <c r="AY21" s="1669" t="e" cm="1">
        <f t="array" ca="1" aca="1" ref="AY21">_xlfn.LET(_xlpm.val,IF($F21="",val_blankRefText,_xldudf_CX_GET(CX_ENTITY,($F21),AY$11,AY$14,,(AY$19))),_xlpm.Res,IF(OR(_xlpm.val="",_xlpm.val="Error"),"",_xlpm.val),_xlpm.Res)</f>
        <v>#NAME?</v>
      </c>
      <c r="AZ21" s="1669" t="e" cm="1">
        <f t="array" ca="1" aca="1" ref="AZ21">_xlfn.LET(_xlpm.val,IF($F21="",val_blankRefText,_xldudf_CX_GET(CX_ENTITY,($F21),AZ$11,AZ$14,,(AZ$19))),_xlpm.Res,IF(OR(_xlpm.val="",_xlpm.val="Error"),"",_xlpm.val),_xlpm.Res)</f>
        <v>#NAME?</v>
      </c>
      <c r="BA21" s="1669" t="e" cm="1">
        <f t="array" ca="1" aca="1" ref="BA21">_xlfn.LET(_xlpm.val,IF($F21="",val_blankRefText,_xldudf_CX_GET(CX_ENTITY,($F21),BA$11,BA$14,,(BA$19))),_xlpm.Res,IF(OR(_xlpm.val="",_xlpm.val="Error"),"",_xlpm.val),_xlpm.Res)</f>
        <v>#NAME?</v>
      </c>
      <c r="BB21" s="1669" t="e" cm="1">
        <f t="array" ca="1" aca="1" ref="BB21">_xlfn.LET(_xlpm.val,IF($F21="",val_blankRefText,_xldudf_CX_GET(CX_ENTITY,($F21),BB$11,BB$14,,(BB$19))),_xlpm.Res,IF(OR(_xlpm.val="",_xlpm.val="Error"),"",_xlpm.val),_xlpm.Res)</f>
        <v>#NAME?</v>
      </c>
      <c r="BC21" s="1669" t="e" cm="1">
        <f t="array" ca="1" aca="1" ref="BC21">_xlfn.LET(_xlpm.val,IF($F21="",val_blankRefText,_xldudf_CX_GET(CX_ENTITY,($F21),BC$11,BC$14,,(BC$19))),_xlpm.Res,IF(OR(_xlpm.val="",_xlpm.val="Error"),"",_xlpm.val),_xlpm.Res)</f>
        <v>#NAME?</v>
      </c>
      <c r="BD21" s="1669" t="e" cm="1">
        <f t="array" ca="1" aca="1" ref="BD21">_xlfn.LET(_xlpm.val,IF($F21="",val_blankRefText,_xldudf_CX_GET(CX_ENTITY,($F21),BD$11,BD$14,,(BD$19))),_xlpm.Res,IF(OR(_xlpm.val="",_xlpm.val="Error"),"",_xlpm.val),_xlpm.Res)</f>
        <v>#NAME?</v>
      </c>
      <c r="BE21" s="1669" t="e" cm="1">
        <f t="array" ca="1" aca="1" ref="BE21">_xlfn.LET(_xlpm.val,IF($F21="",val_blankRefText,_xldudf_CX_GET(CX_ENTITY,($F21),BE$11,BE$14,,(BE$19))),_xlpm.Res,IF(OR(_xlpm.val="",_xlpm.val="Error"),"",_xlpm.val),_xlpm.Res)</f>
        <v>#NAME?</v>
      </c>
      <c r="BF21" s="1669" t="e" cm="1">
        <f t="array" ca="1" aca="1" ref="BF21">_xlfn.LET(_xlpm.val,IF($F21="",val_blankRefText,_xldudf_CX_GET(CX_ENTITY,($F21),BF$11,BF$14,,(BF$19))),_xlpm.Res,IF(OR(_xlpm.val="",_xlpm.val="Error"),"",_xlpm.val),_xlpm.Res)</f>
        <v>#NAME?</v>
      </c>
      <c r="BG21" s="1669" t="e" cm="1">
        <f t="array" ca="1" aca="1" ref="BG21">_xlfn.LET(_xlpm.val,IF($F21="",val_blankRefText,_xldudf_CX_GET(CX_ENTITY,($F21),BG$11,BG$14,,(BG$19))),_xlpm.Res,IF(OR(_xlpm.val="",_xlpm.val="Error"),"",_xlpm.val),_xlpm.Res)</f>
        <v>#NAME?</v>
      </c>
      <c r="BH21" s="1669" t="e" cm="1">
        <f t="array" ca="1" aca="1" ref="BH21">_xlfn.LET(_xlpm.val,IF($F21="",val_blankRefText,_xldudf_CX_GET(CX_ENTITY,($F21),BH$11,BH$14,,(BH$19))),_xlpm.Res,IF(OR(_xlpm.val="",_xlpm.val="Error"),"",_xlpm.val),_xlpm.Res)</f>
        <v>#NAME?</v>
      </c>
      <c r="BI21" s="1669" t="e" cm="1">
        <f t="array" ca="1" aca="1" ref="BI21">_xlfn.LET(_xlpm.val,IF($F21="",val_blankRefText,_xldudf_CX_GET(CX_ENTITY,($F21),BI$11,BI$14,,(BI$19))),_xlpm.Res,IF(OR(_xlpm.val="",_xlpm.val="Error"),"",_xlpm.val),_xlpm.Res)</f>
        <v>#NAME?</v>
      </c>
      <c r="BJ21" s="1669" t="e" cm="1">
        <f t="array" ca="1" aca="1" ref="BJ21">_xlfn.LET(_xlpm.val,IF($F21="",val_blankRefText,_xldudf_CX_GET(CX_ENTITY,($F21),BJ$11,BJ$14,,(BJ$19))),_xlpm.Res,IF(OR(_xlpm.val="",_xlpm.val="Error"),"",_xlpm.val),_xlpm.Res)</f>
        <v>#NAME?</v>
      </c>
      <c r="BK21" s="1669" t="e" cm="1">
        <f t="array" ca="1" aca="1" ref="BK21">_xlfn.LET(_xlpm.val,IF($F21="",val_blankRefText,_xldudf_CX_GET(CX_ENTITY,($F21),BK$11,BK$14,,(BK$19))),_xlpm.Res,IF(OR(_xlpm.val="",_xlpm.val="Error"),"",_xlpm.val),_xlpm.Res)</f>
        <v>#NAME?</v>
      </c>
      <c r="BL21" s="1669" t="e" cm="1">
        <f t="array" ca="1" aca="1" ref="BL21">_xlfn.LET(_xlpm.val,IF($F21="",val_blankRefText,_xldudf_CX_GET(CX_ENTITY,($F21),BL$11,BL$14,,(BL$19))),_xlpm.Res,IF(OR(_xlpm.val="",_xlpm.val="Error"),"",_xlpm.val),_xlpm.Res)</f>
        <v>#NAME?</v>
      </c>
      <c r="BM21" s="1669" t="e" cm="1">
        <f t="array" ca="1" aca="1" ref="BM21">_xlfn.LET(_xlpm.val,IF($F21="",val_blankRefText,_xldudf_CX_GET(CX_ENTITY,($F21),BM$11,BM$14,,(BM$19))),_xlpm.Res,IF(OR(_xlpm.val="",_xlpm.val="Error"),"",_xlpm.val),_xlpm.Res)</f>
        <v>#NAME?</v>
      </c>
      <c r="BN21" s="1669" t="e" cm="1">
        <f t="array" ca="1" aca="1" ref="BN21">_xlfn.LET(_xlpm.val,IF($F21="",val_blankRefText,_xldudf_CX_GET(CX_ENTITY,($F21),BN$11,BN$14,,(BN$19))),_xlpm.Res,IF(OR(_xlpm.val="",_xlpm.val="Error"),"",_xlpm.val),_xlpm.Res)</f>
        <v>#NAME?</v>
      </c>
      <c r="BO21" s="2095"/>
      <c r="BP21" s="2095"/>
      <c r="BQ21" s="2095"/>
      <c r="BR21" s="2095"/>
      <c r="BS21" s="2095"/>
      <c r="BT21" s="2095"/>
      <c r="BU21" s="2095"/>
      <c r="BV21" s="2095"/>
      <c r="BW21" s="2095"/>
      <c r="BX21" s="2095"/>
      <c r="BY21" s="2095"/>
      <c r="BZ21" s="2095"/>
      <c r="CA21" s="34"/>
      <c r="CC21" s="33"/>
      <c r="CD21" s="1461" t="e" cm="1">
        <f t="array" ca="1" aca="1" ref="CD21">_xlfn.LET(_xlpm.CheckBlank,SUM(PL!$AD21:PL!$BN21)=0,IF(_xlpm.CheckBlank,"",SUM(_xlfn._xlws.FILTER(PL!$AD21:$BN21,(YEAR(PL!$AD$12:$BN$12)=PL!CD$12)*(array_timeline&lt;=PL!CD$11)))))</f>
        <v>#NAME?</v>
      </c>
      <c r="CE21" s="1461" t="e" cm="1">
        <f t="array" ca="1" aca="1" ref="CE21">_xlfn.LET(_xlpm.CheckBlank,SUM(PL!$AD21:PL!$BN21)=0,IF(_xlpm.CheckBlank,"",SUM(_xlfn._xlws.FILTER(PL!$AD21:$BN21,(YEAR(PL!$AD$12:$BN$12)=PL!CE$12)*(array_timeline&lt;=PL!CE$11)))))</f>
        <v>#NAME?</v>
      </c>
      <c r="CF21" s="88"/>
      <c r="CG21" s="1461" t="e" cm="1">
        <f t="array" ca="1" aca="1" ref="CG21">_xlfn.LET(_xlpm.CheckBlank,SUM(PL!$AD21:$BN21)=0,IF(_xlpm.CheckBlank,"",SUM(_xlfn._xlws.FILTER(PL!$AD21:$BN21,(YEAR(PL!$AD$12:$BN$12)=PL!CG$12)*(array_timeline&lt;=PL!CG$11)))))</f>
        <v>#NAME?</v>
      </c>
      <c r="CH21" s="1461" t="e" cm="1">
        <f t="array" ca="1" aca="1" ref="CH21">_xlfn.LET(_xlpm.CheckBlank,SUM(PL!$AD21:$BN21)=0,IF(_xlpm.CheckBlank,"",SUM(_xlfn._xlws.FILTER(PL!$AD21:$BN21,(YEAR(PL!$AD$12:$BN$12)=PL!CH$12)*(array_timeline&lt;=PL!CH$11)))))</f>
        <v>#NAME?</v>
      </c>
      <c r="CI21" s="88"/>
      <c r="CJ21" s="1461" cm="1">
        <f t="array" ref="CJ21">_xlfn.LET(_xlpm.CheckBlank,SUM(PL!$AD21:$BN21)=0,IF(_xlpm.CheckBlank,"",SUM(_xlfn.TAKE(_xlfn.DROP(PL!$AD21:$BN21,,-DATEDIFF(PL!CJ$11,val_asOfDate,"M")),1,-12))))</f>
        <v>12</v>
      </c>
      <c r="CK21" s="1461" cm="1">
        <f t="array" ref="CK21">_xlfn.LET(_xlpm.CheckBlank,SUM(PL!$AD21:$BN21)=0,IF(_xlpm.CheckBlank,"",SUM(_xlfn.TAKE(_xlfn.DROP(PL!$AD21:$BN21,,-DATEDIFF(PL!CK$11,val_asOfDate,"M")),1,-12))))</f>
        <v>12</v>
      </c>
      <c r="CL21" s="88"/>
      <c r="CM21" s="1168" t="e" cm="1">
        <f t="array" ca="1" aca="1" ref="CM21">_xlfn.LET(_xlpm.val,IF($F21="",val_blankRefText,_xldudf_CX_GET(CX_ENTITY,($F21),CM$11,CM$14,,(CM$19))),_xlpm.Res,IF(OR(_xlpm.val="",_xlpm.val="Error"),"",_xlpm.val),_xlpm.Res)</f>
        <v>#NAME?</v>
      </c>
      <c r="CN21" s="1168" t="e" cm="1">
        <f t="array" ca="1" aca="1" ref="CN21">_xlfn.LET(_xlpm.val,IF($F21="",val_blankRefText,_xldudf_CX_GET(CX_ENTITY,($F21),CN$11,CN$14,,(CN$19))),_xlpm.Res,IF(OR(_xlpm.val="",_xlpm.val="Error"),"",_xlpm.val),_xlpm.Res)</f>
        <v>#NAME?</v>
      </c>
      <c r="CO21" s="1169"/>
      <c r="CP21" s="1168" t="e" cm="1">
        <f t="array" ca="1" aca="1" ref="CP21">_xlfn.LET(_xlpm.val,IF($F21="",val_blankRefText,_xldudf_CX_GET(CX_ENTITY,($F21),CP$11,CP$14,,(CP$19))),_xlpm.Res,IF(OR(_xlpm.val="",_xlpm.val="Error"),"",_xlpm.val),_xlpm.Res)</f>
        <v>#NAME?</v>
      </c>
      <c r="CQ21" s="1168" t="e" cm="1">
        <f t="array" ca="1" aca="1" ref="CQ21">_xlfn.LET(_xlpm.val,IF($F21="",val_blankRefText,_xldudf_CX_GET(CX_ENTITY,($F21),CQ$11,CQ$14,,(CQ$19))),_xlpm.Res,IF(OR(_xlpm.val="",_xlpm.val="Error"),"",_xlpm.val),_xlpm.Res)</f>
        <v>#NAME?</v>
      </c>
      <c r="CR21" s="34"/>
    </row>
    <row r="22" spans="1:96" ht="21" customHeight="1" outlineLevel="1">
      <c r="A22" s="1322"/>
      <c r="B22" s="577" t="s">
        <v>641</v>
      </c>
      <c r="C22" s="2125" t="s">
        <v>1530</v>
      </c>
      <c r="D22" s="1079"/>
      <c r="E22" s="577" t="e" cm="1">
        <f t="array" ca="1" aca="1" ref="E22">_xlfn.LET(_xlpm.val,IF($C22="",val_blankRefText,_xldudf_CX_GET(CX_ENTITY,($C22),val_asOfDate)),_xlpm.Res,IF(OR(_xlpm.val="",_xlpm.val="Error"),"",_xlpm.val),_xlpm.Res)</f>
        <v>#NAME?</v>
      </c>
      <c r="F22" s="577" t="str">
        <f t="shared" si="1"/>
        <v>Gross Profit</v>
      </c>
      <c r="G22" s="577" t="s">
        <v>1528</v>
      </c>
      <c r="H22" s="3279">
        <v>2</v>
      </c>
      <c r="I22" s="3279">
        <v>1</v>
      </c>
      <c r="J22" s="578"/>
      <c r="K22" s="578"/>
      <c r="L22" s="579">
        <v>-1</v>
      </c>
      <c r="N22" s="158"/>
      <c r="O22" s="101"/>
      <c r="P22" s="52"/>
      <c r="Q22" s="101"/>
      <c r="R22" s="126"/>
      <c r="S22" s="101"/>
      <c r="T22" s="101"/>
      <c r="U22" s="39"/>
      <c r="W22" s="91" t="str">
        <f t="shared" si="4"/>
        <v>Actual</v>
      </c>
      <c r="X22" s="884">
        <v>0</v>
      </c>
      <c r="Y22" s="1196" t="e" cm="1">
        <f t="array" ca="1" aca="1" ref="Y22">IF($B22="",IFBLANK($E22,"Please select or type in or leave as blank"),IFBLANK($E22,$B22))</f>
        <v>#NAME?</v>
      </c>
      <c r="Z22" s="198" cm="1">
        <f t="array" ref="Z22">_xlfn.SWITCH(TRUE,ISBLANK(_PL!$L22),"",_PL!$L22=TRUE,1,_PL!$L22=FALSE,-1,_PL!$L22=-1,0,"n/a")</f>
        <v>0</v>
      </c>
      <c r="AA22" s="200"/>
      <c r="AB22" s="301" t="s">
        <v>641</v>
      </c>
      <c r="AC22" s="300" t="e" vm="5" cm="1">
        <f t="array" ref="AC22">_xlfn.LET(_xlpm.Def,IF(_xlfn.XMATCH(AB22,tbl_acctDef[Term],0)&gt;0,fx_getIcon("find"),""),_xlpm.Adj,IF(_xlfn.XMATCH(AB22,tbl_adjExample[Items],0)&gt;0,fx_getIcon("find"),""),IFERROR(IFBLANK(_xlpm.Def,_xlpm.Adj),""))</f>
        <v>#VALUE!</v>
      </c>
      <c r="AD22" s="1669" t="e" cm="1">
        <f t="array" ca="1" aca="1" ref="AD22">_xlfn.LET(_xlpm.val,IF($F22="",val_blankRefText,_xldudf_CX_GET(CX_ENTITY,($F22),AD$11,AD$14,,(AD$19))),_xlpm.Res,IF(OR(_xlpm.val="",_xlpm.val="Error"),"",_xlpm.val),_xlpm.Res)</f>
        <v>#NAME?</v>
      </c>
      <c r="AE22" s="1669" t="e" cm="1">
        <f t="array" ca="1" aca="1" ref="AE22">_xlfn.LET(_xlpm.val,IF($F22="",val_blankRefText,_xldudf_CX_GET(CX_ENTITY,($F22),AE$11,AE$14,,(AE$19))),_xlpm.Res,IF(OR(_xlpm.val="",_xlpm.val="Error"),"",_xlpm.val),_xlpm.Res)</f>
        <v>#NAME?</v>
      </c>
      <c r="AF22" s="1669" t="e" cm="1">
        <f t="array" ca="1" aca="1" ref="AF22">_xlfn.LET(_xlpm.val,IF($F22="",val_blankRefText,_xldudf_CX_GET(CX_ENTITY,($F22),AF$11,AF$14,,(AF$19))),_xlpm.Res,IF(OR(_xlpm.val="",_xlpm.val="Error"),"",_xlpm.val),_xlpm.Res)</f>
        <v>#NAME?</v>
      </c>
      <c r="AG22" s="1669" t="e" cm="1">
        <f t="array" ca="1" aca="1" ref="AG22">_xlfn.LET(_xlpm.val,IF($F22="",val_blankRefText,_xldudf_CX_GET(CX_ENTITY,($F22),AG$11,AG$14,,(AG$19))),_xlpm.Res,IF(OR(_xlpm.val="",_xlpm.val="Error"),"",_xlpm.val),_xlpm.Res)</f>
        <v>#NAME?</v>
      </c>
      <c r="AH22" s="1669" t="e" cm="1">
        <f t="array" ca="1" aca="1" ref="AH22">_xlfn.LET(_xlpm.val,IF($F22="",val_blankRefText,_xldudf_CX_GET(CX_ENTITY,($F22),AH$11,AH$14,,(AH$19))),_xlpm.Res,IF(OR(_xlpm.val="",_xlpm.val="Error"),"",_xlpm.val),_xlpm.Res)</f>
        <v>#NAME?</v>
      </c>
      <c r="AI22" s="1669" t="e" cm="1">
        <f t="array" ca="1" aca="1" ref="AI22">_xlfn.LET(_xlpm.val,IF($F22="",val_blankRefText,_xldudf_CX_GET(CX_ENTITY,($F22),AI$11,AI$14,,(AI$19))),_xlpm.Res,IF(OR(_xlpm.val="",_xlpm.val="Error"),"",_xlpm.val),_xlpm.Res)</f>
        <v>#NAME?</v>
      </c>
      <c r="AJ22" s="1669" t="e" cm="1">
        <f t="array" ca="1" aca="1" ref="AJ22">_xlfn.LET(_xlpm.val,IF($F22="",val_blankRefText,_xldudf_CX_GET(CX_ENTITY,($F22),AJ$11,AJ$14,,(AJ$19))),_xlpm.Res,IF(OR(_xlpm.val="",_xlpm.val="Error"),"",_xlpm.val),_xlpm.Res)</f>
        <v>#NAME?</v>
      </c>
      <c r="AK22" s="1669" t="e" cm="1">
        <f t="array" ca="1" aca="1" ref="AK22">_xlfn.LET(_xlpm.val,IF($F22="",val_blankRefText,_xldudf_CX_GET(CX_ENTITY,($F22),AK$11,AK$14,,(AK$19))),_xlpm.Res,IF(OR(_xlpm.val="",_xlpm.val="Error"),"",_xlpm.val),_xlpm.Res)</f>
        <v>#NAME?</v>
      </c>
      <c r="AL22" s="1669" t="e" cm="1">
        <f t="array" ca="1" aca="1" ref="AL22">_xlfn.LET(_xlpm.val,IF($F22="",val_blankRefText,_xldudf_CX_GET(CX_ENTITY,($F22),AL$11,AL$14,,(AL$19))),_xlpm.Res,IF(OR(_xlpm.val="",_xlpm.val="Error"),"",_xlpm.val),_xlpm.Res)</f>
        <v>#NAME?</v>
      </c>
      <c r="AM22" s="1669" t="e" cm="1">
        <f t="array" ca="1" aca="1" ref="AM22">_xlfn.LET(_xlpm.val,IF($F22="",val_blankRefText,_xldudf_CX_GET(CX_ENTITY,($F22),AM$11,AM$14,,(AM$19))),_xlpm.Res,IF(OR(_xlpm.val="",_xlpm.val="Error"),"",_xlpm.val),_xlpm.Res)</f>
        <v>#NAME?</v>
      </c>
      <c r="AN22" s="1669" t="e" cm="1">
        <f t="array" ca="1" aca="1" ref="AN22">_xlfn.LET(_xlpm.val,IF($F22="",val_blankRefText,_xldudf_CX_GET(CX_ENTITY,($F22),AN$11,AN$14,,(AN$19))),_xlpm.Res,IF(OR(_xlpm.val="",_xlpm.val="Error"),"",_xlpm.val),_xlpm.Res)</f>
        <v>#NAME?</v>
      </c>
      <c r="AO22" s="1669" t="e" cm="1">
        <f t="array" ca="1" aca="1" ref="AO22">_xlfn.LET(_xlpm.val,IF($F22="",val_blankRefText,_xldudf_CX_GET(CX_ENTITY,($F22),AO$11,AO$14,,(AO$19))),_xlpm.Res,IF(OR(_xlpm.val="",_xlpm.val="Error"),"",_xlpm.val),_xlpm.Res)</f>
        <v>#NAME?</v>
      </c>
      <c r="AP22" s="1669" t="e" cm="1">
        <f t="array" ca="1" aca="1" ref="AP22">_xlfn.LET(_xlpm.val,IF($F22="",val_blankRefText,_xldudf_CX_GET(CX_ENTITY,($F22),AP$11,AP$14,,(AP$19))),_xlpm.Res,IF(OR(_xlpm.val="",_xlpm.val="Error"),"",_xlpm.val),_xlpm.Res)</f>
        <v>#NAME?</v>
      </c>
      <c r="AQ22" s="1669" t="e" cm="1">
        <f t="array" ca="1" aca="1" ref="AQ22">_xlfn.LET(_xlpm.val,IF($F22="",val_blankRefText,_xldudf_CX_GET(CX_ENTITY,($F22),AQ$11,AQ$14,,(AQ$19))),_xlpm.Res,IF(OR(_xlpm.val="",_xlpm.val="Error"),"",_xlpm.val),_xlpm.Res)</f>
        <v>#NAME?</v>
      </c>
      <c r="AR22" s="1669" t="e" cm="1">
        <f t="array" ca="1" aca="1" ref="AR22">_xlfn.LET(_xlpm.val,IF($F22="",val_blankRefText,_xldudf_CX_GET(CX_ENTITY,($F22),AR$11,AR$14,,(AR$19))),_xlpm.Res,IF(OR(_xlpm.val="",_xlpm.val="Error"),"",_xlpm.val),_xlpm.Res)</f>
        <v>#NAME?</v>
      </c>
      <c r="AS22" s="1669" t="e" cm="1">
        <f t="array" ca="1" aca="1" ref="AS22">_xlfn.LET(_xlpm.val,IF($F22="",val_blankRefText,_xldudf_CX_GET(CX_ENTITY,($F22),AS$11,AS$14,,(AS$19))),_xlpm.Res,IF(OR(_xlpm.val="",_xlpm.val="Error"),"",_xlpm.val),_xlpm.Res)</f>
        <v>#NAME?</v>
      </c>
      <c r="AT22" s="1669" t="e" cm="1">
        <f t="array" ca="1" aca="1" ref="AT22">_xlfn.LET(_xlpm.val,IF($F22="",val_blankRefText,_xldudf_CX_GET(CX_ENTITY,($F22),AT$11,AT$14,,(AT$19))),_xlpm.Res,IF(OR(_xlpm.val="",_xlpm.val="Error"),"",_xlpm.val),_xlpm.Res)</f>
        <v>#NAME?</v>
      </c>
      <c r="AU22" s="1669" t="e" cm="1">
        <f t="array" ca="1" aca="1" ref="AU22">_xlfn.LET(_xlpm.val,IF($F22="",val_blankRefText,_xldudf_CX_GET(CX_ENTITY,($F22),AU$11,AU$14,,(AU$19))),_xlpm.Res,IF(OR(_xlpm.val="",_xlpm.val="Error"),"",_xlpm.val),_xlpm.Res)</f>
        <v>#NAME?</v>
      </c>
      <c r="AV22" s="1669" t="e" cm="1">
        <f t="array" ca="1" aca="1" ref="AV22">_xlfn.LET(_xlpm.val,IF($F22="",val_blankRefText,_xldudf_CX_GET(CX_ENTITY,($F22),AV$11,AV$14,,(AV$19))),_xlpm.Res,IF(OR(_xlpm.val="",_xlpm.val="Error"),"",_xlpm.val),_xlpm.Res)</f>
        <v>#NAME?</v>
      </c>
      <c r="AW22" s="1669" t="e" cm="1">
        <f t="array" ca="1" aca="1" ref="AW22">_xlfn.LET(_xlpm.val,IF($F22="",val_blankRefText,_xldudf_CX_GET(CX_ENTITY,($F22),AW$11,AW$14,,(AW$19))),_xlpm.Res,IF(OR(_xlpm.val="",_xlpm.val="Error"),"",_xlpm.val),_xlpm.Res)</f>
        <v>#NAME?</v>
      </c>
      <c r="AX22" s="1669" t="e" cm="1">
        <f t="array" ca="1" aca="1" ref="AX22">_xlfn.LET(_xlpm.val,IF($F22="",val_blankRefText,_xldudf_CX_GET(CX_ENTITY,($F22),AX$11,AX$14,,(AX$19))),_xlpm.Res,IF(OR(_xlpm.val="",_xlpm.val="Error"),"",_xlpm.val),_xlpm.Res)</f>
        <v>#NAME?</v>
      </c>
      <c r="AY22" s="1669" t="e" cm="1">
        <f t="array" ca="1" aca="1" ref="AY22">_xlfn.LET(_xlpm.val,IF($F22="",val_blankRefText,_xldudf_CX_GET(CX_ENTITY,($F22),AY$11,AY$14,,(AY$19))),_xlpm.Res,IF(OR(_xlpm.val="",_xlpm.val="Error"),"",_xlpm.val),_xlpm.Res)</f>
        <v>#NAME?</v>
      </c>
      <c r="AZ22" s="1669" t="e" cm="1">
        <f t="array" ca="1" aca="1" ref="AZ22">_xlfn.LET(_xlpm.val,IF($F22="",val_blankRefText,_xldudf_CX_GET(CX_ENTITY,($F22),AZ$11,AZ$14,,(AZ$19))),_xlpm.Res,IF(OR(_xlpm.val="",_xlpm.val="Error"),"",_xlpm.val),_xlpm.Res)</f>
        <v>#NAME?</v>
      </c>
      <c r="BA22" s="1669" t="e" cm="1">
        <f t="array" ca="1" aca="1" ref="BA22">_xlfn.LET(_xlpm.val,IF($F22="",val_blankRefText,_xldudf_CX_GET(CX_ENTITY,($F22),BA$11,BA$14,,(BA$19))),_xlpm.Res,IF(OR(_xlpm.val="",_xlpm.val="Error"),"",_xlpm.val),_xlpm.Res)</f>
        <v>#NAME?</v>
      </c>
      <c r="BB22" s="1669" t="e" cm="1">
        <f t="array" ca="1" aca="1" ref="BB22">_xlfn.LET(_xlpm.val,IF($F22="",val_blankRefText,_xldudf_CX_GET(CX_ENTITY,($F22),BB$11,BB$14,,(BB$19))),_xlpm.Res,IF(OR(_xlpm.val="",_xlpm.val="Error"),"",_xlpm.val),_xlpm.Res)</f>
        <v>#NAME?</v>
      </c>
      <c r="BC22" s="1669" t="e" cm="1">
        <f t="array" ca="1" aca="1" ref="BC22">_xlfn.LET(_xlpm.val,IF($F22="",val_blankRefText,_xldudf_CX_GET(CX_ENTITY,($F22),BC$11,BC$14,,(BC$19))),_xlpm.Res,IF(OR(_xlpm.val="",_xlpm.val="Error"),"",_xlpm.val),_xlpm.Res)</f>
        <v>#NAME?</v>
      </c>
      <c r="BD22" s="1669" t="e" cm="1">
        <f t="array" ca="1" aca="1" ref="BD22">_xlfn.LET(_xlpm.val,IF($F22="",val_blankRefText,_xldudf_CX_GET(CX_ENTITY,($F22),BD$11,BD$14,,(BD$19))),_xlpm.Res,IF(OR(_xlpm.val="",_xlpm.val="Error"),"",_xlpm.val),_xlpm.Res)</f>
        <v>#NAME?</v>
      </c>
      <c r="BE22" s="1669" t="e" cm="1">
        <f t="array" ca="1" aca="1" ref="BE22">_xlfn.LET(_xlpm.val,IF($F22="",val_blankRefText,_xldudf_CX_GET(CX_ENTITY,($F22),BE$11,BE$14,,(BE$19))),_xlpm.Res,IF(OR(_xlpm.val="",_xlpm.val="Error"),"",_xlpm.val),_xlpm.Res)</f>
        <v>#NAME?</v>
      </c>
      <c r="BF22" s="1669" t="e" cm="1">
        <f t="array" ca="1" aca="1" ref="BF22">_xlfn.LET(_xlpm.val,IF($F22="",val_blankRefText,_xldudf_CX_GET(CX_ENTITY,($F22),BF$11,BF$14,,(BF$19))),_xlpm.Res,IF(OR(_xlpm.val="",_xlpm.val="Error"),"",_xlpm.val),_xlpm.Res)</f>
        <v>#NAME?</v>
      </c>
      <c r="BG22" s="1669" t="e" cm="1">
        <f t="array" ca="1" aca="1" ref="BG22">_xlfn.LET(_xlpm.val,IF($F22="",val_blankRefText,_xldudf_CX_GET(CX_ENTITY,($F22),BG$11,BG$14,,(BG$19))),_xlpm.Res,IF(OR(_xlpm.val="",_xlpm.val="Error"),"",_xlpm.val),_xlpm.Res)</f>
        <v>#NAME?</v>
      </c>
      <c r="BH22" s="1669" t="e" cm="1">
        <f t="array" ca="1" aca="1" ref="BH22">_xlfn.LET(_xlpm.val,IF($F22="",val_blankRefText,_xldudf_CX_GET(CX_ENTITY,($F22),BH$11,BH$14,,(BH$19))),_xlpm.Res,IF(OR(_xlpm.val="",_xlpm.val="Error"),"",_xlpm.val),_xlpm.Res)</f>
        <v>#NAME?</v>
      </c>
      <c r="BI22" s="1669" t="e" cm="1">
        <f t="array" ca="1" aca="1" ref="BI22">_xlfn.LET(_xlpm.val,IF($F22="",val_blankRefText,_xldudf_CX_GET(CX_ENTITY,($F22),BI$11,BI$14,,(BI$19))),_xlpm.Res,IF(OR(_xlpm.val="",_xlpm.val="Error"),"",_xlpm.val),_xlpm.Res)</f>
        <v>#NAME?</v>
      </c>
      <c r="BJ22" s="1669" t="e" cm="1">
        <f t="array" ca="1" aca="1" ref="BJ22">_xlfn.LET(_xlpm.val,IF($F22="",val_blankRefText,_xldudf_CX_GET(CX_ENTITY,($F22),BJ$11,BJ$14,,(BJ$19))),_xlpm.Res,IF(OR(_xlpm.val="",_xlpm.val="Error"),"",_xlpm.val),_xlpm.Res)</f>
        <v>#NAME?</v>
      </c>
      <c r="BK22" s="1669" t="e" cm="1">
        <f t="array" ca="1" aca="1" ref="BK22">_xlfn.LET(_xlpm.val,IF($F22="",val_blankRefText,_xldudf_CX_GET(CX_ENTITY,($F22),BK$11,BK$14,,(BK$19))),_xlpm.Res,IF(OR(_xlpm.val="",_xlpm.val="Error"),"",_xlpm.val),_xlpm.Res)</f>
        <v>#NAME?</v>
      </c>
      <c r="BL22" s="1669" t="e" cm="1">
        <f t="array" ca="1" aca="1" ref="BL22">_xlfn.LET(_xlpm.val,IF($F22="",val_blankRefText,_xldudf_CX_GET(CX_ENTITY,($F22),BL$11,BL$14,,(BL$19))),_xlpm.Res,IF(OR(_xlpm.val="",_xlpm.val="Error"),"",_xlpm.val),_xlpm.Res)</f>
        <v>#NAME?</v>
      </c>
      <c r="BM22" s="1669" t="e" cm="1">
        <f t="array" ca="1" aca="1" ref="BM22">_xlfn.LET(_xlpm.val,IF($F22="",val_blankRefText,_xldudf_CX_GET(CX_ENTITY,($F22),BM$11,BM$14,,(BM$19))),_xlpm.Res,IF(OR(_xlpm.val="",_xlpm.val="Error"),"",_xlpm.val),_xlpm.Res)</f>
        <v>#NAME?</v>
      </c>
      <c r="BN22" s="1669" t="e" cm="1">
        <f t="array" ca="1" aca="1" ref="BN22">_xlfn.LET(_xlpm.val,IF($F22="",val_blankRefText,_xldudf_CX_GET(CX_ENTITY,($F22),BN$11,BN$14,,(BN$19))),_xlpm.Res,IF(OR(_xlpm.val="",_xlpm.val="Error"),"",_xlpm.val),_xlpm.Res)</f>
        <v>#NAME?</v>
      </c>
      <c r="BO22" s="2095"/>
      <c r="BP22" s="2095"/>
      <c r="BQ22" s="2095"/>
      <c r="BR22" s="2095"/>
      <c r="BS22" s="2095"/>
      <c r="BT22" s="2095"/>
      <c r="BU22" s="2095"/>
      <c r="BV22" s="2095"/>
      <c r="BW22" s="2095"/>
      <c r="BX22" s="2095"/>
      <c r="BY22" s="2095"/>
      <c r="BZ22" s="2095"/>
      <c r="CA22" s="34"/>
      <c r="CC22" s="33"/>
      <c r="CD22" s="1461" t="e" cm="1">
        <f t="array" ca="1" aca="1" ref="CD22">_xlfn.LET(_xlpm.CheckBlank,SUM(PL!$AD22:PL!$BN22)=0,IF(_xlpm.CheckBlank,"",SUM(_xlfn._xlws.FILTER(PL!$AD22:$BN22,(YEAR(PL!$AD$12:$BN$12)=PL!CD$12)*(array_timeline&lt;=PL!CD$11)))))</f>
        <v>#NAME?</v>
      </c>
      <c r="CE22" s="1461" t="e" cm="1">
        <f t="array" ca="1" aca="1" ref="CE22">_xlfn.LET(_xlpm.CheckBlank,SUM(PL!$AD22:PL!$BN22)=0,IF(_xlpm.CheckBlank,"",SUM(_xlfn._xlws.FILTER(PL!$AD22:$BN22,(YEAR(PL!$AD$12:$BN$12)=PL!CE$12)*(array_timeline&lt;=PL!CE$11)))))</f>
        <v>#NAME?</v>
      </c>
      <c r="CF22" s="1169"/>
      <c r="CG22" s="1461" t="e" cm="1">
        <f t="array" ca="1" aca="1" ref="CG22">_xlfn.LET(_xlpm.CheckBlank,SUM(PL!$AD22:$BN22)=0,IF(_xlpm.CheckBlank,"",SUM(_xlfn._xlws.FILTER(PL!$AD22:$BN22,(YEAR(PL!$AD$12:$BN$12)=PL!CG$12)*(array_timeline&lt;=PL!CG$11)))))</f>
        <v>#NAME?</v>
      </c>
      <c r="CH22" s="1461" t="e" cm="1">
        <f t="array" ca="1" aca="1" ref="CH22">_xlfn.LET(_xlpm.CheckBlank,SUM(PL!$AD22:$BN22)=0,IF(_xlpm.CheckBlank,"",SUM(_xlfn._xlws.FILTER(PL!$AD22:$BN22,(YEAR(PL!$AD$12:$BN$12)=PL!CH$12)*(array_timeline&lt;=PL!CH$11)))))</f>
        <v>#NAME?</v>
      </c>
      <c r="CI22" s="1169"/>
      <c r="CJ22" s="1461" cm="1">
        <f t="array" ref="CJ22">_xlfn.LET(_xlpm.CheckBlank,SUM(PL!$AD22:$BN22)=0,IF(_xlpm.CheckBlank,"",SUM(_xlfn.TAKE(_xlfn.DROP(PL!$AD22:$BN22,,-DATEDIFF(PL!CJ$11,val_asOfDate,"M")),1,-12))))</f>
        <v>24</v>
      </c>
      <c r="CK22" s="1461" cm="1">
        <f t="array" ref="CK22">_xlfn.LET(_xlpm.CheckBlank,SUM(PL!$AD22:$BN22)=0,IF(_xlpm.CheckBlank,"",SUM(_xlfn.TAKE(_xlfn.DROP(PL!$AD22:$BN22,,-DATEDIFF(PL!CK$11,val_asOfDate,"M")),1,-12))))</f>
        <v>24</v>
      </c>
      <c r="CL22" s="1169"/>
      <c r="CM22" s="1168" t="e" cm="1">
        <f t="array" ca="1" aca="1" ref="CM22">_xlfn.LET(_xlpm.val,IF($F22="",val_blankRefText,_xldudf_CX_GET(CX_ENTITY,($F22),CM$11,CM$14,,(CM$19))),_xlpm.Res,IF(OR(_xlpm.val="",_xlpm.val="Error"),"",_xlpm.val),_xlpm.Res)</f>
        <v>#NAME?</v>
      </c>
      <c r="CN22" s="1168" t="e" cm="1">
        <f t="array" ca="1" aca="1" ref="CN22">_xlfn.LET(_xlpm.val,IF($F22="",val_blankRefText,_xldudf_CX_GET(CX_ENTITY,($F22),CN$11,CN$14,,(CN$19))),_xlpm.Res,IF(OR(_xlpm.val="",_xlpm.val="Error"),"",_xlpm.val),_xlpm.Res)</f>
        <v>#NAME?</v>
      </c>
      <c r="CO22" s="1169"/>
      <c r="CP22" s="1168" t="e" cm="1">
        <f t="array" ca="1" aca="1" ref="CP22">_xlfn.LET(_xlpm.val,IF($F22="",val_blankRefText,_xldudf_CX_GET(CX_ENTITY,($F22),CP$11,CP$14,,(CP$19))),_xlpm.Res,IF(OR(_xlpm.val="",_xlpm.val="Error"),"",_xlpm.val),_xlpm.Res)</f>
        <v>#NAME?</v>
      </c>
      <c r="CQ22" s="1168" t="e" cm="1">
        <f t="array" ca="1" aca="1" ref="CQ22">_xlfn.LET(_xlpm.val,IF($F22="",val_blankRefText,_xldudf_CX_GET(CX_ENTITY,($F22),CQ$11,CQ$14,,(CQ$19))),_xlpm.Res,IF(OR(_xlpm.val="",_xlpm.val="Error"),"",_xlpm.val),_xlpm.Res)</f>
        <v>#NAME?</v>
      </c>
      <c r="CR22" s="34"/>
    </row>
    <row r="23" spans="1:96" ht="21" customHeight="1" outlineLevel="1">
      <c r="A23" s="1322"/>
      <c r="B23" s="577" t="s">
        <v>1531</v>
      </c>
      <c r="C23" s="2125" t="s">
        <v>1532</v>
      </c>
      <c r="D23" s="1079"/>
      <c r="E23" s="577" t="e" cm="1">
        <f t="array" ca="1" aca="1" ref="E23">_xlfn.LET(_xlpm.val,IF($C23="",val_blankRefText,_xldudf_CX_GET(CX_ENTITY,($C23),val_asOfDate)),_xlpm.Res,IF(OR(_xlpm.val="",_xlpm.val="Error"),"",_xlpm.val),_xlpm.Res)</f>
        <v>#NAME?</v>
      </c>
      <c r="F23" s="577" t="str">
        <f t="shared" si="1"/>
        <v>Gross Margin %</v>
      </c>
      <c r="G23" s="577" t="s">
        <v>1528</v>
      </c>
      <c r="H23" s="3279">
        <v>2</v>
      </c>
      <c r="I23" s="3279">
        <v>2</v>
      </c>
      <c r="J23" s="578"/>
      <c r="K23" s="578"/>
      <c r="L23" s="579">
        <v>-1</v>
      </c>
      <c r="N23" s="158"/>
      <c r="O23" s="101"/>
      <c r="P23" s="52"/>
      <c r="Q23" s="101"/>
      <c r="R23" s="126"/>
      <c r="S23" s="101"/>
      <c r="T23" s="101"/>
      <c r="U23" s="39"/>
      <c r="W23" s="91" t="str">
        <f t="shared" si="4"/>
        <v>Actual</v>
      </c>
      <c r="X23" s="884"/>
      <c r="Y23" s="1196" t="e" cm="1">
        <f t="array" ca="1" aca="1" ref="Y23">IF($B23="",IFBLANK($E23,"Please select or type in or leave as blank"),IFBLANK($E23,$B23))</f>
        <v>#NAME?</v>
      </c>
      <c r="Z23" s="198" cm="1">
        <f t="array" ref="Z23">_xlfn.SWITCH(TRUE,ISBLANK(_PL!$L23),"",_PL!$L23=TRUE,1,_PL!$L23=FALSE,-1,_PL!$L23=-1,0,"n/a")</f>
        <v>0</v>
      </c>
      <c r="AA23" s="200"/>
      <c r="AB23" s="301" t="s">
        <v>1531</v>
      </c>
      <c r="AC23" s="300" t="str" cm="1">
        <f t="array" ref="AC23">_xlfn.LET(_xlpm.Def,IF(_xlfn.XMATCH(AB23,tbl_acctDef[Term],0)&gt;0,fx_getIcon("find"),""),_xlpm.Adj,IF(_xlfn.XMATCH(AB23,tbl_adjExample[Items],0)&gt;0,fx_getIcon("find"),""),IFERROR(IFBLANK(_xlpm.Def,_xlpm.Adj),""))</f>
        <v/>
      </c>
      <c r="AD23" s="1210" t="e">
        <f ca="1">IF(N(AD20)&lt;&gt;0,N(AD22)/N(AD20),"")</f>
        <v>#NAME?</v>
      </c>
      <c r="AE23" s="1210" t="e">
        <f ca="1" t="shared" si="5" ref="AE23:BN23">IF(N(AE20)&lt;&gt;0,N(AE22)/N(AE20),"")</f>
        <v>#NAME?</v>
      </c>
      <c r="AF23" s="1210" t="e">
        <f t="shared" ca="1" si="5"/>
        <v>#NAME?</v>
      </c>
      <c r="AG23" s="1210" t="e">
        <f t="shared" ca="1" si="5"/>
        <v>#NAME?</v>
      </c>
      <c r="AH23" s="1210" t="e">
        <f t="shared" ca="1" si="5"/>
        <v>#NAME?</v>
      </c>
      <c r="AI23" s="1210" t="e">
        <f t="shared" ca="1" si="5"/>
        <v>#NAME?</v>
      </c>
      <c r="AJ23" s="1210" t="e">
        <f t="shared" ca="1" si="5"/>
        <v>#NAME?</v>
      </c>
      <c r="AK23" s="1210" t="e">
        <f t="shared" ca="1" si="5"/>
        <v>#NAME?</v>
      </c>
      <c r="AL23" s="1210" t="e">
        <f t="shared" ca="1" si="5"/>
        <v>#NAME?</v>
      </c>
      <c r="AM23" s="1210" t="e">
        <f t="shared" ca="1" si="5"/>
        <v>#NAME?</v>
      </c>
      <c r="AN23" s="1210" t="e">
        <f t="shared" ca="1" si="5"/>
        <v>#NAME?</v>
      </c>
      <c r="AO23" s="1210" t="e">
        <f t="shared" ca="1" si="5"/>
        <v>#NAME?</v>
      </c>
      <c r="AP23" s="1210" t="e">
        <f t="shared" ca="1" si="5"/>
        <v>#NAME?</v>
      </c>
      <c r="AQ23" s="1210" t="e">
        <f t="shared" ca="1" si="5"/>
        <v>#NAME?</v>
      </c>
      <c r="AR23" s="1210" t="e">
        <f t="shared" ca="1" si="5"/>
        <v>#NAME?</v>
      </c>
      <c r="AS23" s="1210" t="e">
        <f t="shared" ca="1" si="5"/>
        <v>#NAME?</v>
      </c>
      <c r="AT23" s="1210" t="e">
        <f t="shared" ca="1" si="5"/>
        <v>#NAME?</v>
      </c>
      <c r="AU23" s="1210" t="e">
        <f t="shared" ca="1" si="5"/>
        <v>#NAME?</v>
      </c>
      <c r="AV23" s="1210" t="e">
        <f t="shared" ca="1" si="5"/>
        <v>#NAME?</v>
      </c>
      <c r="AW23" s="1210" t="e">
        <f t="shared" ca="1" si="5"/>
        <v>#NAME?</v>
      </c>
      <c r="AX23" s="1210" t="e">
        <f t="shared" ca="1" si="5"/>
        <v>#NAME?</v>
      </c>
      <c r="AY23" s="1210" t="e">
        <f t="shared" ca="1" si="5"/>
        <v>#NAME?</v>
      </c>
      <c r="AZ23" s="1210" t="e">
        <f t="shared" ca="1" si="5"/>
        <v>#NAME?</v>
      </c>
      <c r="BA23" s="1210" t="e">
        <f t="shared" ca="1" si="5"/>
        <v>#NAME?</v>
      </c>
      <c r="BB23" s="1210" t="e">
        <f t="shared" ca="1" si="5"/>
        <v>#NAME?</v>
      </c>
      <c r="BC23" s="1210" t="e">
        <f t="shared" ca="1" si="5"/>
        <v>#NAME?</v>
      </c>
      <c r="BD23" s="1210" t="e">
        <f t="shared" ca="1" si="5"/>
        <v>#NAME?</v>
      </c>
      <c r="BE23" s="1210" t="e">
        <f t="shared" ca="1" si="5"/>
        <v>#NAME?</v>
      </c>
      <c r="BF23" s="1210" t="e">
        <f t="shared" ca="1" si="5"/>
        <v>#NAME?</v>
      </c>
      <c r="BG23" s="1210" t="e">
        <f t="shared" ca="1" si="5"/>
        <v>#NAME?</v>
      </c>
      <c r="BH23" s="1210" t="e">
        <f t="shared" ca="1" si="5"/>
        <v>#NAME?</v>
      </c>
      <c r="BI23" s="1210" t="e">
        <f t="shared" ca="1" si="5"/>
        <v>#NAME?</v>
      </c>
      <c r="BJ23" s="1210" t="e">
        <f t="shared" ca="1" si="5"/>
        <v>#NAME?</v>
      </c>
      <c r="BK23" s="1210" t="e">
        <f t="shared" ca="1" si="5"/>
        <v>#NAME?</v>
      </c>
      <c r="BL23" s="1210" t="e">
        <f t="shared" ca="1" si="5"/>
        <v>#NAME?</v>
      </c>
      <c r="BM23" s="1210" t="e">
        <f t="shared" ca="1" si="5"/>
        <v>#NAME?</v>
      </c>
      <c r="BN23" s="1210" t="e">
        <f t="shared" ca="1" si="5"/>
        <v>#NAME?</v>
      </c>
      <c r="BO23" s="2096"/>
      <c r="BP23" s="2096"/>
      <c r="BQ23" s="2096"/>
      <c r="BR23" s="2096"/>
      <c r="BS23" s="2096"/>
      <c r="BT23" s="2096"/>
      <c r="BU23" s="2096"/>
      <c r="BV23" s="2096"/>
      <c r="BW23" s="2096"/>
      <c r="BX23" s="2096"/>
      <c r="BY23" s="2096"/>
      <c r="BZ23" s="2096"/>
      <c r="CA23" s="34"/>
      <c r="CC23" s="33"/>
      <c r="CD23" s="1820" t="e">
        <f ca="1">IF(N(CD20)&lt;&gt;0,N(CD22)/N(CD20),"n/a")</f>
        <v>#NAME?</v>
      </c>
      <c r="CE23" s="1210" t="e">
        <f ca="1">IF(N(CE20)&lt;&gt;0,N(CE22)/N(CE20),"n/a")</f>
        <v>#NAME?</v>
      </c>
      <c r="CF23" s="1169"/>
      <c r="CG23" s="1820" t="e">
        <f ca="1">IF(N(CG20)&lt;&gt;0,N(CG22)/N(CG20),"n/a")</f>
        <v>#NAME?</v>
      </c>
      <c r="CH23" s="1210" t="e">
        <f ca="1">IF(N(CH20)&lt;&gt;0,N(CH22)/N(CH20),"n/a")</f>
        <v>#NAME?</v>
      </c>
      <c r="CI23" s="1169"/>
      <c r="CJ23" s="3272">
        <f>IF(N(CJ20)&lt;&gt;0,N(CJ22)/N(CJ20),"n/a")</f>
        <v>2</v>
      </c>
      <c r="CK23" s="3179">
        <f>IF(N(CK20)&lt;&gt;0,N(CK22)/N(CK20),"n/a")</f>
        <v>2</v>
      </c>
      <c r="CL23" s="1169"/>
      <c r="CM23" s="1168" t="e">
        <f ca="1" t="shared" si="6" ref="CM23:CQ23">IF(N(CM20)&lt;&gt;0,N(CM22)/N(CM20),"n/a")</f>
        <v>#NAME?</v>
      </c>
      <c r="CN23" s="1168" t="e">
        <f t="shared" ca="1" si="6"/>
        <v>#NAME?</v>
      </c>
      <c r="CO23" s="1169" t="str">
        <f t="shared" si="6"/>
        <v>n/a</v>
      </c>
      <c r="CP23" s="1168" t="e">
        <f t="shared" ca="1" si="6"/>
        <v>#NAME?</v>
      </c>
      <c r="CQ23" s="1168" t="e">
        <f t="shared" ca="1" si="6"/>
        <v>#NAME?</v>
      </c>
      <c r="CR23" s="34"/>
    </row>
    <row r="24" spans="1:96" ht="21" customHeight="1" outlineLevel="1">
      <c r="A24" s="1322"/>
      <c r="B24" s="577" t="s">
        <v>1533</v>
      </c>
      <c r="C24" s="2125" t="s">
        <v>1534</v>
      </c>
      <c r="D24" s="1079"/>
      <c r="E24" s="577" t="e" cm="1">
        <f t="array" ca="1" aca="1" ref="E24">_xlfn.LET(_xlpm.val,IF($C24="",val_blankRefText,_xldudf_CX_GET(CX_ENTITY,($C24),val_asOfDate)),_xlpm.Res,IF(OR(_xlpm.val="",_xlpm.val="Error"),"",_xlpm.val),_xlpm.Res)</f>
        <v>#NAME?</v>
      </c>
      <c r="F24" s="577" t="str">
        <f t="shared" si="1"/>
        <v>Operating Costs</v>
      </c>
      <c r="G24" s="577" t="s">
        <v>1528</v>
      </c>
      <c r="H24" s="1323">
        <v>0</v>
      </c>
      <c r="I24" s="3279">
        <v>1</v>
      </c>
      <c r="J24" s="578"/>
      <c r="K24" s="578"/>
      <c r="L24" s="3269" t="b">
        <v>1</v>
      </c>
      <c r="N24" s="158"/>
      <c r="O24" s="101"/>
      <c r="P24" s="52"/>
      <c r="Q24" s="101"/>
      <c r="R24" s="126"/>
      <c r="S24" s="101"/>
      <c r="T24" s="101"/>
      <c r="U24" s="39"/>
      <c r="W24" s="91" t="str">
        <f t="shared" si="4"/>
        <v>Actual</v>
      </c>
      <c r="X24" s="884">
        <v>-1</v>
      </c>
      <c r="Y24" s="911" t="e" cm="1">
        <f t="array" ca="1" aca="1" ref="Y24">IF($B24="",IFBLANK($E24,"Please select or type in or leave as blank"),IFBLANK($E24,$B24))</f>
        <v>#NAME?</v>
      </c>
      <c r="Z24" s="3291" cm="1">
        <f t="array" ref="Z24">_xlfn.SWITCH(TRUE,ISBLANK(_PL!$L24),"",_PL!$L24=TRUE,1,_PL!$L24=FALSE,-1,_PL!$L24=-1,0,"n/a")</f>
        <v>1</v>
      </c>
      <c r="AA24" s="200"/>
      <c r="AB24" s="301" t="s">
        <v>1533</v>
      </c>
      <c r="AC24" s="300" t="str" cm="1">
        <f t="array" ref="AC24">_xlfn.LET(_xlpm.Def,IF(_xlfn.XMATCH(AB24,tbl_acctDef[Term],0)&gt;0,fx_getIcon("find"),""),_xlpm.Adj,IF(_xlfn.XMATCH(AB24,tbl_adjExample[Items],0)&gt;0,fx_getIcon("find"),""),IFERROR(IFBLANK(_xlpm.Def,_xlpm.Adj),""))</f>
        <v/>
      </c>
      <c r="AD24" s="1669" t="e" cm="1">
        <f t="array" ca="1" aca="1" ref="AD24">_xlfn.LET(_xlpm.val,IF($F24="",val_blankRefText,_xldudf_CX_GET(CX_ENTITY,($F24),AD$11,AD$14,,(AD$19))),_xlpm.Res,IF(OR(_xlpm.val="",_xlpm.val="Error"),"",_xlpm.val),_xlpm.Res)</f>
        <v>#NAME?</v>
      </c>
      <c r="AE24" s="1669" t="e" cm="1">
        <f t="array" ca="1" aca="1" ref="AE24">_xlfn.LET(_xlpm.val,IF($F24="",val_blankRefText,_xldudf_CX_GET(CX_ENTITY,($F24),AE$11,AE$14,,(AE$19))),_xlpm.Res,IF(OR(_xlpm.val="",_xlpm.val="Error"),"",_xlpm.val),_xlpm.Res)</f>
        <v>#NAME?</v>
      </c>
      <c r="AF24" s="1669" t="e" cm="1">
        <f t="array" ca="1" aca="1" ref="AF24">_xlfn.LET(_xlpm.val,IF($F24="",val_blankRefText,_xldudf_CX_GET(CX_ENTITY,($F24),AF$11,AF$14,,(AF$19))),_xlpm.Res,IF(OR(_xlpm.val="",_xlpm.val="Error"),"",_xlpm.val),_xlpm.Res)</f>
        <v>#NAME?</v>
      </c>
      <c r="AG24" s="1669" t="e" cm="1">
        <f t="array" ca="1" aca="1" ref="AG24">_xlfn.LET(_xlpm.val,IF($F24="",val_blankRefText,_xldudf_CX_GET(CX_ENTITY,($F24),AG$11,AG$14,,(AG$19))),_xlpm.Res,IF(OR(_xlpm.val="",_xlpm.val="Error"),"",_xlpm.val),_xlpm.Res)</f>
        <v>#NAME?</v>
      </c>
      <c r="AH24" s="1669" t="e" cm="1">
        <f t="array" ca="1" aca="1" ref="AH24">_xlfn.LET(_xlpm.val,IF($F24="",val_blankRefText,_xldudf_CX_GET(CX_ENTITY,($F24),AH$11,AH$14,,(AH$19))),_xlpm.Res,IF(OR(_xlpm.val="",_xlpm.val="Error"),"",_xlpm.val),_xlpm.Res)</f>
        <v>#NAME?</v>
      </c>
      <c r="AI24" s="1669" t="e" cm="1">
        <f t="array" ca="1" aca="1" ref="AI24">_xlfn.LET(_xlpm.val,IF($F24="",val_blankRefText,_xldudf_CX_GET(CX_ENTITY,($F24),AI$11,AI$14,,(AI$19))),_xlpm.Res,IF(OR(_xlpm.val="",_xlpm.val="Error"),"",_xlpm.val),_xlpm.Res)</f>
        <v>#NAME?</v>
      </c>
      <c r="AJ24" s="1669" t="e" cm="1">
        <f t="array" ca="1" aca="1" ref="AJ24">_xlfn.LET(_xlpm.val,IF($F24="",val_blankRefText,_xldudf_CX_GET(CX_ENTITY,($F24),AJ$11,AJ$14,,(AJ$19))),_xlpm.Res,IF(OR(_xlpm.val="",_xlpm.val="Error"),"",_xlpm.val),_xlpm.Res)</f>
        <v>#NAME?</v>
      </c>
      <c r="AK24" s="1669" t="e" cm="1">
        <f t="array" ca="1" aca="1" ref="AK24">_xlfn.LET(_xlpm.val,IF($F24="",val_blankRefText,_xldudf_CX_GET(CX_ENTITY,($F24),AK$11,AK$14,,(AK$19))),_xlpm.Res,IF(OR(_xlpm.val="",_xlpm.val="Error"),"",_xlpm.val),_xlpm.Res)</f>
        <v>#NAME?</v>
      </c>
      <c r="AL24" s="1669" t="e" cm="1">
        <f t="array" ca="1" aca="1" ref="AL24">_xlfn.LET(_xlpm.val,IF($F24="",val_blankRefText,_xldudf_CX_GET(CX_ENTITY,($F24),AL$11,AL$14,,(AL$19))),_xlpm.Res,IF(OR(_xlpm.val="",_xlpm.val="Error"),"",_xlpm.val),_xlpm.Res)</f>
        <v>#NAME?</v>
      </c>
      <c r="AM24" s="1669" t="e" cm="1">
        <f t="array" ca="1" aca="1" ref="AM24">_xlfn.LET(_xlpm.val,IF($F24="",val_blankRefText,_xldudf_CX_GET(CX_ENTITY,($F24),AM$11,AM$14,,(AM$19))),_xlpm.Res,IF(OR(_xlpm.val="",_xlpm.val="Error"),"",_xlpm.val),_xlpm.Res)</f>
        <v>#NAME?</v>
      </c>
      <c r="AN24" s="1669" t="e" cm="1">
        <f t="array" ca="1" aca="1" ref="AN24">_xlfn.LET(_xlpm.val,IF($F24="",val_blankRefText,_xldudf_CX_GET(CX_ENTITY,($F24),AN$11,AN$14,,(AN$19))),_xlpm.Res,IF(OR(_xlpm.val="",_xlpm.val="Error"),"",_xlpm.val),_xlpm.Res)</f>
        <v>#NAME?</v>
      </c>
      <c r="AO24" s="1669" t="e" cm="1">
        <f t="array" ca="1" aca="1" ref="AO24">_xlfn.LET(_xlpm.val,IF($F24="",val_blankRefText,_xldudf_CX_GET(CX_ENTITY,($F24),AO$11,AO$14,,(AO$19))),_xlpm.Res,IF(OR(_xlpm.val="",_xlpm.val="Error"),"",_xlpm.val),_xlpm.Res)</f>
        <v>#NAME?</v>
      </c>
      <c r="AP24" s="1669" t="e" cm="1">
        <f t="array" ca="1" aca="1" ref="AP24">_xlfn.LET(_xlpm.val,IF($F24="",val_blankRefText,_xldudf_CX_GET(CX_ENTITY,($F24),AP$11,AP$14,,(AP$19))),_xlpm.Res,IF(OR(_xlpm.val="",_xlpm.val="Error"),"",_xlpm.val),_xlpm.Res)</f>
        <v>#NAME?</v>
      </c>
      <c r="AQ24" s="1669" t="e" cm="1">
        <f t="array" ca="1" aca="1" ref="AQ24">_xlfn.LET(_xlpm.val,IF($F24="",val_blankRefText,_xldudf_CX_GET(CX_ENTITY,($F24),AQ$11,AQ$14,,(AQ$19))),_xlpm.Res,IF(OR(_xlpm.val="",_xlpm.val="Error"),"",_xlpm.val),_xlpm.Res)</f>
        <v>#NAME?</v>
      </c>
      <c r="AR24" s="1669" t="e" cm="1">
        <f t="array" ca="1" aca="1" ref="AR24">_xlfn.LET(_xlpm.val,IF($F24="",val_blankRefText,_xldudf_CX_GET(CX_ENTITY,($F24),AR$11,AR$14,,(AR$19))),_xlpm.Res,IF(OR(_xlpm.val="",_xlpm.val="Error"),"",_xlpm.val),_xlpm.Res)</f>
        <v>#NAME?</v>
      </c>
      <c r="AS24" s="1669" t="e" cm="1">
        <f t="array" ca="1" aca="1" ref="AS24">_xlfn.LET(_xlpm.val,IF($F24="",val_blankRefText,_xldudf_CX_GET(CX_ENTITY,($F24),AS$11,AS$14,,(AS$19))),_xlpm.Res,IF(OR(_xlpm.val="",_xlpm.val="Error"),"",_xlpm.val),_xlpm.Res)</f>
        <v>#NAME?</v>
      </c>
      <c r="AT24" s="1669" t="e" cm="1">
        <f t="array" ca="1" aca="1" ref="AT24">_xlfn.LET(_xlpm.val,IF($F24="",val_blankRefText,_xldudf_CX_GET(CX_ENTITY,($F24),AT$11,AT$14,,(AT$19))),_xlpm.Res,IF(OR(_xlpm.val="",_xlpm.val="Error"),"",_xlpm.val),_xlpm.Res)</f>
        <v>#NAME?</v>
      </c>
      <c r="AU24" s="1669" t="e" cm="1">
        <f t="array" ca="1" aca="1" ref="AU24">_xlfn.LET(_xlpm.val,IF($F24="",val_blankRefText,_xldudf_CX_GET(CX_ENTITY,($F24),AU$11,AU$14,,(AU$19))),_xlpm.Res,IF(OR(_xlpm.val="",_xlpm.val="Error"),"",_xlpm.val),_xlpm.Res)</f>
        <v>#NAME?</v>
      </c>
      <c r="AV24" s="1669" t="e" cm="1">
        <f t="array" ca="1" aca="1" ref="AV24">_xlfn.LET(_xlpm.val,IF($F24="",val_blankRefText,_xldudf_CX_GET(CX_ENTITY,($F24),AV$11,AV$14,,(AV$19))),_xlpm.Res,IF(OR(_xlpm.val="",_xlpm.val="Error"),"",_xlpm.val),_xlpm.Res)</f>
        <v>#NAME?</v>
      </c>
      <c r="AW24" s="1669" t="e" cm="1">
        <f t="array" ca="1" aca="1" ref="AW24">_xlfn.LET(_xlpm.val,IF($F24="",val_blankRefText,_xldudf_CX_GET(CX_ENTITY,($F24),AW$11,AW$14,,(AW$19))),_xlpm.Res,IF(OR(_xlpm.val="",_xlpm.val="Error"),"",_xlpm.val),_xlpm.Res)</f>
        <v>#NAME?</v>
      </c>
      <c r="AX24" s="1669" t="e" cm="1">
        <f t="array" ca="1" aca="1" ref="AX24">_xlfn.LET(_xlpm.val,IF($F24="",val_blankRefText,_xldudf_CX_GET(CX_ENTITY,($F24),AX$11,AX$14,,(AX$19))),_xlpm.Res,IF(OR(_xlpm.val="",_xlpm.val="Error"),"",_xlpm.val),_xlpm.Res)</f>
        <v>#NAME?</v>
      </c>
      <c r="AY24" s="1669" t="e" cm="1">
        <f t="array" ca="1" aca="1" ref="AY24">_xlfn.LET(_xlpm.val,IF($F24="",val_blankRefText,_xldudf_CX_GET(CX_ENTITY,($F24),AY$11,AY$14,,(AY$19))),_xlpm.Res,IF(OR(_xlpm.val="",_xlpm.val="Error"),"",_xlpm.val),_xlpm.Res)</f>
        <v>#NAME?</v>
      </c>
      <c r="AZ24" s="1669" t="e" cm="1">
        <f t="array" ca="1" aca="1" ref="AZ24">_xlfn.LET(_xlpm.val,IF($F24="",val_blankRefText,_xldudf_CX_GET(CX_ENTITY,($F24),AZ$11,AZ$14,,(AZ$19))),_xlpm.Res,IF(OR(_xlpm.val="",_xlpm.val="Error"),"",_xlpm.val),_xlpm.Res)</f>
        <v>#NAME?</v>
      </c>
      <c r="BA24" s="1669" t="e" cm="1">
        <f t="array" ca="1" aca="1" ref="BA24">_xlfn.LET(_xlpm.val,IF($F24="",val_blankRefText,_xldudf_CX_GET(CX_ENTITY,($F24),BA$11,BA$14,,(BA$19))),_xlpm.Res,IF(OR(_xlpm.val="",_xlpm.val="Error"),"",_xlpm.val),_xlpm.Res)</f>
        <v>#NAME?</v>
      </c>
      <c r="BB24" s="1669" t="e" cm="1">
        <f t="array" ca="1" aca="1" ref="BB24">_xlfn.LET(_xlpm.val,IF($F24="",val_blankRefText,_xldudf_CX_GET(CX_ENTITY,($F24),BB$11,BB$14,,(BB$19))),_xlpm.Res,IF(OR(_xlpm.val="",_xlpm.val="Error"),"",_xlpm.val),_xlpm.Res)</f>
        <v>#NAME?</v>
      </c>
      <c r="BC24" s="1669" t="e" cm="1">
        <f t="array" ca="1" aca="1" ref="BC24">_xlfn.LET(_xlpm.val,IF($F24="",val_blankRefText,_xldudf_CX_GET(CX_ENTITY,($F24),BC$11,BC$14,,(BC$19))),_xlpm.Res,IF(OR(_xlpm.val="",_xlpm.val="Error"),"",_xlpm.val),_xlpm.Res)</f>
        <v>#NAME?</v>
      </c>
      <c r="BD24" s="1669" t="e" cm="1">
        <f t="array" ca="1" aca="1" ref="BD24">_xlfn.LET(_xlpm.val,IF($F24="",val_blankRefText,_xldudf_CX_GET(CX_ENTITY,($F24),BD$11,BD$14,,(BD$19))),_xlpm.Res,IF(OR(_xlpm.val="",_xlpm.val="Error"),"",_xlpm.val),_xlpm.Res)</f>
        <v>#NAME?</v>
      </c>
      <c r="BE24" s="1669" t="e" cm="1">
        <f t="array" ca="1" aca="1" ref="BE24">_xlfn.LET(_xlpm.val,IF($F24="",val_blankRefText,_xldudf_CX_GET(CX_ENTITY,($F24),BE$11,BE$14,,(BE$19))),_xlpm.Res,IF(OR(_xlpm.val="",_xlpm.val="Error"),"",_xlpm.val),_xlpm.Res)</f>
        <v>#NAME?</v>
      </c>
      <c r="BF24" s="1669" t="e" cm="1">
        <f t="array" ca="1" aca="1" ref="BF24">_xlfn.LET(_xlpm.val,IF($F24="",val_blankRefText,_xldudf_CX_GET(CX_ENTITY,($F24),BF$11,BF$14,,(BF$19))),_xlpm.Res,IF(OR(_xlpm.val="",_xlpm.val="Error"),"",_xlpm.val),_xlpm.Res)</f>
        <v>#NAME?</v>
      </c>
      <c r="BG24" s="1669" t="e" cm="1">
        <f t="array" ca="1" aca="1" ref="BG24">_xlfn.LET(_xlpm.val,IF($F24="",val_blankRefText,_xldudf_CX_GET(CX_ENTITY,($F24),BG$11,BG$14,,(BG$19))),_xlpm.Res,IF(OR(_xlpm.val="",_xlpm.val="Error"),"",_xlpm.val),_xlpm.Res)</f>
        <v>#NAME?</v>
      </c>
      <c r="BH24" s="1669" t="e" cm="1">
        <f t="array" ca="1" aca="1" ref="BH24">_xlfn.LET(_xlpm.val,IF($F24="",val_blankRefText,_xldudf_CX_GET(CX_ENTITY,($F24),BH$11,BH$14,,(BH$19))),_xlpm.Res,IF(OR(_xlpm.val="",_xlpm.val="Error"),"",_xlpm.val),_xlpm.Res)</f>
        <v>#NAME?</v>
      </c>
      <c r="BI24" s="1669" t="e" cm="1">
        <f t="array" ca="1" aca="1" ref="BI24">_xlfn.LET(_xlpm.val,IF($F24="",val_blankRefText,_xldudf_CX_GET(CX_ENTITY,($F24),BI$11,BI$14,,(BI$19))),_xlpm.Res,IF(OR(_xlpm.val="",_xlpm.val="Error"),"",_xlpm.val),_xlpm.Res)</f>
        <v>#NAME?</v>
      </c>
      <c r="BJ24" s="1669" t="e" cm="1">
        <f t="array" ca="1" aca="1" ref="BJ24">_xlfn.LET(_xlpm.val,IF($F24="",val_blankRefText,_xldudf_CX_GET(CX_ENTITY,($F24),BJ$11,BJ$14,,(BJ$19))),_xlpm.Res,IF(OR(_xlpm.val="",_xlpm.val="Error"),"",_xlpm.val),_xlpm.Res)</f>
        <v>#NAME?</v>
      </c>
      <c r="BK24" s="1669" t="e" cm="1">
        <f t="array" ca="1" aca="1" ref="BK24">_xlfn.LET(_xlpm.val,IF($F24="",val_blankRefText,_xldudf_CX_GET(CX_ENTITY,($F24),BK$11,BK$14,,(BK$19))),_xlpm.Res,IF(OR(_xlpm.val="",_xlpm.val="Error"),"",_xlpm.val),_xlpm.Res)</f>
        <v>#NAME?</v>
      </c>
      <c r="BL24" s="1669" t="e" cm="1">
        <f t="array" ca="1" aca="1" ref="BL24">_xlfn.LET(_xlpm.val,IF($F24="",val_blankRefText,_xldudf_CX_GET(CX_ENTITY,($F24),BL$11,BL$14,,(BL$19))),_xlpm.Res,IF(OR(_xlpm.val="",_xlpm.val="Error"),"",_xlpm.val),_xlpm.Res)</f>
        <v>#NAME?</v>
      </c>
      <c r="BM24" s="1669" t="e" cm="1">
        <f t="array" ca="1" aca="1" ref="BM24">_xlfn.LET(_xlpm.val,IF($F24="",val_blankRefText,_xldudf_CX_GET(CX_ENTITY,($F24),BM$11,BM$14,,(BM$19))),_xlpm.Res,IF(OR(_xlpm.val="",_xlpm.val="Error"),"",_xlpm.val),_xlpm.Res)</f>
        <v>#NAME?</v>
      </c>
      <c r="BN24" s="1669" t="e" cm="1">
        <f t="array" ca="1" aca="1" ref="BN24">_xlfn.LET(_xlpm.val,IF($F24="",val_blankRefText,_xldudf_CX_GET(CX_ENTITY,($F24),BN$11,BN$14,,(BN$19))),_xlpm.Res,IF(OR(_xlpm.val="",_xlpm.val="Error"),"",_xlpm.val),_xlpm.Res)</f>
        <v>#NAME?</v>
      </c>
      <c r="BO24" s="2095"/>
      <c r="BP24" s="2095"/>
      <c r="BQ24" s="2095"/>
      <c r="BR24" s="2095"/>
      <c r="BS24" s="2095"/>
      <c r="BT24" s="2095"/>
      <c r="BU24" s="2095"/>
      <c r="BV24" s="2095"/>
      <c r="BW24" s="2095"/>
      <c r="BX24" s="2095"/>
      <c r="BY24" s="2095"/>
      <c r="BZ24" s="2095"/>
      <c r="CA24" s="34"/>
      <c r="CC24" s="33"/>
      <c r="CD24" s="1461" t="e" cm="1">
        <f t="array" ca="1" aca="1" ref="CD24">_xlfn.LET(_xlpm.CheckBlank,SUM(PL!$AD24:PL!$BN24)=0,IF(_xlpm.CheckBlank,"",SUM(_xlfn._xlws.FILTER(PL!$AD24:$BN24,(YEAR(PL!$AD$12:$BN$12)=PL!CD$12)*(array_timeline&lt;=PL!CD$11)))))</f>
        <v>#NAME?</v>
      </c>
      <c r="CE24" s="1461" t="e" cm="1">
        <f t="array" ca="1" aca="1" ref="CE24">_xlfn.LET(_xlpm.CheckBlank,SUM(PL!$AD24:PL!$BN24)=0,IF(_xlpm.CheckBlank,"",SUM(_xlfn._xlws.FILTER(PL!$AD24:$BN24,(YEAR(PL!$AD$12:$BN$12)=PL!CE$12)*(array_timeline&lt;=PL!CE$11)))))</f>
        <v>#NAME?</v>
      </c>
      <c r="CF24" s="88"/>
      <c r="CG24" s="1461" t="e" cm="1">
        <f t="array" ca="1" aca="1" ref="CG24">_xlfn.LET(_xlpm.CheckBlank,SUM(PL!$AD24:$BN24)=0,IF(_xlpm.CheckBlank,"",SUM(_xlfn._xlws.FILTER(PL!$AD24:$BN24,(YEAR(PL!$AD$12:$BN$12)=PL!CG$12)*(array_timeline&lt;=PL!CG$11)))))</f>
        <v>#NAME?</v>
      </c>
      <c r="CH24" s="1461" t="e" cm="1">
        <f t="array" ca="1" aca="1" ref="CH24">_xlfn.LET(_xlpm.CheckBlank,SUM(PL!$AD24:$BN24)=0,IF(_xlpm.CheckBlank,"",SUM(_xlfn._xlws.FILTER(PL!$AD24:$BN24,(YEAR(PL!$AD$12:$BN$12)=PL!CH$12)*(array_timeline&lt;=PL!CH$11)))))</f>
        <v>#NAME?</v>
      </c>
      <c r="CI24" s="88"/>
      <c r="CJ24" s="1461" cm="1">
        <f t="array" ref="CJ24">_xlfn.LET(_xlpm.CheckBlank,SUM(PL!$AD24:$BN24)=0,IF(_xlpm.CheckBlank,"",SUM(_xlfn.TAKE(_xlfn.DROP(PL!$AD24:$BN24,,-DATEDIFF(PL!CJ$11,val_asOfDate,"M")),1,-12))))</f>
        <v>12</v>
      </c>
      <c r="CK24" s="1461" cm="1">
        <f t="array" ref="CK24">_xlfn.LET(_xlpm.CheckBlank,SUM(PL!$AD24:$BN24)=0,IF(_xlpm.CheckBlank,"",SUM(_xlfn.TAKE(_xlfn.DROP(PL!$AD24:$BN24,,-DATEDIFF(PL!CK$11,val_asOfDate,"M")),1,-12))))</f>
        <v>12</v>
      </c>
      <c r="CL24" s="88"/>
      <c r="CM24" s="1168" t="e" cm="1">
        <f t="array" ca="1" aca="1" ref="CM24">_xlfn.LET(_xlpm.val,IF($F24="",val_blankRefText,_xldudf_CX_GET(CX_ENTITY,($F24),CM$11,CM$14,,(CM$19))),_xlpm.Res,IF(OR(_xlpm.val="",_xlpm.val="Error"),"",_xlpm.val),_xlpm.Res)</f>
        <v>#NAME?</v>
      </c>
      <c r="CN24" s="1168" t="e" cm="1">
        <f t="array" ca="1" aca="1" ref="CN24">_xlfn.LET(_xlpm.val,IF($F24="",val_blankRefText,_xldudf_CX_GET(CX_ENTITY,($F24),CN$11,CN$14,,(CN$19))),_xlpm.Res,IF(OR(_xlpm.val="",_xlpm.val="Error"),"",_xlpm.val),_xlpm.Res)</f>
        <v>#NAME?</v>
      </c>
      <c r="CO24" s="1169"/>
      <c r="CP24" s="1168" t="e" cm="1">
        <f t="array" ca="1" aca="1" ref="CP24">_xlfn.LET(_xlpm.val,IF($F24="",val_blankRefText,_xldudf_CX_GET(CX_ENTITY,($F24),CP$11,CP$14,,(CP$19))),_xlpm.Res,IF(OR(_xlpm.val="",_xlpm.val="Error"),"",_xlpm.val),_xlpm.Res)</f>
        <v>#NAME?</v>
      </c>
      <c r="CQ24" s="1168" t="e" cm="1">
        <f t="array" ca="1" aca="1" ref="CQ24">_xlfn.LET(_xlpm.val,IF($F24="",val_blankRefText,_xldudf_CX_GET(CX_ENTITY,($F24),CQ$11,CQ$14,,(CQ$19))),_xlpm.Res,IF(OR(_xlpm.val="",_xlpm.val="Error"),"",_xlpm.val),_xlpm.Res)</f>
        <v>#NAME?</v>
      </c>
      <c r="CR24" s="34"/>
    </row>
    <row r="25" spans="1:96" ht="21" customHeight="1" outlineLevel="1">
      <c r="A25" s="1322"/>
      <c r="B25" s="577" t="s">
        <v>208</v>
      </c>
      <c r="C25" s="2125" t="s">
        <v>1535</v>
      </c>
      <c r="D25" s="1324"/>
      <c r="E25" s="577" t="e" cm="1">
        <f t="array" ca="1" aca="1" ref="E25">_xlfn.LET(_xlpm.val,IF($C25="",val_blankRefText,_xldudf_CX_GET(CX_ENTITY,($C25),val_asOfDate)),_xlpm.Res,IF(OR(_xlpm.val="",_xlpm.val="Error"),"",_xlpm.val),_xlpm.Res)</f>
        <v>#NAME?</v>
      </c>
      <c r="F25" s="577" t="str">
        <f t="shared" si="1"/>
        <v>Reported EBITDA</v>
      </c>
      <c r="G25" s="577" t="s">
        <v>1528</v>
      </c>
      <c r="H25" s="3279">
        <v>2</v>
      </c>
      <c r="I25" s="3279">
        <v>1</v>
      </c>
      <c r="J25" s="578"/>
      <c r="K25" s="578"/>
      <c r="L25" s="579">
        <v>-1</v>
      </c>
      <c r="N25" s="158"/>
      <c r="O25" s="101"/>
      <c r="P25" s="52"/>
      <c r="Q25" s="101"/>
      <c r="R25" s="126"/>
      <c r="S25" s="101"/>
      <c r="T25" s="101"/>
      <c r="U25" s="39"/>
      <c r="W25" s="91" t="str">
        <f t="shared" si="4"/>
        <v>Actual</v>
      </c>
      <c r="X25" s="884">
        <v>0</v>
      </c>
      <c r="Y25" s="1196" t="e" cm="1">
        <f t="array" ca="1" aca="1" ref="Y25">IF($B25="",IFBLANK($E25,"Please select or type in or leave as blank"),IFBLANK($E25,$B25))</f>
        <v>#NAME?</v>
      </c>
      <c r="Z25" s="198" cm="1">
        <f t="array" ref="Z25">_xlfn.SWITCH(TRUE,ISBLANK(_PL!$L25),"",_PL!$L25=TRUE,1,_PL!$L25=FALSE,-1,_PL!$L25=-1,0,"n/a")</f>
        <v>0</v>
      </c>
      <c r="AA25" s="200"/>
      <c r="AB25" s="301" t="s">
        <v>208</v>
      </c>
      <c r="AC25" s="300" t="e" vm="5" cm="1">
        <f t="array" ref="AC25">_xlfn.LET(_xlpm.Def,IF(_xlfn.XMATCH(AB25,tbl_acctDef[Term],0)&gt;0,fx_getIcon("find"),""),_xlpm.Adj,IF(_xlfn.XMATCH(AB25,tbl_adjExample[Items],0)&gt;0,fx_getIcon("find"),""),IFERROR(IFBLANK(_xlpm.Def,_xlpm.Adj),""))</f>
        <v>#VALUE!</v>
      </c>
      <c r="AD25" s="1669" t="e" cm="1">
        <f t="array" ca="1" aca="1" ref="AD25">_xlfn.LET(_xlpm.val,IF($F25="",val_blankRefText,_xldudf_CX_GET(CX_ENTITY,($F25),AD$11,AD$14,,(AD$19))),_xlpm.Res,IF(OR(_xlpm.val="",_xlpm.val="Error"),"",_xlpm.val),_xlpm.Res)</f>
        <v>#NAME?</v>
      </c>
      <c r="AE25" s="1669" t="e" cm="1">
        <f t="array" ca="1" aca="1" ref="AE25">_xlfn.LET(_xlpm.val,IF($F25="",val_blankRefText,_xldudf_CX_GET(CX_ENTITY,($F25),AE$11,AE$14,,(AE$19))),_xlpm.Res,IF(OR(_xlpm.val="",_xlpm.val="Error"),"",_xlpm.val),_xlpm.Res)</f>
        <v>#NAME?</v>
      </c>
      <c r="AF25" s="1669" t="e" cm="1">
        <f t="array" ca="1" aca="1" ref="AF25">_xlfn.LET(_xlpm.val,IF($F25="",val_blankRefText,_xldudf_CX_GET(CX_ENTITY,($F25),AF$11,AF$14,,(AF$19))),_xlpm.Res,IF(OR(_xlpm.val="",_xlpm.val="Error"),"",_xlpm.val),_xlpm.Res)</f>
        <v>#NAME?</v>
      </c>
      <c r="AG25" s="1669" t="e" cm="1">
        <f t="array" ca="1" aca="1" ref="AG25">_xlfn.LET(_xlpm.val,IF($F25="",val_blankRefText,_xldudf_CX_GET(CX_ENTITY,($F25),AG$11,AG$14,,(AG$19))),_xlpm.Res,IF(OR(_xlpm.val="",_xlpm.val="Error"),"",_xlpm.val),_xlpm.Res)</f>
        <v>#NAME?</v>
      </c>
      <c r="AH25" s="1669" t="e" cm="1">
        <f t="array" ca="1" aca="1" ref="AH25">_xlfn.LET(_xlpm.val,IF($F25="",val_blankRefText,_xldudf_CX_GET(CX_ENTITY,($F25),AH$11,AH$14,,(AH$19))),_xlpm.Res,IF(OR(_xlpm.val="",_xlpm.val="Error"),"",_xlpm.val),_xlpm.Res)</f>
        <v>#NAME?</v>
      </c>
      <c r="AI25" s="1669" t="e" cm="1">
        <f t="array" ca="1" aca="1" ref="AI25">_xlfn.LET(_xlpm.val,IF($F25="",val_blankRefText,_xldudf_CX_GET(CX_ENTITY,($F25),AI$11,AI$14,,(AI$19))),_xlpm.Res,IF(OR(_xlpm.val="",_xlpm.val="Error"),"",_xlpm.val),_xlpm.Res)</f>
        <v>#NAME?</v>
      </c>
      <c r="AJ25" s="1669" t="e" cm="1">
        <f t="array" ca="1" aca="1" ref="AJ25">_xlfn.LET(_xlpm.val,IF($F25="",val_blankRefText,_xldudf_CX_GET(CX_ENTITY,($F25),AJ$11,AJ$14,,(AJ$19))),_xlpm.Res,IF(OR(_xlpm.val="",_xlpm.val="Error"),"",_xlpm.val),_xlpm.Res)</f>
        <v>#NAME?</v>
      </c>
      <c r="AK25" s="1669" t="e" cm="1">
        <f t="array" ca="1" aca="1" ref="AK25">_xlfn.LET(_xlpm.val,IF($F25="",val_blankRefText,_xldudf_CX_GET(CX_ENTITY,($F25),AK$11,AK$14,,(AK$19))),_xlpm.Res,IF(OR(_xlpm.val="",_xlpm.val="Error"),"",_xlpm.val),_xlpm.Res)</f>
        <v>#NAME?</v>
      </c>
      <c r="AL25" s="1669" t="e" cm="1">
        <f t="array" ca="1" aca="1" ref="AL25">_xlfn.LET(_xlpm.val,IF($F25="",val_blankRefText,_xldudf_CX_GET(CX_ENTITY,($F25),AL$11,AL$14,,(AL$19))),_xlpm.Res,IF(OR(_xlpm.val="",_xlpm.val="Error"),"",_xlpm.val),_xlpm.Res)</f>
        <v>#NAME?</v>
      </c>
      <c r="AM25" s="1669" t="e" cm="1">
        <f t="array" ca="1" aca="1" ref="AM25">_xlfn.LET(_xlpm.val,IF($F25="",val_blankRefText,_xldudf_CX_GET(CX_ENTITY,($F25),AM$11,AM$14,,(AM$19))),_xlpm.Res,IF(OR(_xlpm.val="",_xlpm.val="Error"),"",_xlpm.val),_xlpm.Res)</f>
        <v>#NAME?</v>
      </c>
      <c r="AN25" s="1669" t="e" cm="1">
        <f t="array" ca="1" aca="1" ref="AN25">_xlfn.LET(_xlpm.val,IF($F25="",val_blankRefText,_xldudf_CX_GET(CX_ENTITY,($F25),AN$11,AN$14,,(AN$19))),_xlpm.Res,IF(OR(_xlpm.val="",_xlpm.val="Error"),"",_xlpm.val),_xlpm.Res)</f>
        <v>#NAME?</v>
      </c>
      <c r="AO25" s="1669" t="e" cm="1">
        <f t="array" ca="1" aca="1" ref="AO25">_xlfn.LET(_xlpm.val,IF($F25="",val_blankRefText,_xldudf_CX_GET(CX_ENTITY,($F25),AO$11,AO$14,,(AO$19))),_xlpm.Res,IF(OR(_xlpm.val="",_xlpm.val="Error"),"",_xlpm.val),_xlpm.Res)</f>
        <v>#NAME?</v>
      </c>
      <c r="AP25" s="1669" t="e" cm="1">
        <f t="array" ca="1" aca="1" ref="AP25">_xlfn.LET(_xlpm.val,IF($F25="",val_blankRefText,_xldudf_CX_GET(CX_ENTITY,($F25),AP$11,AP$14,,(AP$19))),_xlpm.Res,IF(OR(_xlpm.val="",_xlpm.val="Error"),"",_xlpm.val),_xlpm.Res)</f>
        <v>#NAME?</v>
      </c>
      <c r="AQ25" s="1669" t="e" cm="1">
        <f t="array" ca="1" aca="1" ref="AQ25">_xlfn.LET(_xlpm.val,IF($F25="",val_blankRefText,_xldudf_CX_GET(CX_ENTITY,($F25),AQ$11,AQ$14,,(AQ$19))),_xlpm.Res,IF(OR(_xlpm.val="",_xlpm.val="Error"),"",_xlpm.val),_xlpm.Res)</f>
        <v>#NAME?</v>
      </c>
      <c r="AR25" s="1669" t="e" cm="1">
        <f t="array" ca="1" aca="1" ref="AR25">_xlfn.LET(_xlpm.val,IF($F25="",val_blankRefText,_xldudf_CX_GET(CX_ENTITY,($F25),AR$11,AR$14,,(AR$19))),_xlpm.Res,IF(OR(_xlpm.val="",_xlpm.val="Error"),"",_xlpm.val),_xlpm.Res)</f>
        <v>#NAME?</v>
      </c>
      <c r="AS25" s="1669" t="e" cm="1">
        <f t="array" ca="1" aca="1" ref="AS25">_xlfn.LET(_xlpm.val,IF($F25="",val_blankRefText,_xldudf_CX_GET(CX_ENTITY,($F25),AS$11,AS$14,,(AS$19))),_xlpm.Res,IF(OR(_xlpm.val="",_xlpm.val="Error"),"",_xlpm.val),_xlpm.Res)</f>
        <v>#NAME?</v>
      </c>
      <c r="AT25" s="1669" t="e" cm="1">
        <f t="array" ca="1" aca="1" ref="AT25">_xlfn.LET(_xlpm.val,IF($F25="",val_blankRefText,_xldudf_CX_GET(CX_ENTITY,($F25),AT$11,AT$14,,(AT$19))),_xlpm.Res,IF(OR(_xlpm.val="",_xlpm.val="Error"),"",_xlpm.val),_xlpm.Res)</f>
        <v>#NAME?</v>
      </c>
      <c r="AU25" s="1669" t="e" cm="1">
        <f t="array" ca="1" aca="1" ref="AU25">_xlfn.LET(_xlpm.val,IF($F25="",val_blankRefText,_xldudf_CX_GET(CX_ENTITY,($F25),AU$11,AU$14,,(AU$19))),_xlpm.Res,IF(OR(_xlpm.val="",_xlpm.val="Error"),"",_xlpm.val),_xlpm.Res)</f>
        <v>#NAME?</v>
      </c>
      <c r="AV25" s="1669" t="e" cm="1">
        <f t="array" ca="1" aca="1" ref="AV25">_xlfn.LET(_xlpm.val,IF($F25="",val_blankRefText,_xldudf_CX_GET(CX_ENTITY,($F25),AV$11,AV$14,,(AV$19))),_xlpm.Res,IF(OR(_xlpm.val="",_xlpm.val="Error"),"",_xlpm.val),_xlpm.Res)</f>
        <v>#NAME?</v>
      </c>
      <c r="AW25" s="1669" t="e" cm="1">
        <f t="array" ca="1" aca="1" ref="AW25">_xlfn.LET(_xlpm.val,IF($F25="",val_blankRefText,_xldudf_CX_GET(CX_ENTITY,($F25),AW$11,AW$14,,(AW$19))),_xlpm.Res,IF(OR(_xlpm.val="",_xlpm.val="Error"),"",_xlpm.val),_xlpm.Res)</f>
        <v>#NAME?</v>
      </c>
      <c r="AX25" s="1669" t="e" cm="1">
        <f t="array" ca="1" aca="1" ref="AX25">_xlfn.LET(_xlpm.val,IF($F25="",val_blankRefText,_xldudf_CX_GET(CX_ENTITY,($F25),AX$11,AX$14,,(AX$19))),_xlpm.Res,IF(OR(_xlpm.val="",_xlpm.val="Error"),"",_xlpm.val),_xlpm.Res)</f>
        <v>#NAME?</v>
      </c>
      <c r="AY25" s="1669" t="e" cm="1">
        <f t="array" ca="1" aca="1" ref="AY25">_xlfn.LET(_xlpm.val,IF($F25="",val_blankRefText,_xldudf_CX_GET(CX_ENTITY,($F25),AY$11,AY$14,,(AY$19))),_xlpm.Res,IF(OR(_xlpm.val="",_xlpm.val="Error"),"",_xlpm.val),_xlpm.Res)</f>
        <v>#NAME?</v>
      </c>
      <c r="AZ25" s="1669" t="e" cm="1">
        <f t="array" ca="1" aca="1" ref="AZ25">_xlfn.LET(_xlpm.val,IF($F25="",val_blankRefText,_xldudf_CX_GET(CX_ENTITY,($F25),AZ$11,AZ$14,,(AZ$19))),_xlpm.Res,IF(OR(_xlpm.val="",_xlpm.val="Error"),"",_xlpm.val),_xlpm.Res)</f>
        <v>#NAME?</v>
      </c>
      <c r="BA25" s="1669" t="e" cm="1">
        <f t="array" ca="1" aca="1" ref="BA25">_xlfn.LET(_xlpm.val,IF($F25="",val_blankRefText,_xldudf_CX_GET(CX_ENTITY,($F25),BA$11,BA$14,,(BA$19))),_xlpm.Res,IF(OR(_xlpm.val="",_xlpm.val="Error"),"",_xlpm.val),_xlpm.Res)</f>
        <v>#NAME?</v>
      </c>
      <c r="BB25" s="1669" t="e" cm="1">
        <f t="array" ca="1" aca="1" ref="BB25">_xlfn.LET(_xlpm.val,IF($F25="",val_blankRefText,_xldudf_CX_GET(CX_ENTITY,($F25),BB$11,BB$14,,(BB$19))),_xlpm.Res,IF(OR(_xlpm.val="",_xlpm.val="Error"),"",_xlpm.val),_xlpm.Res)</f>
        <v>#NAME?</v>
      </c>
      <c r="BC25" s="1669" t="e" cm="1">
        <f t="array" ca="1" aca="1" ref="BC25">_xlfn.LET(_xlpm.val,IF($F25="",val_blankRefText,_xldudf_CX_GET(CX_ENTITY,($F25),BC$11,BC$14,,(BC$19))),_xlpm.Res,IF(OR(_xlpm.val="",_xlpm.val="Error"),"",_xlpm.val),_xlpm.Res)</f>
        <v>#NAME?</v>
      </c>
      <c r="BD25" s="1669" t="e" cm="1">
        <f t="array" ca="1" aca="1" ref="BD25">_xlfn.LET(_xlpm.val,IF($F25="",val_blankRefText,_xldudf_CX_GET(CX_ENTITY,($F25),BD$11,BD$14,,(BD$19))),_xlpm.Res,IF(OR(_xlpm.val="",_xlpm.val="Error"),"",_xlpm.val),_xlpm.Res)</f>
        <v>#NAME?</v>
      </c>
      <c r="BE25" s="1669" t="e" cm="1">
        <f t="array" ca="1" aca="1" ref="BE25">_xlfn.LET(_xlpm.val,IF($F25="",val_blankRefText,_xldudf_CX_GET(CX_ENTITY,($F25),BE$11,BE$14,,(BE$19))),_xlpm.Res,IF(OR(_xlpm.val="",_xlpm.val="Error"),"",_xlpm.val),_xlpm.Res)</f>
        <v>#NAME?</v>
      </c>
      <c r="BF25" s="1669" t="e" cm="1">
        <f t="array" ca="1" aca="1" ref="BF25">_xlfn.LET(_xlpm.val,IF($F25="",val_blankRefText,_xldudf_CX_GET(CX_ENTITY,($F25),BF$11,BF$14,,(BF$19))),_xlpm.Res,IF(OR(_xlpm.val="",_xlpm.val="Error"),"",_xlpm.val),_xlpm.Res)</f>
        <v>#NAME?</v>
      </c>
      <c r="BG25" s="1669" t="e" cm="1">
        <f t="array" ca="1" aca="1" ref="BG25">_xlfn.LET(_xlpm.val,IF($F25="",val_blankRefText,_xldudf_CX_GET(CX_ENTITY,($F25),BG$11,BG$14,,(BG$19))),_xlpm.Res,IF(OR(_xlpm.val="",_xlpm.val="Error"),"",_xlpm.val),_xlpm.Res)</f>
        <v>#NAME?</v>
      </c>
      <c r="BH25" s="1669" t="e" cm="1">
        <f t="array" ca="1" aca="1" ref="BH25">_xlfn.LET(_xlpm.val,IF($F25="",val_blankRefText,_xldudf_CX_GET(CX_ENTITY,($F25),BH$11,BH$14,,(BH$19))),_xlpm.Res,IF(OR(_xlpm.val="",_xlpm.val="Error"),"",_xlpm.val),_xlpm.Res)</f>
        <v>#NAME?</v>
      </c>
      <c r="BI25" s="1669" t="e" cm="1">
        <f t="array" ca="1" aca="1" ref="BI25">_xlfn.LET(_xlpm.val,IF($F25="",val_blankRefText,_xldudf_CX_GET(CX_ENTITY,($F25),BI$11,BI$14,,(BI$19))),_xlpm.Res,IF(OR(_xlpm.val="",_xlpm.val="Error"),"",_xlpm.val),_xlpm.Res)</f>
        <v>#NAME?</v>
      </c>
      <c r="BJ25" s="1669" t="e" cm="1">
        <f t="array" ca="1" aca="1" ref="BJ25">_xlfn.LET(_xlpm.val,IF($F25="",val_blankRefText,_xldudf_CX_GET(CX_ENTITY,($F25),BJ$11,BJ$14,,(BJ$19))),_xlpm.Res,IF(OR(_xlpm.val="",_xlpm.val="Error"),"",_xlpm.val),_xlpm.Res)</f>
        <v>#NAME?</v>
      </c>
      <c r="BK25" s="1669" t="e" cm="1">
        <f t="array" ca="1" aca="1" ref="BK25">_xlfn.LET(_xlpm.val,IF($F25="",val_blankRefText,_xldudf_CX_GET(CX_ENTITY,($F25),BK$11,BK$14,,(BK$19))),_xlpm.Res,IF(OR(_xlpm.val="",_xlpm.val="Error"),"",_xlpm.val),_xlpm.Res)</f>
        <v>#NAME?</v>
      </c>
      <c r="BL25" s="1669" t="e" cm="1">
        <f t="array" ca="1" aca="1" ref="BL25">_xlfn.LET(_xlpm.val,IF($F25="",val_blankRefText,_xldudf_CX_GET(CX_ENTITY,($F25),BL$11,BL$14,,(BL$19))),_xlpm.Res,IF(OR(_xlpm.val="",_xlpm.val="Error"),"",_xlpm.val),_xlpm.Res)</f>
        <v>#NAME?</v>
      </c>
      <c r="BM25" s="1669" t="e" cm="1">
        <f t="array" ca="1" aca="1" ref="BM25">_xlfn.LET(_xlpm.val,IF($F25="",val_blankRefText,_xldudf_CX_GET(CX_ENTITY,($F25),BM$11,BM$14,,(BM$19))),_xlpm.Res,IF(OR(_xlpm.val="",_xlpm.val="Error"),"",_xlpm.val),_xlpm.Res)</f>
        <v>#NAME?</v>
      </c>
      <c r="BN25" s="1669" t="e" cm="1">
        <f t="array" ca="1" aca="1" ref="BN25">_xlfn.LET(_xlpm.val,IF($F25="",val_blankRefText,_xldudf_CX_GET(CX_ENTITY,($F25),BN$11,BN$14,,(BN$19))),_xlpm.Res,IF(OR(_xlpm.val="",_xlpm.val="Error"),"",_xlpm.val),_xlpm.Res)</f>
        <v>#NAME?</v>
      </c>
      <c r="BO25" s="2095"/>
      <c r="BP25" s="2095"/>
      <c r="BQ25" s="2095"/>
      <c r="BR25" s="2095"/>
      <c r="BS25" s="2095"/>
      <c r="BT25" s="2095"/>
      <c r="BU25" s="2095"/>
      <c r="BV25" s="2095"/>
      <c r="BW25" s="2095"/>
      <c r="BX25" s="2095"/>
      <c r="BY25" s="2095"/>
      <c r="BZ25" s="2095"/>
      <c r="CA25" s="34"/>
      <c r="CC25" s="33"/>
      <c r="CD25" s="1461" t="e" cm="1">
        <f t="array" ca="1" aca="1" ref="CD25">_xlfn.LET(_xlpm.CheckBlank,SUM(PL!$AD25:PL!$BN25)=0,IF(_xlpm.CheckBlank,"",SUM(_xlfn._xlws.FILTER(PL!$AD25:$BN25,(YEAR(PL!$AD$12:$BN$12)=PL!CD$12)*(array_timeline&lt;=PL!CD$11)))))</f>
        <v>#NAME?</v>
      </c>
      <c r="CE25" s="1461" t="e" cm="1">
        <f t="array" ca="1" aca="1" ref="CE25">_xlfn.LET(_xlpm.CheckBlank,SUM(PL!$AD25:PL!$BN25)=0,IF(_xlpm.CheckBlank,"",SUM(_xlfn._xlws.FILTER(PL!$AD25:$BN25,(YEAR(PL!$AD$12:$BN$12)=PL!CE$12)*(array_timeline&lt;=PL!CE$11)))))</f>
        <v>#NAME?</v>
      </c>
      <c r="CF25" s="88"/>
      <c r="CG25" s="1461" t="e" cm="1">
        <f t="array" ca="1" aca="1" ref="CG25">_xlfn.LET(_xlpm.CheckBlank,SUM(PL!$AD25:$BN25)=0,IF(_xlpm.CheckBlank,"",SUM(_xlfn._xlws.FILTER(PL!$AD25:$BN25,(YEAR(PL!$AD$12:$BN$12)=PL!CG$12)*(array_timeline&lt;=PL!CG$11)))))</f>
        <v>#NAME?</v>
      </c>
      <c r="CH25" s="1461" t="e" cm="1">
        <f t="array" ca="1" aca="1" ref="CH25">_xlfn.LET(_xlpm.CheckBlank,SUM(PL!$AD25:$BN25)=0,IF(_xlpm.CheckBlank,"",SUM(_xlfn._xlws.FILTER(PL!$AD25:$BN25,(YEAR(PL!$AD$12:$BN$12)=PL!CH$12)*(array_timeline&lt;=PL!CH$11)))))</f>
        <v>#NAME?</v>
      </c>
      <c r="CI25" s="88"/>
      <c r="CJ25" s="1461" cm="1">
        <f t="array" ref="CJ25">_xlfn.LET(_xlpm.CheckBlank,SUM(PL!$AD25:$BN25)=0,IF(_xlpm.CheckBlank,"",SUM(_xlfn.TAKE(_xlfn.DROP(PL!$AD25:$BN25,,-DATEDIFF(PL!CJ$11,val_asOfDate,"M")),1,-12))))</f>
        <v>36</v>
      </c>
      <c r="CK25" s="1461" cm="1">
        <f t="array" ref="CK25">_xlfn.LET(_xlpm.CheckBlank,SUM(PL!$AD25:$BN25)=0,IF(_xlpm.CheckBlank,"",SUM(_xlfn.TAKE(_xlfn.DROP(PL!$AD25:$BN25,,-DATEDIFF(PL!CK$11,val_asOfDate,"M")),1,-12))))</f>
        <v>36</v>
      </c>
      <c r="CL25" s="88"/>
      <c r="CM25" s="1168" t="e" cm="1">
        <f t="array" ca="1" aca="1" ref="CM25">_xlfn.LET(_xlpm.val,IF($F25="",val_blankRefText,_xldudf_CX_GET(CX_ENTITY,($F25),CM$11,CM$14,,(CM$19))),_xlpm.Res,IF(OR(_xlpm.val="",_xlpm.val="Error"),"",_xlpm.val),_xlpm.Res)</f>
        <v>#NAME?</v>
      </c>
      <c r="CN25" s="1168" t="e" cm="1">
        <f t="array" ca="1" aca="1" ref="CN25">_xlfn.LET(_xlpm.val,IF($F25="",val_blankRefText,_xldudf_CX_GET(CX_ENTITY,($F25),CN$11,CN$14,,(CN$19))),_xlpm.Res,IF(OR(_xlpm.val="",_xlpm.val="Error"),"",_xlpm.val),_xlpm.Res)</f>
        <v>#NAME?</v>
      </c>
      <c r="CO25" s="1169"/>
      <c r="CP25" s="1168" t="e" cm="1">
        <f t="array" ca="1" aca="1" ref="CP25">_xlfn.LET(_xlpm.val,IF($F25="",val_blankRefText,_xldudf_CX_GET(CX_ENTITY,($F25),CP$11,CP$14,,(CP$19))),_xlpm.Res,IF(OR(_xlpm.val="",_xlpm.val="Error"),"",_xlpm.val),_xlpm.Res)</f>
        <v>#NAME?</v>
      </c>
      <c r="CQ25" s="1168" t="e" cm="1">
        <f t="array" ca="1" aca="1" ref="CQ25">_xlfn.LET(_xlpm.val,IF($F25="",val_blankRefText,_xldudf_CX_GET(CX_ENTITY,($F25),CQ$11,CQ$14,,(CQ$19))),_xlpm.Res,IF(OR(_xlpm.val="",_xlpm.val="Error"),"",_xlpm.val),_xlpm.Res)</f>
        <v>#NAME?</v>
      </c>
      <c r="CR25" s="34"/>
    </row>
    <row r="26" spans="1:96" ht="21" customHeight="1" outlineLevel="1">
      <c r="A26" s="1322"/>
      <c r="B26" s="2126"/>
      <c r="C26" s="577" t="s">
        <v>1536</v>
      </c>
      <c r="D26" s="1079"/>
      <c r="E26" s="577" t="e" cm="1">
        <f t="array" ca="1" aca="1" ref="E26">_xlfn.LET(_xlpm.val,IF($C26="",val_blankRefText,_xldudf_CX_GET(CX_ENTITY,($C26),val_asOfDate)),_xlpm.Res,IF(OR(_xlpm.val="",_xlpm.val="Error"),"",_xlpm.val),_xlpm.Res)</f>
        <v>#NAME?</v>
      </c>
      <c r="F26" s="577" t="e">
        <f ca="1" t="shared" si="7" ref="F26:F31">IF($B26&lt;&gt;"",$B26,$E26)</f>
        <v>#NAME?</v>
      </c>
      <c r="G26" s="577" t="s">
        <v>1528</v>
      </c>
      <c r="H26" s="1323">
        <v>0</v>
      </c>
      <c r="I26" s="3279">
        <v>1</v>
      </c>
      <c r="J26" s="578"/>
      <c r="K26" s="578"/>
      <c r="L26" s="579" t="b">
        <v>0</v>
      </c>
      <c r="N26" s="158"/>
      <c r="O26" s="101"/>
      <c r="P26" s="52"/>
      <c r="Q26" s="101"/>
      <c r="R26" s="126"/>
      <c r="S26" s="101"/>
      <c r="T26" s="101"/>
      <c r="U26" s="39"/>
      <c r="W26" s="91" t="str">
        <f t="shared" si="4"/>
        <v>Actual</v>
      </c>
      <c r="X26" s="884" t="s">
        <v>62</v>
      </c>
      <c r="Y26" s="911" t="e" cm="1">
        <f t="array" ca="1" aca="1" ref="Y26">IF($B26="",IFBLANK($E26,"Please select or type in or leave as blank ("&amp;ROW(Y26)-ROW($Y$25)&amp;")"),IFBLANK($E26,$B26))</f>
        <v>#NAME?</v>
      </c>
      <c r="Z26" s="198" cm="1">
        <f t="array" ref="Z26">_xlfn.SWITCH(TRUE,ISBLANK(_PL!$L26),"",_PL!$L26=TRUE,1,_PL!$L26=FALSE,-1,_PL!$L26=-1,0,"n/a")</f>
        <v>-1</v>
      </c>
      <c r="AA26" s="200"/>
      <c r="AB26" s="301" t="e">
        <f ca="1" t="shared" si="8" ref="AB26:AB31">Y26</f>
        <v>#NAME?</v>
      </c>
      <c r="AC26" s="1274" t="str" cm="1">
        <f t="array" ca="1" aca="1" ref="AC26">_xlfn.LET(_xlpm.Def,IF(_xlfn.XMATCH(AB26,tbl_acctDef[Term],0)&gt;0,fx_getIcon("find"),""),_xlpm.Adj,IF(_xlfn.XMATCH(AB26,tbl_adjExample[Items],0)&gt;0,fx_getIcon("find"),""),IFERROR(IFBLANK(_xlpm.Def,_xlpm.Adj),""))</f>
        <v/>
      </c>
      <c r="AD26" s="1669" t="e" cm="1">
        <f t="array" ca="1" aca="1" ref="AD26">_xlfn.LET(_xlpm.val,IF($F26="",val_blankRefText,_xldudf_CX_GET(CX_ENTITY,($F26),AD$11,AD$14,,(AD$19))),_xlpm.Res,IF(OR(_xlpm.val="",_xlpm.val="Error"),"",_xlpm.val),_xlpm.Res)</f>
        <v>#NAME?</v>
      </c>
      <c r="AE26" s="1669" t="e" cm="1">
        <f t="array" ca="1" aca="1" ref="AE26">_xlfn.LET(_xlpm.val,IF($F26="",val_blankRefText,_xldudf_CX_GET(CX_ENTITY,($F26),AE$11,AE$14,,(AE$19))),_xlpm.Res,IF(OR(_xlpm.val="",_xlpm.val="Error"),"",_xlpm.val),_xlpm.Res)</f>
        <v>#NAME?</v>
      </c>
      <c r="AF26" s="1669" t="e" cm="1">
        <f t="array" ca="1" aca="1" ref="AF26">_xlfn.LET(_xlpm.val,IF($F26="",val_blankRefText,_xldudf_CX_GET(CX_ENTITY,($F26),AF$11,AF$14,,(AF$19))),_xlpm.Res,IF(OR(_xlpm.val="",_xlpm.val="Error"),"",_xlpm.val),_xlpm.Res)</f>
        <v>#NAME?</v>
      </c>
      <c r="AG26" s="1669" t="e" cm="1">
        <f t="array" ca="1" aca="1" ref="AG26">_xlfn.LET(_xlpm.val,IF($F26="",val_blankRefText,_xldudf_CX_GET(CX_ENTITY,($F26),AG$11,AG$14,,(AG$19))),_xlpm.Res,IF(OR(_xlpm.val="",_xlpm.val="Error"),"",_xlpm.val),_xlpm.Res)</f>
        <v>#NAME?</v>
      </c>
      <c r="AH26" s="1669" t="e" cm="1">
        <f t="array" ca="1" aca="1" ref="AH26">_xlfn.LET(_xlpm.val,IF($F26="",val_blankRefText,_xldudf_CX_GET(CX_ENTITY,($F26),AH$11,AH$14,,(AH$19))),_xlpm.Res,IF(OR(_xlpm.val="",_xlpm.val="Error"),"",_xlpm.val),_xlpm.Res)</f>
        <v>#NAME?</v>
      </c>
      <c r="AI26" s="1669" t="e" cm="1">
        <f t="array" ca="1" aca="1" ref="AI26">_xlfn.LET(_xlpm.val,IF($F26="",val_blankRefText,_xldudf_CX_GET(CX_ENTITY,($F26),AI$11,AI$14,,(AI$19))),_xlpm.Res,IF(OR(_xlpm.val="",_xlpm.val="Error"),"",_xlpm.val),_xlpm.Res)</f>
        <v>#NAME?</v>
      </c>
      <c r="AJ26" s="1669" t="e" cm="1">
        <f t="array" ca="1" aca="1" ref="AJ26">_xlfn.LET(_xlpm.val,IF($F26="",val_blankRefText,_xldudf_CX_GET(CX_ENTITY,($F26),AJ$11,AJ$14,,(AJ$19))),_xlpm.Res,IF(OR(_xlpm.val="",_xlpm.val="Error"),"",_xlpm.val),_xlpm.Res)</f>
        <v>#NAME?</v>
      </c>
      <c r="AK26" s="1669" t="e" cm="1">
        <f t="array" ca="1" aca="1" ref="AK26">_xlfn.LET(_xlpm.val,IF($F26="",val_blankRefText,_xldudf_CX_GET(CX_ENTITY,($F26),AK$11,AK$14,,(AK$19))),_xlpm.Res,IF(OR(_xlpm.val="",_xlpm.val="Error"),"",_xlpm.val),_xlpm.Res)</f>
        <v>#NAME?</v>
      </c>
      <c r="AL26" s="1669" t="e" cm="1">
        <f t="array" ca="1" aca="1" ref="AL26">_xlfn.LET(_xlpm.val,IF($F26="",val_blankRefText,_xldudf_CX_GET(CX_ENTITY,($F26),AL$11,AL$14,,(AL$19))),_xlpm.Res,IF(OR(_xlpm.val="",_xlpm.val="Error"),"",_xlpm.val),_xlpm.Res)</f>
        <v>#NAME?</v>
      </c>
      <c r="AM26" s="1669" t="e" cm="1">
        <f t="array" ca="1" aca="1" ref="AM26">_xlfn.LET(_xlpm.val,IF($F26="",val_blankRefText,_xldudf_CX_GET(CX_ENTITY,($F26),AM$11,AM$14,,(AM$19))),_xlpm.Res,IF(OR(_xlpm.val="",_xlpm.val="Error"),"",_xlpm.val),_xlpm.Res)</f>
        <v>#NAME?</v>
      </c>
      <c r="AN26" s="1669" t="e" cm="1">
        <f t="array" ca="1" aca="1" ref="AN26">_xlfn.LET(_xlpm.val,IF($F26="",val_blankRefText,_xldudf_CX_GET(CX_ENTITY,($F26),AN$11,AN$14,,(AN$19))),_xlpm.Res,IF(OR(_xlpm.val="",_xlpm.val="Error"),"",_xlpm.val),_xlpm.Res)</f>
        <v>#NAME?</v>
      </c>
      <c r="AO26" s="1669" t="e" cm="1">
        <f t="array" ca="1" aca="1" ref="AO26">_xlfn.LET(_xlpm.val,IF($F26="",val_blankRefText,_xldudf_CX_GET(CX_ENTITY,($F26),AO$11,AO$14,,(AO$19))),_xlpm.Res,IF(OR(_xlpm.val="",_xlpm.val="Error"),"",_xlpm.val),_xlpm.Res)</f>
        <v>#NAME?</v>
      </c>
      <c r="AP26" s="1669" t="e" cm="1">
        <f t="array" ca="1" aca="1" ref="AP26">_xlfn.LET(_xlpm.val,IF($F26="",val_blankRefText,_xldudf_CX_GET(CX_ENTITY,($F26),AP$11,AP$14,,(AP$19))),_xlpm.Res,IF(OR(_xlpm.val="",_xlpm.val="Error"),"",_xlpm.val),_xlpm.Res)</f>
        <v>#NAME?</v>
      </c>
      <c r="AQ26" s="1669" t="e" cm="1">
        <f t="array" ca="1" aca="1" ref="AQ26">_xlfn.LET(_xlpm.val,IF($F26="",val_blankRefText,_xldudf_CX_GET(CX_ENTITY,($F26),AQ$11,AQ$14,,(AQ$19))),_xlpm.Res,IF(OR(_xlpm.val="",_xlpm.val="Error"),"",_xlpm.val),_xlpm.Res)</f>
        <v>#NAME?</v>
      </c>
      <c r="AR26" s="1669" t="e" cm="1">
        <f t="array" ca="1" aca="1" ref="AR26">_xlfn.LET(_xlpm.val,IF($F26="",val_blankRefText,_xldudf_CX_GET(CX_ENTITY,($F26),AR$11,AR$14,,(AR$19))),_xlpm.Res,IF(OR(_xlpm.val="",_xlpm.val="Error"),"",_xlpm.val),_xlpm.Res)</f>
        <v>#NAME?</v>
      </c>
      <c r="AS26" s="1669" t="e" cm="1">
        <f t="array" ca="1" aca="1" ref="AS26">_xlfn.LET(_xlpm.val,IF($F26="",val_blankRefText,_xldudf_CX_GET(CX_ENTITY,($F26),AS$11,AS$14,,(AS$19))),_xlpm.Res,IF(OR(_xlpm.val="",_xlpm.val="Error"),"",_xlpm.val),_xlpm.Res)</f>
        <v>#NAME?</v>
      </c>
      <c r="AT26" s="1669" t="e" cm="1">
        <f t="array" ca="1" aca="1" ref="AT26">_xlfn.LET(_xlpm.val,IF($F26="",val_blankRefText,_xldudf_CX_GET(CX_ENTITY,($F26),AT$11,AT$14,,(AT$19))),_xlpm.Res,IF(OR(_xlpm.val="",_xlpm.val="Error"),"",_xlpm.val),_xlpm.Res)</f>
        <v>#NAME?</v>
      </c>
      <c r="AU26" s="1669" t="e" cm="1">
        <f t="array" ca="1" aca="1" ref="AU26">_xlfn.LET(_xlpm.val,IF($F26="",val_blankRefText,_xldudf_CX_GET(CX_ENTITY,($F26),AU$11,AU$14,,(AU$19))),_xlpm.Res,IF(OR(_xlpm.val="",_xlpm.val="Error"),"",_xlpm.val),_xlpm.Res)</f>
        <v>#NAME?</v>
      </c>
      <c r="AV26" s="1669" t="e" cm="1">
        <f t="array" ca="1" aca="1" ref="AV26">_xlfn.LET(_xlpm.val,IF($F26="",val_blankRefText,_xldudf_CX_GET(CX_ENTITY,($F26),AV$11,AV$14,,(AV$19))),_xlpm.Res,IF(OR(_xlpm.val="",_xlpm.val="Error"),"",_xlpm.val),_xlpm.Res)</f>
        <v>#NAME?</v>
      </c>
      <c r="AW26" s="1669" t="e" cm="1">
        <f t="array" ca="1" aca="1" ref="AW26">_xlfn.LET(_xlpm.val,IF($F26="",val_blankRefText,_xldudf_CX_GET(CX_ENTITY,($F26),AW$11,AW$14,,(AW$19))),_xlpm.Res,IF(OR(_xlpm.val="",_xlpm.val="Error"),"",_xlpm.val),_xlpm.Res)</f>
        <v>#NAME?</v>
      </c>
      <c r="AX26" s="1669" t="e" cm="1">
        <f t="array" ca="1" aca="1" ref="AX26">_xlfn.LET(_xlpm.val,IF($F26="",val_blankRefText,_xldudf_CX_GET(CX_ENTITY,($F26),AX$11,AX$14,,(AX$19))),_xlpm.Res,IF(OR(_xlpm.val="",_xlpm.val="Error"),"",_xlpm.val),_xlpm.Res)</f>
        <v>#NAME?</v>
      </c>
      <c r="AY26" s="1669" t="e" cm="1">
        <f t="array" ca="1" aca="1" ref="AY26">_xlfn.LET(_xlpm.val,IF($F26="",val_blankRefText,_xldudf_CX_GET(CX_ENTITY,($F26),AY$11,AY$14,,(AY$19))),_xlpm.Res,IF(OR(_xlpm.val="",_xlpm.val="Error"),"",_xlpm.val),_xlpm.Res)</f>
        <v>#NAME?</v>
      </c>
      <c r="AZ26" s="1669" t="e" cm="1">
        <f t="array" ca="1" aca="1" ref="AZ26">_xlfn.LET(_xlpm.val,IF($F26="",val_blankRefText,_xldudf_CX_GET(CX_ENTITY,($F26),AZ$11,AZ$14,,(AZ$19))),_xlpm.Res,IF(OR(_xlpm.val="",_xlpm.val="Error"),"",_xlpm.val),_xlpm.Res)</f>
        <v>#NAME?</v>
      </c>
      <c r="BA26" s="1669" t="e" cm="1">
        <f t="array" ca="1" aca="1" ref="BA26">_xlfn.LET(_xlpm.val,IF($F26="",val_blankRefText,_xldudf_CX_GET(CX_ENTITY,($F26),BA$11,BA$14,,(BA$19))),_xlpm.Res,IF(OR(_xlpm.val="",_xlpm.val="Error"),"",_xlpm.val),_xlpm.Res)</f>
        <v>#NAME?</v>
      </c>
      <c r="BB26" s="1669" t="e" cm="1">
        <f t="array" ca="1" aca="1" ref="BB26">_xlfn.LET(_xlpm.val,IF($F26="",val_blankRefText,_xldudf_CX_GET(CX_ENTITY,($F26),BB$11,BB$14,,(BB$19))),_xlpm.Res,IF(OR(_xlpm.val="",_xlpm.val="Error"),"",_xlpm.val),_xlpm.Res)</f>
        <v>#NAME?</v>
      </c>
      <c r="BC26" s="1669" t="e" cm="1">
        <f t="array" ca="1" aca="1" ref="BC26">_xlfn.LET(_xlpm.val,IF($F26="",val_blankRefText,_xldudf_CX_GET(CX_ENTITY,($F26),BC$11,BC$14,,(BC$19))),_xlpm.Res,IF(OR(_xlpm.val="",_xlpm.val="Error"),"",_xlpm.val),_xlpm.Res)</f>
        <v>#NAME?</v>
      </c>
      <c r="BD26" s="1669" t="e" cm="1">
        <f t="array" ca="1" aca="1" ref="BD26">_xlfn.LET(_xlpm.val,IF($F26="",val_blankRefText,_xldudf_CX_GET(CX_ENTITY,($F26),BD$11,BD$14,,(BD$19))),_xlpm.Res,IF(OR(_xlpm.val="",_xlpm.val="Error"),"",_xlpm.val),_xlpm.Res)</f>
        <v>#NAME?</v>
      </c>
      <c r="BE26" s="1669" t="e" cm="1">
        <f t="array" ca="1" aca="1" ref="BE26">_xlfn.LET(_xlpm.val,IF($F26="",val_blankRefText,_xldudf_CX_GET(CX_ENTITY,($F26),BE$11,BE$14,,(BE$19))),_xlpm.Res,IF(OR(_xlpm.val="",_xlpm.val="Error"),"",_xlpm.val),_xlpm.Res)</f>
        <v>#NAME?</v>
      </c>
      <c r="BF26" s="1669" t="e" cm="1">
        <f t="array" ca="1" aca="1" ref="BF26">_xlfn.LET(_xlpm.val,IF($F26="",val_blankRefText,_xldudf_CX_GET(CX_ENTITY,($F26),BF$11,BF$14,,(BF$19))),_xlpm.Res,IF(OR(_xlpm.val="",_xlpm.val="Error"),"",_xlpm.val),_xlpm.Res)</f>
        <v>#NAME?</v>
      </c>
      <c r="BG26" s="1669" t="e" cm="1">
        <f t="array" ca="1" aca="1" ref="BG26">_xlfn.LET(_xlpm.val,IF($F26="",val_blankRefText,_xldudf_CX_GET(CX_ENTITY,($F26),BG$11,BG$14,,(BG$19))),_xlpm.Res,IF(OR(_xlpm.val="",_xlpm.val="Error"),"",_xlpm.val),_xlpm.Res)</f>
        <v>#NAME?</v>
      </c>
      <c r="BH26" s="1669" t="e" cm="1">
        <f t="array" ca="1" aca="1" ref="BH26">_xlfn.LET(_xlpm.val,IF($F26="",val_blankRefText,_xldudf_CX_GET(CX_ENTITY,($F26),BH$11,BH$14,,(BH$19))),_xlpm.Res,IF(OR(_xlpm.val="",_xlpm.val="Error"),"",_xlpm.val),_xlpm.Res)</f>
        <v>#NAME?</v>
      </c>
      <c r="BI26" s="1669" t="e" cm="1">
        <f t="array" ca="1" aca="1" ref="BI26">_xlfn.LET(_xlpm.val,IF($F26="",val_blankRefText,_xldudf_CX_GET(CX_ENTITY,($F26),BI$11,BI$14,,(BI$19))),_xlpm.Res,IF(OR(_xlpm.val="",_xlpm.val="Error"),"",_xlpm.val),_xlpm.Res)</f>
        <v>#NAME?</v>
      </c>
      <c r="BJ26" s="1669" t="e" cm="1">
        <f t="array" ca="1" aca="1" ref="BJ26">_xlfn.LET(_xlpm.val,IF($F26="",val_blankRefText,_xldudf_CX_GET(CX_ENTITY,($F26),BJ$11,BJ$14,,(BJ$19))),_xlpm.Res,IF(OR(_xlpm.val="",_xlpm.val="Error"),"",_xlpm.val),_xlpm.Res)</f>
        <v>#NAME?</v>
      </c>
      <c r="BK26" s="1669" t="e" cm="1">
        <f t="array" ca="1" aca="1" ref="BK26">_xlfn.LET(_xlpm.val,IF($F26="",val_blankRefText,_xldudf_CX_GET(CX_ENTITY,($F26),BK$11,BK$14,,(BK$19))),_xlpm.Res,IF(OR(_xlpm.val="",_xlpm.val="Error"),"",_xlpm.val),_xlpm.Res)</f>
        <v>#NAME?</v>
      </c>
      <c r="BL26" s="1669" t="e" cm="1">
        <f t="array" ca="1" aca="1" ref="BL26">_xlfn.LET(_xlpm.val,IF($F26="",val_blankRefText,_xldudf_CX_GET(CX_ENTITY,($F26),BL$11,BL$14,,(BL$19))),_xlpm.Res,IF(OR(_xlpm.val="",_xlpm.val="Error"),"",_xlpm.val),_xlpm.Res)</f>
        <v>#NAME?</v>
      </c>
      <c r="BM26" s="1669" t="e" cm="1">
        <f t="array" ca="1" aca="1" ref="BM26">_xlfn.LET(_xlpm.val,IF($F26="",val_blankRefText,_xldudf_CX_GET(CX_ENTITY,($F26),BM$11,BM$14,,(BM$19))),_xlpm.Res,IF(OR(_xlpm.val="",_xlpm.val="Error"),"",_xlpm.val),_xlpm.Res)</f>
        <v>#NAME?</v>
      </c>
      <c r="BN26" s="1669" t="e" cm="1">
        <f t="array" ca="1" aca="1" ref="BN26">_xlfn.LET(_xlpm.val,IF($F26="",val_blankRefText,_xldudf_CX_GET(CX_ENTITY,($F26),BN$11,BN$14,,(BN$19))),_xlpm.Res,IF(OR(_xlpm.val="",_xlpm.val="Error"),"",_xlpm.val),_xlpm.Res)</f>
        <v>#NAME?</v>
      </c>
      <c r="BO26" s="2095"/>
      <c r="BP26" s="2095"/>
      <c r="BQ26" s="2095"/>
      <c r="BR26" s="2095"/>
      <c r="BS26" s="2095"/>
      <c r="BT26" s="2095"/>
      <c r="BU26" s="2095"/>
      <c r="BV26" s="2095"/>
      <c r="BW26" s="2095"/>
      <c r="BX26" s="2095"/>
      <c r="BY26" s="2095"/>
      <c r="BZ26" s="2095"/>
      <c r="CA26" s="34"/>
      <c r="CC26" s="33"/>
      <c r="CD26" s="1461" t="e" cm="1">
        <f t="array" ca="1" aca="1" ref="CD26">_xlfn.LET(_xlpm.CheckBlank,SUM(PL!$AD26:PL!$BN26)=0,IF(_xlpm.CheckBlank,"",SUM(_xlfn._xlws.FILTER(PL!$AD26:$BN26,(YEAR(PL!$AD$12:$BN$12)=PL!CD$12)*(array_timeline&lt;=PL!CD$11)))))</f>
        <v>#NAME?</v>
      </c>
      <c r="CE26" s="1461" t="e" cm="1">
        <f t="array" ca="1" aca="1" ref="CE26">_xlfn.LET(_xlpm.CheckBlank,SUM(PL!$AD26:PL!$BN26)=0,IF(_xlpm.CheckBlank,"",SUM(_xlfn._xlws.FILTER(PL!$AD26:$BN26,(YEAR(PL!$AD$12:$BN$12)=PL!CE$12)*(array_timeline&lt;=PL!CE$11)))))</f>
        <v>#NAME?</v>
      </c>
      <c r="CF26" s="88"/>
      <c r="CG26" s="1461" t="e" cm="1">
        <f t="array" ca="1" aca="1" ref="CG26">_xlfn.LET(_xlpm.CheckBlank,SUM(PL!$AD26:$BN26)=0,IF(_xlpm.CheckBlank,"",SUM(_xlfn._xlws.FILTER(PL!$AD26:$BN26,(YEAR(PL!$AD$12:$BN$12)=PL!CG$12)*(array_timeline&lt;=PL!CG$11)))))</f>
        <v>#NAME?</v>
      </c>
      <c r="CH26" s="1461" t="e" cm="1">
        <f t="array" ca="1" aca="1" ref="CH26">_xlfn.LET(_xlpm.CheckBlank,SUM(PL!$AD26:$BN26)=0,IF(_xlpm.CheckBlank,"",SUM(_xlfn._xlws.FILTER(PL!$AD26:$BN26,(YEAR(PL!$AD$12:$BN$12)=PL!CH$12)*(array_timeline&lt;=PL!CH$11)))))</f>
        <v>#NAME?</v>
      </c>
      <c r="CI26" s="88"/>
      <c r="CJ26" s="1461" cm="1">
        <f t="array" ref="CJ26">_xlfn.LET(_xlpm.CheckBlank,SUM(PL!$AD26:$BN26)=0,IF(_xlpm.CheckBlank,"",SUM(_xlfn.TAKE(_xlfn.DROP(PL!$AD26:$BN26,,-DATEDIFF(PL!CJ$11,val_asOfDate,"M")),1,-12))))</f>
        <v>12</v>
      </c>
      <c r="CK26" s="1461" cm="1">
        <f t="array" ref="CK26">_xlfn.LET(_xlpm.CheckBlank,SUM(PL!$AD26:$BN26)=0,IF(_xlpm.CheckBlank,"",SUM(_xlfn.TAKE(_xlfn.DROP(PL!$AD26:$BN26,,-DATEDIFF(PL!CK$11,val_asOfDate,"M")),1,-12))))</f>
        <v>12</v>
      </c>
      <c r="CL26" s="88"/>
      <c r="CM26" s="1168" t="e" cm="1">
        <f t="array" ca="1" aca="1" ref="CM26">_xlfn.LET(_xlpm.val,IF($F26="",val_blankRefText,_xldudf_CX_GET(CX_ENTITY,($F26),CM$11,CM$14,,(CM$19))),_xlpm.Res,IF(OR(_xlpm.val="",_xlpm.val="Error"),"",_xlpm.val),_xlpm.Res)</f>
        <v>#NAME?</v>
      </c>
      <c r="CN26" s="1168" t="e" cm="1">
        <f t="array" ca="1" aca="1" ref="CN26">_xlfn.LET(_xlpm.val,IF($F26="",val_blankRefText,_xldudf_CX_GET(CX_ENTITY,($F26),CN$11,CN$14,,(CN$19))),_xlpm.Res,IF(OR(_xlpm.val="",_xlpm.val="Error"),"",_xlpm.val),_xlpm.Res)</f>
        <v>#NAME?</v>
      </c>
      <c r="CO26" s="1169"/>
      <c r="CP26" s="1168" t="e" cm="1">
        <f t="array" ca="1" aca="1" ref="CP26">_xlfn.LET(_xlpm.val,IF($F26="",val_blankRefText,_xldudf_CX_GET(CX_ENTITY,($F26),CP$11,CP$14,,(CP$19))),_xlpm.Res,IF(OR(_xlpm.val="",_xlpm.val="Error"),"",_xlpm.val),_xlpm.Res)</f>
        <v>#NAME?</v>
      </c>
      <c r="CQ26" s="1168" t="e" cm="1">
        <f t="array" ca="1" aca="1" ref="CQ26">_xlfn.LET(_xlpm.val,IF($F26="",val_blankRefText,_xldudf_CX_GET(CX_ENTITY,($F26),CQ$11,CQ$14,,(CQ$19))),_xlpm.Res,IF(OR(_xlpm.val="",_xlpm.val="Error"),"",_xlpm.val),_xlpm.Res)</f>
        <v>#NAME?</v>
      </c>
      <c r="CR26" s="34"/>
    </row>
    <row r="27" spans="1:96" ht="21" customHeight="1" outlineLevel="1">
      <c r="A27" s="1322"/>
      <c r="B27" s="2126"/>
      <c r="C27" s="577" t="s">
        <v>1537</v>
      </c>
      <c r="D27" s="1079"/>
      <c r="E27" s="577" t="e" cm="1">
        <f t="array" ca="1" aca="1" ref="E27">_xlfn.LET(_xlpm.val,IF($C27="",val_blankRefText,_xldudf_CX_GET(CX_ENTITY,($C27),val_asOfDate)),_xlpm.Res,IF(OR(_xlpm.val="",_xlpm.val="Error"),"",_xlpm.val),_xlpm.Res)</f>
        <v>#NAME?</v>
      </c>
      <c r="F27" s="577" t="e">
        <f t="shared" ca="1" si="7"/>
        <v>#NAME?</v>
      </c>
      <c r="G27" s="577" t="s">
        <v>1528</v>
      </c>
      <c r="H27" s="1323">
        <v>0</v>
      </c>
      <c r="I27" s="3279">
        <v>1</v>
      </c>
      <c r="J27" s="578"/>
      <c r="K27" s="578"/>
      <c r="L27" s="579" t="b">
        <v>0</v>
      </c>
      <c r="N27" s="158"/>
      <c r="O27" s="101"/>
      <c r="P27" s="52"/>
      <c r="Q27" s="101"/>
      <c r="R27" s="126"/>
      <c r="S27" s="101"/>
      <c r="T27" s="101"/>
      <c r="U27" s="39"/>
      <c r="W27" s="91" t="str">
        <f t="shared" si="4"/>
        <v>Actual</v>
      </c>
      <c r="X27" s="884" t="s">
        <v>62</v>
      </c>
      <c r="Y27" s="911" t="e" cm="1">
        <f t="array" ca="1" aca="1" ref="Y27">IF($B27="",IFBLANK($E27,"Please select or type in or leave as blank ("&amp;ROW(Y27)-ROW($Y$25)&amp;")"),IFBLANK($E27,$B27))</f>
        <v>#NAME?</v>
      </c>
      <c r="Z27" s="198" cm="1">
        <f t="array" ref="Z27">_xlfn.SWITCH(TRUE,ISBLANK(_PL!$L27),"",_PL!$L27=TRUE,1,_PL!$L27=FALSE,-1,_PL!$L27=-1,0,"n/a")</f>
        <v>-1</v>
      </c>
      <c r="AA27" s="200"/>
      <c r="AB27" s="301" t="e">
        <f t="shared" ca="1" si="8"/>
        <v>#NAME?</v>
      </c>
      <c r="AC27" s="1274" t="str" cm="1">
        <f t="array" ca="1" aca="1" ref="AC27">_xlfn.LET(_xlpm.Def,IF(_xlfn.XMATCH(AB27,tbl_acctDef[Term],0)&gt;0,fx_getIcon("find"),""),_xlpm.Adj,IF(_xlfn.XMATCH(AB27,tbl_adjExample[Items],0)&gt;0,fx_getIcon("find"),""),IFERROR(IFBLANK(_xlpm.Def,_xlpm.Adj),""))</f>
        <v/>
      </c>
      <c r="AD27" s="1669" t="e" cm="1">
        <f t="array" ca="1" aca="1" ref="AD27">_xlfn.LET(_xlpm.val,IF($F27="",val_blankRefText,_xldudf_CX_GET(CX_ENTITY,($F27),AD$11,AD$14,,(AD$19))),_xlpm.Res,IF(OR(_xlpm.val="",_xlpm.val="Error"),"",_xlpm.val),_xlpm.Res)</f>
        <v>#NAME?</v>
      </c>
      <c r="AE27" s="1669" t="e" cm="1">
        <f t="array" ca="1" aca="1" ref="AE27">_xlfn.LET(_xlpm.val,IF($F27="",val_blankRefText,_xldudf_CX_GET(CX_ENTITY,($F27),AE$11,AE$14,,(AE$19))),_xlpm.Res,IF(OR(_xlpm.val="",_xlpm.val="Error"),"",_xlpm.val),_xlpm.Res)</f>
        <v>#NAME?</v>
      </c>
      <c r="AF27" s="1669" t="e" cm="1">
        <f t="array" ca="1" aca="1" ref="AF27">_xlfn.LET(_xlpm.val,IF($F27="",val_blankRefText,_xldudf_CX_GET(CX_ENTITY,($F27),AF$11,AF$14,,(AF$19))),_xlpm.Res,IF(OR(_xlpm.val="",_xlpm.val="Error"),"",_xlpm.val),_xlpm.Res)</f>
        <v>#NAME?</v>
      </c>
      <c r="AG27" s="1669" t="e" cm="1">
        <f t="array" ca="1" aca="1" ref="AG27">_xlfn.LET(_xlpm.val,IF($F27="",val_blankRefText,_xldudf_CX_GET(CX_ENTITY,($F27),AG$11,AG$14,,(AG$19))),_xlpm.Res,IF(OR(_xlpm.val="",_xlpm.val="Error"),"",_xlpm.val),_xlpm.Res)</f>
        <v>#NAME?</v>
      </c>
      <c r="AH27" s="1669" t="e" cm="1">
        <f t="array" ca="1" aca="1" ref="AH27">_xlfn.LET(_xlpm.val,IF($F27="",val_blankRefText,_xldudf_CX_GET(CX_ENTITY,($F27),AH$11,AH$14,,(AH$19))),_xlpm.Res,IF(OR(_xlpm.val="",_xlpm.val="Error"),"",_xlpm.val),_xlpm.Res)</f>
        <v>#NAME?</v>
      </c>
      <c r="AI27" s="1669" t="e" cm="1">
        <f t="array" ca="1" aca="1" ref="AI27">_xlfn.LET(_xlpm.val,IF($F27="",val_blankRefText,_xldudf_CX_GET(CX_ENTITY,($F27),AI$11,AI$14,,(AI$19))),_xlpm.Res,IF(OR(_xlpm.val="",_xlpm.val="Error"),"",_xlpm.val),_xlpm.Res)</f>
        <v>#NAME?</v>
      </c>
      <c r="AJ27" s="1669" t="e" cm="1">
        <f t="array" ca="1" aca="1" ref="AJ27">_xlfn.LET(_xlpm.val,IF($F27="",val_blankRefText,_xldudf_CX_GET(CX_ENTITY,($F27),AJ$11,AJ$14,,(AJ$19))),_xlpm.Res,IF(OR(_xlpm.val="",_xlpm.val="Error"),"",_xlpm.val),_xlpm.Res)</f>
        <v>#NAME?</v>
      </c>
      <c r="AK27" s="1669" t="e" cm="1">
        <f t="array" ca="1" aca="1" ref="AK27">_xlfn.LET(_xlpm.val,IF($F27="",val_blankRefText,_xldudf_CX_GET(CX_ENTITY,($F27),AK$11,AK$14,,(AK$19))),_xlpm.Res,IF(OR(_xlpm.val="",_xlpm.val="Error"),"",_xlpm.val),_xlpm.Res)</f>
        <v>#NAME?</v>
      </c>
      <c r="AL27" s="1669" t="e" cm="1">
        <f t="array" ca="1" aca="1" ref="AL27">_xlfn.LET(_xlpm.val,IF($F27="",val_blankRefText,_xldudf_CX_GET(CX_ENTITY,($F27),AL$11,AL$14,,(AL$19))),_xlpm.Res,IF(OR(_xlpm.val="",_xlpm.val="Error"),"",_xlpm.val),_xlpm.Res)</f>
        <v>#NAME?</v>
      </c>
      <c r="AM27" s="1669" t="e" cm="1">
        <f t="array" ca="1" aca="1" ref="AM27">_xlfn.LET(_xlpm.val,IF($F27="",val_blankRefText,_xldudf_CX_GET(CX_ENTITY,($F27),AM$11,AM$14,,(AM$19))),_xlpm.Res,IF(OR(_xlpm.val="",_xlpm.val="Error"),"",_xlpm.val),_xlpm.Res)</f>
        <v>#NAME?</v>
      </c>
      <c r="AN27" s="1669" t="e" cm="1">
        <f t="array" ca="1" aca="1" ref="AN27">_xlfn.LET(_xlpm.val,IF($F27="",val_blankRefText,_xldudf_CX_GET(CX_ENTITY,($F27),AN$11,AN$14,,(AN$19))),_xlpm.Res,IF(OR(_xlpm.val="",_xlpm.val="Error"),"",_xlpm.val),_xlpm.Res)</f>
        <v>#NAME?</v>
      </c>
      <c r="AO27" s="1669" t="e" cm="1">
        <f t="array" ca="1" aca="1" ref="AO27">_xlfn.LET(_xlpm.val,IF($F27="",val_blankRefText,_xldudf_CX_GET(CX_ENTITY,($F27),AO$11,AO$14,,(AO$19))),_xlpm.Res,IF(OR(_xlpm.val="",_xlpm.val="Error"),"",_xlpm.val),_xlpm.Res)</f>
        <v>#NAME?</v>
      </c>
      <c r="AP27" s="1669" t="e" cm="1">
        <f t="array" ca="1" aca="1" ref="AP27">_xlfn.LET(_xlpm.val,IF($F27="",val_blankRefText,_xldudf_CX_GET(CX_ENTITY,($F27),AP$11,AP$14,,(AP$19))),_xlpm.Res,IF(OR(_xlpm.val="",_xlpm.val="Error"),"",_xlpm.val),_xlpm.Res)</f>
        <v>#NAME?</v>
      </c>
      <c r="AQ27" s="1669" t="e" cm="1">
        <f t="array" ca="1" aca="1" ref="AQ27">_xlfn.LET(_xlpm.val,IF($F27="",val_blankRefText,_xldudf_CX_GET(CX_ENTITY,($F27),AQ$11,AQ$14,,(AQ$19))),_xlpm.Res,IF(OR(_xlpm.val="",_xlpm.val="Error"),"",_xlpm.val),_xlpm.Res)</f>
        <v>#NAME?</v>
      </c>
      <c r="AR27" s="1669" t="e" cm="1">
        <f t="array" ca="1" aca="1" ref="AR27">_xlfn.LET(_xlpm.val,IF($F27="",val_blankRefText,_xldudf_CX_GET(CX_ENTITY,($F27),AR$11,AR$14,,(AR$19))),_xlpm.Res,IF(OR(_xlpm.val="",_xlpm.val="Error"),"",_xlpm.val),_xlpm.Res)</f>
        <v>#NAME?</v>
      </c>
      <c r="AS27" s="1669" t="e" cm="1">
        <f t="array" ca="1" aca="1" ref="AS27">_xlfn.LET(_xlpm.val,IF($F27="",val_blankRefText,_xldudf_CX_GET(CX_ENTITY,($F27),AS$11,AS$14,,(AS$19))),_xlpm.Res,IF(OR(_xlpm.val="",_xlpm.val="Error"),"",_xlpm.val),_xlpm.Res)</f>
        <v>#NAME?</v>
      </c>
      <c r="AT27" s="1669" t="e" cm="1">
        <f t="array" ca="1" aca="1" ref="AT27">_xlfn.LET(_xlpm.val,IF($F27="",val_blankRefText,_xldudf_CX_GET(CX_ENTITY,($F27),AT$11,AT$14,,(AT$19))),_xlpm.Res,IF(OR(_xlpm.val="",_xlpm.val="Error"),"",_xlpm.val),_xlpm.Res)</f>
        <v>#NAME?</v>
      </c>
      <c r="AU27" s="1669" t="e" cm="1">
        <f t="array" ca="1" aca="1" ref="AU27">_xlfn.LET(_xlpm.val,IF($F27="",val_blankRefText,_xldudf_CX_GET(CX_ENTITY,($F27),AU$11,AU$14,,(AU$19))),_xlpm.Res,IF(OR(_xlpm.val="",_xlpm.val="Error"),"",_xlpm.val),_xlpm.Res)</f>
        <v>#NAME?</v>
      </c>
      <c r="AV27" s="1669" t="e" cm="1">
        <f t="array" ca="1" aca="1" ref="AV27">_xlfn.LET(_xlpm.val,IF($F27="",val_blankRefText,_xldudf_CX_GET(CX_ENTITY,($F27),AV$11,AV$14,,(AV$19))),_xlpm.Res,IF(OR(_xlpm.val="",_xlpm.val="Error"),"",_xlpm.val),_xlpm.Res)</f>
        <v>#NAME?</v>
      </c>
      <c r="AW27" s="1669" t="e" cm="1">
        <f t="array" ca="1" aca="1" ref="AW27">_xlfn.LET(_xlpm.val,IF($F27="",val_blankRefText,_xldudf_CX_GET(CX_ENTITY,($F27),AW$11,AW$14,,(AW$19))),_xlpm.Res,IF(OR(_xlpm.val="",_xlpm.val="Error"),"",_xlpm.val),_xlpm.Res)</f>
        <v>#NAME?</v>
      </c>
      <c r="AX27" s="1669" t="e" cm="1">
        <f t="array" ca="1" aca="1" ref="AX27">_xlfn.LET(_xlpm.val,IF($F27="",val_blankRefText,_xldudf_CX_GET(CX_ENTITY,($F27),AX$11,AX$14,,(AX$19))),_xlpm.Res,IF(OR(_xlpm.val="",_xlpm.val="Error"),"",_xlpm.val),_xlpm.Res)</f>
        <v>#NAME?</v>
      </c>
      <c r="AY27" s="1669" t="e" cm="1">
        <f t="array" ca="1" aca="1" ref="AY27">_xlfn.LET(_xlpm.val,IF($F27="",val_blankRefText,_xldudf_CX_GET(CX_ENTITY,($F27),AY$11,AY$14,,(AY$19))),_xlpm.Res,IF(OR(_xlpm.val="",_xlpm.val="Error"),"",_xlpm.val),_xlpm.Res)</f>
        <v>#NAME?</v>
      </c>
      <c r="AZ27" s="1669" t="e" cm="1">
        <f t="array" ca="1" aca="1" ref="AZ27">_xlfn.LET(_xlpm.val,IF($F27="",val_blankRefText,_xldudf_CX_GET(CX_ENTITY,($F27),AZ$11,AZ$14,,(AZ$19))),_xlpm.Res,IF(OR(_xlpm.val="",_xlpm.val="Error"),"",_xlpm.val),_xlpm.Res)</f>
        <v>#NAME?</v>
      </c>
      <c r="BA27" s="1669" t="e" cm="1">
        <f t="array" ca="1" aca="1" ref="BA27">_xlfn.LET(_xlpm.val,IF($F27="",val_blankRefText,_xldudf_CX_GET(CX_ENTITY,($F27),BA$11,BA$14,,(BA$19))),_xlpm.Res,IF(OR(_xlpm.val="",_xlpm.val="Error"),"",_xlpm.val),_xlpm.Res)</f>
        <v>#NAME?</v>
      </c>
      <c r="BB27" s="1669" t="e" cm="1">
        <f t="array" ca="1" aca="1" ref="BB27">_xlfn.LET(_xlpm.val,IF($F27="",val_blankRefText,_xldudf_CX_GET(CX_ENTITY,($F27),BB$11,BB$14,,(BB$19))),_xlpm.Res,IF(OR(_xlpm.val="",_xlpm.val="Error"),"",_xlpm.val),_xlpm.Res)</f>
        <v>#NAME?</v>
      </c>
      <c r="BC27" s="1669" t="e" cm="1">
        <f t="array" ca="1" aca="1" ref="BC27">_xlfn.LET(_xlpm.val,IF($F27="",val_blankRefText,_xldudf_CX_GET(CX_ENTITY,($F27),BC$11,BC$14,,(BC$19))),_xlpm.Res,IF(OR(_xlpm.val="",_xlpm.val="Error"),"",_xlpm.val),_xlpm.Res)</f>
        <v>#NAME?</v>
      </c>
      <c r="BD27" s="1669" t="e" cm="1">
        <f t="array" ca="1" aca="1" ref="BD27">_xlfn.LET(_xlpm.val,IF($F27="",val_blankRefText,_xldudf_CX_GET(CX_ENTITY,($F27),BD$11,BD$14,,(BD$19))),_xlpm.Res,IF(OR(_xlpm.val="",_xlpm.val="Error"),"",_xlpm.val),_xlpm.Res)</f>
        <v>#NAME?</v>
      </c>
      <c r="BE27" s="1669" t="e" cm="1">
        <f t="array" ca="1" aca="1" ref="BE27">_xlfn.LET(_xlpm.val,IF($F27="",val_blankRefText,_xldudf_CX_GET(CX_ENTITY,($F27),BE$11,BE$14,,(BE$19))),_xlpm.Res,IF(OR(_xlpm.val="",_xlpm.val="Error"),"",_xlpm.val),_xlpm.Res)</f>
        <v>#NAME?</v>
      </c>
      <c r="BF27" s="1669" t="e" cm="1">
        <f t="array" ca="1" aca="1" ref="BF27">_xlfn.LET(_xlpm.val,IF($F27="",val_blankRefText,_xldudf_CX_GET(CX_ENTITY,($F27),BF$11,BF$14,,(BF$19))),_xlpm.Res,IF(OR(_xlpm.val="",_xlpm.val="Error"),"",_xlpm.val),_xlpm.Res)</f>
        <v>#NAME?</v>
      </c>
      <c r="BG27" s="1669" t="e" cm="1">
        <f t="array" ca="1" aca="1" ref="BG27">_xlfn.LET(_xlpm.val,IF($F27="",val_blankRefText,_xldudf_CX_GET(CX_ENTITY,($F27),BG$11,BG$14,,(BG$19))),_xlpm.Res,IF(OR(_xlpm.val="",_xlpm.val="Error"),"",_xlpm.val),_xlpm.Res)</f>
        <v>#NAME?</v>
      </c>
      <c r="BH27" s="1669" t="e" cm="1">
        <f t="array" ca="1" aca="1" ref="BH27">_xlfn.LET(_xlpm.val,IF($F27="",val_blankRefText,_xldudf_CX_GET(CX_ENTITY,($F27),BH$11,BH$14,,(BH$19))),_xlpm.Res,IF(OR(_xlpm.val="",_xlpm.val="Error"),"",_xlpm.val),_xlpm.Res)</f>
        <v>#NAME?</v>
      </c>
      <c r="BI27" s="1669" t="e" cm="1">
        <f t="array" ca="1" aca="1" ref="BI27">_xlfn.LET(_xlpm.val,IF($F27="",val_blankRefText,_xldudf_CX_GET(CX_ENTITY,($F27),BI$11,BI$14,,(BI$19))),_xlpm.Res,IF(OR(_xlpm.val="",_xlpm.val="Error"),"",_xlpm.val),_xlpm.Res)</f>
        <v>#NAME?</v>
      </c>
      <c r="BJ27" s="1669" t="e" cm="1">
        <f t="array" ca="1" aca="1" ref="BJ27">_xlfn.LET(_xlpm.val,IF($F27="",val_blankRefText,_xldudf_CX_GET(CX_ENTITY,($F27),BJ$11,BJ$14,,(BJ$19))),_xlpm.Res,IF(OR(_xlpm.val="",_xlpm.val="Error"),"",_xlpm.val),_xlpm.Res)</f>
        <v>#NAME?</v>
      </c>
      <c r="BK27" s="1669" t="e" cm="1">
        <f t="array" ca="1" aca="1" ref="BK27">_xlfn.LET(_xlpm.val,IF($F27="",val_blankRefText,_xldudf_CX_GET(CX_ENTITY,($F27),BK$11,BK$14,,(BK$19))),_xlpm.Res,IF(OR(_xlpm.val="",_xlpm.val="Error"),"",_xlpm.val),_xlpm.Res)</f>
        <v>#NAME?</v>
      </c>
      <c r="BL27" s="1669" t="e" cm="1">
        <f t="array" ca="1" aca="1" ref="BL27">_xlfn.LET(_xlpm.val,IF($F27="",val_blankRefText,_xldudf_CX_GET(CX_ENTITY,($F27),BL$11,BL$14,,(BL$19))),_xlpm.Res,IF(OR(_xlpm.val="",_xlpm.val="Error"),"",_xlpm.val),_xlpm.Res)</f>
        <v>#NAME?</v>
      </c>
      <c r="BM27" s="1669" t="e" cm="1">
        <f t="array" ca="1" aca="1" ref="BM27">_xlfn.LET(_xlpm.val,IF($F27="",val_blankRefText,_xldudf_CX_GET(CX_ENTITY,($F27),BM$11,BM$14,,(BM$19))),_xlpm.Res,IF(OR(_xlpm.val="",_xlpm.val="Error"),"",_xlpm.val),_xlpm.Res)</f>
        <v>#NAME?</v>
      </c>
      <c r="BN27" s="1669" t="e" cm="1">
        <f t="array" ca="1" aca="1" ref="BN27">_xlfn.LET(_xlpm.val,IF($F27="",val_blankRefText,_xldudf_CX_GET(CX_ENTITY,($F27),BN$11,BN$14,,(BN$19))),_xlpm.Res,IF(OR(_xlpm.val="",_xlpm.val="Error"),"",_xlpm.val),_xlpm.Res)</f>
        <v>#NAME?</v>
      </c>
      <c r="BO27" s="2095"/>
      <c r="BP27" s="2095"/>
      <c r="BQ27" s="2095"/>
      <c r="BR27" s="2095"/>
      <c r="BS27" s="2095"/>
      <c r="BT27" s="2095"/>
      <c r="BU27" s="2095"/>
      <c r="BV27" s="2095"/>
      <c r="BW27" s="2095"/>
      <c r="BX27" s="2095"/>
      <c r="BY27" s="2095"/>
      <c r="BZ27" s="2095"/>
      <c r="CA27" s="34"/>
      <c r="CC27" s="33"/>
      <c r="CD27" s="1461" t="e" cm="1">
        <f t="array" ca="1" aca="1" ref="CD27">_xlfn.LET(_xlpm.CheckBlank,SUM(PL!$AD27:PL!$BN27)=0,IF(_xlpm.CheckBlank,"",SUM(_xlfn._xlws.FILTER(PL!$AD27:$BN27,(YEAR(PL!$AD$12:$BN$12)=PL!CD$12)*(array_timeline&lt;=PL!CD$11)))))</f>
        <v>#NAME?</v>
      </c>
      <c r="CE27" s="1461" t="e" cm="1">
        <f t="array" ca="1" aca="1" ref="CE27">_xlfn.LET(_xlpm.CheckBlank,SUM(PL!$AD27:PL!$BN27)=0,IF(_xlpm.CheckBlank,"",SUM(_xlfn._xlws.FILTER(PL!$AD27:$BN27,(YEAR(PL!$AD$12:$BN$12)=PL!CE$12)*(array_timeline&lt;=PL!CE$11)))))</f>
        <v>#NAME?</v>
      </c>
      <c r="CF27" s="88"/>
      <c r="CG27" s="1461" t="e" cm="1">
        <f t="array" ca="1" aca="1" ref="CG27">_xlfn.LET(_xlpm.CheckBlank,SUM(PL!$AD27:$BN27)=0,IF(_xlpm.CheckBlank,"",SUM(_xlfn._xlws.FILTER(PL!$AD27:$BN27,(YEAR(PL!$AD$12:$BN$12)=PL!CG$12)*(array_timeline&lt;=PL!CG$11)))))</f>
        <v>#NAME?</v>
      </c>
      <c r="CH27" s="1461" t="e" cm="1">
        <f t="array" ca="1" aca="1" ref="CH27">_xlfn.LET(_xlpm.CheckBlank,SUM(PL!$AD27:$BN27)=0,IF(_xlpm.CheckBlank,"",SUM(_xlfn._xlws.FILTER(PL!$AD27:$BN27,(YEAR(PL!$AD$12:$BN$12)=PL!CH$12)*(array_timeline&lt;=PL!CH$11)))))</f>
        <v>#NAME?</v>
      </c>
      <c r="CI27" s="88"/>
      <c r="CJ27" s="1461" cm="1">
        <f t="array" ref="CJ27">_xlfn.LET(_xlpm.CheckBlank,SUM(PL!$AD27:$BN27)=0,IF(_xlpm.CheckBlank,"",SUM(_xlfn.TAKE(_xlfn.DROP(PL!$AD27:$BN27,,-DATEDIFF(PL!CJ$11,val_asOfDate,"M")),1,-12))))</f>
        <v>12</v>
      </c>
      <c r="CK27" s="1461" cm="1">
        <f t="array" ref="CK27">_xlfn.LET(_xlpm.CheckBlank,SUM(PL!$AD27:$BN27)=0,IF(_xlpm.CheckBlank,"",SUM(_xlfn.TAKE(_xlfn.DROP(PL!$AD27:$BN27,,-DATEDIFF(PL!CK$11,val_asOfDate,"M")),1,-12))))</f>
        <v>12</v>
      </c>
      <c r="CL27" s="88"/>
      <c r="CM27" s="1168" t="e" cm="1">
        <f t="array" ca="1" aca="1" ref="CM27">_xlfn.LET(_xlpm.val,IF($F27="",val_blankRefText,_xldudf_CX_GET(CX_ENTITY,($F27),CM$11,CM$14,,(CM$19))),_xlpm.Res,IF(OR(_xlpm.val="",_xlpm.val="Error"),"",_xlpm.val),_xlpm.Res)</f>
        <v>#NAME?</v>
      </c>
      <c r="CN27" s="1168" t="e" cm="1">
        <f t="array" ca="1" aca="1" ref="CN27">_xlfn.LET(_xlpm.val,IF($F27="",val_blankRefText,_xldudf_CX_GET(CX_ENTITY,($F27),CN$11,CN$14,,(CN$19))),_xlpm.Res,IF(OR(_xlpm.val="",_xlpm.val="Error"),"",_xlpm.val),_xlpm.Res)</f>
        <v>#NAME?</v>
      </c>
      <c r="CO27" s="1169"/>
      <c r="CP27" s="1168" t="e" cm="1">
        <f t="array" ca="1" aca="1" ref="CP27">_xlfn.LET(_xlpm.val,IF($F27="",val_blankRefText,_xldudf_CX_GET(CX_ENTITY,($F27),CP$11,CP$14,,(CP$19))),_xlpm.Res,IF(OR(_xlpm.val="",_xlpm.val="Error"),"",_xlpm.val),_xlpm.Res)</f>
        <v>#NAME?</v>
      </c>
      <c r="CQ27" s="1168" t="e" cm="1">
        <f t="array" ca="1" aca="1" ref="CQ27">_xlfn.LET(_xlpm.val,IF($F27="",val_blankRefText,_xldudf_CX_GET(CX_ENTITY,($F27),CQ$11,CQ$14,,(CQ$19))),_xlpm.Res,IF(OR(_xlpm.val="",_xlpm.val="Error"),"",_xlpm.val),_xlpm.Res)</f>
        <v>#NAME?</v>
      </c>
      <c r="CR27" s="34"/>
    </row>
    <row r="28" spans="1:96" ht="21" customHeight="1" outlineLevel="1">
      <c r="A28" s="1322"/>
      <c r="B28" s="2126"/>
      <c r="C28" s="577" t="s">
        <v>1538</v>
      </c>
      <c r="D28" s="1079"/>
      <c r="E28" s="577" t="e" cm="1">
        <f t="array" ca="1" aca="1" ref="E28">_xlfn.LET(_xlpm.val,IF($C28="",val_blankRefText,_xldudf_CX_GET(CX_ENTITY,($C28),val_asOfDate)),_xlpm.Res,IF(OR(_xlpm.val="",_xlpm.val="Error"),"",_xlpm.val),_xlpm.Res)</f>
        <v>#NAME?</v>
      </c>
      <c r="F28" s="577" t="e">
        <f t="shared" ca="1" si="7"/>
        <v>#NAME?</v>
      </c>
      <c r="G28" s="577" t="s">
        <v>1528</v>
      </c>
      <c r="H28" s="1323">
        <v>0</v>
      </c>
      <c r="I28" s="3279">
        <v>1</v>
      </c>
      <c r="J28" s="578"/>
      <c r="K28" s="578"/>
      <c r="L28" s="579" t="b">
        <v>0</v>
      </c>
      <c r="N28" s="158"/>
      <c r="O28" s="101"/>
      <c r="P28" s="52"/>
      <c r="Q28" s="101"/>
      <c r="R28" s="126"/>
      <c r="S28" s="101"/>
      <c r="T28" s="101"/>
      <c r="U28" s="39"/>
      <c r="W28" s="91" t="str">
        <f t="shared" si="4"/>
        <v>Actual</v>
      </c>
      <c r="X28" s="884" t="s">
        <v>62</v>
      </c>
      <c r="Y28" s="911" t="e" cm="1">
        <f t="array" ca="1" aca="1" ref="Y28">IF($B28="",IFBLANK($E28,"Please select or type in or leave as blank ("&amp;ROW(Y28)-ROW($Y$25)&amp;")"),IFBLANK($E28,$B28))</f>
        <v>#NAME?</v>
      </c>
      <c r="Z28" s="198" cm="1">
        <f t="array" ref="Z28">_xlfn.SWITCH(TRUE,ISBLANK(_PL!$L28),"",_PL!$L28=TRUE,1,_PL!$L28=FALSE,-1,_PL!$L28=-1,0,"n/a")</f>
        <v>-1</v>
      </c>
      <c r="AA28" s="200"/>
      <c r="AB28" s="301" t="e">
        <f t="shared" ca="1" si="8"/>
        <v>#NAME?</v>
      </c>
      <c r="AC28" s="1274" t="str" cm="1">
        <f t="array" ca="1" aca="1" ref="AC28">_xlfn.LET(_xlpm.Def,IF(_xlfn.XMATCH(AB28,tbl_acctDef[Term],0)&gt;0,fx_getIcon("find"),""),_xlpm.Adj,IF(_xlfn.XMATCH(AB28,tbl_adjExample[Items],0)&gt;0,fx_getIcon("find"),""),IFERROR(IFBLANK(_xlpm.Def,_xlpm.Adj),""))</f>
        <v/>
      </c>
      <c r="AD28" s="1669" t="e" cm="1">
        <f t="array" ca="1" aca="1" ref="AD28">_xlfn.LET(_xlpm.val,IF($F28="",val_blankRefText,_xldudf_CX_GET(CX_ENTITY,($F28),AD$11,AD$14,,(AD$19))),_xlpm.Res,IF(OR(_xlpm.val="",_xlpm.val="Error"),"",_xlpm.val),_xlpm.Res)</f>
        <v>#NAME?</v>
      </c>
      <c r="AE28" s="1669" t="e" cm="1">
        <f t="array" ca="1" aca="1" ref="AE28">_xlfn.LET(_xlpm.val,IF($F28="",val_blankRefText,_xldudf_CX_GET(CX_ENTITY,($F28),AE$11,AE$14,,(AE$19))),_xlpm.Res,IF(OR(_xlpm.val="",_xlpm.val="Error"),"",_xlpm.val),_xlpm.Res)</f>
        <v>#NAME?</v>
      </c>
      <c r="AF28" s="1669" t="e" cm="1">
        <f t="array" ca="1" aca="1" ref="AF28">_xlfn.LET(_xlpm.val,IF($F28="",val_blankRefText,_xldudf_CX_GET(CX_ENTITY,($F28),AF$11,AF$14,,(AF$19))),_xlpm.Res,IF(OR(_xlpm.val="",_xlpm.val="Error"),"",_xlpm.val),_xlpm.Res)</f>
        <v>#NAME?</v>
      </c>
      <c r="AG28" s="1669" t="e" cm="1">
        <f t="array" ca="1" aca="1" ref="AG28">_xlfn.LET(_xlpm.val,IF($F28="",val_blankRefText,_xldudf_CX_GET(CX_ENTITY,($F28),AG$11,AG$14,,(AG$19))),_xlpm.Res,IF(OR(_xlpm.val="",_xlpm.val="Error"),"",_xlpm.val),_xlpm.Res)</f>
        <v>#NAME?</v>
      </c>
      <c r="AH28" s="1669" t="e" cm="1">
        <f t="array" ca="1" aca="1" ref="AH28">_xlfn.LET(_xlpm.val,IF($F28="",val_blankRefText,_xldudf_CX_GET(CX_ENTITY,($F28),AH$11,AH$14,,(AH$19))),_xlpm.Res,IF(OR(_xlpm.val="",_xlpm.val="Error"),"",_xlpm.val),_xlpm.Res)</f>
        <v>#NAME?</v>
      </c>
      <c r="AI28" s="1669" t="e" cm="1">
        <f t="array" ca="1" aca="1" ref="AI28">_xlfn.LET(_xlpm.val,IF($F28="",val_blankRefText,_xldudf_CX_GET(CX_ENTITY,($F28),AI$11,AI$14,,(AI$19))),_xlpm.Res,IF(OR(_xlpm.val="",_xlpm.val="Error"),"",_xlpm.val),_xlpm.Res)</f>
        <v>#NAME?</v>
      </c>
      <c r="AJ28" s="1669" t="e" cm="1">
        <f t="array" ca="1" aca="1" ref="AJ28">_xlfn.LET(_xlpm.val,IF($F28="",val_blankRefText,_xldudf_CX_GET(CX_ENTITY,($F28),AJ$11,AJ$14,,(AJ$19))),_xlpm.Res,IF(OR(_xlpm.val="",_xlpm.val="Error"),"",_xlpm.val),_xlpm.Res)</f>
        <v>#NAME?</v>
      </c>
      <c r="AK28" s="1669" t="e" cm="1">
        <f t="array" ca="1" aca="1" ref="AK28">_xlfn.LET(_xlpm.val,IF($F28="",val_blankRefText,_xldudf_CX_GET(CX_ENTITY,($F28),AK$11,AK$14,,(AK$19))),_xlpm.Res,IF(OR(_xlpm.val="",_xlpm.val="Error"),"",_xlpm.val),_xlpm.Res)</f>
        <v>#NAME?</v>
      </c>
      <c r="AL28" s="1669" t="e" cm="1">
        <f t="array" ca="1" aca="1" ref="AL28">_xlfn.LET(_xlpm.val,IF($F28="",val_blankRefText,_xldudf_CX_GET(CX_ENTITY,($F28),AL$11,AL$14,,(AL$19))),_xlpm.Res,IF(OR(_xlpm.val="",_xlpm.val="Error"),"",_xlpm.val),_xlpm.Res)</f>
        <v>#NAME?</v>
      </c>
      <c r="AM28" s="1669" t="e" cm="1">
        <f t="array" ca="1" aca="1" ref="AM28">_xlfn.LET(_xlpm.val,IF($F28="",val_blankRefText,_xldudf_CX_GET(CX_ENTITY,($F28),AM$11,AM$14,,(AM$19))),_xlpm.Res,IF(OR(_xlpm.val="",_xlpm.val="Error"),"",_xlpm.val),_xlpm.Res)</f>
        <v>#NAME?</v>
      </c>
      <c r="AN28" s="1669" t="e" cm="1">
        <f t="array" ca="1" aca="1" ref="AN28">_xlfn.LET(_xlpm.val,IF($F28="",val_blankRefText,_xldudf_CX_GET(CX_ENTITY,($F28),AN$11,AN$14,,(AN$19))),_xlpm.Res,IF(OR(_xlpm.val="",_xlpm.val="Error"),"",_xlpm.val),_xlpm.Res)</f>
        <v>#NAME?</v>
      </c>
      <c r="AO28" s="1669" t="e" cm="1">
        <f t="array" ca="1" aca="1" ref="AO28">_xlfn.LET(_xlpm.val,IF($F28="",val_blankRefText,_xldudf_CX_GET(CX_ENTITY,($F28),AO$11,AO$14,,(AO$19))),_xlpm.Res,IF(OR(_xlpm.val="",_xlpm.val="Error"),"",_xlpm.val),_xlpm.Res)</f>
        <v>#NAME?</v>
      </c>
      <c r="AP28" s="1669" t="e" cm="1">
        <f t="array" ca="1" aca="1" ref="AP28">_xlfn.LET(_xlpm.val,IF($F28="",val_blankRefText,_xldudf_CX_GET(CX_ENTITY,($F28),AP$11,AP$14,,(AP$19))),_xlpm.Res,IF(OR(_xlpm.val="",_xlpm.val="Error"),"",_xlpm.val),_xlpm.Res)</f>
        <v>#NAME?</v>
      </c>
      <c r="AQ28" s="1669" t="e" cm="1">
        <f t="array" ca="1" aca="1" ref="AQ28">_xlfn.LET(_xlpm.val,IF($F28="",val_blankRefText,_xldudf_CX_GET(CX_ENTITY,($F28),AQ$11,AQ$14,,(AQ$19))),_xlpm.Res,IF(OR(_xlpm.val="",_xlpm.val="Error"),"",_xlpm.val),_xlpm.Res)</f>
        <v>#NAME?</v>
      </c>
      <c r="AR28" s="1669" t="e" cm="1">
        <f t="array" ca="1" aca="1" ref="AR28">_xlfn.LET(_xlpm.val,IF($F28="",val_blankRefText,_xldudf_CX_GET(CX_ENTITY,($F28),AR$11,AR$14,,(AR$19))),_xlpm.Res,IF(OR(_xlpm.val="",_xlpm.val="Error"),"",_xlpm.val),_xlpm.Res)</f>
        <v>#NAME?</v>
      </c>
      <c r="AS28" s="1669" t="e" cm="1">
        <f t="array" ca="1" aca="1" ref="AS28">_xlfn.LET(_xlpm.val,IF($F28="",val_blankRefText,_xldudf_CX_GET(CX_ENTITY,($F28),AS$11,AS$14,,(AS$19))),_xlpm.Res,IF(OR(_xlpm.val="",_xlpm.val="Error"),"",_xlpm.val),_xlpm.Res)</f>
        <v>#NAME?</v>
      </c>
      <c r="AT28" s="1669" t="e" cm="1">
        <f t="array" ca="1" aca="1" ref="AT28">_xlfn.LET(_xlpm.val,IF($F28="",val_blankRefText,_xldudf_CX_GET(CX_ENTITY,($F28),AT$11,AT$14,,(AT$19))),_xlpm.Res,IF(OR(_xlpm.val="",_xlpm.val="Error"),"",_xlpm.val),_xlpm.Res)</f>
        <v>#NAME?</v>
      </c>
      <c r="AU28" s="1669" t="e" cm="1">
        <f t="array" ca="1" aca="1" ref="AU28">_xlfn.LET(_xlpm.val,IF($F28="",val_blankRefText,_xldudf_CX_GET(CX_ENTITY,($F28),AU$11,AU$14,,(AU$19))),_xlpm.Res,IF(OR(_xlpm.val="",_xlpm.val="Error"),"",_xlpm.val),_xlpm.Res)</f>
        <v>#NAME?</v>
      </c>
      <c r="AV28" s="1669" t="e" cm="1">
        <f t="array" ca="1" aca="1" ref="AV28">_xlfn.LET(_xlpm.val,IF($F28="",val_blankRefText,_xldudf_CX_GET(CX_ENTITY,($F28),AV$11,AV$14,,(AV$19))),_xlpm.Res,IF(OR(_xlpm.val="",_xlpm.val="Error"),"",_xlpm.val),_xlpm.Res)</f>
        <v>#NAME?</v>
      </c>
      <c r="AW28" s="1669" t="e" cm="1">
        <f t="array" ca="1" aca="1" ref="AW28">_xlfn.LET(_xlpm.val,IF($F28="",val_blankRefText,_xldudf_CX_GET(CX_ENTITY,($F28),AW$11,AW$14,,(AW$19))),_xlpm.Res,IF(OR(_xlpm.val="",_xlpm.val="Error"),"",_xlpm.val),_xlpm.Res)</f>
        <v>#NAME?</v>
      </c>
      <c r="AX28" s="1669" t="e" cm="1">
        <f t="array" ca="1" aca="1" ref="AX28">_xlfn.LET(_xlpm.val,IF($F28="",val_blankRefText,_xldudf_CX_GET(CX_ENTITY,($F28),AX$11,AX$14,,(AX$19))),_xlpm.Res,IF(OR(_xlpm.val="",_xlpm.val="Error"),"",_xlpm.val),_xlpm.Res)</f>
        <v>#NAME?</v>
      </c>
      <c r="AY28" s="1669" t="e" cm="1">
        <f t="array" ca="1" aca="1" ref="AY28">_xlfn.LET(_xlpm.val,IF($F28="",val_blankRefText,_xldudf_CX_GET(CX_ENTITY,($F28),AY$11,AY$14,,(AY$19))),_xlpm.Res,IF(OR(_xlpm.val="",_xlpm.val="Error"),"",_xlpm.val),_xlpm.Res)</f>
        <v>#NAME?</v>
      </c>
      <c r="AZ28" s="1669" t="e" cm="1">
        <f t="array" ca="1" aca="1" ref="AZ28">_xlfn.LET(_xlpm.val,IF($F28="",val_blankRefText,_xldudf_CX_GET(CX_ENTITY,($F28),AZ$11,AZ$14,,(AZ$19))),_xlpm.Res,IF(OR(_xlpm.val="",_xlpm.val="Error"),"",_xlpm.val),_xlpm.Res)</f>
        <v>#NAME?</v>
      </c>
      <c r="BA28" s="1669" t="e" cm="1">
        <f t="array" ca="1" aca="1" ref="BA28">_xlfn.LET(_xlpm.val,IF($F28="",val_blankRefText,_xldudf_CX_GET(CX_ENTITY,($F28),BA$11,BA$14,,(BA$19))),_xlpm.Res,IF(OR(_xlpm.val="",_xlpm.val="Error"),"",_xlpm.val),_xlpm.Res)</f>
        <v>#NAME?</v>
      </c>
      <c r="BB28" s="1669" t="e" cm="1">
        <f t="array" ca="1" aca="1" ref="BB28">_xlfn.LET(_xlpm.val,IF($F28="",val_blankRefText,_xldudf_CX_GET(CX_ENTITY,($F28),BB$11,BB$14,,(BB$19))),_xlpm.Res,IF(OR(_xlpm.val="",_xlpm.val="Error"),"",_xlpm.val),_xlpm.Res)</f>
        <v>#NAME?</v>
      </c>
      <c r="BC28" s="1669" t="e" cm="1">
        <f t="array" ca="1" aca="1" ref="BC28">_xlfn.LET(_xlpm.val,IF($F28="",val_blankRefText,_xldudf_CX_GET(CX_ENTITY,($F28),BC$11,BC$14,,(BC$19))),_xlpm.Res,IF(OR(_xlpm.val="",_xlpm.val="Error"),"",_xlpm.val),_xlpm.Res)</f>
        <v>#NAME?</v>
      </c>
      <c r="BD28" s="1669" t="e" cm="1">
        <f t="array" ca="1" aca="1" ref="BD28">_xlfn.LET(_xlpm.val,IF($F28="",val_blankRefText,_xldudf_CX_GET(CX_ENTITY,($F28),BD$11,BD$14,,(BD$19))),_xlpm.Res,IF(OR(_xlpm.val="",_xlpm.val="Error"),"",_xlpm.val),_xlpm.Res)</f>
        <v>#NAME?</v>
      </c>
      <c r="BE28" s="1669" t="e" cm="1">
        <f t="array" ca="1" aca="1" ref="BE28">_xlfn.LET(_xlpm.val,IF($F28="",val_blankRefText,_xldudf_CX_GET(CX_ENTITY,($F28),BE$11,BE$14,,(BE$19))),_xlpm.Res,IF(OR(_xlpm.val="",_xlpm.val="Error"),"",_xlpm.val),_xlpm.Res)</f>
        <v>#NAME?</v>
      </c>
      <c r="BF28" s="1669" t="e" cm="1">
        <f t="array" ca="1" aca="1" ref="BF28">_xlfn.LET(_xlpm.val,IF($F28="",val_blankRefText,_xldudf_CX_GET(CX_ENTITY,($F28),BF$11,BF$14,,(BF$19))),_xlpm.Res,IF(OR(_xlpm.val="",_xlpm.val="Error"),"",_xlpm.val),_xlpm.Res)</f>
        <v>#NAME?</v>
      </c>
      <c r="BG28" s="1669" t="e" cm="1">
        <f t="array" ca="1" aca="1" ref="BG28">_xlfn.LET(_xlpm.val,IF($F28="",val_blankRefText,_xldudf_CX_GET(CX_ENTITY,($F28),BG$11,BG$14,,(BG$19))),_xlpm.Res,IF(OR(_xlpm.val="",_xlpm.val="Error"),"",_xlpm.val),_xlpm.Res)</f>
        <v>#NAME?</v>
      </c>
      <c r="BH28" s="1669" t="e" cm="1">
        <f t="array" ca="1" aca="1" ref="BH28">_xlfn.LET(_xlpm.val,IF($F28="",val_blankRefText,_xldudf_CX_GET(CX_ENTITY,($F28),BH$11,BH$14,,(BH$19))),_xlpm.Res,IF(OR(_xlpm.val="",_xlpm.val="Error"),"",_xlpm.val),_xlpm.Res)</f>
        <v>#NAME?</v>
      </c>
      <c r="BI28" s="1669" t="e" cm="1">
        <f t="array" ca="1" aca="1" ref="BI28">_xlfn.LET(_xlpm.val,IF($F28="",val_blankRefText,_xldudf_CX_GET(CX_ENTITY,($F28),BI$11,BI$14,,(BI$19))),_xlpm.Res,IF(OR(_xlpm.val="",_xlpm.val="Error"),"",_xlpm.val),_xlpm.Res)</f>
        <v>#NAME?</v>
      </c>
      <c r="BJ28" s="1669" t="e" cm="1">
        <f t="array" ca="1" aca="1" ref="BJ28">_xlfn.LET(_xlpm.val,IF($F28="",val_blankRefText,_xldudf_CX_GET(CX_ENTITY,($F28),BJ$11,BJ$14,,(BJ$19))),_xlpm.Res,IF(OR(_xlpm.val="",_xlpm.val="Error"),"",_xlpm.val),_xlpm.Res)</f>
        <v>#NAME?</v>
      </c>
      <c r="BK28" s="1669" t="e" cm="1">
        <f t="array" ca="1" aca="1" ref="BK28">_xlfn.LET(_xlpm.val,IF($F28="",val_blankRefText,_xldudf_CX_GET(CX_ENTITY,($F28),BK$11,BK$14,,(BK$19))),_xlpm.Res,IF(OR(_xlpm.val="",_xlpm.val="Error"),"",_xlpm.val),_xlpm.Res)</f>
        <v>#NAME?</v>
      </c>
      <c r="BL28" s="1669" t="e" cm="1">
        <f t="array" ca="1" aca="1" ref="BL28">_xlfn.LET(_xlpm.val,IF($F28="",val_blankRefText,_xldudf_CX_GET(CX_ENTITY,($F28),BL$11,BL$14,,(BL$19))),_xlpm.Res,IF(OR(_xlpm.val="",_xlpm.val="Error"),"",_xlpm.val),_xlpm.Res)</f>
        <v>#NAME?</v>
      </c>
      <c r="BM28" s="1669" t="e" cm="1">
        <f t="array" ca="1" aca="1" ref="BM28">_xlfn.LET(_xlpm.val,IF($F28="",val_blankRefText,_xldudf_CX_GET(CX_ENTITY,($F28),BM$11,BM$14,,(BM$19))),_xlpm.Res,IF(OR(_xlpm.val="",_xlpm.val="Error"),"",_xlpm.val),_xlpm.Res)</f>
        <v>#NAME?</v>
      </c>
      <c r="BN28" s="1669" t="e" cm="1">
        <f t="array" ca="1" aca="1" ref="BN28">_xlfn.LET(_xlpm.val,IF($F28="",val_blankRefText,_xldudf_CX_GET(CX_ENTITY,($F28),BN$11,BN$14,,(BN$19))),_xlpm.Res,IF(OR(_xlpm.val="",_xlpm.val="Error"),"",_xlpm.val),_xlpm.Res)</f>
        <v>#NAME?</v>
      </c>
      <c r="BO28" s="2095"/>
      <c r="BP28" s="2095"/>
      <c r="BQ28" s="2095"/>
      <c r="BR28" s="2095"/>
      <c r="BS28" s="2095"/>
      <c r="BT28" s="2095"/>
      <c r="BU28" s="2095"/>
      <c r="BV28" s="2095"/>
      <c r="BW28" s="2095"/>
      <c r="BX28" s="2095"/>
      <c r="BY28" s="2095"/>
      <c r="BZ28" s="2095"/>
      <c r="CA28" s="34"/>
      <c r="CC28" s="33"/>
      <c r="CD28" s="1461" t="e" cm="1">
        <f t="array" ca="1" aca="1" ref="CD28">_xlfn.LET(_xlpm.CheckBlank,SUM(PL!$AD28:PL!$BN28)=0,IF(_xlpm.CheckBlank,"",SUM(_xlfn._xlws.FILTER(PL!$AD28:$BN28,(YEAR(PL!$AD$12:$BN$12)=PL!CD$12)*(array_timeline&lt;=PL!CD$11)))))</f>
        <v>#NAME?</v>
      </c>
      <c r="CE28" s="1461" t="e" cm="1">
        <f t="array" ca="1" aca="1" ref="CE28">_xlfn.LET(_xlpm.CheckBlank,SUM(PL!$AD28:PL!$BN28)=0,IF(_xlpm.CheckBlank,"",SUM(_xlfn._xlws.FILTER(PL!$AD28:$BN28,(YEAR(PL!$AD$12:$BN$12)=PL!CE$12)*(array_timeline&lt;=PL!CE$11)))))</f>
        <v>#NAME?</v>
      </c>
      <c r="CF28" s="88"/>
      <c r="CG28" s="1461" t="e" cm="1">
        <f t="array" ca="1" aca="1" ref="CG28">_xlfn.LET(_xlpm.CheckBlank,SUM(PL!$AD28:$BN28)=0,IF(_xlpm.CheckBlank,"",SUM(_xlfn._xlws.FILTER(PL!$AD28:$BN28,(YEAR(PL!$AD$12:$BN$12)=PL!CG$12)*(array_timeline&lt;=PL!CG$11)))))</f>
        <v>#NAME?</v>
      </c>
      <c r="CH28" s="1461" t="e" cm="1">
        <f t="array" ca="1" aca="1" ref="CH28">_xlfn.LET(_xlpm.CheckBlank,SUM(PL!$AD28:$BN28)=0,IF(_xlpm.CheckBlank,"",SUM(_xlfn._xlws.FILTER(PL!$AD28:$BN28,(YEAR(PL!$AD$12:$BN$12)=PL!CH$12)*(array_timeline&lt;=PL!CH$11)))))</f>
        <v>#NAME?</v>
      </c>
      <c r="CI28" s="88"/>
      <c r="CJ28" s="1461" cm="1">
        <f t="array" ref="CJ28">_xlfn.LET(_xlpm.CheckBlank,SUM(PL!$AD28:$BN28)=0,IF(_xlpm.CheckBlank,"",SUM(_xlfn.TAKE(_xlfn.DROP(PL!$AD28:$BN28,,-DATEDIFF(PL!CJ$11,val_asOfDate,"M")),1,-12))))</f>
        <v>12</v>
      </c>
      <c r="CK28" s="1461" cm="1">
        <f t="array" ref="CK28">_xlfn.LET(_xlpm.CheckBlank,SUM(PL!$AD28:$BN28)=0,IF(_xlpm.CheckBlank,"",SUM(_xlfn.TAKE(_xlfn.DROP(PL!$AD28:$BN28,,-DATEDIFF(PL!CK$11,val_asOfDate,"M")),1,-12))))</f>
        <v>12</v>
      </c>
      <c r="CL28" s="88"/>
      <c r="CM28" s="1168" t="e" cm="1">
        <f t="array" ca="1" aca="1" ref="CM28">_xlfn.LET(_xlpm.val,IF($F28="",val_blankRefText,_xldudf_CX_GET(CX_ENTITY,($F28),CM$11,CM$14,,(CM$19))),_xlpm.Res,IF(OR(_xlpm.val="",_xlpm.val="Error"),"",_xlpm.val),_xlpm.Res)</f>
        <v>#NAME?</v>
      </c>
      <c r="CN28" s="1168" t="e" cm="1">
        <f t="array" ca="1" aca="1" ref="CN28">_xlfn.LET(_xlpm.val,IF($F28="",val_blankRefText,_xldudf_CX_GET(CX_ENTITY,($F28),CN$11,CN$14,,(CN$19))),_xlpm.Res,IF(OR(_xlpm.val="",_xlpm.val="Error"),"",_xlpm.val),_xlpm.Res)</f>
        <v>#NAME?</v>
      </c>
      <c r="CO28" s="1169"/>
      <c r="CP28" s="1168" t="e" cm="1">
        <f t="array" ca="1" aca="1" ref="CP28">_xlfn.LET(_xlpm.val,IF($F28="",val_blankRefText,_xldudf_CX_GET(CX_ENTITY,($F28),CP$11,CP$14,,(CP$19))),_xlpm.Res,IF(OR(_xlpm.val="",_xlpm.val="Error"),"",_xlpm.val),_xlpm.Res)</f>
        <v>#NAME?</v>
      </c>
      <c r="CQ28" s="1168" t="e" cm="1">
        <f t="array" ca="1" aca="1" ref="CQ28">_xlfn.LET(_xlpm.val,IF($F28="",val_blankRefText,_xldudf_CX_GET(CX_ENTITY,($F28),CQ$11,CQ$14,,(CQ$19))),_xlpm.Res,IF(OR(_xlpm.val="",_xlpm.val="Error"),"",_xlpm.val),_xlpm.Res)</f>
        <v>#NAME?</v>
      </c>
      <c r="CR28" s="34"/>
    </row>
    <row r="29" spans="1:96" ht="21" customHeight="1" outlineLevel="1">
      <c r="A29" s="1322"/>
      <c r="B29" s="2126"/>
      <c r="C29" s="577" t="s">
        <v>1539</v>
      </c>
      <c r="D29" s="1079"/>
      <c r="E29" s="577" t="e" cm="1">
        <f t="array" ca="1" aca="1" ref="E29">_xlfn.LET(_xlpm.val,IF($C29="",val_blankRefText,_xldudf_CX_GET(CX_ENTITY,($C29),val_asOfDate)),_xlpm.Res,IF(OR(_xlpm.val="",_xlpm.val="Error"),"",_xlpm.val),_xlpm.Res)</f>
        <v>#NAME?</v>
      </c>
      <c r="F29" s="577" t="e">
        <f ca="1">IF($B29&lt;&gt;"",$B29,$E29)</f>
        <v>#NAME?</v>
      </c>
      <c r="G29" s="577" t="s">
        <v>1528</v>
      </c>
      <c r="H29" s="1323">
        <v>0</v>
      </c>
      <c r="I29" s="3279">
        <v>1</v>
      </c>
      <c r="J29" s="578"/>
      <c r="K29" s="578"/>
      <c r="L29" s="579" t="b">
        <v>0</v>
      </c>
      <c r="N29" s="158"/>
      <c r="O29" s="101"/>
      <c r="P29" s="52"/>
      <c r="Q29" s="101"/>
      <c r="R29" s="126"/>
      <c r="S29" s="101"/>
      <c r="T29" s="101"/>
      <c r="U29" s="39"/>
      <c r="W29" s="91" t="str">
        <f t="shared" si="4"/>
        <v>Actual</v>
      </c>
      <c r="X29" s="884" t="s">
        <v>62</v>
      </c>
      <c r="Y29" s="911" t="e" cm="1">
        <f t="array" ca="1" aca="1" ref="Y29">IF($B29="",IFBLANK($E29,"Please select or type in or leave as blank ("&amp;ROW(Y29)-ROW($Y$25)&amp;")"),IFBLANK($E29,$B29))</f>
        <v>#NAME?</v>
      </c>
      <c r="Z29" s="198" cm="1">
        <f t="array" ref="Z29">_xlfn.SWITCH(TRUE,ISBLANK(_PL!$L29),"",_PL!$L29=TRUE,1,_PL!$L29=FALSE,-1,_PL!$L29=-1,0,"n/a")</f>
        <v>-1</v>
      </c>
      <c r="AA29" s="200"/>
      <c r="AB29" s="301" t="e">
        <f t="shared" ca="1" si="8"/>
        <v>#NAME?</v>
      </c>
      <c r="AC29" s="1274" t="str" cm="1">
        <f t="array" ca="1" aca="1" ref="AC29">_xlfn.LET(_xlpm.Def,IF(_xlfn.XMATCH(AB29,tbl_acctDef[Term],0)&gt;0,fx_getIcon("find"),""),_xlpm.Adj,IF(_xlfn.XMATCH(AB29,tbl_adjExample[Items],0)&gt;0,fx_getIcon("find"),""),IFERROR(IFBLANK(_xlpm.Def,_xlpm.Adj),""))</f>
        <v/>
      </c>
      <c r="AD29" s="1669" t="e" cm="1">
        <f t="array" ca="1" aca="1" ref="AD29">_xlfn.LET(_xlpm.val,IF($F29="",val_blankRefText,_xldudf_CX_GET(CX_ENTITY,($F29),AD$11,AD$14,,(AD$19))),_xlpm.Res,IF(OR(_xlpm.val="",_xlpm.val="Error"),"",_xlpm.val),_xlpm.Res)</f>
        <v>#NAME?</v>
      </c>
      <c r="AE29" s="1669" t="e" cm="1">
        <f t="array" ca="1" aca="1" ref="AE29">_xlfn.LET(_xlpm.val,IF($F29="",val_blankRefText,_xldudf_CX_GET(CX_ENTITY,($F29),AE$11,AE$14,,(AE$19))),_xlpm.Res,IF(OR(_xlpm.val="",_xlpm.val="Error"),"",_xlpm.val),_xlpm.Res)</f>
        <v>#NAME?</v>
      </c>
      <c r="AF29" s="1669" t="e" cm="1">
        <f t="array" ca="1" aca="1" ref="AF29">_xlfn.LET(_xlpm.val,IF($F29="",val_blankRefText,_xldudf_CX_GET(CX_ENTITY,($F29),AF$11,AF$14,,(AF$19))),_xlpm.Res,IF(OR(_xlpm.val="",_xlpm.val="Error"),"",_xlpm.val),_xlpm.Res)</f>
        <v>#NAME?</v>
      </c>
      <c r="AG29" s="1669" t="e" cm="1">
        <f t="array" ca="1" aca="1" ref="AG29">_xlfn.LET(_xlpm.val,IF($F29="",val_blankRefText,_xldudf_CX_GET(CX_ENTITY,($F29),AG$11,AG$14,,(AG$19))),_xlpm.Res,IF(OR(_xlpm.val="",_xlpm.val="Error"),"",_xlpm.val),_xlpm.Res)</f>
        <v>#NAME?</v>
      </c>
      <c r="AH29" s="1669" t="e" cm="1">
        <f t="array" ca="1" aca="1" ref="AH29">_xlfn.LET(_xlpm.val,IF($F29="",val_blankRefText,_xldudf_CX_GET(CX_ENTITY,($F29),AH$11,AH$14,,(AH$19))),_xlpm.Res,IF(OR(_xlpm.val="",_xlpm.val="Error"),"",_xlpm.val),_xlpm.Res)</f>
        <v>#NAME?</v>
      </c>
      <c r="AI29" s="1669" t="e" cm="1">
        <f t="array" ca="1" aca="1" ref="AI29">_xlfn.LET(_xlpm.val,IF($F29="",val_blankRefText,_xldudf_CX_GET(CX_ENTITY,($F29),AI$11,AI$14,,(AI$19))),_xlpm.Res,IF(OR(_xlpm.val="",_xlpm.val="Error"),"",_xlpm.val),_xlpm.Res)</f>
        <v>#NAME?</v>
      </c>
      <c r="AJ29" s="1669" t="e" cm="1">
        <f t="array" ca="1" aca="1" ref="AJ29">_xlfn.LET(_xlpm.val,IF($F29="",val_blankRefText,_xldudf_CX_GET(CX_ENTITY,($F29),AJ$11,AJ$14,,(AJ$19))),_xlpm.Res,IF(OR(_xlpm.val="",_xlpm.val="Error"),"",_xlpm.val),_xlpm.Res)</f>
        <v>#NAME?</v>
      </c>
      <c r="AK29" s="1669" t="e" cm="1">
        <f t="array" ca="1" aca="1" ref="AK29">_xlfn.LET(_xlpm.val,IF($F29="",val_blankRefText,_xldudf_CX_GET(CX_ENTITY,($F29),AK$11,AK$14,,(AK$19))),_xlpm.Res,IF(OR(_xlpm.val="",_xlpm.val="Error"),"",_xlpm.val),_xlpm.Res)</f>
        <v>#NAME?</v>
      </c>
      <c r="AL29" s="1669" t="e" cm="1">
        <f t="array" ca="1" aca="1" ref="AL29">_xlfn.LET(_xlpm.val,IF($F29="",val_blankRefText,_xldudf_CX_GET(CX_ENTITY,($F29),AL$11,AL$14,,(AL$19))),_xlpm.Res,IF(OR(_xlpm.val="",_xlpm.val="Error"),"",_xlpm.val),_xlpm.Res)</f>
        <v>#NAME?</v>
      </c>
      <c r="AM29" s="1669" t="e" cm="1">
        <f t="array" ca="1" aca="1" ref="AM29">_xlfn.LET(_xlpm.val,IF($F29="",val_blankRefText,_xldudf_CX_GET(CX_ENTITY,($F29),AM$11,AM$14,,(AM$19))),_xlpm.Res,IF(OR(_xlpm.val="",_xlpm.val="Error"),"",_xlpm.val),_xlpm.Res)</f>
        <v>#NAME?</v>
      </c>
      <c r="AN29" s="1669" t="e" cm="1">
        <f t="array" ca="1" aca="1" ref="AN29">_xlfn.LET(_xlpm.val,IF($F29="",val_blankRefText,_xldudf_CX_GET(CX_ENTITY,($F29),AN$11,AN$14,,(AN$19))),_xlpm.Res,IF(OR(_xlpm.val="",_xlpm.val="Error"),"",_xlpm.val),_xlpm.Res)</f>
        <v>#NAME?</v>
      </c>
      <c r="AO29" s="1669" t="e" cm="1">
        <f t="array" ca="1" aca="1" ref="AO29">_xlfn.LET(_xlpm.val,IF($F29="",val_blankRefText,_xldudf_CX_GET(CX_ENTITY,($F29),AO$11,AO$14,,(AO$19))),_xlpm.Res,IF(OR(_xlpm.val="",_xlpm.val="Error"),"",_xlpm.val),_xlpm.Res)</f>
        <v>#NAME?</v>
      </c>
      <c r="AP29" s="1669" t="e" cm="1">
        <f t="array" ca="1" aca="1" ref="AP29">_xlfn.LET(_xlpm.val,IF($F29="",val_blankRefText,_xldudf_CX_GET(CX_ENTITY,($F29),AP$11,AP$14,,(AP$19))),_xlpm.Res,IF(OR(_xlpm.val="",_xlpm.val="Error"),"",_xlpm.val),_xlpm.Res)</f>
        <v>#NAME?</v>
      </c>
      <c r="AQ29" s="1669" t="e" cm="1">
        <f t="array" ca="1" aca="1" ref="AQ29">_xlfn.LET(_xlpm.val,IF($F29="",val_blankRefText,_xldudf_CX_GET(CX_ENTITY,($F29),AQ$11,AQ$14,,(AQ$19))),_xlpm.Res,IF(OR(_xlpm.val="",_xlpm.val="Error"),"",_xlpm.val),_xlpm.Res)</f>
        <v>#NAME?</v>
      </c>
      <c r="AR29" s="1669" t="e" cm="1">
        <f t="array" ca="1" aca="1" ref="AR29">_xlfn.LET(_xlpm.val,IF($F29="",val_blankRefText,_xldudf_CX_GET(CX_ENTITY,($F29),AR$11,AR$14,,(AR$19))),_xlpm.Res,IF(OR(_xlpm.val="",_xlpm.val="Error"),"",_xlpm.val),_xlpm.Res)</f>
        <v>#NAME?</v>
      </c>
      <c r="AS29" s="1669" t="e" cm="1">
        <f t="array" ca="1" aca="1" ref="AS29">_xlfn.LET(_xlpm.val,IF($F29="",val_blankRefText,_xldudf_CX_GET(CX_ENTITY,($F29),AS$11,AS$14,,(AS$19))),_xlpm.Res,IF(OR(_xlpm.val="",_xlpm.val="Error"),"",_xlpm.val),_xlpm.Res)</f>
        <v>#NAME?</v>
      </c>
      <c r="AT29" s="1669" t="e" cm="1">
        <f t="array" ca="1" aca="1" ref="AT29">_xlfn.LET(_xlpm.val,IF($F29="",val_blankRefText,_xldudf_CX_GET(CX_ENTITY,($F29),AT$11,AT$14,,(AT$19))),_xlpm.Res,IF(OR(_xlpm.val="",_xlpm.val="Error"),"",_xlpm.val),_xlpm.Res)</f>
        <v>#NAME?</v>
      </c>
      <c r="AU29" s="1669" t="e" cm="1">
        <f t="array" ca="1" aca="1" ref="AU29">_xlfn.LET(_xlpm.val,IF($F29="",val_blankRefText,_xldudf_CX_GET(CX_ENTITY,($F29),AU$11,AU$14,,(AU$19))),_xlpm.Res,IF(OR(_xlpm.val="",_xlpm.val="Error"),"",_xlpm.val),_xlpm.Res)</f>
        <v>#NAME?</v>
      </c>
      <c r="AV29" s="1669" t="e" cm="1">
        <f t="array" ca="1" aca="1" ref="AV29">_xlfn.LET(_xlpm.val,IF($F29="",val_blankRefText,_xldudf_CX_GET(CX_ENTITY,($F29),AV$11,AV$14,,(AV$19))),_xlpm.Res,IF(OR(_xlpm.val="",_xlpm.val="Error"),"",_xlpm.val),_xlpm.Res)</f>
        <v>#NAME?</v>
      </c>
      <c r="AW29" s="1669" t="e" cm="1">
        <f t="array" ca="1" aca="1" ref="AW29">_xlfn.LET(_xlpm.val,IF($F29="",val_blankRefText,_xldudf_CX_GET(CX_ENTITY,($F29),AW$11,AW$14,,(AW$19))),_xlpm.Res,IF(OR(_xlpm.val="",_xlpm.val="Error"),"",_xlpm.val),_xlpm.Res)</f>
        <v>#NAME?</v>
      </c>
      <c r="AX29" s="1669" t="e" cm="1">
        <f t="array" ca="1" aca="1" ref="AX29">_xlfn.LET(_xlpm.val,IF($F29="",val_blankRefText,_xldudf_CX_GET(CX_ENTITY,($F29),AX$11,AX$14,,(AX$19))),_xlpm.Res,IF(OR(_xlpm.val="",_xlpm.val="Error"),"",_xlpm.val),_xlpm.Res)</f>
        <v>#NAME?</v>
      </c>
      <c r="AY29" s="1669" t="e" cm="1">
        <f t="array" ca="1" aca="1" ref="AY29">_xlfn.LET(_xlpm.val,IF($F29="",val_blankRefText,_xldudf_CX_GET(CX_ENTITY,($F29),AY$11,AY$14,,(AY$19))),_xlpm.Res,IF(OR(_xlpm.val="",_xlpm.val="Error"),"",_xlpm.val),_xlpm.Res)</f>
        <v>#NAME?</v>
      </c>
      <c r="AZ29" s="1669" t="e" cm="1">
        <f t="array" ca="1" aca="1" ref="AZ29">_xlfn.LET(_xlpm.val,IF($F29="",val_blankRefText,_xldudf_CX_GET(CX_ENTITY,($F29),AZ$11,AZ$14,,(AZ$19))),_xlpm.Res,IF(OR(_xlpm.val="",_xlpm.val="Error"),"",_xlpm.val),_xlpm.Res)</f>
        <v>#NAME?</v>
      </c>
      <c r="BA29" s="1669" t="e" cm="1">
        <f t="array" ca="1" aca="1" ref="BA29">_xlfn.LET(_xlpm.val,IF($F29="",val_blankRefText,_xldudf_CX_GET(CX_ENTITY,($F29),BA$11,BA$14,,(BA$19))),_xlpm.Res,IF(OR(_xlpm.val="",_xlpm.val="Error"),"",_xlpm.val),_xlpm.Res)</f>
        <v>#NAME?</v>
      </c>
      <c r="BB29" s="1669" t="e" cm="1">
        <f t="array" ca="1" aca="1" ref="BB29">_xlfn.LET(_xlpm.val,IF($F29="",val_blankRefText,_xldudf_CX_GET(CX_ENTITY,($F29),BB$11,BB$14,,(BB$19))),_xlpm.Res,IF(OR(_xlpm.val="",_xlpm.val="Error"),"",_xlpm.val),_xlpm.Res)</f>
        <v>#NAME?</v>
      </c>
      <c r="BC29" s="1669" t="e" cm="1">
        <f t="array" ca="1" aca="1" ref="BC29">_xlfn.LET(_xlpm.val,IF($F29="",val_blankRefText,_xldudf_CX_GET(CX_ENTITY,($F29),BC$11,BC$14,,(BC$19))),_xlpm.Res,IF(OR(_xlpm.val="",_xlpm.val="Error"),"",_xlpm.val),_xlpm.Res)</f>
        <v>#NAME?</v>
      </c>
      <c r="BD29" s="1669" t="e" cm="1">
        <f t="array" ca="1" aca="1" ref="BD29">_xlfn.LET(_xlpm.val,IF($F29="",val_blankRefText,_xldudf_CX_GET(CX_ENTITY,($F29),BD$11,BD$14,,(BD$19))),_xlpm.Res,IF(OR(_xlpm.val="",_xlpm.val="Error"),"",_xlpm.val),_xlpm.Res)</f>
        <v>#NAME?</v>
      </c>
      <c r="BE29" s="1669" t="e" cm="1">
        <f t="array" ca="1" aca="1" ref="BE29">_xlfn.LET(_xlpm.val,IF($F29="",val_blankRefText,_xldudf_CX_GET(CX_ENTITY,($F29),BE$11,BE$14,,(BE$19))),_xlpm.Res,IF(OR(_xlpm.val="",_xlpm.val="Error"),"",_xlpm.val),_xlpm.Res)</f>
        <v>#NAME?</v>
      </c>
      <c r="BF29" s="1669" t="e" cm="1">
        <f t="array" ca="1" aca="1" ref="BF29">_xlfn.LET(_xlpm.val,IF($F29="",val_blankRefText,_xldudf_CX_GET(CX_ENTITY,($F29),BF$11,BF$14,,(BF$19))),_xlpm.Res,IF(OR(_xlpm.val="",_xlpm.val="Error"),"",_xlpm.val),_xlpm.Res)</f>
        <v>#NAME?</v>
      </c>
      <c r="BG29" s="1669" t="e" cm="1">
        <f t="array" ca="1" aca="1" ref="BG29">_xlfn.LET(_xlpm.val,IF($F29="",val_blankRefText,_xldudf_CX_GET(CX_ENTITY,($F29),BG$11,BG$14,,(BG$19))),_xlpm.Res,IF(OR(_xlpm.val="",_xlpm.val="Error"),"",_xlpm.val),_xlpm.Res)</f>
        <v>#NAME?</v>
      </c>
      <c r="BH29" s="1669" t="e" cm="1">
        <f t="array" ca="1" aca="1" ref="BH29">_xlfn.LET(_xlpm.val,IF($F29="",val_blankRefText,_xldudf_CX_GET(CX_ENTITY,($F29),BH$11,BH$14,,(BH$19))),_xlpm.Res,IF(OR(_xlpm.val="",_xlpm.val="Error"),"",_xlpm.val),_xlpm.Res)</f>
        <v>#NAME?</v>
      </c>
      <c r="BI29" s="1669" t="e" cm="1">
        <f t="array" ca="1" aca="1" ref="BI29">_xlfn.LET(_xlpm.val,IF($F29="",val_blankRefText,_xldudf_CX_GET(CX_ENTITY,($F29),BI$11,BI$14,,(BI$19))),_xlpm.Res,IF(OR(_xlpm.val="",_xlpm.val="Error"),"",_xlpm.val),_xlpm.Res)</f>
        <v>#NAME?</v>
      </c>
      <c r="BJ29" s="1669" t="e" cm="1">
        <f t="array" ca="1" aca="1" ref="BJ29">_xlfn.LET(_xlpm.val,IF($F29="",val_blankRefText,_xldudf_CX_GET(CX_ENTITY,($F29),BJ$11,BJ$14,,(BJ$19))),_xlpm.Res,IF(OR(_xlpm.val="",_xlpm.val="Error"),"",_xlpm.val),_xlpm.Res)</f>
        <v>#NAME?</v>
      </c>
      <c r="BK29" s="1669" t="e" cm="1">
        <f t="array" ca="1" aca="1" ref="BK29">_xlfn.LET(_xlpm.val,IF($F29="",val_blankRefText,_xldudf_CX_GET(CX_ENTITY,($F29),BK$11,BK$14,,(BK$19))),_xlpm.Res,IF(OR(_xlpm.val="",_xlpm.val="Error"),"",_xlpm.val),_xlpm.Res)</f>
        <v>#NAME?</v>
      </c>
      <c r="BL29" s="1669" t="e" cm="1">
        <f t="array" ca="1" aca="1" ref="BL29">_xlfn.LET(_xlpm.val,IF($F29="",val_blankRefText,_xldudf_CX_GET(CX_ENTITY,($F29),BL$11,BL$14,,(BL$19))),_xlpm.Res,IF(OR(_xlpm.val="",_xlpm.val="Error"),"",_xlpm.val),_xlpm.Res)</f>
        <v>#NAME?</v>
      </c>
      <c r="BM29" s="1669" t="e" cm="1">
        <f t="array" ca="1" aca="1" ref="BM29">_xlfn.LET(_xlpm.val,IF($F29="",val_blankRefText,_xldudf_CX_GET(CX_ENTITY,($F29),BM$11,BM$14,,(BM$19))),_xlpm.Res,IF(OR(_xlpm.val="",_xlpm.val="Error"),"",_xlpm.val),_xlpm.Res)</f>
        <v>#NAME?</v>
      </c>
      <c r="BN29" s="1669" t="e" cm="1">
        <f t="array" ca="1" aca="1" ref="BN29">_xlfn.LET(_xlpm.val,IF($F29="",val_blankRefText,_xldudf_CX_GET(CX_ENTITY,($F29),BN$11,BN$14,,(BN$19))),_xlpm.Res,IF(OR(_xlpm.val="",_xlpm.val="Error"),"",_xlpm.val),_xlpm.Res)</f>
        <v>#NAME?</v>
      </c>
      <c r="BO29" s="2095"/>
      <c r="BP29" s="2095"/>
      <c r="BQ29" s="2095"/>
      <c r="BR29" s="2095"/>
      <c r="BS29" s="2095"/>
      <c r="BT29" s="2095"/>
      <c r="BU29" s="2095"/>
      <c r="BV29" s="2095"/>
      <c r="BW29" s="2095"/>
      <c r="BX29" s="2095"/>
      <c r="BY29" s="2095"/>
      <c r="BZ29" s="2095"/>
      <c r="CA29" s="34"/>
      <c r="CC29" s="33"/>
      <c r="CD29" s="1461" t="e" cm="1">
        <f t="array" ca="1" aca="1" ref="CD29">_xlfn.LET(_xlpm.CheckBlank,SUM(PL!$AD29:PL!$BN29)=0,IF(_xlpm.CheckBlank,"",SUM(_xlfn._xlws.FILTER(PL!$AD29:$BN29,(YEAR(PL!$AD$12:$BN$12)=PL!CD$12)*(array_timeline&lt;=PL!CD$11)))))</f>
        <v>#NAME?</v>
      </c>
      <c r="CE29" s="1461" t="e" cm="1">
        <f t="array" ca="1" aca="1" ref="CE29">_xlfn.LET(_xlpm.CheckBlank,SUM(PL!$AD29:PL!$BN29)=0,IF(_xlpm.CheckBlank,"",SUM(_xlfn._xlws.FILTER(PL!$AD29:$BN29,(YEAR(PL!$AD$12:$BN$12)=PL!CE$12)*(array_timeline&lt;=PL!CE$11)))))</f>
        <v>#NAME?</v>
      </c>
      <c r="CF29" s="88"/>
      <c r="CG29" s="1461" t="e" cm="1">
        <f t="array" ca="1" aca="1" ref="CG29">_xlfn.LET(_xlpm.CheckBlank,SUM(PL!$AD29:$BN29)=0,IF(_xlpm.CheckBlank,"",SUM(_xlfn._xlws.FILTER(PL!$AD29:$BN29,(YEAR(PL!$AD$12:$BN$12)=PL!CG$12)*(array_timeline&lt;=PL!CG$11)))))</f>
        <v>#NAME?</v>
      </c>
      <c r="CH29" s="1461" t="e" cm="1">
        <f t="array" ca="1" aca="1" ref="CH29">_xlfn.LET(_xlpm.CheckBlank,SUM(PL!$AD29:$BN29)=0,IF(_xlpm.CheckBlank,"",SUM(_xlfn._xlws.FILTER(PL!$AD29:$BN29,(YEAR(PL!$AD$12:$BN$12)=PL!CH$12)*(array_timeline&lt;=PL!CH$11)))))</f>
        <v>#NAME?</v>
      </c>
      <c r="CI29" s="88"/>
      <c r="CJ29" s="1461" cm="1">
        <f t="array" ref="CJ29">_xlfn.LET(_xlpm.CheckBlank,SUM(PL!$AD29:$BN29)=0,IF(_xlpm.CheckBlank,"",SUM(_xlfn.TAKE(_xlfn.DROP(PL!$AD29:$BN29,,-DATEDIFF(PL!CJ$11,val_asOfDate,"M")),1,-12))))</f>
        <v>12</v>
      </c>
      <c r="CK29" s="1461" cm="1">
        <f t="array" ref="CK29">_xlfn.LET(_xlpm.CheckBlank,SUM(PL!$AD29:$BN29)=0,IF(_xlpm.CheckBlank,"",SUM(_xlfn.TAKE(_xlfn.DROP(PL!$AD29:$BN29,,-DATEDIFF(PL!CK$11,val_asOfDate,"M")),1,-12))))</f>
        <v>12</v>
      </c>
      <c r="CL29" s="88"/>
      <c r="CM29" s="1168" t="e" cm="1">
        <f t="array" ca="1" aca="1" ref="CM29">_xlfn.LET(_xlpm.val,IF($F29="",val_blankRefText,_xldudf_CX_GET(CX_ENTITY,($F29),CM$11,CM$14,,(CM$19))),_xlpm.Res,IF(OR(_xlpm.val="",_xlpm.val="Error"),"",_xlpm.val),_xlpm.Res)</f>
        <v>#NAME?</v>
      </c>
      <c r="CN29" s="1168" t="e" cm="1">
        <f t="array" ca="1" aca="1" ref="CN29">_xlfn.LET(_xlpm.val,IF($F29="",val_blankRefText,_xldudf_CX_GET(CX_ENTITY,($F29),CN$11,CN$14,,(CN$19))),_xlpm.Res,IF(OR(_xlpm.val="",_xlpm.val="Error"),"",_xlpm.val),_xlpm.Res)</f>
        <v>#NAME?</v>
      </c>
      <c r="CO29" s="1169"/>
      <c r="CP29" s="1168" t="e" cm="1">
        <f t="array" ca="1" aca="1" ref="CP29">_xlfn.LET(_xlpm.val,IF($F29="",val_blankRefText,_xldudf_CX_GET(CX_ENTITY,($F29),CP$11,CP$14,,(CP$19))),_xlpm.Res,IF(OR(_xlpm.val="",_xlpm.val="Error"),"",_xlpm.val),_xlpm.Res)</f>
        <v>#NAME?</v>
      </c>
      <c r="CQ29" s="1168" t="e" cm="1">
        <f t="array" ca="1" aca="1" ref="CQ29">_xlfn.LET(_xlpm.val,IF($F29="",val_blankRefText,_xldudf_CX_GET(CX_ENTITY,($F29),CQ$11,CQ$14,,(CQ$19))),_xlpm.Res,IF(OR(_xlpm.val="",_xlpm.val="Error"),"",_xlpm.val),_xlpm.Res)</f>
        <v>#NAME?</v>
      </c>
      <c r="CR29" s="34"/>
    </row>
    <row r="30" spans="1:96" ht="21" customHeight="1" outlineLevel="1">
      <c r="A30" s="1322"/>
      <c r="B30" s="2126"/>
      <c r="C30" s="577" t="s">
        <v>1540</v>
      </c>
      <c r="D30" s="1079"/>
      <c r="E30" s="577" t="e" cm="1">
        <f t="array" ca="1" aca="1" ref="E30">_xlfn.LET(_xlpm.Attr,$C30,_xlpm.Lookback,$E$16,_xlpm.QueryDate,EOMONTH(val_asOfDate,_xlpm.Lookback),_xlpm.ReadField,_xldudf_CX_GET(CX_ENTITY,fx_attrConverter($C30),_xlpm.QueryDate),_xlpm.AttrBlank,_xlpm.Attr="",_xlpm.RESULT,IF(_xlpm.AttrBlank,val_blankRefText,fx_attrConverter(_xlpm.ReadField,0)),IF(_xlpm.RESULT="Error","",_xlpm.RESULT))</f>
        <v>#NAME?</v>
      </c>
      <c r="F30" s="577" t="e">
        <f t="shared" ca="1" si="7"/>
        <v>#NAME?</v>
      </c>
      <c r="G30" s="577" t="s">
        <v>1528</v>
      </c>
      <c r="H30" s="1323">
        <v>0</v>
      </c>
      <c r="I30" s="3279">
        <v>1</v>
      </c>
      <c r="J30" s="578"/>
      <c r="K30" s="578"/>
      <c r="L30" s="579" t="b">
        <v>0</v>
      </c>
      <c r="N30" s="158"/>
      <c r="O30" s="101"/>
      <c r="P30" s="52"/>
      <c r="Q30" s="101"/>
      <c r="R30" s="126"/>
      <c r="S30" s="101"/>
      <c r="T30" s="101"/>
      <c r="U30" s="39"/>
      <c r="W30" s="91" t="str">
        <f t="shared" si="4"/>
        <v>Actual</v>
      </c>
      <c r="X30" s="884" t="s">
        <v>62</v>
      </c>
      <c r="Y30" s="911" t="e" cm="1">
        <f t="array" ca="1" aca="1" ref="Y30">IF($B30="",IFBLANK($E30,"Please select or type in or leave as blank ("&amp;ROW(Y30)-ROW($Y$25)&amp;")"),IFBLANK($E30,$B30))</f>
        <v>#NAME?</v>
      </c>
      <c r="Z30" s="198" cm="1">
        <f t="array" ref="Z30">_xlfn.SWITCH(TRUE,ISBLANK(_PL!$L30),"",_PL!$L30=TRUE,1,_PL!$L30=FALSE,-1,_PL!$L30=-1,0,"n/a")</f>
        <v>-1</v>
      </c>
      <c r="AA30" s="200"/>
      <c r="AB30" s="301" t="e">
        <f t="shared" ca="1" si="8"/>
        <v>#NAME?</v>
      </c>
      <c r="AC30" s="1274" t="str" cm="1">
        <f t="array" ca="1" aca="1" ref="AC30">_xlfn.LET(_xlpm.Def,IF(_xlfn.XMATCH(AB30,tbl_acctDef[Term],0)&gt;0,fx_getIcon("find"),""),_xlpm.Adj,IF(_xlfn.XMATCH(AB30,tbl_adjExample[Items],0)&gt;0,fx_getIcon("find"),""),IFERROR(IFBLANK(_xlpm.Def,_xlpm.Adj),""))</f>
        <v/>
      </c>
      <c r="AD30" s="1669" t="e" cm="1">
        <f t="array" ca="1" aca="1" ref="AD30">_xlfn.LET(_xlpm.val,IF($F30="",val_blankRefText,_xldudf_CX_GET(CX_ENTITY,($F30),AD$11,AD$14,,(AD$19))),_xlpm.Res,IF(OR(_xlpm.val="",_xlpm.val="Error"),"",_xlpm.val),_xlpm.Res)</f>
        <v>#NAME?</v>
      </c>
      <c r="AE30" s="1669" t="e" cm="1">
        <f t="array" ca="1" aca="1" ref="AE30">_xlfn.LET(_xlpm.val,IF($F30="",val_blankRefText,_xldudf_CX_GET(CX_ENTITY,($F30),AE$11,AE$14,,(AE$19))),_xlpm.Res,IF(OR(_xlpm.val="",_xlpm.val="Error"),"",_xlpm.val),_xlpm.Res)</f>
        <v>#NAME?</v>
      </c>
      <c r="AF30" s="1669" t="e" cm="1">
        <f t="array" ca="1" aca="1" ref="AF30">_xlfn.LET(_xlpm.val,IF($F30="",val_blankRefText,_xldudf_CX_GET(CX_ENTITY,($F30),AF$11,AF$14,,(AF$19))),_xlpm.Res,IF(OR(_xlpm.val="",_xlpm.val="Error"),"",_xlpm.val),_xlpm.Res)</f>
        <v>#NAME?</v>
      </c>
      <c r="AG30" s="1669" t="e" cm="1">
        <f t="array" ca="1" aca="1" ref="AG30">_xlfn.LET(_xlpm.val,IF($F30="",val_blankRefText,_xldudf_CX_GET(CX_ENTITY,($F30),AG$11,AG$14,,(AG$19))),_xlpm.Res,IF(OR(_xlpm.val="",_xlpm.val="Error"),"",_xlpm.val),_xlpm.Res)</f>
        <v>#NAME?</v>
      </c>
      <c r="AH30" s="1669" t="e" cm="1">
        <f t="array" ca="1" aca="1" ref="AH30">_xlfn.LET(_xlpm.val,IF($F30="",val_blankRefText,_xldudf_CX_GET(CX_ENTITY,($F30),AH$11,AH$14,,(AH$19))),_xlpm.Res,IF(OR(_xlpm.val="",_xlpm.val="Error"),"",_xlpm.val),_xlpm.Res)</f>
        <v>#NAME?</v>
      </c>
      <c r="AI30" s="1669" t="e" cm="1">
        <f t="array" ca="1" aca="1" ref="AI30">_xlfn.LET(_xlpm.val,IF($F30="",val_blankRefText,_xldudf_CX_GET(CX_ENTITY,($F30),AI$11,AI$14,,(AI$19))),_xlpm.Res,IF(OR(_xlpm.val="",_xlpm.val="Error"),"",_xlpm.val),_xlpm.Res)</f>
        <v>#NAME?</v>
      </c>
      <c r="AJ30" s="1669" t="e" cm="1">
        <f t="array" ca="1" aca="1" ref="AJ30">_xlfn.LET(_xlpm.val,IF($F30="",val_blankRefText,_xldudf_CX_GET(CX_ENTITY,($F30),AJ$11,AJ$14,,(AJ$19))),_xlpm.Res,IF(OR(_xlpm.val="",_xlpm.val="Error"),"",_xlpm.val),_xlpm.Res)</f>
        <v>#NAME?</v>
      </c>
      <c r="AK30" s="1669" t="e" cm="1">
        <f t="array" ca="1" aca="1" ref="AK30">_xlfn.LET(_xlpm.val,IF($F30="",val_blankRefText,_xldudf_CX_GET(CX_ENTITY,($F30),AK$11,AK$14,,(AK$19))),_xlpm.Res,IF(OR(_xlpm.val="",_xlpm.val="Error"),"",_xlpm.val),_xlpm.Res)</f>
        <v>#NAME?</v>
      </c>
      <c r="AL30" s="1669" t="e" cm="1">
        <f t="array" ca="1" aca="1" ref="AL30">_xlfn.LET(_xlpm.val,IF($F30="",val_blankRefText,_xldudf_CX_GET(CX_ENTITY,($F30),AL$11,AL$14,,(AL$19))),_xlpm.Res,IF(OR(_xlpm.val="",_xlpm.val="Error"),"",_xlpm.val),_xlpm.Res)</f>
        <v>#NAME?</v>
      </c>
      <c r="AM30" s="1669" t="e" cm="1">
        <f t="array" ca="1" aca="1" ref="AM30">_xlfn.LET(_xlpm.val,IF($F30="",val_blankRefText,_xldudf_CX_GET(CX_ENTITY,($F30),AM$11,AM$14,,(AM$19))),_xlpm.Res,IF(OR(_xlpm.val="",_xlpm.val="Error"),"",_xlpm.val),_xlpm.Res)</f>
        <v>#NAME?</v>
      </c>
      <c r="AN30" s="1669" t="e" cm="1">
        <f t="array" ca="1" aca="1" ref="AN30">_xlfn.LET(_xlpm.val,IF($F30="",val_blankRefText,_xldudf_CX_GET(CX_ENTITY,($F30),AN$11,AN$14,,(AN$19))),_xlpm.Res,IF(OR(_xlpm.val="",_xlpm.val="Error"),"",_xlpm.val),_xlpm.Res)</f>
        <v>#NAME?</v>
      </c>
      <c r="AO30" s="1669" t="e" cm="1">
        <f t="array" ca="1" aca="1" ref="AO30">_xlfn.LET(_xlpm.val,IF($F30="",val_blankRefText,_xldudf_CX_GET(CX_ENTITY,($F30),AO$11,AO$14,,(AO$19))),_xlpm.Res,IF(OR(_xlpm.val="",_xlpm.val="Error"),"",_xlpm.val),_xlpm.Res)</f>
        <v>#NAME?</v>
      </c>
      <c r="AP30" s="1669" t="e" cm="1">
        <f t="array" ca="1" aca="1" ref="AP30">_xlfn.LET(_xlpm.val,IF($F30="",val_blankRefText,_xldudf_CX_GET(CX_ENTITY,($F30),AP$11,AP$14,,(AP$19))),_xlpm.Res,IF(OR(_xlpm.val="",_xlpm.val="Error"),"",_xlpm.val),_xlpm.Res)</f>
        <v>#NAME?</v>
      </c>
      <c r="AQ30" s="1669" t="e" cm="1">
        <f t="array" ca="1" aca="1" ref="AQ30">_xlfn.LET(_xlpm.val,IF($F30="",val_blankRefText,_xldudf_CX_GET(CX_ENTITY,($F30),AQ$11,AQ$14,,(AQ$19))),_xlpm.Res,IF(OR(_xlpm.val="",_xlpm.val="Error"),"",_xlpm.val),_xlpm.Res)</f>
        <v>#NAME?</v>
      </c>
      <c r="AR30" s="1669" t="e" cm="1">
        <f t="array" ca="1" aca="1" ref="AR30">_xlfn.LET(_xlpm.val,IF($F30="",val_blankRefText,_xldudf_CX_GET(CX_ENTITY,($F30),AR$11,AR$14,,(AR$19))),_xlpm.Res,IF(OR(_xlpm.val="",_xlpm.val="Error"),"",_xlpm.val),_xlpm.Res)</f>
        <v>#NAME?</v>
      </c>
      <c r="AS30" s="1669" t="e" cm="1">
        <f t="array" ca="1" aca="1" ref="AS30">_xlfn.LET(_xlpm.val,IF($F30="",val_blankRefText,_xldudf_CX_GET(CX_ENTITY,($F30),AS$11,AS$14,,(AS$19))),_xlpm.Res,IF(OR(_xlpm.val="",_xlpm.val="Error"),"",_xlpm.val),_xlpm.Res)</f>
        <v>#NAME?</v>
      </c>
      <c r="AT30" s="1669" t="e" cm="1">
        <f t="array" ca="1" aca="1" ref="AT30">_xlfn.LET(_xlpm.val,IF($F30="",val_blankRefText,_xldudf_CX_GET(CX_ENTITY,($F30),AT$11,AT$14,,(AT$19))),_xlpm.Res,IF(OR(_xlpm.val="",_xlpm.val="Error"),"",_xlpm.val),_xlpm.Res)</f>
        <v>#NAME?</v>
      </c>
      <c r="AU30" s="1669" t="e" cm="1">
        <f t="array" ca="1" aca="1" ref="AU30">_xlfn.LET(_xlpm.val,IF($F30="",val_blankRefText,_xldudf_CX_GET(CX_ENTITY,($F30),AU$11,AU$14,,(AU$19))),_xlpm.Res,IF(OR(_xlpm.val="",_xlpm.val="Error"),"",_xlpm.val),_xlpm.Res)</f>
        <v>#NAME?</v>
      </c>
      <c r="AV30" s="1669" t="e" cm="1">
        <f t="array" ca="1" aca="1" ref="AV30">_xlfn.LET(_xlpm.val,IF($F30="",val_blankRefText,_xldudf_CX_GET(CX_ENTITY,($F30),AV$11,AV$14,,(AV$19))),_xlpm.Res,IF(OR(_xlpm.val="",_xlpm.val="Error"),"",_xlpm.val),_xlpm.Res)</f>
        <v>#NAME?</v>
      </c>
      <c r="AW30" s="1669" t="e" cm="1">
        <f t="array" ca="1" aca="1" ref="AW30">_xlfn.LET(_xlpm.val,IF($F30="",val_blankRefText,_xldudf_CX_GET(CX_ENTITY,($F30),AW$11,AW$14,,(AW$19))),_xlpm.Res,IF(OR(_xlpm.val="",_xlpm.val="Error"),"",_xlpm.val),_xlpm.Res)</f>
        <v>#NAME?</v>
      </c>
      <c r="AX30" s="1669" t="e" cm="1">
        <f t="array" ca="1" aca="1" ref="AX30">_xlfn.LET(_xlpm.val,IF($F30="",val_blankRefText,_xldudf_CX_GET(CX_ENTITY,($F30),AX$11,AX$14,,(AX$19))),_xlpm.Res,IF(OR(_xlpm.val="",_xlpm.val="Error"),"",_xlpm.val),_xlpm.Res)</f>
        <v>#NAME?</v>
      </c>
      <c r="AY30" s="1669" t="e" cm="1">
        <f t="array" ca="1" aca="1" ref="AY30">_xlfn.LET(_xlpm.val,IF($F30="",val_blankRefText,_xldudf_CX_GET(CX_ENTITY,($F30),AY$11,AY$14,,(AY$19))),_xlpm.Res,IF(OR(_xlpm.val="",_xlpm.val="Error"),"",_xlpm.val),_xlpm.Res)</f>
        <v>#NAME?</v>
      </c>
      <c r="AZ30" s="1669" t="e" cm="1">
        <f t="array" ca="1" aca="1" ref="AZ30">_xlfn.LET(_xlpm.val,IF($F30="",val_blankRefText,_xldudf_CX_GET(CX_ENTITY,($F30),AZ$11,AZ$14,,(AZ$19))),_xlpm.Res,IF(OR(_xlpm.val="",_xlpm.val="Error"),"",_xlpm.val),_xlpm.Res)</f>
        <v>#NAME?</v>
      </c>
      <c r="BA30" s="1669" t="e" cm="1">
        <f t="array" ca="1" aca="1" ref="BA30">_xlfn.LET(_xlpm.val,IF($F30="",val_blankRefText,_xldudf_CX_GET(CX_ENTITY,($F30),BA$11,BA$14,,(BA$19))),_xlpm.Res,IF(OR(_xlpm.val="",_xlpm.val="Error"),"",_xlpm.val),_xlpm.Res)</f>
        <v>#NAME?</v>
      </c>
      <c r="BB30" s="1669" t="e" cm="1">
        <f t="array" ca="1" aca="1" ref="BB30">_xlfn.LET(_xlpm.val,IF($F30="",val_blankRefText,_xldudf_CX_GET(CX_ENTITY,($F30),BB$11,BB$14,,(BB$19))),_xlpm.Res,IF(OR(_xlpm.val="",_xlpm.val="Error"),"",_xlpm.val),_xlpm.Res)</f>
        <v>#NAME?</v>
      </c>
      <c r="BC30" s="1669" t="e" cm="1">
        <f t="array" ca="1" aca="1" ref="BC30">_xlfn.LET(_xlpm.val,IF($F30="",val_blankRefText,_xldudf_CX_GET(CX_ENTITY,($F30),BC$11,BC$14,,(BC$19))),_xlpm.Res,IF(OR(_xlpm.val="",_xlpm.val="Error"),"",_xlpm.val),_xlpm.Res)</f>
        <v>#NAME?</v>
      </c>
      <c r="BD30" s="1669" t="e" cm="1">
        <f t="array" ca="1" aca="1" ref="BD30">_xlfn.LET(_xlpm.val,IF($F30="",val_blankRefText,_xldudf_CX_GET(CX_ENTITY,($F30),BD$11,BD$14,,(BD$19))),_xlpm.Res,IF(OR(_xlpm.val="",_xlpm.val="Error"),"",_xlpm.val),_xlpm.Res)</f>
        <v>#NAME?</v>
      </c>
      <c r="BE30" s="1669" t="e" cm="1">
        <f t="array" ca="1" aca="1" ref="BE30">_xlfn.LET(_xlpm.val,IF($F30="",val_blankRefText,_xldudf_CX_GET(CX_ENTITY,($F30),BE$11,BE$14,,(BE$19))),_xlpm.Res,IF(OR(_xlpm.val="",_xlpm.val="Error"),"",_xlpm.val),_xlpm.Res)</f>
        <v>#NAME?</v>
      </c>
      <c r="BF30" s="1669" t="e" cm="1">
        <f t="array" ca="1" aca="1" ref="BF30">_xlfn.LET(_xlpm.val,IF($F30="",val_blankRefText,_xldudf_CX_GET(CX_ENTITY,($F30),BF$11,BF$14,,(BF$19))),_xlpm.Res,IF(OR(_xlpm.val="",_xlpm.val="Error"),"",_xlpm.val),_xlpm.Res)</f>
        <v>#NAME?</v>
      </c>
      <c r="BG30" s="1669" t="e" cm="1">
        <f t="array" ca="1" aca="1" ref="BG30">_xlfn.LET(_xlpm.val,IF($F30="",val_blankRefText,_xldudf_CX_GET(CX_ENTITY,($F30),BG$11,BG$14,,(BG$19))),_xlpm.Res,IF(OR(_xlpm.val="",_xlpm.val="Error"),"",_xlpm.val),_xlpm.Res)</f>
        <v>#NAME?</v>
      </c>
      <c r="BH30" s="1669" t="e" cm="1">
        <f t="array" ca="1" aca="1" ref="BH30">_xlfn.LET(_xlpm.val,IF($F30="",val_blankRefText,_xldudf_CX_GET(CX_ENTITY,($F30),BH$11,BH$14,,(BH$19))),_xlpm.Res,IF(OR(_xlpm.val="",_xlpm.val="Error"),"",_xlpm.val),_xlpm.Res)</f>
        <v>#NAME?</v>
      </c>
      <c r="BI30" s="1669" t="e" cm="1">
        <f t="array" ca="1" aca="1" ref="BI30">_xlfn.LET(_xlpm.val,IF($F30="",val_blankRefText,_xldudf_CX_GET(CX_ENTITY,($F30),BI$11,BI$14,,(BI$19))),_xlpm.Res,IF(OR(_xlpm.val="",_xlpm.val="Error"),"",_xlpm.val),_xlpm.Res)</f>
        <v>#NAME?</v>
      </c>
      <c r="BJ30" s="1669" t="e" cm="1">
        <f t="array" ca="1" aca="1" ref="BJ30">_xlfn.LET(_xlpm.val,IF($F30="",val_blankRefText,_xldudf_CX_GET(CX_ENTITY,($F30),BJ$11,BJ$14,,(BJ$19))),_xlpm.Res,IF(OR(_xlpm.val="",_xlpm.val="Error"),"",_xlpm.val),_xlpm.Res)</f>
        <v>#NAME?</v>
      </c>
      <c r="BK30" s="1669" t="e" cm="1">
        <f t="array" ca="1" aca="1" ref="BK30">_xlfn.LET(_xlpm.val,IF($F30="",val_blankRefText,_xldudf_CX_GET(CX_ENTITY,($F30),BK$11,BK$14,,(BK$19))),_xlpm.Res,IF(OR(_xlpm.val="",_xlpm.val="Error"),"",_xlpm.val),_xlpm.Res)</f>
        <v>#NAME?</v>
      </c>
      <c r="BL30" s="1669" t="e" cm="1">
        <f t="array" ca="1" aca="1" ref="BL30">_xlfn.LET(_xlpm.val,IF($F30="",val_blankRefText,_xldudf_CX_GET(CX_ENTITY,($F30),BL$11,BL$14,,(BL$19))),_xlpm.Res,IF(OR(_xlpm.val="",_xlpm.val="Error"),"",_xlpm.val),_xlpm.Res)</f>
        <v>#NAME?</v>
      </c>
      <c r="BM30" s="1669" t="e" cm="1">
        <f t="array" ca="1" aca="1" ref="BM30">_xlfn.LET(_xlpm.val,IF($F30="",val_blankRefText,_xldudf_CX_GET(CX_ENTITY,($F30),BM$11,BM$14,,(BM$19))),_xlpm.Res,IF(OR(_xlpm.val="",_xlpm.val="Error"),"",_xlpm.val),_xlpm.Res)</f>
        <v>#NAME?</v>
      </c>
      <c r="BN30" s="1669" t="e" cm="1">
        <f t="array" ca="1" aca="1" ref="BN30">_xlfn.LET(_xlpm.val,IF($F30="",val_blankRefText,_xldudf_CX_GET(CX_ENTITY,($F30),BN$11,BN$14,,(BN$19))),_xlpm.Res,IF(OR(_xlpm.val="",_xlpm.val="Error"),"",_xlpm.val),_xlpm.Res)</f>
        <v>#NAME?</v>
      </c>
      <c r="BO30" s="2095"/>
      <c r="BP30" s="2095"/>
      <c r="BQ30" s="2095"/>
      <c r="BR30" s="2095"/>
      <c r="BS30" s="2095"/>
      <c r="BT30" s="2095"/>
      <c r="BU30" s="2095"/>
      <c r="BV30" s="2095"/>
      <c r="BW30" s="2095"/>
      <c r="BX30" s="2095"/>
      <c r="BY30" s="2095"/>
      <c r="BZ30" s="2095"/>
      <c r="CA30" s="34"/>
      <c r="CC30" s="33"/>
      <c r="CD30" s="1461" t="e" cm="1">
        <f t="array" ca="1" aca="1" ref="CD30">_xlfn.LET(_xlpm.CheckBlank,SUM(PL!$AD30:PL!$BN30)=0,IF(_xlpm.CheckBlank,"",SUM(_xlfn._xlws.FILTER(PL!$AD30:$BN30,(YEAR(PL!$AD$12:$BN$12)=PL!CD$12)*(array_timeline&lt;=PL!CD$11)))))</f>
        <v>#NAME?</v>
      </c>
      <c r="CE30" s="1461" t="e" cm="1">
        <f t="array" ca="1" aca="1" ref="CE30">_xlfn.LET(_xlpm.CheckBlank,SUM(PL!$AD30:PL!$BN30)=0,IF(_xlpm.CheckBlank,"",SUM(_xlfn._xlws.FILTER(PL!$AD30:$BN30,(YEAR(PL!$AD$12:$BN$12)=PL!CE$12)*(array_timeline&lt;=PL!CE$11)))))</f>
        <v>#NAME?</v>
      </c>
      <c r="CF30" s="88"/>
      <c r="CG30" s="1461" t="e" cm="1">
        <f t="array" ca="1" aca="1" ref="CG30">_xlfn.LET(_xlpm.CheckBlank,SUM(PL!$AD30:$BN30)=0,IF(_xlpm.CheckBlank,"",SUM(_xlfn._xlws.FILTER(PL!$AD30:$BN30,(YEAR(PL!$AD$12:$BN$12)=PL!CG$12)*(array_timeline&lt;=PL!CG$11)))))</f>
        <v>#NAME?</v>
      </c>
      <c r="CH30" s="1461" t="e" cm="1">
        <f t="array" ca="1" aca="1" ref="CH30">_xlfn.LET(_xlpm.CheckBlank,SUM(PL!$AD30:$BN30)=0,IF(_xlpm.CheckBlank,"",SUM(_xlfn._xlws.FILTER(PL!$AD30:$BN30,(YEAR(PL!$AD$12:$BN$12)=PL!CH$12)*(array_timeline&lt;=PL!CH$11)))))</f>
        <v>#NAME?</v>
      </c>
      <c r="CI30" s="88"/>
      <c r="CJ30" s="1461" cm="1">
        <f t="array" ref="CJ30">_xlfn.LET(_xlpm.CheckBlank,SUM(PL!$AD30:$BN30)=0,IF(_xlpm.CheckBlank,"",SUM(_xlfn.TAKE(_xlfn.DROP(PL!$AD30:$BN30,,-DATEDIFF(PL!CJ$11,val_asOfDate,"M")),1,-12))))</f>
        <v>12</v>
      </c>
      <c r="CK30" s="1461" cm="1">
        <f t="array" ref="CK30">_xlfn.LET(_xlpm.CheckBlank,SUM(PL!$AD30:$BN30)=0,IF(_xlpm.CheckBlank,"",SUM(_xlfn.TAKE(_xlfn.DROP(PL!$AD30:$BN30,,-DATEDIFF(PL!CK$11,val_asOfDate,"M")),1,-12))))</f>
        <v>12</v>
      </c>
      <c r="CL30" s="88"/>
      <c r="CM30" s="1168" t="e" cm="1">
        <f t="array" ca="1" aca="1" ref="CM30">_xlfn.LET(_xlpm.val,IF($F30="",val_blankRefText,_xldudf_CX_GET(CX_ENTITY,($F30),CM$11,CM$14,,(CM$19))),_xlpm.Res,IF(OR(_xlpm.val="",_xlpm.val="Error"),"",_xlpm.val),_xlpm.Res)</f>
        <v>#NAME?</v>
      </c>
      <c r="CN30" s="1168" t="e" cm="1">
        <f t="array" ca="1" aca="1" ref="CN30">_xlfn.LET(_xlpm.val,IF($F30="",val_blankRefText,_xldudf_CX_GET(CX_ENTITY,fx_attrConverter($F30),CN$11,CN$14,,(CN$19))),_xlpm.Res,IF(OR(_xlpm.val="",_xlpm.val="Error"),"",_xlpm.val),_xlpm.Res)</f>
        <v>#NAME?</v>
      </c>
      <c r="CO30" s="1169"/>
      <c r="CP30" s="1168" t="e" cm="1">
        <f t="array" ca="1" aca="1" ref="CP30">_xlfn.LET(_xlpm.val,IF($F30="",val_blankRefText,_xldudf_CX_GET(CX_ENTITY,fx_attrConverter($F30),CP$11,CP$14,,(CP$19))),_xlpm.Res,IF(OR(_xlpm.val="",_xlpm.val="Error"),"",_xlpm.val),_xlpm.Res)</f>
        <v>#NAME?</v>
      </c>
      <c r="CQ30" s="1168" t="e" cm="1">
        <f t="array" ca="1" aca="1" ref="CQ30">_xlfn.LET(_xlpm.val,IF($F30="",val_blankRefText,_xldudf_CX_GET(CX_ENTITY,fx_attrConverter($F30),CQ$11,CQ$14,,(CQ$19))),_xlpm.Res,IF(OR(_xlpm.val="",_xlpm.val="Error"),"",_xlpm.val),_xlpm.Res)</f>
        <v>#NAME?</v>
      </c>
      <c r="CR30" s="34"/>
    </row>
    <row r="31" spans="1:96" ht="21" customHeight="1" outlineLevel="2">
      <c r="A31" s="1322"/>
      <c r="B31" s="2126"/>
      <c r="C31" s="577" t="s">
        <v>1541</v>
      </c>
      <c r="D31" s="1079"/>
      <c r="E31" s="577" t="e" cm="1">
        <f t="array" ca="1" aca="1" ref="E31">_xlfn.LET(_xlpm.Attr,$C31,_xlpm.Lookback,$E$16,_xlpm.QueryDate,EOMONTH(val_asOfDate,_xlpm.Lookback),_xlpm.ReadField,_xldudf_CX_GET(CX_ENTITY,fx_attrConverter($C31),_xlpm.QueryDate),_xlpm.AttrBlank,_xlpm.Attr="",_xlpm.RESULT,IF(_xlpm.AttrBlank,val_blankRefText,fx_attrConverter(_xlpm.ReadField,0)),IF(_xlpm.RESULT="Error","",_xlpm.RESULT))</f>
        <v>#NAME?</v>
      </c>
      <c r="F31" s="577" t="e">
        <f t="shared" ca="1" si="7"/>
        <v>#NAME?</v>
      </c>
      <c r="G31" s="577" t="s">
        <v>1528</v>
      </c>
      <c r="H31" s="1323">
        <v>0</v>
      </c>
      <c r="I31" s="3279">
        <v>1</v>
      </c>
      <c r="J31" s="578"/>
      <c r="K31" s="578"/>
      <c r="L31" s="579" t="b">
        <v>0</v>
      </c>
      <c r="N31" s="158"/>
      <c r="O31" s="101"/>
      <c r="P31" s="52"/>
      <c r="Q31" s="101"/>
      <c r="R31" s="126"/>
      <c r="S31" s="101"/>
      <c r="T31" s="101"/>
      <c r="U31" s="39"/>
      <c r="W31" s="91" t="str">
        <f t="shared" si="4"/>
        <v>Actual</v>
      </c>
      <c r="X31" s="884" t="s">
        <v>62</v>
      </c>
      <c r="Y31" s="911" t="e" cm="1">
        <f t="array" ca="1" aca="1" ref="Y31">IF($B31="",IFBLANK($E31,"Please select or type in or leave as blank ("&amp;ROW(Y31)-ROW($Y$25)&amp;")"),IFBLANK($E31,$B31))</f>
        <v>#NAME?</v>
      </c>
      <c r="Z31" s="198" cm="1">
        <f t="array" ref="Z31">_xlfn.SWITCH(TRUE,ISBLANK(_PL!$L31),"",_PL!$L31=TRUE,1,_PL!$L31=FALSE,-1,_PL!$L31=-1,0,"n/a")</f>
        <v>-1</v>
      </c>
      <c r="AA31" s="200"/>
      <c r="AB31" s="301" t="e">
        <f t="shared" ca="1" si="8"/>
        <v>#NAME?</v>
      </c>
      <c r="AC31" s="1274" t="str" cm="1">
        <f t="array" ca="1" aca="1" ref="AC31">_xlfn.LET(_xlpm.Def,IF(_xlfn.XMATCH(AB31,tbl_acctDef[Term],0)&gt;0,fx_getIcon("find"),""),_xlpm.Adj,IF(_xlfn.XMATCH(AB31,tbl_adjExample[Items],0)&gt;0,fx_getIcon("find"),""),IFERROR(IFBLANK(_xlpm.Def,_xlpm.Adj),""))</f>
        <v/>
      </c>
      <c r="AD31" s="1669" t="e" cm="1">
        <f t="array" ca="1" aca="1" ref="AD31">_xlfn.LET(_xlpm.val,IF($F31="",val_blankRefText,_xldudf_CX_GET(CX_ENTITY,($F31),AD$11,AD$14,,(AD$19))),_xlpm.Res,IF(OR(_xlpm.val="",_xlpm.val="Error"),"",_xlpm.val),_xlpm.Res)</f>
        <v>#NAME?</v>
      </c>
      <c r="AE31" s="1669" t="e" cm="1">
        <f t="array" ca="1" aca="1" ref="AE31">_xlfn.LET(_xlpm.val,IF($F31="",val_blankRefText,_xldudf_CX_GET(CX_ENTITY,($F31),AE$11,AE$14,,(AE$19))),_xlpm.Res,IF(OR(_xlpm.val="",_xlpm.val="Error"),"",_xlpm.val),_xlpm.Res)</f>
        <v>#NAME?</v>
      </c>
      <c r="AF31" s="1669" t="e" cm="1">
        <f t="array" ca="1" aca="1" ref="AF31">_xlfn.LET(_xlpm.val,IF($F31="",val_blankRefText,_xldudf_CX_GET(CX_ENTITY,($F31),AF$11,AF$14,,(AF$19))),_xlpm.Res,IF(OR(_xlpm.val="",_xlpm.val="Error"),"",_xlpm.val),_xlpm.Res)</f>
        <v>#NAME?</v>
      </c>
      <c r="AG31" s="1669" t="e" cm="1">
        <f t="array" ca="1" aca="1" ref="AG31">_xlfn.LET(_xlpm.val,IF($F31="",val_blankRefText,_xldudf_CX_GET(CX_ENTITY,($F31),AG$11,AG$14,,(AG$19))),_xlpm.Res,IF(OR(_xlpm.val="",_xlpm.val="Error"),"",_xlpm.val),_xlpm.Res)</f>
        <v>#NAME?</v>
      </c>
      <c r="AH31" s="1669" t="e" cm="1">
        <f t="array" ca="1" aca="1" ref="AH31">_xlfn.LET(_xlpm.val,IF($F31="",val_blankRefText,_xldudf_CX_GET(CX_ENTITY,($F31),AH$11,AH$14,,(AH$19))),_xlpm.Res,IF(OR(_xlpm.val="",_xlpm.val="Error"),"",_xlpm.val),_xlpm.Res)</f>
        <v>#NAME?</v>
      </c>
      <c r="AI31" s="1669" t="e" cm="1">
        <f t="array" ca="1" aca="1" ref="AI31">_xlfn.LET(_xlpm.val,IF($F31="",val_blankRefText,_xldudf_CX_GET(CX_ENTITY,($F31),AI$11,AI$14,,(AI$19))),_xlpm.Res,IF(OR(_xlpm.val="",_xlpm.val="Error"),"",_xlpm.val),_xlpm.Res)</f>
        <v>#NAME?</v>
      </c>
      <c r="AJ31" s="1669" t="e" cm="1">
        <f t="array" ca="1" aca="1" ref="AJ31">_xlfn.LET(_xlpm.val,IF($F31="",val_blankRefText,_xldudf_CX_GET(CX_ENTITY,($F31),AJ$11,AJ$14,,(AJ$19))),_xlpm.Res,IF(OR(_xlpm.val="",_xlpm.val="Error"),"",_xlpm.val),_xlpm.Res)</f>
        <v>#NAME?</v>
      </c>
      <c r="AK31" s="1669" t="e" cm="1">
        <f t="array" ca="1" aca="1" ref="AK31">_xlfn.LET(_xlpm.val,IF($F31="",val_blankRefText,_xldudf_CX_GET(CX_ENTITY,($F31),AK$11,AK$14,,(AK$19))),_xlpm.Res,IF(OR(_xlpm.val="",_xlpm.val="Error"),"",_xlpm.val),_xlpm.Res)</f>
        <v>#NAME?</v>
      </c>
      <c r="AL31" s="1669" t="e" cm="1">
        <f t="array" ca="1" aca="1" ref="AL31">_xlfn.LET(_xlpm.val,IF($F31="",val_blankRefText,_xldudf_CX_GET(CX_ENTITY,($F31),AL$11,AL$14,,(AL$19))),_xlpm.Res,IF(OR(_xlpm.val="",_xlpm.val="Error"),"",_xlpm.val),_xlpm.Res)</f>
        <v>#NAME?</v>
      </c>
      <c r="AM31" s="1669" t="e" cm="1">
        <f t="array" ca="1" aca="1" ref="AM31">_xlfn.LET(_xlpm.val,IF($F31="",val_blankRefText,_xldudf_CX_GET(CX_ENTITY,($F31),AM$11,AM$14,,(AM$19))),_xlpm.Res,IF(OR(_xlpm.val="",_xlpm.val="Error"),"",_xlpm.val),_xlpm.Res)</f>
        <v>#NAME?</v>
      </c>
      <c r="AN31" s="1669" t="e" cm="1">
        <f t="array" ca="1" aca="1" ref="AN31">_xlfn.LET(_xlpm.val,IF($F31="",val_blankRefText,_xldudf_CX_GET(CX_ENTITY,($F31),AN$11,AN$14,,(AN$19))),_xlpm.Res,IF(OR(_xlpm.val="",_xlpm.val="Error"),"",_xlpm.val),_xlpm.Res)</f>
        <v>#NAME?</v>
      </c>
      <c r="AO31" s="1669" t="e" cm="1">
        <f t="array" ca="1" aca="1" ref="AO31">_xlfn.LET(_xlpm.val,IF($F31="",val_blankRefText,_xldudf_CX_GET(CX_ENTITY,($F31),AO$11,AO$14,,(AO$19))),_xlpm.Res,IF(OR(_xlpm.val="",_xlpm.val="Error"),"",_xlpm.val),_xlpm.Res)</f>
        <v>#NAME?</v>
      </c>
      <c r="AP31" s="1669" t="e" cm="1">
        <f t="array" ca="1" aca="1" ref="AP31">_xlfn.LET(_xlpm.val,IF($F31="",val_blankRefText,_xldudf_CX_GET(CX_ENTITY,($F31),AP$11,AP$14,,(AP$19))),_xlpm.Res,IF(OR(_xlpm.val="",_xlpm.val="Error"),"",_xlpm.val),_xlpm.Res)</f>
        <v>#NAME?</v>
      </c>
      <c r="AQ31" s="1669" t="e" cm="1">
        <f t="array" ca="1" aca="1" ref="AQ31">_xlfn.LET(_xlpm.val,IF($F31="",val_blankRefText,_xldudf_CX_GET(CX_ENTITY,($F31),AQ$11,AQ$14,,(AQ$19))),_xlpm.Res,IF(OR(_xlpm.val="",_xlpm.val="Error"),"",_xlpm.val),_xlpm.Res)</f>
        <v>#NAME?</v>
      </c>
      <c r="AR31" s="1669" t="e" cm="1">
        <f t="array" ca="1" aca="1" ref="AR31">_xlfn.LET(_xlpm.val,IF($F31="",val_blankRefText,_xldudf_CX_GET(CX_ENTITY,($F31),AR$11,AR$14,,(AR$19))),_xlpm.Res,IF(OR(_xlpm.val="",_xlpm.val="Error"),"",_xlpm.val),_xlpm.Res)</f>
        <v>#NAME?</v>
      </c>
      <c r="AS31" s="1669" t="e" cm="1">
        <f t="array" ca="1" aca="1" ref="AS31">_xlfn.LET(_xlpm.val,IF($F31="",val_blankRefText,_xldudf_CX_GET(CX_ENTITY,($F31),AS$11,AS$14,,(AS$19))),_xlpm.Res,IF(OR(_xlpm.val="",_xlpm.val="Error"),"",_xlpm.val),_xlpm.Res)</f>
        <v>#NAME?</v>
      </c>
      <c r="AT31" s="1669" t="e" cm="1">
        <f t="array" ca="1" aca="1" ref="AT31">_xlfn.LET(_xlpm.val,IF($F31="",val_blankRefText,_xldudf_CX_GET(CX_ENTITY,($F31),AT$11,AT$14,,(AT$19))),_xlpm.Res,IF(OR(_xlpm.val="",_xlpm.val="Error"),"",_xlpm.val),_xlpm.Res)</f>
        <v>#NAME?</v>
      </c>
      <c r="AU31" s="1669" t="e" cm="1">
        <f t="array" ca="1" aca="1" ref="AU31">_xlfn.LET(_xlpm.val,IF($F31="",val_blankRefText,_xldudf_CX_GET(CX_ENTITY,($F31),AU$11,AU$14,,(AU$19))),_xlpm.Res,IF(OR(_xlpm.val="",_xlpm.val="Error"),"",_xlpm.val),_xlpm.Res)</f>
        <v>#NAME?</v>
      </c>
      <c r="AV31" s="1669" t="e" cm="1">
        <f t="array" ca="1" aca="1" ref="AV31">_xlfn.LET(_xlpm.val,IF($F31="",val_blankRefText,_xldudf_CX_GET(CX_ENTITY,($F31),AV$11,AV$14,,(AV$19))),_xlpm.Res,IF(OR(_xlpm.val="",_xlpm.val="Error"),"",_xlpm.val),_xlpm.Res)</f>
        <v>#NAME?</v>
      </c>
      <c r="AW31" s="1669" t="e" cm="1">
        <f t="array" ca="1" aca="1" ref="AW31">_xlfn.LET(_xlpm.val,IF($F31="",val_blankRefText,_xldudf_CX_GET(CX_ENTITY,($F31),AW$11,AW$14,,(AW$19))),_xlpm.Res,IF(OR(_xlpm.val="",_xlpm.val="Error"),"",_xlpm.val),_xlpm.Res)</f>
        <v>#NAME?</v>
      </c>
      <c r="AX31" s="1669" t="e" cm="1">
        <f t="array" ca="1" aca="1" ref="AX31">_xlfn.LET(_xlpm.val,IF($F31="",val_blankRefText,_xldudf_CX_GET(CX_ENTITY,($F31),AX$11,AX$14,,(AX$19))),_xlpm.Res,IF(OR(_xlpm.val="",_xlpm.val="Error"),"",_xlpm.val),_xlpm.Res)</f>
        <v>#NAME?</v>
      </c>
      <c r="AY31" s="1669" t="e" cm="1">
        <f t="array" ca="1" aca="1" ref="AY31">_xlfn.LET(_xlpm.val,IF($F31="",val_blankRefText,_xldudf_CX_GET(CX_ENTITY,($F31),AY$11,AY$14,,(AY$19))),_xlpm.Res,IF(OR(_xlpm.val="",_xlpm.val="Error"),"",_xlpm.val),_xlpm.Res)</f>
        <v>#NAME?</v>
      </c>
      <c r="AZ31" s="1669" t="e" cm="1">
        <f t="array" ca="1" aca="1" ref="AZ31">_xlfn.LET(_xlpm.val,IF($F31="",val_blankRefText,_xldudf_CX_GET(CX_ENTITY,($F31),AZ$11,AZ$14,,(AZ$19))),_xlpm.Res,IF(OR(_xlpm.val="",_xlpm.val="Error"),"",_xlpm.val),_xlpm.Res)</f>
        <v>#NAME?</v>
      </c>
      <c r="BA31" s="1669" t="e" cm="1">
        <f t="array" ca="1" aca="1" ref="BA31">_xlfn.LET(_xlpm.val,IF($F31="",val_blankRefText,_xldudf_CX_GET(CX_ENTITY,($F31),BA$11,BA$14,,(BA$19))),_xlpm.Res,IF(OR(_xlpm.val="",_xlpm.val="Error"),"",_xlpm.val),_xlpm.Res)</f>
        <v>#NAME?</v>
      </c>
      <c r="BB31" s="1669" t="e" cm="1">
        <f t="array" ca="1" aca="1" ref="BB31">_xlfn.LET(_xlpm.val,IF($F31="",val_blankRefText,_xldudf_CX_GET(CX_ENTITY,($F31),BB$11,BB$14,,(BB$19))),_xlpm.Res,IF(OR(_xlpm.val="",_xlpm.val="Error"),"",_xlpm.val),_xlpm.Res)</f>
        <v>#NAME?</v>
      </c>
      <c r="BC31" s="1669" t="e" cm="1">
        <f t="array" ca="1" aca="1" ref="BC31">_xlfn.LET(_xlpm.val,IF($F31="",val_blankRefText,_xldudf_CX_GET(CX_ENTITY,($F31),BC$11,BC$14,,(BC$19))),_xlpm.Res,IF(OR(_xlpm.val="",_xlpm.val="Error"),"",_xlpm.val),_xlpm.Res)</f>
        <v>#NAME?</v>
      </c>
      <c r="BD31" s="1669" t="e" cm="1">
        <f t="array" ca="1" aca="1" ref="BD31">_xlfn.LET(_xlpm.val,IF($F31="",val_blankRefText,_xldudf_CX_GET(CX_ENTITY,($F31),BD$11,BD$14,,(BD$19))),_xlpm.Res,IF(OR(_xlpm.val="",_xlpm.val="Error"),"",_xlpm.val),_xlpm.Res)</f>
        <v>#NAME?</v>
      </c>
      <c r="BE31" s="1669" t="e" cm="1">
        <f t="array" ca="1" aca="1" ref="BE31">_xlfn.LET(_xlpm.val,IF($F31="",val_blankRefText,_xldudf_CX_GET(CX_ENTITY,($F31),BE$11,BE$14,,(BE$19))),_xlpm.Res,IF(OR(_xlpm.val="",_xlpm.val="Error"),"",_xlpm.val),_xlpm.Res)</f>
        <v>#NAME?</v>
      </c>
      <c r="BF31" s="1669" t="e" cm="1">
        <f t="array" ca="1" aca="1" ref="BF31">_xlfn.LET(_xlpm.val,IF($F31="",val_blankRefText,_xldudf_CX_GET(CX_ENTITY,($F31),BF$11,BF$14,,(BF$19))),_xlpm.Res,IF(OR(_xlpm.val="",_xlpm.val="Error"),"",_xlpm.val),_xlpm.Res)</f>
        <v>#NAME?</v>
      </c>
      <c r="BG31" s="1669" t="e" cm="1">
        <f t="array" ca="1" aca="1" ref="BG31">_xlfn.LET(_xlpm.val,IF($F31="",val_blankRefText,_xldudf_CX_GET(CX_ENTITY,($F31),BG$11,BG$14,,(BG$19))),_xlpm.Res,IF(OR(_xlpm.val="",_xlpm.val="Error"),"",_xlpm.val),_xlpm.Res)</f>
        <v>#NAME?</v>
      </c>
      <c r="BH31" s="1669" t="e" cm="1">
        <f t="array" ca="1" aca="1" ref="BH31">_xlfn.LET(_xlpm.val,IF($F31="",val_blankRefText,_xldudf_CX_GET(CX_ENTITY,($F31),BH$11,BH$14,,(BH$19))),_xlpm.Res,IF(OR(_xlpm.val="",_xlpm.val="Error"),"",_xlpm.val),_xlpm.Res)</f>
        <v>#NAME?</v>
      </c>
      <c r="BI31" s="1669" t="e" cm="1">
        <f t="array" ca="1" aca="1" ref="BI31">_xlfn.LET(_xlpm.val,IF($F31="",val_blankRefText,_xldudf_CX_GET(CX_ENTITY,($F31),BI$11,BI$14,,(BI$19))),_xlpm.Res,IF(OR(_xlpm.val="",_xlpm.val="Error"),"",_xlpm.val),_xlpm.Res)</f>
        <v>#NAME?</v>
      </c>
      <c r="BJ31" s="1669" t="e" cm="1">
        <f t="array" ca="1" aca="1" ref="BJ31">_xlfn.LET(_xlpm.val,IF($F31="",val_blankRefText,_xldudf_CX_GET(CX_ENTITY,($F31),BJ$11,BJ$14,,(BJ$19))),_xlpm.Res,IF(OR(_xlpm.val="",_xlpm.val="Error"),"",_xlpm.val),_xlpm.Res)</f>
        <v>#NAME?</v>
      </c>
      <c r="BK31" s="1669" t="e" cm="1">
        <f t="array" ca="1" aca="1" ref="BK31">_xlfn.LET(_xlpm.val,IF($F31="",val_blankRefText,_xldudf_CX_GET(CX_ENTITY,($F31),BK$11,BK$14,,(BK$19))),_xlpm.Res,IF(OR(_xlpm.val="",_xlpm.val="Error"),"",_xlpm.val),_xlpm.Res)</f>
        <v>#NAME?</v>
      </c>
      <c r="BL31" s="1669" t="e" cm="1">
        <f t="array" ca="1" aca="1" ref="BL31">_xlfn.LET(_xlpm.val,IF($F31="",val_blankRefText,_xldudf_CX_GET(CX_ENTITY,($F31),BL$11,BL$14,,(BL$19))),_xlpm.Res,IF(OR(_xlpm.val="",_xlpm.val="Error"),"",_xlpm.val),_xlpm.Res)</f>
        <v>#NAME?</v>
      </c>
      <c r="BM31" s="1669" t="e" cm="1">
        <f t="array" ca="1" aca="1" ref="BM31">_xlfn.LET(_xlpm.val,IF($F31="",val_blankRefText,_xldudf_CX_GET(CX_ENTITY,($F31),BM$11,BM$14,,(BM$19))),_xlpm.Res,IF(OR(_xlpm.val="",_xlpm.val="Error"),"",_xlpm.val),_xlpm.Res)</f>
        <v>#NAME?</v>
      </c>
      <c r="BN31" s="1669" t="e" cm="1">
        <f t="array" ca="1" aca="1" ref="BN31">_xlfn.LET(_xlpm.val,IF($F31="",val_blankRefText,_xldudf_CX_GET(CX_ENTITY,($F31),BN$11,BN$14,,(BN$19))),_xlpm.Res,IF(OR(_xlpm.val="",_xlpm.val="Error"),"",_xlpm.val),_xlpm.Res)</f>
        <v>#NAME?</v>
      </c>
      <c r="BO31" s="2095"/>
      <c r="BP31" s="2095"/>
      <c r="BQ31" s="2095"/>
      <c r="BR31" s="2095"/>
      <c r="BS31" s="2095"/>
      <c r="BT31" s="2095"/>
      <c r="BU31" s="2095"/>
      <c r="BV31" s="2095"/>
      <c r="BW31" s="2095"/>
      <c r="BX31" s="2095"/>
      <c r="BY31" s="2095"/>
      <c r="BZ31" s="2095"/>
      <c r="CA31" s="34"/>
      <c r="CC31" s="33"/>
      <c r="CD31" s="1461" t="e" cm="1">
        <f t="array" ca="1" aca="1" ref="CD31">_xlfn.LET(_xlpm.CheckBlank,SUM(PL!$AD31:PL!$BN31)=0,IF(_xlpm.CheckBlank,"",SUM(_xlfn._xlws.FILTER(PL!$AD31:$BN31,(YEAR(PL!$AD$12:$BN$12)=PL!CD$12)*(array_timeline&lt;=PL!CD$11)))))</f>
        <v>#NAME?</v>
      </c>
      <c r="CE31" s="1461" t="e" cm="1">
        <f t="array" ca="1" aca="1" ref="CE31">_xlfn.LET(_xlpm.CheckBlank,SUM(PL!$AD31:PL!$BN31)=0,IF(_xlpm.CheckBlank,"",SUM(_xlfn._xlws.FILTER(PL!$AD31:$BN31,(YEAR(PL!$AD$12:$BN$12)=PL!CE$12)*(array_timeline&lt;=PL!CE$11)))))</f>
        <v>#NAME?</v>
      </c>
      <c r="CF31" s="88"/>
      <c r="CG31" s="1461" t="e" cm="1">
        <f t="array" ca="1" aca="1" ref="CG31">_xlfn.LET(_xlpm.CheckBlank,SUM(PL!$AD31:$BN31)=0,IF(_xlpm.CheckBlank,"",SUM(_xlfn._xlws.FILTER(PL!$AD31:$BN31,(YEAR(PL!$AD$12:$BN$12)=PL!CG$12)*(array_timeline&lt;=PL!CG$11)))))</f>
        <v>#NAME?</v>
      </c>
      <c r="CH31" s="1461" t="e" cm="1">
        <f t="array" ca="1" aca="1" ref="CH31">_xlfn.LET(_xlpm.CheckBlank,SUM(PL!$AD31:$BN31)=0,IF(_xlpm.CheckBlank,"",SUM(_xlfn._xlws.FILTER(PL!$AD31:$BN31,(YEAR(PL!$AD$12:$BN$12)=PL!CH$12)*(array_timeline&lt;=PL!CH$11)))))</f>
        <v>#NAME?</v>
      </c>
      <c r="CI31" s="88"/>
      <c r="CJ31" s="1461" cm="1">
        <f t="array" ref="CJ31">_xlfn.LET(_xlpm.CheckBlank,SUM(PL!$AD31:$BN31)=0,IF(_xlpm.CheckBlank,"",SUM(_xlfn.TAKE(_xlfn.DROP(PL!$AD31:$BN31,,-DATEDIFF(PL!CJ$11,val_asOfDate,"M")),1,-12))))</f>
        <v>12</v>
      </c>
      <c r="CK31" s="1461" cm="1">
        <f t="array" ref="CK31">_xlfn.LET(_xlpm.CheckBlank,SUM(PL!$AD31:$BN31)=0,IF(_xlpm.CheckBlank,"",SUM(_xlfn.TAKE(_xlfn.DROP(PL!$AD31:$BN31,,-DATEDIFF(PL!CK$11,val_asOfDate,"M")),1,-12))))</f>
        <v>12</v>
      </c>
      <c r="CL31" s="88"/>
      <c r="CM31" s="1168" t="e" cm="1">
        <f t="array" ca="1" aca="1" ref="CM31">_xlfn.LET(_xlpm.val,IF($F31="",val_blankRefText,_xldudf_CX_GET(CX_ENTITY,($F31),CM$11,CM$14,,(CM$19))),_xlpm.Res,IF(OR(_xlpm.val="",_xlpm.val="Error"),"",_xlpm.val),_xlpm.Res)</f>
        <v>#NAME?</v>
      </c>
      <c r="CN31" s="1168" t="e" cm="1">
        <f t="array" ca="1" aca="1" ref="CN31">_xlfn.LET(_xlpm.val,IF($F31="",val_blankRefText,_xldudf_CX_GET(CX_ENTITY,fx_attrConverter($F31),CN$11,CN$14,,(CN$19))),_xlpm.Res,IF(OR(_xlpm.val="",_xlpm.val="Error"),"",_xlpm.val),_xlpm.Res)</f>
        <v>#NAME?</v>
      </c>
      <c r="CO31" s="1169"/>
      <c r="CP31" s="1168" t="e" cm="1">
        <f t="array" ca="1" aca="1" ref="CP31">_xlfn.LET(_xlpm.val,IF($F31="",val_blankRefText,_xldudf_CX_GET(CX_ENTITY,fx_attrConverter($F31),CP$11,CP$14,,(CP$19))),_xlpm.Res,IF(OR(_xlpm.val="",_xlpm.val="Error"),"",_xlpm.val),_xlpm.Res)</f>
        <v>#NAME?</v>
      </c>
      <c r="CQ31" s="1168" t="e" cm="1">
        <f t="array" ca="1" aca="1" ref="CQ31">_xlfn.LET(_xlpm.val,IF($F31="",val_blankRefText,_xldudf_CX_GET(CX_ENTITY,fx_attrConverter($F31),CQ$11,CQ$14,,(CQ$19))),_xlpm.Res,IF(OR(_xlpm.val="",_xlpm.val="Error"),"",_xlpm.val),_xlpm.Res)</f>
        <v>#NAME?</v>
      </c>
      <c r="CR31" s="34"/>
    </row>
    <row r="32" spans="1:96" ht="21" customHeight="1" outlineLevel="2">
      <c r="A32" s="1322"/>
      <c r="B32" s="577" t="s">
        <v>200</v>
      </c>
      <c r="C32" s="2125" t="s">
        <v>1542</v>
      </c>
      <c r="D32" s="1079"/>
      <c r="E32" s="577" t="e" cm="1">
        <f t="array" ca="1" aca="1" ref="E32">_xlfn.LET(_xlpm.Attr,$C32,_xlpm.Lookback,$E$16,_xlpm.QueryDate,EOMONTH(val_asOfDate,_xlpm.Lookback),_xlpm.ReadField,_xldudf_CX_GET(CX_ENTITY,fx_attrConverter($C32),_xlpm.QueryDate),_xlpm.AttrBlank,_xlpm.Attr="",_xlpm.RESULT,IF(_xlpm.AttrBlank,val_blankRefText,fx_attrConverter(_xlpm.ReadField,0)),IF(_xlpm.RESULT="Error","",_xlpm.RESULT))</f>
        <v>#NAME?</v>
      </c>
      <c r="F32" s="577" t="str">
        <f t="shared" si="1"/>
        <v>Adjusted EBITDA</v>
      </c>
      <c r="G32" s="577" t="s">
        <v>1528</v>
      </c>
      <c r="H32" s="3279">
        <v>2</v>
      </c>
      <c r="I32" s="3279">
        <v>1</v>
      </c>
      <c r="J32" s="578"/>
      <c r="K32" s="578"/>
      <c r="L32" s="579">
        <v>-1</v>
      </c>
      <c r="N32" s="158"/>
      <c r="O32" s="101"/>
      <c r="P32" s="52"/>
      <c r="Q32" s="101"/>
      <c r="R32" s="126"/>
      <c r="S32" s="101"/>
      <c r="T32" s="101"/>
      <c r="U32" s="39"/>
      <c r="W32" s="91" t="str">
        <f t="shared" si="4"/>
        <v>Actual</v>
      </c>
      <c r="X32" s="884">
        <v>0</v>
      </c>
      <c r="Y32" s="1196" t="e" cm="1">
        <f t="array" ca="1" aca="1" ref="Y32">IF($B32="",IFBLANK($E32,"Please select or type in or leave as blank"),IFBLANK($E32,$B32))</f>
        <v>#NAME?</v>
      </c>
      <c r="Z32" s="198" cm="1">
        <f t="array" ref="Z32">_xlfn.SWITCH(TRUE,ISBLANK(_PL!$L32),"",_PL!$L32=TRUE,1,_PL!$L32=FALSE,-1,_PL!$L32=-1,0,"n/a")</f>
        <v>0</v>
      </c>
      <c r="AA32" s="200"/>
      <c r="AB32" s="301" t="s">
        <v>200</v>
      </c>
      <c r="AC32" s="300" t="e" vm="5" cm="1">
        <f t="array" ref="AC32">_xlfn.LET(_xlpm.Def,IF(_xlfn.XMATCH(AB32,tbl_acctDef[Term],0)&gt;0,fx_getIcon("find"),""),_xlpm.Adj,IF(_xlfn.XMATCH(AB32,tbl_adjExample[Items],0)&gt;0,fx_getIcon("find"),""),IFERROR(IFBLANK(_xlpm.Def,_xlpm.Adj),""))</f>
        <v>#VALUE!</v>
      </c>
      <c r="AD32" s="1669" t="e" cm="1">
        <f t="array" ca="1" aca="1" ref="AD32">_xlfn.LET(_xlpm.val,IF($F32="",val_blankRefText,_xldudf_CX_GET(CX_ENTITY,($F32),AD$11,AD$14,,(AD$19))),_xlpm.Res,IF(OR(_xlpm.val="",_xlpm.val="Error"),"",_xlpm.val),_xlpm.Res)</f>
        <v>#NAME?</v>
      </c>
      <c r="AE32" s="1669" t="e" cm="1">
        <f t="array" ca="1" aca="1" ref="AE32">_xlfn.LET(_xlpm.val,IF($F32="",val_blankRefText,_xldudf_CX_GET(CX_ENTITY,($F32),AE$11,AE$14,,(AE$19))),_xlpm.Res,IF(OR(_xlpm.val="",_xlpm.val="Error"),"",_xlpm.val),_xlpm.Res)</f>
        <v>#NAME?</v>
      </c>
      <c r="AF32" s="1669" t="e" cm="1">
        <f t="array" ca="1" aca="1" ref="AF32">_xlfn.LET(_xlpm.val,IF($F32="",val_blankRefText,_xldudf_CX_GET(CX_ENTITY,($F32),AF$11,AF$14,,(AF$19))),_xlpm.Res,IF(OR(_xlpm.val="",_xlpm.val="Error"),"",_xlpm.val),_xlpm.Res)</f>
        <v>#NAME?</v>
      </c>
      <c r="AG32" s="1669" t="e" cm="1">
        <f t="array" ca="1" aca="1" ref="AG32">_xlfn.LET(_xlpm.val,IF($F32="",val_blankRefText,_xldudf_CX_GET(CX_ENTITY,($F32),AG$11,AG$14,,(AG$19))),_xlpm.Res,IF(OR(_xlpm.val="",_xlpm.val="Error"),"",_xlpm.val),_xlpm.Res)</f>
        <v>#NAME?</v>
      </c>
      <c r="AH32" s="1669" t="e" cm="1">
        <f t="array" ca="1" aca="1" ref="AH32">_xlfn.LET(_xlpm.val,IF($F32="",val_blankRefText,_xldudf_CX_GET(CX_ENTITY,($F32),AH$11,AH$14,,(AH$19))),_xlpm.Res,IF(OR(_xlpm.val="",_xlpm.val="Error"),"",_xlpm.val),_xlpm.Res)</f>
        <v>#NAME?</v>
      </c>
      <c r="AI32" s="1669" t="e" cm="1">
        <f t="array" ca="1" aca="1" ref="AI32">_xlfn.LET(_xlpm.val,IF($F32="",val_blankRefText,_xldudf_CX_GET(CX_ENTITY,($F32),AI$11,AI$14,,(AI$19))),_xlpm.Res,IF(OR(_xlpm.val="",_xlpm.val="Error"),"",_xlpm.val),_xlpm.Res)</f>
        <v>#NAME?</v>
      </c>
      <c r="AJ32" s="1669" t="e" cm="1">
        <f t="array" ca="1" aca="1" ref="AJ32">_xlfn.LET(_xlpm.val,IF($F32="",val_blankRefText,_xldudf_CX_GET(CX_ENTITY,($F32),AJ$11,AJ$14,,(AJ$19))),_xlpm.Res,IF(OR(_xlpm.val="",_xlpm.val="Error"),"",_xlpm.val),_xlpm.Res)</f>
        <v>#NAME?</v>
      </c>
      <c r="AK32" s="1669" t="e" cm="1">
        <f t="array" ca="1" aca="1" ref="AK32">_xlfn.LET(_xlpm.val,IF($F32="",val_blankRefText,_xldudf_CX_GET(CX_ENTITY,($F32),AK$11,AK$14,,(AK$19))),_xlpm.Res,IF(OR(_xlpm.val="",_xlpm.val="Error"),"",_xlpm.val),_xlpm.Res)</f>
        <v>#NAME?</v>
      </c>
      <c r="AL32" s="1669" t="e" cm="1">
        <f t="array" ca="1" aca="1" ref="AL32">_xlfn.LET(_xlpm.val,IF($F32="",val_blankRefText,_xldudf_CX_GET(CX_ENTITY,($F32),AL$11,AL$14,,(AL$19))),_xlpm.Res,IF(OR(_xlpm.val="",_xlpm.val="Error"),"",_xlpm.val),_xlpm.Res)</f>
        <v>#NAME?</v>
      </c>
      <c r="AM32" s="1669" t="e" cm="1">
        <f t="array" ca="1" aca="1" ref="AM32">_xlfn.LET(_xlpm.val,IF($F32="",val_blankRefText,_xldudf_CX_GET(CX_ENTITY,($F32),AM$11,AM$14,,(AM$19))),_xlpm.Res,IF(OR(_xlpm.val="",_xlpm.val="Error"),"",_xlpm.val),_xlpm.Res)</f>
        <v>#NAME?</v>
      </c>
      <c r="AN32" s="1669" t="e" cm="1">
        <f t="array" ca="1" aca="1" ref="AN32">_xlfn.LET(_xlpm.val,IF($F32="",val_blankRefText,_xldudf_CX_GET(CX_ENTITY,($F32),AN$11,AN$14,,(AN$19))),_xlpm.Res,IF(OR(_xlpm.val="",_xlpm.val="Error"),"",_xlpm.val),_xlpm.Res)</f>
        <v>#NAME?</v>
      </c>
      <c r="AO32" s="1669" t="e" cm="1">
        <f t="array" ca="1" aca="1" ref="AO32">_xlfn.LET(_xlpm.val,IF($F32="",val_blankRefText,_xldudf_CX_GET(CX_ENTITY,($F32),AO$11,AO$14,,(AO$19))),_xlpm.Res,IF(OR(_xlpm.val="",_xlpm.val="Error"),"",_xlpm.val),_xlpm.Res)</f>
        <v>#NAME?</v>
      </c>
      <c r="AP32" s="1669" t="e" cm="1">
        <f t="array" ca="1" aca="1" ref="AP32">_xlfn.LET(_xlpm.val,IF($F32="",val_blankRefText,_xldudf_CX_GET(CX_ENTITY,($F32),AP$11,AP$14,,(AP$19))),_xlpm.Res,IF(OR(_xlpm.val="",_xlpm.val="Error"),"",_xlpm.val),_xlpm.Res)</f>
        <v>#NAME?</v>
      </c>
      <c r="AQ32" s="1669" t="e" cm="1">
        <f t="array" ca="1" aca="1" ref="AQ32">_xlfn.LET(_xlpm.val,IF($F32="",val_blankRefText,_xldudf_CX_GET(CX_ENTITY,($F32),AQ$11,AQ$14,,(AQ$19))),_xlpm.Res,IF(OR(_xlpm.val="",_xlpm.val="Error"),"",_xlpm.val),_xlpm.Res)</f>
        <v>#NAME?</v>
      </c>
      <c r="AR32" s="1669" t="e" cm="1">
        <f t="array" ca="1" aca="1" ref="AR32">_xlfn.LET(_xlpm.val,IF($F32="",val_blankRefText,_xldudf_CX_GET(CX_ENTITY,($F32),AR$11,AR$14,,(AR$19))),_xlpm.Res,IF(OR(_xlpm.val="",_xlpm.val="Error"),"",_xlpm.val),_xlpm.Res)</f>
        <v>#NAME?</v>
      </c>
      <c r="AS32" s="1669" t="e" cm="1">
        <f t="array" ca="1" aca="1" ref="AS32">_xlfn.LET(_xlpm.val,IF($F32="",val_blankRefText,_xldudf_CX_GET(CX_ENTITY,($F32),AS$11,AS$14,,(AS$19))),_xlpm.Res,IF(OR(_xlpm.val="",_xlpm.val="Error"),"",_xlpm.val),_xlpm.Res)</f>
        <v>#NAME?</v>
      </c>
      <c r="AT32" s="1669" t="e" cm="1">
        <f t="array" ca="1" aca="1" ref="AT32">_xlfn.LET(_xlpm.val,IF($F32="",val_blankRefText,_xldudf_CX_GET(CX_ENTITY,($F32),AT$11,AT$14,,(AT$19))),_xlpm.Res,IF(OR(_xlpm.val="",_xlpm.val="Error"),"",_xlpm.val),_xlpm.Res)</f>
        <v>#NAME?</v>
      </c>
      <c r="AU32" s="1669" t="e" cm="1">
        <f t="array" ca="1" aca="1" ref="AU32">_xlfn.LET(_xlpm.val,IF($F32="",val_blankRefText,_xldudf_CX_GET(CX_ENTITY,($F32),AU$11,AU$14,,(AU$19))),_xlpm.Res,IF(OR(_xlpm.val="",_xlpm.val="Error"),"",_xlpm.val),_xlpm.Res)</f>
        <v>#NAME?</v>
      </c>
      <c r="AV32" s="1669" t="e" cm="1">
        <f t="array" ca="1" aca="1" ref="AV32">_xlfn.LET(_xlpm.val,IF($F32="",val_blankRefText,_xldudf_CX_GET(CX_ENTITY,($F32),AV$11,AV$14,,(AV$19))),_xlpm.Res,IF(OR(_xlpm.val="",_xlpm.val="Error"),"",_xlpm.val),_xlpm.Res)</f>
        <v>#NAME?</v>
      </c>
      <c r="AW32" s="1669" t="e" cm="1">
        <f t="array" ca="1" aca="1" ref="AW32">_xlfn.LET(_xlpm.val,IF($F32="",val_blankRefText,_xldudf_CX_GET(CX_ENTITY,($F32),AW$11,AW$14,,(AW$19))),_xlpm.Res,IF(OR(_xlpm.val="",_xlpm.val="Error"),"",_xlpm.val),_xlpm.Res)</f>
        <v>#NAME?</v>
      </c>
      <c r="AX32" s="1669" t="e" cm="1">
        <f t="array" ca="1" aca="1" ref="AX32">_xlfn.LET(_xlpm.val,IF($F32="",val_blankRefText,_xldudf_CX_GET(CX_ENTITY,($F32),AX$11,AX$14,,(AX$19))),_xlpm.Res,IF(OR(_xlpm.val="",_xlpm.val="Error"),"",_xlpm.val),_xlpm.Res)</f>
        <v>#NAME?</v>
      </c>
      <c r="AY32" s="1669" t="e" cm="1">
        <f t="array" ca="1" aca="1" ref="AY32">_xlfn.LET(_xlpm.val,IF($F32="",val_blankRefText,_xldudf_CX_GET(CX_ENTITY,($F32),AY$11,AY$14,,(AY$19))),_xlpm.Res,IF(OR(_xlpm.val="",_xlpm.val="Error"),"",_xlpm.val),_xlpm.Res)</f>
        <v>#NAME?</v>
      </c>
      <c r="AZ32" s="1669" t="e" cm="1">
        <f t="array" ca="1" aca="1" ref="AZ32">_xlfn.LET(_xlpm.val,IF($F32="",val_blankRefText,_xldudf_CX_GET(CX_ENTITY,($F32),AZ$11,AZ$14,,(AZ$19))),_xlpm.Res,IF(OR(_xlpm.val="",_xlpm.val="Error"),"",_xlpm.val),_xlpm.Res)</f>
        <v>#NAME?</v>
      </c>
      <c r="BA32" s="1669" t="e" cm="1">
        <f t="array" ca="1" aca="1" ref="BA32">_xlfn.LET(_xlpm.val,IF($F32="",val_blankRefText,_xldudf_CX_GET(CX_ENTITY,($F32),BA$11,BA$14,,(BA$19))),_xlpm.Res,IF(OR(_xlpm.val="",_xlpm.val="Error"),"",_xlpm.val),_xlpm.Res)</f>
        <v>#NAME?</v>
      </c>
      <c r="BB32" s="1669" t="e" cm="1">
        <f t="array" ca="1" aca="1" ref="BB32">_xlfn.LET(_xlpm.val,IF($F32="",val_blankRefText,_xldudf_CX_GET(CX_ENTITY,($F32),BB$11,BB$14,,(BB$19))),_xlpm.Res,IF(OR(_xlpm.val="",_xlpm.val="Error"),"",_xlpm.val),_xlpm.Res)</f>
        <v>#NAME?</v>
      </c>
      <c r="BC32" s="1669" t="e" cm="1">
        <f t="array" ca="1" aca="1" ref="BC32">_xlfn.LET(_xlpm.val,IF($F32="",val_blankRefText,_xldudf_CX_GET(CX_ENTITY,($F32),BC$11,BC$14,,(BC$19))),_xlpm.Res,IF(OR(_xlpm.val="",_xlpm.val="Error"),"",_xlpm.val),_xlpm.Res)</f>
        <v>#NAME?</v>
      </c>
      <c r="BD32" s="1669" t="e" cm="1">
        <f t="array" ca="1" aca="1" ref="BD32">_xlfn.LET(_xlpm.val,IF($F32="",val_blankRefText,_xldudf_CX_GET(CX_ENTITY,($F32),BD$11,BD$14,,(BD$19))),_xlpm.Res,IF(OR(_xlpm.val="",_xlpm.val="Error"),"",_xlpm.val),_xlpm.Res)</f>
        <v>#NAME?</v>
      </c>
      <c r="BE32" s="1669" t="e" cm="1">
        <f t="array" ca="1" aca="1" ref="BE32">_xlfn.LET(_xlpm.val,IF($F32="",val_blankRefText,_xldudf_CX_GET(CX_ENTITY,($F32),BE$11,BE$14,,(BE$19))),_xlpm.Res,IF(OR(_xlpm.val="",_xlpm.val="Error"),"",_xlpm.val),_xlpm.Res)</f>
        <v>#NAME?</v>
      </c>
      <c r="BF32" s="1669" t="e" cm="1">
        <f t="array" ca="1" aca="1" ref="BF32">_xlfn.LET(_xlpm.val,IF($F32="",val_blankRefText,_xldudf_CX_GET(CX_ENTITY,($F32),BF$11,BF$14,,(BF$19))),_xlpm.Res,IF(OR(_xlpm.val="",_xlpm.val="Error"),"",_xlpm.val),_xlpm.Res)</f>
        <v>#NAME?</v>
      </c>
      <c r="BG32" s="1669" t="e" cm="1">
        <f t="array" ca="1" aca="1" ref="BG32">_xlfn.LET(_xlpm.val,IF($F32="",val_blankRefText,_xldudf_CX_GET(CX_ENTITY,($F32),BG$11,BG$14,,(BG$19))),_xlpm.Res,IF(OR(_xlpm.val="",_xlpm.val="Error"),"",_xlpm.val),_xlpm.Res)</f>
        <v>#NAME?</v>
      </c>
      <c r="BH32" s="1669" t="e" cm="1">
        <f t="array" ca="1" aca="1" ref="BH32">_xlfn.LET(_xlpm.val,IF($F32="",val_blankRefText,_xldudf_CX_GET(CX_ENTITY,($F32),BH$11,BH$14,,(BH$19))),_xlpm.Res,IF(OR(_xlpm.val="",_xlpm.val="Error"),"",_xlpm.val),_xlpm.Res)</f>
        <v>#NAME?</v>
      </c>
      <c r="BI32" s="1669" t="e" cm="1">
        <f t="array" ca="1" aca="1" ref="BI32">_xlfn.LET(_xlpm.val,IF($F32="",val_blankRefText,_xldudf_CX_GET(CX_ENTITY,($F32),BI$11,BI$14,,(BI$19))),_xlpm.Res,IF(OR(_xlpm.val="",_xlpm.val="Error"),"",_xlpm.val),_xlpm.Res)</f>
        <v>#NAME?</v>
      </c>
      <c r="BJ32" s="1669" t="e" cm="1">
        <f t="array" ca="1" aca="1" ref="BJ32">_xlfn.LET(_xlpm.val,IF($F32="",val_blankRefText,_xldudf_CX_GET(CX_ENTITY,($F32),BJ$11,BJ$14,,(BJ$19))),_xlpm.Res,IF(OR(_xlpm.val="",_xlpm.val="Error"),"",_xlpm.val),_xlpm.Res)</f>
        <v>#NAME?</v>
      </c>
      <c r="BK32" s="1669" t="e" cm="1">
        <f t="array" ca="1" aca="1" ref="BK32">_xlfn.LET(_xlpm.val,IF($F32="",val_blankRefText,_xldudf_CX_GET(CX_ENTITY,($F32),BK$11,BK$14,,(BK$19))),_xlpm.Res,IF(OR(_xlpm.val="",_xlpm.val="Error"),"",_xlpm.val),_xlpm.Res)</f>
        <v>#NAME?</v>
      </c>
      <c r="BL32" s="1669" t="e" cm="1">
        <f t="array" ca="1" aca="1" ref="BL32">_xlfn.LET(_xlpm.val,IF($F32="",val_blankRefText,_xldudf_CX_GET(CX_ENTITY,($F32),BL$11,BL$14,,(BL$19))),_xlpm.Res,IF(OR(_xlpm.val="",_xlpm.val="Error"),"",_xlpm.val),_xlpm.Res)</f>
        <v>#NAME?</v>
      </c>
      <c r="BM32" s="1669" t="e" cm="1">
        <f t="array" ca="1" aca="1" ref="BM32">_xlfn.LET(_xlpm.val,IF($F32="",val_blankRefText,_xldudf_CX_GET(CX_ENTITY,($F32),BM$11,BM$14,,(BM$19))),_xlpm.Res,IF(OR(_xlpm.val="",_xlpm.val="Error"),"",_xlpm.val),_xlpm.Res)</f>
        <v>#NAME?</v>
      </c>
      <c r="BN32" s="1669" t="e" cm="1">
        <f t="array" ca="1" aca="1" ref="BN32">_xlfn.LET(_xlpm.val,IF($F32="",val_blankRefText,_xldudf_CX_GET(CX_ENTITY,($F32),BN$11,BN$14,,(BN$19))),_xlpm.Res,IF(OR(_xlpm.val="",_xlpm.val="Error"),"",_xlpm.val),_xlpm.Res)</f>
        <v>#NAME?</v>
      </c>
      <c r="BO32" s="2095"/>
      <c r="BP32" s="2095"/>
      <c r="BQ32" s="2095"/>
      <c r="BR32" s="2095"/>
      <c r="BS32" s="2095"/>
      <c r="BT32" s="2095"/>
      <c r="BU32" s="2095"/>
      <c r="BV32" s="2095"/>
      <c r="BW32" s="2095"/>
      <c r="BX32" s="2095"/>
      <c r="BY32" s="2095"/>
      <c r="BZ32" s="2095"/>
      <c r="CA32" s="34"/>
      <c r="CC32" s="33"/>
      <c r="CD32" s="1461" t="e" cm="1">
        <f t="array" ca="1" aca="1" ref="CD32">_xlfn.LET(_xlpm.CheckBlank,SUM(PL!$AD32:PL!$BN32)=0,IF(_xlpm.CheckBlank,"",SUM(_xlfn._xlws.FILTER(PL!$AD32:$BN32,(YEAR(PL!$AD$12:$BN$12)=PL!CD$12)*(array_timeline&lt;=PL!CD$11)))))</f>
        <v>#NAME?</v>
      </c>
      <c r="CE32" s="1461" t="e" cm="1">
        <f t="array" ca="1" aca="1" ref="CE32">_xlfn.LET(_xlpm.CheckBlank,SUM(PL!$AD32:PL!$BN32)=0,IF(_xlpm.CheckBlank,"",SUM(_xlfn._xlws.FILTER(PL!$AD32:$BN32,(YEAR(PL!$AD$12:$BN$12)=PL!CE$12)*(array_timeline&lt;=PL!CE$11)))))</f>
        <v>#NAME?</v>
      </c>
      <c r="CF32" s="88"/>
      <c r="CG32" s="1461" t="e" cm="1">
        <f t="array" ca="1" aca="1" ref="CG32">_xlfn.LET(_xlpm.CheckBlank,SUM(PL!$AD32:$BN32)=0,IF(_xlpm.CheckBlank,"",SUM(_xlfn._xlws.FILTER(PL!$AD32:$BN32,(YEAR(PL!$AD$12:$BN$12)=PL!CG$12)*(array_timeline&lt;=PL!CG$11)))))</f>
        <v>#NAME?</v>
      </c>
      <c r="CH32" s="1461" t="e" cm="1">
        <f t="array" ca="1" aca="1" ref="CH32">_xlfn.LET(_xlpm.CheckBlank,SUM(PL!$AD32:$BN32)=0,IF(_xlpm.CheckBlank,"",SUM(_xlfn._xlws.FILTER(PL!$AD32:$BN32,(YEAR(PL!$AD$12:$BN$12)=PL!CH$12)*(array_timeline&lt;=PL!CH$11)))))</f>
        <v>#NAME?</v>
      </c>
      <c r="CI32" s="88"/>
      <c r="CJ32" s="1461" cm="1">
        <f t="array" ref="CJ32">_xlfn.LET(_xlpm.CheckBlank,SUM(PL!$AD32:$BN32)=0,IF(_xlpm.CheckBlank,"",SUM(_xlfn.TAKE(_xlfn.DROP(PL!$AD32:$BN32,,-DATEDIFF(PL!CJ$11,val_asOfDate,"M")),1,-12))))</f>
        <v>108</v>
      </c>
      <c r="CK32" s="1461" cm="1">
        <f t="array" ref="CK32">_xlfn.LET(_xlpm.CheckBlank,SUM(PL!$AD32:$BN32)=0,IF(_xlpm.CheckBlank,"",SUM(_xlfn.TAKE(_xlfn.DROP(PL!$AD32:$BN32,,-DATEDIFF(PL!CK$11,val_asOfDate,"M")),1,-12))))</f>
        <v>108</v>
      </c>
      <c r="CL32" s="88"/>
      <c r="CM32" s="1168" t="e" cm="1">
        <f t="array" ca="1" aca="1" ref="CM32">_xlfn.LET(_xlpm.val,IF($F32="",val_blankRefText,_xldudf_CX_GET(CX_ENTITY,($F32),CM$11,CM$14,,(CM$19))),_xlpm.Res,IF(OR(_xlpm.val="",_xlpm.val="Error"),"",_xlpm.val),_xlpm.Res)</f>
        <v>#NAME?</v>
      </c>
      <c r="CN32" s="1168" t="e" cm="1">
        <f t="array" ca="1" aca="1" ref="CN32">_xlfn.LET(_xlpm.val,IF($F32="",val_blankRefText,_xldudf_CX_GET(CX_ENTITY,fx_attrConverter($F32),CN$11,CN$14,,(CN$19))),_xlpm.Res,IF(OR(_xlpm.val="",_xlpm.val="Error"),"",_xlpm.val),_xlpm.Res)</f>
        <v>#NAME?</v>
      </c>
      <c r="CO32" s="1169"/>
      <c r="CP32" s="1168" t="e" cm="1">
        <f t="array" ca="1" aca="1" ref="CP32">_xlfn.LET(_xlpm.val,IF($F32="",val_blankRefText,_xldudf_CX_GET(CX_ENTITY,fx_attrConverter($F32),CP$11,CP$14,,(CP$19))),_xlpm.Res,IF(OR(_xlpm.val="",_xlpm.val="Error"),"",_xlpm.val),_xlpm.Res)</f>
        <v>#NAME?</v>
      </c>
      <c r="CQ32" s="1168" t="e" cm="1">
        <f t="array" ca="1" aca="1" ref="CQ32">_xlfn.LET(_xlpm.val,IF($F32="",val_blankRefText,_xldudf_CX_GET(CX_ENTITY,fx_attrConverter($F32),CQ$11,CQ$14,,(CQ$19))),_xlpm.Res,IF(OR(_xlpm.val="",_xlpm.val="Error"),"",_xlpm.val),_xlpm.Res)</f>
        <v>#NAME?</v>
      </c>
      <c r="CR32" s="34"/>
    </row>
    <row r="33" spans="1:96" ht="21" customHeight="1" outlineLevel="2">
      <c r="A33" s="1322"/>
      <c r="B33" s="577" t="s">
        <v>651</v>
      </c>
      <c r="C33" s="2125" t="s">
        <v>1543</v>
      </c>
      <c r="D33" s="1079"/>
      <c r="E33" s="577" t="e" cm="1">
        <f t="array" ca="1" aca="1" ref="E33">_xlfn.LET(_xlpm.Attr,$C33,_xlpm.Lookback,$E$16,_xlpm.QueryDate,EOMONTH(val_asOfDate,_xlpm.Lookback),_xlpm.ReadField,_xldudf_CX_GET(CX_ENTITY,fx_attrConverter($C33),_xlpm.QueryDate),_xlpm.AttrBlank,_xlpm.Attr="",_xlpm.RESULT,IF(_xlpm.AttrBlank,val_blankRefText,fx_attrConverter(_xlpm.ReadField,0)),IF(_xlpm.RESULT="Error","",_xlpm.RESULT))</f>
        <v>#NAME?</v>
      </c>
      <c r="F33" s="577" t="str">
        <f t="shared" si="1"/>
        <v>Depreciation</v>
      </c>
      <c r="G33" s="577" t="s">
        <v>1528</v>
      </c>
      <c r="H33" s="1323">
        <v>0</v>
      </c>
      <c r="I33" s="3279">
        <v>1</v>
      </c>
      <c r="J33" s="578"/>
      <c r="K33" s="578"/>
      <c r="L33" s="3269" t="b">
        <v>1</v>
      </c>
      <c r="N33" s="158"/>
      <c r="O33" s="101"/>
      <c r="P33" s="52"/>
      <c r="Q33" s="101"/>
      <c r="R33" s="126"/>
      <c r="S33" s="101"/>
      <c r="T33" s="101"/>
      <c r="U33" s="39"/>
      <c r="W33" s="91" t="str">
        <f t="shared" si="4"/>
        <v>Actual</v>
      </c>
      <c r="X33" s="884">
        <v>-1</v>
      </c>
      <c r="Y33" s="911" t="e" cm="1">
        <f t="array" ca="1" aca="1" ref="Y33">IF($B33="",IFBLANK($E33,"Please select or type in or leave as blank"),IFBLANK($E33,$B33))</f>
        <v>#NAME?</v>
      </c>
      <c r="Z33" s="3291" cm="1">
        <f t="array" ref="Z33">_xlfn.SWITCH(TRUE,ISBLANK(_PL!$L33),"",_PL!$L33=TRUE,1,_PL!$L33=FALSE,-1,_PL!$L33=-1,0,"n/a")</f>
        <v>1</v>
      </c>
      <c r="AA33" s="200"/>
      <c r="AB33" s="301" t="s">
        <v>651</v>
      </c>
      <c r="AC33" s="300" t="e" vm="5" cm="1">
        <f t="array" ref="AC33">_xlfn.LET(_xlpm.Def,IF(_xlfn.XMATCH(AB33,tbl_acctDef[Term],0)&gt;0,fx_getIcon("find"),""),_xlpm.Adj,IF(_xlfn.XMATCH(AB33,tbl_adjExample[Items],0)&gt;0,fx_getIcon("find"),""),IFERROR(IFBLANK(_xlpm.Def,_xlpm.Adj),""))</f>
        <v>#VALUE!</v>
      </c>
      <c r="AD33" s="1669" t="e" cm="1">
        <f t="array" ca="1" aca="1" ref="AD33">_xlfn.LET(_xlpm.val,IF($F33="",val_blankRefText,_xldudf_CX_GET(CX_ENTITY,($F33),AD$11,AD$14,,(AD$19))),_xlpm.Res,IF(OR(_xlpm.val="",_xlpm.val="Error"),"",_xlpm.val),_xlpm.Res)</f>
        <v>#NAME?</v>
      </c>
      <c r="AE33" s="1669" t="e" cm="1">
        <f t="array" ca="1" aca="1" ref="AE33">_xlfn.LET(_xlpm.val,IF($F33="",val_blankRefText,_xldudf_CX_GET(CX_ENTITY,($F33),AE$11,AE$14,,(AE$19))),_xlpm.Res,IF(OR(_xlpm.val="",_xlpm.val="Error"),"",_xlpm.val),_xlpm.Res)</f>
        <v>#NAME?</v>
      </c>
      <c r="AF33" s="1669" t="e" cm="1">
        <f t="array" ca="1" aca="1" ref="AF33">_xlfn.LET(_xlpm.val,IF($F33="",val_blankRefText,_xldudf_CX_GET(CX_ENTITY,($F33),AF$11,AF$14,,(AF$19))),_xlpm.Res,IF(OR(_xlpm.val="",_xlpm.val="Error"),"",_xlpm.val),_xlpm.Res)</f>
        <v>#NAME?</v>
      </c>
      <c r="AG33" s="1669" t="e" cm="1">
        <f t="array" ca="1" aca="1" ref="AG33">_xlfn.LET(_xlpm.val,IF($F33="",val_blankRefText,_xldudf_CX_GET(CX_ENTITY,($F33),AG$11,AG$14,,(AG$19))),_xlpm.Res,IF(OR(_xlpm.val="",_xlpm.val="Error"),"",_xlpm.val),_xlpm.Res)</f>
        <v>#NAME?</v>
      </c>
      <c r="AH33" s="1669" t="e" cm="1">
        <f t="array" ca="1" aca="1" ref="AH33">_xlfn.LET(_xlpm.val,IF($F33="",val_blankRefText,_xldudf_CX_GET(CX_ENTITY,($F33),AH$11,AH$14,,(AH$19))),_xlpm.Res,IF(OR(_xlpm.val="",_xlpm.val="Error"),"",_xlpm.val),_xlpm.Res)</f>
        <v>#NAME?</v>
      </c>
      <c r="AI33" s="1669" t="e" cm="1">
        <f t="array" ca="1" aca="1" ref="AI33">_xlfn.LET(_xlpm.val,IF($F33="",val_blankRefText,_xldudf_CX_GET(CX_ENTITY,($F33),AI$11,AI$14,,(AI$19))),_xlpm.Res,IF(OR(_xlpm.val="",_xlpm.val="Error"),"",_xlpm.val),_xlpm.Res)</f>
        <v>#NAME?</v>
      </c>
      <c r="AJ33" s="1669" t="e" cm="1">
        <f t="array" ca="1" aca="1" ref="AJ33">_xlfn.LET(_xlpm.val,IF($F33="",val_blankRefText,_xldudf_CX_GET(CX_ENTITY,($F33),AJ$11,AJ$14,,(AJ$19))),_xlpm.Res,IF(OR(_xlpm.val="",_xlpm.val="Error"),"",_xlpm.val),_xlpm.Res)</f>
        <v>#NAME?</v>
      </c>
      <c r="AK33" s="1669" t="e" cm="1">
        <f t="array" ca="1" aca="1" ref="AK33">_xlfn.LET(_xlpm.val,IF($F33="",val_blankRefText,_xldudf_CX_GET(CX_ENTITY,($F33),AK$11,AK$14,,(AK$19))),_xlpm.Res,IF(OR(_xlpm.val="",_xlpm.val="Error"),"",_xlpm.val),_xlpm.Res)</f>
        <v>#NAME?</v>
      </c>
      <c r="AL33" s="1669" t="e" cm="1">
        <f t="array" ca="1" aca="1" ref="AL33">_xlfn.LET(_xlpm.val,IF($F33="",val_blankRefText,_xldudf_CX_GET(CX_ENTITY,($F33),AL$11,AL$14,,(AL$19))),_xlpm.Res,IF(OR(_xlpm.val="",_xlpm.val="Error"),"",_xlpm.val),_xlpm.Res)</f>
        <v>#NAME?</v>
      </c>
      <c r="AM33" s="1669" t="e" cm="1">
        <f t="array" ca="1" aca="1" ref="AM33">_xlfn.LET(_xlpm.val,IF($F33="",val_blankRefText,_xldudf_CX_GET(CX_ENTITY,($F33),AM$11,AM$14,,(AM$19))),_xlpm.Res,IF(OR(_xlpm.val="",_xlpm.val="Error"),"",_xlpm.val),_xlpm.Res)</f>
        <v>#NAME?</v>
      </c>
      <c r="AN33" s="1669" t="e" cm="1">
        <f t="array" ca="1" aca="1" ref="AN33">_xlfn.LET(_xlpm.val,IF($F33="",val_blankRefText,_xldudf_CX_GET(CX_ENTITY,($F33),AN$11,AN$14,,(AN$19))),_xlpm.Res,IF(OR(_xlpm.val="",_xlpm.val="Error"),"",_xlpm.val),_xlpm.Res)</f>
        <v>#NAME?</v>
      </c>
      <c r="AO33" s="1669" t="e" cm="1">
        <f t="array" ca="1" aca="1" ref="AO33">_xlfn.LET(_xlpm.val,IF($F33="",val_blankRefText,_xldudf_CX_GET(CX_ENTITY,($F33),AO$11,AO$14,,(AO$19))),_xlpm.Res,IF(OR(_xlpm.val="",_xlpm.val="Error"),"",_xlpm.val),_xlpm.Res)</f>
        <v>#NAME?</v>
      </c>
      <c r="AP33" s="1669" t="e" cm="1">
        <f t="array" ca="1" aca="1" ref="AP33">_xlfn.LET(_xlpm.val,IF($F33="",val_blankRefText,_xldudf_CX_GET(CX_ENTITY,($F33),AP$11,AP$14,,(AP$19))),_xlpm.Res,IF(OR(_xlpm.val="",_xlpm.val="Error"),"",_xlpm.val),_xlpm.Res)</f>
        <v>#NAME?</v>
      </c>
      <c r="AQ33" s="1669" t="e" cm="1">
        <f t="array" ca="1" aca="1" ref="AQ33">_xlfn.LET(_xlpm.val,IF($F33="",val_blankRefText,_xldudf_CX_GET(CX_ENTITY,($F33),AQ$11,AQ$14,,(AQ$19))),_xlpm.Res,IF(OR(_xlpm.val="",_xlpm.val="Error"),"",_xlpm.val),_xlpm.Res)</f>
        <v>#NAME?</v>
      </c>
      <c r="AR33" s="1669" t="e" cm="1">
        <f t="array" ca="1" aca="1" ref="AR33">_xlfn.LET(_xlpm.val,IF($F33="",val_blankRefText,_xldudf_CX_GET(CX_ENTITY,($F33),AR$11,AR$14,,(AR$19))),_xlpm.Res,IF(OR(_xlpm.val="",_xlpm.val="Error"),"",_xlpm.val),_xlpm.Res)</f>
        <v>#NAME?</v>
      </c>
      <c r="AS33" s="1669" t="e" cm="1">
        <f t="array" ca="1" aca="1" ref="AS33">_xlfn.LET(_xlpm.val,IF($F33="",val_blankRefText,_xldudf_CX_GET(CX_ENTITY,($F33),AS$11,AS$14,,(AS$19))),_xlpm.Res,IF(OR(_xlpm.val="",_xlpm.val="Error"),"",_xlpm.val),_xlpm.Res)</f>
        <v>#NAME?</v>
      </c>
      <c r="AT33" s="1669" t="e" cm="1">
        <f t="array" ca="1" aca="1" ref="AT33">_xlfn.LET(_xlpm.val,IF($F33="",val_blankRefText,_xldudf_CX_GET(CX_ENTITY,($F33),AT$11,AT$14,,(AT$19))),_xlpm.Res,IF(OR(_xlpm.val="",_xlpm.val="Error"),"",_xlpm.val),_xlpm.Res)</f>
        <v>#NAME?</v>
      </c>
      <c r="AU33" s="1669" t="e" cm="1">
        <f t="array" ca="1" aca="1" ref="AU33">_xlfn.LET(_xlpm.val,IF($F33="",val_blankRefText,_xldudf_CX_GET(CX_ENTITY,($F33),AU$11,AU$14,,(AU$19))),_xlpm.Res,IF(OR(_xlpm.val="",_xlpm.val="Error"),"",_xlpm.val),_xlpm.Res)</f>
        <v>#NAME?</v>
      </c>
      <c r="AV33" s="1669" t="e" cm="1">
        <f t="array" ca="1" aca="1" ref="AV33">_xlfn.LET(_xlpm.val,IF($F33="",val_blankRefText,_xldudf_CX_GET(CX_ENTITY,($F33),AV$11,AV$14,,(AV$19))),_xlpm.Res,IF(OR(_xlpm.val="",_xlpm.val="Error"),"",_xlpm.val),_xlpm.Res)</f>
        <v>#NAME?</v>
      </c>
      <c r="AW33" s="1669" t="e" cm="1">
        <f t="array" ca="1" aca="1" ref="AW33">_xlfn.LET(_xlpm.val,IF($F33="",val_blankRefText,_xldudf_CX_GET(CX_ENTITY,($F33),AW$11,AW$14,,(AW$19))),_xlpm.Res,IF(OR(_xlpm.val="",_xlpm.val="Error"),"",_xlpm.val),_xlpm.Res)</f>
        <v>#NAME?</v>
      </c>
      <c r="AX33" s="1669" t="e" cm="1">
        <f t="array" ca="1" aca="1" ref="AX33">_xlfn.LET(_xlpm.val,IF($F33="",val_blankRefText,_xldudf_CX_GET(CX_ENTITY,($F33),AX$11,AX$14,,(AX$19))),_xlpm.Res,IF(OR(_xlpm.val="",_xlpm.val="Error"),"",_xlpm.val),_xlpm.Res)</f>
        <v>#NAME?</v>
      </c>
      <c r="AY33" s="1669" t="e" cm="1">
        <f t="array" ca="1" aca="1" ref="AY33">_xlfn.LET(_xlpm.val,IF($F33="",val_blankRefText,_xldudf_CX_GET(CX_ENTITY,($F33),AY$11,AY$14,,(AY$19))),_xlpm.Res,IF(OR(_xlpm.val="",_xlpm.val="Error"),"",_xlpm.val),_xlpm.Res)</f>
        <v>#NAME?</v>
      </c>
      <c r="AZ33" s="1669" t="e" cm="1">
        <f t="array" ca="1" aca="1" ref="AZ33">_xlfn.LET(_xlpm.val,IF($F33="",val_blankRefText,_xldudf_CX_GET(CX_ENTITY,($F33),AZ$11,AZ$14,,(AZ$19))),_xlpm.Res,IF(OR(_xlpm.val="",_xlpm.val="Error"),"",_xlpm.val),_xlpm.Res)</f>
        <v>#NAME?</v>
      </c>
      <c r="BA33" s="1669" t="e" cm="1">
        <f t="array" ca="1" aca="1" ref="BA33">_xlfn.LET(_xlpm.val,IF($F33="",val_blankRefText,_xldudf_CX_GET(CX_ENTITY,($F33),BA$11,BA$14,,(BA$19))),_xlpm.Res,IF(OR(_xlpm.val="",_xlpm.val="Error"),"",_xlpm.val),_xlpm.Res)</f>
        <v>#NAME?</v>
      </c>
      <c r="BB33" s="1669" t="e" cm="1">
        <f t="array" ca="1" aca="1" ref="BB33">_xlfn.LET(_xlpm.val,IF($F33="",val_blankRefText,_xldudf_CX_GET(CX_ENTITY,($F33),BB$11,BB$14,,(BB$19))),_xlpm.Res,IF(OR(_xlpm.val="",_xlpm.val="Error"),"",_xlpm.val),_xlpm.Res)</f>
        <v>#NAME?</v>
      </c>
      <c r="BC33" s="1669" t="e" cm="1">
        <f t="array" ca="1" aca="1" ref="BC33">_xlfn.LET(_xlpm.val,IF($F33="",val_blankRefText,_xldudf_CX_GET(CX_ENTITY,($F33),BC$11,BC$14,,(BC$19))),_xlpm.Res,IF(OR(_xlpm.val="",_xlpm.val="Error"),"",_xlpm.val),_xlpm.Res)</f>
        <v>#NAME?</v>
      </c>
      <c r="BD33" s="1669" t="e" cm="1">
        <f t="array" ca="1" aca="1" ref="BD33">_xlfn.LET(_xlpm.val,IF($F33="",val_blankRefText,_xldudf_CX_GET(CX_ENTITY,($F33),BD$11,BD$14,,(BD$19))),_xlpm.Res,IF(OR(_xlpm.val="",_xlpm.val="Error"),"",_xlpm.val),_xlpm.Res)</f>
        <v>#NAME?</v>
      </c>
      <c r="BE33" s="1669" t="e" cm="1">
        <f t="array" ca="1" aca="1" ref="BE33">_xlfn.LET(_xlpm.val,IF($F33="",val_blankRefText,_xldudf_CX_GET(CX_ENTITY,($F33),BE$11,BE$14,,(BE$19))),_xlpm.Res,IF(OR(_xlpm.val="",_xlpm.val="Error"),"",_xlpm.val),_xlpm.Res)</f>
        <v>#NAME?</v>
      </c>
      <c r="BF33" s="1669" t="e" cm="1">
        <f t="array" ca="1" aca="1" ref="BF33">_xlfn.LET(_xlpm.val,IF($F33="",val_blankRefText,_xldudf_CX_GET(CX_ENTITY,($F33),BF$11,BF$14,,(BF$19))),_xlpm.Res,IF(OR(_xlpm.val="",_xlpm.val="Error"),"",_xlpm.val),_xlpm.Res)</f>
        <v>#NAME?</v>
      </c>
      <c r="BG33" s="1669" t="e" cm="1">
        <f t="array" ca="1" aca="1" ref="BG33">_xlfn.LET(_xlpm.val,IF($F33="",val_blankRefText,_xldudf_CX_GET(CX_ENTITY,($F33),BG$11,BG$14,,(BG$19))),_xlpm.Res,IF(OR(_xlpm.val="",_xlpm.val="Error"),"",_xlpm.val),_xlpm.Res)</f>
        <v>#NAME?</v>
      </c>
      <c r="BH33" s="1669" t="e" cm="1">
        <f t="array" ca="1" aca="1" ref="BH33">_xlfn.LET(_xlpm.val,IF($F33="",val_blankRefText,_xldudf_CX_GET(CX_ENTITY,($F33),BH$11,BH$14,,(BH$19))),_xlpm.Res,IF(OR(_xlpm.val="",_xlpm.val="Error"),"",_xlpm.val),_xlpm.Res)</f>
        <v>#NAME?</v>
      </c>
      <c r="BI33" s="1669" t="e" cm="1">
        <f t="array" ca="1" aca="1" ref="BI33">_xlfn.LET(_xlpm.val,IF($F33="",val_blankRefText,_xldudf_CX_GET(CX_ENTITY,($F33),BI$11,BI$14,,(BI$19))),_xlpm.Res,IF(OR(_xlpm.val="",_xlpm.val="Error"),"",_xlpm.val),_xlpm.Res)</f>
        <v>#NAME?</v>
      </c>
      <c r="BJ33" s="1669" t="e" cm="1">
        <f t="array" ca="1" aca="1" ref="BJ33">_xlfn.LET(_xlpm.val,IF($F33="",val_blankRefText,_xldudf_CX_GET(CX_ENTITY,($F33),BJ$11,BJ$14,,(BJ$19))),_xlpm.Res,IF(OR(_xlpm.val="",_xlpm.val="Error"),"",_xlpm.val),_xlpm.Res)</f>
        <v>#NAME?</v>
      </c>
      <c r="BK33" s="1669" t="e" cm="1">
        <f t="array" ca="1" aca="1" ref="BK33">_xlfn.LET(_xlpm.val,IF($F33="",val_blankRefText,_xldudf_CX_GET(CX_ENTITY,($F33),BK$11,BK$14,,(BK$19))),_xlpm.Res,IF(OR(_xlpm.val="",_xlpm.val="Error"),"",_xlpm.val),_xlpm.Res)</f>
        <v>#NAME?</v>
      </c>
      <c r="BL33" s="1669" t="e" cm="1">
        <f t="array" ca="1" aca="1" ref="BL33">_xlfn.LET(_xlpm.val,IF($F33="",val_blankRefText,_xldudf_CX_GET(CX_ENTITY,($F33),BL$11,BL$14,,(BL$19))),_xlpm.Res,IF(OR(_xlpm.val="",_xlpm.val="Error"),"",_xlpm.val),_xlpm.Res)</f>
        <v>#NAME?</v>
      </c>
      <c r="BM33" s="1669" t="e" cm="1">
        <f t="array" ca="1" aca="1" ref="BM33">_xlfn.LET(_xlpm.val,IF($F33="",val_blankRefText,_xldudf_CX_GET(CX_ENTITY,($F33),BM$11,BM$14,,(BM$19))),_xlpm.Res,IF(OR(_xlpm.val="",_xlpm.val="Error"),"",_xlpm.val),_xlpm.Res)</f>
        <v>#NAME?</v>
      </c>
      <c r="BN33" s="1669" t="e" cm="1">
        <f t="array" ca="1" aca="1" ref="BN33">_xlfn.LET(_xlpm.val,IF($F33="",val_blankRefText,_xldudf_CX_GET(CX_ENTITY,($F33),BN$11,BN$14,,(BN$19))),_xlpm.Res,IF(OR(_xlpm.val="",_xlpm.val="Error"),"",_xlpm.val),_xlpm.Res)</f>
        <v>#NAME?</v>
      </c>
      <c r="BO33" s="2095"/>
      <c r="BP33" s="2095"/>
      <c r="BQ33" s="2095"/>
      <c r="BR33" s="2095"/>
      <c r="BS33" s="2095"/>
      <c r="BT33" s="2095"/>
      <c r="BU33" s="2095"/>
      <c r="BV33" s="2095"/>
      <c r="BW33" s="2095"/>
      <c r="BX33" s="2095"/>
      <c r="BY33" s="2095"/>
      <c r="BZ33" s="2095"/>
      <c r="CA33" s="34"/>
      <c r="CC33" s="33"/>
      <c r="CD33" s="1461" t="e" cm="1">
        <f t="array" ca="1" aca="1" ref="CD33">_xlfn.LET(_xlpm.CheckBlank,SUM(PL!$AD33:PL!$BN33)=0,IF(_xlpm.CheckBlank,"",SUM(_xlfn._xlws.FILTER(PL!$AD33:$BN33,(YEAR(PL!$AD$12:$BN$12)=PL!CD$12)*(array_timeline&lt;=PL!CD$11)))))</f>
        <v>#NAME?</v>
      </c>
      <c r="CE33" s="1461" t="e" cm="1">
        <f t="array" ca="1" aca="1" ref="CE33">_xlfn.LET(_xlpm.CheckBlank,SUM(PL!$AD33:PL!$BN33)=0,IF(_xlpm.CheckBlank,"",SUM(_xlfn._xlws.FILTER(PL!$AD33:$BN33,(YEAR(PL!$AD$12:$BN$12)=PL!CE$12)*(array_timeline&lt;=PL!CE$11)))))</f>
        <v>#NAME?</v>
      </c>
      <c r="CF33" s="88"/>
      <c r="CG33" s="1461" t="e" cm="1">
        <f t="array" ca="1" aca="1" ref="CG33">_xlfn.LET(_xlpm.CheckBlank,SUM(PL!$AD33:$BN33)=0,IF(_xlpm.CheckBlank,"",SUM(_xlfn._xlws.FILTER(PL!$AD33:$BN33,(YEAR(PL!$AD$12:$BN$12)=PL!CG$12)*(array_timeline&lt;=PL!CG$11)))))</f>
        <v>#NAME?</v>
      </c>
      <c r="CH33" s="1461" t="e" cm="1">
        <f t="array" ca="1" aca="1" ref="CH33">_xlfn.LET(_xlpm.CheckBlank,SUM(PL!$AD33:$BN33)=0,IF(_xlpm.CheckBlank,"",SUM(_xlfn._xlws.FILTER(PL!$AD33:$BN33,(YEAR(PL!$AD$12:$BN$12)=PL!CH$12)*(array_timeline&lt;=PL!CH$11)))))</f>
        <v>#NAME?</v>
      </c>
      <c r="CI33" s="88"/>
      <c r="CJ33" s="1461" cm="1">
        <f t="array" ref="CJ33">_xlfn.LET(_xlpm.CheckBlank,SUM(PL!$AD33:$BN33)=0,IF(_xlpm.CheckBlank,"",SUM(_xlfn.TAKE(_xlfn.DROP(PL!$AD33:$BN33,,-DATEDIFF(PL!CJ$11,val_asOfDate,"M")),1,-12))))</f>
        <v>12</v>
      </c>
      <c r="CK33" s="1461" cm="1">
        <f t="array" ref="CK33">_xlfn.LET(_xlpm.CheckBlank,SUM(PL!$AD33:$BN33)=0,IF(_xlpm.CheckBlank,"",SUM(_xlfn.TAKE(_xlfn.DROP(PL!$AD33:$BN33,,-DATEDIFF(PL!CK$11,val_asOfDate,"M")),1,-12))))</f>
        <v>12</v>
      </c>
      <c r="CL33" s="88"/>
      <c r="CM33" s="1168" t="e" cm="1">
        <f t="array" ca="1" aca="1" ref="CM33">_xlfn.LET(_xlpm.val,IF($F33="",val_blankRefText,_xldudf_CX_GET(CX_ENTITY,($F33),CM$11,CM$14,,(CM$19))),_xlpm.Res,IF(OR(_xlpm.val="",_xlpm.val="Error"),"",_xlpm.val),_xlpm.Res)</f>
        <v>#NAME?</v>
      </c>
      <c r="CN33" s="1168" t="e" cm="1">
        <f t="array" ca="1" aca="1" ref="CN33">_xlfn.LET(_xlpm.val,IF($F33="",val_blankRefText,_xldudf_CX_GET(CX_ENTITY,fx_attrConverter($F33),CN$11,CN$14,,(CN$19))),_xlpm.Res,IF(OR(_xlpm.val="",_xlpm.val="Error"),"",_xlpm.val),_xlpm.Res)</f>
        <v>#NAME?</v>
      </c>
      <c r="CO33" s="1169"/>
      <c r="CP33" s="1168" t="e" cm="1">
        <f t="array" ca="1" aca="1" ref="CP33">_xlfn.LET(_xlpm.val,IF($F33="",val_blankRefText,_xldudf_CX_GET(CX_ENTITY,fx_attrConverter($F33),CP$11,CP$14,,(CP$19))),_xlpm.Res,IF(OR(_xlpm.val="",_xlpm.val="Error"),"",_xlpm.val),_xlpm.Res)</f>
        <v>#NAME?</v>
      </c>
      <c r="CQ33" s="1168" t="e" cm="1">
        <f t="array" ca="1" aca="1" ref="CQ33">_xlfn.LET(_xlpm.val,IF($F33="",val_blankRefText,_xldudf_CX_GET(CX_ENTITY,fx_attrConverter($F33),CQ$11,CQ$14,,(CQ$19))),_xlpm.Res,IF(OR(_xlpm.val="",_xlpm.val="Error"),"",_xlpm.val),_xlpm.Res)</f>
        <v>#NAME?</v>
      </c>
      <c r="CR33" s="34"/>
    </row>
    <row r="34" spans="1:96" ht="21" customHeight="1" outlineLevel="1">
      <c r="A34" s="1322"/>
      <c r="B34" s="577" t="s">
        <v>1544</v>
      </c>
      <c r="C34" s="2125" t="s">
        <v>1545</v>
      </c>
      <c r="D34" s="1079"/>
      <c r="E34" s="577" t="e" cm="1">
        <f t="array" ca="1" aca="1" ref="E34">_xlfn.LET(_xlpm.Attr,$C34,_xlpm.Lookback,$E$16,_xlpm.QueryDate,EOMONTH(val_asOfDate,_xlpm.Lookback),_xlpm.ReadField,_xldudf_CX_GET(CX_ENTITY,fx_attrConverter($C34),_xlpm.QueryDate),_xlpm.AttrBlank,_xlpm.Attr="",_xlpm.RESULT,IF(_xlpm.AttrBlank,val_blankRefText,fx_attrConverter(_xlpm.ReadField,0)),IF(_xlpm.RESULT="Error","",_xlpm.RESULT))</f>
        <v>#NAME?</v>
      </c>
      <c r="F34" s="577" t="str">
        <f t="shared" si="1"/>
        <v>Reported EBITA</v>
      </c>
      <c r="G34" s="577" t="s">
        <v>1528</v>
      </c>
      <c r="H34" s="3279">
        <v>2</v>
      </c>
      <c r="I34" s="3279">
        <v>1</v>
      </c>
      <c r="J34" s="578"/>
      <c r="K34" s="578"/>
      <c r="L34" s="579">
        <v>-1</v>
      </c>
      <c r="N34" s="158"/>
      <c r="O34" s="101"/>
      <c r="P34" s="52"/>
      <c r="Q34" s="101"/>
      <c r="R34" s="126"/>
      <c r="S34" s="101"/>
      <c r="T34" s="101"/>
      <c r="U34" s="39"/>
      <c r="W34" s="91" t="str">
        <f t="shared" si="4"/>
        <v>Actual</v>
      </c>
      <c r="X34" s="884">
        <v>0</v>
      </c>
      <c r="Y34" s="1196" t="e" cm="1">
        <f t="array" ca="1" aca="1" ref="Y34">IF($B34="",IFBLANK($E34,"Please select or type in or leave as blank"),IFBLANK($E34,$B34))</f>
        <v>#NAME?</v>
      </c>
      <c r="Z34" s="198" cm="1">
        <f t="array" ref="Z34">_xlfn.SWITCH(TRUE,ISBLANK(_PL!$L34),"",_PL!$L34=TRUE,1,_PL!$L34=FALSE,-1,_PL!$L34=-1,0,"n/a")</f>
        <v>0</v>
      </c>
      <c r="AA34" s="200"/>
      <c r="AB34" s="301" t="s">
        <v>1544</v>
      </c>
      <c r="AC34" s="300" t="str" cm="1">
        <f t="array" ref="AC34">_xlfn.LET(_xlpm.Def,IF(_xlfn.XMATCH(AB34,tbl_acctDef[Term],0)&gt;0,fx_getIcon("find"),""),_xlpm.Adj,IF(_xlfn.XMATCH(AB34,tbl_adjExample[Items],0)&gt;0,fx_getIcon("find"),""),IFERROR(IFBLANK(_xlpm.Def,_xlpm.Adj),""))</f>
        <v/>
      </c>
      <c r="AD34" s="1669" t="e" cm="1">
        <f t="array" ca="1" aca="1" ref="AD34">_xlfn.LET(_xlpm.val,IF($F34="",val_blankRefText,_xldudf_CX_GET(CX_ENTITY,($F34),AD$11,AD$14,,(AD$19))),_xlpm.Res,IF(OR(_xlpm.val="",_xlpm.val="Error"),"",_xlpm.val),_xlpm.Res)</f>
        <v>#NAME?</v>
      </c>
      <c r="AE34" s="1669" t="e" cm="1">
        <f t="array" ca="1" aca="1" ref="AE34">_xlfn.LET(_xlpm.val,IF($F34="",val_blankRefText,_xldudf_CX_GET(CX_ENTITY,($F34),AE$11,AE$14,,(AE$19))),_xlpm.Res,IF(OR(_xlpm.val="",_xlpm.val="Error"),"",_xlpm.val),_xlpm.Res)</f>
        <v>#NAME?</v>
      </c>
      <c r="AF34" s="1669" t="e" cm="1">
        <f t="array" ca="1" aca="1" ref="AF34">_xlfn.LET(_xlpm.val,IF($F34="",val_blankRefText,_xldudf_CX_GET(CX_ENTITY,($F34),AF$11,AF$14,,(AF$19))),_xlpm.Res,IF(OR(_xlpm.val="",_xlpm.val="Error"),"",_xlpm.val),_xlpm.Res)</f>
        <v>#NAME?</v>
      </c>
      <c r="AG34" s="1669" t="e" cm="1">
        <f t="array" ca="1" aca="1" ref="AG34">_xlfn.LET(_xlpm.val,IF($F34="",val_blankRefText,_xldudf_CX_GET(CX_ENTITY,($F34),AG$11,AG$14,,(AG$19))),_xlpm.Res,IF(OR(_xlpm.val="",_xlpm.val="Error"),"",_xlpm.val),_xlpm.Res)</f>
        <v>#NAME?</v>
      </c>
      <c r="AH34" s="1669" t="e" cm="1">
        <f t="array" ca="1" aca="1" ref="AH34">_xlfn.LET(_xlpm.val,IF($F34="",val_blankRefText,_xldudf_CX_GET(CX_ENTITY,($F34),AH$11,AH$14,,(AH$19))),_xlpm.Res,IF(OR(_xlpm.val="",_xlpm.val="Error"),"",_xlpm.val),_xlpm.Res)</f>
        <v>#NAME?</v>
      </c>
      <c r="AI34" s="1669" t="e" cm="1">
        <f t="array" ca="1" aca="1" ref="AI34">_xlfn.LET(_xlpm.val,IF($F34="",val_blankRefText,_xldudf_CX_GET(CX_ENTITY,($F34),AI$11,AI$14,,(AI$19))),_xlpm.Res,IF(OR(_xlpm.val="",_xlpm.val="Error"),"",_xlpm.val),_xlpm.Res)</f>
        <v>#NAME?</v>
      </c>
      <c r="AJ34" s="1669" t="e" cm="1">
        <f t="array" ca="1" aca="1" ref="AJ34">_xlfn.LET(_xlpm.val,IF($F34="",val_blankRefText,_xldudf_CX_GET(CX_ENTITY,($F34),AJ$11,AJ$14,,(AJ$19))),_xlpm.Res,IF(OR(_xlpm.val="",_xlpm.val="Error"),"",_xlpm.val),_xlpm.Res)</f>
        <v>#NAME?</v>
      </c>
      <c r="AK34" s="1669" t="e" cm="1">
        <f t="array" ca="1" aca="1" ref="AK34">_xlfn.LET(_xlpm.val,IF($F34="",val_blankRefText,_xldudf_CX_GET(CX_ENTITY,($F34),AK$11,AK$14,,(AK$19))),_xlpm.Res,IF(OR(_xlpm.val="",_xlpm.val="Error"),"",_xlpm.val),_xlpm.Res)</f>
        <v>#NAME?</v>
      </c>
      <c r="AL34" s="1669" t="e" cm="1">
        <f t="array" ca="1" aca="1" ref="AL34">_xlfn.LET(_xlpm.val,IF($F34="",val_blankRefText,_xldudf_CX_GET(CX_ENTITY,($F34),AL$11,AL$14,,(AL$19))),_xlpm.Res,IF(OR(_xlpm.val="",_xlpm.val="Error"),"",_xlpm.val),_xlpm.Res)</f>
        <v>#NAME?</v>
      </c>
      <c r="AM34" s="1669" t="e" cm="1">
        <f t="array" ca="1" aca="1" ref="AM34">_xlfn.LET(_xlpm.val,IF($F34="",val_blankRefText,_xldudf_CX_GET(CX_ENTITY,($F34),AM$11,AM$14,,(AM$19))),_xlpm.Res,IF(OR(_xlpm.val="",_xlpm.val="Error"),"",_xlpm.val),_xlpm.Res)</f>
        <v>#NAME?</v>
      </c>
      <c r="AN34" s="1669" t="e" cm="1">
        <f t="array" ca="1" aca="1" ref="AN34">_xlfn.LET(_xlpm.val,IF($F34="",val_blankRefText,_xldudf_CX_GET(CX_ENTITY,($F34),AN$11,AN$14,,(AN$19))),_xlpm.Res,IF(OR(_xlpm.val="",_xlpm.val="Error"),"",_xlpm.val),_xlpm.Res)</f>
        <v>#NAME?</v>
      </c>
      <c r="AO34" s="1669" t="e" cm="1">
        <f t="array" ca="1" aca="1" ref="AO34">_xlfn.LET(_xlpm.val,IF($F34="",val_blankRefText,_xldudf_CX_GET(CX_ENTITY,($F34),AO$11,AO$14,,(AO$19))),_xlpm.Res,IF(OR(_xlpm.val="",_xlpm.val="Error"),"",_xlpm.val),_xlpm.Res)</f>
        <v>#NAME?</v>
      </c>
      <c r="AP34" s="1669" t="e" cm="1">
        <f t="array" ca="1" aca="1" ref="AP34">_xlfn.LET(_xlpm.val,IF($F34="",val_blankRefText,_xldudf_CX_GET(CX_ENTITY,($F34),AP$11,AP$14,,(AP$19))),_xlpm.Res,IF(OR(_xlpm.val="",_xlpm.val="Error"),"",_xlpm.val),_xlpm.Res)</f>
        <v>#NAME?</v>
      </c>
      <c r="AQ34" s="1669" t="e" cm="1">
        <f t="array" ca="1" aca="1" ref="AQ34">_xlfn.LET(_xlpm.val,IF($F34="",val_blankRefText,_xldudf_CX_GET(CX_ENTITY,($F34),AQ$11,AQ$14,,(AQ$19))),_xlpm.Res,IF(OR(_xlpm.val="",_xlpm.val="Error"),"",_xlpm.val),_xlpm.Res)</f>
        <v>#NAME?</v>
      </c>
      <c r="AR34" s="1669" t="e" cm="1">
        <f t="array" ca="1" aca="1" ref="AR34">_xlfn.LET(_xlpm.val,IF($F34="",val_blankRefText,_xldudf_CX_GET(CX_ENTITY,($F34),AR$11,AR$14,,(AR$19))),_xlpm.Res,IF(OR(_xlpm.val="",_xlpm.val="Error"),"",_xlpm.val),_xlpm.Res)</f>
        <v>#NAME?</v>
      </c>
      <c r="AS34" s="1669" t="e" cm="1">
        <f t="array" ca="1" aca="1" ref="AS34">_xlfn.LET(_xlpm.val,IF($F34="",val_blankRefText,_xldudf_CX_GET(CX_ENTITY,($F34),AS$11,AS$14,,(AS$19))),_xlpm.Res,IF(OR(_xlpm.val="",_xlpm.val="Error"),"",_xlpm.val),_xlpm.Res)</f>
        <v>#NAME?</v>
      </c>
      <c r="AT34" s="1669" t="e" cm="1">
        <f t="array" ca="1" aca="1" ref="AT34">_xlfn.LET(_xlpm.val,IF($F34="",val_blankRefText,_xldudf_CX_GET(CX_ENTITY,($F34),AT$11,AT$14,,(AT$19))),_xlpm.Res,IF(OR(_xlpm.val="",_xlpm.val="Error"),"",_xlpm.val),_xlpm.Res)</f>
        <v>#NAME?</v>
      </c>
      <c r="AU34" s="1669" t="e" cm="1">
        <f t="array" ca="1" aca="1" ref="AU34">_xlfn.LET(_xlpm.val,IF($F34="",val_blankRefText,_xldudf_CX_GET(CX_ENTITY,($F34),AU$11,AU$14,,(AU$19))),_xlpm.Res,IF(OR(_xlpm.val="",_xlpm.val="Error"),"",_xlpm.val),_xlpm.Res)</f>
        <v>#NAME?</v>
      </c>
      <c r="AV34" s="1669" t="e" cm="1">
        <f t="array" ca="1" aca="1" ref="AV34">_xlfn.LET(_xlpm.val,IF($F34="",val_blankRefText,_xldudf_CX_GET(CX_ENTITY,($F34),AV$11,AV$14,,(AV$19))),_xlpm.Res,IF(OR(_xlpm.val="",_xlpm.val="Error"),"",_xlpm.val),_xlpm.Res)</f>
        <v>#NAME?</v>
      </c>
      <c r="AW34" s="1669" t="e" cm="1">
        <f t="array" ca="1" aca="1" ref="AW34">_xlfn.LET(_xlpm.val,IF($F34="",val_blankRefText,_xldudf_CX_GET(CX_ENTITY,($F34),AW$11,AW$14,,(AW$19))),_xlpm.Res,IF(OR(_xlpm.val="",_xlpm.val="Error"),"",_xlpm.val),_xlpm.Res)</f>
        <v>#NAME?</v>
      </c>
      <c r="AX34" s="1669" t="e" cm="1">
        <f t="array" ca="1" aca="1" ref="AX34">_xlfn.LET(_xlpm.val,IF($F34="",val_blankRefText,_xldudf_CX_GET(CX_ENTITY,($F34),AX$11,AX$14,,(AX$19))),_xlpm.Res,IF(OR(_xlpm.val="",_xlpm.val="Error"),"",_xlpm.val),_xlpm.Res)</f>
        <v>#NAME?</v>
      </c>
      <c r="AY34" s="1669" t="e" cm="1">
        <f t="array" ca="1" aca="1" ref="AY34">_xlfn.LET(_xlpm.val,IF($F34="",val_blankRefText,_xldudf_CX_GET(CX_ENTITY,($F34),AY$11,AY$14,,(AY$19))),_xlpm.Res,IF(OR(_xlpm.val="",_xlpm.val="Error"),"",_xlpm.val),_xlpm.Res)</f>
        <v>#NAME?</v>
      </c>
      <c r="AZ34" s="1669" t="e" cm="1">
        <f t="array" ca="1" aca="1" ref="AZ34">_xlfn.LET(_xlpm.val,IF($F34="",val_blankRefText,_xldudf_CX_GET(CX_ENTITY,($F34),AZ$11,AZ$14,,(AZ$19))),_xlpm.Res,IF(OR(_xlpm.val="",_xlpm.val="Error"),"",_xlpm.val),_xlpm.Res)</f>
        <v>#NAME?</v>
      </c>
      <c r="BA34" s="1669" t="e" cm="1">
        <f t="array" ca="1" aca="1" ref="BA34">_xlfn.LET(_xlpm.val,IF($F34="",val_blankRefText,_xldudf_CX_GET(CX_ENTITY,($F34),BA$11,BA$14,,(BA$19))),_xlpm.Res,IF(OR(_xlpm.val="",_xlpm.val="Error"),"",_xlpm.val),_xlpm.Res)</f>
        <v>#NAME?</v>
      </c>
      <c r="BB34" s="1669" t="e" cm="1">
        <f t="array" ca="1" aca="1" ref="BB34">_xlfn.LET(_xlpm.val,IF($F34="",val_blankRefText,_xldudf_CX_GET(CX_ENTITY,($F34),BB$11,BB$14,,(BB$19))),_xlpm.Res,IF(OR(_xlpm.val="",_xlpm.val="Error"),"",_xlpm.val),_xlpm.Res)</f>
        <v>#NAME?</v>
      </c>
      <c r="BC34" s="1669" t="e" cm="1">
        <f t="array" ca="1" aca="1" ref="BC34">_xlfn.LET(_xlpm.val,IF($F34="",val_blankRefText,_xldudf_CX_GET(CX_ENTITY,($F34),BC$11,BC$14,,(BC$19))),_xlpm.Res,IF(OR(_xlpm.val="",_xlpm.val="Error"),"",_xlpm.val),_xlpm.Res)</f>
        <v>#NAME?</v>
      </c>
      <c r="BD34" s="1669" t="e" cm="1">
        <f t="array" ca="1" aca="1" ref="BD34">_xlfn.LET(_xlpm.val,IF($F34="",val_blankRefText,_xldudf_CX_GET(CX_ENTITY,($F34),BD$11,BD$14,,(BD$19))),_xlpm.Res,IF(OR(_xlpm.val="",_xlpm.val="Error"),"",_xlpm.val),_xlpm.Res)</f>
        <v>#NAME?</v>
      </c>
      <c r="BE34" s="1669" t="e" cm="1">
        <f t="array" ca="1" aca="1" ref="BE34">_xlfn.LET(_xlpm.val,IF($F34="",val_blankRefText,_xldudf_CX_GET(CX_ENTITY,($F34),BE$11,BE$14,,(BE$19))),_xlpm.Res,IF(OR(_xlpm.val="",_xlpm.val="Error"),"",_xlpm.val),_xlpm.Res)</f>
        <v>#NAME?</v>
      </c>
      <c r="BF34" s="1669" t="e" cm="1">
        <f t="array" ca="1" aca="1" ref="BF34">_xlfn.LET(_xlpm.val,IF($F34="",val_blankRefText,_xldudf_CX_GET(CX_ENTITY,($F34),BF$11,BF$14,,(BF$19))),_xlpm.Res,IF(OR(_xlpm.val="",_xlpm.val="Error"),"",_xlpm.val),_xlpm.Res)</f>
        <v>#NAME?</v>
      </c>
      <c r="BG34" s="1669" t="e" cm="1">
        <f t="array" ca="1" aca="1" ref="BG34">_xlfn.LET(_xlpm.val,IF($F34="",val_blankRefText,_xldudf_CX_GET(CX_ENTITY,($F34),BG$11,BG$14,,(BG$19))),_xlpm.Res,IF(OR(_xlpm.val="",_xlpm.val="Error"),"",_xlpm.val),_xlpm.Res)</f>
        <v>#NAME?</v>
      </c>
      <c r="BH34" s="1669" t="e" cm="1">
        <f t="array" ca="1" aca="1" ref="BH34">_xlfn.LET(_xlpm.val,IF($F34="",val_blankRefText,_xldudf_CX_GET(CX_ENTITY,($F34),BH$11,BH$14,,(BH$19))),_xlpm.Res,IF(OR(_xlpm.val="",_xlpm.val="Error"),"",_xlpm.val),_xlpm.Res)</f>
        <v>#NAME?</v>
      </c>
      <c r="BI34" s="1669" t="e" cm="1">
        <f t="array" ca="1" aca="1" ref="BI34">_xlfn.LET(_xlpm.val,IF($F34="",val_blankRefText,_xldudf_CX_GET(CX_ENTITY,($F34),BI$11,BI$14,,(BI$19))),_xlpm.Res,IF(OR(_xlpm.val="",_xlpm.val="Error"),"",_xlpm.val),_xlpm.Res)</f>
        <v>#NAME?</v>
      </c>
      <c r="BJ34" s="1669" t="e" cm="1">
        <f t="array" ca="1" aca="1" ref="BJ34">_xlfn.LET(_xlpm.val,IF($F34="",val_blankRefText,_xldudf_CX_GET(CX_ENTITY,($F34),BJ$11,BJ$14,,(BJ$19))),_xlpm.Res,IF(OR(_xlpm.val="",_xlpm.val="Error"),"",_xlpm.val),_xlpm.Res)</f>
        <v>#NAME?</v>
      </c>
      <c r="BK34" s="1669" t="e" cm="1">
        <f t="array" ca="1" aca="1" ref="BK34">_xlfn.LET(_xlpm.val,IF($F34="",val_blankRefText,_xldudf_CX_GET(CX_ENTITY,($F34),BK$11,BK$14,,(BK$19))),_xlpm.Res,IF(OR(_xlpm.val="",_xlpm.val="Error"),"",_xlpm.val),_xlpm.Res)</f>
        <v>#NAME?</v>
      </c>
      <c r="BL34" s="1669" t="e" cm="1">
        <f t="array" ca="1" aca="1" ref="BL34">_xlfn.LET(_xlpm.val,IF($F34="",val_blankRefText,_xldudf_CX_GET(CX_ENTITY,($F34),BL$11,BL$14,,(BL$19))),_xlpm.Res,IF(OR(_xlpm.val="",_xlpm.val="Error"),"",_xlpm.val),_xlpm.Res)</f>
        <v>#NAME?</v>
      </c>
      <c r="BM34" s="1669" t="e" cm="1">
        <f t="array" ca="1" aca="1" ref="BM34">_xlfn.LET(_xlpm.val,IF($F34="",val_blankRefText,_xldudf_CX_GET(CX_ENTITY,($F34),BM$11,BM$14,,(BM$19))),_xlpm.Res,IF(OR(_xlpm.val="",_xlpm.val="Error"),"",_xlpm.val),_xlpm.Res)</f>
        <v>#NAME?</v>
      </c>
      <c r="BN34" s="1669" t="e" cm="1">
        <f t="array" ca="1" aca="1" ref="BN34">_xlfn.LET(_xlpm.val,IF($F34="",val_blankRefText,_xldudf_CX_GET(CX_ENTITY,($F34),BN$11,BN$14,,(BN$19))),_xlpm.Res,IF(OR(_xlpm.val="",_xlpm.val="Error"),"",_xlpm.val),_xlpm.Res)</f>
        <v>#NAME?</v>
      </c>
      <c r="BO34" s="2095"/>
      <c r="BP34" s="2095"/>
      <c r="BQ34" s="2095"/>
      <c r="BR34" s="2095"/>
      <c r="BS34" s="2095"/>
      <c r="BT34" s="2095"/>
      <c r="BU34" s="2095"/>
      <c r="BV34" s="2095"/>
      <c r="BW34" s="2095"/>
      <c r="BX34" s="2095"/>
      <c r="BY34" s="2095"/>
      <c r="BZ34" s="2095"/>
      <c r="CA34" s="34"/>
      <c r="CC34" s="33"/>
      <c r="CD34" s="1461" t="e" cm="1">
        <f t="array" ca="1" aca="1" ref="CD34">_xlfn.LET(_xlpm.CheckBlank,SUM(PL!$AD34:PL!$BN34)=0,IF(_xlpm.CheckBlank,"",SUM(_xlfn._xlws.FILTER(PL!$AD34:$BN34,(YEAR(PL!$AD$12:$BN$12)=PL!CD$12)*(array_timeline&lt;=PL!CD$11)))))</f>
        <v>#NAME?</v>
      </c>
      <c r="CE34" s="1461" t="e" cm="1">
        <f t="array" ca="1" aca="1" ref="CE34">_xlfn.LET(_xlpm.CheckBlank,SUM(PL!$AD34:PL!$BN34)=0,IF(_xlpm.CheckBlank,"",SUM(_xlfn._xlws.FILTER(PL!$AD34:$BN34,(YEAR(PL!$AD$12:$BN$12)=PL!CE$12)*(array_timeline&lt;=PL!CE$11)))))</f>
        <v>#NAME?</v>
      </c>
      <c r="CF34" s="88"/>
      <c r="CG34" s="1461" t="e" cm="1">
        <f t="array" ca="1" aca="1" ref="CG34">_xlfn.LET(_xlpm.CheckBlank,SUM(PL!$AD34:$BN34)=0,IF(_xlpm.CheckBlank,"",SUM(_xlfn._xlws.FILTER(PL!$AD34:$BN34,(YEAR(PL!$AD$12:$BN$12)=PL!CG$12)*(array_timeline&lt;=PL!CG$11)))))</f>
        <v>#NAME?</v>
      </c>
      <c r="CH34" s="1461" t="e" cm="1">
        <f t="array" ca="1" aca="1" ref="CH34">_xlfn.LET(_xlpm.CheckBlank,SUM(PL!$AD34:$BN34)=0,IF(_xlpm.CheckBlank,"",SUM(_xlfn._xlws.FILTER(PL!$AD34:$BN34,(YEAR(PL!$AD$12:$BN$12)=PL!CH$12)*(array_timeline&lt;=PL!CH$11)))))</f>
        <v>#NAME?</v>
      </c>
      <c r="CI34" s="88"/>
      <c r="CJ34" s="1461" cm="1">
        <f t="array" ref="CJ34">_xlfn.LET(_xlpm.CheckBlank,SUM(PL!$AD34:$BN34)=0,IF(_xlpm.CheckBlank,"",SUM(_xlfn.TAKE(_xlfn.DROP(PL!$AD34:$BN34,,-DATEDIFF(PL!CJ$11,val_asOfDate,"M")),1,-12))))</f>
        <v>48</v>
      </c>
      <c r="CK34" s="1461" cm="1">
        <f t="array" ref="CK34">_xlfn.LET(_xlpm.CheckBlank,SUM(PL!$AD34:$BN34)=0,IF(_xlpm.CheckBlank,"",SUM(_xlfn.TAKE(_xlfn.DROP(PL!$AD34:$BN34,,-DATEDIFF(PL!CK$11,val_asOfDate,"M")),1,-12))))</f>
        <v>48</v>
      </c>
      <c r="CL34" s="88"/>
      <c r="CM34" s="1168" t="e" cm="1">
        <f t="array" ca="1" aca="1" ref="CM34">_xlfn.LET(_xlpm.val,IF($F34="",val_blankRefText,_xldudf_CX_GET(CX_ENTITY,($F34),CM$11,CM$14,,(CM$19))),_xlpm.Res,IF(OR(_xlpm.val="",_xlpm.val="Error"),"",_xlpm.val),_xlpm.Res)</f>
        <v>#NAME?</v>
      </c>
      <c r="CN34" s="1168" t="e" cm="1">
        <f t="array" ca="1" aca="1" ref="CN34">_xlfn.LET(_xlpm.val,IF($F34="",val_blankRefText,_xldudf_CX_GET(CX_ENTITY,fx_attrConverter($F34),CN$11,CN$14,,(CN$19))),_xlpm.Res,IF(OR(_xlpm.val="",_xlpm.val="Error"),"",_xlpm.val),_xlpm.Res)</f>
        <v>#NAME?</v>
      </c>
      <c r="CO34" s="1169"/>
      <c r="CP34" s="1168" t="e" cm="1">
        <f t="array" ca="1" aca="1" ref="CP34">_xlfn.LET(_xlpm.val,IF($F34="",val_blankRefText,_xldudf_CX_GET(CX_ENTITY,fx_attrConverter($F34),CP$11,CP$14,,(CP$19))),_xlpm.Res,IF(OR(_xlpm.val="",_xlpm.val="Error"),"",_xlpm.val),_xlpm.Res)</f>
        <v>#NAME?</v>
      </c>
      <c r="CQ34" s="1168" t="e" cm="1">
        <f t="array" ca="1" aca="1" ref="CQ34">_xlfn.LET(_xlpm.val,IF($F34="",val_blankRefText,_xldudf_CX_GET(CX_ENTITY,fx_attrConverter($F34),CQ$11,CQ$14,,(CQ$19))),_xlpm.Res,IF(OR(_xlpm.val="",_xlpm.val="Error"),"",_xlpm.val),_xlpm.Res)</f>
        <v>#NAME?</v>
      </c>
      <c r="CR34" s="34"/>
    </row>
    <row r="35" spans="1:96" ht="21" customHeight="1" outlineLevel="1">
      <c r="A35" s="1322"/>
      <c r="B35" s="577" t="s">
        <v>657</v>
      </c>
      <c r="C35" s="2125" t="s">
        <v>1546</v>
      </c>
      <c r="D35" s="1079"/>
      <c r="E35" s="577" t="e" cm="1">
        <f t="array" ca="1" aca="1" ref="E35">_xlfn.LET(_xlpm.Attr,$C35,_xlpm.Lookback,$E$16,_xlpm.QueryDate,EOMONTH(val_asOfDate,_xlpm.Lookback),_xlpm.ReadField,_xldudf_CX_GET(CX_ENTITY,fx_attrConverter($C35),_xlpm.QueryDate),_xlpm.AttrBlank,_xlpm.Attr="",_xlpm.RESULT,IF(_xlpm.AttrBlank,val_blankRefText,fx_attrConverter(_xlpm.ReadField,0)),IF(_xlpm.RESULT="Error","",_xlpm.RESULT))</f>
        <v>#NAME?</v>
      </c>
      <c r="F35" s="577" t="str">
        <f t="shared" si="1"/>
        <v>Amortization</v>
      </c>
      <c r="G35" s="577" t="s">
        <v>1528</v>
      </c>
      <c r="H35" s="1323">
        <v>0</v>
      </c>
      <c r="I35" s="3279">
        <v>1</v>
      </c>
      <c r="J35" s="578"/>
      <c r="K35" s="578"/>
      <c r="L35" s="3269" t="b">
        <v>1</v>
      </c>
      <c r="N35" s="158"/>
      <c r="O35" s="101"/>
      <c r="P35" s="52"/>
      <c r="Q35" s="101"/>
      <c r="R35" s="126"/>
      <c r="S35" s="101"/>
      <c r="T35" s="101"/>
      <c r="U35" s="39"/>
      <c r="W35" s="91" t="str">
        <f t="shared" si="4"/>
        <v>Actual</v>
      </c>
      <c r="X35" s="884">
        <v>-1</v>
      </c>
      <c r="Y35" s="911" t="e" cm="1">
        <f t="array" ca="1" aca="1" ref="Y35">IF($B35="",IFBLANK($E35,"Please select or type in or leave as blank"),IFBLANK($E35,$B35))</f>
        <v>#NAME?</v>
      </c>
      <c r="Z35" s="3291" cm="1">
        <f t="array" ref="Z35">_xlfn.SWITCH(TRUE,ISBLANK(_PL!$L35),"",_PL!$L35=TRUE,1,_PL!$L35=FALSE,-1,_PL!$L35=-1,0,"n/a")</f>
        <v>1</v>
      </c>
      <c r="AA35" s="200"/>
      <c r="AB35" s="301" t="s">
        <v>657</v>
      </c>
      <c r="AC35" s="300" t="e" vm="5" cm="1">
        <f t="array" ref="AC35">_xlfn.LET(_xlpm.Def,IF(_xlfn.XMATCH(AB35,tbl_acctDef[Term],0)&gt;0,fx_getIcon("find"),""),_xlpm.Adj,IF(_xlfn.XMATCH(AB35,tbl_adjExample[Items],0)&gt;0,fx_getIcon("find"),""),IFERROR(IFBLANK(_xlpm.Def,_xlpm.Adj),""))</f>
        <v>#VALUE!</v>
      </c>
      <c r="AD35" s="1669" t="e" cm="1">
        <f t="array" ca="1" aca="1" ref="AD35">_xlfn.LET(_xlpm.val,IF($F35="",val_blankRefText,_xldudf_CX_GET(CX_ENTITY,($F35),AD$11,AD$14,,(AD$19))),_xlpm.Res,IF(OR(_xlpm.val="",_xlpm.val="Error"),"",_xlpm.val),_xlpm.Res)</f>
        <v>#NAME?</v>
      </c>
      <c r="AE35" s="1669" t="e" cm="1">
        <f t="array" ca="1" aca="1" ref="AE35">_xlfn.LET(_xlpm.val,IF($F35="",val_blankRefText,_xldudf_CX_GET(CX_ENTITY,($F35),AE$11,AE$14,,(AE$19))),_xlpm.Res,IF(OR(_xlpm.val="",_xlpm.val="Error"),"",_xlpm.val),_xlpm.Res)</f>
        <v>#NAME?</v>
      </c>
      <c r="AF35" s="1669" t="e" cm="1">
        <f t="array" ca="1" aca="1" ref="AF35">_xlfn.LET(_xlpm.val,IF($F35="",val_blankRefText,_xldudf_CX_GET(CX_ENTITY,($F35),AF$11,AF$14,,(AF$19))),_xlpm.Res,IF(OR(_xlpm.val="",_xlpm.val="Error"),"",_xlpm.val),_xlpm.Res)</f>
        <v>#NAME?</v>
      </c>
      <c r="AG35" s="1669" t="e" cm="1">
        <f t="array" ca="1" aca="1" ref="AG35">_xlfn.LET(_xlpm.val,IF($F35="",val_blankRefText,_xldudf_CX_GET(CX_ENTITY,($F35),AG$11,AG$14,,(AG$19))),_xlpm.Res,IF(OR(_xlpm.val="",_xlpm.val="Error"),"",_xlpm.val),_xlpm.Res)</f>
        <v>#NAME?</v>
      </c>
      <c r="AH35" s="1669" t="e" cm="1">
        <f t="array" ca="1" aca="1" ref="AH35">_xlfn.LET(_xlpm.val,IF($F35="",val_blankRefText,_xldudf_CX_GET(CX_ENTITY,($F35),AH$11,AH$14,,(AH$19))),_xlpm.Res,IF(OR(_xlpm.val="",_xlpm.val="Error"),"",_xlpm.val),_xlpm.Res)</f>
        <v>#NAME?</v>
      </c>
      <c r="AI35" s="1669" t="e" cm="1">
        <f t="array" ca="1" aca="1" ref="AI35">_xlfn.LET(_xlpm.val,IF($F35="",val_blankRefText,_xldudf_CX_GET(CX_ENTITY,($F35),AI$11,AI$14,,(AI$19))),_xlpm.Res,IF(OR(_xlpm.val="",_xlpm.val="Error"),"",_xlpm.val),_xlpm.Res)</f>
        <v>#NAME?</v>
      </c>
      <c r="AJ35" s="1669" t="e" cm="1">
        <f t="array" ca="1" aca="1" ref="AJ35">_xlfn.LET(_xlpm.val,IF($F35="",val_blankRefText,_xldudf_CX_GET(CX_ENTITY,($F35),AJ$11,AJ$14,,(AJ$19))),_xlpm.Res,IF(OR(_xlpm.val="",_xlpm.val="Error"),"",_xlpm.val),_xlpm.Res)</f>
        <v>#NAME?</v>
      </c>
      <c r="AK35" s="1669" t="e" cm="1">
        <f t="array" ca="1" aca="1" ref="AK35">_xlfn.LET(_xlpm.val,IF($F35="",val_blankRefText,_xldudf_CX_GET(CX_ENTITY,($F35),AK$11,AK$14,,(AK$19))),_xlpm.Res,IF(OR(_xlpm.val="",_xlpm.val="Error"),"",_xlpm.val),_xlpm.Res)</f>
        <v>#NAME?</v>
      </c>
      <c r="AL35" s="1669" t="e" cm="1">
        <f t="array" ca="1" aca="1" ref="AL35">_xlfn.LET(_xlpm.val,IF($F35="",val_blankRefText,_xldudf_CX_GET(CX_ENTITY,($F35),AL$11,AL$14,,(AL$19))),_xlpm.Res,IF(OR(_xlpm.val="",_xlpm.val="Error"),"",_xlpm.val),_xlpm.Res)</f>
        <v>#NAME?</v>
      </c>
      <c r="AM35" s="1669" t="e" cm="1">
        <f t="array" ca="1" aca="1" ref="AM35">_xlfn.LET(_xlpm.val,IF($F35="",val_blankRefText,_xldudf_CX_GET(CX_ENTITY,($F35),AM$11,AM$14,,(AM$19))),_xlpm.Res,IF(OR(_xlpm.val="",_xlpm.val="Error"),"",_xlpm.val),_xlpm.Res)</f>
        <v>#NAME?</v>
      </c>
      <c r="AN35" s="1669" t="e" cm="1">
        <f t="array" ca="1" aca="1" ref="AN35">_xlfn.LET(_xlpm.val,IF($F35="",val_blankRefText,_xldudf_CX_GET(CX_ENTITY,($F35),AN$11,AN$14,,(AN$19))),_xlpm.Res,IF(OR(_xlpm.val="",_xlpm.val="Error"),"",_xlpm.val),_xlpm.Res)</f>
        <v>#NAME?</v>
      </c>
      <c r="AO35" s="1669" t="e" cm="1">
        <f t="array" ca="1" aca="1" ref="AO35">_xlfn.LET(_xlpm.val,IF($F35="",val_blankRefText,_xldudf_CX_GET(CX_ENTITY,($F35),AO$11,AO$14,,(AO$19))),_xlpm.Res,IF(OR(_xlpm.val="",_xlpm.val="Error"),"",_xlpm.val),_xlpm.Res)</f>
        <v>#NAME?</v>
      </c>
      <c r="AP35" s="1669" t="e" cm="1">
        <f t="array" ca="1" aca="1" ref="AP35">_xlfn.LET(_xlpm.val,IF($F35="",val_blankRefText,_xldudf_CX_GET(CX_ENTITY,($F35),AP$11,AP$14,,(AP$19))),_xlpm.Res,IF(OR(_xlpm.val="",_xlpm.val="Error"),"",_xlpm.val),_xlpm.Res)</f>
        <v>#NAME?</v>
      </c>
      <c r="AQ35" s="1669" t="e" cm="1">
        <f t="array" ca="1" aca="1" ref="AQ35">_xlfn.LET(_xlpm.val,IF($F35="",val_blankRefText,_xldudf_CX_GET(CX_ENTITY,($F35),AQ$11,AQ$14,,(AQ$19))),_xlpm.Res,IF(OR(_xlpm.val="",_xlpm.val="Error"),"",_xlpm.val),_xlpm.Res)</f>
        <v>#NAME?</v>
      </c>
      <c r="AR35" s="1669" t="e" cm="1">
        <f t="array" ca="1" aca="1" ref="AR35">_xlfn.LET(_xlpm.val,IF($F35="",val_blankRefText,_xldudf_CX_GET(CX_ENTITY,($F35),AR$11,AR$14,,(AR$19))),_xlpm.Res,IF(OR(_xlpm.val="",_xlpm.val="Error"),"",_xlpm.val),_xlpm.Res)</f>
        <v>#NAME?</v>
      </c>
      <c r="AS35" s="1669" t="e" cm="1">
        <f t="array" ca="1" aca="1" ref="AS35">_xlfn.LET(_xlpm.val,IF($F35="",val_blankRefText,_xldudf_CX_GET(CX_ENTITY,($F35),AS$11,AS$14,,(AS$19))),_xlpm.Res,IF(OR(_xlpm.val="",_xlpm.val="Error"),"",_xlpm.val),_xlpm.Res)</f>
        <v>#NAME?</v>
      </c>
      <c r="AT35" s="1669" t="e" cm="1">
        <f t="array" ca="1" aca="1" ref="AT35">_xlfn.LET(_xlpm.val,IF($F35="",val_blankRefText,_xldudf_CX_GET(CX_ENTITY,($F35),AT$11,AT$14,,(AT$19))),_xlpm.Res,IF(OR(_xlpm.val="",_xlpm.val="Error"),"",_xlpm.val),_xlpm.Res)</f>
        <v>#NAME?</v>
      </c>
      <c r="AU35" s="1669" t="e" cm="1">
        <f t="array" ca="1" aca="1" ref="AU35">_xlfn.LET(_xlpm.val,IF($F35="",val_blankRefText,_xldudf_CX_GET(CX_ENTITY,($F35),AU$11,AU$14,,(AU$19))),_xlpm.Res,IF(OR(_xlpm.val="",_xlpm.val="Error"),"",_xlpm.val),_xlpm.Res)</f>
        <v>#NAME?</v>
      </c>
      <c r="AV35" s="1669" t="e" cm="1">
        <f t="array" ca="1" aca="1" ref="AV35">_xlfn.LET(_xlpm.val,IF($F35="",val_blankRefText,_xldudf_CX_GET(CX_ENTITY,($F35),AV$11,AV$14,,(AV$19))),_xlpm.Res,IF(OR(_xlpm.val="",_xlpm.val="Error"),"",_xlpm.val),_xlpm.Res)</f>
        <v>#NAME?</v>
      </c>
      <c r="AW35" s="1669" t="e" cm="1">
        <f t="array" ca="1" aca="1" ref="AW35">_xlfn.LET(_xlpm.val,IF($F35="",val_blankRefText,_xldudf_CX_GET(CX_ENTITY,($F35),AW$11,AW$14,,(AW$19))),_xlpm.Res,IF(OR(_xlpm.val="",_xlpm.val="Error"),"",_xlpm.val),_xlpm.Res)</f>
        <v>#NAME?</v>
      </c>
      <c r="AX35" s="1669" t="e" cm="1">
        <f t="array" ca="1" aca="1" ref="AX35">_xlfn.LET(_xlpm.val,IF($F35="",val_blankRefText,_xldudf_CX_GET(CX_ENTITY,($F35),AX$11,AX$14,,(AX$19))),_xlpm.Res,IF(OR(_xlpm.val="",_xlpm.val="Error"),"",_xlpm.val),_xlpm.Res)</f>
        <v>#NAME?</v>
      </c>
      <c r="AY35" s="1669" t="e" cm="1">
        <f t="array" ca="1" aca="1" ref="AY35">_xlfn.LET(_xlpm.val,IF($F35="",val_blankRefText,_xldudf_CX_GET(CX_ENTITY,($F35),AY$11,AY$14,,(AY$19))),_xlpm.Res,IF(OR(_xlpm.val="",_xlpm.val="Error"),"",_xlpm.val),_xlpm.Res)</f>
        <v>#NAME?</v>
      </c>
      <c r="AZ35" s="1669" t="e" cm="1">
        <f t="array" ca="1" aca="1" ref="AZ35">_xlfn.LET(_xlpm.val,IF($F35="",val_blankRefText,_xldudf_CX_GET(CX_ENTITY,($F35),AZ$11,AZ$14,,(AZ$19))),_xlpm.Res,IF(OR(_xlpm.val="",_xlpm.val="Error"),"",_xlpm.val),_xlpm.Res)</f>
        <v>#NAME?</v>
      </c>
      <c r="BA35" s="1669" t="e" cm="1">
        <f t="array" ca="1" aca="1" ref="BA35">_xlfn.LET(_xlpm.val,IF($F35="",val_blankRefText,_xldudf_CX_GET(CX_ENTITY,($F35),BA$11,BA$14,,(BA$19))),_xlpm.Res,IF(OR(_xlpm.val="",_xlpm.val="Error"),"",_xlpm.val),_xlpm.Res)</f>
        <v>#NAME?</v>
      </c>
      <c r="BB35" s="1669" t="e" cm="1">
        <f t="array" ca="1" aca="1" ref="BB35">_xlfn.LET(_xlpm.val,IF($F35="",val_blankRefText,_xldudf_CX_GET(CX_ENTITY,($F35),BB$11,BB$14,,(BB$19))),_xlpm.Res,IF(OR(_xlpm.val="",_xlpm.val="Error"),"",_xlpm.val),_xlpm.Res)</f>
        <v>#NAME?</v>
      </c>
      <c r="BC35" s="1669" t="e" cm="1">
        <f t="array" ca="1" aca="1" ref="BC35">_xlfn.LET(_xlpm.val,IF($F35="",val_blankRefText,_xldudf_CX_GET(CX_ENTITY,($F35),BC$11,BC$14,,(BC$19))),_xlpm.Res,IF(OR(_xlpm.val="",_xlpm.val="Error"),"",_xlpm.val),_xlpm.Res)</f>
        <v>#NAME?</v>
      </c>
      <c r="BD35" s="1669" t="e" cm="1">
        <f t="array" ca="1" aca="1" ref="BD35">_xlfn.LET(_xlpm.val,IF($F35="",val_blankRefText,_xldudf_CX_GET(CX_ENTITY,($F35),BD$11,BD$14,,(BD$19))),_xlpm.Res,IF(OR(_xlpm.val="",_xlpm.val="Error"),"",_xlpm.val),_xlpm.Res)</f>
        <v>#NAME?</v>
      </c>
      <c r="BE35" s="1669" t="e" cm="1">
        <f t="array" ca="1" aca="1" ref="BE35">_xlfn.LET(_xlpm.val,IF($F35="",val_blankRefText,_xldudf_CX_GET(CX_ENTITY,($F35),BE$11,BE$14,,(BE$19))),_xlpm.Res,IF(OR(_xlpm.val="",_xlpm.val="Error"),"",_xlpm.val),_xlpm.Res)</f>
        <v>#NAME?</v>
      </c>
      <c r="BF35" s="1669" t="e" cm="1">
        <f t="array" ca="1" aca="1" ref="BF35">_xlfn.LET(_xlpm.val,IF($F35="",val_blankRefText,_xldudf_CX_GET(CX_ENTITY,($F35),BF$11,BF$14,,(BF$19))),_xlpm.Res,IF(OR(_xlpm.val="",_xlpm.val="Error"),"",_xlpm.val),_xlpm.Res)</f>
        <v>#NAME?</v>
      </c>
      <c r="BG35" s="1669" t="e" cm="1">
        <f t="array" ca="1" aca="1" ref="BG35">_xlfn.LET(_xlpm.val,IF($F35="",val_blankRefText,_xldudf_CX_GET(CX_ENTITY,($F35),BG$11,BG$14,,(BG$19))),_xlpm.Res,IF(OR(_xlpm.val="",_xlpm.val="Error"),"",_xlpm.val),_xlpm.Res)</f>
        <v>#NAME?</v>
      </c>
      <c r="BH35" s="1669" t="e" cm="1">
        <f t="array" ca="1" aca="1" ref="BH35">_xlfn.LET(_xlpm.val,IF($F35="",val_blankRefText,_xldudf_CX_GET(CX_ENTITY,($F35),BH$11,BH$14,,(BH$19))),_xlpm.Res,IF(OR(_xlpm.val="",_xlpm.val="Error"),"",_xlpm.val),_xlpm.Res)</f>
        <v>#NAME?</v>
      </c>
      <c r="BI35" s="1669" t="e" cm="1">
        <f t="array" ca="1" aca="1" ref="BI35">_xlfn.LET(_xlpm.val,IF($F35="",val_blankRefText,_xldudf_CX_GET(CX_ENTITY,($F35),BI$11,BI$14,,(BI$19))),_xlpm.Res,IF(OR(_xlpm.val="",_xlpm.val="Error"),"",_xlpm.val),_xlpm.Res)</f>
        <v>#NAME?</v>
      </c>
      <c r="BJ35" s="1669" t="e" cm="1">
        <f t="array" ca="1" aca="1" ref="BJ35">_xlfn.LET(_xlpm.val,IF($F35="",val_blankRefText,_xldudf_CX_GET(CX_ENTITY,($F35),BJ$11,BJ$14,,(BJ$19))),_xlpm.Res,IF(OR(_xlpm.val="",_xlpm.val="Error"),"",_xlpm.val),_xlpm.Res)</f>
        <v>#NAME?</v>
      </c>
      <c r="BK35" s="1669" t="e" cm="1">
        <f t="array" ca="1" aca="1" ref="BK35">_xlfn.LET(_xlpm.val,IF($F35="",val_blankRefText,_xldudf_CX_GET(CX_ENTITY,($F35),BK$11,BK$14,,(BK$19))),_xlpm.Res,IF(OR(_xlpm.val="",_xlpm.val="Error"),"",_xlpm.val),_xlpm.Res)</f>
        <v>#NAME?</v>
      </c>
      <c r="BL35" s="1669" t="e" cm="1">
        <f t="array" ca="1" aca="1" ref="BL35">_xlfn.LET(_xlpm.val,IF($F35="",val_blankRefText,_xldudf_CX_GET(CX_ENTITY,($F35),BL$11,BL$14,,(BL$19))),_xlpm.Res,IF(OR(_xlpm.val="",_xlpm.val="Error"),"",_xlpm.val),_xlpm.Res)</f>
        <v>#NAME?</v>
      </c>
      <c r="BM35" s="1669" t="e" cm="1">
        <f t="array" ca="1" aca="1" ref="BM35">_xlfn.LET(_xlpm.val,IF($F35="",val_blankRefText,_xldudf_CX_GET(CX_ENTITY,($F35),BM$11,BM$14,,(BM$19))),_xlpm.Res,IF(OR(_xlpm.val="",_xlpm.val="Error"),"",_xlpm.val),_xlpm.Res)</f>
        <v>#NAME?</v>
      </c>
      <c r="BN35" s="1669" t="e" cm="1">
        <f t="array" ca="1" aca="1" ref="BN35">_xlfn.LET(_xlpm.val,IF($F35="",val_blankRefText,_xldudf_CX_GET(CX_ENTITY,($F35),BN$11,BN$14,,(BN$19))),_xlpm.Res,IF(OR(_xlpm.val="",_xlpm.val="Error"),"",_xlpm.val),_xlpm.Res)</f>
        <v>#NAME?</v>
      </c>
      <c r="BO35" s="2095"/>
      <c r="BP35" s="2095"/>
      <c r="BQ35" s="2095"/>
      <c r="BR35" s="2095"/>
      <c r="BS35" s="2095"/>
      <c r="BT35" s="2095"/>
      <c r="BU35" s="2095"/>
      <c r="BV35" s="2095"/>
      <c r="BW35" s="2095"/>
      <c r="BX35" s="2095"/>
      <c r="BY35" s="2095"/>
      <c r="BZ35" s="2095"/>
      <c r="CA35" s="34"/>
      <c r="CC35" s="33"/>
      <c r="CD35" s="1461" t="e" cm="1">
        <f t="array" ca="1" aca="1" ref="CD35">_xlfn.LET(_xlpm.CheckBlank,SUM(PL!$AD35:PL!$BN35)=0,IF(_xlpm.CheckBlank,"",SUM(_xlfn._xlws.FILTER(PL!$AD35:$BN35,(YEAR(PL!$AD$12:$BN$12)=PL!CD$12)*(array_timeline&lt;=PL!CD$11)))))</f>
        <v>#NAME?</v>
      </c>
      <c r="CE35" s="1461" t="e" cm="1">
        <f t="array" ca="1" aca="1" ref="CE35">_xlfn.LET(_xlpm.CheckBlank,SUM(PL!$AD35:PL!$BN35)=0,IF(_xlpm.CheckBlank,"",SUM(_xlfn._xlws.FILTER(PL!$AD35:$BN35,(YEAR(PL!$AD$12:$BN$12)=PL!CE$12)*(array_timeline&lt;=PL!CE$11)))))</f>
        <v>#NAME?</v>
      </c>
      <c r="CF35" s="88"/>
      <c r="CG35" s="1461" t="e" cm="1">
        <f t="array" ca="1" aca="1" ref="CG35">_xlfn.LET(_xlpm.CheckBlank,SUM(PL!$AD35:$BN35)=0,IF(_xlpm.CheckBlank,"",SUM(_xlfn._xlws.FILTER(PL!$AD35:$BN35,(YEAR(PL!$AD$12:$BN$12)=PL!CG$12)*(array_timeline&lt;=PL!CG$11)))))</f>
        <v>#NAME?</v>
      </c>
      <c r="CH35" s="1461" t="e" cm="1">
        <f t="array" ca="1" aca="1" ref="CH35">_xlfn.LET(_xlpm.CheckBlank,SUM(PL!$AD35:$BN35)=0,IF(_xlpm.CheckBlank,"",SUM(_xlfn._xlws.FILTER(PL!$AD35:$BN35,(YEAR(PL!$AD$12:$BN$12)=PL!CH$12)*(array_timeline&lt;=PL!CH$11)))))</f>
        <v>#NAME?</v>
      </c>
      <c r="CI35" s="88"/>
      <c r="CJ35" s="1461" cm="1">
        <f t="array" ref="CJ35">_xlfn.LET(_xlpm.CheckBlank,SUM(PL!$AD35:$BN35)=0,IF(_xlpm.CheckBlank,"",SUM(_xlfn.TAKE(_xlfn.DROP(PL!$AD35:$BN35,,-DATEDIFF(PL!CJ$11,val_asOfDate,"M")),1,-12))))</f>
        <v>12</v>
      </c>
      <c r="CK35" s="1461" cm="1">
        <f t="array" ref="CK35">_xlfn.LET(_xlpm.CheckBlank,SUM(PL!$AD35:$BN35)=0,IF(_xlpm.CheckBlank,"",SUM(_xlfn.TAKE(_xlfn.DROP(PL!$AD35:$BN35,,-DATEDIFF(PL!CK$11,val_asOfDate,"M")),1,-12))))</f>
        <v>12</v>
      </c>
      <c r="CL35" s="88"/>
      <c r="CM35" s="1168" t="e" cm="1">
        <f t="array" ca="1" aca="1" ref="CM35">_xlfn.LET(_xlpm.val,IF($F35="",val_blankRefText,_xldudf_CX_GET(CX_ENTITY,($F35),CM$11,CM$14,,(CM$19))),_xlpm.Res,IF(OR(_xlpm.val="",_xlpm.val="Error"),"",_xlpm.val),_xlpm.Res)</f>
        <v>#NAME?</v>
      </c>
      <c r="CN35" s="1168" t="e" cm="1">
        <f t="array" ca="1" aca="1" ref="CN35">_xlfn.LET(_xlpm.val,IF($F35="",val_blankRefText,_xldudf_CX_GET(CX_ENTITY,fx_attrConverter($F35),CN$11,CN$14,,(CN$19))),_xlpm.Res,IF(OR(_xlpm.val="",_xlpm.val="Error"),"",_xlpm.val),_xlpm.Res)</f>
        <v>#NAME?</v>
      </c>
      <c r="CO35" s="1169"/>
      <c r="CP35" s="1168" t="e" cm="1">
        <f t="array" ca="1" aca="1" ref="CP35">_xlfn.LET(_xlpm.val,IF($F35="",val_blankRefText,_xldudf_CX_GET(CX_ENTITY,fx_attrConverter($F35),CP$11,CP$14,,(CP$19))),_xlpm.Res,IF(OR(_xlpm.val="",_xlpm.val="Error"),"",_xlpm.val),_xlpm.Res)</f>
        <v>#NAME?</v>
      </c>
      <c r="CQ35" s="1168" t="e" cm="1">
        <f t="array" ca="1" aca="1" ref="CQ35">_xlfn.LET(_xlpm.val,IF($F35="",val_blankRefText,_xldudf_CX_GET(CX_ENTITY,fx_attrConverter($F35),CQ$11,CQ$14,,(CQ$19))),_xlpm.Res,IF(OR(_xlpm.val="",_xlpm.val="Error"),"",_xlpm.val),_xlpm.Res)</f>
        <v>#NAME?</v>
      </c>
      <c r="CR35" s="34"/>
    </row>
    <row r="36" spans="1:96" ht="21" customHeight="1" outlineLevel="1">
      <c r="A36" s="1322"/>
      <c r="B36" s="577" t="s">
        <v>209</v>
      </c>
      <c r="C36" s="2125" t="s">
        <v>1547</v>
      </c>
      <c r="D36" s="1079"/>
      <c r="E36" s="577" t="e" cm="1">
        <f t="array" ca="1" aca="1" ref="E36">_xlfn.LET(_xlpm.Attr,$C36,_xlpm.Lookback,$E$16,_xlpm.QueryDate,EOMONTH(val_asOfDate,_xlpm.Lookback),_xlpm.ReadField,_xldudf_CX_GET(CX_ENTITY,fx_attrConverter($C36),_xlpm.QueryDate),_xlpm.AttrBlank,_xlpm.Attr="",_xlpm.RESULT,IF(_xlpm.AttrBlank,val_blankRefText,fx_attrConverter(_xlpm.ReadField,0)),IF(_xlpm.RESULT="Error","",_xlpm.RESULT))</f>
        <v>#NAME?</v>
      </c>
      <c r="F36" s="577" t="str">
        <f t="shared" si="1"/>
        <v>Reported EBIT</v>
      </c>
      <c r="G36" s="577" t="s">
        <v>1528</v>
      </c>
      <c r="H36" s="3279">
        <v>2</v>
      </c>
      <c r="I36" s="3279">
        <v>1</v>
      </c>
      <c r="J36" s="578"/>
      <c r="K36" s="578"/>
      <c r="L36" s="579">
        <v>-1</v>
      </c>
      <c r="N36" s="158"/>
      <c r="O36" s="101"/>
      <c r="P36" s="52"/>
      <c r="Q36" s="101"/>
      <c r="R36" s="126"/>
      <c r="S36" s="101"/>
      <c r="T36" s="101"/>
      <c r="U36" s="39"/>
      <c r="W36" s="91" t="str">
        <f t="shared" si="4"/>
        <v>Actual</v>
      </c>
      <c r="X36" s="884">
        <v>0</v>
      </c>
      <c r="Y36" s="1196" t="e" cm="1">
        <f t="array" ca="1" aca="1" ref="Y36">IF($B36="",IFBLANK($E36,"Please select or type in or leave as blank"),IFBLANK($E36,$B36))</f>
        <v>#NAME?</v>
      </c>
      <c r="Z36" s="198" cm="1">
        <f t="array" ref="Z36">_xlfn.SWITCH(TRUE,ISBLANK(_PL!$L36),"",_PL!$L36=TRUE,1,_PL!$L36=FALSE,-1,_PL!$L36=-1,0,"n/a")</f>
        <v>0</v>
      </c>
      <c r="AA36" s="200"/>
      <c r="AB36" s="301" t="s">
        <v>209</v>
      </c>
      <c r="AC36" s="300" t="str" cm="1">
        <f t="array" ref="AC36">_xlfn.LET(_xlpm.Def,IF(_xlfn.XMATCH(AB36,tbl_acctDef[Term],0)&gt;0,fx_getIcon("find"),""),_xlpm.Adj,IF(_xlfn.XMATCH(AB36,tbl_adjExample[Items],0)&gt;0,fx_getIcon("find"),""),IFERROR(IFBLANK(_xlpm.Def,_xlpm.Adj),""))</f>
        <v/>
      </c>
      <c r="AD36" s="1669" t="e" cm="1">
        <f t="array" ca="1" aca="1" ref="AD36">_xlfn.LET(_xlpm.val,IF($F36="",val_blankRefText,_xldudf_CX_GET(CX_ENTITY,($F36),AD$11,AD$14,,(AD$19))),_xlpm.Res,IF(OR(_xlpm.val="",_xlpm.val="Error"),"",_xlpm.val),_xlpm.Res)</f>
        <v>#NAME?</v>
      </c>
      <c r="AE36" s="1669" t="e" cm="1">
        <f t="array" ca="1" aca="1" ref="AE36">_xlfn.LET(_xlpm.val,IF($F36="",val_blankRefText,_xldudf_CX_GET(CX_ENTITY,($F36),AE$11,AE$14,,(AE$19))),_xlpm.Res,IF(OR(_xlpm.val="",_xlpm.val="Error"),"",_xlpm.val),_xlpm.Res)</f>
        <v>#NAME?</v>
      </c>
      <c r="AF36" s="1669" t="e" cm="1">
        <f t="array" ca="1" aca="1" ref="AF36">_xlfn.LET(_xlpm.val,IF($F36="",val_blankRefText,_xldudf_CX_GET(CX_ENTITY,($F36),AF$11,AF$14,,(AF$19))),_xlpm.Res,IF(OR(_xlpm.val="",_xlpm.val="Error"),"",_xlpm.val),_xlpm.Res)</f>
        <v>#NAME?</v>
      </c>
      <c r="AG36" s="1669" t="e" cm="1">
        <f t="array" ca="1" aca="1" ref="AG36">_xlfn.LET(_xlpm.val,IF($F36="",val_blankRefText,_xldudf_CX_GET(CX_ENTITY,($F36),AG$11,AG$14,,(AG$19))),_xlpm.Res,IF(OR(_xlpm.val="",_xlpm.val="Error"),"",_xlpm.val),_xlpm.Res)</f>
        <v>#NAME?</v>
      </c>
      <c r="AH36" s="1669" t="e" cm="1">
        <f t="array" ca="1" aca="1" ref="AH36">_xlfn.LET(_xlpm.val,IF($F36="",val_blankRefText,_xldudf_CX_GET(CX_ENTITY,($F36),AH$11,AH$14,,(AH$19))),_xlpm.Res,IF(OR(_xlpm.val="",_xlpm.val="Error"),"",_xlpm.val),_xlpm.Res)</f>
        <v>#NAME?</v>
      </c>
      <c r="AI36" s="1669" t="e" cm="1">
        <f t="array" ca="1" aca="1" ref="AI36">_xlfn.LET(_xlpm.val,IF($F36="",val_blankRefText,_xldudf_CX_GET(CX_ENTITY,($F36),AI$11,AI$14,,(AI$19))),_xlpm.Res,IF(OR(_xlpm.val="",_xlpm.val="Error"),"",_xlpm.val),_xlpm.Res)</f>
        <v>#NAME?</v>
      </c>
      <c r="AJ36" s="1669" t="e" cm="1">
        <f t="array" ca="1" aca="1" ref="AJ36">_xlfn.LET(_xlpm.val,IF($F36="",val_blankRefText,_xldudf_CX_GET(CX_ENTITY,($F36),AJ$11,AJ$14,,(AJ$19))),_xlpm.Res,IF(OR(_xlpm.val="",_xlpm.val="Error"),"",_xlpm.val),_xlpm.Res)</f>
        <v>#NAME?</v>
      </c>
      <c r="AK36" s="1669" t="e" cm="1">
        <f t="array" ca="1" aca="1" ref="AK36">_xlfn.LET(_xlpm.val,IF($F36="",val_blankRefText,_xldudf_CX_GET(CX_ENTITY,($F36),AK$11,AK$14,,(AK$19))),_xlpm.Res,IF(OR(_xlpm.val="",_xlpm.val="Error"),"",_xlpm.val),_xlpm.Res)</f>
        <v>#NAME?</v>
      </c>
      <c r="AL36" s="1669" t="e" cm="1">
        <f t="array" ca="1" aca="1" ref="AL36">_xlfn.LET(_xlpm.val,IF($F36="",val_blankRefText,_xldudf_CX_GET(CX_ENTITY,($F36),AL$11,AL$14,,(AL$19))),_xlpm.Res,IF(OR(_xlpm.val="",_xlpm.val="Error"),"",_xlpm.val),_xlpm.Res)</f>
        <v>#NAME?</v>
      </c>
      <c r="AM36" s="1669" t="e" cm="1">
        <f t="array" ca="1" aca="1" ref="AM36">_xlfn.LET(_xlpm.val,IF($F36="",val_blankRefText,_xldudf_CX_GET(CX_ENTITY,($F36),AM$11,AM$14,,(AM$19))),_xlpm.Res,IF(OR(_xlpm.val="",_xlpm.val="Error"),"",_xlpm.val),_xlpm.Res)</f>
        <v>#NAME?</v>
      </c>
      <c r="AN36" s="1669" t="e" cm="1">
        <f t="array" ca="1" aca="1" ref="AN36">_xlfn.LET(_xlpm.val,IF($F36="",val_blankRefText,_xldudf_CX_GET(CX_ENTITY,($F36),AN$11,AN$14,,(AN$19))),_xlpm.Res,IF(OR(_xlpm.val="",_xlpm.val="Error"),"",_xlpm.val),_xlpm.Res)</f>
        <v>#NAME?</v>
      </c>
      <c r="AO36" s="1669" t="e" cm="1">
        <f t="array" ca="1" aca="1" ref="AO36">_xlfn.LET(_xlpm.val,IF($F36="",val_blankRefText,_xldudf_CX_GET(CX_ENTITY,($F36),AO$11,AO$14,,(AO$19))),_xlpm.Res,IF(OR(_xlpm.val="",_xlpm.val="Error"),"",_xlpm.val),_xlpm.Res)</f>
        <v>#NAME?</v>
      </c>
      <c r="AP36" s="1669" t="e" cm="1">
        <f t="array" ca="1" aca="1" ref="AP36">_xlfn.LET(_xlpm.val,IF($F36="",val_blankRefText,_xldudf_CX_GET(CX_ENTITY,($F36),AP$11,AP$14,,(AP$19))),_xlpm.Res,IF(OR(_xlpm.val="",_xlpm.val="Error"),"",_xlpm.val),_xlpm.Res)</f>
        <v>#NAME?</v>
      </c>
      <c r="AQ36" s="1669" t="e" cm="1">
        <f t="array" ca="1" aca="1" ref="AQ36">_xlfn.LET(_xlpm.val,IF($F36="",val_blankRefText,_xldudf_CX_GET(CX_ENTITY,($F36),AQ$11,AQ$14,,(AQ$19))),_xlpm.Res,IF(OR(_xlpm.val="",_xlpm.val="Error"),"",_xlpm.val),_xlpm.Res)</f>
        <v>#NAME?</v>
      </c>
      <c r="AR36" s="1669" t="e" cm="1">
        <f t="array" ca="1" aca="1" ref="AR36">_xlfn.LET(_xlpm.val,IF($F36="",val_blankRefText,_xldudf_CX_GET(CX_ENTITY,($F36),AR$11,AR$14,,(AR$19))),_xlpm.Res,IF(OR(_xlpm.val="",_xlpm.val="Error"),"",_xlpm.val),_xlpm.Res)</f>
        <v>#NAME?</v>
      </c>
      <c r="AS36" s="1669" t="e" cm="1">
        <f t="array" ca="1" aca="1" ref="AS36">_xlfn.LET(_xlpm.val,IF($F36="",val_blankRefText,_xldudf_CX_GET(CX_ENTITY,($F36),AS$11,AS$14,,(AS$19))),_xlpm.Res,IF(OR(_xlpm.val="",_xlpm.val="Error"),"",_xlpm.val),_xlpm.Res)</f>
        <v>#NAME?</v>
      </c>
      <c r="AT36" s="1669" t="e" cm="1">
        <f t="array" ca="1" aca="1" ref="AT36">_xlfn.LET(_xlpm.val,IF($F36="",val_blankRefText,_xldudf_CX_GET(CX_ENTITY,($F36),AT$11,AT$14,,(AT$19))),_xlpm.Res,IF(OR(_xlpm.val="",_xlpm.val="Error"),"",_xlpm.val),_xlpm.Res)</f>
        <v>#NAME?</v>
      </c>
      <c r="AU36" s="1669" t="e" cm="1">
        <f t="array" ca="1" aca="1" ref="AU36">_xlfn.LET(_xlpm.val,IF($F36="",val_blankRefText,_xldudf_CX_GET(CX_ENTITY,($F36),AU$11,AU$14,,(AU$19))),_xlpm.Res,IF(OR(_xlpm.val="",_xlpm.val="Error"),"",_xlpm.val),_xlpm.Res)</f>
        <v>#NAME?</v>
      </c>
      <c r="AV36" s="1669" t="e" cm="1">
        <f t="array" ca="1" aca="1" ref="AV36">_xlfn.LET(_xlpm.val,IF($F36="",val_blankRefText,_xldudf_CX_GET(CX_ENTITY,($F36),AV$11,AV$14,,(AV$19))),_xlpm.Res,IF(OR(_xlpm.val="",_xlpm.val="Error"),"",_xlpm.val),_xlpm.Res)</f>
        <v>#NAME?</v>
      </c>
      <c r="AW36" s="1669" t="e" cm="1">
        <f t="array" ca="1" aca="1" ref="AW36">_xlfn.LET(_xlpm.val,IF($F36="",val_blankRefText,_xldudf_CX_GET(CX_ENTITY,($F36),AW$11,AW$14,,(AW$19))),_xlpm.Res,IF(OR(_xlpm.val="",_xlpm.val="Error"),"",_xlpm.val),_xlpm.Res)</f>
        <v>#NAME?</v>
      </c>
      <c r="AX36" s="1669" t="e" cm="1">
        <f t="array" ca="1" aca="1" ref="AX36">_xlfn.LET(_xlpm.val,IF($F36="",val_blankRefText,_xldudf_CX_GET(CX_ENTITY,($F36),AX$11,AX$14,,(AX$19))),_xlpm.Res,IF(OR(_xlpm.val="",_xlpm.val="Error"),"",_xlpm.val),_xlpm.Res)</f>
        <v>#NAME?</v>
      </c>
      <c r="AY36" s="1669" t="e" cm="1">
        <f t="array" ca="1" aca="1" ref="AY36">_xlfn.LET(_xlpm.val,IF($F36="",val_blankRefText,_xldudf_CX_GET(CX_ENTITY,($F36),AY$11,AY$14,,(AY$19))),_xlpm.Res,IF(OR(_xlpm.val="",_xlpm.val="Error"),"",_xlpm.val),_xlpm.Res)</f>
        <v>#NAME?</v>
      </c>
      <c r="AZ36" s="1669" t="e" cm="1">
        <f t="array" ca="1" aca="1" ref="AZ36">_xlfn.LET(_xlpm.val,IF($F36="",val_blankRefText,_xldudf_CX_GET(CX_ENTITY,($F36),AZ$11,AZ$14,,(AZ$19))),_xlpm.Res,IF(OR(_xlpm.val="",_xlpm.val="Error"),"",_xlpm.val),_xlpm.Res)</f>
        <v>#NAME?</v>
      </c>
      <c r="BA36" s="1669" t="e" cm="1">
        <f t="array" ca="1" aca="1" ref="BA36">_xlfn.LET(_xlpm.val,IF($F36="",val_blankRefText,_xldudf_CX_GET(CX_ENTITY,($F36),BA$11,BA$14,,(BA$19))),_xlpm.Res,IF(OR(_xlpm.val="",_xlpm.val="Error"),"",_xlpm.val),_xlpm.Res)</f>
        <v>#NAME?</v>
      </c>
      <c r="BB36" s="1669" t="e" cm="1">
        <f t="array" ca="1" aca="1" ref="BB36">_xlfn.LET(_xlpm.val,IF($F36="",val_blankRefText,_xldudf_CX_GET(CX_ENTITY,($F36),BB$11,BB$14,,(BB$19))),_xlpm.Res,IF(OR(_xlpm.val="",_xlpm.val="Error"),"",_xlpm.val),_xlpm.Res)</f>
        <v>#NAME?</v>
      </c>
      <c r="BC36" s="1669" t="e" cm="1">
        <f t="array" ca="1" aca="1" ref="BC36">_xlfn.LET(_xlpm.val,IF($F36="",val_blankRefText,_xldudf_CX_GET(CX_ENTITY,($F36),BC$11,BC$14,,(BC$19))),_xlpm.Res,IF(OR(_xlpm.val="",_xlpm.val="Error"),"",_xlpm.val),_xlpm.Res)</f>
        <v>#NAME?</v>
      </c>
      <c r="BD36" s="1669" t="e" cm="1">
        <f t="array" ca="1" aca="1" ref="BD36">_xlfn.LET(_xlpm.val,IF($F36="",val_blankRefText,_xldudf_CX_GET(CX_ENTITY,($F36),BD$11,BD$14,,(BD$19))),_xlpm.Res,IF(OR(_xlpm.val="",_xlpm.val="Error"),"",_xlpm.val),_xlpm.Res)</f>
        <v>#NAME?</v>
      </c>
      <c r="BE36" s="1669" t="e" cm="1">
        <f t="array" ca="1" aca="1" ref="BE36">_xlfn.LET(_xlpm.val,IF($F36="",val_blankRefText,_xldudf_CX_GET(CX_ENTITY,($F36),BE$11,BE$14,,(BE$19))),_xlpm.Res,IF(OR(_xlpm.val="",_xlpm.val="Error"),"",_xlpm.val),_xlpm.Res)</f>
        <v>#NAME?</v>
      </c>
      <c r="BF36" s="1669" t="e" cm="1">
        <f t="array" ca="1" aca="1" ref="BF36">_xlfn.LET(_xlpm.val,IF($F36="",val_blankRefText,_xldudf_CX_GET(CX_ENTITY,($F36),BF$11,BF$14,,(BF$19))),_xlpm.Res,IF(OR(_xlpm.val="",_xlpm.val="Error"),"",_xlpm.val),_xlpm.Res)</f>
        <v>#NAME?</v>
      </c>
      <c r="BG36" s="1669" t="e" cm="1">
        <f t="array" ca="1" aca="1" ref="BG36">_xlfn.LET(_xlpm.val,IF($F36="",val_blankRefText,_xldudf_CX_GET(CX_ENTITY,($F36),BG$11,BG$14,,(BG$19))),_xlpm.Res,IF(OR(_xlpm.val="",_xlpm.val="Error"),"",_xlpm.val),_xlpm.Res)</f>
        <v>#NAME?</v>
      </c>
      <c r="BH36" s="1669" t="e" cm="1">
        <f t="array" ca="1" aca="1" ref="BH36">_xlfn.LET(_xlpm.val,IF($F36="",val_blankRefText,_xldudf_CX_GET(CX_ENTITY,($F36),BH$11,BH$14,,(BH$19))),_xlpm.Res,IF(OR(_xlpm.val="",_xlpm.val="Error"),"",_xlpm.val),_xlpm.Res)</f>
        <v>#NAME?</v>
      </c>
      <c r="BI36" s="1669" t="e" cm="1">
        <f t="array" ca="1" aca="1" ref="BI36">_xlfn.LET(_xlpm.val,IF($F36="",val_blankRefText,_xldudf_CX_GET(CX_ENTITY,($F36),BI$11,BI$14,,(BI$19))),_xlpm.Res,IF(OR(_xlpm.val="",_xlpm.val="Error"),"",_xlpm.val),_xlpm.Res)</f>
        <v>#NAME?</v>
      </c>
      <c r="BJ36" s="1669" t="e" cm="1">
        <f t="array" ca="1" aca="1" ref="BJ36">_xlfn.LET(_xlpm.val,IF($F36="",val_blankRefText,_xldudf_CX_GET(CX_ENTITY,($F36),BJ$11,BJ$14,,(BJ$19))),_xlpm.Res,IF(OR(_xlpm.val="",_xlpm.val="Error"),"",_xlpm.val),_xlpm.Res)</f>
        <v>#NAME?</v>
      </c>
      <c r="BK36" s="1669" t="e" cm="1">
        <f t="array" ca="1" aca="1" ref="BK36">_xlfn.LET(_xlpm.val,IF($F36="",val_blankRefText,_xldudf_CX_GET(CX_ENTITY,($F36),BK$11,BK$14,,(BK$19))),_xlpm.Res,IF(OR(_xlpm.val="",_xlpm.val="Error"),"",_xlpm.val),_xlpm.Res)</f>
        <v>#NAME?</v>
      </c>
      <c r="BL36" s="1669" t="e" cm="1">
        <f t="array" ca="1" aca="1" ref="BL36">_xlfn.LET(_xlpm.val,IF($F36="",val_blankRefText,_xldudf_CX_GET(CX_ENTITY,($F36),BL$11,BL$14,,(BL$19))),_xlpm.Res,IF(OR(_xlpm.val="",_xlpm.val="Error"),"",_xlpm.val),_xlpm.Res)</f>
        <v>#NAME?</v>
      </c>
      <c r="BM36" s="1669" t="e" cm="1">
        <f t="array" ca="1" aca="1" ref="BM36">_xlfn.LET(_xlpm.val,IF($F36="",val_blankRefText,_xldudf_CX_GET(CX_ENTITY,($F36),BM$11,BM$14,,(BM$19))),_xlpm.Res,IF(OR(_xlpm.val="",_xlpm.val="Error"),"",_xlpm.val),_xlpm.Res)</f>
        <v>#NAME?</v>
      </c>
      <c r="BN36" s="1669" t="e" cm="1">
        <f t="array" ca="1" aca="1" ref="BN36">_xlfn.LET(_xlpm.val,IF($F36="",val_blankRefText,_xldudf_CX_GET(CX_ENTITY,($F36),BN$11,BN$14,,(BN$19))),_xlpm.Res,IF(OR(_xlpm.val="",_xlpm.val="Error"),"",_xlpm.val),_xlpm.Res)</f>
        <v>#NAME?</v>
      </c>
      <c r="BO36" s="2095"/>
      <c r="BP36" s="2095"/>
      <c r="BQ36" s="2095"/>
      <c r="BR36" s="2095"/>
      <c r="BS36" s="2095"/>
      <c r="BT36" s="2095"/>
      <c r="BU36" s="2095"/>
      <c r="BV36" s="2095"/>
      <c r="BW36" s="2095"/>
      <c r="BX36" s="2095"/>
      <c r="BY36" s="2095"/>
      <c r="BZ36" s="2095"/>
      <c r="CA36" s="34"/>
      <c r="CC36" s="33"/>
      <c r="CD36" s="1461" t="e" cm="1">
        <f t="array" ca="1" aca="1" ref="CD36">_xlfn.LET(_xlpm.CheckBlank,SUM(PL!$AD36:PL!$BN36)=0,IF(_xlpm.CheckBlank,"",SUM(_xlfn._xlws.FILTER(PL!$AD36:$BN36,(YEAR(PL!$AD$12:$BN$12)=PL!CD$12)*(array_timeline&lt;=PL!CD$11)))))</f>
        <v>#NAME?</v>
      </c>
      <c r="CE36" s="1461" t="e" cm="1">
        <f t="array" ca="1" aca="1" ref="CE36">_xlfn.LET(_xlpm.CheckBlank,SUM(PL!$AD36:PL!$BN36)=0,IF(_xlpm.CheckBlank,"",SUM(_xlfn._xlws.FILTER(PL!$AD36:$BN36,(YEAR(PL!$AD$12:$BN$12)=PL!CE$12)*(array_timeline&lt;=PL!CE$11)))))</f>
        <v>#NAME?</v>
      </c>
      <c r="CF36" s="88"/>
      <c r="CG36" s="1461" t="e" cm="1">
        <f t="array" ca="1" aca="1" ref="CG36">_xlfn.LET(_xlpm.CheckBlank,SUM(PL!$AD36:$BN36)=0,IF(_xlpm.CheckBlank,"",SUM(_xlfn._xlws.FILTER(PL!$AD36:$BN36,(YEAR(PL!$AD$12:$BN$12)=PL!CG$12)*(array_timeline&lt;=PL!CG$11)))))</f>
        <v>#NAME?</v>
      </c>
      <c r="CH36" s="1461" t="e" cm="1">
        <f t="array" ca="1" aca="1" ref="CH36">_xlfn.LET(_xlpm.CheckBlank,SUM(PL!$AD36:$BN36)=0,IF(_xlpm.CheckBlank,"",SUM(_xlfn._xlws.FILTER(PL!$AD36:$BN36,(YEAR(PL!$AD$12:$BN$12)=PL!CH$12)*(array_timeline&lt;=PL!CH$11)))))</f>
        <v>#NAME?</v>
      </c>
      <c r="CI36" s="88"/>
      <c r="CJ36" s="1461" cm="1">
        <f t="array" ref="CJ36">_xlfn.LET(_xlpm.CheckBlank,SUM(PL!$AD36:$BN36)=0,IF(_xlpm.CheckBlank,"",SUM(_xlfn.TAKE(_xlfn.DROP(PL!$AD36:$BN36,,-DATEDIFF(PL!CJ$11,val_asOfDate,"M")),1,-12))))</f>
        <v>60</v>
      </c>
      <c r="CK36" s="1461" cm="1">
        <f t="array" ref="CK36">_xlfn.LET(_xlpm.CheckBlank,SUM(PL!$AD36:$BN36)=0,IF(_xlpm.CheckBlank,"",SUM(_xlfn.TAKE(_xlfn.DROP(PL!$AD36:$BN36,,-DATEDIFF(PL!CK$11,val_asOfDate,"M")),1,-12))))</f>
        <v>60</v>
      </c>
      <c r="CL36" s="88"/>
      <c r="CM36" s="1168" t="e" cm="1">
        <f t="array" ca="1" aca="1" ref="CM36">_xlfn.LET(_xlpm.val,IF($F36="",val_blankRefText,_xldudf_CX_GET(CX_ENTITY,($F36),CM$11,CM$14,,(CM$19))),_xlpm.Res,IF(OR(_xlpm.val="",_xlpm.val="Error"),"",_xlpm.val),_xlpm.Res)</f>
        <v>#NAME?</v>
      </c>
      <c r="CN36" s="1168" t="e" cm="1">
        <f t="array" ca="1" aca="1" ref="CN36">_xlfn.LET(_xlpm.val,IF($F36="",val_blankRefText,_xldudf_CX_GET(CX_ENTITY,fx_attrConverter($F36),CN$11,CN$14,,(CN$19))),_xlpm.Res,IF(OR(_xlpm.val="",_xlpm.val="Error"),"",_xlpm.val),_xlpm.Res)</f>
        <v>#NAME?</v>
      </c>
      <c r="CO36" s="1169"/>
      <c r="CP36" s="1168" t="e" cm="1">
        <f t="array" ca="1" aca="1" ref="CP36">_xlfn.LET(_xlpm.val,IF($F36="",val_blankRefText,_xldudf_CX_GET(CX_ENTITY,fx_attrConverter($F36),CP$11,CP$14,,(CP$19))),_xlpm.Res,IF(OR(_xlpm.val="",_xlpm.val="Error"),"",_xlpm.val),_xlpm.Res)</f>
        <v>#NAME?</v>
      </c>
      <c r="CQ36" s="1168" t="e" cm="1">
        <f t="array" ca="1" aca="1" ref="CQ36">_xlfn.LET(_xlpm.val,IF($F36="",val_blankRefText,_xldudf_CX_GET(CX_ENTITY,fx_attrConverter($F36),CQ$11,CQ$14,,(CQ$19))),_xlpm.Res,IF(OR(_xlpm.val="",_xlpm.val="Error"),"",_xlpm.val),_xlpm.Res)</f>
        <v>#NAME?</v>
      </c>
      <c r="CR36" s="34"/>
    </row>
    <row r="37" spans="1:96" ht="21" customHeight="1" outlineLevel="1">
      <c r="A37" s="1322"/>
      <c r="B37" s="577" t="s">
        <v>1548</v>
      </c>
      <c r="C37" s="2125" t="s">
        <v>1549</v>
      </c>
      <c r="D37" s="1079"/>
      <c r="E37" s="577" t="e" cm="1">
        <f t="array" ca="1" aca="1" ref="E37">_xlfn.LET(_xlpm.Attr,$C37,_xlpm.Lookback,$E$16,_xlpm.QueryDate,EOMONTH(val_asOfDate,_xlpm.Lookback),_xlpm.ReadField,_xldudf_CX_GET(CX_ENTITY,fx_attrConverter($C37),_xlpm.QueryDate),_xlpm.AttrBlank,_xlpm.Attr="",_xlpm.RESULT,IF(_xlpm.AttrBlank,val_blankRefText,fx_attrConverter(_xlpm.ReadField,0)),IF(_xlpm.RESULT="Error","",_xlpm.RESULT))</f>
        <v>#NAME?</v>
      </c>
      <c r="F37" s="577" t="str">
        <f t="shared" si="1"/>
        <v>Interest Expense</v>
      </c>
      <c r="G37" s="577" t="s">
        <v>1528</v>
      </c>
      <c r="H37" s="1323">
        <v>0</v>
      </c>
      <c r="I37" s="3279">
        <v>1</v>
      </c>
      <c r="J37" s="578"/>
      <c r="K37" s="578"/>
      <c r="L37" s="3269" t="b">
        <v>1</v>
      </c>
      <c r="N37" s="158"/>
      <c r="O37" s="101"/>
      <c r="P37" s="52"/>
      <c r="Q37" s="101"/>
      <c r="R37" s="126"/>
      <c r="S37" s="101"/>
      <c r="T37" s="101"/>
      <c r="U37" s="39"/>
      <c r="W37" s="91" t="str">
        <f t="shared" si="4"/>
        <v>Actual</v>
      </c>
      <c r="X37" s="884">
        <v>-1</v>
      </c>
      <c r="Y37" s="911" t="e" cm="1">
        <f t="array" ca="1" aca="1" ref="Y37">IF($B37="",IFBLANK($E37,"Please select or type in or leave as blank"),IFBLANK($E37,$B37))</f>
        <v>#NAME?</v>
      </c>
      <c r="Z37" s="3291" cm="1">
        <f t="array" ref="Z37">_xlfn.SWITCH(TRUE,ISBLANK(_PL!$L37),"",_PL!$L37=TRUE,1,_PL!$L37=FALSE,-1,_PL!$L37=-1,0,"n/a")</f>
        <v>1</v>
      </c>
      <c r="AA37" s="200"/>
      <c r="AB37" s="301" t="s">
        <v>1548</v>
      </c>
      <c r="AC37" s="300" t="str" cm="1">
        <f t="array" ref="AC37">_xlfn.LET(_xlpm.Def,IF(_xlfn.XMATCH(AB37,tbl_acctDef[Term],0)&gt;0,fx_getIcon("find"),""),_xlpm.Adj,IF(_xlfn.XMATCH(AB37,tbl_adjExample[Items],0)&gt;0,fx_getIcon("find"),""),IFERROR(IFBLANK(_xlpm.Def,_xlpm.Adj),""))</f>
        <v/>
      </c>
      <c r="AD37" s="1669" t="e" cm="1">
        <f t="array" ca="1" aca="1" ref="AD37">_xlfn.LET(_xlpm.val,IF($F37="",val_blankRefText,_xldudf_CX_GET(CX_ENTITY,($F37),AD$11,AD$14,,(AD$19))),_xlpm.Res,IF(OR(_xlpm.val="",_xlpm.val="Error"),"",_xlpm.val),_xlpm.Res)</f>
        <v>#NAME?</v>
      </c>
      <c r="AE37" s="1669" t="e" cm="1">
        <f t="array" ca="1" aca="1" ref="AE37">_xlfn.LET(_xlpm.val,IF($F37="",val_blankRefText,_xldudf_CX_GET(CX_ENTITY,($F37),AE$11,AE$14,,(AE$19))),_xlpm.Res,IF(OR(_xlpm.val="",_xlpm.val="Error"),"",_xlpm.val),_xlpm.Res)</f>
        <v>#NAME?</v>
      </c>
      <c r="AF37" s="1669" t="e" cm="1">
        <f t="array" ca="1" aca="1" ref="AF37">_xlfn.LET(_xlpm.val,IF($F37="",val_blankRefText,_xldudf_CX_GET(CX_ENTITY,($F37),AF$11,AF$14,,(AF$19))),_xlpm.Res,IF(OR(_xlpm.val="",_xlpm.val="Error"),"",_xlpm.val),_xlpm.Res)</f>
        <v>#NAME?</v>
      </c>
      <c r="AG37" s="1669" t="e" cm="1">
        <f t="array" ca="1" aca="1" ref="AG37">_xlfn.LET(_xlpm.val,IF($F37="",val_blankRefText,_xldudf_CX_GET(CX_ENTITY,($F37),AG$11,AG$14,,(AG$19))),_xlpm.Res,IF(OR(_xlpm.val="",_xlpm.val="Error"),"",_xlpm.val),_xlpm.Res)</f>
        <v>#NAME?</v>
      </c>
      <c r="AH37" s="1669" t="e" cm="1">
        <f t="array" ca="1" aca="1" ref="AH37">_xlfn.LET(_xlpm.val,IF($F37="",val_blankRefText,_xldudf_CX_GET(CX_ENTITY,($F37),AH$11,AH$14,,(AH$19))),_xlpm.Res,IF(OR(_xlpm.val="",_xlpm.val="Error"),"",_xlpm.val),_xlpm.Res)</f>
        <v>#NAME?</v>
      </c>
      <c r="AI37" s="1669" t="e" cm="1">
        <f t="array" ca="1" aca="1" ref="AI37">_xlfn.LET(_xlpm.val,IF($F37="",val_blankRefText,_xldudf_CX_GET(CX_ENTITY,($F37),AI$11,AI$14,,(AI$19))),_xlpm.Res,IF(OR(_xlpm.val="",_xlpm.val="Error"),"",_xlpm.val),_xlpm.Res)</f>
        <v>#NAME?</v>
      </c>
      <c r="AJ37" s="1669" t="e" cm="1">
        <f t="array" ca="1" aca="1" ref="AJ37">_xlfn.LET(_xlpm.val,IF($F37="",val_blankRefText,_xldudf_CX_GET(CX_ENTITY,($F37),AJ$11,AJ$14,,(AJ$19))),_xlpm.Res,IF(OR(_xlpm.val="",_xlpm.val="Error"),"",_xlpm.val),_xlpm.Res)</f>
        <v>#NAME?</v>
      </c>
      <c r="AK37" s="1669" t="e" cm="1">
        <f t="array" ca="1" aca="1" ref="AK37">_xlfn.LET(_xlpm.val,IF($F37="",val_blankRefText,_xldudf_CX_GET(CX_ENTITY,($F37),AK$11,AK$14,,(AK$19))),_xlpm.Res,IF(OR(_xlpm.val="",_xlpm.val="Error"),"",_xlpm.val),_xlpm.Res)</f>
        <v>#NAME?</v>
      </c>
      <c r="AL37" s="1669" t="e" cm="1">
        <f t="array" ca="1" aca="1" ref="AL37">_xlfn.LET(_xlpm.val,IF($F37="",val_blankRefText,_xldudf_CX_GET(CX_ENTITY,($F37),AL$11,AL$14,,(AL$19))),_xlpm.Res,IF(OR(_xlpm.val="",_xlpm.val="Error"),"",_xlpm.val),_xlpm.Res)</f>
        <v>#NAME?</v>
      </c>
      <c r="AM37" s="1669" t="e" cm="1">
        <f t="array" ca="1" aca="1" ref="AM37">_xlfn.LET(_xlpm.val,IF($F37="",val_blankRefText,_xldudf_CX_GET(CX_ENTITY,($F37),AM$11,AM$14,,(AM$19))),_xlpm.Res,IF(OR(_xlpm.val="",_xlpm.val="Error"),"",_xlpm.val),_xlpm.Res)</f>
        <v>#NAME?</v>
      </c>
      <c r="AN37" s="1669" t="e" cm="1">
        <f t="array" ca="1" aca="1" ref="AN37">_xlfn.LET(_xlpm.val,IF($F37="",val_blankRefText,_xldudf_CX_GET(CX_ENTITY,($F37),AN$11,AN$14,,(AN$19))),_xlpm.Res,IF(OR(_xlpm.val="",_xlpm.val="Error"),"",_xlpm.val),_xlpm.Res)</f>
        <v>#NAME?</v>
      </c>
      <c r="AO37" s="1669" t="e" cm="1">
        <f t="array" ca="1" aca="1" ref="AO37">_xlfn.LET(_xlpm.val,IF($F37="",val_blankRefText,_xldudf_CX_GET(CX_ENTITY,($F37),AO$11,AO$14,,(AO$19))),_xlpm.Res,IF(OR(_xlpm.val="",_xlpm.val="Error"),"",_xlpm.val),_xlpm.Res)</f>
        <v>#NAME?</v>
      </c>
      <c r="AP37" s="1669" t="e" cm="1">
        <f t="array" ca="1" aca="1" ref="AP37">_xlfn.LET(_xlpm.val,IF($F37="",val_blankRefText,_xldudf_CX_GET(CX_ENTITY,($F37),AP$11,AP$14,,(AP$19))),_xlpm.Res,IF(OR(_xlpm.val="",_xlpm.val="Error"),"",_xlpm.val),_xlpm.Res)</f>
        <v>#NAME?</v>
      </c>
      <c r="AQ37" s="1669" t="e" cm="1">
        <f t="array" ca="1" aca="1" ref="AQ37">_xlfn.LET(_xlpm.val,IF($F37="",val_blankRefText,_xldudf_CX_GET(CX_ENTITY,($F37),AQ$11,AQ$14,,(AQ$19))),_xlpm.Res,IF(OR(_xlpm.val="",_xlpm.val="Error"),"",_xlpm.val),_xlpm.Res)</f>
        <v>#NAME?</v>
      </c>
      <c r="AR37" s="1669" t="e" cm="1">
        <f t="array" ca="1" aca="1" ref="AR37">_xlfn.LET(_xlpm.val,IF($F37="",val_blankRefText,_xldudf_CX_GET(CX_ENTITY,($F37),AR$11,AR$14,,(AR$19))),_xlpm.Res,IF(OR(_xlpm.val="",_xlpm.val="Error"),"",_xlpm.val),_xlpm.Res)</f>
        <v>#NAME?</v>
      </c>
      <c r="AS37" s="1669" t="e" cm="1">
        <f t="array" ca="1" aca="1" ref="AS37">_xlfn.LET(_xlpm.val,IF($F37="",val_blankRefText,_xldudf_CX_GET(CX_ENTITY,($F37),AS$11,AS$14,,(AS$19))),_xlpm.Res,IF(OR(_xlpm.val="",_xlpm.val="Error"),"",_xlpm.val),_xlpm.Res)</f>
        <v>#NAME?</v>
      </c>
      <c r="AT37" s="1669" t="e" cm="1">
        <f t="array" ca="1" aca="1" ref="AT37">_xlfn.LET(_xlpm.val,IF($F37="",val_blankRefText,_xldudf_CX_GET(CX_ENTITY,($F37),AT$11,AT$14,,(AT$19))),_xlpm.Res,IF(OR(_xlpm.val="",_xlpm.val="Error"),"",_xlpm.val),_xlpm.Res)</f>
        <v>#NAME?</v>
      </c>
      <c r="AU37" s="1669" t="e" cm="1">
        <f t="array" ca="1" aca="1" ref="AU37">_xlfn.LET(_xlpm.val,IF($F37="",val_blankRefText,_xldudf_CX_GET(CX_ENTITY,($F37),AU$11,AU$14,,(AU$19))),_xlpm.Res,IF(OR(_xlpm.val="",_xlpm.val="Error"),"",_xlpm.val),_xlpm.Res)</f>
        <v>#NAME?</v>
      </c>
      <c r="AV37" s="1669" t="e" cm="1">
        <f t="array" ca="1" aca="1" ref="AV37">_xlfn.LET(_xlpm.val,IF($F37="",val_blankRefText,_xldudf_CX_GET(CX_ENTITY,($F37),AV$11,AV$14,,(AV$19))),_xlpm.Res,IF(OR(_xlpm.val="",_xlpm.val="Error"),"",_xlpm.val),_xlpm.Res)</f>
        <v>#NAME?</v>
      </c>
      <c r="AW37" s="1669" t="e" cm="1">
        <f t="array" ca="1" aca="1" ref="AW37">_xlfn.LET(_xlpm.val,IF($F37="",val_blankRefText,_xldudf_CX_GET(CX_ENTITY,($F37),AW$11,AW$14,,(AW$19))),_xlpm.Res,IF(OR(_xlpm.val="",_xlpm.val="Error"),"",_xlpm.val),_xlpm.Res)</f>
        <v>#NAME?</v>
      </c>
      <c r="AX37" s="1669" t="e" cm="1">
        <f t="array" ca="1" aca="1" ref="AX37">_xlfn.LET(_xlpm.val,IF($F37="",val_blankRefText,_xldudf_CX_GET(CX_ENTITY,($F37),AX$11,AX$14,,(AX$19))),_xlpm.Res,IF(OR(_xlpm.val="",_xlpm.val="Error"),"",_xlpm.val),_xlpm.Res)</f>
        <v>#NAME?</v>
      </c>
      <c r="AY37" s="1669" t="e" cm="1">
        <f t="array" ca="1" aca="1" ref="AY37">_xlfn.LET(_xlpm.val,IF($F37="",val_blankRefText,_xldudf_CX_GET(CX_ENTITY,($F37),AY$11,AY$14,,(AY$19))),_xlpm.Res,IF(OR(_xlpm.val="",_xlpm.val="Error"),"",_xlpm.val),_xlpm.Res)</f>
        <v>#NAME?</v>
      </c>
      <c r="AZ37" s="1669" t="e" cm="1">
        <f t="array" ca="1" aca="1" ref="AZ37">_xlfn.LET(_xlpm.val,IF($F37="",val_blankRefText,_xldudf_CX_GET(CX_ENTITY,($F37),AZ$11,AZ$14,,(AZ$19))),_xlpm.Res,IF(OR(_xlpm.val="",_xlpm.val="Error"),"",_xlpm.val),_xlpm.Res)</f>
        <v>#NAME?</v>
      </c>
      <c r="BA37" s="1669" t="e" cm="1">
        <f t="array" ca="1" aca="1" ref="BA37">_xlfn.LET(_xlpm.val,IF($F37="",val_blankRefText,_xldudf_CX_GET(CX_ENTITY,($F37),BA$11,BA$14,,(BA$19))),_xlpm.Res,IF(OR(_xlpm.val="",_xlpm.val="Error"),"",_xlpm.val),_xlpm.Res)</f>
        <v>#NAME?</v>
      </c>
      <c r="BB37" s="1669" t="e" cm="1">
        <f t="array" ca="1" aca="1" ref="BB37">_xlfn.LET(_xlpm.val,IF($F37="",val_blankRefText,_xldudf_CX_GET(CX_ENTITY,($F37),BB$11,BB$14,,(BB$19))),_xlpm.Res,IF(OR(_xlpm.val="",_xlpm.val="Error"),"",_xlpm.val),_xlpm.Res)</f>
        <v>#NAME?</v>
      </c>
      <c r="BC37" s="1669" t="e" cm="1">
        <f t="array" ca="1" aca="1" ref="BC37">_xlfn.LET(_xlpm.val,IF($F37="",val_blankRefText,_xldudf_CX_GET(CX_ENTITY,($F37),BC$11,BC$14,,(BC$19))),_xlpm.Res,IF(OR(_xlpm.val="",_xlpm.val="Error"),"",_xlpm.val),_xlpm.Res)</f>
        <v>#NAME?</v>
      </c>
      <c r="BD37" s="1669" t="e" cm="1">
        <f t="array" ca="1" aca="1" ref="BD37">_xlfn.LET(_xlpm.val,IF($F37="",val_blankRefText,_xldudf_CX_GET(CX_ENTITY,($F37),BD$11,BD$14,,(BD$19))),_xlpm.Res,IF(OR(_xlpm.val="",_xlpm.val="Error"),"",_xlpm.val),_xlpm.Res)</f>
        <v>#NAME?</v>
      </c>
      <c r="BE37" s="1669" t="e" cm="1">
        <f t="array" ca="1" aca="1" ref="BE37">_xlfn.LET(_xlpm.val,IF($F37="",val_blankRefText,_xldudf_CX_GET(CX_ENTITY,($F37),BE$11,BE$14,,(BE$19))),_xlpm.Res,IF(OR(_xlpm.val="",_xlpm.val="Error"),"",_xlpm.val),_xlpm.Res)</f>
        <v>#NAME?</v>
      </c>
      <c r="BF37" s="1669" t="e" cm="1">
        <f t="array" ca="1" aca="1" ref="BF37">_xlfn.LET(_xlpm.val,IF($F37="",val_blankRefText,_xldudf_CX_GET(CX_ENTITY,($F37),BF$11,BF$14,,(BF$19))),_xlpm.Res,IF(OR(_xlpm.val="",_xlpm.val="Error"),"",_xlpm.val),_xlpm.Res)</f>
        <v>#NAME?</v>
      </c>
      <c r="BG37" s="1669" t="e" cm="1">
        <f t="array" ca="1" aca="1" ref="BG37">_xlfn.LET(_xlpm.val,IF($F37="",val_blankRefText,_xldudf_CX_GET(CX_ENTITY,($F37),BG$11,BG$14,,(BG$19))),_xlpm.Res,IF(OR(_xlpm.val="",_xlpm.val="Error"),"",_xlpm.val),_xlpm.Res)</f>
        <v>#NAME?</v>
      </c>
      <c r="BH37" s="1669" t="e" cm="1">
        <f t="array" ca="1" aca="1" ref="BH37">_xlfn.LET(_xlpm.val,IF($F37="",val_blankRefText,_xldudf_CX_GET(CX_ENTITY,($F37),BH$11,BH$14,,(BH$19))),_xlpm.Res,IF(OR(_xlpm.val="",_xlpm.val="Error"),"",_xlpm.val),_xlpm.Res)</f>
        <v>#NAME?</v>
      </c>
      <c r="BI37" s="1669" t="e" cm="1">
        <f t="array" ca="1" aca="1" ref="BI37">_xlfn.LET(_xlpm.val,IF($F37="",val_blankRefText,_xldudf_CX_GET(CX_ENTITY,($F37),BI$11,BI$14,,(BI$19))),_xlpm.Res,IF(OR(_xlpm.val="",_xlpm.val="Error"),"",_xlpm.val),_xlpm.Res)</f>
        <v>#NAME?</v>
      </c>
      <c r="BJ37" s="1669" t="e" cm="1">
        <f t="array" ca="1" aca="1" ref="BJ37">_xlfn.LET(_xlpm.val,IF($F37="",val_blankRefText,_xldudf_CX_GET(CX_ENTITY,($F37),BJ$11,BJ$14,,(BJ$19))),_xlpm.Res,IF(OR(_xlpm.val="",_xlpm.val="Error"),"",_xlpm.val),_xlpm.Res)</f>
        <v>#NAME?</v>
      </c>
      <c r="BK37" s="1669" t="e" cm="1">
        <f t="array" ca="1" aca="1" ref="BK37">_xlfn.LET(_xlpm.val,IF($F37="",val_blankRefText,_xldudf_CX_GET(CX_ENTITY,($F37),BK$11,BK$14,,(BK$19))),_xlpm.Res,IF(OR(_xlpm.val="",_xlpm.val="Error"),"",_xlpm.val),_xlpm.Res)</f>
        <v>#NAME?</v>
      </c>
      <c r="BL37" s="1669" t="e" cm="1">
        <f t="array" ca="1" aca="1" ref="BL37">_xlfn.LET(_xlpm.val,IF($F37="",val_blankRefText,_xldudf_CX_GET(CX_ENTITY,($F37),BL$11,BL$14,,(BL$19))),_xlpm.Res,IF(OR(_xlpm.val="",_xlpm.val="Error"),"",_xlpm.val),_xlpm.Res)</f>
        <v>#NAME?</v>
      </c>
      <c r="BM37" s="1669" t="e" cm="1">
        <f t="array" ca="1" aca="1" ref="BM37">_xlfn.LET(_xlpm.val,IF($F37="",val_blankRefText,_xldudf_CX_GET(CX_ENTITY,($F37),BM$11,BM$14,,(BM$19))),_xlpm.Res,IF(OR(_xlpm.val="",_xlpm.val="Error"),"",_xlpm.val),_xlpm.Res)</f>
        <v>#NAME?</v>
      </c>
      <c r="BN37" s="1669" t="e" cm="1">
        <f t="array" ca="1" aca="1" ref="BN37">_xlfn.LET(_xlpm.val,IF($F37="",val_blankRefText,_xldudf_CX_GET(CX_ENTITY,($F37),BN$11,BN$14,,(BN$19))),_xlpm.Res,IF(OR(_xlpm.val="",_xlpm.val="Error"),"",_xlpm.val),_xlpm.Res)</f>
        <v>#NAME?</v>
      </c>
      <c r="BO37" s="2095"/>
      <c r="BP37" s="2095"/>
      <c r="BQ37" s="2095"/>
      <c r="BR37" s="2095"/>
      <c r="BS37" s="2095"/>
      <c r="BT37" s="2095"/>
      <c r="BU37" s="2095"/>
      <c r="BV37" s="2095"/>
      <c r="BW37" s="2095"/>
      <c r="BX37" s="2095"/>
      <c r="BY37" s="2095"/>
      <c r="BZ37" s="2095"/>
      <c r="CA37" s="34"/>
      <c r="CC37" s="33"/>
      <c r="CD37" s="1461" t="e" cm="1">
        <f t="array" ca="1" aca="1" ref="CD37">_xlfn.LET(_xlpm.CheckBlank,SUM(PL!$AD37:PL!$BN37)=0,IF(_xlpm.CheckBlank,"",SUM(_xlfn._xlws.FILTER(PL!$AD37:$BN37,(YEAR(PL!$AD$12:$BN$12)=PL!CD$12)*(array_timeline&lt;=PL!CD$11)))))</f>
        <v>#NAME?</v>
      </c>
      <c r="CE37" s="1461" t="e" cm="1">
        <f t="array" ca="1" aca="1" ref="CE37">_xlfn.LET(_xlpm.CheckBlank,SUM(PL!$AD37:PL!$BN37)=0,IF(_xlpm.CheckBlank,"",SUM(_xlfn._xlws.FILTER(PL!$AD37:$BN37,(YEAR(PL!$AD$12:$BN$12)=PL!CE$12)*(array_timeline&lt;=PL!CE$11)))))</f>
        <v>#NAME?</v>
      </c>
      <c r="CF37" s="88"/>
      <c r="CG37" s="1461" t="e" cm="1">
        <f t="array" ca="1" aca="1" ref="CG37">_xlfn.LET(_xlpm.CheckBlank,SUM(PL!$AD37:$BN37)=0,IF(_xlpm.CheckBlank,"",SUM(_xlfn._xlws.FILTER(PL!$AD37:$BN37,(YEAR(PL!$AD$12:$BN$12)=PL!CG$12)*(array_timeline&lt;=PL!CG$11)))))</f>
        <v>#NAME?</v>
      </c>
      <c r="CH37" s="1461" t="e" cm="1">
        <f t="array" ca="1" aca="1" ref="CH37">_xlfn.LET(_xlpm.CheckBlank,SUM(PL!$AD37:$BN37)=0,IF(_xlpm.CheckBlank,"",SUM(_xlfn._xlws.FILTER(PL!$AD37:$BN37,(YEAR(PL!$AD$12:$BN$12)=PL!CH$12)*(array_timeline&lt;=PL!CH$11)))))</f>
        <v>#NAME?</v>
      </c>
      <c r="CI37" s="88"/>
      <c r="CJ37" s="1461" cm="1">
        <f t="array" ref="CJ37">_xlfn.LET(_xlpm.CheckBlank,SUM(PL!$AD37:$BN37)=0,IF(_xlpm.CheckBlank,"",SUM(_xlfn.TAKE(_xlfn.DROP(PL!$AD37:$BN37,,-DATEDIFF(PL!CJ$11,val_asOfDate,"M")),1,-12))))</f>
        <v>12</v>
      </c>
      <c r="CK37" s="1461" cm="1">
        <f t="array" ref="CK37">_xlfn.LET(_xlpm.CheckBlank,SUM(PL!$AD37:$BN37)=0,IF(_xlpm.CheckBlank,"",SUM(_xlfn.TAKE(_xlfn.DROP(PL!$AD37:$BN37,,-DATEDIFF(PL!CK$11,val_asOfDate,"M")),1,-12))))</f>
        <v>12</v>
      </c>
      <c r="CL37" s="88"/>
      <c r="CM37" s="1168" t="e" cm="1">
        <f t="array" ca="1" aca="1" ref="CM37">_xlfn.LET(_xlpm.val,IF($F37="",val_blankRefText,_xldudf_CX_GET(CX_ENTITY,($F37),CM$11,CM$14,,(CM$19))),_xlpm.Res,IF(OR(_xlpm.val="",_xlpm.val="Error"),"",_xlpm.val),_xlpm.Res)</f>
        <v>#NAME?</v>
      </c>
      <c r="CN37" s="1168" t="e" cm="1">
        <f t="array" ca="1" aca="1" ref="CN37">_xlfn.LET(_xlpm.val,IF($F37="",val_blankRefText,_xldudf_CX_GET(CX_ENTITY,fx_attrConverter($F37),CN$11,CN$14,,(CN$19))),_xlpm.Res,IF(OR(_xlpm.val="",_xlpm.val="Error"),"",_xlpm.val),_xlpm.Res)</f>
        <v>#NAME?</v>
      </c>
      <c r="CO37" s="1169"/>
      <c r="CP37" s="1168" t="e" cm="1">
        <f t="array" ca="1" aca="1" ref="CP37">_xlfn.LET(_xlpm.val,IF($F37="",val_blankRefText,_xldudf_CX_GET(CX_ENTITY,fx_attrConverter($F37),CP$11,CP$14,,(CP$19))),_xlpm.Res,IF(OR(_xlpm.val="",_xlpm.val="Error"),"",_xlpm.val),_xlpm.Res)</f>
        <v>#NAME?</v>
      </c>
      <c r="CQ37" s="1168" t="e" cm="1">
        <f t="array" ca="1" aca="1" ref="CQ37">_xlfn.LET(_xlpm.val,IF($F37="",val_blankRefText,_xldudf_CX_GET(CX_ENTITY,fx_attrConverter($F37),CQ$11,CQ$14,,(CQ$19))),_xlpm.Res,IF(OR(_xlpm.val="",_xlpm.val="Error"),"",_xlpm.val),_xlpm.Res)</f>
        <v>#NAME?</v>
      </c>
      <c r="CR37" s="34"/>
    </row>
    <row r="38" spans="1:96" ht="21" customHeight="1" outlineLevel="1">
      <c r="A38" s="1322"/>
      <c r="B38" s="577" t="s">
        <v>1550</v>
      </c>
      <c r="C38" s="2125" t="s">
        <v>1551</v>
      </c>
      <c r="D38" s="1079"/>
      <c r="E38" s="577" t="e" cm="1">
        <f t="array" ca="1" aca="1" ref="E38">_xlfn.LET(_xlpm.Attr,$C38,_xlpm.Lookback,$E$16,_xlpm.QueryDate,EOMONTH(val_asOfDate,_xlpm.Lookback),_xlpm.ReadField,_xldudf_CX_GET(CX_ENTITY,fx_attrConverter($C38),_xlpm.QueryDate),_xlpm.AttrBlank,_xlpm.Attr="",_xlpm.RESULT,IF(_xlpm.AttrBlank,val_blankRefText,fx_attrConverter(_xlpm.ReadField,0)),IF(_xlpm.RESULT="Error","",_xlpm.RESULT))</f>
        <v>#NAME?</v>
      </c>
      <c r="F38" s="577" t="str">
        <f t="shared" si="1"/>
        <v>Other Items</v>
      </c>
      <c r="G38" s="577" t="s">
        <v>1528</v>
      </c>
      <c r="H38" s="1323">
        <v>0</v>
      </c>
      <c r="I38" s="3279">
        <v>1</v>
      </c>
      <c r="J38" s="578"/>
      <c r="K38" s="578"/>
      <c r="L38" s="3269" t="b">
        <v>1</v>
      </c>
      <c r="N38" s="158"/>
      <c r="O38" s="101"/>
      <c r="P38" s="52"/>
      <c r="Q38" s="101"/>
      <c r="R38" s="126"/>
      <c r="S38" s="101"/>
      <c r="T38" s="101"/>
      <c r="U38" s="39"/>
      <c r="W38" s="91" t="str">
        <f t="shared" si="4"/>
        <v>Actual</v>
      </c>
      <c r="X38" s="884" t="s">
        <v>62</v>
      </c>
      <c r="Y38" s="911" t="e" cm="1">
        <f t="array" ca="1" aca="1" ref="Y38">IF($B38="",IFBLANK($E38,"Please select or type in or leave as blank"),IFBLANK($E38,$B38))</f>
        <v>#NAME?</v>
      </c>
      <c r="Z38" s="3291" cm="1">
        <f t="array" ref="Z38">_xlfn.SWITCH(TRUE,ISBLANK(_PL!$L38),"",_PL!$L38=TRUE,1,_PL!$L38=FALSE,-1,_PL!$L38=-1,0,"n/a")</f>
        <v>1</v>
      </c>
      <c r="AA38" s="200"/>
      <c r="AB38" s="301" t="s">
        <v>1550</v>
      </c>
      <c r="AC38" s="300" t="str" cm="1">
        <f t="array" ref="AC38">_xlfn.LET(_xlpm.Def,IF(_xlfn.XMATCH(AB38,tbl_acctDef[Term],0)&gt;0,fx_getIcon("find"),""),_xlpm.Adj,IF(_xlfn.XMATCH(AB38,tbl_adjExample[Items],0)&gt;0,fx_getIcon("find"),""),IFERROR(IFBLANK(_xlpm.Def,_xlpm.Adj),""))</f>
        <v/>
      </c>
      <c r="AD38" s="1669" t="e" cm="1">
        <f t="array" ca="1" aca="1" ref="AD38">_xlfn.LET(_xlpm.val,IF($F38="",val_blankRefText,_xldudf_CX_GET(CX_ENTITY,($F38),AD$11,AD$14,,(AD$19))),_xlpm.Res,IF(OR(_xlpm.val="",_xlpm.val="Error"),"",_xlpm.val),_xlpm.Res)</f>
        <v>#NAME?</v>
      </c>
      <c r="AE38" s="1669" t="e" cm="1">
        <f t="array" ca="1" aca="1" ref="AE38">_xlfn.LET(_xlpm.val,IF($F38="",val_blankRefText,_xldudf_CX_GET(CX_ENTITY,($F38),AE$11,AE$14,,(AE$19))),_xlpm.Res,IF(OR(_xlpm.val="",_xlpm.val="Error"),"",_xlpm.val),_xlpm.Res)</f>
        <v>#NAME?</v>
      </c>
      <c r="AF38" s="1669" t="e" cm="1">
        <f t="array" ca="1" aca="1" ref="AF38">_xlfn.LET(_xlpm.val,IF($F38="",val_blankRefText,_xldudf_CX_GET(CX_ENTITY,($F38),AF$11,AF$14,,(AF$19))),_xlpm.Res,IF(OR(_xlpm.val="",_xlpm.val="Error"),"",_xlpm.val),_xlpm.Res)</f>
        <v>#NAME?</v>
      </c>
      <c r="AG38" s="1669" t="e" cm="1">
        <f t="array" ca="1" aca="1" ref="AG38">_xlfn.LET(_xlpm.val,IF($F38="",val_blankRefText,_xldudf_CX_GET(CX_ENTITY,($F38),AG$11,AG$14,,(AG$19))),_xlpm.Res,IF(OR(_xlpm.val="",_xlpm.val="Error"),"",_xlpm.val),_xlpm.Res)</f>
        <v>#NAME?</v>
      </c>
      <c r="AH38" s="1669" t="e" cm="1">
        <f t="array" ca="1" aca="1" ref="AH38">_xlfn.LET(_xlpm.val,IF($F38="",val_blankRefText,_xldudf_CX_GET(CX_ENTITY,($F38),AH$11,AH$14,,(AH$19))),_xlpm.Res,IF(OR(_xlpm.val="",_xlpm.val="Error"),"",_xlpm.val),_xlpm.Res)</f>
        <v>#NAME?</v>
      </c>
      <c r="AI38" s="1669" t="e" cm="1">
        <f t="array" ca="1" aca="1" ref="AI38">_xlfn.LET(_xlpm.val,IF($F38="",val_blankRefText,_xldudf_CX_GET(CX_ENTITY,($F38),AI$11,AI$14,,(AI$19))),_xlpm.Res,IF(OR(_xlpm.val="",_xlpm.val="Error"),"",_xlpm.val),_xlpm.Res)</f>
        <v>#NAME?</v>
      </c>
      <c r="AJ38" s="1669" t="e" cm="1">
        <f t="array" ca="1" aca="1" ref="AJ38">_xlfn.LET(_xlpm.val,IF($F38="",val_blankRefText,_xldudf_CX_GET(CX_ENTITY,($F38),AJ$11,AJ$14,,(AJ$19))),_xlpm.Res,IF(OR(_xlpm.val="",_xlpm.val="Error"),"",_xlpm.val),_xlpm.Res)</f>
        <v>#NAME?</v>
      </c>
      <c r="AK38" s="1669" t="e" cm="1">
        <f t="array" ca="1" aca="1" ref="AK38">_xlfn.LET(_xlpm.val,IF($F38="",val_blankRefText,_xldudf_CX_GET(CX_ENTITY,($F38),AK$11,AK$14,,(AK$19))),_xlpm.Res,IF(OR(_xlpm.val="",_xlpm.val="Error"),"",_xlpm.val),_xlpm.Res)</f>
        <v>#NAME?</v>
      </c>
      <c r="AL38" s="1669" t="e" cm="1">
        <f t="array" ca="1" aca="1" ref="AL38">_xlfn.LET(_xlpm.val,IF($F38="",val_blankRefText,_xldudf_CX_GET(CX_ENTITY,($F38),AL$11,AL$14,,(AL$19))),_xlpm.Res,IF(OR(_xlpm.val="",_xlpm.val="Error"),"",_xlpm.val),_xlpm.Res)</f>
        <v>#NAME?</v>
      </c>
      <c r="AM38" s="1669" t="e" cm="1">
        <f t="array" ca="1" aca="1" ref="AM38">_xlfn.LET(_xlpm.val,IF($F38="",val_blankRefText,_xldudf_CX_GET(CX_ENTITY,($F38),AM$11,AM$14,,(AM$19))),_xlpm.Res,IF(OR(_xlpm.val="",_xlpm.val="Error"),"",_xlpm.val),_xlpm.Res)</f>
        <v>#NAME?</v>
      </c>
      <c r="AN38" s="1669" t="e" cm="1">
        <f t="array" ca="1" aca="1" ref="AN38">_xlfn.LET(_xlpm.val,IF($F38="",val_blankRefText,_xldudf_CX_GET(CX_ENTITY,($F38),AN$11,AN$14,,(AN$19))),_xlpm.Res,IF(OR(_xlpm.val="",_xlpm.val="Error"),"",_xlpm.val),_xlpm.Res)</f>
        <v>#NAME?</v>
      </c>
      <c r="AO38" s="1669" t="e" cm="1">
        <f t="array" ca="1" aca="1" ref="AO38">_xlfn.LET(_xlpm.val,IF($F38="",val_blankRefText,_xldudf_CX_GET(CX_ENTITY,($F38),AO$11,AO$14,,(AO$19))),_xlpm.Res,IF(OR(_xlpm.val="",_xlpm.val="Error"),"",_xlpm.val),_xlpm.Res)</f>
        <v>#NAME?</v>
      </c>
      <c r="AP38" s="1669" t="e" cm="1">
        <f t="array" ca="1" aca="1" ref="AP38">_xlfn.LET(_xlpm.val,IF($F38="",val_blankRefText,_xldudf_CX_GET(CX_ENTITY,($F38),AP$11,AP$14,,(AP$19))),_xlpm.Res,IF(OR(_xlpm.val="",_xlpm.val="Error"),"",_xlpm.val),_xlpm.Res)</f>
        <v>#NAME?</v>
      </c>
      <c r="AQ38" s="1669" t="e" cm="1">
        <f t="array" ca="1" aca="1" ref="AQ38">_xlfn.LET(_xlpm.val,IF($F38="",val_blankRefText,_xldudf_CX_GET(CX_ENTITY,($F38),AQ$11,AQ$14,,(AQ$19))),_xlpm.Res,IF(OR(_xlpm.val="",_xlpm.val="Error"),"",_xlpm.val),_xlpm.Res)</f>
        <v>#NAME?</v>
      </c>
      <c r="AR38" s="1669" t="e" cm="1">
        <f t="array" ca="1" aca="1" ref="AR38">_xlfn.LET(_xlpm.val,IF($F38="",val_blankRefText,_xldudf_CX_GET(CX_ENTITY,($F38),AR$11,AR$14,,(AR$19))),_xlpm.Res,IF(OR(_xlpm.val="",_xlpm.val="Error"),"",_xlpm.val),_xlpm.Res)</f>
        <v>#NAME?</v>
      </c>
      <c r="AS38" s="1669" t="e" cm="1">
        <f t="array" ca="1" aca="1" ref="AS38">_xlfn.LET(_xlpm.val,IF($F38="",val_blankRefText,_xldudf_CX_GET(CX_ENTITY,($F38),AS$11,AS$14,,(AS$19))),_xlpm.Res,IF(OR(_xlpm.val="",_xlpm.val="Error"),"",_xlpm.val),_xlpm.Res)</f>
        <v>#NAME?</v>
      </c>
      <c r="AT38" s="1669" t="e" cm="1">
        <f t="array" ca="1" aca="1" ref="AT38">_xlfn.LET(_xlpm.val,IF($F38="",val_blankRefText,_xldudf_CX_GET(CX_ENTITY,($F38),AT$11,AT$14,,(AT$19))),_xlpm.Res,IF(OR(_xlpm.val="",_xlpm.val="Error"),"",_xlpm.val),_xlpm.Res)</f>
        <v>#NAME?</v>
      </c>
      <c r="AU38" s="1669" t="e" cm="1">
        <f t="array" ca="1" aca="1" ref="AU38">_xlfn.LET(_xlpm.val,IF($F38="",val_blankRefText,_xldudf_CX_GET(CX_ENTITY,($F38),AU$11,AU$14,,(AU$19))),_xlpm.Res,IF(OR(_xlpm.val="",_xlpm.val="Error"),"",_xlpm.val),_xlpm.Res)</f>
        <v>#NAME?</v>
      </c>
      <c r="AV38" s="1669" t="e" cm="1">
        <f t="array" ca="1" aca="1" ref="AV38">_xlfn.LET(_xlpm.val,IF($F38="",val_blankRefText,_xldudf_CX_GET(CX_ENTITY,($F38),AV$11,AV$14,,(AV$19))),_xlpm.Res,IF(OR(_xlpm.val="",_xlpm.val="Error"),"",_xlpm.val),_xlpm.Res)</f>
        <v>#NAME?</v>
      </c>
      <c r="AW38" s="1669" t="e" cm="1">
        <f t="array" ca="1" aca="1" ref="AW38">_xlfn.LET(_xlpm.val,IF($F38="",val_blankRefText,_xldudf_CX_GET(CX_ENTITY,($F38),AW$11,AW$14,,(AW$19))),_xlpm.Res,IF(OR(_xlpm.val="",_xlpm.val="Error"),"",_xlpm.val),_xlpm.Res)</f>
        <v>#NAME?</v>
      </c>
      <c r="AX38" s="1669" t="e" cm="1">
        <f t="array" ca="1" aca="1" ref="AX38">_xlfn.LET(_xlpm.val,IF($F38="",val_blankRefText,_xldudf_CX_GET(CX_ENTITY,($F38),AX$11,AX$14,,(AX$19))),_xlpm.Res,IF(OR(_xlpm.val="",_xlpm.val="Error"),"",_xlpm.val),_xlpm.Res)</f>
        <v>#NAME?</v>
      </c>
      <c r="AY38" s="1669" t="e" cm="1">
        <f t="array" ca="1" aca="1" ref="AY38">_xlfn.LET(_xlpm.val,IF($F38="",val_blankRefText,_xldudf_CX_GET(CX_ENTITY,($F38),AY$11,AY$14,,(AY$19))),_xlpm.Res,IF(OR(_xlpm.val="",_xlpm.val="Error"),"",_xlpm.val),_xlpm.Res)</f>
        <v>#NAME?</v>
      </c>
      <c r="AZ38" s="1669" t="e" cm="1">
        <f t="array" ca="1" aca="1" ref="AZ38">_xlfn.LET(_xlpm.val,IF($F38="",val_blankRefText,_xldudf_CX_GET(CX_ENTITY,($F38),AZ$11,AZ$14,,(AZ$19))),_xlpm.Res,IF(OR(_xlpm.val="",_xlpm.val="Error"),"",_xlpm.val),_xlpm.Res)</f>
        <v>#NAME?</v>
      </c>
      <c r="BA38" s="1669" t="e" cm="1">
        <f t="array" ca="1" aca="1" ref="BA38">_xlfn.LET(_xlpm.val,IF($F38="",val_blankRefText,_xldudf_CX_GET(CX_ENTITY,($F38),BA$11,BA$14,,(BA$19))),_xlpm.Res,IF(OR(_xlpm.val="",_xlpm.val="Error"),"",_xlpm.val),_xlpm.Res)</f>
        <v>#NAME?</v>
      </c>
      <c r="BB38" s="1669" t="e" cm="1">
        <f t="array" ca="1" aca="1" ref="BB38">_xlfn.LET(_xlpm.val,IF($F38="",val_blankRefText,_xldudf_CX_GET(CX_ENTITY,($F38),BB$11,BB$14,,(BB$19))),_xlpm.Res,IF(OR(_xlpm.val="",_xlpm.val="Error"),"",_xlpm.val),_xlpm.Res)</f>
        <v>#NAME?</v>
      </c>
      <c r="BC38" s="1669" t="e" cm="1">
        <f t="array" ca="1" aca="1" ref="BC38">_xlfn.LET(_xlpm.val,IF($F38="",val_blankRefText,_xldudf_CX_GET(CX_ENTITY,($F38),BC$11,BC$14,,(BC$19))),_xlpm.Res,IF(OR(_xlpm.val="",_xlpm.val="Error"),"",_xlpm.val),_xlpm.Res)</f>
        <v>#NAME?</v>
      </c>
      <c r="BD38" s="1669" t="e" cm="1">
        <f t="array" ca="1" aca="1" ref="BD38">_xlfn.LET(_xlpm.val,IF($F38="",val_blankRefText,_xldudf_CX_GET(CX_ENTITY,($F38),BD$11,BD$14,,(BD$19))),_xlpm.Res,IF(OR(_xlpm.val="",_xlpm.val="Error"),"",_xlpm.val),_xlpm.Res)</f>
        <v>#NAME?</v>
      </c>
      <c r="BE38" s="1669" t="e" cm="1">
        <f t="array" ca="1" aca="1" ref="BE38">_xlfn.LET(_xlpm.val,IF($F38="",val_blankRefText,_xldudf_CX_GET(CX_ENTITY,($F38),BE$11,BE$14,,(BE$19))),_xlpm.Res,IF(OR(_xlpm.val="",_xlpm.val="Error"),"",_xlpm.val),_xlpm.Res)</f>
        <v>#NAME?</v>
      </c>
      <c r="BF38" s="1669" t="e" cm="1">
        <f t="array" ca="1" aca="1" ref="BF38">_xlfn.LET(_xlpm.val,IF($F38="",val_blankRefText,_xldudf_CX_GET(CX_ENTITY,($F38),BF$11,BF$14,,(BF$19))),_xlpm.Res,IF(OR(_xlpm.val="",_xlpm.val="Error"),"",_xlpm.val),_xlpm.Res)</f>
        <v>#NAME?</v>
      </c>
      <c r="BG38" s="1669" t="e" cm="1">
        <f t="array" ca="1" aca="1" ref="BG38">_xlfn.LET(_xlpm.val,IF($F38="",val_blankRefText,_xldudf_CX_GET(CX_ENTITY,($F38),BG$11,BG$14,,(BG$19))),_xlpm.Res,IF(OR(_xlpm.val="",_xlpm.val="Error"),"",_xlpm.val),_xlpm.Res)</f>
        <v>#NAME?</v>
      </c>
      <c r="BH38" s="1669" t="e" cm="1">
        <f t="array" ca="1" aca="1" ref="BH38">_xlfn.LET(_xlpm.val,IF($F38="",val_blankRefText,_xldudf_CX_GET(CX_ENTITY,($F38),BH$11,BH$14,,(BH$19))),_xlpm.Res,IF(OR(_xlpm.val="",_xlpm.val="Error"),"",_xlpm.val),_xlpm.Res)</f>
        <v>#NAME?</v>
      </c>
      <c r="BI38" s="1669" t="e" cm="1">
        <f t="array" ca="1" aca="1" ref="BI38">_xlfn.LET(_xlpm.val,IF($F38="",val_blankRefText,_xldudf_CX_GET(CX_ENTITY,($F38),BI$11,BI$14,,(BI$19))),_xlpm.Res,IF(OR(_xlpm.val="",_xlpm.val="Error"),"",_xlpm.val),_xlpm.Res)</f>
        <v>#NAME?</v>
      </c>
      <c r="BJ38" s="1669" t="e" cm="1">
        <f t="array" ca="1" aca="1" ref="BJ38">_xlfn.LET(_xlpm.val,IF($F38="",val_blankRefText,_xldudf_CX_GET(CX_ENTITY,($F38),BJ$11,BJ$14,,(BJ$19))),_xlpm.Res,IF(OR(_xlpm.val="",_xlpm.val="Error"),"",_xlpm.val),_xlpm.Res)</f>
        <v>#NAME?</v>
      </c>
      <c r="BK38" s="1669" t="e" cm="1">
        <f t="array" ca="1" aca="1" ref="BK38">_xlfn.LET(_xlpm.val,IF($F38="",val_blankRefText,_xldudf_CX_GET(CX_ENTITY,($F38),BK$11,BK$14,,(BK$19))),_xlpm.Res,IF(OR(_xlpm.val="",_xlpm.val="Error"),"",_xlpm.val),_xlpm.Res)</f>
        <v>#NAME?</v>
      </c>
      <c r="BL38" s="1669" t="e" cm="1">
        <f t="array" ca="1" aca="1" ref="BL38">_xlfn.LET(_xlpm.val,IF($F38="",val_blankRefText,_xldudf_CX_GET(CX_ENTITY,($F38),BL$11,BL$14,,(BL$19))),_xlpm.Res,IF(OR(_xlpm.val="",_xlpm.val="Error"),"",_xlpm.val),_xlpm.Res)</f>
        <v>#NAME?</v>
      </c>
      <c r="BM38" s="1669" t="e" cm="1">
        <f t="array" ca="1" aca="1" ref="BM38">_xlfn.LET(_xlpm.val,IF($F38="",val_blankRefText,_xldudf_CX_GET(CX_ENTITY,($F38),BM$11,BM$14,,(BM$19))),_xlpm.Res,IF(OR(_xlpm.val="",_xlpm.val="Error"),"",_xlpm.val),_xlpm.Res)</f>
        <v>#NAME?</v>
      </c>
      <c r="BN38" s="1669" t="e" cm="1">
        <f t="array" ca="1" aca="1" ref="BN38">_xlfn.LET(_xlpm.val,IF($F38="",val_blankRefText,_xldudf_CX_GET(CX_ENTITY,($F38),BN$11,BN$14,,(BN$19))),_xlpm.Res,IF(OR(_xlpm.val="",_xlpm.val="Error"),"",_xlpm.val),_xlpm.Res)</f>
        <v>#NAME?</v>
      </c>
      <c r="BO38" s="2095"/>
      <c r="BP38" s="2095"/>
      <c r="BQ38" s="2095"/>
      <c r="BR38" s="2095"/>
      <c r="BS38" s="2095"/>
      <c r="BT38" s="2095"/>
      <c r="BU38" s="2095"/>
      <c r="BV38" s="2095"/>
      <c r="BW38" s="2095"/>
      <c r="BX38" s="2095"/>
      <c r="BY38" s="2095"/>
      <c r="BZ38" s="2095"/>
      <c r="CA38" s="34"/>
      <c r="CC38" s="33"/>
      <c r="CD38" s="1461" t="e" cm="1">
        <f t="array" ca="1" aca="1" ref="CD38">_xlfn.LET(_xlpm.CheckBlank,SUM(PL!$AD38:PL!$BN38)=0,IF(_xlpm.CheckBlank,"",SUM(_xlfn._xlws.FILTER(PL!$AD38:$BN38,(YEAR(PL!$AD$12:$BN$12)=PL!CD$12)*(array_timeline&lt;=PL!CD$11)))))</f>
        <v>#NAME?</v>
      </c>
      <c r="CE38" s="1461" t="e" cm="1">
        <f t="array" ca="1" aca="1" ref="CE38">_xlfn.LET(_xlpm.CheckBlank,SUM(PL!$AD38:PL!$BN38)=0,IF(_xlpm.CheckBlank,"",SUM(_xlfn._xlws.FILTER(PL!$AD38:$BN38,(YEAR(PL!$AD$12:$BN$12)=PL!CE$12)*(array_timeline&lt;=PL!CE$11)))))</f>
        <v>#NAME?</v>
      </c>
      <c r="CF38" s="88"/>
      <c r="CG38" s="1461" t="e" cm="1">
        <f t="array" ca="1" aca="1" ref="CG38">_xlfn.LET(_xlpm.CheckBlank,SUM(PL!$AD38:$BN38)=0,IF(_xlpm.CheckBlank,"",SUM(_xlfn._xlws.FILTER(PL!$AD38:$BN38,(YEAR(PL!$AD$12:$BN$12)=PL!CG$12)*(array_timeline&lt;=PL!CG$11)))))</f>
        <v>#NAME?</v>
      </c>
      <c r="CH38" s="1461" t="e" cm="1">
        <f t="array" ca="1" aca="1" ref="CH38">_xlfn.LET(_xlpm.CheckBlank,SUM(PL!$AD38:$BN38)=0,IF(_xlpm.CheckBlank,"",SUM(_xlfn._xlws.FILTER(PL!$AD38:$BN38,(YEAR(PL!$AD$12:$BN$12)=PL!CH$12)*(array_timeline&lt;=PL!CH$11)))))</f>
        <v>#NAME?</v>
      </c>
      <c r="CI38" s="88"/>
      <c r="CJ38" s="1461" cm="1">
        <f t="array" ref="CJ38">_xlfn.LET(_xlpm.CheckBlank,SUM(PL!$AD38:$BN38)=0,IF(_xlpm.CheckBlank,"",SUM(_xlfn.TAKE(_xlfn.DROP(PL!$AD38:$BN38,,-DATEDIFF(PL!CJ$11,val_asOfDate,"M")),1,-12))))</f>
        <v>12</v>
      </c>
      <c r="CK38" s="1461" cm="1">
        <f t="array" ref="CK38">_xlfn.LET(_xlpm.CheckBlank,SUM(PL!$AD38:$BN38)=0,IF(_xlpm.CheckBlank,"",SUM(_xlfn.TAKE(_xlfn.DROP(PL!$AD38:$BN38,,-DATEDIFF(PL!CK$11,val_asOfDate,"M")),1,-12))))</f>
        <v>12</v>
      </c>
      <c r="CL38" s="88"/>
      <c r="CM38" s="1168" t="e" cm="1">
        <f t="array" ca="1" aca="1" ref="CM38">_xlfn.LET(_xlpm.val,IF($F38="",val_blankRefText,_xldudf_CX_GET(CX_ENTITY,($F38),CM$11,CM$14,,(CM$19))),_xlpm.Res,IF(OR(_xlpm.val="",_xlpm.val="Error"),"",_xlpm.val),_xlpm.Res)</f>
        <v>#NAME?</v>
      </c>
      <c r="CN38" s="1168" t="e" cm="1">
        <f t="array" ca="1" aca="1" ref="CN38">_xlfn.LET(_xlpm.val,IF($F38="",val_blankRefText,_xldudf_CX_GET(CX_ENTITY,fx_attrConverter($F38),CN$11,CN$14,,(CN$19))),_xlpm.Res,IF(OR(_xlpm.val="",_xlpm.val="Error"),"",_xlpm.val),_xlpm.Res)</f>
        <v>#NAME?</v>
      </c>
      <c r="CO38" s="1169"/>
      <c r="CP38" s="1168" t="e" cm="1">
        <f t="array" ca="1" aca="1" ref="CP38">_xlfn.LET(_xlpm.val,IF($F38="",val_blankRefText,_xldudf_CX_GET(CX_ENTITY,fx_attrConverter($F38),CP$11,CP$14,,(CP$19))),_xlpm.Res,IF(OR(_xlpm.val="",_xlpm.val="Error"),"",_xlpm.val),_xlpm.Res)</f>
        <v>#NAME?</v>
      </c>
      <c r="CQ38" s="1168" t="e" cm="1">
        <f t="array" ca="1" aca="1" ref="CQ38">_xlfn.LET(_xlpm.val,IF($F38="",val_blankRefText,_xldudf_CX_GET(CX_ENTITY,fx_attrConverter($F38),CQ$11,CQ$14,,(CQ$19))),_xlpm.Res,IF(OR(_xlpm.val="",_xlpm.val="Error"),"",_xlpm.val),_xlpm.Res)</f>
        <v>#NAME?</v>
      </c>
      <c r="CR38" s="34"/>
    </row>
    <row r="39" spans="1:96" ht="21" customHeight="1" outlineLevel="1">
      <c r="A39" s="1322"/>
      <c r="B39" s="577" t="s">
        <v>1552</v>
      </c>
      <c r="C39" s="2125" t="s">
        <v>1553</v>
      </c>
      <c r="D39" s="1079"/>
      <c r="E39" s="577" t="e" cm="1">
        <f t="array" ca="1" aca="1" ref="E39">_xlfn.LET(_xlpm.Attr,$C39,_xlpm.Lookback,$E$16,_xlpm.QueryDate,EOMONTH(val_asOfDate,_xlpm.Lookback),_xlpm.ReadField,_xldudf_CX_GET(CX_ENTITY,fx_attrConverter($C39),_xlpm.QueryDate),_xlpm.AttrBlank,_xlpm.Attr="",_xlpm.RESULT,IF(_xlpm.AttrBlank,val_blankRefText,fx_attrConverter(_xlpm.ReadField,0)),IF(_xlpm.RESULT="Error","",_xlpm.RESULT))</f>
        <v>#NAME?</v>
      </c>
      <c r="F39" s="577" t="str">
        <f t="shared" si="1"/>
        <v>Reported PBT</v>
      </c>
      <c r="G39" s="577" t="s">
        <v>1528</v>
      </c>
      <c r="H39" s="3279">
        <v>2</v>
      </c>
      <c r="I39" s="3279">
        <v>1</v>
      </c>
      <c r="J39" s="578"/>
      <c r="K39" s="578"/>
      <c r="L39" s="579">
        <v>-1</v>
      </c>
      <c r="N39" s="158"/>
      <c r="O39" s="101"/>
      <c r="P39" s="52"/>
      <c r="Q39" s="101"/>
      <c r="R39" s="126"/>
      <c r="S39" s="101"/>
      <c r="T39" s="101"/>
      <c r="U39" s="39"/>
      <c r="W39" s="91" t="str">
        <f t="shared" si="4"/>
        <v>Actual</v>
      </c>
      <c r="X39" s="884">
        <v>0</v>
      </c>
      <c r="Y39" s="1196" t="e" cm="1">
        <f t="array" ca="1" aca="1" ref="Y39">IF($B39="",IFBLANK($E39,"Please select or type in or leave as blank"),IFBLANK($E39,$B39))</f>
        <v>#NAME?</v>
      </c>
      <c r="Z39" s="198" cm="1">
        <f t="array" ref="Z39">_xlfn.SWITCH(TRUE,ISBLANK(_PL!$L39),"",_PL!$L39=TRUE,1,_PL!$L39=FALSE,-1,_PL!$L39=-1,0,"n/a")</f>
        <v>0</v>
      </c>
      <c r="AA39" s="200"/>
      <c r="AB39" s="301" t="s">
        <v>1552</v>
      </c>
      <c r="AC39" s="300" t="str" cm="1">
        <f t="array" ref="AC39">_xlfn.LET(_xlpm.Def,IF(_xlfn.XMATCH(AB39,tbl_acctDef[Term],0)&gt;0,fx_getIcon("find"),""),_xlpm.Adj,IF(_xlfn.XMATCH(AB39,tbl_adjExample[Items],0)&gt;0,fx_getIcon("find"),""),IFERROR(IFBLANK(_xlpm.Def,_xlpm.Adj),""))</f>
        <v/>
      </c>
      <c r="AD39" s="1669" t="e" cm="1">
        <f t="array" ca="1" aca="1" ref="AD39">_xlfn.LET(_xlpm.val,IF($F39="",val_blankRefText,_xldudf_CX_GET(CX_ENTITY,($F39),AD$11,AD$14,,(AD$19))),_xlpm.Res,IF(OR(_xlpm.val="",_xlpm.val="Error"),"",_xlpm.val),_xlpm.Res)</f>
        <v>#NAME?</v>
      </c>
      <c r="AE39" s="1669" t="e" cm="1">
        <f t="array" ca="1" aca="1" ref="AE39">_xlfn.LET(_xlpm.val,IF($F39="",val_blankRefText,_xldudf_CX_GET(CX_ENTITY,($F39),AE$11,AE$14,,(AE$19))),_xlpm.Res,IF(OR(_xlpm.val="",_xlpm.val="Error"),"",_xlpm.val),_xlpm.Res)</f>
        <v>#NAME?</v>
      </c>
      <c r="AF39" s="1669" t="e" cm="1">
        <f t="array" ca="1" aca="1" ref="AF39">_xlfn.LET(_xlpm.val,IF($F39="",val_blankRefText,_xldudf_CX_GET(CX_ENTITY,($F39),AF$11,AF$14,,(AF$19))),_xlpm.Res,IF(OR(_xlpm.val="",_xlpm.val="Error"),"",_xlpm.val),_xlpm.Res)</f>
        <v>#NAME?</v>
      </c>
      <c r="AG39" s="1669" t="e" cm="1">
        <f t="array" ca="1" aca="1" ref="AG39">_xlfn.LET(_xlpm.val,IF($F39="",val_blankRefText,_xldudf_CX_GET(CX_ENTITY,($F39),AG$11,AG$14,,(AG$19))),_xlpm.Res,IF(OR(_xlpm.val="",_xlpm.val="Error"),"",_xlpm.val),_xlpm.Res)</f>
        <v>#NAME?</v>
      </c>
      <c r="AH39" s="1669" t="e" cm="1">
        <f t="array" ca="1" aca="1" ref="AH39">_xlfn.LET(_xlpm.val,IF($F39="",val_blankRefText,_xldudf_CX_GET(CX_ENTITY,($F39),AH$11,AH$14,,(AH$19))),_xlpm.Res,IF(OR(_xlpm.val="",_xlpm.val="Error"),"",_xlpm.val),_xlpm.Res)</f>
        <v>#NAME?</v>
      </c>
      <c r="AI39" s="1669" t="e" cm="1">
        <f t="array" ca="1" aca="1" ref="AI39">_xlfn.LET(_xlpm.val,IF($F39="",val_blankRefText,_xldudf_CX_GET(CX_ENTITY,($F39),AI$11,AI$14,,(AI$19))),_xlpm.Res,IF(OR(_xlpm.val="",_xlpm.val="Error"),"",_xlpm.val),_xlpm.Res)</f>
        <v>#NAME?</v>
      </c>
      <c r="AJ39" s="1669" t="e" cm="1">
        <f t="array" ca="1" aca="1" ref="AJ39">_xlfn.LET(_xlpm.val,IF($F39="",val_blankRefText,_xldudf_CX_GET(CX_ENTITY,($F39),AJ$11,AJ$14,,(AJ$19))),_xlpm.Res,IF(OR(_xlpm.val="",_xlpm.val="Error"),"",_xlpm.val),_xlpm.Res)</f>
        <v>#NAME?</v>
      </c>
      <c r="AK39" s="1669" t="e" cm="1">
        <f t="array" ca="1" aca="1" ref="AK39">_xlfn.LET(_xlpm.val,IF($F39="",val_blankRefText,_xldudf_CX_GET(CX_ENTITY,($F39),AK$11,AK$14,,(AK$19))),_xlpm.Res,IF(OR(_xlpm.val="",_xlpm.val="Error"),"",_xlpm.val),_xlpm.Res)</f>
        <v>#NAME?</v>
      </c>
      <c r="AL39" s="1669" t="e" cm="1">
        <f t="array" ca="1" aca="1" ref="AL39">_xlfn.LET(_xlpm.val,IF($F39="",val_blankRefText,_xldudf_CX_GET(CX_ENTITY,($F39),AL$11,AL$14,,(AL$19))),_xlpm.Res,IF(OR(_xlpm.val="",_xlpm.val="Error"),"",_xlpm.val),_xlpm.Res)</f>
        <v>#NAME?</v>
      </c>
      <c r="AM39" s="1669" t="e" cm="1">
        <f t="array" ca="1" aca="1" ref="AM39">_xlfn.LET(_xlpm.val,IF($F39="",val_blankRefText,_xldudf_CX_GET(CX_ENTITY,($F39),AM$11,AM$14,,(AM$19))),_xlpm.Res,IF(OR(_xlpm.val="",_xlpm.val="Error"),"",_xlpm.val),_xlpm.Res)</f>
        <v>#NAME?</v>
      </c>
      <c r="AN39" s="1669" t="e" cm="1">
        <f t="array" ca="1" aca="1" ref="AN39">_xlfn.LET(_xlpm.val,IF($F39="",val_blankRefText,_xldudf_CX_GET(CX_ENTITY,($F39),AN$11,AN$14,,(AN$19))),_xlpm.Res,IF(OR(_xlpm.val="",_xlpm.val="Error"),"",_xlpm.val),_xlpm.Res)</f>
        <v>#NAME?</v>
      </c>
      <c r="AO39" s="1669" t="e" cm="1">
        <f t="array" ca="1" aca="1" ref="AO39">_xlfn.LET(_xlpm.val,IF($F39="",val_blankRefText,_xldudf_CX_GET(CX_ENTITY,($F39),AO$11,AO$14,,(AO$19))),_xlpm.Res,IF(OR(_xlpm.val="",_xlpm.val="Error"),"",_xlpm.val),_xlpm.Res)</f>
        <v>#NAME?</v>
      </c>
      <c r="AP39" s="1669" t="e" cm="1">
        <f t="array" ca="1" aca="1" ref="AP39">_xlfn.LET(_xlpm.val,IF($F39="",val_blankRefText,_xldudf_CX_GET(CX_ENTITY,($F39),AP$11,AP$14,,(AP$19))),_xlpm.Res,IF(OR(_xlpm.val="",_xlpm.val="Error"),"",_xlpm.val),_xlpm.Res)</f>
        <v>#NAME?</v>
      </c>
      <c r="AQ39" s="1669" t="e" cm="1">
        <f t="array" ca="1" aca="1" ref="AQ39">_xlfn.LET(_xlpm.val,IF($F39="",val_blankRefText,_xldudf_CX_GET(CX_ENTITY,($F39),AQ$11,AQ$14,,(AQ$19))),_xlpm.Res,IF(OR(_xlpm.val="",_xlpm.val="Error"),"",_xlpm.val),_xlpm.Res)</f>
        <v>#NAME?</v>
      </c>
      <c r="AR39" s="1669" t="e" cm="1">
        <f t="array" ca="1" aca="1" ref="AR39">_xlfn.LET(_xlpm.val,IF($F39="",val_blankRefText,_xldudf_CX_GET(CX_ENTITY,($F39),AR$11,AR$14,,(AR$19))),_xlpm.Res,IF(OR(_xlpm.val="",_xlpm.val="Error"),"",_xlpm.val),_xlpm.Res)</f>
        <v>#NAME?</v>
      </c>
      <c r="AS39" s="1669" t="e" cm="1">
        <f t="array" ca="1" aca="1" ref="AS39">_xlfn.LET(_xlpm.val,IF($F39="",val_blankRefText,_xldudf_CX_GET(CX_ENTITY,($F39),AS$11,AS$14,,(AS$19))),_xlpm.Res,IF(OR(_xlpm.val="",_xlpm.val="Error"),"",_xlpm.val),_xlpm.Res)</f>
        <v>#NAME?</v>
      </c>
      <c r="AT39" s="1669" t="e" cm="1">
        <f t="array" ca="1" aca="1" ref="AT39">_xlfn.LET(_xlpm.val,IF($F39="",val_blankRefText,_xldudf_CX_GET(CX_ENTITY,($F39),AT$11,AT$14,,(AT$19))),_xlpm.Res,IF(OR(_xlpm.val="",_xlpm.val="Error"),"",_xlpm.val),_xlpm.Res)</f>
        <v>#NAME?</v>
      </c>
      <c r="AU39" s="1669" t="e" cm="1">
        <f t="array" ca="1" aca="1" ref="AU39">_xlfn.LET(_xlpm.val,IF($F39="",val_blankRefText,_xldudf_CX_GET(CX_ENTITY,($F39),AU$11,AU$14,,(AU$19))),_xlpm.Res,IF(OR(_xlpm.val="",_xlpm.val="Error"),"",_xlpm.val),_xlpm.Res)</f>
        <v>#NAME?</v>
      </c>
      <c r="AV39" s="1669" t="e" cm="1">
        <f t="array" ca="1" aca="1" ref="AV39">_xlfn.LET(_xlpm.val,IF($F39="",val_blankRefText,_xldudf_CX_GET(CX_ENTITY,($F39),AV$11,AV$14,,(AV$19))),_xlpm.Res,IF(OR(_xlpm.val="",_xlpm.val="Error"),"",_xlpm.val),_xlpm.Res)</f>
        <v>#NAME?</v>
      </c>
      <c r="AW39" s="1669" t="e" cm="1">
        <f t="array" ca="1" aca="1" ref="AW39">_xlfn.LET(_xlpm.val,IF($F39="",val_blankRefText,_xldudf_CX_GET(CX_ENTITY,($F39),AW$11,AW$14,,(AW$19))),_xlpm.Res,IF(OR(_xlpm.val="",_xlpm.val="Error"),"",_xlpm.val),_xlpm.Res)</f>
        <v>#NAME?</v>
      </c>
      <c r="AX39" s="1669" t="e" cm="1">
        <f t="array" ca="1" aca="1" ref="AX39">_xlfn.LET(_xlpm.val,IF($F39="",val_blankRefText,_xldudf_CX_GET(CX_ENTITY,($F39),AX$11,AX$14,,(AX$19))),_xlpm.Res,IF(OR(_xlpm.val="",_xlpm.val="Error"),"",_xlpm.val),_xlpm.Res)</f>
        <v>#NAME?</v>
      </c>
      <c r="AY39" s="1669" t="e" cm="1">
        <f t="array" ca="1" aca="1" ref="AY39">_xlfn.LET(_xlpm.val,IF($F39="",val_blankRefText,_xldudf_CX_GET(CX_ENTITY,($F39),AY$11,AY$14,,(AY$19))),_xlpm.Res,IF(OR(_xlpm.val="",_xlpm.val="Error"),"",_xlpm.val),_xlpm.Res)</f>
        <v>#NAME?</v>
      </c>
      <c r="AZ39" s="1669" t="e" cm="1">
        <f t="array" ca="1" aca="1" ref="AZ39">_xlfn.LET(_xlpm.val,IF($F39="",val_blankRefText,_xldudf_CX_GET(CX_ENTITY,($F39),AZ$11,AZ$14,,(AZ$19))),_xlpm.Res,IF(OR(_xlpm.val="",_xlpm.val="Error"),"",_xlpm.val),_xlpm.Res)</f>
        <v>#NAME?</v>
      </c>
      <c r="BA39" s="1669" t="e" cm="1">
        <f t="array" ca="1" aca="1" ref="BA39">_xlfn.LET(_xlpm.val,IF($F39="",val_blankRefText,_xldudf_CX_GET(CX_ENTITY,($F39),BA$11,BA$14,,(BA$19))),_xlpm.Res,IF(OR(_xlpm.val="",_xlpm.val="Error"),"",_xlpm.val),_xlpm.Res)</f>
        <v>#NAME?</v>
      </c>
      <c r="BB39" s="1669" t="e" cm="1">
        <f t="array" ca="1" aca="1" ref="BB39">_xlfn.LET(_xlpm.val,IF($F39="",val_blankRefText,_xldudf_CX_GET(CX_ENTITY,($F39),BB$11,BB$14,,(BB$19))),_xlpm.Res,IF(OR(_xlpm.val="",_xlpm.val="Error"),"",_xlpm.val),_xlpm.Res)</f>
        <v>#NAME?</v>
      </c>
      <c r="BC39" s="1669" t="e" cm="1">
        <f t="array" ca="1" aca="1" ref="BC39">_xlfn.LET(_xlpm.val,IF($F39="",val_blankRefText,_xldudf_CX_GET(CX_ENTITY,($F39),BC$11,BC$14,,(BC$19))),_xlpm.Res,IF(OR(_xlpm.val="",_xlpm.val="Error"),"",_xlpm.val),_xlpm.Res)</f>
        <v>#NAME?</v>
      </c>
      <c r="BD39" s="1669" t="e" cm="1">
        <f t="array" ca="1" aca="1" ref="BD39">_xlfn.LET(_xlpm.val,IF($F39="",val_blankRefText,_xldudf_CX_GET(CX_ENTITY,($F39),BD$11,BD$14,,(BD$19))),_xlpm.Res,IF(OR(_xlpm.val="",_xlpm.val="Error"),"",_xlpm.val),_xlpm.Res)</f>
        <v>#NAME?</v>
      </c>
      <c r="BE39" s="1669" t="e" cm="1">
        <f t="array" ca="1" aca="1" ref="BE39">_xlfn.LET(_xlpm.val,IF($F39="",val_blankRefText,_xldudf_CX_GET(CX_ENTITY,($F39),BE$11,BE$14,,(BE$19))),_xlpm.Res,IF(OR(_xlpm.val="",_xlpm.val="Error"),"",_xlpm.val),_xlpm.Res)</f>
        <v>#NAME?</v>
      </c>
      <c r="BF39" s="1669" t="e" cm="1">
        <f t="array" ca="1" aca="1" ref="BF39">_xlfn.LET(_xlpm.val,IF($F39="",val_blankRefText,_xldudf_CX_GET(CX_ENTITY,($F39),BF$11,BF$14,,(BF$19))),_xlpm.Res,IF(OR(_xlpm.val="",_xlpm.val="Error"),"",_xlpm.val),_xlpm.Res)</f>
        <v>#NAME?</v>
      </c>
      <c r="BG39" s="1669" t="e" cm="1">
        <f t="array" ca="1" aca="1" ref="BG39">_xlfn.LET(_xlpm.val,IF($F39="",val_blankRefText,_xldudf_CX_GET(CX_ENTITY,($F39),BG$11,BG$14,,(BG$19))),_xlpm.Res,IF(OR(_xlpm.val="",_xlpm.val="Error"),"",_xlpm.val),_xlpm.Res)</f>
        <v>#NAME?</v>
      </c>
      <c r="BH39" s="1669" t="e" cm="1">
        <f t="array" ca="1" aca="1" ref="BH39">_xlfn.LET(_xlpm.val,IF($F39="",val_blankRefText,_xldudf_CX_GET(CX_ENTITY,($F39),BH$11,BH$14,,(BH$19))),_xlpm.Res,IF(OR(_xlpm.val="",_xlpm.val="Error"),"",_xlpm.val),_xlpm.Res)</f>
        <v>#NAME?</v>
      </c>
      <c r="BI39" s="1669" t="e" cm="1">
        <f t="array" ca="1" aca="1" ref="BI39">_xlfn.LET(_xlpm.val,IF($F39="",val_blankRefText,_xldudf_CX_GET(CX_ENTITY,($F39),BI$11,BI$14,,(BI$19))),_xlpm.Res,IF(OR(_xlpm.val="",_xlpm.val="Error"),"",_xlpm.val),_xlpm.Res)</f>
        <v>#NAME?</v>
      </c>
      <c r="BJ39" s="1669" t="e" cm="1">
        <f t="array" ca="1" aca="1" ref="BJ39">_xlfn.LET(_xlpm.val,IF($F39="",val_blankRefText,_xldudf_CX_GET(CX_ENTITY,($F39),BJ$11,BJ$14,,(BJ$19))),_xlpm.Res,IF(OR(_xlpm.val="",_xlpm.val="Error"),"",_xlpm.val),_xlpm.Res)</f>
        <v>#NAME?</v>
      </c>
      <c r="BK39" s="1669" t="e" cm="1">
        <f t="array" ca="1" aca="1" ref="BK39">_xlfn.LET(_xlpm.val,IF($F39="",val_blankRefText,_xldudf_CX_GET(CX_ENTITY,($F39),BK$11,BK$14,,(BK$19))),_xlpm.Res,IF(OR(_xlpm.val="",_xlpm.val="Error"),"",_xlpm.val),_xlpm.Res)</f>
        <v>#NAME?</v>
      </c>
      <c r="BL39" s="1669" t="e" cm="1">
        <f t="array" ca="1" aca="1" ref="BL39">_xlfn.LET(_xlpm.val,IF($F39="",val_blankRefText,_xldudf_CX_GET(CX_ENTITY,($F39),BL$11,BL$14,,(BL$19))),_xlpm.Res,IF(OR(_xlpm.val="",_xlpm.val="Error"),"",_xlpm.val),_xlpm.Res)</f>
        <v>#NAME?</v>
      </c>
      <c r="BM39" s="1669" t="e" cm="1">
        <f t="array" ca="1" aca="1" ref="BM39">_xlfn.LET(_xlpm.val,IF($F39="",val_blankRefText,_xldudf_CX_GET(CX_ENTITY,($F39),BM$11,BM$14,,(BM$19))),_xlpm.Res,IF(OR(_xlpm.val="",_xlpm.val="Error"),"",_xlpm.val),_xlpm.Res)</f>
        <v>#NAME?</v>
      </c>
      <c r="BN39" s="1669" t="e" cm="1">
        <f t="array" ca="1" aca="1" ref="BN39">_xlfn.LET(_xlpm.val,IF($F39="",val_blankRefText,_xldudf_CX_GET(CX_ENTITY,($F39),BN$11,BN$14,,(BN$19))),_xlpm.Res,IF(OR(_xlpm.val="",_xlpm.val="Error"),"",_xlpm.val),_xlpm.Res)</f>
        <v>#NAME?</v>
      </c>
      <c r="BO39" s="2095"/>
      <c r="BP39" s="2095"/>
      <c r="BQ39" s="2095"/>
      <c r="BR39" s="2095"/>
      <c r="BS39" s="2095"/>
      <c r="BT39" s="2095"/>
      <c r="BU39" s="2095"/>
      <c r="BV39" s="2095"/>
      <c r="BW39" s="2095"/>
      <c r="BX39" s="2095"/>
      <c r="BY39" s="2095"/>
      <c r="BZ39" s="2095"/>
      <c r="CA39" s="34"/>
      <c r="CC39" s="33"/>
      <c r="CD39" s="1461" t="e" cm="1">
        <f t="array" ca="1" aca="1" ref="CD39">_xlfn.LET(_xlpm.CheckBlank,SUM(PL!$AD39:PL!$BN39)=0,IF(_xlpm.CheckBlank,"",SUM(_xlfn._xlws.FILTER(PL!$AD39:$BN39,(YEAR(PL!$AD$12:$BN$12)=PL!CD$12)*(array_timeline&lt;=PL!CD$11)))))</f>
        <v>#NAME?</v>
      </c>
      <c r="CE39" s="1461" t="e" cm="1">
        <f t="array" ca="1" aca="1" ref="CE39">_xlfn.LET(_xlpm.CheckBlank,SUM(PL!$AD39:PL!$BN39)=0,IF(_xlpm.CheckBlank,"",SUM(_xlfn._xlws.FILTER(PL!$AD39:$BN39,(YEAR(PL!$AD$12:$BN$12)=PL!CE$12)*(array_timeline&lt;=PL!CE$11)))))</f>
        <v>#NAME?</v>
      </c>
      <c r="CF39" s="88"/>
      <c r="CG39" s="1461" t="e" cm="1">
        <f t="array" ca="1" aca="1" ref="CG39">_xlfn.LET(_xlpm.CheckBlank,SUM(PL!$AD39:$BN39)=0,IF(_xlpm.CheckBlank,"",SUM(_xlfn._xlws.FILTER(PL!$AD39:$BN39,(YEAR(PL!$AD$12:$BN$12)=PL!CG$12)*(array_timeline&lt;=PL!CG$11)))))</f>
        <v>#NAME?</v>
      </c>
      <c r="CH39" s="1461" t="e" cm="1">
        <f t="array" ca="1" aca="1" ref="CH39">_xlfn.LET(_xlpm.CheckBlank,SUM(PL!$AD39:$BN39)=0,IF(_xlpm.CheckBlank,"",SUM(_xlfn._xlws.FILTER(PL!$AD39:$BN39,(YEAR(PL!$AD$12:$BN$12)=PL!CH$12)*(array_timeline&lt;=PL!CH$11)))))</f>
        <v>#NAME?</v>
      </c>
      <c r="CI39" s="88"/>
      <c r="CJ39" s="1461" cm="1">
        <f t="array" ref="CJ39">_xlfn.LET(_xlpm.CheckBlank,SUM(PL!$AD39:$BN39)=0,IF(_xlpm.CheckBlank,"",SUM(_xlfn.TAKE(_xlfn.DROP(PL!$AD39:$BN39,,-DATEDIFF(PL!CJ$11,val_asOfDate,"M")),1,-12))))</f>
        <v>84</v>
      </c>
      <c r="CK39" s="1461" cm="1">
        <f t="array" ref="CK39">_xlfn.LET(_xlpm.CheckBlank,SUM(PL!$AD39:$BN39)=0,IF(_xlpm.CheckBlank,"",SUM(_xlfn.TAKE(_xlfn.DROP(PL!$AD39:$BN39,,-DATEDIFF(PL!CK$11,val_asOfDate,"M")),1,-12))))</f>
        <v>84</v>
      </c>
      <c r="CL39" s="88"/>
      <c r="CM39" s="1168" t="e" cm="1">
        <f t="array" ca="1" aca="1" ref="CM39">_xlfn.LET(_xlpm.val,IF($F39="",val_blankRefText,_xldudf_CX_GET(CX_ENTITY,($F39),CM$11,CM$14,,(CM$19))),_xlpm.Res,IF(OR(_xlpm.val="",_xlpm.val="Error"),"",_xlpm.val),_xlpm.Res)</f>
        <v>#NAME?</v>
      </c>
      <c r="CN39" s="1168" t="e" cm="1">
        <f t="array" ca="1" aca="1" ref="CN39">_xlfn.LET(_xlpm.val,IF($F39="",val_blankRefText,_xldudf_CX_GET(CX_ENTITY,fx_attrConverter($F39),CN$11,CN$14,,(CN$19))),_xlpm.Res,IF(OR(_xlpm.val="",_xlpm.val="Error"),"",_xlpm.val),_xlpm.Res)</f>
        <v>#NAME?</v>
      </c>
      <c r="CO39" s="1169"/>
      <c r="CP39" s="1168" t="e" cm="1">
        <f t="array" ca="1" aca="1" ref="CP39">_xlfn.LET(_xlpm.val,IF($F39="",val_blankRefText,_xldudf_CX_GET(CX_ENTITY,fx_attrConverter($F39),CP$11,CP$14,,(CP$19))),_xlpm.Res,IF(OR(_xlpm.val="",_xlpm.val="Error"),"",_xlpm.val),_xlpm.Res)</f>
        <v>#NAME?</v>
      </c>
      <c r="CQ39" s="1168" t="e" cm="1">
        <f t="array" ca="1" aca="1" ref="CQ39">_xlfn.LET(_xlpm.val,IF($F39="",val_blankRefText,_xldudf_CX_GET(CX_ENTITY,fx_attrConverter($F39),CQ$11,CQ$14,,(CQ$19))),_xlpm.Res,IF(OR(_xlpm.val="",_xlpm.val="Error"),"",_xlpm.val),_xlpm.Res)</f>
        <v>#NAME?</v>
      </c>
      <c r="CR39" s="34"/>
    </row>
    <row r="40" spans="1:96" ht="21" customHeight="1" outlineLevel="1">
      <c r="A40" s="1322"/>
      <c r="B40" s="577" t="s">
        <v>578</v>
      </c>
      <c r="C40" s="2125" t="s">
        <v>1554</v>
      </c>
      <c r="D40" s="1079"/>
      <c r="E40" s="577" t="e" cm="1">
        <f t="array" ca="1" aca="1" ref="E40">_xlfn.LET(_xlpm.Attr,$C40,_xlpm.Lookback,$E$16,_xlpm.QueryDate,EOMONTH(val_asOfDate,_xlpm.Lookback),_xlpm.ReadField,_xldudf_CX_GET(CX_ENTITY,fx_attrConverter($C40),_xlpm.QueryDate),_xlpm.AttrBlank,_xlpm.Attr="",_xlpm.RESULT,IF(_xlpm.AttrBlank,val_blankRefText,fx_attrConverter(_xlpm.ReadField,0)),IF(_xlpm.RESULT="Error","",_xlpm.RESULT))</f>
        <v>#NAME?</v>
      </c>
      <c r="F40" s="577" t="str">
        <f t="shared" si="1"/>
        <v>Tax</v>
      </c>
      <c r="G40" s="577" t="s">
        <v>1528</v>
      </c>
      <c r="H40" s="1323">
        <v>0</v>
      </c>
      <c r="I40" s="3279">
        <v>1</v>
      </c>
      <c r="J40" s="578"/>
      <c r="K40" s="578"/>
      <c r="L40" s="3269" t="b">
        <v>1</v>
      </c>
      <c r="N40" s="158"/>
      <c r="O40" s="101"/>
      <c r="P40" s="52"/>
      <c r="Q40" s="101"/>
      <c r="R40" s="126"/>
      <c r="S40" s="101"/>
      <c r="T40" s="101"/>
      <c r="U40" s="39"/>
      <c r="W40" s="91" t="str">
        <f t="shared" si="4"/>
        <v>Actual</v>
      </c>
      <c r="X40" s="884">
        <v>-1</v>
      </c>
      <c r="Y40" s="911" t="e" cm="1">
        <f t="array" ca="1" aca="1" ref="Y40">IF($B40="",IFBLANK($E40,"Please select or type in or leave as blank"),IFBLANK($E40,$B40))</f>
        <v>#NAME?</v>
      </c>
      <c r="Z40" s="3291" cm="1">
        <f t="array" ref="Z40">_xlfn.SWITCH(TRUE,ISBLANK(_PL!$L40),"",_PL!$L40=TRUE,1,_PL!$L40=FALSE,-1,_PL!$L40=-1,0,"n/a")</f>
        <v>1</v>
      </c>
      <c r="AA40" s="200"/>
      <c r="AB40" s="301" t="s">
        <v>578</v>
      </c>
      <c r="AC40" s="300" t="str" cm="1">
        <f t="array" ref="AC40">_xlfn.LET(_xlpm.Def,IF(_xlfn.XMATCH(AB40,tbl_acctDef[Term],0)&gt;0,fx_getIcon("find"),""),_xlpm.Adj,IF(_xlfn.XMATCH(AB40,tbl_adjExample[Items],0)&gt;0,fx_getIcon("find"),""),IFERROR(IFBLANK(_xlpm.Def,_xlpm.Adj),""))</f>
        <v/>
      </c>
      <c r="AD40" s="1669" t="e" cm="1">
        <f t="array" ca="1" aca="1" ref="AD40">_xlfn.LET(_xlpm.val,IF($F40="",val_blankRefText,_xldudf_CX_GET(CX_ENTITY,($F40),AD$11,AD$14,,(AD$19))),_xlpm.Res,IF(OR(_xlpm.val="",_xlpm.val="Error"),"",_xlpm.val),_xlpm.Res)</f>
        <v>#NAME?</v>
      </c>
      <c r="AE40" s="1669" t="e" cm="1">
        <f t="array" ca="1" aca="1" ref="AE40">_xlfn.LET(_xlpm.val,IF($F40="",val_blankRefText,_xldudf_CX_GET(CX_ENTITY,($F40),AE$11,AE$14,,(AE$19))),_xlpm.Res,IF(OR(_xlpm.val="",_xlpm.val="Error"),"",_xlpm.val),_xlpm.Res)</f>
        <v>#NAME?</v>
      </c>
      <c r="AF40" s="1669" t="e" cm="1">
        <f t="array" ca="1" aca="1" ref="AF40">_xlfn.LET(_xlpm.val,IF($F40="",val_blankRefText,_xldudf_CX_GET(CX_ENTITY,($F40),AF$11,AF$14,,(AF$19))),_xlpm.Res,IF(OR(_xlpm.val="",_xlpm.val="Error"),"",_xlpm.val),_xlpm.Res)</f>
        <v>#NAME?</v>
      </c>
      <c r="AG40" s="1669" t="e" cm="1">
        <f t="array" ca="1" aca="1" ref="AG40">_xlfn.LET(_xlpm.val,IF($F40="",val_blankRefText,_xldudf_CX_GET(CX_ENTITY,($F40),AG$11,AG$14,,(AG$19))),_xlpm.Res,IF(OR(_xlpm.val="",_xlpm.val="Error"),"",_xlpm.val),_xlpm.Res)</f>
        <v>#NAME?</v>
      </c>
      <c r="AH40" s="1669" t="e" cm="1">
        <f t="array" ca="1" aca="1" ref="AH40">_xlfn.LET(_xlpm.val,IF($F40="",val_blankRefText,_xldudf_CX_GET(CX_ENTITY,($F40),AH$11,AH$14,,(AH$19))),_xlpm.Res,IF(OR(_xlpm.val="",_xlpm.val="Error"),"",_xlpm.val),_xlpm.Res)</f>
        <v>#NAME?</v>
      </c>
      <c r="AI40" s="1669" t="e" cm="1">
        <f t="array" ca="1" aca="1" ref="AI40">_xlfn.LET(_xlpm.val,IF($F40="",val_blankRefText,_xldudf_CX_GET(CX_ENTITY,($F40),AI$11,AI$14,,(AI$19))),_xlpm.Res,IF(OR(_xlpm.val="",_xlpm.val="Error"),"",_xlpm.val),_xlpm.Res)</f>
        <v>#NAME?</v>
      </c>
      <c r="AJ40" s="1669" t="e" cm="1">
        <f t="array" ca="1" aca="1" ref="AJ40">_xlfn.LET(_xlpm.val,IF($F40="",val_blankRefText,_xldudf_CX_GET(CX_ENTITY,($F40),AJ$11,AJ$14,,(AJ$19))),_xlpm.Res,IF(OR(_xlpm.val="",_xlpm.val="Error"),"",_xlpm.val),_xlpm.Res)</f>
        <v>#NAME?</v>
      </c>
      <c r="AK40" s="1669" t="e" cm="1">
        <f t="array" ca="1" aca="1" ref="AK40">_xlfn.LET(_xlpm.val,IF($F40="",val_blankRefText,_xldudf_CX_GET(CX_ENTITY,($F40),AK$11,AK$14,,(AK$19))),_xlpm.Res,IF(OR(_xlpm.val="",_xlpm.val="Error"),"",_xlpm.val),_xlpm.Res)</f>
        <v>#NAME?</v>
      </c>
      <c r="AL40" s="1669" t="e" cm="1">
        <f t="array" ca="1" aca="1" ref="AL40">_xlfn.LET(_xlpm.val,IF($F40="",val_blankRefText,_xldudf_CX_GET(CX_ENTITY,($F40),AL$11,AL$14,,(AL$19))),_xlpm.Res,IF(OR(_xlpm.val="",_xlpm.val="Error"),"",_xlpm.val),_xlpm.Res)</f>
        <v>#NAME?</v>
      </c>
      <c r="AM40" s="1669" t="e" cm="1">
        <f t="array" ca="1" aca="1" ref="AM40">_xlfn.LET(_xlpm.val,IF($F40="",val_blankRefText,_xldudf_CX_GET(CX_ENTITY,($F40),AM$11,AM$14,,(AM$19))),_xlpm.Res,IF(OR(_xlpm.val="",_xlpm.val="Error"),"",_xlpm.val),_xlpm.Res)</f>
        <v>#NAME?</v>
      </c>
      <c r="AN40" s="1669" t="e" cm="1">
        <f t="array" ca="1" aca="1" ref="AN40">_xlfn.LET(_xlpm.val,IF($F40="",val_blankRefText,_xldudf_CX_GET(CX_ENTITY,($F40),AN$11,AN$14,,(AN$19))),_xlpm.Res,IF(OR(_xlpm.val="",_xlpm.val="Error"),"",_xlpm.val),_xlpm.Res)</f>
        <v>#NAME?</v>
      </c>
      <c r="AO40" s="1669" t="e" cm="1">
        <f t="array" ca="1" aca="1" ref="AO40">_xlfn.LET(_xlpm.val,IF($F40="",val_blankRefText,_xldudf_CX_GET(CX_ENTITY,($F40),AO$11,AO$14,,(AO$19))),_xlpm.Res,IF(OR(_xlpm.val="",_xlpm.val="Error"),"",_xlpm.val),_xlpm.Res)</f>
        <v>#NAME?</v>
      </c>
      <c r="AP40" s="1669" t="e" cm="1">
        <f t="array" ca="1" aca="1" ref="AP40">_xlfn.LET(_xlpm.val,IF($F40="",val_blankRefText,_xldudf_CX_GET(CX_ENTITY,($F40),AP$11,AP$14,,(AP$19))),_xlpm.Res,IF(OR(_xlpm.val="",_xlpm.val="Error"),"",_xlpm.val),_xlpm.Res)</f>
        <v>#NAME?</v>
      </c>
      <c r="AQ40" s="1669" t="e" cm="1">
        <f t="array" ca="1" aca="1" ref="AQ40">_xlfn.LET(_xlpm.val,IF($F40="",val_blankRefText,_xldudf_CX_GET(CX_ENTITY,($F40),AQ$11,AQ$14,,(AQ$19))),_xlpm.Res,IF(OR(_xlpm.val="",_xlpm.val="Error"),"",_xlpm.val),_xlpm.Res)</f>
        <v>#NAME?</v>
      </c>
      <c r="AR40" s="1669" t="e" cm="1">
        <f t="array" ca="1" aca="1" ref="AR40">_xlfn.LET(_xlpm.val,IF($F40="",val_blankRefText,_xldudf_CX_GET(CX_ENTITY,($F40),AR$11,AR$14,,(AR$19))),_xlpm.Res,IF(OR(_xlpm.val="",_xlpm.val="Error"),"",_xlpm.val),_xlpm.Res)</f>
        <v>#NAME?</v>
      </c>
      <c r="AS40" s="1669" t="e" cm="1">
        <f t="array" ca="1" aca="1" ref="AS40">_xlfn.LET(_xlpm.val,IF($F40="",val_blankRefText,_xldudf_CX_GET(CX_ENTITY,($F40),AS$11,AS$14,,(AS$19))),_xlpm.Res,IF(OR(_xlpm.val="",_xlpm.val="Error"),"",_xlpm.val),_xlpm.Res)</f>
        <v>#NAME?</v>
      </c>
      <c r="AT40" s="1669" t="e" cm="1">
        <f t="array" ca="1" aca="1" ref="AT40">_xlfn.LET(_xlpm.val,IF($F40="",val_blankRefText,_xldudf_CX_GET(CX_ENTITY,($F40),AT$11,AT$14,,(AT$19))),_xlpm.Res,IF(OR(_xlpm.val="",_xlpm.val="Error"),"",_xlpm.val),_xlpm.Res)</f>
        <v>#NAME?</v>
      </c>
      <c r="AU40" s="1669" t="e" cm="1">
        <f t="array" ca="1" aca="1" ref="AU40">_xlfn.LET(_xlpm.val,IF($F40="",val_blankRefText,_xldudf_CX_GET(CX_ENTITY,($F40),AU$11,AU$14,,(AU$19))),_xlpm.Res,IF(OR(_xlpm.val="",_xlpm.val="Error"),"",_xlpm.val),_xlpm.Res)</f>
        <v>#NAME?</v>
      </c>
      <c r="AV40" s="1669" t="e" cm="1">
        <f t="array" ca="1" aca="1" ref="AV40">_xlfn.LET(_xlpm.val,IF($F40="",val_blankRefText,_xldudf_CX_GET(CX_ENTITY,($F40),AV$11,AV$14,,(AV$19))),_xlpm.Res,IF(OR(_xlpm.val="",_xlpm.val="Error"),"",_xlpm.val),_xlpm.Res)</f>
        <v>#NAME?</v>
      </c>
      <c r="AW40" s="1669" t="e" cm="1">
        <f t="array" ca="1" aca="1" ref="AW40">_xlfn.LET(_xlpm.val,IF($F40="",val_blankRefText,_xldudf_CX_GET(CX_ENTITY,($F40),AW$11,AW$14,,(AW$19))),_xlpm.Res,IF(OR(_xlpm.val="",_xlpm.val="Error"),"",_xlpm.val),_xlpm.Res)</f>
        <v>#NAME?</v>
      </c>
      <c r="AX40" s="1669" t="e" cm="1">
        <f t="array" ca="1" aca="1" ref="AX40">_xlfn.LET(_xlpm.val,IF($F40="",val_blankRefText,_xldudf_CX_GET(CX_ENTITY,($F40),AX$11,AX$14,,(AX$19))),_xlpm.Res,IF(OR(_xlpm.val="",_xlpm.val="Error"),"",_xlpm.val),_xlpm.Res)</f>
        <v>#NAME?</v>
      </c>
      <c r="AY40" s="1669" t="e" cm="1">
        <f t="array" ca="1" aca="1" ref="AY40">_xlfn.LET(_xlpm.val,IF($F40="",val_blankRefText,_xldudf_CX_GET(CX_ENTITY,($F40),AY$11,AY$14,,(AY$19))),_xlpm.Res,IF(OR(_xlpm.val="",_xlpm.val="Error"),"",_xlpm.val),_xlpm.Res)</f>
        <v>#NAME?</v>
      </c>
      <c r="AZ40" s="1669" t="e" cm="1">
        <f t="array" ca="1" aca="1" ref="AZ40">_xlfn.LET(_xlpm.val,IF($F40="",val_blankRefText,_xldudf_CX_GET(CX_ENTITY,($F40),AZ$11,AZ$14,,(AZ$19))),_xlpm.Res,IF(OR(_xlpm.val="",_xlpm.val="Error"),"",_xlpm.val),_xlpm.Res)</f>
        <v>#NAME?</v>
      </c>
      <c r="BA40" s="1669" t="e" cm="1">
        <f t="array" ca="1" aca="1" ref="BA40">_xlfn.LET(_xlpm.val,IF($F40="",val_blankRefText,_xldudf_CX_GET(CX_ENTITY,($F40),BA$11,BA$14,,(BA$19))),_xlpm.Res,IF(OR(_xlpm.val="",_xlpm.val="Error"),"",_xlpm.val),_xlpm.Res)</f>
        <v>#NAME?</v>
      </c>
      <c r="BB40" s="1669" t="e" cm="1">
        <f t="array" ca="1" aca="1" ref="BB40">_xlfn.LET(_xlpm.val,IF($F40="",val_blankRefText,_xldudf_CX_GET(CX_ENTITY,($F40),BB$11,BB$14,,(BB$19))),_xlpm.Res,IF(OR(_xlpm.val="",_xlpm.val="Error"),"",_xlpm.val),_xlpm.Res)</f>
        <v>#NAME?</v>
      </c>
      <c r="BC40" s="1669" t="e" cm="1">
        <f t="array" ca="1" aca="1" ref="BC40">_xlfn.LET(_xlpm.val,IF($F40="",val_blankRefText,_xldudf_CX_GET(CX_ENTITY,($F40),BC$11,BC$14,,(BC$19))),_xlpm.Res,IF(OR(_xlpm.val="",_xlpm.val="Error"),"",_xlpm.val),_xlpm.Res)</f>
        <v>#NAME?</v>
      </c>
      <c r="BD40" s="1669" t="e" cm="1">
        <f t="array" ca="1" aca="1" ref="BD40">_xlfn.LET(_xlpm.val,IF($F40="",val_blankRefText,_xldudf_CX_GET(CX_ENTITY,($F40),BD$11,BD$14,,(BD$19))),_xlpm.Res,IF(OR(_xlpm.val="",_xlpm.val="Error"),"",_xlpm.val),_xlpm.Res)</f>
        <v>#NAME?</v>
      </c>
      <c r="BE40" s="1669" t="e" cm="1">
        <f t="array" ca="1" aca="1" ref="BE40">_xlfn.LET(_xlpm.val,IF($F40="",val_blankRefText,_xldudf_CX_GET(CX_ENTITY,($F40),BE$11,BE$14,,(BE$19))),_xlpm.Res,IF(OR(_xlpm.val="",_xlpm.val="Error"),"",_xlpm.val),_xlpm.Res)</f>
        <v>#NAME?</v>
      </c>
      <c r="BF40" s="1669" t="e" cm="1">
        <f t="array" ca="1" aca="1" ref="BF40">_xlfn.LET(_xlpm.val,IF($F40="",val_blankRefText,_xldudf_CX_GET(CX_ENTITY,($F40),BF$11,BF$14,,(BF$19))),_xlpm.Res,IF(OR(_xlpm.val="",_xlpm.val="Error"),"",_xlpm.val),_xlpm.Res)</f>
        <v>#NAME?</v>
      </c>
      <c r="BG40" s="1669" t="e" cm="1">
        <f t="array" ca="1" aca="1" ref="BG40">_xlfn.LET(_xlpm.val,IF($F40="",val_blankRefText,_xldudf_CX_GET(CX_ENTITY,($F40),BG$11,BG$14,,(BG$19))),_xlpm.Res,IF(OR(_xlpm.val="",_xlpm.val="Error"),"",_xlpm.val),_xlpm.Res)</f>
        <v>#NAME?</v>
      </c>
      <c r="BH40" s="1669" t="e" cm="1">
        <f t="array" ca="1" aca="1" ref="BH40">_xlfn.LET(_xlpm.val,IF($F40="",val_blankRefText,_xldudf_CX_GET(CX_ENTITY,($F40),BH$11,BH$14,,(BH$19))),_xlpm.Res,IF(OR(_xlpm.val="",_xlpm.val="Error"),"",_xlpm.val),_xlpm.Res)</f>
        <v>#NAME?</v>
      </c>
      <c r="BI40" s="1669" t="e" cm="1">
        <f t="array" ca="1" aca="1" ref="BI40">_xlfn.LET(_xlpm.val,IF($F40="",val_blankRefText,_xldudf_CX_GET(CX_ENTITY,($F40),BI$11,BI$14,,(BI$19))),_xlpm.Res,IF(OR(_xlpm.val="",_xlpm.val="Error"),"",_xlpm.val),_xlpm.Res)</f>
        <v>#NAME?</v>
      </c>
      <c r="BJ40" s="1669" t="e" cm="1">
        <f t="array" ca="1" aca="1" ref="BJ40">_xlfn.LET(_xlpm.val,IF($F40="",val_blankRefText,_xldudf_CX_GET(CX_ENTITY,($F40),BJ$11,BJ$14,,(BJ$19))),_xlpm.Res,IF(OR(_xlpm.val="",_xlpm.val="Error"),"",_xlpm.val),_xlpm.Res)</f>
        <v>#NAME?</v>
      </c>
      <c r="BK40" s="1669" t="e" cm="1">
        <f t="array" ca="1" aca="1" ref="BK40">_xlfn.LET(_xlpm.val,IF($F40="",val_blankRefText,_xldudf_CX_GET(CX_ENTITY,($F40),BK$11,BK$14,,(BK$19))),_xlpm.Res,IF(OR(_xlpm.val="",_xlpm.val="Error"),"",_xlpm.val),_xlpm.Res)</f>
        <v>#NAME?</v>
      </c>
      <c r="BL40" s="1669" t="e" cm="1">
        <f t="array" ca="1" aca="1" ref="BL40">_xlfn.LET(_xlpm.val,IF($F40="",val_blankRefText,_xldudf_CX_GET(CX_ENTITY,($F40),BL$11,BL$14,,(BL$19))),_xlpm.Res,IF(OR(_xlpm.val="",_xlpm.val="Error"),"",_xlpm.val),_xlpm.Res)</f>
        <v>#NAME?</v>
      </c>
      <c r="BM40" s="1669" t="e" cm="1">
        <f t="array" ca="1" aca="1" ref="BM40">_xlfn.LET(_xlpm.val,IF($F40="",val_blankRefText,_xldudf_CX_GET(CX_ENTITY,($F40),BM$11,BM$14,,(BM$19))),_xlpm.Res,IF(OR(_xlpm.val="",_xlpm.val="Error"),"",_xlpm.val),_xlpm.Res)</f>
        <v>#NAME?</v>
      </c>
      <c r="BN40" s="1669" t="e" cm="1">
        <f t="array" ca="1" aca="1" ref="BN40">_xlfn.LET(_xlpm.val,IF($F40="",val_blankRefText,_xldudf_CX_GET(CX_ENTITY,($F40),BN$11,BN$14,,(BN$19))),_xlpm.Res,IF(OR(_xlpm.val="",_xlpm.val="Error"),"",_xlpm.val),_xlpm.Res)</f>
        <v>#NAME?</v>
      </c>
      <c r="BO40" s="2095"/>
      <c r="BP40" s="2095"/>
      <c r="BQ40" s="2095"/>
      <c r="BR40" s="2095"/>
      <c r="BS40" s="2095"/>
      <c r="BT40" s="2095"/>
      <c r="BU40" s="2095"/>
      <c r="BV40" s="2095"/>
      <c r="BW40" s="2095"/>
      <c r="BX40" s="2095"/>
      <c r="BY40" s="2095"/>
      <c r="BZ40" s="2095"/>
      <c r="CA40" s="34"/>
      <c r="CC40" s="33"/>
      <c r="CD40" s="1461" t="e" cm="1">
        <f t="array" ca="1" aca="1" ref="CD40">_xlfn.LET(_xlpm.CheckBlank,SUM(PL!$AD40:PL!$BN40)=0,IF(_xlpm.CheckBlank,"",SUM(_xlfn._xlws.FILTER(PL!$AD40:$BN40,(YEAR(PL!$AD$12:$BN$12)=PL!CD$12)*(array_timeline&lt;=PL!CD$11)))))</f>
        <v>#NAME?</v>
      </c>
      <c r="CE40" s="1461" t="e" cm="1">
        <f t="array" ca="1" aca="1" ref="CE40">_xlfn.LET(_xlpm.CheckBlank,SUM(PL!$AD40:PL!$BN40)=0,IF(_xlpm.CheckBlank,"",SUM(_xlfn._xlws.FILTER(PL!$AD40:$BN40,(YEAR(PL!$AD$12:$BN$12)=PL!CE$12)*(array_timeline&lt;=PL!CE$11)))))</f>
        <v>#NAME?</v>
      </c>
      <c r="CF40" s="88"/>
      <c r="CG40" s="1461" t="e" cm="1">
        <f t="array" ca="1" aca="1" ref="CG40">_xlfn.LET(_xlpm.CheckBlank,SUM(PL!$AD40:$BN40)=0,IF(_xlpm.CheckBlank,"",SUM(_xlfn._xlws.FILTER(PL!$AD40:$BN40,(YEAR(PL!$AD$12:$BN$12)=PL!CG$12)*(array_timeline&lt;=PL!CG$11)))))</f>
        <v>#NAME?</v>
      </c>
      <c r="CH40" s="1461" t="e" cm="1">
        <f t="array" ca="1" aca="1" ref="CH40">_xlfn.LET(_xlpm.CheckBlank,SUM(PL!$AD40:$BN40)=0,IF(_xlpm.CheckBlank,"",SUM(_xlfn._xlws.FILTER(PL!$AD40:$BN40,(YEAR(PL!$AD$12:$BN$12)=PL!CH$12)*(array_timeline&lt;=PL!CH$11)))))</f>
        <v>#NAME?</v>
      </c>
      <c r="CI40" s="88"/>
      <c r="CJ40" s="1461" cm="1">
        <f t="array" ref="CJ40">_xlfn.LET(_xlpm.CheckBlank,SUM(PL!$AD40:$BN40)=0,IF(_xlpm.CheckBlank,"",SUM(_xlfn.TAKE(_xlfn.DROP(PL!$AD40:$BN40,,-DATEDIFF(PL!CJ$11,val_asOfDate,"M")),1,-12))))</f>
        <v>12</v>
      </c>
      <c r="CK40" s="1461" cm="1">
        <f t="array" ref="CK40">_xlfn.LET(_xlpm.CheckBlank,SUM(PL!$AD40:$BN40)=0,IF(_xlpm.CheckBlank,"",SUM(_xlfn.TAKE(_xlfn.DROP(PL!$AD40:$BN40,,-DATEDIFF(PL!CK$11,val_asOfDate,"M")),1,-12))))</f>
        <v>12</v>
      </c>
      <c r="CL40" s="88"/>
      <c r="CM40" s="1168" t="e" cm="1">
        <f t="array" ca="1" aca="1" ref="CM40">_xlfn.LET(_xlpm.val,IF($F40="",val_blankRefText,_xldudf_CX_GET(CX_ENTITY,($F40),CM$11,CM$14,,(CM$19))),_xlpm.Res,IF(OR(_xlpm.val="",_xlpm.val="Error"),"",_xlpm.val),_xlpm.Res)</f>
        <v>#NAME?</v>
      </c>
      <c r="CN40" s="1168" t="e" cm="1">
        <f t="array" ca="1" aca="1" ref="CN40">_xlfn.LET(_xlpm.val,IF($F40="",val_blankRefText,_xldudf_CX_GET(CX_ENTITY,fx_attrConverter($F40),CN$11,CN$14,,(CN$19))),_xlpm.Res,IF(OR(_xlpm.val="",_xlpm.val="Error"),"",_xlpm.val),_xlpm.Res)</f>
        <v>#NAME?</v>
      </c>
      <c r="CO40" s="1169"/>
      <c r="CP40" s="1168" t="e" cm="1">
        <f t="array" ca="1" aca="1" ref="CP40">_xlfn.LET(_xlpm.val,IF($F40="",val_blankRefText,_xldudf_CX_GET(CX_ENTITY,fx_attrConverter($F40),CP$11,CP$14,,(CP$19))),_xlpm.Res,IF(OR(_xlpm.val="",_xlpm.val="Error"),"",_xlpm.val),_xlpm.Res)</f>
        <v>#NAME?</v>
      </c>
      <c r="CQ40" s="1168" t="e" cm="1">
        <f t="array" ca="1" aca="1" ref="CQ40">_xlfn.LET(_xlpm.val,IF($F40="",val_blankRefText,_xldudf_CX_GET(CX_ENTITY,fx_attrConverter($F40),CQ$11,CQ$14,,(CQ$19))),_xlpm.Res,IF(OR(_xlpm.val="",_xlpm.val="Error"),"",_xlpm.val),_xlpm.Res)</f>
        <v>#NAME?</v>
      </c>
      <c r="CR40" s="34"/>
    </row>
    <row r="41" spans="1:96" ht="21" customHeight="1" outlineLevel="1">
      <c r="A41" s="1322"/>
      <c r="B41" s="577" t="s">
        <v>1555</v>
      </c>
      <c r="C41" s="2125" t="s">
        <v>1556</v>
      </c>
      <c r="D41" s="1079"/>
      <c r="E41" s="577" t="e" cm="1">
        <f t="array" ca="1" aca="1" ref="E41">_xlfn.LET(_xlpm.Attr,$C41,_xlpm.Lookback,$E$16,_xlpm.QueryDate,EOMONTH(val_asOfDate,_xlpm.Lookback),_xlpm.ReadField,_xldudf_CX_GET(CX_ENTITY,fx_attrConverter($C41),_xlpm.QueryDate),_xlpm.AttrBlank,_xlpm.Attr="",_xlpm.RESULT,IF(_xlpm.AttrBlank,val_blankRefText,fx_attrConverter(_xlpm.ReadField,0)),IF(_xlpm.RESULT="Error","",_xlpm.RESULT))</f>
        <v>#NAME?</v>
      </c>
      <c r="F41" s="577" t="str">
        <f t="shared" si="1"/>
        <v>Net Profit</v>
      </c>
      <c r="G41" s="577" t="s">
        <v>1528</v>
      </c>
      <c r="H41" s="3279">
        <v>2</v>
      </c>
      <c r="I41" s="3279">
        <v>1</v>
      </c>
      <c r="J41" s="578"/>
      <c r="K41" s="578"/>
      <c r="L41" s="579">
        <v>-1</v>
      </c>
      <c r="N41" s="158"/>
      <c r="O41" s="101"/>
      <c r="P41" s="52"/>
      <c r="Q41" s="101"/>
      <c r="R41" s="126"/>
      <c r="S41" s="101"/>
      <c r="T41" s="101"/>
      <c r="U41" s="39"/>
      <c r="W41" s="268" t="str">
        <f t="shared" si="4"/>
        <v>Actual</v>
      </c>
      <c r="X41" s="893">
        <v>0</v>
      </c>
      <c r="Y41" s="1196" t="e" cm="1">
        <f t="array" ca="1" aca="1" ref="Y41">IF($B41="",IFBLANK($E41,"Please select or type in or leave as blank"),IFBLANK($E41,$B41))</f>
        <v>#NAME?</v>
      </c>
      <c r="Z41" s="538" cm="1">
        <f t="array" ref="Z41">_xlfn.SWITCH(TRUE,ISBLANK(_PL!$L41),"",_PL!$L41=TRUE,1,_PL!$L41=FALSE,-1,_PL!$L41=-1,0,"n/a")</f>
        <v>0</v>
      </c>
      <c r="AA41" s="787"/>
      <c r="AB41" s="709" t="s">
        <v>1555</v>
      </c>
      <c r="AC41" s="862" t="str" cm="1">
        <f t="array" ref="AC41">_xlfn.LET(_xlpm.Def,IF(_xlfn.XMATCH(AB41,tbl_acctDef[Term],0)&gt;0,fx_getIcon("find"),""),_xlpm.Adj,IF(_xlfn.XMATCH(AB41,tbl_adjExample[Items],0)&gt;0,fx_getIcon("find"),""),IFERROR(IFBLANK(_xlpm.Def,_xlpm.Adj),""))</f>
        <v/>
      </c>
      <c r="AD41" s="1669" t="e" cm="1">
        <f t="array" ca="1" aca="1" ref="AD41">_xlfn.LET(_xlpm.val,IF($F41="",val_blankRefText,_xldudf_CX_GET(CX_ENTITY,($F41),AD$11,AD$14,,(AD$19))),_xlpm.Res,IF(OR(_xlpm.val="",_xlpm.val="Error"),"",_xlpm.val),_xlpm.Res)</f>
        <v>#NAME?</v>
      </c>
      <c r="AE41" s="1669" t="e" cm="1">
        <f t="array" ca="1" aca="1" ref="AE41">_xlfn.LET(_xlpm.val,IF($F41="",val_blankRefText,_xldudf_CX_GET(CX_ENTITY,($F41),AE$11,AE$14,,(AE$19))),_xlpm.Res,IF(OR(_xlpm.val="",_xlpm.val="Error"),"",_xlpm.val),_xlpm.Res)</f>
        <v>#NAME?</v>
      </c>
      <c r="AF41" s="1669" t="e" cm="1">
        <f t="array" ca="1" aca="1" ref="AF41">_xlfn.LET(_xlpm.val,IF($F41="",val_blankRefText,_xldudf_CX_GET(CX_ENTITY,($F41),AF$11,AF$14,,(AF$19))),_xlpm.Res,IF(OR(_xlpm.val="",_xlpm.val="Error"),"",_xlpm.val),_xlpm.Res)</f>
        <v>#NAME?</v>
      </c>
      <c r="AG41" s="1669" t="e" cm="1">
        <f t="array" ca="1" aca="1" ref="AG41">_xlfn.LET(_xlpm.val,IF($F41="",val_blankRefText,_xldudf_CX_GET(CX_ENTITY,($F41),AG$11,AG$14,,(AG$19))),_xlpm.Res,IF(OR(_xlpm.val="",_xlpm.val="Error"),"",_xlpm.val),_xlpm.Res)</f>
        <v>#NAME?</v>
      </c>
      <c r="AH41" s="1669" t="e" cm="1">
        <f t="array" ca="1" aca="1" ref="AH41">_xlfn.LET(_xlpm.val,IF($F41="",val_blankRefText,_xldudf_CX_GET(CX_ENTITY,($F41),AH$11,AH$14,,(AH$19))),_xlpm.Res,IF(OR(_xlpm.val="",_xlpm.val="Error"),"",_xlpm.val),_xlpm.Res)</f>
        <v>#NAME?</v>
      </c>
      <c r="AI41" s="1669" t="e" cm="1">
        <f t="array" ca="1" aca="1" ref="AI41">_xlfn.LET(_xlpm.val,IF($F41="",val_blankRefText,_xldudf_CX_GET(CX_ENTITY,($F41),AI$11,AI$14,,(AI$19))),_xlpm.Res,IF(OR(_xlpm.val="",_xlpm.val="Error"),"",_xlpm.val),_xlpm.Res)</f>
        <v>#NAME?</v>
      </c>
      <c r="AJ41" s="1669" t="e" cm="1">
        <f t="array" ca="1" aca="1" ref="AJ41">_xlfn.LET(_xlpm.val,IF($F41="",val_blankRefText,_xldudf_CX_GET(CX_ENTITY,($F41),AJ$11,AJ$14,,(AJ$19))),_xlpm.Res,IF(OR(_xlpm.val="",_xlpm.val="Error"),"",_xlpm.val),_xlpm.Res)</f>
        <v>#NAME?</v>
      </c>
      <c r="AK41" s="1669" t="e" cm="1">
        <f t="array" ca="1" aca="1" ref="AK41">_xlfn.LET(_xlpm.val,IF($F41="",val_blankRefText,_xldudf_CX_GET(CX_ENTITY,($F41),AK$11,AK$14,,(AK$19))),_xlpm.Res,IF(OR(_xlpm.val="",_xlpm.val="Error"),"",_xlpm.val),_xlpm.Res)</f>
        <v>#NAME?</v>
      </c>
      <c r="AL41" s="1669" t="e" cm="1">
        <f t="array" ca="1" aca="1" ref="AL41">_xlfn.LET(_xlpm.val,IF($F41="",val_blankRefText,_xldudf_CX_GET(CX_ENTITY,($F41),AL$11,AL$14,,(AL$19))),_xlpm.Res,IF(OR(_xlpm.val="",_xlpm.val="Error"),"",_xlpm.val),_xlpm.Res)</f>
        <v>#NAME?</v>
      </c>
      <c r="AM41" s="1669" t="e" cm="1">
        <f t="array" ca="1" aca="1" ref="AM41">_xlfn.LET(_xlpm.val,IF($F41="",val_blankRefText,_xldudf_CX_GET(CX_ENTITY,($F41),AM$11,AM$14,,(AM$19))),_xlpm.Res,IF(OR(_xlpm.val="",_xlpm.val="Error"),"",_xlpm.val),_xlpm.Res)</f>
        <v>#NAME?</v>
      </c>
      <c r="AN41" s="1669" t="e" cm="1">
        <f t="array" ca="1" aca="1" ref="AN41">_xlfn.LET(_xlpm.val,IF($F41="",val_blankRefText,_xldudf_CX_GET(CX_ENTITY,($F41),AN$11,AN$14,,(AN$19))),_xlpm.Res,IF(OR(_xlpm.val="",_xlpm.val="Error"),"",_xlpm.val),_xlpm.Res)</f>
        <v>#NAME?</v>
      </c>
      <c r="AO41" s="1669" t="e" cm="1">
        <f t="array" ca="1" aca="1" ref="AO41">_xlfn.LET(_xlpm.val,IF($F41="",val_blankRefText,_xldudf_CX_GET(CX_ENTITY,($F41),AO$11,AO$14,,(AO$19))),_xlpm.Res,IF(OR(_xlpm.val="",_xlpm.val="Error"),"",_xlpm.val),_xlpm.Res)</f>
        <v>#NAME?</v>
      </c>
      <c r="AP41" s="1669" t="e" cm="1">
        <f t="array" ca="1" aca="1" ref="AP41">_xlfn.LET(_xlpm.val,IF($F41="",val_blankRefText,_xldudf_CX_GET(CX_ENTITY,($F41),AP$11,AP$14,,(AP$19))),_xlpm.Res,IF(OR(_xlpm.val="",_xlpm.val="Error"),"",_xlpm.val),_xlpm.Res)</f>
        <v>#NAME?</v>
      </c>
      <c r="AQ41" s="1669" t="e" cm="1">
        <f t="array" ca="1" aca="1" ref="AQ41">_xlfn.LET(_xlpm.val,IF($F41="",val_blankRefText,_xldudf_CX_GET(CX_ENTITY,($F41),AQ$11,AQ$14,,(AQ$19))),_xlpm.Res,IF(OR(_xlpm.val="",_xlpm.val="Error"),"",_xlpm.val),_xlpm.Res)</f>
        <v>#NAME?</v>
      </c>
      <c r="AR41" s="1669" t="e" cm="1">
        <f t="array" ca="1" aca="1" ref="AR41">_xlfn.LET(_xlpm.val,IF($F41="",val_blankRefText,_xldudf_CX_GET(CX_ENTITY,($F41),AR$11,AR$14,,(AR$19))),_xlpm.Res,IF(OR(_xlpm.val="",_xlpm.val="Error"),"",_xlpm.val),_xlpm.Res)</f>
        <v>#NAME?</v>
      </c>
      <c r="AS41" s="1669" t="e" cm="1">
        <f t="array" ca="1" aca="1" ref="AS41">_xlfn.LET(_xlpm.val,IF($F41="",val_blankRefText,_xldudf_CX_GET(CX_ENTITY,($F41),AS$11,AS$14,,(AS$19))),_xlpm.Res,IF(OR(_xlpm.val="",_xlpm.val="Error"),"",_xlpm.val),_xlpm.Res)</f>
        <v>#NAME?</v>
      </c>
      <c r="AT41" s="1669" t="e" cm="1">
        <f t="array" ca="1" aca="1" ref="AT41">_xlfn.LET(_xlpm.val,IF($F41="",val_blankRefText,_xldudf_CX_GET(CX_ENTITY,($F41),AT$11,AT$14,,(AT$19))),_xlpm.Res,IF(OR(_xlpm.val="",_xlpm.val="Error"),"",_xlpm.val),_xlpm.Res)</f>
        <v>#NAME?</v>
      </c>
      <c r="AU41" s="1669" t="e" cm="1">
        <f t="array" ca="1" aca="1" ref="AU41">_xlfn.LET(_xlpm.val,IF($F41="",val_blankRefText,_xldudf_CX_GET(CX_ENTITY,($F41),AU$11,AU$14,,(AU$19))),_xlpm.Res,IF(OR(_xlpm.val="",_xlpm.val="Error"),"",_xlpm.val),_xlpm.Res)</f>
        <v>#NAME?</v>
      </c>
      <c r="AV41" s="1669" t="e" cm="1">
        <f t="array" ca="1" aca="1" ref="AV41">_xlfn.LET(_xlpm.val,IF($F41="",val_blankRefText,_xldudf_CX_GET(CX_ENTITY,($F41),AV$11,AV$14,,(AV$19))),_xlpm.Res,IF(OR(_xlpm.val="",_xlpm.val="Error"),"",_xlpm.val),_xlpm.Res)</f>
        <v>#NAME?</v>
      </c>
      <c r="AW41" s="1669" t="e" cm="1">
        <f t="array" ca="1" aca="1" ref="AW41">_xlfn.LET(_xlpm.val,IF($F41="",val_blankRefText,_xldudf_CX_GET(CX_ENTITY,($F41),AW$11,AW$14,,(AW$19))),_xlpm.Res,IF(OR(_xlpm.val="",_xlpm.val="Error"),"",_xlpm.val),_xlpm.Res)</f>
        <v>#NAME?</v>
      </c>
      <c r="AX41" s="1669" t="e" cm="1">
        <f t="array" ca="1" aca="1" ref="AX41">_xlfn.LET(_xlpm.val,IF($F41="",val_blankRefText,_xldudf_CX_GET(CX_ENTITY,($F41),AX$11,AX$14,,(AX$19))),_xlpm.Res,IF(OR(_xlpm.val="",_xlpm.val="Error"),"",_xlpm.val),_xlpm.Res)</f>
        <v>#NAME?</v>
      </c>
      <c r="AY41" s="1669" t="e" cm="1">
        <f t="array" ca="1" aca="1" ref="AY41">_xlfn.LET(_xlpm.val,IF($F41="",val_blankRefText,_xldudf_CX_GET(CX_ENTITY,($F41),AY$11,AY$14,,(AY$19))),_xlpm.Res,IF(OR(_xlpm.val="",_xlpm.val="Error"),"",_xlpm.val),_xlpm.Res)</f>
        <v>#NAME?</v>
      </c>
      <c r="AZ41" s="1669" t="e" cm="1">
        <f t="array" ca="1" aca="1" ref="AZ41">_xlfn.LET(_xlpm.val,IF($F41="",val_blankRefText,_xldudf_CX_GET(CX_ENTITY,($F41),AZ$11,AZ$14,,(AZ$19))),_xlpm.Res,IF(OR(_xlpm.val="",_xlpm.val="Error"),"",_xlpm.val),_xlpm.Res)</f>
        <v>#NAME?</v>
      </c>
      <c r="BA41" s="1669" t="e" cm="1">
        <f t="array" ca="1" aca="1" ref="BA41">_xlfn.LET(_xlpm.val,IF($F41="",val_blankRefText,_xldudf_CX_GET(CX_ENTITY,($F41),BA$11,BA$14,,(BA$19))),_xlpm.Res,IF(OR(_xlpm.val="",_xlpm.val="Error"),"",_xlpm.val),_xlpm.Res)</f>
        <v>#NAME?</v>
      </c>
      <c r="BB41" s="1669" t="e" cm="1">
        <f t="array" ca="1" aca="1" ref="BB41">_xlfn.LET(_xlpm.val,IF($F41="",val_blankRefText,_xldudf_CX_GET(CX_ENTITY,($F41),BB$11,BB$14,,(BB$19))),_xlpm.Res,IF(OR(_xlpm.val="",_xlpm.val="Error"),"",_xlpm.val),_xlpm.Res)</f>
        <v>#NAME?</v>
      </c>
      <c r="BC41" s="1669" t="e" cm="1">
        <f t="array" ca="1" aca="1" ref="BC41">_xlfn.LET(_xlpm.val,IF($F41="",val_blankRefText,_xldudf_CX_GET(CX_ENTITY,($F41),BC$11,BC$14,,(BC$19))),_xlpm.Res,IF(OR(_xlpm.val="",_xlpm.val="Error"),"",_xlpm.val),_xlpm.Res)</f>
        <v>#NAME?</v>
      </c>
      <c r="BD41" s="1669" t="e" cm="1">
        <f t="array" ca="1" aca="1" ref="BD41">_xlfn.LET(_xlpm.val,IF($F41="",val_blankRefText,_xldudf_CX_GET(CX_ENTITY,($F41),BD$11,BD$14,,(BD$19))),_xlpm.Res,IF(OR(_xlpm.val="",_xlpm.val="Error"),"",_xlpm.val),_xlpm.Res)</f>
        <v>#NAME?</v>
      </c>
      <c r="BE41" s="1669" t="e" cm="1">
        <f t="array" ca="1" aca="1" ref="BE41">_xlfn.LET(_xlpm.val,IF($F41="",val_blankRefText,_xldudf_CX_GET(CX_ENTITY,($F41),BE$11,BE$14,,(BE$19))),_xlpm.Res,IF(OR(_xlpm.val="",_xlpm.val="Error"),"",_xlpm.val),_xlpm.Res)</f>
        <v>#NAME?</v>
      </c>
      <c r="BF41" s="1669" t="e" cm="1">
        <f t="array" ca="1" aca="1" ref="BF41">_xlfn.LET(_xlpm.val,IF($F41="",val_blankRefText,_xldudf_CX_GET(CX_ENTITY,($F41),BF$11,BF$14,,(BF$19))),_xlpm.Res,IF(OR(_xlpm.val="",_xlpm.val="Error"),"",_xlpm.val),_xlpm.Res)</f>
        <v>#NAME?</v>
      </c>
      <c r="BG41" s="1669" t="e" cm="1">
        <f t="array" ca="1" aca="1" ref="BG41">_xlfn.LET(_xlpm.val,IF($F41="",val_blankRefText,_xldudf_CX_GET(CX_ENTITY,($F41),BG$11,BG$14,,(BG$19))),_xlpm.Res,IF(OR(_xlpm.val="",_xlpm.val="Error"),"",_xlpm.val),_xlpm.Res)</f>
        <v>#NAME?</v>
      </c>
      <c r="BH41" s="1669" t="e" cm="1">
        <f t="array" ca="1" aca="1" ref="BH41">_xlfn.LET(_xlpm.val,IF($F41="",val_blankRefText,_xldudf_CX_GET(CX_ENTITY,($F41),BH$11,BH$14,,(BH$19))),_xlpm.Res,IF(OR(_xlpm.val="",_xlpm.val="Error"),"",_xlpm.val),_xlpm.Res)</f>
        <v>#NAME?</v>
      </c>
      <c r="BI41" s="1669" t="e" cm="1">
        <f t="array" ca="1" aca="1" ref="BI41">_xlfn.LET(_xlpm.val,IF($F41="",val_blankRefText,_xldudf_CX_GET(CX_ENTITY,($F41),BI$11,BI$14,,(BI$19))),_xlpm.Res,IF(OR(_xlpm.val="",_xlpm.val="Error"),"",_xlpm.val),_xlpm.Res)</f>
        <v>#NAME?</v>
      </c>
      <c r="BJ41" s="1669" t="e" cm="1">
        <f t="array" ca="1" aca="1" ref="BJ41">_xlfn.LET(_xlpm.val,IF($F41="",val_blankRefText,_xldudf_CX_GET(CX_ENTITY,($F41),BJ$11,BJ$14,,(BJ$19))),_xlpm.Res,IF(OR(_xlpm.val="",_xlpm.val="Error"),"",_xlpm.val),_xlpm.Res)</f>
        <v>#NAME?</v>
      </c>
      <c r="BK41" s="1669" t="e" cm="1">
        <f t="array" ca="1" aca="1" ref="BK41">_xlfn.LET(_xlpm.val,IF($F41="",val_blankRefText,_xldudf_CX_GET(CX_ENTITY,($F41),BK$11,BK$14,,(BK$19))),_xlpm.Res,IF(OR(_xlpm.val="",_xlpm.val="Error"),"",_xlpm.val),_xlpm.Res)</f>
        <v>#NAME?</v>
      </c>
      <c r="BL41" s="1669" t="e" cm="1">
        <f t="array" ca="1" aca="1" ref="BL41">_xlfn.LET(_xlpm.val,IF($F41="",val_blankRefText,_xldudf_CX_GET(CX_ENTITY,($F41),BL$11,BL$14,,(BL$19))),_xlpm.Res,IF(OR(_xlpm.val="",_xlpm.val="Error"),"",_xlpm.val),_xlpm.Res)</f>
        <v>#NAME?</v>
      </c>
      <c r="BM41" s="1669" t="e" cm="1">
        <f t="array" ca="1" aca="1" ref="BM41">_xlfn.LET(_xlpm.val,IF($F41="",val_blankRefText,_xldudf_CX_GET(CX_ENTITY,($F41),BM$11,BM$14,,(BM$19))),_xlpm.Res,IF(OR(_xlpm.val="",_xlpm.val="Error"),"",_xlpm.val),_xlpm.Res)</f>
        <v>#NAME?</v>
      </c>
      <c r="BN41" s="1669" t="e" cm="1">
        <f t="array" ca="1" aca="1" ref="BN41">_xlfn.LET(_xlpm.val,IF($F41="",val_blankRefText,_xldudf_CX_GET(CX_ENTITY,($F41),BN$11,BN$14,,(BN$19))),_xlpm.Res,IF(OR(_xlpm.val="",_xlpm.val="Error"),"",_xlpm.val),_xlpm.Res)</f>
        <v>#NAME?</v>
      </c>
      <c r="BO41" s="2095"/>
      <c r="BP41" s="2095"/>
      <c r="BQ41" s="2095"/>
      <c r="BR41" s="2095"/>
      <c r="BS41" s="2095"/>
      <c r="BT41" s="2095"/>
      <c r="BU41" s="2095"/>
      <c r="BV41" s="2095"/>
      <c r="BW41" s="2095"/>
      <c r="BX41" s="2095"/>
      <c r="BY41" s="2095"/>
      <c r="BZ41" s="2095"/>
      <c r="CA41" s="34"/>
      <c r="CC41" s="33"/>
      <c r="CD41" s="1461" t="e" cm="1">
        <f t="array" ca="1" aca="1" ref="CD41">_xlfn.LET(_xlpm.CheckBlank,SUM(PL!$AD41:PL!$BN41)=0,IF(_xlpm.CheckBlank,"",SUM(_xlfn._xlws.FILTER(PL!$AD41:$BN41,(YEAR(PL!$AD$12:$BN$12)=PL!CD$12)*(array_timeline&lt;=PL!CD$11)))))</f>
        <v>#NAME?</v>
      </c>
      <c r="CE41" s="1461" t="e" cm="1">
        <f t="array" ca="1" aca="1" ref="CE41">_xlfn.LET(_xlpm.CheckBlank,SUM(PL!$AD41:PL!$BN41)=0,IF(_xlpm.CheckBlank,"",SUM(_xlfn._xlws.FILTER(PL!$AD41:$BN41,(YEAR(PL!$AD$12:$BN$12)=PL!CE$12)*(array_timeline&lt;=PL!CE$11)))))</f>
        <v>#NAME?</v>
      </c>
      <c r="CF41" s="88"/>
      <c r="CG41" s="1461" t="e" cm="1">
        <f t="array" ca="1" aca="1" ref="CG41">_xlfn.LET(_xlpm.CheckBlank,SUM(PL!$AD41:$BN41)=0,IF(_xlpm.CheckBlank,"",SUM(_xlfn._xlws.FILTER(PL!$AD41:$BN41,(YEAR(PL!$AD$12:$BN$12)=PL!CG$12)*(array_timeline&lt;=PL!CG$11)))))</f>
        <v>#NAME?</v>
      </c>
      <c r="CH41" s="1461" t="e" cm="1">
        <f t="array" ca="1" aca="1" ref="CH41">_xlfn.LET(_xlpm.CheckBlank,SUM(PL!$AD41:$BN41)=0,IF(_xlpm.CheckBlank,"",SUM(_xlfn._xlws.FILTER(PL!$AD41:$BN41,(YEAR(PL!$AD$12:$BN$12)=PL!CH$12)*(array_timeline&lt;=PL!CH$11)))))</f>
        <v>#NAME?</v>
      </c>
      <c r="CI41" s="88"/>
      <c r="CJ41" s="1461" cm="1">
        <f t="array" ref="CJ41">_xlfn.LET(_xlpm.CheckBlank,SUM(PL!$AD41:$BN41)=0,IF(_xlpm.CheckBlank,"",SUM(_xlfn.TAKE(_xlfn.DROP(PL!$AD41:$BN41,,-DATEDIFF(PL!CJ$11,val_asOfDate,"M")),1,-12))))</f>
        <v>96</v>
      </c>
      <c r="CK41" s="1461" cm="1">
        <f t="array" ref="CK41">_xlfn.LET(_xlpm.CheckBlank,SUM(PL!$AD41:$BN41)=0,IF(_xlpm.CheckBlank,"",SUM(_xlfn.TAKE(_xlfn.DROP(PL!$AD41:$BN41,,-DATEDIFF(PL!CK$11,val_asOfDate,"M")),1,-12))))</f>
        <v>96</v>
      </c>
      <c r="CL41" s="88"/>
      <c r="CM41" s="1168" t="e" cm="1">
        <f t="array" ca="1" aca="1" ref="CM41">_xlfn.LET(_xlpm.val,IF($F41="",val_blankRefText,_xldudf_CX_GET(CX_ENTITY,($F41),CM$11,CM$14,,(CM$19))),_xlpm.Res,IF(OR(_xlpm.val="",_xlpm.val="Error"),"",_xlpm.val),_xlpm.Res)</f>
        <v>#NAME?</v>
      </c>
      <c r="CN41" s="1168" t="e" cm="1">
        <f t="array" ca="1" aca="1" ref="CN41">_xlfn.LET(_xlpm.val,IF($F41="",val_blankRefText,_xldudf_CX_GET(CX_ENTITY,fx_attrConverter($F41),CN$11,CN$14,,(CN$19))),_xlpm.Res,IF(OR(_xlpm.val="",_xlpm.val="Error"),"",_xlpm.val),_xlpm.Res)</f>
        <v>#NAME?</v>
      </c>
      <c r="CO41" s="1169"/>
      <c r="CP41" s="1168" t="e" cm="1">
        <f t="array" ca="1" aca="1" ref="CP41">_xlfn.LET(_xlpm.val,IF($F41="",val_blankRefText,_xldudf_CX_GET(CX_ENTITY,fx_attrConverter($F41),CP$11,CP$14,,(CP$19))),_xlpm.Res,IF(OR(_xlpm.val="",_xlpm.val="Error"),"",_xlpm.val),_xlpm.Res)</f>
        <v>#NAME?</v>
      </c>
      <c r="CQ41" s="1168" t="e" cm="1">
        <f t="array" ca="1" aca="1" ref="CQ41">_xlfn.LET(_xlpm.val,IF($F41="",val_blankRefText,_xldudf_CX_GET(CX_ENTITY,fx_attrConverter($F41),CQ$11,CQ$14,,(CQ$19))),_xlpm.Res,IF(OR(_xlpm.val="",_xlpm.val="Error"),"",_xlpm.val),_xlpm.Res)</f>
        <v>#NAME?</v>
      </c>
      <c r="CR41" s="34"/>
    </row>
    <row r="42" spans="1:96" ht="15.5" outlineLevel="1">
      <c r="A42" s="1322"/>
      <c r="B42" s="577"/>
      <c r="C42" s="577"/>
      <c r="D42" s="1079"/>
      <c r="E42" s="577"/>
      <c r="F42" s="577"/>
      <c r="G42" s="577"/>
      <c r="H42" s="578"/>
      <c r="I42" s="578"/>
      <c r="J42" s="578"/>
      <c r="K42" s="578"/>
      <c r="L42" s="579" t="b">
        <v>0</v>
      </c>
      <c r="N42" s="158"/>
      <c r="O42" s="101"/>
      <c r="P42" s="52"/>
      <c r="Q42" s="101"/>
      <c r="R42" s="126"/>
      <c r="S42" s="101"/>
      <c r="T42" s="101"/>
      <c r="U42" s="39"/>
      <c r="W42" s="198"/>
      <c r="X42" s="2368"/>
      <c r="Y42" s="2369" t="e">
        <f ca="1">X45</f>
        <v>#NAME?</v>
      </c>
      <c r="Z42" s="543"/>
      <c r="AA42" s="97"/>
      <c r="AB42" s="97"/>
      <c r="AC42" s="382"/>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7"/>
      <c r="BP42" s="97"/>
      <c r="BQ42" s="97"/>
      <c r="BR42" s="97"/>
      <c r="BS42" s="97"/>
      <c r="BT42" s="97"/>
      <c r="BU42" s="97"/>
      <c r="BV42" s="97"/>
      <c r="BW42" s="97"/>
      <c r="BX42" s="97"/>
      <c r="BY42" s="97"/>
      <c r="BZ42" s="97"/>
      <c r="CA42" s="34"/>
      <c r="CC42" s="176"/>
      <c r="CD42" s="177"/>
      <c r="CE42" s="177"/>
      <c r="CF42" s="178"/>
      <c r="CG42" s="177"/>
      <c r="CH42" s="177"/>
      <c r="CI42" s="177"/>
      <c r="CJ42" s="177"/>
      <c r="CK42" s="177"/>
      <c r="CL42" s="88"/>
      <c r="CM42" s="274"/>
      <c r="CN42" s="171"/>
      <c r="CO42" s="88"/>
      <c r="CP42" s="274"/>
      <c r="CQ42" s="171"/>
      <c r="CR42" s="34"/>
    </row>
    <row r="43" spans="1:96" ht="18">
      <c r="A43" s="697"/>
      <c r="B43" s="2127"/>
      <c r="C43" s="2127"/>
      <c r="D43" s="1079"/>
      <c r="E43" s="1316"/>
      <c r="F43" s="577"/>
      <c r="G43" s="853"/>
      <c r="H43" s="578"/>
      <c r="I43" s="578"/>
      <c r="J43" s="578"/>
      <c r="K43" s="578"/>
      <c r="L43" s="579" t="b">
        <v>0</v>
      </c>
      <c r="N43" s="158"/>
      <c r="O43" s="101"/>
      <c r="P43" s="52"/>
      <c r="Q43" s="2"/>
      <c r="R43" s="101"/>
      <c r="S43" s="2"/>
      <c r="T43" s="2"/>
      <c r="U43" s="39"/>
      <c r="W43" s="3034" t="s">
        <v>94</v>
      </c>
      <c r="X43" s="3061"/>
      <c r="Y43" s="3036" t="s">
        <v>104</v>
      </c>
      <c r="Z43" s="1258"/>
      <c r="AA43" s="1259"/>
      <c r="AB43" s="1630"/>
      <c r="AC43" s="1630"/>
      <c r="AD43" s="859"/>
      <c r="AE43" s="859"/>
      <c r="AF43" s="859"/>
      <c r="AG43" s="859"/>
      <c r="AH43" s="859"/>
      <c r="AI43" s="859"/>
      <c r="AJ43" s="859"/>
      <c r="AK43" s="859"/>
      <c r="AL43" s="859"/>
      <c r="AM43" s="859"/>
      <c r="AN43" s="859"/>
      <c r="AO43" s="859"/>
      <c r="AP43" s="859"/>
      <c r="AQ43" s="859"/>
      <c r="AR43" s="859"/>
      <c r="AS43" s="859"/>
      <c r="AT43" s="859"/>
      <c r="AU43" s="859"/>
      <c r="AV43" s="859"/>
      <c r="AW43" s="859"/>
      <c r="AX43" s="859"/>
      <c r="AY43" s="859"/>
      <c r="AZ43" s="859"/>
      <c r="BA43" s="859"/>
      <c r="BB43" s="859"/>
      <c r="BC43" s="859"/>
      <c r="BD43" s="859"/>
      <c r="BE43" s="859"/>
      <c r="BF43" s="859"/>
      <c r="BG43" s="859"/>
      <c r="BH43" s="859"/>
      <c r="BI43" s="859"/>
      <c r="BJ43" s="859"/>
      <c r="BK43" s="859"/>
      <c r="BL43" s="859"/>
      <c r="BM43" s="859"/>
      <c r="BN43" s="859"/>
      <c r="BO43" s="542"/>
      <c r="BP43" s="542"/>
      <c r="BQ43" s="542"/>
      <c r="BR43" s="542"/>
      <c r="BS43" s="542"/>
      <c r="BT43" s="542"/>
      <c r="BU43" s="542"/>
      <c r="BV43" s="542"/>
      <c r="BW43" s="542"/>
      <c r="BX43" s="542"/>
      <c r="BY43" s="542"/>
      <c r="BZ43" s="542"/>
      <c r="CA43" s="34"/>
      <c r="CC43" s="33"/>
      <c r="CD43" s="1265"/>
      <c r="CE43" s="1266"/>
      <c r="CF43" s="88"/>
      <c r="CG43" s="1265"/>
      <c r="CH43" s="1266"/>
      <c r="CI43" s="170"/>
      <c r="CJ43" s="1265"/>
      <c r="CK43" s="1266"/>
      <c r="CL43" s="88"/>
      <c r="CM43" s="1511"/>
      <c r="CN43" s="1215"/>
      <c r="CO43" s="88"/>
      <c r="CP43" s="1511"/>
      <c r="CQ43" s="1215"/>
      <c r="CR43" s="34"/>
    </row>
    <row r="44" spans="1:96" ht="18">
      <c r="A44" s="697"/>
      <c r="B44" s="2127"/>
      <c r="C44" s="2127"/>
      <c r="D44" s="1079"/>
      <c r="E44" s="1316"/>
      <c r="F44" s="577"/>
      <c r="G44" s="853"/>
      <c r="H44" s="578"/>
      <c r="I44" s="578"/>
      <c r="J44" s="578"/>
      <c r="K44" s="578"/>
      <c r="L44" s="579" t="b">
        <v>0</v>
      </c>
      <c r="N44" s="158"/>
      <c r="O44" s="101"/>
      <c r="P44" s="52"/>
      <c r="Q44" s="2"/>
      <c r="R44" s="101"/>
      <c r="S44" s="2"/>
      <c r="T44" s="2"/>
      <c r="U44" s="39"/>
      <c r="W44" s="3035"/>
      <c r="X44" s="3062"/>
      <c r="Y44" s="3037"/>
      <c r="Z44" s="1233"/>
      <c r="AA44" s="1262"/>
      <c r="AB44" s="1631"/>
      <c r="AC44" s="1631"/>
      <c r="AD44" s="1272"/>
      <c r="AE44" s="1272"/>
      <c r="AF44" s="1272"/>
      <c r="AG44" s="1272"/>
      <c r="AH44" s="1272"/>
      <c r="AI44" s="1272"/>
      <c r="AJ44" s="1272"/>
      <c r="AK44" s="1272"/>
      <c r="AL44" s="1272"/>
      <c r="AM44" s="1272"/>
      <c r="AN44" s="1272"/>
      <c r="AO44" s="1272"/>
      <c r="AP44" s="1272"/>
      <c r="AQ44" s="1272"/>
      <c r="AR44" s="1272"/>
      <c r="AS44" s="1272"/>
      <c r="AT44" s="1272"/>
      <c r="AU44" s="1272"/>
      <c r="AV44" s="1272"/>
      <c r="AW44" s="1272"/>
      <c r="AX44" s="1272"/>
      <c r="AY44" s="1272"/>
      <c r="AZ44" s="1272"/>
      <c r="BA44" s="1272"/>
      <c r="BB44" s="1272"/>
      <c r="BC44" s="1272"/>
      <c r="BD44" s="1272"/>
      <c r="BE44" s="1272"/>
      <c r="BF44" s="1272"/>
      <c r="BG44" s="1272"/>
      <c r="BH44" s="1272"/>
      <c r="BI44" s="1272"/>
      <c r="BJ44" s="1272"/>
      <c r="BK44" s="1272"/>
      <c r="BL44" s="1272"/>
      <c r="BM44" s="1272"/>
      <c r="BN44" s="1272"/>
      <c r="BO44" s="2097"/>
      <c r="BP44" s="2097"/>
      <c r="BQ44" s="2097"/>
      <c r="BR44" s="2097"/>
      <c r="BS44" s="2097"/>
      <c r="BT44" s="2097"/>
      <c r="BU44" s="2097"/>
      <c r="BV44" s="2097"/>
      <c r="BW44" s="2097"/>
      <c r="BX44" s="2097"/>
      <c r="BY44" s="2097"/>
      <c r="BZ44" s="2097"/>
      <c r="CA44" s="34"/>
      <c r="CC44" s="33"/>
      <c r="CD44" s="1267"/>
      <c r="CE44" s="1268"/>
      <c r="CF44" s="88"/>
      <c r="CG44" s="1267"/>
      <c r="CH44" s="1268"/>
      <c r="CI44" s="170"/>
      <c r="CJ44" s="1267"/>
      <c r="CK44" s="1268"/>
      <c r="CL44" s="88"/>
      <c r="CM44" s="1466"/>
      <c r="CN44" s="1467"/>
      <c r="CO44" s="992"/>
      <c r="CP44" s="1466"/>
      <c r="CQ44" s="1467"/>
      <c r="CR44" s="34"/>
    </row>
    <row r="45" spans="1:96" ht="21" customHeight="1" outlineLevel="1">
      <c r="A45" s="1322"/>
      <c r="B45" s="574" t="s">
        <v>821</v>
      </c>
      <c r="C45" s="2125" t="s">
        <v>1557</v>
      </c>
      <c r="D45" s="1079"/>
      <c r="E45" s="1615" t="e" cm="1">
        <f t="array" ca="1" aca="1" ref="E45">_xlfn.LET(_xlpm.Attr,$C45,_xlpm.Lookback,$E$16,_xlpm.QueryDate,EOMONTH(val_asOfDate,_xlpm.Lookback),_xlpm.ReadField,_xldudf_CX_GET(CX_ENTITY,fx_attrConverter($C45),_xlpm.QueryDate),_xlpm.AttrBlank,_xlpm.Attr="",_xlpm.RESULT,IF(_xlpm.AttrBlank,val_blankRefText,fx_attrConverter(_xlpm.ReadField,0)),IF(_xlpm.RESULT="Error","",_xlpm.RESULT))</f>
        <v>#NAME?</v>
      </c>
      <c r="F45" s="577" t="str">
        <f t="shared" si="9" ref="F45:F54">IF($B45&lt;&gt;"",$B45,$E45)</f>
        <v>Annual Recurring Revenue (Rolling 12 months)</v>
      </c>
      <c r="G45" s="577" t="s">
        <v>1558</v>
      </c>
      <c r="H45" s="3279">
        <v>1</v>
      </c>
      <c r="I45" s="3279">
        <v>1</v>
      </c>
      <c r="J45" s="401"/>
      <c r="K45" s="401"/>
      <c r="L45" s="579" t="b">
        <v>0</v>
      </c>
      <c r="N45" s="158"/>
      <c r="O45" s="101"/>
      <c r="P45" s="52"/>
      <c r="Q45" s="101"/>
      <c r="R45" s="126"/>
      <c r="S45" s="101"/>
      <c r="T45" s="101"/>
      <c r="U45" s="39"/>
      <c r="W45" s="91" t="str">
        <f>_PL!$W$17</f>
        <v>Actual</v>
      </c>
      <c r="X45" s="2370" t="e" cm="1">
        <f t="array" ca="1" aca="1" ref="X45">_xlfn.LET(_xlpm.toPass,$E45="",_xlpm.hasParts,ISNUMBER(SEARCH("|",$E45)),_xlpm.Part1,INDEX(_xlfn.TEXTSPLIT($E45,"|",,FALSE,1),1),_xlpm.Part1Num,IFERROR(_xlfn.NUMBERVALUE(_xlpm.Part1),_xlpm.Part1),_xlfn.SWITCH(TRUE,_xlpm.toPass,"",_xlpm.hasParts,_xlpm.Part1Num,$E45))</f>
        <v>#NAME?</v>
      </c>
      <c r="Y45" s="590" t="e" cm="1">
        <f t="array" ca="1" aca="1" ref="Y45">IF($E45="","",IF(ISNUMBER(SEARCH("|",$E45)),INDEX(_xlfn.TEXTSPLIT($E45,"|",,FALSE,1),2),$E45))</f>
        <v>#NAME?</v>
      </c>
      <c r="Z45" s="198" cm="1">
        <f t="array" ref="Z45">_xlfn.SWITCH(TRUE,ISBLANK(_PL!$L45),"",_PL!$L45=TRUE,1,_PL!$L45=FALSE,-1,_PL!$L45=-1,0,"n/a")</f>
        <v>-1</v>
      </c>
      <c r="AA45" s="200"/>
      <c r="AB45" s="709" t="e" cm="1">
        <f t="array" ca="1" aca="1" ref="AB45">_xlfn.LET(_xlpm.PackedString,E45,IF(_xlpm.PackedString="","",IF(ISNUMBER(SEARCH("|",_xlpm.PackedString)),INDEX(_xlfn.TEXTSPLIT(_xlpm.PackedString,"|",,FALSE),3),_xlpm.PackedString)))</f>
        <v>#NAME?</v>
      </c>
      <c r="AC45" s="300" t="str" cm="1">
        <f t="array" ca="1" aca="1" ref="AC45">_xlfn.LET(_xlpm.Def,IF(_xlfn.XMATCH(AB45,tbl_acctDef[Term],0)&gt;0,fx_getIcon("find"),""),_xlpm.Adj,IF(_xlfn.XMATCH(AB45,tbl_adjExample[Items],0)&gt;0,fx_getIcon("find"),""),IFERROR(IFBLANK(_xlpm.Def,_xlpm.Adj),""))</f>
        <v/>
      </c>
      <c r="AD45" s="1669" t="e" cm="1">
        <f t="array" ca="1" aca="1" ref="AD45">_xlfn.LET(_xlpm.val,IF($F45="",val_blankRefText,_xldudf_CX_GET(CX_ENTITY,$F45,AD$11,AD$14,,(AD$19))),_xlpm.Res,IF(OR(_xlpm.val="",_xlpm.val="Error"),"",_xlpm.val),_xlpm.Res)</f>
        <v>#NAME?</v>
      </c>
      <c r="AE45" s="1669" t="e" cm="1">
        <f t="array" ca="1" aca="1" ref="AE45">_xlfn.LET(_xlpm.val,IF($F45="",val_blankRefText,_xldudf_CX_GET(CX_ENTITY,$F45,AE$11,AE$14,,(AE$19))),_xlpm.Res,IF(OR(_xlpm.val="",_xlpm.val="Error"),"",_xlpm.val),_xlpm.Res)</f>
        <v>#NAME?</v>
      </c>
      <c r="AF45" s="1669" t="e" cm="1">
        <f t="array" ca="1" aca="1" ref="AF45">_xlfn.LET(_xlpm.val,IF($F45="",val_blankRefText,_xldudf_CX_GET(CX_ENTITY,$F45,AF$11,AF$14,,(AF$19))),_xlpm.Res,IF(OR(_xlpm.val="",_xlpm.val="Error"),"",_xlpm.val),_xlpm.Res)</f>
        <v>#NAME?</v>
      </c>
      <c r="AG45" s="1669" t="e" cm="1">
        <f t="array" ca="1" aca="1" ref="AG45">_xlfn.LET(_xlpm.val,IF($F45="",val_blankRefText,_xldudf_CX_GET(CX_ENTITY,$F45,AG$11,AG$14,,(AG$19))),_xlpm.Res,IF(OR(_xlpm.val="",_xlpm.val="Error"),"",_xlpm.val),_xlpm.Res)</f>
        <v>#NAME?</v>
      </c>
      <c r="AH45" s="1669" t="e" cm="1">
        <f t="array" ca="1" aca="1" ref="AH45">_xlfn.LET(_xlpm.val,IF($F45="",val_blankRefText,_xldudf_CX_GET(CX_ENTITY,$F45,AH$11,AH$14,,(AH$19))),_xlpm.Res,IF(OR(_xlpm.val="",_xlpm.val="Error"),"",_xlpm.val),_xlpm.Res)</f>
        <v>#NAME?</v>
      </c>
      <c r="AI45" s="1669" t="e" cm="1">
        <f t="array" ca="1" aca="1" ref="AI45">_xlfn.LET(_xlpm.val,IF($F45="",val_blankRefText,_xldudf_CX_GET(CX_ENTITY,$F45,AI$11,AI$14,,(AI$19))),_xlpm.Res,IF(OR(_xlpm.val="",_xlpm.val="Error"),"",_xlpm.val),_xlpm.Res)</f>
        <v>#NAME?</v>
      </c>
      <c r="AJ45" s="1669" t="e" cm="1">
        <f t="array" ca="1" aca="1" ref="AJ45">_xlfn.LET(_xlpm.val,IF($F45="",val_blankRefText,_xldudf_CX_GET(CX_ENTITY,$F45,AJ$11,AJ$14,,(AJ$19))),_xlpm.Res,IF(OR(_xlpm.val="",_xlpm.val="Error"),"",_xlpm.val),_xlpm.Res)</f>
        <v>#NAME?</v>
      </c>
      <c r="AK45" s="1669" t="e" cm="1">
        <f t="array" ca="1" aca="1" ref="AK45">_xlfn.LET(_xlpm.val,IF($F45="",val_blankRefText,_xldudf_CX_GET(CX_ENTITY,$F45,AK$11,AK$14,,(AK$19))),_xlpm.Res,IF(OR(_xlpm.val="",_xlpm.val="Error"),"",_xlpm.val),_xlpm.Res)</f>
        <v>#NAME?</v>
      </c>
      <c r="AL45" s="1669" t="e" cm="1">
        <f t="array" ca="1" aca="1" ref="AL45">_xlfn.LET(_xlpm.val,IF($F45="",val_blankRefText,_xldudf_CX_GET(CX_ENTITY,$F45,AL$11,AL$14,,(AL$19))),_xlpm.Res,IF(OR(_xlpm.val="",_xlpm.val="Error"),"",_xlpm.val),_xlpm.Res)</f>
        <v>#NAME?</v>
      </c>
      <c r="AM45" s="1669" t="e" cm="1">
        <f t="array" ca="1" aca="1" ref="AM45">_xlfn.LET(_xlpm.val,IF($F45="",val_blankRefText,_xldudf_CX_GET(CX_ENTITY,$F45,AM$11,AM$14,,(AM$19))),_xlpm.Res,IF(OR(_xlpm.val="",_xlpm.val="Error"),"",_xlpm.val),_xlpm.Res)</f>
        <v>#NAME?</v>
      </c>
      <c r="AN45" s="1669" t="e" cm="1">
        <f t="array" ca="1" aca="1" ref="AN45">_xlfn.LET(_xlpm.val,IF($F45="",val_blankRefText,_xldudf_CX_GET(CX_ENTITY,$F45,AN$11,AN$14,,(AN$19))),_xlpm.Res,IF(OR(_xlpm.val="",_xlpm.val="Error"),"",_xlpm.val),_xlpm.Res)</f>
        <v>#NAME?</v>
      </c>
      <c r="AO45" s="1669" t="e" cm="1">
        <f t="array" ca="1" aca="1" ref="AO45">_xlfn.LET(_xlpm.val,IF($F45="",val_blankRefText,_xldudf_CX_GET(CX_ENTITY,$F45,AO$11,AO$14,,(AO$19))),_xlpm.Res,IF(OR(_xlpm.val="",_xlpm.val="Error"),"",_xlpm.val),_xlpm.Res)</f>
        <v>#NAME?</v>
      </c>
      <c r="AP45" s="1669" t="e" cm="1">
        <f t="array" ca="1" aca="1" ref="AP45">_xlfn.LET(_xlpm.val,IF($F45="",val_blankRefText,_xldudf_CX_GET(CX_ENTITY,$F45,AP$11,AP$14,,(AP$19))),_xlpm.Res,IF(OR(_xlpm.val="",_xlpm.val="Error"),"",_xlpm.val),_xlpm.Res)</f>
        <v>#NAME?</v>
      </c>
      <c r="AQ45" s="1669" t="e" cm="1">
        <f t="array" ca="1" aca="1" ref="AQ45">_xlfn.LET(_xlpm.val,IF($F45="",val_blankRefText,_xldudf_CX_GET(CX_ENTITY,$F45,AQ$11,AQ$14,,(AQ$19))),_xlpm.Res,IF(OR(_xlpm.val="",_xlpm.val="Error"),"",_xlpm.val),_xlpm.Res)</f>
        <v>#NAME?</v>
      </c>
      <c r="AR45" s="1669" t="e" cm="1">
        <f t="array" ca="1" aca="1" ref="AR45">_xlfn.LET(_xlpm.val,IF($F45="",val_blankRefText,_xldudf_CX_GET(CX_ENTITY,$F45,AR$11,AR$14,,(AR$19))),_xlpm.Res,IF(OR(_xlpm.val="",_xlpm.val="Error"),"",_xlpm.val),_xlpm.Res)</f>
        <v>#NAME?</v>
      </c>
      <c r="AS45" s="1669" t="e" cm="1">
        <f t="array" ca="1" aca="1" ref="AS45">_xlfn.LET(_xlpm.val,IF($F45="",val_blankRefText,_xldudf_CX_GET(CX_ENTITY,$F45,AS$11,AS$14,,(AS$19))),_xlpm.Res,IF(OR(_xlpm.val="",_xlpm.val="Error"),"",_xlpm.val),_xlpm.Res)</f>
        <v>#NAME?</v>
      </c>
      <c r="AT45" s="1669" t="e" cm="1">
        <f t="array" ca="1" aca="1" ref="AT45">_xlfn.LET(_xlpm.val,IF($F45="",val_blankRefText,_xldudf_CX_GET(CX_ENTITY,$F45,AT$11,AT$14,,(AT$19))),_xlpm.Res,IF(OR(_xlpm.val="",_xlpm.val="Error"),"",_xlpm.val),_xlpm.Res)</f>
        <v>#NAME?</v>
      </c>
      <c r="AU45" s="1669" t="e" cm="1">
        <f t="array" ca="1" aca="1" ref="AU45">_xlfn.LET(_xlpm.val,IF($F45="",val_blankRefText,_xldudf_CX_GET(CX_ENTITY,$F45,AU$11,AU$14,,(AU$19))),_xlpm.Res,IF(OR(_xlpm.val="",_xlpm.val="Error"),"",_xlpm.val),_xlpm.Res)</f>
        <v>#NAME?</v>
      </c>
      <c r="AV45" s="1669" t="e" cm="1">
        <f t="array" ca="1" aca="1" ref="AV45">_xlfn.LET(_xlpm.val,IF($F45="",val_blankRefText,_xldudf_CX_GET(CX_ENTITY,$F45,AV$11,AV$14,,(AV$19))),_xlpm.Res,IF(OR(_xlpm.val="",_xlpm.val="Error"),"",_xlpm.val),_xlpm.Res)</f>
        <v>#NAME?</v>
      </c>
      <c r="AW45" s="1669" t="e" cm="1">
        <f t="array" ca="1" aca="1" ref="AW45">_xlfn.LET(_xlpm.val,IF($F45="",val_blankRefText,_xldudf_CX_GET(CX_ENTITY,$F45,AW$11,AW$14,,(AW$19))),_xlpm.Res,IF(OR(_xlpm.val="",_xlpm.val="Error"),"",_xlpm.val),_xlpm.Res)</f>
        <v>#NAME?</v>
      </c>
      <c r="AX45" s="1669" t="e" cm="1">
        <f t="array" ca="1" aca="1" ref="AX45">_xlfn.LET(_xlpm.val,IF($F45="",val_blankRefText,_xldudf_CX_GET(CX_ENTITY,$F45,AX$11,AX$14,,(AX$19))),_xlpm.Res,IF(OR(_xlpm.val="",_xlpm.val="Error"),"",_xlpm.val),_xlpm.Res)</f>
        <v>#NAME?</v>
      </c>
      <c r="AY45" s="1669" t="e" cm="1">
        <f t="array" ca="1" aca="1" ref="AY45">_xlfn.LET(_xlpm.val,IF($F45="",val_blankRefText,_xldudf_CX_GET(CX_ENTITY,$F45,AY$11,AY$14,,(AY$19))),_xlpm.Res,IF(OR(_xlpm.val="",_xlpm.val="Error"),"",_xlpm.val),_xlpm.Res)</f>
        <v>#NAME?</v>
      </c>
      <c r="AZ45" s="1669" t="e" cm="1">
        <f t="array" ca="1" aca="1" ref="AZ45">_xlfn.LET(_xlpm.val,IF($F45="",val_blankRefText,_xldudf_CX_GET(CX_ENTITY,$F45,AZ$11,AZ$14,,(AZ$19))),_xlpm.Res,IF(OR(_xlpm.val="",_xlpm.val="Error"),"",_xlpm.val),_xlpm.Res)</f>
        <v>#NAME?</v>
      </c>
      <c r="BA45" s="1669" t="e" cm="1">
        <f t="array" ca="1" aca="1" ref="BA45">_xlfn.LET(_xlpm.val,IF($F45="",val_blankRefText,_xldudf_CX_GET(CX_ENTITY,$F45,BA$11,BA$14,,(BA$19))),_xlpm.Res,IF(OR(_xlpm.val="",_xlpm.val="Error"),"",_xlpm.val),_xlpm.Res)</f>
        <v>#NAME?</v>
      </c>
      <c r="BB45" s="1669" t="e" cm="1">
        <f t="array" ca="1" aca="1" ref="BB45">_xlfn.LET(_xlpm.val,IF($F45="",val_blankRefText,_xldudf_CX_GET(CX_ENTITY,$F45,BB$11,BB$14,,(BB$19))),_xlpm.Res,IF(OR(_xlpm.val="",_xlpm.val="Error"),"",_xlpm.val),_xlpm.Res)</f>
        <v>#NAME?</v>
      </c>
      <c r="BC45" s="1669" t="e" cm="1">
        <f t="array" ca="1" aca="1" ref="BC45">_xlfn.LET(_xlpm.val,IF($F45="",val_blankRefText,_xldudf_CX_GET(CX_ENTITY,$F45,BC$11,BC$14,,(BC$19))),_xlpm.Res,IF(OR(_xlpm.val="",_xlpm.val="Error"),"",_xlpm.val),_xlpm.Res)</f>
        <v>#NAME?</v>
      </c>
      <c r="BD45" s="1669" t="e" cm="1">
        <f t="array" ca="1" aca="1" ref="BD45">_xlfn.LET(_xlpm.val,IF($F45="",val_blankRefText,_xldudf_CX_GET(CX_ENTITY,$F45,BD$11,BD$14,,(BD$19))),_xlpm.Res,IF(OR(_xlpm.val="",_xlpm.val="Error"),"",_xlpm.val),_xlpm.Res)</f>
        <v>#NAME?</v>
      </c>
      <c r="BE45" s="1669" t="e" cm="1">
        <f t="array" ca="1" aca="1" ref="BE45">_xlfn.LET(_xlpm.val,IF($F45="",val_blankRefText,_xldudf_CX_GET(CX_ENTITY,$F45,BE$11,BE$14,,(BE$19))),_xlpm.Res,IF(OR(_xlpm.val="",_xlpm.val="Error"),"",_xlpm.val),_xlpm.Res)</f>
        <v>#NAME?</v>
      </c>
      <c r="BF45" s="1669" t="e" cm="1">
        <f t="array" ca="1" aca="1" ref="BF45">_xlfn.LET(_xlpm.val,IF($F45="",val_blankRefText,_xldudf_CX_GET(CX_ENTITY,$F45,BF$11,BF$14,,(BF$19))),_xlpm.Res,IF(OR(_xlpm.val="",_xlpm.val="Error"),"",_xlpm.val),_xlpm.Res)</f>
        <v>#NAME?</v>
      </c>
      <c r="BG45" s="1669" t="e" cm="1">
        <f t="array" ca="1" aca="1" ref="BG45">_xlfn.LET(_xlpm.val,IF($F45="",val_blankRefText,_xldudf_CX_GET(CX_ENTITY,$F45,BG$11,BG$14,,(BG$19))),_xlpm.Res,IF(OR(_xlpm.val="",_xlpm.val="Error"),"",_xlpm.val),_xlpm.Res)</f>
        <v>#NAME?</v>
      </c>
      <c r="BH45" s="1669" t="e" cm="1">
        <f t="array" ca="1" aca="1" ref="BH45">_xlfn.LET(_xlpm.val,IF($F45="",val_blankRefText,_xldudf_CX_GET(CX_ENTITY,$F45,BH$11,BH$14,,(BH$19))),_xlpm.Res,IF(OR(_xlpm.val="",_xlpm.val="Error"),"",_xlpm.val),_xlpm.Res)</f>
        <v>#NAME?</v>
      </c>
      <c r="BI45" s="1669" t="e" cm="1">
        <f t="array" ca="1" aca="1" ref="BI45">_xlfn.LET(_xlpm.val,IF($F45="",val_blankRefText,_xldudf_CX_GET(CX_ENTITY,$F45,BI$11,BI$14,,(BI$19))),_xlpm.Res,IF(OR(_xlpm.val="",_xlpm.val="Error"),"",_xlpm.val),_xlpm.Res)</f>
        <v>#NAME?</v>
      </c>
      <c r="BJ45" s="1669" t="e" cm="1">
        <f t="array" ca="1" aca="1" ref="BJ45">_xlfn.LET(_xlpm.val,IF($F45="",val_blankRefText,_xldudf_CX_GET(CX_ENTITY,$F45,BJ$11,BJ$14,,(BJ$19))),_xlpm.Res,IF(OR(_xlpm.val="",_xlpm.val="Error"),"",_xlpm.val),_xlpm.Res)</f>
        <v>#NAME?</v>
      </c>
      <c r="BK45" s="1669" t="e" cm="1">
        <f t="array" ca="1" aca="1" ref="BK45">_xlfn.LET(_xlpm.val,IF($F45="",val_blankRefText,_xldudf_CX_GET(CX_ENTITY,$F45,BK$11,BK$14,,(BK$19))),_xlpm.Res,IF(OR(_xlpm.val="",_xlpm.val="Error"),"",_xlpm.val),_xlpm.Res)</f>
        <v>#NAME?</v>
      </c>
      <c r="BL45" s="1669" t="e" cm="1">
        <f t="array" ca="1" aca="1" ref="BL45">_xlfn.LET(_xlpm.val,IF($F45="",val_blankRefText,_xldudf_CX_GET(CX_ENTITY,$F45,BL$11,BL$14,,(BL$19))),_xlpm.Res,IF(OR(_xlpm.val="",_xlpm.val="Error"),"",_xlpm.val),_xlpm.Res)</f>
        <v>#NAME?</v>
      </c>
      <c r="BM45" s="1669" t="e" cm="1">
        <f t="array" ca="1" aca="1" ref="BM45">_xlfn.LET(_xlpm.val,IF($F45="",val_blankRefText,_xldudf_CX_GET(CX_ENTITY,$F45,BM$11,BM$14,,(BM$19))),_xlpm.Res,IF(OR(_xlpm.val="",_xlpm.val="Error"),"",_xlpm.val),_xlpm.Res)</f>
        <v>#NAME?</v>
      </c>
      <c r="BN45" s="1669" t="e" cm="1">
        <f t="array" ca="1" aca="1" ref="BN45">_xlfn.LET(_xlpm.val,IF($F45="",val_blankRefText,_xldudf_CX_GET(CX_ENTITY,$F45,BN$11,BN$14,,(BN$19))),_xlpm.Res,IF(OR(_xlpm.val="",_xlpm.val="Error"),"",_xlpm.val),_xlpm.Res)</f>
        <v>#NAME?</v>
      </c>
      <c r="BO45" s="2095"/>
      <c r="BP45" s="2095"/>
      <c r="BQ45" s="2095"/>
      <c r="BR45" s="2095"/>
      <c r="BS45" s="2095"/>
      <c r="BT45" s="2095"/>
      <c r="BU45" s="2095"/>
      <c r="BV45" s="2095"/>
      <c r="BW45" s="2095"/>
      <c r="BX45" s="2095"/>
      <c r="BY45" s="2095"/>
      <c r="BZ45" s="2095"/>
      <c r="CA45" s="34"/>
      <c r="CC45" s="33"/>
      <c r="CD45" s="559" t="e" cm="1">
        <f t="array" ca="1" aca="1" ref="CD45">_xlfn.XLOOKUP(PL!CD$11,array_timeline,PL!$AD45:$BN45,"")</f>
        <v>#NAME?</v>
      </c>
      <c r="CE45" s="559" t="e" cm="1">
        <f t="array" ca="1" aca="1" ref="CE45">_xlfn.XLOOKUP(PL!CE$11,array_timeline,PL!$AD45:$BN45,"")</f>
        <v>#NAME?</v>
      </c>
      <c r="CF45" s="88"/>
      <c r="CG45" s="590"/>
      <c r="CH45" s="590"/>
      <c r="CI45" s="88"/>
      <c r="CJ45" s="3201">
        <f>_xlfn.XLOOKUP(CJ$74,array_timeline,PL!$AD45:$BN45,"")</f>
        <v>1</v>
      </c>
      <c r="CK45" s="3201">
        <f>_xlfn.XLOOKUP(CK$74,array_timeline,PL!$AD45:$BN45,"")</f>
        <v>1</v>
      </c>
      <c r="CL45" s="88"/>
      <c r="CM45" s="1556" t="e" cm="1">
        <f t="array" ca="1" aca="1" ref="CM45">IF($F45="",val_blankRefText,N(_xldudf_CX_GET(CX_ENTITY,$F45,CM$11,CM$14,,(CM$19)))/fxVal_normal*fxVal_sign($A45))</f>
        <v>#NAME?</v>
      </c>
      <c r="CN45" s="1556" t="e" cm="1">
        <f t="array" ca="1" aca="1" ref="CN45">IF($F45="",val_blankRefText,N(_xldudf_CX_GET(CX_ENTITY,$F45,CN$11,CN$14,,(CN$19)))/fxVal_normal*fxVal_sign($A45))</f>
        <v>#NAME?</v>
      </c>
      <c r="CO45" s="992"/>
      <c r="CP45" s="1650" t="e" cm="1">
        <f t="array" ca="1" aca="1" ref="CP45">IF($F45="",val_blankRefText,N(_xldudf_CX_GET(CX_ENTITY,$F45,CP$11,CP$14,,(CP$19)))/fxVal_normal*fxVal_sign($A45))</f>
        <v>#NAME?</v>
      </c>
      <c r="CQ45" s="1651" t="e" cm="1">
        <f t="array" ca="1" aca="1" ref="CQ45">IF($F45="",val_blankRefText,N(_xldudf_CX_GET(CX_ENTITY,$F45,CQ$11,CQ$14,,(CQ$19)))/fxVal_normal*fxVal_sign($A45))</f>
        <v>#NAME?</v>
      </c>
      <c r="CR45" s="34"/>
    </row>
    <row r="46" spans="1:96" ht="21" customHeight="1" outlineLevel="2">
      <c r="A46" s="1322"/>
      <c r="B46" s="2128" t="s">
        <v>1559</v>
      </c>
      <c r="C46" s="2125" t="s">
        <v>1560</v>
      </c>
      <c r="D46" s="1616"/>
      <c r="E46" s="1615" t="e" cm="1">
        <f t="array" ca="1" aca="1" ref="E46">_xlfn.LET(_xlpm.Attr,$C46,_xlpm.Lookback,$E$16,_xlpm.QueryDate,EOMONTH(val_asOfDate,_xlpm.Lookback),_xlpm.ReadField,_xldudf_CX_GET(CX_ENTITY,fx_attrConverter($C46),_xlpm.QueryDate),_xlpm.AttrBlank,_xlpm.Attr="",_xlpm.RESULT,IF(_xlpm.AttrBlank,val_blankRefText,fx_attrConverter(_xlpm.ReadField,0)),IF(_xlpm.RESULT="Error","",_xlpm.RESULT))</f>
        <v>#NAME?</v>
      </c>
      <c r="F46" s="1615" t="str">
        <f t="shared" si="9"/>
        <v>Custom Metric Amount 1</v>
      </c>
      <c r="G46" s="577" t="s">
        <v>1558</v>
      </c>
      <c r="H46" s="3279">
        <v>1</v>
      </c>
      <c r="I46" s="3279">
        <v>1</v>
      </c>
      <c r="J46" s="401"/>
      <c r="K46" s="401"/>
      <c r="L46" s="579" t="b">
        <v>0</v>
      </c>
      <c r="N46" s="158"/>
      <c r="O46" s="101"/>
      <c r="P46" s="52"/>
      <c r="Q46" s="101"/>
      <c r="R46" s="126"/>
      <c r="S46" s="101"/>
      <c r="T46" s="101"/>
      <c r="U46" s="39"/>
      <c r="W46" s="91" t="str">
        <f>_PL!$W$17</f>
        <v>Actual</v>
      </c>
      <c r="X46" s="2370" t="e" cm="1">
        <f t="array" ca="1" aca="1" ref="X46">_xlfn.LET(_xlpm.toPass,$E46="",_xlpm.hasParts,ISNUMBER(SEARCH("|",$E46)),_xlpm.Part1,INDEX(_xlfn.TEXTSPLIT($E46,"|",,FALSE,1),1),_xlpm.Part1Num,IFERROR(_xlfn.NUMBERVALUE(_xlpm.Part1),_xlpm.Part1),_xlfn.SWITCH(TRUE,_xlpm.toPass,"",_xlpm.hasParts,_xlpm.Part1Num,$E46))</f>
        <v>#NAME?</v>
      </c>
      <c r="Y46" s="590" t="e" cm="1">
        <f t="array" ca="1" aca="1" ref="Y46">IF($E46="","",IF(ISNUMBER(SEARCH("|",$E46)),INDEX(_xlfn.TEXTSPLIT($E46,"|",,FALSE,1),2),$E46))</f>
        <v>#NAME?</v>
      </c>
      <c r="Z46" s="198" t="e">
        <f ca="1">IF(Y46="","",-1)</f>
        <v>#NAME?</v>
      </c>
      <c r="AA46" s="200"/>
      <c r="AB46" s="709" t="e" cm="1">
        <f t="array" ca="1" aca="1" ref="AB46">_xlfn.LET(_xlpm.PackedString,E46,IF(_xlpm.PackedString="","",IF(ISNUMBER(SEARCH("|",_xlpm.PackedString)),INDEX(_xlfn.TEXTSPLIT(_xlpm.PackedString,"|",,FALSE),3),_xlpm.PackedString)))</f>
        <v>#NAME?</v>
      </c>
      <c r="AC46" s="300" t="str" cm="1">
        <f t="array" ca="1" aca="1" ref="AC46">_xlfn.LET(_xlpm.Def,IF(_xlfn.XMATCH(AB46,tbl_acctDef[Term],0)&gt;0,fx_getIcon("find"),""),_xlpm.Adj,IF(_xlfn.XMATCH(AB46,tbl_adjExample[Items],0)&gt;0,fx_getIcon("find"),""),IFERROR(IFBLANK(_xlpm.Def,_xlpm.Adj),""))</f>
        <v/>
      </c>
      <c r="AD46" s="1669" t="e" cm="1">
        <f t="array" ca="1" aca="1" ref="AD46">_xlfn.LET(_xlpm.val,IF($F46="",val_blankRefText,_xldudf_CX_GET(CX_ENTITY,$F46,AD$11,AD$14,,(AD$19))),_xlpm.Res,IF(OR(_xlpm.val="",_xlpm.val="Error"),"",_xlpm.val),_xlpm.Res)</f>
        <v>#NAME?</v>
      </c>
      <c r="AE46" s="1669" t="e" cm="1">
        <f t="array" ca="1" aca="1" ref="AE46">_xlfn.LET(_xlpm.val,IF($F46="",val_blankRefText,_xldudf_CX_GET(CX_ENTITY,$F46,AE$11,AE$14,,(AE$19))),_xlpm.Res,IF(OR(_xlpm.val="",_xlpm.val="Error"),"",_xlpm.val),_xlpm.Res)</f>
        <v>#NAME?</v>
      </c>
      <c r="AF46" s="1669" t="e" cm="1">
        <f t="array" ca="1" aca="1" ref="AF46">_xlfn.LET(_xlpm.val,IF($F46="",val_blankRefText,_xldudf_CX_GET(CX_ENTITY,$F46,AF$11,AF$14,,(AF$19))),_xlpm.Res,IF(OR(_xlpm.val="",_xlpm.val="Error"),"",_xlpm.val),_xlpm.Res)</f>
        <v>#NAME?</v>
      </c>
      <c r="AG46" s="1669" t="e" cm="1">
        <f t="array" ca="1" aca="1" ref="AG46">_xlfn.LET(_xlpm.val,IF($F46="",val_blankRefText,_xldudf_CX_GET(CX_ENTITY,$F46,AG$11,AG$14,,(AG$19))),_xlpm.Res,IF(OR(_xlpm.val="",_xlpm.val="Error"),"",_xlpm.val),_xlpm.Res)</f>
        <v>#NAME?</v>
      </c>
      <c r="AH46" s="1669" t="e" cm="1">
        <f t="array" ca="1" aca="1" ref="AH46">_xlfn.LET(_xlpm.val,IF($F46="",val_blankRefText,_xldudf_CX_GET(CX_ENTITY,$F46,AH$11,AH$14,,(AH$19))),_xlpm.Res,IF(OR(_xlpm.val="",_xlpm.val="Error"),"",_xlpm.val),_xlpm.Res)</f>
        <v>#NAME?</v>
      </c>
      <c r="AI46" s="1669" t="e" cm="1">
        <f t="array" ca="1" aca="1" ref="AI46">_xlfn.LET(_xlpm.val,IF($F46="",val_blankRefText,_xldudf_CX_GET(CX_ENTITY,$F46,AI$11,AI$14,,(AI$19))),_xlpm.Res,IF(OR(_xlpm.val="",_xlpm.val="Error"),"",_xlpm.val),_xlpm.Res)</f>
        <v>#NAME?</v>
      </c>
      <c r="AJ46" s="1669" t="e" cm="1">
        <f t="array" ca="1" aca="1" ref="AJ46">_xlfn.LET(_xlpm.val,IF($F46="",val_blankRefText,_xldudf_CX_GET(CX_ENTITY,$F46,AJ$11,AJ$14,,(AJ$19))),_xlpm.Res,IF(OR(_xlpm.val="",_xlpm.val="Error"),"",_xlpm.val),_xlpm.Res)</f>
        <v>#NAME?</v>
      </c>
      <c r="AK46" s="1669" t="e" cm="1">
        <f t="array" ca="1" aca="1" ref="AK46">_xlfn.LET(_xlpm.val,IF($F46="",val_blankRefText,_xldudf_CX_GET(CX_ENTITY,$F46,AK$11,AK$14,,(AK$19))),_xlpm.Res,IF(OR(_xlpm.val="",_xlpm.val="Error"),"",_xlpm.val),_xlpm.Res)</f>
        <v>#NAME?</v>
      </c>
      <c r="AL46" s="1669" t="e" cm="1">
        <f t="array" ca="1" aca="1" ref="AL46">_xlfn.LET(_xlpm.val,IF($F46="",val_blankRefText,_xldudf_CX_GET(CX_ENTITY,$F46,AL$11,AL$14,,(AL$19))),_xlpm.Res,IF(OR(_xlpm.val="",_xlpm.val="Error"),"",_xlpm.val),_xlpm.Res)</f>
        <v>#NAME?</v>
      </c>
      <c r="AM46" s="1669" t="e" cm="1">
        <f t="array" ca="1" aca="1" ref="AM46">_xlfn.LET(_xlpm.val,IF($F46="",val_blankRefText,_xldudf_CX_GET(CX_ENTITY,$F46,AM$11,AM$14,,(AM$19))),_xlpm.Res,IF(OR(_xlpm.val="",_xlpm.val="Error"),"",_xlpm.val),_xlpm.Res)</f>
        <v>#NAME?</v>
      </c>
      <c r="AN46" s="1669" t="e" cm="1">
        <f t="array" ca="1" aca="1" ref="AN46">_xlfn.LET(_xlpm.val,IF($F46="",val_blankRefText,_xldudf_CX_GET(CX_ENTITY,$F46,AN$11,AN$14,,(AN$19))),_xlpm.Res,IF(OR(_xlpm.val="",_xlpm.val="Error"),"",_xlpm.val),_xlpm.Res)</f>
        <v>#NAME?</v>
      </c>
      <c r="AO46" s="1669" t="e" cm="1">
        <f t="array" ca="1" aca="1" ref="AO46">_xlfn.LET(_xlpm.val,IF($F46="",val_blankRefText,_xldudf_CX_GET(CX_ENTITY,$F46,AO$11,AO$14,,(AO$19))),_xlpm.Res,IF(OR(_xlpm.val="",_xlpm.val="Error"),"",_xlpm.val),_xlpm.Res)</f>
        <v>#NAME?</v>
      </c>
      <c r="AP46" s="1669" t="e" cm="1">
        <f t="array" ca="1" aca="1" ref="AP46">_xlfn.LET(_xlpm.val,IF($F46="",val_blankRefText,_xldudf_CX_GET(CX_ENTITY,$F46,AP$11,AP$14,,(AP$19))),_xlpm.Res,IF(OR(_xlpm.val="",_xlpm.val="Error"),"",_xlpm.val),_xlpm.Res)</f>
        <v>#NAME?</v>
      </c>
      <c r="AQ46" s="1669" t="e" cm="1">
        <f t="array" ca="1" aca="1" ref="AQ46">_xlfn.LET(_xlpm.val,IF($F46="",val_blankRefText,_xldudf_CX_GET(CX_ENTITY,$F46,AQ$11,AQ$14,,(AQ$19))),_xlpm.Res,IF(OR(_xlpm.val="",_xlpm.val="Error"),"",_xlpm.val),_xlpm.Res)</f>
        <v>#NAME?</v>
      </c>
      <c r="AR46" s="1669" t="e" cm="1">
        <f t="array" ca="1" aca="1" ref="AR46">_xlfn.LET(_xlpm.val,IF($F46="",val_blankRefText,_xldudf_CX_GET(CX_ENTITY,$F46,AR$11,AR$14,,(AR$19))),_xlpm.Res,IF(OR(_xlpm.val="",_xlpm.val="Error"),"",_xlpm.val),_xlpm.Res)</f>
        <v>#NAME?</v>
      </c>
      <c r="AS46" s="1669" t="e" cm="1">
        <f t="array" ca="1" aca="1" ref="AS46">_xlfn.LET(_xlpm.val,IF($F46="",val_blankRefText,_xldudf_CX_GET(CX_ENTITY,$F46,AS$11,AS$14,,(AS$19))),_xlpm.Res,IF(OR(_xlpm.val="",_xlpm.val="Error"),"",_xlpm.val),_xlpm.Res)</f>
        <v>#NAME?</v>
      </c>
      <c r="AT46" s="1669" t="e" cm="1">
        <f t="array" ca="1" aca="1" ref="AT46">_xlfn.LET(_xlpm.val,IF($F46="",val_blankRefText,_xldudf_CX_GET(CX_ENTITY,$F46,AT$11,AT$14,,(AT$19))),_xlpm.Res,IF(OR(_xlpm.val="",_xlpm.val="Error"),"",_xlpm.val),_xlpm.Res)</f>
        <v>#NAME?</v>
      </c>
      <c r="AU46" s="1669" t="e" cm="1">
        <f t="array" ca="1" aca="1" ref="AU46">_xlfn.LET(_xlpm.val,IF($F46="",val_blankRefText,_xldudf_CX_GET(CX_ENTITY,$F46,AU$11,AU$14,,(AU$19))),_xlpm.Res,IF(OR(_xlpm.val="",_xlpm.val="Error"),"",_xlpm.val),_xlpm.Res)</f>
        <v>#NAME?</v>
      </c>
      <c r="AV46" s="1669" t="e" cm="1">
        <f t="array" ca="1" aca="1" ref="AV46">_xlfn.LET(_xlpm.val,IF($F46="",val_blankRefText,_xldudf_CX_GET(CX_ENTITY,$F46,AV$11,AV$14,,(AV$19))),_xlpm.Res,IF(OR(_xlpm.val="",_xlpm.val="Error"),"",_xlpm.val),_xlpm.Res)</f>
        <v>#NAME?</v>
      </c>
      <c r="AW46" s="1669" t="e" cm="1">
        <f t="array" ca="1" aca="1" ref="AW46">_xlfn.LET(_xlpm.val,IF($F46="",val_blankRefText,_xldudf_CX_GET(CX_ENTITY,$F46,AW$11,AW$14,,(AW$19))),_xlpm.Res,IF(OR(_xlpm.val="",_xlpm.val="Error"),"",_xlpm.val),_xlpm.Res)</f>
        <v>#NAME?</v>
      </c>
      <c r="AX46" s="1669" t="e" cm="1">
        <f t="array" ca="1" aca="1" ref="AX46">_xlfn.LET(_xlpm.val,IF($F46="",val_blankRefText,_xldudf_CX_GET(CX_ENTITY,$F46,AX$11,AX$14,,(AX$19))),_xlpm.Res,IF(OR(_xlpm.val="",_xlpm.val="Error"),"",_xlpm.val),_xlpm.Res)</f>
        <v>#NAME?</v>
      </c>
      <c r="AY46" s="1669" t="e" cm="1">
        <f t="array" ca="1" aca="1" ref="AY46">_xlfn.LET(_xlpm.val,IF($F46="",val_blankRefText,_xldudf_CX_GET(CX_ENTITY,$F46,AY$11,AY$14,,(AY$19))),_xlpm.Res,IF(OR(_xlpm.val="",_xlpm.val="Error"),"",_xlpm.val),_xlpm.Res)</f>
        <v>#NAME?</v>
      </c>
      <c r="AZ46" s="1669" t="e" cm="1">
        <f t="array" ca="1" aca="1" ref="AZ46">_xlfn.LET(_xlpm.val,IF($F46="",val_blankRefText,_xldudf_CX_GET(CX_ENTITY,$F46,AZ$11,AZ$14,,(AZ$19))),_xlpm.Res,IF(OR(_xlpm.val="",_xlpm.val="Error"),"",_xlpm.val),_xlpm.Res)</f>
        <v>#NAME?</v>
      </c>
      <c r="BA46" s="1669" t="e" cm="1">
        <f t="array" ca="1" aca="1" ref="BA46">_xlfn.LET(_xlpm.val,IF($F46="",val_blankRefText,_xldudf_CX_GET(CX_ENTITY,$F46,BA$11,BA$14,,(BA$19))),_xlpm.Res,IF(OR(_xlpm.val="",_xlpm.val="Error"),"",_xlpm.val),_xlpm.Res)</f>
        <v>#NAME?</v>
      </c>
      <c r="BB46" s="1669" t="e" cm="1">
        <f t="array" ca="1" aca="1" ref="BB46">_xlfn.LET(_xlpm.val,IF($F46="",val_blankRefText,_xldudf_CX_GET(CX_ENTITY,$F46,BB$11,BB$14,,(BB$19))),_xlpm.Res,IF(OR(_xlpm.val="",_xlpm.val="Error"),"",_xlpm.val),_xlpm.Res)</f>
        <v>#NAME?</v>
      </c>
      <c r="BC46" s="1669" t="e" cm="1">
        <f t="array" ca="1" aca="1" ref="BC46">_xlfn.LET(_xlpm.val,IF($F46="",val_blankRefText,_xldudf_CX_GET(CX_ENTITY,$F46,BC$11,BC$14,,(BC$19))),_xlpm.Res,IF(OR(_xlpm.val="",_xlpm.val="Error"),"",_xlpm.val),_xlpm.Res)</f>
        <v>#NAME?</v>
      </c>
      <c r="BD46" s="1669" t="e" cm="1">
        <f t="array" ca="1" aca="1" ref="BD46">_xlfn.LET(_xlpm.val,IF($F46="",val_blankRefText,_xldudf_CX_GET(CX_ENTITY,$F46,BD$11,BD$14,,(BD$19))),_xlpm.Res,IF(OR(_xlpm.val="",_xlpm.val="Error"),"",_xlpm.val),_xlpm.Res)</f>
        <v>#NAME?</v>
      </c>
      <c r="BE46" s="1669" t="e" cm="1">
        <f t="array" ca="1" aca="1" ref="BE46">_xlfn.LET(_xlpm.val,IF($F46="",val_blankRefText,_xldudf_CX_GET(CX_ENTITY,$F46,BE$11,BE$14,,(BE$19))),_xlpm.Res,IF(OR(_xlpm.val="",_xlpm.val="Error"),"",_xlpm.val),_xlpm.Res)</f>
        <v>#NAME?</v>
      </c>
      <c r="BF46" s="1669" t="e" cm="1">
        <f t="array" ca="1" aca="1" ref="BF46">_xlfn.LET(_xlpm.val,IF($F46="",val_blankRefText,_xldudf_CX_GET(CX_ENTITY,$F46,BF$11,BF$14,,(BF$19))),_xlpm.Res,IF(OR(_xlpm.val="",_xlpm.val="Error"),"",_xlpm.val),_xlpm.Res)</f>
        <v>#NAME?</v>
      </c>
      <c r="BG46" s="1669" t="e" cm="1">
        <f t="array" ca="1" aca="1" ref="BG46">_xlfn.LET(_xlpm.val,IF($F46="",val_blankRefText,_xldudf_CX_GET(CX_ENTITY,$F46,BG$11,BG$14,,(BG$19))),_xlpm.Res,IF(OR(_xlpm.val="",_xlpm.val="Error"),"",_xlpm.val),_xlpm.Res)</f>
        <v>#NAME?</v>
      </c>
      <c r="BH46" s="1669" t="e" cm="1">
        <f t="array" ca="1" aca="1" ref="BH46">_xlfn.LET(_xlpm.val,IF($F46="",val_blankRefText,_xldudf_CX_GET(CX_ENTITY,$F46,BH$11,BH$14,,(BH$19))),_xlpm.Res,IF(OR(_xlpm.val="",_xlpm.val="Error"),"",_xlpm.val),_xlpm.Res)</f>
        <v>#NAME?</v>
      </c>
      <c r="BI46" s="1669" t="e" cm="1">
        <f t="array" ca="1" aca="1" ref="BI46">_xlfn.LET(_xlpm.val,IF($F46="",val_blankRefText,_xldudf_CX_GET(CX_ENTITY,$F46,BI$11,BI$14,,(BI$19))),_xlpm.Res,IF(OR(_xlpm.val="",_xlpm.val="Error"),"",_xlpm.val),_xlpm.Res)</f>
        <v>#NAME?</v>
      </c>
      <c r="BJ46" s="1669" t="e" cm="1">
        <f t="array" ca="1" aca="1" ref="BJ46">_xlfn.LET(_xlpm.val,IF($F46="",val_blankRefText,_xldudf_CX_GET(CX_ENTITY,$F46,BJ$11,BJ$14,,(BJ$19))),_xlpm.Res,IF(OR(_xlpm.val="",_xlpm.val="Error"),"",_xlpm.val),_xlpm.Res)</f>
        <v>#NAME?</v>
      </c>
      <c r="BK46" s="1669" t="e" cm="1">
        <f t="array" ca="1" aca="1" ref="BK46">_xlfn.LET(_xlpm.val,IF($F46="",val_blankRefText,_xldudf_CX_GET(CX_ENTITY,$F46,BK$11,BK$14,,(BK$19))),_xlpm.Res,IF(OR(_xlpm.val="",_xlpm.val="Error"),"",_xlpm.val),_xlpm.Res)</f>
        <v>#NAME?</v>
      </c>
      <c r="BL46" s="1669" t="e" cm="1">
        <f t="array" ca="1" aca="1" ref="BL46">_xlfn.LET(_xlpm.val,IF($F46="",val_blankRefText,_xldudf_CX_GET(CX_ENTITY,$F46,BL$11,BL$14,,(BL$19))),_xlpm.Res,IF(OR(_xlpm.val="",_xlpm.val="Error"),"",_xlpm.val),_xlpm.Res)</f>
        <v>#NAME?</v>
      </c>
      <c r="BM46" s="1669" t="e" cm="1">
        <f t="array" ca="1" aca="1" ref="BM46">_xlfn.LET(_xlpm.val,IF($F46="",val_blankRefText,_xldudf_CX_GET(CX_ENTITY,$F46,BM$11,BM$14,,(BM$19))),_xlpm.Res,IF(OR(_xlpm.val="",_xlpm.val="Error"),"",_xlpm.val),_xlpm.Res)</f>
        <v>#NAME?</v>
      </c>
      <c r="BN46" s="1669" t="e" cm="1">
        <f t="array" ca="1" aca="1" ref="BN46">_xlfn.LET(_xlpm.val,IF($F46="",val_blankRefText,_xldudf_CX_GET(CX_ENTITY,$F46,BN$11,BN$14,,(BN$19))),_xlpm.Res,IF(OR(_xlpm.val="",_xlpm.val="Error"),"",_xlpm.val),_xlpm.Res)</f>
        <v>#NAME?</v>
      </c>
      <c r="BO46" s="2095"/>
      <c r="BP46" s="2095"/>
      <c r="BQ46" s="2095"/>
      <c r="BR46" s="2095"/>
      <c r="BS46" s="2095"/>
      <c r="BT46" s="2095"/>
      <c r="BU46" s="2095"/>
      <c r="BV46" s="2095"/>
      <c r="BW46" s="2095"/>
      <c r="BX46" s="2095"/>
      <c r="BY46" s="2095"/>
      <c r="BZ46" s="2095"/>
      <c r="CA46" s="34"/>
      <c r="CC46" s="33"/>
      <c r="CD46" s="1461" t="e" cm="1">
        <f t="array" ca="1" aca="1" ref="CD46">_xlfn.LET(_xlpm.CheckBlank,SUM(PL!$AD46:PL!$BN46)=0,IF(_xlpm.CheckBlank,"",SUM(_xlfn._xlws.FILTER(PL!$AD46:$BN46,(YEAR(PL!$AD$12:$BN$12)=PL!CD$12)*(array_timeline&lt;=PL!CD$11)))))</f>
        <v>#NAME?</v>
      </c>
      <c r="CE46" s="1461" t="e" cm="1">
        <f t="array" ca="1" aca="1" ref="CE46">_xlfn.LET(_xlpm.CheckBlank,SUM(PL!$AD46:PL!$BN46)=0,IF(_xlpm.CheckBlank,"",SUM(_xlfn._xlws.FILTER(PL!$AD46:$BN46,(YEAR(PL!$AD$12:$BN$12)=PL!CE$12)*(array_timeline&lt;=PL!CE$11)))))</f>
        <v>#NAME?</v>
      </c>
      <c r="CF46" s="88"/>
      <c r="CG46" s="1461" t="e" cm="1">
        <f t="array" ca="1" aca="1" ref="CG46">_xlfn.LET(_xlpm.CheckBlank,SUM(PL!$AD46:$BN46)=0,IF(_xlpm.CheckBlank,"",SUM(_xlfn._xlws.FILTER(PL!$AD46:$BN46,(YEAR(PL!$AD$12:$BN$12)=PL!CG$12)*(array_timeline&lt;=PL!CG$11)))))</f>
        <v>#NAME?</v>
      </c>
      <c r="CH46" s="1461" t="e" cm="1">
        <f t="array" ca="1" aca="1" ref="CH46">_xlfn.LET(_xlpm.CheckBlank,SUM(PL!$AD46:$BN46)=0,IF(_xlpm.CheckBlank,"",SUM(_xlfn._xlws.FILTER(PL!$AD46:$BN46,(YEAR(PL!$AD$12:$BN$12)=PL!CH$12)*(array_timeline&lt;=PL!CH$11)))))</f>
        <v>#NAME?</v>
      </c>
      <c r="CI46" s="88"/>
      <c r="CJ46" s="1461" cm="1">
        <f t="array" ref="CJ46">_xlfn.LET(_xlpm.CheckBlank,SUM(PL!$AD46:$BN46)=0,IF(_xlpm.CheckBlank,"",SUM(_xlfn.TAKE(_xlfn.DROP(PL!$AD46:$BN46,,-DATEDIFF(PL!CJ$11,val_asOfDate,"M")),1,-12))))</f>
        <v>12</v>
      </c>
      <c r="CK46" s="1461" cm="1">
        <f t="array" ref="CK46">_xlfn.LET(_xlpm.CheckBlank,SUM(PL!$AD46:$BN46)=0,IF(_xlpm.CheckBlank,"",SUM(_xlfn.TAKE(_xlfn.DROP(PL!$AD46:$BN46,,-DATEDIFF(PL!CK$11,val_asOfDate,"M")),1,-12))))</f>
        <v>12</v>
      </c>
      <c r="CL46" s="88"/>
      <c r="CM46" s="1556" t="e" cm="1">
        <f t="array" ca="1" aca="1" ref="CM46">IF($F46="",val_blankRefText,N(_xldudf_CX_GET(CX_ENTITY,$F46,CM$11,CM$14,,(CM$19)))/fxVal_normal*fxVal_sign($A46))</f>
        <v>#NAME?</v>
      </c>
      <c r="CN46" s="1556" t="e" cm="1">
        <f t="array" ca="1" aca="1" ref="CN46">IF($F46="",val_blankRefText,N(_xldudf_CX_GET(CX_ENTITY,$F46,CN$11,CN$14,,(CN$19)))/fxVal_normal*fxVal_sign($A46))</f>
        <v>#NAME?</v>
      </c>
      <c r="CO46" s="88"/>
      <c r="CP46" s="1650" t="e" cm="1">
        <f t="array" ca="1" aca="1" ref="CP46">IF($F46="",val_blankRefText,N(_xldudf_CX_GET(CX_ENTITY,$F46,CP$11,CP$14,,(CP$19)))/fxVal_normal*fxVal_sign($A46))</f>
        <v>#NAME?</v>
      </c>
      <c r="CQ46" s="1651" t="e" cm="1">
        <f t="array" ca="1" aca="1" ref="CQ46">IF($F46="",val_blankRefText,N(_xldudf_CX_GET(CX_ENTITY,$F46,CQ$11,CQ$14,,(CQ$19)))/fxVal_normal*fxVal_sign($A46))</f>
        <v>#NAME?</v>
      </c>
      <c r="CR46" s="34"/>
    </row>
    <row r="47" spans="1:96" ht="21" customHeight="1" outlineLevel="2">
      <c r="A47" s="1322"/>
      <c r="B47" s="2128" t="s">
        <v>1561</v>
      </c>
      <c r="C47" s="2125" t="s">
        <v>1562</v>
      </c>
      <c r="D47" s="1616"/>
      <c r="E47" s="1615" t="e" cm="1">
        <f t="array" ca="1" aca="1" ref="E47">_xlfn.LET(_xlpm.Attr,$C47,_xlpm.Lookback,$E$16,_xlpm.QueryDate,EOMONTH(val_asOfDate,_xlpm.Lookback),_xlpm.ReadField,_xldudf_CX_GET(CX_ENTITY,fx_attrConverter($C47),_xlpm.QueryDate),_xlpm.AttrBlank,_xlpm.Attr="",_xlpm.RESULT,IF(_xlpm.AttrBlank,val_blankRefText,fx_attrConverter(_xlpm.ReadField,0)),IF(_xlpm.RESULT="Error","",_xlpm.RESULT))</f>
        <v>#NAME?</v>
      </c>
      <c r="F47" s="1615" t="str">
        <f t="shared" si="9"/>
        <v>Custom Metric Amount 2</v>
      </c>
      <c r="G47" s="577" t="s">
        <v>1558</v>
      </c>
      <c r="H47" s="3279">
        <v>1</v>
      </c>
      <c r="I47" s="3279">
        <v>1</v>
      </c>
      <c r="J47" s="401"/>
      <c r="K47" s="401"/>
      <c r="L47" s="579" t="b">
        <v>0</v>
      </c>
      <c r="N47" s="158"/>
      <c r="O47" s="101"/>
      <c r="P47" s="52"/>
      <c r="Q47" s="101"/>
      <c r="R47" s="126"/>
      <c r="S47" s="101"/>
      <c r="T47" s="101"/>
      <c r="U47" s="39"/>
      <c r="W47" s="91" t="str">
        <f>_PL!$W$17</f>
        <v>Actual</v>
      </c>
      <c r="X47" s="2370" t="e" cm="1">
        <f t="array" ca="1" aca="1" ref="X47">_xlfn.LET(_xlpm.toPass,$E47="",_xlpm.hasParts,ISNUMBER(SEARCH("|",$E47)),_xlpm.Part1,INDEX(_xlfn.TEXTSPLIT($E47,"|",,FALSE,1),1),_xlpm.Part1Num,IFERROR(_xlfn.NUMBERVALUE(_xlpm.Part1),_xlpm.Part1),_xlfn.SWITCH(TRUE,_xlpm.toPass,"",_xlpm.hasParts,_xlpm.Part1Num,$E47))</f>
        <v>#NAME?</v>
      </c>
      <c r="Y47" s="590" t="e" cm="1">
        <f t="array" ca="1" aca="1" ref="Y47">IF($E47="","",IF(ISNUMBER(SEARCH("|",$E47)),INDEX(_xlfn.TEXTSPLIT($E47,"|",,FALSE,1),2),$E47))</f>
        <v>#NAME?</v>
      </c>
      <c r="Z47" s="198" t="e">
        <f ca="1" t="shared" si="10" ref="Z47:Z54">IF(Y47="","",-1)</f>
        <v>#NAME?</v>
      </c>
      <c r="AA47" s="200"/>
      <c r="AB47" s="709" t="e" cm="1">
        <f t="array" ca="1" aca="1" ref="AB47">_xlfn.LET(_xlpm.PackedString,E47,IF(_xlpm.PackedString="","",IF(ISNUMBER(SEARCH("|",_xlpm.PackedString)),INDEX(_xlfn.TEXTSPLIT(_xlpm.PackedString,"|",,FALSE),3),_xlpm.PackedString)))</f>
        <v>#NAME?</v>
      </c>
      <c r="AC47" s="300"/>
      <c r="AD47" s="1669" t="e" cm="1">
        <f t="array" ca="1" aca="1" ref="AD47">_xlfn.LET(_xlpm.val,IF($F47="",val_blankRefText,_xldudf_CX_GET(CX_ENTITY,$F47,AD$11,AD$14,,(AD$19))),_xlpm.Res,IF(OR(_xlpm.val="",_xlpm.val="Error"),"",_xlpm.val),_xlpm.Res)</f>
        <v>#NAME?</v>
      </c>
      <c r="AE47" s="1669" t="e" cm="1">
        <f t="array" ca="1" aca="1" ref="AE47">_xlfn.LET(_xlpm.val,IF($F47="",val_blankRefText,_xldudf_CX_GET(CX_ENTITY,$F47,AE$11,AE$14,,(AE$19))),_xlpm.Res,IF(OR(_xlpm.val="",_xlpm.val="Error"),"",_xlpm.val),_xlpm.Res)</f>
        <v>#NAME?</v>
      </c>
      <c r="AF47" s="1669" t="e" cm="1">
        <f t="array" ca="1" aca="1" ref="AF47">_xlfn.LET(_xlpm.val,IF($F47="",val_blankRefText,_xldudf_CX_GET(CX_ENTITY,$F47,AF$11,AF$14,,(AF$19))),_xlpm.Res,IF(OR(_xlpm.val="",_xlpm.val="Error"),"",_xlpm.val),_xlpm.Res)</f>
        <v>#NAME?</v>
      </c>
      <c r="AG47" s="1669" t="e" cm="1">
        <f t="array" ca="1" aca="1" ref="AG47">_xlfn.LET(_xlpm.val,IF($F47="",val_blankRefText,_xldudf_CX_GET(CX_ENTITY,$F47,AG$11,AG$14,,(AG$19))),_xlpm.Res,IF(OR(_xlpm.val="",_xlpm.val="Error"),"",_xlpm.val),_xlpm.Res)</f>
        <v>#NAME?</v>
      </c>
      <c r="AH47" s="1669" t="e" cm="1">
        <f t="array" ca="1" aca="1" ref="AH47">_xlfn.LET(_xlpm.val,IF($F47="",val_blankRefText,_xldudf_CX_GET(CX_ENTITY,$F47,AH$11,AH$14,,(AH$19))),_xlpm.Res,IF(OR(_xlpm.val="",_xlpm.val="Error"),"",_xlpm.val),_xlpm.Res)</f>
        <v>#NAME?</v>
      </c>
      <c r="AI47" s="1669" t="e" cm="1">
        <f t="array" ca="1" aca="1" ref="AI47">_xlfn.LET(_xlpm.val,IF($F47="",val_blankRefText,_xldudf_CX_GET(CX_ENTITY,$F47,AI$11,AI$14,,(AI$19))),_xlpm.Res,IF(OR(_xlpm.val="",_xlpm.val="Error"),"",_xlpm.val),_xlpm.Res)</f>
        <v>#NAME?</v>
      </c>
      <c r="AJ47" s="1669" t="e" cm="1">
        <f t="array" ca="1" aca="1" ref="AJ47">_xlfn.LET(_xlpm.val,IF($F47="",val_blankRefText,_xldudf_CX_GET(CX_ENTITY,$F47,AJ$11,AJ$14,,(AJ$19))),_xlpm.Res,IF(OR(_xlpm.val="",_xlpm.val="Error"),"",_xlpm.val),_xlpm.Res)</f>
        <v>#NAME?</v>
      </c>
      <c r="AK47" s="1669" t="e" cm="1">
        <f t="array" ca="1" aca="1" ref="AK47">_xlfn.LET(_xlpm.val,IF($F47="",val_blankRefText,_xldudf_CX_GET(CX_ENTITY,$F47,AK$11,AK$14,,(AK$19))),_xlpm.Res,IF(OR(_xlpm.val="",_xlpm.val="Error"),"",_xlpm.val),_xlpm.Res)</f>
        <v>#NAME?</v>
      </c>
      <c r="AL47" s="1669" t="e" cm="1">
        <f t="array" ca="1" aca="1" ref="AL47">_xlfn.LET(_xlpm.val,IF($F47="",val_blankRefText,_xldudf_CX_GET(CX_ENTITY,$F47,AL$11,AL$14,,(AL$19))),_xlpm.Res,IF(OR(_xlpm.val="",_xlpm.val="Error"),"",_xlpm.val),_xlpm.Res)</f>
        <v>#NAME?</v>
      </c>
      <c r="AM47" s="1669" t="e" cm="1">
        <f t="array" ca="1" aca="1" ref="AM47">_xlfn.LET(_xlpm.val,IF($F47="",val_blankRefText,_xldudf_CX_GET(CX_ENTITY,$F47,AM$11,AM$14,,(AM$19))),_xlpm.Res,IF(OR(_xlpm.val="",_xlpm.val="Error"),"",_xlpm.val),_xlpm.Res)</f>
        <v>#NAME?</v>
      </c>
      <c r="AN47" s="1669" t="e" cm="1">
        <f t="array" ca="1" aca="1" ref="AN47">_xlfn.LET(_xlpm.val,IF($F47="",val_blankRefText,_xldudf_CX_GET(CX_ENTITY,$F47,AN$11,AN$14,,(AN$19))),_xlpm.Res,IF(OR(_xlpm.val="",_xlpm.val="Error"),"",_xlpm.val),_xlpm.Res)</f>
        <v>#NAME?</v>
      </c>
      <c r="AO47" s="1669" t="e" cm="1">
        <f t="array" ca="1" aca="1" ref="AO47">_xlfn.LET(_xlpm.val,IF($F47="",val_blankRefText,_xldudf_CX_GET(CX_ENTITY,$F47,AO$11,AO$14,,(AO$19))),_xlpm.Res,IF(OR(_xlpm.val="",_xlpm.val="Error"),"",_xlpm.val),_xlpm.Res)</f>
        <v>#NAME?</v>
      </c>
      <c r="AP47" s="1669" t="e" cm="1">
        <f t="array" ca="1" aca="1" ref="AP47">_xlfn.LET(_xlpm.val,IF($F47="",val_blankRefText,_xldudf_CX_GET(CX_ENTITY,$F47,AP$11,AP$14,,(AP$19))),_xlpm.Res,IF(OR(_xlpm.val="",_xlpm.val="Error"),"",_xlpm.val),_xlpm.Res)</f>
        <v>#NAME?</v>
      </c>
      <c r="AQ47" s="1669" t="e" cm="1">
        <f t="array" ca="1" aca="1" ref="AQ47">_xlfn.LET(_xlpm.val,IF($F47="",val_blankRefText,_xldudf_CX_GET(CX_ENTITY,$F47,AQ$11,AQ$14,,(AQ$19))),_xlpm.Res,IF(OR(_xlpm.val="",_xlpm.val="Error"),"",_xlpm.val),_xlpm.Res)</f>
        <v>#NAME?</v>
      </c>
      <c r="AR47" s="1669" t="e" cm="1">
        <f t="array" ca="1" aca="1" ref="AR47">_xlfn.LET(_xlpm.val,IF($F47="",val_blankRefText,_xldudf_CX_GET(CX_ENTITY,$F47,AR$11,AR$14,,(AR$19))),_xlpm.Res,IF(OR(_xlpm.val="",_xlpm.val="Error"),"",_xlpm.val),_xlpm.Res)</f>
        <v>#NAME?</v>
      </c>
      <c r="AS47" s="1669" t="e" cm="1">
        <f t="array" ca="1" aca="1" ref="AS47">_xlfn.LET(_xlpm.val,IF($F47="",val_blankRefText,_xldudf_CX_GET(CX_ENTITY,$F47,AS$11,AS$14,,(AS$19))),_xlpm.Res,IF(OR(_xlpm.val="",_xlpm.val="Error"),"",_xlpm.val),_xlpm.Res)</f>
        <v>#NAME?</v>
      </c>
      <c r="AT47" s="1669" t="e" cm="1">
        <f t="array" ca="1" aca="1" ref="AT47">_xlfn.LET(_xlpm.val,IF($F47="",val_blankRefText,_xldudf_CX_GET(CX_ENTITY,$F47,AT$11,AT$14,,(AT$19))),_xlpm.Res,IF(OR(_xlpm.val="",_xlpm.val="Error"),"",_xlpm.val),_xlpm.Res)</f>
        <v>#NAME?</v>
      </c>
      <c r="AU47" s="1669" t="e" cm="1">
        <f t="array" ca="1" aca="1" ref="AU47">_xlfn.LET(_xlpm.val,IF($F47="",val_blankRefText,_xldudf_CX_GET(CX_ENTITY,$F47,AU$11,AU$14,,(AU$19))),_xlpm.Res,IF(OR(_xlpm.val="",_xlpm.val="Error"),"",_xlpm.val),_xlpm.Res)</f>
        <v>#NAME?</v>
      </c>
      <c r="AV47" s="1669" t="e" cm="1">
        <f t="array" ca="1" aca="1" ref="AV47">_xlfn.LET(_xlpm.val,IF($F47="",val_blankRefText,_xldudf_CX_GET(CX_ENTITY,$F47,AV$11,AV$14,,(AV$19))),_xlpm.Res,IF(OR(_xlpm.val="",_xlpm.val="Error"),"",_xlpm.val),_xlpm.Res)</f>
        <v>#NAME?</v>
      </c>
      <c r="AW47" s="1669" t="e" cm="1">
        <f t="array" ca="1" aca="1" ref="AW47">_xlfn.LET(_xlpm.val,IF($F47="",val_blankRefText,_xldudf_CX_GET(CX_ENTITY,$F47,AW$11,AW$14,,(AW$19))),_xlpm.Res,IF(OR(_xlpm.val="",_xlpm.val="Error"),"",_xlpm.val),_xlpm.Res)</f>
        <v>#NAME?</v>
      </c>
      <c r="AX47" s="1669" t="e" cm="1">
        <f t="array" ca="1" aca="1" ref="AX47">_xlfn.LET(_xlpm.val,IF($F47="",val_blankRefText,_xldudf_CX_GET(CX_ENTITY,$F47,AX$11,AX$14,,(AX$19))),_xlpm.Res,IF(OR(_xlpm.val="",_xlpm.val="Error"),"",_xlpm.val),_xlpm.Res)</f>
        <v>#NAME?</v>
      </c>
      <c r="AY47" s="1669" t="e" cm="1">
        <f t="array" ca="1" aca="1" ref="AY47">_xlfn.LET(_xlpm.val,IF($F47="",val_blankRefText,_xldudf_CX_GET(CX_ENTITY,$F47,AY$11,AY$14,,(AY$19))),_xlpm.Res,IF(OR(_xlpm.val="",_xlpm.val="Error"),"",_xlpm.val),_xlpm.Res)</f>
        <v>#NAME?</v>
      </c>
      <c r="AZ47" s="1669" t="e" cm="1">
        <f t="array" ca="1" aca="1" ref="AZ47">_xlfn.LET(_xlpm.val,IF($F47="",val_blankRefText,_xldudf_CX_GET(CX_ENTITY,$F47,AZ$11,AZ$14,,(AZ$19))),_xlpm.Res,IF(OR(_xlpm.val="",_xlpm.val="Error"),"",_xlpm.val),_xlpm.Res)</f>
        <v>#NAME?</v>
      </c>
      <c r="BA47" s="1669" t="e" cm="1">
        <f t="array" ca="1" aca="1" ref="BA47">_xlfn.LET(_xlpm.val,IF($F47="",val_blankRefText,_xldudf_CX_GET(CX_ENTITY,$F47,BA$11,BA$14,,(BA$19))),_xlpm.Res,IF(OR(_xlpm.val="",_xlpm.val="Error"),"",_xlpm.val),_xlpm.Res)</f>
        <v>#NAME?</v>
      </c>
      <c r="BB47" s="1669" t="e" cm="1">
        <f t="array" ca="1" aca="1" ref="BB47">_xlfn.LET(_xlpm.val,IF($F47="",val_blankRefText,_xldudf_CX_GET(CX_ENTITY,$F47,BB$11,BB$14,,(BB$19))),_xlpm.Res,IF(OR(_xlpm.val="",_xlpm.val="Error"),"",_xlpm.val),_xlpm.Res)</f>
        <v>#NAME?</v>
      </c>
      <c r="BC47" s="1669" t="e" cm="1">
        <f t="array" ca="1" aca="1" ref="BC47">_xlfn.LET(_xlpm.val,IF($F47="",val_blankRefText,_xldudf_CX_GET(CX_ENTITY,$F47,BC$11,BC$14,,(BC$19))),_xlpm.Res,IF(OR(_xlpm.val="",_xlpm.val="Error"),"",_xlpm.val),_xlpm.Res)</f>
        <v>#NAME?</v>
      </c>
      <c r="BD47" s="1669" t="e" cm="1">
        <f t="array" ca="1" aca="1" ref="BD47">_xlfn.LET(_xlpm.val,IF($F47="",val_blankRefText,_xldudf_CX_GET(CX_ENTITY,$F47,BD$11,BD$14,,(BD$19))),_xlpm.Res,IF(OR(_xlpm.val="",_xlpm.val="Error"),"",_xlpm.val),_xlpm.Res)</f>
        <v>#NAME?</v>
      </c>
      <c r="BE47" s="1669" t="e" cm="1">
        <f t="array" ca="1" aca="1" ref="BE47">_xlfn.LET(_xlpm.val,IF($F47="",val_blankRefText,_xldudf_CX_GET(CX_ENTITY,$F47,BE$11,BE$14,,(BE$19))),_xlpm.Res,IF(OR(_xlpm.val="",_xlpm.val="Error"),"",_xlpm.val),_xlpm.Res)</f>
        <v>#NAME?</v>
      </c>
      <c r="BF47" s="1669" t="e" cm="1">
        <f t="array" ca="1" aca="1" ref="BF47">_xlfn.LET(_xlpm.val,IF($F47="",val_blankRefText,_xldudf_CX_GET(CX_ENTITY,$F47,BF$11,BF$14,,(BF$19))),_xlpm.Res,IF(OR(_xlpm.val="",_xlpm.val="Error"),"",_xlpm.val),_xlpm.Res)</f>
        <v>#NAME?</v>
      </c>
      <c r="BG47" s="1669" t="e" cm="1">
        <f t="array" ca="1" aca="1" ref="BG47">_xlfn.LET(_xlpm.val,IF($F47="",val_blankRefText,_xldudf_CX_GET(CX_ENTITY,$F47,BG$11,BG$14,,(BG$19))),_xlpm.Res,IF(OR(_xlpm.val="",_xlpm.val="Error"),"",_xlpm.val),_xlpm.Res)</f>
        <v>#NAME?</v>
      </c>
      <c r="BH47" s="1669" t="e" cm="1">
        <f t="array" ca="1" aca="1" ref="BH47">_xlfn.LET(_xlpm.val,IF($F47="",val_blankRefText,_xldudf_CX_GET(CX_ENTITY,$F47,BH$11,BH$14,,(BH$19))),_xlpm.Res,IF(OR(_xlpm.val="",_xlpm.val="Error"),"",_xlpm.val),_xlpm.Res)</f>
        <v>#NAME?</v>
      </c>
      <c r="BI47" s="1669" t="e" cm="1">
        <f t="array" ca="1" aca="1" ref="BI47">_xlfn.LET(_xlpm.val,IF($F47="",val_blankRefText,_xldudf_CX_GET(CX_ENTITY,$F47,BI$11,BI$14,,(BI$19))),_xlpm.Res,IF(OR(_xlpm.val="",_xlpm.val="Error"),"",_xlpm.val),_xlpm.Res)</f>
        <v>#NAME?</v>
      </c>
      <c r="BJ47" s="1669" t="e" cm="1">
        <f t="array" ca="1" aca="1" ref="BJ47">_xlfn.LET(_xlpm.val,IF($F47="",val_blankRefText,_xldudf_CX_GET(CX_ENTITY,$F47,BJ$11,BJ$14,,(BJ$19))),_xlpm.Res,IF(OR(_xlpm.val="",_xlpm.val="Error"),"",_xlpm.val),_xlpm.Res)</f>
        <v>#NAME?</v>
      </c>
      <c r="BK47" s="1669" t="e" cm="1">
        <f t="array" ca="1" aca="1" ref="BK47">_xlfn.LET(_xlpm.val,IF($F47="",val_blankRefText,_xldudf_CX_GET(CX_ENTITY,$F47,BK$11,BK$14,,(BK$19))),_xlpm.Res,IF(OR(_xlpm.val="",_xlpm.val="Error"),"",_xlpm.val),_xlpm.Res)</f>
        <v>#NAME?</v>
      </c>
      <c r="BL47" s="1669" t="e" cm="1">
        <f t="array" ca="1" aca="1" ref="BL47">_xlfn.LET(_xlpm.val,IF($F47="",val_blankRefText,_xldudf_CX_GET(CX_ENTITY,$F47,BL$11,BL$14,,(BL$19))),_xlpm.Res,IF(OR(_xlpm.val="",_xlpm.val="Error"),"",_xlpm.val),_xlpm.Res)</f>
        <v>#NAME?</v>
      </c>
      <c r="BM47" s="1669" t="e" cm="1">
        <f t="array" ca="1" aca="1" ref="BM47">_xlfn.LET(_xlpm.val,IF($F47="",val_blankRefText,_xldudf_CX_GET(CX_ENTITY,$F47,BM$11,BM$14,,(BM$19))),_xlpm.Res,IF(OR(_xlpm.val="",_xlpm.val="Error"),"",_xlpm.val),_xlpm.Res)</f>
        <v>#NAME?</v>
      </c>
      <c r="BN47" s="1669" t="e" cm="1">
        <f t="array" ca="1" aca="1" ref="BN47">_xlfn.LET(_xlpm.val,IF($F47="",val_blankRefText,_xldudf_CX_GET(CX_ENTITY,$F47,BN$11,BN$14,,(BN$19))),_xlpm.Res,IF(OR(_xlpm.val="",_xlpm.val="Error"),"",_xlpm.val),_xlpm.Res)</f>
        <v>#NAME?</v>
      </c>
      <c r="BO47" s="2095"/>
      <c r="BP47" s="2095"/>
      <c r="BQ47" s="2095"/>
      <c r="BR47" s="2095"/>
      <c r="BS47" s="2095"/>
      <c r="BT47" s="2095"/>
      <c r="BU47" s="2095"/>
      <c r="BV47" s="2095"/>
      <c r="BW47" s="2095"/>
      <c r="BX47" s="2095"/>
      <c r="BY47" s="2095"/>
      <c r="BZ47" s="2095"/>
      <c r="CA47" s="34"/>
      <c r="CC47" s="33"/>
      <c r="CD47" s="1461" t="e" cm="1">
        <f t="array" ca="1" aca="1" ref="CD47">_xlfn.LET(_xlpm.CheckBlank,SUM(PL!$AD47:PL!$BN47)=0,IF(_xlpm.CheckBlank,"",SUM(_xlfn._xlws.FILTER(PL!$AD47:$BN47,(YEAR(PL!$AD$12:$BN$12)=PL!CD$12)*(array_timeline&lt;=PL!CD$11)))))</f>
        <v>#NAME?</v>
      </c>
      <c r="CE47" s="1461" t="e" cm="1">
        <f t="array" ca="1" aca="1" ref="CE47">_xlfn.LET(_xlpm.CheckBlank,SUM(PL!$AD47:PL!$BN47)=0,IF(_xlpm.CheckBlank,"",SUM(_xlfn._xlws.FILTER(PL!$AD47:$BN47,(YEAR(PL!$AD$12:$BN$12)=PL!CE$12)*(array_timeline&lt;=PL!CE$11)))))</f>
        <v>#NAME?</v>
      </c>
      <c r="CF47" s="88"/>
      <c r="CG47" s="1461" t="e" cm="1">
        <f t="array" ca="1" aca="1" ref="CG47">_xlfn.LET(_xlpm.CheckBlank,SUM(PL!$AD47:$BN47)=0,IF(_xlpm.CheckBlank,"",SUM(_xlfn._xlws.FILTER(PL!$AD47:$BN47,(YEAR(PL!$AD$12:$BN$12)=PL!CG$12)*(array_timeline&lt;=PL!CG$11)))))</f>
        <v>#NAME?</v>
      </c>
      <c r="CH47" s="1461" t="e" cm="1">
        <f t="array" ca="1" aca="1" ref="CH47">_xlfn.LET(_xlpm.CheckBlank,SUM(PL!$AD47:$BN47)=0,IF(_xlpm.CheckBlank,"",SUM(_xlfn._xlws.FILTER(PL!$AD47:$BN47,(YEAR(PL!$AD$12:$BN$12)=PL!CH$12)*(array_timeline&lt;=PL!CH$11)))))</f>
        <v>#NAME?</v>
      </c>
      <c r="CI47" s="88"/>
      <c r="CJ47" s="1461" cm="1">
        <f t="array" ref="CJ47">_xlfn.LET(_xlpm.CheckBlank,SUM(PL!$AD47:$BN47)=0,IF(_xlpm.CheckBlank,"",SUM(_xlfn.TAKE(_xlfn.DROP(PL!$AD47:$BN47,,-DATEDIFF(PL!CJ$11,val_asOfDate,"M")),1,-12))))</f>
        <v>12</v>
      </c>
      <c r="CK47" s="1461" cm="1">
        <f t="array" ref="CK47">_xlfn.LET(_xlpm.CheckBlank,SUM(PL!$AD47:$BN47)=0,IF(_xlpm.CheckBlank,"",SUM(_xlfn.TAKE(_xlfn.DROP(PL!$AD47:$BN47,,-DATEDIFF(PL!CK$11,val_asOfDate,"M")),1,-12))))</f>
        <v>12</v>
      </c>
      <c r="CL47" s="88"/>
      <c r="CM47" s="1556" t="e" cm="1">
        <f t="array" ca="1" aca="1" ref="CM47">IF($F47="",val_blankRefText,N(_xldudf_CX_GET(CX_ENTITY,$F47,CM$11,CM$14,,(CM$19)))/fxVal_normal*fxVal_sign($A47))</f>
        <v>#NAME?</v>
      </c>
      <c r="CN47" s="1556" t="e" cm="1">
        <f t="array" ca="1" aca="1" ref="CN47">IF($F47="",val_blankRefText,N(_xldudf_CX_GET(CX_ENTITY,$F47,CN$11,CN$14,,(CN$19)))/fxVal_normal*fxVal_sign($A47))</f>
        <v>#NAME?</v>
      </c>
      <c r="CO47" s="88"/>
      <c r="CP47" s="1650" t="e" cm="1">
        <f t="array" ca="1" aca="1" ref="CP47">IF($F47="",val_blankRefText,N(_xldudf_CX_GET(CX_ENTITY,$F47,CP$11,CP$14,,(CP$19)))/fxVal_normal*fxVal_sign($A47))</f>
        <v>#NAME?</v>
      </c>
      <c r="CQ47" s="1651" t="e" cm="1">
        <f t="array" ca="1" aca="1" ref="CQ47">IF($F47="",val_blankRefText,N(_xldudf_CX_GET(CX_ENTITY,$F47,CQ$11,CQ$14,,(CQ$19)))/fxVal_normal*fxVal_sign($A47))</f>
        <v>#NAME?</v>
      </c>
      <c r="CR47" s="34"/>
    </row>
    <row r="48" spans="1:96" ht="21" customHeight="1" outlineLevel="2">
      <c r="A48" s="1322"/>
      <c r="B48" s="2128" t="s">
        <v>1563</v>
      </c>
      <c r="C48" s="2125" t="s">
        <v>1564</v>
      </c>
      <c r="D48" s="1616"/>
      <c r="E48" s="1615" t="e" cm="1">
        <f t="array" ca="1" aca="1" ref="E48">_xlfn.LET(_xlpm.Attr,$C48,_xlpm.Lookback,$E$16,_xlpm.QueryDate,EOMONTH(val_asOfDate,_xlpm.Lookback),_xlpm.ReadField,_xldudf_CX_GET(CX_ENTITY,fx_attrConverter($C48),_xlpm.QueryDate),_xlpm.AttrBlank,_xlpm.Attr="",_xlpm.RESULT,IF(_xlpm.AttrBlank,val_blankRefText,fx_attrConverter(_xlpm.ReadField,0)),IF(_xlpm.RESULT="Error","",_xlpm.RESULT))</f>
        <v>#NAME?</v>
      </c>
      <c r="F48" s="1615" t="str">
        <f t="shared" si="9"/>
        <v>Custom Metric Amount 3</v>
      </c>
      <c r="G48" s="577" t="s">
        <v>1558</v>
      </c>
      <c r="H48" s="3279">
        <v>1</v>
      </c>
      <c r="I48" s="3279">
        <v>1</v>
      </c>
      <c r="J48" s="401"/>
      <c r="K48" s="401"/>
      <c r="L48" s="579" t="b">
        <v>0</v>
      </c>
      <c r="N48" s="158"/>
      <c r="O48" s="101"/>
      <c r="P48" s="52"/>
      <c r="Q48" s="101"/>
      <c r="R48" s="126"/>
      <c r="S48" s="101"/>
      <c r="T48" s="101"/>
      <c r="U48" s="39"/>
      <c r="W48" s="91" t="str">
        <f>_PL!$W$17</f>
        <v>Actual</v>
      </c>
      <c r="X48" s="2370" t="e" cm="1">
        <f t="array" ca="1" aca="1" ref="X48">_xlfn.LET(_xlpm.toPass,$E48="",_xlpm.hasParts,ISNUMBER(SEARCH("|",$E48)),_xlpm.Part1,INDEX(_xlfn.TEXTSPLIT($E48,"|",,FALSE,1),1),_xlpm.Part1Num,IFERROR(_xlfn.NUMBERVALUE(_xlpm.Part1),_xlpm.Part1),_xlfn.SWITCH(TRUE,_xlpm.toPass,"",_xlpm.hasParts,_xlpm.Part1Num,$E48))</f>
        <v>#NAME?</v>
      </c>
      <c r="Y48" s="590" t="e" cm="1">
        <f t="array" ca="1" aca="1" ref="Y48">IF($E48="","",IF(ISNUMBER(SEARCH("|",$E48)),INDEX(_xlfn.TEXTSPLIT($E48,"|",,FALSE,1),2),$E48))</f>
        <v>#NAME?</v>
      </c>
      <c r="Z48" s="198" t="e">
        <f t="shared" ca="1" si="10"/>
        <v>#NAME?</v>
      </c>
      <c r="AA48" s="200"/>
      <c r="AB48" s="709" t="e" cm="1">
        <f t="array" ca="1" aca="1" ref="AB48">_xlfn.LET(_xlpm.PackedString,E48,IF(_xlpm.PackedString="","",IF(ISNUMBER(SEARCH("|",_xlpm.PackedString)),INDEX(_xlfn.TEXTSPLIT(_xlpm.PackedString,"|",,FALSE),3),_xlpm.PackedString)))</f>
        <v>#NAME?</v>
      </c>
      <c r="AC48" s="300"/>
      <c r="AD48" s="1669" t="e" cm="1">
        <f t="array" ca="1" aca="1" ref="AD48">_xlfn.LET(_xlpm.val,IF($F48="",val_blankRefText,_xldudf_CX_GET(CX_ENTITY,$F48,AD$11,AD$14,,(AD$19))),_xlpm.Res,IF(OR(_xlpm.val="",_xlpm.val="Error"),"",_xlpm.val),_xlpm.Res)</f>
        <v>#NAME?</v>
      </c>
      <c r="AE48" s="1669" t="e" cm="1">
        <f t="array" ca="1" aca="1" ref="AE48">_xlfn.LET(_xlpm.val,IF($F48="",val_blankRefText,_xldudf_CX_GET(CX_ENTITY,$F48,AE$11,AE$14,,(AE$19))),_xlpm.Res,IF(OR(_xlpm.val="",_xlpm.val="Error"),"",_xlpm.val),_xlpm.Res)</f>
        <v>#NAME?</v>
      </c>
      <c r="AF48" s="1669" t="e" cm="1">
        <f t="array" ca="1" aca="1" ref="AF48">_xlfn.LET(_xlpm.val,IF($F48="",val_blankRefText,_xldudf_CX_GET(CX_ENTITY,$F48,AF$11,AF$14,,(AF$19))),_xlpm.Res,IF(OR(_xlpm.val="",_xlpm.val="Error"),"",_xlpm.val),_xlpm.Res)</f>
        <v>#NAME?</v>
      </c>
      <c r="AG48" s="1669" t="e" cm="1">
        <f t="array" ca="1" aca="1" ref="AG48">_xlfn.LET(_xlpm.val,IF($F48="",val_blankRefText,_xldudf_CX_GET(CX_ENTITY,$F48,AG$11,AG$14,,(AG$19))),_xlpm.Res,IF(OR(_xlpm.val="",_xlpm.val="Error"),"",_xlpm.val),_xlpm.Res)</f>
        <v>#NAME?</v>
      </c>
      <c r="AH48" s="1669" t="e" cm="1">
        <f t="array" ca="1" aca="1" ref="AH48">_xlfn.LET(_xlpm.val,IF($F48="",val_blankRefText,_xldudf_CX_GET(CX_ENTITY,$F48,AH$11,AH$14,,(AH$19))),_xlpm.Res,IF(OR(_xlpm.val="",_xlpm.val="Error"),"",_xlpm.val),_xlpm.Res)</f>
        <v>#NAME?</v>
      </c>
      <c r="AI48" s="1669" t="e" cm="1">
        <f t="array" ca="1" aca="1" ref="AI48">_xlfn.LET(_xlpm.val,IF($F48="",val_blankRefText,_xldudf_CX_GET(CX_ENTITY,$F48,AI$11,AI$14,,(AI$19))),_xlpm.Res,IF(OR(_xlpm.val="",_xlpm.val="Error"),"",_xlpm.val),_xlpm.Res)</f>
        <v>#NAME?</v>
      </c>
      <c r="AJ48" s="1669" t="e" cm="1">
        <f t="array" ca="1" aca="1" ref="AJ48">_xlfn.LET(_xlpm.val,IF($F48="",val_blankRefText,_xldudf_CX_GET(CX_ENTITY,$F48,AJ$11,AJ$14,,(AJ$19))),_xlpm.Res,IF(OR(_xlpm.val="",_xlpm.val="Error"),"",_xlpm.val),_xlpm.Res)</f>
        <v>#NAME?</v>
      </c>
      <c r="AK48" s="1669" t="e" cm="1">
        <f t="array" ca="1" aca="1" ref="AK48">_xlfn.LET(_xlpm.val,IF($F48="",val_blankRefText,_xldudf_CX_GET(CX_ENTITY,$F48,AK$11,AK$14,,(AK$19))),_xlpm.Res,IF(OR(_xlpm.val="",_xlpm.val="Error"),"",_xlpm.val),_xlpm.Res)</f>
        <v>#NAME?</v>
      </c>
      <c r="AL48" s="1669" t="e" cm="1">
        <f t="array" ca="1" aca="1" ref="AL48">_xlfn.LET(_xlpm.val,IF($F48="",val_blankRefText,_xldudf_CX_GET(CX_ENTITY,$F48,AL$11,AL$14,,(AL$19))),_xlpm.Res,IF(OR(_xlpm.val="",_xlpm.val="Error"),"",_xlpm.val),_xlpm.Res)</f>
        <v>#NAME?</v>
      </c>
      <c r="AM48" s="1669" t="e" cm="1">
        <f t="array" ca="1" aca="1" ref="AM48">_xlfn.LET(_xlpm.val,IF($F48="",val_blankRefText,_xldudf_CX_GET(CX_ENTITY,$F48,AM$11,AM$14,,(AM$19))),_xlpm.Res,IF(OR(_xlpm.val="",_xlpm.val="Error"),"",_xlpm.val),_xlpm.Res)</f>
        <v>#NAME?</v>
      </c>
      <c r="AN48" s="1669" t="e" cm="1">
        <f t="array" ca="1" aca="1" ref="AN48">_xlfn.LET(_xlpm.val,IF($F48="",val_blankRefText,_xldudf_CX_GET(CX_ENTITY,$F48,AN$11,AN$14,,(AN$19))),_xlpm.Res,IF(OR(_xlpm.val="",_xlpm.val="Error"),"",_xlpm.val),_xlpm.Res)</f>
        <v>#NAME?</v>
      </c>
      <c r="AO48" s="1669" t="e" cm="1">
        <f t="array" ca="1" aca="1" ref="AO48">_xlfn.LET(_xlpm.val,IF($F48="",val_blankRefText,_xldudf_CX_GET(CX_ENTITY,$F48,AO$11,AO$14,,(AO$19))),_xlpm.Res,IF(OR(_xlpm.val="",_xlpm.val="Error"),"",_xlpm.val),_xlpm.Res)</f>
        <v>#NAME?</v>
      </c>
      <c r="AP48" s="1669" t="e" cm="1">
        <f t="array" ca="1" aca="1" ref="AP48">_xlfn.LET(_xlpm.val,IF($F48="",val_blankRefText,_xldudf_CX_GET(CX_ENTITY,$F48,AP$11,AP$14,,(AP$19))),_xlpm.Res,IF(OR(_xlpm.val="",_xlpm.val="Error"),"",_xlpm.val),_xlpm.Res)</f>
        <v>#NAME?</v>
      </c>
      <c r="AQ48" s="1669" t="e" cm="1">
        <f t="array" ca="1" aca="1" ref="AQ48">_xlfn.LET(_xlpm.val,IF($F48="",val_blankRefText,_xldudf_CX_GET(CX_ENTITY,$F48,AQ$11,AQ$14,,(AQ$19))),_xlpm.Res,IF(OR(_xlpm.val="",_xlpm.val="Error"),"",_xlpm.val),_xlpm.Res)</f>
        <v>#NAME?</v>
      </c>
      <c r="AR48" s="1669" t="e" cm="1">
        <f t="array" ca="1" aca="1" ref="AR48">_xlfn.LET(_xlpm.val,IF($F48="",val_blankRefText,_xldudf_CX_GET(CX_ENTITY,$F48,AR$11,AR$14,,(AR$19))),_xlpm.Res,IF(OR(_xlpm.val="",_xlpm.val="Error"),"",_xlpm.val),_xlpm.Res)</f>
        <v>#NAME?</v>
      </c>
      <c r="AS48" s="1669" t="e" cm="1">
        <f t="array" ca="1" aca="1" ref="AS48">_xlfn.LET(_xlpm.val,IF($F48="",val_blankRefText,_xldudf_CX_GET(CX_ENTITY,$F48,AS$11,AS$14,,(AS$19))),_xlpm.Res,IF(OR(_xlpm.val="",_xlpm.val="Error"),"",_xlpm.val),_xlpm.Res)</f>
        <v>#NAME?</v>
      </c>
      <c r="AT48" s="1669" t="e" cm="1">
        <f t="array" ca="1" aca="1" ref="AT48">_xlfn.LET(_xlpm.val,IF($F48="",val_blankRefText,_xldudf_CX_GET(CX_ENTITY,$F48,AT$11,AT$14,,(AT$19))),_xlpm.Res,IF(OR(_xlpm.val="",_xlpm.val="Error"),"",_xlpm.val),_xlpm.Res)</f>
        <v>#NAME?</v>
      </c>
      <c r="AU48" s="1669" t="e" cm="1">
        <f t="array" ca="1" aca="1" ref="AU48">_xlfn.LET(_xlpm.val,IF($F48="",val_blankRefText,_xldudf_CX_GET(CX_ENTITY,$F48,AU$11,AU$14,,(AU$19))),_xlpm.Res,IF(OR(_xlpm.val="",_xlpm.val="Error"),"",_xlpm.val),_xlpm.Res)</f>
        <v>#NAME?</v>
      </c>
      <c r="AV48" s="1669" t="e" cm="1">
        <f t="array" ca="1" aca="1" ref="AV48">_xlfn.LET(_xlpm.val,IF($F48="",val_blankRefText,_xldudf_CX_GET(CX_ENTITY,$F48,AV$11,AV$14,,(AV$19))),_xlpm.Res,IF(OR(_xlpm.val="",_xlpm.val="Error"),"",_xlpm.val),_xlpm.Res)</f>
        <v>#NAME?</v>
      </c>
      <c r="AW48" s="1669" t="e" cm="1">
        <f t="array" ca="1" aca="1" ref="AW48">_xlfn.LET(_xlpm.val,IF($F48="",val_blankRefText,_xldudf_CX_GET(CX_ENTITY,$F48,AW$11,AW$14,,(AW$19))),_xlpm.Res,IF(OR(_xlpm.val="",_xlpm.val="Error"),"",_xlpm.val),_xlpm.Res)</f>
        <v>#NAME?</v>
      </c>
      <c r="AX48" s="1669" t="e" cm="1">
        <f t="array" ca="1" aca="1" ref="AX48">_xlfn.LET(_xlpm.val,IF($F48="",val_blankRefText,_xldudf_CX_GET(CX_ENTITY,$F48,AX$11,AX$14,,(AX$19))),_xlpm.Res,IF(OR(_xlpm.val="",_xlpm.val="Error"),"",_xlpm.val),_xlpm.Res)</f>
        <v>#NAME?</v>
      </c>
      <c r="AY48" s="1669" t="e" cm="1">
        <f t="array" ca="1" aca="1" ref="AY48">_xlfn.LET(_xlpm.val,IF($F48="",val_blankRefText,_xldudf_CX_GET(CX_ENTITY,$F48,AY$11,AY$14,,(AY$19))),_xlpm.Res,IF(OR(_xlpm.val="",_xlpm.val="Error"),"",_xlpm.val),_xlpm.Res)</f>
        <v>#NAME?</v>
      </c>
      <c r="AZ48" s="1669" t="e" cm="1">
        <f t="array" ca="1" aca="1" ref="AZ48">_xlfn.LET(_xlpm.val,IF($F48="",val_blankRefText,_xldudf_CX_GET(CX_ENTITY,$F48,AZ$11,AZ$14,,(AZ$19))),_xlpm.Res,IF(OR(_xlpm.val="",_xlpm.val="Error"),"",_xlpm.val),_xlpm.Res)</f>
        <v>#NAME?</v>
      </c>
      <c r="BA48" s="1669" t="e" cm="1">
        <f t="array" ca="1" aca="1" ref="BA48">_xlfn.LET(_xlpm.val,IF($F48="",val_blankRefText,_xldudf_CX_GET(CX_ENTITY,$F48,BA$11,BA$14,,(BA$19))),_xlpm.Res,IF(OR(_xlpm.val="",_xlpm.val="Error"),"",_xlpm.val),_xlpm.Res)</f>
        <v>#NAME?</v>
      </c>
      <c r="BB48" s="1669" t="e" cm="1">
        <f t="array" ca="1" aca="1" ref="BB48">_xlfn.LET(_xlpm.val,IF($F48="",val_blankRefText,_xldudf_CX_GET(CX_ENTITY,$F48,BB$11,BB$14,,(BB$19))),_xlpm.Res,IF(OR(_xlpm.val="",_xlpm.val="Error"),"",_xlpm.val),_xlpm.Res)</f>
        <v>#NAME?</v>
      </c>
      <c r="BC48" s="1669" t="e" cm="1">
        <f t="array" ca="1" aca="1" ref="BC48">_xlfn.LET(_xlpm.val,IF($F48="",val_blankRefText,_xldudf_CX_GET(CX_ENTITY,$F48,BC$11,BC$14,,(BC$19))),_xlpm.Res,IF(OR(_xlpm.val="",_xlpm.val="Error"),"",_xlpm.val),_xlpm.Res)</f>
        <v>#NAME?</v>
      </c>
      <c r="BD48" s="1669" t="e" cm="1">
        <f t="array" ca="1" aca="1" ref="BD48">_xlfn.LET(_xlpm.val,IF($F48="",val_blankRefText,_xldudf_CX_GET(CX_ENTITY,$F48,BD$11,BD$14,,(BD$19))),_xlpm.Res,IF(OR(_xlpm.val="",_xlpm.val="Error"),"",_xlpm.val),_xlpm.Res)</f>
        <v>#NAME?</v>
      </c>
      <c r="BE48" s="1669" t="e" cm="1">
        <f t="array" ca="1" aca="1" ref="BE48">_xlfn.LET(_xlpm.val,IF($F48="",val_blankRefText,_xldudf_CX_GET(CX_ENTITY,$F48,BE$11,BE$14,,(BE$19))),_xlpm.Res,IF(OR(_xlpm.val="",_xlpm.val="Error"),"",_xlpm.val),_xlpm.Res)</f>
        <v>#NAME?</v>
      </c>
      <c r="BF48" s="1669" t="e" cm="1">
        <f t="array" ca="1" aca="1" ref="BF48">_xlfn.LET(_xlpm.val,IF($F48="",val_blankRefText,_xldudf_CX_GET(CX_ENTITY,$F48,BF$11,BF$14,,(BF$19))),_xlpm.Res,IF(OR(_xlpm.val="",_xlpm.val="Error"),"",_xlpm.val),_xlpm.Res)</f>
        <v>#NAME?</v>
      </c>
      <c r="BG48" s="1669" t="e" cm="1">
        <f t="array" ca="1" aca="1" ref="BG48">_xlfn.LET(_xlpm.val,IF($F48="",val_blankRefText,_xldudf_CX_GET(CX_ENTITY,$F48,BG$11,BG$14,,(BG$19))),_xlpm.Res,IF(OR(_xlpm.val="",_xlpm.val="Error"),"",_xlpm.val),_xlpm.Res)</f>
        <v>#NAME?</v>
      </c>
      <c r="BH48" s="1669" t="e" cm="1">
        <f t="array" ca="1" aca="1" ref="BH48">_xlfn.LET(_xlpm.val,IF($F48="",val_blankRefText,_xldudf_CX_GET(CX_ENTITY,$F48,BH$11,BH$14,,(BH$19))),_xlpm.Res,IF(OR(_xlpm.val="",_xlpm.val="Error"),"",_xlpm.val),_xlpm.Res)</f>
        <v>#NAME?</v>
      </c>
      <c r="BI48" s="1669" t="e" cm="1">
        <f t="array" ca="1" aca="1" ref="BI48">_xlfn.LET(_xlpm.val,IF($F48="",val_blankRefText,_xldudf_CX_GET(CX_ENTITY,$F48,BI$11,BI$14,,(BI$19))),_xlpm.Res,IF(OR(_xlpm.val="",_xlpm.val="Error"),"",_xlpm.val),_xlpm.Res)</f>
        <v>#NAME?</v>
      </c>
      <c r="BJ48" s="1669" t="e" cm="1">
        <f t="array" ca="1" aca="1" ref="BJ48">_xlfn.LET(_xlpm.val,IF($F48="",val_blankRefText,_xldudf_CX_GET(CX_ENTITY,$F48,BJ$11,BJ$14,,(BJ$19))),_xlpm.Res,IF(OR(_xlpm.val="",_xlpm.val="Error"),"",_xlpm.val),_xlpm.Res)</f>
        <v>#NAME?</v>
      </c>
      <c r="BK48" s="1669" t="e" cm="1">
        <f t="array" ca="1" aca="1" ref="BK48">_xlfn.LET(_xlpm.val,IF($F48="",val_blankRefText,_xldudf_CX_GET(CX_ENTITY,$F48,BK$11,BK$14,,(BK$19))),_xlpm.Res,IF(OR(_xlpm.val="",_xlpm.val="Error"),"",_xlpm.val),_xlpm.Res)</f>
        <v>#NAME?</v>
      </c>
      <c r="BL48" s="1669" t="e" cm="1">
        <f t="array" ca="1" aca="1" ref="BL48">_xlfn.LET(_xlpm.val,IF($F48="",val_blankRefText,_xldudf_CX_GET(CX_ENTITY,$F48,BL$11,BL$14,,(BL$19))),_xlpm.Res,IF(OR(_xlpm.val="",_xlpm.val="Error"),"",_xlpm.val),_xlpm.Res)</f>
        <v>#NAME?</v>
      </c>
      <c r="BM48" s="1669" t="e" cm="1">
        <f t="array" ca="1" aca="1" ref="BM48">_xlfn.LET(_xlpm.val,IF($F48="",val_blankRefText,_xldudf_CX_GET(CX_ENTITY,$F48,BM$11,BM$14,,(BM$19))),_xlpm.Res,IF(OR(_xlpm.val="",_xlpm.val="Error"),"",_xlpm.val),_xlpm.Res)</f>
        <v>#NAME?</v>
      </c>
      <c r="BN48" s="1669" t="e" cm="1">
        <f t="array" ca="1" aca="1" ref="BN48">_xlfn.LET(_xlpm.val,IF($F48="",val_blankRefText,_xldudf_CX_GET(CX_ENTITY,$F48,BN$11,BN$14,,(BN$19))),_xlpm.Res,IF(OR(_xlpm.val="",_xlpm.val="Error"),"",_xlpm.val),_xlpm.Res)</f>
        <v>#NAME?</v>
      </c>
      <c r="BO48" s="2095"/>
      <c r="BP48" s="2095"/>
      <c r="BQ48" s="2095"/>
      <c r="BR48" s="2095"/>
      <c r="BS48" s="2095"/>
      <c r="BT48" s="2095"/>
      <c r="BU48" s="2095"/>
      <c r="BV48" s="2095"/>
      <c r="BW48" s="2095"/>
      <c r="BX48" s="2095"/>
      <c r="BY48" s="2095"/>
      <c r="BZ48" s="2095"/>
      <c r="CA48" s="34"/>
      <c r="CC48" s="33"/>
      <c r="CD48" s="1461" t="e" cm="1">
        <f t="array" ca="1" aca="1" ref="CD48">_xlfn.LET(_xlpm.CheckBlank,SUM(PL!$AD48:PL!$BN48)=0,IF(_xlpm.CheckBlank,"",SUM(_xlfn._xlws.FILTER(PL!$AD48:$BN48,(YEAR(PL!$AD$12:$BN$12)=PL!CD$12)*(array_timeline&lt;=PL!CD$11)))))</f>
        <v>#NAME?</v>
      </c>
      <c r="CE48" s="1461" t="e" cm="1">
        <f t="array" ca="1" aca="1" ref="CE48">_xlfn.LET(_xlpm.CheckBlank,SUM(PL!$AD48:PL!$BN48)=0,IF(_xlpm.CheckBlank,"",SUM(_xlfn._xlws.FILTER(PL!$AD48:$BN48,(YEAR(PL!$AD$12:$BN$12)=PL!CE$12)*(array_timeline&lt;=PL!CE$11)))))</f>
        <v>#NAME?</v>
      </c>
      <c r="CF48" s="88"/>
      <c r="CG48" s="1461" t="e" cm="1">
        <f t="array" ca="1" aca="1" ref="CG48">_xlfn.LET(_xlpm.CheckBlank,SUM(PL!$AD48:$BN48)=0,IF(_xlpm.CheckBlank,"",SUM(_xlfn._xlws.FILTER(PL!$AD48:$BN48,(YEAR(PL!$AD$12:$BN$12)=PL!CG$12)*(array_timeline&lt;=PL!CG$11)))))</f>
        <v>#NAME?</v>
      </c>
      <c r="CH48" s="1461" t="e" cm="1">
        <f t="array" ca="1" aca="1" ref="CH48">_xlfn.LET(_xlpm.CheckBlank,SUM(PL!$AD48:$BN48)=0,IF(_xlpm.CheckBlank,"",SUM(_xlfn._xlws.FILTER(PL!$AD48:$BN48,(YEAR(PL!$AD$12:$BN$12)=PL!CH$12)*(array_timeline&lt;=PL!CH$11)))))</f>
        <v>#NAME?</v>
      </c>
      <c r="CI48" s="88"/>
      <c r="CJ48" s="1461" cm="1">
        <f t="array" ref="CJ48">_xlfn.LET(_xlpm.CheckBlank,SUM(PL!$AD48:$BN48)=0,IF(_xlpm.CheckBlank,"",SUM(_xlfn.TAKE(_xlfn.DROP(PL!$AD48:$BN48,,-DATEDIFF(PL!CJ$11,val_asOfDate,"M")),1,-12))))</f>
        <v>12</v>
      </c>
      <c r="CK48" s="1461" cm="1">
        <f t="array" ref="CK48">_xlfn.LET(_xlpm.CheckBlank,SUM(PL!$AD48:$BN48)=0,IF(_xlpm.CheckBlank,"",SUM(_xlfn.TAKE(_xlfn.DROP(PL!$AD48:$BN48,,-DATEDIFF(PL!CK$11,val_asOfDate,"M")),1,-12))))</f>
        <v>12</v>
      </c>
      <c r="CL48" s="88"/>
      <c r="CM48" s="1556" t="e" cm="1">
        <f t="array" ca="1" aca="1" ref="CM48">IF($F48="",val_blankRefText,N(_xldudf_CX_GET(CX_ENTITY,$F48,CM$11,CM$14,,(CM$19)))/fxVal_normal*fxVal_sign($A48))</f>
        <v>#NAME?</v>
      </c>
      <c r="CN48" s="1556" t="e" cm="1">
        <f t="array" ca="1" aca="1" ref="CN48">IF($F48="",val_blankRefText,N(_xldudf_CX_GET(CX_ENTITY,$F48,CN$11,CN$14,,(CN$19)))/fxVal_normal*fxVal_sign($A48))</f>
        <v>#NAME?</v>
      </c>
      <c r="CO48" s="88"/>
      <c r="CP48" s="1650" t="e" cm="1">
        <f t="array" ca="1" aca="1" ref="CP48">IF($F48="",val_blankRefText,N(_xldudf_CX_GET(CX_ENTITY,$F48,CP$11,CP$14,,(CP$19)))/fxVal_normal*fxVal_sign($A48))</f>
        <v>#NAME?</v>
      </c>
      <c r="CQ48" s="1651" t="e" cm="1">
        <f t="array" ca="1" aca="1" ref="CQ48">IF($F48="",val_blankRefText,N(_xldudf_CX_GET(CX_ENTITY,$F48,CQ$11,CQ$14,,(CQ$19)))/fxVal_normal*fxVal_sign($A48))</f>
        <v>#NAME?</v>
      </c>
      <c r="CR48" s="34"/>
    </row>
    <row r="49" spans="1:96" ht="21" customHeight="1" outlineLevel="2">
      <c r="A49" s="1322"/>
      <c r="B49" s="2128" t="s">
        <v>1565</v>
      </c>
      <c r="C49" s="2125" t="s">
        <v>1566</v>
      </c>
      <c r="D49" s="1616"/>
      <c r="E49" s="1615" t="e" cm="1">
        <f t="array" ca="1" aca="1" ref="E49">_xlfn.LET(_xlpm.Attr,$C49,_xlpm.Lookback,$E$16,_xlpm.QueryDate,EOMONTH(val_asOfDate,_xlpm.Lookback),_xlpm.ReadField,_xldudf_CX_GET(CX_ENTITY,fx_attrConverter($C49),_xlpm.QueryDate),_xlpm.AttrBlank,_xlpm.Attr="",_xlpm.RESULT,IF(_xlpm.AttrBlank,val_blankRefText,fx_attrConverter(_xlpm.ReadField,0)),IF(_xlpm.RESULT="Error","",_xlpm.RESULT))</f>
        <v>#NAME?</v>
      </c>
      <c r="F49" s="1615" t="str">
        <f t="shared" si="9"/>
        <v>Custom Metric Amount 4</v>
      </c>
      <c r="G49" s="577" t="s">
        <v>1558</v>
      </c>
      <c r="H49" s="3279">
        <v>1</v>
      </c>
      <c r="I49" s="3279">
        <v>1</v>
      </c>
      <c r="J49" s="401"/>
      <c r="K49" s="401"/>
      <c r="L49" s="579" t="b">
        <v>0</v>
      </c>
      <c r="N49" s="158"/>
      <c r="O49" s="101"/>
      <c r="P49" s="52"/>
      <c r="Q49" s="101"/>
      <c r="R49" s="126"/>
      <c r="S49" s="101"/>
      <c r="T49" s="101"/>
      <c r="U49" s="39"/>
      <c r="W49" s="91" t="str">
        <f>_PL!$W$17</f>
        <v>Actual</v>
      </c>
      <c r="X49" s="2370" t="e" cm="1">
        <f t="array" ca="1" aca="1" ref="X49">_xlfn.LET(_xlpm.toPass,$E49="",_xlpm.hasParts,ISNUMBER(SEARCH("|",$E49)),_xlpm.Part1,INDEX(_xlfn.TEXTSPLIT($E49,"|",,FALSE,1),1),_xlpm.Part1Num,IFERROR(_xlfn.NUMBERVALUE(_xlpm.Part1),_xlpm.Part1),_xlfn.SWITCH(TRUE,_xlpm.toPass,"",_xlpm.hasParts,_xlpm.Part1Num,$E49))</f>
        <v>#NAME?</v>
      </c>
      <c r="Y49" s="590" t="e" cm="1">
        <f t="array" ca="1" aca="1" ref="Y49">IF($E49="","",IF(ISNUMBER(SEARCH("|",$E49)),INDEX(_xlfn.TEXTSPLIT($E49,"|",,FALSE,1),2),$E49))</f>
        <v>#NAME?</v>
      </c>
      <c r="Z49" s="198" t="e">
        <f t="shared" ca="1" si="10"/>
        <v>#NAME?</v>
      </c>
      <c r="AA49" s="200"/>
      <c r="AB49" s="709" t="e" cm="1">
        <f t="array" ca="1" aca="1" ref="AB49">_xlfn.LET(_xlpm.PackedString,E49,IF(_xlpm.PackedString="","",IF(ISNUMBER(SEARCH("|",_xlpm.PackedString)),INDEX(_xlfn.TEXTSPLIT(_xlpm.PackedString,"|",,FALSE),3),_xlpm.PackedString)))</f>
        <v>#NAME?</v>
      </c>
      <c r="AC49" s="300"/>
      <c r="AD49" s="1669" t="e" cm="1">
        <f t="array" ca="1" aca="1" ref="AD49">_xlfn.LET(_xlpm.val,IF($F49="",val_blankRefText,_xldudf_CX_GET(CX_ENTITY,$F49,AD$11,AD$14,,(AD$19))),_xlpm.Res,IF(OR(_xlpm.val="",_xlpm.val="Error"),"",_xlpm.val),_xlpm.Res)</f>
        <v>#NAME?</v>
      </c>
      <c r="AE49" s="1669" t="e" cm="1">
        <f t="array" ca="1" aca="1" ref="AE49">_xlfn.LET(_xlpm.val,IF($F49="",val_blankRefText,_xldudf_CX_GET(CX_ENTITY,$F49,AE$11,AE$14,,(AE$19))),_xlpm.Res,IF(OR(_xlpm.val="",_xlpm.val="Error"),"",_xlpm.val),_xlpm.Res)</f>
        <v>#NAME?</v>
      </c>
      <c r="AF49" s="1669" t="e" cm="1">
        <f t="array" ca="1" aca="1" ref="AF49">_xlfn.LET(_xlpm.val,IF($F49="",val_blankRefText,_xldudf_CX_GET(CX_ENTITY,$F49,AF$11,AF$14,,(AF$19))),_xlpm.Res,IF(OR(_xlpm.val="",_xlpm.val="Error"),"",_xlpm.val),_xlpm.Res)</f>
        <v>#NAME?</v>
      </c>
      <c r="AG49" s="1669" t="e" cm="1">
        <f t="array" ca="1" aca="1" ref="AG49">_xlfn.LET(_xlpm.val,IF($F49="",val_blankRefText,_xldudf_CX_GET(CX_ENTITY,$F49,AG$11,AG$14,,(AG$19))),_xlpm.Res,IF(OR(_xlpm.val="",_xlpm.val="Error"),"",_xlpm.val),_xlpm.Res)</f>
        <v>#NAME?</v>
      </c>
      <c r="AH49" s="1669" t="e" cm="1">
        <f t="array" ca="1" aca="1" ref="AH49">_xlfn.LET(_xlpm.val,IF($F49="",val_blankRefText,_xldudf_CX_GET(CX_ENTITY,$F49,AH$11,AH$14,,(AH$19))),_xlpm.Res,IF(OR(_xlpm.val="",_xlpm.val="Error"),"",_xlpm.val),_xlpm.Res)</f>
        <v>#NAME?</v>
      </c>
      <c r="AI49" s="1669" t="e" cm="1">
        <f t="array" ca="1" aca="1" ref="AI49">_xlfn.LET(_xlpm.val,IF($F49="",val_blankRefText,_xldudf_CX_GET(CX_ENTITY,$F49,AI$11,AI$14,,(AI$19))),_xlpm.Res,IF(OR(_xlpm.val="",_xlpm.val="Error"),"",_xlpm.val),_xlpm.Res)</f>
        <v>#NAME?</v>
      </c>
      <c r="AJ49" s="1669" t="e" cm="1">
        <f t="array" ca="1" aca="1" ref="AJ49">_xlfn.LET(_xlpm.val,IF($F49="",val_blankRefText,_xldudf_CX_GET(CX_ENTITY,$F49,AJ$11,AJ$14,,(AJ$19))),_xlpm.Res,IF(OR(_xlpm.val="",_xlpm.val="Error"),"",_xlpm.val),_xlpm.Res)</f>
        <v>#NAME?</v>
      </c>
      <c r="AK49" s="1669" t="e" cm="1">
        <f t="array" ca="1" aca="1" ref="AK49">_xlfn.LET(_xlpm.val,IF($F49="",val_blankRefText,_xldudf_CX_GET(CX_ENTITY,$F49,AK$11,AK$14,,(AK$19))),_xlpm.Res,IF(OR(_xlpm.val="",_xlpm.val="Error"),"",_xlpm.val),_xlpm.Res)</f>
        <v>#NAME?</v>
      </c>
      <c r="AL49" s="1669" t="e" cm="1">
        <f t="array" ca="1" aca="1" ref="AL49">_xlfn.LET(_xlpm.val,IF($F49="",val_blankRefText,_xldudf_CX_GET(CX_ENTITY,$F49,AL$11,AL$14,,(AL$19))),_xlpm.Res,IF(OR(_xlpm.val="",_xlpm.val="Error"),"",_xlpm.val),_xlpm.Res)</f>
        <v>#NAME?</v>
      </c>
      <c r="AM49" s="1669" t="e" cm="1">
        <f t="array" ca="1" aca="1" ref="AM49">_xlfn.LET(_xlpm.val,IF($F49="",val_blankRefText,_xldudf_CX_GET(CX_ENTITY,$F49,AM$11,AM$14,,(AM$19))),_xlpm.Res,IF(OR(_xlpm.val="",_xlpm.val="Error"),"",_xlpm.val),_xlpm.Res)</f>
        <v>#NAME?</v>
      </c>
      <c r="AN49" s="1669" t="e" cm="1">
        <f t="array" ca="1" aca="1" ref="AN49">_xlfn.LET(_xlpm.val,IF($F49="",val_blankRefText,_xldudf_CX_GET(CX_ENTITY,$F49,AN$11,AN$14,,(AN$19))),_xlpm.Res,IF(OR(_xlpm.val="",_xlpm.val="Error"),"",_xlpm.val),_xlpm.Res)</f>
        <v>#NAME?</v>
      </c>
      <c r="AO49" s="1669" t="e" cm="1">
        <f t="array" ca="1" aca="1" ref="AO49">_xlfn.LET(_xlpm.val,IF($F49="",val_blankRefText,_xldudf_CX_GET(CX_ENTITY,$F49,AO$11,AO$14,,(AO$19))),_xlpm.Res,IF(OR(_xlpm.val="",_xlpm.val="Error"),"",_xlpm.val),_xlpm.Res)</f>
        <v>#NAME?</v>
      </c>
      <c r="AP49" s="1669" t="e" cm="1">
        <f t="array" ca="1" aca="1" ref="AP49">_xlfn.LET(_xlpm.val,IF($F49="",val_blankRefText,_xldudf_CX_GET(CX_ENTITY,$F49,AP$11,AP$14,,(AP$19))),_xlpm.Res,IF(OR(_xlpm.val="",_xlpm.val="Error"),"",_xlpm.val),_xlpm.Res)</f>
        <v>#NAME?</v>
      </c>
      <c r="AQ49" s="1669" t="e" cm="1">
        <f t="array" ca="1" aca="1" ref="AQ49">_xlfn.LET(_xlpm.val,IF($F49="",val_blankRefText,_xldudf_CX_GET(CX_ENTITY,$F49,AQ$11,AQ$14,,(AQ$19))),_xlpm.Res,IF(OR(_xlpm.val="",_xlpm.val="Error"),"",_xlpm.val),_xlpm.Res)</f>
        <v>#NAME?</v>
      </c>
      <c r="AR49" s="1669" t="e" cm="1">
        <f t="array" ca="1" aca="1" ref="AR49">_xlfn.LET(_xlpm.val,IF($F49="",val_blankRefText,_xldudf_CX_GET(CX_ENTITY,$F49,AR$11,AR$14,,(AR$19))),_xlpm.Res,IF(OR(_xlpm.val="",_xlpm.val="Error"),"",_xlpm.val),_xlpm.Res)</f>
        <v>#NAME?</v>
      </c>
      <c r="AS49" s="1669" t="e" cm="1">
        <f t="array" ca="1" aca="1" ref="AS49">_xlfn.LET(_xlpm.val,IF($F49="",val_blankRefText,_xldudf_CX_GET(CX_ENTITY,$F49,AS$11,AS$14,,(AS$19))),_xlpm.Res,IF(OR(_xlpm.val="",_xlpm.val="Error"),"",_xlpm.val),_xlpm.Res)</f>
        <v>#NAME?</v>
      </c>
      <c r="AT49" s="1669" t="e" cm="1">
        <f t="array" ca="1" aca="1" ref="AT49">_xlfn.LET(_xlpm.val,IF($F49="",val_blankRefText,_xldudf_CX_GET(CX_ENTITY,$F49,AT$11,AT$14,,(AT$19))),_xlpm.Res,IF(OR(_xlpm.val="",_xlpm.val="Error"),"",_xlpm.val),_xlpm.Res)</f>
        <v>#NAME?</v>
      </c>
      <c r="AU49" s="1669" t="e" cm="1">
        <f t="array" ca="1" aca="1" ref="AU49">_xlfn.LET(_xlpm.val,IF($F49="",val_blankRefText,_xldudf_CX_GET(CX_ENTITY,$F49,AU$11,AU$14,,(AU$19))),_xlpm.Res,IF(OR(_xlpm.val="",_xlpm.val="Error"),"",_xlpm.val),_xlpm.Res)</f>
        <v>#NAME?</v>
      </c>
      <c r="AV49" s="1669" t="e" cm="1">
        <f t="array" ca="1" aca="1" ref="AV49">_xlfn.LET(_xlpm.val,IF($F49="",val_blankRefText,_xldudf_CX_GET(CX_ENTITY,$F49,AV$11,AV$14,,(AV$19))),_xlpm.Res,IF(OR(_xlpm.val="",_xlpm.val="Error"),"",_xlpm.val),_xlpm.Res)</f>
        <v>#NAME?</v>
      </c>
      <c r="AW49" s="1669" t="e" cm="1">
        <f t="array" ca="1" aca="1" ref="AW49">_xlfn.LET(_xlpm.val,IF($F49="",val_blankRefText,_xldudf_CX_GET(CX_ENTITY,$F49,AW$11,AW$14,,(AW$19))),_xlpm.Res,IF(OR(_xlpm.val="",_xlpm.val="Error"),"",_xlpm.val),_xlpm.Res)</f>
        <v>#NAME?</v>
      </c>
      <c r="AX49" s="1669" t="e" cm="1">
        <f t="array" ca="1" aca="1" ref="AX49">_xlfn.LET(_xlpm.val,IF($F49="",val_blankRefText,_xldudf_CX_GET(CX_ENTITY,$F49,AX$11,AX$14,,(AX$19))),_xlpm.Res,IF(OR(_xlpm.val="",_xlpm.val="Error"),"",_xlpm.val),_xlpm.Res)</f>
        <v>#NAME?</v>
      </c>
      <c r="AY49" s="1669" t="e" cm="1">
        <f t="array" ca="1" aca="1" ref="AY49">_xlfn.LET(_xlpm.val,IF($F49="",val_blankRefText,_xldudf_CX_GET(CX_ENTITY,$F49,AY$11,AY$14,,(AY$19))),_xlpm.Res,IF(OR(_xlpm.val="",_xlpm.val="Error"),"",_xlpm.val),_xlpm.Res)</f>
        <v>#NAME?</v>
      </c>
      <c r="AZ49" s="1669" t="e" cm="1">
        <f t="array" ca="1" aca="1" ref="AZ49">_xlfn.LET(_xlpm.val,IF($F49="",val_blankRefText,_xldudf_CX_GET(CX_ENTITY,$F49,AZ$11,AZ$14,,(AZ$19))),_xlpm.Res,IF(OR(_xlpm.val="",_xlpm.val="Error"),"",_xlpm.val),_xlpm.Res)</f>
        <v>#NAME?</v>
      </c>
      <c r="BA49" s="1669" t="e" cm="1">
        <f t="array" ca="1" aca="1" ref="BA49">_xlfn.LET(_xlpm.val,IF($F49="",val_blankRefText,_xldudf_CX_GET(CX_ENTITY,$F49,BA$11,BA$14,,(BA$19))),_xlpm.Res,IF(OR(_xlpm.val="",_xlpm.val="Error"),"",_xlpm.val),_xlpm.Res)</f>
        <v>#NAME?</v>
      </c>
      <c r="BB49" s="1669" t="e" cm="1">
        <f t="array" ca="1" aca="1" ref="BB49">_xlfn.LET(_xlpm.val,IF($F49="",val_blankRefText,_xldudf_CX_GET(CX_ENTITY,$F49,BB$11,BB$14,,(BB$19))),_xlpm.Res,IF(OR(_xlpm.val="",_xlpm.val="Error"),"",_xlpm.val),_xlpm.Res)</f>
        <v>#NAME?</v>
      </c>
      <c r="BC49" s="1669" t="e" cm="1">
        <f t="array" ca="1" aca="1" ref="BC49">_xlfn.LET(_xlpm.val,IF($F49="",val_blankRefText,_xldudf_CX_GET(CX_ENTITY,$F49,BC$11,BC$14,,(BC$19))),_xlpm.Res,IF(OR(_xlpm.val="",_xlpm.val="Error"),"",_xlpm.val),_xlpm.Res)</f>
        <v>#NAME?</v>
      </c>
      <c r="BD49" s="1669" t="e" cm="1">
        <f t="array" ca="1" aca="1" ref="BD49">_xlfn.LET(_xlpm.val,IF($F49="",val_blankRefText,_xldudf_CX_GET(CX_ENTITY,$F49,BD$11,BD$14,,(BD$19))),_xlpm.Res,IF(OR(_xlpm.val="",_xlpm.val="Error"),"",_xlpm.val),_xlpm.Res)</f>
        <v>#NAME?</v>
      </c>
      <c r="BE49" s="1669" t="e" cm="1">
        <f t="array" ca="1" aca="1" ref="BE49">_xlfn.LET(_xlpm.val,IF($F49="",val_blankRefText,_xldudf_CX_GET(CX_ENTITY,$F49,BE$11,BE$14,,(BE$19))),_xlpm.Res,IF(OR(_xlpm.val="",_xlpm.val="Error"),"",_xlpm.val),_xlpm.Res)</f>
        <v>#NAME?</v>
      </c>
      <c r="BF49" s="1669" t="e" cm="1">
        <f t="array" ca="1" aca="1" ref="BF49">_xlfn.LET(_xlpm.val,IF($F49="",val_blankRefText,_xldudf_CX_GET(CX_ENTITY,$F49,BF$11,BF$14,,(BF$19))),_xlpm.Res,IF(OR(_xlpm.val="",_xlpm.val="Error"),"",_xlpm.val),_xlpm.Res)</f>
        <v>#NAME?</v>
      </c>
      <c r="BG49" s="1669" t="e" cm="1">
        <f t="array" ca="1" aca="1" ref="BG49">_xlfn.LET(_xlpm.val,IF($F49="",val_blankRefText,_xldudf_CX_GET(CX_ENTITY,$F49,BG$11,BG$14,,(BG$19))),_xlpm.Res,IF(OR(_xlpm.val="",_xlpm.val="Error"),"",_xlpm.val),_xlpm.Res)</f>
        <v>#NAME?</v>
      </c>
      <c r="BH49" s="1669" t="e" cm="1">
        <f t="array" ca="1" aca="1" ref="BH49">_xlfn.LET(_xlpm.val,IF($F49="",val_blankRefText,_xldudf_CX_GET(CX_ENTITY,$F49,BH$11,BH$14,,(BH$19))),_xlpm.Res,IF(OR(_xlpm.val="",_xlpm.val="Error"),"",_xlpm.val),_xlpm.Res)</f>
        <v>#NAME?</v>
      </c>
      <c r="BI49" s="1669" t="e" cm="1">
        <f t="array" ca="1" aca="1" ref="BI49">_xlfn.LET(_xlpm.val,IF($F49="",val_blankRefText,_xldudf_CX_GET(CX_ENTITY,$F49,BI$11,BI$14,,(BI$19))),_xlpm.Res,IF(OR(_xlpm.val="",_xlpm.val="Error"),"",_xlpm.val),_xlpm.Res)</f>
        <v>#NAME?</v>
      </c>
      <c r="BJ49" s="1669" t="e" cm="1">
        <f t="array" ca="1" aca="1" ref="BJ49">_xlfn.LET(_xlpm.val,IF($F49="",val_blankRefText,_xldudf_CX_GET(CX_ENTITY,$F49,BJ$11,BJ$14,,(BJ$19))),_xlpm.Res,IF(OR(_xlpm.val="",_xlpm.val="Error"),"",_xlpm.val),_xlpm.Res)</f>
        <v>#NAME?</v>
      </c>
      <c r="BK49" s="1669" t="e" cm="1">
        <f t="array" ca="1" aca="1" ref="BK49">_xlfn.LET(_xlpm.val,IF($F49="",val_blankRefText,_xldudf_CX_GET(CX_ENTITY,$F49,BK$11,BK$14,,(BK$19))),_xlpm.Res,IF(OR(_xlpm.val="",_xlpm.val="Error"),"",_xlpm.val),_xlpm.Res)</f>
        <v>#NAME?</v>
      </c>
      <c r="BL49" s="1669" t="e" cm="1">
        <f t="array" ca="1" aca="1" ref="BL49">_xlfn.LET(_xlpm.val,IF($F49="",val_blankRefText,_xldudf_CX_GET(CX_ENTITY,$F49,BL$11,BL$14,,(BL$19))),_xlpm.Res,IF(OR(_xlpm.val="",_xlpm.val="Error"),"",_xlpm.val),_xlpm.Res)</f>
        <v>#NAME?</v>
      </c>
      <c r="BM49" s="1669" t="e" cm="1">
        <f t="array" ca="1" aca="1" ref="BM49">_xlfn.LET(_xlpm.val,IF($F49="",val_blankRefText,_xldudf_CX_GET(CX_ENTITY,$F49,BM$11,BM$14,,(BM$19))),_xlpm.Res,IF(OR(_xlpm.val="",_xlpm.val="Error"),"",_xlpm.val),_xlpm.Res)</f>
        <v>#NAME?</v>
      </c>
      <c r="BN49" s="1669" t="e" cm="1">
        <f t="array" ca="1" aca="1" ref="BN49">_xlfn.LET(_xlpm.val,IF($F49="",val_blankRefText,_xldudf_CX_GET(CX_ENTITY,$F49,BN$11,BN$14,,(BN$19))),_xlpm.Res,IF(OR(_xlpm.val="",_xlpm.val="Error"),"",_xlpm.val),_xlpm.Res)</f>
        <v>#NAME?</v>
      </c>
      <c r="BO49" s="2095"/>
      <c r="BP49" s="2095"/>
      <c r="BQ49" s="2095"/>
      <c r="BR49" s="2095"/>
      <c r="BS49" s="2095"/>
      <c r="BT49" s="2095"/>
      <c r="BU49" s="2095"/>
      <c r="BV49" s="2095"/>
      <c r="BW49" s="2095"/>
      <c r="BX49" s="2095"/>
      <c r="BY49" s="2095"/>
      <c r="BZ49" s="2095"/>
      <c r="CA49" s="34"/>
      <c r="CC49" s="33"/>
      <c r="CD49" s="1461" t="e" cm="1">
        <f t="array" ca="1" aca="1" ref="CD49">_xlfn.LET(_xlpm.CheckBlank,SUM(PL!$AD49:PL!$BN49)=0,IF(_xlpm.CheckBlank,"",SUM(_xlfn._xlws.FILTER(PL!$AD49:$BN49,(YEAR(PL!$AD$12:$BN$12)=PL!CD$12)*(array_timeline&lt;=PL!CD$11)))))</f>
        <v>#NAME?</v>
      </c>
      <c r="CE49" s="1461" t="e" cm="1">
        <f t="array" ca="1" aca="1" ref="CE49">_xlfn.LET(_xlpm.CheckBlank,SUM(PL!$AD49:PL!$BN49)=0,IF(_xlpm.CheckBlank,"",SUM(_xlfn._xlws.FILTER(PL!$AD49:$BN49,(YEAR(PL!$AD$12:$BN$12)=PL!CE$12)*(array_timeline&lt;=PL!CE$11)))))</f>
        <v>#NAME?</v>
      </c>
      <c r="CF49" s="88"/>
      <c r="CG49" s="1461" t="e" cm="1">
        <f t="array" ca="1" aca="1" ref="CG49">_xlfn.LET(_xlpm.CheckBlank,SUM(PL!$AD49:$BN49)=0,IF(_xlpm.CheckBlank,"",SUM(_xlfn._xlws.FILTER(PL!$AD49:$BN49,(YEAR(PL!$AD$12:$BN$12)=PL!CG$12)*(array_timeline&lt;=PL!CG$11)))))</f>
        <v>#NAME?</v>
      </c>
      <c r="CH49" s="1461" t="e" cm="1">
        <f t="array" ca="1" aca="1" ref="CH49">_xlfn.LET(_xlpm.CheckBlank,SUM(PL!$AD49:$BN49)=0,IF(_xlpm.CheckBlank,"",SUM(_xlfn._xlws.FILTER(PL!$AD49:$BN49,(YEAR(PL!$AD$12:$BN$12)=PL!CH$12)*(array_timeline&lt;=PL!CH$11)))))</f>
        <v>#NAME?</v>
      </c>
      <c r="CI49" s="88"/>
      <c r="CJ49" s="1461" cm="1">
        <f t="array" ref="CJ49">_xlfn.LET(_xlpm.CheckBlank,SUM(PL!$AD49:$BN49)=0,IF(_xlpm.CheckBlank,"",SUM(_xlfn.TAKE(_xlfn.DROP(PL!$AD49:$BN49,,-DATEDIFF(PL!CJ$11,val_asOfDate,"M")),1,-12))))</f>
        <v>12</v>
      </c>
      <c r="CK49" s="1461" cm="1">
        <f t="array" ref="CK49">_xlfn.LET(_xlpm.CheckBlank,SUM(PL!$AD49:$BN49)=0,IF(_xlpm.CheckBlank,"",SUM(_xlfn.TAKE(_xlfn.DROP(PL!$AD49:$BN49,,-DATEDIFF(PL!CK$11,val_asOfDate,"M")),1,-12))))</f>
        <v>12</v>
      </c>
      <c r="CL49" s="88"/>
      <c r="CM49" s="1556" t="e" cm="1">
        <f t="array" ca="1" aca="1" ref="CM49">IF($F49="",val_blankRefText,N(_xldudf_CX_GET(CX_ENTITY,$F49,CM$11,CM$14,,(CM$19)))/fxVal_normal*fxVal_sign($A49))</f>
        <v>#NAME?</v>
      </c>
      <c r="CN49" s="1556" t="e" cm="1">
        <f t="array" ca="1" aca="1" ref="CN49">IF($F49="",val_blankRefText,N(_xldudf_CX_GET(CX_ENTITY,$F49,CN$11,CN$14,,(CN$19)))/fxVal_normal*fxVal_sign($A49))</f>
        <v>#NAME?</v>
      </c>
      <c r="CO49" s="88"/>
      <c r="CP49" s="1650" t="e" cm="1">
        <f t="array" ca="1" aca="1" ref="CP49">IF($F49="",val_blankRefText,N(_xldudf_CX_GET(CX_ENTITY,$F49,CP$11,CP$14,,(CP$19)))/fxVal_normal*fxVal_sign($A49))</f>
        <v>#NAME?</v>
      </c>
      <c r="CQ49" s="1651" t="e" cm="1">
        <f t="array" ca="1" aca="1" ref="CQ49">IF($F49="",val_blankRefText,N(_xldudf_CX_GET(CX_ENTITY,$F49,CQ$11,CQ$14,,(CQ$19)))/fxVal_normal*fxVal_sign($A49))</f>
        <v>#NAME?</v>
      </c>
      <c r="CR49" s="34"/>
    </row>
    <row r="50" spans="1:96" ht="21" customHeight="1" outlineLevel="2">
      <c r="A50" s="1322"/>
      <c r="B50" s="2128" t="s">
        <v>1567</v>
      </c>
      <c r="C50" s="2125" t="s">
        <v>1568</v>
      </c>
      <c r="D50" s="1616"/>
      <c r="E50" s="1615" t="e" cm="1">
        <f t="array" ca="1" aca="1" ref="E50">_xlfn.LET(_xlpm.Attr,$C50,_xlpm.Lookback,$E$16,_xlpm.QueryDate,EOMONTH(val_asOfDate,_xlpm.Lookback),_xlpm.ReadField,_xldudf_CX_GET(CX_ENTITY,fx_attrConverter($C50),_xlpm.QueryDate),_xlpm.AttrBlank,_xlpm.Attr="",_xlpm.RESULT,IF(_xlpm.AttrBlank,val_blankRefText,fx_attrConverter(_xlpm.ReadField,0)),IF(_xlpm.RESULT="Error","",_xlpm.RESULT))</f>
        <v>#NAME?</v>
      </c>
      <c r="F50" s="1615" t="str">
        <f t="shared" si="9"/>
        <v>Custom Metric Amount 5</v>
      </c>
      <c r="G50" s="577" t="s">
        <v>1558</v>
      </c>
      <c r="H50" s="3279">
        <v>1</v>
      </c>
      <c r="I50" s="3279">
        <v>1</v>
      </c>
      <c r="J50" s="401"/>
      <c r="K50" s="401"/>
      <c r="L50" s="579" t="b">
        <v>0</v>
      </c>
      <c r="N50" s="158"/>
      <c r="O50" s="101"/>
      <c r="P50" s="52"/>
      <c r="Q50" s="101"/>
      <c r="R50" s="126"/>
      <c r="S50" s="101"/>
      <c r="T50" s="101"/>
      <c r="U50" s="39"/>
      <c r="W50" s="91" t="str">
        <f>_PL!$W$17</f>
        <v>Actual</v>
      </c>
      <c r="X50" s="2370" t="e" cm="1">
        <f t="array" ca="1" aca="1" ref="X50">_xlfn.LET(_xlpm.toPass,$E50="",_xlpm.hasParts,ISNUMBER(SEARCH("|",$E50)),_xlpm.Part1,INDEX(_xlfn.TEXTSPLIT($E50,"|",,FALSE,1),1),_xlpm.Part1Num,IFERROR(_xlfn.NUMBERVALUE(_xlpm.Part1),_xlpm.Part1),_xlfn.SWITCH(TRUE,_xlpm.toPass,"",_xlpm.hasParts,_xlpm.Part1Num,$E50))</f>
        <v>#NAME?</v>
      </c>
      <c r="Y50" s="590" t="e" cm="1">
        <f t="array" ca="1" aca="1" ref="Y50">IF($E50="","",IF(ISNUMBER(SEARCH("|",$E50)),INDEX(_xlfn.TEXTSPLIT($E50,"|",,FALSE,1),2),$E50))</f>
        <v>#NAME?</v>
      </c>
      <c r="Z50" s="198" t="e">
        <f t="shared" ca="1" si="10"/>
        <v>#NAME?</v>
      </c>
      <c r="AA50" s="200"/>
      <c r="AB50" s="709" t="e" cm="1">
        <f t="array" ca="1" aca="1" ref="AB50">_xlfn.LET(_xlpm.PackedString,E50,IF(_xlpm.PackedString="","",IF(ISNUMBER(SEARCH("|",_xlpm.PackedString)),INDEX(_xlfn.TEXTSPLIT(_xlpm.PackedString,"|",,FALSE),3),_xlpm.PackedString)))</f>
        <v>#NAME?</v>
      </c>
      <c r="AC50" s="300" t="str" cm="1">
        <f t="array" ca="1" aca="1" ref="AC50">_xlfn.LET(_xlpm.Def,IF(_xlfn.XMATCH(AB50,tbl_acctDef[Term],0)&gt;0,fx_getIcon("find"),""),_xlpm.Adj,IF(_xlfn.XMATCH(AB50,tbl_adjExample[Items],0)&gt;0,fx_getIcon("find"),""),IFERROR(IFBLANK(_xlpm.Def,_xlpm.Adj),""))</f>
        <v/>
      </c>
      <c r="AD50" s="1669" t="e" cm="1">
        <f t="array" ca="1" aca="1" ref="AD50">_xlfn.LET(_xlpm.val,IF($F50="",val_blankRefText,_xldudf_CX_GET(CX_ENTITY,$F50,AD$11,AD$14,,(AD$19))),_xlpm.Res,IF(OR(_xlpm.val="",_xlpm.val="Error"),"",_xlpm.val),_xlpm.Res)</f>
        <v>#NAME?</v>
      </c>
      <c r="AE50" s="1669" t="e" cm="1">
        <f t="array" ca="1" aca="1" ref="AE50">_xlfn.LET(_xlpm.val,IF($F50="",val_blankRefText,_xldudf_CX_GET(CX_ENTITY,$F50,AE$11,AE$14,,(AE$19))),_xlpm.Res,IF(OR(_xlpm.val="",_xlpm.val="Error"),"",_xlpm.val),_xlpm.Res)</f>
        <v>#NAME?</v>
      </c>
      <c r="AF50" s="1669" t="e" cm="1">
        <f t="array" ca="1" aca="1" ref="AF50">_xlfn.LET(_xlpm.val,IF($F50="",val_blankRefText,_xldudf_CX_GET(CX_ENTITY,$F50,AF$11,AF$14,,(AF$19))),_xlpm.Res,IF(OR(_xlpm.val="",_xlpm.val="Error"),"",_xlpm.val),_xlpm.Res)</f>
        <v>#NAME?</v>
      </c>
      <c r="AG50" s="1669" t="e" cm="1">
        <f t="array" ca="1" aca="1" ref="AG50">_xlfn.LET(_xlpm.val,IF($F50="",val_blankRefText,_xldudf_CX_GET(CX_ENTITY,$F50,AG$11,AG$14,,(AG$19))),_xlpm.Res,IF(OR(_xlpm.val="",_xlpm.val="Error"),"",_xlpm.val),_xlpm.Res)</f>
        <v>#NAME?</v>
      </c>
      <c r="AH50" s="1669" t="e" cm="1">
        <f t="array" ca="1" aca="1" ref="AH50">_xlfn.LET(_xlpm.val,IF($F50="",val_blankRefText,_xldudf_CX_GET(CX_ENTITY,$F50,AH$11,AH$14,,(AH$19))),_xlpm.Res,IF(OR(_xlpm.val="",_xlpm.val="Error"),"",_xlpm.val),_xlpm.Res)</f>
        <v>#NAME?</v>
      </c>
      <c r="AI50" s="1669" t="e" cm="1">
        <f t="array" ca="1" aca="1" ref="AI50">_xlfn.LET(_xlpm.val,IF($F50="",val_blankRefText,_xldudf_CX_GET(CX_ENTITY,$F50,AI$11,AI$14,,(AI$19))),_xlpm.Res,IF(OR(_xlpm.val="",_xlpm.val="Error"),"",_xlpm.val),_xlpm.Res)</f>
        <v>#NAME?</v>
      </c>
      <c r="AJ50" s="1669" t="e" cm="1">
        <f t="array" ca="1" aca="1" ref="AJ50">_xlfn.LET(_xlpm.val,IF($F50="",val_blankRefText,_xldudf_CX_GET(CX_ENTITY,$F50,AJ$11,AJ$14,,(AJ$19))),_xlpm.Res,IF(OR(_xlpm.val="",_xlpm.val="Error"),"",_xlpm.val),_xlpm.Res)</f>
        <v>#NAME?</v>
      </c>
      <c r="AK50" s="1669" t="e" cm="1">
        <f t="array" ca="1" aca="1" ref="AK50">_xlfn.LET(_xlpm.val,IF($F50="",val_blankRefText,_xldudf_CX_GET(CX_ENTITY,$F50,AK$11,AK$14,,(AK$19))),_xlpm.Res,IF(OR(_xlpm.val="",_xlpm.val="Error"),"",_xlpm.val),_xlpm.Res)</f>
        <v>#NAME?</v>
      </c>
      <c r="AL50" s="1669" t="e" cm="1">
        <f t="array" ca="1" aca="1" ref="AL50">_xlfn.LET(_xlpm.val,IF($F50="",val_blankRefText,_xldudf_CX_GET(CX_ENTITY,$F50,AL$11,AL$14,,(AL$19))),_xlpm.Res,IF(OR(_xlpm.val="",_xlpm.val="Error"),"",_xlpm.val),_xlpm.Res)</f>
        <v>#NAME?</v>
      </c>
      <c r="AM50" s="1669" t="e" cm="1">
        <f t="array" ca="1" aca="1" ref="AM50">_xlfn.LET(_xlpm.val,IF($F50="",val_blankRefText,_xldudf_CX_GET(CX_ENTITY,$F50,AM$11,AM$14,,(AM$19))),_xlpm.Res,IF(OR(_xlpm.val="",_xlpm.val="Error"),"",_xlpm.val),_xlpm.Res)</f>
        <v>#NAME?</v>
      </c>
      <c r="AN50" s="1669" t="e" cm="1">
        <f t="array" ca="1" aca="1" ref="AN50">_xlfn.LET(_xlpm.val,IF($F50="",val_blankRefText,_xldudf_CX_GET(CX_ENTITY,$F50,AN$11,AN$14,,(AN$19))),_xlpm.Res,IF(OR(_xlpm.val="",_xlpm.val="Error"),"",_xlpm.val),_xlpm.Res)</f>
        <v>#NAME?</v>
      </c>
      <c r="AO50" s="1669" t="e" cm="1">
        <f t="array" ca="1" aca="1" ref="AO50">_xlfn.LET(_xlpm.val,IF($F50="",val_blankRefText,_xldudf_CX_GET(CX_ENTITY,$F50,AO$11,AO$14,,(AO$19))),_xlpm.Res,IF(OR(_xlpm.val="",_xlpm.val="Error"),"",_xlpm.val),_xlpm.Res)</f>
        <v>#NAME?</v>
      </c>
      <c r="AP50" s="1669" t="e" cm="1">
        <f t="array" ca="1" aca="1" ref="AP50">_xlfn.LET(_xlpm.val,IF($F50="",val_blankRefText,_xldudf_CX_GET(CX_ENTITY,$F50,AP$11,AP$14,,(AP$19))),_xlpm.Res,IF(OR(_xlpm.val="",_xlpm.val="Error"),"",_xlpm.val),_xlpm.Res)</f>
        <v>#NAME?</v>
      </c>
      <c r="AQ50" s="1669" t="e" cm="1">
        <f t="array" ca="1" aca="1" ref="AQ50">_xlfn.LET(_xlpm.val,IF($F50="",val_blankRefText,_xldudf_CX_GET(CX_ENTITY,$F50,AQ$11,AQ$14,,(AQ$19))),_xlpm.Res,IF(OR(_xlpm.val="",_xlpm.val="Error"),"",_xlpm.val),_xlpm.Res)</f>
        <v>#NAME?</v>
      </c>
      <c r="AR50" s="1669" t="e" cm="1">
        <f t="array" ca="1" aca="1" ref="AR50">_xlfn.LET(_xlpm.val,IF($F50="",val_blankRefText,_xldudf_CX_GET(CX_ENTITY,$F50,AR$11,AR$14,,(AR$19))),_xlpm.Res,IF(OR(_xlpm.val="",_xlpm.val="Error"),"",_xlpm.val),_xlpm.Res)</f>
        <v>#NAME?</v>
      </c>
      <c r="AS50" s="1669" t="e" cm="1">
        <f t="array" ca="1" aca="1" ref="AS50">_xlfn.LET(_xlpm.val,IF($F50="",val_blankRefText,_xldudf_CX_GET(CX_ENTITY,$F50,AS$11,AS$14,,(AS$19))),_xlpm.Res,IF(OR(_xlpm.val="",_xlpm.val="Error"),"",_xlpm.val),_xlpm.Res)</f>
        <v>#NAME?</v>
      </c>
      <c r="AT50" s="1669" t="e" cm="1">
        <f t="array" ca="1" aca="1" ref="AT50">_xlfn.LET(_xlpm.val,IF($F50="",val_blankRefText,_xldudf_CX_GET(CX_ENTITY,$F50,AT$11,AT$14,,(AT$19))),_xlpm.Res,IF(OR(_xlpm.val="",_xlpm.val="Error"),"",_xlpm.val),_xlpm.Res)</f>
        <v>#NAME?</v>
      </c>
      <c r="AU50" s="1669" t="e" cm="1">
        <f t="array" ca="1" aca="1" ref="AU50">_xlfn.LET(_xlpm.val,IF($F50="",val_blankRefText,_xldudf_CX_GET(CX_ENTITY,$F50,AU$11,AU$14,,(AU$19))),_xlpm.Res,IF(OR(_xlpm.val="",_xlpm.val="Error"),"",_xlpm.val),_xlpm.Res)</f>
        <v>#NAME?</v>
      </c>
      <c r="AV50" s="1669" t="e" cm="1">
        <f t="array" ca="1" aca="1" ref="AV50">_xlfn.LET(_xlpm.val,IF($F50="",val_blankRefText,_xldudf_CX_GET(CX_ENTITY,$F50,AV$11,AV$14,,(AV$19))),_xlpm.Res,IF(OR(_xlpm.val="",_xlpm.val="Error"),"",_xlpm.val),_xlpm.Res)</f>
        <v>#NAME?</v>
      </c>
      <c r="AW50" s="1669" t="e" cm="1">
        <f t="array" ca="1" aca="1" ref="AW50">_xlfn.LET(_xlpm.val,IF($F50="",val_blankRefText,_xldudf_CX_GET(CX_ENTITY,$F50,AW$11,AW$14,,(AW$19))),_xlpm.Res,IF(OR(_xlpm.val="",_xlpm.val="Error"),"",_xlpm.val),_xlpm.Res)</f>
        <v>#NAME?</v>
      </c>
      <c r="AX50" s="1669" t="e" cm="1">
        <f t="array" ca="1" aca="1" ref="AX50">_xlfn.LET(_xlpm.val,IF($F50="",val_blankRefText,_xldudf_CX_GET(CX_ENTITY,$F50,AX$11,AX$14,,(AX$19))),_xlpm.Res,IF(OR(_xlpm.val="",_xlpm.val="Error"),"",_xlpm.val),_xlpm.Res)</f>
        <v>#NAME?</v>
      </c>
      <c r="AY50" s="1669" t="e" cm="1">
        <f t="array" ca="1" aca="1" ref="AY50">_xlfn.LET(_xlpm.val,IF($F50="",val_blankRefText,_xldudf_CX_GET(CX_ENTITY,$F50,AY$11,AY$14,,(AY$19))),_xlpm.Res,IF(OR(_xlpm.val="",_xlpm.val="Error"),"",_xlpm.val),_xlpm.Res)</f>
        <v>#NAME?</v>
      </c>
      <c r="AZ50" s="1669" t="e" cm="1">
        <f t="array" ca="1" aca="1" ref="AZ50">_xlfn.LET(_xlpm.val,IF($F50="",val_blankRefText,_xldudf_CX_GET(CX_ENTITY,$F50,AZ$11,AZ$14,,(AZ$19))),_xlpm.Res,IF(OR(_xlpm.val="",_xlpm.val="Error"),"",_xlpm.val),_xlpm.Res)</f>
        <v>#NAME?</v>
      </c>
      <c r="BA50" s="1669" t="e" cm="1">
        <f t="array" ca="1" aca="1" ref="BA50">_xlfn.LET(_xlpm.val,IF($F50="",val_blankRefText,_xldudf_CX_GET(CX_ENTITY,$F50,BA$11,BA$14,,(BA$19))),_xlpm.Res,IF(OR(_xlpm.val="",_xlpm.val="Error"),"",_xlpm.val),_xlpm.Res)</f>
        <v>#NAME?</v>
      </c>
      <c r="BB50" s="1669" t="e" cm="1">
        <f t="array" ca="1" aca="1" ref="BB50">_xlfn.LET(_xlpm.val,IF($F50="",val_blankRefText,_xldudf_CX_GET(CX_ENTITY,$F50,BB$11,BB$14,,(BB$19))),_xlpm.Res,IF(OR(_xlpm.val="",_xlpm.val="Error"),"",_xlpm.val),_xlpm.Res)</f>
        <v>#NAME?</v>
      </c>
      <c r="BC50" s="1669" t="e" cm="1">
        <f t="array" ca="1" aca="1" ref="BC50">_xlfn.LET(_xlpm.val,IF($F50="",val_blankRefText,_xldudf_CX_GET(CX_ENTITY,$F50,BC$11,BC$14,,(BC$19))),_xlpm.Res,IF(OR(_xlpm.val="",_xlpm.val="Error"),"",_xlpm.val),_xlpm.Res)</f>
        <v>#NAME?</v>
      </c>
      <c r="BD50" s="1669" t="e" cm="1">
        <f t="array" ca="1" aca="1" ref="BD50">_xlfn.LET(_xlpm.val,IF($F50="",val_blankRefText,_xldudf_CX_GET(CX_ENTITY,$F50,BD$11,BD$14,,(BD$19))),_xlpm.Res,IF(OR(_xlpm.val="",_xlpm.val="Error"),"",_xlpm.val),_xlpm.Res)</f>
        <v>#NAME?</v>
      </c>
      <c r="BE50" s="1669" t="e" cm="1">
        <f t="array" ca="1" aca="1" ref="BE50">_xlfn.LET(_xlpm.val,IF($F50="",val_blankRefText,_xldudf_CX_GET(CX_ENTITY,$F50,BE$11,BE$14,,(BE$19))),_xlpm.Res,IF(OR(_xlpm.val="",_xlpm.val="Error"),"",_xlpm.val),_xlpm.Res)</f>
        <v>#NAME?</v>
      </c>
      <c r="BF50" s="1669" t="e" cm="1">
        <f t="array" ca="1" aca="1" ref="BF50">_xlfn.LET(_xlpm.val,IF($F50="",val_blankRefText,_xldudf_CX_GET(CX_ENTITY,$F50,BF$11,BF$14,,(BF$19))),_xlpm.Res,IF(OR(_xlpm.val="",_xlpm.val="Error"),"",_xlpm.val),_xlpm.Res)</f>
        <v>#NAME?</v>
      </c>
      <c r="BG50" s="1669" t="e" cm="1">
        <f t="array" ca="1" aca="1" ref="BG50">_xlfn.LET(_xlpm.val,IF($F50="",val_blankRefText,_xldudf_CX_GET(CX_ENTITY,$F50,BG$11,BG$14,,(BG$19))),_xlpm.Res,IF(OR(_xlpm.val="",_xlpm.val="Error"),"",_xlpm.val),_xlpm.Res)</f>
        <v>#NAME?</v>
      </c>
      <c r="BH50" s="1669" t="e" cm="1">
        <f t="array" ca="1" aca="1" ref="BH50">_xlfn.LET(_xlpm.val,IF($F50="",val_blankRefText,_xldudf_CX_GET(CX_ENTITY,$F50,BH$11,BH$14,,(BH$19))),_xlpm.Res,IF(OR(_xlpm.val="",_xlpm.val="Error"),"",_xlpm.val),_xlpm.Res)</f>
        <v>#NAME?</v>
      </c>
      <c r="BI50" s="1669" t="e" cm="1">
        <f t="array" ca="1" aca="1" ref="BI50">_xlfn.LET(_xlpm.val,IF($F50="",val_blankRefText,_xldudf_CX_GET(CX_ENTITY,$F50,BI$11,BI$14,,(BI$19))),_xlpm.Res,IF(OR(_xlpm.val="",_xlpm.val="Error"),"",_xlpm.val),_xlpm.Res)</f>
        <v>#NAME?</v>
      </c>
      <c r="BJ50" s="1669" t="e" cm="1">
        <f t="array" ca="1" aca="1" ref="BJ50">_xlfn.LET(_xlpm.val,IF($F50="",val_blankRefText,_xldudf_CX_GET(CX_ENTITY,$F50,BJ$11,BJ$14,,(BJ$19))),_xlpm.Res,IF(OR(_xlpm.val="",_xlpm.val="Error"),"",_xlpm.val),_xlpm.Res)</f>
        <v>#NAME?</v>
      </c>
      <c r="BK50" s="1669" t="e" cm="1">
        <f t="array" ca="1" aca="1" ref="BK50">_xlfn.LET(_xlpm.val,IF($F50="",val_blankRefText,_xldudf_CX_GET(CX_ENTITY,$F50,BK$11,BK$14,,(BK$19))),_xlpm.Res,IF(OR(_xlpm.val="",_xlpm.val="Error"),"",_xlpm.val),_xlpm.Res)</f>
        <v>#NAME?</v>
      </c>
      <c r="BL50" s="1669" t="e" cm="1">
        <f t="array" ca="1" aca="1" ref="BL50">_xlfn.LET(_xlpm.val,IF($F50="",val_blankRefText,_xldudf_CX_GET(CX_ENTITY,$F50,BL$11,BL$14,,(BL$19))),_xlpm.Res,IF(OR(_xlpm.val="",_xlpm.val="Error"),"",_xlpm.val),_xlpm.Res)</f>
        <v>#NAME?</v>
      </c>
      <c r="BM50" s="1669" t="e" cm="1">
        <f t="array" ca="1" aca="1" ref="BM50">_xlfn.LET(_xlpm.val,IF($F50="",val_blankRefText,_xldudf_CX_GET(CX_ENTITY,$F50,BM$11,BM$14,,(BM$19))),_xlpm.Res,IF(OR(_xlpm.val="",_xlpm.val="Error"),"",_xlpm.val),_xlpm.Res)</f>
        <v>#NAME?</v>
      </c>
      <c r="BN50" s="1669" t="e" cm="1">
        <f t="array" ca="1" aca="1" ref="BN50">_xlfn.LET(_xlpm.val,IF($F50="",val_blankRefText,_xldudf_CX_GET(CX_ENTITY,$F50,BN$11,BN$14,,(BN$19))),_xlpm.Res,IF(OR(_xlpm.val="",_xlpm.val="Error"),"",_xlpm.val),_xlpm.Res)</f>
        <v>#NAME?</v>
      </c>
      <c r="BO50" s="2095"/>
      <c r="BP50" s="2095"/>
      <c r="BQ50" s="2095"/>
      <c r="BR50" s="2095"/>
      <c r="BS50" s="2095"/>
      <c r="BT50" s="2095"/>
      <c r="BU50" s="2095"/>
      <c r="BV50" s="2095"/>
      <c r="BW50" s="2095"/>
      <c r="BX50" s="2095"/>
      <c r="BY50" s="2095"/>
      <c r="BZ50" s="2095"/>
      <c r="CA50" s="34"/>
      <c r="CC50" s="33"/>
      <c r="CD50" s="1461" t="e" cm="1">
        <f t="array" ca="1" aca="1" ref="CD50">_xlfn.LET(_xlpm.CheckBlank,SUM(PL!$AD50:PL!$BN50)=0,IF(_xlpm.CheckBlank,"",SUM(_xlfn._xlws.FILTER(PL!$AD50:$BN50,(YEAR(PL!$AD$12:$BN$12)=PL!CD$12)*(array_timeline&lt;=PL!CD$11)))))</f>
        <v>#NAME?</v>
      </c>
      <c r="CE50" s="1461" t="e" cm="1">
        <f t="array" ca="1" aca="1" ref="CE50">_xlfn.LET(_xlpm.CheckBlank,SUM(PL!$AD50:PL!$BN50)=0,IF(_xlpm.CheckBlank,"",SUM(_xlfn._xlws.FILTER(PL!$AD50:$BN50,(YEAR(PL!$AD$12:$BN$12)=PL!CE$12)*(array_timeline&lt;=PL!CE$11)))))</f>
        <v>#NAME?</v>
      </c>
      <c r="CF50" s="88"/>
      <c r="CG50" s="1461" t="e" cm="1">
        <f t="array" ca="1" aca="1" ref="CG50">_xlfn.LET(_xlpm.CheckBlank,SUM(PL!$AD50:$BN50)=0,IF(_xlpm.CheckBlank,"",SUM(_xlfn._xlws.FILTER(PL!$AD50:$BN50,(YEAR(PL!$AD$12:$BN$12)=PL!CG$12)*(array_timeline&lt;=PL!CG$11)))))</f>
        <v>#NAME?</v>
      </c>
      <c r="CH50" s="1461" t="e" cm="1">
        <f t="array" ca="1" aca="1" ref="CH50">_xlfn.LET(_xlpm.CheckBlank,SUM(PL!$AD50:$BN50)=0,IF(_xlpm.CheckBlank,"",SUM(_xlfn._xlws.FILTER(PL!$AD50:$BN50,(YEAR(PL!$AD$12:$BN$12)=PL!CH$12)*(array_timeline&lt;=PL!CH$11)))))</f>
        <v>#NAME?</v>
      </c>
      <c r="CI50" s="88"/>
      <c r="CJ50" s="1461" cm="1">
        <f t="array" ref="CJ50">_xlfn.LET(_xlpm.CheckBlank,SUM(PL!$AD50:$BN50)=0,IF(_xlpm.CheckBlank,"",SUM(_xlfn.TAKE(_xlfn.DROP(PL!$AD50:$BN50,,-DATEDIFF(PL!CJ$11,val_asOfDate,"M")),1,-12))))</f>
        <v>12</v>
      </c>
      <c r="CK50" s="1461" cm="1">
        <f t="array" ref="CK50">_xlfn.LET(_xlpm.CheckBlank,SUM(PL!$AD50:$BN50)=0,IF(_xlpm.CheckBlank,"",SUM(_xlfn.TAKE(_xlfn.DROP(PL!$AD50:$BN50,,-DATEDIFF(PL!CK$11,val_asOfDate,"M")),1,-12))))</f>
        <v>12</v>
      </c>
      <c r="CL50" s="88"/>
      <c r="CM50" s="1556" t="e" cm="1">
        <f t="array" ca="1" aca="1" ref="CM50">IF($F50="",val_blankRefText,N(_xldudf_CX_GET(CX_ENTITY,$F50,CM$11,CM$14,,(CM$19)))/fxVal_normal*fxVal_sign($A50))</f>
        <v>#NAME?</v>
      </c>
      <c r="CN50" s="1556" t="e" cm="1">
        <f t="array" ca="1" aca="1" ref="CN50">IF($F50="",val_blankRefText,N(_xldudf_CX_GET(CX_ENTITY,$F50,CN$11,CN$14,,(CN$19)))/fxVal_normal*fxVal_sign($A50))</f>
        <v>#NAME?</v>
      </c>
      <c r="CO50" s="88"/>
      <c r="CP50" s="1650" t="e" cm="1">
        <f t="array" ca="1" aca="1" ref="CP50">IF($F50="",val_blankRefText,N(_xldudf_CX_GET(CX_ENTITY,$F50,CP$11,CP$14,,(CP$19)))/fxVal_normal*fxVal_sign($A50))</f>
        <v>#NAME?</v>
      </c>
      <c r="CQ50" s="1651" t="e" cm="1">
        <f t="array" ca="1" aca="1" ref="CQ50">IF($F50="",val_blankRefText,N(_xldudf_CX_GET(CX_ENTITY,$F50,CQ$11,CQ$14,,(CQ$19)))/fxVal_normal*fxVal_sign($A50))</f>
        <v>#NAME?</v>
      </c>
      <c r="CR50" s="34"/>
    </row>
    <row r="51" spans="1:96" ht="21" customHeight="1" outlineLevel="2">
      <c r="A51" s="1322"/>
      <c r="B51" s="2128" t="s">
        <v>1569</v>
      </c>
      <c r="C51" s="2125" t="s">
        <v>1570</v>
      </c>
      <c r="D51" s="1616"/>
      <c r="E51" s="1615" t="e" cm="1">
        <f t="array" ca="1" aca="1" ref="E51">_xlfn.LET(_xlpm.Attr,$C51,_xlpm.Lookback,$E$16,_xlpm.QueryDate,EOMONTH(val_asOfDate,_xlpm.Lookback),_xlpm.ReadField,_xldudf_CX_GET(CX_ENTITY,fx_attrConverter($C51),_xlpm.QueryDate),_xlpm.AttrBlank,_xlpm.Attr="",_xlpm.RESULT,IF(_xlpm.AttrBlank,val_blankRefText,fx_attrConverter(_xlpm.ReadField,0)),IF(_xlpm.RESULT="Error","",_xlpm.RESULT))</f>
        <v>#NAME?</v>
      </c>
      <c r="F51" s="1615" t="str">
        <f t="shared" si="9"/>
        <v>Custom Metric Amount 6</v>
      </c>
      <c r="G51" s="577" t="s">
        <v>1558</v>
      </c>
      <c r="H51" s="3279">
        <v>1</v>
      </c>
      <c r="I51" s="3279">
        <v>1</v>
      </c>
      <c r="J51" s="401"/>
      <c r="K51" s="401"/>
      <c r="L51" s="579" t="b">
        <v>0</v>
      </c>
      <c r="N51" s="158"/>
      <c r="O51" s="101"/>
      <c r="P51" s="52"/>
      <c r="Q51" s="101"/>
      <c r="R51" s="126"/>
      <c r="S51" s="101"/>
      <c r="T51" s="101"/>
      <c r="U51" s="39"/>
      <c r="W51" s="91" t="str">
        <f>_PL!$W$17</f>
        <v>Actual</v>
      </c>
      <c r="X51" s="2370" t="e" cm="1">
        <f t="array" ca="1" aca="1" ref="X51">_xlfn.LET(_xlpm.toPass,$E51="",_xlpm.hasParts,ISNUMBER(SEARCH("|",$E51)),_xlpm.Part1,INDEX(_xlfn.TEXTSPLIT($E51,"|",,FALSE,1),1),_xlpm.Part1Num,IFERROR(_xlfn.NUMBERVALUE(_xlpm.Part1),_xlpm.Part1),_xlfn.SWITCH(TRUE,_xlpm.toPass,"",_xlpm.hasParts,_xlpm.Part1Num,$E51))</f>
        <v>#NAME?</v>
      </c>
      <c r="Y51" s="590" t="e" cm="1">
        <f t="array" ca="1" aca="1" ref="Y51">IF($E51="","",IF(ISNUMBER(SEARCH("|",$E51)),INDEX(_xlfn.TEXTSPLIT($E51,"|",,FALSE,1),2),$E51))</f>
        <v>#NAME?</v>
      </c>
      <c r="Z51" s="198" t="e">
        <f t="shared" ca="1" si="10"/>
        <v>#NAME?</v>
      </c>
      <c r="AA51" s="200"/>
      <c r="AB51" s="709" t="e" cm="1">
        <f t="array" ca="1" aca="1" ref="AB51">_xlfn.LET(_xlpm.PackedString,E51,IF(_xlpm.PackedString="","",IF(ISNUMBER(SEARCH("|",_xlpm.PackedString)),INDEX(_xlfn.TEXTSPLIT(_xlpm.PackedString,"|",,FALSE),3),_xlpm.PackedString)))</f>
        <v>#NAME?</v>
      </c>
      <c r="AC51" s="300" t="str" cm="1">
        <f t="array" ca="1" aca="1" ref="AC51">_xlfn.LET(_xlpm.Def,IF(_xlfn.XMATCH(AB51,tbl_acctDef[Term],0)&gt;0,fx_getIcon("find"),""),_xlpm.Adj,IF(_xlfn.XMATCH(AB51,tbl_adjExample[Items],0)&gt;0,fx_getIcon("find"),""),IFERROR(IFBLANK(_xlpm.Def,_xlpm.Adj),""))</f>
        <v/>
      </c>
      <c r="AD51" s="1669" t="e" cm="1">
        <f t="array" ca="1" aca="1" ref="AD51">_xlfn.LET(_xlpm.val,IF($F51="",val_blankRefText,_xldudf_CX_GET(CX_ENTITY,$F51,AD$11,AD$14,,(AD$19))),_xlpm.Res,IF(OR(_xlpm.val="",_xlpm.val="Error"),"",_xlpm.val),_xlpm.Res)</f>
        <v>#NAME?</v>
      </c>
      <c r="AE51" s="1669" t="e" cm="1">
        <f t="array" ca="1" aca="1" ref="AE51">_xlfn.LET(_xlpm.val,IF($F51="",val_blankRefText,_xldudf_CX_GET(CX_ENTITY,$F51,AE$11,AE$14,,(AE$19))),_xlpm.Res,IF(OR(_xlpm.val="",_xlpm.val="Error"),"",_xlpm.val),_xlpm.Res)</f>
        <v>#NAME?</v>
      </c>
      <c r="AF51" s="1669" t="e" cm="1">
        <f t="array" ca="1" aca="1" ref="AF51">_xlfn.LET(_xlpm.val,IF($F51="",val_blankRefText,_xldudf_CX_GET(CX_ENTITY,$F51,AF$11,AF$14,,(AF$19))),_xlpm.Res,IF(OR(_xlpm.val="",_xlpm.val="Error"),"",_xlpm.val),_xlpm.Res)</f>
        <v>#NAME?</v>
      </c>
      <c r="AG51" s="1669" t="e" cm="1">
        <f t="array" ca="1" aca="1" ref="AG51">_xlfn.LET(_xlpm.val,IF($F51="",val_blankRefText,_xldudf_CX_GET(CX_ENTITY,$F51,AG$11,AG$14,,(AG$19))),_xlpm.Res,IF(OR(_xlpm.val="",_xlpm.val="Error"),"",_xlpm.val),_xlpm.Res)</f>
        <v>#NAME?</v>
      </c>
      <c r="AH51" s="1669" t="e" cm="1">
        <f t="array" ca="1" aca="1" ref="AH51">_xlfn.LET(_xlpm.val,IF($F51="",val_blankRefText,_xldudf_CX_GET(CX_ENTITY,$F51,AH$11,AH$14,,(AH$19))),_xlpm.Res,IF(OR(_xlpm.val="",_xlpm.val="Error"),"",_xlpm.val),_xlpm.Res)</f>
        <v>#NAME?</v>
      </c>
      <c r="AI51" s="1669" t="e" cm="1">
        <f t="array" ca="1" aca="1" ref="AI51">_xlfn.LET(_xlpm.val,IF($F51="",val_blankRefText,_xldudf_CX_GET(CX_ENTITY,$F51,AI$11,AI$14,,(AI$19))),_xlpm.Res,IF(OR(_xlpm.val="",_xlpm.val="Error"),"",_xlpm.val),_xlpm.Res)</f>
        <v>#NAME?</v>
      </c>
      <c r="AJ51" s="1669" t="e" cm="1">
        <f t="array" ca="1" aca="1" ref="AJ51">_xlfn.LET(_xlpm.val,IF($F51="",val_blankRefText,_xldudf_CX_GET(CX_ENTITY,$F51,AJ$11,AJ$14,,(AJ$19))),_xlpm.Res,IF(OR(_xlpm.val="",_xlpm.val="Error"),"",_xlpm.val),_xlpm.Res)</f>
        <v>#NAME?</v>
      </c>
      <c r="AK51" s="1669" t="e" cm="1">
        <f t="array" ca="1" aca="1" ref="AK51">_xlfn.LET(_xlpm.val,IF($F51="",val_blankRefText,_xldudf_CX_GET(CX_ENTITY,$F51,AK$11,AK$14,,(AK$19))),_xlpm.Res,IF(OR(_xlpm.val="",_xlpm.val="Error"),"",_xlpm.val),_xlpm.Res)</f>
        <v>#NAME?</v>
      </c>
      <c r="AL51" s="1669" t="e" cm="1">
        <f t="array" ca="1" aca="1" ref="AL51">_xlfn.LET(_xlpm.val,IF($F51="",val_blankRefText,_xldudf_CX_GET(CX_ENTITY,$F51,AL$11,AL$14,,(AL$19))),_xlpm.Res,IF(OR(_xlpm.val="",_xlpm.val="Error"),"",_xlpm.val),_xlpm.Res)</f>
        <v>#NAME?</v>
      </c>
      <c r="AM51" s="1669" t="e" cm="1">
        <f t="array" ca="1" aca="1" ref="AM51">_xlfn.LET(_xlpm.val,IF($F51="",val_blankRefText,_xldudf_CX_GET(CX_ENTITY,$F51,AM$11,AM$14,,(AM$19))),_xlpm.Res,IF(OR(_xlpm.val="",_xlpm.val="Error"),"",_xlpm.val),_xlpm.Res)</f>
        <v>#NAME?</v>
      </c>
      <c r="AN51" s="1669" t="e" cm="1">
        <f t="array" ca="1" aca="1" ref="AN51">_xlfn.LET(_xlpm.val,IF($F51="",val_blankRefText,_xldudf_CX_GET(CX_ENTITY,$F51,AN$11,AN$14,,(AN$19))),_xlpm.Res,IF(OR(_xlpm.val="",_xlpm.val="Error"),"",_xlpm.val),_xlpm.Res)</f>
        <v>#NAME?</v>
      </c>
      <c r="AO51" s="1669" t="e" cm="1">
        <f t="array" ca="1" aca="1" ref="AO51">_xlfn.LET(_xlpm.val,IF($F51="",val_blankRefText,_xldudf_CX_GET(CX_ENTITY,$F51,AO$11,AO$14,,(AO$19))),_xlpm.Res,IF(OR(_xlpm.val="",_xlpm.val="Error"),"",_xlpm.val),_xlpm.Res)</f>
        <v>#NAME?</v>
      </c>
      <c r="AP51" s="1669" t="e" cm="1">
        <f t="array" ca="1" aca="1" ref="AP51">_xlfn.LET(_xlpm.val,IF($F51="",val_blankRefText,_xldudf_CX_GET(CX_ENTITY,$F51,AP$11,AP$14,,(AP$19))),_xlpm.Res,IF(OR(_xlpm.val="",_xlpm.val="Error"),"",_xlpm.val),_xlpm.Res)</f>
        <v>#NAME?</v>
      </c>
      <c r="AQ51" s="1669" t="e" cm="1">
        <f t="array" ca="1" aca="1" ref="AQ51">_xlfn.LET(_xlpm.val,IF($F51="",val_blankRefText,_xldudf_CX_GET(CX_ENTITY,$F51,AQ$11,AQ$14,,(AQ$19))),_xlpm.Res,IF(OR(_xlpm.val="",_xlpm.val="Error"),"",_xlpm.val),_xlpm.Res)</f>
        <v>#NAME?</v>
      </c>
      <c r="AR51" s="1669" t="e" cm="1">
        <f t="array" ca="1" aca="1" ref="AR51">_xlfn.LET(_xlpm.val,IF($F51="",val_blankRefText,_xldudf_CX_GET(CX_ENTITY,$F51,AR$11,AR$14,,(AR$19))),_xlpm.Res,IF(OR(_xlpm.val="",_xlpm.val="Error"),"",_xlpm.val),_xlpm.Res)</f>
        <v>#NAME?</v>
      </c>
      <c r="AS51" s="1669" t="e" cm="1">
        <f t="array" ca="1" aca="1" ref="AS51">_xlfn.LET(_xlpm.val,IF($F51="",val_blankRefText,_xldudf_CX_GET(CX_ENTITY,$F51,AS$11,AS$14,,(AS$19))),_xlpm.Res,IF(OR(_xlpm.val="",_xlpm.val="Error"),"",_xlpm.val),_xlpm.Res)</f>
        <v>#NAME?</v>
      </c>
      <c r="AT51" s="1669" t="e" cm="1">
        <f t="array" ca="1" aca="1" ref="AT51">_xlfn.LET(_xlpm.val,IF($F51="",val_blankRefText,_xldudf_CX_GET(CX_ENTITY,$F51,AT$11,AT$14,,(AT$19))),_xlpm.Res,IF(OR(_xlpm.val="",_xlpm.val="Error"),"",_xlpm.val),_xlpm.Res)</f>
        <v>#NAME?</v>
      </c>
      <c r="AU51" s="1669" t="e" cm="1">
        <f t="array" ca="1" aca="1" ref="AU51">_xlfn.LET(_xlpm.val,IF($F51="",val_blankRefText,_xldudf_CX_GET(CX_ENTITY,$F51,AU$11,AU$14,,(AU$19))),_xlpm.Res,IF(OR(_xlpm.val="",_xlpm.val="Error"),"",_xlpm.val),_xlpm.Res)</f>
        <v>#NAME?</v>
      </c>
      <c r="AV51" s="1669" t="e" cm="1">
        <f t="array" ca="1" aca="1" ref="AV51">_xlfn.LET(_xlpm.val,IF($F51="",val_blankRefText,_xldudf_CX_GET(CX_ENTITY,$F51,AV$11,AV$14,,(AV$19))),_xlpm.Res,IF(OR(_xlpm.val="",_xlpm.val="Error"),"",_xlpm.val),_xlpm.Res)</f>
        <v>#NAME?</v>
      </c>
      <c r="AW51" s="1669" t="e" cm="1">
        <f t="array" ca="1" aca="1" ref="AW51">_xlfn.LET(_xlpm.val,IF($F51="",val_blankRefText,_xldudf_CX_GET(CX_ENTITY,$F51,AW$11,AW$14,,(AW$19))),_xlpm.Res,IF(OR(_xlpm.val="",_xlpm.val="Error"),"",_xlpm.val),_xlpm.Res)</f>
        <v>#NAME?</v>
      </c>
      <c r="AX51" s="1669" t="e" cm="1">
        <f t="array" ca="1" aca="1" ref="AX51">_xlfn.LET(_xlpm.val,IF($F51="",val_blankRefText,_xldudf_CX_GET(CX_ENTITY,$F51,AX$11,AX$14,,(AX$19))),_xlpm.Res,IF(OR(_xlpm.val="",_xlpm.val="Error"),"",_xlpm.val),_xlpm.Res)</f>
        <v>#NAME?</v>
      </c>
      <c r="AY51" s="1669" t="e" cm="1">
        <f t="array" ca="1" aca="1" ref="AY51">_xlfn.LET(_xlpm.val,IF($F51="",val_blankRefText,_xldudf_CX_GET(CX_ENTITY,$F51,AY$11,AY$14,,(AY$19))),_xlpm.Res,IF(OR(_xlpm.val="",_xlpm.val="Error"),"",_xlpm.val),_xlpm.Res)</f>
        <v>#NAME?</v>
      </c>
      <c r="AZ51" s="1669" t="e" cm="1">
        <f t="array" ca="1" aca="1" ref="AZ51">_xlfn.LET(_xlpm.val,IF($F51="",val_blankRefText,_xldudf_CX_GET(CX_ENTITY,$F51,AZ$11,AZ$14,,(AZ$19))),_xlpm.Res,IF(OR(_xlpm.val="",_xlpm.val="Error"),"",_xlpm.val),_xlpm.Res)</f>
        <v>#NAME?</v>
      </c>
      <c r="BA51" s="1669" t="e" cm="1">
        <f t="array" ca="1" aca="1" ref="BA51">_xlfn.LET(_xlpm.val,IF($F51="",val_blankRefText,_xldudf_CX_GET(CX_ENTITY,$F51,BA$11,BA$14,,(BA$19))),_xlpm.Res,IF(OR(_xlpm.val="",_xlpm.val="Error"),"",_xlpm.val),_xlpm.Res)</f>
        <v>#NAME?</v>
      </c>
      <c r="BB51" s="1669" t="e" cm="1">
        <f t="array" ca="1" aca="1" ref="BB51">_xlfn.LET(_xlpm.val,IF($F51="",val_blankRefText,_xldudf_CX_GET(CX_ENTITY,$F51,BB$11,BB$14,,(BB$19))),_xlpm.Res,IF(OR(_xlpm.val="",_xlpm.val="Error"),"",_xlpm.val),_xlpm.Res)</f>
        <v>#NAME?</v>
      </c>
      <c r="BC51" s="1669" t="e" cm="1">
        <f t="array" ca="1" aca="1" ref="BC51">_xlfn.LET(_xlpm.val,IF($F51="",val_blankRefText,_xldudf_CX_GET(CX_ENTITY,$F51,BC$11,BC$14,,(BC$19))),_xlpm.Res,IF(OR(_xlpm.val="",_xlpm.val="Error"),"",_xlpm.val),_xlpm.Res)</f>
        <v>#NAME?</v>
      </c>
      <c r="BD51" s="1669" t="e" cm="1">
        <f t="array" ca="1" aca="1" ref="BD51">_xlfn.LET(_xlpm.val,IF($F51="",val_blankRefText,_xldudf_CX_GET(CX_ENTITY,$F51,BD$11,BD$14,,(BD$19))),_xlpm.Res,IF(OR(_xlpm.val="",_xlpm.val="Error"),"",_xlpm.val),_xlpm.Res)</f>
        <v>#NAME?</v>
      </c>
      <c r="BE51" s="1669" t="e" cm="1">
        <f t="array" ca="1" aca="1" ref="BE51">_xlfn.LET(_xlpm.val,IF($F51="",val_blankRefText,_xldudf_CX_GET(CX_ENTITY,$F51,BE$11,BE$14,,(BE$19))),_xlpm.Res,IF(OR(_xlpm.val="",_xlpm.val="Error"),"",_xlpm.val),_xlpm.Res)</f>
        <v>#NAME?</v>
      </c>
      <c r="BF51" s="1669" t="e" cm="1">
        <f t="array" ca="1" aca="1" ref="BF51">_xlfn.LET(_xlpm.val,IF($F51="",val_blankRefText,_xldudf_CX_GET(CX_ENTITY,$F51,BF$11,BF$14,,(BF$19))),_xlpm.Res,IF(OR(_xlpm.val="",_xlpm.val="Error"),"",_xlpm.val),_xlpm.Res)</f>
        <v>#NAME?</v>
      </c>
      <c r="BG51" s="1669" t="e" cm="1">
        <f t="array" ca="1" aca="1" ref="BG51">_xlfn.LET(_xlpm.val,IF($F51="",val_blankRefText,_xldudf_CX_GET(CX_ENTITY,$F51,BG$11,BG$14,,(BG$19))),_xlpm.Res,IF(OR(_xlpm.val="",_xlpm.val="Error"),"",_xlpm.val),_xlpm.Res)</f>
        <v>#NAME?</v>
      </c>
      <c r="BH51" s="1669" t="e" cm="1">
        <f t="array" ca="1" aca="1" ref="BH51">_xlfn.LET(_xlpm.val,IF($F51="",val_blankRefText,_xldudf_CX_GET(CX_ENTITY,$F51,BH$11,BH$14,,(BH$19))),_xlpm.Res,IF(OR(_xlpm.val="",_xlpm.val="Error"),"",_xlpm.val),_xlpm.Res)</f>
        <v>#NAME?</v>
      </c>
      <c r="BI51" s="1669" t="e" cm="1">
        <f t="array" ca="1" aca="1" ref="BI51">_xlfn.LET(_xlpm.val,IF($F51="",val_blankRefText,_xldudf_CX_GET(CX_ENTITY,$F51,BI$11,BI$14,,(BI$19))),_xlpm.Res,IF(OR(_xlpm.val="",_xlpm.val="Error"),"",_xlpm.val),_xlpm.Res)</f>
        <v>#NAME?</v>
      </c>
      <c r="BJ51" s="1669" t="e" cm="1">
        <f t="array" ca="1" aca="1" ref="BJ51">_xlfn.LET(_xlpm.val,IF($F51="",val_blankRefText,_xldudf_CX_GET(CX_ENTITY,$F51,BJ$11,BJ$14,,(BJ$19))),_xlpm.Res,IF(OR(_xlpm.val="",_xlpm.val="Error"),"",_xlpm.val),_xlpm.Res)</f>
        <v>#NAME?</v>
      </c>
      <c r="BK51" s="1669" t="e" cm="1">
        <f t="array" ca="1" aca="1" ref="BK51">_xlfn.LET(_xlpm.val,IF($F51="",val_blankRefText,_xldudf_CX_GET(CX_ENTITY,$F51,BK$11,BK$14,,(BK$19))),_xlpm.Res,IF(OR(_xlpm.val="",_xlpm.val="Error"),"",_xlpm.val),_xlpm.Res)</f>
        <v>#NAME?</v>
      </c>
      <c r="BL51" s="1669" t="e" cm="1">
        <f t="array" ca="1" aca="1" ref="BL51">_xlfn.LET(_xlpm.val,IF($F51="",val_blankRefText,_xldudf_CX_GET(CX_ENTITY,$F51,BL$11,BL$14,,(BL$19))),_xlpm.Res,IF(OR(_xlpm.val="",_xlpm.val="Error"),"",_xlpm.val),_xlpm.Res)</f>
        <v>#NAME?</v>
      </c>
      <c r="BM51" s="1669" t="e" cm="1">
        <f t="array" ca="1" aca="1" ref="BM51">_xlfn.LET(_xlpm.val,IF($F51="",val_blankRefText,_xldudf_CX_GET(CX_ENTITY,$F51,BM$11,BM$14,,(BM$19))),_xlpm.Res,IF(OR(_xlpm.val="",_xlpm.val="Error"),"",_xlpm.val),_xlpm.Res)</f>
        <v>#NAME?</v>
      </c>
      <c r="BN51" s="1669" t="e" cm="1">
        <f t="array" ca="1" aca="1" ref="BN51">_xlfn.LET(_xlpm.val,IF($F51="",val_blankRefText,_xldudf_CX_GET(CX_ENTITY,$F51,BN$11,BN$14,,(BN$19))),_xlpm.Res,IF(OR(_xlpm.val="",_xlpm.val="Error"),"",_xlpm.val),_xlpm.Res)</f>
        <v>#NAME?</v>
      </c>
      <c r="BO51" s="2095"/>
      <c r="BP51" s="2095"/>
      <c r="BQ51" s="2095"/>
      <c r="BR51" s="2095"/>
      <c r="BS51" s="2095"/>
      <c r="BT51" s="2095"/>
      <c r="BU51" s="2095"/>
      <c r="BV51" s="2095"/>
      <c r="BW51" s="2095"/>
      <c r="BX51" s="2095"/>
      <c r="BY51" s="2095"/>
      <c r="BZ51" s="2095"/>
      <c r="CA51" s="34"/>
      <c r="CC51" s="33"/>
      <c r="CD51" s="1461" t="e" cm="1">
        <f t="array" ca="1" aca="1" ref="CD51">_xlfn.LET(_xlpm.CheckBlank,SUM(PL!$AD51:PL!$BN51)=0,IF(_xlpm.CheckBlank,"",SUM(_xlfn._xlws.FILTER(PL!$AD51:$BN51,(YEAR(PL!$AD$12:$BN$12)=PL!CD$12)*(array_timeline&lt;=PL!CD$11)))))</f>
        <v>#NAME?</v>
      </c>
      <c r="CE51" s="1461" t="e" cm="1">
        <f t="array" ca="1" aca="1" ref="CE51">_xlfn.LET(_xlpm.CheckBlank,SUM(PL!$AD51:PL!$BN51)=0,IF(_xlpm.CheckBlank,"",SUM(_xlfn._xlws.FILTER(PL!$AD51:$BN51,(YEAR(PL!$AD$12:$BN$12)=PL!CE$12)*(array_timeline&lt;=PL!CE$11)))))</f>
        <v>#NAME?</v>
      </c>
      <c r="CF51" s="88"/>
      <c r="CG51" s="1461" t="e" cm="1">
        <f t="array" ca="1" aca="1" ref="CG51">_xlfn.LET(_xlpm.CheckBlank,SUM(PL!$AD51:$BN51)=0,IF(_xlpm.CheckBlank,"",SUM(_xlfn._xlws.FILTER(PL!$AD51:$BN51,(YEAR(PL!$AD$12:$BN$12)=PL!CG$12)*(array_timeline&lt;=PL!CG$11)))))</f>
        <v>#NAME?</v>
      </c>
      <c r="CH51" s="1461" t="e" cm="1">
        <f t="array" ca="1" aca="1" ref="CH51">_xlfn.LET(_xlpm.CheckBlank,SUM(PL!$AD51:$BN51)=0,IF(_xlpm.CheckBlank,"",SUM(_xlfn._xlws.FILTER(PL!$AD51:$BN51,(YEAR(PL!$AD$12:$BN$12)=PL!CH$12)*(array_timeline&lt;=PL!CH$11)))))</f>
        <v>#NAME?</v>
      </c>
      <c r="CI51" s="88"/>
      <c r="CJ51" s="1461" cm="1">
        <f t="array" ref="CJ51">_xlfn.LET(_xlpm.CheckBlank,SUM(PL!$AD51:$BN51)=0,IF(_xlpm.CheckBlank,"",SUM(_xlfn.TAKE(_xlfn.DROP(PL!$AD51:$BN51,,-DATEDIFF(PL!CJ$11,val_asOfDate,"M")),1,-12))))</f>
        <v>12</v>
      </c>
      <c r="CK51" s="1461" cm="1">
        <f t="array" ref="CK51">_xlfn.LET(_xlpm.CheckBlank,SUM(PL!$AD51:$BN51)=0,IF(_xlpm.CheckBlank,"",SUM(_xlfn.TAKE(_xlfn.DROP(PL!$AD51:$BN51,,-DATEDIFF(PL!CK$11,val_asOfDate,"M")),1,-12))))</f>
        <v>12</v>
      </c>
      <c r="CL51" s="88"/>
      <c r="CM51" s="1556" t="e" cm="1">
        <f t="array" ca="1" aca="1" ref="CM51">IF($F51="",val_blankRefText,N(_xldudf_CX_GET(CX_ENTITY,$F51,CM$11,CM$14,,(CM$19)))/fxVal_normal*fxVal_sign($A51))</f>
        <v>#NAME?</v>
      </c>
      <c r="CN51" s="1556" t="e" cm="1">
        <f t="array" ca="1" aca="1" ref="CN51">IF($F51="",val_blankRefText,N(_xldudf_CX_GET(CX_ENTITY,$F51,CN$11,CN$14,,(CN$19)))/fxVal_normal*fxVal_sign($A51))</f>
        <v>#NAME?</v>
      </c>
      <c r="CO51" s="88"/>
      <c r="CP51" s="1650" t="e" cm="1">
        <f t="array" ca="1" aca="1" ref="CP51">IF($F51="",val_blankRefText,N(_xldudf_CX_GET(CX_ENTITY,$F51,CP$11,CP$14,,(CP$19)))/fxVal_normal*fxVal_sign($A51))</f>
        <v>#NAME?</v>
      </c>
      <c r="CQ51" s="1651" t="e" cm="1">
        <f t="array" ca="1" aca="1" ref="CQ51">IF($F51="",val_blankRefText,N(_xldudf_CX_GET(CX_ENTITY,$F51,CQ$11,CQ$14,,(CQ$19)))/fxVal_normal*fxVal_sign($A51))</f>
        <v>#NAME?</v>
      </c>
      <c r="CR51" s="34"/>
    </row>
    <row r="52" spans="1:96" ht="21" customHeight="1" outlineLevel="2">
      <c r="A52" s="1322"/>
      <c r="B52" s="2128" t="s">
        <v>1571</v>
      </c>
      <c r="C52" s="2125" t="s">
        <v>1572</v>
      </c>
      <c r="D52" s="1616"/>
      <c r="E52" s="1615" t="e" cm="1">
        <f t="array" ca="1" aca="1" ref="E52">_xlfn.LET(_xlpm.Attr,$C52,_xlpm.Lookback,$E$16,_xlpm.QueryDate,EOMONTH(val_asOfDate,_xlpm.Lookback),_xlpm.ReadField,_xldudf_CX_GET(CX_ENTITY,fx_attrConverter($C52),_xlpm.QueryDate),_xlpm.AttrBlank,_xlpm.Attr="",_xlpm.RESULT,IF(_xlpm.AttrBlank,val_blankRefText,fx_attrConverter(_xlpm.ReadField,0)),IF(_xlpm.RESULT="Error","",_xlpm.RESULT))</f>
        <v>#NAME?</v>
      </c>
      <c r="F52" s="1615" t="str">
        <f t="shared" si="9"/>
        <v>Custom Metric Amount 7</v>
      </c>
      <c r="G52" s="577" t="s">
        <v>1558</v>
      </c>
      <c r="H52" s="3279">
        <v>1</v>
      </c>
      <c r="I52" s="3279">
        <v>1</v>
      </c>
      <c r="J52" s="401"/>
      <c r="K52" s="401"/>
      <c r="L52" s="579" t="b">
        <v>0</v>
      </c>
      <c r="N52" s="158"/>
      <c r="O52" s="101"/>
      <c r="P52" s="52"/>
      <c r="Q52" s="101"/>
      <c r="R52" s="539"/>
      <c r="S52" s="101"/>
      <c r="T52" s="101"/>
      <c r="U52" s="39"/>
      <c r="W52" s="91" t="str">
        <f>_PL!$W$17</f>
        <v>Actual</v>
      </c>
      <c r="X52" s="2370" t="e" cm="1">
        <f t="array" ca="1" aca="1" ref="X52">_xlfn.LET(_xlpm.toPass,$E52="",_xlpm.hasParts,ISNUMBER(SEARCH("|",$E52)),_xlpm.Part1,INDEX(_xlfn.TEXTSPLIT($E52,"|",,FALSE,1),1),_xlpm.Part1Num,IFERROR(_xlfn.NUMBERVALUE(_xlpm.Part1),_xlpm.Part1),_xlfn.SWITCH(TRUE,_xlpm.toPass,"",_xlpm.hasParts,_xlpm.Part1Num,$E52))</f>
        <v>#NAME?</v>
      </c>
      <c r="Y52" s="590" t="e" cm="1">
        <f t="array" ca="1" aca="1" ref="Y52">IF($E52="","",IF(ISNUMBER(SEARCH("|",$E52)),INDEX(_xlfn.TEXTSPLIT($E52,"|",,FALSE,1),2),$E52))</f>
        <v>#NAME?</v>
      </c>
      <c r="Z52" s="198" t="e">
        <f t="shared" ca="1" si="10"/>
        <v>#NAME?</v>
      </c>
      <c r="AA52" s="200"/>
      <c r="AB52" s="709" t="e" cm="1">
        <f t="array" ca="1" aca="1" ref="AB52">_xlfn.LET(_xlpm.PackedString,E52,IF(_xlpm.PackedString="","",IF(ISNUMBER(SEARCH("|",_xlpm.PackedString)),INDEX(_xlfn.TEXTSPLIT(_xlpm.PackedString,"|",,FALSE),3),_xlpm.PackedString)))</f>
        <v>#NAME?</v>
      </c>
      <c r="AC52" s="300" t="str" cm="1">
        <f t="array" ca="1" aca="1" ref="AC52">_xlfn.LET(_xlpm.Def,IF(_xlfn.XMATCH(AB52,tbl_acctDef[Term],0)&gt;0,fx_getIcon("find"),""),_xlpm.Adj,IF(_xlfn.XMATCH(AB52,tbl_adjExample[Items],0)&gt;0,fx_getIcon("find"),""),IFERROR(IFBLANK(_xlpm.Def,_xlpm.Adj),""))</f>
        <v/>
      </c>
      <c r="AD52" s="1669" t="e" cm="1">
        <f t="array" ca="1" aca="1" ref="AD52">_xlfn.LET(_xlpm.val,IF($F52="",val_blankRefText,_xldudf_CX_GET(CX_ENTITY,$F52,AD$11,AD$14,,(AD$19))),_xlpm.Res,IF(OR(_xlpm.val="",_xlpm.val="Error"),"",_xlpm.val),_xlpm.Res)</f>
        <v>#NAME?</v>
      </c>
      <c r="AE52" s="1669" t="e" cm="1">
        <f t="array" ca="1" aca="1" ref="AE52">_xlfn.LET(_xlpm.val,IF($F52="",val_blankRefText,_xldudf_CX_GET(CX_ENTITY,$F52,AE$11,AE$14,,(AE$19))),_xlpm.Res,IF(OR(_xlpm.val="",_xlpm.val="Error"),"",_xlpm.val),_xlpm.Res)</f>
        <v>#NAME?</v>
      </c>
      <c r="AF52" s="1669" t="e" cm="1">
        <f t="array" ca="1" aca="1" ref="AF52">_xlfn.LET(_xlpm.val,IF($F52="",val_blankRefText,_xldudf_CX_GET(CX_ENTITY,$F52,AF$11,AF$14,,(AF$19))),_xlpm.Res,IF(OR(_xlpm.val="",_xlpm.val="Error"),"",_xlpm.val),_xlpm.Res)</f>
        <v>#NAME?</v>
      </c>
      <c r="AG52" s="1669" t="e" cm="1">
        <f t="array" ca="1" aca="1" ref="AG52">_xlfn.LET(_xlpm.val,IF($F52="",val_blankRefText,_xldudf_CX_GET(CX_ENTITY,$F52,AG$11,AG$14,,(AG$19))),_xlpm.Res,IF(OR(_xlpm.val="",_xlpm.val="Error"),"",_xlpm.val),_xlpm.Res)</f>
        <v>#NAME?</v>
      </c>
      <c r="AH52" s="1669" t="e" cm="1">
        <f t="array" ca="1" aca="1" ref="AH52">_xlfn.LET(_xlpm.val,IF($F52="",val_blankRefText,_xldudf_CX_GET(CX_ENTITY,$F52,AH$11,AH$14,,(AH$19))),_xlpm.Res,IF(OR(_xlpm.val="",_xlpm.val="Error"),"",_xlpm.val),_xlpm.Res)</f>
        <v>#NAME?</v>
      </c>
      <c r="AI52" s="1669" t="e" cm="1">
        <f t="array" ca="1" aca="1" ref="AI52">_xlfn.LET(_xlpm.val,IF($F52="",val_blankRefText,_xldudf_CX_GET(CX_ENTITY,$F52,AI$11,AI$14,,(AI$19))),_xlpm.Res,IF(OR(_xlpm.val="",_xlpm.val="Error"),"",_xlpm.val),_xlpm.Res)</f>
        <v>#NAME?</v>
      </c>
      <c r="AJ52" s="1669" t="e" cm="1">
        <f t="array" ca="1" aca="1" ref="AJ52">_xlfn.LET(_xlpm.val,IF($F52="",val_blankRefText,_xldudf_CX_GET(CX_ENTITY,$F52,AJ$11,AJ$14,,(AJ$19))),_xlpm.Res,IF(OR(_xlpm.val="",_xlpm.val="Error"),"",_xlpm.val),_xlpm.Res)</f>
        <v>#NAME?</v>
      </c>
      <c r="AK52" s="1669" t="e" cm="1">
        <f t="array" ca="1" aca="1" ref="AK52">_xlfn.LET(_xlpm.val,IF($F52="",val_blankRefText,_xldudf_CX_GET(CX_ENTITY,$F52,AK$11,AK$14,,(AK$19))),_xlpm.Res,IF(OR(_xlpm.val="",_xlpm.val="Error"),"",_xlpm.val),_xlpm.Res)</f>
        <v>#NAME?</v>
      </c>
      <c r="AL52" s="1669" t="e" cm="1">
        <f t="array" ca="1" aca="1" ref="AL52">_xlfn.LET(_xlpm.val,IF($F52="",val_blankRefText,_xldudf_CX_GET(CX_ENTITY,$F52,AL$11,AL$14,,(AL$19))),_xlpm.Res,IF(OR(_xlpm.val="",_xlpm.val="Error"),"",_xlpm.val),_xlpm.Res)</f>
        <v>#NAME?</v>
      </c>
      <c r="AM52" s="1669" t="e" cm="1">
        <f t="array" ca="1" aca="1" ref="AM52">_xlfn.LET(_xlpm.val,IF($F52="",val_blankRefText,_xldudf_CX_GET(CX_ENTITY,$F52,AM$11,AM$14,,(AM$19))),_xlpm.Res,IF(OR(_xlpm.val="",_xlpm.val="Error"),"",_xlpm.val),_xlpm.Res)</f>
        <v>#NAME?</v>
      </c>
      <c r="AN52" s="1669" t="e" cm="1">
        <f t="array" ca="1" aca="1" ref="AN52">_xlfn.LET(_xlpm.val,IF($F52="",val_blankRefText,_xldudf_CX_GET(CX_ENTITY,$F52,AN$11,AN$14,,(AN$19))),_xlpm.Res,IF(OR(_xlpm.val="",_xlpm.val="Error"),"",_xlpm.val),_xlpm.Res)</f>
        <v>#NAME?</v>
      </c>
      <c r="AO52" s="1669" t="e" cm="1">
        <f t="array" ca="1" aca="1" ref="AO52">_xlfn.LET(_xlpm.val,IF($F52="",val_blankRefText,_xldudf_CX_GET(CX_ENTITY,$F52,AO$11,AO$14,,(AO$19))),_xlpm.Res,IF(OR(_xlpm.val="",_xlpm.val="Error"),"",_xlpm.val),_xlpm.Res)</f>
        <v>#NAME?</v>
      </c>
      <c r="AP52" s="1669" t="e" cm="1">
        <f t="array" ca="1" aca="1" ref="AP52">_xlfn.LET(_xlpm.val,IF($F52="",val_blankRefText,_xldudf_CX_GET(CX_ENTITY,$F52,AP$11,AP$14,,(AP$19))),_xlpm.Res,IF(OR(_xlpm.val="",_xlpm.val="Error"),"",_xlpm.val),_xlpm.Res)</f>
        <v>#NAME?</v>
      </c>
      <c r="AQ52" s="1669" t="e" cm="1">
        <f t="array" ca="1" aca="1" ref="AQ52">_xlfn.LET(_xlpm.val,IF($F52="",val_blankRefText,_xldudf_CX_GET(CX_ENTITY,$F52,AQ$11,AQ$14,,(AQ$19))),_xlpm.Res,IF(OR(_xlpm.val="",_xlpm.val="Error"),"",_xlpm.val),_xlpm.Res)</f>
        <v>#NAME?</v>
      </c>
      <c r="AR52" s="1669" t="e" cm="1">
        <f t="array" ca="1" aca="1" ref="AR52">_xlfn.LET(_xlpm.val,IF($F52="",val_blankRefText,_xldudf_CX_GET(CX_ENTITY,$F52,AR$11,AR$14,,(AR$19))),_xlpm.Res,IF(OR(_xlpm.val="",_xlpm.val="Error"),"",_xlpm.val),_xlpm.Res)</f>
        <v>#NAME?</v>
      </c>
      <c r="AS52" s="1669" t="e" cm="1">
        <f t="array" ca="1" aca="1" ref="AS52">_xlfn.LET(_xlpm.val,IF($F52="",val_blankRefText,_xldudf_CX_GET(CX_ENTITY,$F52,AS$11,AS$14,,(AS$19))),_xlpm.Res,IF(OR(_xlpm.val="",_xlpm.val="Error"),"",_xlpm.val),_xlpm.Res)</f>
        <v>#NAME?</v>
      </c>
      <c r="AT52" s="1669" t="e" cm="1">
        <f t="array" ca="1" aca="1" ref="AT52">_xlfn.LET(_xlpm.val,IF($F52="",val_blankRefText,_xldudf_CX_GET(CX_ENTITY,$F52,AT$11,AT$14,,(AT$19))),_xlpm.Res,IF(OR(_xlpm.val="",_xlpm.val="Error"),"",_xlpm.val),_xlpm.Res)</f>
        <v>#NAME?</v>
      </c>
      <c r="AU52" s="1669" t="e" cm="1">
        <f t="array" ca="1" aca="1" ref="AU52">_xlfn.LET(_xlpm.val,IF($F52="",val_blankRefText,_xldudf_CX_GET(CX_ENTITY,$F52,AU$11,AU$14,,(AU$19))),_xlpm.Res,IF(OR(_xlpm.val="",_xlpm.val="Error"),"",_xlpm.val),_xlpm.Res)</f>
        <v>#NAME?</v>
      </c>
      <c r="AV52" s="1669" t="e" cm="1">
        <f t="array" ca="1" aca="1" ref="AV52">_xlfn.LET(_xlpm.val,IF($F52="",val_blankRefText,_xldudf_CX_GET(CX_ENTITY,$F52,AV$11,AV$14,,(AV$19))),_xlpm.Res,IF(OR(_xlpm.val="",_xlpm.val="Error"),"",_xlpm.val),_xlpm.Res)</f>
        <v>#NAME?</v>
      </c>
      <c r="AW52" s="1669" t="e" cm="1">
        <f t="array" ca="1" aca="1" ref="AW52">_xlfn.LET(_xlpm.val,IF($F52="",val_blankRefText,_xldudf_CX_GET(CX_ENTITY,$F52,AW$11,AW$14,,(AW$19))),_xlpm.Res,IF(OR(_xlpm.val="",_xlpm.val="Error"),"",_xlpm.val),_xlpm.Res)</f>
        <v>#NAME?</v>
      </c>
      <c r="AX52" s="1669" t="e" cm="1">
        <f t="array" ca="1" aca="1" ref="AX52">_xlfn.LET(_xlpm.val,IF($F52="",val_blankRefText,_xldudf_CX_GET(CX_ENTITY,$F52,AX$11,AX$14,,(AX$19))),_xlpm.Res,IF(OR(_xlpm.val="",_xlpm.val="Error"),"",_xlpm.val),_xlpm.Res)</f>
        <v>#NAME?</v>
      </c>
      <c r="AY52" s="1669" t="e" cm="1">
        <f t="array" ca="1" aca="1" ref="AY52">_xlfn.LET(_xlpm.val,IF($F52="",val_blankRefText,_xldudf_CX_GET(CX_ENTITY,$F52,AY$11,AY$14,,(AY$19))),_xlpm.Res,IF(OR(_xlpm.val="",_xlpm.val="Error"),"",_xlpm.val),_xlpm.Res)</f>
        <v>#NAME?</v>
      </c>
      <c r="AZ52" s="1669" t="e" cm="1">
        <f t="array" ca="1" aca="1" ref="AZ52">_xlfn.LET(_xlpm.val,IF($F52="",val_blankRefText,_xldudf_CX_GET(CX_ENTITY,$F52,AZ$11,AZ$14,,(AZ$19))),_xlpm.Res,IF(OR(_xlpm.val="",_xlpm.val="Error"),"",_xlpm.val),_xlpm.Res)</f>
        <v>#NAME?</v>
      </c>
      <c r="BA52" s="1669" t="e" cm="1">
        <f t="array" ca="1" aca="1" ref="BA52">_xlfn.LET(_xlpm.val,IF($F52="",val_blankRefText,_xldudf_CX_GET(CX_ENTITY,$F52,BA$11,BA$14,,(BA$19))),_xlpm.Res,IF(OR(_xlpm.val="",_xlpm.val="Error"),"",_xlpm.val),_xlpm.Res)</f>
        <v>#NAME?</v>
      </c>
      <c r="BB52" s="1669" t="e" cm="1">
        <f t="array" ca="1" aca="1" ref="BB52">_xlfn.LET(_xlpm.val,IF($F52="",val_blankRefText,_xldudf_CX_GET(CX_ENTITY,$F52,BB$11,BB$14,,(BB$19))),_xlpm.Res,IF(OR(_xlpm.val="",_xlpm.val="Error"),"",_xlpm.val),_xlpm.Res)</f>
        <v>#NAME?</v>
      </c>
      <c r="BC52" s="1669" t="e" cm="1">
        <f t="array" ca="1" aca="1" ref="BC52">_xlfn.LET(_xlpm.val,IF($F52="",val_blankRefText,_xldudf_CX_GET(CX_ENTITY,$F52,BC$11,BC$14,,(BC$19))),_xlpm.Res,IF(OR(_xlpm.val="",_xlpm.val="Error"),"",_xlpm.val),_xlpm.Res)</f>
        <v>#NAME?</v>
      </c>
      <c r="BD52" s="1669" t="e" cm="1">
        <f t="array" ca="1" aca="1" ref="BD52">_xlfn.LET(_xlpm.val,IF($F52="",val_blankRefText,_xldudf_CX_GET(CX_ENTITY,$F52,BD$11,BD$14,,(BD$19))),_xlpm.Res,IF(OR(_xlpm.val="",_xlpm.val="Error"),"",_xlpm.val),_xlpm.Res)</f>
        <v>#NAME?</v>
      </c>
      <c r="BE52" s="1669" t="e" cm="1">
        <f t="array" ca="1" aca="1" ref="BE52">_xlfn.LET(_xlpm.val,IF($F52="",val_blankRefText,_xldudf_CX_GET(CX_ENTITY,$F52,BE$11,BE$14,,(BE$19))),_xlpm.Res,IF(OR(_xlpm.val="",_xlpm.val="Error"),"",_xlpm.val),_xlpm.Res)</f>
        <v>#NAME?</v>
      </c>
      <c r="BF52" s="1669" t="e" cm="1">
        <f t="array" ca="1" aca="1" ref="BF52">_xlfn.LET(_xlpm.val,IF($F52="",val_blankRefText,_xldudf_CX_GET(CX_ENTITY,$F52,BF$11,BF$14,,(BF$19))),_xlpm.Res,IF(OR(_xlpm.val="",_xlpm.val="Error"),"",_xlpm.val),_xlpm.Res)</f>
        <v>#NAME?</v>
      </c>
      <c r="BG52" s="1669" t="e" cm="1">
        <f t="array" ca="1" aca="1" ref="BG52">_xlfn.LET(_xlpm.val,IF($F52="",val_blankRefText,_xldudf_CX_GET(CX_ENTITY,$F52,BG$11,BG$14,,(BG$19))),_xlpm.Res,IF(OR(_xlpm.val="",_xlpm.val="Error"),"",_xlpm.val),_xlpm.Res)</f>
        <v>#NAME?</v>
      </c>
      <c r="BH52" s="1669" t="e" cm="1">
        <f t="array" ca="1" aca="1" ref="BH52">_xlfn.LET(_xlpm.val,IF($F52="",val_blankRefText,_xldudf_CX_GET(CX_ENTITY,$F52,BH$11,BH$14,,(BH$19))),_xlpm.Res,IF(OR(_xlpm.val="",_xlpm.val="Error"),"",_xlpm.val),_xlpm.Res)</f>
        <v>#NAME?</v>
      </c>
      <c r="BI52" s="1669" t="e" cm="1">
        <f t="array" ca="1" aca="1" ref="BI52">_xlfn.LET(_xlpm.val,IF($F52="",val_blankRefText,_xldudf_CX_GET(CX_ENTITY,$F52,BI$11,BI$14,,(BI$19))),_xlpm.Res,IF(OR(_xlpm.val="",_xlpm.val="Error"),"",_xlpm.val),_xlpm.Res)</f>
        <v>#NAME?</v>
      </c>
      <c r="BJ52" s="1669" t="e" cm="1">
        <f t="array" ca="1" aca="1" ref="BJ52">_xlfn.LET(_xlpm.val,IF($F52="",val_blankRefText,_xldudf_CX_GET(CX_ENTITY,$F52,BJ$11,BJ$14,,(BJ$19))),_xlpm.Res,IF(OR(_xlpm.val="",_xlpm.val="Error"),"",_xlpm.val),_xlpm.Res)</f>
        <v>#NAME?</v>
      </c>
      <c r="BK52" s="1669" t="e" cm="1">
        <f t="array" ca="1" aca="1" ref="BK52">_xlfn.LET(_xlpm.val,IF($F52="",val_blankRefText,_xldudf_CX_GET(CX_ENTITY,$F52,BK$11,BK$14,,(BK$19))),_xlpm.Res,IF(OR(_xlpm.val="",_xlpm.val="Error"),"",_xlpm.val),_xlpm.Res)</f>
        <v>#NAME?</v>
      </c>
      <c r="BL52" s="1669" t="e" cm="1">
        <f t="array" ca="1" aca="1" ref="BL52">_xlfn.LET(_xlpm.val,IF($F52="",val_blankRefText,_xldudf_CX_GET(CX_ENTITY,$F52,BL$11,BL$14,,(BL$19))),_xlpm.Res,IF(OR(_xlpm.val="",_xlpm.val="Error"),"",_xlpm.val),_xlpm.Res)</f>
        <v>#NAME?</v>
      </c>
      <c r="BM52" s="1669" t="e" cm="1">
        <f t="array" ca="1" aca="1" ref="BM52">_xlfn.LET(_xlpm.val,IF($F52="",val_blankRefText,_xldudf_CX_GET(CX_ENTITY,$F52,BM$11,BM$14,,(BM$19))),_xlpm.Res,IF(OR(_xlpm.val="",_xlpm.val="Error"),"",_xlpm.val),_xlpm.Res)</f>
        <v>#NAME?</v>
      </c>
      <c r="BN52" s="1669" t="e" cm="1">
        <f t="array" ca="1" aca="1" ref="BN52">_xlfn.LET(_xlpm.val,IF($F52="",val_blankRefText,_xldudf_CX_GET(CX_ENTITY,$F52,BN$11,BN$14,,(BN$19))),_xlpm.Res,IF(OR(_xlpm.val="",_xlpm.val="Error"),"",_xlpm.val),_xlpm.Res)</f>
        <v>#NAME?</v>
      </c>
      <c r="BO52" s="2095"/>
      <c r="BP52" s="2095"/>
      <c r="BQ52" s="2095"/>
      <c r="BR52" s="2095"/>
      <c r="BS52" s="2095"/>
      <c r="BT52" s="2095"/>
      <c r="BU52" s="2095"/>
      <c r="BV52" s="2095"/>
      <c r="BW52" s="2095"/>
      <c r="BX52" s="2095"/>
      <c r="BY52" s="2095"/>
      <c r="BZ52" s="2095"/>
      <c r="CA52" s="34"/>
      <c r="CC52" s="33"/>
      <c r="CD52" s="1461" t="e" cm="1">
        <f t="array" ca="1" aca="1" ref="CD52">_xlfn.LET(_xlpm.CheckBlank,SUM(PL!$AD52:PL!$BN52)=0,IF(_xlpm.CheckBlank,"",SUM(_xlfn._xlws.FILTER(PL!$AD52:$BN52,(YEAR(PL!$AD$12:$BN$12)=PL!CD$12)*(array_timeline&lt;=PL!CD$11)))))</f>
        <v>#NAME?</v>
      </c>
      <c r="CE52" s="1461" t="e" cm="1">
        <f t="array" ca="1" aca="1" ref="CE52">_xlfn.LET(_xlpm.CheckBlank,SUM(PL!$AD52:PL!$BN52)=0,IF(_xlpm.CheckBlank,"",SUM(_xlfn._xlws.FILTER(PL!$AD52:$BN52,(YEAR(PL!$AD$12:$BN$12)=PL!CE$12)*(array_timeline&lt;=PL!CE$11)))))</f>
        <v>#NAME?</v>
      </c>
      <c r="CF52" s="88"/>
      <c r="CG52" s="1461" t="e" cm="1">
        <f t="array" ca="1" aca="1" ref="CG52">_xlfn.LET(_xlpm.CheckBlank,SUM(PL!$AD52:$BN52)=0,IF(_xlpm.CheckBlank,"",SUM(_xlfn._xlws.FILTER(PL!$AD52:$BN52,(YEAR(PL!$AD$12:$BN$12)=PL!CG$12)*(array_timeline&lt;=PL!CG$11)))))</f>
        <v>#NAME?</v>
      </c>
      <c r="CH52" s="1461" t="e" cm="1">
        <f t="array" ca="1" aca="1" ref="CH52">_xlfn.LET(_xlpm.CheckBlank,SUM(PL!$AD52:$BN52)=0,IF(_xlpm.CheckBlank,"",SUM(_xlfn._xlws.FILTER(PL!$AD52:$BN52,(YEAR(PL!$AD$12:$BN$12)=PL!CH$12)*(array_timeline&lt;=PL!CH$11)))))</f>
        <v>#NAME?</v>
      </c>
      <c r="CI52" s="88"/>
      <c r="CJ52" s="1461" cm="1">
        <f t="array" ref="CJ52">_xlfn.LET(_xlpm.CheckBlank,SUM(PL!$AD52:$BN52)=0,IF(_xlpm.CheckBlank,"",SUM(_xlfn.TAKE(_xlfn.DROP(PL!$AD52:$BN52,,-DATEDIFF(PL!CJ$11,val_asOfDate,"M")),1,-12))))</f>
        <v>12</v>
      </c>
      <c r="CK52" s="1461" cm="1">
        <f t="array" ref="CK52">_xlfn.LET(_xlpm.CheckBlank,SUM(PL!$AD52:$BN52)=0,IF(_xlpm.CheckBlank,"",SUM(_xlfn.TAKE(_xlfn.DROP(PL!$AD52:$BN52,,-DATEDIFF(PL!CK$11,val_asOfDate,"M")),1,-12))))</f>
        <v>12</v>
      </c>
      <c r="CL52" s="88"/>
      <c r="CM52" s="1556" t="e" cm="1">
        <f t="array" ca="1" aca="1" ref="CM52">IF($F52="",val_blankRefText,N(_xldudf_CX_GET(CX_ENTITY,$F52,CM$11,CM$14,,(CM$19)))/fxVal_normal*fxVal_sign($A52))</f>
        <v>#NAME?</v>
      </c>
      <c r="CN52" s="1556" t="e" cm="1">
        <f t="array" ca="1" aca="1" ref="CN52">IF($F52="",val_blankRefText,N(_xldudf_CX_GET(CX_ENTITY,$F52,CN$11,CN$14,,(CN$19)))/fxVal_normal*fxVal_sign($A52))</f>
        <v>#NAME?</v>
      </c>
      <c r="CO52" s="88"/>
      <c r="CP52" s="1650" t="e" cm="1">
        <f t="array" ca="1" aca="1" ref="CP52">IF($F52="",val_blankRefText,N(_xldudf_CX_GET(CX_ENTITY,$F52,CP$11,CP$14,,(CP$19)))/fxVal_normal*fxVal_sign($A52))</f>
        <v>#NAME?</v>
      </c>
      <c r="CQ52" s="1651" t="e" cm="1">
        <f t="array" ca="1" aca="1" ref="CQ52">IF($F52="",val_blankRefText,N(_xldudf_CX_GET(CX_ENTITY,$F52,CQ$11,CQ$14,,(CQ$19)))/fxVal_normal*fxVal_sign($A52))</f>
        <v>#NAME?</v>
      </c>
      <c r="CR52" s="34"/>
    </row>
    <row r="53" spans="1:96" ht="21" customHeight="1" outlineLevel="2">
      <c r="A53" s="1322"/>
      <c r="B53" s="2128" t="s">
        <v>1573</v>
      </c>
      <c r="C53" s="2125" t="s">
        <v>1574</v>
      </c>
      <c r="D53" s="1616"/>
      <c r="E53" s="1615" t="e" cm="1">
        <f t="array" ca="1" aca="1" ref="E53">_xlfn.LET(_xlpm.Attr,$C53,_xlpm.Lookback,$E$16,_xlpm.QueryDate,EOMONTH(val_asOfDate,_xlpm.Lookback),_xlpm.ReadField,_xldudf_CX_GET(CX_ENTITY,fx_attrConverter($C53),_xlpm.QueryDate),_xlpm.AttrBlank,_xlpm.Attr="",_xlpm.RESULT,IF(_xlpm.AttrBlank,val_blankRefText,fx_attrConverter(_xlpm.ReadField,0)),IF(_xlpm.RESULT="Error","",_xlpm.RESULT))</f>
        <v>#NAME?</v>
      </c>
      <c r="F53" s="1615" t="str">
        <f t="shared" si="9"/>
        <v>Custom Metric Amount 8</v>
      </c>
      <c r="G53" s="577" t="s">
        <v>1558</v>
      </c>
      <c r="H53" s="3279">
        <v>1</v>
      </c>
      <c r="I53" s="3279">
        <v>1</v>
      </c>
      <c r="J53" s="401"/>
      <c r="K53" s="401"/>
      <c r="L53" s="579" t="b">
        <v>0</v>
      </c>
      <c r="N53" s="158"/>
      <c r="O53" s="101"/>
      <c r="P53" s="52"/>
      <c r="Q53" s="101"/>
      <c r="R53" s="539"/>
      <c r="S53" s="101"/>
      <c r="T53" s="101"/>
      <c r="U53" s="39"/>
      <c r="W53" s="91" t="str">
        <f>_PL!$W$17</f>
        <v>Actual</v>
      </c>
      <c r="X53" s="2370" t="e" cm="1">
        <f t="array" ca="1" aca="1" ref="X53">_xlfn.LET(_xlpm.toPass,$E53="",_xlpm.hasParts,ISNUMBER(SEARCH("|",$E53)),_xlpm.Part1,INDEX(_xlfn.TEXTSPLIT($E53,"|",,FALSE,1),1),_xlpm.Part1Num,IFERROR(_xlfn.NUMBERVALUE(_xlpm.Part1),_xlpm.Part1),_xlfn.SWITCH(TRUE,_xlpm.toPass,"",_xlpm.hasParts,_xlpm.Part1Num,$E53))</f>
        <v>#NAME?</v>
      </c>
      <c r="Y53" s="590" t="e" cm="1">
        <f t="array" ca="1" aca="1" ref="Y53">IF($E53="","",IF(ISNUMBER(SEARCH("|",$E53)),INDEX(_xlfn.TEXTSPLIT($E53,"|",,FALSE,1),2),$E53))</f>
        <v>#NAME?</v>
      </c>
      <c r="Z53" s="198" t="e">
        <f t="shared" ca="1" si="10"/>
        <v>#NAME?</v>
      </c>
      <c r="AA53" s="200"/>
      <c r="AB53" s="709" t="e" cm="1">
        <f t="array" ca="1" aca="1" ref="AB53">_xlfn.LET(_xlpm.PackedString,E53,IF(_xlpm.PackedString="","",IF(ISNUMBER(SEARCH("|",_xlpm.PackedString)),INDEX(_xlfn.TEXTSPLIT(_xlpm.PackedString,"|",,FALSE),3),_xlpm.PackedString)))</f>
        <v>#NAME?</v>
      </c>
      <c r="AC53" s="300" t="str" cm="1">
        <f t="array" ca="1" aca="1" ref="AC53">_xlfn.LET(_xlpm.Def,IF(_xlfn.XMATCH(AB53,tbl_acctDef[Term],0)&gt;0,fx_getIcon("find"),""),_xlpm.Adj,IF(_xlfn.XMATCH(AB53,tbl_adjExample[Items],0)&gt;0,fx_getIcon("find"),""),IFERROR(IFBLANK(_xlpm.Def,_xlpm.Adj),""))</f>
        <v/>
      </c>
      <c r="AD53" s="1669" t="e" cm="1">
        <f t="array" ca="1" aca="1" ref="AD53">_xlfn.LET(_xlpm.val,IF($F53="",val_blankRefText,_xldudf_CX_GET(CX_ENTITY,$F53,AD$11,AD$14,,(AD$19))),_xlpm.Res,IF(OR(_xlpm.val="",_xlpm.val="Error"),"",_xlpm.val),_xlpm.Res)</f>
        <v>#NAME?</v>
      </c>
      <c r="AE53" s="1669" t="e" cm="1">
        <f t="array" ca="1" aca="1" ref="AE53">_xlfn.LET(_xlpm.val,IF($F53="",val_blankRefText,_xldudf_CX_GET(CX_ENTITY,$F53,AE$11,AE$14,,(AE$19))),_xlpm.Res,IF(OR(_xlpm.val="",_xlpm.val="Error"),"",_xlpm.val),_xlpm.Res)</f>
        <v>#NAME?</v>
      </c>
      <c r="AF53" s="1669" t="e" cm="1">
        <f t="array" ca="1" aca="1" ref="AF53">_xlfn.LET(_xlpm.val,IF($F53="",val_blankRefText,_xldudf_CX_GET(CX_ENTITY,$F53,AF$11,AF$14,,(AF$19))),_xlpm.Res,IF(OR(_xlpm.val="",_xlpm.val="Error"),"",_xlpm.val),_xlpm.Res)</f>
        <v>#NAME?</v>
      </c>
      <c r="AG53" s="1669" t="e" cm="1">
        <f t="array" ca="1" aca="1" ref="AG53">_xlfn.LET(_xlpm.val,IF($F53="",val_blankRefText,_xldudf_CX_GET(CX_ENTITY,$F53,AG$11,AG$14,,(AG$19))),_xlpm.Res,IF(OR(_xlpm.val="",_xlpm.val="Error"),"",_xlpm.val),_xlpm.Res)</f>
        <v>#NAME?</v>
      </c>
      <c r="AH53" s="1669" t="e" cm="1">
        <f t="array" ca="1" aca="1" ref="AH53">_xlfn.LET(_xlpm.val,IF($F53="",val_blankRefText,_xldudf_CX_GET(CX_ENTITY,$F53,AH$11,AH$14,,(AH$19))),_xlpm.Res,IF(OR(_xlpm.val="",_xlpm.val="Error"),"",_xlpm.val),_xlpm.Res)</f>
        <v>#NAME?</v>
      </c>
      <c r="AI53" s="1669" t="e" cm="1">
        <f t="array" ca="1" aca="1" ref="AI53">_xlfn.LET(_xlpm.val,IF($F53="",val_blankRefText,_xldudf_CX_GET(CX_ENTITY,$F53,AI$11,AI$14,,(AI$19))),_xlpm.Res,IF(OR(_xlpm.val="",_xlpm.val="Error"),"",_xlpm.val),_xlpm.Res)</f>
        <v>#NAME?</v>
      </c>
      <c r="AJ53" s="1669" t="e" cm="1">
        <f t="array" ca="1" aca="1" ref="AJ53">_xlfn.LET(_xlpm.val,IF($F53="",val_blankRefText,_xldudf_CX_GET(CX_ENTITY,$F53,AJ$11,AJ$14,,(AJ$19))),_xlpm.Res,IF(OR(_xlpm.val="",_xlpm.val="Error"),"",_xlpm.val),_xlpm.Res)</f>
        <v>#NAME?</v>
      </c>
      <c r="AK53" s="1669" t="e" cm="1">
        <f t="array" ca="1" aca="1" ref="AK53">_xlfn.LET(_xlpm.val,IF($F53="",val_blankRefText,_xldudf_CX_GET(CX_ENTITY,$F53,AK$11,AK$14,,(AK$19))),_xlpm.Res,IF(OR(_xlpm.val="",_xlpm.val="Error"),"",_xlpm.val),_xlpm.Res)</f>
        <v>#NAME?</v>
      </c>
      <c r="AL53" s="1669" t="e" cm="1">
        <f t="array" ca="1" aca="1" ref="AL53">_xlfn.LET(_xlpm.val,IF($F53="",val_blankRefText,_xldudf_CX_GET(CX_ENTITY,$F53,AL$11,AL$14,,(AL$19))),_xlpm.Res,IF(OR(_xlpm.val="",_xlpm.val="Error"),"",_xlpm.val),_xlpm.Res)</f>
        <v>#NAME?</v>
      </c>
      <c r="AM53" s="1669" t="e" cm="1">
        <f t="array" ca="1" aca="1" ref="AM53">_xlfn.LET(_xlpm.val,IF($F53="",val_blankRefText,_xldudf_CX_GET(CX_ENTITY,$F53,AM$11,AM$14,,(AM$19))),_xlpm.Res,IF(OR(_xlpm.val="",_xlpm.val="Error"),"",_xlpm.val),_xlpm.Res)</f>
        <v>#NAME?</v>
      </c>
      <c r="AN53" s="1669" t="e" cm="1">
        <f t="array" ca="1" aca="1" ref="AN53">_xlfn.LET(_xlpm.val,IF($F53="",val_blankRefText,_xldudf_CX_GET(CX_ENTITY,$F53,AN$11,AN$14,,(AN$19))),_xlpm.Res,IF(OR(_xlpm.val="",_xlpm.val="Error"),"",_xlpm.val),_xlpm.Res)</f>
        <v>#NAME?</v>
      </c>
      <c r="AO53" s="1669" t="e" cm="1">
        <f t="array" ca="1" aca="1" ref="AO53">_xlfn.LET(_xlpm.val,IF($F53="",val_blankRefText,_xldudf_CX_GET(CX_ENTITY,$F53,AO$11,AO$14,,(AO$19))),_xlpm.Res,IF(OR(_xlpm.val="",_xlpm.val="Error"),"",_xlpm.val),_xlpm.Res)</f>
        <v>#NAME?</v>
      </c>
      <c r="AP53" s="1669" t="e" cm="1">
        <f t="array" ca="1" aca="1" ref="AP53">_xlfn.LET(_xlpm.val,IF($F53="",val_blankRefText,_xldudf_CX_GET(CX_ENTITY,$F53,AP$11,AP$14,,(AP$19))),_xlpm.Res,IF(OR(_xlpm.val="",_xlpm.val="Error"),"",_xlpm.val),_xlpm.Res)</f>
        <v>#NAME?</v>
      </c>
      <c r="AQ53" s="1669" t="e" cm="1">
        <f t="array" ca="1" aca="1" ref="AQ53">_xlfn.LET(_xlpm.val,IF($F53="",val_blankRefText,_xldudf_CX_GET(CX_ENTITY,$F53,AQ$11,AQ$14,,(AQ$19))),_xlpm.Res,IF(OR(_xlpm.val="",_xlpm.val="Error"),"",_xlpm.val),_xlpm.Res)</f>
        <v>#NAME?</v>
      </c>
      <c r="AR53" s="1669" t="e" cm="1">
        <f t="array" ca="1" aca="1" ref="AR53">_xlfn.LET(_xlpm.val,IF($F53="",val_blankRefText,_xldudf_CX_GET(CX_ENTITY,$F53,AR$11,AR$14,,(AR$19))),_xlpm.Res,IF(OR(_xlpm.val="",_xlpm.val="Error"),"",_xlpm.val),_xlpm.Res)</f>
        <v>#NAME?</v>
      </c>
      <c r="AS53" s="1669" t="e" cm="1">
        <f t="array" ca="1" aca="1" ref="AS53">_xlfn.LET(_xlpm.val,IF($F53="",val_blankRefText,_xldudf_CX_GET(CX_ENTITY,$F53,AS$11,AS$14,,(AS$19))),_xlpm.Res,IF(OR(_xlpm.val="",_xlpm.val="Error"),"",_xlpm.val),_xlpm.Res)</f>
        <v>#NAME?</v>
      </c>
      <c r="AT53" s="1669" t="e" cm="1">
        <f t="array" ca="1" aca="1" ref="AT53">_xlfn.LET(_xlpm.val,IF($F53="",val_blankRefText,_xldudf_CX_GET(CX_ENTITY,$F53,AT$11,AT$14,,(AT$19))),_xlpm.Res,IF(OR(_xlpm.val="",_xlpm.val="Error"),"",_xlpm.val),_xlpm.Res)</f>
        <v>#NAME?</v>
      </c>
      <c r="AU53" s="1669" t="e" cm="1">
        <f t="array" ca="1" aca="1" ref="AU53">_xlfn.LET(_xlpm.val,IF($F53="",val_blankRefText,_xldudf_CX_GET(CX_ENTITY,$F53,AU$11,AU$14,,(AU$19))),_xlpm.Res,IF(OR(_xlpm.val="",_xlpm.val="Error"),"",_xlpm.val),_xlpm.Res)</f>
        <v>#NAME?</v>
      </c>
      <c r="AV53" s="1669" t="e" cm="1">
        <f t="array" ca="1" aca="1" ref="AV53">_xlfn.LET(_xlpm.val,IF($F53="",val_blankRefText,_xldudf_CX_GET(CX_ENTITY,$F53,AV$11,AV$14,,(AV$19))),_xlpm.Res,IF(OR(_xlpm.val="",_xlpm.val="Error"),"",_xlpm.val),_xlpm.Res)</f>
        <v>#NAME?</v>
      </c>
      <c r="AW53" s="1669" t="e" cm="1">
        <f t="array" ca="1" aca="1" ref="AW53">_xlfn.LET(_xlpm.val,IF($F53="",val_blankRefText,_xldudf_CX_GET(CX_ENTITY,$F53,AW$11,AW$14,,(AW$19))),_xlpm.Res,IF(OR(_xlpm.val="",_xlpm.val="Error"),"",_xlpm.val),_xlpm.Res)</f>
        <v>#NAME?</v>
      </c>
      <c r="AX53" s="1669" t="e" cm="1">
        <f t="array" ca="1" aca="1" ref="AX53">_xlfn.LET(_xlpm.val,IF($F53="",val_blankRefText,_xldudf_CX_GET(CX_ENTITY,$F53,AX$11,AX$14,,(AX$19))),_xlpm.Res,IF(OR(_xlpm.val="",_xlpm.val="Error"),"",_xlpm.val),_xlpm.Res)</f>
        <v>#NAME?</v>
      </c>
      <c r="AY53" s="1669" t="e" cm="1">
        <f t="array" ca="1" aca="1" ref="AY53">_xlfn.LET(_xlpm.val,IF($F53="",val_blankRefText,_xldudf_CX_GET(CX_ENTITY,$F53,AY$11,AY$14,,(AY$19))),_xlpm.Res,IF(OR(_xlpm.val="",_xlpm.val="Error"),"",_xlpm.val),_xlpm.Res)</f>
        <v>#NAME?</v>
      </c>
      <c r="AZ53" s="1669" t="e" cm="1">
        <f t="array" ca="1" aca="1" ref="AZ53">_xlfn.LET(_xlpm.val,IF($F53="",val_blankRefText,_xldudf_CX_GET(CX_ENTITY,$F53,AZ$11,AZ$14,,(AZ$19))),_xlpm.Res,IF(OR(_xlpm.val="",_xlpm.val="Error"),"",_xlpm.val),_xlpm.Res)</f>
        <v>#NAME?</v>
      </c>
      <c r="BA53" s="1669" t="e" cm="1">
        <f t="array" ca="1" aca="1" ref="BA53">_xlfn.LET(_xlpm.val,IF($F53="",val_blankRefText,_xldudf_CX_GET(CX_ENTITY,$F53,BA$11,BA$14,,(BA$19))),_xlpm.Res,IF(OR(_xlpm.val="",_xlpm.val="Error"),"",_xlpm.val),_xlpm.Res)</f>
        <v>#NAME?</v>
      </c>
      <c r="BB53" s="1669" t="e" cm="1">
        <f t="array" ca="1" aca="1" ref="BB53">_xlfn.LET(_xlpm.val,IF($F53="",val_blankRefText,_xldudf_CX_GET(CX_ENTITY,$F53,BB$11,BB$14,,(BB$19))),_xlpm.Res,IF(OR(_xlpm.val="",_xlpm.val="Error"),"",_xlpm.val),_xlpm.Res)</f>
        <v>#NAME?</v>
      </c>
      <c r="BC53" s="1669" t="e" cm="1">
        <f t="array" ca="1" aca="1" ref="BC53">_xlfn.LET(_xlpm.val,IF($F53="",val_blankRefText,_xldudf_CX_GET(CX_ENTITY,$F53,BC$11,BC$14,,(BC$19))),_xlpm.Res,IF(OR(_xlpm.val="",_xlpm.val="Error"),"",_xlpm.val),_xlpm.Res)</f>
        <v>#NAME?</v>
      </c>
      <c r="BD53" s="1669" t="e" cm="1">
        <f t="array" ca="1" aca="1" ref="BD53">_xlfn.LET(_xlpm.val,IF($F53="",val_blankRefText,_xldudf_CX_GET(CX_ENTITY,$F53,BD$11,BD$14,,(BD$19))),_xlpm.Res,IF(OR(_xlpm.val="",_xlpm.val="Error"),"",_xlpm.val),_xlpm.Res)</f>
        <v>#NAME?</v>
      </c>
      <c r="BE53" s="1669" t="e" cm="1">
        <f t="array" ca="1" aca="1" ref="BE53">_xlfn.LET(_xlpm.val,IF($F53="",val_blankRefText,_xldudf_CX_GET(CX_ENTITY,$F53,BE$11,BE$14,,(BE$19))),_xlpm.Res,IF(OR(_xlpm.val="",_xlpm.val="Error"),"",_xlpm.val),_xlpm.Res)</f>
        <v>#NAME?</v>
      </c>
      <c r="BF53" s="1669" t="e" cm="1">
        <f t="array" ca="1" aca="1" ref="BF53">_xlfn.LET(_xlpm.val,IF($F53="",val_blankRefText,_xldudf_CX_GET(CX_ENTITY,$F53,BF$11,BF$14,,(BF$19))),_xlpm.Res,IF(OR(_xlpm.val="",_xlpm.val="Error"),"",_xlpm.val),_xlpm.Res)</f>
        <v>#NAME?</v>
      </c>
      <c r="BG53" s="1669" t="e" cm="1">
        <f t="array" ca="1" aca="1" ref="BG53">_xlfn.LET(_xlpm.val,IF($F53="",val_blankRefText,_xldudf_CX_GET(CX_ENTITY,$F53,BG$11,BG$14,,(BG$19))),_xlpm.Res,IF(OR(_xlpm.val="",_xlpm.val="Error"),"",_xlpm.val),_xlpm.Res)</f>
        <v>#NAME?</v>
      </c>
      <c r="BH53" s="1669" t="e" cm="1">
        <f t="array" ca="1" aca="1" ref="BH53">_xlfn.LET(_xlpm.val,IF($F53="",val_blankRefText,_xldudf_CX_GET(CX_ENTITY,$F53,BH$11,BH$14,,(BH$19))),_xlpm.Res,IF(OR(_xlpm.val="",_xlpm.val="Error"),"",_xlpm.val),_xlpm.Res)</f>
        <v>#NAME?</v>
      </c>
      <c r="BI53" s="1669" t="e" cm="1">
        <f t="array" ca="1" aca="1" ref="BI53">_xlfn.LET(_xlpm.val,IF($F53="",val_blankRefText,_xldudf_CX_GET(CX_ENTITY,$F53,BI$11,BI$14,,(BI$19))),_xlpm.Res,IF(OR(_xlpm.val="",_xlpm.val="Error"),"",_xlpm.val),_xlpm.Res)</f>
        <v>#NAME?</v>
      </c>
      <c r="BJ53" s="1669" t="e" cm="1">
        <f t="array" ca="1" aca="1" ref="BJ53">_xlfn.LET(_xlpm.val,IF($F53="",val_blankRefText,_xldudf_CX_GET(CX_ENTITY,$F53,BJ$11,BJ$14,,(BJ$19))),_xlpm.Res,IF(OR(_xlpm.val="",_xlpm.val="Error"),"",_xlpm.val),_xlpm.Res)</f>
        <v>#NAME?</v>
      </c>
      <c r="BK53" s="1669" t="e" cm="1">
        <f t="array" ca="1" aca="1" ref="BK53">_xlfn.LET(_xlpm.val,IF($F53="",val_blankRefText,_xldudf_CX_GET(CX_ENTITY,$F53,BK$11,BK$14,,(BK$19))),_xlpm.Res,IF(OR(_xlpm.val="",_xlpm.val="Error"),"",_xlpm.val),_xlpm.Res)</f>
        <v>#NAME?</v>
      </c>
      <c r="BL53" s="1669" t="e" cm="1">
        <f t="array" ca="1" aca="1" ref="BL53">_xlfn.LET(_xlpm.val,IF($F53="",val_blankRefText,_xldudf_CX_GET(CX_ENTITY,$F53,BL$11,BL$14,,(BL$19))),_xlpm.Res,IF(OR(_xlpm.val="",_xlpm.val="Error"),"",_xlpm.val),_xlpm.Res)</f>
        <v>#NAME?</v>
      </c>
      <c r="BM53" s="1669" t="e" cm="1">
        <f t="array" ca="1" aca="1" ref="BM53">_xlfn.LET(_xlpm.val,IF($F53="",val_blankRefText,_xldudf_CX_GET(CX_ENTITY,$F53,BM$11,BM$14,,(BM$19))),_xlpm.Res,IF(OR(_xlpm.val="",_xlpm.val="Error"),"",_xlpm.val),_xlpm.Res)</f>
        <v>#NAME?</v>
      </c>
      <c r="BN53" s="1669" t="e" cm="1">
        <f t="array" ca="1" aca="1" ref="BN53">_xlfn.LET(_xlpm.val,IF($F53="",val_blankRefText,_xldudf_CX_GET(CX_ENTITY,$F53,BN$11,BN$14,,(BN$19))),_xlpm.Res,IF(OR(_xlpm.val="",_xlpm.val="Error"),"",_xlpm.val),_xlpm.Res)</f>
        <v>#NAME?</v>
      </c>
      <c r="BO53" s="2095"/>
      <c r="BP53" s="2095"/>
      <c r="BQ53" s="2095"/>
      <c r="BR53" s="2095"/>
      <c r="BS53" s="2095"/>
      <c r="BT53" s="2095"/>
      <c r="BU53" s="2095"/>
      <c r="BV53" s="2095"/>
      <c r="BW53" s="2095"/>
      <c r="BX53" s="2095"/>
      <c r="BY53" s="2095"/>
      <c r="BZ53" s="2095"/>
      <c r="CA53" s="34"/>
      <c r="CC53" s="33"/>
      <c r="CD53" s="1461" t="e" cm="1">
        <f t="array" ca="1" aca="1" ref="CD53">_xlfn.LET(_xlpm.CheckBlank,SUM(PL!$AD53:PL!$BN53)=0,IF(_xlpm.CheckBlank,"",SUM(_xlfn._xlws.FILTER(PL!$AD53:$BN53,(YEAR(PL!$AD$12:$BN$12)=PL!CD$12)*(array_timeline&lt;=PL!CD$11)))))</f>
        <v>#NAME?</v>
      </c>
      <c r="CE53" s="1461" t="e" cm="1">
        <f t="array" ca="1" aca="1" ref="CE53">_xlfn.LET(_xlpm.CheckBlank,SUM(PL!$AD53:PL!$BN53)=0,IF(_xlpm.CheckBlank,"",SUM(_xlfn._xlws.FILTER(PL!$AD53:$BN53,(YEAR(PL!$AD$12:$BN$12)=PL!CE$12)*(array_timeline&lt;=PL!CE$11)))))</f>
        <v>#NAME?</v>
      </c>
      <c r="CF53" s="88"/>
      <c r="CG53" s="1461" t="e" cm="1">
        <f t="array" ca="1" aca="1" ref="CG53">_xlfn.LET(_xlpm.CheckBlank,SUM(PL!$AD53:$BN53)=0,IF(_xlpm.CheckBlank,"",SUM(_xlfn._xlws.FILTER(PL!$AD53:$BN53,(YEAR(PL!$AD$12:$BN$12)=PL!CG$12)*(array_timeline&lt;=PL!CG$11)))))</f>
        <v>#NAME?</v>
      </c>
      <c r="CH53" s="1461" t="e" cm="1">
        <f t="array" ca="1" aca="1" ref="CH53">_xlfn.LET(_xlpm.CheckBlank,SUM(PL!$AD53:$BN53)=0,IF(_xlpm.CheckBlank,"",SUM(_xlfn._xlws.FILTER(PL!$AD53:$BN53,(YEAR(PL!$AD$12:$BN$12)=PL!CH$12)*(array_timeline&lt;=PL!CH$11)))))</f>
        <v>#NAME?</v>
      </c>
      <c r="CI53" s="88"/>
      <c r="CJ53" s="1461" cm="1">
        <f t="array" ref="CJ53">_xlfn.LET(_xlpm.CheckBlank,SUM(PL!$AD53:$BN53)=0,IF(_xlpm.CheckBlank,"",SUM(_xlfn.TAKE(_xlfn.DROP(PL!$AD53:$BN53,,-DATEDIFF(PL!CJ$11,val_asOfDate,"M")),1,-12))))</f>
        <v>12</v>
      </c>
      <c r="CK53" s="1461" cm="1">
        <f t="array" ref="CK53">_xlfn.LET(_xlpm.CheckBlank,SUM(PL!$AD53:$BN53)=0,IF(_xlpm.CheckBlank,"",SUM(_xlfn.TAKE(_xlfn.DROP(PL!$AD53:$BN53,,-DATEDIFF(PL!CK$11,val_asOfDate,"M")),1,-12))))</f>
        <v>12</v>
      </c>
      <c r="CL53" s="88"/>
      <c r="CM53" s="1556" t="e" cm="1">
        <f t="array" ca="1" aca="1" ref="CM53">IF($F53="",val_blankRefText,N(_xldudf_CX_GET(CX_ENTITY,$F53,CM$11,CM$14,,(CM$19)))/fxVal_normal*fxVal_sign($A53))</f>
        <v>#NAME?</v>
      </c>
      <c r="CN53" s="1556" t="e" cm="1">
        <f t="array" ca="1" aca="1" ref="CN53">IF($F53="",val_blankRefText,N(_xldudf_CX_GET(CX_ENTITY,$F53,CN$11,CN$14,,(CN$19)))/fxVal_normal*fxVal_sign($A53))</f>
        <v>#NAME?</v>
      </c>
      <c r="CO53" s="88"/>
      <c r="CP53" s="1650" t="e" cm="1">
        <f t="array" ca="1" aca="1" ref="CP53">IF($F53="",val_blankRefText,N(_xldudf_CX_GET(CX_ENTITY,$F53,CP$11,CP$14,,(CP$19)))/fxVal_normal*fxVal_sign($A53))</f>
        <v>#NAME?</v>
      </c>
      <c r="CQ53" s="1651" t="e" cm="1">
        <f t="array" ca="1" aca="1" ref="CQ53">IF($F53="",val_blankRefText,N(_xldudf_CX_GET(CX_ENTITY,$F53,CQ$11,CQ$14,,(CQ$19)))/fxVal_normal*fxVal_sign($A53))</f>
        <v>#NAME?</v>
      </c>
      <c r="CR53" s="34"/>
    </row>
    <row r="54" spans="1:96" ht="21" customHeight="1" outlineLevel="2">
      <c r="A54" s="1322"/>
      <c r="B54" s="2128" t="s">
        <v>1575</v>
      </c>
      <c r="C54" s="2125" t="s">
        <v>1576</v>
      </c>
      <c r="D54" s="1616"/>
      <c r="E54" s="1615" t="e" cm="1">
        <f t="array" ca="1" aca="1" ref="E54">_xlfn.LET(_xlpm.Attr,$C54,_xlpm.Lookback,$E$16,_xlpm.QueryDate,EOMONTH(val_asOfDate,_xlpm.Lookback),_xlpm.ReadField,_xldudf_CX_GET(CX_ENTITY,fx_attrConverter($C54),_xlpm.QueryDate),_xlpm.AttrBlank,_xlpm.Attr="",_xlpm.RESULT,IF(_xlpm.AttrBlank,val_blankRefText,fx_attrConverter(_xlpm.ReadField,0)),IF(_xlpm.RESULT="Error","",_xlpm.RESULT))</f>
        <v>#NAME?</v>
      </c>
      <c r="F54" s="1615" t="str">
        <f t="shared" si="9"/>
        <v>Custom Metric Amount 9</v>
      </c>
      <c r="G54" s="577" t="s">
        <v>1558</v>
      </c>
      <c r="H54" s="3279">
        <v>1</v>
      </c>
      <c r="I54" s="3279">
        <v>1</v>
      </c>
      <c r="J54" s="401"/>
      <c r="K54" s="401"/>
      <c r="L54" s="579" t="b">
        <v>0</v>
      </c>
      <c r="N54" s="158"/>
      <c r="O54" s="101"/>
      <c r="P54" s="52"/>
      <c r="Q54" s="101"/>
      <c r="R54" s="539"/>
      <c r="S54" s="101"/>
      <c r="T54" s="101"/>
      <c r="U54" s="39"/>
      <c r="W54" s="268" t="str">
        <f>_PL!$W$17</f>
        <v>Actual</v>
      </c>
      <c r="X54" s="2370" t="e" cm="1">
        <f t="array" ca="1" aca="1" ref="X54">_xlfn.LET(_xlpm.toPass,$E54="",_xlpm.hasParts,ISNUMBER(SEARCH("|",$E54)),_xlpm.Part1,INDEX(_xlfn.TEXTSPLIT($E54,"|",,FALSE,1),1),_xlpm.Part1Num,IFERROR(_xlfn.NUMBERVALUE(_xlpm.Part1),_xlpm.Part1),_xlfn.SWITCH(TRUE,_xlpm.toPass,"",_xlpm.hasParts,_xlpm.Part1Num,$E54))</f>
        <v>#NAME?</v>
      </c>
      <c r="Y54" s="590" t="e" cm="1">
        <f t="array" ca="1" aca="1" ref="Y54">IF($E54="","",IF(ISNUMBER(SEARCH("|",$E54)),INDEX(_xlfn.TEXTSPLIT($E54,"|",,FALSE,1),2),$E54))</f>
        <v>#NAME?</v>
      </c>
      <c r="Z54" s="198" t="e">
        <f t="shared" ca="1" si="10"/>
        <v>#NAME?</v>
      </c>
      <c r="AA54" s="787"/>
      <c r="AB54" s="709" t="e" cm="1">
        <f t="array" ca="1" aca="1" ref="AB54">_xlfn.LET(_xlpm.PackedString,E54,IF(_xlpm.PackedString="","",IF(ISNUMBER(SEARCH("|",_xlpm.PackedString)),INDEX(_xlfn.TEXTSPLIT(_xlpm.PackedString,"|",,FALSE),3),_xlpm.PackedString)))</f>
        <v>#NAME?</v>
      </c>
      <c r="AC54" s="862" t="str" cm="1">
        <f t="array" ca="1" aca="1" ref="AC54">_xlfn.LET(_xlpm.Def,IF(_xlfn.XMATCH(AB54,tbl_acctDef[Term],0)&gt;0,fx_getIcon("find"),""),_xlpm.Adj,IF(_xlfn.XMATCH(AB54,tbl_adjExample[Items],0)&gt;0,fx_getIcon("find"),""),IFERROR(IFBLANK(_xlpm.Def,_xlpm.Adj),""))</f>
        <v/>
      </c>
      <c r="AD54" s="1669" t="e" cm="1">
        <f t="array" ca="1" aca="1" ref="AD54">_xlfn.LET(_xlpm.val,IF($F54="",val_blankRefText,_xldudf_CX_GET(CX_ENTITY,$F54,AD$11,AD$14,,(AD$19))),_xlpm.Res,IF(OR(_xlpm.val="",_xlpm.val="Error"),"",_xlpm.val),_xlpm.Res)</f>
        <v>#NAME?</v>
      </c>
      <c r="AE54" s="1669" t="e" cm="1">
        <f t="array" ca="1" aca="1" ref="AE54">_xlfn.LET(_xlpm.val,IF($F54="",val_blankRefText,_xldudf_CX_GET(CX_ENTITY,$F54,AE$11,AE$14,,(AE$19))),_xlpm.Res,IF(OR(_xlpm.val="",_xlpm.val="Error"),"",_xlpm.val),_xlpm.Res)</f>
        <v>#NAME?</v>
      </c>
      <c r="AF54" s="1669" t="e" cm="1">
        <f t="array" ca="1" aca="1" ref="AF54">_xlfn.LET(_xlpm.val,IF($F54="",val_blankRefText,_xldudf_CX_GET(CX_ENTITY,$F54,AF$11,AF$14,,(AF$19))),_xlpm.Res,IF(OR(_xlpm.val="",_xlpm.val="Error"),"",_xlpm.val),_xlpm.Res)</f>
        <v>#NAME?</v>
      </c>
      <c r="AG54" s="1669" t="e" cm="1">
        <f t="array" ca="1" aca="1" ref="AG54">_xlfn.LET(_xlpm.val,IF($F54="",val_blankRefText,_xldudf_CX_GET(CX_ENTITY,$F54,AG$11,AG$14,,(AG$19))),_xlpm.Res,IF(OR(_xlpm.val="",_xlpm.val="Error"),"",_xlpm.val),_xlpm.Res)</f>
        <v>#NAME?</v>
      </c>
      <c r="AH54" s="1669" t="e" cm="1">
        <f t="array" ca="1" aca="1" ref="AH54">_xlfn.LET(_xlpm.val,IF($F54="",val_blankRefText,_xldudf_CX_GET(CX_ENTITY,$F54,AH$11,AH$14,,(AH$19))),_xlpm.Res,IF(OR(_xlpm.val="",_xlpm.val="Error"),"",_xlpm.val),_xlpm.Res)</f>
        <v>#NAME?</v>
      </c>
      <c r="AI54" s="1669" t="e" cm="1">
        <f t="array" ca="1" aca="1" ref="AI54">_xlfn.LET(_xlpm.val,IF($F54="",val_blankRefText,_xldudf_CX_GET(CX_ENTITY,$F54,AI$11,AI$14,,(AI$19))),_xlpm.Res,IF(OR(_xlpm.val="",_xlpm.val="Error"),"",_xlpm.val),_xlpm.Res)</f>
        <v>#NAME?</v>
      </c>
      <c r="AJ54" s="1669" t="e" cm="1">
        <f t="array" ca="1" aca="1" ref="AJ54">_xlfn.LET(_xlpm.val,IF($F54="",val_blankRefText,_xldudf_CX_GET(CX_ENTITY,$F54,AJ$11,AJ$14,,(AJ$19))),_xlpm.Res,IF(OR(_xlpm.val="",_xlpm.val="Error"),"",_xlpm.val),_xlpm.Res)</f>
        <v>#NAME?</v>
      </c>
      <c r="AK54" s="1669" t="e" cm="1">
        <f t="array" ca="1" aca="1" ref="AK54">_xlfn.LET(_xlpm.val,IF($F54="",val_blankRefText,_xldudf_CX_GET(CX_ENTITY,$F54,AK$11,AK$14,,(AK$19))),_xlpm.Res,IF(OR(_xlpm.val="",_xlpm.val="Error"),"",_xlpm.val),_xlpm.Res)</f>
        <v>#NAME?</v>
      </c>
      <c r="AL54" s="1669" t="e" cm="1">
        <f t="array" ca="1" aca="1" ref="AL54">_xlfn.LET(_xlpm.val,IF($F54="",val_blankRefText,_xldudf_CX_GET(CX_ENTITY,$F54,AL$11,AL$14,,(AL$19))),_xlpm.Res,IF(OR(_xlpm.val="",_xlpm.val="Error"),"",_xlpm.val),_xlpm.Res)</f>
        <v>#NAME?</v>
      </c>
      <c r="AM54" s="1669" t="e" cm="1">
        <f t="array" ca="1" aca="1" ref="AM54">_xlfn.LET(_xlpm.val,IF($F54="",val_blankRefText,_xldudf_CX_GET(CX_ENTITY,$F54,AM$11,AM$14,,(AM$19))),_xlpm.Res,IF(OR(_xlpm.val="",_xlpm.val="Error"),"",_xlpm.val),_xlpm.Res)</f>
        <v>#NAME?</v>
      </c>
      <c r="AN54" s="1669" t="e" cm="1">
        <f t="array" ca="1" aca="1" ref="AN54">_xlfn.LET(_xlpm.val,IF($F54="",val_blankRefText,_xldudf_CX_GET(CX_ENTITY,$F54,AN$11,AN$14,,(AN$19))),_xlpm.Res,IF(OR(_xlpm.val="",_xlpm.val="Error"),"",_xlpm.val),_xlpm.Res)</f>
        <v>#NAME?</v>
      </c>
      <c r="AO54" s="1669" t="e" cm="1">
        <f t="array" ca="1" aca="1" ref="AO54">_xlfn.LET(_xlpm.val,IF($F54="",val_blankRefText,_xldudf_CX_GET(CX_ENTITY,$F54,AO$11,AO$14,,(AO$19))),_xlpm.Res,IF(OR(_xlpm.val="",_xlpm.val="Error"),"",_xlpm.val),_xlpm.Res)</f>
        <v>#NAME?</v>
      </c>
      <c r="AP54" s="1669" t="e" cm="1">
        <f t="array" ca="1" aca="1" ref="AP54">_xlfn.LET(_xlpm.val,IF($F54="",val_blankRefText,_xldudf_CX_GET(CX_ENTITY,$F54,AP$11,AP$14,,(AP$19))),_xlpm.Res,IF(OR(_xlpm.val="",_xlpm.val="Error"),"",_xlpm.val),_xlpm.Res)</f>
        <v>#NAME?</v>
      </c>
      <c r="AQ54" s="1669" t="e" cm="1">
        <f t="array" ca="1" aca="1" ref="AQ54">_xlfn.LET(_xlpm.val,IF($F54="",val_blankRefText,_xldudf_CX_GET(CX_ENTITY,$F54,AQ$11,AQ$14,,(AQ$19))),_xlpm.Res,IF(OR(_xlpm.val="",_xlpm.val="Error"),"",_xlpm.val),_xlpm.Res)</f>
        <v>#NAME?</v>
      </c>
      <c r="AR54" s="1669" t="e" cm="1">
        <f t="array" ca="1" aca="1" ref="AR54">_xlfn.LET(_xlpm.val,IF($F54="",val_blankRefText,_xldudf_CX_GET(CX_ENTITY,$F54,AR$11,AR$14,,(AR$19))),_xlpm.Res,IF(OR(_xlpm.val="",_xlpm.val="Error"),"",_xlpm.val),_xlpm.Res)</f>
        <v>#NAME?</v>
      </c>
      <c r="AS54" s="1669" t="e" cm="1">
        <f t="array" ca="1" aca="1" ref="AS54">_xlfn.LET(_xlpm.val,IF($F54="",val_blankRefText,_xldudf_CX_GET(CX_ENTITY,$F54,AS$11,AS$14,,(AS$19))),_xlpm.Res,IF(OR(_xlpm.val="",_xlpm.val="Error"),"",_xlpm.val),_xlpm.Res)</f>
        <v>#NAME?</v>
      </c>
      <c r="AT54" s="1669" t="e" cm="1">
        <f t="array" ca="1" aca="1" ref="AT54">_xlfn.LET(_xlpm.val,IF($F54="",val_blankRefText,_xldudf_CX_GET(CX_ENTITY,$F54,AT$11,AT$14,,(AT$19))),_xlpm.Res,IF(OR(_xlpm.val="",_xlpm.val="Error"),"",_xlpm.val),_xlpm.Res)</f>
        <v>#NAME?</v>
      </c>
      <c r="AU54" s="1669" t="e" cm="1">
        <f t="array" ca="1" aca="1" ref="AU54">_xlfn.LET(_xlpm.val,IF($F54="",val_blankRefText,_xldudf_CX_GET(CX_ENTITY,$F54,AU$11,AU$14,,(AU$19))),_xlpm.Res,IF(OR(_xlpm.val="",_xlpm.val="Error"),"",_xlpm.val),_xlpm.Res)</f>
        <v>#NAME?</v>
      </c>
      <c r="AV54" s="1669" t="e" cm="1">
        <f t="array" ca="1" aca="1" ref="AV54">_xlfn.LET(_xlpm.val,IF($F54="",val_blankRefText,_xldudf_CX_GET(CX_ENTITY,$F54,AV$11,AV$14,,(AV$19))),_xlpm.Res,IF(OR(_xlpm.val="",_xlpm.val="Error"),"",_xlpm.val),_xlpm.Res)</f>
        <v>#NAME?</v>
      </c>
      <c r="AW54" s="1669" t="e" cm="1">
        <f t="array" ca="1" aca="1" ref="AW54">_xlfn.LET(_xlpm.val,IF($F54="",val_blankRefText,_xldudf_CX_GET(CX_ENTITY,$F54,AW$11,AW$14,,(AW$19))),_xlpm.Res,IF(OR(_xlpm.val="",_xlpm.val="Error"),"",_xlpm.val),_xlpm.Res)</f>
        <v>#NAME?</v>
      </c>
      <c r="AX54" s="1669" t="e" cm="1">
        <f t="array" ca="1" aca="1" ref="AX54">_xlfn.LET(_xlpm.val,IF($F54="",val_blankRefText,_xldudf_CX_GET(CX_ENTITY,$F54,AX$11,AX$14,,(AX$19))),_xlpm.Res,IF(OR(_xlpm.val="",_xlpm.val="Error"),"",_xlpm.val),_xlpm.Res)</f>
        <v>#NAME?</v>
      </c>
      <c r="AY54" s="1669" t="e" cm="1">
        <f t="array" ca="1" aca="1" ref="AY54">_xlfn.LET(_xlpm.val,IF($F54="",val_blankRefText,_xldudf_CX_GET(CX_ENTITY,$F54,AY$11,AY$14,,(AY$19))),_xlpm.Res,IF(OR(_xlpm.val="",_xlpm.val="Error"),"",_xlpm.val),_xlpm.Res)</f>
        <v>#NAME?</v>
      </c>
      <c r="AZ54" s="1669" t="e" cm="1">
        <f t="array" ca="1" aca="1" ref="AZ54">_xlfn.LET(_xlpm.val,IF($F54="",val_blankRefText,_xldudf_CX_GET(CX_ENTITY,$F54,AZ$11,AZ$14,,(AZ$19))),_xlpm.Res,IF(OR(_xlpm.val="",_xlpm.val="Error"),"",_xlpm.val),_xlpm.Res)</f>
        <v>#NAME?</v>
      </c>
      <c r="BA54" s="1669" t="e" cm="1">
        <f t="array" ca="1" aca="1" ref="BA54">_xlfn.LET(_xlpm.val,IF($F54="",val_blankRefText,_xldudf_CX_GET(CX_ENTITY,$F54,BA$11,BA$14,,(BA$19))),_xlpm.Res,IF(OR(_xlpm.val="",_xlpm.val="Error"),"",_xlpm.val),_xlpm.Res)</f>
        <v>#NAME?</v>
      </c>
      <c r="BB54" s="1669" t="e" cm="1">
        <f t="array" ca="1" aca="1" ref="BB54">_xlfn.LET(_xlpm.val,IF($F54="",val_blankRefText,_xldudf_CX_GET(CX_ENTITY,$F54,BB$11,BB$14,,(BB$19))),_xlpm.Res,IF(OR(_xlpm.val="",_xlpm.val="Error"),"",_xlpm.val),_xlpm.Res)</f>
        <v>#NAME?</v>
      </c>
      <c r="BC54" s="1669" t="e" cm="1">
        <f t="array" ca="1" aca="1" ref="BC54">_xlfn.LET(_xlpm.val,IF($F54="",val_blankRefText,_xldudf_CX_GET(CX_ENTITY,$F54,BC$11,BC$14,,(BC$19))),_xlpm.Res,IF(OR(_xlpm.val="",_xlpm.val="Error"),"",_xlpm.val),_xlpm.Res)</f>
        <v>#NAME?</v>
      </c>
      <c r="BD54" s="1669" t="e" cm="1">
        <f t="array" ca="1" aca="1" ref="BD54">_xlfn.LET(_xlpm.val,IF($F54="",val_blankRefText,_xldudf_CX_GET(CX_ENTITY,$F54,BD$11,BD$14,,(BD$19))),_xlpm.Res,IF(OR(_xlpm.val="",_xlpm.val="Error"),"",_xlpm.val),_xlpm.Res)</f>
        <v>#NAME?</v>
      </c>
      <c r="BE54" s="1669" t="e" cm="1">
        <f t="array" ca="1" aca="1" ref="BE54">_xlfn.LET(_xlpm.val,IF($F54="",val_blankRefText,_xldudf_CX_GET(CX_ENTITY,$F54,BE$11,BE$14,,(BE$19))),_xlpm.Res,IF(OR(_xlpm.val="",_xlpm.val="Error"),"",_xlpm.val),_xlpm.Res)</f>
        <v>#NAME?</v>
      </c>
      <c r="BF54" s="1669" t="e" cm="1">
        <f t="array" ca="1" aca="1" ref="BF54">_xlfn.LET(_xlpm.val,IF($F54="",val_blankRefText,_xldudf_CX_GET(CX_ENTITY,$F54,BF$11,BF$14,,(BF$19))),_xlpm.Res,IF(OR(_xlpm.val="",_xlpm.val="Error"),"",_xlpm.val),_xlpm.Res)</f>
        <v>#NAME?</v>
      </c>
      <c r="BG54" s="1669" t="e" cm="1">
        <f t="array" ca="1" aca="1" ref="BG54">_xlfn.LET(_xlpm.val,IF($F54="",val_blankRefText,_xldudf_CX_GET(CX_ENTITY,$F54,BG$11,BG$14,,(BG$19))),_xlpm.Res,IF(OR(_xlpm.val="",_xlpm.val="Error"),"",_xlpm.val),_xlpm.Res)</f>
        <v>#NAME?</v>
      </c>
      <c r="BH54" s="1669" t="e" cm="1">
        <f t="array" ca="1" aca="1" ref="BH54">_xlfn.LET(_xlpm.val,IF($F54="",val_blankRefText,_xldudf_CX_GET(CX_ENTITY,$F54,BH$11,BH$14,,(BH$19))),_xlpm.Res,IF(OR(_xlpm.val="",_xlpm.val="Error"),"",_xlpm.val),_xlpm.Res)</f>
        <v>#NAME?</v>
      </c>
      <c r="BI54" s="1669" t="e" cm="1">
        <f t="array" ca="1" aca="1" ref="BI54">_xlfn.LET(_xlpm.val,IF($F54="",val_blankRefText,_xldudf_CX_GET(CX_ENTITY,$F54,BI$11,BI$14,,(BI$19))),_xlpm.Res,IF(OR(_xlpm.val="",_xlpm.val="Error"),"",_xlpm.val),_xlpm.Res)</f>
        <v>#NAME?</v>
      </c>
      <c r="BJ54" s="1669" t="e" cm="1">
        <f t="array" ca="1" aca="1" ref="BJ54">_xlfn.LET(_xlpm.val,IF($F54="",val_blankRefText,_xldudf_CX_GET(CX_ENTITY,$F54,BJ$11,BJ$14,,(BJ$19))),_xlpm.Res,IF(OR(_xlpm.val="",_xlpm.val="Error"),"",_xlpm.val),_xlpm.Res)</f>
        <v>#NAME?</v>
      </c>
      <c r="BK54" s="1669" t="e" cm="1">
        <f t="array" ca="1" aca="1" ref="BK54">_xlfn.LET(_xlpm.val,IF($F54="",val_blankRefText,_xldudf_CX_GET(CX_ENTITY,$F54,BK$11,BK$14,,(BK$19))),_xlpm.Res,IF(OR(_xlpm.val="",_xlpm.val="Error"),"",_xlpm.val),_xlpm.Res)</f>
        <v>#NAME?</v>
      </c>
      <c r="BL54" s="1669" t="e" cm="1">
        <f t="array" ca="1" aca="1" ref="BL54">_xlfn.LET(_xlpm.val,IF($F54="",val_blankRefText,_xldudf_CX_GET(CX_ENTITY,$F54,BL$11,BL$14,,(BL$19))),_xlpm.Res,IF(OR(_xlpm.val="",_xlpm.val="Error"),"",_xlpm.val),_xlpm.Res)</f>
        <v>#NAME?</v>
      </c>
      <c r="BM54" s="1669" t="e" cm="1">
        <f t="array" ca="1" aca="1" ref="BM54">_xlfn.LET(_xlpm.val,IF($F54="",val_blankRefText,_xldudf_CX_GET(CX_ENTITY,$F54,BM$11,BM$14,,(BM$19))),_xlpm.Res,IF(OR(_xlpm.val="",_xlpm.val="Error"),"",_xlpm.val),_xlpm.Res)</f>
        <v>#NAME?</v>
      </c>
      <c r="BN54" s="1669" t="e" cm="1">
        <f t="array" ca="1" aca="1" ref="BN54">_xlfn.LET(_xlpm.val,IF($F54="",val_blankRefText,_xldudf_CX_GET(CX_ENTITY,$F54,BN$11,BN$14,,(BN$19))),_xlpm.Res,IF(OR(_xlpm.val="",_xlpm.val="Error"),"",_xlpm.val),_xlpm.Res)</f>
        <v>#NAME?</v>
      </c>
      <c r="BO54" s="2095"/>
      <c r="BP54" s="2095"/>
      <c r="BQ54" s="2095"/>
      <c r="BR54" s="2095"/>
      <c r="BS54" s="2095"/>
      <c r="BT54" s="2095"/>
      <c r="BU54" s="2095"/>
      <c r="BV54" s="2095"/>
      <c r="BW54" s="2095"/>
      <c r="BX54" s="2095"/>
      <c r="BY54" s="2095"/>
      <c r="BZ54" s="2095"/>
      <c r="CA54" s="34"/>
      <c r="CC54" s="33"/>
      <c r="CD54" s="1461" t="e" cm="1">
        <f t="array" ca="1" aca="1" ref="CD54">_xlfn.LET(_xlpm.CheckBlank,SUM(PL!$AD54:PL!$BN54)=0,IF(_xlpm.CheckBlank,"",SUM(_xlfn._xlws.FILTER(PL!$AD54:$BN54,(YEAR(PL!$AD$12:$BN$12)=PL!CD$12)*(array_timeline&lt;=PL!CD$11)))))</f>
        <v>#NAME?</v>
      </c>
      <c r="CE54" s="1461" t="e" cm="1">
        <f t="array" ca="1" aca="1" ref="CE54">_xlfn.LET(_xlpm.CheckBlank,SUM(PL!$AD54:PL!$BN54)=0,IF(_xlpm.CheckBlank,"",SUM(_xlfn._xlws.FILTER(PL!$AD54:$BN54,(YEAR(PL!$AD$12:$BN$12)=PL!CE$12)*(array_timeline&lt;=PL!CE$11)))))</f>
        <v>#NAME?</v>
      </c>
      <c r="CF54" s="88"/>
      <c r="CG54" s="1461" t="e" cm="1">
        <f t="array" ca="1" aca="1" ref="CG54">_xlfn.LET(_xlpm.CheckBlank,SUM(PL!$AD54:$BN54)=0,IF(_xlpm.CheckBlank,"",SUM(_xlfn._xlws.FILTER(PL!$AD54:$BN54,(YEAR(PL!$AD$12:$BN$12)=PL!CG$12)*(array_timeline&lt;=PL!CG$11)))))</f>
        <v>#NAME?</v>
      </c>
      <c r="CH54" s="1461" t="e" cm="1">
        <f t="array" ca="1" aca="1" ref="CH54">_xlfn.LET(_xlpm.CheckBlank,SUM(PL!$AD54:$BN54)=0,IF(_xlpm.CheckBlank,"",SUM(_xlfn._xlws.FILTER(PL!$AD54:$BN54,(YEAR(PL!$AD$12:$BN$12)=PL!CH$12)*(array_timeline&lt;=PL!CH$11)))))</f>
        <v>#NAME?</v>
      </c>
      <c r="CI54" s="88"/>
      <c r="CJ54" s="1461" cm="1">
        <f t="array" ref="CJ54">_xlfn.LET(_xlpm.CheckBlank,SUM(PL!$AD54:$BN54)=0,IF(_xlpm.CheckBlank,"",SUM(_xlfn.TAKE(_xlfn.DROP(PL!$AD54:$BN54,,-DATEDIFF(PL!CJ$11,val_asOfDate,"M")),1,-12))))</f>
        <v>12</v>
      </c>
      <c r="CK54" s="1461" cm="1">
        <f t="array" ref="CK54">_xlfn.LET(_xlpm.CheckBlank,SUM(PL!$AD54:$BN54)=0,IF(_xlpm.CheckBlank,"",SUM(_xlfn.TAKE(_xlfn.DROP(PL!$AD54:$BN54,,-DATEDIFF(PL!CK$11,val_asOfDate,"M")),1,-12))))</f>
        <v>12</v>
      </c>
      <c r="CL54" s="88"/>
      <c r="CM54" s="1556" t="e" cm="1">
        <f t="array" ca="1" aca="1" ref="CM54">IF($F54="",val_blankRefText,N(_xldudf_CX_GET(CX_ENTITY,$F54,CM$11,CM$14,,(CM$19)))/fxVal_normal*fxVal_sign($A54))</f>
        <v>#NAME?</v>
      </c>
      <c r="CN54" s="1556" t="e" cm="1">
        <f t="array" ca="1" aca="1" ref="CN54">IF($F54="",val_blankRefText,N(_xldudf_CX_GET(CX_ENTITY,$F54,CN$11,CN$14,,(CN$19)))/fxVal_normal*fxVal_sign($A54))</f>
        <v>#NAME?</v>
      </c>
      <c r="CO54" s="88"/>
      <c r="CP54" s="1650" t="e" cm="1">
        <f t="array" ca="1" aca="1" ref="CP54">IF($F54="",val_blankRefText,N(_xldudf_CX_GET(CX_ENTITY,$F54,CP$11,CP$14,,(CP$19)))/fxVal_normal*fxVal_sign($A54))</f>
        <v>#NAME?</v>
      </c>
      <c r="CQ54" s="1651" t="e" cm="1">
        <f t="array" ca="1" aca="1" ref="CQ54">IF($F54="",val_blankRefText,N(_xldudf_CX_GET(CX_ENTITY,$F54,CQ$11,CQ$14,,(CQ$19)))/fxVal_normal*fxVal_sign($A54))</f>
        <v>#NAME?</v>
      </c>
      <c r="CR54" s="34"/>
    </row>
    <row r="55" spans="1:96" ht="20.15" customHeight="1" outlineLevel="1">
      <c r="A55" s="1322"/>
      <c r="B55" s="577"/>
      <c r="C55" s="577"/>
      <c r="D55" s="1079"/>
      <c r="E55" s="577"/>
      <c r="F55" s="577"/>
      <c r="G55" s="577"/>
      <c r="H55" s="578"/>
      <c r="I55" s="578"/>
      <c r="J55" s="578"/>
      <c r="K55" s="578"/>
      <c r="L55" s="579" t="b">
        <v>0</v>
      </c>
      <c r="N55" s="158"/>
      <c r="O55" s="101"/>
      <c r="P55" s="52"/>
      <c r="Q55" s="101"/>
      <c r="R55" s="539"/>
      <c r="S55" s="101"/>
      <c r="T55" s="101"/>
      <c r="U55" s="39"/>
      <c r="W55" s="1862"/>
      <c r="X55" s="2306"/>
      <c r="Y55" s="546"/>
      <c r="Z55" s="546"/>
      <c r="AA55" s="546"/>
      <c r="AB55" s="546"/>
      <c r="AC55" s="546"/>
      <c r="AD55" s="166"/>
      <c r="AE55" s="166"/>
      <c r="AF55" s="166"/>
      <c r="AG55" s="166"/>
      <c r="AH55" s="166"/>
      <c r="AI55" s="166"/>
      <c r="AJ55" s="166"/>
      <c r="AK55" s="166"/>
      <c r="AL55" s="166"/>
      <c r="AM55" s="166"/>
      <c r="AN55" s="166"/>
      <c r="AO55" s="166"/>
      <c r="AP55" s="166"/>
      <c r="AQ55" s="166"/>
      <c r="AR55" s="166"/>
      <c r="AS55" s="166"/>
      <c r="AT55" s="166"/>
      <c r="AU55" s="166"/>
      <c r="AV55" s="166"/>
      <c r="AW55" s="166"/>
      <c r="AX55" s="166"/>
      <c r="AY55" s="166"/>
      <c r="AZ55" s="166"/>
      <c r="BA55" s="166"/>
      <c r="BB55" s="166"/>
      <c r="BC55" s="166"/>
      <c r="BD55" s="166"/>
      <c r="BE55" s="166"/>
      <c r="BF55" s="166"/>
      <c r="BG55" s="166"/>
      <c r="BH55" s="166"/>
      <c r="BI55" s="166"/>
      <c r="BJ55" s="166"/>
      <c r="BK55" s="166"/>
      <c r="BL55" s="166"/>
      <c r="BM55" s="166"/>
      <c r="BN55" s="166"/>
      <c r="BO55" s="166"/>
      <c r="BP55" s="166"/>
      <c r="BQ55" s="166"/>
      <c r="BR55" s="166"/>
      <c r="BS55" s="166"/>
      <c r="BT55" s="166"/>
      <c r="BU55" s="166"/>
      <c r="BV55" s="166"/>
      <c r="BW55" s="166"/>
      <c r="BX55" s="166"/>
      <c r="BY55" s="166"/>
      <c r="BZ55" s="166"/>
      <c r="CA55" s="34"/>
      <c r="CC55" s="176"/>
      <c r="CD55" s="177"/>
      <c r="CE55" s="177"/>
      <c r="CF55" s="178"/>
      <c r="CG55" s="177"/>
      <c r="CH55" s="177"/>
      <c r="CI55" s="88"/>
      <c r="CJ55" s="274"/>
      <c r="CK55" s="274"/>
      <c r="CL55" s="88"/>
      <c r="CM55" s="274"/>
      <c r="CN55" s="171"/>
      <c r="CO55" s="88"/>
      <c r="CP55" s="274"/>
      <c r="CQ55" s="171"/>
      <c r="CR55" s="34"/>
    </row>
    <row r="56" spans="1:96" ht="25.5" customHeight="1">
      <c r="A56" s="697"/>
      <c r="B56" s="2127"/>
      <c r="C56" s="2127"/>
      <c r="D56" s="1079"/>
      <c r="E56" s="1316"/>
      <c r="F56" s="577"/>
      <c r="G56" s="853"/>
      <c r="H56" s="578"/>
      <c r="I56" s="578"/>
      <c r="J56" s="578"/>
      <c r="K56" s="578"/>
      <c r="L56" s="579" t="b">
        <v>0</v>
      </c>
      <c r="N56" s="158"/>
      <c r="O56" s="101"/>
      <c r="P56" s="52"/>
      <c r="Q56" s="2"/>
      <c r="R56" s="539"/>
      <c r="S56" s="2"/>
      <c r="T56" s="2"/>
      <c r="U56" s="39"/>
      <c r="W56" s="1276" t="s">
        <v>94</v>
      </c>
      <c r="X56" s="1275"/>
      <c r="Y56" s="1263" t="s">
        <v>105</v>
      </c>
      <c r="Z56" s="1258"/>
      <c r="AA56" s="1259"/>
      <c r="AB56" s="1258"/>
      <c r="AC56" s="1254"/>
      <c r="AD56" s="1254"/>
      <c r="AE56" s="1260"/>
      <c r="AF56" s="1260"/>
      <c r="AG56" s="1260"/>
      <c r="AH56" s="1260"/>
      <c r="AI56" s="1260"/>
      <c r="AJ56" s="1260"/>
      <c r="AK56" s="1260"/>
      <c r="AL56" s="1260"/>
      <c r="AM56" s="1260"/>
      <c r="AN56" s="1260"/>
      <c r="AO56" s="1260"/>
      <c r="AP56" s="1260"/>
      <c r="AQ56" s="1260"/>
      <c r="AR56" s="1260"/>
      <c r="AS56" s="1260"/>
      <c r="AT56" s="1260"/>
      <c r="AU56" s="1260"/>
      <c r="AV56" s="1260"/>
      <c r="AW56" s="1260"/>
      <c r="AX56" s="1260"/>
      <c r="AY56" s="1260"/>
      <c r="AZ56" s="1260"/>
      <c r="BA56" s="1260"/>
      <c r="BB56" s="1260"/>
      <c r="BC56" s="1260"/>
      <c r="BD56" s="1260"/>
      <c r="BE56" s="1260"/>
      <c r="BF56" s="1260"/>
      <c r="BG56" s="1260"/>
      <c r="BH56" s="1260"/>
      <c r="BI56" s="1260"/>
      <c r="BJ56" s="1260"/>
      <c r="BK56" s="1260"/>
      <c r="BL56" s="1260"/>
      <c r="BM56" s="1260"/>
      <c r="BN56" s="1261"/>
      <c r="BO56" s="2098"/>
      <c r="BP56" s="2098"/>
      <c r="BQ56" s="2098"/>
      <c r="BR56" s="2098"/>
      <c r="BS56" s="2098"/>
      <c r="BT56" s="2098"/>
      <c r="BU56" s="2098"/>
      <c r="BV56" s="2098"/>
      <c r="BW56" s="2098"/>
      <c r="BX56" s="2098"/>
      <c r="BY56" s="2098"/>
      <c r="BZ56" s="2098"/>
      <c r="CA56" s="34"/>
      <c r="CC56" s="33"/>
      <c r="CD56" s="1736"/>
      <c r="CE56" s="1737"/>
      <c r="CF56" s="88"/>
      <c r="CG56" s="1736"/>
      <c r="CH56" s="1737"/>
      <c r="CI56" s="170"/>
      <c r="CJ56" s="1736"/>
      <c r="CK56" s="1737"/>
      <c r="CL56" s="88"/>
      <c r="CM56" s="1269"/>
      <c r="CN56" s="1261"/>
      <c r="CO56" s="88"/>
      <c r="CP56" s="1269"/>
      <c r="CQ56" s="1261"/>
      <c r="CR56" s="34"/>
    </row>
    <row r="57" spans="1:96" ht="21" customHeight="1" outlineLevel="1">
      <c r="A57" s="1322"/>
      <c r="B57" s="2128" t="s">
        <v>1577</v>
      </c>
      <c r="C57" s="2125" t="s">
        <v>1578</v>
      </c>
      <c r="D57" s="1079"/>
      <c r="E57" s="1615" t="e" cm="1">
        <f t="array" ca="1" aca="1" ref="E57">_xlfn.LET(_xlpm.Attr,$C57,_xlpm.Lookback,$E$16,_xlpm.QueryDate,EOMONTH(val_asOfDate,_xlpm.Lookback),_xlpm.ReadField,_xldudf_CX_GET(CX_ENTITY,fx_attrConverter($C57),_xlpm.QueryDate),_xlpm.AttrBlank,_xlpm.Attr="",_xlpm.RESULT,IF(_xlpm.AttrBlank,val_blankRefText,fx_attrConverter(_xlpm.ReadField,0)),IF(_xlpm.RESULT="Error","",_xlpm.RESULT))</f>
        <v>#NAME?</v>
      </c>
      <c r="F57" s="577" t="str">
        <f t="shared" si="11" ref="F57:F66">IF($B57&lt;&gt;"",$B57,$E57)</f>
        <v>Custom Metric Amount 1 [Calculated]</v>
      </c>
      <c r="G57" s="577" t="s">
        <v>1579</v>
      </c>
      <c r="H57" s="3280">
        <v>1</v>
      </c>
      <c r="I57" s="3280">
        <v>1</v>
      </c>
      <c r="J57" s="401"/>
      <c r="K57" s="401"/>
      <c r="L57" s="579">
        <v>-1</v>
      </c>
      <c r="N57" s="158"/>
      <c r="O57" s="101"/>
      <c r="P57" s="52"/>
      <c r="Q57" s="101"/>
      <c r="R57" s="539"/>
      <c r="S57" s="101"/>
      <c r="T57" s="101"/>
      <c r="U57" s="39"/>
      <c r="W57" s="269" t="str">
        <f>_PL!$W$17</f>
        <v>Actual</v>
      </c>
      <c r="X57" s="2370" t="e" cm="1">
        <f t="array" ca="1" aca="1" ref="X57">_xlfn.LET(_xlpm.toPass,$E57="",_xlpm.hasParts,ISNUMBER(SEARCH("|",$E57)),_xlpm.Part1,INDEX(_xlfn.TEXTSPLIT($E57,"|",,FALSE,1),1),_xlpm.Part1Num,IFERROR(_xlfn.NUMBERVALUE(_xlpm.Part1),_xlpm.Part1),_xlfn.SWITCH(TRUE,_xlpm.toPass,"",_xlpm.hasParts,_xlpm.Part1Num,$E57))</f>
        <v>#NAME?</v>
      </c>
      <c r="Y57" s="590" t="e" cm="1">
        <f t="array" ca="1" aca="1" ref="Y57">_xlfn.LET(_xlpm.PackedString,E57,IF(_xlpm.PackedString="","",IF(ISNUMBER(SEARCH("|",_xlpm.PackedString)),INDEX(_xlfn.TEXTSPLIT(_xlpm.PackedString,"|",,FALSE),2),_xlpm.PackedString)))</f>
        <v>#NAME?</v>
      </c>
      <c r="Z57" s="878" cm="1">
        <f t="array" ref="Z57">_xlfn.SWITCH(TRUE,ISBLANK(_PL!$L57),"",_PL!$L57=TRUE,1,_PL!$L57=FALSE,-1,_PL!$L57=-1,0,"n/a")</f>
        <v>0</v>
      </c>
      <c r="AA57" s="877"/>
      <c r="AB57" s="709" t="e" cm="1">
        <f t="array" ca="1" aca="1" ref="AB57">_xlfn.LET(_xlpm.PackedString,E57,IF(_xlpm.PackedString="","",IF(ISNUMBER(SEARCH("|",_xlpm.PackedString)),INDEX(_xlfn.TEXTSPLIT(_xlpm.PackedString,"|",,FALSE),3),_xlpm.PackedString)))</f>
        <v>#NAME?</v>
      </c>
      <c r="AC57" s="877" t="str" cm="1">
        <f t="array" ca="1" aca="1" ref="AC57">_xlfn.LET(_xlpm.Def,IF(_xlfn.XMATCH(AB57,tbl_acctDef[Term],0)&gt;0,fx_getIcon("find"),""),_xlpm.Adj,IF(_xlfn.XMATCH(AB57,tbl_adjExample[Items],0)&gt;0,fx_getIcon("find"),""),IFERROR(IFBLANK(_xlpm.Def,_xlpm.Adj),""))</f>
        <v/>
      </c>
      <c r="AD57" s="1669" t="e" cm="1">
        <f t="array" ca="1" aca="1" ref="AD57">_xlfn.LET(_xlpm.val,IF($F57="",val_blankRefText,_xldudf_CX_GET(CX_ENTITY,$F57,AD$11,AD$14,,(AD$19))),_xlpm.Res,IF(OR(_xlpm.val="",_xlpm.val="Error"),"",_xlpm.val),_xlpm.Res)</f>
        <v>#NAME?</v>
      </c>
      <c r="AE57" s="1669" t="e" cm="1">
        <f t="array" ca="1" aca="1" ref="AE57">_xlfn.LET(_xlpm.val,IF($F57="",val_blankRefText,_xldudf_CX_GET(CX_ENTITY,$F57,AE$11,AE$14,,(AE$19))),_xlpm.Res,IF(OR(_xlpm.val="",_xlpm.val="Error"),"",_xlpm.val),_xlpm.Res)</f>
        <v>#NAME?</v>
      </c>
      <c r="AF57" s="1669" t="e" cm="1">
        <f t="array" ca="1" aca="1" ref="AF57">_xlfn.LET(_xlpm.val,IF($F57="",val_blankRefText,_xldudf_CX_GET(CX_ENTITY,$F57,AF$11,AF$14,,(AF$19))),_xlpm.Res,IF(OR(_xlpm.val="",_xlpm.val="Error"),"",_xlpm.val),_xlpm.Res)</f>
        <v>#NAME?</v>
      </c>
      <c r="AG57" s="1669" t="e" cm="1">
        <f t="array" ca="1" aca="1" ref="AG57">_xlfn.LET(_xlpm.val,IF($F57="",val_blankRefText,_xldudf_CX_GET(CX_ENTITY,$F57,AG$11,AG$14,,(AG$19))),_xlpm.Res,IF(OR(_xlpm.val="",_xlpm.val="Error"),"",_xlpm.val),_xlpm.Res)</f>
        <v>#NAME?</v>
      </c>
      <c r="AH57" s="1669" t="e" cm="1">
        <f t="array" ca="1" aca="1" ref="AH57">_xlfn.LET(_xlpm.val,IF($F57="",val_blankRefText,_xldudf_CX_GET(CX_ENTITY,$F57,AH$11,AH$14,,(AH$19))),_xlpm.Res,IF(OR(_xlpm.val="",_xlpm.val="Error"),"",_xlpm.val),_xlpm.Res)</f>
        <v>#NAME?</v>
      </c>
      <c r="AI57" s="1669" t="e" cm="1">
        <f t="array" ca="1" aca="1" ref="AI57">_xlfn.LET(_xlpm.val,IF($F57="",val_blankRefText,_xldudf_CX_GET(CX_ENTITY,$F57,AI$11,AI$14,,(AI$19))),_xlpm.Res,IF(OR(_xlpm.val="",_xlpm.val="Error"),"",_xlpm.val),_xlpm.Res)</f>
        <v>#NAME?</v>
      </c>
      <c r="AJ57" s="1669" t="e" cm="1">
        <f t="array" ca="1" aca="1" ref="AJ57">_xlfn.LET(_xlpm.val,IF($F57="",val_blankRefText,_xldudf_CX_GET(CX_ENTITY,$F57,AJ$11,AJ$14,,(AJ$19))),_xlpm.Res,IF(OR(_xlpm.val="",_xlpm.val="Error"),"",_xlpm.val),_xlpm.Res)</f>
        <v>#NAME?</v>
      </c>
      <c r="AK57" s="1669" t="e" cm="1">
        <f t="array" ca="1" aca="1" ref="AK57">_xlfn.LET(_xlpm.val,IF($F57="",val_blankRefText,_xldudf_CX_GET(CX_ENTITY,$F57,AK$11,AK$14,,(AK$19))),_xlpm.Res,IF(OR(_xlpm.val="",_xlpm.val="Error"),"",_xlpm.val),_xlpm.Res)</f>
        <v>#NAME?</v>
      </c>
      <c r="AL57" s="1669" t="e" cm="1">
        <f t="array" ca="1" aca="1" ref="AL57">_xlfn.LET(_xlpm.val,IF($F57="",val_blankRefText,_xldudf_CX_GET(CX_ENTITY,$F57,AL$11,AL$14,,(AL$19))),_xlpm.Res,IF(OR(_xlpm.val="",_xlpm.val="Error"),"",_xlpm.val),_xlpm.Res)</f>
        <v>#NAME?</v>
      </c>
      <c r="AM57" s="1669" t="e" cm="1">
        <f t="array" ca="1" aca="1" ref="AM57">_xlfn.LET(_xlpm.val,IF($F57="",val_blankRefText,_xldudf_CX_GET(CX_ENTITY,$F57,AM$11,AM$14,,(AM$19))),_xlpm.Res,IF(OR(_xlpm.val="",_xlpm.val="Error"),"",_xlpm.val),_xlpm.Res)</f>
        <v>#NAME?</v>
      </c>
      <c r="AN57" s="1669" t="e" cm="1">
        <f t="array" ca="1" aca="1" ref="AN57">_xlfn.LET(_xlpm.val,IF($F57="",val_blankRefText,_xldudf_CX_GET(CX_ENTITY,$F57,AN$11,AN$14,,(AN$19))),_xlpm.Res,IF(OR(_xlpm.val="",_xlpm.val="Error"),"",_xlpm.val),_xlpm.Res)</f>
        <v>#NAME?</v>
      </c>
      <c r="AO57" s="1669" t="e" cm="1">
        <f t="array" ca="1" aca="1" ref="AO57">_xlfn.LET(_xlpm.val,IF($F57="",val_blankRefText,_xldudf_CX_GET(CX_ENTITY,$F57,AO$11,AO$14,,(AO$19))),_xlpm.Res,IF(OR(_xlpm.val="",_xlpm.val="Error"),"",_xlpm.val),_xlpm.Res)</f>
        <v>#NAME?</v>
      </c>
      <c r="AP57" s="1669" t="e" cm="1">
        <f t="array" ca="1" aca="1" ref="AP57">_xlfn.LET(_xlpm.val,IF($F57="",val_blankRefText,_xldudf_CX_GET(CX_ENTITY,$F57,AP$11,AP$14,,(AP$19))),_xlpm.Res,IF(OR(_xlpm.val="",_xlpm.val="Error"),"",_xlpm.val),_xlpm.Res)</f>
        <v>#NAME?</v>
      </c>
      <c r="AQ57" s="1669" t="e" cm="1">
        <f t="array" ca="1" aca="1" ref="AQ57">_xlfn.LET(_xlpm.val,IF($F57="",val_blankRefText,_xldudf_CX_GET(CX_ENTITY,$F57,AQ$11,AQ$14,,(AQ$19))),_xlpm.Res,IF(OR(_xlpm.val="",_xlpm.val="Error"),"",_xlpm.val),_xlpm.Res)</f>
        <v>#NAME?</v>
      </c>
      <c r="AR57" s="1669" t="e" cm="1">
        <f t="array" ca="1" aca="1" ref="AR57">_xlfn.LET(_xlpm.val,IF($F57="",val_blankRefText,_xldudf_CX_GET(CX_ENTITY,$F57,AR$11,AR$14,,(AR$19))),_xlpm.Res,IF(OR(_xlpm.val="",_xlpm.val="Error"),"",_xlpm.val),_xlpm.Res)</f>
        <v>#NAME?</v>
      </c>
      <c r="AS57" s="1669" t="e" cm="1">
        <f t="array" ca="1" aca="1" ref="AS57">_xlfn.LET(_xlpm.val,IF($F57="",val_blankRefText,_xldudf_CX_GET(CX_ENTITY,$F57,AS$11,AS$14,,(AS$19))),_xlpm.Res,IF(OR(_xlpm.val="",_xlpm.val="Error"),"",_xlpm.val),_xlpm.Res)</f>
        <v>#NAME?</v>
      </c>
      <c r="AT57" s="1669" t="e" cm="1">
        <f t="array" ca="1" aca="1" ref="AT57">_xlfn.LET(_xlpm.val,IF($F57="",val_blankRefText,_xldudf_CX_GET(CX_ENTITY,$F57,AT$11,AT$14,,(AT$19))),_xlpm.Res,IF(OR(_xlpm.val="",_xlpm.val="Error"),"",_xlpm.val),_xlpm.Res)</f>
        <v>#NAME?</v>
      </c>
      <c r="AU57" s="1669" t="e" cm="1">
        <f t="array" ca="1" aca="1" ref="AU57">_xlfn.LET(_xlpm.val,IF($F57="",val_blankRefText,_xldudf_CX_GET(CX_ENTITY,$F57,AU$11,AU$14,,(AU$19))),_xlpm.Res,IF(OR(_xlpm.val="",_xlpm.val="Error"),"",_xlpm.val),_xlpm.Res)</f>
        <v>#NAME?</v>
      </c>
      <c r="AV57" s="1669" t="e" cm="1">
        <f t="array" ca="1" aca="1" ref="AV57">_xlfn.LET(_xlpm.val,IF($F57="",val_blankRefText,_xldudf_CX_GET(CX_ENTITY,$F57,AV$11,AV$14,,(AV$19))),_xlpm.Res,IF(OR(_xlpm.val="",_xlpm.val="Error"),"",_xlpm.val),_xlpm.Res)</f>
        <v>#NAME?</v>
      </c>
      <c r="AW57" s="1669" t="e" cm="1">
        <f t="array" ca="1" aca="1" ref="AW57">_xlfn.LET(_xlpm.val,IF($F57="",val_blankRefText,_xldudf_CX_GET(CX_ENTITY,$F57,AW$11,AW$14,,(AW$19))),_xlpm.Res,IF(OR(_xlpm.val="",_xlpm.val="Error"),"",_xlpm.val),_xlpm.Res)</f>
        <v>#NAME?</v>
      </c>
      <c r="AX57" s="1669" t="e" cm="1">
        <f t="array" ca="1" aca="1" ref="AX57">_xlfn.LET(_xlpm.val,IF($F57="",val_blankRefText,_xldudf_CX_GET(CX_ENTITY,$F57,AX$11,AX$14,,(AX$19))),_xlpm.Res,IF(OR(_xlpm.val="",_xlpm.val="Error"),"",_xlpm.val),_xlpm.Res)</f>
        <v>#NAME?</v>
      </c>
      <c r="AY57" s="1669" t="e" cm="1">
        <f t="array" ca="1" aca="1" ref="AY57">_xlfn.LET(_xlpm.val,IF($F57="",val_blankRefText,_xldudf_CX_GET(CX_ENTITY,$F57,AY$11,AY$14,,(AY$19))),_xlpm.Res,IF(OR(_xlpm.val="",_xlpm.val="Error"),"",_xlpm.val),_xlpm.Res)</f>
        <v>#NAME?</v>
      </c>
      <c r="AZ57" s="1669" t="e" cm="1">
        <f t="array" ca="1" aca="1" ref="AZ57">_xlfn.LET(_xlpm.val,IF($F57="",val_blankRefText,_xldudf_CX_GET(CX_ENTITY,$F57,AZ$11,AZ$14,,(AZ$19))),_xlpm.Res,IF(OR(_xlpm.val="",_xlpm.val="Error"),"",_xlpm.val),_xlpm.Res)</f>
        <v>#NAME?</v>
      </c>
      <c r="BA57" s="1669" t="e" cm="1">
        <f t="array" ca="1" aca="1" ref="BA57">_xlfn.LET(_xlpm.val,IF($F57="",val_blankRefText,_xldudf_CX_GET(CX_ENTITY,$F57,BA$11,BA$14,,(BA$19))),_xlpm.Res,IF(OR(_xlpm.val="",_xlpm.val="Error"),"",_xlpm.val),_xlpm.Res)</f>
        <v>#NAME?</v>
      </c>
      <c r="BB57" s="1669" t="e" cm="1">
        <f t="array" ca="1" aca="1" ref="BB57">_xlfn.LET(_xlpm.val,IF($F57="",val_blankRefText,_xldudf_CX_GET(CX_ENTITY,$F57,BB$11,BB$14,,(BB$19))),_xlpm.Res,IF(OR(_xlpm.val="",_xlpm.val="Error"),"",_xlpm.val),_xlpm.Res)</f>
        <v>#NAME?</v>
      </c>
      <c r="BC57" s="1669" t="e" cm="1">
        <f t="array" ca="1" aca="1" ref="BC57">_xlfn.LET(_xlpm.val,IF($F57="",val_blankRefText,_xldudf_CX_GET(CX_ENTITY,$F57,BC$11,BC$14,,(BC$19))),_xlpm.Res,IF(OR(_xlpm.val="",_xlpm.val="Error"),"",_xlpm.val),_xlpm.Res)</f>
        <v>#NAME?</v>
      </c>
      <c r="BD57" s="1669" t="e" cm="1">
        <f t="array" ca="1" aca="1" ref="BD57">_xlfn.LET(_xlpm.val,IF($F57="",val_blankRefText,_xldudf_CX_GET(CX_ENTITY,$F57,BD$11,BD$14,,(BD$19))),_xlpm.Res,IF(OR(_xlpm.val="",_xlpm.val="Error"),"",_xlpm.val),_xlpm.Res)</f>
        <v>#NAME?</v>
      </c>
      <c r="BE57" s="1669" t="e" cm="1">
        <f t="array" ca="1" aca="1" ref="BE57">_xlfn.LET(_xlpm.val,IF($F57="",val_blankRefText,_xldudf_CX_GET(CX_ENTITY,$F57,BE$11,BE$14,,(BE$19))),_xlpm.Res,IF(OR(_xlpm.val="",_xlpm.val="Error"),"",_xlpm.val),_xlpm.Res)</f>
        <v>#NAME?</v>
      </c>
      <c r="BF57" s="1669" t="e" cm="1">
        <f t="array" ca="1" aca="1" ref="BF57">_xlfn.LET(_xlpm.val,IF($F57="",val_blankRefText,_xldudf_CX_GET(CX_ENTITY,$F57,BF$11,BF$14,,(BF$19))),_xlpm.Res,IF(OR(_xlpm.val="",_xlpm.val="Error"),"",_xlpm.val),_xlpm.Res)</f>
        <v>#NAME?</v>
      </c>
      <c r="BG57" s="1669" t="e" cm="1">
        <f t="array" ca="1" aca="1" ref="BG57">_xlfn.LET(_xlpm.val,IF($F57="",val_blankRefText,_xldudf_CX_GET(CX_ENTITY,$F57,BG$11,BG$14,,(BG$19))),_xlpm.Res,IF(OR(_xlpm.val="",_xlpm.val="Error"),"",_xlpm.val),_xlpm.Res)</f>
        <v>#NAME?</v>
      </c>
      <c r="BH57" s="1669" t="e" cm="1">
        <f t="array" ca="1" aca="1" ref="BH57">_xlfn.LET(_xlpm.val,IF($F57="",val_blankRefText,_xldudf_CX_GET(CX_ENTITY,$F57,BH$11,BH$14,,(BH$19))),_xlpm.Res,IF(OR(_xlpm.val="",_xlpm.val="Error"),"",_xlpm.val),_xlpm.Res)</f>
        <v>#NAME?</v>
      </c>
      <c r="BI57" s="1669" t="e" cm="1">
        <f t="array" ca="1" aca="1" ref="BI57">_xlfn.LET(_xlpm.val,IF($F57="",val_blankRefText,_xldudf_CX_GET(CX_ENTITY,$F57,BI$11,BI$14,,(BI$19))),_xlpm.Res,IF(OR(_xlpm.val="",_xlpm.val="Error"),"",_xlpm.val),_xlpm.Res)</f>
        <v>#NAME?</v>
      </c>
      <c r="BJ57" s="1669" t="e" cm="1">
        <f t="array" ca="1" aca="1" ref="BJ57">_xlfn.LET(_xlpm.val,IF($F57="",val_blankRefText,_xldudf_CX_GET(CX_ENTITY,$F57,BJ$11,BJ$14,,(BJ$19))),_xlpm.Res,IF(OR(_xlpm.val="",_xlpm.val="Error"),"",_xlpm.val),_xlpm.Res)</f>
        <v>#NAME?</v>
      </c>
      <c r="BK57" s="1669" t="e" cm="1">
        <f t="array" ca="1" aca="1" ref="BK57">_xlfn.LET(_xlpm.val,IF($F57="",val_blankRefText,_xldudf_CX_GET(CX_ENTITY,$F57,BK$11,BK$14,,(BK$19))),_xlpm.Res,IF(OR(_xlpm.val="",_xlpm.val="Error"),"",_xlpm.val),_xlpm.Res)</f>
        <v>#NAME?</v>
      </c>
      <c r="BL57" s="1669" t="e" cm="1">
        <f t="array" ca="1" aca="1" ref="BL57">_xlfn.LET(_xlpm.val,IF($F57="",val_blankRefText,_xldudf_CX_GET(CX_ENTITY,$F57,BL$11,BL$14,,(BL$19))),_xlpm.Res,IF(OR(_xlpm.val="",_xlpm.val="Error"),"",_xlpm.val),_xlpm.Res)</f>
        <v>#NAME?</v>
      </c>
      <c r="BM57" s="1669" t="e" cm="1">
        <f t="array" ca="1" aca="1" ref="BM57">_xlfn.LET(_xlpm.val,IF($F57="",val_blankRefText,_xldudf_CX_GET(CX_ENTITY,$F57,BM$11,BM$14,,(BM$19))),_xlpm.Res,IF(OR(_xlpm.val="",_xlpm.val="Error"),"",_xlpm.val),_xlpm.Res)</f>
        <v>#NAME?</v>
      </c>
      <c r="BN57" s="1669" t="e" cm="1">
        <f t="array" ca="1" aca="1" ref="BN57">_xlfn.LET(_xlpm.val,IF($F57="",val_blankRefText,_xldudf_CX_GET(CX_ENTITY,$F57,BN$11,BN$14,,(BN$19))),_xlpm.Res,IF(OR(_xlpm.val="",_xlpm.val="Error"),"",_xlpm.val),_xlpm.Res)</f>
        <v>#NAME?</v>
      </c>
      <c r="BO57" s="2095"/>
      <c r="BP57" s="2095"/>
      <c r="BQ57" s="2095"/>
      <c r="BR57" s="2095"/>
      <c r="BS57" s="2095"/>
      <c r="BT57" s="2095"/>
      <c r="BU57" s="2095"/>
      <c r="BV57" s="2095"/>
      <c r="BW57" s="2095"/>
      <c r="BX57" s="2095"/>
      <c r="BY57" s="2095"/>
      <c r="BZ57" s="2095"/>
      <c r="CA57" s="34"/>
      <c r="CC57" s="33"/>
      <c r="CD57" s="1461" t="str" cm="1">
        <f t="array" ca="1" aca="1" ref="CD57">_xlfn.LET(_xlpm.CheckBlank,SUM(PL!$AD57:PL!$BN57)=0,IF(_xlpm.CheckBlank,"",SUM(_xlfn._xlws.FILTER(PL!$AD57:$BN57,(YEAR(PL!$AD$12:$BN$12)=PL!CD$12)*(array_timeline&lt;=PL!CD$11)))))</f>
        <v/>
      </c>
      <c r="CE57" s="1461" t="str" cm="1">
        <f t="array" ca="1" aca="1" ref="CE57">_xlfn.LET(_xlpm.CheckBlank,SUM(PL!$AD57:PL!$BN57)=0,IF(_xlpm.CheckBlank,"",SUM(_xlfn._xlws.FILTER(PL!$AD57:$BN57,(YEAR(PL!$AD$12:$BN$12)=PL!CE$12)*(array_timeline&lt;=PL!CE$11)))))</f>
        <v/>
      </c>
      <c r="CF57" s="88"/>
      <c r="CG57" s="1461" t="str" cm="1">
        <f t="array" ca="1" aca="1" ref="CG57">_xlfn.LET(_xlpm.CheckBlank,SUM(PL!$AD57:$BN57)=0,IF(_xlpm.CheckBlank,"",SUM(_xlfn._xlws.FILTER(PL!$AD57:$BN57,(YEAR(PL!$AD$12:$BN$12)=PL!CG$12)*(array_timeline&lt;=PL!CG$11)))))</f>
        <v/>
      </c>
      <c r="CH57" s="1461" t="str" cm="1">
        <f t="array" ca="1" aca="1" ref="CH57">_xlfn.LET(_xlpm.CheckBlank,SUM(PL!$AD57:$BN57)=0,IF(_xlpm.CheckBlank,"",SUM(_xlfn._xlws.FILTER(PL!$AD57:$BN57,(YEAR(PL!$AD$12:$BN$12)=PL!CH$12)*(array_timeline&lt;=PL!CH$11)))))</f>
        <v/>
      </c>
      <c r="CI57" s="88"/>
      <c r="CJ57" s="1461" t="str" cm="1">
        <f t="array" ca="1" aca="1" ref="CJ57">_xlfn.LET(_xlpm.CheckBlank,SUM(PL!$AD57:$BN57)=0,IF(_xlpm.CheckBlank,"",SUM(_xlfn.TAKE(_xlfn.DROP(PL!$AD57:$BN57,,-DATEDIFF(PL!CJ$11,val_asOfDate,"M")),1,-12))))</f>
        <v/>
      </c>
      <c r="CK57" s="1461" t="str" cm="1">
        <f t="array" ca="1" aca="1" ref="CK57">_xlfn.LET(_xlpm.CheckBlank,SUM(PL!$AD57:$BN57)=0,IF(_xlpm.CheckBlank,"",SUM(_xlfn.TAKE(_xlfn.DROP(PL!$AD57:$BN57,,-DATEDIFF(PL!CK$11,val_asOfDate,"M")),1,-12))))</f>
        <v/>
      </c>
      <c r="CL57" s="88"/>
      <c r="CM57" s="1556" t="e" cm="1">
        <f t="array" ca="1" aca="1" ref="CM57">IF($F57="",val_blankRefText,N(_xldudf_CX_GET(CX_ENTITY,$F57,CM$11,CM$14,,(CM$19)))/fxVal_normal*fxVal_sign($A57))</f>
        <v>#NAME?</v>
      </c>
      <c r="CN57" s="1556" t="e" cm="1">
        <f t="array" ca="1" aca="1" ref="CN57">IF($F57="",val_blankRefText,N(_xldudf_CX_GET(CX_ENTITY,$F57,CN$11,CN$14,,(CN$19)))/fxVal_normal*fxVal_sign($A57))</f>
        <v>#NAME?</v>
      </c>
      <c r="CO57" s="992"/>
      <c r="CP57" s="1650" t="e" cm="1">
        <f t="array" ca="1" aca="1" ref="CP57">IF($F57="",val_blankRefText,N(_xldudf_CX_GET(CX_ENTITY,fx_attrConverter($F57),CP$11,CP$14,,(CP$19)))/fxVal_normal*fxVal_sign($A57))</f>
        <v>#NAME?</v>
      </c>
      <c r="CQ57" s="1651" t="e" cm="1">
        <f t="array" ca="1" aca="1" ref="CQ57">IF($F57="",val_blankRefText,N(_xldudf_CX_GET(CX_ENTITY,$F57,CQ$11,CQ$14,,(CQ$19)))/fxVal_normal*fxVal_sign($A57))</f>
        <v>#NAME?</v>
      </c>
      <c r="CR57" s="34"/>
    </row>
    <row r="58" spans="1:96" ht="21" customHeight="1" outlineLevel="2">
      <c r="A58" s="1322"/>
      <c r="B58" s="2128" t="s">
        <v>1580</v>
      </c>
      <c r="C58" s="2125" t="s">
        <v>1581</v>
      </c>
      <c r="D58" s="1079"/>
      <c r="E58" s="1615" t="e" cm="1">
        <f t="array" ca="1" aca="1" ref="E58">_xlfn.LET(_xlpm.Attr,$C58,_xlpm.Lookback,$E$16,_xlpm.QueryDate,EOMONTH(val_asOfDate,_xlpm.Lookback),_xlpm.ReadField,_xldudf_CX_GET(CX_ENTITY,fx_attrConverter($C58),_xlpm.QueryDate),_xlpm.AttrBlank,_xlpm.Attr="",_xlpm.RESULT,IF(_xlpm.AttrBlank,val_blankRefText,fx_attrConverter(_xlpm.ReadField,0)),IF(_xlpm.RESULT="Error","",_xlpm.RESULT))</f>
        <v>#NAME?</v>
      </c>
      <c r="F58" s="577" t="str">
        <f t="shared" si="11"/>
        <v>Custom Metric Amount 2 [Calculated]</v>
      </c>
      <c r="G58" s="577" t="s">
        <v>1579</v>
      </c>
      <c r="H58" s="3280">
        <v>1</v>
      </c>
      <c r="I58" s="3280">
        <v>1</v>
      </c>
      <c r="J58" s="401"/>
      <c r="K58" s="401"/>
      <c r="L58" s="579">
        <v>-1</v>
      </c>
      <c r="N58" s="158"/>
      <c r="O58" s="101"/>
      <c r="P58" s="52"/>
      <c r="Q58" s="101"/>
      <c r="R58" s="539"/>
      <c r="S58" s="101"/>
      <c r="T58" s="101"/>
      <c r="U58" s="39"/>
      <c r="W58" s="91" t="str">
        <f>_PL!$W$17</f>
        <v>Actual</v>
      </c>
      <c r="X58" s="2370" t="e" cm="1">
        <f t="array" ca="1" aca="1" ref="X58">_xlfn.LET(_xlpm.toPass,$E58="",_xlpm.hasParts,ISNUMBER(SEARCH("|",$E58)),_xlpm.Part1,INDEX(_xlfn.TEXTSPLIT($E58,"|",,FALSE,1),1),_xlpm.Part1Num,IFERROR(_xlfn.NUMBERVALUE(_xlpm.Part1),_xlpm.Part1),_xlfn.SWITCH(TRUE,_xlpm.toPass,"",_xlpm.hasParts,_xlpm.Part1Num,$E58))</f>
        <v>#NAME?</v>
      </c>
      <c r="Y58" s="590" t="e" cm="1">
        <f t="array" ca="1" aca="1" ref="Y58">_xlfn.LET(_xlpm.PackedString,E58,IF(_xlpm.PackedString="","",IF(ISNUMBER(SEARCH("|",_xlpm.PackedString)),INDEX(_xlfn.TEXTSPLIT(_xlpm.PackedString,"|",,FALSE),2),_xlpm.PackedString)))</f>
        <v>#NAME?</v>
      </c>
      <c r="Z58" s="198" cm="1">
        <f t="array" ref="Z58">_xlfn.SWITCH(TRUE,ISBLANK(_PL!$L58),"",_PL!$L58=TRUE,1,_PL!$L58=FALSE,-1,_PL!$L58=-1,0,"n/a")</f>
        <v>0</v>
      </c>
      <c r="AA58" s="128"/>
      <c r="AB58" s="709" t="e" cm="1">
        <f t="array" ca="1" aca="1" ref="AB58">_xlfn.LET(_xlpm.PackedString,E58,IF(_xlpm.PackedString="","",IF(ISNUMBER(SEARCH("|",_xlpm.PackedString)),INDEX(_xlfn.TEXTSPLIT(_xlpm.PackedString,"|",,FALSE),3),_xlpm.PackedString)))</f>
        <v>#NAME?</v>
      </c>
      <c r="AC58" s="877" t="str" cm="1">
        <f t="array" ca="1" aca="1" ref="AC58">_xlfn.LET(_xlpm.Def,IF(_xlfn.XMATCH(AB58,tbl_acctDef[Term],0)&gt;0,fx_getIcon("find"),""),_xlpm.Adj,IF(_xlfn.XMATCH(AB58,tbl_adjExample[Items],0)&gt;0,fx_getIcon("find"),""),IFERROR(IFBLANK(_xlpm.Def,_xlpm.Adj),""))</f>
        <v/>
      </c>
      <c r="AD58" s="1669" t="e" cm="1">
        <f t="array" ca="1" aca="1" ref="AD58">_xlfn.LET(_xlpm.val,IF($F58="",val_blankRefText,_xldudf_CX_GET(CX_ENTITY,$F58,AD$11,AD$14,,(AD$19))),_xlpm.Res,IF(OR(_xlpm.val="",_xlpm.val="Error"),"",_xlpm.val),_xlpm.Res)</f>
        <v>#NAME?</v>
      </c>
      <c r="AE58" s="1669" t="e" cm="1">
        <f t="array" ca="1" aca="1" ref="AE58">_xlfn.LET(_xlpm.val,IF($F58="",val_blankRefText,_xldudf_CX_GET(CX_ENTITY,$F58,AE$11,AE$14,,(AE$19))),_xlpm.Res,IF(OR(_xlpm.val="",_xlpm.val="Error"),"",_xlpm.val),_xlpm.Res)</f>
        <v>#NAME?</v>
      </c>
      <c r="AF58" s="1669" t="e" cm="1">
        <f t="array" ca="1" aca="1" ref="AF58">_xlfn.LET(_xlpm.val,IF($F58="",val_blankRefText,_xldudf_CX_GET(CX_ENTITY,$F58,AF$11,AF$14,,(AF$19))),_xlpm.Res,IF(OR(_xlpm.val="",_xlpm.val="Error"),"",_xlpm.val),_xlpm.Res)</f>
        <v>#NAME?</v>
      </c>
      <c r="AG58" s="1669" t="e" cm="1">
        <f t="array" ca="1" aca="1" ref="AG58">_xlfn.LET(_xlpm.val,IF($F58="",val_blankRefText,_xldudf_CX_GET(CX_ENTITY,$F58,AG$11,AG$14,,(AG$19))),_xlpm.Res,IF(OR(_xlpm.val="",_xlpm.val="Error"),"",_xlpm.val),_xlpm.Res)</f>
        <v>#NAME?</v>
      </c>
      <c r="AH58" s="1669" t="e" cm="1">
        <f t="array" ca="1" aca="1" ref="AH58">_xlfn.LET(_xlpm.val,IF($F58="",val_blankRefText,_xldudf_CX_GET(CX_ENTITY,$F58,AH$11,AH$14,,(AH$19))),_xlpm.Res,IF(OR(_xlpm.val="",_xlpm.val="Error"),"",_xlpm.val),_xlpm.Res)</f>
        <v>#NAME?</v>
      </c>
      <c r="AI58" s="1669" t="e" cm="1">
        <f t="array" ca="1" aca="1" ref="AI58">_xlfn.LET(_xlpm.val,IF($F58="",val_blankRefText,_xldudf_CX_GET(CX_ENTITY,$F58,AI$11,AI$14,,(AI$19))),_xlpm.Res,IF(OR(_xlpm.val="",_xlpm.val="Error"),"",_xlpm.val),_xlpm.Res)</f>
        <v>#NAME?</v>
      </c>
      <c r="AJ58" s="1669" t="e" cm="1">
        <f t="array" ca="1" aca="1" ref="AJ58">_xlfn.LET(_xlpm.val,IF($F58="",val_blankRefText,_xldudf_CX_GET(CX_ENTITY,$F58,AJ$11,AJ$14,,(AJ$19))),_xlpm.Res,IF(OR(_xlpm.val="",_xlpm.val="Error"),"",_xlpm.val),_xlpm.Res)</f>
        <v>#NAME?</v>
      </c>
      <c r="AK58" s="1669" t="e" cm="1">
        <f t="array" ca="1" aca="1" ref="AK58">_xlfn.LET(_xlpm.val,IF($F58="",val_blankRefText,_xldudf_CX_GET(CX_ENTITY,$F58,AK$11,AK$14,,(AK$19))),_xlpm.Res,IF(OR(_xlpm.val="",_xlpm.val="Error"),"",_xlpm.val),_xlpm.Res)</f>
        <v>#NAME?</v>
      </c>
      <c r="AL58" s="1669" t="e" cm="1">
        <f t="array" ca="1" aca="1" ref="AL58">_xlfn.LET(_xlpm.val,IF($F58="",val_blankRefText,_xldudf_CX_GET(CX_ENTITY,$F58,AL$11,AL$14,,(AL$19))),_xlpm.Res,IF(OR(_xlpm.val="",_xlpm.val="Error"),"",_xlpm.val),_xlpm.Res)</f>
        <v>#NAME?</v>
      </c>
      <c r="AM58" s="1669" t="e" cm="1">
        <f t="array" ca="1" aca="1" ref="AM58">_xlfn.LET(_xlpm.val,IF($F58="",val_blankRefText,_xldudf_CX_GET(CX_ENTITY,$F58,AM$11,AM$14,,(AM$19))),_xlpm.Res,IF(OR(_xlpm.val="",_xlpm.val="Error"),"",_xlpm.val),_xlpm.Res)</f>
        <v>#NAME?</v>
      </c>
      <c r="AN58" s="1669" t="e" cm="1">
        <f t="array" ca="1" aca="1" ref="AN58">_xlfn.LET(_xlpm.val,IF($F58="",val_blankRefText,_xldudf_CX_GET(CX_ENTITY,$F58,AN$11,AN$14,,(AN$19))),_xlpm.Res,IF(OR(_xlpm.val="",_xlpm.val="Error"),"",_xlpm.val),_xlpm.Res)</f>
        <v>#NAME?</v>
      </c>
      <c r="AO58" s="1669" t="e" cm="1">
        <f t="array" ca="1" aca="1" ref="AO58">_xlfn.LET(_xlpm.val,IF($F58="",val_blankRefText,_xldudf_CX_GET(CX_ENTITY,$F58,AO$11,AO$14,,(AO$19))),_xlpm.Res,IF(OR(_xlpm.val="",_xlpm.val="Error"),"",_xlpm.val),_xlpm.Res)</f>
        <v>#NAME?</v>
      </c>
      <c r="AP58" s="1669" t="e" cm="1">
        <f t="array" ca="1" aca="1" ref="AP58">_xlfn.LET(_xlpm.val,IF($F58="",val_blankRefText,_xldudf_CX_GET(CX_ENTITY,$F58,AP$11,AP$14,,(AP$19))),_xlpm.Res,IF(OR(_xlpm.val="",_xlpm.val="Error"),"",_xlpm.val),_xlpm.Res)</f>
        <v>#NAME?</v>
      </c>
      <c r="AQ58" s="1669" t="e" cm="1">
        <f t="array" ca="1" aca="1" ref="AQ58">_xlfn.LET(_xlpm.val,IF($F58="",val_blankRefText,_xldudf_CX_GET(CX_ENTITY,$F58,AQ$11,AQ$14,,(AQ$19))),_xlpm.Res,IF(OR(_xlpm.val="",_xlpm.val="Error"),"",_xlpm.val),_xlpm.Res)</f>
        <v>#NAME?</v>
      </c>
      <c r="AR58" s="1669" t="e" cm="1">
        <f t="array" ca="1" aca="1" ref="AR58">_xlfn.LET(_xlpm.val,IF($F58="",val_blankRefText,_xldudf_CX_GET(CX_ENTITY,$F58,AR$11,AR$14,,(AR$19))),_xlpm.Res,IF(OR(_xlpm.val="",_xlpm.val="Error"),"",_xlpm.val),_xlpm.Res)</f>
        <v>#NAME?</v>
      </c>
      <c r="AS58" s="1669" t="e" cm="1">
        <f t="array" ca="1" aca="1" ref="AS58">_xlfn.LET(_xlpm.val,IF($F58="",val_blankRefText,_xldudf_CX_GET(CX_ENTITY,$F58,AS$11,AS$14,,(AS$19))),_xlpm.Res,IF(OR(_xlpm.val="",_xlpm.val="Error"),"",_xlpm.val),_xlpm.Res)</f>
        <v>#NAME?</v>
      </c>
      <c r="AT58" s="1669" t="e" cm="1">
        <f t="array" ca="1" aca="1" ref="AT58">_xlfn.LET(_xlpm.val,IF($F58="",val_blankRefText,_xldudf_CX_GET(CX_ENTITY,$F58,AT$11,AT$14,,(AT$19))),_xlpm.Res,IF(OR(_xlpm.val="",_xlpm.val="Error"),"",_xlpm.val),_xlpm.Res)</f>
        <v>#NAME?</v>
      </c>
      <c r="AU58" s="1669" t="e" cm="1">
        <f t="array" ca="1" aca="1" ref="AU58">_xlfn.LET(_xlpm.val,IF($F58="",val_blankRefText,_xldudf_CX_GET(CX_ENTITY,$F58,AU$11,AU$14,,(AU$19))),_xlpm.Res,IF(OR(_xlpm.val="",_xlpm.val="Error"),"",_xlpm.val),_xlpm.Res)</f>
        <v>#NAME?</v>
      </c>
      <c r="AV58" s="1669" t="e" cm="1">
        <f t="array" ca="1" aca="1" ref="AV58">_xlfn.LET(_xlpm.val,IF($F58="",val_blankRefText,_xldudf_CX_GET(CX_ENTITY,$F58,AV$11,AV$14,,(AV$19))),_xlpm.Res,IF(OR(_xlpm.val="",_xlpm.val="Error"),"",_xlpm.val),_xlpm.Res)</f>
        <v>#NAME?</v>
      </c>
      <c r="AW58" s="1669" t="e" cm="1">
        <f t="array" ca="1" aca="1" ref="AW58">_xlfn.LET(_xlpm.val,IF($F58="",val_blankRefText,_xldudf_CX_GET(CX_ENTITY,$F58,AW$11,AW$14,,(AW$19))),_xlpm.Res,IF(OR(_xlpm.val="",_xlpm.val="Error"),"",_xlpm.val),_xlpm.Res)</f>
        <v>#NAME?</v>
      </c>
      <c r="AX58" s="1669" t="e" cm="1">
        <f t="array" ca="1" aca="1" ref="AX58">_xlfn.LET(_xlpm.val,IF($F58="",val_blankRefText,_xldudf_CX_GET(CX_ENTITY,$F58,AX$11,AX$14,,(AX$19))),_xlpm.Res,IF(OR(_xlpm.val="",_xlpm.val="Error"),"",_xlpm.val),_xlpm.Res)</f>
        <v>#NAME?</v>
      </c>
      <c r="AY58" s="1669" t="e" cm="1">
        <f t="array" ca="1" aca="1" ref="AY58">_xlfn.LET(_xlpm.val,IF($F58="",val_blankRefText,_xldudf_CX_GET(CX_ENTITY,$F58,AY$11,AY$14,,(AY$19))),_xlpm.Res,IF(OR(_xlpm.val="",_xlpm.val="Error"),"",_xlpm.val),_xlpm.Res)</f>
        <v>#NAME?</v>
      </c>
      <c r="AZ58" s="1669" t="e" cm="1">
        <f t="array" ca="1" aca="1" ref="AZ58">_xlfn.LET(_xlpm.val,IF($F58="",val_blankRefText,_xldudf_CX_GET(CX_ENTITY,$F58,AZ$11,AZ$14,,(AZ$19))),_xlpm.Res,IF(OR(_xlpm.val="",_xlpm.val="Error"),"",_xlpm.val),_xlpm.Res)</f>
        <v>#NAME?</v>
      </c>
      <c r="BA58" s="1669" t="e" cm="1">
        <f t="array" ca="1" aca="1" ref="BA58">_xlfn.LET(_xlpm.val,IF($F58="",val_blankRefText,_xldudf_CX_GET(CX_ENTITY,$F58,BA$11,BA$14,,(BA$19))),_xlpm.Res,IF(OR(_xlpm.val="",_xlpm.val="Error"),"",_xlpm.val),_xlpm.Res)</f>
        <v>#NAME?</v>
      </c>
      <c r="BB58" s="1669" t="e" cm="1">
        <f t="array" ca="1" aca="1" ref="BB58">_xlfn.LET(_xlpm.val,IF($F58="",val_blankRefText,_xldudf_CX_GET(CX_ENTITY,$F58,BB$11,BB$14,,(BB$19))),_xlpm.Res,IF(OR(_xlpm.val="",_xlpm.val="Error"),"",_xlpm.val),_xlpm.Res)</f>
        <v>#NAME?</v>
      </c>
      <c r="BC58" s="1669" t="e" cm="1">
        <f t="array" ca="1" aca="1" ref="BC58">_xlfn.LET(_xlpm.val,IF($F58="",val_blankRefText,_xldudf_CX_GET(CX_ENTITY,$F58,BC$11,BC$14,,(BC$19))),_xlpm.Res,IF(OR(_xlpm.val="",_xlpm.val="Error"),"",_xlpm.val),_xlpm.Res)</f>
        <v>#NAME?</v>
      </c>
      <c r="BD58" s="1669" t="e" cm="1">
        <f t="array" ca="1" aca="1" ref="BD58">_xlfn.LET(_xlpm.val,IF($F58="",val_blankRefText,_xldudf_CX_GET(CX_ENTITY,$F58,BD$11,BD$14,,(BD$19))),_xlpm.Res,IF(OR(_xlpm.val="",_xlpm.val="Error"),"",_xlpm.val),_xlpm.Res)</f>
        <v>#NAME?</v>
      </c>
      <c r="BE58" s="1669" t="e" cm="1">
        <f t="array" ca="1" aca="1" ref="BE58">_xlfn.LET(_xlpm.val,IF($F58="",val_blankRefText,_xldudf_CX_GET(CX_ENTITY,$F58,BE$11,BE$14,,(BE$19))),_xlpm.Res,IF(OR(_xlpm.val="",_xlpm.val="Error"),"",_xlpm.val),_xlpm.Res)</f>
        <v>#NAME?</v>
      </c>
      <c r="BF58" s="1669" t="e" cm="1">
        <f t="array" ca="1" aca="1" ref="BF58">_xlfn.LET(_xlpm.val,IF($F58="",val_blankRefText,_xldudf_CX_GET(CX_ENTITY,$F58,BF$11,BF$14,,(BF$19))),_xlpm.Res,IF(OR(_xlpm.val="",_xlpm.val="Error"),"",_xlpm.val),_xlpm.Res)</f>
        <v>#NAME?</v>
      </c>
      <c r="BG58" s="1669" t="e" cm="1">
        <f t="array" ca="1" aca="1" ref="BG58">_xlfn.LET(_xlpm.val,IF($F58="",val_blankRefText,_xldudf_CX_GET(CX_ENTITY,$F58,BG$11,BG$14,,(BG$19))),_xlpm.Res,IF(OR(_xlpm.val="",_xlpm.val="Error"),"",_xlpm.val),_xlpm.Res)</f>
        <v>#NAME?</v>
      </c>
      <c r="BH58" s="1669" t="e" cm="1">
        <f t="array" ca="1" aca="1" ref="BH58">_xlfn.LET(_xlpm.val,IF($F58="",val_blankRefText,_xldudf_CX_GET(CX_ENTITY,$F58,BH$11,BH$14,,(BH$19))),_xlpm.Res,IF(OR(_xlpm.val="",_xlpm.val="Error"),"",_xlpm.val),_xlpm.Res)</f>
        <v>#NAME?</v>
      </c>
      <c r="BI58" s="1669" t="e" cm="1">
        <f t="array" ca="1" aca="1" ref="BI58">_xlfn.LET(_xlpm.val,IF($F58="",val_blankRefText,_xldudf_CX_GET(CX_ENTITY,$F58,BI$11,BI$14,,(BI$19))),_xlpm.Res,IF(OR(_xlpm.val="",_xlpm.val="Error"),"",_xlpm.val),_xlpm.Res)</f>
        <v>#NAME?</v>
      </c>
      <c r="BJ58" s="1669" t="e" cm="1">
        <f t="array" ca="1" aca="1" ref="BJ58">_xlfn.LET(_xlpm.val,IF($F58="",val_blankRefText,_xldudf_CX_GET(CX_ENTITY,$F58,BJ$11,BJ$14,,(BJ$19))),_xlpm.Res,IF(OR(_xlpm.val="",_xlpm.val="Error"),"",_xlpm.val),_xlpm.Res)</f>
        <v>#NAME?</v>
      </c>
      <c r="BK58" s="1669" t="e" cm="1">
        <f t="array" ca="1" aca="1" ref="BK58">_xlfn.LET(_xlpm.val,IF($F58="",val_blankRefText,_xldudf_CX_GET(CX_ENTITY,$F58,BK$11,BK$14,,(BK$19))),_xlpm.Res,IF(OR(_xlpm.val="",_xlpm.val="Error"),"",_xlpm.val),_xlpm.Res)</f>
        <v>#NAME?</v>
      </c>
      <c r="BL58" s="1669" t="e" cm="1">
        <f t="array" ca="1" aca="1" ref="BL58">_xlfn.LET(_xlpm.val,IF($F58="",val_blankRefText,_xldudf_CX_GET(CX_ENTITY,$F58,BL$11,BL$14,,(BL$19))),_xlpm.Res,IF(OR(_xlpm.val="",_xlpm.val="Error"),"",_xlpm.val),_xlpm.Res)</f>
        <v>#NAME?</v>
      </c>
      <c r="BM58" s="1669" t="e" cm="1">
        <f t="array" ca="1" aca="1" ref="BM58">_xlfn.LET(_xlpm.val,IF($F58="",val_blankRefText,_xldudf_CX_GET(CX_ENTITY,$F58,BM$11,BM$14,,(BM$19))),_xlpm.Res,IF(OR(_xlpm.val="",_xlpm.val="Error"),"",_xlpm.val),_xlpm.Res)</f>
        <v>#NAME?</v>
      </c>
      <c r="BN58" s="1669" t="e" cm="1">
        <f t="array" ca="1" aca="1" ref="BN58">_xlfn.LET(_xlpm.val,IF($F58="",val_blankRefText,_xldudf_CX_GET(CX_ENTITY,$F58,BN$11,BN$14,,(BN$19))),_xlpm.Res,IF(OR(_xlpm.val="",_xlpm.val="Error"),"",_xlpm.val),_xlpm.Res)</f>
        <v>#NAME?</v>
      </c>
      <c r="BO58" s="2095"/>
      <c r="BP58" s="2095"/>
      <c r="BQ58" s="2095"/>
      <c r="BR58" s="2095"/>
      <c r="BS58" s="2095"/>
      <c r="BT58" s="2095"/>
      <c r="BU58" s="2095"/>
      <c r="BV58" s="2095"/>
      <c r="BW58" s="2095"/>
      <c r="BX58" s="2095"/>
      <c r="BY58" s="2095"/>
      <c r="BZ58" s="2095"/>
      <c r="CA58" s="34"/>
      <c r="CC58" s="33"/>
      <c r="CD58" s="1461" t="str" cm="1">
        <f t="array" ref="CD58">_xlfn.LET(_xlpm.CheckBlank,SUM(PL!$AD58:PL!$BN58)=0,IF(_xlpm.CheckBlank,"",SUM(_xlfn._xlws.FILTER(PL!$AD58:$BN58,(YEAR(PL!$AD$12:$BN$12)=PL!CD$12)*(array_timeline&lt;=PL!CD$11)))))</f>
        <v/>
      </c>
      <c r="CE58" s="1461" t="str" cm="1">
        <f t="array" ref="CE58">_xlfn.LET(_xlpm.CheckBlank,SUM(PL!$AD58:PL!$BN58)=0,IF(_xlpm.CheckBlank,"",SUM(_xlfn._xlws.FILTER(PL!$AD58:$BN58,(YEAR(PL!$AD$12:$BN$12)=PL!CE$12)*(array_timeline&lt;=PL!CE$11)))))</f>
        <v/>
      </c>
      <c r="CF58" s="88"/>
      <c r="CG58" s="1461" t="str" cm="1">
        <f t="array" ref="CG58">_xlfn.LET(_xlpm.CheckBlank,SUM(PL!$AD58:$BN58)=0,IF(_xlpm.CheckBlank,"",SUM(_xlfn._xlws.FILTER(PL!$AD58:$BN58,(YEAR(PL!$AD$12:$BN$12)=PL!CG$12)*(array_timeline&lt;=PL!CG$11)))))</f>
        <v/>
      </c>
      <c r="CH58" s="1461" t="str" cm="1">
        <f t="array" ref="CH58">_xlfn.LET(_xlpm.CheckBlank,SUM(PL!$AD58:$BN58)=0,IF(_xlpm.CheckBlank,"",SUM(_xlfn._xlws.FILTER(PL!$AD58:$BN58,(YEAR(PL!$AD$12:$BN$12)=PL!CH$12)*(array_timeline&lt;=PL!CH$11)))))</f>
        <v/>
      </c>
      <c r="CI58" s="88"/>
      <c r="CJ58" s="1461" t="str" cm="1">
        <f t="array" ref="CJ58">_xlfn.LET(_xlpm.CheckBlank,SUM(PL!$AD58:$BN58)=0,IF(_xlpm.CheckBlank,"",SUM(_xlfn.TAKE(_xlfn.DROP(PL!$AD58:$BN58,,-DATEDIFF(PL!CJ$11,val_asOfDate,"M")),1,-12))))</f>
        <v/>
      </c>
      <c r="CK58" s="1461" t="str" cm="1">
        <f t="array" ref="CK58">_xlfn.LET(_xlpm.CheckBlank,SUM(PL!$AD58:$BN58)=0,IF(_xlpm.CheckBlank,"",SUM(_xlfn.TAKE(_xlfn.DROP(PL!$AD58:$BN58,,-DATEDIFF(PL!CK$11,val_asOfDate,"M")),1,-12))))</f>
        <v/>
      </c>
      <c r="CL58" s="88"/>
      <c r="CM58" s="1556" t="e" cm="1">
        <f t="array" ca="1" aca="1" ref="CM58">IF($F58="",val_blankRefText,N(_xldudf_CX_GET(CX_ENTITY,$F58,CM$11,CM$14,,(CM$19)))/fxVal_normal*fxVal_sign($A58))</f>
        <v>#NAME?</v>
      </c>
      <c r="CN58" s="1556" t="e" cm="1">
        <f t="array" ca="1" aca="1" ref="CN58">IF($F58="",val_blankRefText,N(_xldudf_CX_GET(CX_ENTITY,$F58,CN$11,CN$14,,(CN$19)))/fxVal_normal*fxVal_sign($A58))</f>
        <v>#NAME?</v>
      </c>
      <c r="CO58" s="88"/>
      <c r="CP58" s="1650" t="e" cm="1">
        <f t="array" ca="1" aca="1" ref="CP58">IF($F58="",val_blankRefText,N(_xldudf_CX_GET(CX_ENTITY,fx_attrConverter($F58),CP$11,CP$14,,(CP$19)))/fxVal_normal*fxVal_sign($A58))</f>
        <v>#NAME?</v>
      </c>
      <c r="CQ58" s="1651" t="e" cm="1">
        <f t="array" ca="1" aca="1" ref="CQ58">IF($F58="",val_blankRefText,N(_xldudf_CX_GET(CX_ENTITY,$F58,CQ$11,CQ$14,,(CQ$19)))/fxVal_normal*fxVal_sign($A58))</f>
        <v>#NAME?</v>
      </c>
      <c r="CR58" s="34"/>
    </row>
    <row r="59" spans="1:96" ht="21" customHeight="1" outlineLevel="2">
      <c r="A59" s="1322"/>
      <c r="B59" s="2128" t="s">
        <v>1582</v>
      </c>
      <c r="C59" s="577" t="s">
        <v>1583</v>
      </c>
      <c r="D59" s="1079"/>
      <c r="E59" s="1615" t="e" cm="1">
        <f t="array" ca="1" aca="1" ref="E59">_xlfn.LET(_xlpm.Attr,$C59,_xlpm.Lookback,$E$16,_xlpm.QueryDate,EOMONTH(val_asOfDate,_xlpm.Lookback),_xlpm.ReadField,_xldudf_CX_GET(CX_ENTITY,fx_attrConverter($C59),_xlpm.QueryDate),_xlpm.AttrBlank,_xlpm.Attr="",_xlpm.RESULT,IF(_xlpm.AttrBlank,val_blankRefText,fx_attrConverter(_xlpm.ReadField,0)),IF(_xlpm.RESULT="Error","",_xlpm.RESULT))</f>
        <v>#NAME?</v>
      </c>
      <c r="F59" s="577" t="str">
        <f t="shared" si="11"/>
        <v>Custom Metric Amount 3 [Calculated]</v>
      </c>
      <c r="G59" s="577" t="s">
        <v>1579</v>
      </c>
      <c r="H59" s="3280">
        <v>1</v>
      </c>
      <c r="I59" s="3280">
        <v>1</v>
      </c>
      <c r="J59" s="401"/>
      <c r="K59" s="401"/>
      <c r="L59" s="579" t="b">
        <v>0</v>
      </c>
      <c r="N59" s="158"/>
      <c r="O59" s="101"/>
      <c r="P59" s="52"/>
      <c r="Q59" s="101"/>
      <c r="R59" s="539"/>
      <c r="S59" s="101"/>
      <c r="T59" s="101"/>
      <c r="U59" s="39"/>
      <c r="W59" s="91" t="str">
        <f>_PL!$W$17</f>
        <v>Actual</v>
      </c>
      <c r="X59" s="2370" t="e" cm="1">
        <f t="array" ca="1" aca="1" ref="X59">_xlfn.LET(_xlpm.toPass,$E59="",_xlpm.hasParts,ISNUMBER(SEARCH("|",$E59)),_xlpm.Part1,INDEX(_xlfn.TEXTSPLIT($E59,"|",,FALSE,1),1),_xlpm.Part1Num,IFERROR(_xlfn.NUMBERVALUE(_xlpm.Part1),_xlpm.Part1),_xlfn.SWITCH(TRUE,_xlpm.toPass,"",_xlpm.hasParts,_xlpm.Part1Num,$E59))</f>
        <v>#NAME?</v>
      </c>
      <c r="Y59" s="590" t="e" cm="1">
        <f t="array" ca="1" aca="1" ref="Y59">_xlfn.LET(_xlpm.PackedString,E59,IF(_xlpm.PackedString="","",IF(ISNUMBER(SEARCH("|",_xlpm.PackedString)),INDEX(_xlfn.TEXTSPLIT(_xlpm.PackedString,"|",,FALSE),2),_xlpm.PackedString)))</f>
        <v>#NAME?</v>
      </c>
      <c r="Z59" s="198" t="e">
        <f ca="1">IF(Y59="","",0)</f>
        <v>#NAME?</v>
      </c>
      <c r="AA59" s="128"/>
      <c r="AB59" s="709" t="e" cm="1">
        <f t="array" ca="1" aca="1" ref="AB59">_xlfn.LET(_xlpm.PackedString,E59,IF(_xlpm.PackedString="","",IF(ISNUMBER(SEARCH("|",_xlpm.PackedString)),INDEX(_xlfn.TEXTSPLIT(_xlpm.PackedString,"|",,FALSE),3),_xlpm.PackedString)))</f>
        <v>#NAME?</v>
      </c>
      <c r="AC59" s="200" t="str" cm="1">
        <f t="array" ca="1" aca="1" ref="AC59">_xlfn.LET(_xlpm.Def,IF(_xlfn.XMATCH(AB59,tbl_acctDef[Term],0)&gt;0,fx_getIcon("find"),""),_xlpm.Adj,IF(_xlfn.XMATCH(AB59,tbl_adjExample[Items],0)&gt;0,fx_getIcon("find"),""),IFERROR(IFBLANK(_xlpm.Def,_xlpm.Adj),""))</f>
        <v/>
      </c>
      <c r="AD59" s="1669" t="e" cm="1">
        <f t="array" ca="1" aca="1" ref="AD59">_xlfn.LET(_xlpm.val,IF($F59="",val_blankRefText,_xldudf_CX_GET(CX_ENTITY,$F59,AD$11,AD$14,,(AD$19))),_xlpm.Res,IF(OR(_xlpm.val="",_xlpm.val="Error"),"",_xlpm.val),_xlpm.Res)</f>
        <v>#NAME?</v>
      </c>
      <c r="AE59" s="1669" t="e" cm="1">
        <f t="array" ca="1" aca="1" ref="AE59">_xlfn.LET(_xlpm.val,IF($F59="",val_blankRefText,_xldudf_CX_GET(CX_ENTITY,$F59,AE$11,AE$14,,(AE$19))),_xlpm.Res,IF(OR(_xlpm.val="",_xlpm.val="Error"),"",_xlpm.val),_xlpm.Res)</f>
        <v>#NAME?</v>
      </c>
      <c r="AF59" s="1669" t="e" cm="1">
        <f t="array" ca="1" aca="1" ref="AF59">_xlfn.LET(_xlpm.val,IF($F59="",val_blankRefText,_xldudf_CX_GET(CX_ENTITY,$F59,AF$11,AF$14,,(AF$19))),_xlpm.Res,IF(OR(_xlpm.val="",_xlpm.val="Error"),"",_xlpm.val),_xlpm.Res)</f>
        <v>#NAME?</v>
      </c>
      <c r="AG59" s="1669" t="e" cm="1">
        <f t="array" ca="1" aca="1" ref="AG59">_xlfn.LET(_xlpm.val,IF($F59="",val_blankRefText,_xldudf_CX_GET(CX_ENTITY,$F59,AG$11,AG$14,,(AG$19))),_xlpm.Res,IF(OR(_xlpm.val="",_xlpm.val="Error"),"",_xlpm.val),_xlpm.Res)</f>
        <v>#NAME?</v>
      </c>
      <c r="AH59" s="1669" t="e" cm="1">
        <f t="array" ca="1" aca="1" ref="AH59">_xlfn.LET(_xlpm.val,IF($F59="",val_blankRefText,_xldudf_CX_GET(CX_ENTITY,$F59,AH$11,AH$14,,(AH$19))),_xlpm.Res,IF(OR(_xlpm.val="",_xlpm.val="Error"),"",_xlpm.val),_xlpm.Res)</f>
        <v>#NAME?</v>
      </c>
      <c r="AI59" s="1669" t="e" cm="1">
        <f t="array" ca="1" aca="1" ref="AI59">_xlfn.LET(_xlpm.val,IF($F59="",val_blankRefText,_xldudf_CX_GET(CX_ENTITY,$F59,AI$11,AI$14,,(AI$19))),_xlpm.Res,IF(OR(_xlpm.val="",_xlpm.val="Error"),"",_xlpm.val),_xlpm.Res)</f>
        <v>#NAME?</v>
      </c>
      <c r="AJ59" s="1669" t="e" cm="1">
        <f t="array" ca="1" aca="1" ref="AJ59">_xlfn.LET(_xlpm.val,IF($F59="",val_blankRefText,_xldudf_CX_GET(CX_ENTITY,$F59,AJ$11,AJ$14,,(AJ$19))),_xlpm.Res,IF(OR(_xlpm.val="",_xlpm.val="Error"),"",_xlpm.val),_xlpm.Res)</f>
        <v>#NAME?</v>
      </c>
      <c r="AK59" s="1669" t="e" cm="1">
        <f t="array" ca="1" aca="1" ref="AK59">_xlfn.LET(_xlpm.val,IF($F59="",val_blankRefText,_xldudf_CX_GET(CX_ENTITY,$F59,AK$11,AK$14,,(AK$19))),_xlpm.Res,IF(OR(_xlpm.val="",_xlpm.val="Error"),"",_xlpm.val),_xlpm.Res)</f>
        <v>#NAME?</v>
      </c>
      <c r="AL59" s="1669" t="e" cm="1">
        <f t="array" ca="1" aca="1" ref="AL59">_xlfn.LET(_xlpm.val,IF($F59="",val_blankRefText,_xldudf_CX_GET(CX_ENTITY,$F59,AL$11,AL$14,,(AL$19))),_xlpm.Res,IF(OR(_xlpm.val="",_xlpm.val="Error"),"",_xlpm.val),_xlpm.Res)</f>
        <v>#NAME?</v>
      </c>
      <c r="AM59" s="1669" t="e" cm="1">
        <f t="array" ca="1" aca="1" ref="AM59">_xlfn.LET(_xlpm.val,IF($F59="",val_blankRefText,_xldudf_CX_GET(CX_ENTITY,$F59,AM$11,AM$14,,(AM$19))),_xlpm.Res,IF(OR(_xlpm.val="",_xlpm.val="Error"),"",_xlpm.val),_xlpm.Res)</f>
        <v>#NAME?</v>
      </c>
      <c r="AN59" s="1669" t="e" cm="1">
        <f t="array" ca="1" aca="1" ref="AN59">_xlfn.LET(_xlpm.val,IF($F59="",val_blankRefText,_xldudf_CX_GET(CX_ENTITY,$F59,AN$11,AN$14,,(AN$19))),_xlpm.Res,IF(OR(_xlpm.val="",_xlpm.val="Error"),"",_xlpm.val),_xlpm.Res)</f>
        <v>#NAME?</v>
      </c>
      <c r="AO59" s="1669" t="e" cm="1">
        <f t="array" ca="1" aca="1" ref="AO59">_xlfn.LET(_xlpm.val,IF($F59="",val_blankRefText,_xldudf_CX_GET(CX_ENTITY,$F59,AO$11,AO$14,,(AO$19))),_xlpm.Res,IF(OR(_xlpm.val="",_xlpm.val="Error"),"",_xlpm.val),_xlpm.Res)</f>
        <v>#NAME?</v>
      </c>
      <c r="AP59" s="1669" t="e" cm="1">
        <f t="array" ca="1" aca="1" ref="AP59">_xlfn.LET(_xlpm.val,IF($F59="",val_blankRefText,_xldudf_CX_GET(CX_ENTITY,$F59,AP$11,AP$14,,(AP$19))),_xlpm.Res,IF(OR(_xlpm.val="",_xlpm.val="Error"),"",_xlpm.val),_xlpm.Res)</f>
        <v>#NAME?</v>
      </c>
      <c r="AQ59" s="1669" t="e" cm="1">
        <f t="array" ca="1" aca="1" ref="AQ59">_xlfn.LET(_xlpm.val,IF($F59="",val_blankRefText,_xldudf_CX_GET(CX_ENTITY,$F59,AQ$11,AQ$14,,(AQ$19))),_xlpm.Res,IF(OR(_xlpm.val="",_xlpm.val="Error"),"",_xlpm.val),_xlpm.Res)</f>
        <v>#NAME?</v>
      </c>
      <c r="AR59" s="1669" t="e" cm="1">
        <f t="array" ca="1" aca="1" ref="AR59">_xlfn.LET(_xlpm.val,IF($F59="",val_blankRefText,_xldudf_CX_GET(CX_ENTITY,$F59,AR$11,AR$14,,(AR$19))),_xlpm.Res,IF(OR(_xlpm.val="",_xlpm.val="Error"),"",_xlpm.val),_xlpm.Res)</f>
        <v>#NAME?</v>
      </c>
      <c r="AS59" s="1669" t="e" cm="1">
        <f t="array" ca="1" aca="1" ref="AS59">_xlfn.LET(_xlpm.val,IF($F59="",val_blankRefText,_xldudf_CX_GET(CX_ENTITY,$F59,AS$11,AS$14,,(AS$19))),_xlpm.Res,IF(OR(_xlpm.val="",_xlpm.val="Error"),"",_xlpm.val),_xlpm.Res)</f>
        <v>#NAME?</v>
      </c>
      <c r="AT59" s="1669" t="e" cm="1">
        <f t="array" ca="1" aca="1" ref="AT59">_xlfn.LET(_xlpm.val,IF($F59="",val_blankRefText,_xldudf_CX_GET(CX_ENTITY,$F59,AT$11,AT$14,,(AT$19))),_xlpm.Res,IF(OR(_xlpm.val="",_xlpm.val="Error"),"",_xlpm.val),_xlpm.Res)</f>
        <v>#NAME?</v>
      </c>
      <c r="AU59" s="1669" t="e" cm="1">
        <f t="array" ca="1" aca="1" ref="AU59">_xlfn.LET(_xlpm.val,IF($F59="",val_blankRefText,_xldudf_CX_GET(CX_ENTITY,$F59,AU$11,AU$14,,(AU$19))),_xlpm.Res,IF(OR(_xlpm.val="",_xlpm.val="Error"),"",_xlpm.val),_xlpm.Res)</f>
        <v>#NAME?</v>
      </c>
      <c r="AV59" s="1669" t="e" cm="1">
        <f t="array" ca="1" aca="1" ref="AV59">_xlfn.LET(_xlpm.val,IF($F59="",val_blankRefText,_xldudf_CX_GET(CX_ENTITY,$F59,AV$11,AV$14,,(AV$19))),_xlpm.Res,IF(OR(_xlpm.val="",_xlpm.val="Error"),"",_xlpm.val),_xlpm.Res)</f>
        <v>#NAME?</v>
      </c>
      <c r="AW59" s="1669" t="e" cm="1">
        <f t="array" ca="1" aca="1" ref="AW59">_xlfn.LET(_xlpm.val,IF($F59="",val_blankRefText,_xldudf_CX_GET(CX_ENTITY,$F59,AW$11,AW$14,,(AW$19))),_xlpm.Res,IF(OR(_xlpm.val="",_xlpm.val="Error"),"",_xlpm.val),_xlpm.Res)</f>
        <v>#NAME?</v>
      </c>
      <c r="AX59" s="1669" t="e" cm="1">
        <f t="array" ca="1" aca="1" ref="AX59">_xlfn.LET(_xlpm.val,IF($F59="",val_blankRefText,_xldudf_CX_GET(CX_ENTITY,$F59,AX$11,AX$14,,(AX$19))),_xlpm.Res,IF(OR(_xlpm.val="",_xlpm.val="Error"),"",_xlpm.val),_xlpm.Res)</f>
        <v>#NAME?</v>
      </c>
      <c r="AY59" s="1669" t="e" cm="1">
        <f t="array" ca="1" aca="1" ref="AY59">_xlfn.LET(_xlpm.val,IF($F59="",val_blankRefText,_xldudf_CX_GET(CX_ENTITY,$F59,AY$11,AY$14,,(AY$19))),_xlpm.Res,IF(OR(_xlpm.val="",_xlpm.val="Error"),"",_xlpm.val),_xlpm.Res)</f>
        <v>#NAME?</v>
      </c>
      <c r="AZ59" s="1669" t="e" cm="1">
        <f t="array" ca="1" aca="1" ref="AZ59">_xlfn.LET(_xlpm.val,IF($F59="",val_blankRefText,_xldudf_CX_GET(CX_ENTITY,$F59,AZ$11,AZ$14,,(AZ$19))),_xlpm.Res,IF(OR(_xlpm.val="",_xlpm.val="Error"),"",_xlpm.val),_xlpm.Res)</f>
        <v>#NAME?</v>
      </c>
      <c r="BA59" s="1669" t="e" cm="1">
        <f t="array" ca="1" aca="1" ref="BA59">_xlfn.LET(_xlpm.val,IF($F59="",val_blankRefText,_xldudf_CX_GET(CX_ENTITY,$F59,BA$11,BA$14,,(BA$19))),_xlpm.Res,IF(OR(_xlpm.val="",_xlpm.val="Error"),"",_xlpm.val),_xlpm.Res)</f>
        <v>#NAME?</v>
      </c>
      <c r="BB59" s="1669" t="e" cm="1">
        <f t="array" ca="1" aca="1" ref="BB59">_xlfn.LET(_xlpm.val,IF($F59="",val_blankRefText,_xldudf_CX_GET(CX_ENTITY,$F59,BB$11,BB$14,,(BB$19))),_xlpm.Res,IF(OR(_xlpm.val="",_xlpm.val="Error"),"",_xlpm.val),_xlpm.Res)</f>
        <v>#NAME?</v>
      </c>
      <c r="BC59" s="1669" t="e" cm="1">
        <f t="array" ca="1" aca="1" ref="BC59">_xlfn.LET(_xlpm.val,IF($F59="",val_blankRefText,_xldudf_CX_GET(CX_ENTITY,$F59,BC$11,BC$14,,(BC$19))),_xlpm.Res,IF(OR(_xlpm.val="",_xlpm.val="Error"),"",_xlpm.val),_xlpm.Res)</f>
        <v>#NAME?</v>
      </c>
      <c r="BD59" s="1669" t="e" cm="1">
        <f t="array" ca="1" aca="1" ref="BD59">_xlfn.LET(_xlpm.val,IF($F59="",val_blankRefText,_xldudf_CX_GET(CX_ENTITY,$F59,BD$11,BD$14,,(BD$19))),_xlpm.Res,IF(OR(_xlpm.val="",_xlpm.val="Error"),"",_xlpm.val),_xlpm.Res)</f>
        <v>#NAME?</v>
      </c>
      <c r="BE59" s="1669" t="e" cm="1">
        <f t="array" ca="1" aca="1" ref="BE59">_xlfn.LET(_xlpm.val,IF($F59="",val_blankRefText,_xldudf_CX_GET(CX_ENTITY,$F59,BE$11,BE$14,,(BE$19))),_xlpm.Res,IF(OR(_xlpm.val="",_xlpm.val="Error"),"",_xlpm.val),_xlpm.Res)</f>
        <v>#NAME?</v>
      </c>
      <c r="BF59" s="1669" t="e" cm="1">
        <f t="array" ca="1" aca="1" ref="BF59">_xlfn.LET(_xlpm.val,IF($F59="",val_blankRefText,_xldudf_CX_GET(CX_ENTITY,$F59,BF$11,BF$14,,(BF$19))),_xlpm.Res,IF(OR(_xlpm.val="",_xlpm.val="Error"),"",_xlpm.val),_xlpm.Res)</f>
        <v>#NAME?</v>
      </c>
      <c r="BG59" s="1669" t="e" cm="1">
        <f t="array" ca="1" aca="1" ref="BG59">_xlfn.LET(_xlpm.val,IF($F59="",val_blankRefText,_xldudf_CX_GET(CX_ENTITY,$F59,BG$11,BG$14,,(BG$19))),_xlpm.Res,IF(OR(_xlpm.val="",_xlpm.val="Error"),"",_xlpm.val),_xlpm.Res)</f>
        <v>#NAME?</v>
      </c>
      <c r="BH59" s="1669" t="e" cm="1">
        <f t="array" ca="1" aca="1" ref="BH59">_xlfn.LET(_xlpm.val,IF($F59="",val_blankRefText,_xldudf_CX_GET(CX_ENTITY,$F59,BH$11,BH$14,,(BH$19))),_xlpm.Res,IF(OR(_xlpm.val="",_xlpm.val="Error"),"",_xlpm.val),_xlpm.Res)</f>
        <v>#NAME?</v>
      </c>
      <c r="BI59" s="1669" t="e" cm="1">
        <f t="array" ca="1" aca="1" ref="BI59">_xlfn.LET(_xlpm.val,IF($F59="",val_blankRefText,_xldudf_CX_GET(CX_ENTITY,$F59,BI$11,BI$14,,(BI$19))),_xlpm.Res,IF(OR(_xlpm.val="",_xlpm.val="Error"),"",_xlpm.val),_xlpm.Res)</f>
        <v>#NAME?</v>
      </c>
      <c r="BJ59" s="1669" t="e" cm="1">
        <f t="array" ca="1" aca="1" ref="BJ59">_xlfn.LET(_xlpm.val,IF($F59="",val_blankRefText,_xldudf_CX_GET(CX_ENTITY,$F59,BJ$11,BJ$14,,(BJ$19))),_xlpm.Res,IF(OR(_xlpm.val="",_xlpm.val="Error"),"",_xlpm.val),_xlpm.Res)</f>
        <v>#NAME?</v>
      </c>
      <c r="BK59" s="1669" t="e" cm="1">
        <f t="array" ca="1" aca="1" ref="BK59">_xlfn.LET(_xlpm.val,IF($F59="",val_blankRefText,_xldudf_CX_GET(CX_ENTITY,$F59,BK$11,BK$14,,(BK$19))),_xlpm.Res,IF(OR(_xlpm.val="",_xlpm.val="Error"),"",_xlpm.val),_xlpm.Res)</f>
        <v>#NAME?</v>
      </c>
      <c r="BL59" s="1669" t="e" cm="1">
        <f t="array" ca="1" aca="1" ref="BL59">_xlfn.LET(_xlpm.val,IF($F59="",val_blankRefText,_xldudf_CX_GET(CX_ENTITY,$F59,BL$11,BL$14,,(BL$19))),_xlpm.Res,IF(OR(_xlpm.val="",_xlpm.val="Error"),"",_xlpm.val),_xlpm.Res)</f>
        <v>#NAME?</v>
      </c>
      <c r="BM59" s="1669" t="e" cm="1">
        <f t="array" ca="1" aca="1" ref="BM59">_xlfn.LET(_xlpm.val,IF($F59="",val_blankRefText,_xldudf_CX_GET(CX_ENTITY,$F59,BM$11,BM$14,,(BM$19))),_xlpm.Res,IF(OR(_xlpm.val="",_xlpm.val="Error"),"",_xlpm.val),_xlpm.Res)</f>
        <v>#NAME?</v>
      </c>
      <c r="BN59" s="1669" t="e" cm="1">
        <f t="array" ca="1" aca="1" ref="BN59">_xlfn.LET(_xlpm.val,IF($F59="",val_blankRefText,_xldudf_CX_GET(CX_ENTITY,$F59,BN$11,BN$14,,(BN$19))),_xlpm.Res,IF(OR(_xlpm.val="",_xlpm.val="Error"),"",_xlpm.val),_xlpm.Res)</f>
        <v>#NAME?</v>
      </c>
      <c r="BO59" s="2095"/>
      <c r="BP59" s="2095"/>
      <c r="BQ59" s="2095"/>
      <c r="BR59" s="2095"/>
      <c r="BS59" s="2095"/>
      <c r="BT59" s="2095"/>
      <c r="BU59" s="2095"/>
      <c r="BV59" s="2095"/>
      <c r="BW59" s="2095"/>
      <c r="BX59" s="2095"/>
      <c r="BY59" s="2095"/>
      <c r="BZ59" s="2095"/>
      <c r="CA59" s="34"/>
      <c r="CC59" s="33"/>
      <c r="CD59" s="1461" t="str" cm="1">
        <f t="array" ref="CD59">_xlfn.LET(_xlpm.CheckBlank,SUM(PL!$AD59:PL!$BN59)=0,IF(_xlpm.CheckBlank,"",SUM(_xlfn._xlws.FILTER(PL!$AD59:$BN59,(YEAR(PL!$AD$12:$BN$12)=PL!CD$12)*(array_timeline&lt;=PL!CD$11)))))</f>
        <v/>
      </c>
      <c r="CE59" s="1461" t="str" cm="1">
        <f t="array" ref="CE59">_xlfn.LET(_xlpm.CheckBlank,SUM(PL!$AD59:PL!$BN59)=0,IF(_xlpm.CheckBlank,"",SUM(_xlfn._xlws.FILTER(PL!$AD59:$BN59,(YEAR(PL!$AD$12:$BN$12)=PL!CE$12)*(array_timeline&lt;=PL!CE$11)))))</f>
        <v/>
      </c>
      <c r="CF59" s="88"/>
      <c r="CG59" s="1461" t="str" cm="1">
        <f t="array" ref="CG59">_xlfn.LET(_xlpm.CheckBlank,SUM(PL!$AD59:$BN59)=0,IF(_xlpm.CheckBlank,"",SUM(_xlfn._xlws.FILTER(PL!$AD59:$BN59,(YEAR(PL!$AD$12:$BN$12)=PL!CG$12)*(array_timeline&lt;=PL!CG$11)))))</f>
        <v/>
      </c>
      <c r="CH59" s="1461" t="str" cm="1">
        <f t="array" ref="CH59">_xlfn.LET(_xlpm.CheckBlank,SUM(PL!$AD59:$BN59)=0,IF(_xlpm.CheckBlank,"",SUM(_xlfn._xlws.FILTER(PL!$AD59:$BN59,(YEAR(PL!$AD$12:$BN$12)=PL!CH$12)*(array_timeline&lt;=PL!CH$11)))))</f>
        <v/>
      </c>
      <c r="CI59" s="88"/>
      <c r="CJ59" s="1461" t="str" cm="1">
        <f t="array" ref="CJ59">_xlfn.LET(_xlpm.CheckBlank,SUM(PL!$AD59:$BN59)=0,IF(_xlpm.CheckBlank,"",SUM(_xlfn.TAKE(_xlfn.DROP(PL!$AD59:$BN59,,-DATEDIFF(PL!CJ$11,val_asOfDate,"M")),1,-12))))</f>
        <v/>
      </c>
      <c r="CK59" s="1461" t="str" cm="1">
        <f t="array" ref="CK59">_xlfn.LET(_xlpm.CheckBlank,SUM(PL!$AD59:$BN59)=0,IF(_xlpm.CheckBlank,"",SUM(_xlfn.TAKE(_xlfn.DROP(PL!$AD59:$BN59,,-DATEDIFF(PL!CK$11,val_asOfDate,"M")),1,-12))))</f>
        <v/>
      </c>
      <c r="CL59" s="88"/>
      <c r="CM59" s="1556" t="e" cm="1">
        <f t="array" ca="1" aca="1" ref="CM59">IF($F59="",val_blankRefText,N(_xldudf_CX_GET(CX_ENTITY,$F59,CM$11,CM$14,,(CM$19)))/fxVal_normal*fxVal_sign($A59))</f>
        <v>#NAME?</v>
      </c>
      <c r="CN59" s="1556" t="e" cm="1">
        <f t="array" ca="1" aca="1" ref="CN59">IF($F59="",val_blankRefText,N(_xldudf_CX_GET(CX_ENTITY,$F59,CN$11,CN$14,,(CN$19)))/fxVal_normal*fxVal_sign($A59))</f>
        <v>#NAME?</v>
      </c>
      <c r="CO59" s="88"/>
      <c r="CP59" s="1650" t="e" cm="1">
        <f t="array" ca="1" aca="1" ref="CP59">IF($F59="",val_blankRefText,N(_xldudf_CX_GET(CX_ENTITY,fx_attrConverter($F59),CP$11,CP$14,,(CP$19)))/fxVal_normal*fxVal_sign($A59))</f>
        <v>#NAME?</v>
      </c>
      <c r="CQ59" s="1651" t="e" cm="1">
        <f t="array" ca="1" aca="1" ref="CQ59">IF($F59="",val_blankRefText,N(_xldudf_CX_GET(CX_ENTITY,$F59,CQ$11,CQ$14,,(CQ$19)))/fxVal_normal*fxVal_sign($A59))</f>
        <v>#NAME?</v>
      </c>
      <c r="CR59" s="34"/>
    </row>
    <row r="60" spans="1:96" ht="21" customHeight="1" outlineLevel="2">
      <c r="A60" s="1322"/>
      <c r="B60" s="2128" t="s">
        <v>1584</v>
      </c>
      <c r="C60" s="577" t="s">
        <v>1585</v>
      </c>
      <c r="D60" s="1079"/>
      <c r="E60" s="1615" t="e" cm="1">
        <f t="array" ca="1" aca="1" ref="E60">_xlfn.LET(_xlpm.Attr,$C60,_xlpm.Lookback,$E$16,_xlpm.QueryDate,EOMONTH(val_asOfDate,_xlpm.Lookback),_xlpm.ReadField,_xldudf_CX_GET(CX_ENTITY,fx_attrConverter($C60),_xlpm.QueryDate),_xlpm.AttrBlank,_xlpm.Attr="",_xlpm.RESULT,IF(_xlpm.AttrBlank,val_blankRefText,fx_attrConverter(_xlpm.ReadField,0)),IF(_xlpm.RESULT="Error","",_xlpm.RESULT))</f>
        <v>#NAME?</v>
      </c>
      <c r="F60" s="577" t="str">
        <f t="shared" si="11"/>
        <v>Custom Metric Amount 4 [Calculated]</v>
      </c>
      <c r="G60" s="577" t="s">
        <v>1579</v>
      </c>
      <c r="H60" s="3280">
        <v>1</v>
      </c>
      <c r="I60" s="3280">
        <v>1</v>
      </c>
      <c r="J60" s="401"/>
      <c r="K60" s="401"/>
      <c r="L60" s="579" t="b">
        <v>0</v>
      </c>
      <c r="N60" s="158"/>
      <c r="O60" s="101"/>
      <c r="P60" s="52"/>
      <c r="Q60" s="101"/>
      <c r="R60" s="539"/>
      <c r="S60" s="101"/>
      <c r="T60" s="101"/>
      <c r="U60" s="39"/>
      <c r="W60" s="91" t="str">
        <f>_PL!$W$17</f>
        <v>Actual</v>
      </c>
      <c r="X60" s="2370" t="e" cm="1">
        <f t="array" ca="1" aca="1" ref="X60">_xlfn.LET(_xlpm.toPass,$E60="",_xlpm.hasParts,ISNUMBER(SEARCH("|",$E60)),_xlpm.Part1,INDEX(_xlfn.TEXTSPLIT($E60,"|",,FALSE,1),1),_xlpm.Part1Num,IFERROR(_xlfn.NUMBERVALUE(_xlpm.Part1),_xlpm.Part1),_xlfn.SWITCH(TRUE,_xlpm.toPass,"",_xlpm.hasParts,_xlpm.Part1Num,$E60))</f>
        <v>#NAME?</v>
      </c>
      <c r="Y60" s="590" t="e" cm="1">
        <f t="array" ca="1" aca="1" ref="Y60">_xlfn.LET(_xlpm.PackedString,E60,IF(_xlpm.PackedString="","",IF(ISNUMBER(SEARCH("|",_xlpm.PackedString)),INDEX(_xlfn.TEXTSPLIT(_xlpm.PackedString,"|",,FALSE),2),_xlpm.PackedString)))</f>
        <v>#NAME?</v>
      </c>
      <c r="Z60" s="198" t="e">
        <f ca="1" t="shared" si="12" ref="Z60:Z66">IF(Y60="","",0)</f>
        <v>#NAME?</v>
      </c>
      <c r="AA60" s="128"/>
      <c r="AB60" s="709" t="e" cm="1">
        <f t="array" ca="1" aca="1" ref="AB60">_xlfn.LET(_xlpm.PackedString,E60,IF(_xlpm.PackedString="","",IF(ISNUMBER(SEARCH("|",_xlpm.PackedString)),INDEX(_xlfn.TEXTSPLIT(_xlpm.PackedString,"|",,FALSE),3),_xlpm.PackedString)))</f>
        <v>#NAME?</v>
      </c>
      <c r="AC60" s="200" t="str" cm="1">
        <f t="array" ca="1" aca="1" ref="AC60">_xlfn.LET(_xlpm.Def,IF(_xlfn.XMATCH(AB60,tbl_acctDef[Term],0)&gt;0,fx_getIcon("find"),""),_xlpm.Adj,IF(_xlfn.XMATCH(AB60,tbl_adjExample[Items],0)&gt;0,fx_getIcon("find"),""),IFERROR(IFBLANK(_xlpm.Def,_xlpm.Adj),""))</f>
        <v/>
      </c>
      <c r="AD60" s="1669" t="e" cm="1">
        <f t="array" ca="1" aca="1" ref="AD60">_xlfn.LET(_xlpm.val,IF($F60="",val_blankRefText,_xldudf_CX_GET(CX_ENTITY,$F60,AD$11,AD$14,,(AD$19))),_xlpm.Res,IF(OR(_xlpm.val="",_xlpm.val="Error"),"",_xlpm.val),_xlpm.Res)</f>
        <v>#NAME?</v>
      </c>
      <c r="AE60" s="1669" t="e" cm="1">
        <f t="array" ca="1" aca="1" ref="AE60">_xlfn.LET(_xlpm.val,IF($F60="",val_blankRefText,_xldudf_CX_GET(CX_ENTITY,$F60,AE$11,AE$14,,(AE$19))),_xlpm.Res,IF(OR(_xlpm.val="",_xlpm.val="Error"),"",_xlpm.val),_xlpm.Res)</f>
        <v>#NAME?</v>
      </c>
      <c r="AF60" s="1669" t="e" cm="1">
        <f t="array" ca="1" aca="1" ref="AF60">_xlfn.LET(_xlpm.val,IF($F60="",val_blankRefText,_xldudf_CX_GET(CX_ENTITY,$F60,AF$11,AF$14,,(AF$19))),_xlpm.Res,IF(OR(_xlpm.val="",_xlpm.val="Error"),"",_xlpm.val),_xlpm.Res)</f>
        <v>#NAME?</v>
      </c>
      <c r="AG60" s="1669" t="e" cm="1">
        <f t="array" ca="1" aca="1" ref="AG60">_xlfn.LET(_xlpm.val,IF($F60="",val_blankRefText,_xldudf_CX_GET(CX_ENTITY,$F60,AG$11,AG$14,,(AG$19))),_xlpm.Res,IF(OR(_xlpm.val="",_xlpm.val="Error"),"",_xlpm.val),_xlpm.Res)</f>
        <v>#NAME?</v>
      </c>
      <c r="AH60" s="1669" t="e" cm="1">
        <f t="array" ca="1" aca="1" ref="AH60">_xlfn.LET(_xlpm.val,IF($F60="",val_blankRefText,_xldudf_CX_GET(CX_ENTITY,$F60,AH$11,AH$14,,(AH$19))),_xlpm.Res,IF(OR(_xlpm.val="",_xlpm.val="Error"),"",_xlpm.val),_xlpm.Res)</f>
        <v>#NAME?</v>
      </c>
      <c r="AI60" s="1669" t="e" cm="1">
        <f t="array" ca="1" aca="1" ref="AI60">_xlfn.LET(_xlpm.val,IF($F60="",val_blankRefText,_xldudf_CX_GET(CX_ENTITY,$F60,AI$11,AI$14,,(AI$19))),_xlpm.Res,IF(OR(_xlpm.val="",_xlpm.val="Error"),"",_xlpm.val),_xlpm.Res)</f>
        <v>#NAME?</v>
      </c>
      <c r="AJ60" s="1669" t="e" cm="1">
        <f t="array" ca="1" aca="1" ref="AJ60">_xlfn.LET(_xlpm.val,IF($F60="",val_blankRefText,_xldudf_CX_GET(CX_ENTITY,$F60,AJ$11,AJ$14,,(AJ$19))),_xlpm.Res,IF(OR(_xlpm.val="",_xlpm.val="Error"),"",_xlpm.val),_xlpm.Res)</f>
        <v>#NAME?</v>
      </c>
      <c r="AK60" s="1669" t="e" cm="1">
        <f t="array" ca="1" aca="1" ref="AK60">_xlfn.LET(_xlpm.val,IF($F60="",val_blankRefText,_xldudf_CX_GET(CX_ENTITY,$F60,AK$11,AK$14,,(AK$19))),_xlpm.Res,IF(OR(_xlpm.val="",_xlpm.val="Error"),"",_xlpm.val),_xlpm.Res)</f>
        <v>#NAME?</v>
      </c>
      <c r="AL60" s="1669" t="e" cm="1">
        <f t="array" ca="1" aca="1" ref="AL60">_xlfn.LET(_xlpm.val,IF($F60="",val_blankRefText,_xldudf_CX_GET(CX_ENTITY,$F60,AL$11,AL$14,,(AL$19))),_xlpm.Res,IF(OR(_xlpm.val="",_xlpm.val="Error"),"",_xlpm.val),_xlpm.Res)</f>
        <v>#NAME?</v>
      </c>
      <c r="AM60" s="1669" t="e" cm="1">
        <f t="array" ca="1" aca="1" ref="AM60">_xlfn.LET(_xlpm.val,IF($F60="",val_blankRefText,_xldudf_CX_GET(CX_ENTITY,$F60,AM$11,AM$14,,(AM$19))),_xlpm.Res,IF(OR(_xlpm.val="",_xlpm.val="Error"),"",_xlpm.val),_xlpm.Res)</f>
        <v>#NAME?</v>
      </c>
      <c r="AN60" s="1669" t="e" cm="1">
        <f t="array" ca="1" aca="1" ref="AN60">_xlfn.LET(_xlpm.val,IF($F60="",val_blankRefText,_xldudf_CX_GET(CX_ENTITY,$F60,AN$11,AN$14,,(AN$19))),_xlpm.Res,IF(OR(_xlpm.val="",_xlpm.val="Error"),"",_xlpm.val),_xlpm.Res)</f>
        <v>#NAME?</v>
      </c>
      <c r="AO60" s="1669" t="e" cm="1">
        <f t="array" ca="1" aca="1" ref="AO60">_xlfn.LET(_xlpm.val,IF($F60="",val_blankRefText,_xldudf_CX_GET(CX_ENTITY,$F60,AO$11,AO$14,,(AO$19))),_xlpm.Res,IF(OR(_xlpm.val="",_xlpm.val="Error"),"",_xlpm.val),_xlpm.Res)</f>
        <v>#NAME?</v>
      </c>
      <c r="AP60" s="1669" t="e" cm="1">
        <f t="array" ca="1" aca="1" ref="AP60">_xlfn.LET(_xlpm.val,IF($F60="",val_blankRefText,_xldudf_CX_GET(CX_ENTITY,$F60,AP$11,AP$14,,(AP$19))),_xlpm.Res,IF(OR(_xlpm.val="",_xlpm.val="Error"),"",_xlpm.val),_xlpm.Res)</f>
        <v>#NAME?</v>
      </c>
      <c r="AQ60" s="1669" t="e" cm="1">
        <f t="array" ca="1" aca="1" ref="AQ60">_xlfn.LET(_xlpm.val,IF($F60="",val_blankRefText,_xldudf_CX_GET(CX_ENTITY,$F60,AQ$11,AQ$14,,(AQ$19))),_xlpm.Res,IF(OR(_xlpm.val="",_xlpm.val="Error"),"",_xlpm.val),_xlpm.Res)</f>
        <v>#NAME?</v>
      </c>
      <c r="AR60" s="1669" t="e" cm="1">
        <f t="array" ca="1" aca="1" ref="AR60">_xlfn.LET(_xlpm.val,IF($F60="",val_blankRefText,_xldudf_CX_GET(CX_ENTITY,$F60,AR$11,AR$14,,(AR$19))),_xlpm.Res,IF(OR(_xlpm.val="",_xlpm.val="Error"),"",_xlpm.val),_xlpm.Res)</f>
        <v>#NAME?</v>
      </c>
      <c r="AS60" s="1669" t="e" cm="1">
        <f t="array" ca="1" aca="1" ref="AS60">_xlfn.LET(_xlpm.val,IF($F60="",val_blankRefText,_xldudf_CX_GET(CX_ENTITY,$F60,AS$11,AS$14,,(AS$19))),_xlpm.Res,IF(OR(_xlpm.val="",_xlpm.val="Error"),"",_xlpm.val),_xlpm.Res)</f>
        <v>#NAME?</v>
      </c>
      <c r="AT60" s="1669" t="e" cm="1">
        <f t="array" ca="1" aca="1" ref="AT60">_xlfn.LET(_xlpm.val,IF($F60="",val_blankRefText,_xldudf_CX_GET(CX_ENTITY,$F60,AT$11,AT$14,,(AT$19))),_xlpm.Res,IF(OR(_xlpm.val="",_xlpm.val="Error"),"",_xlpm.val),_xlpm.Res)</f>
        <v>#NAME?</v>
      </c>
      <c r="AU60" s="1669" t="e" cm="1">
        <f t="array" ca="1" aca="1" ref="AU60">_xlfn.LET(_xlpm.val,IF($F60="",val_blankRefText,_xldudf_CX_GET(CX_ENTITY,$F60,AU$11,AU$14,,(AU$19))),_xlpm.Res,IF(OR(_xlpm.val="",_xlpm.val="Error"),"",_xlpm.val),_xlpm.Res)</f>
        <v>#NAME?</v>
      </c>
      <c r="AV60" s="1669" t="e" cm="1">
        <f t="array" ca="1" aca="1" ref="AV60">_xlfn.LET(_xlpm.val,IF($F60="",val_blankRefText,_xldudf_CX_GET(CX_ENTITY,$F60,AV$11,AV$14,,(AV$19))),_xlpm.Res,IF(OR(_xlpm.val="",_xlpm.val="Error"),"",_xlpm.val),_xlpm.Res)</f>
        <v>#NAME?</v>
      </c>
      <c r="AW60" s="1669" t="e" cm="1">
        <f t="array" ca="1" aca="1" ref="AW60">_xlfn.LET(_xlpm.val,IF($F60="",val_blankRefText,_xldudf_CX_GET(CX_ENTITY,$F60,AW$11,AW$14,,(AW$19))),_xlpm.Res,IF(OR(_xlpm.val="",_xlpm.val="Error"),"",_xlpm.val),_xlpm.Res)</f>
        <v>#NAME?</v>
      </c>
      <c r="AX60" s="1669" t="e" cm="1">
        <f t="array" ca="1" aca="1" ref="AX60">_xlfn.LET(_xlpm.val,IF($F60="",val_blankRefText,_xldudf_CX_GET(CX_ENTITY,$F60,AX$11,AX$14,,(AX$19))),_xlpm.Res,IF(OR(_xlpm.val="",_xlpm.val="Error"),"",_xlpm.val),_xlpm.Res)</f>
        <v>#NAME?</v>
      </c>
      <c r="AY60" s="1669" t="e" cm="1">
        <f t="array" ca="1" aca="1" ref="AY60">_xlfn.LET(_xlpm.val,IF($F60="",val_blankRefText,_xldudf_CX_GET(CX_ENTITY,$F60,AY$11,AY$14,,(AY$19))),_xlpm.Res,IF(OR(_xlpm.val="",_xlpm.val="Error"),"",_xlpm.val),_xlpm.Res)</f>
        <v>#NAME?</v>
      </c>
      <c r="AZ60" s="1669" t="e" cm="1">
        <f t="array" ca="1" aca="1" ref="AZ60">_xlfn.LET(_xlpm.val,IF($F60="",val_blankRefText,_xldudf_CX_GET(CX_ENTITY,$F60,AZ$11,AZ$14,,(AZ$19))),_xlpm.Res,IF(OR(_xlpm.val="",_xlpm.val="Error"),"",_xlpm.val),_xlpm.Res)</f>
        <v>#NAME?</v>
      </c>
      <c r="BA60" s="1669" t="e" cm="1">
        <f t="array" ca="1" aca="1" ref="BA60">_xlfn.LET(_xlpm.val,IF($F60="",val_blankRefText,_xldudf_CX_GET(CX_ENTITY,$F60,BA$11,BA$14,,(BA$19))),_xlpm.Res,IF(OR(_xlpm.val="",_xlpm.val="Error"),"",_xlpm.val),_xlpm.Res)</f>
        <v>#NAME?</v>
      </c>
      <c r="BB60" s="1669" t="e" cm="1">
        <f t="array" ca="1" aca="1" ref="BB60">_xlfn.LET(_xlpm.val,IF($F60="",val_blankRefText,_xldudf_CX_GET(CX_ENTITY,$F60,BB$11,BB$14,,(BB$19))),_xlpm.Res,IF(OR(_xlpm.val="",_xlpm.val="Error"),"",_xlpm.val),_xlpm.Res)</f>
        <v>#NAME?</v>
      </c>
      <c r="BC60" s="1669" t="e" cm="1">
        <f t="array" ca="1" aca="1" ref="BC60">_xlfn.LET(_xlpm.val,IF($F60="",val_blankRefText,_xldudf_CX_GET(CX_ENTITY,$F60,BC$11,BC$14,,(BC$19))),_xlpm.Res,IF(OR(_xlpm.val="",_xlpm.val="Error"),"",_xlpm.val),_xlpm.Res)</f>
        <v>#NAME?</v>
      </c>
      <c r="BD60" s="1669" t="e" cm="1">
        <f t="array" ca="1" aca="1" ref="BD60">_xlfn.LET(_xlpm.val,IF($F60="",val_blankRefText,_xldudf_CX_GET(CX_ENTITY,$F60,BD$11,BD$14,,(BD$19))),_xlpm.Res,IF(OR(_xlpm.val="",_xlpm.val="Error"),"",_xlpm.val),_xlpm.Res)</f>
        <v>#NAME?</v>
      </c>
      <c r="BE60" s="1669" t="e" cm="1">
        <f t="array" ca="1" aca="1" ref="BE60">_xlfn.LET(_xlpm.val,IF($F60="",val_blankRefText,_xldudf_CX_GET(CX_ENTITY,$F60,BE$11,BE$14,,(BE$19))),_xlpm.Res,IF(OR(_xlpm.val="",_xlpm.val="Error"),"",_xlpm.val),_xlpm.Res)</f>
        <v>#NAME?</v>
      </c>
      <c r="BF60" s="1669" t="e" cm="1">
        <f t="array" ca="1" aca="1" ref="BF60">_xlfn.LET(_xlpm.val,IF($F60="",val_blankRefText,_xldudf_CX_GET(CX_ENTITY,$F60,BF$11,BF$14,,(BF$19))),_xlpm.Res,IF(OR(_xlpm.val="",_xlpm.val="Error"),"",_xlpm.val),_xlpm.Res)</f>
        <v>#NAME?</v>
      </c>
      <c r="BG60" s="1669" t="e" cm="1">
        <f t="array" ca="1" aca="1" ref="BG60">_xlfn.LET(_xlpm.val,IF($F60="",val_blankRefText,_xldudf_CX_GET(CX_ENTITY,$F60,BG$11,BG$14,,(BG$19))),_xlpm.Res,IF(OR(_xlpm.val="",_xlpm.val="Error"),"",_xlpm.val),_xlpm.Res)</f>
        <v>#NAME?</v>
      </c>
      <c r="BH60" s="1669" t="e" cm="1">
        <f t="array" ca="1" aca="1" ref="BH60">_xlfn.LET(_xlpm.val,IF($F60="",val_blankRefText,_xldudf_CX_GET(CX_ENTITY,$F60,BH$11,BH$14,,(BH$19))),_xlpm.Res,IF(OR(_xlpm.val="",_xlpm.val="Error"),"",_xlpm.val),_xlpm.Res)</f>
        <v>#NAME?</v>
      </c>
      <c r="BI60" s="1669" t="e" cm="1">
        <f t="array" ca="1" aca="1" ref="BI60">_xlfn.LET(_xlpm.val,IF($F60="",val_blankRefText,_xldudf_CX_GET(CX_ENTITY,$F60,BI$11,BI$14,,(BI$19))),_xlpm.Res,IF(OR(_xlpm.val="",_xlpm.val="Error"),"",_xlpm.val),_xlpm.Res)</f>
        <v>#NAME?</v>
      </c>
      <c r="BJ60" s="1669" t="e" cm="1">
        <f t="array" ca="1" aca="1" ref="BJ60">_xlfn.LET(_xlpm.val,IF($F60="",val_blankRefText,_xldudf_CX_GET(CX_ENTITY,$F60,BJ$11,BJ$14,,(BJ$19))),_xlpm.Res,IF(OR(_xlpm.val="",_xlpm.val="Error"),"",_xlpm.val),_xlpm.Res)</f>
        <v>#NAME?</v>
      </c>
      <c r="BK60" s="1669" t="e" cm="1">
        <f t="array" ca="1" aca="1" ref="BK60">_xlfn.LET(_xlpm.val,IF($F60="",val_blankRefText,_xldudf_CX_GET(CX_ENTITY,$F60,BK$11,BK$14,,(BK$19))),_xlpm.Res,IF(OR(_xlpm.val="",_xlpm.val="Error"),"",_xlpm.val),_xlpm.Res)</f>
        <v>#NAME?</v>
      </c>
      <c r="BL60" s="1669" t="e" cm="1">
        <f t="array" ca="1" aca="1" ref="BL60">_xlfn.LET(_xlpm.val,IF($F60="",val_blankRefText,_xldudf_CX_GET(CX_ENTITY,$F60,BL$11,BL$14,,(BL$19))),_xlpm.Res,IF(OR(_xlpm.val="",_xlpm.val="Error"),"",_xlpm.val),_xlpm.Res)</f>
        <v>#NAME?</v>
      </c>
      <c r="BM60" s="1669" t="e" cm="1">
        <f t="array" ca="1" aca="1" ref="BM60">_xlfn.LET(_xlpm.val,IF($F60="",val_blankRefText,_xldudf_CX_GET(CX_ENTITY,$F60,BM$11,BM$14,,(BM$19))),_xlpm.Res,IF(OR(_xlpm.val="",_xlpm.val="Error"),"",_xlpm.val),_xlpm.Res)</f>
        <v>#NAME?</v>
      </c>
      <c r="BN60" s="1669" t="e" cm="1">
        <f t="array" ca="1" aca="1" ref="BN60">_xlfn.LET(_xlpm.val,IF($F60="",val_blankRefText,_xldudf_CX_GET(CX_ENTITY,$F60,BN$11,BN$14,,(BN$19))),_xlpm.Res,IF(OR(_xlpm.val="",_xlpm.val="Error"),"",_xlpm.val),_xlpm.Res)</f>
        <v>#NAME?</v>
      </c>
      <c r="BO60" s="2095"/>
      <c r="BP60" s="2095"/>
      <c r="BQ60" s="2095"/>
      <c r="BR60" s="2095"/>
      <c r="BS60" s="2095"/>
      <c r="BT60" s="2095"/>
      <c r="BU60" s="2095"/>
      <c r="BV60" s="2095"/>
      <c r="BW60" s="2095"/>
      <c r="BX60" s="2095"/>
      <c r="BY60" s="2095"/>
      <c r="BZ60" s="2095"/>
      <c r="CA60" s="34"/>
      <c r="CC60" s="33"/>
      <c r="CD60" s="1461" t="str" cm="1">
        <f t="array" ref="CD60">_xlfn.LET(_xlpm.CheckBlank,SUM(PL!$AD60:PL!$BN60)=0,IF(_xlpm.CheckBlank,"",SUM(_xlfn._xlws.FILTER(PL!$AD60:$BN60,(YEAR(PL!$AD$12:$BN$12)=PL!CD$12)*(array_timeline&lt;=PL!CD$11)))))</f>
        <v/>
      </c>
      <c r="CE60" s="1461" t="str" cm="1">
        <f t="array" ref="CE60">_xlfn.LET(_xlpm.CheckBlank,SUM(PL!$AD60:PL!$BN60)=0,IF(_xlpm.CheckBlank,"",SUM(_xlfn._xlws.FILTER(PL!$AD60:$BN60,(YEAR(PL!$AD$12:$BN$12)=PL!CE$12)*(array_timeline&lt;=PL!CE$11)))))</f>
        <v/>
      </c>
      <c r="CF60" s="88"/>
      <c r="CG60" s="1461" t="str" cm="1">
        <f t="array" ref="CG60">_xlfn.LET(_xlpm.CheckBlank,SUM(PL!$AD60:$BN60)=0,IF(_xlpm.CheckBlank,"",SUM(_xlfn._xlws.FILTER(PL!$AD60:$BN60,(YEAR(PL!$AD$12:$BN$12)=PL!CG$12)*(array_timeline&lt;=PL!CG$11)))))</f>
        <v/>
      </c>
      <c r="CH60" s="1461" t="str" cm="1">
        <f t="array" ref="CH60">_xlfn.LET(_xlpm.CheckBlank,SUM(PL!$AD60:$BN60)=0,IF(_xlpm.CheckBlank,"",SUM(_xlfn._xlws.FILTER(PL!$AD60:$BN60,(YEAR(PL!$AD$12:$BN$12)=PL!CH$12)*(array_timeline&lt;=PL!CH$11)))))</f>
        <v/>
      </c>
      <c r="CI60" s="88"/>
      <c r="CJ60" s="1461" t="str" cm="1">
        <f t="array" ref="CJ60">_xlfn.LET(_xlpm.CheckBlank,SUM(PL!$AD60:$BN60)=0,IF(_xlpm.CheckBlank,"",SUM(_xlfn.TAKE(_xlfn.DROP(PL!$AD60:$BN60,,-DATEDIFF(PL!CJ$11,val_asOfDate,"M")),1,-12))))</f>
        <v/>
      </c>
      <c r="CK60" s="1461" t="str" cm="1">
        <f t="array" ref="CK60">_xlfn.LET(_xlpm.CheckBlank,SUM(PL!$AD60:$BN60)=0,IF(_xlpm.CheckBlank,"",SUM(_xlfn.TAKE(_xlfn.DROP(PL!$AD60:$BN60,,-DATEDIFF(PL!CK$11,val_asOfDate,"M")),1,-12))))</f>
        <v/>
      </c>
      <c r="CL60" s="88"/>
      <c r="CM60" s="1556" t="e" cm="1">
        <f t="array" ca="1" aca="1" ref="CM60">IF($F60="",val_blankRefText,N(_xldudf_CX_GET(CX_ENTITY,$F60,CM$11,CM$14,,(CM$19)))/fxVal_normal*fxVal_sign($A60))</f>
        <v>#NAME?</v>
      </c>
      <c r="CN60" s="1556" t="e" cm="1">
        <f t="array" ca="1" aca="1" ref="CN60">IF($F60="",val_blankRefText,N(_xldudf_CX_GET(CX_ENTITY,$F60,CN$11,CN$14,,(CN$19)))/fxVal_normal*fxVal_sign($A60))</f>
        <v>#NAME?</v>
      </c>
      <c r="CO60" s="88"/>
      <c r="CP60" s="1650" t="e" cm="1">
        <f t="array" ca="1" aca="1" ref="CP60">IF($F60="",val_blankRefText,N(_xldudf_CX_GET(CX_ENTITY,fx_attrConverter($F60),CP$11,CP$14,,(CP$19)))/fxVal_normal*fxVal_sign($A60))</f>
        <v>#NAME?</v>
      </c>
      <c r="CQ60" s="1651" t="e" cm="1">
        <f t="array" ca="1" aca="1" ref="CQ60">IF($F60="",val_blankRefText,N(_xldudf_CX_GET(CX_ENTITY,$F60,CQ$11,CQ$14,,(CQ$19)))/fxVal_normal*fxVal_sign($A60))</f>
        <v>#NAME?</v>
      </c>
      <c r="CR60" s="34"/>
    </row>
    <row r="61" spans="1:96" ht="21" customHeight="1" outlineLevel="2">
      <c r="A61" s="1322"/>
      <c r="B61" s="2128" t="s">
        <v>1586</v>
      </c>
      <c r="C61" s="577" t="s">
        <v>1587</v>
      </c>
      <c r="D61" s="1079"/>
      <c r="E61" s="1615" t="e" cm="1">
        <f t="array" ca="1" aca="1" ref="E61">_xlfn.LET(_xlpm.Attr,$C61,_xlpm.Lookback,$E$16,_xlpm.QueryDate,EOMONTH(val_asOfDate,_xlpm.Lookback),_xlpm.ReadField,_xldudf_CX_GET(CX_ENTITY,fx_attrConverter($C61),_xlpm.QueryDate),_xlpm.AttrBlank,_xlpm.Attr="",_xlpm.RESULT,IF(_xlpm.AttrBlank,val_blankRefText,fx_attrConverter(_xlpm.ReadField,0)),IF(_xlpm.RESULT="Error","",_xlpm.RESULT))</f>
        <v>#NAME?</v>
      </c>
      <c r="F61" s="577" t="str">
        <f t="shared" si="11"/>
        <v>Custom Metric Amount 5 [Calculated]</v>
      </c>
      <c r="G61" s="577" t="s">
        <v>1579</v>
      </c>
      <c r="H61" s="3280">
        <v>1</v>
      </c>
      <c r="I61" s="3280">
        <v>1</v>
      </c>
      <c r="J61" s="401"/>
      <c r="K61" s="401"/>
      <c r="L61" s="579" t="b">
        <v>0</v>
      </c>
      <c r="N61" s="158"/>
      <c r="O61" s="101"/>
      <c r="P61" s="52"/>
      <c r="Q61" s="101"/>
      <c r="R61" s="539"/>
      <c r="S61" s="101"/>
      <c r="T61" s="101"/>
      <c r="U61" s="39"/>
      <c r="W61" s="91" t="str">
        <f>_PL!$W$17</f>
        <v>Actual</v>
      </c>
      <c r="X61" s="2370" t="e" cm="1">
        <f t="array" ca="1" aca="1" ref="X61">_xlfn.LET(_xlpm.toPass,$E61="",_xlpm.hasParts,ISNUMBER(SEARCH("|",$E61)),_xlpm.Part1,INDEX(_xlfn.TEXTSPLIT($E61,"|",,FALSE,1),1),_xlpm.Part1Num,IFERROR(_xlfn.NUMBERVALUE(_xlpm.Part1),_xlpm.Part1),_xlfn.SWITCH(TRUE,_xlpm.toPass,"",_xlpm.hasParts,_xlpm.Part1Num,$E61))</f>
        <v>#NAME?</v>
      </c>
      <c r="Y61" s="590" t="e" cm="1">
        <f t="array" ca="1" aca="1" ref="Y61">_xlfn.LET(_xlpm.PackedString,E61,IF(_xlpm.PackedString="","",IF(ISNUMBER(SEARCH("|",_xlpm.PackedString)),INDEX(_xlfn.TEXTSPLIT(_xlpm.PackedString,"|",,FALSE),2),_xlpm.PackedString)))</f>
        <v>#NAME?</v>
      </c>
      <c r="Z61" s="198" t="e">
        <f t="shared" ca="1" si="12"/>
        <v>#NAME?</v>
      </c>
      <c r="AA61" s="200"/>
      <c r="AB61" s="709" t="e" cm="1">
        <f t="array" ca="1" aca="1" ref="AB61">_xlfn.LET(_xlpm.PackedString,E61,IF(_xlpm.PackedString="","",IF(ISNUMBER(SEARCH("|",_xlpm.PackedString)),INDEX(_xlfn.TEXTSPLIT(_xlpm.PackedString,"|",,FALSE),3),_xlpm.PackedString)))</f>
        <v>#NAME?</v>
      </c>
      <c r="AC61" s="200" t="str" cm="1">
        <f t="array" ca="1" aca="1" ref="AC61">_xlfn.LET(_xlpm.Def,IF(_xlfn.XMATCH(AB61,tbl_acctDef[Term],0)&gt;0,fx_getIcon("find"),""),_xlpm.Adj,IF(_xlfn.XMATCH(AB61,tbl_adjExample[Items],0)&gt;0,fx_getIcon("find"),""),IFERROR(IFBLANK(_xlpm.Def,_xlpm.Adj),""))</f>
        <v/>
      </c>
      <c r="AD61" s="1669" t="e" cm="1">
        <f t="array" ca="1" aca="1" ref="AD61">_xlfn.LET(_xlpm.val,IF($F61="",val_blankRefText,_xldudf_CX_GET(CX_ENTITY,$F61,AD$11,AD$14,,(AD$19))),_xlpm.Res,IF(OR(_xlpm.val="",_xlpm.val="Error"),"",_xlpm.val),_xlpm.Res)</f>
        <v>#NAME?</v>
      </c>
      <c r="AE61" s="1669" t="e" cm="1">
        <f t="array" ca="1" aca="1" ref="AE61">_xlfn.LET(_xlpm.val,IF($F61="",val_blankRefText,_xldudf_CX_GET(CX_ENTITY,$F61,AE$11,AE$14,,(AE$19))),_xlpm.Res,IF(OR(_xlpm.val="",_xlpm.val="Error"),"",_xlpm.val),_xlpm.Res)</f>
        <v>#NAME?</v>
      </c>
      <c r="AF61" s="1669" t="e" cm="1">
        <f t="array" ca="1" aca="1" ref="AF61">_xlfn.LET(_xlpm.val,IF($F61="",val_blankRefText,_xldudf_CX_GET(CX_ENTITY,$F61,AF$11,AF$14,,(AF$19))),_xlpm.Res,IF(OR(_xlpm.val="",_xlpm.val="Error"),"",_xlpm.val),_xlpm.Res)</f>
        <v>#NAME?</v>
      </c>
      <c r="AG61" s="1669" t="e" cm="1">
        <f t="array" ca="1" aca="1" ref="AG61">_xlfn.LET(_xlpm.val,IF($F61="",val_blankRefText,_xldudf_CX_GET(CX_ENTITY,$F61,AG$11,AG$14,,(AG$19))),_xlpm.Res,IF(OR(_xlpm.val="",_xlpm.val="Error"),"",_xlpm.val),_xlpm.Res)</f>
        <v>#NAME?</v>
      </c>
      <c r="AH61" s="1669" t="e" cm="1">
        <f t="array" ca="1" aca="1" ref="AH61">_xlfn.LET(_xlpm.val,IF($F61="",val_blankRefText,_xldudf_CX_GET(CX_ENTITY,$F61,AH$11,AH$14,,(AH$19))),_xlpm.Res,IF(OR(_xlpm.val="",_xlpm.val="Error"),"",_xlpm.val),_xlpm.Res)</f>
        <v>#NAME?</v>
      </c>
      <c r="AI61" s="1669" t="e" cm="1">
        <f t="array" ca="1" aca="1" ref="AI61">_xlfn.LET(_xlpm.val,IF($F61="",val_blankRefText,_xldudf_CX_GET(CX_ENTITY,$F61,AI$11,AI$14,,(AI$19))),_xlpm.Res,IF(OR(_xlpm.val="",_xlpm.val="Error"),"",_xlpm.val),_xlpm.Res)</f>
        <v>#NAME?</v>
      </c>
      <c r="AJ61" s="1669" t="e" cm="1">
        <f t="array" ca="1" aca="1" ref="AJ61">_xlfn.LET(_xlpm.val,IF($F61="",val_blankRefText,_xldudf_CX_GET(CX_ENTITY,$F61,AJ$11,AJ$14,,(AJ$19))),_xlpm.Res,IF(OR(_xlpm.val="",_xlpm.val="Error"),"",_xlpm.val),_xlpm.Res)</f>
        <v>#NAME?</v>
      </c>
      <c r="AK61" s="1669" t="e" cm="1">
        <f t="array" ca="1" aca="1" ref="AK61">_xlfn.LET(_xlpm.val,IF($F61="",val_blankRefText,_xldudf_CX_GET(CX_ENTITY,$F61,AK$11,AK$14,,(AK$19))),_xlpm.Res,IF(OR(_xlpm.val="",_xlpm.val="Error"),"",_xlpm.val),_xlpm.Res)</f>
        <v>#NAME?</v>
      </c>
      <c r="AL61" s="1669" t="e" cm="1">
        <f t="array" ca="1" aca="1" ref="AL61">_xlfn.LET(_xlpm.val,IF($F61="",val_blankRefText,_xldudf_CX_GET(CX_ENTITY,$F61,AL$11,AL$14,,(AL$19))),_xlpm.Res,IF(OR(_xlpm.val="",_xlpm.val="Error"),"",_xlpm.val),_xlpm.Res)</f>
        <v>#NAME?</v>
      </c>
      <c r="AM61" s="1669" t="e" cm="1">
        <f t="array" ca="1" aca="1" ref="AM61">_xlfn.LET(_xlpm.val,IF($F61="",val_blankRefText,_xldudf_CX_GET(CX_ENTITY,$F61,AM$11,AM$14,,(AM$19))),_xlpm.Res,IF(OR(_xlpm.val="",_xlpm.val="Error"),"",_xlpm.val),_xlpm.Res)</f>
        <v>#NAME?</v>
      </c>
      <c r="AN61" s="1669" t="e" cm="1">
        <f t="array" ca="1" aca="1" ref="AN61">_xlfn.LET(_xlpm.val,IF($F61="",val_blankRefText,_xldudf_CX_GET(CX_ENTITY,$F61,AN$11,AN$14,,(AN$19))),_xlpm.Res,IF(OR(_xlpm.val="",_xlpm.val="Error"),"",_xlpm.val),_xlpm.Res)</f>
        <v>#NAME?</v>
      </c>
      <c r="AO61" s="1669" t="e" cm="1">
        <f t="array" ca="1" aca="1" ref="AO61">_xlfn.LET(_xlpm.val,IF($F61="",val_blankRefText,_xldudf_CX_GET(CX_ENTITY,$F61,AO$11,AO$14,,(AO$19))),_xlpm.Res,IF(OR(_xlpm.val="",_xlpm.val="Error"),"",_xlpm.val),_xlpm.Res)</f>
        <v>#NAME?</v>
      </c>
      <c r="AP61" s="1669" t="e" cm="1">
        <f t="array" ca="1" aca="1" ref="AP61">_xlfn.LET(_xlpm.val,IF($F61="",val_blankRefText,_xldudf_CX_GET(CX_ENTITY,$F61,AP$11,AP$14,,(AP$19))),_xlpm.Res,IF(OR(_xlpm.val="",_xlpm.val="Error"),"",_xlpm.val),_xlpm.Res)</f>
        <v>#NAME?</v>
      </c>
      <c r="AQ61" s="1669" t="e" cm="1">
        <f t="array" ca="1" aca="1" ref="AQ61">_xlfn.LET(_xlpm.val,IF($F61="",val_blankRefText,_xldudf_CX_GET(CX_ENTITY,$F61,AQ$11,AQ$14,,(AQ$19))),_xlpm.Res,IF(OR(_xlpm.val="",_xlpm.val="Error"),"",_xlpm.val),_xlpm.Res)</f>
        <v>#NAME?</v>
      </c>
      <c r="AR61" s="1669" t="e" cm="1">
        <f t="array" ca="1" aca="1" ref="AR61">_xlfn.LET(_xlpm.val,IF($F61="",val_blankRefText,_xldudf_CX_GET(CX_ENTITY,$F61,AR$11,AR$14,,(AR$19))),_xlpm.Res,IF(OR(_xlpm.val="",_xlpm.val="Error"),"",_xlpm.val),_xlpm.Res)</f>
        <v>#NAME?</v>
      </c>
      <c r="AS61" s="1669" t="e" cm="1">
        <f t="array" ca="1" aca="1" ref="AS61">_xlfn.LET(_xlpm.val,IF($F61="",val_blankRefText,_xldudf_CX_GET(CX_ENTITY,$F61,AS$11,AS$14,,(AS$19))),_xlpm.Res,IF(OR(_xlpm.val="",_xlpm.val="Error"),"",_xlpm.val),_xlpm.Res)</f>
        <v>#NAME?</v>
      </c>
      <c r="AT61" s="1669" t="e" cm="1">
        <f t="array" ca="1" aca="1" ref="AT61">_xlfn.LET(_xlpm.val,IF($F61="",val_blankRefText,_xldudf_CX_GET(CX_ENTITY,$F61,AT$11,AT$14,,(AT$19))),_xlpm.Res,IF(OR(_xlpm.val="",_xlpm.val="Error"),"",_xlpm.val),_xlpm.Res)</f>
        <v>#NAME?</v>
      </c>
      <c r="AU61" s="1669" t="e" cm="1">
        <f t="array" ca="1" aca="1" ref="AU61">_xlfn.LET(_xlpm.val,IF($F61="",val_blankRefText,_xldudf_CX_GET(CX_ENTITY,$F61,AU$11,AU$14,,(AU$19))),_xlpm.Res,IF(OR(_xlpm.val="",_xlpm.val="Error"),"",_xlpm.val),_xlpm.Res)</f>
        <v>#NAME?</v>
      </c>
      <c r="AV61" s="1669" t="e" cm="1">
        <f t="array" ca="1" aca="1" ref="AV61">_xlfn.LET(_xlpm.val,IF($F61="",val_blankRefText,_xldudf_CX_GET(CX_ENTITY,$F61,AV$11,AV$14,,(AV$19))),_xlpm.Res,IF(OR(_xlpm.val="",_xlpm.val="Error"),"",_xlpm.val),_xlpm.Res)</f>
        <v>#NAME?</v>
      </c>
      <c r="AW61" s="1669" t="e" cm="1">
        <f t="array" ca="1" aca="1" ref="AW61">_xlfn.LET(_xlpm.val,IF($F61="",val_blankRefText,_xldudf_CX_GET(CX_ENTITY,$F61,AW$11,AW$14,,(AW$19))),_xlpm.Res,IF(OR(_xlpm.val="",_xlpm.val="Error"),"",_xlpm.val),_xlpm.Res)</f>
        <v>#NAME?</v>
      </c>
      <c r="AX61" s="1669" t="e" cm="1">
        <f t="array" ca="1" aca="1" ref="AX61">_xlfn.LET(_xlpm.val,IF($F61="",val_blankRefText,_xldudf_CX_GET(CX_ENTITY,$F61,AX$11,AX$14,,(AX$19))),_xlpm.Res,IF(OR(_xlpm.val="",_xlpm.val="Error"),"",_xlpm.val),_xlpm.Res)</f>
        <v>#NAME?</v>
      </c>
      <c r="AY61" s="1669" t="e" cm="1">
        <f t="array" ca="1" aca="1" ref="AY61">_xlfn.LET(_xlpm.val,IF($F61="",val_blankRefText,_xldudf_CX_GET(CX_ENTITY,$F61,AY$11,AY$14,,(AY$19))),_xlpm.Res,IF(OR(_xlpm.val="",_xlpm.val="Error"),"",_xlpm.val),_xlpm.Res)</f>
        <v>#NAME?</v>
      </c>
      <c r="AZ61" s="1669" t="e" cm="1">
        <f t="array" ca="1" aca="1" ref="AZ61">_xlfn.LET(_xlpm.val,IF($F61="",val_blankRefText,_xldudf_CX_GET(CX_ENTITY,$F61,AZ$11,AZ$14,,(AZ$19))),_xlpm.Res,IF(OR(_xlpm.val="",_xlpm.val="Error"),"",_xlpm.val),_xlpm.Res)</f>
        <v>#NAME?</v>
      </c>
      <c r="BA61" s="1669" t="e" cm="1">
        <f t="array" ca="1" aca="1" ref="BA61">_xlfn.LET(_xlpm.val,IF($F61="",val_blankRefText,_xldudf_CX_GET(CX_ENTITY,$F61,BA$11,BA$14,,(BA$19))),_xlpm.Res,IF(OR(_xlpm.val="",_xlpm.val="Error"),"",_xlpm.val),_xlpm.Res)</f>
        <v>#NAME?</v>
      </c>
      <c r="BB61" s="1669" t="e" cm="1">
        <f t="array" ca="1" aca="1" ref="BB61">_xlfn.LET(_xlpm.val,IF($F61="",val_blankRefText,_xldudf_CX_GET(CX_ENTITY,$F61,BB$11,BB$14,,(BB$19))),_xlpm.Res,IF(OR(_xlpm.val="",_xlpm.val="Error"),"",_xlpm.val),_xlpm.Res)</f>
        <v>#NAME?</v>
      </c>
      <c r="BC61" s="1669" t="e" cm="1">
        <f t="array" ca="1" aca="1" ref="BC61">_xlfn.LET(_xlpm.val,IF($F61="",val_blankRefText,_xldudf_CX_GET(CX_ENTITY,$F61,BC$11,BC$14,,(BC$19))),_xlpm.Res,IF(OR(_xlpm.val="",_xlpm.val="Error"),"",_xlpm.val),_xlpm.Res)</f>
        <v>#NAME?</v>
      </c>
      <c r="BD61" s="1669" t="e" cm="1">
        <f t="array" ca="1" aca="1" ref="BD61">_xlfn.LET(_xlpm.val,IF($F61="",val_blankRefText,_xldudf_CX_GET(CX_ENTITY,$F61,BD$11,BD$14,,(BD$19))),_xlpm.Res,IF(OR(_xlpm.val="",_xlpm.val="Error"),"",_xlpm.val),_xlpm.Res)</f>
        <v>#NAME?</v>
      </c>
      <c r="BE61" s="1669" t="e" cm="1">
        <f t="array" ca="1" aca="1" ref="BE61">_xlfn.LET(_xlpm.val,IF($F61="",val_blankRefText,_xldudf_CX_GET(CX_ENTITY,$F61,BE$11,BE$14,,(BE$19))),_xlpm.Res,IF(OR(_xlpm.val="",_xlpm.val="Error"),"",_xlpm.val),_xlpm.Res)</f>
        <v>#NAME?</v>
      </c>
      <c r="BF61" s="1669" t="e" cm="1">
        <f t="array" ca="1" aca="1" ref="BF61">_xlfn.LET(_xlpm.val,IF($F61="",val_blankRefText,_xldudf_CX_GET(CX_ENTITY,$F61,BF$11,BF$14,,(BF$19))),_xlpm.Res,IF(OR(_xlpm.val="",_xlpm.val="Error"),"",_xlpm.val),_xlpm.Res)</f>
        <v>#NAME?</v>
      </c>
      <c r="BG61" s="1669" t="e" cm="1">
        <f t="array" ca="1" aca="1" ref="BG61">_xlfn.LET(_xlpm.val,IF($F61="",val_blankRefText,_xldudf_CX_GET(CX_ENTITY,$F61,BG$11,BG$14,,(BG$19))),_xlpm.Res,IF(OR(_xlpm.val="",_xlpm.val="Error"),"",_xlpm.val),_xlpm.Res)</f>
        <v>#NAME?</v>
      </c>
      <c r="BH61" s="1669" t="e" cm="1">
        <f t="array" ca="1" aca="1" ref="BH61">_xlfn.LET(_xlpm.val,IF($F61="",val_blankRefText,_xldudf_CX_GET(CX_ENTITY,$F61,BH$11,BH$14,,(BH$19))),_xlpm.Res,IF(OR(_xlpm.val="",_xlpm.val="Error"),"",_xlpm.val),_xlpm.Res)</f>
        <v>#NAME?</v>
      </c>
      <c r="BI61" s="1669" t="e" cm="1">
        <f t="array" ca="1" aca="1" ref="BI61">_xlfn.LET(_xlpm.val,IF($F61="",val_blankRefText,_xldudf_CX_GET(CX_ENTITY,$F61,BI$11,BI$14,,(BI$19))),_xlpm.Res,IF(OR(_xlpm.val="",_xlpm.val="Error"),"",_xlpm.val),_xlpm.Res)</f>
        <v>#NAME?</v>
      </c>
      <c r="BJ61" s="1669" t="e" cm="1">
        <f t="array" ca="1" aca="1" ref="BJ61">_xlfn.LET(_xlpm.val,IF($F61="",val_blankRefText,_xldudf_CX_GET(CX_ENTITY,$F61,BJ$11,BJ$14,,(BJ$19))),_xlpm.Res,IF(OR(_xlpm.val="",_xlpm.val="Error"),"",_xlpm.val),_xlpm.Res)</f>
        <v>#NAME?</v>
      </c>
      <c r="BK61" s="1669" t="e" cm="1">
        <f t="array" ca="1" aca="1" ref="BK61">_xlfn.LET(_xlpm.val,IF($F61="",val_blankRefText,_xldudf_CX_GET(CX_ENTITY,$F61,BK$11,BK$14,,(BK$19))),_xlpm.Res,IF(OR(_xlpm.val="",_xlpm.val="Error"),"",_xlpm.val),_xlpm.Res)</f>
        <v>#NAME?</v>
      </c>
      <c r="BL61" s="1669" t="e" cm="1">
        <f t="array" ca="1" aca="1" ref="BL61">_xlfn.LET(_xlpm.val,IF($F61="",val_blankRefText,_xldudf_CX_GET(CX_ENTITY,$F61,BL$11,BL$14,,(BL$19))),_xlpm.Res,IF(OR(_xlpm.val="",_xlpm.val="Error"),"",_xlpm.val),_xlpm.Res)</f>
        <v>#NAME?</v>
      </c>
      <c r="BM61" s="1669" t="e" cm="1">
        <f t="array" ca="1" aca="1" ref="BM61">_xlfn.LET(_xlpm.val,IF($F61="",val_blankRefText,_xldudf_CX_GET(CX_ENTITY,$F61,BM$11,BM$14,,(BM$19))),_xlpm.Res,IF(OR(_xlpm.val="",_xlpm.val="Error"),"",_xlpm.val),_xlpm.Res)</f>
        <v>#NAME?</v>
      </c>
      <c r="BN61" s="1669" t="e" cm="1">
        <f t="array" ca="1" aca="1" ref="BN61">_xlfn.LET(_xlpm.val,IF($F61="",val_blankRefText,_xldudf_CX_GET(CX_ENTITY,$F61,BN$11,BN$14,,(BN$19))),_xlpm.Res,IF(OR(_xlpm.val="",_xlpm.val="Error"),"",_xlpm.val),_xlpm.Res)</f>
        <v>#NAME?</v>
      </c>
      <c r="BO61" s="2095"/>
      <c r="BP61" s="2095"/>
      <c r="BQ61" s="2095"/>
      <c r="BR61" s="2095"/>
      <c r="BS61" s="2095"/>
      <c r="BT61" s="2095"/>
      <c r="BU61" s="2095"/>
      <c r="BV61" s="2095"/>
      <c r="BW61" s="2095"/>
      <c r="BX61" s="2095"/>
      <c r="BY61" s="2095"/>
      <c r="BZ61" s="2095"/>
      <c r="CA61" s="34"/>
      <c r="CC61" s="33"/>
      <c r="CD61" s="1461" t="str" cm="1">
        <f t="array" ref="CD61">_xlfn.LET(_xlpm.CheckBlank,SUM(PL!$AD61:PL!$BN61)=0,IF(_xlpm.CheckBlank,"",SUM(_xlfn._xlws.FILTER(PL!$AD61:$BN61,(YEAR(PL!$AD$12:$BN$12)=PL!CD$12)*(array_timeline&lt;=PL!CD$11)))))</f>
        <v/>
      </c>
      <c r="CE61" s="1461" t="str" cm="1">
        <f t="array" ref="CE61">_xlfn.LET(_xlpm.CheckBlank,SUM(PL!$AD61:PL!$BN61)=0,IF(_xlpm.CheckBlank,"",SUM(_xlfn._xlws.FILTER(PL!$AD61:$BN61,(YEAR(PL!$AD$12:$BN$12)=PL!CE$12)*(array_timeline&lt;=PL!CE$11)))))</f>
        <v/>
      </c>
      <c r="CF61" s="88"/>
      <c r="CG61" s="1461" t="str" cm="1">
        <f t="array" ref="CG61">_xlfn.LET(_xlpm.CheckBlank,SUM(PL!$AD61:$BN61)=0,IF(_xlpm.CheckBlank,"",SUM(_xlfn._xlws.FILTER(PL!$AD61:$BN61,(YEAR(PL!$AD$12:$BN$12)=PL!CG$12)*(array_timeline&lt;=PL!CG$11)))))</f>
        <v/>
      </c>
      <c r="CH61" s="1461" t="str" cm="1">
        <f t="array" ref="CH61">_xlfn.LET(_xlpm.CheckBlank,SUM(PL!$AD61:$BN61)=0,IF(_xlpm.CheckBlank,"",SUM(_xlfn._xlws.FILTER(PL!$AD61:$BN61,(YEAR(PL!$AD$12:$BN$12)=PL!CH$12)*(array_timeline&lt;=PL!CH$11)))))</f>
        <v/>
      </c>
      <c r="CI61" s="88"/>
      <c r="CJ61" s="1461" t="str" cm="1">
        <f t="array" ref="CJ61">_xlfn.LET(_xlpm.CheckBlank,SUM(PL!$AD61:$BN61)=0,IF(_xlpm.CheckBlank,"",SUM(_xlfn.TAKE(_xlfn.DROP(PL!$AD61:$BN61,,-DATEDIFF(PL!CJ$11,val_asOfDate,"M")),1,-12))))</f>
        <v/>
      </c>
      <c r="CK61" s="1461" t="str" cm="1">
        <f t="array" ref="CK61">_xlfn.LET(_xlpm.CheckBlank,SUM(PL!$AD61:$BN61)=0,IF(_xlpm.CheckBlank,"",SUM(_xlfn.TAKE(_xlfn.DROP(PL!$AD61:$BN61,,-DATEDIFF(PL!CK$11,val_asOfDate,"M")),1,-12))))</f>
        <v/>
      </c>
      <c r="CL61" s="88"/>
      <c r="CM61" s="1556" t="e" cm="1">
        <f t="array" ca="1" aca="1" ref="CM61">IF($F61="",val_blankRefText,N(_xldudf_CX_GET(CX_ENTITY,$F61,CM$11,CM$14,,(CM$19)))/fxVal_normal*fxVal_sign($A61))</f>
        <v>#NAME?</v>
      </c>
      <c r="CN61" s="1556" t="e" cm="1">
        <f t="array" ca="1" aca="1" ref="CN61">IF($F61="",val_blankRefText,N(_xldudf_CX_GET(CX_ENTITY,$F61,CN$11,CN$14,,(CN$19)))/fxVal_normal*fxVal_sign($A61))</f>
        <v>#NAME?</v>
      </c>
      <c r="CO61" s="88"/>
      <c r="CP61" s="1650" t="e" cm="1">
        <f t="array" ca="1" aca="1" ref="CP61">IF($F61="",val_blankRefText,N(_xldudf_CX_GET(CX_ENTITY,fx_attrConverter($F61),CP$11,CP$14,,(CP$19)))/fxVal_normal*fxVal_sign($A61))</f>
        <v>#NAME?</v>
      </c>
      <c r="CQ61" s="1651" t="e" cm="1">
        <f t="array" ca="1" aca="1" ref="CQ61">IF($F61="",val_blankRefText,N(_xldudf_CX_GET(CX_ENTITY,$F61,CQ$11,CQ$14,,(CQ$19)))/fxVal_normal*fxVal_sign($A61))</f>
        <v>#NAME?</v>
      </c>
      <c r="CR61" s="34"/>
    </row>
    <row r="62" spans="1:96" ht="21" customHeight="1" outlineLevel="2">
      <c r="A62" s="1322"/>
      <c r="B62" s="2128" t="s">
        <v>1588</v>
      </c>
      <c r="C62" s="1080" t="s">
        <v>1589</v>
      </c>
      <c r="D62" s="1079"/>
      <c r="E62" s="1615" t="e" cm="1">
        <f t="array" ca="1" aca="1" ref="E62">_xlfn.LET(_xlpm.Attr,$C62,_xlpm.Lookback,$E$16,_xlpm.QueryDate,EOMONTH(val_asOfDate,_xlpm.Lookback),_xlpm.ReadField,_xldudf_CX_GET(CX_ENTITY,fx_attrConverter($C62),_xlpm.QueryDate),_xlpm.AttrBlank,_xlpm.Attr="",_xlpm.RESULT,IF(_xlpm.AttrBlank,val_blankRefText,fx_attrConverter(_xlpm.ReadField,0)),IF(_xlpm.RESULT="Error","",_xlpm.RESULT))</f>
        <v>#NAME?</v>
      </c>
      <c r="F62" s="577" t="str">
        <f t="shared" si="11"/>
        <v>Custom Metric Amount 6 [Calculated]</v>
      </c>
      <c r="G62" s="577" t="s">
        <v>1579</v>
      </c>
      <c r="H62" s="3280">
        <v>1</v>
      </c>
      <c r="I62" s="3280">
        <v>1</v>
      </c>
      <c r="J62" s="401"/>
      <c r="K62" s="401"/>
      <c r="L62" s="579" t="b">
        <v>0</v>
      </c>
      <c r="N62" s="158"/>
      <c r="O62" s="101"/>
      <c r="P62" s="52"/>
      <c r="Q62" s="101"/>
      <c r="R62" s="539"/>
      <c r="S62" s="101"/>
      <c r="T62" s="101"/>
      <c r="U62" s="39"/>
      <c r="W62" s="268" t="str">
        <f>_PL!$W$17</f>
        <v>Actual</v>
      </c>
      <c r="X62" s="2370" t="e" cm="1">
        <f t="array" ca="1" aca="1" ref="X62">_xlfn.LET(_xlpm.toPass,$E62="",_xlpm.hasParts,ISNUMBER(SEARCH("|",$E62)),_xlpm.Part1,INDEX(_xlfn.TEXTSPLIT($E62,"|",,FALSE,1),1),_xlpm.Part1Num,IFERROR(_xlfn.NUMBERVALUE(_xlpm.Part1),_xlpm.Part1),_xlfn.SWITCH(TRUE,_xlpm.toPass,"",_xlpm.hasParts,_xlpm.Part1Num,$E62))</f>
        <v>#NAME?</v>
      </c>
      <c r="Y62" s="590" t="e" cm="1">
        <f t="array" ca="1" aca="1" ref="Y62">_xlfn.LET(_xlpm.PackedString,E62,IF(_xlpm.PackedString="","",IF(ISNUMBER(SEARCH("|",_xlpm.PackedString)),INDEX(_xlfn.TEXTSPLIT(_xlpm.PackedString,"|",,FALSE),2),_xlpm.PackedString)))</f>
        <v>#NAME?</v>
      </c>
      <c r="Z62" s="198" t="e">
        <f t="shared" ca="1" si="12"/>
        <v>#NAME?</v>
      </c>
      <c r="AA62" s="787"/>
      <c r="AB62" s="709" t="e" cm="1">
        <f t="array" ca="1" aca="1" ref="AB62">_xlfn.LET(_xlpm.PackedString,E62,IF(_xlpm.PackedString="","",IF(ISNUMBER(SEARCH("|",_xlpm.PackedString)),INDEX(_xlfn.TEXTSPLIT(_xlpm.PackedString,"|",,FALSE),3),_xlpm.PackedString)))</f>
        <v>#NAME?</v>
      </c>
      <c r="AC62" s="787" t="str" cm="1">
        <f t="array" ca="1" aca="1" ref="AC62">_xlfn.LET(_xlpm.Def,IF(_xlfn.XMATCH(AB62,tbl_acctDef[Term],0)&gt;0,fx_getIcon("find"),""),_xlpm.Adj,IF(_xlfn.XMATCH(AB62,tbl_adjExample[Items],0)&gt;0,fx_getIcon("find"),""),IFERROR(IFBLANK(_xlpm.Def,_xlpm.Adj),""))</f>
        <v/>
      </c>
      <c r="AD62" s="1669" t="e" cm="1">
        <f t="array" ca="1" aca="1" ref="AD62">_xlfn.LET(_xlpm.val,IF($F62="",val_blankRefText,_xldudf_CX_GET(CX_ENTITY,$F62,AD$11,AD$14,,(AD$19))),_xlpm.Res,IF(OR(_xlpm.val="",_xlpm.val="Error"),"",_xlpm.val),_xlpm.Res)</f>
        <v>#NAME?</v>
      </c>
      <c r="AE62" s="1669" t="e" cm="1">
        <f t="array" ca="1" aca="1" ref="AE62">_xlfn.LET(_xlpm.val,IF($F62="",val_blankRefText,_xldudf_CX_GET(CX_ENTITY,$F62,AE$11,AE$14,,(AE$19))),_xlpm.Res,IF(OR(_xlpm.val="",_xlpm.val="Error"),"",_xlpm.val),_xlpm.Res)</f>
        <v>#NAME?</v>
      </c>
      <c r="AF62" s="1669" t="e" cm="1">
        <f t="array" ca="1" aca="1" ref="AF62">_xlfn.LET(_xlpm.val,IF($F62="",val_blankRefText,_xldudf_CX_GET(CX_ENTITY,$F62,AF$11,AF$14,,(AF$19))),_xlpm.Res,IF(OR(_xlpm.val="",_xlpm.val="Error"),"",_xlpm.val),_xlpm.Res)</f>
        <v>#NAME?</v>
      </c>
      <c r="AG62" s="1669" t="e" cm="1">
        <f t="array" ca="1" aca="1" ref="AG62">_xlfn.LET(_xlpm.val,IF($F62="",val_blankRefText,_xldudf_CX_GET(CX_ENTITY,$F62,AG$11,AG$14,,(AG$19))),_xlpm.Res,IF(OR(_xlpm.val="",_xlpm.val="Error"),"",_xlpm.val),_xlpm.Res)</f>
        <v>#NAME?</v>
      </c>
      <c r="AH62" s="1669" t="e" cm="1">
        <f t="array" ca="1" aca="1" ref="AH62">_xlfn.LET(_xlpm.val,IF($F62="",val_blankRefText,_xldudf_CX_GET(CX_ENTITY,$F62,AH$11,AH$14,,(AH$19))),_xlpm.Res,IF(OR(_xlpm.val="",_xlpm.val="Error"),"",_xlpm.val),_xlpm.Res)</f>
        <v>#NAME?</v>
      </c>
      <c r="AI62" s="1669" t="e" cm="1">
        <f t="array" ca="1" aca="1" ref="AI62">_xlfn.LET(_xlpm.val,IF($F62="",val_blankRefText,_xldudf_CX_GET(CX_ENTITY,$F62,AI$11,AI$14,,(AI$19))),_xlpm.Res,IF(OR(_xlpm.val="",_xlpm.val="Error"),"",_xlpm.val),_xlpm.Res)</f>
        <v>#NAME?</v>
      </c>
      <c r="AJ62" s="1669" t="e" cm="1">
        <f t="array" ca="1" aca="1" ref="AJ62">_xlfn.LET(_xlpm.val,IF($F62="",val_blankRefText,_xldudf_CX_GET(CX_ENTITY,$F62,AJ$11,AJ$14,,(AJ$19))),_xlpm.Res,IF(OR(_xlpm.val="",_xlpm.val="Error"),"",_xlpm.val),_xlpm.Res)</f>
        <v>#NAME?</v>
      </c>
      <c r="AK62" s="1669" t="e" cm="1">
        <f t="array" ca="1" aca="1" ref="AK62">_xlfn.LET(_xlpm.val,IF($F62="",val_blankRefText,_xldudf_CX_GET(CX_ENTITY,$F62,AK$11,AK$14,,(AK$19))),_xlpm.Res,IF(OR(_xlpm.val="",_xlpm.val="Error"),"",_xlpm.val),_xlpm.Res)</f>
        <v>#NAME?</v>
      </c>
      <c r="AL62" s="1669" t="e" cm="1">
        <f t="array" ca="1" aca="1" ref="AL62">_xlfn.LET(_xlpm.val,IF($F62="",val_blankRefText,_xldudf_CX_GET(CX_ENTITY,$F62,AL$11,AL$14,,(AL$19))),_xlpm.Res,IF(OR(_xlpm.val="",_xlpm.val="Error"),"",_xlpm.val),_xlpm.Res)</f>
        <v>#NAME?</v>
      </c>
      <c r="AM62" s="1669" t="e" cm="1">
        <f t="array" ca="1" aca="1" ref="AM62">_xlfn.LET(_xlpm.val,IF($F62="",val_blankRefText,_xldudf_CX_GET(CX_ENTITY,$F62,AM$11,AM$14,,(AM$19))),_xlpm.Res,IF(OR(_xlpm.val="",_xlpm.val="Error"),"",_xlpm.val),_xlpm.Res)</f>
        <v>#NAME?</v>
      </c>
      <c r="AN62" s="1669" t="e" cm="1">
        <f t="array" ca="1" aca="1" ref="AN62">_xlfn.LET(_xlpm.val,IF($F62="",val_blankRefText,_xldudf_CX_GET(CX_ENTITY,$F62,AN$11,AN$14,,(AN$19))),_xlpm.Res,IF(OR(_xlpm.val="",_xlpm.val="Error"),"",_xlpm.val),_xlpm.Res)</f>
        <v>#NAME?</v>
      </c>
      <c r="AO62" s="1669" t="e" cm="1">
        <f t="array" ca="1" aca="1" ref="AO62">_xlfn.LET(_xlpm.val,IF($F62="",val_blankRefText,_xldudf_CX_GET(CX_ENTITY,$F62,AO$11,AO$14,,(AO$19))),_xlpm.Res,IF(OR(_xlpm.val="",_xlpm.val="Error"),"",_xlpm.val),_xlpm.Res)</f>
        <v>#NAME?</v>
      </c>
      <c r="AP62" s="1669" t="e" cm="1">
        <f t="array" ca="1" aca="1" ref="AP62">_xlfn.LET(_xlpm.val,IF($F62="",val_blankRefText,_xldudf_CX_GET(CX_ENTITY,$F62,AP$11,AP$14,,(AP$19))),_xlpm.Res,IF(OR(_xlpm.val="",_xlpm.val="Error"),"",_xlpm.val),_xlpm.Res)</f>
        <v>#NAME?</v>
      </c>
      <c r="AQ62" s="1669" t="e" cm="1">
        <f t="array" ca="1" aca="1" ref="AQ62">_xlfn.LET(_xlpm.val,IF($F62="",val_blankRefText,_xldudf_CX_GET(CX_ENTITY,$F62,AQ$11,AQ$14,,(AQ$19))),_xlpm.Res,IF(OR(_xlpm.val="",_xlpm.val="Error"),"",_xlpm.val),_xlpm.Res)</f>
        <v>#NAME?</v>
      </c>
      <c r="AR62" s="1669" t="e" cm="1">
        <f t="array" ca="1" aca="1" ref="AR62">_xlfn.LET(_xlpm.val,IF($F62="",val_blankRefText,_xldudf_CX_GET(CX_ENTITY,$F62,AR$11,AR$14,,(AR$19))),_xlpm.Res,IF(OR(_xlpm.val="",_xlpm.val="Error"),"",_xlpm.val),_xlpm.Res)</f>
        <v>#NAME?</v>
      </c>
      <c r="AS62" s="1669" t="e" cm="1">
        <f t="array" ca="1" aca="1" ref="AS62">_xlfn.LET(_xlpm.val,IF($F62="",val_blankRefText,_xldudf_CX_GET(CX_ENTITY,$F62,AS$11,AS$14,,(AS$19))),_xlpm.Res,IF(OR(_xlpm.val="",_xlpm.val="Error"),"",_xlpm.val),_xlpm.Res)</f>
        <v>#NAME?</v>
      </c>
      <c r="AT62" s="1669" t="e" cm="1">
        <f t="array" ca="1" aca="1" ref="AT62">_xlfn.LET(_xlpm.val,IF($F62="",val_blankRefText,_xldudf_CX_GET(CX_ENTITY,$F62,AT$11,AT$14,,(AT$19))),_xlpm.Res,IF(OR(_xlpm.val="",_xlpm.val="Error"),"",_xlpm.val),_xlpm.Res)</f>
        <v>#NAME?</v>
      </c>
      <c r="AU62" s="1669" t="e" cm="1">
        <f t="array" ca="1" aca="1" ref="AU62">_xlfn.LET(_xlpm.val,IF($F62="",val_blankRefText,_xldudf_CX_GET(CX_ENTITY,$F62,AU$11,AU$14,,(AU$19))),_xlpm.Res,IF(OR(_xlpm.val="",_xlpm.val="Error"),"",_xlpm.val),_xlpm.Res)</f>
        <v>#NAME?</v>
      </c>
      <c r="AV62" s="1669" t="e" cm="1">
        <f t="array" ca="1" aca="1" ref="AV62">_xlfn.LET(_xlpm.val,IF($F62="",val_blankRefText,_xldudf_CX_GET(CX_ENTITY,$F62,AV$11,AV$14,,(AV$19))),_xlpm.Res,IF(OR(_xlpm.val="",_xlpm.val="Error"),"",_xlpm.val),_xlpm.Res)</f>
        <v>#NAME?</v>
      </c>
      <c r="AW62" s="1669" t="e" cm="1">
        <f t="array" ca="1" aca="1" ref="AW62">_xlfn.LET(_xlpm.val,IF($F62="",val_blankRefText,_xldudf_CX_GET(CX_ENTITY,$F62,AW$11,AW$14,,(AW$19))),_xlpm.Res,IF(OR(_xlpm.val="",_xlpm.val="Error"),"",_xlpm.val),_xlpm.Res)</f>
        <v>#NAME?</v>
      </c>
      <c r="AX62" s="1669" t="e" cm="1">
        <f t="array" ca="1" aca="1" ref="AX62">_xlfn.LET(_xlpm.val,IF($F62="",val_blankRefText,_xldudf_CX_GET(CX_ENTITY,$F62,AX$11,AX$14,,(AX$19))),_xlpm.Res,IF(OR(_xlpm.val="",_xlpm.val="Error"),"",_xlpm.val),_xlpm.Res)</f>
        <v>#NAME?</v>
      </c>
      <c r="AY62" s="1669" t="e" cm="1">
        <f t="array" ca="1" aca="1" ref="AY62">_xlfn.LET(_xlpm.val,IF($F62="",val_blankRefText,_xldudf_CX_GET(CX_ENTITY,$F62,AY$11,AY$14,,(AY$19))),_xlpm.Res,IF(OR(_xlpm.val="",_xlpm.val="Error"),"",_xlpm.val),_xlpm.Res)</f>
        <v>#NAME?</v>
      </c>
      <c r="AZ62" s="1669" t="e" cm="1">
        <f t="array" ca="1" aca="1" ref="AZ62">_xlfn.LET(_xlpm.val,IF($F62="",val_blankRefText,_xldudf_CX_GET(CX_ENTITY,$F62,AZ$11,AZ$14,,(AZ$19))),_xlpm.Res,IF(OR(_xlpm.val="",_xlpm.val="Error"),"",_xlpm.val),_xlpm.Res)</f>
        <v>#NAME?</v>
      </c>
      <c r="BA62" s="1669" t="e" cm="1">
        <f t="array" ca="1" aca="1" ref="BA62">_xlfn.LET(_xlpm.val,IF($F62="",val_blankRefText,_xldudf_CX_GET(CX_ENTITY,$F62,BA$11,BA$14,,(BA$19))),_xlpm.Res,IF(OR(_xlpm.val="",_xlpm.val="Error"),"",_xlpm.val),_xlpm.Res)</f>
        <v>#NAME?</v>
      </c>
      <c r="BB62" s="1669" t="e" cm="1">
        <f t="array" ca="1" aca="1" ref="BB62">_xlfn.LET(_xlpm.val,IF($F62="",val_blankRefText,_xldudf_CX_GET(CX_ENTITY,$F62,BB$11,BB$14,,(BB$19))),_xlpm.Res,IF(OR(_xlpm.val="",_xlpm.val="Error"),"",_xlpm.val),_xlpm.Res)</f>
        <v>#NAME?</v>
      </c>
      <c r="BC62" s="1669" t="e" cm="1">
        <f t="array" ca="1" aca="1" ref="BC62">_xlfn.LET(_xlpm.val,IF($F62="",val_blankRefText,_xldudf_CX_GET(CX_ENTITY,$F62,BC$11,BC$14,,(BC$19))),_xlpm.Res,IF(OR(_xlpm.val="",_xlpm.val="Error"),"",_xlpm.val),_xlpm.Res)</f>
        <v>#NAME?</v>
      </c>
      <c r="BD62" s="1669" t="e" cm="1">
        <f t="array" ca="1" aca="1" ref="BD62">_xlfn.LET(_xlpm.val,IF($F62="",val_blankRefText,_xldudf_CX_GET(CX_ENTITY,$F62,BD$11,BD$14,,(BD$19))),_xlpm.Res,IF(OR(_xlpm.val="",_xlpm.val="Error"),"",_xlpm.val),_xlpm.Res)</f>
        <v>#NAME?</v>
      </c>
      <c r="BE62" s="1669" t="e" cm="1">
        <f t="array" ca="1" aca="1" ref="BE62">_xlfn.LET(_xlpm.val,IF($F62="",val_blankRefText,_xldudf_CX_GET(CX_ENTITY,$F62,BE$11,BE$14,,(BE$19))),_xlpm.Res,IF(OR(_xlpm.val="",_xlpm.val="Error"),"",_xlpm.val),_xlpm.Res)</f>
        <v>#NAME?</v>
      </c>
      <c r="BF62" s="1669" t="e" cm="1">
        <f t="array" ca="1" aca="1" ref="BF62">_xlfn.LET(_xlpm.val,IF($F62="",val_blankRefText,_xldudf_CX_GET(CX_ENTITY,$F62,BF$11,BF$14,,(BF$19))),_xlpm.Res,IF(OR(_xlpm.val="",_xlpm.val="Error"),"",_xlpm.val),_xlpm.Res)</f>
        <v>#NAME?</v>
      </c>
      <c r="BG62" s="1669" t="e" cm="1">
        <f t="array" ca="1" aca="1" ref="BG62">_xlfn.LET(_xlpm.val,IF($F62="",val_blankRefText,_xldudf_CX_GET(CX_ENTITY,$F62,BG$11,BG$14,,(BG$19))),_xlpm.Res,IF(OR(_xlpm.val="",_xlpm.val="Error"),"",_xlpm.val),_xlpm.Res)</f>
        <v>#NAME?</v>
      </c>
      <c r="BH62" s="1669" t="e" cm="1">
        <f t="array" ca="1" aca="1" ref="BH62">_xlfn.LET(_xlpm.val,IF($F62="",val_blankRefText,_xldudf_CX_GET(CX_ENTITY,$F62,BH$11,BH$14,,(BH$19))),_xlpm.Res,IF(OR(_xlpm.val="",_xlpm.val="Error"),"",_xlpm.val),_xlpm.Res)</f>
        <v>#NAME?</v>
      </c>
      <c r="BI62" s="1669" t="e" cm="1">
        <f t="array" ca="1" aca="1" ref="BI62">_xlfn.LET(_xlpm.val,IF($F62="",val_blankRefText,_xldudf_CX_GET(CX_ENTITY,$F62,BI$11,BI$14,,(BI$19))),_xlpm.Res,IF(OR(_xlpm.val="",_xlpm.val="Error"),"",_xlpm.val),_xlpm.Res)</f>
        <v>#NAME?</v>
      </c>
      <c r="BJ62" s="1669" t="e" cm="1">
        <f t="array" ca="1" aca="1" ref="BJ62">_xlfn.LET(_xlpm.val,IF($F62="",val_blankRefText,_xldudf_CX_GET(CX_ENTITY,$F62,BJ$11,BJ$14,,(BJ$19))),_xlpm.Res,IF(OR(_xlpm.val="",_xlpm.val="Error"),"",_xlpm.val),_xlpm.Res)</f>
        <v>#NAME?</v>
      </c>
      <c r="BK62" s="1669" t="e" cm="1">
        <f t="array" ca="1" aca="1" ref="BK62">_xlfn.LET(_xlpm.val,IF($F62="",val_blankRefText,_xldudf_CX_GET(CX_ENTITY,$F62,BK$11,BK$14,,(BK$19))),_xlpm.Res,IF(OR(_xlpm.val="",_xlpm.val="Error"),"",_xlpm.val),_xlpm.Res)</f>
        <v>#NAME?</v>
      </c>
      <c r="BL62" s="1669" t="e" cm="1">
        <f t="array" ca="1" aca="1" ref="BL62">_xlfn.LET(_xlpm.val,IF($F62="",val_blankRefText,_xldudf_CX_GET(CX_ENTITY,$F62,BL$11,BL$14,,(BL$19))),_xlpm.Res,IF(OR(_xlpm.val="",_xlpm.val="Error"),"",_xlpm.val),_xlpm.Res)</f>
        <v>#NAME?</v>
      </c>
      <c r="BM62" s="1669" t="e" cm="1">
        <f t="array" ca="1" aca="1" ref="BM62">_xlfn.LET(_xlpm.val,IF($F62="",val_blankRefText,_xldudf_CX_GET(CX_ENTITY,$F62,BM$11,BM$14,,(BM$19))),_xlpm.Res,IF(OR(_xlpm.val="",_xlpm.val="Error"),"",_xlpm.val),_xlpm.Res)</f>
        <v>#NAME?</v>
      </c>
      <c r="BN62" s="1669" t="e" cm="1">
        <f t="array" ca="1" aca="1" ref="BN62">_xlfn.LET(_xlpm.val,IF($F62="",val_blankRefText,_xldudf_CX_GET(CX_ENTITY,$F62,BN$11,BN$14,,(BN$19))),_xlpm.Res,IF(OR(_xlpm.val="",_xlpm.val="Error"),"",_xlpm.val),_xlpm.Res)</f>
        <v>#NAME?</v>
      </c>
      <c r="BO62" s="2095"/>
      <c r="BP62" s="2095"/>
      <c r="BQ62" s="2095"/>
      <c r="BR62" s="2095"/>
      <c r="BS62" s="2095"/>
      <c r="BT62" s="2095"/>
      <c r="BU62" s="2095"/>
      <c r="BV62" s="2095"/>
      <c r="BW62" s="2095"/>
      <c r="BX62" s="2095"/>
      <c r="BY62" s="2095"/>
      <c r="BZ62" s="2095"/>
      <c r="CA62" s="34"/>
      <c r="CC62" s="33"/>
      <c r="CD62" s="1461" t="str" cm="1">
        <f t="array" ref="CD62">_xlfn.LET(_xlpm.CheckBlank,SUM(PL!$AD62:PL!$BN62)=0,IF(_xlpm.CheckBlank,"",SUM(_xlfn._xlws.FILTER(PL!$AD62:$BN62,(YEAR(PL!$AD$12:$BN$12)=PL!CD$12)*(array_timeline&lt;=PL!CD$11)))))</f>
        <v/>
      </c>
      <c r="CE62" s="1461" t="str" cm="1">
        <f t="array" ref="CE62">_xlfn.LET(_xlpm.CheckBlank,SUM(PL!$AD62:PL!$BN62)=0,IF(_xlpm.CheckBlank,"",SUM(_xlfn._xlws.FILTER(PL!$AD62:$BN62,(YEAR(PL!$AD$12:$BN$12)=PL!CE$12)*(array_timeline&lt;=PL!CE$11)))))</f>
        <v/>
      </c>
      <c r="CF62" s="88"/>
      <c r="CG62" s="1461" t="str" cm="1">
        <f t="array" ref="CG62">_xlfn.LET(_xlpm.CheckBlank,SUM(PL!$AD62:$BN62)=0,IF(_xlpm.CheckBlank,"",SUM(_xlfn._xlws.FILTER(PL!$AD62:$BN62,(YEAR(PL!$AD$12:$BN$12)=PL!CG$12)*(array_timeline&lt;=PL!CG$11)))))</f>
        <v/>
      </c>
      <c r="CH62" s="1461" t="str" cm="1">
        <f t="array" ref="CH62">_xlfn.LET(_xlpm.CheckBlank,SUM(PL!$AD62:$BN62)=0,IF(_xlpm.CheckBlank,"",SUM(_xlfn._xlws.FILTER(PL!$AD62:$BN62,(YEAR(PL!$AD$12:$BN$12)=PL!CH$12)*(array_timeline&lt;=PL!CH$11)))))</f>
        <v/>
      </c>
      <c r="CI62" s="88"/>
      <c r="CJ62" s="1461" t="str" cm="1">
        <f t="array" ref="CJ62">_xlfn.LET(_xlpm.CheckBlank,SUM(PL!$AD62:$BN62)=0,IF(_xlpm.CheckBlank,"",SUM(_xlfn.TAKE(_xlfn.DROP(PL!$AD62:$BN62,,-DATEDIFF(PL!CJ$11,val_asOfDate,"M")),1,-12))))</f>
        <v/>
      </c>
      <c r="CK62" s="1461" t="str" cm="1">
        <f t="array" ref="CK62">_xlfn.LET(_xlpm.CheckBlank,SUM(PL!$AD62:$BN62)=0,IF(_xlpm.CheckBlank,"",SUM(_xlfn.TAKE(_xlfn.DROP(PL!$AD62:$BN62,,-DATEDIFF(PL!CK$11,val_asOfDate,"M")),1,-12))))</f>
        <v/>
      </c>
      <c r="CL62" s="88"/>
      <c r="CM62" s="1556" t="e" cm="1">
        <f t="array" ca="1" aca="1" ref="CM62">IF($F62="",val_blankRefText,N(_xldudf_CX_GET(CX_ENTITY,$F62,CM$11,CM$14,,(CM$19)))/fxVal_normal*fxVal_sign($A62))</f>
        <v>#NAME?</v>
      </c>
      <c r="CN62" s="1556" t="e" cm="1">
        <f t="array" ca="1" aca="1" ref="CN62">IF($F62="",val_blankRefText,N(_xldudf_CX_GET(CX_ENTITY,$F62,CN$11,CN$14,,(CN$19)))/fxVal_normal*fxVal_sign($A62))</f>
        <v>#NAME?</v>
      </c>
      <c r="CO62" s="88"/>
      <c r="CP62" s="1650" t="e" cm="1">
        <f t="array" ca="1" aca="1" ref="CP62">IF($F62="",val_blankRefText,N(_xldudf_CX_GET(CX_ENTITY,fx_attrConverter($F62),CP$11,CP$14,,(CP$19)))/fxVal_normal*fxVal_sign($A62))</f>
        <v>#NAME?</v>
      </c>
      <c r="CQ62" s="1651" t="e" cm="1">
        <f t="array" ca="1" aca="1" ref="CQ62">IF($F62="",val_blankRefText,N(_xldudf_CX_GET(CX_ENTITY,$F62,CQ$11,CQ$14,,(CQ$19)))/fxVal_normal*fxVal_sign($A62))</f>
        <v>#NAME?</v>
      </c>
      <c r="CR62" s="34"/>
    </row>
    <row r="63" spans="1:96" ht="21" customHeight="1" outlineLevel="2">
      <c r="A63" s="1322"/>
      <c r="B63" s="2128" t="s">
        <v>1590</v>
      </c>
      <c r="C63" s="577" t="s">
        <v>1591</v>
      </c>
      <c r="D63" s="1079"/>
      <c r="E63" s="1615" t="e" cm="1">
        <f t="array" ca="1" aca="1" ref="E63">_xlfn.LET(_xlpm.Attr,$C63,_xlpm.Lookback,$E$16,_xlpm.QueryDate,EOMONTH(val_asOfDate,_xlpm.Lookback),_xlpm.ReadField,_xldudf_CX_GET(CX_ENTITY,fx_attrConverter($C63),_xlpm.QueryDate),_xlpm.AttrBlank,_xlpm.Attr="",_xlpm.RESULT,IF(_xlpm.AttrBlank,val_blankRefText,fx_attrConverter(_xlpm.ReadField,0)),IF(_xlpm.RESULT="Error","",_xlpm.RESULT))</f>
        <v>#NAME?</v>
      </c>
      <c r="F63" s="577" t="str">
        <f t="shared" si="11"/>
        <v>Custom Metric Amount 7 [Calculated]</v>
      </c>
      <c r="G63" s="577" t="s">
        <v>1579</v>
      </c>
      <c r="H63" s="3280">
        <v>1</v>
      </c>
      <c r="I63" s="3280">
        <v>1</v>
      </c>
      <c r="J63" s="401"/>
      <c r="K63" s="401"/>
      <c r="L63" s="579" t="b">
        <v>0</v>
      </c>
      <c r="N63" s="158"/>
      <c r="O63" s="101"/>
      <c r="P63" s="52"/>
      <c r="Q63" s="101"/>
      <c r="R63" s="539"/>
      <c r="S63" s="101"/>
      <c r="T63" s="101"/>
      <c r="U63" s="39"/>
      <c r="W63" s="91" t="str">
        <f>_PL!$W$17</f>
        <v>Actual</v>
      </c>
      <c r="X63" s="2370" t="e" cm="1">
        <f t="array" ca="1" aca="1" ref="X63">_xlfn.LET(_xlpm.toPass,$E63="",_xlpm.hasParts,ISNUMBER(SEARCH("|",$E63)),_xlpm.Part1,INDEX(_xlfn.TEXTSPLIT($E63,"|",,FALSE,1),1),_xlpm.Part1Num,IFERROR(_xlfn.NUMBERVALUE(_xlpm.Part1),_xlpm.Part1),_xlfn.SWITCH(TRUE,_xlpm.toPass,"",_xlpm.hasParts,_xlpm.Part1Num,$E63))</f>
        <v>#NAME?</v>
      </c>
      <c r="Y63" s="590" t="e" cm="1">
        <f t="array" ca="1" aca="1" ref="Y63">_xlfn.LET(_xlpm.PackedString,E63,IF(_xlpm.PackedString="","",IF(ISNUMBER(SEARCH("|",_xlpm.PackedString)),INDEX(_xlfn.TEXTSPLIT(_xlpm.PackedString,"|",,FALSE),2),_xlpm.PackedString)))</f>
        <v>#NAME?</v>
      </c>
      <c r="Z63" s="198" t="e">
        <f t="shared" ca="1" si="12"/>
        <v>#NAME?</v>
      </c>
      <c r="AA63" s="200"/>
      <c r="AB63" s="709" t="e" cm="1">
        <f t="array" ca="1" aca="1" ref="AB63">_xlfn.LET(_xlpm.PackedString,E63,IF(_xlpm.PackedString="","",IF(ISNUMBER(SEARCH("|",_xlpm.PackedString)),INDEX(_xlfn.TEXTSPLIT(_xlpm.PackedString,"|",,FALSE),3),_xlpm.PackedString)))</f>
        <v>#NAME?</v>
      </c>
      <c r="AC63" s="200" t="str" cm="1">
        <f t="array" ca="1" aca="1" ref="AC63">_xlfn.LET(_xlpm.Def,IF(_xlfn.XMATCH(AB63,tbl_acctDef[Term],0)&gt;0,fx_getIcon("find"),""),_xlpm.Adj,IF(_xlfn.XMATCH(AB63,tbl_adjExample[Items],0)&gt;0,fx_getIcon("find"),""),IFERROR(IFBLANK(_xlpm.Def,_xlpm.Adj),""))</f>
        <v/>
      </c>
      <c r="AD63" s="1669" t="e" cm="1">
        <f t="array" ca="1" aca="1" ref="AD63">_xlfn.LET(_xlpm.val,IF($F63="",val_blankRefText,_xldudf_CX_GET(CX_ENTITY,$F63,AD$11,AD$14,,(AD$19))),_xlpm.Res,IF(OR(_xlpm.val="",_xlpm.val="Error"),"",_xlpm.val),_xlpm.Res)</f>
        <v>#NAME?</v>
      </c>
      <c r="AE63" s="1669" t="e" cm="1">
        <f t="array" ca="1" aca="1" ref="AE63">_xlfn.LET(_xlpm.val,IF($F63="",val_blankRefText,_xldudf_CX_GET(CX_ENTITY,$F63,AE$11,AE$14,,(AE$19))),_xlpm.Res,IF(OR(_xlpm.val="",_xlpm.val="Error"),"",_xlpm.val),_xlpm.Res)</f>
        <v>#NAME?</v>
      </c>
      <c r="AF63" s="1669" t="e" cm="1">
        <f t="array" ca="1" aca="1" ref="AF63">_xlfn.LET(_xlpm.val,IF($F63="",val_blankRefText,_xldudf_CX_GET(CX_ENTITY,$F63,AF$11,AF$14,,(AF$19))),_xlpm.Res,IF(OR(_xlpm.val="",_xlpm.val="Error"),"",_xlpm.val),_xlpm.Res)</f>
        <v>#NAME?</v>
      </c>
      <c r="AG63" s="1669" t="e" cm="1">
        <f t="array" ca="1" aca="1" ref="AG63">_xlfn.LET(_xlpm.val,IF($F63="",val_blankRefText,_xldudf_CX_GET(CX_ENTITY,$F63,AG$11,AG$14,,(AG$19))),_xlpm.Res,IF(OR(_xlpm.val="",_xlpm.val="Error"),"",_xlpm.val),_xlpm.Res)</f>
        <v>#NAME?</v>
      </c>
      <c r="AH63" s="1669" t="e" cm="1">
        <f t="array" ca="1" aca="1" ref="AH63">_xlfn.LET(_xlpm.val,IF($F63="",val_blankRefText,_xldudf_CX_GET(CX_ENTITY,$F63,AH$11,AH$14,,(AH$19))),_xlpm.Res,IF(OR(_xlpm.val="",_xlpm.val="Error"),"",_xlpm.val),_xlpm.Res)</f>
        <v>#NAME?</v>
      </c>
      <c r="AI63" s="1669" t="e" cm="1">
        <f t="array" ca="1" aca="1" ref="AI63">_xlfn.LET(_xlpm.val,IF($F63="",val_blankRefText,_xldudf_CX_GET(CX_ENTITY,$F63,AI$11,AI$14,,(AI$19))),_xlpm.Res,IF(OR(_xlpm.val="",_xlpm.val="Error"),"",_xlpm.val),_xlpm.Res)</f>
        <v>#NAME?</v>
      </c>
      <c r="AJ63" s="1669" t="e" cm="1">
        <f t="array" ca="1" aca="1" ref="AJ63">_xlfn.LET(_xlpm.val,IF($F63="",val_blankRefText,_xldudf_CX_GET(CX_ENTITY,$F63,AJ$11,AJ$14,,(AJ$19))),_xlpm.Res,IF(OR(_xlpm.val="",_xlpm.val="Error"),"",_xlpm.val),_xlpm.Res)</f>
        <v>#NAME?</v>
      </c>
      <c r="AK63" s="1669" t="e" cm="1">
        <f t="array" ca="1" aca="1" ref="AK63">_xlfn.LET(_xlpm.val,IF($F63="",val_blankRefText,_xldudf_CX_GET(CX_ENTITY,$F63,AK$11,AK$14,,(AK$19))),_xlpm.Res,IF(OR(_xlpm.val="",_xlpm.val="Error"),"",_xlpm.val),_xlpm.Res)</f>
        <v>#NAME?</v>
      </c>
      <c r="AL63" s="1669" t="e" cm="1">
        <f t="array" ca="1" aca="1" ref="AL63">_xlfn.LET(_xlpm.val,IF($F63="",val_blankRefText,_xldudf_CX_GET(CX_ENTITY,$F63,AL$11,AL$14,,(AL$19))),_xlpm.Res,IF(OR(_xlpm.val="",_xlpm.val="Error"),"",_xlpm.val),_xlpm.Res)</f>
        <v>#NAME?</v>
      </c>
      <c r="AM63" s="1669" t="e" cm="1">
        <f t="array" ca="1" aca="1" ref="AM63">_xlfn.LET(_xlpm.val,IF($F63="",val_blankRefText,_xldudf_CX_GET(CX_ENTITY,$F63,AM$11,AM$14,,(AM$19))),_xlpm.Res,IF(OR(_xlpm.val="",_xlpm.val="Error"),"",_xlpm.val),_xlpm.Res)</f>
        <v>#NAME?</v>
      </c>
      <c r="AN63" s="1669" t="e" cm="1">
        <f t="array" ca="1" aca="1" ref="AN63">_xlfn.LET(_xlpm.val,IF($F63="",val_blankRefText,_xldudf_CX_GET(CX_ENTITY,$F63,AN$11,AN$14,,(AN$19))),_xlpm.Res,IF(OR(_xlpm.val="",_xlpm.val="Error"),"",_xlpm.val),_xlpm.Res)</f>
        <v>#NAME?</v>
      </c>
      <c r="AO63" s="1669" t="e" cm="1">
        <f t="array" ca="1" aca="1" ref="AO63">_xlfn.LET(_xlpm.val,IF($F63="",val_blankRefText,_xldudf_CX_GET(CX_ENTITY,$F63,AO$11,AO$14,,(AO$19))),_xlpm.Res,IF(OR(_xlpm.val="",_xlpm.val="Error"),"",_xlpm.val),_xlpm.Res)</f>
        <v>#NAME?</v>
      </c>
      <c r="AP63" s="1669" t="e" cm="1">
        <f t="array" ca="1" aca="1" ref="AP63">_xlfn.LET(_xlpm.val,IF($F63="",val_blankRefText,_xldudf_CX_GET(CX_ENTITY,$F63,AP$11,AP$14,,(AP$19))),_xlpm.Res,IF(OR(_xlpm.val="",_xlpm.val="Error"),"",_xlpm.val),_xlpm.Res)</f>
        <v>#NAME?</v>
      </c>
      <c r="AQ63" s="1669" t="e" cm="1">
        <f t="array" ca="1" aca="1" ref="AQ63">_xlfn.LET(_xlpm.val,IF($F63="",val_blankRefText,_xldudf_CX_GET(CX_ENTITY,$F63,AQ$11,AQ$14,,(AQ$19))),_xlpm.Res,IF(OR(_xlpm.val="",_xlpm.val="Error"),"",_xlpm.val),_xlpm.Res)</f>
        <v>#NAME?</v>
      </c>
      <c r="AR63" s="1669" t="e" cm="1">
        <f t="array" ca="1" aca="1" ref="AR63">_xlfn.LET(_xlpm.val,IF($F63="",val_blankRefText,_xldudf_CX_GET(CX_ENTITY,$F63,AR$11,AR$14,,(AR$19))),_xlpm.Res,IF(OR(_xlpm.val="",_xlpm.val="Error"),"",_xlpm.val),_xlpm.Res)</f>
        <v>#NAME?</v>
      </c>
      <c r="AS63" s="1669" t="e" cm="1">
        <f t="array" ca="1" aca="1" ref="AS63">_xlfn.LET(_xlpm.val,IF($F63="",val_blankRefText,_xldudf_CX_GET(CX_ENTITY,$F63,AS$11,AS$14,,(AS$19))),_xlpm.Res,IF(OR(_xlpm.val="",_xlpm.val="Error"),"",_xlpm.val),_xlpm.Res)</f>
        <v>#NAME?</v>
      </c>
      <c r="AT63" s="1669" t="e" cm="1">
        <f t="array" ca="1" aca="1" ref="AT63">_xlfn.LET(_xlpm.val,IF($F63="",val_blankRefText,_xldudf_CX_GET(CX_ENTITY,$F63,AT$11,AT$14,,(AT$19))),_xlpm.Res,IF(OR(_xlpm.val="",_xlpm.val="Error"),"",_xlpm.val),_xlpm.Res)</f>
        <v>#NAME?</v>
      </c>
      <c r="AU63" s="1669" t="e" cm="1">
        <f t="array" ca="1" aca="1" ref="AU63">_xlfn.LET(_xlpm.val,IF($F63="",val_blankRefText,_xldudf_CX_GET(CX_ENTITY,$F63,AU$11,AU$14,,(AU$19))),_xlpm.Res,IF(OR(_xlpm.val="",_xlpm.val="Error"),"",_xlpm.val),_xlpm.Res)</f>
        <v>#NAME?</v>
      </c>
      <c r="AV63" s="1669" t="e" cm="1">
        <f t="array" ca="1" aca="1" ref="AV63">_xlfn.LET(_xlpm.val,IF($F63="",val_blankRefText,_xldudf_CX_GET(CX_ENTITY,$F63,AV$11,AV$14,,(AV$19))),_xlpm.Res,IF(OR(_xlpm.val="",_xlpm.val="Error"),"",_xlpm.val),_xlpm.Res)</f>
        <v>#NAME?</v>
      </c>
      <c r="AW63" s="1669" t="e" cm="1">
        <f t="array" ca="1" aca="1" ref="AW63">_xlfn.LET(_xlpm.val,IF($F63="",val_blankRefText,_xldudf_CX_GET(CX_ENTITY,$F63,AW$11,AW$14,,(AW$19))),_xlpm.Res,IF(OR(_xlpm.val="",_xlpm.val="Error"),"",_xlpm.val),_xlpm.Res)</f>
        <v>#NAME?</v>
      </c>
      <c r="AX63" s="1669" t="e" cm="1">
        <f t="array" ca="1" aca="1" ref="AX63">_xlfn.LET(_xlpm.val,IF($F63="",val_blankRefText,_xldudf_CX_GET(CX_ENTITY,$F63,AX$11,AX$14,,(AX$19))),_xlpm.Res,IF(OR(_xlpm.val="",_xlpm.val="Error"),"",_xlpm.val),_xlpm.Res)</f>
        <v>#NAME?</v>
      </c>
      <c r="AY63" s="1669" t="e" cm="1">
        <f t="array" ca="1" aca="1" ref="AY63">_xlfn.LET(_xlpm.val,IF($F63="",val_blankRefText,_xldudf_CX_GET(CX_ENTITY,$F63,AY$11,AY$14,,(AY$19))),_xlpm.Res,IF(OR(_xlpm.val="",_xlpm.val="Error"),"",_xlpm.val),_xlpm.Res)</f>
        <v>#NAME?</v>
      </c>
      <c r="AZ63" s="1669" t="e" cm="1">
        <f t="array" ca="1" aca="1" ref="AZ63">_xlfn.LET(_xlpm.val,IF($F63="",val_blankRefText,_xldudf_CX_GET(CX_ENTITY,$F63,AZ$11,AZ$14,,(AZ$19))),_xlpm.Res,IF(OR(_xlpm.val="",_xlpm.val="Error"),"",_xlpm.val),_xlpm.Res)</f>
        <v>#NAME?</v>
      </c>
      <c r="BA63" s="1669" t="e" cm="1">
        <f t="array" ca="1" aca="1" ref="BA63">_xlfn.LET(_xlpm.val,IF($F63="",val_blankRefText,_xldudf_CX_GET(CX_ENTITY,$F63,BA$11,BA$14,,(BA$19))),_xlpm.Res,IF(OR(_xlpm.val="",_xlpm.val="Error"),"",_xlpm.val),_xlpm.Res)</f>
        <v>#NAME?</v>
      </c>
      <c r="BB63" s="1669" t="e" cm="1">
        <f t="array" ca="1" aca="1" ref="BB63">_xlfn.LET(_xlpm.val,IF($F63="",val_blankRefText,_xldudf_CX_GET(CX_ENTITY,$F63,BB$11,BB$14,,(BB$19))),_xlpm.Res,IF(OR(_xlpm.val="",_xlpm.val="Error"),"",_xlpm.val),_xlpm.Res)</f>
        <v>#NAME?</v>
      </c>
      <c r="BC63" s="1669" t="e" cm="1">
        <f t="array" ca="1" aca="1" ref="BC63">_xlfn.LET(_xlpm.val,IF($F63="",val_blankRefText,_xldudf_CX_GET(CX_ENTITY,$F63,BC$11,BC$14,,(BC$19))),_xlpm.Res,IF(OR(_xlpm.val="",_xlpm.val="Error"),"",_xlpm.val),_xlpm.Res)</f>
        <v>#NAME?</v>
      </c>
      <c r="BD63" s="1669" t="e" cm="1">
        <f t="array" ca="1" aca="1" ref="BD63">_xlfn.LET(_xlpm.val,IF($F63="",val_blankRefText,_xldudf_CX_GET(CX_ENTITY,$F63,BD$11,BD$14,,(BD$19))),_xlpm.Res,IF(OR(_xlpm.val="",_xlpm.val="Error"),"",_xlpm.val),_xlpm.Res)</f>
        <v>#NAME?</v>
      </c>
      <c r="BE63" s="1669" t="e" cm="1">
        <f t="array" ca="1" aca="1" ref="BE63">_xlfn.LET(_xlpm.val,IF($F63="",val_blankRefText,_xldudf_CX_GET(CX_ENTITY,$F63,BE$11,BE$14,,(BE$19))),_xlpm.Res,IF(OR(_xlpm.val="",_xlpm.val="Error"),"",_xlpm.val),_xlpm.Res)</f>
        <v>#NAME?</v>
      </c>
      <c r="BF63" s="1669" t="e" cm="1">
        <f t="array" ca="1" aca="1" ref="BF63">_xlfn.LET(_xlpm.val,IF($F63="",val_blankRefText,_xldudf_CX_GET(CX_ENTITY,$F63,BF$11,BF$14,,(BF$19))),_xlpm.Res,IF(OR(_xlpm.val="",_xlpm.val="Error"),"",_xlpm.val),_xlpm.Res)</f>
        <v>#NAME?</v>
      </c>
      <c r="BG63" s="1669" t="e" cm="1">
        <f t="array" ca="1" aca="1" ref="BG63">_xlfn.LET(_xlpm.val,IF($F63="",val_blankRefText,_xldudf_CX_GET(CX_ENTITY,$F63,BG$11,BG$14,,(BG$19))),_xlpm.Res,IF(OR(_xlpm.val="",_xlpm.val="Error"),"",_xlpm.val),_xlpm.Res)</f>
        <v>#NAME?</v>
      </c>
      <c r="BH63" s="1669" t="e" cm="1">
        <f t="array" ca="1" aca="1" ref="BH63">_xlfn.LET(_xlpm.val,IF($F63="",val_blankRefText,_xldudf_CX_GET(CX_ENTITY,$F63,BH$11,BH$14,,(BH$19))),_xlpm.Res,IF(OR(_xlpm.val="",_xlpm.val="Error"),"",_xlpm.val),_xlpm.Res)</f>
        <v>#NAME?</v>
      </c>
      <c r="BI63" s="1669" t="e" cm="1">
        <f t="array" ca="1" aca="1" ref="BI63">_xlfn.LET(_xlpm.val,IF($F63="",val_blankRefText,_xldudf_CX_GET(CX_ENTITY,$F63,BI$11,BI$14,,(BI$19))),_xlpm.Res,IF(OR(_xlpm.val="",_xlpm.val="Error"),"",_xlpm.val),_xlpm.Res)</f>
        <v>#NAME?</v>
      </c>
      <c r="BJ63" s="1669" t="e" cm="1">
        <f t="array" ca="1" aca="1" ref="BJ63">_xlfn.LET(_xlpm.val,IF($F63="",val_blankRefText,_xldudf_CX_GET(CX_ENTITY,$F63,BJ$11,BJ$14,,(BJ$19))),_xlpm.Res,IF(OR(_xlpm.val="",_xlpm.val="Error"),"",_xlpm.val),_xlpm.Res)</f>
        <v>#NAME?</v>
      </c>
      <c r="BK63" s="1669" t="e" cm="1">
        <f t="array" ca="1" aca="1" ref="BK63">_xlfn.LET(_xlpm.val,IF($F63="",val_blankRefText,_xldudf_CX_GET(CX_ENTITY,$F63,BK$11,BK$14,,(BK$19))),_xlpm.Res,IF(OR(_xlpm.val="",_xlpm.val="Error"),"",_xlpm.val),_xlpm.Res)</f>
        <v>#NAME?</v>
      </c>
      <c r="BL63" s="1669" t="e" cm="1">
        <f t="array" ca="1" aca="1" ref="BL63">_xlfn.LET(_xlpm.val,IF($F63="",val_blankRefText,_xldudf_CX_GET(CX_ENTITY,$F63,BL$11,BL$14,,(BL$19))),_xlpm.Res,IF(OR(_xlpm.val="",_xlpm.val="Error"),"",_xlpm.val),_xlpm.Res)</f>
        <v>#NAME?</v>
      </c>
      <c r="BM63" s="1669" t="e" cm="1">
        <f t="array" ca="1" aca="1" ref="BM63">_xlfn.LET(_xlpm.val,IF($F63="",val_blankRefText,_xldudf_CX_GET(CX_ENTITY,$F63,BM$11,BM$14,,(BM$19))),_xlpm.Res,IF(OR(_xlpm.val="",_xlpm.val="Error"),"",_xlpm.val),_xlpm.Res)</f>
        <v>#NAME?</v>
      </c>
      <c r="BN63" s="1669" t="e" cm="1">
        <f t="array" ca="1" aca="1" ref="BN63">_xlfn.LET(_xlpm.val,IF($F63="",val_blankRefText,_xldudf_CX_GET(CX_ENTITY,$F63,BN$11,BN$14,,(BN$19))),_xlpm.Res,IF(OR(_xlpm.val="",_xlpm.val="Error"),"",_xlpm.val),_xlpm.Res)</f>
        <v>#NAME?</v>
      </c>
      <c r="BO63" s="2095"/>
      <c r="BP63" s="2095"/>
      <c r="BQ63" s="2095"/>
      <c r="BR63" s="2095"/>
      <c r="BS63" s="2095"/>
      <c r="BT63" s="2095"/>
      <c r="BU63" s="2095"/>
      <c r="BV63" s="2095"/>
      <c r="BW63" s="2095"/>
      <c r="BX63" s="2095"/>
      <c r="BY63" s="2095"/>
      <c r="BZ63" s="2095"/>
      <c r="CA63" s="34"/>
      <c r="CC63" s="33"/>
      <c r="CD63" s="1461" t="str" cm="1">
        <f t="array" ref="CD63">_xlfn.LET(_xlpm.CheckBlank,SUM(PL!$AD63:PL!$BN63)=0,IF(_xlpm.CheckBlank,"",SUM(_xlfn._xlws.FILTER(PL!$AD63:$BN63,(YEAR(PL!$AD$12:$BN$12)=PL!CD$12)*(array_timeline&lt;=PL!CD$11)))))</f>
        <v/>
      </c>
      <c r="CE63" s="1461" t="str" cm="1">
        <f t="array" ref="CE63">_xlfn.LET(_xlpm.CheckBlank,SUM(PL!$AD63:PL!$BN63)=0,IF(_xlpm.CheckBlank,"",SUM(_xlfn._xlws.FILTER(PL!$AD63:$BN63,(YEAR(PL!$AD$12:$BN$12)=PL!CE$12)*(array_timeline&lt;=PL!CE$11)))))</f>
        <v/>
      </c>
      <c r="CF63" s="88"/>
      <c r="CG63" s="1461" t="str" cm="1">
        <f t="array" ref="CG63">_xlfn.LET(_xlpm.CheckBlank,SUM(PL!$AD63:$BN63)=0,IF(_xlpm.CheckBlank,"",SUM(_xlfn._xlws.FILTER(PL!$AD63:$BN63,(YEAR(PL!$AD$12:$BN$12)=PL!CG$12)*(array_timeline&lt;=PL!CG$11)))))</f>
        <v/>
      </c>
      <c r="CH63" s="1461" t="str" cm="1">
        <f t="array" ref="CH63">_xlfn.LET(_xlpm.CheckBlank,SUM(PL!$AD63:$BN63)=0,IF(_xlpm.CheckBlank,"",SUM(_xlfn._xlws.FILTER(PL!$AD63:$BN63,(YEAR(PL!$AD$12:$BN$12)=PL!CH$12)*(array_timeline&lt;=PL!CH$11)))))</f>
        <v/>
      </c>
      <c r="CI63" s="88"/>
      <c r="CJ63" s="1461" t="str" cm="1">
        <f t="array" ref="CJ63">_xlfn.LET(_xlpm.CheckBlank,SUM(PL!$AD63:$BN63)=0,IF(_xlpm.CheckBlank,"",SUM(_xlfn.TAKE(_xlfn.DROP(PL!$AD63:$BN63,,-DATEDIFF(PL!CJ$11,val_asOfDate,"M")),1,-12))))</f>
        <v/>
      </c>
      <c r="CK63" s="1461" t="str" cm="1">
        <f t="array" ref="CK63">_xlfn.LET(_xlpm.CheckBlank,SUM(PL!$AD63:$BN63)=0,IF(_xlpm.CheckBlank,"",SUM(_xlfn.TAKE(_xlfn.DROP(PL!$AD63:$BN63,,-DATEDIFF(PL!CK$11,val_asOfDate,"M")),1,-12))))</f>
        <v/>
      </c>
      <c r="CL63" s="88"/>
      <c r="CM63" s="1556" t="e" cm="1">
        <f t="array" ca="1" aca="1" ref="CM63">IF($F63="",val_blankRefText,N(_xldudf_CX_GET(CX_ENTITY,$F63,CM$11,CM$14,,(CM$19)))/fxVal_normal*fxVal_sign($A63))</f>
        <v>#NAME?</v>
      </c>
      <c r="CN63" s="1556" t="e" cm="1">
        <f t="array" ca="1" aca="1" ref="CN63">IF($F63="",val_blankRefText,N(_xldudf_CX_GET(CX_ENTITY,$F63,CN$11,CN$14,,(CN$19)))/fxVal_normal*fxVal_sign($A63))</f>
        <v>#NAME?</v>
      </c>
      <c r="CO63" s="88"/>
      <c r="CP63" s="1650" t="e" cm="1">
        <f t="array" ca="1" aca="1" ref="CP63">IF($F63="",val_blankRefText,N(_xldudf_CX_GET(CX_ENTITY,fx_attrConverter($F63),CP$11,CP$14,,(CP$19)))/fxVal_normal*fxVal_sign($A63))</f>
        <v>#NAME?</v>
      </c>
      <c r="CQ63" s="1651" t="e" cm="1">
        <f t="array" ca="1" aca="1" ref="CQ63">IF($F63="",val_blankRefText,N(_xldudf_CX_GET(CX_ENTITY,$F63,CQ$11,CQ$14,,(CQ$19)))/fxVal_normal*fxVal_sign($A63))</f>
        <v>#NAME?</v>
      </c>
      <c r="CR63" s="34"/>
    </row>
    <row r="64" spans="1:96" ht="21" customHeight="1" outlineLevel="2">
      <c r="A64" s="1322"/>
      <c r="B64" s="2128" t="s">
        <v>1592</v>
      </c>
      <c r="C64" s="577" t="s">
        <v>1593</v>
      </c>
      <c r="D64" s="1079"/>
      <c r="E64" s="1615" t="e" cm="1">
        <f t="array" ca="1" aca="1" ref="E64">_xlfn.LET(_xlpm.Attr,$C64,_xlpm.Lookback,$E$16,_xlpm.QueryDate,EOMONTH(val_asOfDate,_xlpm.Lookback),_xlpm.ReadField,_xldudf_CX_GET(CX_ENTITY,fx_attrConverter($C64),_xlpm.QueryDate),_xlpm.AttrBlank,_xlpm.Attr="",_xlpm.RESULT,IF(_xlpm.AttrBlank,val_blankRefText,fx_attrConverter(_xlpm.ReadField,0)),IF(_xlpm.RESULT="Error","",_xlpm.RESULT))</f>
        <v>#NAME?</v>
      </c>
      <c r="F64" s="577" t="str">
        <f t="shared" si="11"/>
        <v>Custom Metric Amount 8 [Calculated]</v>
      </c>
      <c r="G64" s="577" t="s">
        <v>1579</v>
      </c>
      <c r="H64" s="3280">
        <v>1</v>
      </c>
      <c r="I64" s="3280">
        <v>1</v>
      </c>
      <c r="J64" s="401"/>
      <c r="K64" s="401"/>
      <c r="L64" s="579" t="b">
        <v>0</v>
      </c>
      <c r="N64" s="158"/>
      <c r="O64" s="101"/>
      <c r="P64" s="52"/>
      <c r="Q64" s="101"/>
      <c r="R64" s="539"/>
      <c r="S64" s="101"/>
      <c r="T64" s="101"/>
      <c r="U64" s="39"/>
      <c r="W64" s="91" t="str">
        <f>_PL!$W$17</f>
        <v>Actual</v>
      </c>
      <c r="X64" s="2370" t="e" cm="1">
        <f t="array" ca="1" aca="1" ref="X64">_xlfn.LET(_xlpm.toPass,$E64="",_xlpm.hasParts,ISNUMBER(SEARCH("|",$E64)),_xlpm.Part1,INDEX(_xlfn.TEXTSPLIT($E64,"|",,FALSE,1),1),_xlpm.Part1Num,IFERROR(_xlfn.NUMBERVALUE(_xlpm.Part1),_xlpm.Part1),_xlfn.SWITCH(TRUE,_xlpm.toPass,"",_xlpm.hasParts,_xlpm.Part1Num,$E64))</f>
        <v>#NAME?</v>
      </c>
      <c r="Y64" s="590" t="e" cm="1">
        <f t="array" ca="1" aca="1" ref="Y64">_xlfn.LET(_xlpm.PackedString,E64,IF(_xlpm.PackedString="","",IF(ISNUMBER(SEARCH("|",_xlpm.PackedString)),INDEX(_xlfn.TEXTSPLIT(_xlpm.PackedString,"|",,FALSE),2),_xlpm.PackedString)))</f>
        <v>#NAME?</v>
      </c>
      <c r="Z64" s="198" t="e">
        <f t="shared" ca="1" si="12"/>
        <v>#NAME?</v>
      </c>
      <c r="AA64" s="200"/>
      <c r="AB64" s="709" t="e" cm="1">
        <f t="array" ca="1" aca="1" ref="AB64">_xlfn.LET(_xlpm.PackedString,E64,IF(_xlpm.PackedString="","",IF(ISNUMBER(SEARCH("|",_xlpm.PackedString)),INDEX(_xlfn.TEXTSPLIT(_xlpm.PackedString,"|",,FALSE),3),_xlpm.PackedString)))</f>
        <v>#NAME?</v>
      </c>
      <c r="AC64" s="200" t="str" cm="1">
        <f t="array" ca="1" aca="1" ref="AC64">_xlfn.LET(_xlpm.Def,IF(_xlfn.XMATCH(AB64,tbl_acctDef[Term],0)&gt;0,fx_getIcon("find"),""),_xlpm.Adj,IF(_xlfn.XMATCH(AB64,tbl_adjExample[Items],0)&gt;0,fx_getIcon("find"),""),IFERROR(IFBLANK(_xlpm.Def,_xlpm.Adj),""))</f>
        <v/>
      </c>
      <c r="AD64" s="1669" t="e" cm="1">
        <f t="array" ca="1" aca="1" ref="AD64">_xlfn.LET(_xlpm.val,IF($F64="",val_blankRefText,_xldudf_CX_GET(CX_ENTITY,$F64,AD$11,AD$14,,(AD$19))),_xlpm.Res,IF(OR(_xlpm.val="",_xlpm.val="Error"),"",_xlpm.val),_xlpm.Res)</f>
        <v>#NAME?</v>
      </c>
      <c r="AE64" s="1669" t="e" cm="1">
        <f t="array" ca="1" aca="1" ref="AE64">_xlfn.LET(_xlpm.val,IF($F64="",val_blankRefText,_xldudf_CX_GET(CX_ENTITY,$F64,AE$11,AE$14,,(AE$19))),_xlpm.Res,IF(OR(_xlpm.val="",_xlpm.val="Error"),"",_xlpm.val),_xlpm.Res)</f>
        <v>#NAME?</v>
      </c>
      <c r="AF64" s="1669" t="e" cm="1">
        <f t="array" ca="1" aca="1" ref="AF64">_xlfn.LET(_xlpm.val,IF($F64="",val_blankRefText,_xldudf_CX_GET(CX_ENTITY,$F64,AF$11,AF$14,,(AF$19))),_xlpm.Res,IF(OR(_xlpm.val="",_xlpm.val="Error"),"",_xlpm.val),_xlpm.Res)</f>
        <v>#NAME?</v>
      </c>
      <c r="AG64" s="1669" t="e" cm="1">
        <f t="array" ca="1" aca="1" ref="AG64">_xlfn.LET(_xlpm.val,IF($F64="",val_blankRefText,_xldudf_CX_GET(CX_ENTITY,$F64,AG$11,AG$14,,(AG$19))),_xlpm.Res,IF(OR(_xlpm.val="",_xlpm.val="Error"),"",_xlpm.val),_xlpm.Res)</f>
        <v>#NAME?</v>
      </c>
      <c r="AH64" s="1669" t="e" cm="1">
        <f t="array" ca="1" aca="1" ref="AH64">_xlfn.LET(_xlpm.val,IF($F64="",val_blankRefText,_xldudf_CX_GET(CX_ENTITY,$F64,AH$11,AH$14,,(AH$19))),_xlpm.Res,IF(OR(_xlpm.val="",_xlpm.val="Error"),"",_xlpm.val),_xlpm.Res)</f>
        <v>#NAME?</v>
      </c>
      <c r="AI64" s="1669" t="e" cm="1">
        <f t="array" ca="1" aca="1" ref="AI64">_xlfn.LET(_xlpm.val,IF($F64="",val_blankRefText,_xldudf_CX_GET(CX_ENTITY,$F64,AI$11,AI$14,,(AI$19))),_xlpm.Res,IF(OR(_xlpm.val="",_xlpm.val="Error"),"",_xlpm.val),_xlpm.Res)</f>
        <v>#NAME?</v>
      </c>
      <c r="AJ64" s="1669" t="e" cm="1">
        <f t="array" ca="1" aca="1" ref="AJ64">_xlfn.LET(_xlpm.val,IF($F64="",val_blankRefText,_xldudf_CX_GET(CX_ENTITY,$F64,AJ$11,AJ$14,,(AJ$19))),_xlpm.Res,IF(OR(_xlpm.val="",_xlpm.val="Error"),"",_xlpm.val),_xlpm.Res)</f>
        <v>#NAME?</v>
      </c>
      <c r="AK64" s="1669" t="e" cm="1">
        <f t="array" ca="1" aca="1" ref="AK64">_xlfn.LET(_xlpm.val,IF($F64="",val_blankRefText,_xldudf_CX_GET(CX_ENTITY,$F64,AK$11,AK$14,,(AK$19))),_xlpm.Res,IF(OR(_xlpm.val="",_xlpm.val="Error"),"",_xlpm.val),_xlpm.Res)</f>
        <v>#NAME?</v>
      </c>
      <c r="AL64" s="1669" t="e" cm="1">
        <f t="array" ca="1" aca="1" ref="AL64">_xlfn.LET(_xlpm.val,IF($F64="",val_blankRefText,_xldudf_CX_GET(CX_ENTITY,$F64,AL$11,AL$14,,(AL$19))),_xlpm.Res,IF(OR(_xlpm.val="",_xlpm.val="Error"),"",_xlpm.val),_xlpm.Res)</f>
        <v>#NAME?</v>
      </c>
      <c r="AM64" s="1669" t="e" cm="1">
        <f t="array" ca="1" aca="1" ref="AM64">_xlfn.LET(_xlpm.val,IF($F64="",val_blankRefText,_xldudf_CX_GET(CX_ENTITY,$F64,AM$11,AM$14,,(AM$19))),_xlpm.Res,IF(OR(_xlpm.val="",_xlpm.val="Error"),"",_xlpm.val),_xlpm.Res)</f>
        <v>#NAME?</v>
      </c>
      <c r="AN64" s="1669" t="e" cm="1">
        <f t="array" ca="1" aca="1" ref="AN64">_xlfn.LET(_xlpm.val,IF($F64="",val_blankRefText,_xldudf_CX_GET(CX_ENTITY,$F64,AN$11,AN$14,,(AN$19))),_xlpm.Res,IF(OR(_xlpm.val="",_xlpm.val="Error"),"",_xlpm.val),_xlpm.Res)</f>
        <v>#NAME?</v>
      </c>
      <c r="AO64" s="1669" t="e" cm="1">
        <f t="array" ca="1" aca="1" ref="AO64">_xlfn.LET(_xlpm.val,IF($F64="",val_blankRefText,_xldudf_CX_GET(CX_ENTITY,$F64,AO$11,AO$14,,(AO$19))),_xlpm.Res,IF(OR(_xlpm.val="",_xlpm.val="Error"),"",_xlpm.val),_xlpm.Res)</f>
        <v>#NAME?</v>
      </c>
      <c r="AP64" s="1669" t="e" cm="1">
        <f t="array" ca="1" aca="1" ref="AP64">_xlfn.LET(_xlpm.val,IF($F64="",val_blankRefText,_xldudf_CX_GET(CX_ENTITY,$F64,AP$11,AP$14,,(AP$19))),_xlpm.Res,IF(OR(_xlpm.val="",_xlpm.val="Error"),"",_xlpm.val),_xlpm.Res)</f>
        <v>#NAME?</v>
      </c>
      <c r="AQ64" s="1669" t="e" cm="1">
        <f t="array" ca="1" aca="1" ref="AQ64">_xlfn.LET(_xlpm.val,IF($F64="",val_blankRefText,_xldudf_CX_GET(CX_ENTITY,$F64,AQ$11,AQ$14,,(AQ$19))),_xlpm.Res,IF(OR(_xlpm.val="",_xlpm.val="Error"),"",_xlpm.val),_xlpm.Res)</f>
        <v>#NAME?</v>
      </c>
      <c r="AR64" s="1669" t="e" cm="1">
        <f t="array" ca="1" aca="1" ref="AR64">_xlfn.LET(_xlpm.val,IF($F64="",val_blankRefText,_xldudf_CX_GET(CX_ENTITY,$F64,AR$11,AR$14,,(AR$19))),_xlpm.Res,IF(OR(_xlpm.val="",_xlpm.val="Error"),"",_xlpm.val),_xlpm.Res)</f>
        <v>#NAME?</v>
      </c>
      <c r="AS64" s="1669" t="e" cm="1">
        <f t="array" ca="1" aca="1" ref="AS64">_xlfn.LET(_xlpm.val,IF($F64="",val_blankRefText,_xldudf_CX_GET(CX_ENTITY,$F64,AS$11,AS$14,,(AS$19))),_xlpm.Res,IF(OR(_xlpm.val="",_xlpm.val="Error"),"",_xlpm.val),_xlpm.Res)</f>
        <v>#NAME?</v>
      </c>
      <c r="AT64" s="1669" t="e" cm="1">
        <f t="array" ca="1" aca="1" ref="AT64">_xlfn.LET(_xlpm.val,IF($F64="",val_blankRefText,_xldudf_CX_GET(CX_ENTITY,$F64,AT$11,AT$14,,(AT$19))),_xlpm.Res,IF(OR(_xlpm.val="",_xlpm.val="Error"),"",_xlpm.val),_xlpm.Res)</f>
        <v>#NAME?</v>
      </c>
      <c r="AU64" s="1669" t="e" cm="1">
        <f t="array" ca="1" aca="1" ref="AU64">_xlfn.LET(_xlpm.val,IF($F64="",val_blankRefText,_xldudf_CX_GET(CX_ENTITY,$F64,AU$11,AU$14,,(AU$19))),_xlpm.Res,IF(OR(_xlpm.val="",_xlpm.val="Error"),"",_xlpm.val),_xlpm.Res)</f>
        <v>#NAME?</v>
      </c>
      <c r="AV64" s="1669" t="e" cm="1">
        <f t="array" ca="1" aca="1" ref="AV64">_xlfn.LET(_xlpm.val,IF($F64="",val_blankRefText,_xldudf_CX_GET(CX_ENTITY,$F64,AV$11,AV$14,,(AV$19))),_xlpm.Res,IF(OR(_xlpm.val="",_xlpm.val="Error"),"",_xlpm.val),_xlpm.Res)</f>
        <v>#NAME?</v>
      </c>
      <c r="AW64" s="1669" t="e" cm="1">
        <f t="array" ca="1" aca="1" ref="AW64">_xlfn.LET(_xlpm.val,IF($F64="",val_blankRefText,_xldudf_CX_GET(CX_ENTITY,$F64,AW$11,AW$14,,(AW$19))),_xlpm.Res,IF(OR(_xlpm.val="",_xlpm.val="Error"),"",_xlpm.val),_xlpm.Res)</f>
        <v>#NAME?</v>
      </c>
      <c r="AX64" s="1669" t="e" cm="1">
        <f t="array" ca="1" aca="1" ref="AX64">_xlfn.LET(_xlpm.val,IF($F64="",val_blankRefText,_xldudf_CX_GET(CX_ENTITY,$F64,AX$11,AX$14,,(AX$19))),_xlpm.Res,IF(OR(_xlpm.val="",_xlpm.val="Error"),"",_xlpm.val),_xlpm.Res)</f>
        <v>#NAME?</v>
      </c>
      <c r="AY64" s="1669" t="e" cm="1">
        <f t="array" ca="1" aca="1" ref="AY64">_xlfn.LET(_xlpm.val,IF($F64="",val_blankRefText,_xldudf_CX_GET(CX_ENTITY,$F64,AY$11,AY$14,,(AY$19))),_xlpm.Res,IF(OR(_xlpm.val="",_xlpm.val="Error"),"",_xlpm.val),_xlpm.Res)</f>
        <v>#NAME?</v>
      </c>
      <c r="AZ64" s="1669" t="e" cm="1">
        <f t="array" ca="1" aca="1" ref="AZ64">_xlfn.LET(_xlpm.val,IF($F64="",val_blankRefText,_xldudf_CX_GET(CX_ENTITY,$F64,AZ$11,AZ$14,,(AZ$19))),_xlpm.Res,IF(OR(_xlpm.val="",_xlpm.val="Error"),"",_xlpm.val),_xlpm.Res)</f>
        <v>#NAME?</v>
      </c>
      <c r="BA64" s="1669" t="e" cm="1">
        <f t="array" ca="1" aca="1" ref="BA64">_xlfn.LET(_xlpm.val,IF($F64="",val_blankRefText,_xldudf_CX_GET(CX_ENTITY,$F64,BA$11,BA$14,,(BA$19))),_xlpm.Res,IF(OR(_xlpm.val="",_xlpm.val="Error"),"",_xlpm.val),_xlpm.Res)</f>
        <v>#NAME?</v>
      </c>
      <c r="BB64" s="1669" t="e" cm="1">
        <f t="array" ca="1" aca="1" ref="BB64">_xlfn.LET(_xlpm.val,IF($F64="",val_blankRefText,_xldudf_CX_GET(CX_ENTITY,$F64,BB$11,BB$14,,(BB$19))),_xlpm.Res,IF(OR(_xlpm.val="",_xlpm.val="Error"),"",_xlpm.val),_xlpm.Res)</f>
        <v>#NAME?</v>
      </c>
      <c r="BC64" s="1669" t="e" cm="1">
        <f t="array" ca="1" aca="1" ref="BC64">_xlfn.LET(_xlpm.val,IF($F64="",val_blankRefText,_xldudf_CX_GET(CX_ENTITY,$F64,BC$11,BC$14,,(BC$19))),_xlpm.Res,IF(OR(_xlpm.val="",_xlpm.val="Error"),"",_xlpm.val),_xlpm.Res)</f>
        <v>#NAME?</v>
      </c>
      <c r="BD64" s="1669" t="e" cm="1">
        <f t="array" ca="1" aca="1" ref="BD64">_xlfn.LET(_xlpm.val,IF($F64="",val_blankRefText,_xldudf_CX_GET(CX_ENTITY,$F64,BD$11,BD$14,,(BD$19))),_xlpm.Res,IF(OR(_xlpm.val="",_xlpm.val="Error"),"",_xlpm.val),_xlpm.Res)</f>
        <v>#NAME?</v>
      </c>
      <c r="BE64" s="1669" t="e" cm="1">
        <f t="array" ca="1" aca="1" ref="BE64">_xlfn.LET(_xlpm.val,IF($F64="",val_blankRefText,_xldudf_CX_GET(CX_ENTITY,$F64,BE$11,BE$14,,(BE$19))),_xlpm.Res,IF(OR(_xlpm.val="",_xlpm.val="Error"),"",_xlpm.val),_xlpm.Res)</f>
        <v>#NAME?</v>
      </c>
      <c r="BF64" s="1669" t="e" cm="1">
        <f t="array" ca="1" aca="1" ref="BF64">_xlfn.LET(_xlpm.val,IF($F64="",val_blankRefText,_xldudf_CX_GET(CX_ENTITY,$F64,BF$11,BF$14,,(BF$19))),_xlpm.Res,IF(OR(_xlpm.val="",_xlpm.val="Error"),"",_xlpm.val),_xlpm.Res)</f>
        <v>#NAME?</v>
      </c>
      <c r="BG64" s="1669" t="e" cm="1">
        <f t="array" ca="1" aca="1" ref="BG64">_xlfn.LET(_xlpm.val,IF($F64="",val_blankRefText,_xldudf_CX_GET(CX_ENTITY,$F64,BG$11,BG$14,,(BG$19))),_xlpm.Res,IF(OR(_xlpm.val="",_xlpm.val="Error"),"",_xlpm.val),_xlpm.Res)</f>
        <v>#NAME?</v>
      </c>
      <c r="BH64" s="1669" t="e" cm="1">
        <f t="array" ca="1" aca="1" ref="BH64">_xlfn.LET(_xlpm.val,IF($F64="",val_blankRefText,_xldudf_CX_GET(CX_ENTITY,$F64,BH$11,BH$14,,(BH$19))),_xlpm.Res,IF(OR(_xlpm.val="",_xlpm.val="Error"),"",_xlpm.val),_xlpm.Res)</f>
        <v>#NAME?</v>
      </c>
      <c r="BI64" s="1669" t="e" cm="1">
        <f t="array" ca="1" aca="1" ref="BI64">_xlfn.LET(_xlpm.val,IF($F64="",val_blankRefText,_xldudf_CX_GET(CX_ENTITY,$F64,BI$11,BI$14,,(BI$19))),_xlpm.Res,IF(OR(_xlpm.val="",_xlpm.val="Error"),"",_xlpm.val),_xlpm.Res)</f>
        <v>#NAME?</v>
      </c>
      <c r="BJ64" s="1669" t="e" cm="1">
        <f t="array" ca="1" aca="1" ref="BJ64">_xlfn.LET(_xlpm.val,IF($F64="",val_blankRefText,_xldudf_CX_GET(CX_ENTITY,$F64,BJ$11,BJ$14,,(BJ$19))),_xlpm.Res,IF(OR(_xlpm.val="",_xlpm.val="Error"),"",_xlpm.val),_xlpm.Res)</f>
        <v>#NAME?</v>
      </c>
      <c r="BK64" s="1669" t="e" cm="1">
        <f t="array" ca="1" aca="1" ref="BK64">_xlfn.LET(_xlpm.val,IF($F64="",val_blankRefText,_xldudf_CX_GET(CX_ENTITY,$F64,BK$11,BK$14,,(BK$19))),_xlpm.Res,IF(OR(_xlpm.val="",_xlpm.val="Error"),"",_xlpm.val),_xlpm.Res)</f>
        <v>#NAME?</v>
      </c>
      <c r="BL64" s="1669" t="e" cm="1">
        <f t="array" ca="1" aca="1" ref="BL64">_xlfn.LET(_xlpm.val,IF($F64="",val_blankRefText,_xldudf_CX_GET(CX_ENTITY,$F64,BL$11,BL$14,,(BL$19))),_xlpm.Res,IF(OR(_xlpm.val="",_xlpm.val="Error"),"",_xlpm.val),_xlpm.Res)</f>
        <v>#NAME?</v>
      </c>
      <c r="BM64" s="1669" t="e" cm="1">
        <f t="array" ca="1" aca="1" ref="BM64">_xlfn.LET(_xlpm.val,IF($F64="",val_blankRefText,_xldudf_CX_GET(CX_ENTITY,$F64,BM$11,BM$14,,(BM$19))),_xlpm.Res,IF(OR(_xlpm.val="",_xlpm.val="Error"),"",_xlpm.val),_xlpm.Res)</f>
        <v>#NAME?</v>
      </c>
      <c r="BN64" s="1669" t="e" cm="1">
        <f t="array" ca="1" aca="1" ref="BN64">_xlfn.LET(_xlpm.val,IF($F64="",val_blankRefText,_xldudf_CX_GET(CX_ENTITY,$F64,BN$11,BN$14,,(BN$19))),_xlpm.Res,IF(OR(_xlpm.val="",_xlpm.val="Error"),"",_xlpm.val),_xlpm.Res)</f>
        <v>#NAME?</v>
      </c>
      <c r="BO64" s="2095"/>
      <c r="BP64" s="2095"/>
      <c r="BQ64" s="2095"/>
      <c r="BR64" s="2095"/>
      <c r="BS64" s="2095"/>
      <c r="BT64" s="2095"/>
      <c r="BU64" s="2095"/>
      <c r="BV64" s="2095"/>
      <c r="BW64" s="2095"/>
      <c r="BX64" s="2095"/>
      <c r="BY64" s="2095"/>
      <c r="BZ64" s="2095"/>
      <c r="CA64" s="34"/>
      <c r="CC64" s="33"/>
      <c r="CD64" s="1461" t="str" cm="1">
        <f t="array" ref="CD64">_xlfn.LET(_xlpm.CheckBlank,SUM(PL!$AD64:PL!$BN64)=0,IF(_xlpm.CheckBlank,"",SUM(_xlfn._xlws.FILTER(PL!$AD64:$BN64,(YEAR(PL!$AD$12:$BN$12)=PL!CD$12)*(array_timeline&lt;=PL!CD$11)))))</f>
        <v/>
      </c>
      <c r="CE64" s="1461" t="str" cm="1">
        <f t="array" ref="CE64">_xlfn.LET(_xlpm.CheckBlank,SUM(PL!$AD64:PL!$BN64)=0,IF(_xlpm.CheckBlank,"",SUM(_xlfn._xlws.FILTER(PL!$AD64:$BN64,(YEAR(PL!$AD$12:$BN$12)=PL!CE$12)*(array_timeline&lt;=PL!CE$11)))))</f>
        <v/>
      </c>
      <c r="CF64" s="88"/>
      <c r="CG64" s="1461" t="str" cm="1">
        <f t="array" ref="CG64">_xlfn.LET(_xlpm.CheckBlank,SUM(PL!$AD64:$BN64)=0,IF(_xlpm.CheckBlank,"",SUM(_xlfn._xlws.FILTER(PL!$AD64:$BN64,(YEAR(PL!$AD$12:$BN$12)=PL!CG$12)*(array_timeline&lt;=PL!CG$11)))))</f>
        <v/>
      </c>
      <c r="CH64" s="1461" t="str" cm="1">
        <f t="array" ref="CH64">_xlfn.LET(_xlpm.CheckBlank,SUM(PL!$AD64:$BN64)=0,IF(_xlpm.CheckBlank,"",SUM(_xlfn._xlws.FILTER(PL!$AD64:$BN64,(YEAR(PL!$AD$12:$BN$12)=PL!CH$12)*(array_timeline&lt;=PL!CH$11)))))</f>
        <v/>
      </c>
      <c r="CI64" s="88"/>
      <c r="CJ64" s="1461" t="str" cm="1">
        <f t="array" ref="CJ64">_xlfn.LET(_xlpm.CheckBlank,SUM(PL!$AD64:$BN64)=0,IF(_xlpm.CheckBlank,"",SUM(_xlfn.TAKE(_xlfn.DROP(PL!$AD64:$BN64,,-DATEDIFF(PL!CJ$11,val_asOfDate,"M")),1,-12))))</f>
        <v/>
      </c>
      <c r="CK64" s="1461" t="str" cm="1">
        <f t="array" ref="CK64">_xlfn.LET(_xlpm.CheckBlank,SUM(PL!$AD64:$BN64)=0,IF(_xlpm.CheckBlank,"",SUM(_xlfn.TAKE(_xlfn.DROP(PL!$AD64:$BN64,,-DATEDIFF(PL!CK$11,val_asOfDate,"M")),1,-12))))</f>
        <v/>
      </c>
      <c r="CL64" s="88"/>
      <c r="CM64" s="1556" t="e" cm="1">
        <f t="array" ca="1" aca="1" ref="CM64">IF($F64="",val_blankRefText,N(_xldudf_CX_GET(CX_ENTITY,$F64,CM$11,CM$14,,(CM$19)))/fxVal_normal*fxVal_sign($A64))</f>
        <v>#NAME?</v>
      </c>
      <c r="CN64" s="1556" t="e" cm="1">
        <f t="array" ca="1" aca="1" ref="CN64">IF($F64="",val_blankRefText,N(_xldudf_CX_GET(CX_ENTITY,$F64,CN$11,CN$14,,(CN$19)))/fxVal_normal*fxVal_sign($A64))</f>
        <v>#NAME?</v>
      </c>
      <c r="CO64" s="88"/>
      <c r="CP64" s="1650" t="e" cm="1">
        <f t="array" ca="1" aca="1" ref="CP64">IF($F64="",val_blankRefText,N(_xldudf_CX_GET(CX_ENTITY,fx_attrConverter($F64),CP$11,CP$14,,(CP$19)))/fxVal_normal*fxVal_sign($A64))</f>
        <v>#NAME?</v>
      </c>
      <c r="CQ64" s="1651" t="e" cm="1">
        <f t="array" ca="1" aca="1" ref="CQ64">IF($F64="",val_blankRefText,N(_xldudf_CX_GET(CX_ENTITY,$F64,CQ$11,CQ$14,,(CQ$19)))/fxVal_normal*fxVal_sign($A64))</f>
        <v>#NAME?</v>
      </c>
      <c r="CR64" s="34"/>
    </row>
    <row r="65" spans="1:96" ht="21" customHeight="1" outlineLevel="2">
      <c r="A65" s="1322"/>
      <c r="B65" s="2128" t="s">
        <v>1594</v>
      </c>
      <c r="C65" s="577" t="s">
        <v>1595</v>
      </c>
      <c r="D65" s="1079"/>
      <c r="E65" s="1615" t="e" cm="1">
        <f t="array" ca="1" aca="1" ref="E65">_xlfn.LET(_xlpm.Attr,$C65,_xlpm.Lookback,$E$16,_xlpm.QueryDate,EOMONTH(val_asOfDate,_xlpm.Lookback),_xlpm.ReadField,_xldudf_CX_GET(CX_ENTITY,fx_attrConverter($C65),_xlpm.QueryDate),_xlpm.AttrBlank,_xlpm.Attr="",_xlpm.RESULT,IF(_xlpm.AttrBlank,val_blankRefText,fx_attrConverter(_xlpm.ReadField,0)),IF(_xlpm.RESULT="Error","",_xlpm.RESULT))</f>
        <v>#NAME?</v>
      </c>
      <c r="F65" s="577" t="str">
        <f t="shared" si="11"/>
        <v>Custom Metric Amount 9 [Calculated]</v>
      </c>
      <c r="G65" s="577" t="s">
        <v>1579</v>
      </c>
      <c r="H65" s="3280">
        <v>1</v>
      </c>
      <c r="I65" s="3280">
        <v>1</v>
      </c>
      <c r="J65" s="401"/>
      <c r="K65" s="401"/>
      <c r="L65" s="579" t="b">
        <v>0</v>
      </c>
      <c r="N65" s="158"/>
      <c r="O65" s="101"/>
      <c r="P65" s="52"/>
      <c r="Q65" s="101"/>
      <c r="R65" s="539"/>
      <c r="S65" s="101"/>
      <c r="T65" s="101"/>
      <c r="U65" s="39"/>
      <c r="W65" s="91" t="str">
        <f>_PL!$W$17</f>
        <v>Actual</v>
      </c>
      <c r="X65" s="2370" t="e" cm="1">
        <f t="array" ca="1" aca="1" ref="X65">_xlfn.LET(_xlpm.toPass,$E65="",_xlpm.hasParts,ISNUMBER(SEARCH("|",$E65)),_xlpm.Part1,INDEX(_xlfn.TEXTSPLIT($E65,"|",,FALSE,1),1),_xlpm.Part1Num,IFERROR(_xlfn.NUMBERVALUE(_xlpm.Part1),_xlpm.Part1),_xlfn.SWITCH(TRUE,_xlpm.toPass,"",_xlpm.hasParts,_xlpm.Part1Num,$E65))</f>
        <v>#NAME?</v>
      </c>
      <c r="Y65" s="590" t="e" cm="1">
        <f t="array" ca="1" aca="1" ref="Y65">_xlfn.LET(_xlpm.PackedString,E65,IF(_xlpm.PackedString="","",IF(ISNUMBER(SEARCH("|",_xlpm.PackedString)),INDEX(_xlfn.TEXTSPLIT(_xlpm.PackedString,"|",,FALSE),2),_xlpm.PackedString)))</f>
        <v>#NAME?</v>
      </c>
      <c r="Z65" s="198" t="e">
        <f t="shared" ca="1" si="12"/>
        <v>#NAME?</v>
      </c>
      <c r="AA65" s="200"/>
      <c r="AB65" s="709" t="e" cm="1">
        <f t="array" ca="1" aca="1" ref="AB65">_xlfn.LET(_xlpm.PackedString,E65,IF(_xlpm.PackedString="","",IF(ISNUMBER(SEARCH("|",_xlpm.PackedString)),INDEX(_xlfn.TEXTSPLIT(_xlpm.PackedString,"|",,FALSE),3),_xlpm.PackedString)))</f>
        <v>#NAME?</v>
      </c>
      <c r="AC65" s="200" t="str" cm="1">
        <f t="array" ca="1" aca="1" ref="AC65">_xlfn.LET(_xlpm.Def,IF(_xlfn.XMATCH(AB65,tbl_acctDef[Term],0)&gt;0,fx_getIcon("find"),""),_xlpm.Adj,IF(_xlfn.XMATCH(AB65,tbl_adjExample[Items],0)&gt;0,fx_getIcon("find"),""),IFERROR(IFBLANK(_xlpm.Def,_xlpm.Adj),""))</f>
        <v/>
      </c>
      <c r="AD65" s="1669" t="e" cm="1">
        <f t="array" ca="1" aca="1" ref="AD65">_xlfn.LET(_xlpm.val,IF($F65="",val_blankRefText,_xldudf_CX_GET(CX_ENTITY,$F65,AD$11,AD$14,,(AD$19))),_xlpm.Res,IF(OR(_xlpm.val="",_xlpm.val="Error"),"",_xlpm.val),_xlpm.Res)</f>
        <v>#NAME?</v>
      </c>
      <c r="AE65" s="1669" t="e" cm="1">
        <f t="array" ca="1" aca="1" ref="AE65">_xlfn.LET(_xlpm.val,IF($F65="",val_blankRefText,_xldudf_CX_GET(CX_ENTITY,$F65,AE$11,AE$14,,(AE$19))),_xlpm.Res,IF(OR(_xlpm.val="",_xlpm.val="Error"),"",_xlpm.val),_xlpm.Res)</f>
        <v>#NAME?</v>
      </c>
      <c r="AF65" s="1669" t="e" cm="1">
        <f t="array" ca="1" aca="1" ref="AF65">_xlfn.LET(_xlpm.val,IF($F65="",val_blankRefText,_xldudf_CX_GET(CX_ENTITY,$F65,AF$11,AF$14,,(AF$19))),_xlpm.Res,IF(OR(_xlpm.val="",_xlpm.val="Error"),"",_xlpm.val),_xlpm.Res)</f>
        <v>#NAME?</v>
      </c>
      <c r="AG65" s="1669" t="e" cm="1">
        <f t="array" ca="1" aca="1" ref="AG65">_xlfn.LET(_xlpm.val,IF($F65="",val_blankRefText,_xldudf_CX_GET(CX_ENTITY,$F65,AG$11,AG$14,,(AG$19))),_xlpm.Res,IF(OR(_xlpm.val="",_xlpm.val="Error"),"",_xlpm.val),_xlpm.Res)</f>
        <v>#NAME?</v>
      </c>
      <c r="AH65" s="1669" t="e" cm="1">
        <f t="array" ca="1" aca="1" ref="AH65">_xlfn.LET(_xlpm.val,IF($F65="",val_blankRefText,_xldudf_CX_GET(CX_ENTITY,$F65,AH$11,AH$14,,(AH$19))),_xlpm.Res,IF(OR(_xlpm.val="",_xlpm.val="Error"),"",_xlpm.val),_xlpm.Res)</f>
        <v>#NAME?</v>
      </c>
      <c r="AI65" s="1669" t="e" cm="1">
        <f t="array" ca="1" aca="1" ref="AI65">_xlfn.LET(_xlpm.val,IF($F65="",val_blankRefText,_xldudf_CX_GET(CX_ENTITY,$F65,AI$11,AI$14,,(AI$19))),_xlpm.Res,IF(OR(_xlpm.val="",_xlpm.val="Error"),"",_xlpm.val),_xlpm.Res)</f>
        <v>#NAME?</v>
      </c>
      <c r="AJ65" s="1669" t="e" cm="1">
        <f t="array" ca="1" aca="1" ref="AJ65">_xlfn.LET(_xlpm.val,IF($F65="",val_blankRefText,_xldudf_CX_GET(CX_ENTITY,$F65,AJ$11,AJ$14,,(AJ$19))),_xlpm.Res,IF(OR(_xlpm.val="",_xlpm.val="Error"),"",_xlpm.val),_xlpm.Res)</f>
        <v>#NAME?</v>
      </c>
      <c r="AK65" s="1669" t="e" cm="1">
        <f t="array" ca="1" aca="1" ref="AK65">_xlfn.LET(_xlpm.val,IF($F65="",val_blankRefText,_xldudf_CX_GET(CX_ENTITY,$F65,AK$11,AK$14,,(AK$19))),_xlpm.Res,IF(OR(_xlpm.val="",_xlpm.val="Error"),"",_xlpm.val),_xlpm.Res)</f>
        <v>#NAME?</v>
      </c>
      <c r="AL65" s="1669" t="e" cm="1">
        <f t="array" ca="1" aca="1" ref="AL65">_xlfn.LET(_xlpm.val,IF($F65="",val_blankRefText,_xldudf_CX_GET(CX_ENTITY,$F65,AL$11,AL$14,,(AL$19))),_xlpm.Res,IF(OR(_xlpm.val="",_xlpm.val="Error"),"",_xlpm.val),_xlpm.Res)</f>
        <v>#NAME?</v>
      </c>
      <c r="AM65" s="1669" t="e" cm="1">
        <f t="array" ca="1" aca="1" ref="AM65">_xlfn.LET(_xlpm.val,IF($F65="",val_blankRefText,_xldudf_CX_GET(CX_ENTITY,$F65,AM$11,AM$14,,(AM$19))),_xlpm.Res,IF(OR(_xlpm.val="",_xlpm.val="Error"),"",_xlpm.val),_xlpm.Res)</f>
        <v>#NAME?</v>
      </c>
      <c r="AN65" s="1669" t="e" cm="1">
        <f t="array" ca="1" aca="1" ref="AN65">_xlfn.LET(_xlpm.val,IF($F65="",val_blankRefText,_xldudf_CX_GET(CX_ENTITY,$F65,AN$11,AN$14,,(AN$19))),_xlpm.Res,IF(OR(_xlpm.val="",_xlpm.val="Error"),"",_xlpm.val),_xlpm.Res)</f>
        <v>#NAME?</v>
      </c>
      <c r="AO65" s="1669" t="e" cm="1">
        <f t="array" ca="1" aca="1" ref="AO65">_xlfn.LET(_xlpm.val,IF($F65="",val_blankRefText,_xldudf_CX_GET(CX_ENTITY,$F65,AO$11,AO$14,,(AO$19))),_xlpm.Res,IF(OR(_xlpm.val="",_xlpm.val="Error"),"",_xlpm.val),_xlpm.Res)</f>
        <v>#NAME?</v>
      </c>
      <c r="AP65" s="1669" t="e" cm="1">
        <f t="array" ca="1" aca="1" ref="AP65">_xlfn.LET(_xlpm.val,IF($F65="",val_blankRefText,_xldudf_CX_GET(CX_ENTITY,$F65,AP$11,AP$14,,(AP$19))),_xlpm.Res,IF(OR(_xlpm.val="",_xlpm.val="Error"),"",_xlpm.val),_xlpm.Res)</f>
        <v>#NAME?</v>
      </c>
      <c r="AQ65" s="1669" t="e" cm="1">
        <f t="array" ca="1" aca="1" ref="AQ65">_xlfn.LET(_xlpm.val,IF($F65="",val_blankRefText,_xldudf_CX_GET(CX_ENTITY,$F65,AQ$11,AQ$14,,(AQ$19))),_xlpm.Res,IF(OR(_xlpm.val="",_xlpm.val="Error"),"",_xlpm.val),_xlpm.Res)</f>
        <v>#NAME?</v>
      </c>
      <c r="AR65" s="1669" t="e" cm="1">
        <f t="array" ca="1" aca="1" ref="AR65">_xlfn.LET(_xlpm.val,IF($F65="",val_blankRefText,_xldudf_CX_GET(CX_ENTITY,$F65,AR$11,AR$14,,(AR$19))),_xlpm.Res,IF(OR(_xlpm.val="",_xlpm.val="Error"),"",_xlpm.val),_xlpm.Res)</f>
        <v>#NAME?</v>
      </c>
      <c r="AS65" s="1669" t="e" cm="1">
        <f t="array" ca="1" aca="1" ref="AS65">_xlfn.LET(_xlpm.val,IF($F65="",val_blankRefText,_xldudf_CX_GET(CX_ENTITY,$F65,AS$11,AS$14,,(AS$19))),_xlpm.Res,IF(OR(_xlpm.val="",_xlpm.val="Error"),"",_xlpm.val),_xlpm.Res)</f>
        <v>#NAME?</v>
      </c>
      <c r="AT65" s="1669" t="e" cm="1">
        <f t="array" ca="1" aca="1" ref="AT65">_xlfn.LET(_xlpm.val,IF($F65="",val_blankRefText,_xldudf_CX_GET(CX_ENTITY,$F65,AT$11,AT$14,,(AT$19))),_xlpm.Res,IF(OR(_xlpm.val="",_xlpm.val="Error"),"",_xlpm.val),_xlpm.Res)</f>
        <v>#NAME?</v>
      </c>
      <c r="AU65" s="1669" t="e" cm="1">
        <f t="array" ca="1" aca="1" ref="AU65">_xlfn.LET(_xlpm.val,IF($F65="",val_blankRefText,_xldudf_CX_GET(CX_ENTITY,$F65,AU$11,AU$14,,(AU$19))),_xlpm.Res,IF(OR(_xlpm.val="",_xlpm.val="Error"),"",_xlpm.val),_xlpm.Res)</f>
        <v>#NAME?</v>
      </c>
      <c r="AV65" s="1669" t="e" cm="1">
        <f t="array" ca="1" aca="1" ref="AV65">_xlfn.LET(_xlpm.val,IF($F65="",val_blankRefText,_xldudf_CX_GET(CX_ENTITY,$F65,AV$11,AV$14,,(AV$19))),_xlpm.Res,IF(OR(_xlpm.val="",_xlpm.val="Error"),"",_xlpm.val),_xlpm.Res)</f>
        <v>#NAME?</v>
      </c>
      <c r="AW65" s="1669" t="e" cm="1">
        <f t="array" ca="1" aca="1" ref="AW65">_xlfn.LET(_xlpm.val,IF($F65="",val_blankRefText,_xldudf_CX_GET(CX_ENTITY,$F65,AW$11,AW$14,,(AW$19))),_xlpm.Res,IF(OR(_xlpm.val="",_xlpm.val="Error"),"",_xlpm.val),_xlpm.Res)</f>
        <v>#NAME?</v>
      </c>
      <c r="AX65" s="1669" t="e" cm="1">
        <f t="array" ca="1" aca="1" ref="AX65">_xlfn.LET(_xlpm.val,IF($F65="",val_blankRefText,_xldudf_CX_GET(CX_ENTITY,$F65,AX$11,AX$14,,(AX$19))),_xlpm.Res,IF(OR(_xlpm.val="",_xlpm.val="Error"),"",_xlpm.val),_xlpm.Res)</f>
        <v>#NAME?</v>
      </c>
      <c r="AY65" s="1669" t="e" cm="1">
        <f t="array" ca="1" aca="1" ref="AY65">_xlfn.LET(_xlpm.val,IF($F65="",val_blankRefText,_xldudf_CX_GET(CX_ENTITY,$F65,AY$11,AY$14,,(AY$19))),_xlpm.Res,IF(OR(_xlpm.val="",_xlpm.val="Error"),"",_xlpm.val),_xlpm.Res)</f>
        <v>#NAME?</v>
      </c>
      <c r="AZ65" s="1669" t="e" cm="1">
        <f t="array" ca="1" aca="1" ref="AZ65">_xlfn.LET(_xlpm.val,IF($F65="",val_blankRefText,_xldudf_CX_GET(CX_ENTITY,$F65,AZ$11,AZ$14,,(AZ$19))),_xlpm.Res,IF(OR(_xlpm.val="",_xlpm.val="Error"),"",_xlpm.val),_xlpm.Res)</f>
        <v>#NAME?</v>
      </c>
      <c r="BA65" s="1669" t="e" cm="1">
        <f t="array" ca="1" aca="1" ref="BA65">_xlfn.LET(_xlpm.val,IF($F65="",val_blankRefText,_xldudf_CX_GET(CX_ENTITY,$F65,BA$11,BA$14,,(BA$19))),_xlpm.Res,IF(OR(_xlpm.val="",_xlpm.val="Error"),"",_xlpm.val),_xlpm.Res)</f>
        <v>#NAME?</v>
      </c>
      <c r="BB65" s="1669" t="e" cm="1">
        <f t="array" ca="1" aca="1" ref="BB65">_xlfn.LET(_xlpm.val,IF($F65="",val_blankRefText,_xldudf_CX_GET(CX_ENTITY,$F65,BB$11,BB$14,,(BB$19))),_xlpm.Res,IF(OR(_xlpm.val="",_xlpm.val="Error"),"",_xlpm.val),_xlpm.Res)</f>
        <v>#NAME?</v>
      </c>
      <c r="BC65" s="1669" t="e" cm="1">
        <f t="array" ca="1" aca="1" ref="BC65">_xlfn.LET(_xlpm.val,IF($F65="",val_blankRefText,_xldudf_CX_GET(CX_ENTITY,$F65,BC$11,BC$14,,(BC$19))),_xlpm.Res,IF(OR(_xlpm.val="",_xlpm.val="Error"),"",_xlpm.val),_xlpm.Res)</f>
        <v>#NAME?</v>
      </c>
      <c r="BD65" s="1669" t="e" cm="1">
        <f t="array" ca="1" aca="1" ref="BD65">_xlfn.LET(_xlpm.val,IF($F65="",val_blankRefText,_xldudf_CX_GET(CX_ENTITY,$F65,BD$11,BD$14,,(BD$19))),_xlpm.Res,IF(OR(_xlpm.val="",_xlpm.val="Error"),"",_xlpm.val),_xlpm.Res)</f>
        <v>#NAME?</v>
      </c>
      <c r="BE65" s="1669" t="e" cm="1">
        <f t="array" ca="1" aca="1" ref="BE65">_xlfn.LET(_xlpm.val,IF($F65="",val_blankRefText,_xldudf_CX_GET(CX_ENTITY,$F65,BE$11,BE$14,,(BE$19))),_xlpm.Res,IF(OR(_xlpm.val="",_xlpm.val="Error"),"",_xlpm.val),_xlpm.Res)</f>
        <v>#NAME?</v>
      </c>
      <c r="BF65" s="1669" t="e" cm="1">
        <f t="array" ca="1" aca="1" ref="BF65">_xlfn.LET(_xlpm.val,IF($F65="",val_blankRefText,_xldudf_CX_GET(CX_ENTITY,$F65,BF$11,BF$14,,(BF$19))),_xlpm.Res,IF(OR(_xlpm.val="",_xlpm.val="Error"),"",_xlpm.val),_xlpm.Res)</f>
        <v>#NAME?</v>
      </c>
      <c r="BG65" s="1669" t="e" cm="1">
        <f t="array" ca="1" aca="1" ref="BG65">_xlfn.LET(_xlpm.val,IF($F65="",val_blankRefText,_xldudf_CX_GET(CX_ENTITY,$F65,BG$11,BG$14,,(BG$19))),_xlpm.Res,IF(OR(_xlpm.val="",_xlpm.val="Error"),"",_xlpm.val),_xlpm.Res)</f>
        <v>#NAME?</v>
      </c>
      <c r="BH65" s="1669" t="e" cm="1">
        <f t="array" ca="1" aca="1" ref="BH65">_xlfn.LET(_xlpm.val,IF($F65="",val_blankRefText,_xldudf_CX_GET(CX_ENTITY,$F65,BH$11,BH$14,,(BH$19))),_xlpm.Res,IF(OR(_xlpm.val="",_xlpm.val="Error"),"",_xlpm.val),_xlpm.Res)</f>
        <v>#NAME?</v>
      </c>
      <c r="BI65" s="1669" t="e" cm="1">
        <f t="array" ca="1" aca="1" ref="BI65">_xlfn.LET(_xlpm.val,IF($F65="",val_blankRefText,_xldudf_CX_GET(CX_ENTITY,$F65,BI$11,BI$14,,(BI$19))),_xlpm.Res,IF(OR(_xlpm.val="",_xlpm.val="Error"),"",_xlpm.val),_xlpm.Res)</f>
        <v>#NAME?</v>
      </c>
      <c r="BJ65" s="1669" t="e" cm="1">
        <f t="array" ca="1" aca="1" ref="BJ65">_xlfn.LET(_xlpm.val,IF($F65="",val_blankRefText,_xldudf_CX_GET(CX_ENTITY,$F65,BJ$11,BJ$14,,(BJ$19))),_xlpm.Res,IF(OR(_xlpm.val="",_xlpm.val="Error"),"",_xlpm.val),_xlpm.Res)</f>
        <v>#NAME?</v>
      </c>
      <c r="BK65" s="1669" t="e" cm="1">
        <f t="array" ca="1" aca="1" ref="BK65">_xlfn.LET(_xlpm.val,IF($F65="",val_blankRefText,_xldudf_CX_GET(CX_ENTITY,$F65,BK$11,BK$14,,(BK$19))),_xlpm.Res,IF(OR(_xlpm.val="",_xlpm.val="Error"),"",_xlpm.val),_xlpm.Res)</f>
        <v>#NAME?</v>
      </c>
      <c r="BL65" s="1669" t="e" cm="1">
        <f t="array" ca="1" aca="1" ref="BL65">_xlfn.LET(_xlpm.val,IF($F65="",val_blankRefText,_xldudf_CX_GET(CX_ENTITY,$F65,BL$11,BL$14,,(BL$19))),_xlpm.Res,IF(OR(_xlpm.val="",_xlpm.val="Error"),"",_xlpm.val),_xlpm.Res)</f>
        <v>#NAME?</v>
      </c>
      <c r="BM65" s="1669" t="e" cm="1">
        <f t="array" ca="1" aca="1" ref="BM65">_xlfn.LET(_xlpm.val,IF($F65="",val_blankRefText,_xldudf_CX_GET(CX_ENTITY,$F65,BM$11,BM$14,,(BM$19))),_xlpm.Res,IF(OR(_xlpm.val="",_xlpm.val="Error"),"",_xlpm.val),_xlpm.Res)</f>
        <v>#NAME?</v>
      </c>
      <c r="BN65" s="1669" t="e" cm="1">
        <f t="array" ca="1" aca="1" ref="BN65">_xlfn.LET(_xlpm.val,IF($F65="",val_blankRefText,_xldudf_CX_GET(CX_ENTITY,$F65,BN$11,BN$14,,(BN$19))),_xlpm.Res,IF(OR(_xlpm.val="",_xlpm.val="Error"),"",_xlpm.val),_xlpm.Res)</f>
        <v>#NAME?</v>
      </c>
      <c r="BO65" s="2095"/>
      <c r="BP65" s="2095"/>
      <c r="BQ65" s="2095"/>
      <c r="BR65" s="2095"/>
      <c r="BS65" s="2095"/>
      <c r="BT65" s="2095"/>
      <c r="BU65" s="2095"/>
      <c r="BV65" s="2095"/>
      <c r="BW65" s="2095"/>
      <c r="BX65" s="2095"/>
      <c r="BY65" s="2095"/>
      <c r="BZ65" s="2095"/>
      <c r="CA65" s="34"/>
      <c r="CC65" s="33"/>
      <c r="CD65" s="1461" t="str" cm="1">
        <f t="array" ref="CD65">_xlfn.LET(_xlpm.CheckBlank,SUM(PL!$AD65:PL!$BN65)=0,IF(_xlpm.CheckBlank,"",SUM(_xlfn._xlws.FILTER(PL!$AD65:$BN65,(YEAR(PL!$AD$12:$BN$12)=PL!CD$12)*(array_timeline&lt;=PL!CD$11)))))</f>
        <v/>
      </c>
      <c r="CE65" s="1461" t="str" cm="1">
        <f t="array" ref="CE65">_xlfn.LET(_xlpm.CheckBlank,SUM(PL!$AD65:PL!$BN65)=0,IF(_xlpm.CheckBlank,"",SUM(_xlfn._xlws.FILTER(PL!$AD65:$BN65,(YEAR(PL!$AD$12:$BN$12)=PL!CE$12)*(array_timeline&lt;=PL!CE$11)))))</f>
        <v/>
      </c>
      <c r="CF65" s="88"/>
      <c r="CG65" s="1461" t="str" cm="1">
        <f t="array" ref="CG65">_xlfn.LET(_xlpm.CheckBlank,SUM(PL!$AD65:$BN65)=0,IF(_xlpm.CheckBlank,"",SUM(_xlfn._xlws.FILTER(PL!$AD65:$BN65,(YEAR(PL!$AD$12:$BN$12)=PL!CG$12)*(array_timeline&lt;=PL!CG$11)))))</f>
        <v/>
      </c>
      <c r="CH65" s="1461" t="str" cm="1">
        <f t="array" ref="CH65">_xlfn.LET(_xlpm.CheckBlank,SUM(PL!$AD65:$BN65)=0,IF(_xlpm.CheckBlank,"",SUM(_xlfn._xlws.FILTER(PL!$AD65:$BN65,(YEAR(PL!$AD$12:$BN$12)=PL!CH$12)*(array_timeline&lt;=PL!CH$11)))))</f>
        <v/>
      </c>
      <c r="CI65" s="88"/>
      <c r="CJ65" s="1461" t="str" cm="1">
        <f t="array" ref="CJ65">_xlfn.LET(_xlpm.CheckBlank,SUM(PL!$AD65:$BN65)=0,IF(_xlpm.CheckBlank,"",SUM(_xlfn.TAKE(_xlfn.DROP(PL!$AD65:$BN65,,-DATEDIFF(PL!CJ$11,val_asOfDate,"M")),1,-12))))</f>
        <v/>
      </c>
      <c r="CK65" s="1461" t="str" cm="1">
        <f t="array" ref="CK65">_xlfn.LET(_xlpm.CheckBlank,SUM(PL!$AD65:$BN65)=0,IF(_xlpm.CheckBlank,"",SUM(_xlfn.TAKE(_xlfn.DROP(PL!$AD65:$BN65,,-DATEDIFF(PL!CK$11,val_asOfDate,"M")),1,-12))))</f>
        <v/>
      </c>
      <c r="CL65" s="88"/>
      <c r="CM65" s="1556" t="e" cm="1">
        <f t="array" ca="1" aca="1" ref="CM65">IF($F65="",val_blankRefText,N(_xldudf_CX_GET(CX_ENTITY,$F65,CM$11,CM$14,,(CM$19)))/fxVal_normal*fxVal_sign($A65))</f>
        <v>#NAME?</v>
      </c>
      <c r="CN65" s="1556" t="e" cm="1">
        <f t="array" ca="1" aca="1" ref="CN65">IF($F65="",val_blankRefText,N(_xldudf_CX_GET(CX_ENTITY,$F65,CN$11,CN$14,,(CN$19)))/fxVal_normal*fxVal_sign($A65))</f>
        <v>#NAME?</v>
      </c>
      <c r="CO65" s="88"/>
      <c r="CP65" s="1650" t="e" cm="1">
        <f t="array" ca="1" aca="1" ref="CP65">IF($F65="",val_blankRefText,N(_xldudf_CX_GET(CX_ENTITY,fx_attrConverter($F65),CP$11,CP$14,,(CP$19)))/fxVal_normal*fxVal_sign($A65))</f>
        <v>#NAME?</v>
      </c>
      <c r="CQ65" s="1651" t="e" cm="1">
        <f t="array" ca="1" aca="1" ref="CQ65">IF($F65="",val_blankRefText,N(_xldudf_CX_GET(CX_ENTITY,$F65,CQ$11,CQ$14,,(CQ$19)))/fxVal_normal*fxVal_sign($A65))</f>
        <v>#NAME?</v>
      </c>
      <c r="CR65" s="34"/>
    </row>
    <row r="66" spans="1:96" ht="21" customHeight="1" outlineLevel="2">
      <c r="A66" s="1322"/>
      <c r="B66" s="2128" t="s">
        <v>1596</v>
      </c>
      <c r="C66" s="1080" t="s">
        <v>1597</v>
      </c>
      <c r="D66" s="1079"/>
      <c r="E66" s="1615" t="e" cm="1">
        <f t="array" ca="1" aca="1" ref="E66">_xlfn.LET(_xlpm.Attr,$C66,_xlpm.Lookback,$E$16,_xlpm.QueryDate,EOMONTH(val_asOfDate,_xlpm.Lookback),_xlpm.ReadField,_xldudf_CX_GET(CX_ENTITY,fx_attrConverter($C66),_xlpm.QueryDate),_xlpm.AttrBlank,_xlpm.Attr="",_xlpm.RESULT,IF(_xlpm.AttrBlank,val_blankRefText,fx_attrConverter(_xlpm.ReadField,0)),IF(_xlpm.RESULT="Error","",_xlpm.RESULT))</f>
        <v>#NAME?</v>
      </c>
      <c r="F66" s="577" t="str">
        <f t="shared" si="11"/>
        <v>Custom Metric Amount 10 [Calculated]</v>
      </c>
      <c r="G66" s="577" t="s">
        <v>1579</v>
      </c>
      <c r="H66" s="3280">
        <v>1</v>
      </c>
      <c r="I66" s="3280">
        <v>1</v>
      </c>
      <c r="J66" s="401"/>
      <c r="K66" s="401"/>
      <c r="L66" s="579" t="b">
        <v>0</v>
      </c>
      <c r="N66" s="158"/>
      <c r="O66" s="101"/>
      <c r="P66" s="52"/>
      <c r="Q66" s="101"/>
      <c r="R66" s="539"/>
      <c r="S66" s="101"/>
      <c r="T66" s="101"/>
      <c r="U66" s="39"/>
      <c r="W66" s="268" t="str">
        <f>_PL!$W$17</f>
        <v>Actual</v>
      </c>
      <c r="X66" s="2370" t="e" cm="1">
        <f t="array" ca="1" aca="1" ref="X66">_xlfn.LET(_xlpm.toPass,$E66="",_xlpm.hasParts,ISNUMBER(SEARCH("|",$E66)),_xlpm.Part1,INDEX(_xlfn.TEXTSPLIT($E66,"|",,FALSE,1),1),_xlpm.Part1Num,IFERROR(_xlfn.NUMBERVALUE(_xlpm.Part1),_xlpm.Part1),_xlfn.SWITCH(TRUE,_xlpm.toPass,"",_xlpm.hasParts,_xlpm.Part1Num,$E66))</f>
        <v>#NAME?</v>
      </c>
      <c r="Y66" s="590" t="e" cm="1">
        <f t="array" ca="1" aca="1" ref="Y66">_xlfn.LET(_xlpm.PackedString,E66,IF(_xlpm.PackedString="","",IF(ISNUMBER(SEARCH("|",_xlpm.PackedString)),INDEX(_xlfn.TEXTSPLIT(_xlpm.PackedString,"|",,FALSE),2),_xlpm.PackedString)))</f>
        <v>#NAME?</v>
      </c>
      <c r="Z66" s="198" t="e">
        <f t="shared" ca="1" si="12"/>
        <v>#NAME?</v>
      </c>
      <c r="AA66" s="787"/>
      <c r="AB66" s="709" t="e" cm="1">
        <f t="array" ca="1" aca="1" ref="AB66">_xlfn.LET(_xlpm.PackedString,E66,IF(_xlpm.PackedString="","",IF(ISNUMBER(SEARCH("|",_xlpm.PackedString)),INDEX(_xlfn.TEXTSPLIT(_xlpm.PackedString,"|",,FALSE),3),_xlpm.PackedString)))</f>
        <v>#NAME?</v>
      </c>
      <c r="AC66" s="787" t="str" cm="1">
        <f t="array" ca="1" aca="1" ref="AC66">_xlfn.LET(_xlpm.Def,IF(_xlfn.XMATCH(AB66,tbl_acctDef[Term],0)&gt;0,fx_getIcon("find"),""),_xlpm.Adj,IF(_xlfn.XMATCH(AB66,tbl_adjExample[Items],0)&gt;0,fx_getIcon("find"),""),IFERROR(IFBLANK(_xlpm.Def,_xlpm.Adj),""))</f>
        <v/>
      </c>
      <c r="AD66" s="1669" t="e" cm="1">
        <f t="array" ca="1" aca="1" ref="AD66">_xlfn.LET(_xlpm.val,IF($F66="",val_blankRefText,_xldudf_CX_GET(CX_ENTITY,$F66,AD$11,AD$14,,(AD$19))),_xlpm.Res,IF(OR(_xlpm.val="",_xlpm.val="Error"),"",_xlpm.val),_xlpm.Res)</f>
        <v>#NAME?</v>
      </c>
      <c r="AE66" s="1669" t="e" cm="1">
        <f t="array" ca="1" aca="1" ref="AE66">_xlfn.LET(_xlpm.val,IF($F66="",val_blankRefText,_xldudf_CX_GET(CX_ENTITY,$F66,AE$11,AE$14,,(AE$19))),_xlpm.Res,IF(OR(_xlpm.val="",_xlpm.val="Error"),"",_xlpm.val),_xlpm.Res)</f>
        <v>#NAME?</v>
      </c>
      <c r="AF66" s="1669" t="e" cm="1">
        <f t="array" ca="1" aca="1" ref="AF66">_xlfn.LET(_xlpm.val,IF($F66="",val_blankRefText,_xldudf_CX_GET(CX_ENTITY,$F66,AF$11,AF$14,,(AF$19))),_xlpm.Res,IF(OR(_xlpm.val="",_xlpm.val="Error"),"",_xlpm.val),_xlpm.Res)</f>
        <v>#NAME?</v>
      </c>
      <c r="AG66" s="1669" t="e" cm="1">
        <f t="array" ca="1" aca="1" ref="AG66">_xlfn.LET(_xlpm.val,IF($F66="",val_blankRefText,_xldudf_CX_GET(CX_ENTITY,$F66,AG$11,AG$14,,(AG$19))),_xlpm.Res,IF(OR(_xlpm.val="",_xlpm.val="Error"),"",_xlpm.val),_xlpm.Res)</f>
        <v>#NAME?</v>
      </c>
      <c r="AH66" s="1669" t="e" cm="1">
        <f t="array" ca="1" aca="1" ref="AH66">_xlfn.LET(_xlpm.val,IF($F66="",val_blankRefText,_xldudf_CX_GET(CX_ENTITY,$F66,AH$11,AH$14,,(AH$19))),_xlpm.Res,IF(OR(_xlpm.val="",_xlpm.val="Error"),"",_xlpm.val),_xlpm.Res)</f>
        <v>#NAME?</v>
      </c>
      <c r="AI66" s="1669" t="e" cm="1">
        <f t="array" ca="1" aca="1" ref="AI66">_xlfn.LET(_xlpm.val,IF($F66="",val_blankRefText,_xldudf_CX_GET(CX_ENTITY,$F66,AI$11,AI$14,,(AI$19))),_xlpm.Res,IF(OR(_xlpm.val="",_xlpm.val="Error"),"",_xlpm.val),_xlpm.Res)</f>
        <v>#NAME?</v>
      </c>
      <c r="AJ66" s="1669" t="e" cm="1">
        <f t="array" ca="1" aca="1" ref="AJ66">_xlfn.LET(_xlpm.val,IF($F66="",val_blankRefText,_xldudf_CX_GET(CX_ENTITY,$F66,AJ$11,AJ$14,,(AJ$19))),_xlpm.Res,IF(OR(_xlpm.val="",_xlpm.val="Error"),"",_xlpm.val),_xlpm.Res)</f>
        <v>#NAME?</v>
      </c>
      <c r="AK66" s="1669" t="e" cm="1">
        <f t="array" ca="1" aca="1" ref="AK66">_xlfn.LET(_xlpm.val,IF($F66="",val_blankRefText,_xldudf_CX_GET(CX_ENTITY,$F66,AK$11,AK$14,,(AK$19))),_xlpm.Res,IF(OR(_xlpm.val="",_xlpm.val="Error"),"",_xlpm.val),_xlpm.Res)</f>
        <v>#NAME?</v>
      </c>
      <c r="AL66" s="1669" t="e" cm="1">
        <f t="array" ca="1" aca="1" ref="AL66">_xlfn.LET(_xlpm.val,IF($F66="",val_blankRefText,_xldudf_CX_GET(CX_ENTITY,$F66,AL$11,AL$14,,(AL$19))),_xlpm.Res,IF(OR(_xlpm.val="",_xlpm.val="Error"),"",_xlpm.val),_xlpm.Res)</f>
        <v>#NAME?</v>
      </c>
      <c r="AM66" s="1669" t="e" cm="1">
        <f t="array" ca="1" aca="1" ref="AM66">_xlfn.LET(_xlpm.val,IF($F66="",val_blankRefText,_xldudf_CX_GET(CX_ENTITY,$F66,AM$11,AM$14,,(AM$19))),_xlpm.Res,IF(OR(_xlpm.val="",_xlpm.val="Error"),"",_xlpm.val),_xlpm.Res)</f>
        <v>#NAME?</v>
      </c>
      <c r="AN66" s="1669" t="e" cm="1">
        <f t="array" ca="1" aca="1" ref="AN66">_xlfn.LET(_xlpm.val,IF($F66="",val_blankRefText,_xldudf_CX_GET(CX_ENTITY,$F66,AN$11,AN$14,,(AN$19))),_xlpm.Res,IF(OR(_xlpm.val="",_xlpm.val="Error"),"",_xlpm.val),_xlpm.Res)</f>
        <v>#NAME?</v>
      </c>
      <c r="AO66" s="1669" t="e" cm="1">
        <f t="array" ca="1" aca="1" ref="AO66">_xlfn.LET(_xlpm.val,IF($F66="",val_blankRefText,_xldudf_CX_GET(CX_ENTITY,$F66,AO$11,AO$14,,(AO$19))),_xlpm.Res,IF(OR(_xlpm.val="",_xlpm.val="Error"),"",_xlpm.val),_xlpm.Res)</f>
        <v>#NAME?</v>
      </c>
      <c r="AP66" s="1669" t="e" cm="1">
        <f t="array" ca="1" aca="1" ref="AP66">_xlfn.LET(_xlpm.val,IF($F66="",val_blankRefText,_xldudf_CX_GET(CX_ENTITY,$F66,AP$11,AP$14,,(AP$19))),_xlpm.Res,IF(OR(_xlpm.val="",_xlpm.val="Error"),"",_xlpm.val),_xlpm.Res)</f>
        <v>#NAME?</v>
      </c>
      <c r="AQ66" s="1669" t="e" cm="1">
        <f t="array" ca="1" aca="1" ref="AQ66">_xlfn.LET(_xlpm.val,IF($F66="",val_blankRefText,_xldudf_CX_GET(CX_ENTITY,$F66,AQ$11,AQ$14,,(AQ$19))),_xlpm.Res,IF(OR(_xlpm.val="",_xlpm.val="Error"),"",_xlpm.val),_xlpm.Res)</f>
        <v>#NAME?</v>
      </c>
      <c r="AR66" s="1669" t="e" cm="1">
        <f t="array" ca="1" aca="1" ref="AR66">_xlfn.LET(_xlpm.val,IF($F66="",val_blankRefText,_xldudf_CX_GET(CX_ENTITY,$F66,AR$11,AR$14,,(AR$19))),_xlpm.Res,IF(OR(_xlpm.val="",_xlpm.val="Error"),"",_xlpm.val),_xlpm.Res)</f>
        <v>#NAME?</v>
      </c>
      <c r="AS66" s="1669" t="e" cm="1">
        <f t="array" ca="1" aca="1" ref="AS66">_xlfn.LET(_xlpm.val,IF($F66="",val_blankRefText,_xldudf_CX_GET(CX_ENTITY,$F66,AS$11,AS$14,,(AS$19))),_xlpm.Res,IF(OR(_xlpm.val="",_xlpm.val="Error"),"",_xlpm.val),_xlpm.Res)</f>
        <v>#NAME?</v>
      </c>
      <c r="AT66" s="1669" t="e" cm="1">
        <f t="array" ca="1" aca="1" ref="AT66">_xlfn.LET(_xlpm.val,IF($F66="",val_blankRefText,_xldudf_CX_GET(CX_ENTITY,$F66,AT$11,AT$14,,(AT$19))),_xlpm.Res,IF(OR(_xlpm.val="",_xlpm.val="Error"),"",_xlpm.val),_xlpm.Res)</f>
        <v>#NAME?</v>
      </c>
      <c r="AU66" s="1669" t="e" cm="1">
        <f t="array" ca="1" aca="1" ref="AU66">_xlfn.LET(_xlpm.val,IF($F66="",val_blankRefText,_xldudf_CX_GET(CX_ENTITY,$F66,AU$11,AU$14,,(AU$19))),_xlpm.Res,IF(OR(_xlpm.val="",_xlpm.val="Error"),"",_xlpm.val),_xlpm.Res)</f>
        <v>#NAME?</v>
      </c>
      <c r="AV66" s="1669" t="e" cm="1">
        <f t="array" ca="1" aca="1" ref="AV66">_xlfn.LET(_xlpm.val,IF($F66="",val_blankRefText,_xldudf_CX_GET(CX_ENTITY,$F66,AV$11,AV$14,,(AV$19))),_xlpm.Res,IF(OR(_xlpm.val="",_xlpm.val="Error"),"",_xlpm.val),_xlpm.Res)</f>
        <v>#NAME?</v>
      </c>
      <c r="AW66" s="1669" t="e" cm="1">
        <f t="array" ca="1" aca="1" ref="AW66">_xlfn.LET(_xlpm.val,IF($F66="",val_blankRefText,_xldudf_CX_GET(CX_ENTITY,$F66,AW$11,AW$14,,(AW$19))),_xlpm.Res,IF(OR(_xlpm.val="",_xlpm.val="Error"),"",_xlpm.val),_xlpm.Res)</f>
        <v>#NAME?</v>
      </c>
      <c r="AX66" s="1669" t="e" cm="1">
        <f t="array" ca="1" aca="1" ref="AX66">_xlfn.LET(_xlpm.val,IF($F66="",val_blankRefText,_xldudf_CX_GET(CX_ENTITY,$F66,AX$11,AX$14,,(AX$19))),_xlpm.Res,IF(OR(_xlpm.val="",_xlpm.val="Error"),"",_xlpm.val),_xlpm.Res)</f>
        <v>#NAME?</v>
      </c>
      <c r="AY66" s="1669" t="e" cm="1">
        <f t="array" ca="1" aca="1" ref="AY66">_xlfn.LET(_xlpm.val,IF($F66="",val_blankRefText,_xldudf_CX_GET(CX_ENTITY,$F66,AY$11,AY$14,,(AY$19))),_xlpm.Res,IF(OR(_xlpm.val="",_xlpm.val="Error"),"",_xlpm.val),_xlpm.Res)</f>
        <v>#NAME?</v>
      </c>
      <c r="AZ66" s="1669" t="e" cm="1">
        <f t="array" ca="1" aca="1" ref="AZ66">_xlfn.LET(_xlpm.val,IF($F66="",val_blankRefText,_xldudf_CX_GET(CX_ENTITY,$F66,AZ$11,AZ$14,,(AZ$19))),_xlpm.Res,IF(OR(_xlpm.val="",_xlpm.val="Error"),"",_xlpm.val),_xlpm.Res)</f>
        <v>#NAME?</v>
      </c>
      <c r="BA66" s="1669" t="e" cm="1">
        <f t="array" ca="1" aca="1" ref="BA66">_xlfn.LET(_xlpm.val,IF($F66="",val_blankRefText,_xldudf_CX_GET(CX_ENTITY,$F66,BA$11,BA$14,,(BA$19))),_xlpm.Res,IF(OR(_xlpm.val="",_xlpm.val="Error"),"",_xlpm.val),_xlpm.Res)</f>
        <v>#NAME?</v>
      </c>
      <c r="BB66" s="1669" t="e" cm="1">
        <f t="array" ca="1" aca="1" ref="BB66">_xlfn.LET(_xlpm.val,IF($F66="",val_blankRefText,_xldudf_CX_GET(CX_ENTITY,$F66,BB$11,BB$14,,(BB$19))),_xlpm.Res,IF(OR(_xlpm.val="",_xlpm.val="Error"),"",_xlpm.val),_xlpm.Res)</f>
        <v>#NAME?</v>
      </c>
      <c r="BC66" s="1669" t="e" cm="1">
        <f t="array" ca="1" aca="1" ref="BC66">_xlfn.LET(_xlpm.val,IF($F66="",val_blankRefText,_xldudf_CX_GET(CX_ENTITY,$F66,BC$11,BC$14,,(BC$19))),_xlpm.Res,IF(OR(_xlpm.val="",_xlpm.val="Error"),"",_xlpm.val),_xlpm.Res)</f>
        <v>#NAME?</v>
      </c>
      <c r="BD66" s="1669" t="e" cm="1">
        <f t="array" ca="1" aca="1" ref="BD66">_xlfn.LET(_xlpm.val,IF($F66="",val_blankRefText,_xldudf_CX_GET(CX_ENTITY,$F66,BD$11,BD$14,,(BD$19))),_xlpm.Res,IF(OR(_xlpm.val="",_xlpm.val="Error"),"",_xlpm.val),_xlpm.Res)</f>
        <v>#NAME?</v>
      </c>
      <c r="BE66" s="1669" t="e" cm="1">
        <f t="array" ca="1" aca="1" ref="BE66">_xlfn.LET(_xlpm.val,IF($F66="",val_blankRefText,_xldudf_CX_GET(CX_ENTITY,$F66,BE$11,BE$14,,(BE$19))),_xlpm.Res,IF(OR(_xlpm.val="",_xlpm.val="Error"),"",_xlpm.val),_xlpm.Res)</f>
        <v>#NAME?</v>
      </c>
      <c r="BF66" s="1669" t="e" cm="1">
        <f t="array" ca="1" aca="1" ref="BF66">_xlfn.LET(_xlpm.val,IF($F66="",val_blankRefText,_xldudf_CX_GET(CX_ENTITY,$F66,BF$11,BF$14,,(BF$19))),_xlpm.Res,IF(OR(_xlpm.val="",_xlpm.val="Error"),"",_xlpm.val),_xlpm.Res)</f>
        <v>#NAME?</v>
      </c>
      <c r="BG66" s="1669" t="e" cm="1">
        <f t="array" ca="1" aca="1" ref="BG66">_xlfn.LET(_xlpm.val,IF($F66="",val_blankRefText,_xldudf_CX_GET(CX_ENTITY,$F66,BG$11,BG$14,,(BG$19))),_xlpm.Res,IF(OR(_xlpm.val="",_xlpm.val="Error"),"",_xlpm.val),_xlpm.Res)</f>
        <v>#NAME?</v>
      </c>
      <c r="BH66" s="1669" t="e" cm="1">
        <f t="array" ca="1" aca="1" ref="BH66">_xlfn.LET(_xlpm.val,IF($F66="",val_blankRefText,_xldudf_CX_GET(CX_ENTITY,$F66,BH$11,BH$14,,(BH$19))),_xlpm.Res,IF(OR(_xlpm.val="",_xlpm.val="Error"),"",_xlpm.val),_xlpm.Res)</f>
        <v>#NAME?</v>
      </c>
      <c r="BI66" s="1669" t="e" cm="1">
        <f t="array" ca="1" aca="1" ref="BI66">_xlfn.LET(_xlpm.val,IF($F66="",val_blankRefText,_xldudf_CX_GET(CX_ENTITY,$F66,BI$11,BI$14,,(BI$19))),_xlpm.Res,IF(OR(_xlpm.val="",_xlpm.val="Error"),"",_xlpm.val),_xlpm.Res)</f>
        <v>#NAME?</v>
      </c>
      <c r="BJ66" s="1669" t="e" cm="1">
        <f t="array" ca="1" aca="1" ref="BJ66">_xlfn.LET(_xlpm.val,IF($F66="",val_blankRefText,_xldudf_CX_GET(CX_ENTITY,$F66,BJ$11,BJ$14,,(BJ$19))),_xlpm.Res,IF(OR(_xlpm.val="",_xlpm.val="Error"),"",_xlpm.val),_xlpm.Res)</f>
        <v>#NAME?</v>
      </c>
      <c r="BK66" s="1669" t="e" cm="1">
        <f t="array" ca="1" aca="1" ref="BK66">_xlfn.LET(_xlpm.val,IF($F66="",val_blankRefText,_xldudf_CX_GET(CX_ENTITY,$F66,BK$11,BK$14,,(BK$19))),_xlpm.Res,IF(OR(_xlpm.val="",_xlpm.val="Error"),"",_xlpm.val),_xlpm.Res)</f>
        <v>#NAME?</v>
      </c>
      <c r="BL66" s="1669" t="e" cm="1">
        <f t="array" ca="1" aca="1" ref="BL66">_xlfn.LET(_xlpm.val,IF($F66="",val_blankRefText,_xldudf_CX_GET(CX_ENTITY,$F66,BL$11,BL$14,,(BL$19))),_xlpm.Res,IF(OR(_xlpm.val="",_xlpm.val="Error"),"",_xlpm.val),_xlpm.Res)</f>
        <v>#NAME?</v>
      </c>
      <c r="BM66" s="1669" t="e" cm="1">
        <f t="array" ca="1" aca="1" ref="BM66">_xlfn.LET(_xlpm.val,IF($F66="",val_blankRefText,_xldudf_CX_GET(CX_ENTITY,$F66,BM$11,BM$14,,(BM$19))),_xlpm.Res,IF(OR(_xlpm.val="",_xlpm.val="Error"),"",_xlpm.val),_xlpm.Res)</f>
        <v>#NAME?</v>
      </c>
      <c r="BN66" s="1669" t="e" cm="1">
        <f t="array" ca="1" aca="1" ref="BN66">_xlfn.LET(_xlpm.val,IF($F66="",val_blankRefText,_xldudf_CX_GET(CX_ENTITY,$F66,BN$11,BN$14,,(BN$19))),_xlpm.Res,IF(OR(_xlpm.val="",_xlpm.val="Error"),"",_xlpm.val),_xlpm.Res)</f>
        <v>#NAME?</v>
      </c>
      <c r="BO66" s="2095"/>
      <c r="BP66" s="2095"/>
      <c r="BQ66" s="2095"/>
      <c r="BR66" s="2095"/>
      <c r="BS66" s="2095"/>
      <c r="BT66" s="2095"/>
      <c r="BU66" s="2095"/>
      <c r="BV66" s="2095"/>
      <c r="BW66" s="2095"/>
      <c r="BX66" s="2095"/>
      <c r="BY66" s="2095"/>
      <c r="BZ66" s="2095"/>
      <c r="CA66" s="34"/>
      <c r="CC66" s="33"/>
      <c r="CD66" s="1461" t="str" cm="1">
        <f t="array" ref="CD66">_xlfn.LET(_xlpm.CheckBlank,SUM(PL!$AD66:PL!$BN66)=0,IF(_xlpm.CheckBlank,"",SUM(_xlfn._xlws.FILTER(PL!$AD66:$BN66,(YEAR(PL!$AD$12:$BN$12)=PL!CD$12)*(array_timeline&lt;=PL!CD$11)))))</f>
        <v/>
      </c>
      <c r="CE66" s="1461" t="str" cm="1">
        <f t="array" ref="CE66">_xlfn.LET(_xlpm.CheckBlank,SUM(PL!$AD66:PL!$BN66)=0,IF(_xlpm.CheckBlank,"",SUM(_xlfn._xlws.FILTER(PL!$AD66:$BN66,(YEAR(PL!$AD$12:$BN$12)=PL!CE$12)*(array_timeline&lt;=PL!CE$11)))))</f>
        <v/>
      </c>
      <c r="CF66" s="88"/>
      <c r="CG66" s="1461" t="str" cm="1">
        <f t="array" ref="CG66">_xlfn.LET(_xlpm.CheckBlank,SUM(PL!$AD66:$BN66)=0,IF(_xlpm.CheckBlank,"",SUM(_xlfn._xlws.FILTER(PL!$AD66:$BN66,(YEAR(PL!$AD$12:$BN$12)=PL!CG$12)*(array_timeline&lt;=PL!CG$11)))))</f>
        <v/>
      </c>
      <c r="CH66" s="1461" t="str" cm="1">
        <f t="array" ref="CH66">_xlfn.LET(_xlpm.CheckBlank,SUM(PL!$AD66:$BN66)=0,IF(_xlpm.CheckBlank,"",SUM(_xlfn._xlws.FILTER(PL!$AD66:$BN66,(YEAR(PL!$AD$12:$BN$12)=PL!CH$12)*(array_timeline&lt;=PL!CH$11)))))</f>
        <v/>
      </c>
      <c r="CI66" s="88"/>
      <c r="CJ66" s="1461" t="str" cm="1">
        <f t="array" ref="CJ66">_xlfn.LET(_xlpm.CheckBlank,SUM(PL!$AD66:$BN66)=0,IF(_xlpm.CheckBlank,"",SUM(_xlfn.TAKE(_xlfn.DROP(PL!$AD66:$BN66,,-DATEDIFF(PL!CJ$11,val_asOfDate,"M")),1,-12))))</f>
        <v/>
      </c>
      <c r="CK66" s="1461" t="str" cm="1">
        <f t="array" ref="CK66">_xlfn.LET(_xlpm.CheckBlank,SUM(PL!$AD66:$BN66)=0,IF(_xlpm.CheckBlank,"",SUM(_xlfn.TAKE(_xlfn.DROP(PL!$AD66:$BN66,,-DATEDIFF(PL!CK$11,val_asOfDate,"M")),1,-12))))</f>
        <v/>
      </c>
      <c r="CL66" s="88"/>
      <c r="CM66" s="1556" t="e" cm="1">
        <f t="array" ca="1" aca="1" ref="CM66">IF($F66="",val_blankRefText,N(_xldudf_CX_GET(CX_ENTITY,$F66,CM$11,CM$14,,(CM$19)))/fxVal_normal*fxVal_sign($A66))</f>
        <v>#NAME?</v>
      </c>
      <c r="CN66" s="1556" t="e" cm="1">
        <f t="array" ca="1" aca="1" ref="CN66">IF($F66="",val_blankRefText,N(_xldudf_CX_GET(CX_ENTITY,$F66,CN$11,CN$14,,(CN$19)))/fxVal_normal*fxVal_sign($A66))</f>
        <v>#NAME?</v>
      </c>
      <c r="CO66" s="88"/>
      <c r="CP66" s="1650" t="e" cm="1">
        <f t="array" ca="1" aca="1" ref="CP66">IF($F66="",val_blankRefText,N(_xldudf_CX_GET(CX_ENTITY,fx_attrConverter($F66),CP$11,CP$14,,(CP$19)))/fxVal_normal*fxVal_sign($A66))</f>
        <v>#NAME?</v>
      </c>
      <c r="CQ66" s="1651" t="e" cm="1">
        <f t="array" ca="1" aca="1" ref="CQ66">IF($F66="",val_blankRefText,N(_xldudf_CX_GET(CX_ENTITY,$F66,CQ$11,CQ$14,,(CQ$19)))/fxVal_normal*fxVal_sign($A66))</f>
        <v>#NAME?</v>
      </c>
      <c r="CR66" s="34"/>
    </row>
    <row r="67" spans="1:96" ht="20.15" customHeight="1" outlineLevel="1">
      <c r="A67" s="1322"/>
      <c r="B67" s="574"/>
      <c r="C67" s="574"/>
      <c r="D67" s="1327"/>
      <c r="E67" s="574"/>
      <c r="F67" s="577"/>
      <c r="G67" s="574"/>
      <c r="H67" s="401"/>
      <c r="I67" s="401"/>
      <c r="J67" s="401"/>
      <c r="K67" s="401"/>
      <c r="L67" s="401"/>
      <c r="N67" s="158"/>
      <c r="O67" s="101"/>
      <c r="P67" s="52"/>
      <c r="Q67" s="101"/>
      <c r="R67" s="539"/>
      <c r="S67" s="101"/>
      <c r="T67" s="101"/>
      <c r="U67" s="39"/>
      <c r="W67" s="779"/>
      <c r="X67" s="888"/>
      <c r="Y67" s="1270"/>
      <c r="Z67" s="786"/>
      <c r="AA67" s="786"/>
      <c r="AB67" s="786"/>
      <c r="AC67" s="799"/>
      <c r="AD67" s="786"/>
      <c r="AE67" s="786"/>
      <c r="AF67" s="786"/>
      <c r="AG67" s="786"/>
      <c r="AH67" s="786"/>
      <c r="AI67" s="786"/>
      <c r="AJ67" s="786"/>
      <c r="AK67" s="786"/>
      <c r="AL67" s="786"/>
      <c r="AM67" s="786"/>
      <c r="AN67" s="786"/>
      <c r="AO67" s="786"/>
      <c r="AP67" s="786"/>
      <c r="AQ67" s="786"/>
      <c r="AR67" s="786"/>
      <c r="AS67" s="786"/>
      <c r="AT67" s="786"/>
      <c r="AU67" s="786"/>
      <c r="AV67" s="786"/>
      <c r="AW67" s="786"/>
      <c r="AX67" s="786"/>
      <c r="AY67" s="786"/>
      <c r="AZ67" s="786"/>
      <c r="BA67" s="786"/>
      <c r="BB67" s="786"/>
      <c r="BC67" s="786"/>
      <c r="BD67" s="786"/>
      <c r="BE67" s="786"/>
      <c r="BF67" s="786"/>
      <c r="BG67" s="786"/>
      <c r="BH67" s="786"/>
      <c r="BI67" s="786"/>
      <c r="BJ67" s="786"/>
      <c r="BK67" s="786"/>
      <c r="BL67" s="786"/>
      <c r="BM67" s="786"/>
      <c r="BN67" s="786"/>
      <c r="BO67" s="786"/>
      <c r="BP67" s="786"/>
      <c r="BQ67" s="786"/>
      <c r="BR67" s="786"/>
      <c r="BS67" s="786"/>
      <c r="BT67" s="786"/>
      <c r="BU67" s="786"/>
      <c r="BV67" s="786"/>
      <c r="BW67" s="786"/>
      <c r="BX67" s="786"/>
      <c r="BY67" s="786"/>
      <c r="BZ67" s="786"/>
      <c r="CA67" s="34"/>
      <c r="CC67" s="33"/>
      <c r="CD67" s="184"/>
      <c r="CE67" s="184"/>
      <c r="CF67" s="88"/>
      <c r="CG67" s="184"/>
      <c r="CH67" s="184"/>
      <c r="CI67" s="88"/>
      <c r="CJ67" s="184"/>
      <c r="CK67" s="184"/>
      <c r="CL67" s="88"/>
      <c r="CM67" s="184"/>
      <c r="CN67" s="184"/>
      <c r="CO67" s="88"/>
      <c r="CP67" s="184"/>
      <c r="CQ67" s="184"/>
      <c r="CR67" s="34"/>
    </row>
    <row r="68" spans="1:96" ht="15.5" outlineLevel="1">
      <c r="A68" s="1322"/>
      <c r="B68" s="574"/>
      <c r="C68" s="574"/>
      <c r="D68" s="1327"/>
      <c r="E68" s="577"/>
      <c r="F68" s="577"/>
      <c r="G68" s="574"/>
      <c r="H68" s="401"/>
      <c r="I68" s="401"/>
      <c r="J68" s="401"/>
      <c r="K68" s="401"/>
      <c r="L68" s="401"/>
      <c r="N68" s="158"/>
      <c r="O68" s="101"/>
      <c r="P68" s="52"/>
      <c r="Q68" s="101"/>
      <c r="R68" s="539"/>
      <c r="S68" s="101"/>
      <c r="T68" s="101"/>
      <c r="U68" s="39"/>
      <c r="W68" s="779"/>
      <c r="X68" s="888"/>
      <c r="Y68" s="1270"/>
      <c r="Z68" s="786"/>
      <c r="AA68" s="786"/>
      <c r="AB68" s="786"/>
      <c r="AC68" s="799"/>
      <c r="AD68" s="786"/>
      <c r="AE68" s="786"/>
      <c r="AF68" s="786"/>
      <c r="AG68" s="786"/>
      <c r="AH68" s="786"/>
      <c r="AI68" s="786"/>
      <c r="AJ68" s="786"/>
      <c r="AK68" s="786"/>
      <c r="AL68" s="786"/>
      <c r="AM68" s="786"/>
      <c r="AN68" s="786"/>
      <c r="AO68" s="786"/>
      <c r="AP68" s="786"/>
      <c r="AQ68" s="786"/>
      <c r="AR68" s="786"/>
      <c r="AS68" s="786"/>
      <c r="AT68" s="786"/>
      <c r="AU68" s="786"/>
      <c r="AV68" s="786"/>
      <c r="AW68" s="786"/>
      <c r="AX68" s="786"/>
      <c r="AY68" s="786"/>
      <c r="AZ68" s="786"/>
      <c r="BA68" s="786"/>
      <c r="BB68" s="786"/>
      <c r="BC68" s="786"/>
      <c r="BD68" s="786"/>
      <c r="BE68" s="786"/>
      <c r="BF68" s="786"/>
      <c r="BG68" s="786"/>
      <c r="BH68" s="786"/>
      <c r="BI68" s="786"/>
      <c r="BJ68" s="786"/>
      <c r="BK68" s="786"/>
      <c r="BL68" s="786"/>
      <c r="BM68" s="786"/>
      <c r="BN68" s="786"/>
      <c r="BO68" s="786"/>
      <c r="BP68" s="786"/>
      <c r="BQ68" s="786"/>
      <c r="BR68" s="786"/>
      <c r="BS68" s="786"/>
      <c r="BT68" s="786"/>
      <c r="BU68" s="786"/>
      <c r="BV68" s="786"/>
      <c r="BW68" s="786"/>
      <c r="BX68" s="786"/>
      <c r="BY68" s="786"/>
      <c r="BZ68" s="786"/>
      <c r="CA68" s="34"/>
      <c r="CC68" s="33"/>
      <c r="CD68" s="184"/>
      <c r="CE68" s="184"/>
      <c r="CF68" s="88"/>
      <c r="CG68" s="184"/>
      <c r="CH68" s="184"/>
      <c r="CI68" s="88"/>
      <c r="CJ68" s="184"/>
      <c r="CK68" s="184"/>
      <c r="CL68" s="88"/>
      <c r="CM68" s="184"/>
      <c r="CN68" s="184"/>
      <c r="CO68" s="88"/>
      <c r="CP68" s="184"/>
      <c r="CQ68" s="184"/>
      <c r="CR68" s="34"/>
    </row>
    <row r="69" spans="1:96" ht="15.5" outlineLevel="1">
      <c r="A69" s="1322"/>
      <c r="B69" s="574"/>
      <c r="C69" s="574"/>
      <c r="D69" s="1327"/>
      <c r="E69" s="577"/>
      <c r="F69" s="577"/>
      <c r="G69" s="574"/>
      <c r="H69" s="401"/>
      <c r="I69" s="401"/>
      <c r="J69" s="401"/>
      <c r="K69" s="401"/>
      <c r="L69" s="401"/>
      <c r="N69" s="158"/>
      <c r="O69" s="101"/>
      <c r="P69" s="52"/>
      <c r="Q69" s="101"/>
      <c r="R69" s="539"/>
      <c r="S69" s="101"/>
      <c r="T69" s="101"/>
      <c r="U69" s="39"/>
      <c r="W69" s="779"/>
      <c r="X69" s="888"/>
      <c r="Y69" s="1270"/>
      <c r="Z69" s="786"/>
      <c r="AA69" s="786"/>
      <c r="AB69" s="786"/>
      <c r="AC69" s="799"/>
      <c r="AD69" s="786"/>
      <c r="AE69" s="786"/>
      <c r="AF69" s="786"/>
      <c r="AG69" s="786"/>
      <c r="AH69" s="786"/>
      <c r="AI69" s="786"/>
      <c r="AJ69" s="786"/>
      <c r="AK69" s="786"/>
      <c r="AL69" s="786"/>
      <c r="AM69" s="786"/>
      <c r="AN69" s="786"/>
      <c r="AO69" s="786"/>
      <c r="AP69" s="786"/>
      <c r="AQ69" s="786"/>
      <c r="AR69" s="786"/>
      <c r="AS69" s="786"/>
      <c r="AT69" s="786"/>
      <c r="AU69" s="786"/>
      <c r="AV69" s="786"/>
      <c r="AW69" s="786"/>
      <c r="AX69" s="786"/>
      <c r="AY69" s="786"/>
      <c r="AZ69" s="786"/>
      <c r="BA69" s="786"/>
      <c r="BB69" s="786"/>
      <c r="BC69" s="786"/>
      <c r="BD69" s="786"/>
      <c r="BE69" s="786"/>
      <c r="BF69" s="786"/>
      <c r="BG69" s="786"/>
      <c r="BH69" s="786"/>
      <c r="BI69" s="786"/>
      <c r="BJ69" s="786"/>
      <c r="BK69" s="786"/>
      <c r="BL69" s="786"/>
      <c r="BM69" s="786"/>
      <c r="BN69" s="786"/>
      <c r="BO69" s="786"/>
      <c r="BP69" s="786"/>
      <c r="BQ69" s="786"/>
      <c r="BR69" s="786"/>
      <c r="BS69" s="786"/>
      <c r="BT69" s="786"/>
      <c r="BU69" s="786"/>
      <c r="BV69" s="786"/>
      <c r="BW69" s="786"/>
      <c r="BX69" s="786"/>
      <c r="BY69" s="786"/>
      <c r="BZ69" s="786"/>
      <c r="CA69" s="34"/>
      <c r="CC69" s="33"/>
      <c r="CD69" s="184"/>
      <c r="CE69" s="184"/>
      <c r="CF69" s="88"/>
      <c r="CG69" s="184"/>
      <c r="CH69" s="184"/>
      <c r="CI69" s="88"/>
      <c r="CJ69" s="184"/>
      <c r="CK69" s="184"/>
      <c r="CL69" s="88"/>
      <c r="CM69" s="184"/>
      <c r="CN69" s="184"/>
      <c r="CO69" s="88"/>
      <c r="CP69" s="184"/>
      <c r="CQ69" s="184"/>
      <c r="CR69" s="34"/>
    </row>
    <row r="70" spans="1:96" ht="15.5" outlineLevel="1">
      <c r="A70" s="1322"/>
      <c r="B70" s="577"/>
      <c r="C70" s="577"/>
      <c r="D70" s="1080"/>
      <c r="E70" s="577"/>
      <c r="F70" s="577"/>
      <c r="G70" s="577"/>
      <c r="H70" s="578"/>
      <c r="I70" s="578"/>
      <c r="J70" s="578"/>
      <c r="K70" s="578"/>
      <c r="L70" s="578"/>
      <c r="N70" s="158"/>
      <c r="O70" s="101"/>
      <c r="P70" s="52"/>
      <c r="Q70" s="101"/>
      <c r="R70" s="539"/>
      <c r="S70" s="101"/>
      <c r="T70" s="101"/>
      <c r="U70" s="39"/>
      <c r="W70" s="779"/>
      <c r="X70" s="888"/>
      <c r="Y70" s="786"/>
      <c r="Z70" s="786"/>
      <c r="AA70" s="786"/>
      <c r="AB70" s="786"/>
      <c r="AC70" s="799"/>
      <c r="AD70" s="786"/>
      <c r="AE70" s="786"/>
      <c r="AF70" s="786"/>
      <c r="AG70" s="786"/>
      <c r="AH70" s="786"/>
      <c r="AI70" s="786"/>
      <c r="AJ70" s="786"/>
      <c r="AK70" s="786"/>
      <c r="AL70" s="786"/>
      <c r="AM70" s="786"/>
      <c r="AN70" s="786"/>
      <c r="AO70" s="786"/>
      <c r="AP70" s="786"/>
      <c r="AQ70" s="786"/>
      <c r="AR70" s="786"/>
      <c r="AS70" s="786"/>
      <c r="AT70" s="786"/>
      <c r="AU70" s="786"/>
      <c r="AV70" s="786"/>
      <c r="AW70" s="786"/>
      <c r="AX70" s="786"/>
      <c r="AY70" s="786"/>
      <c r="AZ70" s="786"/>
      <c r="BA70" s="786"/>
      <c r="BB70" s="786"/>
      <c r="BC70" s="786"/>
      <c r="BD70" s="786"/>
      <c r="BE70" s="786"/>
      <c r="BF70" s="786"/>
      <c r="BG70" s="786"/>
      <c r="BH70" s="786"/>
      <c r="BI70" s="786"/>
      <c r="BJ70" s="786"/>
      <c r="BK70" s="786"/>
      <c r="BL70" s="786"/>
      <c r="BM70" s="786"/>
      <c r="BN70" s="786"/>
      <c r="BO70" s="786"/>
      <c r="BP70" s="786"/>
      <c r="BQ70" s="786"/>
      <c r="BR70" s="786"/>
      <c r="BS70" s="786"/>
      <c r="BT70" s="786"/>
      <c r="BU70" s="786"/>
      <c r="BV70" s="786"/>
      <c r="BW70" s="786"/>
      <c r="BX70" s="786"/>
      <c r="BY70" s="786"/>
      <c r="BZ70" s="786"/>
      <c r="CA70" s="34"/>
      <c r="CC70" s="33"/>
      <c r="CD70" s="184"/>
      <c r="CE70" s="184"/>
      <c r="CF70" s="88"/>
      <c r="CG70" s="184"/>
      <c r="CH70" s="184"/>
      <c r="CI70" s="88"/>
      <c r="CJ70" s="184"/>
      <c r="CK70" s="184"/>
      <c r="CL70" s="88"/>
      <c r="CM70" s="184"/>
      <c r="CN70" s="184"/>
      <c r="CO70" s="88"/>
      <c r="CP70" s="184"/>
      <c r="CQ70" s="184"/>
      <c r="CR70" s="34"/>
    </row>
    <row r="71" spans="1:96" ht="32.5" outlineLevel="1">
      <c r="A71" s="1322"/>
      <c r="B71" s="577"/>
      <c r="C71" s="577"/>
      <c r="D71" s="1080"/>
      <c r="E71" s="577"/>
      <c r="F71" s="577"/>
      <c r="G71" s="577"/>
      <c r="H71" s="578"/>
      <c r="I71" s="578"/>
      <c r="J71" s="578"/>
      <c r="K71" s="578"/>
      <c r="L71" s="578"/>
      <c r="N71" s="158"/>
      <c r="O71" s="101"/>
      <c r="P71" s="52"/>
      <c r="Q71" s="101"/>
      <c r="R71" s="539"/>
      <c r="S71" s="101"/>
      <c r="T71" s="101"/>
      <c r="U71" s="39"/>
      <c r="W71" s="779"/>
      <c r="X71" s="888"/>
      <c r="Y71" s="786"/>
      <c r="Z71" s="786"/>
      <c r="AA71" s="786"/>
      <c r="AB71" s="786"/>
      <c r="AC71" s="799"/>
      <c r="AD71" s="786"/>
      <c r="AE71" s="786"/>
      <c r="AF71" s="786"/>
      <c r="AG71" s="786"/>
      <c r="AH71" s="786"/>
      <c r="AI71" s="786"/>
      <c r="AJ71" s="786"/>
      <c r="AK71" s="786"/>
      <c r="AL71" s="786"/>
      <c r="AM71" s="786"/>
      <c r="AN71" s="786"/>
      <c r="AO71" s="786"/>
      <c r="AP71" s="786"/>
      <c r="AQ71" s="786"/>
      <c r="AR71" s="786"/>
      <c r="AS71" s="786"/>
      <c r="AT71" s="786"/>
      <c r="AU71" s="786"/>
      <c r="AV71" s="786"/>
      <c r="AW71" s="786"/>
      <c r="AX71" s="786"/>
      <c r="AY71" s="786"/>
      <c r="AZ71" s="786"/>
      <c r="BA71" s="786"/>
      <c r="BB71" s="786"/>
      <c r="BC71" s="786"/>
      <c r="BD71" s="786"/>
      <c r="BE71" s="786"/>
      <c r="BF71" s="786"/>
      <c r="BG71" s="786"/>
      <c r="BH71" s="786"/>
      <c r="BI71" s="786"/>
      <c r="BJ71" s="786"/>
      <c r="BK71" s="786"/>
      <c r="BL71" s="786"/>
      <c r="BM71" s="786"/>
      <c r="BN71" s="786"/>
      <c r="BO71" s="786"/>
      <c r="BP71" s="786"/>
      <c r="BQ71" s="786"/>
      <c r="BR71" s="786"/>
      <c r="BS71" s="786"/>
      <c r="BT71" s="786"/>
      <c r="BU71" s="786"/>
      <c r="BV71" s="786"/>
      <c r="BW71" s="786"/>
      <c r="BX71" s="786"/>
      <c r="BY71" s="786"/>
      <c r="BZ71" s="786"/>
      <c r="CA71" s="34"/>
      <c r="CC71" s="33"/>
      <c r="CD71" s="3028" t="s">
        <v>41</v>
      </c>
      <c r="CE71" s="3029"/>
      <c r="CF71" s="1468"/>
      <c r="CG71" s="3030" t="s">
        <v>42</v>
      </c>
      <c r="CH71" s="3031"/>
      <c r="CI71" s="1325"/>
      <c r="CJ71" s="3032" t="s">
        <v>43</v>
      </c>
      <c r="CK71" s="3033"/>
      <c r="CL71" s="1469"/>
      <c r="CM71" s="3015" t="s">
        <v>44</v>
      </c>
      <c r="CN71" s="3016"/>
      <c r="CO71" s="1470"/>
      <c r="CP71" s="3015" t="s">
        <v>45</v>
      </c>
      <c r="CQ71" s="3016"/>
      <c r="CR71" s="34"/>
    </row>
    <row r="72" spans="1:96" ht="18">
      <c r="A72" s="1322"/>
      <c r="B72" s="577"/>
      <c r="C72" s="577"/>
      <c r="D72" s="1080"/>
      <c r="E72" s="577"/>
      <c r="F72" s="577"/>
      <c r="G72" s="32"/>
      <c r="H72" s="572"/>
      <c r="I72" s="572"/>
      <c r="J72" s="32"/>
      <c r="K72" s="32"/>
      <c r="L72" s="32"/>
      <c r="N72" s="158"/>
      <c r="O72" s="101"/>
      <c r="P72" s="151"/>
      <c r="Q72" s="151"/>
      <c r="R72" s="101"/>
      <c r="S72" s="2"/>
      <c r="T72" s="2"/>
      <c r="U72" s="39"/>
      <c r="W72" s="3045" t="str" cm="1">
        <f t="array" ref="W72">fx_scenarioConverter("Budget")</f>
        <v>Budget</v>
      </c>
      <c r="X72" s="1247"/>
      <c r="Y72" s="3040" t="s">
        <v>81</v>
      </c>
      <c r="Z72" s="1248" t="s">
        <v>82</v>
      </c>
      <c r="AA72" s="1249"/>
      <c r="AB72" s="1630"/>
      <c r="AC72" s="1273"/>
      <c r="AD72" s="859" cm="1">
        <f t="array" ca="1" aca="1" ref="AD72">_xlfn.LET(_xlpm.FullArray,AD76:AD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E72" s="859" cm="1">
        <f t="array" ca="1" aca="1" ref="AE72">_xlfn.LET(_xlpm.FullArray,AE76:AE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F72" s="859" cm="1">
        <f t="array" ca="1" aca="1" ref="AF72">_xlfn.LET(_xlpm.FullArray,AF76:AF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G72" s="859" cm="1">
        <f t="array" ca="1" aca="1" ref="AG72">_xlfn.LET(_xlpm.FullArray,AG76:AG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H72" s="859" cm="1">
        <f t="array" ca="1" aca="1" ref="AH72">_xlfn.LET(_xlpm.FullArray,AH76:AH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I72" s="859" cm="1">
        <f t="array" ca="1" aca="1" ref="AI72">_xlfn.LET(_xlpm.FullArray,AI76:AI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J72" s="859" cm="1">
        <f t="array" ca="1" aca="1" ref="AJ72">_xlfn.LET(_xlpm.FullArray,AJ76:AJ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K72" s="859" cm="1">
        <f t="array" ca="1" aca="1" ref="AK72">_xlfn.LET(_xlpm.FullArray,AK76:AK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L72" s="859" cm="1">
        <f t="array" ca="1" aca="1" ref="AL72">_xlfn.LET(_xlpm.FullArray,AL76:AL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M72" s="859" cm="1">
        <f t="array" ca="1" aca="1" ref="AM72">_xlfn.LET(_xlpm.FullArray,AM76:AM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N72" s="859" cm="1">
        <f t="array" ca="1" aca="1" ref="AN72">_xlfn.LET(_xlpm.FullArray,AN76:AN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O72" s="859" cm="1">
        <f t="array" ca="1" aca="1" ref="AO72">_xlfn.LET(_xlpm.FullArray,AO76:AO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P72" s="859" cm="1">
        <f t="array" ca="1" aca="1" ref="AP72">_xlfn.LET(_xlpm.FullArray,AP76:AP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Q72" s="859" cm="1">
        <f t="array" ca="1" aca="1" ref="AQ72">_xlfn.LET(_xlpm.FullArray,AQ76:AQ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R72" s="859" cm="1">
        <f t="array" ca="1" aca="1" ref="AR72">_xlfn.LET(_xlpm.FullArray,AR76:AR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S72" s="859" cm="1">
        <f t="array" ca="1" aca="1" ref="AS72">_xlfn.LET(_xlpm.FullArray,AS76:AS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T72" s="859" cm="1">
        <f t="array" ca="1" aca="1" ref="AT72">_xlfn.LET(_xlpm.FullArray,AT76:AT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U72" s="859" cm="1">
        <f t="array" ca="1" aca="1" ref="AU72">_xlfn.LET(_xlpm.FullArray,AU76:AU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V72" s="859" cm="1">
        <f t="array" ca="1" aca="1" ref="AV72">_xlfn.LET(_xlpm.FullArray,AV76:AV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W72" s="859" cm="1">
        <f t="array" ca="1" aca="1" ref="AW72">_xlfn.LET(_xlpm.FullArray,AW76:AW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X72" s="859" cm="1">
        <f t="array" ca="1" aca="1" ref="AX72">_xlfn.LET(_xlpm.FullArray,AX76:AX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Y72" s="859" cm="1">
        <f t="array" ca="1" aca="1" ref="AY72">_xlfn.LET(_xlpm.FullArray,AY76:AY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Z72" s="859" cm="1">
        <f t="array" ca="1" aca="1" ref="AZ72">_xlfn.LET(_xlpm.FullArray,AZ76:AZ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A72" s="859" cm="1">
        <f t="array" ca="1" aca="1" ref="BA72">_xlfn.LET(_xlpm.FullArray,BA76:BA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B72" s="859" cm="1">
        <f t="array" ca="1" aca="1" ref="BB72">_xlfn.LET(_xlpm.FullArray,BB76:BB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C72" s="859" cm="1">
        <f t="array" ca="1" aca="1" ref="BC72">_xlfn.LET(_xlpm.FullArray,BC76:BC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D72" s="859" cm="1">
        <f t="array" ca="1" aca="1" ref="BD72">_xlfn.LET(_xlpm.FullArray,BD76:BD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E72" s="859" cm="1">
        <f t="array" ca="1" aca="1" ref="BE72">_xlfn.LET(_xlpm.FullArray,BE76:BE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F72" s="859" cm="1">
        <f t="array" ca="1" aca="1" ref="BF72">_xlfn.LET(_xlpm.FullArray,BF76:BF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G72" s="859" cm="1">
        <f t="array" ca="1" aca="1" ref="BG72">_xlfn.LET(_xlpm.FullArray,BG76:BG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H72" s="859" cm="1">
        <f t="array" ca="1" aca="1" ref="BH72">_xlfn.LET(_xlpm.FullArray,BH76:BH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I72" s="859" cm="1">
        <f t="array" ca="1" aca="1" ref="BI72">_xlfn.LET(_xlpm.FullArray,BI76:BI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J72" s="859" cm="1">
        <f t="array" ca="1" aca="1" ref="BJ72">_xlfn.LET(_xlpm.FullArray,BJ76:BJ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K72" s="859" cm="1">
        <f t="array" ca="1" aca="1" ref="BK72">_xlfn.LET(_xlpm.FullArray,BK76:BK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L72" s="859" cm="1">
        <f t="array" ca="1" aca="1" ref="BL72">_xlfn.LET(_xlpm.FullArray,BL76:BL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M72" s="859" cm="1">
        <f t="array" ca="1" aca="1" ref="BM72">_xlfn.LET(_xlpm.FullArray,BM76:BM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N72" s="859" cm="1">
        <f t="array" ca="1" aca="1" ref="BN72">_xlfn.LET(_xlpm.FullArray,BN76:BN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O72" s="542"/>
      <c r="BP72" s="542"/>
      <c r="BQ72" s="542"/>
      <c r="BR72" s="542"/>
      <c r="BS72" s="542"/>
      <c r="BT72" s="542"/>
      <c r="BU72" s="542"/>
      <c r="BV72" s="542"/>
      <c r="BW72" s="542"/>
      <c r="BX72" s="542"/>
      <c r="BY72" s="542"/>
      <c r="BZ72" s="542"/>
      <c r="CA72" s="34"/>
      <c r="CC72" s="33"/>
      <c r="CD72" s="1341"/>
      <c r="CE72" s="1342"/>
      <c r="CF72" s="88"/>
      <c r="CG72" s="1350"/>
      <c r="CH72" s="1351"/>
      <c r="CI72" s="170"/>
      <c r="CJ72" s="1348"/>
      <c r="CK72" s="1349"/>
      <c r="CL72" s="88"/>
      <c r="CM72" s="1664"/>
      <c r="CN72" s="1665"/>
      <c r="CO72" s="88"/>
      <c r="CP72" s="1664"/>
      <c r="CQ72" s="1665"/>
      <c r="CR72" s="34"/>
    </row>
    <row r="73" spans="1:96" ht="18">
      <c r="A73" s="1322"/>
      <c r="B73" s="577"/>
      <c r="C73" s="577"/>
      <c r="D73" s="1080"/>
      <c r="E73" s="577"/>
      <c r="F73" s="577"/>
      <c r="G73" s="32"/>
      <c r="H73" s="572"/>
      <c r="I73" s="572"/>
      <c r="J73" s="32"/>
      <c r="K73" s="32"/>
      <c r="L73" s="32"/>
      <c r="N73" s="158"/>
      <c r="O73" s="101"/>
      <c r="P73" s="151"/>
      <c r="Q73" s="151"/>
      <c r="R73" s="101"/>
      <c r="S73" s="2"/>
      <c r="T73" s="2"/>
      <c r="U73" s="39"/>
      <c r="W73" s="3046"/>
      <c r="X73" s="1250"/>
      <c r="Y73" s="3041"/>
      <c r="Z73" s="1251"/>
      <c r="AA73" s="1252"/>
      <c r="AB73" s="1631"/>
      <c r="AC73" s="1162"/>
      <c r="AD73" s="1253"/>
      <c r="AE73" s="1253"/>
      <c r="AF73" s="1253"/>
      <c r="AG73" s="1253"/>
      <c r="AH73" s="1253"/>
      <c r="AI73" s="1253"/>
      <c r="AJ73" s="1253"/>
      <c r="AK73" s="1253"/>
      <c r="AL73" s="1253"/>
      <c r="AM73" s="1253"/>
      <c r="AN73" s="1253"/>
      <c r="AO73" s="1253"/>
      <c r="AP73" s="1253"/>
      <c r="AQ73" s="1253"/>
      <c r="AR73" s="1253"/>
      <c r="AS73" s="1253"/>
      <c r="AT73" s="1253"/>
      <c r="AU73" s="1253"/>
      <c r="AV73" s="1253"/>
      <c r="AW73" s="1253"/>
      <c r="AX73" s="1253"/>
      <c r="AY73" s="1253"/>
      <c r="AZ73" s="1253"/>
      <c r="BA73" s="1253"/>
      <c r="BB73" s="1253"/>
      <c r="BC73" s="1253"/>
      <c r="BD73" s="1253"/>
      <c r="BE73" s="1253"/>
      <c r="BF73" s="1253"/>
      <c r="BG73" s="1253"/>
      <c r="BH73" s="1253"/>
      <c r="BI73" s="1253"/>
      <c r="BJ73" s="1253"/>
      <c r="BK73" s="1253"/>
      <c r="BL73" s="1253"/>
      <c r="BM73" s="1253"/>
      <c r="BN73" s="1253"/>
      <c r="BO73" s="2099"/>
      <c r="BP73" s="2099"/>
      <c r="BQ73" s="2099"/>
      <c r="BR73" s="2099"/>
      <c r="BS73" s="2099"/>
      <c r="BT73" s="2099"/>
      <c r="BU73" s="2099"/>
      <c r="BV73" s="2099"/>
      <c r="BW73" s="2099"/>
      <c r="BX73" s="2099"/>
      <c r="BY73" s="2099"/>
      <c r="BZ73" s="2099"/>
      <c r="CA73" s="34"/>
      <c r="CC73" s="33"/>
      <c r="CD73" s="1341"/>
      <c r="CE73" s="1342"/>
      <c r="CF73" s="88"/>
      <c r="CG73" s="1352"/>
      <c r="CH73" s="1353"/>
      <c r="CI73" s="170"/>
      <c r="CJ73" s="1348"/>
      <c r="CK73" s="1349"/>
      <c r="CL73" s="88"/>
      <c r="CM73" s="1707"/>
      <c r="CN73" s="1708"/>
      <c r="CO73" s="88"/>
      <c r="CP73" s="1707"/>
      <c r="CQ73" s="1708"/>
      <c r="CR73" s="34"/>
    </row>
    <row r="74" spans="1:96" ht="30.75" customHeight="1" outlineLevel="1">
      <c r="A74" s="1322"/>
      <c r="B74" s="577"/>
      <c r="C74" s="577"/>
      <c r="D74" s="1080"/>
      <c r="E74" s="577"/>
      <c r="F74" s="577"/>
      <c r="G74" s="32"/>
      <c r="H74" s="572"/>
      <c r="I74" s="582"/>
      <c r="J74" s="32"/>
      <c r="K74" s="32"/>
      <c r="L74" s="32"/>
      <c r="N74" s="158"/>
      <c r="O74" s="101"/>
      <c r="P74" s="52"/>
      <c r="Q74" s="101"/>
      <c r="R74" s="126"/>
      <c r="S74" s="101"/>
      <c r="T74" s="101"/>
      <c r="U74" s="39"/>
      <c r="W74" s="27"/>
      <c r="X74" s="890"/>
      <c r="Y74" s="271"/>
      <c r="Z74" s="536"/>
      <c r="AA74" s="185"/>
      <c r="AB74" s="266"/>
      <c r="AC74" s="185"/>
      <c r="AD74" s="977" cm="1">
        <f t="array" ref="AD74:BN74">EOMONTH(val_asOfDate,_xlfn.SEQUENCE(1,37,-36,1))</f>
        <v>44926</v>
      </c>
      <c r="AE74" s="977">
        <v>44957</v>
      </c>
      <c r="AF74" s="977">
        <v>44985</v>
      </c>
      <c r="AG74" s="977">
        <v>45016</v>
      </c>
      <c r="AH74" s="977">
        <v>45046</v>
      </c>
      <c r="AI74" s="977">
        <v>45077</v>
      </c>
      <c r="AJ74" s="977">
        <v>45107</v>
      </c>
      <c r="AK74" s="977">
        <v>45138</v>
      </c>
      <c r="AL74" s="977">
        <v>45169</v>
      </c>
      <c r="AM74" s="977">
        <v>45199</v>
      </c>
      <c r="AN74" s="977">
        <v>45230</v>
      </c>
      <c r="AO74" s="977">
        <v>45260</v>
      </c>
      <c r="AP74" s="977">
        <v>45291</v>
      </c>
      <c r="AQ74" s="977">
        <v>45322</v>
      </c>
      <c r="AR74" s="977">
        <v>45351</v>
      </c>
      <c r="AS74" s="977">
        <v>45382</v>
      </c>
      <c r="AT74" s="977">
        <v>45412</v>
      </c>
      <c r="AU74" s="977">
        <v>45443</v>
      </c>
      <c r="AV74" s="977">
        <v>45473</v>
      </c>
      <c r="AW74" s="977">
        <v>45504</v>
      </c>
      <c r="AX74" s="977">
        <v>45535</v>
      </c>
      <c r="AY74" s="977">
        <v>45565</v>
      </c>
      <c r="AZ74" s="977">
        <v>45596</v>
      </c>
      <c r="BA74" s="977">
        <v>45626</v>
      </c>
      <c r="BB74" s="977">
        <v>45657</v>
      </c>
      <c r="BC74" s="977">
        <v>45688</v>
      </c>
      <c r="BD74" s="977">
        <v>45716</v>
      </c>
      <c r="BE74" s="977">
        <v>45747</v>
      </c>
      <c r="BF74" s="977">
        <v>45777</v>
      </c>
      <c r="BG74" s="977">
        <v>45808</v>
      </c>
      <c r="BH74" s="977">
        <v>45838</v>
      </c>
      <c r="BI74" s="977">
        <v>45869</v>
      </c>
      <c r="BJ74" s="977">
        <v>45900</v>
      </c>
      <c r="BK74" s="977">
        <v>45930</v>
      </c>
      <c r="BL74" s="977">
        <v>45961</v>
      </c>
      <c r="BM74" s="977">
        <v>45991</v>
      </c>
      <c r="BN74" s="978">
        <v>46022</v>
      </c>
      <c r="BO74" s="2090"/>
      <c r="BP74" s="2090"/>
      <c r="BQ74" s="2090"/>
      <c r="BR74" s="2090"/>
      <c r="BS74" s="2090"/>
      <c r="BT74" s="2090"/>
      <c r="BU74" s="2090"/>
      <c r="BV74" s="2090"/>
      <c r="BW74" s="2090"/>
      <c r="BX74" s="2090"/>
      <c r="BY74" s="2090"/>
      <c r="BZ74" s="2090"/>
      <c r="CA74" s="34"/>
      <c r="CC74" s="180"/>
      <c r="CD74" s="1716" t="e" cm="1">
        <f t="array" ca="1" aca="1" ref="CD74">EOMONTH(val_currentFYE,-24)</f>
        <v>#NAME?</v>
      </c>
      <c r="CE74" s="1717" t="e" cm="1">
        <f t="array" ca="1" aca="1" ref="CE74">EOMONTH(val_currentFYE,-12)</f>
        <v>#NAME?</v>
      </c>
      <c r="CF74" s="277"/>
      <c r="CG74" s="1715">
        <f>EOMONTH(val_asOfDate,-1)</f>
        <v>45991</v>
      </c>
      <c r="CH74" s="1715">
        <f>EOMONTH(val_asOfDate,0)</f>
        <v>46022</v>
      </c>
      <c r="CI74" s="276"/>
      <c r="CJ74" s="1709">
        <f>EOMONTH(val_asOfDate,-1)</f>
        <v>45991</v>
      </c>
      <c r="CK74" s="1710">
        <f>EOMONTH(val_asOfDate,0)</f>
        <v>46022</v>
      </c>
      <c r="CL74" s="88"/>
      <c r="CM74" s="1718" t="e" cm="1">
        <f t="array" ca="1" aca="1" ref="CM74">val_currentFYE</f>
        <v>#NAME?</v>
      </c>
      <c r="CN74" s="1719" t="e" cm="1">
        <f t="array" ca="1" aca="1" ref="CN74">val_currentFYE</f>
        <v>#NAME?</v>
      </c>
      <c r="CO74" s="88"/>
      <c r="CP74" s="1728" t="e" cm="1">
        <f t="array" ca="1" aca="1" ref="CP74">EOMONTH(val_currentFYE,12)</f>
        <v>#NAME?</v>
      </c>
      <c r="CQ74" s="1728" t="e" cm="1">
        <f t="array" ca="1" aca="1" ref="CQ74">EOMONTH(val_currentFYE,12)</f>
        <v>#NAME?</v>
      </c>
      <c r="CR74" s="34"/>
    </row>
    <row r="75" spans="1:96" ht="30.75" customHeight="1" outlineLevel="1">
      <c r="A75" s="1322"/>
      <c r="B75" s="1328"/>
      <c r="C75" s="1328"/>
      <c r="D75" s="1328"/>
      <c r="E75" s="1329"/>
      <c r="F75" s="1329"/>
      <c r="G75" s="1328"/>
      <c r="H75" s="589"/>
      <c r="I75" s="589"/>
      <c r="J75" s="589"/>
      <c r="K75" s="589"/>
      <c r="L75" s="589"/>
      <c r="N75" s="158"/>
      <c r="O75" s="101"/>
      <c r="P75" s="52"/>
      <c r="Q75" s="101"/>
      <c r="R75" s="126"/>
      <c r="S75" s="101"/>
      <c r="T75" s="101"/>
      <c r="U75" s="39"/>
      <c r="W75" s="756" t="s">
        <v>94</v>
      </c>
      <c r="X75" s="891"/>
      <c r="Y75" s="757" t="str">
        <f>val_company&amp;" P&amp;L Accounts"</f>
        <v>Therme Horizon P&amp;L Accounts</v>
      </c>
      <c r="Z75" s="548"/>
      <c r="AA75" s="125"/>
      <c r="AB75" s="561" t="s">
        <v>95</v>
      </c>
      <c r="AC75" s="125" t="str" cm="1">
        <f t="array" ref="AC75">_xlfn.LET(_xlpm.Def,IF(_xlfn.XMATCH(AB75,tbl_acctDef[Term],0)&gt;0,fx_getIcon("find"),""),_xlpm.Adj,IF(_xlfn.XMATCH(AB75,tbl_adjExample[Items],0)&gt;0,fx_getIcon("find"),""),IFERROR(IFBLANK(_xlpm.Def,_xlpm.Adj),""))</f>
        <v/>
      </c>
      <c r="AD75" s="2632" t="str">
        <f>$W$72</f>
        <v>Budget</v>
      </c>
      <c r="AE75" s="2632" t="str">
        <f t="shared" si="13" ref="AE75:BN75">$W$72</f>
        <v>Budget</v>
      </c>
      <c r="AF75" s="2632" t="str">
        <f t="shared" si="13"/>
        <v>Budget</v>
      </c>
      <c r="AG75" s="2632" t="str">
        <f t="shared" si="13"/>
        <v>Budget</v>
      </c>
      <c r="AH75" s="2632" t="str">
        <f t="shared" si="13"/>
        <v>Budget</v>
      </c>
      <c r="AI75" s="2632" t="str">
        <f t="shared" si="13"/>
        <v>Budget</v>
      </c>
      <c r="AJ75" s="2632" t="str">
        <f t="shared" si="13"/>
        <v>Budget</v>
      </c>
      <c r="AK75" s="2632" t="str">
        <f t="shared" si="13"/>
        <v>Budget</v>
      </c>
      <c r="AL75" s="2632" t="str">
        <f t="shared" si="13"/>
        <v>Budget</v>
      </c>
      <c r="AM75" s="2632" t="str">
        <f t="shared" si="13"/>
        <v>Budget</v>
      </c>
      <c r="AN75" s="2632" t="str">
        <f t="shared" si="13"/>
        <v>Budget</v>
      </c>
      <c r="AO75" s="2632" t="str">
        <f t="shared" si="13"/>
        <v>Budget</v>
      </c>
      <c r="AP75" s="2632" t="str">
        <f t="shared" si="13"/>
        <v>Budget</v>
      </c>
      <c r="AQ75" s="2632" t="str">
        <f t="shared" si="13"/>
        <v>Budget</v>
      </c>
      <c r="AR75" s="2632" t="str">
        <f t="shared" si="13"/>
        <v>Budget</v>
      </c>
      <c r="AS75" s="2632" t="str">
        <f t="shared" si="13"/>
        <v>Budget</v>
      </c>
      <c r="AT75" s="2632" t="str">
        <f t="shared" si="13"/>
        <v>Budget</v>
      </c>
      <c r="AU75" s="2632" t="str">
        <f t="shared" si="13"/>
        <v>Budget</v>
      </c>
      <c r="AV75" s="2632" t="str">
        <f t="shared" si="13"/>
        <v>Budget</v>
      </c>
      <c r="AW75" s="2632" t="str">
        <f t="shared" si="13"/>
        <v>Budget</v>
      </c>
      <c r="AX75" s="2632" t="str">
        <f t="shared" si="13"/>
        <v>Budget</v>
      </c>
      <c r="AY75" s="2632" t="str">
        <f t="shared" si="13"/>
        <v>Budget</v>
      </c>
      <c r="AZ75" s="2632" t="str">
        <f t="shared" si="13"/>
        <v>Budget</v>
      </c>
      <c r="BA75" s="2632" t="str">
        <f t="shared" si="13"/>
        <v>Budget</v>
      </c>
      <c r="BB75" s="2632" t="str">
        <f t="shared" si="13"/>
        <v>Budget</v>
      </c>
      <c r="BC75" s="2632" t="str">
        <f t="shared" si="13"/>
        <v>Budget</v>
      </c>
      <c r="BD75" s="2632" t="str">
        <f t="shared" si="13"/>
        <v>Budget</v>
      </c>
      <c r="BE75" s="2632" t="str">
        <f t="shared" si="13"/>
        <v>Budget</v>
      </c>
      <c r="BF75" s="2632" t="str">
        <f t="shared" si="13"/>
        <v>Budget</v>
      </c>
      <c r="BG75" s="2632" t="str">
        <f t="shared" si="13"/>
        <v>Budget</v>
      </c>
      <c r="BH75" s="2632" t="str">
        <f t="shared" si="13"/>
        <v>Budget</v>
      </c>
      <c r="BI75" s="2632" t="str">
        <f t="shared" si="13"/>
        <v>Budget</v>
      </c>
      <c r="BJ75" s="2632" t="str">
        <f t="shared" si="13"/>
        <v>Budget</v>
      </c>
      <c r="BK75" s="2632" t="str">
        <f t="shared" si="13"/>
        <v>Budget</v>
      </c>
      <c r="BL75" s="2632" t="str">
        <f t="shared" si="13"/>
        <v>Budget</v>
      </c>
      <c r="BM75" s="2632" t="str">
        <f t="shared" si="13"/>
        <v>Budget</v>
      </c>
      <c r="BN75" s="2633" t="str">
        <f t="shared" si="13"/>
        <v>Budget</v>
      </c>
      <c r="BO75" s="2100"/>
      <c r="BP75" s="2100"/>
      <c r="BQ75" s="2100"/>
      <c r="BR75" s="2100"/>
      <c r="BS75" s="2100"/>
      <c r="BT75" s="2100"/>
      <c r="BU75" s="2100"/>
      <c r="BV75" s="2100"/>
      <c r="BW75" s="2100"/>
      <c r="BX75" s="2100"/>
      <c r="BY75" s="2100"/>
      <c r="BZ75" s="2100"/>
      <c r="CA75" s="34"/>
      <c r="CC75" s="58"/>
      <c r="CD75" s="1345" t="str">
        <f t="shared" si="14" ref="CD75:CE75">$W$72</f>
        <v>Budget</v>
      </c>
      <c r="CE75" s="1346" t="str">
        <f t="shared" si="14"/>
        <v>Budget</v>
      </c>
      <c r="CF75" s="1347"/>
      <c r="CG75" s="1713" t="str">
        <f t="shared" si="15" ref="CG75:CH75">$W$72</f>
        <v>Budget</v>
      </c>
      <c r="CH75" s="1714" t="str">
        <f t="shared" si="15"/>
        <v>Budget</v>
      </c>
      <c r="CI75" s="1347"/>
      <c r="CJ75" s="1711" t="str">
        <f t="shared" si="16" ref="CJ75:CK75">$W$72</f>
        <v>Budget</v>
      </c>
      <c r="CK75" s="1712" t="str">
        <f t="shared" si="16"/>
        <v>Budget</v>
      </c>
      <c r="CL75" s="88"/>
      <c r="CM75" s="1819" t="str">
        <f>$CM$19</f>
        <v>Original Budget</v>
      </c>
      <c r="CN75" s="1819" t="str">
        <f>$CN$19</f>
        <v>LE</v>
      </c>
      <c r="CO75" s="1205"/>
      <c r="CP75" s="1819" t="str">
        <f>$CP$19</f>
        <v>Original Budget</v>
      </c>
      <c r="CQ75" s="1819" t="str">
        <f>$CQ$19</f>
        <v>LE</v>
      </c>
      <c r="CR75" s="34"/>
    </row>
    <row r="76" spans="1:96" ht="21" customHeight="1" outlineLevel="1">
      <c r="A76" s="1322"/>
      <c r="B76" s="577" t="s">
        <v>610</v>
      </c>
      <c r="C76" s="2125" t="s">
        <v>1527</v>
      </c>
      <c r="D76" s="577"/>
      <c r="E76" s="577" t="e" cm="1">
        <f t="array" ca="1" aca="1" ref="E76">_xlfn.LET(_xlpm.Attr,$C76,_xlpm.Lookback,$E$16,_xlpm.QueryDate,EOMONTH(val_asOfDate,_xlpm.Lookback),_xlpm.ReadField,_xldudf_CX_GET(CX_ENTITY,fx_attrConverter($C76),_xlpm.QueryDate),_xlpm.AttrBlank,_xlpm.Attr="",_xlpm.RESULT,IF(_xlpm.AttrBlank,val_blankRefText,fx_attrConverter(_xlpm.ReadField,0)),IF(_xlpm.RESULT="Error","",_xlpm.RESULT))</f>
        <v>#NAME?</v>
      </c>
      <c r="F76" s="577" t="str">
        <f t="shared" si="17" ref="F76:F97">IF($B76&lt;&gt;"",$B76,$E76)</f>
        <v>Net Revenue</v>
      </c>
      <c r="G76" s="577" t="s">
        <v>1598</v>
      </c>
      <c r="H76" s="578">
        <v>0</v>
      </c>
      <c r="I76" s="3327">
        <v>1</v>
      </c>
      <c r="J76" s="578"/>
      <c r="K76" s="578"/>
      <c r="L76" s="3273" t="b">
        <v>1</v>
      </c>
      <c r="N76" s="158"/>
      <c r="O76" s="101"/>
      <c r="P76" s="52"/>
      <c r="Q76" s="101"/>
      <c r="R76" s="126"/>
      <c r="S76" s="101"/>
      <c r="T76" s="101"/>
      <c r="U76" s="39"/>
      <c r="W76" s="557" t="str">
        <f t="shared" si="18" ref="W76:W97">$W$72</f>
        <v>Budget</v>
      </c>
      <c r="X76" s="3332">
        <v>1</v>
      </c>
      <c r="Y76" s="1134" t="e">
        <f ca="1" t="shared" si="19" ref="Y76:Y97">Y20</f>
        <v>#NAME?</v>
      </c>
      <c r="Z76" s="3286" cm="1">
        <f t="array" ref="Z76">_xlfn.SWITCH(TRUE,ISBLANK(_PL!$L76),"",_PL!$L76=TRUE,1,_PL!$L76=FALSE,-1,_PL!$L76=-1,0,"n/a")</f>
        <v>1</v>
      </c>
      <c r="AA76" s="200"/>
      <c r="AB76" s="1134" t="str">
        <f t="shared" si="20" ref="AB76:AB97">AB20</f>
        <v>Net Revenue</v>
      </c>
      <c r="AC76" s="125" t="e" vm="5" cm="1">
        <f t="array" ref="AC76">_xlfn.LET(_xlpm.Def,IF(_xlfn.XMATCH(AB76,tbl_acctDef[Term],0)&gt;0,fx_getIcon("find"),""),_xlpm.Adj,IF(_xlfn.XMATCH(AB76,tbl_adjExample[Items],0)&gt;0,fx_getIcon("find"),""),IFERROR(IFBLANK(_xlpm.Def,_xlpm.Adj),""))</f>
        <v>#VALUE!</v>
      </c>
      <c r="AD76" s="1985" t="e" cm="1">
        <f t="array" ca="1" aca="1" ref="AD76">_xlfn.LET(_xlpm.val,IF($F76="",val_blankRefText,_xldudf_CX_GET(CX_ENTITY,$F76,AD$11,AD$14,,(AD$75))),_xlpm.Res,IF(OR(_xlpm.val="",_xlpm.val="Error"),"",_xlpm.val),_xlpm.Res)</f>
        <v>#NAME?</v>
      </c>
      <c r="AE76" s="1985" t="e" cm="1">
        <f t="array" ca="1" aca="1" ref="AE76">_xlfn.LET(_xlpm.val,IF($F76="",val_blankRefText,_xldudf_CX_GET(CX_ENTITY,$F76,AE$11,AE$14,,(AE$75))),_xlpm.Res,IF(OR(_xlpm.val="",_xlpm.val="Error"),"",_xlpm.val),_xlpm.Res)</f>
        <v>#NAME?</v>
      </c>
      <c r="AF76" s="1985" t="e" cm="1">
        <f t="array" ca="1" aca="1" ref="AF76">_xlfn.LET(_xlpm.val,IF($F76="",val_blankRefText,_xldudf_CX_GET(CX_ENTITY,$F76,AF$11,AF$14,,(AF$75))),_xlpm.Res,IF(OR(_xlpm.val="",_xlpm.val="Error"),"",_xlpm.val),_xlpm.Res)</f>
        <v>#NAME?</v>
      </c>
      <c r="AG76" s="1985" t="e" cm="1">
        <f t="array" ca="1" aca="1" ref="AG76">_xlfn.LET(_xlpm.val,IF($F76="",val_blankRefText,_xldudf_CX_GET(CX_ENTITY,$F76,AG$11,AG$14,,(AG$75))),_xlpm.Res,IF(OR(_xlpm.val="",_xlpm.val="Error"),"",_xlpm.val),_xlpm.Res)</f>
        <v>#NAME?</v>
      </c>
      <c r="AH76" s="1985" t="e" cm="1">
        <f t="array" ca="1" aca="1" ref="AH76">_xlfn.LET(_xlpm.val,IF($F76="",val_blankRefText,_xldudf_CX_GET(CX_ENTITY,$F76,AH$11,AH$14,,(AH$75))),_xlpm.Res,IF(OR(_xlpm.val="",_xlpm.val="Error"),"",_xlpm.val),_xlpm.Res)</f>
        <v>#NAME?</v>
      </c>
      <c r="AI76" s="1985" t="e" cm="1">
        <f t="array" ca="1" aca="1" ref="AI76">_xlfn.LET(_xlpm.val,IF($F76="",val_blankRefText,_xldudf_CX_GET(CX_ENTITY,$F76,AI$11,AI$14,,(AI$75))),_xlpm.Res,IF(OR(_xlpm.val="",_xlpm.val="Error"),"",_xlpm.val),_xlpm.Res)</f>
        <v>#NAME?</v>
      </c>
      <c r="AJ76" s="1985" t="e" cm="1">
        <f t="array" ca="1" aca="1" ref="AJ76">_xlfn.LET(_xlpm.val,IF($F76="",val_blankRefText,_xldudf_CX_GET(CX_ENTITY,$F76,AJ$11,AJ$14,,(AJ$75))),_xlpm.Res,IF(OR(_xlpm.val="",_xlpm.val="Error"),"",_xlpm.val),_xlpm.Res)</f>
        <v>#NAME?</v>
      </c>
      <c r="AK76" s="1985" t="e" cm="1">
        <f t="array" ca="1" aca="1" ref="AK76">_xlfn.LET(_xlpm.val,IF($F76="",val_blankRefText,_xldudf_CX_GET(CX_ENTITY,$F76,AK$11,AK$14,,(AK$75))),_xlpm.Res,IF(OR(_xlpm.val="",_xlpm.val="Error"),"",_xlpm.val),_xlpm.Res)</f>
        <v>#NAME?</v>
      </c>
      <c r="AL76" s="1985" t="e" cm="1">
        <f t="array" ca="1" aca="1" ref="AL76">_xlfn.LET(_xlpm.val,IF($F76="",val_blankRefText,_xldudf_CX_GET(CX_ENTITY,$F76,AL$11,AL$14,,(AL$75))),_xlpm.Res,IF(OR(_xlpm.val="",_xlpm.val="Error"),"",_xlpm.val),_xlpm.Res)</f>
        <v>#NAME?</v>
      </c>
      <c r="AM76" s="1985" t="e" cm="1">
        <f t="array" ca="1" aca="1" ref="AM76">_xlfn.LET(_xlpm.val,IF($F76="",val_blankRefText,_xldudf_CX_GET(CX_ENTITY,$F76,AM$11,AM$14,,(AM$75))),_xlpm.Res,IF(OR(_xlpm.val="",_xlpm.val="Error"),"",_xlpm.val),_xlpm.Res)</f>
        <v>#NAME?</v>
      </c>
      <c r="AN76" s="1985" t="e" cm="1">
        <f t="array" ca="1" aca="1" ref="AN76">_xlfn.LET(_xlpm.val,IF($F76="",val_blankRefText,_xldudf_CX_GET(CX_ENTITY,$F76,AN$11,AN$14,,(AN$75))),_xlpm.Res,IF(OR(_xlpm.val="",_xlpm.val="Error"),"",_xlpm.val),_xlpm.Res)</f>
        <v>#NAME?</v>
      </c>
      <c r="AO76" s="1985" t="e" cm="1">
        <f t="array" ca="1" aca="1" ref="AO76">_xlfn.LET(_xlpm.val,IF($F76="",val_blankRefText,_xldudf_CX_GET(CX_ENTITY,$F76,AO$11,AO$14,,(AO$75))),_xlpm.Res,IF(OR(_xlpm.val="",_xlpm.val="Error"),"",_xlpm.val),_xlpm.Res)</f>
        <v>#NAME?</v>
      </c>
      <c r="AP76" s="1985" t="e" cm="1">
        <f t="array" ca="1" aca="1" ref="AP76">_xlfn.LET(_xlpm.val,IF($F76="",val_blankRefText,_xldudf_CX_GET(CX_ENTITY,$F76,AP$11,AP$14,,(AP$75))),_xlpm.Res,IF(OR(_xlpm.val="",_xlpm.val="Error"),"",_xlpm.val),_xlpm.Res)</f>
        <v>#NAME?</v>
      </c>
      <c r="AQ76" s="1985" t="e" cm="1">
        <f t="array" ca="1" aca="1" ref="AQ76">_xlfn.LET(_xlpm.val,IF($F76="",val_blankRefText,_xldudf_CX_GET(CX_ENTITY,$F76,AQ$11,AQ$14,,(AQ$75))),_xlpm.Res,IF(OR(_xlpm.val="",_xlpm.val="Error"),"",_xlpm.val),_xlpm.Res)</f>
        <v>#NAME?</v>
      </c>
      <c r="AR76" s="1985" t="e" cm="1">
        <f t="array" ca="1" aca="1" ref="AR76">_xlfn.LET(_xlpm.val,IF($F76="",val_blankRefText,_xldudf_CX_GET(CX_ENTITY,$F76,AR$11,AR$14,,(AR$75))),_xlpm.Res,IF(OR(_xlpm.val="",_xlpm.val="Error"),"",_xlpm.val),_xlpm.Res)</f>
        <v>#NAME?</v>
      </c>
      <c r="AS76" s="1985" t="e" cm="1">
        <f t="array" ca="1" aca="1" ref="AS76">_xlfn.LET(_xlpm.val,IF($F76="",val_blankRefText,_xldudf_CX_GET(CX_ENTITY,$F76,AS$11,AS$14,,(AS$75))),_xlpm.Res,IF(OR(_xlpm.val="",_xlpm.val="Error"),"",_xlpm.val),_xlpm.Res)</f>
        <v>#NAME?</v>
      </c>
      <c r="AT76" s="1985" t="e" cm="1">
        <f t="array" ca="1" aca="1" ref="AT76">_xlfn.LET(_xlpm.val,IF($F76="",val_blankRefText,_xldudf_CX_GET(CX_ENTITY,$F76,AT$11,AT$14,,(AT$75))),_xlpm.Res,IF(OR(_xlpm.val="",_xlpm.val="Error"),"",_xlpm.val),_xlpm.Res)</f>
        <v>#NAME?</v>
      </c>
      <c r="AU76" s="1985" t="e" cm="1">
        <f t="array" ca="1" aca="1" ref="AU76">_xlfn.LET(_xlpm.val,IF($F76="",val_blankRefText,_xldudf_CX_GET(CX_ENTITY,$F76,AU$11,AU$14,,(AU$75))),_xlpm.Res,IF(OR(_xlpm.val="",_xlpm.val="Error"),"",_xlpm.val),_xlpm.Res)</f>
        <v>#NAME?</v>
      </c>
      <c r="AV76" s="1985" t="e" cm="1">
        <f t="array" ca="1" aca="1" ref="AV76">_xlfn.LET(_xlpm.val,IF($F76="",val_blankRefText,_xldudf_CX_GET(CX_ENTITY,$F76,AV$11,AV$14,,(AV$75))),_xlpm.Res,IF(OR(_xlpm.val="",_xlpm.val="Error"),"",_xlpm.val),_xlpm.Res)</f>
        <v>#NAME?</v>
      </c>
      <c r="AW76" s="1985" t="e" cm="1">
        <f t="array" ca="1" aca="1" ref="AW76">_xlfn.LET(_xlpm.val,IF($F76="",val_blankRefText,_xldudf_CX_GET(CX_ENTITY,$F76,AW$11,AW$14,,(AW$75))),_xlpm.Res,IF(OR(_xlpm.val="",_xlpm.val="Error"),"",_xlpm.val),_xlpm.Res)</f>
        <v>#NAME?</v>
      </c>
      <c r="AX76" s="1985" t="e" cm="1">
        <f t="array" ca="1" aca="1" ref="AX76">_xlfn.LET(_xlpm.val,IF($F76="",val_blankRefText,_xldudf_CX_GET(CX_ENTITY,$F76,AX$11,AX$14,,(AX$75))),_xlpm.Res,IF(OR(_xlpm.val="",_xlpm.val="Error"),"",_xlpm.val),_xlpm.Res)</f>
        <v>#NAME?</v>
      </c>
      <c r="AY76" s="1985" t="e" cm="1">
        <f t="array" ca="1" aca="1" ref="AY76">_xlfn.LET(_xlpm.val,IF($F76="",val_blankRefText,_xldudf_CX_GET(CX_ENTITY,$F76,AY$11,AY$14,,(AY$75))),_xlpm.Res,IF(OR(_xlpm.val="",_xlpm.val="Error"),"",_xlpm.val),_xlpm.Res)</f>
        <v>#NAME?</v>
      </c>
      <c r="AZ76" s="1985" t="e" cm="1">
        <f t="array" ca="1" aca="1" ref="AZ76">_xlfn.LET(_xlpm.val,IF($F76="",val_blankRefText,_xldudf_CX_GET(CX_ENTITY,$F76,AZ$11,AZ$14,,(AZ$75))),_xlpm.Res,IF(OR(_xlpm.val="",_xlpm.val="Error"),"",_xlpm.val),_xlpm.Res)</f>
        <v>#NAME?</v>
      </c>
      <c r="BA76" s="1985" t="e" cm="1">
        <f t="array" ca="1" aca="1" ref="BA76">_xlfn.LET(_xlpm.val,IF($F76="",val_blankRefText,_xldudf_CX_GET(CX_ENTITY,$F76,BA$11,BA$14,,(BA$75))),_xlpm.Res,IF(OR(_xlpm.val="",_xlpm.val="Error"),"",_xlpm.val),_xlpm.Res)</f>
        <v>#NAME?</v>
      </c>
      <c r="BB76" s="1985" t="e" cm="1">
        <f t="array" ca="1" aca="1" ref="BB76">_xlfn.LET(_xlpm.val,IF($F76="",val_blankRefText,_xldudf_CX_GET(CX_ENTITY,$F76,BB$11,BB$14,,(BB$75))),_xlpm.Res,IF(OR(_xlpm.val="",_xlpm.val="Error"),"",_xlpm.val),_xlpm.Res)</f>
        <v>#NAME?</v>
      </c>
      <c r="BC76" s="1985" t="e" cm="1">
        <f t="array" ca="1" aca="1" ref="BC76">_xlfn.LET(_xlpm.val,IF($F76="",val_blankRefText,_xldudf_CX_GET(CX_ENTITY,$F76,BC$11,BC$14,,(BC$75))),_xlpm.Res,IF(OR(_xlpm.val="",_xlpm.val="Error"),"",_xlpm.val),_xlpm.Res)</f>
        <v>#NAME?</v>
      </c>
      <c r="BD76" s="1985" t="e" cm="1">
        <f t="array" ca="1" aca="1" ref="BD76">_xlfn.LET(_xlpm.val,IF($F76="",val_blankRefText,_xldudf_CX_GET(CX_ENTITY,$F76,BD$11,BD$14,,(BD$75))),_xlpm.Res,IF(OR(_xlpm.val="",_xlpm.val="Error"),"",_xlpm.val),_xlpm.Res)</f>
        <v>#NAME?</v>
      </c>
      <c r="BE76" s="1985" t="e" cm="1">
        <f t="array" ca="1" aca="1" ref="BE76">_xlfn.LET(_xlpm.val,IF($F76="",val_blankRefText,_xldudf_CX_GET(CX_ENTITY,$F76,BE$11,BE$14,,(BE$75))),_xlpm.Res,IF(OR(_xlpm.val="",_xlpm.val="Error"),"",_xlpm.val),_xlpm.Res)</f>
        <v>#NAME?</v>
      </c>
      <c r="BF76" s="1985" t="e" cm="1">
        <f t="array" ca="1" aca="1" ref="BF76">_xlfn.LET(_xlpm.val,IF($F76="",val_blankRefText,_xldudf_CX_GET(CX_ENTITY,$F76,BF$11,BF$14,,(BF$75))),_xlpm.Res,IF(OR(_xlpm.val="",_xlpm.val="Error"),"",_xlpm.val),_xlpm.Res)</f>
        <v>#NAME?</v>
      </c>
      <c r="BG76" s="1985" t="e" cm="1">
        <f t="array" ca="1" aca="1" ref="BG76">_xlfn.LET(_xlpm.val,IF($F76="",val_blankRefText,_xldudf_CX_GET(CX_ENTITY,$F76,BG$11,BG$14,,(BG$75))),_xlpm.Res,IF(OR(_xlpm.val="",_xlpm.val="Error"),"",_xlpm.val),_xlpm.Res)</f>
        <v>#NAME?</v>
      </c>
      <c r="BH76" s="1985" t="e" cm="1">
        <f t="array" ca="1" aca="1" ref="BH76">_xlfn.LET(_xlpm.val,IF($F76="",val_blankRefText,_xldudf_CX_GET(CX_ENTITY,$F76,BH$11,BH$14,,(BH$75))),_xlpm.Res,IF(OR(_xlpm.val="",_xlpm.val="Error"),"",_xlpm.val),_xlpm.Res)</f>
        <v>#NAME?</v>
      </c>
      <c r="BI76" s="1985" t="e" cm="1">
        <f t="array" ca="1" aca="1" ref="BI76">_xlfn.LET(_xlpm.val,IF($F76="",val_blankRefText,_xldudf_CX_GET(CX_ENTITY,$F76,BI$11,BI$14,,(BI$75))),_xlpm.Res,IF(OR(_xlpm.val="",_xlpm.val="Error"),"",_xlpm.val),_xlpm.Res)</f>
        <v>#NAME?</v>
      </c>
      <c r="BJ76" s="1985" t="e" cm="1">
        <f t="array" ca="1" aca="1" ref="BJ76">_xlfn.LET(_xlpm.val,IF($F76="",val_blankRefText,_xldudf_CX_GET(CX_ENTITY,$F76,BJ$11,BJ$14,,(BJ$75))),_xlpm.Res,IF(OR(_xlpm.val="",_xlpm.val="Error"),"",_xlpm.val),_xlpm.Res)</f>
        <v>#NAME?</v>
      </c>
      <c r="BK76" s="1985" t="e" cm="1">
        <f t="array" ca="1" aca="1" ref="BK76">_xlfn.LET(_xlpm.val,IF($F76="",val_blankRefText,_xldudf_CX_GET(CX_ENTITY,$F76,BK$11,BK$14,,(BK$75))),_xlpm.Res,IF(OR(_xlpm.val="",_xlpm.val="Error"),"",_xlpm.val),_xlpm.Res)</f>
        <v>#NAME?</v>
      </c>
      <c r="BL76" s="1985" t="e" cm="1">
        <f t="array" ca="1" aca="1" ref="BL76">_xlfn.LET(_xlpm.val,IF($F76="",val_blankRefText,_xldudf_CX_GET(CX_ENTITY,$F76,BL$11,BL$14,,(BL$75))),_xlpm.Res,IF(OR(_xlpm.val="",_xlpm.val="Error"),"",_xlpm.val),_xlpm.Res)</f>
        <v>#NAME?</v>
      </c>
      <c r="BM76" s="1985" t="e" cm="1">
        <f t="array" ca="1" aca="1" ref="BM76">_xlfn.LET(_xlpm.val,IF($F76="",val_blankRefText,_xldudf_CX_GET(CX_ENTITY,$F76,BM$11,BM$14,,(BM$75))),_xlpm.Res,IF(OR(_xlpm.val="",_xlpm.val="Error"),"",_xlpm.val),_xlpm.Res)</f>
        <v>#NAME?</v>
      </c>
      <c r="BN76" s="1985" t="e" cm="1">
        <f t="array" ca="1" aca="1" ref="BN76">_xlfn.LET(_xlpm.val,IF($F76="",val_blankRefText,_xldudf_CX_GET(CX_ENTITY,$F76,BN$11,BN$14,,(BN$75))),_xlpm.Res,IF(OR(_xlpm.val="",_xlpm.val="Error"),"",_xlpm.val),_xlpm.Res)</f>
        <v>#NAME?</v>
      </c>
      <c r="BO76" s="2101"/>
      <c r="BP76" s="2101"/>
      <c r="BQ76" s="2101"/>
      <c r="BR76" s="2101"/>
      <c r="BS76" s="2101"/>
      <c r="BT76" s="2101"/>
      <c r="BU76" s="2101"/>
      <c r="BV76" s="2101"/>
      <c r="BW76" s="2101"/>
      <c r="BX76" s="2101"/>
      <c r="BY76" s="2101"/>
      <c r="BZ76" s="2101"/>
      <c r="CA76" s="34"/>
      <c r="CC76" s="33"/>
      <c r="CD76" s="1461" t="e" cm="1">
        <f t="array" ca="1" aca="1" ref="CD76">_xlfn.LET(_xlpm.CheckBlank,SUM(PL!$AD76:$BN76)=0,IF(_xlpm.CheckBlank,"",SUM(_xlfn._xlws.FILTER(PL!$AD76:$BN76,(YEAR(PL!$AD$12:$BN$12)=PL!CD$12)*(array_timeline&lt;=PL!CD$11)))))</f>
        <v>#NAME?</v>
      </c>
      <c r="CE76" s="1461" t="e" cm="1">
        <f t="array" ca="1" aca="1" ref="CE76">_xlfn.LET(_xlpm.CheckBlank,SUM(PL!$AD76:$BN76)=0,IF(_xlpm.CheckBlank,"",SUM(_xlfn._xlws.FILTER(PL!$AD76:$BN76,(YEAR(PL!$AD$12:$BN$12)=PL!CE$12)*(array_timeline&lt;=PL!CE$11)))))</f>
        <v>#NAME?</v>
      </c>
      <c r="CF76" s="88"/>
      <c r="CG76" s="1461" t="e" cm="1">
        <f t="array" ca="1" aca="1" ref="CG76">_xlfn.LET(_xlpm.CheckBlank,SUM(PL!$AD76:$BN76)=0,IF(_xlpm.CheckBlank,"",SUM(_xlfn._xlws.FILTER(PL!$AD76:$BN76,(YEAR(PL!$AD$12:$BN$12)=PL!CG$12)*(array_timeline&lt;=PL!CG$11)))))</f>
        <v>#NAME?</v>
      </c>
      <c r="CH76" s="1461" t="e" cm="1">
        <f t="array" ca="1" aca="1" ref="CH76">_xlfn.LET(_xlpm.CheckBlank,SUM(PL!$AD76:$BN76)=0,IF(_xlpm.CheckBlank,"",SUM(_xlfn._xlws.FILTER(PL!$AD76:$BN76,(YEAR(PL!$AD$12:$BN$12)=PL!CH$12)*(array_timeline&lt;=PL!CH$11)))))</f>
        <v>#NAME?</v>
      </c>
      <c r="CI76" s="88"/>
      <c r="CJ76" s="1461" cm="1">
        <f t="array" ref="CJ76">_xlfn.LET(_xlpm.CheckBlank,SUM(PL!$AD76:$BN76)=0,IF(_xlpm.CheckBlank,"",SUM(_xlfn.TAKE(_xlfn.DROP(PL!$AD76:$BN76,,-DATEDIFF(PL!CJ$11,val_asOfDate,"M")),1,-12))))</f>
        <v>12</v>
      </c>
      <c r="CK76" s="1461" cm="1">
        <f t="array" ref="CK76">_xlfn.LET(_xlpm.CheckBlank,SUM(PL!$AD76:$BN76)=0,IF(_xlpm.CheckBlank,"",SUM(_xlfn.TAKE(_xlfn.DROP(PL!$AD76:$BN76,,-DATEDIFF(PL!CK$11,val_asOfDate,"M")),1,-12))))</f>
        <v>12</v>
      </c>
      <c r="CL76" s="88"/>
      <c r="CM76" s="1168" t="e">
        <f ca="1" t="shared" si="21" ref="CM76:CN97">CM20</f>
        <v>#NAME?</v>
      </c>
      <c r="CN76" s="1168" t="e">
        <f t="shared" ca="1" si="21"/>
        <v>#NAME?</v>
      </c>
      <c r="CO76" s="1169"/>
      <c r="CP76" s="1168" t="e">
        <f ca="1" t="shared" si="22" ref="CP76:CQ97">CP20</f>
        <v>#NAME?</v>
      </c>
      <c r="CQ76" s="1168" t="e">
        <f t="shared" ca="1" si="22"/>
        <v>#NAME?</v>
      </c>
      <c r="CR76" s="41"/>
    </row>
    <row r="77" spans="1:96" ht="21" customHeight="1" outlineLevel="1">
      <c r="A77" s="1322"/>
      <c r="B77" s="577" t="s">
        <v>638</v>
      </c>
      <c r="C77" s="2125" t="s">
        <v>1529</v>
      </c>
      <c r="D77" s="577"/>
      <c r="E77" s="577" t="e" cm="1">
        <f t="array" ca="1" aca="1" ref="E77">_xlfn.LET(_xlpm.Attr,$C77,_xlpm.Lookback,$E$16,_xlpm.QueryDate,EOMONTH(val_asOfDate,_xlpm.Lookback),_xlpm.ReadField,_xldudf_CX_GET(CX_ENTITY,fx_attrConverter($C77),_xlpm.QueryDate),_xlpm.AttrBlank,_xlpm.Attr="",_xlpm.RESULT,IF(_xlpm.AttrBlank,val_blankRefText,fx_attrConverter(_xlpm.ReadField,0)),IF(_xlpm.RESULT="Error","",_xlpm.RESULT))</f>
        <v>#NAME?</v>
      </c>
      <c r="F77" s="577" t="str">
        <f t="shared" si="17"/>
        <v>Cost of Sales</v>
      </c>
      <c r="G77" s="577" t="s">
        <v>1598</v>
      </c>
      <c r="H77" s="578">
        <v>0</v>
      </c>
      <c r="I77" s="3279">
        <v>1</v>
      </c>
      <c r="J77" s="578"/>
      <c r="K77" s="578"/>
      <c r="L77" s="3269" t="b">
        <v>1</v>
      </c>
      <c r="N77" s="158"/>
      <c r="O77" s="101"/>
      <c r="P77" s="52"/>
      <c r="Q77" s="101"/>
      <c r="R77" s="126"/>
      <c r="S77" s="101"/>
      <c r="T77" s="101"/>
      <c r="U77" s="39"/>
      <c r="W77" s="554" t="str">
        <f t="shared" si="18"/>
        <v>Budget</v>
      </c>
      <c r="X77" s="884">
        <v>-1</v>
      </c>
      <c r="Y77" s="1134" t="e">
        <f t="shared" ca="1" si="19"/>
        <v>#NAME?</v>
      </c>
      <c r="Z77" s="3291" cm="1">
        <f t="array" ref="Z77">_xlfn.SWITCH(TRUE,ISBLANK(_PL!$L77),"",_PL!$L77=TRUE,1,_PL!$L77=FALSE,-1,_PL!$L77=-1,0,"n/a")</f>
        <v>1</v>
      </c>
      <c r="AA77" s="200"/>
      <c r="AB77" s="1134" t="str">
        <f t="shared" si="20"/>
        <v>Cost of Sales</v>
      </c>
      <c r="AC77" s="125" t="e" vm="5" cm="1">
        <f t="array" ref="AC77">_xlfn.LET(_xlpm.Def,IF(_xlfn.XMATCH(AB77,tbl_acctDef[Term],0)&gt;0,fx_getIcon("find"),""),_xlpm.Adj,IF(_xlfn.XMATCH(AB77,tbl_adjExample[Items],0)&gt;0,fx_getIcon("find"),""),IFERROR(IFBLANK(_xlpm.Def,_xlpm.Adj),""))</f>
        <v>#VALUE!</v>
      </c>
      <c r="AD77" s="1985" t="e" cm="1">
        <f t="array" ca="1" aca="1" ref="AD77">_xlfn.LET(_xlpm.val,IF($F77="",val_blankRefText,_xldudf_CX_GET(CX_ENTITY,$F77,AD$11,AD$14,,(AD$75))),_xlpm.Res,IF(OR(_xlpm.val="",_xlpm.val="Error"),"",_xlpm.val),_xlpm.Res)</f>
        <v>#NAME?</v>
      </c>
      <c r="AE77" s="1985" t="e" cm="1">
        <f t="array" ca="1" aca="1" ref="AE77">_xlfn.LET(_xlpm.val,IF($F77="",val_blankRefText,_xldudf_CX_GET(CX_ENTITY,$F77,AE$11,AE$14,,(AE$75))),_xlpm.Res,IF(OR(_xlpm.val="",_xlpm.val="Error"),"",_xlpm.val),_xlpm.Res)</f>
        <v>#NAME?</v>
      </c>
      <c r="AF77" s="1985" t="e" cm="1">
        <f t="array" ca="1" aca="1" ref="AF77">_xlfn.LET(_xlpm.val,IF($F77="",val_blankRefText,_xldudf_CX_GET(CX_ENTITY,$F77,AF$11,AF$14,,(AF$75))),_xlpm.Res,IF(OR(_xlpm.val="",_xlpm.val="Error"),"",_xlpm.val),_xlpm.Res)</f>
        <v>#NAME?</v>
      </c>
      <c r="AG77" s="1985" t="e" cm="1">
        <f t="array" ca="1" aca="1" ref="AG77">_xlfn.LET(_xlpm.val,IF($F77="",val_blankRefText,_xldudf_CX_GET(CX_ENTITY,$F77,AG$11,AG$14,,(AG$75))),_xlpm.Res,IF(OR(_xlpm.val="",_xlpm.val="Error"),"",_xlpm.val),_xlpm.Res)</f>
        <v>#NAME?</v>
      </c>
      <c r="AH77" s="1985" t="e" cm="1">
        <f t="array" ca="1" aca="1" ref="AH77">_xlfn.LET(_xlpm.val,IF($F77="",val_blankRefText,_xldudf_CX_GET(CX_ENTITY,$F77,AH$11,AH$14,,(AH$75))),_xlpm.Res,IF(OR(_xlpm.val="",_xlpm.val="Error"),"",_xlpm.val),_xlpm.Res)</f>
        <v>#NAME?</v>
      </c>
      <c r="AI77" s="1985" t="e" cm="1">
        <f t="array" ca="1" aca="1" ref="AI77">_xlfn.LET(_xlpm.val,IF($F77="",val_blankRefText,_xldudf_CX_GET(CX_ENTITY,$F77,AI$11,AI$14,,(AI$75))),_xlpm.Res,IF(OR(_xlpm.val="",_xlpm.val="Error"),"",_xlpm.val),_xlpm.Res)</f>
        <v>#NAME?</v>
      </c>
      <c r="AJ77" s="1985" t="e" cm="1">
        <f t="array" ca="1" aca="1" ref="AJ77">_xlfn.LET(_xlpm.val,IF($F77="",val_blankRefText,_xldudf_CX_GET(CX_ENTITY,$F77,AJ$11,AJ$14,,(AJ$75))),_xlpm.Res,IF(OR(_xlpm.val="",_xlpm.val="Error"),"",_xlpm.val),_xlpm.Res)</f>
        <v>#NAME?</v>
      </c>
      <c r="AK77" s="1985" t="e" cm="1">
        <f t="array" ca="1" aca="1" ref="AK77">_xlfn.LET(_xlpm.val,IF($F77="",val_blankRefText,_xldudf_CX_GET(CX_ENTITY,$F77,AK$11,AK$14,,(AK$75))),_xlpm.Res,IF(OR(_xlpm.val="",_xlpm.val="Error"),"",_xlpm.val),_xlpm.Res)</f>
        <v>#NAME?</v>
      </c>
      <c r="AL77" s="1985" t="e" cm="1">
        <f t="array" ca="1" aca="1" ref="AL77">_xlfn.LET(_xlpm.val,IF($F77="",val_blankRefText,_xldudf_CX_GET(CX_ENTITY,$F77,AL$11,AL$14,,(AL$75))),_xlpm.Res,IF(OR(_xlpm.val="",_xlpm.val="Error"),"",_xlpm.val),_xlpm.Res)</f>
        <v>#NAME?</v>
      </c>
      <c r="AM77" s="1985" t="e" cm="1">
        <f t="array" ca="1" aca="1" ref="AM77">_xlfn.LET(_xlpm.val,IF($F77="",val_blankRefText,_xldudf_CX_GET(CX_ENTITY,$F77,AM$11,AM$14,,(AM$75))),_xlpm.Res,IF(OR(_xlpm.val="",_xlpm.val="Error"),"",_xlpm.val),_xlpm.Res)</f>
        <v>#NAME?</v>
      </c>
      <c r="AN77" s="1985" t="e" cm="1">
        <f t="array" ca="1" aca="1" ref="AN77">_xlfn.LET(_xlpm.val,IF($F77="",val_blankRefText,_xldudf_CX_GET(CX_ENTITY,$F77,AN$11,AN$14,,(AN$75))),_xlpm.Res,IF(OR(_xlpm.val="",_xlpm.val="Error"),"",_xlpm.val),_xlpm.Res)</f>
        <v>#NAME?</v>
      </c>
      <c r="AO77" s="1985" t="e" cm="1">
        <f t="array" ca="1" aca="1" ref="AO77">_xlfn.LET(_xlpm.val,IF($F77="",val_blankRefText,_xldudf_CX_GET(CX_ENTITY,$F77,AO$11,AO$14,,(AO$75))),_xlpm.Res,IF(OR(_xlpm.val="",_xlpm.val="Error"),"",_xlpm.val),_xlpm.Res)</f>
        <v>#NAME?</v>
      </c>
      <c r="AP77" s="1985" t="e" cm="1">
        <f t="array" ca="1" aca="1" ref="AP77">_xlfn.LET(_xlpm.val,IF($F77="",val_blankRefText,_xldudf_CX_GET(CX_ENTITY,$F77,AP$11,AP$14,,(AP$75))),_xlpm.Res,IF(OR(_xlpm.val="",_xlpm.val="Error"),"",_xlpm.val),_xlpm.Res)</f>
        <v>#NAME?</v>
      </c>
      <c r="AQ77" s="1985" t="e" cm="1">
        <f t="array" ca="1" aca="1" ref="AQ77">_xlfn.LET(_xlpm.val,IF($F77="",val_blankRefText,_xldudf_CX_GET(CX_ENTITY,$F77,AQ$11,AQ$14,,(AQ$75))),_xlpm.Res,IF(OR(_xlpm.val="",_xlpm.val="Error"),"",_xlpm.val),_xlpm.Res)</f>
        <v>#NAME?</v>
      </c>
      <c r="AR77" s="1985" t="e" cm="1">
        <f t="array" ca="1" aca="1" ref="AR77">_xlfn.LET(_xlpm.val,IF($F77="",val_blankRefText,_xldudf_CX_GET(CX_ENTITY,$F77,AR$11,AR$14,,(AR$75))),_xlpm.Res,IF(OR(_xlpm.val="",_xlpm.val="Error"),"",_xlpm.val),_xlpm.Res)</f>
        <v>#NAME?</v>
      </c>
      <c r="AS77" s="1985" t="e" cm="1">
        <f t="array" ca="1" aca="1" ref="AS77">_xlfn.LET(_xlpm.val,IF($F77="",val_blankRefText,_xldudf_CX_GET(CX_ENTITY,$F77,AS$11,AS$14,,(AS$75))),_xlpm.Res,IF(OR(_xlpm.val="",_xlpm.val="Error"),"",_xlpm.val),_xlpm.Res)</f>
        <v>#NAME?</v>
      </c>
      <c r="AT77" s="1985" t="e" cm="1">
        <f t="array" ca="1" aca="1" ref="AT77">_xlfn.LET(_xlpm.val,IF($F77="",val_blankRefText,_xldudf_CX_GET(CX_ENTITY,$F77,AT$11,AT$14,,(AT$75))),_xlpm.Res,IF(OR(_xlpm.val="",_xlpm.val="Error"),"",_xlpm.val),_xlpm.Res)</f>
        <v>#NAME?</v>
      </c>
      <c r="AU77" s="1985" t="e" cm="1">
        <f t="array" ca="1" aca="1" ref="AU77">_xlfn.LET(_xlpm.val,IF($F77="",val_blankRefText,_xldudf_CX_GET(CX_ENTITY,$F77,AU$11,AU$14,,(AU$75))),_xlpm.Res,IF(OR(_xlpm.val="",_xlpm.val="Error"),"",_xlpm.val),_xlpm.Res)</f>
        <v>#NAME?</v>
      </c>
      <c r="AV77" s="1985" t="e" cm="1">
        <f t="array" ca="1" aca="1" ref="AV77">_xlfn.LET(_xlpm.val,IF($F77="",val_blankRefText,_xldudf_CX_GET(CX_ENTITY,$F77,AV$11,AV$14,,(AV$75))),_xlpm.Res,IF(OR(_xlpm.val="",_xlpm.val="Error"),"",_xlpm.val),_xlpm.Res)</f>
        <v>#NAME?</v>
      </c>
      <c r="AW77" s="1985" t="e" cm="1">
        <f t="array" ca="1" aca="1" ref="AW77">_xlfn.LET(_xlpm.val,IF($F77="",val_blankRefText,_xldudf_CX_GET(CX_ENTITY,$F77,AW$11,AW$14,,(AW$75))),_xlpm.Res,IF(OR(_xlpm.val="",_xlpm.val="Error"),"",_xlpm.val),_xlpm.Res)</f>
        <v>#NAME?</v>
      </c>
      <c r="AX77" s="1985" t="e" cm="1">
        <f t="array" ca="1" aca="1" ref="AX77">_xlfn.LET(_xlpm.val,IF($F77="",val_blankRefText,_xldudf_CX_GET(CX_ENTITY,$F77,AX$11,AX$14,,(AX$75))),_xlpm.Res,IF(OR(_xlpm.val="",_xlpm.val="Error"),"",_xlpm.val),_xlpm.Res)</f>
        <v>#NAME?</v>
      </c>
      <c r="AY77" s="1985" t="e" cm="1">
        <f t="array" ca="1" aca="1" ref="AY77">_xlfn.LET(_xlpm.val,IF($F77="",val_blankRefText,_xldudf_CX_GET(CX_ENTITY,$F77,AY$11,AY$14,,(AY$75))),_xlpm.Res,IF(OR(_xlpm.val="",_xlpm.val="Error"),"",_xlpm.val),_xlpm.Res)</f>
        <v>#NAME?</v>
      </c>
      <c r="AZ77" s="1985" t="e" cm="1">
        <f t="array" ca="1" aca="1" ref="AZ77">_xlfn.LET(_xlpm.val,IF($F77="",val_blankRefText,_xldudf_CX_GET(CX_ENTITY,$F77,AZ$11,AZ$14,,(AZ$75))),_xlpm.Res,IF(OR(_xlpm.val="",_xlpm.val="Error"),"",_xlpm.val),_xlpm.Res)</f>
        <v>#NAME?</v>
      </c>
      <c r="BA77" s="1985" t="e" cm="1">
        <f t="array" ca="1" aca="1" ref="BA77">_xlfn.LET(_xlpm.val,IF($F77="",val_blankRefText,_xldudf_CX_GET(CX_ENTITY,$F77,BA$11,BA$14,,(BA$75))),_xlpm.Res,IF(OR(_xlpm.val="",_xlpm.val="Error"),"",_xlpm.val),_xlpm.Res)</f>
        <v>#NAME?</v>
      </c>
      <c r="BB77" s="1985" t="e" cm="1">
        <f t="array" ca="1" aca="1" ref="BB77">_xlfn.LET(_xlpm.val,IF($F77="",val_blankRefText,_xldudf_CX_GET(CX_ENTITY,$F77,BB$11,BB$14,,(BB$75))),_xlpm.Res,IF(OR(_xlpm.val="",_xlpm.val="Error"),"",_xlpm.val),_xlpm.Res)</f>
        <v>#NAME?</v>
      </c>
      <c r="BC77" s="1985" t="e" cm="1">
        <f t="array" ca="1" aca="1" ref="BC77">_xlfn.LET(_xlpm.val,IF($F77="",val_blankRefText,_xldudf_CX_GET(CX_ENTITY,$F77,BC$11,BC$14,,(BC$75))),_xlpm.Res,IF(OR(_xlpm.val="",_xlpm.val="Error"),"",_xlpm.val),_xlpm.Res)</f>
        <v>#NAME?</v>
      </c>
      <c r="BD77" s="1985" t="e" cm="1">
        <f t="array" ca="1" aca="1" ref="BD77">_xlfn.LET(_xlpm.val,IF($F77="",val_blankRefText,_xldudf_CX_GET(CX_ENTITY,$F77,BD$11,BD$14,,(BD$75))),_xlpm.Res,IF(OR(_xlpm.val="",_xlpm.val="Error"),"",_xlpm.val),_xlpm.Res)</f>
        <v>#NAME?</v>
      </c>
      <c r="BE77" s="1985" t="e" cm="1">
        <f t="array" ca="1" aca="1" ref="BE77">_xlfn.LET(_xlpm.val,IF($F77="",val_blankRefText,_xldudf_CX_GET(CX_ENTITY,$F77,BE$11,BE$14,,(BE$75))),_xlpm.Res,IF(OR(_xlpm.val="",_xlpm.val="Error"),"",_xlpm.val),_xlpm.Res)</f>
        <v>#NAME?</v>
      </c>
      <c r="BF77" s="1985" t="e" cm="1">
        <f t="array" ca="1" aca="1" ref="BF77">_xlfn.LET(_xlpm.val,IF($F77="",val_blankRefText,_xldudf_CX_GET(CX_ENTITY,$F77,BF$11,BF$14,,(BF$75))),_xlpm.Res,IF(OR(_xlpm.val="",_xlpm.val="Error"),"",_xlpm.val),_xlpm.Res)</f>
        <v>#NAME?</v>
      </c>
      <c r="BG77" s="1985" t="e" cm="1">
        <f t="array" ca="1" aca="1" ref="BG77">_xlfn.LET(_xlpm.val,IF($F77="",val_blankRefText,_xldudf_CX_GET(CX_ENTITY,$F77,BG$11,BG$14,,(BG$75))),_xlpm.Res,IF(OR(_xlpm.val="",_xlpm.val="Error"),"",_xlpm.val),_xlpm.Res)</f>
        <v>#NAME?</v>
      </c>
      <c r="BH77" s="1985" t="e" cm="1">
        <f t="array" ca="1" aca="1" ref="BH77">_xlfn.LET(_xlpm.val,IF($F77="",val_blankRefText,_xldudf_CX_GET(CX_ENTITY,$F77,BH$11,BH$14,,(BH$75))),_xlpm.Res,IF(OR(_xlpm.val="",_xlpm.val="Error"),"",_xlpm.val),_xlpm.Res)</f>
        <v>#NAME?</v>
      </c>
      <c r="BI77" s="1985" t="e" cm="1">
        <f t="array" ca="1" aca="1" ref="BI77">_xlfn.LET(_xlpm.val,IF($F77="",val_blankRefText,_xldudf_CX_GET(CX_ENTITY,$F77,BI$11,BI$14,,(BI$75))),_xlpm.Res,IF(OR(_xlpm.val="",_xlpm.val="Error"),"",_xlpm.val),_xlpm.Res)</f>
        <v>#NAME?</v>
      </c>
      <c r="BJ77" s="1985" t="e" cm="1">
        <f t="array" ca="1" aca="1" ref="BJ77">_xlfn.LET(_xlpm.val,IF($F77="",val_blankRefText,_xldudf_CX_GET(CX_ENTITY,$F77,BJ$11,BJ$14,,(BJ$75))),_xlpm.Res,IF(OR(_xlpm.val="",_xlpm.val="Error"),"",_xlpm.val),_xlpm.Res)</f>
        <v>#NAME?</v>
      </c>
      <c r="BK77" s="1985" t="e" cm="1">
        <f t="array" ca="1" aca="1" ref="BK77">_xlfn.LET(_xlpm.val,IF($F77="",val_blankRefText,_xldudf_CX_GET(CX_ENTITY,$F77,BK$11,BK$14,,(BK$75))),_xlpm.Res,IF(OR(_xlpm.val="",_xlpm.val="Error"),"",_xlpm.val),_xlpm.Res)</f>
        <v>#NAME?</v>
      </c>
      <c r="BL77" s="1985" t="e" cm="1">
        <f t="array" ca="1" aca="1" ref="BL77">_xlfn.LET(_xlpm.val,IF($F77="",val_blankRefText,_xldudf_CX_GET(CX_ENTITY,$F77,BL$11,BL$14,,(BL$75))),_xlpm.Res,IF(OR(_xlpm.val="",_xlpm.val="Error"),"",_xlpm.val),_xlpm.Res)</f>
        <v>#NAME?</v>
      </c>
      <c r="BM77" s="1985" t="e" cm="1">
        <f t="array" ca="1" aca="1" ref="BM77">_xlfn.LET(_xlpm.val,IF($F77="",val_blankRefText,_xldudf_CX_GET(CX_ENTITY,$F77,BM$11,BM$14,,(BM$75))),_xlpm.Res,IF(OR(_xlpm.val="",_xlpm.val="Error"),"",_xlpm.val),_xlpm.Res)</f>
        <v>#NAME?</v>
      </c>
      <c r="BN77" s="1985" t="e" cm="1">
        <f t="array" ca="1" aca="1" ref="BN77">_xlfn.LET(_xlpm.val,IF($F77="",val_blankRefText,_xldudf_CX_GET(CX_ENTITY,$F77,BN$11,BN$14,,(BN$75))),_xlpm.Res,IF(OR(_xlpm.val="",_xlpm.val="Error"),"",_xlpm.val),_xlpm.Res)</f>
        <v>#NAME?</v>
      </c>
      <c r="BO77" s="2101"/>
      <c r="BP77" s="2101"/>
      <c r="BQ77" s="2101"/>
      <c r="BR77" s="2101"/>
      <c r="BS77" s="2101"/>
      <c r="BT77" s="2101"/>
      <c r="BU77" s="2101"/>
      <c r="BV77" s="2101"/>
      <c r="BW77" s="2101"/>
      <c r="BX77" s="2101"/>
      <c r="BY77" s="2101"/>
      <c r="BZ77" s="2101"/>
      <c r="CA77" s="34"/>
      <c r="CC77" s="33"/>
      <c r="CD77" s="1461" t="e" cm="1">
        <f t="array" ca="1" aca="1" ref="CD77">_xlfn.LET(_xlpm.CheckBlank,SUM(PL!$AD77:$BN77)=0,IF(_xlpm.CheckBlank,"",SUM(_xlfn._xlws.FILTER(PL!$AD77:$BN77,(YEAR(PL!$AD$12:$BN$12)=PL!CD$12)*(array_timeline&lt;=PL!CD$11)))))</f>
        <v>#NAME?</v>
      </c>
      <c r="CE77" s="1461" t="e" cm="1">
        <f t="array" ca="1" aca="1" ref="CE77">_xlfn.LET(_xlpm.CheckBlank,SUM(PL!$AD77:$BN77)=0,IF(_xlpm.CheckBlank,"",SUM(_xlfn._xlws.FILTER(PL!$AD77:$BN77,(YEAR(PL!$AD$12:$BN$12)=PL!CE$12)*(array_timeline&lt;=PL!CE$11)))))</f>
        <v>#NAME?</v>
      </c>
      <c r="CF77" s="88"/>
      <c r="CG77" s="1461" t="e" cm="1">
        <f t="array" ca="1" aca="1" ref="CG77">_xlfn.LET(_xlpm.CheckBlank,SUM(PL!$AD77:$BN77)=0,IF(_xlpm.CheckBlank,"",SUM(_xlfn._xlws.FILTER(PL!$AD77:$BN77,(YEAR(PL!$AD$12:$BN$12)=PL!CG$12)*(array_timeline&lt;=PL!CG$11)))))</f>
        <v>#NAME?</v>
      </c>
      <c r="CH77" s="1461" t="e" cm="1">
        <f t="array" ca="1" aca="1" ref="CH77">_xlfn.LET(_xlpm.CheckBlank,SUM(PL!$AD77:$BN77)=0,IF(_xlpm.CheckBlank,"",SUM(_xlfn._xlws.FILTER(PL!$AD77:$BN77,(YEAR(PL!$AD$12:$BN$12)=PL!CH$12)*(array_timeline&lt;=PL!CH$11)))))</f>
        <v>#NAME?</v>
      </c>
      <c r="CI77" s="88"/>
      <c r="CJ77" s="1461" cm="1">
        <f t="array" ref="CJ77">_xlfn.LET(_xlpm.CheckBlank,SUM(PL!$AD77:$BN77)=0,IF(_xlpm.CheckBlank,"",SUM(_xlfn.TAKE(_xlfn.DROP(PL!$AD77:$BN77,,-DATEDIFF(PL!CJ$11,val_asOfDate,"M")),1,-12))))</f>
        <v>12</v>
      </c>
      <c r="CK77" s="1461" cm="1">
        <f t="array" ref="CK77">_xlfn.LET(_xlpm.CheckBlank,SUM(PL!$AD77:$BN77)=0,IF(_xlpm.CheckBlank,"",SUM(_xlfn.TAKE(_xlfn.DROP(PL!$AD77:$BN77,,-DATEDIFF(PL!CK$11,val_asOfDate,"M")),1,-12))))</f>
        <v>12</v>
      </c>
      <c r="CL77" s="88"/>
      <c r="CM77" s="1168" t="e">
        <f t="shared" ca="1" si="21"/>
        <v>#NAME?</v>
      </c>
      <c r="CN77" s="1168" t="e">
        <f t="shared" ca="1" si="21"/>
        <v>#NAME?</v>
      </c>
      <c r="CO77" s="1169"/>
      <c r="CP77" s="1168" t="e">
        <f t="shared" ca="1" si="22"/>
        <v>#NAME?</v>
      </c>
      <c r="CQ77" s="1168" t="e">
        <f t="shared" ca="1" si="22"/>
        <v>#NAME?</v>
      </c>
      <c r="CR77" s="34"/>
    </row>
    <row r="78" spans="1:96" ht="21" customHeight="1" outlineLevel="1">
      <c r="A78" s="1322"/>
      <c r="B78" s="577" t="s">
        <v>641</v>
      </c>
      <c r="C78" s="2125" t="s">
        <v>1530</v>
      </c>
      <c r="D78" s="577"/>
      <c r="E78" s="577" t="e" cm="1">
        <f t="array" ca="1" aca="1" ref="E78">_xlfn.LET(_xlpm.Attr,$C78,_xlpm.Lookback,$E$16,_xlpm.QueryDate,EOMONTH(val_asOfDate,_xlpm.Lookback),_xlpm.ReadField,_xldudf_CX_GET(CX_ENTITY,fx_attrConverter($C78),_xlpm.QueryDate),_xlpm.AttrBlank,_xlpm.Attr="",_xlpm.RESULT,IF(_xlpm.AttrBlank,val_blankRefText,fx_attrConverter(_xlpm.ReadField,0)),IF(_xlpm.RESULT="Error","",_xlpm.RESULT))</f>
        <v>#NAME?</v>
      </c>
      <c r="F78" s="577" t="str">
        <f t="shared" si="17"/>
        <v>Gross Profit</v>
      </c>
      <c r="G78" s="577" t="s">
        <v>1598</v>
      </c>
      <c r="H78" s="3279">
        <v>2</v>
      </c>
      <c r="I78" s="3279">
        <v>1</v>
      </c>
      <c r="J78" s="578"/>
      <c r="K78" s="578"/>
      <c r="L78" s="578">
        <v>-1</v>
      </c>
      <c r="N78" s="158"/>
      <c r="O78" s="101"/>
      <c r="P78" s="52"/>
      <c r="Q78" s="101"/>
      <c r="R78" s="126"/>
      <c r="S78" s="101"/>
      <c r="T78" s="101"/>
      <c r="U78" s="39"/>
      <c r="W78" s="91" t="str">
        <f t="shared" si="18"/>
        <v>Budget</v>
      </c>
      <c r="X78" s="892">
        <v>0</v>
      </c>
      <c r="Y78" s="1134" t="e">
        <f t="shared" ca="1" si="19"/>
        <v>#NAME?</v>
      </c>
      <c r="Z78" s="198" cm="1">
        <f t="array" ref="Z78">_xlfn.SWITCH(TRUE,ISBLANK(_PL!$L78),"",_PL!$L78=TRUE,1,_PL!$L78=FALSE,-1,_PL!$L78=-1,0,"n/a")</f>
        <v>0</v>
      </c>
      <c r="AA78" s="200"/>
      <c r="AB78" s="1134" t="str">
        <f t="shared" si="20"/>
        <v>Gross Profit</v>
      </c>
      <c r="AC78" s="125" t="e" vm="5" cm="1">
        <f t="array" ref="AC78">_xlfn.LET(_xlpm.Def,IF(_xlfn.XMATCH(AB78,tbl_acctDef[Term],0)&gt;0,fx_getIcon("find"),""),_xlpm.Adj,IF(_xlfn.XMATCH(AB78,tbl_adjExample[Items],0)&gt;0,fx_getIcon("find"),""),IFERROR(IFBLANK(_xlpm.Def,_xlpm.Adj),""))</f>
        <v>#VALUE!</v>
      </c>
      <c r="AD78" s="1985" t="e" cm="1">
        <f t="array" ca="1" aca="1" ref="AD78">_xlfn.LET(_xlpm.val,IF($F78="",val_blankRefText,_xldudf_CX_GET(CX_ENTITY,$F78,AD$11,AD$14,,(AD$75))),_xlpm.Res,IF(OR(_xlpm.val="",_xlpm.val="Error"),"",_xlpm.val),_xlpm.Res)</f>
        <v>#NAME?</v>
      </c>
      <c r="AE78" s="1985" t="e" cm="1">
        <f t="array" ca="1" aca="1" ref="AE78">_xlfn.LET(_xlpm.val,IF($F78="",val_blankRefText,_xldudf_CX_GET(CX_ENTITY,$F78,AE$11,AE$14,,(AE$75))),_xlpm.Res,IF(OR(_xlpm.val="",_xlpm.val="Error"),"",_xlpm.val),_xlpm.Res)</f>
        <v>#NAME?</v>
      </c>
      <c r="AF78" s="1985" t="e" cm="1">
        <f t="array" ca="1" aca="1" ref="AF78">_xlfn.LET(_xlpm.val,IF($F78="",val_blankRefText,_xldudf_CX_GET(CX_ENTITY,$F78,AF$11,AF$14,,(AF$75))),_xlpm.Res,IF(OR(_xlpm.val="",_xlpm.val="Error"),"",_xlpm.val),_xlpm.Res)</f>
        <v>#NAME?</v>
      </c>
      <c r="AG78" s="1985" t="e" cm="1">
        <f t="array" ca="1" aca="1" ref="AG78">_xlfn.LET(_xlpm.val,IF($F78="",val_blankRefText,_xldudf_CX_GET(CX_ENTITY,$F78,AG$11,AG$14,,(AG$75))),_xlpm.Res,IF(OR(_xlpm.val="",_xlpm.val="Error"),"",_xlpm.val),_xlpm.Res)</f>
        <v>#NAME?</v>
      </c>
      <c r="AH78" s="1985" t="e" cm="1">
        <f t="array" ca="1" aca="1" ref="AH78">_xlfn.LET(_xlpm.val,IF($F78="",val_blankRefText,_xldudf_CX_GET(CX_ENTITY,$F78,AH$11,AH$14,,(AH$75))),_xlpm.Res,IF(OR(_xlpm.val="",_xlpm.val="Error"),"",_xlpm.val),_xlpm.Res)</f>
        <v>#NAME?</v>
      </c>
      <c r="AI78" s="1985" t="e" cm="1">
        <f t="array" ca="1" aca="1" ref="AI78">_xlfn.LET(_xlpm.val,IF($F78="",val_blankRefText,_xldudf_CX_GET(CX_ENTITY,$F78,AI$11,AI$14,,(AI$75))),_xlpm.Res,IF(OR(_xlpm.val="",_xlpm.val="Error"),"",_xlpm.val),_xlpm.Res)</f>
        <v>#NAME?</v>
      </c>
      <c r="AJ78" s="1985" t="e" cm="1">
        <f t="array" ca="1" aca="1" ref="AJ78">_xlfn.LET(_xlpm.val,IF($F78="",val_blankRefText,_xldudf_CX_GET(CX_ENTITY,$F78,AJ$11,AJ$14,,(AJ$75))),_xlpm.Res,IF(OR(_xlpm.val="",_xlpm.val="Error"),"",_xlpm.val),_xlpm.Res)</f>
        <v>#NAME?</v>
      </c>
      <c r="AK78" s="1985" t="e" cm="1">
        <f t="array" ca="1" aca="1" ref="AK78">_xlfn.LET(_xlpm.val,IF($F78="",val_blankRefText,_xldudf_CX_GET(CX_ENTITY,$F78,AK$11,AK$14,,(AK$75))),_xlpm.Res,IF(OR(_xlpm.val="",_xlpm.val="Error"),"",_xlpm.val),_xlpm.Res)</f>
        <v>#NAME?</v>
      </c>
      <c r="AL78" s="1985" t="e" cm="1">
        <f t="array" ca="1" aca="1" ref="AL78">_xlfn.LET(_xlpm.val,IF($F78="",val_blankRefText,_xldudf_CX_GET(CX_ENTITY,$F78,AL$11,AL$14,,(AL$75))),_xlpm.Res,IF(OR(_xlpm.val="",_xlpm.val="Error"),"",_xlpm.val),_xlpm.Res)</f>
        <v>#NAME?</v>
      </c>
      <c r="AM78" s="1985" t="e" cm="1">
        <f t="array" ca="1" aca="1" ref="AM78">_xlfn.LET(_xlpm.val,IF($F78="",val_blankRefText,_xldudf_CX_GET(CX_ENTITY,$F78,AM$11,AM$14,,(AM$75))),_xlpm.Res,IF(OR(_xlpm.val="",_xlpm.val="Error"),"",_xlpm.val),_xlpm.Res)</f>
        <v>#NAME?</v>
      </c>
      <c r="AN78" s="1985" t="e" cm="1">
        <f t="array" ca="1" aca="1" ref="AN78">_xlfn.LET(_xlpm.val,IF($F78="",val_blankRefText,_xldudf_CX_GET(CX_ENTITY,$F78,AN$11,AN$14,,(AN$75))),_xlpm.Res,IF(OR(_xlpm.val="",_xlpm.val="Error"),"",_xlpm.val),_xlpm.Res)</f>
        <v>#NAME?</v>
      </c>
      <c r="AO78" s="1985" t="e" cm="1">
        <f t="array" ca="1" aca="1" ref="AO78">_xlfn.LET(_xlpm.val,IF($F78="",val_blankRefText,_xldudf_CX_GET(CX_ENTITY,$F78,AO$11,AO$14,,(AO$75))),_xlpm.Res,IF(OR(_xlpm.val="",_xlpm.val="Error"),"",_xlpm.val),_xlpm.Res)</f>
        <v>#NAME?</v>
      </c>
      <c r="AP78" s="1985" t="e" cm="1">
        <f t="array" ca="1" aca="1" ref="AP78">_xlfn.LET(_xlpm.val,IF($F78="",val_blankRefText,_xldudf_CX_GET(CX_ENTITY,$F78,AP$11,AP$14,,(AP$75))),_xlpm.Res,IF(OR(_xlpm.val="",_xlpm.val="Error"),"",_xlpm.val),_xlpm.Res)</f>
        <v>#NAME?</v>
      </c>
      <c r="AQ78" s="1985" t="e" cm="1">
        <f t="array" ca="1" aca="1" ref="AQ78">_xlfn.LET(_xlpm.val,IF($F78="",val_blankRefText,_xldudf_CX_GET(CX_ENTITY,$F78,AQ$11,AQ$14,,(AQ$75))),_xlpm.Res,IF(OR(_xlpm.val="",_xlpm.val="Error"),"",_xlpm.val),_xlpm.Res)</f>
        <v>#NAME?</v>
      </c>
      <c r="AR78" s="1985" t="e" cm="1">
        <f t="array" ca="1" aca="1" ref="AR78">_xlfn.LET(_xlpm.val,IF($F78="",val_blankRefText,_xldudf_CX_GET(CX_ENTITY,$F78,AR$11,AR$14,,(AR$75))),_xlpm.Res,IF(OR(_xlpm.val="",_xlpm.val="Error"),"",_xlpm.val),_xlpm.Res)</f>
        <v>#NAME?</v>
      </c>
      <c r="AS78" s="1985" t="e" cm="1">
        <f t="array" ca="1" aca="1" ref="AS78">_xlfn.LET(_xlpm.val,IF($F78="",val_blankRefText,_xldudf_CX_GET(CX_ENTITY,$F78,AS$11,AS$14,,(AS$75))),_xlpm.Res,IF(OR(_xlpm.val="",_xlpm.val="Error"),"",_xlpm.val),_xlpm.Res)</f>
        <v>#NAME?</v>
      </c>
      <c r="AT78" s="1985" t="e" cm="1">
        <f t="array" ca="1" aca="1" ref="AT78">_xlfn.LET(_xlpm.val,IF($F78="",val_blankRefText,_xldudf_CX_GET(CX_ENTITY,$F78,AT$11,AT$14,,(AT$75))),_xlpm.Res,IF(OR(_xlpm.val="",_xlpm.val="Error"),"",_xlpm.val),_xlpm.Res)</f>
        <v>#NAME?</v>
      </c>
      <c r="AU78" s="1985" t="e" cm="1">
        <f t="array" ca="1" aca="1" ref="AU78">_xlfn.LET(_xlpm.val,IF($F78="",val_blankRefText,_xldudf_CX_GET(CX_ENTITY,$F78,AU$11,AU$14,,(AU$75))),_xlpm.Res,IF(OR(_xlpm.val="",_xlpm.val="Error"),"",_xlpm.val),_xlpm.Res)</f>
        <v>#NAME?</v>
      </c>
      <c r="AV78" s="1985" t="e" cm="1">
        <f t="array" ca="1" aca="1" ref="AV78">_xlfn.LET(_xlpm.val,IF($F78="",val_blankRefText,_xldudf_CX_GET(CX_ENTITY,$F78,AV$11,AV$14,,(AV$75))),_xlpm.Res,IF(OR(_xlpm.val="",_xlpm.val="Error"),"",_xlpm.val),_xlpm.Res)</f>
        <v>#NAME?</v>
      </c>
      <c r="AW78" s="1985" t="e" cm="1">
        <f t="array" ca="1" aca="1" ref="AW78">_xlfn.LET(_xlpm.val,IF($F78="",val_blankRefText,_xldudf_CX_GET(CX_ENTITY,$F78,AW$11,AW$14,,(AW$75))),_xlpm.Res,IF(OR(_xlpm.val="",_xlpm.val="Error"),"",_xlpm.val),_xlpm.Res)</f>
        <v>#NAME?</v>
      </c>
      <c r="AX78" s="1985" t="e" cm="1">
        <f t="array" ca="1" aca="1" ref="AX78">_xlfn.LET(_xlpm.val,IF($F78="",val_blankRefText,_xldudf_CX_GET(CX_ENTITY,$F78,AX$11,AX$14,,(AX$75))),_xlpm.Res,IF(OR(_xlpm.val="",_xlpm.val="Error"),"",_xlpm.val),_xlpm.Res)</f>
        <v>#NAME?</v>
      </c>
      <c r="AY78" s="1985" t="e" cm="1">
        <f t="array" ca="1" aca="1" ref="AY78">_xlfn.LET(_xlpm.val,IF($F78="",val_blankRefText,_xldudf_CX_GET(CX_ENTITY,$F78,AY$11,AY$14,,(AY$75))),_xlpm.Res,IF(OR(_xlpm.val="",_xlpm.val="Error"),"",_xlpm.val),_xlpm.Res)</f>
        <v>#NAME?</v>
      </c>
      <c r="AZ78" s="1985" t="e" cm="1">
        <f t="array" ca="1" aca="1" ref="AZ78">_xlfn.LET(_xlpm.val,IF($F78="",val_blankRefText,_xldudf_CX_GET(CX_ENTITY,$F78,AZ$11,AZ$14,,(AZ$75))),_xlpm.Res,IF(OR(_xlpm.val="",_xlpm.val="Error"),"",_xlpm.val),_xlpm.Res)</f>
        <v>#NAME?</v>
      </c>
      <c r="BA78" s="1985" t="e" cm="1">
        <f t="array" ca="1" aca="1" ref="BA78">_xlfn.LET(_xlpm.val,IF($F78="",val_blankRefText,_xldudf_CX_GET(CX_ENTITY,$F78,BA$11,BA$14,,(BA$75))),_xlpm.Res,IF(OR(_xlpm.val="",_xlpm.val="Error"),"",_xlpm.val),_xlpm.Res)</f>
        <v>#NAME?</v>
      </c>
      <c r="BB78" s="1985" t="e" cm="1">
        <f t="array" ca="1" aca="1" ref="BB78">_xlfn.LET(_xlpm.val,IF($F78="",val_blankRefText,_xldudf_CX_GET(CX_ENTITY,$F78,BB$11,BB$14,,(BB$75))),_xlpm.Res,IF(OR(_xlpm.val="",_xlpm.val="Error"),"",_xlpm.val),_xlpm.Res)</f>
        <v>#NAME?</v>
      </c>
      <c r="BC78" s="1985" t="e" cm="1">
        <f t="array" ca="1" aca="1" ref="BC78">_xlfn.LET(_xlpm.val,IF($F78="",val_blankRefText,_xldudf_CX_GET(CX_ENTITY,$F78,BC$11,BC$14,,(BC$75))),_xlpm.Res,IF(OR(_xlpm.val="",_xlpm.val="Error"),"",_xlpm.val),_xlpm.Res)</f>
        <v>#NAME?</v>
      </c>
      <c r="BD78" s="1985" t="e" cm="1">
        <f t="array" ca="1" aca="1" ref="BD78">_xlfn.LET(_xlpm.val,IF($F78="",val_blankRefText,_xldudf_CX_GET(CX_ENTITY,$F78,BD$11,BD$14,,(BD$75))),_xlpm.Res,IF(OR(_xlpm.val="",_xlpm.val="Error"),"",_xlpm.val),_xlpm.Res)</f>
        <v>#NAME?</v>
      </c>
      <c r="BE78" s="1985" t="e" cm="1">
        <f t="array" ca="1" aca="1" ref="BE78">_xlfn.LET(_xlpm.val,IF($F78="",val_blankRefText,_xldudf_CX_GET(CX_ENTITY,$F78,BE$11,BE$14,,(BE$75))),_xlpm.Res,IF(OR(_xlpm.val="",_xlpm.val="Error"),"",_xlpm.val),_xlpm.Res)</f>
        <v>#NAME?</v>
      </c>
      <c r="BF78" s="1985" t="e" cm="1">
        <f t="array" ca="1" aca="1" ref="BF78">_xlfn.LET(_xlpm.val,IF($F78="",val_blankRefText,_xldudf_CX_GET(CX_ENTITY,$F78,BF$11,BF$14,,(BF$75))),_xlpm.Res,IF(OR(_xlpm.val="",_xlpm.val="Error"),"",_xlpm.val),_xlpm.Res)</f>
        <v>#NAME?</v>
      </c>
      <c r="BG78" s="1985" t="e" cm="1">
        <f t="array" ca="1" aca="1" ref="BG78">_xlfn.LET(_xlpm.val,IF($F78="",val_blankRefText,_xldudf_CX_GET(CX_ENTITY,$F78,BG$11,BG$14,,(BG$75))),_xlpm.Res,IF(OR(_xlpm.val="",_xlpm.val="Error"),"",_xlpm.val),_xlpm.Res)</f>
        <v>#NAME?</v>
      </c>
      <c r="BH78" s="1985" t="e" cm="1">
        <f t="array" ca="1" aca="1" ref="BH78">_xlfn.LET(_xlpm.val,IF($F78="",val_blankRefText,_xldudf_CX_GET(CX_ENTITY,$F78,BH$11,BH$14,,(BH$75))),_xlpm.Res,IF(OR(_xlpm.val="",_xlpm.val="Error"),"",_xlpm.val),_xlpm.Res)</f>
        <v>#NAME?</v>
      </c>
      <c r="BI78" s="1985" t="e" cm="1">
        <f t="array" ca="1" aca="1" ref="BI78">_xlfn.LET(_xlpm.val,IF($F78="",val_blankRefText,_xldudf_CX_GET(CX_ENTITY,$F78,BI$11,BI$14,,(BI$75))),_xlpm.Res,IF(OR(_xlpm.val="",_xlpm.val="Error"),"",_xlpm.val),_xlpm.Res)</f>
        <v>#NAME?</v>
      </c>
      <c r="BJ78" s="1985" t="e" cm="1">
        <f t="array" ca="1" aca="1" ref="BJ78">_xlfn.LET(_xlpm.val,IF($F78="",val_blankRefText,_xldudf_CX_GET(CX_ENTITY,$F78,BJ$11,BJ$14,,(BJ$75))),_xlpm.Res,IF(OR(_xlpm.val="",_xlpm.val="Error"),"",_xlpm.val),_xlpm.Res)</f>
        <v>#NAME?</v>
      </c>
      <c r="BK78" s="1985" t="e" cm="1">
        <f t="array" ca="1" aca="1" ref="BK78">_xlfn.LET(_xlpm.val,IF($F78="",val_blankRefText,_xldudf_CX_GET(CX_ENTITY,$F78,BK$11,BK$14,,(BK$75))),_xlpm.Res,IF(OR(_xlpm.val="",_xlpm.val="Error"),"",_xlpm.val),_xlpm.Res)</f>
        <v>#NAME?</v>
      </c>
      <c r="BL78" s="1985" t="e" cm="1">
        <f t="array" ca="1" aca="1" ref="BL78">_xlfn.LET(_xlpm.val,IF($F78="",val_blankRefText,_xldudf_CX_GET(CX_ENTITY,$F78,BL$11,BL$14,,(BL$75))),_xlpm.Res,IF(OR(_xlpm.val="",_xlpm.val="Error"),"",_xlpm.val),_xlpm.Res)</f>
        <v>#NAME?</v>
      </c>
      <c r="BM78" s="1985" t="e" cm="1">
        <f t="array" ca="1" aca="1" ref="BM78">_xlfn.LET(_xlpm.val,IF($F78="",val_blankRefText,_xldudf_CX_GET(CX_ENTITY,$F78,BM$11,BM$14,,(BM$75))),_xlpm.Res,IF(OR(_xlpm.val="",_xlpm.val="Error"),"",_xlpm.val),_xlpm.Res)</f>
        <v>#NAME?</v>
      </c>
      <c r="BN78" s="1985" t="e" cm="1">
        <f t="array" ca="1" aca="1" ref="BN78">_xlfn.LET(_xlpm.val,IF($F78="",val_blankRefText,_xldudf_CX_GET(CX_ENTITY,$F78,BN$11,BN$14,,(BN$75))),_xlpm.Res,IF(OR(_xlpm.val="",_xlpm.val="Error"),"",_xlpm.val),_xlpm.Res)</f>
        <v>#NAME?</v>
      </c>
      <c r="BO78" s="2101"/>
      <c r="BP78" s="2101"/>
      <c r="BQ78" s="2101"/>
      <c r="BR78" s="2101"/>
      <c r="BS78" s="2101"/>
      <c r="BT78" s="2101"/>
      <c r="BU78" s="2101"/>
      <c r="BV78" s="2101"/>
      <c r="BW78" s="2101"/>
      <c r="BX78" s="2101"/>
      <c r="BY78" s="2101"/>
      <c r="BZ78" s="2101"/>
      <c r="CA78" s="34"/>
      <c r="CC78" s="33"/>
      <c r="CD78" s="1461" t="e" cm="1">
        <f t="array" ca="1" aca="1" ref="CD78">_xlfn.LET(_xlpm.CheckBlank,SUM(PL!$AD78:$BN78)=0,IF(_xlpm.CheckBlank,"",SUM(_xlfn._xlws.FILTER(PL!$AD78:$BN78,(YEAR(PL!$AD$12:$BN$12)=PL!CD$12)*(array_timeline&lt;=PL!CD$11)))))</f>
        <v>#NAME?</v>
      </c>
      <c r="CE78" s="1461" t="e" cm="1">
        <f t="array" ca="1" aca="1" ref="CE78">_xlfn.LET(_xlpm.CheckBlank,SUM(PL!$AD78:$BN78)=0,IF(_xlpm.CheckBlank,"",SUM(_xlfn._xlws.FILTER(PL!$AD78:$BN78,(YEAR(PL!$AD$12:$BN$12)=PL!CE$12)*(array_timeline&lt;=PL!CE$11)))))</f>
        <v>#NAME?</v>
      </c>
      <c r="CF78" s="88"/>
      <c r="CG78" s="1461" t="e" cm="1">
        <f t="array" ca="1" aca="1" ref="CG78">_xlfn.LET(_xlpm.CheckBlank,SUM(PL!$AD78:$BN78)=0,IF(_xlpm.CheckBlank,"",SUM(_xlfn._xlws.FILTER(PL!$AD78:$BN78,(YEAR(PL!$AD$12:$BN$12)=PL!CG$12)*(array_timeline&lt;=PL!CG$11)))))</f>
        <v>#NAME?</v>
      </c>
      <c r="CH78" s="1461" t="e" cm="1">
        <f t="array" ca="1" aca="1" ref="CH78">_xlfn.LET(_xlpm.CheckBlank,SUM(PL!$AD78:$BN78)=0,IF(_xlpm.CheckBlank,"",SUM(_xlfn._xlws.FILTER(PL!$AD78:$BN78,(YEAR(PL!$AD$12:$BN$12)=PL!CH$12)*(array_timeline&lt;=PL!CH$11)))))</f>
        <v>#NAME?</v>
      </c>
      <c r="CI78" s="88"/>
      <c r="CJ78" s="1461" cm="1">
        <f t="array" ref="CJ78">_xlfn.LET(_xlpm.CheckBlank,SUM(PL!$AD78:$BN78)=0,IF(_xlpm.CheckBlank,"",SUM(_xlfn.TAKE(_xlfn.DROP(PL!$AD78:$BN78,,-DATEDIFF(PL!CJ$11,val_asOfDate,"M")),1,-12))))</f>
        <v>24</v>
      </c>
      <c r="CK78" s="1461" cm="1">
        <f t="array" ref="CK78">_xlfn.LET(_xlpm.CheckBlank,SUM(PL!$AD78:$BN78)=0,IF(_xlpm.CheckBlank,"",SUM(_xlfn.TAKE(_xlfn.DROP(PL!$AD78:$BN78,,-DATEDIFF(PL!CK$11,val_asOfDate,"M")),1,-12))))</f>
        <v>24</v>
      </c>
      <c r="CL78" s="88"/>
      <c r="CM78" s="1168" t="e">
        <f t="shared" ca="1" si="21"/>
        <v>#NAME?</v>
      </c>
      <c r="CN78" s="1168" t="e">
        <f t="shared" ca="1" si="21"/>
        <v>#NAME?</v>
      </c>
      <c r="CO78" s="1169"/>
      <c r="CP78" s="1168" t="e">
        <f t="shared" ca="1" si="22"/>
        <v>#NAME?</v>
      </c>
      <c r="CQ78" s="1168" t="e">
        <f t="shared" ca="1" si="22"/>
        <v>#NAME?</v>
      </c>
      <c r="CR78" s="34"/>
    </row>
    <row r="79" spans="1:96" ht="21" customHeight="1" outlineLevel="1">
      <c r="A79" s="1322"/>
      <c r="B79" s="577" t="s">
        <v>1531</v>
      </c>
      <c r="C79" s="2125" t="s">
        <v>1532</v>
      </c>
      <c r="D79" s="577"/>
      <c r="E79" s="577" t="e" cm="1">
        <f t="array" ca="1" aca="1" ref="E79">_xlfn.LET(_xlpm.Attr,$C79,_xlpm.Lookback,$E$16,_xlpm.QueryDate,EOMONTH(val_asOfDate,_xlpm.Lookback),_xlpm.ReadField,_xldudf_CX_GET(CX_ENTITY,fx_attrConverter($C79),_xlpm.QueryDate),_xlpm.AttrBlank,_xlpm.Attr="",_xlpm.RESULT,IF(_xlpm.AttrBlank,val_blankRefText,fx_attrConverter(_xlpm.ReadField,0)),IF(_xlpm.RESULT="Error","",_xlpm.RESULT))</f>
        <v>#NAME?</v>
      </c>
      <c r="F79" s="577" t="str">
        <f t="shared" si="17"/>
        <v>Gross Margin %</v>
      </c>
      <c r="G79" s="577" t="s">
        <v>1598</v>
      </c>
      <c r="H79" s="3279">
        <v>2</v>
      </c>
      <c r="I79" s="3279">
        <v>2</v>
      </c>
      <c r="J79" s="578"/>
      <c r="K79" s="578"/>
      <c r="L79" s="578">
        <v>-1</v>
      </c>
      <c r="N79" s="1245"/>
      <c r="O79" s="126"/>
      <c r="P79" s="1246"/>
      <c r="Q79" s="126"/>
      <c r="R79" s="126"/>
      <c r="S79" s="126"/>
      <c r="T79" s="126"/>
      <c r="U79" s="197"/>
      <c r="V79" s="37"/>
      <c r="W79" s="91" t="str">
        <f t="shared" si="18"/>
        <v>Budget</v>
      </c>
      <c r="X79" s="884"/>
      <c r="Y79" s="1134" t="e">
        <f t="shared" ca="1" si="19"/>
        <v>#NAME?</v>
      </c>
      <c r="Z79" s="198" cm="1">
        <f t="array" ref="Z79">_xlfn.SWITCH(TRUE,ISBLANK(_PL!$L79),"",_PL!$L79=TRUE,1,_PL!$L79=FALSE,-1,_PL!$L79=-1,0,"n/a")</f>
        <v>0</v>
      </c>
      <c r="AA79" s="200"/>
      <c r="AB79" s="1134" t="str">
        <f t="shared" si="20"/>
        <v>Gross Margin %</v>
      </c>
      <c r="AC79" s="125" t="str" cm="1">
        <f t="array" ref="AC79">_xlfn.LET(_xlpm.Def,IF(_xlfn.XMATCH(AB79,tbl_acctDef[Term],0)&gt;0,fx_getIcon("find"),""),_xlpm.Adj,IF(_xlfn.XMATCH(AB79,tbl_adjExample[Items],0)&gt;0,fx_getIcon("find"),""),IFERROR(IFBLANK(_xlpm.Def,_xlpm.Adj),""))</f>
        <v/>
      </c>
      <c r="AD79" s="1210" t="e">
        <f ca="1" t="shared" si="23" ref="AD79">IF(N(AD76)&lt;&gt;0,N(AD78)/N(AD76),"n/a")</f>
        <v>#NAME?</v>
      </c>
      <c r="AE79" s="1210" t="e">
        <f ca="1" t="shared" si="24" ref="AE79:BN79">IF(N(AE76)&lt;&gt;0,N(AE78)/N(AE76),"n/a")</f>
        <v>#NAME?</v>
      </c>
      <c r="AF79" s="1210" t="e">
        <f t="shared" ca="1" si="24"/>
        <v>#NAME?</v>
      </c>
      <c r="AG79" s="1210" t="e">
        <f t="shared" ca="1" si="24"/>
        <v>#NAME?</v>
      </c>
      <c r="AH79" s="1210" t="e">
        <f t="shared" ca="1" si="24"/>
        <v>#NAME?</v>
      </c>
      <c r="AI79" s="1210" t="e">
        <f t="shared" ca="1" si="24"/>
        <v>#NAME?</v>
      </c>
      <c r="AJ79" s="1210" t="e">
        <f t="shared" ca="1" si="24"/>
        <v>#NAME?</v>
      </c>
      <c r="AK79" s="1210" t="e">
        <f t="shared" ca="1" si="24"/>
        <v>#NAME?</v>
      </c>
      <c r="AL79" s="1210" t="e">
        <f t="shared" ca="1" si="24"/>
        <v>#NAME?</v>
      </c>
      <c r="AM79" s="1210" t="e">
        <f t="shared" ca="1" si="24"/>
        <v>#NAME?</v>
      </c>
      <c r="AN79" s="1210" t="e">
        <f t="shared" ca="1" si="24"/>
        <v>#NAME?</v>
      </c>
      <c r="AO79" s="1210" t="e">
        <f t="shared" ca="1" si="24"/>
        <v>#NAME?</v>
      </c>
      <c r="AP79" s="1210" t="e">
        <f t="shared" ca="1" si="24"/>
        <v>#NAME?</v>
      </c>
      <c r="AQ79" s="1210" t="e">
        <f t="shared" ca="1" si="24"/>
        <v>#NAME?</v>
      </c>
      <c r="AR79" s="1210" t="e">
        <f t="shared" ca="1" si="24"/>
        <v>#NAME?</v>
      </c>
      <c r="AS79" s="1210" t="e">
        <f t="shared" ca="1" si="24"/>
        <v>#NAME?</v>
      </c>
      <c r="AT79" s="1210" t="e">
        <f t="shared" ca="1" si="24"/>
        <v>#NAME?</v>
      </c>
      <c r="AU79" s="1210" t="e">
        <f t="shared" ca="1" si="24"/>
        <v>#NAME?</v>
      </c>
      <c r="AV79" s="1210" t="e">
        <f t="shared" ca="1" si="24"/>
        <v>#NAME?</v>
      </c>
      <c r="AW79" s="1210" t="e">
        <f t="shared" ca="1" si="24"/>
        <v>#NAME?</v>
      </c>
      <c r="AX79" s="1210" t="e">
        <f t="shared" ca="1" si="24"/>
        <v>#NAME?</v>
      </c>
      <c r="AY79" s="1210" t="e">
        <f t="shared" ca="1" si="24"/>
        <v>#NAME?</v>
      </c>
      <c r="AZ79" s="1210" t="e">
        <f t="shared" ca="1" si="24"/>
        <v>#NAME?</v>
      </c>
      <c r="BA79" s="1210" t="e">
        <f t="shared" ca="1" si="24"/>
        <v>#NAME?</v>
      </c>
      <c r="BB79" s="1210" t="e">
        <f t="shared" ca="1" si="24"/>
        <v>#NAME?</v>
      </c>
      <c r="BC79" s="1210" t="e">
        <f t="shared" ca="1" si="24"/>
        <v>#NAME?</v>
      </c>
      <c r="BD79" s="1210" t="e">
        <f t="shared" ca="1" si="24"/>
        <v>#NAME?</v>
      </c>
      <c r="BE79" s="1210" t="e">
        <f t="shared" ca="1" si="24"/>
        <v>#NAME?</v>
      </c>
      <c r="BF79" s="1210" t="e">
        <f t="shared" ca="1" si="24"/>
        <v>#NAME?</v>
      </c>
      <c r="BG79" s="1210" t="e">
        <f t="shared" ca="1" si="24"/>
        <v>#NAME?</v>
      </c>
      <c r="BH79" s="1210" t="e">
        <f t="shared" ca="1" si="24"/>
        <v>#NAME?</v>
      </c>
      <c r="BI79" s="1210" t="e">
        <f t="shared" ca="1" si="24"/>
        <v>#NAME?</v>
      </c>
      <c r="BJ79" s="1210" t="e">
        <f t="shared" ca="1" si="24"/>
        <v>#NAME?</v>
      </c>
      <c r="BK79" s="1210" t="e">
        <f t="shared" ca="1" si="24"/>
        <v>#NAME?</v>
      </c>
      <c r="BL79" s="1210" t="e">
        <f t="shared" ca="1" si="24"/>
        <v>#NAME?</v>
      </c>
      <c r="BM79" s="1210" t="e">
        <f t="shared" ca="1" si="24"/>
        <v>#NAME?</v>
      </c>
      <c r="BN79" s="1210" t="e">
        <f t="shared" ca="1" si="24"/>
        <v>#NAME?</v>
      </c>
      <c r="BO79" s="2096"/>
      <c r="BP79" s="2096"/>
      <c r="BQ79" s="2096"/>
      <c r="BR79" s="2096"/>
      <c r="BS79" s="2096"/>
      <c r="BT79" s="2096"/>
      <c r="BU79" s="2096"/>
      <c r="BV79" s="2096"/>
      <c r="BW79" s="2096"/>
      <c r="BX79" s="2114"/>
      <c r="BY79" s="2114"/>
      <c r="BZ79" s="2114"/>
      <c r="CA79" s="200"/>
      <c r="CB79" s="37"/>
      <c r="CC79" s="198"/>
      <c r="CD79" s="1820" t="e">
        <f ca="1">IF(N(CD76)&lt;&gt;0,N(CD78)/N(CD76),"n/a")</f>
        <v>#NAME?</v>
      </c>
      <c r="CE79" s="1820" t="e">
        <f ca="1">IF(N(CE76)&lt;&gt;0,N(CE78)/N(CE76),"n/a")</f>
        <v>#NAME?</v>
      </c>
      <c r="CF79" s="88"/>
      <c r="CG79" s="1820" t="e">
        <f ca="1" t="shared" si="25" ref="CG79:CK79">IF(N(CG76)&lt;&gt;0,N(CG78)/N(CG76),"n/a")</f>
        <v>#NAME?</v>
      </c>
      <c r="CH79" s="1820" t="e">
        <f t="shared" ca="1" si="25"/>
        <v>#NAME?</v>
      </c>
      <c r="CI79" s="128"/>
      <c r="CJ79" s="3272">
        <f t="shared" si="25"/>
        <v>2</v>
      </c>
      <c r="CK79" s="3272">
        <f t="shared" si="25"/>
        <v>2</v>
      </c>
      <c r="CL79" s="128"/>
      <c r="CM79" s="1168" t="e">
        <f t="shared" ca="1" si="21"/>
        <v>#NAME?</v>
      </c>
      <c r="CN79" s="1168" t="e">
        <f t="shared" ca="1" si="21"/>
        <v>#NAME?</v>
      </c>
      <c r="CO79" s="1169" t="str">
        <f t="shared" si="26" ref="CO79">IF(N(CO76)&lt;&gt;0,N(CO78)/N(CO76),"n/a")</f>
        <v>n/a</v>
      </c>
      <c r="CP79" s="1168" t="e">
        <f t="shared" ca="1" si="22"/>
        <v>#NAME?</v>
      </c>
      <c r="CQ79" s="1168" t="e">
        <f t="shared" ca="1" si="22"/>
        <v>#NAME?</v>
      </c>
      <c r="CR79" s="200"/>
    </row>
    <row r="80" spans="1:96" ht="21" customHeight="1" outlineLevel="1">
      <c r="A80" s="1322"/>
      <c r="B80" s="577" t="s">
        <v>1533</v>
      </c>
      <c r="C80" s="2125" t="s">
        <v>1534</v>
      </c>
      <c r="D80" s="577"/>
      <c r="E80" s="577" t="e" cm="1">
        <f t="array" ca="1" aca="1" ref="E80">_xlfn.LET(_xlpm.Attr,$C80,_xlpm.Lookback,$E$16,_xlpm.QueryDate,EOMONTH(val_asOfDate,_xlpm.Lookback),_xlpm.ReadField,_xldudf_CX_GET(CX_ENTITY,fx_attrConverter($C80),_xlpm.QueryDate),_xlpm.AttrBlank,_xlpm.Attr="",_xlpm.RESULT,IF(_xlpm.AttrBlank,val_blankRefText,fx_attrConverter(_xlpm.ReadField,0)),IF(_xlpm.RESULT="Error","",_xlpm.RESULT))</f>
        <v>#NAME?</v>
      </c>
      <c r="F80" s="577" t="str">
        <f t="shared" si="17"/>
        <v>Operating Costs</v>
      </c>
      <c r="G80" s="577" t="s">
        <v>1598</v>
      </c>
      <c r="H80" s="578">
        <v>0</v>
      </c>
      <c r="I80" s="3279">
        <v>1</v>
      </c>
      <c r="J80" s="578"/>
      <c r="K80" s="578"/>
      <c r="L80" s="3269" t="b">
        <v>1</v>
      </c>
      <c r="N80" s="158"/>
      <c r="O80" s="101"/>
      <c r="P80" s="52"/>
      <c r="Q80" s="101"/>
      <c r="R80" s="126"/>
      <c r="S80" s="101"/>
      <c r="T80" s="101"/>
      <c r="U80" s="39"/>
      <c r="W80" s="91" t="str">
        <f t="shared" si="18"/>
        <v>Budget</v>
      </c>
      <c r="X80" s="884">
        <v>-1</v>
      </c>
      <c r="Y80" s="1134" t="e">
        <f t="shared" ca="1" si="19"/>
        <v>#NAME?</v>
      </c>
      <c r="Z80" s="3291" cm="1">
        <f t="array" ref="Z80">_xlfn.SWITCH(TRUE,ISBLANK(_PL!$L80),"",_PL!$L80=TRUE,1,_PL!$L80=FALSE,-1,_PL!$L80=-1,0,"n/a")</f>
        <v>1</v>
      </c>
      <c r="AA80" s="200"/>
      <c r="AB80" s="1134" t="str">
        <f t="shared" si="20"/>
        <v>Operating Costs</v>
      </c>
      <c r="AC80" s="125" t="str" cm="1">
        <f t="array" ref="AC80">_xlfn.LET(_xlpm.Def,IF(_xlfn.XMATCH(AB80,tbl_acctDef[Term],0)&gt;0,fx_getIcon("find"),""),_xlpm.Adj,IF(_xlfn.XMATCH(AB80,tbl_adjExample[Items],0)&gt;0,fx_getIcon("find"),""),IFERROR(IFBLANK(_xlpm.Def,_xlpm.Adj),""))</f>
        <v/>
      </c>
      <c r="AD80" s="1985" t="e" cm="1">
        <f t="array" ca="1" aca="1" ref="AD80">_xlfn.LET(_xlpm.val,IF($F80="",val_blankRefText,_xldudf_CX_GET(CX_ENTITY,$F80,AD$11,AD$14,,(AD$75))),_xlpm.Res,IF(OR(_xlpm.val="",_xlpm.val="Error"),"",_xlpm.val),_xlpm.Res)</f>
        <v>#NAME?</v>
      </c>
      <c r="AE80" s="1985" t="e" cm="1">
        <f t="array" ca="1" aca="1" ref="AE80">_xlfn.LET(_xlpm.val,IF($F80="",val_blankRefText,_xldudf_CX_GET(CX_ENTITY,$F80,AE$11,AE$14,,(AE$75))),_xlpm.Res,IF(OR(_xlpm.val="",_xlpm.val="Error"),"",_xlpm.val),_xlpm.Res)</f>
        <v>#NAME?</v>
      </c>
      <c r="AF80" s="1985" t="e" cm="1">
        <f t="array" ca="1" aca="1" ref="AF80">_xlfn.LET(_xlpm.val,IF($F80="",val_blankRefText,_xldudf_CX_GET(CX_ENTITY,$F80,AF$11,AF$14,,(AF$75))),_xlpm.Res,IF(OR(_xlpm.val="",_xlpm.val="Error"),"",_xlpm.val),_xlpm.Res)</f>
        <v>#NAME?</v>
      </c>
      <c r="AG80" s="1985" t="e" cm="1">
        <f t="array" ca="1" aca="1" ref="AG80">_xlfn.LET(_xlpm.val,IF($F80="",val_blankRefText,_xldudf_CX_GET(CX_ENTITY,$F80,AG$11,AG$14,,(AG$75))),_xlpm.Res,IF(OR(_xlpm.val="",_xlpm.val="Error"),"",_xlpm.val),_xlpm.Res)</f>
        <v>#NAME?</v>
      </c>
      <c r="AH80" s="1985" t="e" cm="1">
        <f t="array" ca="1" aca="1" ref="AH80">_xlfn.LET(_xlpm.val,IF($F80="",val_blankRefText,_xldudf_CX_GET(CX_ENTITY,$F80,AH$11,AH$14,,(AH$75))),_xlpm.Res,IF(OR(_xlpm.val="",_xlpm.val="Error"),"",_xlpm.val),_xlpm.Res)</f>
        <v>#NAME?</v>
      </c>
      <c r="AI80" s="1985" t="e" cm="1">
        <f t="array" ca="1" aca="1" ref="AI80">_xlfn.LET(_xlpm.val,IF($F80="",val_blankRefText,_xldudf_CX_GET(CX_ENTITY,$F80,AI$11,AI$14,,(AI$75))),_xlpm.Res,IF(OR(_xlpm.val="",_xlpm.val="Error"),"",_xlpm.val),_xlpm.Res)</f>
        <v>#NAME?</v>
      </c>
      <c r="AJ80" s="1985" t="e" cm="1">
        <f t="array" ca="1" aca="1" ref="AJ80">_xlfn.LET(_xlpm.val,IF($F80="",val_blankRefText,_xldudf_CX_GET(CX_ENTITY,$F80,AJ$11,AJ$14,,(AJ$75))),_xlpm.Res,IF(OR(_xlpm.val="",_xlpm.val="Error"),"",_xlpm.val),_xlpm.Res)</f>
        <v>#NAME?</v>
      </c>
      <c r="AK80" s="1985" t="e" cm="1">
        <f t="array" ca="1" aca="1" ref="AK80">_xlfn.LET(_xlpm.val,IF($F80="",val_blankRefText,_xldudf_CX_GET(CX_ENTITY,$F80,AK$11,AK$14,,(AK$75))),_xlpm.Res,IF(OR(_xlpm.val="",_xlpm.val="Error"),"",_xlpm.val),_xlpm.Res)</f>
        <v>#NAME?</v>
      </c>
      <c r="AL80" s="1985" t="e" cm="1">
        <f t="array" ca="1" aca="1" ref="AL80">_xlfn.LET(_xlpm.val,IF($F80="",val_blankRefText,_xldudf_CX_GET(CX_ENTITY,$F80,AL$11,AL$14,,(AL$75))),_xlpm.Res,IF(OR(_xlpm.val="",_xlpm.val="Error"),"",_xlpm.val),_xlpm.Res)</f>
        <v>#NAME?</v>
      </c>
      <c r="AM80" s="1985" t="e" cm="1">
        <f t="array" ca="1" aca="1" ref="AM80">_xlfn.LET(_xlpm.val,IF($F80="",val_blankRefText,_xldudf_CX_GET(CX_ENTITY,$F80,AM$11,AM$14,,(AM$75))),_xlpm.Res,IF(OR(_xlpm.val="",_xlpm.val="Error"),"",_xlpm.val),_xlpm.Res)</f>
        <v>#NAME?</v>
      </c>
      <c r="AN80" s="1985" t="e" cm="1">
        <f t="array" ca="1" aca="1" ref="AN80">_xlfn.LET(_xlpm.val,IF($F80="",val_blankRefText,_xldudf_CX_GET(CX_ENTITY,$F80,AN$11,AN$14,,(AN$75))),_xlpm.Res,IF(OR(_xlpm.val="",_xlpm.val="Error"),"",_xlpm.val),_xlpm.Res)</f>
        <v>#NAME?</v>
      </c>
      <c r="AO80" s="1985" t="e" cm="1">
        <f t="array" ca="1" aca="1" ref="AO80">_xlfn.LET(_xlpm.val,IF($F80="",val_blankRefText,_xldudf_CX_GET(CX_ENTITY,$F80,AO$11,AO$14,,(AO$75))),_xlpm.Res,IF(OR(_xlpm.val="",_xlpm.val="Error"),"",_xlpm.val),_xlpm.Res)</f>
        <v>#NAME?</v>
      </c>
      <c r="AP80" s="1985" t="e" cm="1">
        <f t="array" ca="1" aca="1" ref="AP80">_xlfn.LET(_xlpm.val,IF($F80="",val_blankRefText,_xldudf_CX_GET(CX_ENTITY,$F80,AP$11,AP$14,,(AP$75))),_xlpm.Res,IF(OR(_xlpm.val="",_xlpm.val="Error"),"",_xlpm.val),_xlpm.Res)</f>
        <v>#NAME?</v>
      </c>
      <c r="AQ80" s="1985" t="e" cm="1">
        <f t="array" ca="1" aca="1" ref="AQ80">_xlfn.LET(_xlpm.val,IF($F80="",val_blankRefText,_xldudf_CX_GET(CX_ENTITY,$F80,AQ$11,AQ$14,,(AQ$75))),_xlpm.Res,IF(OR(_xlpm.val="",_xlpm.val="Error"),"",_xlpm.val),_xlpm.Res)</f>
        <v>#NAME?</v>
      </c>
      <c r="AR80" s="1985" t="e" cm="1">
        <f t="array" ca="1" aca="1" ref="AR80">_xlfn.LET(_xlpm.val,IF($F80="",val_blankRefText,_xldudf_CX_GET(CX_ENTITY,$F80,AR$11,AR$14,,(AR$75))),_xlpm.Res,IF(OR(_xlpm.val="",_xlpm.val="Error"),"",_xlpm.val),_xlpm.Res)</f>
        <v>#NAME?</v>
      </c>
      <c r="AS80" s="1985" t="e" cm="1">
        <f t="array" ca="1" aca="1" ref="AS80">_xlfn.LET(_xlpm.val,IF($F80="",val_blankRefText,_xldudf_CX_GET(CX_ENTITY,$F80,AS$11,AS$14,,(AS$75))),_xlpm.Res,IF(OR(_xlpm.val="",_xlpm.val="Error"),"",_xlpm.val),_xlpm.Res)</f>
        <v>#NAME?</v>
      </c>
      <c r="AT80" s="1985" t="e" cm="1">
        <f t="array" ca="1" aca="1" ref="AT80">_xlfn.LET(_xlpm.val,IF($F80="",val_blankRefText,_xldudf_CX_GET(CX_ENTITY,$F80,AT$11,AT$14,,(AT$75))),_xlpm.Res,IF(OR(_xlpm.val="",_xlpm.val="Error"),"",_xlpm.val),_xlpm.Res)</f>
        <v>#NAME?</v>
      </c>
      <c r="AU80" s="1985" t="e" cm="1">
        <f t="array" ca="1" aca="1" ref="AU80">_xlfn.LET(_xlpm.val,IF($F80="",val_blankRefText,_xldudf_CX_GET(CX_ENTITY,$F80,AU$11,AU$14,,(AU$75))),_xlpm.Res,IF(OR(_xlpm.val="",_xlpm.val="Error"),"",_xlpm.val),_xlpm.Res)</f>
        <v>#NAME?</v>
      </c>
      <c r="AV80" s="1985" t="e" cm="1">
        <f t="array" ca="1" aca="1" ref="AV80">_xlfn.LET(_xlpm.val,IF($F80="",val_blankRefText,_xldudf_CX_GET(CX_ENTITY,$F80,AV$11,AV$14,,(AV$75))),_xlpm.Res,IF(OR(_xlpm.val="",_xlpm.val="Error"),"",_xlpm.val),_xlpm.Res)</f>
        <v>#NAME?</v>
      </c>
      <c r="AW80" s="1985" t="e" cm="1">
        <f t="array" ca="1" aca="1" ref="AW80">_xlfn.LET(_xlpm.val,IF($F80="",val_blankRefText,_xldudf_CX_GET(CX_ENTITY,$F80,AW$11,AW$14,,(AW$75))),_xlpm.Res,IF(OR(_xlpm.val="",_xlpm.val="Error"),"",_xlpm.val),_xlpm.Res)</f>
        <v>#NAME?</v>
      </c>
      <c r="AX80" s="1985" t="e" cm="1">
        <f t="array" ca="1" aca="1" ref="AX80">_xlfn.LET(_xlpm.val,IF($F80="",val_blankRefText,_xldudf_CX_GET(CX_ENTITY,$F80,AX$11,AX$14,,(AX$75))),_xlpm.Res,IF(OR(_xlpm.val="",_xlpm.val="Error"),"",_xlpm.val),_xlpm.Res)</f>
        <v>#NAME?</v>
      </c>
      <c r="AY80" s="1985" t="e" cm="1">
        <f t="array" ca="1" aca="1" ref="AY80">_xlfn.LET(_xlpm.val,IF($F80="",val_blankRefText,_xldudf_CX_GET(CX_ENTITY,$F80,AY$11,AY$14,,(AY$75))),_xlpm.Res,IF(OR(_xlpm.val="",_xlpm.val="Error"),"",_xlpm.val),_xlpm.Res)</f>
        <v>#NAME?</v>
      </c>
      <c r="AZ80" s="1985" t="e" cm="1">
        <f t="array" ca="1" aca="1" ref="AZ80">_xlfn.LET(_xlpm.val,IF($F80="",val_blankRefText,_xldudf_CX_GET(CX_ENTITY,$F80,AZ$11,AZ$14,,(AZ$75))),_xlpm.Res,IF(OR(_xlpm.val="",_xlpm.val="Error"),"",_xlpm.val),_xlpm.Res)</f>
        <v>#NAME?</v>
      </c>
      <c r="BA80" s="1985" t="e" cm="1">
        <f t="array" ca="1" aca="1" ref="BA80">_xlfn.LET(_xlpm.val,IF($F80="",val_blankRefText,_xldudf_CX_GET(CX_ENTITY,$F80,BA$11,BA$14,,(BA$75))),_xlpm.Res,IF(OR(_xlpm.val="",_xlpm.val="Error"),"",_xlpm.val),_xlpm.Res)</f>
        <v>#NAME?</v>
      </c>
      <c r="BB80" s="1985" t="e" cm="1">
        <f t="array" ca="1" aca="1" ref="BB80">_xlfn.LET(_xlpm.val,IF($F80="",val_blankRefText,_xldudf_CX_GET(CX_ENTITY,$F80,BB$11,BB$14,,(BB$75))),_xlpm.Res,IF(OR(_xlpm.val="",_xlpm.val="Error"),"",_xlpm.val),_xlpm.Res)</f>
        <v>#NAME?</v>
      </c>
      <c r="BC80" s="1985" t="e" cm="1">
        <f t="array" ca="1" aca="1" ref="BC80">_xlfn.LET(_xlpm.val,IF($F80="",val_blankRefText,_xldudf_CX_GET(CX_ENTITY,$F80,BC$11,BC$14,,(BC$75))),_xlpm.Res,IF(OR(_xlpm.val="",_xlpm.val="Error"),"",_xlpm.val),_xlpm.Res)</f>
        <v>#NAME?</v>
      </c>
      <c r="BD80" s="1985" t="e" cm="1">
        <f t="array" ca="1" aca="1" ref="BD80">_xlfn.LET(_xlpm.val,IF($F80="",val_blankRefText,_xldudf_CX_GET(CX_ENTITY,$F80,BD$11,BD$14,,(BD$75))),_xlpm.Res,IF(OR(_xlpm.val="",_xlpm.val="Error"),"",_xlpm.val),_xlpm.Res)</f>
        <v>#NAME?</v>
      </c>
      <c r="BE80" s="1985" t="e" cm="1">
        <f t="array" ca="1" aca="1" ref="BE80">_xlfn.LET(_xlpm.val,IF($F80="",val_blankRefText,_xldudf_CX_GET(CX_ENTITY,$F80,BE$11,BE$14,,(BE$75))),_xlpm.Res,IF(OR(_xlpm.val="",_xlpm.val="Error"),"",_xlpm.val),_xlpm.Res)</f>
        <v>#NAME?</v>
      </c>
      <c r="BF80" s="1985" t="e" cm="1">
        <f t="array" ca="1" aca="1" ref="BF80">_xlfn.LET(_xlpm.val,IF($F80="",val_blankRefText,_xldudf_CX_GET(CX_ENTITY,$F80,BF$11,BF$14,,(BF$75))),_xlpm.Res,IF(OR(_xlpm.val="",_xlpm.val="Error"),"",_xlpm.val),_xlpm.Res)</f>
        <v>#NAME?</v>
      </c>
      <c r="BG80" s="1985" t="e" cm="1">
        <f t="array" ca="1" aca="1" ref="BG80">_xlfn.LET(_xlpm.val,IF($F80="",val_blankRefText,_xldudf_CX_GET(CX_ENTITY,$F80,BG$11,BG$14,,(BG$75))),_xlpm.Res,IF(OR(_xlpm.val="",_xlpm.val="Error"),"",_xlpm.val),_xlpm.Res)</f>
        <v>#NAME?</v>
      </c>
      <c r="BH80" s="1985" t="e" cm="1">
        <f t="array" ca="1" aca="1" ref="BH80">_xlfn.LET(_xlpm.val,IF($F80="",val_blankRefText,_xldudf_CX_GET(CX_ENTITY,$F80,BH$11,BH$14,,(BH$75))),_xlpm.Res,IF(OR(_xlpm.val="",_xlpm.val="Error"),"",_xlpm.val),_xlpm.Res)</f>
        <v>#NAME?</v>
      </c>
      <c r="BI80" s="1985" t="e" cm="1">
        <f t="array" ca="1" aca="1" ref="BI80">_xlfn.LET(_xlpm.val,IF($F80="",val_blankRefText,_xldudf_CX_GET(CX_ENTITY,$F80,BI$11,BI$14,,(BI$75))),_xlpm.Res,IF(OR(_xlpm.val="",_xlpm.val="Error"),"",_xlpm.val),_xlpm.Res)</f>
        <v>#NAME?</v>
      </c>
      <c r="BJ80" s="1985" t="e" cm="1">
        <f t="array" ca="1" aca="1" ref="BJ80">_xlfn.LET(_xlpm.val,IF($F80="",val_blankRefText,_xldudf_CX_GET(CX_ENTITY,$F80,BJ$11,BJ$14,,(BJ$75))),_xlpm.Res,IF(OR(_xlpm.val="",_xlpm.val="Error"),"",_xlpm.val),_xlpm.Res)</f>
        <v>#NAME?</v>
      </c>
      <c r="BK80" s="1985" t="e" cm="1">
        <f t="array" ca="1" aca="1" ref="BK80">_xlfn.LET(_xlpm.val,IF($F80="",val_blankRefText,_xldudf_CX_GET(CX_ENTITY,$F80,BK$11,BK$14,,(BK$75))),_xlpm.Res,IF(OR(_xlpm.val="",_xlpm.val="Error"),"",_xlpm.val),_xlpm.Res)</f>
        <v>#NAME?</v>
      </c>
      <c r="BL80" s="1985" t="e" cm="1">
        <f t="array" ca="1" aca="1" ref="BL80">_xlfn.LET(_xlpm.val,IF($F80="",val_blankRefText,_xldudf_CX_GET(CX_ENTITY,$F80,BL$11,BL$14,,(BL$75))),_xlpm.Res,IF(OR(_xlpm.val="",_xlpm.val="Error"),"",_xlpm.val),_xlpm.Res)</f>
        <v>#NAME?</v>
      </c>
      <c r="BM80" s="1985" t="e" cm="1">
        <f t="array" ca="1" aca="1" ref="BM80">_xlfn.LET(_xlpm.val,IF($F80="",val_blankRefText,_xldudf_CX_GET(CX_ENTITY,$F80,BM$11,BM$14,,(BM$75))),_xlpm.Res,IF(OR(_xlpm.val="",_xlpm.val="Error"),"",_xlpm.val),_xlpm.Res)</f>
        <v>#NAME?</v>
      </c>
      <c r="BN80" s="1985" t="e" cm="1">
        <f t="array" ca="1" aca="1" ref="BN80">_xlfn.LET(_xlpm.val,IF($F80="",val_blankRefText,_xldudf_CX_GET(CX_ENTITY,$F80,BN$11,BN$14,,(BN$75))),_xlpm.Res,IF(OR(_xlpm.val="",_xlpm.val="Error"),"",_xlpm.val),_xlpm.Res)</f>
        <v>#NAME?</v>
      </c>
      <c r="BO80" s="2101"/>
      <c r="BP80" s="2101"/>
      <c r="BQ80" s="2101"/>
      <c r="BR80" s="2101"/>
      <c r="BS80" s="2101"/>
      <c r="BT80" s="2101"/>
      <c r="BU80" s="2101"/>
      <c r="BV80" s="2101"/>
      <c r="BW80" s="2101"/>
      <c r="BX80" s="2101"/>
      <c r="BY80" s="2101"/>
      <c r="BZ80" s="2101"/>
      <c r="CA80" s="34"/>
      <c r="CC80" s="33"/>
      <c r="CD80" s="1461" t="e" cm="1">
        <f t="array" ca="1" aca="1" ref="CD80">_xlfn.LET(_xlpm.CheckBlank,SUM(PL!$AD80:$BN80)=0,IF(_xlpm.CheckBlank,"",SUM(_xlfn._xlws.FILTER(PL!$AD80:$BN80,(YEAR(PL!$AD$12:$BN$12)=PL!CD$12)*(array_timeline&lt;=PL!CD$11)))))</f>
        <v>#NAME?</v>
      </c>
      <c r="CE80" s="1461" t="e" cm="1">
        <f t="array" ca="1" aca="1" ref="CE80">_xlfn.LET(_xlpm.CheckBlank,SUM(PL!$AD80:$BN80)=0,IF(_xlpm.CheckBlank,"",SUM(_xlfn._xlws.FILTER(PL!$AD80:$BN80,(YEAR(PL!$AD$12:$BN$12)=PL!CE$12)*(array_timeline&lt;=PL!CE$11)))))</f>
        <v>#NAME?</v>
      </c>
      <c r="CF80" s="88"/>
      <c r="CG80" s="1461" t="e" cm="1">
        <f t="array" ca="1" aca="1" ref="CG80">_xlfn.LET(_xlpm.CheckBlank,SUM(PL!$AD80:$BN80)=0,IF(_xlpm.CheckBlank,"",SUM(_xlfn._xlws.FILTER(PL!$AD80:$BN80,(YEAR(PL!$AD$12:$BN$12)=PL!CG$12)*(array_timeline&lt;=PL!CG$11)))))</f>
        <v>#NAME?</v>
      </c>
      <c r="CH80" s="1461" t="e" cm="1">
        <f t="array" ca="1" aca="1" ref="CH80">_xlfn.LET(_xlpm.CheckBlank,SUM(PL!$AD80:$BN80)=0,IF(_xlpm.CheckBlank,"",SUM(_xlfn._xlws.FILTER(PL!$AD80:$BN80,(YEAR(PL!$AD$12:$BN$12)=PL!CH$12)*(array_timeline&lt;=PL!CH$11)))))</f>
        <v>#NAME?</v>
      </c>
      <c r="CI80" s="88"/>
      <c r="CJ80" s="1461" cm="1">
        <f t="array" ref="CJ80">_xlfn.LET(_xlpm.CheckBlank,SUM(PL!$AD80:$BN80)=0,IF(_xlpm.CheckBlank,"",SUM(_xlfn.TAKE(_xlfn.DROP(PL!$AD80:$BN80,,-DATEDIFF(PL!CJ$11,val_asOfDate,"M")),1,-12))))</f>
        <v>12</v>
      </c>
      <c r="CK80" s="1461" cm="1">
        <f t="array" ref="CK80">_xlfn.LET(_xlpm.CheckBlank,SUM(PL!$AD80:$BN80)=0,IF(_xlpm.CheckBlank,"",SUM(_xlfn.TAKE(_xlfn.DROP(PL!$AD80:$BN80,,-DATEDIFF(PL!CK$11,val_asOfDate,"M")),1,-12))))</f>
        <v>12</v>
      </c>
      <c r="CL80" s="88"/>
      <c r="CM80" s="1168" t="e">
        <f t="shared" ca="1" si="21"/>
        <v>#NAME?</v>
      </c>
      <c r="CN80" s="1168" t="e">
        <f t="shared" ca="1" si="21"/>
        <v>#NAME?</v>
      </c>
      <c r="CO80" s="1169"/>
      <c r="CP80" s="1168" t="e">
        <f t="shared" ca="1" si="22"/>
        <v>#NAME?</v>
      </c>
      <c r="CQ80" s="1168" t="e">
        <f t="shared" ca="1" si="22"/>
        <v>#NAME?</v>
      </c>
      <c r="CR80" s="34"/>
    </row>
    <row r="81" spans="1:96" ht="21" customHeight="1" outlineLevel="1">
      <c r="A81" s="1322"/>
      <c r="B81" s="577" t="s">
        <v>208</v>
      </c>
      <c r="C81" s="2125" t="s">
        <v>1535</v>
      </c>
      <c r="D81" s="577"/>
      <c r="E81" s="577" t="e" cm="1">
        <f t="array" ca="1" aca="1" ref="E81">_xlfn.LET(_xlpm.Attr,$C81,_xlpm.Lookback,$E$16,_xlpm.QueryDate,EOMONTH(val_asOfDate,_xlpm.Lookback),_xlpm.ReadField,_xldudf_CX_GET(CX_ENTITY,fx_attrConverter($C81),_xlpm.QueryDate),_xlpm.AttrBlank,_xlpm.Attr="",_xlpm.RESULT,IF(_xlpm.AttrBlank,val_blankRefText,fx_attrConverter(_xlpm.ReadField,0)),IF(_xlpm.RESULT="Error","",_xlpm.RESULT))</f>
        <v>#NAME?</v>
      </c>
      <c r="F81" s="577" t="str">
        <f t="shared" si="17"/>
        <v>Reported EBITDA</v>
      </c>
      <c r="G81" s="577" t="s">
        <v>1598</v>
      </c>
      <c r="H81" s="3279">
        <v>2</v>
      </c>
      <c r="I81" s="3279">
        <v>1</v>
      </c>
      <c r="J81" s="578"/>
      <c r="K81" s="578"/>
      <c r="L81" s="578">
        <v>-1</v>
      </c>
      <c r="N81" s="158"/>
      <c r="O81" s="101"/>
      <c r="P81" s="52"/>
      <c r="Q81" s="101"/>
      <c r="R81" s="126"/>
      <c r="S81" s="101"/>
      <c r="T81" s="101"/>
      <c r="U81" s="39"/>
      <c r="W81" s="91" t="str">
        <f t="shared" si="18"/>
        <v>Budget</v>
      </c>
      <c r="X81" s="884">
        <v>0</v>
      </c>
      <c r="Y81" s="1134" t="e">
        <f t="shared" ca="1" si="19"/>
        <v>#NAME?</v>
      </c>
      <c r="Z81" s="198" cm="1">
        <f t="array" ref="Z81">_xlfn.SWITCH(TRUE,ISBLANK(_PL!$L81),"",_PL!$L81=TRUE,1,_PL!$L81=FALSE,-1,_PL!$L81=-1,0,"n/a")</f>
        <v>0</v>
      </c>
      <c r="AA81" s="200"/>
      <c r="AB81" s="1134" t="str">
        <f t="shared" si="20"/>
        <v>Reported EBITDA</v>
      </c>
      <c r="AC81" s="125" t="e" vm="5" cm="1">
        <f t="array" ref="AC81">_xlfn.LET(_xlpm.Def,IF(_xlfn.XMATCH(AB81,tbl_acctDef[Term],0)&gt;0,fx_getIcon("find"),""),_xlpm.Adj,IF(_xlfn.XMATCH(AB81,tbl_adjExample[Items],0)&gt;0,fx_getIcon("find"),""),IFERROR(IFBLANK(_xlpm.Def,_xlpm.Adj),""))</f>
        <v>#VALUE!</v>
      </c>
      <c r="AD81" s="1985" t="e" cm="1">
        <f t="array" ca="1" aca="1" ref="AD81">_xlfn.LET(_xlpm.val,IF($F81="",val_blankRefText,_xldudf_CX_GET(CX_ENTITY,$F81,AD$11,AD$14,,(AD$75))),_xlpm.Res,IF(OR(_xlpm.val="",_xlpm.val="Error"),"",_xlpm.val),_xlpm.Res)</f>
        <v>#NAME?</v>
      </c>
      <c r="AE81" s="1985" t="e" cm="1">
        <f t="array" ca="1" aca="1" ref="AE81">_xlfn.LET(_xlpm.val,IF($F81="",val_blankRefText,_xldudf_CX_GET(CX_ENTITY,$F81,AE$11,AE$14,,(AE$75))),_xlpm.Res,IF(OR(_xlpm.val="",_xlpm.val="Error"),"",_xlpm.val),_xlpm.Res)</f>
        <v>#NAME?</v>
      </c>
      <c r="AF81" s="1985" t="e" cm="1">
        <f t="array" ca="1" aca="1" ref="AF81">_xlfn.LET(_xlpm.val,IF($F81="",val_blankRefText,_xldudf_CX_GET(CX_ENTITY,$F81,AF$11,AF$14,,(AF$75))),_xlpm.Res,IF(OR(_xlpm.val="",_xlpm.val="Error"),"",_xlpm.val),_xlpm.Res)</f>
        <v>#NAME?</v>
      </c>
      <c r="AG81" s="1985" t="e" cm="1">
        <f t="array" ca="1" aca="1" ref="AG81">_xlfn.LET(_xlpm.val,IF($F81="",val_blankRefText,_xldudf_CX_GET(CX_ENTITY,$F81,AG$11,AG$14,,(AG$75))),_xlpm.Res,IF(OR(_xlpm.val="",_xlpm.val="Error"),"",_xlpm.val),_xlpm.Res)</f>
        <v>#NAME?</v>
      </c>
      <c r="AH81" s="1985" t="e" cm="1">
        <f t="array" ca="1" aca="1" ref="AH81">_xlfn.LET(_xlpm.val,IF($F81="",val_blankRefText,_xldudf_CX_GET(CX_ENTITY,$F81,AH$11,AH$14,,(AH$75))),_xlpm.Res,IF(OR(_xlpm.val="",_xlpm.val="Error"),"",_xlpm.val),_xlpm.Res)</f>
        <v>#NAME?</v>
      </c>
      <c r="AI81" s="1985" t="e" cm="1">
        <f t="array" ca="1" aca="1" ref="AI81">_xlfn.LET(_xlpm.val,IF($F81="",val_blankRefText,_xldudf_CX_GET(CX_ENTITY,$F81,AI$11,AI$14,,(AI$75))),_xlpm.Res,IF(OR(_xlpm.val="",_xlpm.val="Error"),"",_xlpm.val),_xlpm.Res)</f>
        <v>#NAME?</v>
      </c>
      <c r="AJ81" s="1985" t="e" cm="1">
        <f t="array" ca="1" aca="1" ref="AJ81">_xlfn.LET(_xlpm.val,IF($F81="",val_blankRefText,_xldudf_CX_GET(CX_ENTITY,$F81,AJ$11,AJ$14,,(AJ$75))),_xlpm.Res,IF(OR(_xlpm.val="",_xlpm.val="Error"),"",_xlpm.val),_xlpm.Res)</f>
        <v>#NAME?</v>
      </c>
      <c r="AK81" s="1985" t="e" cm="1">
        <f t="array" ca="1" aca="1" ref="AK81">_xlfn.LET(_xlpm.val,IF($F81="",val_blankRefText,_xldudf_CX_GET(CX_ENTITY,$F81,AK$11,AK$14,,(AK$75))),_xlpm.Res,IF(OR(_xlpm.val="",_xlpm.val="Error"),"",_xlpm.val),_xlpm.Res)</f>
        <v>#NAME?</v>
      </c>
      <c r="AL81" s="1985" t="e" cm="1">
        <f t="array" ca="1" aca="1" ref="AL81">_xlfn.LET(_xlpm.val,IF($F81="",val_blankRefText,_xldudf_CX_GET(CX_ENTITY,$F81,AL$11,AL$14,,(AL$75))),_xlpm.Res,IF(OR(_xlpm.val="",_xlpm.val="Error"),"",_xlpm.val),_xlpm.Res)</f>
        <v>#NAME?</v>
      </c>
      <c r="AM81" s="1985" t="e" cm="1">
        <f t="array" ca="1" aca="1" ref="AM81">_xlfn.LET(_xlpm.val,IF($F81="",val_blankRefText,_xldudf_CX_GET(CX_ENTITY,$F81,AM$11,AM$14,,(AM$75))),_xlpm.Res,IF(OR(_xlpm.val="",_xlpm.val="Error"),"",_xlpm.val),_xlpm.Res)</f>
        <v>#NAME?</v>
      </c>
      <c r="AN81" s="1985" t="e" cm="1">
        <f t="array" ca="1" aca="1" ref="AN81">_xlfn.LET(_xlpm.val,IF($F81="",val_blankRefText,_xldudf_CX_GET(CX_ENTITY,$F81,AN$11,AN$14,,(AN$75))),_xlpm.Res,IF(OR(_xlpm.val="",_xlpm.val="Error"),"",_xlpm.val),_xlpm.Res)</f>
        <v>#NAME?</v>
      </c>
      <c r="AO81" s="1985" t="e" cm="1">
        <f t="array" ca="1" aca="1" ref="AO81">_xlfn.LET(_xlpm.val,IF($F81="",val_blankRefText,_xldudf_CX_GET(CX_ENTITY,$F81,AO$11,AO$14,,(AO$75))),_xlpm.Res,IF(OR(_xlpm.val="",_xlpm.val="Error"),"",_xlpm.val),_xlpm.Res)</f>
        <v>#NAME?</v>
      </c>
      <c r="AP81" s="1985" t="e" cm="1">
        <f t="array" ca="1" aca="1" ref="AP81">_xlfn.LET(_xlpm.val,IF($F81="",val_blankRefText,_xldudf_CX_GET(CX_ENTITY,$F81,AP$11,AP$14,,(AP$75))),_xlpm.Res,IF(OR(_xlpm.val="",_xlpm.val="Error"),"",_xlpm.val),_xlpm.Res)</f>
        <v>#NAME?</v>
      </c>
      <c r="AQ81" s="1985" t="e" cm="1">
        <f t="array" ca="1" aca="1" ref="AQ81">_xlfn.LET(_xlpm.val,IF($F81="",val_blankRefText,_xldudf_CX_GET(CX_ENTITY,$F81,AQ$11,AQ$14,,(AQ$75))),_xlpm.Res,IF(OR(_xlpm.val="",_xlpm.val="Error"),"",_xlpm.val),_xlpm.Res)</f>
        <v>#NAME?</v>
      </c>
      <c r="AR81" s="1985" t="e" cm="1">
        <f t="array" ca="1" aca="1" ref="AR81">_xlfn.LET(_xlpm.val,IF($F81="",val_blankRefText,_xldudf_CX_GET(CX_ENTITY,$F81,AR$11,AR$14,,(AR$75))),_xlpm.Res,IF(OR(_xlpm.val="",_xlpm.val="Error"),"",_xlpm.val),_xlpm.Res)</f>
        <v>#NAME?</v>
      </c>
      <c r="AS81" s="1985" t="e" cm="1">
        <f t="array" ca="1" aca="1" ref="AS81">_xlfn.LET(_xlpm.val,IF($F81="",val_blankRefText,_xldudf_CX_GET(CX_ENTITY,$F81,AS$11,AS$14,,(AS$75))),_xlpm.Res,IF(OR(_xlpm.val="",_xlpm.val="Error"),"",_xlpm.val),_xlpm.Res)</f>
        <v>#NAME?</v>
      </c>
      <c r="AT81" s="1985" t="e" cm="1">
        <f t="array" ca="1" aca="1" ref="AT81">_xlfn.LET(_xlpm.val,IF($F81="",val_blankRefText,_xldudf_CX_GET(CX_ENTITY,$F81,AT$11,AT$14,,(AT$75))),_xlpm.Res,IF(OR(_xlpm.val="",_xlpm.val="Error"),"",_xlpm.val),_xlpm.Res)</f>
        <v>#NAME?</v>
      </c>
      <c r="AU81" s="1985" t="e" cm="1">
        <f t="array" ca="1" aca="1" ref="AU81">_xlfn.LET(_xlpm.val,IF($F81="",val_blankRefText,_xldudf_CX_GET(CX_ENTITY,$F81,AU$11,AU$14,,(AU$75))),_xlpm.Res,IF(OR(_xlpm.val="",_xlpm.val="Error"),"",_xlpm.val),_xlpm.Res)</f>
        <v>#NAME?</v>
      </c>
      <c r="AV81" s="1985" t="e" cm="1">
        <f t="array" ca="1" aca="1" ref="AV81">_xlfn.LET(_xlpm.val,IF($F81="",val_blankRefText,_xldudf_CX_GET(CX_ENTITY,$F81,AV$11,AV$14,,(AV$75))),_xlpm.Res,IF(OR(_xlpm.val="",_xlpm.val="Error"),"",_xlpm.val),_xlpm.Res)</f>
        <v>#NAME?</v>
      </c>
      <c r="AW81" s="1985" t="e" cm="1">
        <f t="array" ca="1" aca="1" ref="AW81">_xlfn.LET(_xlpm.val,IF($F81="",val_blankRefText,_xldudf_CX_GET(CX_ENTITY,$F81,AW$11,AW$14,,(AW$75))),_xlpm.Res,IF(OR(_xlpm.val="",_xlpm.val="Error"),"",_xlpm.val),_xlpm.Res)</f>
        <v>#NAME?</v>
      </c>
      <c r="AX81" s="1985" t="e" cm="1">
        <f t="array" ca="1" aca="1" ref="AX81">_xlfn.LET(_xlpm.val,IF($F81="",val_blankRefText,_xldudf_CX_GET(CX_ENTITY,$F81,AX$11,AX$14,,(AX$75))),_xlpm.Res,IF(OR(_xlpm.val="",_xlpm.val="Error"),"",_xlpm.val),_xlpm.Res)</f>
        <v>#NAME?</v>
      </c>
      <c r="AY81" s="1985" t="e" cm="1">
        <f t="array" ca="1" aca="1" ref="AY81">_xlfn.LET(_xlpm.val,IF($F81="",val_blankRefText,_xldudf_CX_GET(CX_ENTITY,$F81,AY$11,AY$14,,(AY$75))),_xlpm.Res,IF(OR(_xlpm.val="",_xlpm.val="Error"),"",_xlpm.val),_xlpm.Res)</f>
        <v>#NAME?</v>
      </c>
      <c r="AZ81" s="1985" t="e" cm="1">
        <f t="array" ca="1" aca="1" ref="AZ81">_xlfn.LET(_xlpm.val,IF($F81="",val_blankRefText,_xldudf_CX_GET(CX_ENTITY,$F81,AZ$11,AZ$14,,(AZ$75))),_xlpm.Res,IF(OR(_xlpm.val="",_xlpm.val="Error"),"",_xlpm.val),_xlpm.Res)</f>
        <v>#NAME?</v>
      </c>
      <c r="BA81" s="1985" t="e" cm="1">
        <f t="array" ca="1" aca="1" ref="BA81">_xlfn.LET(_xlpm.val,IF($F81="",val_blankRefText,_xldudf_CX_GET(CX_ENTITY,$F81,BA$11,BA$14,,(BA$75))),_xlpm.Res,IF(OR(_xlpm.val="",_xlpm.val="Error"),"",_xlpm.val),_xlpm.Res)</f>
        <v>#NAME?</v>
      </c>
      <c r="BB81" s="1985" t="e" cm="1">
        <f t="array" ca="1" aca="1" ref="BB81">_xlfn.LET(_xlpm.val,IF($F81="",val_blankRefText,_xldudf_CX_GET(CX_ENTITY,$F81,BB$11,BB$14,,(BB$75))),_xlpm.Res,IF(OR(_xlpm.val="",_xlpm.val="Error"),"",_xlpm.val),_xlpm.Res)</f>
        <v>#NAME?</v>
      </c>
      <c r="BC81" s="1985" t="e" cm="1">
        <f t="array" ca="1" aca="1" ref="BC81">_xlfn.LET(_xlpm.val,IF($F81="",val_blankRefText,_xldudf_CX_GET(CX_ENTITY,$F81,BC$11,BC$14,,(BC$75))),_xlpm.Res,IF(OR(_xlpm.val="",_xlpm.val="Error"),"",_xlpm.val),_xlpm.Res)</f>
        <v>#NAME?</v>
      </c>
      <c r="BD81" s="1985" t="e" cm="1">
        <f t="array" ca="1" aca="1" ref="BD81">_xlfn.LET(_xlpm.val,IF($F81="",val_blankRefText,_xldudf_CX_GET(CX_ENTITY,$F81,BD$11,BD$14,,(BD$75))),_xlpm.Res,IF(OR(_xlpm.val="",_xlpm.val="Error"),"",_xlpm.val),_xlpm.Res)</f>
        <v>#NAME?</v>
      </c>
      <c r="BE81" s="1985" t="e" cm="1">
        <f t="array" ca="1" aca="1" ref="BE81">_xlfn.LET(_xlpm.val,IF($F81="",val_blankRefText,_xldudf_CX_GET(CX_ENTITY,$F81,BE$11,BE$14,,(BE$75))),_xlpm.Res,IF(OR(_xlpm.val="",_xlpm.val="Error"),"",_xlpm.val),_xlpm.Res)</f>
        <v>#NAME?</v>
      </c>
      <c r="BF81" s="1985" t="e" cm="1">
        <f t="array" ca="1" aca="1" ref="BF81">_xlfn.LET(_xlpm.val,IF($F81="",val_blankRefText,_xldudf_CX_GET(CX_ENTITY,$F81,BF$11,BF$14,,(BF$75))),_xlpm.Res,IF(OR(_xlpm.val="",_xlpm.val="Error"),"",_xlpm.val),_xlpm.Res)</f>
        <v>#NAME?</v>
      </c>
      <c r="BG81" s="1985" t="e" cm="1">
        <f t="array" ca="1" aca="1" ref="BG81">_xlfn.LET(_xlpm.val,IF($F81="",val_blankRefText,_xldudf_CX_GET(CX_ENTITY,$F81,BG$11,BG$14,,(BG$75))),_xlpm.Res,IF(OR(_xlpm.val="",_xlpm.val="Error"),"",_xlpm.val),_xlpm.Res)</f>
        <v>#NAME?</v>
      </c>
      <c r="BH81" s="1985" t="e" cm="1">
        <f t="array" ca="1" aca="1" ref="BH81">_xlfn.LET(_xlpm.val,IF($F81="",val_blankRefText,_xldudf_CX_GET(CX_ENTITY,$F81,BH$11,BH$14,,(BH$75))),_xlpm.Res,IF(OR(_xlpm.val="",_xlpm.val="Error"),"",_xlpm.val),_xlpm.Res)</f>
        <v>#NAME?</v>
      </c>
      <c r="BI81" s="1985" t="e" cm="1">
        <f t="array" ca="1" aca="1" ref="BI81">_xlfn.LET(_xlpm.val,IF($F81="",val_blankRefText,_xldudf_CX_GET(CX_ENTITY,$F81,BI$11,BI$14,,(BI$75))),_xlpm.Res,IF(OR(_xlpm.val="",_xlpm.val="Error"),"",_xlpm.val),_xlpm.Res)</f>
        <v>#NAME?</v>
      </c>
      <c r="BJ81" s="1985" t="e" cm="1">
        <f t="array" ca="1" aca="1" ref="BJ81">_xlfn.LET(_xlpm.val,IF($F81="",val_blankRefText,_xldudf_CX_GET(CX_ENTITY,$F81,BJ$11,BJ$14,,(BJ$75))),_xlpm.Res,IF(OR(_xlpm.val="",_xlpm.val="Error"),"",_xlpm.val),_xlpm.Res)</f>
        <v>#NAME?</v>
      </c>
      <c r="BK81" s="1985" t="e" cm="1">
        <f t="array" ca="1" aca="1" ref="BK81">_xlfn.LET(_xlpm.val,IF($F81="",val_blankRefText,_xldudf_CX_GET(CX_ENTITY,$F81,BK$11,BK$14,,(BK$75))),_xlpm.Res,IF(OR(_xlpm.val="",_xlpm.val="Error"),"",_xlpm.val),_xlpm.Res)</f>
        <v>#NAME?</v>
      </c>
      <c r="BL81" s="1985" t="e" cm="1">
        <f t="array" ca="1" aca="1" ref="BL81">_xlfn.LET(_xlpm.val,IF($F81="",val_blankRefText,_xldudf_CX_GET(CX_ENTITY,$F81,BL$11,BL$14,,(BL$75))),_xlpm.Res,IF(OR(_xlpm.val="",_xlpm.val="Error"),"",_xlpm.val),_xlpm.Res)</f>
        <v>#NAME?</v>
      </c>
      <c r="BM81" s="1985" t="e" cm="1">
        <f t="array" ca="1" aca="1" ref="BM81">_xlfn.LET(_xlpm.val,IF($F81="",val_blankRefText,_xldudf_CX_GET(CX_ENTITY,$F81,BM$11,BM$14,,(BM$75))),_xlpm.Res,IF(OR(_xlpm.val="",_xlpm.val="Error"),"",_xlpm.val),_xlpm.Res)</f>
        <v>#NAME?</v>
      </c>
      <c r="BN81" s="1985" t="e" cm="1">
        <f t="array" ca="1" aca="1" ref="BN81">_xlfn.LET(_xlpm.val,IF($F81="",val_blankRefText,_xldudf_CX_GET(CX_ENTITY,$F81,BN$11,BN$14,,(BN$75))),_xlpm.Res,IF(OR(_xlpm.val="",_xlpm.val="Error"),"",_xlpm.val),_xlpm.Res)</f>
        <v>#NAME?</v>
      </c>
      <c r="BO81" s="2101"/>
      <c r="BP81" s="2101"/>
      <c r="BQ81" s="2101"/>
      <c r="BR81" s="2101"/>
      <c r="BS81" s="2101"/>
      <c r="BT81" s="2101"/>
      <c r="BU81" s="2101"/>
      <c r="BV81" s="2101"/>
      <c r="BW81" s="2101"/>
      <c r="BX81" s="2101"/>
      <c r="BY81" s="2101"/>
      <c r="BZ81" s="2101"/>
      <c r="CA81" s="34"/>
      <c r="CC81" s="33"/>
      <c r="CD81" s="1461" t="e" cm="1">
        <f t="array" ca="1" aca="1" ref="CD81">_xlfn.LET(_xlpm.CheckBlank,SUM(PL!$AD81:$BN81)=0,IF(_xlpm.CheckBlank,"",SUM(_xlfn._xlws.FILTER(PL!$AD81:$BN81,(YEAR(PL!$AD$12:$BN$12)=PL!CD$12)*(array_timeline&lt;=PL!CD$11)))))</f>
        <v>#NAME?</v>
      </c>
      <c r="CE81" s="1461" t="e" cm="1">
        <f t="array" ca="1" aca="1" ref="CE81">_xlfn.LET(_xlpm.CheckBlank,SUM(PL!$AD81:$BN81)=0,IF(_xlpm.CheckBlank,"",SUM(_xlfn._xlws.FILTER(PL!$AD81:$BN81,(YEAR(PL!$AD$12:$BN$12)=PL!CE$12)*(array_timeline&lt;=PL!CE$11)))))</f>
        <v>#NAME?</v>
      </c>
      <c r="CF81" s="88"/>
      <c r="CG81" s="1461" t="e" cm="1">
        <f t="array" ca="1" aca="1" ref="CG81">_xlfn.LET(_xlpm.CheckBlank,SUM(PL!$AD81:$BN81)=0,IF(_xlpm.CheckBlank,"",SUM(_xlfn._xlws.FILTER(PL!$AD81:$BN81,(YEAR(PL!$AD$12:$BN$12)=PL!CG$12)*(array_timeline&lt;=PL!CG$11)))))</f>
        <v>#NAME?</v>
      </c>
      <c r="CH81" s="1461" t="e" cm="1">
        <f t="array" ca="1" aca="1" ref="CH81">_xlfn.LET(_xlpm.CheckBlank,SUM(PL!$AD81:$BN81)=0,IF(_xlpm.CheckBlank,"",SUM(_xlfn._xlws.FILTER(PL!$AD81:$BN81,(YEAR(PL!$AD$12:$BN$12)=PL!CH$12)*(array_timeline&lt;=PL!CH$11)))))</f>
        <v>#NAME?</v>
      </c>
      <c r="CI81" s="88"/>
      <c r="CJ81" s="1461" cm="1">
        <f t="array" ref="CJ81">_xlfn.LET(_xlpm.CheckBlank,SUM(PL!$AD81:$BN81)=0,IF(_xlpm.CheckBlank,"",SUM(_xlfn.TAKE(_xlfn.DROP(PL!$AD81:$BN81,,-DATEDIFF(PL!CJ$11,val_asOfDate,"M")),1,-12))))</f>
        <v>36</v>
      </c>
      <c r="CK81" s="1461" cm="1">
        <f t="array" ref="CK81">_xlfn.LET(_xlpm.CheckBlank,SUM(PL!$AD81:$BN81)=0,IF(_xlpm.CheckBlank,"",SUM(_xlfn.TAKE(_xlfn.DROP(PL!$AD81:$BN81,,-DATEDIFF(PL!CK$11,val_asOfDate,"M")),1,-12))))</f>
        <v>36</v>
      </c>
      <c r="CL81" s="88"/>
      <c r="CM81" s="1168" t="e">
        <f t="shared" ca="1" si="21"/>
        <v>#NAME?</v>
      </c>
      <c r="CN81" s="1168" t="e">
        <f t="shared" ca="1" si="21"/>
        <v>#NAME?</v>
      </c>
      <c r="CO81" s="1169"/>
      <c r="CP81" s="1168" t="e">
        <f t="shared" ca="1" si="22"/>
        <v>#NAME?</v>
      </c>
      <c r="CQ81" s="1168" t="e">
        <f t="shared" ca="1" si="22"/>
        <v>#NAME?</v>
      </c>
      <c r="CR81" s="34"/>
    </row>
    <row r="82" spans="1:96" ht="21" customHeight="1">
      <c r="A82" s="1322"/>
      <c r="B82" s="2126"/>
      <c r="C82" s="577" t="s">
        <v>1536</v>
      </c>
      <c r="D82" s="32"/>
      <c r="E82" s="577" t="e" cm="1">
        <f t="array" ca="1" aca="1" ref="E82">_xlfn.LET(_xlpm.Attr,$C82,_xlpm.Lookback,$E$16,_xlpm.QueryDate,EOMONTH(val_asOfDate,_xlpm.Lookback),_xlpm.ReadField,_xldudf_CX_GET(CX_ENTITY,fx_attrConverter($C82),_xlpm.QueryDate),_xlpm.AttrBlank,_xlpm.Attr="",_xlpm.RESULT,IF(_xlpm.AttrBlank,val_blankRefText,fx_attrConverter(_xlpm.ReadField,0)),IF(_xlpm.RESULT="Error","",_xlpm.RESULT))</f>
        <v>#NAME?</v>
      </c>
      <c r="F82" s="577" t="e">
        <f ca="1" t="shared" si="27" ref="F82:F87">IF($B82&lt;&gt;"",$B82,$E82)</f>
        <v>#NAME?</v>
      </c>
      <c r="G82" s="577" t="s">
        <v>1598</v>
      </c>
      <c r="H82" s="572">
        <v>0</v>
      </c>
      <c r="I82" s="3279">
        <v>1</v>
      </c>
      <c r="J82" s="32"/>
      <c r="K82" s="32"/>
      <c r="L82" s="579" t="b">
        <v>0</v>
      </c>
      <c r="N82" s="158"/>
      <c r="O82" s="101"/>
      <c r="P82" s="52"/>
      <c r="Q82" s="101"/>
      <c r="R82" s="126"/>
      <c r="S82" s="101"/>
      <c r="T82" s="101"/>
      <c r="U82" s="39"/>
      <c r="W82" s="91" t="str">
        <f t="shared" si="18"/>
        <v>Budget</v>
      </c>
      <c r="X82" s="884" t="s">
        <v>62</v>
      </c>
      <c r="Y82" s="1134" t="e">
        <f t="shared" ca="1" si="19"/>
        <v>#NAME?</v>
      </c>
      <c r="Z82" s="198" cm="1">
        <f t="array" ref="Z82">_xlfn.SWITCH(TRUE,ISBLANK(_PL!$L82),"",_PL!$L82=TRUE,1,_PL!$L82=FALSE,-1,_PL!$L82=-1,0,"n/a")</f>
        <v>-1</v>
      </c>
      <c r="AA82" s="200"/>
      <c r="AB82" s="1134" t="e">
        <f t="shared" ca="1" si="20"/>
        <v>#NAME?</v>
      </c>
      <c r="AC82" s="125" t="str" cm="1">
        <f t="array" ca="1" aca="1" ref="AC82">_xlfn.LET(_xlpm.Def,IF(_xlfn.XMATCH(AB82,tbl_acctDef[Term],0)&gt;0,fx_getIcon("find"),""),_xlpm.Adj,IF(_xlfn.XMATCH(AB82,tbl_adjExample[Items],0)&gt;0,fx_getIcon("find"),""),IFERROR(IFBLANK(_xlpm.Def,_xlpm.Adj),""))</f>
        <v/>
      </c>
      <c r="AD82" s="1985" t="e" cm="1">
        <f t="array" ca="1" aca="1" ref="AD82">_xlfn.LET(_xlpm.val,IF($F82="",val_blankRefText,_xldudf_CX_GET(CX_ENTITY,$F82,AD$11,AD$14,,(AD$75))),_xlpm.Res,IF(OR(_xlpm.val="",_xlpm.val="Error"),"",_xlpm.val),_xlpm.Res)</f>
        <v>#NAME?</v>
      </c>
      <c r="AE82" s="1985" t="e" cm="1">
        <f t="array" ca="1" aca="1" ref="AE82">_xlfn.LET(_xlpm.val,IF($F82="",val_blankRefText,_xldudf_CX_GET(CX_ENTITY,$F82,AE$11,AE$14,,(AE$75))),_xlpm.Res,IF(OR(_xlpm.val="",_xlpm.val="Error"),"",_xlpm.val),_xlpm.Res)</f>
        <v>#NAME?</v>
      </c>
      <c r="AF82" s="1985" t="e" cm="1">
        <f t="array" ca="1" aca="1" ref="AF82">_xlfn.LET(_xlpm.val,IF($F82="",val_blankRefText,_xldudf_CX_GET(CX_ENTITY,$F82,AF$11,AF$14,,(AF$75))),_xlpm.Res,IF(OR(_xlpm.val="",_xlpm.val="Error"),"",_xlpm.val),_xlpm.Res)</f>
        <v>#NAME?</v>
      </c>
      <c r="AG82" s="1985" t="e" cm="1">
        <f t="array" ca="1" aca="1" ref="AG82">_xlfn.LET(_xlpm.val,IF($F82="",val_blankRefText,_xldudf_CX_GET(CX_ENTITY,$F82,AG$11,AG$14,,(AG$75))),_xlpm.Res,IF(OR(_xlpm.val="",_xlpm.val="Error"),"",_xlpm.val),_xlpm.Res)</f>
        <v>#NAME?</v>
      </c>
      <c r="AH82" s="1985" t="e" cm="1">
        <f t="array" ca="1" aca="1" ref="AH82">_xlfn.LET(_xlpm.val,IF($F82="",val_blankRefText,_xldudf_CX_GET(CX_ENTITY,$F82,AH$11,AH$14,,(AH$75))),_xlpm.Res,IF(OR(_xlpm.val="",_xlpm.val="Error"),"",_xlpm.val),_xlpm.Res)</f>
        <v>#NAME?</v>
      </c>
      <c r="AI82" s="1985" t="e" cm="1">
        <f t="array" ca="1" aca="1" ref="AI82">_xlfn.LET(_xlpm.val,IF($F82="",val_blankRefText,_xldudf_CX_GET(CX_ENTITY,$F82,AI$11,AI$14,,(AI$75))),_xlpm.Res,IF(OR(_xlpm.val="",_xlpm.val="Error"),"",_xlpm.val),_xlpm.Res)</f>
        <v>#NAME?</v>
      </c>
      <c r="AJ82" s="1985" t="e" cm="1">
        <f t="array" ca="1" aca="1" ref="AJ82">_xlfn.LET(_xlpm.val,IF($F82="",val_blankRefText,_xldudf_CX_GET(CX_ENTITY,$F82,AJ$11,AJ$14,,(AJ$75))),_xlpm.Res,IF(OR(_xlpm.val="",_xlpm.val="Error"),"",_xlpm.val),_xlpm.Res)</f>
        <v>#NAME?</v>
      </c>
      <c r="AK82" s="1985" t="e" cm="1">
        <f t="array" ca="1" aca="1" ref="AK82">_xlfn.LET(_xlpm.val,IF($F82="",val_blankRefText,_xldudf_CX_GET(CX_ENTITY,$F82,AK$11,AK$14,,(AK$75))),_xlpm.Res,IF(OR(_xlpm.val="",_xlpm.val="Error"),"",_xlpm.val),_xlpm.Res)</f>
        <v>#NAME?</v>
      </c>
      <c r="AL82" s="1985" t="e" cm="1">
        <f t="array" ca="1" aca="1" ref="AL82">_xlfn.LET(_xlpm.val,IF($F82="",val_blankRefText,_xldudf_CX_GET(CX_ENTITY,$F82,AL$11,AL$14,,(AL$75))),_xlpm.Res,IF(OR(_xlpm.val="",_xlpm.val="Error"),"",_xlpm.val),_xlpm.Res)</f>
        <v>#NAME?</v>
      </c>
      <c r="AM82" s="1985" t="e" cm="1">
        <f t="array" ca="1" aca="1" ref="AM82">_xlfn.LET(_xlpm.val,IF($F82="",val_blankRefText,_xldudf_CX_GET(CX_ENTITY,$F82,AM$11,AM$14,,(AM$75))),_xlpm.Res,IF(OR(_xlpm.val="",_xlpm.val="Error"),"",_xlpm.val),_xlpm.Res)</f>
        <v>#NAME?</v>
      </c>
      <c r="AN82" s="1985" t="e" cm="1">
        <f t="array" ca="1" aca="1" ref="AN82">_xlfn.LET(_xlpm.val,IF($F82="",val_blankRefText,_xldudf_CX_GET(CX_ENTITY,$F82,AN$11,AN$14,,(AN$75))),_xlpm.Res,IF(OR(_xlpm.val="",_xlpm.val="Error"),"",_xlpm.val),_xlpm.Res)</f>
        <v>#NAME?</v>
      </c>
      <c r="AO82" s="1985" t="e" cm="1">
        <f t="array" ca="1" aca="1" ref="AO82">_xlfn.LET(_xlpm.val,IF($F82="",val_blankRefText,_xldudf_CX_GET(CX_ENTITY,$F82,AO$11,AO$14,,(AO$75))),_xlpm.Res,IF(OR(_xlpm.val="",_xlpm.val="Error"),"",_xlpm.val),_xlpm.Res)</f>
        <v>#NAME?</v>
      </c>
      <c r="AP82" s="1985" t="e" cm="1">
        <f t="array" ca="1" aca="1" ref="AP82">_xlfn.LET(_xlpm.val,IF($F82="",val_blankRefText,_xldudf_CX_GET(CX_ENTITY,$F82,AP$11,AP$14,,(AP$75))),_xlpm.Res,IF(OR(_xlpm.val="",_xlpm.val="Error"),"",_xlpm.val),_xlpm.Res)</f>
        <v>#NAME?</v>
      </c>
      <c r="AQ82" s="1985" t="e" cm="1">
        <f t="array" ca="1" aca="1" ref="AQ82">_xlfn.LET(_xlpm.val,IF($F82="",val_blankRefText,_xldudf_CX_GET(CX_ENTITY,$F82,AQ$11,AQ$14,,(AQ$75))),_xlpm.Res,IF(OR(_xlpm.val="",_xlpm.val="Error"),"",_xlpm.val),_xlpm.Res)</f>
        <v>#NAME?</v>
      </c>
      <c r="AR82" s="1985" t="e" cm="1">
        <f t="array" ca="1" aca="1" ref="AR82">_xlfn.LET(_xlpm.val,IF($F82="",val_blankRefText,_xldudf_CX_GET(CX_ENTITY,$F82,AR$11,AR$14,,(AR$75))),_xlpm.Res,IF(OR(_xlpm.val="",_xlpm.val="Error"),"",_xlpm.val),_xlpm.Res)</f>
        <v>#NAME?</v>
      </c>
      <c r="AS82" s="1985" t="e" cm="1">
        <f t="array" ca="1" aca="1" ref="AS82">_xlfn.LET(_xlpm.val,IF($F82="",val_blankRefText,_xldudf_CX_GET(CX_ENTITY,$F82,AS$11,AS$14,,(AS$75))),_xlpm.Res,IF(OR(_xlpm.val="",_xlpm.val="Error"),"",_xlpm.val),_xlpm.Res)</f>
        <v>#NAME?</v>
      </c>
      <c r="AT82" s="1985" t="e" cm="1">
        <f t="array" ca="1" aca="1" ref="AT82">_xlfn.LET(_xlpm.val,IF($F82="",val_blankRefText,_xldudf_CX_GET(CX_ENTITY,$F82,AT$11,AT$14,,(AT$75))),_xlpm.Res,IF(OR(_xlpm.val="",_xlpm.val="Error"),"",_xlpm.val),_xlpm.Res)</f>
        <v>#NAME?</v>
      </c>
      <c r="AU82" s="1985" t="e" cm="1">
        <f t="array" ca="1" aca="1" ref="AU82">_xlfn.LET(_xlpm.val,IF($F82="",val_blankRefText,_xldudf_CX_GET(CX_ENTITY,$F82,AU$11,AU$14,,(AU$75))),_xlpm.Res,IF(OR(_xlpm.val="",_xlpm.val="Error"),"",_xlpm.val),_xlpm.Res)</f>
        <v>#NAME?</v>
      </c>
      <c r="AV82" s="1985" t="e" cm="1">
        <f t="array" ca="1" aca="1" ref="AV82">_xlfn.LET(_xlpm.val,IF($F82="",val_blankRefText,_xldudf_CX_GET(CX_ENTITY,$F82,AV$11,AV$14,,(AV$75))),_xlpm.Res,IF(OR(_xlpm.val="",_xlpm.val="Error"),"",_xlpm.val),_xlpm.Res)</f>
        <v>#NAME?</v>
      </c>
      <c r="AW82" s="1985" t="e" cm="1">
        <f t="array" ca="1" aca="1" ref="AW82">_xlfn.LET(_xlpm.val,IF($F82="",val_blankRefText,_xldudf_CX_GET(CX_ENTITY,$F82,AW$11,AW$14,,(AW$75))),_xlpm.Res,IF(OR(_xlpm.val="",_xlpm.val="Error"),"",_xlpm.val),_xlpm.Res)</f>
        <v>#NAME?</v>
      </c>
      <c r="AX82" s="1985" t="e" cm="1">
        <f t="array" ca="1" aca="1" ref="AX82">_xlfn.LET(_xlpm.val,IF($F82="",val_blankRefText,_xldudf_CX_GET(CX_ENTITY,$F82,AX$11,AX$14,,(AX$75))),_xlpm.Res,IF(OR(_xlpm.val="",_xlpm.val="Error"),"",_xlpm.val),_xlpm.Res)</f>
        <v>#NAME?</v>
      </c>
      <c r="AY82" s="1985" t="e" cm="1">
        <f t="array" ca="1" aca="1" ref="AY82">_xlfn.LET(_xlpm.val,IF($F82="",val_blankRefText,_xldudf_CX_GET(CX_ENTITY,$F82,AY$11,AY$14,,(AY$75))),_xlpm.Res,IF(OR(_xlpm.val="",_xlpm.val="Error"),"",_xlpm.val),_xlpm.Res)</f>
        <v>#NAME?</v>
      </c>
      <c r="AZ82" s="1985" t="e" cm="1">
        <f t="array" ca="1" aca="1" ref="AZ82">_xlfn.LET(_xlpm.val,IF($F82="",val_blankRefText,_xldudf_CX_GET(CX_ENTITY,$F82,AZ$11,AZ$14,,(AZ$75))),_xlpm.Res,IF(OR(_xlpm.val="",_xlpm.val="Error"),"",_xlpm.val),_xlpm.Res)</f>
        <v>#NAME?</v>
      </c>
      <c r="BA82" s="1985" t="e" cm="1">
        <f t="array" ca="1" aca="1" ref="BA82">_xlfn.LET(_xlpm.val,IF($F82="",val_blankRefText,_xldudf_CX_GET(CX_ENTITY,$F82,BA$11,BA$14,,(BA$75))),_xlpm.Res,IF(OR(_xlpm.val="",_xlpm.val="Error"),"",_xlpm.val),_xlpm.Res)</f>
        <v>#NAME?</v>
      </c>
      <c r="BB82" s="1985" t="e" cm="1">
        <f t="array" ca="1" aca="1" ref="BB82">_xlfn.LET(_xlpm.val,IF($F82="",val_blankRefText,_xldudf_CX_GET(CX_ENTITY,$F82,BB$11,BB$14,,(BB$75))),_xlpm.Res,IF(OR(_xlpm.val="",_xlpm.val="Error"),"",_xlpm.val),_xlpm.Res)</f>
        <v>#NAME?</v>
      </c>
      <c r="BC82" s="1985" t="e" cm="1">
        <f t="array" ca="1" aca="1" ref="BC82">_xlfn.LET(_xlpm.val,IF($F82="",val_blankRefText,_xldudf_CX_GET(CX_ENTITY,$F82,BC$11,BC$14,,(BC$75))),_xlpm.Res,IF(OR(_xlpm.val="",_xlpm.val="Error"),"",_xlpm.val),_xlpm.Res)</f>
        <v>#NAME?</v>
      </c>
      <c r="BD82" s="1985" t="e" cm="1">
        <f t="array" ca="1" aca="1" ref="BD82">_xlfn.LET(_xlpm.val,IF($F82="",val_blankRefText,_xldudf_CX_GET(CX_ENTITY,$F82,BD$11,BD$14,,(BD$75))),_xlpm.Res,IF(OR(_xlpm.val="",_xlpm.val="Error"),"",_xlpm.val),_xlpm.Res)</f>
        <v>#NAME?</v>
      </c>
      <c r="BE82" s="1985" t="e" cm="1">
        <f t="array" ca="1" aca="1" ref="BE82">_xlfn.LET(_xlpm.val,IF($F82="",val_blankRefText,_xldudf_CX_GET(CX_ENTITY,$F82,BE$11,BE$14,,(BE$75))),_xlpm.Res,IF(OR(_xlpm.val="",_xlpm.val="Error"),"",_xlpm.val),_xlpm.Res)</f>
        <v>#NAME?</v>
      </c>
      <c r="BF82" s="1985" t="e" cm="1">
        <f t="array" ca="1" aca="1" ref="BF82">_xlfn.LET(_xlpm.val,IF($F82="",val_blankRefText,_xldudf_CX_GET(CX_ENTITY,$F82,BF$11,BF$14,,(BF$75))),_xlpm.Res,IF(OR(_xlpm.val="",_xlpm.val="Error"),"",_xlpm.val),_xlpm.Res)</f>
        <v>#NAME?</v>
      </c>
      <c r="BG82" s="1985" t="e" cm="1">
        <f t="array" ca="1" aca="1" ref="BG82">_xlfn.LET(_xlpm.val,IF($F82="",val_blankRefText,_xldudf_CX_GET(CX_ENTITY,$F82,BG$11,BG$14,,(BG$75))),_xlpm.Res,IF(OR(_xlpm.val="",_xlpm.val="Error"),"",_xlpm.val),_xlpm.Res)</f>
        <v>#NAME?</v>
      </c>
      <c r="BH82" s="1985" t="e" cm="1">
        <f t="array" ca="1" aca="1" ref="BH82">_xlfn.LET(_xlpm.val,IF($F82="",val_blankRefText,_xldudf_CX_GET(CX_ENTITY,$F82,BH$11,BH$14,,(BH$75))),_xlpm.Res,IF(OR(_xlpm.val="",_xlpm.val="Error"),"",_xlpm.val),_xlpm.Res)</f>
        <v>#NAME?</v>
      </c>
      <c r="BI82" s="1985" t="e" cm="1">
        <f t="array" ca="1" aca="1" ref="BI82">_xlfn.LET(_xlpm.val,IF($F82="",val_blankRefText,_xldudf_CX_GET(CX_ENTITY,$F82,BI$11,BI$14,,(BI$75))),_xlpm.Res,IF(OR(_xlpm.val="",_xlpm.val="Error"),"",_xlpm.val),_xlpm.Res)</f>
        <v>#NAME?</v>
      </c>
      <c r="BJ82" s="1985" t="e" cm="1">
        <f t="array" ca="1" aca="1" ref="BJ82">_xlfn.LET(_xlpm.val,IF($F82="",val_blankRefText,_xldudf_CX_GET(CX_ENTITY,$F82,BJ$11,BJ$14,,(BJ$75))),_xlpm.Res,IF(OR(_xlpm.val="",_xlpm.val="Error"),"",_xlpm.val),_xlpm.Res)</f>
        <v>#NAME?</v>
      </c>
      <c r="BK82" s="1985" t="e" cm="1">
        <f t="array" ca="1" aca="1" ref="BK82">_xlfn.LET(_xlpm.val,IF($F82="",val_blankRefText,_xldudf_CX_GET(CX_ENTITY,$F82,BK$11,BK$14,,(BK$75))),_xlpm.Res,IF(OR(_xlpm.val="",_xlpm.val="Error"),"",_xlpm.val),_xlpm.Res)</f>
        <v>#NAME?</v>
      </c>
      <c r="BL82" s="1985" t="e" cm="1">
        <f t="array" ca="1" aca="1" ref="BL82">_xlfn.LET(_xlpm.val,IF($F82="",val_blankRefText,_xldudf_CX_GET(CX_ENTITY,$F82,BL$11,BL$14,,(BL$75))),_xlpm.Res,IF(OR(_xlpm.val="",_xlpm.val="Error"),"",_xlpm.val),_xlpm.Res)</f>
        <v>#NAME?</v>
      </c>
      <c r="BM82" s="1985" t="e" cm="1">
        <f t="array" ca="1" aca="1" ref="BM82">_xlfn.LET(_xlpm.val,IF($F82="",val_blankRefText,_xldudf_CX_GET(CX_ENTITY,$F82,BM$11,BM$14,,(BM$75))),_xlpm.Res,IF(OR(_xlpm.val="",_xlpm.val="Error"),"",_xlpm.val),_xlpm.Res)</f>
        <v>#NAME?</v>
      </c>
      <c r="BN82" s="1985" t="e" cm="1">
        <f t="array" ca="1" aca="1" ref="BN82">_xlfn.LET(_xlpm.val,IF($F82="",val_blankRefText,_xldudf_CX_GET(CX_ENTITY,$F82,BN$11,BN$14,,(BN$75))),_xlpm.Res,IF(OR(_xlpm.val="",_xlpm.val="Error"),"",_xlpm.val),_xlpm.Res)</f>
        <v>#NAME?</v>
      </c>
      <c r="BO82" s="2101"/>
      <c r="BP82" s="2101"/>
      <c r="BQ82" s="2101"/>
      <c r="BR82" s="2101"/>
      <c r="BS82" s="2101"/>
      <c r="BT82" s="2101"/>
      <c r="BU82" s="2101"/>
      <c r="BV82" s="2101"/>
      <c r="BW82" s="2101"/>
      <c r="BX82" s="2101"/>
      <c r="BY82" s="2101"/>
      <c r="BZ82" s="2101"/>
      <c r="CA82" s="34"/>
      <c r="CC82" s="33"/>
      <c r="CD82" s="1461" t="e" cm="1">
        <f t="array" ca="1" aca="1" ref="CD82">_xlfn.LET(_xlpm.CheckBlank,SUM(PL!$AD82:$BN82)=0,IF(_xlpm.CheckBlank,"",SUM(_xlfn._xlws.FILTER(PL!$AD82:$BN82,(YEAR(PL!$AD$12:$BN$12)=PL!CD$12)*(array_timeline&lt;=PL!CD$11)))))</f>
        <v>#NAME?</v>
      </c>
      <c r="CE82" s="1461" t="e" cm="1">
        <f t="array" ca="1" aca="1" ref="CE82">_xlfn.LET(_xlpm.CheckBlank,SUM(PL!$AD82:$BN82)=0,IF(_xlpm.CheckBlank,"",SUM(_xlfn._xlws.FILTER(PL!$AD82:$BN82,(YEAR(PL!$AD$12:$BN$12)=PL!CE$12)*(array_timeline&lt;=PL!CE$11)))))</f>
        <v>#NAME?</v>
      </c>
      <c r="CF82" s="88"/>
      <c r="CG82" s="1461" t="e" cm="1">
        <f t="array" ca="1" aca="1" ref="CG82">_xlfn.LET(_xlpm.CheckBlank,SUM(PL!$AD82:$BN82)=0,IF(_xlpm.CheckBlank,"",SUM(_xlfn._xlws.FILTER(PL!$AD82:$BN82,(YEAR(PL!$AD$12:$BN$12)=PL!CG$12)*(array_timeline&lt;=PL!CG$11)))))</f>
        <v>#NAME?</v>
      </c>
      <c r="CH82" s="1461" t="e" cm="1">
        <f t="array" ca="1" aca="1" ref="CH82">_xlfn.LET(_xlpm.CheckBlank,SUM(PL!$AD82:$BN82)=0,IF(_xlpm.CheckBlank,"",SUM(_xlfn._xlws.FILTER(PL!$AD82:$BN82,(YEAR(PL!$AD$12:$BN$12)=PL!CH$12)*(array_timeline&lt;=PL!CH$11)))))</f>
        <v>#NAME?</v>
      </c>
      <c r="CI82" s="88"/>
      <c r="CJ82" s="1461" cm="1">
        <f t="array" ref="CJ82">_xlfn.LET(_xlpm.CheckBlank,SUM(PL!$AD82:$BN82)=0,IF(_xlpm.CheckBlank,"",SUM(_xlfn.TAKE(_xlfn.DROP(PL!$AD82:$BN82,,-DATEDIFF(PL!CJ$11,val_asOfDate,"M")),1,-12))))</f>
        <v>12</v>
      </c>
      <c r="CK82" s="1461" cm="1">
        <f t="array" ref="CK82">_xlfn.LET(_xlpm.CheckBlank,SUM(PL!$AD82:$BN82)=0,IF(_xlpm.CheckBlank,"",SUM(_xlfn.TAKE(_xlfn.DROP(PL!$AD82:$BN82,,-DATEDIFF(PL!CK$11,val_asOfDate,"M")),1,-12))))</f>
        <v>12</v>
      </c>
      <c r="CL82" s="88"/>
      <c r="CM82" s="1168" t="e">
        <f t="shared" ca="1" si="21"/>
        <v>#NAME?</v>
      </c>
      <c r="CN82" s="1168" t="e">
        <f t="shared" ca="1" si="21"/>
        <v>#NAME?</v>
      </c>
      <c r="CO82" s="1169"/>
      <c r="CP82" s="1168" t="e">
        <f t="shared" ca="1" si="22"/>
        <v>#NAME?</v>
      </c>
      <c r="CQ82" s="1168" t="e">
        <f t="shared" ca="1" si="22"/>
        <v>#NAME?</v>
      </c>
      <c r="CR82" s="34"/>
    </row>
    <row r="83" spans="1:96" ht="21" customHeight="1" outlineLevel="1">
      <c r="A83" s="1322"/>
      <c r="B83" s="2126"/>
      <c r="C83" s="577" t="s">
        <v>1537</v>
      </c>
      <c r="D83" s="32"/>
      <c r="E83" s="577" t="e" cm="1">
        <f t="array" ca="1" aca="1" ref="E83">_xlfn.LET(_xlpm.Attr,$C83,_xlpm.Lookback,$E$16,_xlpm.QueryDate,EOMONTH(val_asOfDate,_xlpm.Lookback),_xlpm.ReadField,_xldudf_CX_GET(CX_ENTITY,fx_attrConverter($C83),_xlpm.QueryDate),_xlpm.AttrBlank,_xlpm.Attr="",_xlpm.RESULT,IF(_xlpm.AttrBlank,val_blankRefText,fx_attrConverter(_xlpm.ReadField,0)),IF(_xlpm.RESULT="Error","",_xlpm.RESULT))</f>
        <v>#NAME?</v>
      </c>
      <c r="F83" s="577" t="e">
        <f t="shared" ca="1" si="27"/>
        <v>#NAME?</v>
      </c>
      <c r="G83" s="577" t="s">
        <v>1598</v>
      </c>
      <c r="H83" s="572">
        <v>0</v>
      </c>
      <c r="I83" s="3279">
        <v>1</v>
      </c>
      <c r="J83" s="32"/>
      <c r="K83" s="32"/>
      <c r="L83" s="579" t="b">
        <v>0</v>
      </c>
      <c r="N83" s="158"/>
      <c r="O83" s="101"/>
      <c r="P83" s="52"/>
      <c r="Q83" s="101"/>
      <c r="R83" s="101"/>
      <c r="S83" s="101"/>
      <c r="T83" s="101"/>
      <c r="U83" s="39"/>
      <c r="W83" s="91" t="str">
        <f t="shared" si="18"/>
        <v>Budget</v>
      </c>
      <c r="X83" s="884" t="s">
        <v>62</v>
      </c>
      <c r="Y83" s="1134" t="e">
        <f t="shared" ca="1" si="19"/>
        <v>#NAME?</v>
      </c>
      <c r="Z83" s="198" cm="1">
        <f t="array" ref="Z83">_xlfn.SWITCH(TRUE,ISBLANK(_PL!$L83),"",_PL!$L83=TRUE,1,_PL!$L83=FALSE,-1,_PL!$L83=-1,0,"n/a")</f>
        <v>-1</v>
      </c>
      <c r="AA83" s="200"/>
      <c r="AB83" s="1134" t="e">
        <f t="shared" ca="1" si="20"/>
        <v>#NAME?</v>
      </c>
      <c r="AC83" s="125" t="str" cm="1">
        <f t="array" ca="1" aca="1" ref="AC83">_xlfn.LET(_xlpm.Def,IF(_xlfn.XMATCH(AB83,tbl_acctDef[Term],0)&gt;0,fx_getIcon("find"),""),_xlpm.Adj,IF(_xlfn.XMATCH(AB83,tbl_adjExample[Items],0)&gt;0,fx_getIcon("find"),""),IFERROR(IFBLANK(_xlpm.Def,_xlpm.Adj),""))</f>
        <v/>
      </c>
      <c r="AD83" s="1985" t="e" cm="1">
        <f t="array" ca="1" aca="1" ref="AD83">_xlfn.LET(_xlpm.val,IF($F83="",val_blankRefText,_xldudf_CX_GET(CX_ENTITY,$F83,AD$11,AD$14,,(AD$75))),_xlpm.Res,IF(OR(_xlpm.val="",_xlpm.val="Error"),"",_xlpm.val),_xlpm.Res)</f>
        <v>#NAME?</v>
      </c>
      <c r="AE83" s="1985" t="e" cm="1">
        <f t="array" ca="1" aca="1" ref="AE83">_xlfn.LET(_xlpm.val,IF($F83="",val_blankRefText,_xldudf_CX_GET(CX_ENTITY,$F83,AE$11,AE$14,,(AE$75))),_xlpm.Res,IF(OR(_xlpm.val="",_xlpm.val="Error"),"",_xlpm.val),_xlpm.Res)</f>
        <v>#NAME?</v>
      </c>
      <c r="AF83" s="1985" t="e" cm="1">
        <f t="array" ca="1" aca="1" ref="AF83">_xlfn.LET(_xlpm.val,IF($F83="",val_blankRefText,_xldudf_CX_GET(CX_ENTITY,$F83,AF$11,AF$14,,(AF$75))),_xlpm.Res,IF(OR(_xlpm.val="",_xlpm.val="Error"),"",_xlpm.val),_xlpm.Res)</f>
        <v>#NAME?</v>
      </c>
      <c r="AG83" s="1985" t="e" cm="1">
        <f t="array" ca="1" aca="1" ref="AG83">_xlfn.LET(_xlpm.val,IF($F83="",val_blankRefText,_xldudf_CX_GET(CX_ENTITY,$F83,AG$11,AG$14,,(AG$75))),_xlpm.Res,IF(OR(_xlpm.val="",_xlpm.val="Error"),"",_xlpm.val),_xlpm.Res)</f>
        <v>#NAME?</v>
      </c>
      <c r="AH83" s="1985" t="e" cm="1">
        <f t="array" ca="1" aca="1" ref="AH83">_xlfn.LET(_xlpm.val,IF($F83="",val_blankRefText,_xldudf_CX_GET(CX_ENTITY,$F83,AH$11,AH$14,,(AH$75))),_xlpm.Res,IF(OR(_xlpm.val="",_xlpm.val="Error"),"",_xlpm.val),_xlpm.Res)</f>
        <v>#NAME?</v>
      </c>
      <c r="AI83" s="1985" t="e" cm="1">
        <f t="array" ca="1" aca="1" ref="AI83">_xlfn.LET(_xlpm.val,IF($F83="",val_blankRefText,_xldudf_CX_GET(CX_ENTITY,$F83,AI$11,AI$14,,(AI$75))),_xlpm.Res,IF(OR(_xlpm.val="",_xlpm.val="Error"),"",_xlpm.val),_xlpm.Res)</f>
        <v>#NAME?</v>
      </c>
      <c r="AJ83" s="1985" t="e" cm="1">
        <f t="array" ca="1" aca="1" ref="AJ83">_xlfn.LET(_xlpm.val,IF($F83="",val_blankRefText,_xldudf_CX_GET(CX_ENTITY,$F83,AJ$11,AJ$14,,(AJ$75))),_xlpm.Res,IF(OR(_xlpm.val="",_xlpm.val="Error"),"",_xlpm.val),_xlpm.Res)</f>
        <v>#NAME?</v>
      </c>
      <c r="AK83" s="1985" t="e" cm="1">
        <f t="array" ca="1" aca="1" ref="AK83">_xlfn.LET(_xlpm.val,IF($F83="",val_blankRefText,_xldudf_CX_GET(CX_ENTITY,$F83,AK$11,AK$14,,(AK$75))),_xlpm.Res,IF(OR(_xlpm.val="",_xlpm.val="Error"),"",_xlpm.val),_xlpm.Res)</f>
        <v>#NAME?</v>
      </c>
      <c r="AL83" s="1985" t="e" cm="1">
        <f t="array" ca="1" aca="1" ref="AL83">_xlfn.LET(_xlpm.val,IF($F83="",val_blankRefText,_xldudf_CX_GET(CX_ENTITY,$F83,AL$11,AL$14,,(AL$75))),_xlpm.Res,IF(OR(_xlpm.val="",_xlpm.val="Error"),"",_xlpm.val),_xlpm.Res)</f>
        <v>#NAME?</v>
      </c>
      <c r="AM83" s="1985" t="e" cm="1">
        <f t="array" ca="1" aca="1" ref="AM83">_xlfn.LET(_xlpm.val,IF($F83="",val_blankRefText,_xldudf_CX_GET(CX_ENTITY,$F83,AM$11,AM$14,,(AM$75))),_xlpm.Res,IF(OR(_xlpm.val="",_xlpm.val="Error"),"",_xlpm.val),_xlpm.Res)</f>
        <v>#NAME?</v>
      </c>
      <c r="AN83" s="1985" t="e" cm="1">
        <f t="array" ca="1" aca="1" ref="AN83">_xlfn.LET(_xlpm.val,IF($F83="",val_blankRefText,_xldudf_CX_GET(CX_ENTITY,$F83,AN$11,AN$14,,(AN$75))),_xlpm.Res,IF(OR(_xlpm.val="",_xlpm.val="Error"),"",_xlpm.val),_xlpm.Res)</f>
        <v>#NAME?</v>
      </c>
      <c r="AO83" s="1985" t="e" cm="1">
        <f t="array" ca="1" aca="1" ref="AO83">_xlfn.LET(_xlpm.val,IF($F83="",val_blankRefText,_xldudf_CX_GET(CX_ENTITY,$F83,AO$11,AO$14,,(AO$75))),_xlpm.Res,IF(OR(_xlpm.val="",_xlpm.val="Error"),"",_xlpm.val),_xlpm.Res)</f>
        <v>#NAME?</v>
      </c>
      <c r="AP83" s="1985" t="e" cm="1">
        <f t="array" ca="1" aca="1" ref="AP83">_xlfn.LET(_xlpm.val,IF($F83="",val_blankRefText,_xldudf_CX_GET(CX_ENTITY,$F83,AP$11,AP$14,,(AP$75))),_xlpm.Res,IF(OR(_xlpm.val="",_xlpm.val="Error"),"",_xlpm.val),_xlpm.Res)</f>
        <v>#NAME?</v>
      </c>
      <c r="AQ83" s="1985" t="e" cm="1">
        <f t="array" ca="1" aca="1" ref="AQ83">_xlfn.LET(_xlpm.val,IF($F83="",val_blankRefText,_xldudf_CX_GET(CX_ENTITY,$F83,AQ$11,AQ$14,,(AQ$75))),_xlpm.Res,IF(OR(_xlpm.val="",_xlpm.val="Error"),"",_xlpm.val),_xlpm.Res)</f>
        <v>#NAME?</v>
      </c>
      <c r="AR83" s="1985" t="e" cm="1">
        <f t="array" ca="1" aca="1" ref="AR83">_xlfn.LET(_xlpm.val,IF($F83="",val_blankRefText,_xldudf_CX_GET(CX_ENTITY,$F83,AR$11,AR$14,,(AR$75))),_xlpm.Res,IF(OR(_xlpm.val="",_xlpm.val="Error"),"",_xlpm.val),_xlpm.Res)</f>
        <v>#NAME?</v>
      </c>
      <c r="AS83" s="1985" t="e" cm="1">
        <f t="array" ca="1" aca="1" ref="AS83">_xlfn.LET(_xlpm.val,IF($F83="",val_blankRefText,_xldudf_CX_GET(CX_ENTITY,$F83,AS$11,AS$14,,(AS$75))),_xlpm.Res,IF(OR(_xlpm.val="",_xlpm.val="Error"),"",_xlpm.val),_xlpm.Res)</f>
        <v>#NAME?</v>
      </c>
      <c r="AT83" s="1985" t="e" cm="1">
        <f t="array" ca="1" aca="1" ref="AT83">_xlfn.LET(_xlpm.val,IF($F83="",val_blankRefText,_xldudf_CX_GET(CX_ENTITY,$F83,AT$11,AT$14,,(AT$75))),_xlpm.Res,IF(OR(_xlpm.val="",_xlpm.val="Error"),"",_xlpm.val),_xlpm.Res)</f>
        <v>#NAME?</v>
      </c>
      <c r="AU83" s="1985" t="e" cm="1">
        <f t="array" ca="1" aca="1" ref="AU83">_xlfn.LET(_xlpm.val,IF($F83="",val_blankRefText,_xldudf_CX_GET(CX_ENTITY,$F83,AU$11,AU$14,,(AU$75))),_xlpm.Res,IF(OR(_xlpm.val="",_xlpm.val="Error"),"",_xlpm.val),_xlpm.Res)</f>
        <v>#NAME?</v>
      </c>
      <c r="AV83" s="1985" t="e" cm="1">
        <f t="array" ca="1" aca="1" ref="AV83">_xlfn.LET(_xlpm.val,IF($F83="",val_blankRefText,_xldudf_CX_GET(CX_ENTITY,$F83,AV$11,AV$14,,(AV$75))),_xlpm.Res,IF(OR(_xlpm.val="",_xlpm.val="Error"),"",_xlpm.val),_xlpm.Res)</f>
        <v>#NAME?</v>
      </c>
      <c r="AW83" s="1985" t="e" cm="1">
        <f t="array" ca="1" aca="1" ref="AW83">_xlfn.LET(_xlpm.val,IF($F83="",val_blankRefText,_xldudf_CX_GET(CX_ENTITY,$F83,AW$11,AW$14,,(AW$75))),_xlpm.Res,IF(OR(_xlpm.val="",_xlpm.val="Error"),"",_xlpm.val),_xlpm.Res)</f>
        <v>#NAME?</v>
      </c>
      <c r="AX83" s="1985" t="e" cm="1">
        <f t="array" ca="1" aca="1" ref="AX83">_xlfn.LET(_xlpm.val,IF($F83="",val_blankRefText,_xldudf_CX_GET(CX_ENTITY,$F83,AX$11,AX$14,,(AX$75))),_xlpm.Res,IF(OR(_xlpm.val="",_xlpm.val="Error"),"",_xlpm.val),_xlpm.Res)</f>
        <v>#NAME?</v>
      </c>
      <c r="AY83" s="1985" t="e" cm="1">
        <f t="array" ca="1" aca="1" ref="AY83">_xlfn.LET(_xlpm.val,IF($F83="",val_blankRefText,_xldudf_CX_GET(CX_ENTITY,$F83,AY$11,AY$14,,(AY$75))),_xlpm.Res,IF(OR(_xlpm.val="",_xlpm.val="Error"),"",_xlpm.val),_xlpm.Res)</f>
        <v>#NAME?</v>
      </c>
      <c r="AZ83" s="1985" t="e" cm="1">
        <f t="array" ca="1" aca="1" ref="AZ83">_xlfn.LET(_xlpm.val,IF($F83="",val_blankRefText,_xldudf_CX_GET(CX_ENTITY,$F83,AZ$11,AZ$14,,(AZ$75))),_xlpm.Res,IF(OR(_xlpm.val="",_xlpm.val="Error"),"",_xlpm.val),_xlpm.Res)</f>
        <v>#NAME?</v>
      </c>
      <c r="BA83" s="1985" t="e" cm="1">
        <f t="array" ca="1" aca="1" ref="BA83">_xlfn.LET(_xlpm.val,IF($F83="",val_blankRefText,_xldudf_CX_GET(CX_ENTITY,$F83,BA$11,BA$14,,(BA$75))),_xlpm.Res,IF(OR(_xlpm.val="",_xlpm.val="Error"),"",_xlpm.val),_xlpm.Res)</f>
        <v>#NAME?</v>
      </c>
      <c r="BB83" s="1985" t="e" cm="1">
        <f t="array" ca="1" aca="1" ref="BB83">_xlfn.LET(_xlpm.val,IF($F83="",val_blankRefText,_xldudf_CX_GET(CX_ENTITY,$F83,BB$11,BB$14,,(BB$75))),_xlpm.Res,IF(OR(_xlpm.val="",_xlpm.val="Error"),"",_xlpm.val),_xlpm.Res)</f>
        <v>#NAME?</v>
      </c>
      <c r="BC83" s="1985" t="e" cm="1">
        <f t="array" ca="1" aca="1" ref="BC83">_xlfn.LET(_xlpm.val,IF($F83="",val_blankRefText,_xldudf_CX_GET(CX_ENTITY,$F83,BC$11,BC$14,,(BC$75))),_xlpm.Res,IF(OR(_xlpm.val="",_xlpm.val="Error"),"",_xlpm.val),_xlpm.Res)</f>
        <v>#NAME?</v>
      </c>
      <c r="BD83" s="1985" t="e" cm="1">
        <f t="array" ca="1" aca="1" ref="BD83">_xlfn.LET(_xlpm.val,IF($F83="",val_blankRefText,_xldudf_CX_GET(CX_ENTITY,$F83,BD$11,BD$14,,(BD$75))),_xlpm.Res,IF(OR(_xlpm.val="",_xlpm.val="Error"),"",_xlpm.val),_xlpm.Res)</f>
        <v>#NAME?</v>
      </c>
      <c r="BE83" s="1985" t="e" cm="1">
        <f t="array" ca="1" aca="1" ref="BE83">_xlfn.LET(_xlpm.val,IF($F83="",val_blankRefText,_xldudf_CX_GET(CX_ENTITY,$F83,BE$11,BE$14,,(BE$75))),_xlpm.Res,IF(OR(_xlpm.val="",_xlpm.val="Error"),"",_xlpm.val),_xlpm.Res)</f>
        <v>#NAME?</v>
      </c>
      <c r="BF83" s="1985" t="e" cm="1">
        <f t="array" ca="1" aca="1" ref="BF83">_xlfn.LET(_xlpm.val,IF($F83="",val_blankRefText,_xldudf_CX_GET(CX_ENTITY,$F83,BF$11,BF$14,,(BF$75))),_xlpm.Res,IF(OR(_xlpm.val="",_xlpm.val="Error"),"",_xlpm.val),_xlpm.Res)</f>
        <v>#NAME?</v>
      </c>
      <c r="BG83" s="1985" t="e" cm="1">
        <f t="array" ca="1" aca="1" ref="BG83">_xlfn.LET(_xlpm.val,IF($F83="",val_blankRefText,_xldudf_CX_GET(CX_ENTITY,$F83,BG$11,BG$14,,(BG$75))),_xlpm.Res,IF(OR(_xlpm.val="",_xlpm.val="Error"),"",_xlpm.val),_xlpm.Res)</f>
        <v>#NAME?</v>
      </c>
      <c r="BH83" s="1985" t="e" cm="1">
        <f t="array" ca="1" aca="1" ref="BH83">_xlfn.LET(_xlpm.val,IF($F83="",val_blankRefText,_xldudf_CX_GET(CX_ENTITY,$F83,BH$11,BH$14,,(BH$75))),_xlpm.Res,IF(OR(_xlpm.val="",_xlpm.val="Error"),"",_xlpm.val),_xlpm.Res)</f>
        <v>#NAME?</v>
      </c>
      <c r="BI83" s="1985" t="e" cm="1">
        <f t="array" ca="1" aca="1" ref="BI83">_xlfn.LET(_xlpm.val,IF($F83="",val_blankRefText,_xldudf_CX_GET(CX_ENTITY,$F83,BI$11,BI$14,,(BI$75))),_xlpm.Res,IF(OR(_xlpm.val="",_xlpm.val="Error"),"",_xlpm.val),_xlpm.Res)</f>
        <v>#NAME?</v>
      </c>
      <c r="BJ83" s="1985" t="e" cm="1">
        <f t="array" ca="1" aca="1" ref="BJ83">_xlfn.LET(_xlpm.val,IF($F83="",val_blankRefText,_xldudf_CX_GET(CX_ENTITY,$F83,BJ$11,BJ$14,,(BJ$75))),_xlpm.Res,IF(OR(_xlpm.val="",_xlpm.val="Error"),"",_xlpm.val),_xlpm.Res)</f>
        <v>#NAME?</v>
      </c>
      <c r="BK83" s="1985" t="e" cm="1">
        <f t="array" ca="1" aca="1" ref="BK83">_xlfn.LET(_xlpm.val,IF($F83="",val_blankRefText,_xldudf_CX_GET(CX_ENTITY,$F83,BK$11,BK$14,,(BK$75))),_xlpm.Res,IF(OR(_xlpm.val="",_xlpm.val="Error"),"",_xlpm.val),_xlpm.Res)</f>
        <v>#NAME?</v>
      </c>
      <c r="BL83" s="1985" t="e" cm="1">
        <f t="array" ca="1" aca="1" ref="BL83">_xlfn.LET(_xlpm.val,IF($F83="",val_blankRefText,_xldudf_CX_GET(CX_ENTITY,$F83,BL$11,BL$14,,(BL$75))),_xlpm.Res,IF(OR(_xlpm.val="",_xlpm.val="Error"),"",_xlpm.val),_xlpm.Res)</f>
        <v>#NAME?</v>
      </c>
      <c r="BM83" s="1985" t="e" cm="1">
        <f t="array" ca="1" aca="1" ref="BM83">_xlfn.LET(_xlpm.val,IF($F83="",val_blankRefText,_xldudf_CX_GET(CX_ENTITY,$F83,BM$11,BM$14,,(BM$75))),_xlpm.Res,IF(OR(_xlpm.val="",_xlpm.val="Error"),"",_xlpm.val),_xlpm.Res)</f>
        <v>#NAME?</v>
      </c>
      <c r="BN83" s="1985" t="e" cm="1">
        <f t="array" ca="1" aca="1" ref="BN83">_xlfn.LET(_xlpm.val,IF($F83="",val_blankRefText,_xldudf_CX_GET(CX_ENTITY,$F83,BN$11,BN$14,,(BN$75))),_xlpm.Res,IF(OR(_xlpm.val="",_xlpm.val="Error"),"",_xlpm.val),_xlpm.Res)</f>
        <v>#NAME?</v>
      </c>
      <c r="BO83" s="2101"/>
      <c r="BP83" s="2101"/>
      <c r="BQ83" s="2101"/>
      <c r="BR83" s="2101"/>
      <c r="BS83" s="2101"/>
      <c r="BT83" s="2101"/>
      <c r="BU83" s="2101"/>
      <c r="BV83" s="2101"/>
      <c r="BW83" s="2101"/>
      <c r="BX83" s="2101"/>
      <c r="BY83" s="2101"/>
      <c r="BZ83" s="2101"/>
      <c r="CA83" s="34"/>
      <c r="CC83" s="33"/>
      <c r="CD83" s="1461" t="e" cm="1">
        <f t="array" ca="1" aca="1" ref="CD83">_xlfn.LET(_xlpm.CheckBlank,SUM(PL!$AD83:$BN83)=0,IF(_xlpm.CheckBlank,"",SUM(_xlfn._xlws.FILTER(PL!$AD83:$BN83,(YEAR(PL!$AD$12:$BN$12)=PL!CD$12)*(array_timeline&lt;=PL!CD$11)))))</f>
        <v>#NAME?</v>
      </c>
      <c r="CE83" s="1461" t="e" cm="1">
        <f t="array" ca="1" aca="1" ref="CE83">_xlfn.LET(_xlpm.CheckBlank,SUM(PL!$AD83:$BN83)=0,IF(_xlpm.CheckBlank,"",SUM(_xlfn._xlws.FILTER(PL!$AD83:$BN83,(YEAR(PL!$AD$12:$BN$12)=PL!CE$12)*(array_timeline&lt;=PL!CE$11)))))</f>
        <v>#NAME?</v>
      </c>
      <c r="CF83" s="88"/>
      <c r="CG83" s="1461" t="e" cm="1">
        <f t="array" ca="1" aca="1" ref="CG83">_xlfn.LET(_xlpm.CheckBlank,SUM(PL!$AD83:$BN83)=0,IF(_xlpm.CheckBlank,"",SUM(_xlfn._xlws.FILTER(PL!$AD83:$BN83,(YEAR(PL!$AD$12:$BN$12)=PL!CG$12)*(array_timeline&lt;=PL!CG$11)))))</f>
        <v>#NAME?</v>
      </c>
      <c r="CH83" s="1461" t="e" cm="1">
        <f t="array" ca="1" aca="1" ref="CH83">_xlfn.LET(_xlpm.CheckBlank,SUM(PL!$AD83:$BN83)=0,IF(_xlpm.CheckBlank,"",SUM(_xlfn._xlws.FILTER(PL!$AD83:$BN83,(YEAR(PL!$AD$12:$BN$12)=PL!CH$12)*(array_timeline&lt;=PL!CH$11)))))</f>
        <v>#NAME?</v>
      </c>
      <c r="CI83" s="88"/>
      <c r="CJ83" s="1461" cm="1">
        <f t="array" ref="CJ83">_xlfn.LET(_xlpm.CheckBlank,SUM(PL!$AD83:$BN83)=0,IF(_xlpm.CheckBlank,"",SUM(_xlfn.TAKE(_xlfn.DROP(PL!$AD83:$BN83,,-DATEDIFF(PL!CJ$11,val_asOfDate,"M")),1,-12))))</f>
        <v>12</v>
      </c>
      <c r="CK83" s="1461" cm="1">
        <f t="array" ref="CK83">_xlfn.LET(_xlpm.CheckBlank,SUM(PL!$AD83:$BN83)=0,IF(_xlpm.CheckBlank,"",SUM(_xlfn.TAKE(_xlfn.DROP(PL!$AD83:$BN83,,-DATEDIFF(PL!CK$11,val_asOfDate,"M")),1,-12))))</f>
        <v>12</v>
      </c>
      <c r="CL83" s="88"/>
      <c r="CM83" s="1168" t="e">
        <f t="shared" ca="1" si="21"/>
        <v>#NAME?</v>
      </c>
      <c r="CN83" s="1168" t="e">
        <f t="shared" ca="1" si="21"/>
        <v>#NAME?</v>
      </c>
      <c r="CO83" s="1169"/>
      <c r="CP83" s="1168" t="e">
        <f t="shared" ca="1" si="22"/>
        <v>#NAME?</v>
      </c>
      <c r="CQ83" s="1168" t="e">
        <f t="shared" ca="1" si="22"/>
        <v>#NAME?</v>
      </c>
      <c r="CR83" s="34"/>
    </row>
    <row r="84" spans="1:96" ht="21" customHeight="1" outlineLevel="1">
      <c r="A84" s="1322"/>
      <c r="B84" s="2126"/>
      <c r="C84" s="577" t="s">
        <v>1538</v>
      </c>
      <c r="D84" s="574"/>
      <c r="E84" s="577" t="e" cm="1">
        <f t="array" ca="1" aca="1" ref="E84">_xlfn.LET(_xlpm.Attr,$C84,_xlpm.Lookback,$E$16,_xlpm.QueryDate,EOMONTH(val_asOfDate,_xlpm.Lookback),_xlpm.ReadField,_xldudf_CX_GET(CX_ENTITY,fx_attrConverter($C84),_xlpm.QueryDate),_xlpm.AttrBlank,_xlpm.Attr="",_xlpm.RESULT,IF(_xlpm.AttrBlank,val_blankRefText,fx_attrConverter(_xlpm.ReadField,0)),IF(_xlpm.RESULT="Error","",_xlpm.RESULT))</f>
        <v>#NAME?</v>
      </c>
      <c r="F84" s="577" t="e">
        <f t="shared" ca="1" si="27"/>
        <v>#NAME?</v>
      </c>
      <c r="G84" s="577" t="s">
        <v>1598</v>
      </c>
      <c r="H84" s="585">
        <v>0</v>
      </c>
      <c r="I84" s="3280">
        <v>1</v>
      </c>
      <c r="J84" s="586"/>
      <c r="K84" s="586"/>
      <c r="L84" s="579" t="b">
        <v>0</v>
      </c>
      <c r="N84" s="158"/>
      <c r="O84" s="101"/>
      <c r="P84" s="52"/>
      <c r="Q84" s="101"/>
      <c r="R84" s="101"/>
      <c r="S84" s="101"/>
      <c r="T84" s="101"/>
      <c r="U84" s="39"/>
      <c r="W84" s="91" t="str">
        <f t="shared" si="18"/>
        <v>Budget</v>
      </c>
      <c r="X84" s="884" t="s">
        <v>62</v>
      </c>
      <c r="Y84" s="1134" t="e">
        <f t="shared" ca="1" si="19"/>
        <v>#NAME?</v>
      </c>
      <c r="Z84" s="198" cm="1">
        <f t="array" ref="Z84">_xlfn.SWITCH(TRUE,ISBLANK(_PL!$L84),"",_PL!$L84=TRUE,1,_PL!$L84=FALSE,-1,_PL!$L84=-1,0,"n/a")</f>
        <v>-1</v>
      </c>
      <c r="AA84" s="200"/>
      <c r="AB84" s="1134" t="e">
        <f t="shared" ca="1" si="20"/>
        <v>#NAME?</v>
      </c>
      <c r="AC84" s="125" t="str" cm="1">
        <f t="array" ca="1" aca="1" ref="AC84">_xlfn.LET(_xlpm.Def,IF(_xlfn.XMATCH(AB84,tbl_acctDef[Term],0)&gt;0,fx_getIcon("find"),""),_xlpm.Adj,IF(_xlfn.XMATCH(AB84,tbl_adjExample[Items],0)&gt;0,fx_getIcon("find"),""),IFERROR(IFBLANK(_xlpm.Def,_xlpm.Adj),""))</f>
        <v/>
      </c>
      <c r="AD84" s="1985" t="e" cm="1">
        <f t="array" ca="1" aca="1" ref="AD84">_xlfn.LET(_xlpm.val,IF($F84="",val_blankRefText,_xldudf_CX_GET(CX_ENTITY,$F84,AD$11,AD$14,,(AD$75))),_xlpm.Res,IF(OR(_xlpm.val="",_xlpm.val="Error"),"",_xlpm.val),_xlpm.Res)</f>
        <v>#NAME?</v>
      </c>
      <c r="AE84" s="1985" t="e" cm="1">
        <f t="array" ca="1" aca="1" ref="AE84">_xlfn.LET(_xlpm.val,IF($F84="",val_blankRefText,_xldudf_CX_GET(CX_ENTITY,$F84,AE$11,AE$14,,(AE$75))),_xlpm.Res,IF(OR(_xlpm.val="",_xlpm.val="Error"),"",_xlpm.val),_xlpm.Res)</f>
        <v>#NAME?</v>
      </c>
      <c r="AF84" s="1985" t="e" cm="1">
        <f t="array" ca="1" aca="1" ref="AF84">_xlfn.LET(_xlpm.val,IF($F84="",val_blankRefText,_xldudf_CX_GET(CX_ENTITY,$F84,AF$11,AF$14,,(AF$75))),_xlpm.Res,IF(OR(_xlpm.val="",_xlpm.val="Error"),"",_xlpm.val),_xlpm.Res)</f>
        <v>#NAME?</v>
      </c>
      <c r="AG84" s="1985" t="e" cm="1">
        <f t="array" ca="1" aca="1" ref="AG84">_xlfn.LET(_xlpm.val,IF($F84="",val_blankRefText,_xldudf_CX_GET(CX_ENTITY,$F84,AG$11,AG$14,,(AG$75))),_xlpm.Res,IF(OR(_xlpm.val="",_xlpm.val="Error"),"",_xlpm.val),_xlpm.Res)</f>
        <v>#NAME?</v>
      </c>
      <c r="AH84" s="1985" t="e" cm="1">
        <f t="array" ca="1" aca="1" ref="AH84">_xlfn.LET(_xlpm.val,IF($F84="",val_blankRefText,_xldudf_CX_GET(CX_ENTITY,$F84,AH$11,AH$14,,(AH$75))),_xlpm.Res,IF(OR(_xlpm.val="",_xlpm.val="Error"),"",_xlpm.val),_xlpm.Res)</f>
        <v>#NAME?</v>
      </c>
      <c r="AI84" s="1985" t="e" cm="1">
        <f t="array" ca="1" aca="1" ref="AI84">_xlfn.LET(_xlpm.val,IF($F84="",val_blankRefText,_xldudf_CX_GET(CX_ENTITY,$F84,AI$11,AI$14,,(AI$75))),_xlpm.Res,IF(OR(_xlpm.val="",_xlpm.val="Error"),"",_xlpm.val),_xlpm.Res)</f>
        <v>#NAME?</v>
      </c>
      <c r="AJ84" s="1985" t="e" cm="1">
        <f t="array" ca="1" aca="1" ref="AJ84">_xlfn.LET(_xlpm.val,IF($F84="",val_blankRefText,_xldudf_CX_GET(CX_ENTITY,$F84,AJ$11,AJ$14,,(AJ$75))),_xlpm.Res,IF(OR(_xlpm.val="",_xlpm.val="Error"),"",_xlpm.val),_xlpm.Res)</f>
        <v>#NAME?</v>
      </c>
      <c r="AK84" s="1985" t="e" cm="1">
        <f t="array" ca="1" aca="1" ref="AK84">_xlfn.LET(_xlpm.val,IF($F84="",val_blankRefText,_xldudf_CX_GET(CX_ENTITY,$F84,AK$11,AK$14,,(AK$75))),_xlpm.Res,IF(OR(_xlpm.val="",_xlpm.val="Error"),"",_xlpm.val),_xlpm.Res)</f>
        <v>#NAME?</v>
      </c>
      <c r="AL84" s="1985" t="e" cm="1">
        <f t="array" ca="1" aca="1" ref="AL84">_xlfn.LET(_xlpm.val,IF($F84="",val_blankRefText,_xldudf_CX_GET(CX_ENTITY,$F84,AL$11,AL$14,,(AL$75))),_xlpm.Res,IF(OR(_xlpm.val="",_xlpm.val="Error"),"",_xlpm.val),_xlpm.Res)</f>
        <v>#NAME?</v>
      </c>
      <c r="AM84" s="1985" t="e" cm="1">
        <f t="array" ca="1" aca="1" ref="AM84">_xlfn.LET(_xlpm.val,IF($F84="",val_blankRefText,_xldudf_CX_GET(CX_ENTITY,$F84,AM$11,AM$14,,(AM$75))),_xlpm.Res,IF(OR(_xlpm.val="",_xlpm.val="Error"),"",_xlpm.val),_xlpm.Res)</f>
        <v>#NAME?</v>
      </c>
      <c r="AN84" s="1985" t="e" cm="1">
        <f t="array" ca="1" aca="1" ref="AN84">_xlfn.LET(_xlpm.val,IF($F84="",val_blankRefText,_xldudf_CX_GET(CX_ENTITY,$F84,AN$11,AN$14,,(AN$75))),_xlpm.Res,IF(OR(_xlpm.val="",_xlpm.val="Error"),"",_xlpm.val),_xlpm.Res)</f>
        <v>#NAME?</v>
      </c>
      <c r="AO84" s="1985" t="e" cm="1">
        <f t="array" ca="1" aca="1" ref="AO84">_xlfn.LET(_xlpm.val,IF($F84="",val_blankRefText,_xldudf_CX_GET(CX_ENTITY,$F84,AO$11,AO$14,,(AO$75))),_xlpm.Res,IF(OR(_xlpm.val="",_xlpm.val="Error"),"",_xlpm.val),_xlpm.Res)</f>
        <v>#NAME?</v>
      </c>
      <c r="AP84" s="1985" t="e" cm="1">
        <f t="array" ca="1" aca="1" ref="AP84">_xlfn.LET(_xlpm.val,IF($F84="",val_blankRefText,_xldudf_CX_GET(CX_ENTITY,$F84,AP$11,AP$14,,(AP$75))),_xlpm.Res,IF(OR(_xlpm.val="",_xlpm.val="Error"),"",_xlpm.val),_xlpm.Res)</f>
        <v>#NAME?</v>
      </c>
      <c r="AQ84" s="1985" t="e" cm="1">
        <f t="array" ca="1" aca="1" ref="AQ84">_xlfn.LET(_xlpm.val,IF($F84="",val_blankRefText,_xldudf_CX_GET(CX_ENTITY,$F84,AQ$11,AQ$14,,(AQ$75))),_xlpm.Res,IF(OR(_xlpm.val="",_xlpm.val="Error"),"",_xlpm.val),_xlpm.Res)</f>
        <v>#NAME?</v>
      </c>
      <c r="AR84" s="1985" t="e" cm="1">
        <f t="array" ca="1" aca="1" ref="AR84">_xlfn.LET(_xlpm.val,IF($F84="",val_blankRefText,_xldudf_CX_GET(CX_ENTITY,$F84,AR$11,AR$14,,(AR$75))),_xlpm.Res,IF(OR(_xlpm.val="",_xlpm.val="Error"),"",_xlpm.val),_xlpm.Res)</f>
        <v>#NAME?</v>
      </c>
      <c r="AS84" s="1985" t="e" cm="1">
        <f t="array" ca="1" aca="1" ref="AS84">_xlfn.LET(_xlpm.val,IF($F84="",val_blankRefText,_xldudf_CX_GET(CX_ENTITY,$F84,AS$11,AS$14,,(AS$75))),_xlpm.Res,IF(OR(_xlpm.val="",_xlpm.val="Error"),"",_xlpm.val),_xlpm.Res)</f>
        <v>#NAME?</v>
      </c>
      <c r="AT84" s="1985" t="e" cm="1">
        <f t="array" ca="1" aca="1" ref="AT84">_xlfn.LET(_xlpm.val,IF($F84="",val_blankRefText,_xldudf_CX_GET(CX_ENTITY,$F84,AT$11,AT$14,,(AT$75))),_xlpm.Res,IF(OR(_xlpm.val="",_xlpm.val="Error"),"",_xlpm.val),_xlpm.Res)</f>
        <v>#NAME?</v>
      </c>
      <c r="AU84" s="1985" t="e" cm="1">
        <f t="array" ca="1" aca="1" ref="AU84">_xlfn.LET(_xlpm.val,IF($F84="",val_blankRefText,_xldudf_CX_GET(CX_ENTITY,$F84,AU$11,AU$14,,(AU$75))),_xlpm.Res,IF(OR(_xlpm.val="",_xlpm.val="Error"),"",_xlpm.val),_xlpm.Res)</f>
        <v>#NAME?</v>
      </c>
      <c r="AV84" s="1985" t="e" cm="1">
        <f t="array" ca="1" aca="1" ref="AV84">_xlfn.LET(_xlpm.val,IF($F84="",val_blankRefText,_xldudf_CX_GET(CX_ENTITY,$F84,AV$11,AV$14,,(AV$75))),_xlpm.Res,IF(OR(_xlpm.val="",_xlpm.val="Error"),"",_xlpm.val),_xlpm.Res)</f>
        <v>#NAME?</v>
      </c>
      <c r="AW84" s="1985" t="e" cm="1">
        <f t="array" ca="1" aca="1" ref="AW84">_xlfn.LET(_xlpm.val,IF($F84="",val_blankRefText,_xldudf_CX_GET(CX_ENTITY,$F84,AW$11,AW$14,,(AW$75))),_xlpm.Res,IF(OR(_xlpm.val="",_xlpm.val="Error"),"",_xlpm.val),_xlpm.Res)</f>
        <v>#NAME?</v>
      </c>
      <c r="AX84" s="1985" t="e" cm="1">
        <f t="array" ca="1" aca="1" ref="AX84">_xlfn.LET(_xlpm.val,IF($F84="",val_blankRefText,_xldudf_CX_GET(CX_ENTITY,$F84,AX$11,AX$14,,(AX$75))),_xlpm.Res,IF(OR(_xlpm.val="",_xlpm.val="Error"),"",_xlpm.val),_xlpm.Res)</f>
        <v>#NAME?</v>
      </c>
      <c r="AY84" s="1985" t="e" cm="1">
        <f t="array" ca="1" aca="1" ref="AY84">_xlfn.LET(_xlpm.val,IF($F84="",val_blankRefText,_xldudf_CX_GET(CX_ENTITY,$F84,AY$11,AY$14,,(AY$75))),_xlpm.Res,IF(OR(_xlpm.val="",_xlpm.val="Error"),"",_xlpm.val),_xlpm.Res)</f>
        <v>#NAME?</v>
      </c>
      <c r="AZ84" s="1985" t="e" cm="1">
        <f t="array" ca="1" aca="1" ref="AZ84">_xlfn.LET(_xlpm.val,IF($F84="",val_blankRefText,_xldudf_CX_GET(CX_ENTITY,$F84,AZ$11,AZ$14,,(AZ$75))),_xlpm.Res,IF(OR(_xlpm.val="",_xlpm.val="Error"),"",_xlpm.val),_xlpm.Res)</f>
        <v>#NAME?</v>
      </c>
      <c r="BA84" s="1985" t="e" cm="1">
        <f t="array" ca="1" aca="1" ref="BA84">_xlfn.LET(_xlpm.val,IF($F84="",val_blankRefText,_xldudf_CX_GET(CX_ENTITY,$F84,BA$11,BA$14,,(BA$75))),_xlpm.Res,IF(OR(_xlpm.val="",_xlpm.val="Error"),"",_xlpm.val),_xlpm.Res)</f>
        <v>#NAME?</v>
      </c>
      <c r="BB84" s="1985" t="e" cm="1">
        <f t="array" ca="1" aca="1" ref="BB84">_xlfn.LET(_xlpm.val,IF($F84="",val_blankRefText,_xldudf_CX_GET(CX_ENTITY,$F84,BB$11,BB$14,,(BB$75))),_xlpm.Res,IF(OR(_xlpm.val="",_xlpm.val="Error"),"",_xlpm.val),_xlpm.Res)</f>
        <v>#NAME?</v>
      </c>
      <c r="BC84" s="1985" t="e" cm="1">
        <f t="array" ca="1" aca="1" ref="BC84">_xlfn.LET(_xlpm.val,IF($F84="",val_blankRefText,_xldudf_CX_GET(CX_ENTITY,$F84,BC$11,BC$14,,(BC$75))),_xlpm.Res,IF(OR(_xlpm.val="",_xlpm.val="Error"),"",_xlpm.val),_xlpm.Res)</f>
        <v>#NAME?</v>
      </c>
      <c r="BD84" s="1985" t="e" cm="1">
        <f t="array" ca="1" aca="1" ref="BD84">_xlfn.LET(_xlpm.val,IF($F84="",val_blankRefText,_xldudf_CX_GET(CX_ENTITY,$F84,BD$11,BD$14,,(BD$75))),_xlpm.Res,IF(OR(_xlpm.val="",_xlpm.val="Error"),"",_xlpm.val),_xlpm.Res)</f>
        <v>#NAME?</v>
      </c>
      <c r="BE84" s="1985" t="e" cm="1">
        <f t="array" ca="1" aca="1" ref="BE84">_xlfn.LET(_xlpm.val,IF($F84="",val_blankRefText,_xldudf_CX_GET(CX_ENTITY,$F84,BE$11,BE$14,,(BE$75))),_xlpm.Res,IF(OR(_xlpm.val="",_xlpm.val="Error"),"",_xlpm.val),_xlpm.Res)</f>
        <v>#NAME?</v>
      </c>
      <c r="BF84" s="1985" t="e" cm="1">
        <f t="array" ca="1" aca="1" ref="BF84">_xlfn.LET(_xlpm.val,IF($F84="",val_blankRefText,_xldudf_CX_GET(CX_ENTITY,$F84,BF$11,BF$14,,(BF$75))),_xlpm.Res,IF(OR(_xlpm.val="",_xlpm.val="Error"),"",_xlpm.val),_xlpm.Res)</f>
        <v>#NAME?</v>
      </c>
      <c r="BG84" s="1985" t="e" cm="1">
        <f t="array" ca="1" aca="1" ref="BG84">_xlfn.LET(_xlpm.val,IF($F84="",val_blankRefText,_xldudf_CX_GET(CX_ENTITY,$F84,BG$11,BG$14,,(BG$75))),_xlpm.Res,IF(OR(_xlpm.val="",_xlpm.val="Error"),"",_xlpm.val),_xlpm.Res)</f>
        <v>#NAME?</v>
      </c>
      <c r="BH84" s="1985" t="e" cm="1">
        <f t="array" ca="1" aca="1" ref="BH84">_xlfn.LET(_xlpm.val,IF($F84="",val_blankRefText,_xldudf_CX_GET(CX_ENTITY,$F84,BH$11,BH$14,,(BH$75))),_xlpm.Res,IF(OR(_xlpm.val="",_xlpm.val="Error"),"",_xlpm.val),_xlpm.Res)</f>
        <v>#NAME?</v>
      </c>
      <c r="BI84" s="1985" t="e" cm="1">
        <f t="array" ca="1" aca="1" ref="BI84">_xlfn.LET(_xlpm.val,IF($F84="",val_blankRefText,_xldudf_CX_GET(CX_ENTITY,$F84,BI$11,BI$14,,(BI$75))),_xlpm.Res,IF(OR(_xlpm.val="",_xlpm.val="Error"),"",_xlpm.val),_xlpm.Res)</f>
        <v>#NAME?</v>
      </c>
      <c r="BJ84" s="1985" t="e" cm="1">
        <f t="array" ca="1" aca="1" ref="BJ84">_xlfn.LET(_xlpm.val,IF($F84="",val_blankRefText,_xldudf_CX_GET(CX_ENTITY,$F84,BJ$11,BJ$14,,(BJ$75))),_xlpm.Res,IF(OR(_xlpm.val="",_xlpm.val="Error"),"",_xlpm.val),_xlpm.Res)</f>
        <v>#NAME?</v>
      </c>
      <c r="BK84" s="1985" t="e" cm="1">
        <f t="array" ca="1" aca="1" ref="BK84">_xlfn.LET(_xlpm.val,IF($F84="",val_blankRefText,_xldudf_CX_GET(CX_ENTITY,$F84,BK$11,BK$14,,(BK$75))),_xlpm.Res,IF(OR(_xlpm.val="",_xlpm.val="Error"),"",_xlpm.val),_xlpm.Res)</f>
        <v>#NAME?</v>
      </c>
      <c r="BL84" s="1985" t="e" cm="1">
        <f t="array" ca="1" aca="1" ref="BL84">_xlfn.LET(_xlpm.val,IF($F84="",val_blankRefText,_xldudf_CX_GET(CX_ENTITY,$F84,BL$11,BL$14,,(BL$75))),_xlpm.Res,IF(OR(_xlpm.val="",_xlpm.val="Error"),"",_xlpm.val),_xlpm.Res)</f>
        <v>#NAME?</v>
      </c>
      <c r="BM84" s="1985" t="e" cm="1">
        <f t="array" ca="1" aca="1" ref="BM84">_xlfn.LET(_xlpm.val,IF($F84="",val_blankRefText,_xldudf_CX_GET(CX_ENTITY,$F84,BM$11,BM$14,,(BM$75))),_xlpm.Res,IF(OR(_xlpm.val="",_xlpm.val="Error"),"",_xlpm.val),_xlpm.Res)</f>
        <v>#NAME?</v>
      </c>
      <c r="BN84" s="1985" t="e" cm="1">
        <f t="array" ca="1" aca="1" ref="BN84">_xlfn.LET(_xlpm.val,IF($F84="",val_blankRefText,_xldudf_CX_GET(CX_ENTITY,$F84,BN$11,BN$14,,(BN$75))),_xlpm.Res,IF(OR(_xlpm.val="",_xlpm.val="Error"),"",_xlpm.val),_xlpm.Res)</f>
        <v>#NAME?</v>
      </c>
      <c r="BO84" s="2101"/>
      <c r="BP84" s="2101"/>
      <c r="BQ84" s="2101"/>
      <c r="BR84" s="2101"/>
      <c r="BS84" s="2101"/>
      <c r="BT84" s="2101"/>
      <c r="BU84" s="2101"/>
      <c r="BV84" s="2101"/>
      <c r="BW84" s="2101"/>
      <c r="BX84" s="2101"/>
      <c r="BY84" s="2101"/>
      <c r="BZ84" s="2101"/>
      <c r="CA84" s="34"/>
      <c r="CC84" s="33"/>
      <c r="CD84" s="1461" t="e" cm="1">
        <f t="array" ca="1" aca="1" ref="CD84">_xlfn.LET(_xlpm.CheckBlank,SUM(PL!$AD84:$BN84)=0,IF(_xlpm.CheckBlank,"",SUM(_xlfn._xlws.FILTER(PL!$AD84:$BN84,(YEAR(PL!$AD$12:$BN$12)=PL!CD$12)*(array_timeline&lt;=PL!CD$11)))))</f>
        <v>#NAME?</v>
      </c>
      <c r="CE84" s="1461" t="e" cm="1">
        <f t="array" ca="1" aca="1" ref="CE84">_xlfn.LET(_xlpm.CheckBlank,SUM(PL!$AD84:$BN84)=0,IF(_xlpm.CheckBlank,"",SUM(_xlfn._xlws.FILTER(PL!$AD84:$BN84,(YEAR(PL!$AD$12:$BN$12)=PL!CE$12)*(array_timeline&lt;=PL!CE$11)))))</f>
        <v>#NAME?</v>
      </c>
      <c r="CF84" s="88"/>
      <c r="CG84" s="1461" t="e" cm="1">
        <f t="array" ca="1" aca="1" ref="CG84">_xlfn.LET(_xlpm.CheckBlank,SUM(PL!$AD84:$BN84)=0,IF(_xlpm.CheckBlank,"",SUM(_xlfn._xlws.FILTER(PL!$AD84:$BN84,(YEAR(PL!$AD$12:$BN$12)=PL!CG$12)*(array_timeline&lt;=PL!CG$11)))))</f>
        <v>#NAME?</v>
      </c>
      <c r="CH84" s="1461" t="e" cm="1">
        <f t="array" ca="1" aca="1" ref="CH84">_xlfn.LET(_xlpm.CheckBlank,SUM(PL!$AD84:$BN84)=0,IF(_xlpm.CheckBlank,"",SUM(_xlfn._xlws.FILTER(PL!$AD84:$BN84,(YEAR(PL!$AD$12:$BN$12)=PL!CH$12)*(array_timeline&lt;=PL!CH$11)))))</f>
        <v>#NAME?</v>
      </c>
      <c r="CI84" s="88"/>
      <c r="CJ84" s="1461" cm="1">
        <f t="array" ref="CJ84">_xlfn.LET(_xlpm.CheckBlank,SUM(PL!$AD84:$BN84)=0,IF(_xlpm.CheckBlank,"",SUM(_xlfn.TAKE(_xlfn.DROP(PL!$AD84:$BN84,,-DATEDIFF(PL!CJ$11,val_asOfDate,"M")),1,-12))))</f>
        <v>12</v>
      </c>
      <c r="CK84" s="1461" cm="1">
        <f t="array" ref="CK84">_xlfn.LET(_xlpm.CheckBlank,SUM(PL!$AD84:$BN84)=0,IF(_xlpm.CheckBlank,"",SUM(_xlfn.TAKE(_xlfn.DROP(PL!$AD84:$BN84,,-DATEDIFF(PL!CK$11,val_asOfDate,"M")),1,-12))))</f>
        <v>12</v>
      </c>
      <c r="CL84" s="88"/>
      <c r="CM84" s="1168" t="e">
        <f t="shared" ca="1" si="21"/>
        <v>#NAME?</v>
      </c>
      <c r="CN84" s="1168" t="e">
        <f t="shared" ca="1" si="21"/>
        <v>#NAME?</v>
      </c>
      <c r="CO84" s="1169"/>
      <c r="CP84" s="1168" t="e">
        <f t="shared" ca="1" si="22"/>
        <v>#NAME?</v>
      </c>
      <c r="CQ84" s="1168" t="e">
        <f t="shared" ca="1" si="22"/>
        <v>#NAME?</v>
      </c>
      <c r="CR84" s="34"/>
    </row>
    <row r="85" spans="1:96" ht="21" customHeight="1" outlineLevel="1">
      <c r="A85" s="1322"/>
      <c r="B85" s="2126"/>
      <c r="C85" s="577" t="s">
        <v>1539</v>
      </c>
      <c r="D85" s="577"/>
      <c r="E85" s="577" t="e" cm="1">
        <f t="array" ca="1" aca="1" ref="E85">_xlfn.LET(_xlpm.Attr,$C85,_xlpm.Lookback,$E$16,_xlpm.QueryDate,EOMONTH(val_asOfDate,_xlpm.Lookback),_xlpm.ReadField,_xldudf_CX_GET(CX_ENTITY,fx_attrConverter($C85),_xlpm.QueryDate),_xlpm.AttrBlank,_xlpm.Attr="",_xlpm.RESULT,IF(_xlpm.AttrBlank,val_blankRefText,fx_attrConverter(_xlpm.ReadField,0)),IF(_xlpm.RESULT="Error","",_xlpm.RESULT))</f>
        <v>#NAME?</v>
      </c>
      <c r="F85" s="577" t="e">
        <f t="shared" ca="1" si="27"/>
        <v>#NAME?</v>
      </c>
      <c r="G85" s="577" t="s">
        <v>1598</v>
      </c>
      <c r="H85" s="578">
        <v>0</v>
      </c>
      <c r="I85" s="3279">
        <v>1</v>
      </c>
      <c r="J85" s="578"/>
      <c r="K85" s="578"/>
      <c r="L85" s="579" t="b">
        <v>0</v>
      </c>
      <c r="N85" s="158"/>
      <c r="O85" s="101"/>
      <c r="P85" s="52"/>
      <c r="Q85" s="101"/>
      <c r="R85" s="101"/>
      <c r="S85" s="101"/>
      <c r="T85" s="101"/>
      <c r="U85" s="39"/>
      <c r="W85" s="91" t="str">
        <f t="shared" si="18"/>
        <v>Budget</v>
      </c>
      <c r="X85" s="884" t="s">
        <v>62</v>
      </c>
      <c r="Y85" s="1134" t="e">
        <f t="shared" ca="1" si="19"/>
        <v>#NAME?</v>
      </c>
      <c r="Z85" s="198" cm="1">
        <f t="array" ref="Z85">_xlfn.SWITCH(TRUE,ISBLANK(_PL!$L85),"",_PL!$L85=TRUE,1,_PL!$L85=FALSE,-1,_PL!$L85=-1,0,"n/a")</f>
        <v>-1</v>
      </c>
      <c r="AA85" s="200"/>
      <c r="AB85" s="1134" t="e">
        <f t="shared" ca="1" si="20"/>
        <v>#NAME?</v>
      </c>
      <c r="AC85" s="125" t="str" cm="1">
        <f t="array" ca="1" aca="1" ref="AC85">_xlfn.LET(_xlpm.Def,IF(_xlfn.XMATCH(AB85,tbl_acctDef[Term],0)&gt;0,fx_getIcon("find"),""),_xlpm.Adj,IF(_xlfn.XMATCH(AB85,tbl_adjExample[Items],0)&gt;0,fx_getIcon("find"),""),IFERROR(IFBLANK(_xlpm.Def,_xlpm.Adj),""))</f>
        <v/>
      </c>
      <c r="AD85" s="1985" t="e" cm="1">
        <f t="array" ca="1" aca="1" ref="AD85">_xlfn.LET(_xlpm.val,IF($F85="",val_blankRefText,_xldudf_CX_GET(CX_ENTITY,$F85,AD$11,AD$14,,(AD$75))),_xlpm.Res,IF(OR(_xlpm.val="",_xlpm.val="Error"),"",_xlpm.val),_xlpm.Res)</f>
        <v>#NAME?</v>
      </c>
      <c r="AE85" s="1985" t="e" cm="1">
        <f t="array" ca="1" aca="1" ref="AE85">_xlfn.LET(_xlpm.val,IF($F85="",val_blankRefText,_xldudf_CX_GET(CX_ENTITY,$F85,AE$11,AE$14,,(AE$75))),_xlpm.Res,IF(OR(_xlpm.val="",_xlpm.val="Error"),"",_xlpm.val),_xlpm.Res)</f>
        <v>#NAME?</v>
      </c>
      <c r="AF85" s="1985" t="e" cm="1">
        <f t="array" ca="1" aca="1" ref="AF85">_xlfn.LET(_xlpm.val,IF($F85="",val_blankRefText,_xldudf_CX_GET(CX_ENTITY,$F85,AF$11,AF$14,,(AF$75))),_xlpm.Res,IF(OR(_xlpm.val="",_xlpm.val="Error"),"",_xlpm.val),_xlpm.Res)</f>
        <v>#NAME?</v>
      </c>
      <c r="AG85" s="1985" t="e" cm="1">
        <f t="array" ca="1" aca="1" ref="AG85">_xlfn.LET(_xlpm.val,IF($F85="",val_blankRefText,_xldudf_CX_GET(CX_ENTITY,$F85,AG$11,AG$14,,(AG$75))),_xlpm.Res,IF(OR(_xlpm.val="",_xlpm.val="Error"),"",_xlpm.val),_xlpm.Res)</f>
        <v>#NAME?</v>
      </c>
      <c r="AH85" s="1985" t="e" cm="1">
        <f t="array" ca="1" aca="1" ref="AH85">_xlfn.LET(_xlpm.val,IF($F85="",val_blankRefText,_xldudf_CX_GET(CX_ENTITY,$F85,AH$11,AH$14,,(AH$75))),_xlpm.Res,IF(OR(_xlpm.val="",_xlpm.val="Error"),"",_xlpm.val),_xlpm.Res)</f>
        <v>#NAME?</v>
      </c>
      <c r="AI85" s="1985" t="e" cm="1">
        <f t="array" ca="1" aca="1" ref="AI85">_xlfn.LET(_xlpm.val,IF($F85="",val_blankRefText,_xldudf_CX_GET(CX_ENTITY,$F85,AI$11,AI$14,,(AI$75))),_xlpm.Res,IF(OR(_xlpm.val="",_xlpm.val="Error"),"",_xlpm.val),_xlpm.Res)</f>
        <v>#NAME?</v>
      </c>
      <c r="AJ85" s="1985" t="e" cm="1">
        <f t="array" ca="1" aca="1" ref="AJ85">_xlfn.LET(_xlpm.val,IF($F85="",val_blankRefText,_xldudf_CX_GET(CX_ENTITY,$F85,AJ$11,AJ$14,,(AJ$75))),_xlpm.Res,IF(OR(_xlpm.val="",_xlpm.val="Error"),"",_xlpm.val),_xlpm.Res)</f>
        <v>#NAME?</v>
      </c>
      <c r="AK85" s="1985" t="e" cm="1">
        <f t="array" ca="1" aca="1" ref="AK85">_xlfn.LET(_xlpm.val,IF($F85="",val_blankRefText,_xldudf_CX_GET(CX_ENTITY,$F85,AK$11,AK$14,,(AK$75))),_xlpm.Res,IF(OR(_xlpm.val="",_xlpm.val="Error"),"",_xlpm.val),_xlpm.Res)</f>
        <v>#NAME?</v>
      </c>
      <c r="AL85" s="1985" t="e" cm="1">
        <f t="array" ca="1" aca="1" ref="AL85">_xlfn.LET(_xlpm.val,IF($F85="",val_blankRefText,_xldudf_CX_GET(CX_ENTITY,$F85,AL$11,AL$14,,(AL$75))),_xlpm.Res,IF(OR(_xlpm.val="",_xlpm.val="Error"),"",_xlpm.val),_xlpm.Res)</f>
        <v>#NAME?</v>
      </c>
      <c r="AM85" s="1985" t="e" cm="1">
        <f t="array" ca="1" aca="1" ref="AM85">_xlfn.LET(_xlpm.val,IF($F85="",val_blankRefText,_xldudf_CX_GET(CX_ENTITY,$F85,AM$11,AM$14,,(AM$75))),_xlpm.Res,IF(OR(_xlpm.val="",_xlpm.val="Error"),"",_xlpm.val),_xlpm.Res)</f>
        <v>#NAME?</v>
      </c>
      <c r="AN85" s="1985" t="e" cm="1">
        <f t="array" ca="1" aca="1" ref="AN85">_xlfn.LET(_xlpm.val,IF($F85="",val_blankRefText,_xldudf_CX_GET(CX_ENTITY,$F85,AN$11,AN$14,,(AN$75))),_xlpm.Res,IF(OR(_xlpm.val="",_xlpm.val="Error"),"",_xlpm.val),_xlpm.Res)</f>
        <v>#NAME?</v>
      </c>
      <c r="AO85" s="1985" t="e" cm="1">
        <f t="array" ca="1" aca="1" ref="AO85">_xlfn.LET(_xlpm.val,IF($F85="",val_blankRefText,_xldudf_CX_GET(CX_ENTITY,$F85,AO$11,AO$14,,(AO$75))),_xlpm.Res,IF(OR(_xlpm.val="",_xlpm.val="Error"),"",_xlpm.val),_xlpm.Res)</f>
        <v>#NAME?</v>
      </c>
      <c r="AP85" s="1985" t="e" cm="1">
        <f t="array" ca="1" aca="1" ref="AP85">_xlfn.LET(_xlpm.val,IF($F85="",val_blankRefText,_xldudf_CX_GET(CX_ENTITY,$F85,AP$11,AP$14,,(AP$75))),_xlpm.Res,IF(OR(_xlpm.val="",_xlpm.val="Error"),"",_xlpm.val),_xlpm.Res)</f>
        <v>#NAME?</v>
      </c>
      <c r="AQ85" s="1985" t="e" cm="1">
        <f t="array" ca="1" aca="1" ref="AQ85">_xlfn.LET(_xlpm.val,IF($F85="",val_blankRefText,_xldudf_CX_GET(CX_ENTITY,$F85,AQ$11,AQ$14,,(AQ$75))),_xlpm.Res,IF(OR(_xlpm.val="",_xlpm.val="Error"),"",_xlpm.val),_xlpm.Res)</f>
        <v>#NAME?</v>
      </c>
      <c r="AR85" s="1985" t="e" cm="1">
        <f t="array" ca="1" aca="1" ref="AR85">_xlfn.LET(_xlpm.val,IF($F85="",val_blankRefText,_xldudf_CX_GET(CX_ENTITY,$F85,AR$11,AR$14,,(AR$75))),_xlpm.Res,IF(OR(_xlpm.val="",_xlpm.val="Error"),"",_xlpm.val),_xlpm.Res)</f>
        <v>#NAME?</v>
      </c>
      <c r="AS85" s="1985" t="e" cm="1">
        <f t="array" ca="1" aca="1" ref="AS85">_xlfn.LET(_xlpm.val,IF($F85="",val_blankRefText,_xldudf_CX_GET(CX_ENTITY,$F85,AS$11,AS$14,,(AS$75))),_xlpm.Res,IF(OR(_xlpm.val="",_xlpm.val="Error"),"",_xlpm.val),_xlpm.Res)</f>
        <v>#NAME?</v>
      </c>
      <c r="AT85" s="1985" t="e" cm="1">
        <f t="array" ca="1" aca="1" ref="AT85">_xlfn.LET(_xlpm.val,IF($F85="",val_blankRefText,_xldudf_CX_GET(CX_ENTITY,$F85,AT$11,AT$14,,(AT$75))),_xlpm.Res,IF(OR(_xlpm.val="",_xlpm.val="Error"),"",_xlpm.val),_xlpm.Res)</f>
        <v>#NAME?</v>
      </c>
      <c r="AU85" s="1985" t="e" cm="1">
        <f t="array" ca="1" aca="1" ref="AU85">_xlfn.LET(_xlpm.val,IF($F85="",val_blankRefText,_xldudf_CX_GET(CX_ENTITY,$F85,AU$11,AU$14,,(AU$75))),_xlpm.Res,IF(OR(_xlpm.val="",_xlpm.val="Error"),"",_xlpm.val),_xlpm.Res)</f>
        <v>#NAME?</v>
      </c>
      <c r="AV85" s="1985" t="e" cm="1">
        <f t="array" ca="1" aca="1" ref="AV85">_xlfn.LET(_xlpm.val,IF($F85="",val_blankRefText,_xldudf_CX_GET(CX_ENTITY,$F85,AV$11,AV$14,,(AV$75))),_xlpm.Res,IF(OR(_xlpm.val="",_xlpm.val="Error"),"",_xlpm.val),_xlpm.Res)</f>
        <v>#NAME?</v>
      </c>
      <c r="AW85" s="1985" t="e" cm="1">
        <f t="array" ca="1" aca="1" ref="AW85">_xlfn.LET(_xlpm.val,IF($F85="",val_blankRefText,_xldudf_CX_GET(CX_ENTITY,$F85,AW$11,AW$14,,(AW$75))),_xlpm.Res,IF(OR(_xlpm.val="",_xlpm.val="Error"),"",_xlpm.val),_xlpm.Res)</f>
        <v>#NAME?</v>
      </c>
      <c r="AX85" s="1985" t="e" cm="1">
        <f t="array" ca="1" aca="1" ref="AX85">_xlfn.LET(_xlpm.val,IF($F85="",val_blankRefText,_xldudf_CX_GET(CX_ENTITY,$F85,AX$11,AX$14,,(AX$75))),_xlpm.Res,IF(OR(_xlpm.val="",_xlpm.val="Error"),"",_xlpm.val),_xlpm.Res)</f>
        <v>#NAME?</v>
      </c>
      <c r="AY85" s="1985" t="e" cm="1">
        <f t="array" ca="1" aca="1" ref="AY85">_xlfn.LET(_xlpm.val,IF($F85="",val_blankRefText,_xldudf_CX_GET(CX_ENTITY,$F85,AY$11,AY$14,,(AY$75))),_xlpm.Res,IF(OR(_xlpm.val="",_xlpm.val="Error"),"",_xlpm.val),_xlpm.Res)</f>
        <v>#NAME?</v>
      </c>
      <c r="AZ85" s="1985" t="e" cm="1">
        <f t="array" ca="1" aca="1" ref="AZ85">_xlfn.LET(_xlpm.val,IF($F85="",val_blankRefText,_xldudf_CX_GET(CX_ENTITY,$F85,AZ$11,AZ$14,,(AZ$75))),_xlpm.Res,IF(OR(_xlpm.val="",_xlpm.val="Error"),"",_xlpm.val),_xlpm.Res)</f>
        <v>#NAME?</v>
      </c>
      <c r="BA85" s="1985" t="e" cm="1">
        <f t="array" ca="1" aca="1" ref="BA85">_xlfn.LET(_xlpm.val,IF($F85="",val_blankRefText,_xldudf_CX_GET(CX_ENTITY,$F85,BA$11,BA$14,,(BA$75))),_xlpm.Res,IF(OR(_xlpm.val="",_xlpm.val="Error"),"",_xlpm.val),_xlpm.Res)</f>
        <v>#NAME?</v>
      </c>
      <c r="BB85" s="1985" t="e" cm="1">
        <f t="array" ca="1" aca="1" ref="BB85">_xlfn.LET(_xlpm.val,IF($F85="",val_blankRefText,_xldudf_CX_GET(CX_ENTITY,$F85,BB$11,BB$14,,(BB$75))),_xlpm.Res,IF(OR(_xlpm.val="",_xlpm.val="Error"),"",_xlpm.val),_xlpm.Res)</f>
        <v>#NAME?</v>
      </c>
      <c r="BC85" s="1985" t="e" cm="1">
        <f t="array" ca="1" aca="1" ref="BC85">_xlfn.LET(_xlpm.val,IF($F85="",val_blankRefText,_xldudf_CX_GET(CX_ENTITY,$F85,BC$11,BC$14,,(BC$75))),_xlpm.Res,IF(OR(_xlpm.val="",_xlpm.val="Error"),"",_xlpm.val),_xlpm.Res)</f>
        <v>#NAME?</v>
      </c>
      <c r="BD85" s="1985" t="e" cm="1">
        <f t="array" ca="1" aca="1" ref="BD85">_xlfn.LET(_xlpm.val,IF($F85="",val_blankRefText,_xldudf_CX_GET(CX_ENTITY,$F85,BD$11,BD$14,,(BD$75))),_xlpm.Res,IF(OR(_xlpm.val="",_xlpm.val="Error"),"",_xlpm.val),_xlpm.Res)</f>
        <v>#NAME?</v>
      </c>
      <c r="BE85" s="1985" t="e" cm="1">
        <f t="array" ca="1" aca="1" ref="BE85">_xlfn.LET(_xlpm.val,IF($F85="",val_blankRefText,_xldudf_CX_GET(CX_ENTITY,$F85,BE$11,BE$14,,(BE$75))),_xlpm.Res,IF(OR(_xlpm.val="",_xlpm.val="Error"),"",_xlpm.val),_xlpm.Res)</f>
        <v>#NAME?</v>
      </c>
      <c r="BF85" s="1985" t="e" cm="1">
        <f t="array" ca="1" aca="1" ref="BF85">_xlfn.LET(_xlpm.val,IF($F85="",val_blankRefText,_xldudf_CX_GET(CX_ENTITY,$F85,BF$11,BF$14,,(BF$75))),_xlpm.Res,IF(OR(_xlpm.val="",_xlpm.val="Error"),"",_xlpm.val),_xlpm.Res)</f>
        <v>#NAME?</v>
      </c>
      <c r="BG85" s="1985" t="e" cm="1">
        <f t="array" ca="1" aca="1" ref="BG85">_xlfn.LET(_xlpm.val,IF($F85="",val_blankRefText,_xldudf_CX_GET(CX_ENTITY,$F85,BG$11,BG$14,,(BG$75))),_xlpm.Res,IF(OR(_xlpm.val="",_xlpm.val="Error"),"",_xlpm.val),_xlpm.Res)</f>
        <v>#NAME?</v>
      </c>
      <c r="BH85" s="1985" t="e" cm="1">
        <f t="array" ca="1" aca="1" ref="BH85">_xlfn.LET(_xlpm.val,IF($F85="",val_blankRefText,_xldudf_CX_GET(CX_ENTITY,$F85,BH$11,BH$14,,(BH$75))),_xlpm.Res,IF(OR(_xlpm.val="",_xlpm.val="Error"),"",_xlpm.val),_xlpm.Res)</f>
        <v>#NAME?</v>
      </c>
      <c r="BI85" s="1985" t="e" cm="1">
        <f t="array" ca="1" aca="1" ref="BI85">_xlfn.LET(_xlpm.val,IF($F85="",val_blankRefText,_xldudf_CX_GET(CX_ENTITY,$F85,BI$11,BI$14,,(BI$75))),_xlpm.Res,IF(OR(_xlpm.val="",_xlpm.val="Error"),"",_xlpm.val),_xlpm.Res)</f>
        <v>#NAME?</v>
      </c>
      <c r="BJ85" s="1985" t="e" cm="1">
        <f t="array" ca="1" aca="1" ref="BJ85">_xlfn.LET(_xlpm.val,IF($F85="",val_blankRefText,_xldudf_CX_GET(CX_ENTITY,$F85,BJ$11,BJ$14,,(BJ$75))),_xlpm.Res,IF(OR(_xlpm.val="",_xlpm.val="Error"),"",_xlpm.val),_xlpm.Res)</f>
        <v>#NAME?</v>
      </c>
      <c r="BK85" s="1985" t="e" cm="1">
        <f t="array" ca="1" aca="1" ref="BK85">_xlfn.LET(_xlpm.val,IF($F85="",val_blankRefText,_xldudf_CX_GET(CX_ENTITY,$F85,BK$11,BK$14,,(BK$75))),_xlpm.Res,IF(OR(_xlpm.val="",_xlpm.val="Error"),"",_xlpm.val),_xlpm.Res)</f>
        <v>#NAME?</v>
      </c>
      <c r="BL85" s="1985" t="e" cm="1">
        <f t="array" ca="1" aca="1" ref="BL85">_xlfn.LET(_xlpm.val,IF($F85="",val_blankRefText,_xldudf_CX_GET(CX_ENTITY,$F85,BL$11,BL$14,,(BL$75))),_xlpm.Res,IF(OR(_xlpm.val="",_xlpm.val="Error"),"",_xlpm.val),_xlpm.Res)</f>
        <v>#NAME?</v>
      </c>
      <c r="BM85" s="1985" t="e" cm="1">
        <f t="array" ca="1" aca="1" ref="BM85">_xlfn.LET(_xlpm.val,IF($F85="",val_blankRefText,_xldudf_CX_GET(CX_ENTITY,$F85,BM$11,BM$14,,(BM$75))),_xlpm.Res,IF(OR(_xlpm.val="",_xlpm.val="Error"),"",_xlpm.val),_xlpm.Res)</f>
        <v>#NAME?</v>
      </c>
      <c r="BN85" s="1985" t="e" cm="1">
        <f t="array" ca="1" aca="1" ref="BN85">_xlfn.LET(_xlpm.val,IF($F85="",val_blankRefText,_xldudf_CX_GET(CX_ENTITY,$F85,BN$11,BN$14,,(BN$75))),_xlpm.Res,IF(OR(_xlpm.val="",_xlpm.val="Error"),"",_xlpm.val),_xlpm.Res)</f>
        <v>#NAME?</v>
      </c>
      <c r="BO85" s="2101"/>
      <c r="BP85" s="2101"/>
      <c r="BQ85" s="2101"/>
      <c r="BR85" s="2101"/>
      <c r="BS85" s="2101"/>
      <c r="BT85" s="2101"/>
      <c r="BU85" s="2101"/>
      <c r="BV85" s="2101"/>
      <c r="BW85" s="2101"/>
      <c r="BX85" s="2101"/>
      <c r="BY85" s="2101"/>
      <c r="BZ85" s="2101"/>
      <c r="CA85" s="34"/>
      <c r="CC85" s="33"/>
      <c r="CD85" s="1461" t="e" cm="1">
        <f t="array" ca="1" aca="1" ref="CD85">_xlfn.LET(_xlpm.CheckBlank,SUM(PL!$AD85:$BN85)=0,IF(_xlpm.CheckBlank,"",SUM(_xlfn._xlws.FILTER(PL!$AD85:$BN85,(YEAR(PL!$AD$12:$BN$12)=PL!CD$12)*(array_timeline&lt;=PL!CD$11)))))</f>
        <v>#NAME?</v>
      </c>
      <c r="CE85" s="1461" t="e" cm="1">
        <f t="array" ca="1" aca="1" ref="CE85">_xlfn.LET(_xlpm.CheckBlank,SUM(PL!$AD85:$BN85)=0,IF(_xlpm.CheckBlank,"",SUM(_xlfn._xlws.FILTER(PL!$AD85:$BN85,(YEAR(PL!$AD$12:$BN$12)=PL!CE$12)*(array_timeline&lt;=PL!CE$11)))))</f>
        <v>#NAME?</v>
      </c>
      <c r="CF85" s="88"/>
      <c r="CG85" s="1461" t="e" cm="1">
        <f t="array" ca="1" aca="1" ref="CG85">_xlfn.LET(_xlpm.CheckBlank,SUM(PL!$AD85:$BN85)=0,IF(_xlpm.CheckBlank,"",SUM(_xlfn._xlws.FILTER(PL!$AD85:$BN85,(YEAR(PL!$AD$12:$BN$12)=PL!CG$12)*(array_timeline&lt;=PL!CG$11)))))</f>
        <v>#NAME?</v>
      </c>
      <c r="CH85" s="1461" t="e" cm="1">
        <f t="array" ca="1" aca="1" ref="CH85">_xlfn.LET(_xlpm.CheckBlank,SUM(PL!$AD85:$BN85)=0,IF(_xlpm.CheckBlank,"",SUM(_xlfn._xlws.FILTER(PL!$AD85:$BN85,(YEAR(PL!$AD$12:$BN$12)=PL!CH$12)*(array_timeline&lt;=PL!CH$11)))))</f>
        <v>#NAME?</v>
      </c>
      <c r="CI85" s="88"/>
      <c r="CJ85" s="1461" cm="1">
        <f t="array" ref="CJ85">_xlfn.LET(_xlpm.CheckBlank,SUM(PL!$AD85:$BN85)=0,IF(_xlpm.CheckBlank,"",SUM(_xlfn.TAKE(_xlfn.DROP(PL!$AD85:$BN85,,-DATEDIFF(PL!CJ$11,val_asOfDate,"M")),1,-12))))</f>
        <v>12</v>
      </c>
      <c r="CK85" s="1461" cm="1">
        <f t="array" ref="CK85">_xlfn.LET(_xlpm.CheckBlank,SUM(PL!$AD85:$BN85)=0,IF(_xlpm.CheckBlank,"",SUM(_xlfn.TAKE(_xlfn.DROP(PL!$AD85:$BN85,,-DATEDIFF(PL!CK$11,val_asOfDate,"M")),1,-12))))</f>
        <v>12</v>
      </c>
      <c r="CL85" s="88"/>
      <c r="CM85" s="1168" t="e">
        <f t="shared" ca="1" si="21"/>
        <v>#NAME?</v>
      </c>
      <c r="CN85" s="1168" t="e">
        <f t="shared" ca="1" si="21"/>
        <v>#NAME?</v>
      </c>
      <c r="CO85" s="1169"/>
      <c r="CP85" s="1168" t="e">
        <f t="shared" ca="1" si="22"/>
        <v>#NAME?</v>
      </c>
      <c r="CQ85" s="1168" t="e">
        <f t="shared" ca="1" si="22"/>
        <v>#NAME?</v>
      </c>
      <c r="CR85" s="34"/>
    </row>
    <row r="86" spans="1:96" ht="21" customHeight="1" outlineLevel="1">
      <c r="A86" s="1322"/>
      <c r="B86" s="2126"/>
      <c r="C86" s="577" t="s">
        <v>1540</v>
      </c>
      <c r="D86" s="577"/>
      <c r="E86" s="577" t="e" cm="1">
        <f t="array" ca="1" aca="1" ref="E86">_xlfn.LET(_xlpm.Attr,$C86,_xlpm.Lookback,$E$16,_xlpm.QueryDate,EOMONTH(val_asOfDate,_xlpm.Lookback),_xlpm.ReadField,_xldudf_CX_GET(CX_ENTITY,fx_attrConverter($C86),_xlpm.QueryDate),_xlpm.AttrBlank,_xlpm.Attr="",_xlpm.RESULT,IF(_xlpm.AttrBlank,val_blankRefText,fx_attrConverter(_xlpm.ReadField,0)),IF(_xlpm.RESULT="Error","",_xlpm.RESULT))</f>
        <v>#NAME?</v>
      </c>
      <c r="F86" s="577" t="e">
        <f t="shared" ca="1" si="27"/>
        <v>#NAME?</v>
      </c>
      <c r="G86" s="577" t="s">
        <v>1598</v>
      </c>
      <c r="H86" s="578">
        <v>0</v>
      </c>
      <c r="I86" s="3279">
        <v>1</v>
      </c>
      <c r="J86" s="578"/>
      <c r="K86" s="578"/>
      <c r="L86" s="579" t="b">
        <v>0</v>
      </c>
      <c r="N86" s="158"/>
      <c r="O86" s="101"/>
      <c r="P86" s="52"/>
      <c r="Q86" s="101"/>
      <c r="R86" s="126"/>
      <c r="S86" s="101"/>
      <c r="T86" s="101"/>
      <c r="U86" s="39"/>
      <c r="W86" s="91" t="str">
        <f t="shared" si="18"/>
        <v>Budget</v>
      </c>
      <c r="X86" s="884" t="s">
        <v>62</v>
      </c>
      <c r="Y86" s="1134" t="e">
        <f t="shared" ca="1" si="19"/>
        <v>#NAME?</v>
      </c>
      <c r="Z86" s="198" cm="1">
        <f t="array" ref="Z86">_xlfn.SWITCH(TRUE,ISBLANK(_PL!$L86),"",_PL!$L86=TRUE,1,_PL!$L86=FALSE,-1,_PL!$L86=-1,0,"n/a")</f>
        <v>-1</v>
      </c>
      <c r="AA86" s="200"/>
      <c r="AB86" s="1134" t="e">
        <f t="shared" ca="1" si="20"/>
        <v>#NAME?</v>
      </c>
      <c r="AC86" s="125" t="str" cm="1">
        <f t="array" ca="1" aca="1" ref="AC86">_xlfn.LET(_xlpm.Def,IF(_xlfn.XMATCH(AB86,tbl_acctDef[Term],0)&gt;0,fx_getIcon("find"),""),_xlpm.Adj,IF(_xlfn.XMATCH(AB86,tbl_adjExample[Items],0)&gt;0,fx_getIcon("find"),""),IFERROR(IFBLANK(_xlpm.Def,_xlpm.Adj),""))</f>
        <v/>
      </c>
      <c r="AD86" s="1985" t="e" cm="1">
        <f t="array" ca="1" aca="1" ref="AD86">_xlfn.LET(_xlpm.val,IF($F86="",val_blankRefText,_xldudf_CX_GET(CX_ENTITY,$F86,AD$11,AD$14,,(AD$75))),_xlpm.Res,IF(OR(_xlpm.val="",_xlpm.val="Error"),"",_xlpm.val),_xlpm.Res)</f>
        <v>#NAME?</v>
      </c>
      <c r="AE86" s="1985" t="e" cm="1">
        <f t="array" ca="1" aca="1" ref="AE86">_xlfn.LET(_xlpm.val,IF($F86="",val_blankRefText,_xldudf_CX_GET(CX_ENTITY,$F86,AE$11,AE$14,,(AE$75))),_xlpm.Res,IF(OR(_xlpm.val="",_xlpm.val="Error"),"",_xlpm.val),_xlpm.Res)</f>
        <v>#NAME?</v>
      </c>
      <c r="AF86" s="1985" t="e" cm="1">
        <f t="array" ca="1" aca="1" ref="AF86">_xlfn.LET(_xlpm.val,IF($F86="",val_blankRefText,_xldudf_CX_GET(CX_ENTITY,$F86,AF$11,AF$14,,(AF$75))),_xlpm.Res,IF(OR(_xlpm.val="",_xlpm.val="Error"),"",_xlpm.val),_xlpm.Res)</f>
        <v>#NAME?</v>
      </c>
      <c r="AG86" s="1985" t="e" cm="1">
        <f t="array" ca="1" aca="1" ref="AG86">_xlfn.LET(_xlpm.val,IF($F86="",val_blankRefText,_xldudf_CX_GET(CX_ENTITY,$F86,AG$11,AG$14,,(AG$75))),_xlpm.Res,IF(OR(_xlpm.val="",_xlpm.val="Error"),"",_xlpm.val),_xlpm.Res)</f>
        <v>#NAME?</v>
      </c>
      <c r="AH86" s="1985" t="e" cm="1">
        <f t="array" ca="1" aca="1" ref="AH86">_xlfn.LET(_xlpm.val,IF($F86="",val_blankRefText,_xldudf_CX_GET(CX_ENTITY,$F86,AH$11,AH$14,,(AH$75))),_xlpm.Res,IF(OR(_xlpm.val="",_xlpm.val="Error"),"",_xlpm.val),_xlpm.Res)</f>
        <v>#NAME?</v>
      </c>
      <c r="AI86" s="1985" t="e" cm="1">
        <f t="array" ca="1" aca="1" ref="AI86">_xlfn.LET(_xlpm.val,IF($F86="",val_blankRefText,_xldudf_CX_GET(CX_ENTITY,$F86,AI$11,AI$14,,(AI$75))),_xlpm.Res,IF(OR(_xlpm.val="",_xlpm.val="Error"),"",_xlpm.val),_xlpm.Res)</f>
        <v>#NAME?</v>
      </c>
      <c r="AJ86" s="1985" t="e" cm="1">
        <f t="array" ca="1" aca="1" ref="AJ86">_xlfn.LET(_xlpm.val,IF($F86="",val_blankRefText,_xldudf_CX_GET(CX_ENTITY,$F86,AJ$11,AJ$14,,(AJ$75))),_xlpm.Res,IF(OR(_xlpm.val="",_xlpm.val="Error"),"",_xlpm.val),_xlpm.Res)</f>
        <v>#NAME?</v>
      </c>
      <c r="AK86" s="1985" t="e" cm="1">
        <f t="array" ca="1" aca="1" ref="AK86">_xlfn.LET(_xlpm.val,IF($F86="",val_blankRefText,_xldudf_CX_GET(CX_ENTITY,$F86,AK$11,AK$14,,(AK$75))),_xlpm.Res,IF(OR(_xlpm.val="",_xlpm.val="Error"),"",_xlpm.val),_xlpm.Res)</f>
        <v>#NAME?</v>
      </c>
      <c r="AL86" s="1985" t="e" cm="1">
        <f t="array" ca="1" aca="1" ref="AL86">_xlfn.LET(_xlpm.val,IF($F86="",val_blankRefText,_xldudf_CX_GET(CX_ENTITY,$F86,AL$11,AL$14,,(AL$75))),_xlpm.Res,IF(OR(_xlpm.val="",_xlpm.val="Error"),"",_xlpm.val),_xlpm.Res)</f>
        <v>#NAME?</v>
      </c>
      <c r="AM86" s="1985" t="e" cm="1">
        <f t="array" ca="1" aca="1" ref="AM86">_xlfn.LET(_xlpm.val,IF($F86="",val_blankRefText,_xldudf_CX_GET(CX_ENTITY,$F86,AM$11,AM$14,,(AM$75))),_xlpm.Res,IF(OR(_xlpm.val="",_xlpm.val="Error"),"",_xlpm.val),_xlpm.Res)</f>
        <v>#NAME?</v>
      </c>
      <c r="AN86" s="1985" t="e" cm="1">
        <f t="array" ca="1" aca="1" ref="AN86">_xlfn.LET(_xlpm.val,IF($F86="",val_blankRefText,_xldudf_CX_GET(CX_ENTITY,$F86,AN$11,AN$14,,(AN$75))),_xlpm.Res,IF(OR(_xlpm.val="",_xlpm.val="Error"),"",_xlpm.val),_xlpm.Res)</f>
        <v>#NAME?</v>
      </c>
      <c r="AO86" s="1985" t="e" cm="1">
        <f t="array" ca="1" aca="1" ref="AO86">_xlfn.LET(_xlpm.val,IF($F86="",val_blankRefText,_xldudf_CX_GET(CX_ENTITY,$F86,AO$11,AO$14,,(AO$75))),_xlpm.Res,IF(OR(_xlpm.val="",_xlpm.val="Error"),"",_xlpm.val),_xlpm.Res)</f>
        <v>#NAME?</v>
      </c>
      <c r="AP86" s="1985" t="e" cm="1">
        <f t="array" ca="1" aca="1" ref="AP86">_xlfn.LET(_xlpm.val,IF($F86="",val_blankRefText,_xldudf_CX_GET(CX_ENTITY,$F86,AP$11,AP$14,,(AP$75))),_xlpm.Res,IF(OR(_xlpm.val="",_xlpm.val="Error"),"",_xlpm.val),_xlpm.Res)</f>
        <v>#NAME?</v>
      </c>
      <c r="AQ86" s="1985" t="e" cm="1">
        <f t="array" ca="1" aca="1" ref="AQ86">_xlfn.LET(_xlpm.val,IF($F86="",val_blankRefText,_xldudf_CX_GET(CX_ENTITY,$F86,AQ$11,AQ$14,,(AQ$75))),_xlpm.Res,IF(OR(_xlpm.val="",_xlpm.val="Error"),"",_xlpm.val),_xlpm.Res)</f>
        <v>#NAME?</v>
      </c>
      <c r="AR86" s="1985" t="e" cm="1">
        <f t="array" ca="1" aca="1" ref="AR86">_xlfn.LET(_xlpm.val,IF($F86="",val_blankRefText,_xldudf_CX_GET(CX_ENTITY,$F86,AR$11,AR$14,,(AR$75))),_xlpm.Res,IF(OR(_xlpm.val="",_xlpm.val="Error"),"",_xlpm.val),_xlpm.Res)</f>
        <v>#NAME?</v>
      </c>
      <c r="AS86" s="1985" t="e" cm="1">
        <f t="array" ca="1" aca="1" ref="AS86">_xlfn.LET(_xlpm.val,IF($F86="",val_blankRefText,_xldudf_CX_GET(CX_ENTITY,$F86,AS$11,AS$14,,(AS$75))),_xlpm.Res,IF(OR(_xlpm.val="",_xlpm.val="Error"),"",_xlpm.val),_xlpm.Res)</f>
        <v>#NAME?</v>
      </c>
      <c r="AT86" s="1985" t="e" cm="1">
        <f t="array" ca="1" aca="1" ref="AT86">_xlfn.LET(_xlpm.val,IF($F86="",val_blankRefText,_xldudf_CX_GET(CX_ENTITY,$F86,AT$11,AT$14,,(AT$75))),_xlpm.Res,IF(OR(_xlpm.val="",_xlpm.val="Error"),"",_xlpm.val),_xlpm.Res)</f>
        <v>#NAME?</v>
      </c>
      <c r="AU86" s="1985" t="e" cm="1">
        <f t="array" ca="1" aca="1" ref="AU86">_xlfn.LET(_xlpm.val,IF($F86="",val_blankRefText,_xldudf_CX_GET(CX_ENTITY,$F86,AU$11,AU$14,,(AU$75))),_xlpm.Res,IF(OR(_xlpm.val="",_xlpm.val="Error"),"",_xlpm.val),_xlpm.Res)</f>
        <v>#NAME?</v>
      </c>
      <c r="AV86" s="1985" t="e" cm="1">
        <f t="array" ca="1" aca="1" ref="AV86">_xlfn.LET(_xlpm.val,IF($F86="",val_blankRefText,_xldudf_CX_GET(CX_ENTITY,$F86,AV$11,AV$14,,(AV$75))),_xlpm.Res,IF(OR(_xlpm.val="",_xlpm.val="Error"),"",_xlpm.val),_xlpm.Res)</f>
        <v>#NAME?</v>
      </c>
      <c r="AW86" s="1985" t="e" cm="1">
        <f t="array" ca="1" aca="1" ref="AW86">_xlfn.LET(_xlpm.val,IF($F86="",val_blankRefText,_xldudf_CX_GET(CX_ENTITY,$F86,AW$11,AW$14,,(AW$75))),_xlpm.Res,IF(OR(_xlpm.val="",_xlpm.val="Error"),"",_xlpm.val),_xlpm.Res)</f>
        <v>#NAME?</v>
      </c>
      <c r="AX86" s="1985" t="e" cm="1">
        <f t="array" ca="1" aca="1" ref="AX86">_xlfn.LET(_xlpm.val,IF($F86="",val_blankRefText,_xldudf_CX_GET(CX_ENTITY,$F86,AX$11,AX$14,,(AX$75))),_xlpm.Res,IF(OR(_xlpm.val="",_xlpm.val="Error"),"",_xlpm.val),_xlpm.Res)</f>
        <v>#NAME?</v>
      </c>
      <c r="AY86" s="1985" t="e" cm="1">
        <f t="array" ca="1" aca="1" ref="AY86">_xlfn.LET(_xlpm.val,IF($F86="",val_blankRefText,_xldudf_CX_GET(CX_ENTITY,$F86,AY$11,AY$14,,(AY$75))),_xlpm.Res,IF(OR(_xlpm.val="",_xlpm.val="Error"),"",_xlpm.val),_xlpm.Res)</f>
        <v>#NAME?</v>
      </c>
      <c r="AZ86" s="1985" t="e" cm="1">
        <f t="array" ca="1" aca="1" ref="AZ86">_xlfn.LET(_xlpm.val,IF($F86="",val_blankRefText,_xldudf_CX_GET(CX_ENTITY,$F86,AZ$11,AZ$14,,(AZ$75))),_xlpm.Res,IF(OR(_xlpm.val="",_xlpm.val="Error"),"",_xlpm.val),_xlpm.Res)</f>
        <v>#NAME?</v>
      </c>
      <c r="BA86" s="1985" t="e" cm="1">
        <f t="array" ca="1" aca="1" ref="BA86">_xlfn.LET(_xlpm.val,IF($F86="",val_blankRefText,_xldudf_CX_GET(CX_ENTITY,$F86,BA$11,BA$14,,(BA$75))),_xlpm.Res,IF(OR(_xlpm.val="",_xlpm.val="Error"),"",_xlpm.val),_xlpm.Res)</f>
        <v>#NAME?</v>
      </c>
      <c r="BB86" s="1985" t="e" cm="1">
        <f t="array" ca="1" aca="1" ref="BB86">_xlfn.LET(_xlpm.val,IF($F86="",val_blankRefText,_xldudf_CX_GET(CX_ENTITY,$F86,BB$11,BB$14,,(BB$75))),_xlpm.Res,IF(OR(_xlpm.val="",_xlpm.val="Error"),"",_xlpm.val),_xlpm.Res)</f>
        <v>#NAME?</v>
      </c>
      <c r="BC86" s="1985" t="e" cm="1">
        <f t="array" ca="1" aca="1" ref="BC86">_xlfn.LET(_xlpm.val,IF($F86="",val_blankRefText,_xldudf_CX_GET(CX_ENTITY,$F86,BC$11,BC$14,,(BC$75))),_xlpm.Res,IF(OR(_xlpm.val="",_xlpm.val="Error"),"",_xlpm.val),_xlpm.Res)</f>
        <v>#NAME?</v>
      </c>
      <c r="BD86" s="1985" t="e" cm="1">
        <f t="array" ca="1" aca="1" ref="BD86">_xlfn.LET(_xlpm.val,IF($F86="",val_blankRefText,_xldudf_CX_GET(CX_ENTITY,$F86,BD$11,BD$14,,(BD$75))),_xlpm.Res,IF(OR(_xlpm.val="",_xlpm.val="Error"),"",_xlpm.val),_xlpm.Res)</f>
        <v>#NAME?</v>
      </c>
      <c r="BE86" s="1985" t="e" cm="1">
        <f t="array" ca="1" aca="1" ref="BE86">_xlfn.LET(_xlpm.val,IF($F86="",val_blankRefText,_xldudf_CX_GET(CX_ENTITY,$F86,BE$11,BE$14,,(BE$75))),_xlpm.Res,IF(OR(_xlpm.val="",_xlpm.val="Error"),"",_xlpm.val),_xlpm.Res)</f>
        <v>#NAME?</v>
      </c>
      <c r="BF86" s="1985" t="e" cm="1">
        <f t="array" ca="1" aca="1" ref="BF86">_xlfn.LET(_xlpm.val,IF($F86="",val_blankRefText,_xldudf_CX_GET(CX_ENTITY,$F86,BF$11,BF$14,,(BF$75))),_xlpm.Res,IF(OR(_xlpm.val="",_xlpm.val="Error"),"",_xlpm.val),_xlpm.Res)</f>
        <v>#NAME?</v>
      </c>
      <c r="BG86" s="1985" t="e" cm="1">
        <f t="array" ca="1" aca="1" ref="BG86">_xlfn.LET(_xlpm.val,IF($F86="",val_blankRefText,_xldudf_CX_GET(CX_ENTITY,$F86,BG$11,BG$14,,(BG$75))),_xlpm.Res,IF(OR(_xlpm.val="",_xlpm.val="Error"),"",_xlpm.val),_xlpm.Res)</f>
        <v>#NAME?</v>
      </c>
      <c r="BH86" s="1985" t="e" cm="1">
        <f t="array" ca="1" aca="1" ref="BH86">_xlfn.LET(_xlpm.val,IF($F86="",val_blankRefText,_xldudf_CX_GET(CX_ENTITY,$F86,BH$11,BH$14,,(BH$75))),_xlpm.Res,IF(OR(_xlpm.val="",_xlpm.val="Error"),"",_xlpm.val),_xlpm.Res)</f>
        <v>#NAME?</v>
      </c>
      <c r="BI86" s="1985" t="e" cm="1">
        <f t="array" ca="1" aca="1" ref="BI86">_xlfn.LET(_xlpm.val,IF($F86="",val_blankRefText,_xldudf_CX_GET(CX_ENTITY,$F86,BI$11,BI$14,,(BI$75))),_xlpm.Res,IF(OR(_xlpm.val="",_xlpm.val="Error"),"",_xlpm.val),_xlpm.Res)</f>
        <v>#NAME?</v>
      </c>
      <c r="BJ86" s="1985" t="e" cm="1">
        <f t="array" ca="1" aca="1" ref="BJ86">_xlfn.LET(_xlpm.val,IF($F86="",val_blankRefText,_xldudf_CX_GET(CX_ENTITY,$F86,BJ$11,BJ$14,,(BJ$75))),_xlpm.Res,IF(OR(_xlpm.val="",_xlpm.val="Error"),"",_xlpm.val),_xlpm.Res)</f>
        <v>#NAME?</v>
      </c>
      <c r="BK86" s="1985" t="e" cm="1">
        <f t="array" ca="1" aca="1" ref="BK86">_xlfn.LET(_xlpm.val,IF($F86="",val_blankRefText,_xldudf_CX_GET(CX_ENTITY,$F86,BK$11,BK$14,,(BK$75))),_xlpm.Res,IF(OR(_xlpm.val="",_xlpm.val="Error"),"",_xlpm.val),_xlpm.Res)</f>
        <v>#NAME?</v>
      </c>
      <c r="BL86" s="1985" t="e" cm="1">
        <f t="array" ca="1" aca="1" ref="BL86">_xlfn.LET(_xlpm.val,IF($F86="",val_blankRefText,_xldudf_CX_GET(CX_ENTITY,$F86,BL$11,BL$14,,(BL$75))),_xlpm.Res,IF(OR(_xlpm.val="",_xlpm.val="Error"),"",_xlpm.val),_xlpm.Res)</f>
        <v>#NAME?</v>
      </c>
      <c r="BM86" s="1985" t="e" cm="1">
        <f t="array" ca="1" aca="1" ref="BM86">_xlfn.LET(_xlpm.val,IF($F86="",val_blankRefText,_xldudf_CX_GET(CX_ENTITY,$F86,BM$11,BM$14,,(BM$75))),_xlpm.Res,IF(OR(_xlpm.val="",_xlpm.val="Error"),"",_xlpm.val),_xlpm.Res)</f>
        <v>#NAME?</v>
      </c>
      <c r="BN86" s="1985" t="e" cm="1">
        <f t="array" ca="1" aca="1" ref="BN86">_xlfn.LET(_xlpm.val,IF($F86="",val_blankRefText,_xldudf_CX_GET(CX_ENTITY,$F86,BN$11,BN$14,,(BN$75))),_xlpm.Res,IF(OR(_xlpm.val="",_xlpm.val="Error"),"",_xlpm.val),_xlpm.Res)</f>
        <v>#NAME?</v>
      </c>
      <c r="BO86" s="2101"/>
      <c r="BP86" s="2101"/>
      <c r="BQ86" s="2101"/>
      <c r="BR86" s="2101"/>
      <c r="BS86" s="2101"/>
      <c r="BT86" s="2101"/>
      <c r="BU86" s="2101"/>
      <c r="BV86" s="2101"/>
      <c r="BW86" s="2101"/>
      <c r="BX86" s="2101"/>
      <c r="BY86" s="2101"/>
      <c r="BZ86" s="2101"/>
      <c r="CA86" s="34"/>
      <c r="CC86" s="33"/>
      <c r="CD86" s="1461" t="e" cm="1">
        <f t="array" ca="1" aca="1" ref="CD86">_xlfn.LET(_xlpm.CheckBlank,SUM(PL!$AD86:$BN86)=0,IF(_xlpm.CheckBlank,"",SUM(_xlfn._xlws.FILTER(PL!$AD86:$BN86,(YEAR(PL!$AD$12:$BN$12)=PL!CD$12)*(array_timeline&lt;=PL!CD$11)))))</f>
        <v>#NAME?</v>
      </c>
      <c r="CE86" s="1461" t="e" cm="1">
        <f t="array" ca="1" aca="1" ref="CE86">_xlfn.LET(_xlpm.CheckBlank,SUM(PL!$AD86:$BN86)=0,IF(_xlpm.CheckBlank,"",SUM(_xlfn._xlws.FILTER(PL!$AD86:$BN86,(YEAR(PL!$AD$12:$BN$12)=PL!CE$12)*(array_timeline&lt;=PL!CE$11)))))</f>
        <v>#NAME?</v>
      </c>
      <c r="CF86" s="88"/>
      <c r="CG86" s="1461" t="e" cm="1">
        <f t="array" ca="1" aca="1" ref="CG86">_xlfn.LET(_xlpm.CheckBlank,SUM(PL!$AD86:$BN86)=0,IF(_xlpm.CheckBlank,"",SUM(_xlfn._xlws.FILTER(PL!$AD86:$BN86,(YEAR(PL!$AD$12:$BN$12)=PL!CG$12)*(array_timeline&lt;=PL!CG$11)))))</f>
        <v>#NAME?</v>
      </c>
      <c r="CH86" s="1461" t="e" cm="1">
        <f t="array" ca="1" aca="1" ref="CH86">_xlfn.LET(_xlpm.CheckBlank,SUM(PL!$AD86:$BN86)=0,IF(_xlpm.CheckBlank,"",SUM(_xlfn._xlws.FILTER(PL!$AD86:$BN86,(YEAR(PL!$AD$12:$BN$12)=PL!CH$12)*(array_timeline&lt;=PL!CH$11)))))</f>
        <v>#NAME?</v>
      </c>
      <c r="CI86" s="88"/>
      <c r="CJ86" s="1461" cm="1">
        <f t="array" ref="CJ86">_xlfn.LET(_xlpm.CheckBlank,SUM(PL!$AD86:$BN86)=0,IF(_xlpm.CheckBlank,"",SUM(_xlfn.TAKE(_xlfn.DROP(PL!$AD86:$BN86,,-DATEDIFF(PL!CJ$11,val_asOfDate,"M")),1,-12))))</f>
        <v>12</v>
      </c>
      <c r="CK86" s="1461" cm="1">
        <f t="array" ref="CK86">_xlfn.LET(_xlpm.CheckBlank,SUM(PL!$AD86:$BN86)=0,IF(_xlpm.CheckBlank,"",SUM(_xlfn.TAKE(_xlfn.DROP(PL!$AD86:$BN86,,-DATEDIFF(PL!CK$11,val_asOfDate,"M")),1,-12))))</f>
        <v>12</v>
      </c>
      <c r="CL86" s="88"/>
      <c r="CM86" s="1168" t="e">
        <f t="shared" ca="1" si="21"/>
        <v>#NAME?</v>
      </c>
      <c r="CN86" s="1168" t="e">
        <f t="shared" ca="1" si="21"/>
        <v>#NAME?</v>
      </c>
      <c r="CO86" s="1169"/>
      <c r="CP86" s="1168" t="e">
        <f t="shared" ca="1" si="22"/>
        <v>#NAME?</v>
      </c>
      <c r="CQ86" s="1168" t="e">
        <f t="shared" ca="1" si="22"/>
        <v>#NAME?</v>
      </c>
      <c r="CR86" s="34"/>
    </row>
    <row r="87" spans="1:96" ht="21" customHeight="1" outlineLevel="1">
      <c r="A87" s="1322"/>
      <c r="B87" s="2126"/>
      <c r="C87" s="577" t="s">
        <v>1541</v>
      </c>
      <c r="D87" s="577"/>
      <c r="E87" s="577" t="e" cm="1">
        <f t="array" ca="1" aca="1" ref="E87">_xlfn.LET(_xlpm.Attr,$C87,_xlpm.Lookback,$E$16,_xlpm.QueryDate,EOMONTH(val_asOfDate,_xlpm.Lookback),_xlpm.ReadField,_xldudf_CX_GET(CX_ENTITY,fx_attrConverter($C87),_xlpm.QueryDate),_xlpm.AttrBlank,_xlpm.Attr="",_xlpm.RESULT,IF(_xlpm.AttrBlank,val_blankRefText,fx_attrConverter(_xlpm.ReadField,0)),IF(_xlpm.RESULT="Error","",_xlpm.RESULT))</f>
        <v>#NAME?</v>
      </c>
      <c r="F87" s="577" t="e">
        <f t="shared" ca="1" si="27"/>
        <v>#NAME?</v>
      </c>
      <c r="G87" s="577" t="s">
        <v>1598</v>
      </c>
      <c r="H87" s="578">
        <v>0</v>
      </c>
      <c r="I87" s="3279">
        <v>1</v>
      </c>
      <c r="J87" s="578"/>
      <c r="K87" s="578"/>
      <c r="L87" s="579" t="b">
        <v>0</v>
      </c>
      <c r="N87" s="158"/>
      <c r="O87" s="101"/>
      <c r="P87" s="52"/>
      <c r="Q87" s="101"/>
      <c r="R87" s="126"/>
      <c r="S87" s="101"/>
      <c r="T87" s="101"/>
      <c r="U87" s="39"/>
      <c r="W87" s="91" t="str">
        <f t="shared" si="18"/>
        <v>Budget</v>
      </c>
      <c r="X87" s="884" t="s">
        <v>62</v>
      </c>
      <c r="Y87" s="1134" t="e">
        <f t="shared" ca="1" si="19"/>
        <v>#NAME?</v>
      </c>
      <c r="Z87" s="198" cm="1">
        <f t="array" ref="Z87">_xlfn.SWITCH(TRUE,ISBLANK(_PL!$L87),"",_PL!$L87=TRUE,1,_PL!$L87=FALSE,-1,_PL!$L87=-1,0,"n/a")</f>
        <v>-1</v>
      </c>
      <c r="AA87" s="200"/>
      <c r="AB87" s="1134" t="e">
        <f t="shared" ca="1" si="20"/>
        <v>#NAME?</v>
      </c>
      <c r="AC87" s="125" t="str" cm="1">
        <f t="array" ca="1" aca="1" ref="AC87">_xlfn.LET(_xlpm.Def,IF(_xlfn.XMATCH(AB87,tbl_acctDef[Term],0)&gt;0,fx_getIcon("find"),""),_xlpm.Adj,IF(_xlfn.XMATCH(AB87,tbl_adjExample[Items],0)&gt;0,fx_getIcon("find"),""),IFERROR(IFBLANK(_xlpm.Def,_xlpm.Adj),""))</f>
        <v/>
      </c>
      <c r="AD87" s="1985" t="e" cm="1">
        <f t="array" ca="1" aca="1" ref="AD87">_xlfn.LET(_xlpm.val,IF($F87="",val_blankRefText,_xldudf_CX_GET(CX_ENTITY,$F87,AD$11,AD$14,,(AD$75))),_xlpm.Res,IF(OR(_xlpm.val="",_xlpm.val="Error"),"",_xlpm.val),_xlpm.Res)</f>
        <v>#NAME?</v>
      </c>
      <c r="AE87" s="1985" t="e" cm="1">
        <f t="array" ca="1" aca="1" ref="AE87">_xlfn.LET(_xlpm.val,IF($F87="",val_blankRefText,_xldudf_CX_GET(CX_ENTITY,$F87,AE$11,AE$14,,(AE$75))),_xlpm.Res,IF(OR(_xlpm.val="",_xlpm.val="Error"),"",_xlpm.val),_xlpm.Res)</f>
        <v>#NAME?</v>
      </c>
      <c r="AF87" s="1985" t="e" cm="1">
        <f t="array" ca="1" aca="1" ref="AF87">_xlfn.LET(_xlpm.val,IF($F87="",val_blankRefText,_xldudf_CX_GET(CX_ENTITY,$F87,AF$11,AF$14,,(AF$75))),_xlpm.Res,IF(OR(_xlpm.val="",_xlpm.val="Error"),"",_xlpm.val),_xlpm.Res)</f>
        <v>#NAME?</v>
      </c>
      <c r="AG87" s="1985" t="e" cm="1">
        <f t="array" ca="1" aca="1" ref="AG87">_xlfn.LET(_xlpm.val,IF($F87="",val_blankRefText,_xldudf_CX_GET(CX_ENTITY,$F87,AG$11,AG$14,,(AG$75))),_xlpm.Res,IF(OR(_xlpm.val="",_xlpm.val="Error"),"",_xlpm.val),_xlpm.Res)</f>
        <v>#NAME?</v>
      </c>
      <c r="AH87" s="1985" t="e" cm="1">
        <f t="array" ca="1" aca="1" ref="AH87">_xlfn.LET(_xlpm.val,IF($F87="",val_blankRefText,_xldudf_CX_GET(CX_ENTITY,$F87,AH$11,AH$14,,(AH$75))),_xlpm.Res,IF(OR(_xlpm.val="",_xlpm.val="Error"),"",_xlpm.val),_xlpm.Res)</f>
        <v>#NAME?</v>
      </c>
      <c r="AI87" s="1985" t="e" cm="1">
        <f t="array" ca="1" aca="1" ref="AI87">_xlfn.LET(_xlpm.val,IF($F87="",val_blankRefText,_xldudf_CX_GET(CX_ENTITY,$F87,AI$11,AI$14,,(AI$75))),_xlpm.Res,IF(OR(_xlpm.val="",_xlpm.val="Error"),"",_xlpm.val),_xlpm.Res)</f>
        <v>#NAME?</v>
      </c>
      <c r="AJ87" s="1985" t="e" cm="1">
        <f t="array" ca="1" aca="1" ref="AJ87">_xlfn.LET(_xlpm.val,IF($F87="",val_blankRefText,_xldudf_CX_GET(CX_ENTITY,$F87,AJ$11,AJ$14,,(AJ$75))),_xlpm.Res,IF(OR(_xlpm.val="",_xlpm.val="Error"),"",_xlpm.val),_xlpm.Res)</f>
        <v>#NAME?</v>
      </c>
      <c r="AK87" s="1985" t="e" cm="1">
        <f t="array" ca="1" aca="1" ref="AK87">_xlfn.LET(_xlpm.val,IF($F87="",val_blankRefText,_xldudf_CX_GET(CX_ENTITY,$F87,AK$11,AK$14,,(AK$75))),_xlpm.Res,IF(OR(_xlpm.val="",_xlpm.val="Error"),"",_xlpm.val),_xlpm.Res)</f>
        <v>#NAME?</v>
      </c>
      <c r="AL87" s="1985" t="e" cm="1">
        <f t="array" ca="1" aca="1" ref="AL87">_xlfn.LET(_xlpm.val,IF($F87="",val_blankRefText,_xldudf_CX_GET(CX_ENTITY,$F87,AL$11,AL$14,,(AL$75))),_xlpm.Res,IF(OR(_xlpm.val="",_xlpm.val="Error"),"",_xlpm.val),_xlpm.Res)</f>
        <v>#NAME?</v>
      </c>
      <c r="AM87" s="1985" t="e" cm="1">
        <f t="array" ca="1" aca="1" ref="AM87">_xlfn.LET(_xlpm.val,IF($F87="",val_blankRefText,_xldudf_CX_GET(CX_ENTITY,$F87,AM$11,AM$14,,(AM$75))),_xlpm.Res,IF(OR(_xlpm.val="",_xlpm.val="Error"),"",_xlpm.val),_xlpm.Res)</f>
        <v>#NAME?</v>
      </c>
      <c r="AN87" s="1985" t="e" cm="1">
        <f t="array" ca="1" aca="1" ref="AN87">_xlfn.LET(_xlpm.val,IF($F87="",val_blankRefText,_xldudf_CX_GET(CX_ENTITY,$F87,AN$11,AN$14,,(AN$75))),_xlpm.Res,IF(OR(_xlpm.val="",_xlpm.val="Error"),"",_xlpm.val),_xlpm.Res)</f>
        <v>#NAME?</v>
      </c>
      <c r="AO87" s="1985" t="e" cm="1">
        <f t="array" ca="1" aca="1" ref="AO87">_xlfn.LET(_xlpm.val,IF($F87="",val_blankRefText,_xldudf_CX_GET(CX_ENTITY,$F87,AO$11,AO$14,,(AO$75))),_xlpm.Res,IF(OR(_xlpm.val="",_xlpm.val="Error"),"",_xlpm.val),_xlpm.Res)</f>
        <v>#NAME?</v>
      </c>
      <c r="AP87" s="1985" t="e" cm="1">
        <f t="array" ca="1" aca="1" ref="AP87">_xlfn.LET(_xlpm.val,IF($F87="",val_blankRefText,_xldudf_CX_GET(CX_ENTITY,$F87,AP$11,AP$14,,(AP$75))),_xlpm.Res,IF(OR(_xlpm.val="",_xlpm.val="Error"),"",_xlpm.val),_xlpm.Res)</f>
        <v>#NAME?</v>
      </c>
      <c r="AQ87" s="1985" t="e" cm="1">
        <f t="array" ca="1" aca="1" ref="AQ87">_xlfn.LET(_xlpm.val,IF($F87="",val_blankRefText,_xldudf_CX_GET(CX_ENTITY,$F87,AQ$11,AQ$14,,(AQ$75))),_xlpm.Res,IF(OR(_xlpm.val="",_xlpm.val="Error"),"",_xlpm.val),_xlpm.Res)</f>
        <v>#NAME?</v>
      </c>
      <c r="AR87" s="1985" t="e" cm="1">
        <f t="array" ca="1" aca="1" ref="AR87">_xlfn.LET(_xlpm.val,IF($F87="",val_blankRefText,_xldudf_CX_GET(CX_ENTITY,$F87,AR$11,AR$14,,(AR$75))),_xlpm.Res,IF(OR(_xlpm.val="",_xlpm.val="Error"),"",_xlpm.val),_xlpm.Res)</f>
        <v>#NAME?</v>
      </c>
      <c r="AS87" s="1985" t="e" cm="1">
        <f t="array" ca="1" aca="1" ref="AS87">_xlfn.LET(_xlpm.val,IF($F87="",val_blankRefText,_xldudf_CX_GET(CX_ENTITY,$F87,AS$11,AS$14,,(AS$75))),_xlpm.Res,IF(OR(_xlpm.val="",_xlpm.val="Error"),"",_xlpm.val),_xlpm.Res)</f>
        <v>#NAME?</v>
      </c>
      <c r="AT87" s="1985" t="e" cm="1">
        <f t="array" ca="1" aca="1" ref="AT87">_xlfn.LET(_xlpm.val,IF($F87="",val_blankRefText,_xldudf_CX_GET(CX_ENTITY,$F87,AT$11,AT$14,,(AT$75))),_xlpm.Res,IF(OR(_xlpm.val="",_xlpm.val="Error"),"",_xlpm.val),_xlpm.Res)</f>
        <v>#NAME?</v>
      </c>
      <c r="AU87" s="1985" t="e" cm="1">
        <f t="array" ca="1" aca="1" ref="AU87">_xlfn.LET(_xlpm.val,IF($F87="",val_blankRefText,_xldudf_CX_GET(CX_ENTITY,$F87,AU$11,AU$14,,(AU$75))),_xlpm.Res,IF(OR(_xlpm.val="",_xlpm.val="Error"),"",_xlpm.val),_xlpm.Res)</f>
        <v>#NAME?</v>
      </c>
      <c r="AV87" s="1985" t="e" cm="1">
        <f t="array" ca="1" aca="1" ref="AV87">_xlfn.LET(_xlpm.val,IF($F87="",val_blankRefText,_xldudf_CX_GET(CX_ENTITY,$F87,AV$11,AV$14,,(AV$75))),_xlpm.Res,IF(OR(_xlpm.val="",_xlpm.val="Error"),"",_xlpm.val),_xlpm.Res)</f>
        <v>#NAME?</v>
      </c>
      <c r="AW87" s="1985" t="e" cm="1">
        <f t="array" ca="1" aca="1" ref="AW87">_xlfn.LET(_xlpm.val,IF($F87="",val_blankRefText,_xldudf_CX_GET(CX_ENTITY,$F87,AW$11,AW$14,,(AW$75))),_xlpm.Res,IF(OR(_xlpm.val="",_xlpm.val="Error"),"",_xlpm.val),_xlpm.Res)</f>
        <v>#NAME?</v>
      </c>
      <c r="AX87" s="1985" t="e" cm="1">
        <f t="array" ca="1" aca="1" ref="AX87">_xlfn.LET(_xlpm.val,IF($F87="",val_blankRefText,_xldudf_CX_GET(CX_ENTITY,$F87,AX$11,AX$14,,(AX$75))),_xlpm.Res,IF(OR(_xlpm.val="",_xlpm.val="Error"),"",_xlpm.val),_xlpm.Res)</f>
        <v>#NAME?</v>
      </c>
      <c r="AY87" s="1985" t="e" cm="1">
        <f t="array" ca="1" aca="1" ref="AY87">_xlfn.LET(_xlpm.val,IF($F87="",val_blankRefText,_xldudf_CX_GET(CX_ENTITY,$F87,AY$11,AY$14,,(AY$75))),_xlpm.Res,IF(OR(_xlpm.val="",_xlpm.val="Error"),"",_xlpm.val),_xlpm.Res)</f>
        <v>#NAME?</v>
      </c>
      <c r="AZ87" s="1985" t="e" cm="1">
        <f t="array" ca="1" aca="1" ref="AZ87">_xlfn.LET(_xlpm.val,IF($F87="",val_blankRefText,_xldudf_CX_GET(CX_ENTITY,$F87,AZ$11,AZ$14,,(AZ$75))),_xlpm.Res,IF(OR(_xlpm.val="",_xlpm.val="Error"),"",_xlpm.val),_xlpm.Res)</f>
        <v>#NAME?</v>
      </c>
      <c r="BA87" s="1985" t="e" cm="1">
        <f t="array" ca="1" aca="1" ref="BA87">_xlfn.LET(_xlpm.val,IF($F87="",val_blankRefText,_xldudf_CX_GET(CX_ENTITY,$F87,BA$11,BA$14,,(BA$75))),_xlpm.Res,IF(OR(_xlpm.val="",_xlpm.val="Error"),"",_xlpm.val),_xlpm.Res)</f>
        <v>#NAME?</v>
      </c>
      <c r="BB87" s="1985" t="e" cm="1">
        <f t="array" ca="1" aca="1" ref="BB87">_xlfn.LET(_xlpm.val,IF($F87="",val_blankRefText,_xldudf_CX_GET(CX_ENTITY,$F87,BB$11,BB$14,,(BB$75))),_xlpm.Res,IF(OR(_xlpm.val="",_xlpm.val="Error"),"",_xlpm.val),_xlpm.Res)</f>
        <v>#NAME?</v>
      </c>
      <c r="BC87" s="1985" t="e" cm="1">
        <f t="array" ca="1" aca="1" ref="BC87">_xlfn.LET(_xlpm.val,IF($F87="",val_blankRefText,_xldudf_CX_GET(CX_ENTITY,$F87,BC$11,BC$14,,(BC$75))),_xlpm.Res,IF(OR(_xlpm.val="",_xlpm.val="Error"),"",_xlpm.val),_xlpm.Res)</f>
        <v>#NAME?</v>
      </c>
      <c r="BD87" s="1985" t="e" cm="1">
        <f t="array" ca="1" aca="1" ref="BD87">_xlfn.LET(_xlpm.val,IF($F87="",val_blankRefText,_xldudf_CX_GET(CX_ENTITY,$F87,BD$11,BD$14,,(BD$75))),_xlpm.Res,IF(OR(_xlpm.val="",_xlpm.val="Error"),"",_xlpm.val),_xlpm.Res)</f>
        <v>#NAME?</v>
      </c>
      <c r="BE87" s="1985" t="e" cm="1">
        <f t="array" ca="1" aca="1" ref="BE87">_xlfn.LET(_xlpm.val,IF($F87="",val_blankRefText,_xldudf_CX_GET(CX_ENTITY,$F87,BE$11,BE$14,,(BE$75))),_xlpm.Res,IF(OR(_xlpm.val="",_xlpm.val="Error"),"",_xlpm.val),_xlpm.Res)</f>
        <v>#NAME?</v>
      </c>
      <c r="BF87" s="1985" t="e" cm="1">
        <f t="array" ca="1" aca="1" ref="BF87">_xlfn.LET(_xlpm.val,IF($F87="",val_blankRefText,_xldudf_CX_GET(CX_ENTITY,$F87,BF$11,BF$14,,(BF$75))),_xlpm.Res,IF(OR(_xlpm.val="",_xlpm.val="Error"),"",_xlpm.val),_xlpm.Res)</f>
        <v>#NAME?</v>
      </c>
      <c r="BG87" s="1985" t="e" cm="1">
        <f t="array" ca="1" aca="1" ref="BG87">_xlfn.LET(_xlpm.val,IF($F87="",val_blankRefText,_xldudf_CX_GET(CX_ENTITY,$F87,BG$11,BG$14,,(BG$75))),_xlpm.Res,IF(OR(_xlpm.val="",_xlpm.val="Error"),"",_xlpm.val),_xlpm.Res)</f>
        <v>#NAME?</v>
      </c>
      <c r="BH87" s="1985" t="e" cm="1">
        <f t="array" ca="1" aca="1" ref="BH87">_xlfn.LET(_xlpm.val,IF($F87="",val_blankRefText,_xldudf_CX_GET(CX_ENTITY,$F87,BH$11,BH$14,,(BH$75))),_xlpm.Res,IF(OR(_xlpm.val="",_xlpm.val="Error"),"",_xlpm.val),_xlpm.Res)</f>
        <v>#NAME?</v>
      </c>
      <c r="BI87" s="1985" t="e" cm="1">
        <f t="array" ca="1" aca="1" ref="BI87">_xlfn.LET(_xlpm.val,IF($F87="",val_blankRefText,_xldudf_CX_GET(CX_ENTITY,$F87,BI$11,BI$14,,(BI$75))),_xlpm.Res,IF(OR(_xlpm.val="",_xlpm.val="Error"),"",_xlpm.val),_xlpm.Res)</f>
        <v>#NAME?</v>
      </c>
      <c r="BJ87" s="1985" t="e" cm="1">
        <f t="array" ca="1" aca="1" ref="BJ87">_xlfn.LET(_xlpm.val,IF($F87="",val_blankRefText,_xldudf_CX_GET(CX_ENTITY,$F87,BJ$11,BJ$14,,(BJ$75))),_xlpm.Res,IF(OR(_xlpm.val="",_xlpm.val="Error"),"",_xlpm.val),_xlpm.Res)</f>
        <v>#NAME?</v>
      </c>
      <c r="BK87" s="1985" t="e" cm="1">
        <f t="array" ca="1" aca="1" ref="BK87">_xlfn.LET(_xlpm.val,IF($F87="",val_blankRefText,_xldudf_CX_GET(CX_ENTITY,$F87,BK$11,BK$14,,(BK$75))),_xlpm.Res,IF(OR(_xlpm.val="",_xlpm.val="Error"),"",_xlpm.val),_xlpm.Res)</f>
        <v>#NAME?</v>
      </c>
      <c r="BL87" s="1985" t="e" cm="1">
        <f t="array" ca="1" aca="1" ref="BL87">_xlfn.LET(_xlpm.val,IF($F87="",val_blankRefText,_xldudf_CX_GET(CX_ENTITY,$F87,BL$11,BL$14,,(BL$75))),_xlpm.Res,IF(OR(_xlpm.val="",_xlpm.val="Error"),"",_xlpm.val),_xlpm.Res)</f>
        <v>#NAME?</v>
      </c>
      <c r="BM87" s="1985" t="e" cm="1">
        <f t="array" ca="1" aca="1" ref="BM87">_xlfn.LET(_xlpm.val,IF($F87="",val_blankRefText,_xldudf_CX_GET(CX_ENTITY,$F87,BM$11,BM$14,,(BM$75))),_xlpm.Res,IF(OR(_xlpm.val="",_xlpm.val="Error"),"",_xlpm.val),_xlpm.Res)</f>
        <v>#NAME?</v>
      </c>
      <c r="BN87" s="1985" t="e" cm="1">
        <f t="array" ca="1" aca="1" ref="BN87">_xlfn.LET(_xlpm.val,IF($F87="",val_blankRefText,_xldudf_CX_GET(CX_ENTITY,$F87,BN$11,BN$14,,(BN$75))),_xlpm.Res,IF(OR(_xlpm.val="",_xlpm.val="Error"),"",_xlpm.val),_xlpm.Res)</f>
        <v>#NAME?</v>
      </c>
      <c r="BO87" s="2101"/>
      <c r="BP87" s="2101"/>
      <c r="BQ87" s="2101"/>
      <c r="BR87" s="2101"/>
      <c r="BS87" s="2101"/>
      <c r="BT87" s="2101"/>
      <c r="BU87" s="2101"/>
      <c r="BV87" s="2101"/>
      <c r="BW87" s="2101"/>
      <c r="BX87" s="2101"/>
      <c r="BY87" s="2101"/>
      <c r="BZ87" s="2101"/>
      <c r="CA87" s="34"/>
      <c r="CC87" s="33"/>
      <c r="CD87" s="1461" t="e" cm="1">
        <f t="array" ca="1" aca="1" ref="CD87">_xlfn.LET(_xlpm.CheckBlank,SUM(PL!$AD87:$BN87)=0,IF(_xlpm.CheckBlank,"",SUM(_xlfn._xlws.FILTER(PL!$AD87:$BN87,(YEAR(PL!$AD$12:$BN$12)=PL!CD$12)*(array_timeline&lt;=PL!CD$11)))))</f>
        <v>#NAME?</v>
      </c>
      <c r="CE87" s="1461" t="e" cm="1">
        <f t="array" ca="1" aca="1" ref="CE87">_xlfn.LET(_xlpm.CheckBlank,SUM(PL!$AD87:$BN87)=0,IF(_xlpm.CheckBlank,"",SUM(_xlfn._xlws.FILTER(PL!$AD87:$BN87,(YEAR(PL!$AD$12:$BN$12)=PL!CE$12)*(array_timeline&lt;=PL!CE$11)))))</f>
        <v>#NAME?</v>
      </c>
      <c r="CF87" s="88"/>
      <c r="CG87" s="1461" t="e" cm="1">
        <f t="array" ca="1" aca="1" ref="CG87">_xlfn.LET(_xlpm.CheckBlank,SUM(PL!$AD87:$BN87)=0,IF(_xlpm.CheckBlank,"",SUM(_xlfn._xlws.FILTER(PL!$AD87:$BN87,(YEAR(PL!$AD$12:$BN$12)=PL!CG$12)*(array_timeline&lt;=PL!CG$11)))))</f>
        <v>#NAME?</v>
      </c>
      <c r="CH87" s="1461" t="e" cm="1">
        <f t="array" ca="1" aca="1" ref="CH87">_xlfn.LET(_xlpm.CheckBlank,SUM(PL!$AD87:$BN87)=0,IF(_xlpm.CheckBlank,"",SUM(_xlfn._xlws.FILTER(PL!$AD87:$BN87,(YEAR(PL!$AD$12:$BN$12)=PL!CH$12)*(array_timeline&lt;=PL!CH$11)))))</f>
        <v>#NAME?</v>
      </c>
      <c r="CI87" s="88"/>
      <c r="CJ87" s="1461" cm="1">
        <f t="array" ref="CJ87">_xlfn.LET(_xlpm.CheckBlank,SUM(PL!$AD87:$BN87)=0,IF(_xlpm.CheckBlank,"",SUM(_xlfn.TAKE(_xlfn.DROP(PL!$AD87:$BN87,,-DATEDIFF(PL!CJ$11,val_asOfDate,"M")),1,-12))))</f>
        <v>12</v>
      </c>
      <c r="CK87" s="1461" cm="1">
        <f t="array" ref="CK87">_xlfn.LET(_xlpm.CheckBlank,SUM(PL!$AD87:$BN87)=0,IF(_xlpm.CheckBlank,"",SUM(_xlfn.TAKE(_xlfn.DROP(PL!$AD87:$BN87,,-DATEDIFF(PL!CK$11,val_asOfDate,"M")),1,-12))))</f>
        <v>12</v>
      </c>
      <c r="CL87" s="88"/>
      <c r="CM87" s="1168" t="e">
        <f t="shared" ca="1" si="21"/>
        <v>#NAME?</v>
      </c>
      <c r="CN87" s="1168" t="e">
        <f t="shared" ca="1" si="21"/>
        <v>#NAME?</v>
      </c>
      <c r="CO87" s="1169"/>
      <c r="CP87" s="1168" t="e">
        <f t="shared" ca="1" si="22"/>
        <v>#NAME?</v>
      </c>
      <c r="CQ87" s="1168" t="e">
        <f t="shared" ca="1" si="22"/>
        <v>#NAME?</v>
      </c>
      <c r="CR87" s="34"/>
    </row>
    <row r="88" spans="1:96" ht="21" customHeight="1" outlineLevel="1">
      <c r="A88" s="1322"/>
      <c r="B88" s="577" t="s">
        <v>200</v>
      </c>
      <c r="C88" s="2125" t="s">
        <v>1542</v>
      </c>
      <c r="D88" s="577"/>
      <c r="E88" s="577" t="e" cm="1">
        <f t="array" ca="1" aca="1" ref="E88">_xlfn.LET(_xlpm.Attr,$C88,_xlpm.Lookback,$E$16,_xlpm.QueryDate,EOMONTH(val_asOfDate,_xlpm.Lookback),_xlpm.ReadField,_xldudf_CX_GET(CX_ENTITY,fx_attrConverter($C88),_xlpm.QueryDate),_xlpm.AttrBlank,_xlpm.Attr="",_xlpm.RESULT,IF(_xlpm.AttrBlank,val_blankRefText,fx_attrConverter(_xlpm.ReadField,0)),IF(_xlpm.RESULT="Error","",_xlpm.RESULT))</f>
        <v>#NAME?</v>
      </c>
      <c r="F88" s="577" t="str">
        <f t="shared" si="17"/>
        <v>Adjusted EBITDA</v>
      </c>
      <c r="G88" s="577" t="s">
        <v>1598</v>
      </c>
      <c r="H88" s="3279">
        <v>2</v>
      </c>
      <c r="I88" s="3279">
        <v>1</v>
      </c>
      <c r="J88" s="578"/>
      <c r="K88" s="578"/>
      <c r="L88" s="578">
        <v>-1</v>
      </c>
      <c r="N88" s="158"/>
      <c r="O88" s="101"/>
      <c r="P88" s="52"/>
      <c r="Q88" s="101"/>
      <c r="R88" s="126"/>
      <c r="S88" s="101"/>
      <c r="T88" s="101"/>
      <c r="U88" s="39"/>
      <c r="W88" s="91" t="str">
        <f t="shared" si="18"/>
        <v>Budget</v>
      </c>
      <c r="X88" s="884">
        <v>0</v>
      </c>
      <c r="Y88" s="1134" t="e">
        <f t="shared" ca="1" si="19"/>
        <v>#NAME?</v>
      </c>
      <c r="Z88" s="198" cm="1">
        <f t="array" ref="Z88">_xlfn.SWITCH(TRUE,ISBLANK(_PL!$L88),"",_PL!$L88=TRUE,1,_PL!$L88=FALSE,-1,_PL!$L88=-1,0,"n/a")</f>
        <v>0</v>
      </c>
      <c r="AA88" s="200"/>
      <c r="AB88" s="1134" t="str">
        <f t="shared" si="20"/>
        <v>Adjusted EBITDA</v>
      </c>
      <c r="AC88" s="125" t="e" vm="5" cm="1">
        <f t="array" ref="AC88">_xlfn.LET(_xlpm.Def,IF(_xlfn.XMATCH(AB88,tbl_acctDef[Term],0)&gt;0,fx_getIcon("find"),""),_xlpm.Adj,IF(_xlfn.XMATCH(AB88,tbl_adjExample[Items],0)&gt;0,fx_getIcon("find"),""),IFERROR(IFBLANK(_xlpm.Def,_xlpm.Adj),""))</f>
        <v>#VALUE!</v>
      </c>
      <c r="AD88" s="1985" t="e" cm="1">
        <f t="array" ca="1" aca="1" ref="AD88">_xlfn.LET(_xlpm.val,IF($F88="",val_blankRefText,_xldudf_CX_GET(CX_ENTITY,$F88,AD$11,AD$14,,(AD$75))),_xlpm.Res,IF(OR(_xlpm.val="",_xlpm.val="Error"),"",_xlpm.val),_xlpm.Res)</f>
        <v>#NAME?</v>
      </c>
      <c r="AE88" s="1985" t="e" cm="1">
        <f t="array" ca="1" aca="1" ref="AE88">_xlfn.LET(_xlpm.val,IF($F88="",val_blankRefText,_xldudf_CX_GET(CX_ENTITY,$F88,AE$11,AE$14,,(AE$75))),_xlpm.Res,IF(OR(_xlpm.val="",_xlpm.val="Error"),"",_xlpm.val),_xlpm.Res)</f>
        <v>#NAME?</v>
      </c>
      <c r="AF88" s="1985" t="e" cm="1">
        <f t="array" ca="1" aca="1" ref="AF88">_xlfn.LET(_xlpm.val,IF($F88="",val_blankRefText,_xldudf_CX_GET(CX_ENTITY,$F88,AF$11,AF$14,,(AF$75))),_xlpm.Res,IF(OR(_xlpm.val="",_xlpm.val="Error"),"",_xlpm.val),_xlpm.Res)</f>
        <v>#NAME?</v>
      </c>
      <c r="AG88" s="1985" t="e" cm="1">
        <f t="array" ca="1" aca="1" ref="AG88">_xlfn.LET(_xlpm.val,IF($F88="",val_blankRefText,_xldudf_CX_GET(CX_ENTITY,$F88,AG$11,AG$14,,(AG$75))),_xlpm.Res,IF(OR(_xlpm.val="",_xlpm.val="Error"),"",_xlpm.val),_xlpm.Res)</f>
        <v>#NAME?</v>
      </c>
      <c r="AH88" s="1985" t="e" cm="1">
        <f t="array" ca="1" aca="1" ref="AH88">_xlfn.LET(_xlpm.val,IF($F88="",val_blankRefText,_xldudf_CX_GET(CX_ENTITY,$F88,AH$11,AH$14,,(AH$75))),_xlpm.Res,IF(OR(_xlpm.val="",_xlpm.val="Error"),"",_xlpm.val),_xlpm.Res)</f>
        <v>#NAME?</v>
      </c>
      <c r="AI88" s="1985" t="e" cm="1">
        <f t="array" ca="1" aca="1" ref="AI88">_xlfn.LET(_xlpm.val,IF($F88="",val_blankRefText,_xldudf_CX_GET(CX_ENTITY,$F88,AI$11,AI$14,,(AI$75))),_xlpm.Res,IF(OR(_xlpm.val="",_xlpm.val="Error"),"",_xlpm.val),_xlpm.Res)</f>
        <v>#NAME?</v>
      </c>
      <c r="AJ88" s="1985" t="e" cm="1">
        <f t="array" ca="1" aca="1" ref="AJ88">_xlfn.LET(_xlpm.val,IF($F88="",val_blankRefText,_xldudf_CX_GET(CX_ENTITY,$F88,AJ$11,AJ$14,,(AJ$75))),_xlpm.Res,IF(OR(_xlpm.val="",_xlpm.val="Error"),"",_xlpm.val),_xlpm.Res)</f>
        <v>#NAME?</v>
      </c>
      <c r="AK88" s="1985" t="e" cm="1">
        <f t="array" ca="1" aca="1" ref="AK88">_xlfn.LET(_xlpm.val,IF($F88="",val_blankRefText,_xldudf_CX_GET(CX_ENTITY,$F88,AK$11,AK$14,,(AK$75))),_xlpm.Res,IF(OR(_xlpm.val="",_xlpm.val="Error"),"",_xlpm.val),_xlpm.Res)</f>
        <v>#NAME?</v>
      </c>
      <c r="AL88" s="1985" t="e" cm="1">
        <f t="array" ca="1" aca="1" ref="AL88">_xlfn.LET(_xlpm.val,IF($F88="",val_blankRefText,_xldudf_CX_GET(CX_ENTITY,$F88,AL$11,AL$14,,(AL$75))),_xlpm.Res,IF(OR(_xlpm.val="",_xlpm.val="Error"),"",_xlpm.val),_xlpm.Res)</f>
        <v>#NAME?</v>
      </c>
      <c r="AM88" s="1985" t="e" cm="1">
        <f t="array" ca="1" aca="1" ref="AM88">_xlfn.LET(_xlpm.val,IF($F88="",val_blankRefText,_xldudf_CX_GET(CX_ENTITY,$F88,AM$11,AM$14,,(AM$75))),_xlpm.Res,IF(OR(_xlpm.val="",_xlpm.val="Error"),"",_xlpm.val),_xlpm.Res)</f>
        <v>#NAME?</v>
      </c>
      <c r="AN88" s="1985" t="e" cm="1">
        <f t="array" ca="1" aca="1" ref="AN88">_xlfn.LET(_xlpm.val,IF($F88="",val_blankRefText,_xldudf_CX_GET(CX_ENTITY,$F88,AN$11,AN$14,,(AN$75))),_xlpm.Res,IF(OR(_xlpm.val="",_xlpm.val="Error"),"",_xlpm.val),_xlpm.Res)</f>
        <v>#NAME?</v>
      </c>
      <c r="AO88" s="1985" t="e" cm="1">
        <f t="array" ca="1" aca="1" ref="AO88">_xlfn.LET(_xlpm.val,IF($F88="",val_blankRefText,_xldudf_CX_GET(CX_ENTITY,$F88,AO$11,AO$14,,(AO$75))),_xlpm.Res,IF(OR(_xlpm.val="",_xlpm.val="Error"),"",_xlpm.val),_xlpm.Res)</f>
        <v>#NAME?</v>
      </c>
      <c r="AP88" s="1985" t="e" cm="1">
        <f t="array" ca="1" aca="1" ref="AP88">_xlfn.LET(_xlpm.val,IF($F88="",val_blankRefText,_xldudf_CX_GET(CX_ENTITY,$F88,AP$11,AP$14,,(AP$75))),_xlpm.Res,IF(OR(_xlpm.val="",_xlpm.val="Error"),"",_xlpm.val),_xlpm.Res)</f>
        <v>#NAME?</v>
      </c>
      <c r="AQ88" s="1985" t="e" cm="1">
        <f t="array" ca="1" aca="1" ref="AQ88">_xlfn.LET(_xlpm.val,IF($F88="",val_blankRefText,_xldudf_CX_GET(CX_ENTITY,$F88,AQ$11,AQ$14,,(AQ$75))),_xlpm.Res,IF(OR(_xlpm.val="",_xlpm.val="Error"),"",_xlpm.val),_xlpm.Res)</f>
        <v>#NAME?</v>
      </c>
      <c r="AR88" s="1985" t="e" cm="1">
        <f t="array" ca="1" aca="1" ref="AR88">_xlfn.LET(_xlpm.val,IF($F88="",val_blankRefText,_xldudf_CX_GET(CX_ENTITY,$F88,AR$11,AR$14,,(AR$75))),_xlpm.Res,IF(OR(_xlpm.val="",_xlpm.val="Error"),"",_xlpm.val),_xlpm.Res)</f>
        <v>#NAME?</v>
      </c>
      <c r="AS88" s="1985" t="e" cm="1">
        <f t="array" ca="1" aca="1" ref="AS88">_xlfn.LET(_xlpm.val,IF($F88="",val_blankRefText,_xldudf_CX_GET(CX_ENTITY,$F88,AS$11,AS$14,,(AS$75))),_xlpm.Res,IF(OR(_xlpm.val="",_xlpm.val="Error"),"",_xlpm.val),_xlpm.Res)</f>
        <v>#NAME?</v>
      </c>
      <c r="AT88" s="1985" t="e" cm="1">
        <f t="array" ca="1" aca="1" ref="AT88">_xlfn.LET(_xlpm.val,IF($F88="",val_blankRefText,_xldudf_CX_GET(CX_ENTITY,$F88,AT$11,AT$14,,(AT$75))),_xlpm.Res,IF(OR(_xlpm.val="",_xlpm.val="Error"),"",_xlpm.val),_xlpm.Res)</f>
        <v>#NAME?</v>
      </c>
      <c r="AU88" s="1985" t="e" cm="1">
        <f t="array" ca="1" aca="1" ref="AU88">_xlfn.LET(_xlpm.val,IF($F88="",val_blankRefText,_xldudf_CX_GET(CX_ENTITY,$F88,AU$11,AU$14,,(AU$75))),_xlpm.Res,IF(OR(_xlpm.val="",_xlpm.val="Error"),"",_xlpm.val),_xlpm.Res)</f>
        <v>#NAME?</v>
      </c>
      <c r="AV88" s="1985" t="e" cm="1">
        <f t="array" ca="1" aca="1" ref="AV88">_xlfn.LET(_xlpm.val,IF($F88="",val_blankRefText,_xldudf_CX_GET(CX_ENTITY,$F88,AV$11,AV$14,,(AV$75))),_xlpm.Res,IF(OR(_xlpm.val="",_xlpm.val="Error"),"",_xlpm.val),_xlpm.Res)</f>
        <v>#NAME?</v>
      </c>
      <c r="AW88" s="1985" t="e" cm="1">
        <f t="array" ca="1" aca="1" ref="AW88">_xlfn.LET(_xlpm.val,IF($F88="",val_blankRefText,_xldudf_CX_GET(CX_ENTITY,$F88,AW$11,AW$14,,(AW$75))),_xlpm.Res,IF(OR(_xlpm.val="",_xlpm.val="Error"),"",_xlpm.val),_xlpm.Res)</f>
        <v>#NAME?</v>
      </c>
      <c r="AX88" s="1985" t="e" cm="1">
        <f t="array" ca="1" aca="1" ref="AX88">_xlfn.LET(_xlpm.val,IF($F88="",val_blankRefText,_xldudf_CX_GET(CX_ENTITY,$F88,AX$11,AX$14,,(AX$75))),_xlpm.Res,IF(OR(_xlpm.val="",_xlpm.val="Error"),"",_xlpm.val),_xlpm.Res)</f>
        <v>#NAME?</v>
      </c>
      <c r="AY88" s="1985" t="e" cm="1">
        <f t="array" ca="1" aca="1" ref="AY88">_xlfn.LET(_xlpm.val,IF($F88="",val_blankRefText,_xldudf_CX_GET(CX_ENTITY,$F88,AY$11,AY$14,,(AY$75))),_xlpm.Res,IF(OR(_xlpm.val="",_xlpm.val="Error"),"",_xlpm.val),_xlpm.Res)</f>
        <v>#NAME?</v>
      </c>
      <c r="AZ88" s="1985" t="e" cm="1">
        <f t="array" ca="1" aca="1" ref="AZ88">_xlfn.LET(_xlpm.val,IF($F88="",val_blankRefText,_xldudf_CX_GET(CX_ENTITY,$F88,AZ$11,AZ$14,,(AZ$75))),_xlpm.Res,IF(OR(_xlpm.val="",_xlpm.val="Error"),"",_xlpm.val),_xlpm.Res)</f>
        <v>#NAME?</v>
      </c>
      <c r="BA88" s="1985" t="e" cm="1">
        <f t="array" ca="1" aca="1" ref="BA88">_xlfn.LET(_xlpm.val,IF($F88="",val_blankRefText,_xldudf_CX_GET(CX_ENTITY,$F88,BA$11,BA$14,,(BA$75))),_xlpm.Res,IF(OR(_xlpm.val="",_xlpm.val="Error"),"",_xlpm.val),_xlpm.Res)</f>
        <v>#NAME?</v>
      </c>
      <c r="BB88" s="1985" t="e" cm="1">
        <f t="array" ca="1" aca="1" ref="BB88">_xlfn.LET(_xlpm.val,IF($F88="",val_blankRefText,_xldudf_CX_GET(CX_ENTITY,$F88,BB$11,BB$14,,(BB$75))),_xlpm.Res,IF(OR(_xlpm.val="",_xlpm.val="Error"),"",_xlpm.val),_xlpm.Res)</f>
        <v>#NAME?</v>
      </c>
      <c r="BC88" s="1985" t="e" cm="1">
        <f t="array" ca="1" aca="1" ref="BC88">_xlfn.LET(_xlpm.val,IF($F88="",val_blankRefText,_xldudf_CX_GET(CX_ENTITY,$F88,BC$11,BC$14,,(BC$75))),_xlpm.Res,IF(OR(_xlpm.val="",_xlpm.val="Error"),"",_xlpm.val),_xlpm.Res)</f>
        <v>#NAME?</v>
      </c>
      <c r="BD88" s="1985" t="e" cm="1">
        <f t="array" ca="1" aca="1" ref="BD88">_xlfn.LET(_xlpm.val,IF($F88="",val_blankRefText,_xldudf_CX_GET(CX_ENTITY,$F88,BD$11,BD$14,,(BD$75))),_xlpm.Res,IF(OR(_xlpm.val="",_xlpm.val="Error"),"",_xlpm.val),_xlpm.Res)</f>
        <v>#NAME?</v>
      </c>
      <c r="BE88" s="1985" t="e" cm="1">
        <f t="array" ca="1" aca="1" ref="BE88">_xlfn.LET(_xlpm.val,IF($F88="",val_blankRefText,_xldudf_CX_GET(CX_ENTITY,$F88,BE$11,BE$14,,(BE$75))),_xlpm.Res,IF(OR(_xlpm.val="",_xlpm.val="Error"),"",_xlpm.val),_xlpm.Res)</f>
        <v>#NAME?</v>
      </c>
      <c r="BF88" s="1985" t="e" cm="1">
        <f t="array" ca="1" aca="1" ref="BF88">_xlfn.LET(_xlpm.val,IF($F88="",val_blankRefText,_xldudf_CX_GET(CX_ENTITY,$F88,BF$11,BF$14,,(BF$75))),_xlpm.Res,IF(OR(_xlpm.val="",_xlpm.val="Error"),"",_xlpm.val),_xlpm.Res)</f>
        <v>#NAME?</v>
      </c>
      <c r="BG88" s="1985" t="e" cm="1">
        <f t="array" ca="1" aca="1" ref="BG88">_xlfn.LET(_xlpm.val,IF($F88="",val_blankRefText,_xldudf_CX_GET(CX_ENTITY,$F88,BG$11,BG$14,,(BG$75))),_xlpm.Res,IF(OR(_xlpm.val="",_xlpm.val="Error"),"",_xlpm.val),_xlpm.Res)</f>
        <v>#NAME?</v>
      </c>
      <c r="BH88" s="1985" t="e" cm="1">
        <f t="array" ca="1" aca="1" ref="BH88">_xlfn.LET(_xlpm.val,IF($F88="",val_blankRefText,_xldudf_CX_GET(CX_ENTITY,$F88,BH$11,BH$14,,(BH$75))),_xlpm.Res,IF(OR(_xlpm.val="",_xlpm.val="Error"),"",_xlpm.val),_xlpm.Res)</f>
        <v>#NAME?</v>
      </c>
      <c r="BI88" s="1985" t="e" cm="1">
        <f t="array" ca="1" aca="1" ref="BI88">_xlfn.LET(_xlpm.val,IF($F88="",val_blankRefText,_xldudf_CX_GET(CX_ENTITY,$F88,BI$11,BI$14,,(BI$75))),_xlpm.Res,IF(OR(_xlpm.val="",_xlpm.val="Error"),"",_xlpm.val),_xlpm.Res)</f>
        <v>#NAME?</v>
      </c>
      <c r="BJ88" s="1985" t="e" cm="1">
        <f t="array" ca="1" aca="1" ref="BJ88">_xlfn.LET(_xlpm.val,IF($F88="",val_blankRefText,_xldudf_CX_GET(CX_ENTITY,$F88,BJ$11,BJ$14,,(BJ$75))),_xlpm.Res,IF(OR(_xlpm.val="",_xlpm.val="Error"),"",_xlpm.val),_xlpm.Res)</f>
        <v>#NAME?</v>
      </c>
      <c r="BK88" s="1985" t="e" cm="1">
        <f t="array" ca="1" aca="1" ref="BK88">_xlfn.LET(_xlpm.val,IF($F88="",val_blankRefText,_xldudf_CX_GET(CX_ENTITY,$F88,BK$11,BK$14,,(BK$75))),_xlpm.Res,IF(OR(_xlpm.val="",_xlpm.val="Error"),"",_xlpm.val),_xlpm.Res)</f>
        <v>#NAME?</v>
      </c>
      <c r="BL88" s="1985" t="e" cm="1">
        <f t="array" ca="1" aca="1" ref="BL88">_xlfn.LET(_xlpm.val,IF($F88="",val_blankRefText,_xldudf_CX_GET(CX_ENTITY,$F88,BL$11,BL$14,,(BL$75))),_xlpm.Res,IF(OR(_xlpm.val="",_xlpm.val="Error"),"",_xlpm.val),_xlpm.Res)</f>
        <v>#NAME?</v>
      </c>
      <c r="BM88" s="1985" t="e" cm="1">
        <f t="array" ca="1" aca="1" ref="BM88">_xlfn.LET(_xlpm.val,IF($F88="",val_blankRefText,_xldudf_CX_GET(CX_ENTITY,$F88,BM$11,BM$14,,(BM$75))),_xlpm.Res,IF(OR(_xlpm.val="",_xlpm.val="Error"),"",_xlpm.val),_xlpm.Res)</f>
        <v>#NAME?</v>
      </c>
      <c r="BN88" s="1985" t="e" cm="1">
        <f t="array" ca="1" aca="1" ref="BN88">_xlfn.LET(_xlpm.val,IF($F88="",val_blankRefText,_xldudf_CX_GET(CX_ENTITY,$F88,BN$11,BN$14,,(BN$75))),_xlpm.Res,IF(OR(_xlpm.val="",_xlpm.val="Error"),"",_xlpm.val),_xlpm.Res)</f>
        <v>#NAME?</v>
      </c>
      <c r="BO88" s="2101"/>
      <c r="BP88" s="2101"/>
      <c r="BQ88" s="2101"/>
      <c r="BR88" s="2101"/>
      <c r="BS88" s="2101"/>
      <c r="BT88" s="2101"/>
      <c r="BU88" s="2101"/>
      <c r="BV88" s="2101"/>
      <c r="BW88" s="2101"/>
      <c r="BX88" s="2101"/>
      <c r="BY88" s="2101"/>
      <c r="BZ88" s="2101"/>
      <c r="CA88" s="34"/>
      <c r="CC88" s="33"/>
      <c r="CD88" s="1461" t="e" cm="1">
        <f t="array" ca="1" aca="1" ref="CD88">_xlfn.LET(_xlpm.CheckBlank,SUM(PL!$AD88:$BN88)=0,IF(_xlpm.CheckBlank,"",SUM(_xlfn._xlws.FILTER(PL!$AD88:$BN88,(YEAR(PL!$AD$12:$BN$12)=PL!CD$12)*(array_timeline&lt;=PL!CD$11)))))</f>
        <v>#NAME?</v>
      </c>
      <c r="CE88" s="1461" t="e" cm="1">
        <f t="array" ca="1" aca="1" ref="CE88">_xlfn.LET(_xlpm.CheckBlank,SUM(PL!$AD88:$BN88)=0,IF(_xlpm.CheckBlank,"",SUM(_xlfn._xlws.FILTER(PL!$AD88:$BN88,(YEAR(PL!$AD$12:$BN$12)=PL!CE$12)*(array_timeline&lt;=PL!CE$11)))))</f>
        <v>#NAME?</v>
      </c>
      <c r="CF88" s="88"/>
      <c r="CG88" s="1461" t="e" cm="1">
        <f t="array" ca="1" aca="1" ref="CG88">_xlfn.LET(_xlpm.CheckBlank,SUM(PL!$AD88:$BN88)=0,IF(_xlpm.CheckBlank,"",SUM(_xlfn._xlws.FILTER(PL!$AD88:$BN88,(YEAR(PL!$AD$12:$BN$12)=PL!CG$12)*(array_timeline&lt;=PL!CG$11)))))</f>
        <v>#NAME?</v>
      </c>
      <c r="CH88" s="1461" t="e" cm="1">
        <f t="array" ca="1" aca="1" ref="CH88">_xlfn.LET(_xlpm.CheckBlank,SUM(PL!$AD88:$BN88)=0,IF(_xlpm.CheckBlank,"",SUM(_xlfn._xlws.FILTER(PL!$AD88:$BN88,(YEAR(PL!$AD$12:$BN$12)=PL!CH$12)*(array_timeline&lt;=PL!CH$11)))))</f>
        <v>#NAME?</v>
      </c>
      <c r="CI88" s="88"/>
      <c r="CJ88" s="1461" cm="1">
        <f t="array" ref="CJ88">_xlfn.LET(_xlpm.CheckBlank,SUM(PL!$AD88:$BN88)=0,IF(_xlpm.CheckBlank,"",SUM(_xlfn.TAKE(_xlfn.DROP(PL!$AD88:$BN88,,-DATEDIFF(PL!CJ$11,val_asOfDate,"M")),1,-12))))</f>
        <v>108</v>
      </c>
      <c r="CK88" s="1461" cm="1">
        <f t="array" ref="CK88">_xlfn.LET(_xlpm.CheckBlank,SUM(PL!$AD88:$BN88)=0,IF(_xlpm.CheckBlank,"",SUM(_xlfn.TAKE(_xlfn.DROP(PL!$AD88:$BN88,,-DATEDIFF(PL!CK$11,val_asOfDate,"M")),1,-12))))</f>
        <v>108</v>
      </c>
      <c r="CL88" s="88"/>
      <c r="CM88" s="1168" t="e">
        <f t="shared" ca="1" si="21"/>
        <v>#NAME?</v>
      </c>
      <c r="CN88" s="1168" t="e">
        <f t="shared" ca="1" si="21"/>
        <v>#NAME?</v>
      </c>
      <c r="CO88" s="1169"/>
      <c r="CP88" s="1168" t="e">
        <f t="shared" ca="1" si="22"/>
        <v>#NAME?</v>
      </c>
      <c r="CQ88" s="1168" t="e">
        <f t="shared" ca="1" si="22"/>
        <v>#NAME?</v>
      </c>
      <c r="CR88" s="34"/>
    </row>
    <row r="89" spans="1:96" ht="21" customHeight="1" outlineLevel="1">
      <c r="A89" s="1322"/>
      <c r="B89" s="577" t="s">
        <v>651</v>
      </c>
      <c r="C89" s="2125" t="s">
        <v>1543</v>
      </c>
      <c r="D89" s="577"/>
      <c r="E89" s="577" t="e" cm="1">
        <f t="array" ca="1" aca="1" ref="E89">_xlfn.LET(_xlpm.Attr,$C89,_xlpm.Lookback,$E$16,_xlpm.QueryDate,EOMONTH(val_asOfDate,_xlpm.Lookback),_xlpm.ReadField,_xldudf_CX_GET(CX_ENTITY,fx_attrConverter($C89),_xlpm.QueryDate),_xlpm.AttrBlank,_xlpm.Attr="",_xlpm.RESULT,IF(_xlpm.AttrBlank,val_blankRefText,fx_attrConverter(_xlpm.ReadField,0)),IF(_xlpm.RESULT="Error","",_xlpm.RESULT))</f>
        <v>#NAME?</v>
      </c>
      <c r="F89" s="577" t="str">
        <f t="shared" si="17"/>
        <v>Depreciation</v>
      </c>
      <c r="G89" s="577" t="s">
        <v>1598</v>
      </c>
      <c r="H89" s="578">
        <v>0</v>
      </c>
      <c r="I89" s="3279">
        <v>1</v>
      </c>
      <c r="J89" s="578"/>
      <c r="K89" s="578"/>
      <c r="L89" s="3269" t="b">
        <v>1</v>
      </c>
      <c r="N89" s="158"/>
      <c r="O89" s="101"/>
      <c r="P89" s="52"/>
      <c r="Q89" s="101"/>
      <c r="R89" s="126"/>
      <c r="S89" s="101"/>
      <c r="T89" s="101"/>
      <c r="U89" s="39"/>
      <c r="W89" s="91" t="str">
        <f t="shared" si="18"/>
        <v>Budget</v>
      </c>
      <c r="X89" s="884">
        <v>-1</v>
      </c>
      <c r="Y89" s="1134" t="e">
        <f t="shared" ca="1" si="19"/>
        <v>#NAME?</v>
      </c>
      <c r="Z89" s="3291" cm="1">
        <f t="array" ref="Z89">_xlfn.SWITCH(TRUE,ISBLANK(_PL!$L89),"",_PL!$L89=TRUE,1,_PL!$L89=FALSE,-1,_PL!$L89=-1,0,"n/a")</f>
        <v>1</v>
      </c>
      <c r="AA89" s="200"/>
      <c r="AB89" s="1134" t="str">
        <f t="shared" si="20"/>
        <v>Depreciation</v>
      </c>
      <c r="AC89" s="125" t="e" vm="5" cm="1">
        <f t="array" ref="AC89">_xlfn.LET(_xlpm.Def,IF(_xlfn.XMATCH(AB89,tbl_acctDef[Term],0)&gt;0,fx_getIcon("find"),""),_xlpm.Adj,IF(_xlfn.XMATCH(AB89,tbl_adjExample[Items],0)&gt;0,fx_getIcon("find"),""),IFERROR(IFBLANK(_xlpm.Def,_xlpm.Adj),""))</f>
        <v>#VALUE!</v>
      </c>
      <c r="AD89" s="1985" t="e" cm="1">
        <f t="array" ca="1" aca="1" ref="AD89">_xlfn.LET(_xlpm.val,IF($F89="",val_blankRefText,_xldudf_CX_GET(CX_ENTITY,$F89,AD$11,AD$14,,(AD$75))),_xlpm.Res,IF(OR(_xlpm.val="",_xlpm.val="Error"),"",_xlpm.val),_xlpm.Res)</f>
        <v>#NAME?</v>
      </c>
      <c r="AE89" s="1985" t="e" cm="1">
        <f t="array" ca="1" aca="1" ref="AE89">_xlfn.LET(_xlpm.val,IF($F89="",val_blankRefText,_xldudf_CX_GET(CX_ENTITY,$F89,AE$11,AE$14,,(AE$75))),_xlpm.Res,IF(OR(_xlpm.val="",_xlpm.val="Error"),"",_xlpm.val),_xlpm.Res)</f>
        <v>#NAME?</v>
      </c>
      <c r="AF89" s="1985" t="e" cm="1">
        <f t="array" ca="1" aca="1" ref="AF89">_xlfn.LET(_xlpm.val,IF($F89="",val_blankRefText,_xldudf_CX_GET(CX_ENTITY,$F89,AF$11,AF$14,,(AF$75))),_xlpm.Res,IF(OR(_xlpm.val="",_xlpm.val="Error"),"",_xlpm.val),_xlpm.Res)</f>
        <v>#NAME?</v>
      </c>
      <c r="AG89" s="1985" t="e" cm="1">
        <f t="array" ca="1" aca="1" ref="AG89">_xlfn.LET(_xlpm.val,IF($F89="",val_blankRefText,_xldudf_CX_GET(CX_ENTITY,$F89,AG$11,AG$14,,(AG$75))),_xlpm.Res,IF(OR(_xlpm.val="",_xlpm.val="Error"),"",_xlpm.val),_xlpm.Res)</f>
        <v>#NAME?</v>
      </c>
      <c r="AH89" s="1985" t="e" cm="1">
        <f t="array" ca="1" aca="1" ref="AH89">_xlfn.LET(_xlpm.val,IF($F89="",val_blankRefText,_xldudf_CX_GET(CX_ENTITY,$F89,AH$11,AH$14,,(AH$75))),_xlpm.Res,IF(OR(_xlpm.val="",_xlpm.val="Error"),"",_xlpm.val),_xlpm.Res)</f>
        <v>#NAME?</v>
      </c>
      <c r="AI89" s="1985" t="e" cm="1">
        <f t="array" ca="1" aca="1" ref="AI89">_xlfn.LET(_xlpm.val,IF($F89="",val_blankRefText,_xldudf_CX_GET(CX_ENTITY,$F89,AI$11,AI$14,,(AI$75))),_xlpm.Res,IF(OR(_xlpm.val="",_xlpm.val="Error"),"",_xlpm.val),_xlpm.Res)</f>
        <v>#NAME?</v>
      </c>
      <c r="AJ89" s="1985" t="e" cm="1">
        <f t="array" ca="1" aca="1" ref="AJ89">_xlfn.LET(_xlpm.val,IF($F89="",val_blankRefText,_xldudf_CX_GET(CX_ENTITY,$F89,AJ$11,AJ$14,,(AJ$75))),_xlpm.Res,IF(OR(_xlpm.val="",_xlpm.val="Error"),"",_xlpm.val),_xlpm.Res)</f>
        <v>#NAME?</v>
      </c>
      <c r="AK89" s="1985" t="e" cm="1">
        <f t="array" ca="1" aca="1" ref="AK89">_xlfn.LET(_xlpm.val,IF($F89="",val_blankRefText,_xldudf_CX_GET(CX_ENTITY,$F89,AK$11,AK$14,,(AK$75))),_xlpm.Res,IF(OR(_xlpm.val="",_xlpm.val="Error"),"",_xlpm.val),_xlpm.Res)</f>
        <v>#NAME?</v>
      </c>
      <c r="AL89" s="1985" t="e" cm="1">
        <f t="array" ca="1" aca="1" ref="AL89">_xlfn.LET(_xlpm.val,IF($F89="",val_blankRefText,_xldudf_CX_GET(CX_ENTITY,$F89,AL$11,AL$14,,(AL$75))),_xlpm.Res,IF(OR(_xlpm.val="",_xlpm.val="Error"),"",_xlpm.val),_xlpm.Res)</f>
        <v>#NAME?</v>
      </c>
      <c r="AM89" s="1985" t="e" cm="1">
        <f t="array" ca="1" aca="1" ref="AM89">_xlfn.LET(_xlpm.val,IF($F89="",val_blankRefText,_xldudf_CX_GET(CX_ENTITY,$F89,AM$11,AM$14,,(AM$75))),_xlpm.Res,IF(OR(_xlpm.val="",_xlpm.val="Error"),"",_xlpm.val),_xlpm.Res)</f>
        <v>#NAME?</v>
      </c>
      <c r="AN89" s="1985" t="e" cm="1">
        <f t="array" ca="1" aca="1" ref="AN89">_xlfn.LET(_xlpm.val,IF($F89="",val_blankRefText,_xldudf_CX_GET(CX_ENTITY,$F89,AN$11,AN$14,,(AN$75))),_xlpm.Res,IF(OR(_xlpm.val="",_xlpm.val="Error"),"",_xlpm.val),_xlpm.Res)</f>
        <v>#NAME?</v>
      </c>
      <c r="AO89" s="1985" t="e" cm="1">
        <f t="array" ca="1" aca="1" ref="AO89">_xlfn.LET(_xlpm.val,IF($F89="",val_blankRefText,_xldudf_CX_GET(CX_ENTITY,$F89,AO$11,AO$14,,(AO$75))),_xlpm.Res,IF(OR(_xlpm.val="",_xlpm.val="Error"),"",_xlpm.val),_xlpm.Res)</f>
        <v>#NAME?</v>
      </c>
      <c r="AP89" s="1985" t="e" cm="1">
        <f t="array" ca="1" aca="1" ref="AP89">_xlfn.LET(_xlpm.val,IF($F89="",val_blankRefText,_xldudf_CX_GET(CX_ENTITY,$F89,AP$11,AP$14,,(AP$75))),_xlpm.Res,IF(OR(_xlpm.val="",_xlpm.val="Error"),"",_xlpm.val),_xlpm.Res)</f>
        <v>#NAME?</v>
      </c>
      <c r="AQ89" s="1985" t="e" cm="1">
        <f t="array" ca="1" aca="1" ref="AQ89">_xlfn.LET(_xlpm.val,IF($F89="",val_blankRefText,_xldudf_CX_GET(CX_ENTITY,$F89,AQ$11,AQ$14,,(AQ$75))),_xlpm.Res,IF(OR(_xlpm.val="",_xlpm.val="Error"),"",_xlpm.val),_xlpm.Res)</f>
        <v>#NAME?</v>
      </c>
      <c r="AR89" s="1985" t="e" cm="1">
        <f t="array" ca="1" aca="1" ref="AR89">_xlfn.LET(_xlpm.val,IF($F89="",val_blankRefText,_xldudf_CX_GET(CX_ENTITY,$F89,AR$11,AR$14,,(AR$75))),_xlpm.Res,IF(OR(_xlpm.val="",_xlpm.val="Error"),"",_xlpm.val),_xlpm.Res)</f>
        <v>#NAME?</v>
      </c>
      <c r="AS89" s="1985" t="e" cm="1">
        <f t="array" ca="1" aca="1" ref="AS89">_xlfn.LET(_xlpm.val,IF($F89="",val_blankRefText,_xldudf_CX_GET(CX_ENTITY,$F89,AS$11,AS$14,,(AS$75))),_xlpm.Res,IF(OR(_xlpm.val="",_xlpm.val="Error"),"",_xlpm.val),_xlpm.Res)</f>
        <v>#NAME?</v>
      </c>
      <c r="AT89" s="1985" t="e" cm="1">
        <f t="array" ca="1" aca="1" ref="AT89">_xlfn.LET(_xlpm.val,IF($F89="",val_blankRefText,_xldudf_CX_GET(CX_ENTITY,$F89,AT$11,AT$14,,(AT$75))),_xlpm.Res,IF(OR(_xlpm.val="",_xlpm.val="Error"),"",_xlpm.val),_xlpm.Res)</f>
        <v>#NAME?</v>
      </c>
      <c r="AU89" s="1985" t="e" cm="1">
        <f t="array" ca="1" aca="1" ref="AU89">_xlfn.LET(_xlpm.val,IF($F89="",val_blankRefText,_xldudf_CX_GET(CX_ENTITY,$F89,AU$11,AU$14,,(AU$75))),_xlpm.Res,IF(OR(_xlpm.val="",_xlpm.val="Error"),"",_xlpm.val),_xlpm.Res)</f>
        <v>#NAME?</v>
      </c>
      <c r="AV89" s="1985" t="e" cm="1">
        <f t="array" ca="1" aca="1" ref="AV89">_xlfn.LET(_xlpm.val,IF($F89="",val_blankRefText,_xldudf_CX_GET(CX_ENTITY,$F89,AV$11,AV$14,,(AV$75))),_xlpm.Res,IF(OR(_xlpm.val="",_xlpm.val="Error"),"",_xlpm.val),_xlpm.Res)</f>
        <v>#NAME?</v>
      </c>
      <c r="AW89" s="1985" t="e" cm="1">
        <f t="array" ca="1" aca="1" ref="AW89">_xlfn.LET(_xlpm.val,IF($F89="",val_blankRefText,_xldudf_CX_GET(CX_ENTITY,$F89,AW$11,AW$14,,(AW$75))),_xlpm.Res,IF(OR(_xlpm.val="",_xlpm.val="Error"),"",_xlpm.val),_xlpm.Res)</f>
        <v>#NAME?</v>
      </c>
      <c r="AX89" s="1985" t="e" cm="1">
        <f t="array" ca="1" aca="1" ref="AX89">_xlfn.LET(_xlpm.val,IF($F89="",val_blankRefText,_xldudf_CX_GET(CX_ENTITY,$F89,AX$11,AX$14,,(AX$75))),_xlpm.Res,IF(OR(_xlpm.val="",_xlpm.val="Error"),"",_xlpm.val),_xlpm.Res)</f>
        <v>#NAME?</v>
      </c>
      <c r="AY89" s="1985" t="e" cm="1">
        <f t="array" ca="1" aca="1" ref="AY89">_xlfn.LET(_xlpm.val,IF($F89="",val_blankRefText,_xldudf_CX_GET(CX_ENTITY,$F89,AY$11,AY$14,,(AY$75))),_xlpm.Res,IF(OR(_xlpm.val="",_xlpm.val="Error"),"",_xlpm.val),_xlpm.Res)</f>
        <v>#NAME?</v>
      </c>
      <c r="AZ89" s="1985" t="e" cm="1">
        <f t="array" ca="1" aca="1" ref="AZ89">_xlfn.LET(_xlpm.val,IF($F89="",val_blankRefText,_xldudf_CX_GET(CX_ENTITY,$F89,AZ$11,AZ$14,,(AZ$75))),_xlpm.Res,IF(OR(_xlpm.val="",_xlpm.val="Error"),"",_xlpm.val),_xlpm.Res)</f>
        <v>#NAME?</v>
      </c>
      <c r="BA89" s="1985" t="e" cm="1">
        <f t="array" ca="1" aca="1" ref="BA89">_xlfn.LET(_xlpm.val,IF($F89="",val_blankRefText,_xldudf_CX_GET(CX_ENTITY,$F89,BA$11,BA$14,,(BA$75))),_xlpm.Res,IF(OR(_xlpm.val="",_xlpm.val="Error"),"",_xlpm.val),_xlpm.Res)</f>
        <v>#NAME?</v>
      </c>
      <c r="BB89" s="1985" t="e" cm="1">
        <f t="array" ca="1" aca="1" ref="BB89">_xlfn.LET(_xlpm.val,IF($F89="",val_blankRefText,_xldudf_CX_GET(CX_ENTITY,$F89,BB$11,BB$14,,(BB$75))),_xlpm.Res,IF(OR(_xlpm.val="",_xlpm.val="Error"),"",_xlpm.val),_xlpm.Res)</f>
        <v>#NAME?</v>
      </c>
      <c r="BC89" s="1985" t="e" cm="1">
        <f t="array" ca="1" aca="1" ref="BC89">_xlfn.LET(_xlpm.val,IF($F89="",val_blankRefText,_xldudf_CX_GET(CX_ENTITY,$F89,BC$11,BC$14,,(BC$75))),_xlpm.Res,IF(OR(_xlpm.val="",_xlpm.val="Error"),"",_xlpm.val),_xlpm.Res)</f>
        <v>#NAME?</v>
      </c>
      <c r="BD89" s="1985" t="e" cm="1">
        <f t="array" ca="1" aca="1" ref="BD89">_xlfn.LET(_xlpm.val,IF($F89="",val_blankRefText,_xldudf_CX_GET(CX_ENTITY,$F89,BD$11,BD$14,,(BD$75))),_xlpm.Res,IF(OR(_xlpm.val="",_xlpm.val="Error"),"",_xlpm.val),_xlpm.Res)</f>
        <v>#NAME?</v>
      </c>
      <c r="BE89" s="1985" t="e" cm="1">
        <f t="array" ca="1" aca="1" ref="BE89">_xlfn.LET(_xlpm.val,IF($F89="",val_blankRefText,_xldudf_CX_GET(CX_ENTITY,$F89,BE$11,BE$14,,(BE$75))),_xlpm.Res,IF(OR(_xlpm.val="",_xlpm.val="Error"),"",_xlpm.val),_xlpm.Res)</f>
        <v>#NAME?</v>
      </c>
      <c r="BF89" s="1985" t="e" cm="1">
        <f t="array" ca="1" aca="1" ref="BF89">_xlfn.LET(_xlpm.val,IF($F89="",val_blankRefText,_xldudf_CX_GET(CX_ENTITY,$F89,BF$11,BF$14,,(BF$75))),_xlpm.Res,IF(OR(_xlpm.val="",_xlpm.val="Error"),"",_xlpm.val),_xlpm.Res)</f>
        <v>#NAME?</v>
      </c>
      <c r="BG89" s="1985" t="e" cm="1">
        <f t="array" ca="1" aca="1" ref="BG89">_xlfn.LET(_xlpm.val,IF($F89="",val_blankRefText,_xldudf_CX_GET(CX_ENTITY,$F89,BG$11,BG$14,,(BG$75))),_xlpm.Res,IF(OR(_xlpm.val="",_xlpm.val="Error"),"",_xlpm.val),_xlpm.Res)</f>
        <v>#NAME?</v>
      </c>
      <c r="BH89" s="1985" t="e" cm="1">
        <f t="array" ca="1" aca="1" ref="BH89">_xlfn.LET(_xlpm.val,IF($F89="",val_blankRefText,_xldudf_CX_GET(CX_ENTITY,$F89,BH$11,BH$14,,(BH$75))),_xlpm.Res,IF(OR(_xlpm.val="",_xlpm.val="Error"),"",_xlpm.val),_xlpm.Res)</f>
        <v>#NAME?</v>
      </c>
      <c r="BI89" s="1985" t="e" cm="1">
        <f t="array" ca="1" aca="1" ref="BI89">_xlfn.LET(_xlpm.val,IF($F89="",val_blankRefText,_xldudf_CX_GET(CX_ENTITY,$F89,BI$11,BI$14,,(BI$75))),_xlpm.Res,IF(OR(_xlpm.val="",_xlpm.val="Error"),"",_xlpm.val),_xlpm.Res)</f>
        <v>#NAME?</v>
      </c>
      <c r="BJ89" s="1985" t="e" cm="1">
        <f t="array" ca="1" aca="1" ref="BJ89">_xlfn.LET(_xlpm.val,IF($F89="",val_blankRefText,_xldudf_CX_GET(CX_ENTITY,$F89,BJ$11,BJ$14,,(BJ$75))),_xlpm.Res,IF(OR(_xlpm.val="",_xlpm.val="Error"),"",_xlpm.val),_xlpm.Res)</f>
        <v>#NAME?</v>
      </c>
      <c r="BK89" s="1985" t="e" cm="1">
        <f t="array" ca="1" aca="1" ref="BK89">_xlfn.LET(_xlpm.val,IF($F89="",val_blankRefText,_xldudf_CX_GET(CX_ENTITY,$F89,BK$11,BK$14,,(BK$75))),_xlpm.Res,IF(OR(_xlpm.val="",_xlpm.val="Error"),"",_xlpm.val),_xlpm.Res)</f>
        <v>#NAME?</v>
      </c>
      <c r="BL89" s="1985" t="e" cm="1">
        <f t="array" ca="1" aca="1" ref="BL89">_xlfn.LET(_xlpm.val,IF($F89="",val_blankRefText,_xldudf_CX_GET(CX_ENTITY,$F89,BL$11,BL$14,,(BL$75))),_xlpm.Res,IF(OR(_xlpm.val="",_xlpm.val="Error"),"",_xlpm.val),_xlpm.Res)</f>
        <v>#NAME?</v>
      </c>
      <c r="BM89" s="1985" t="e" cm="1">
        <f t="array" ca="1" aca="1" ref="BM89">_xlfn.LET(_xlpm.val,IF($F89="",val_blankRefText,_xldudf_CX_GET(CX_ENTITY,$F89,BM$11,BM$14,,(BM$75))),_xlpm.Res,IF(OR(_xlpm.val="",_xlpm.val="Error"),"",_xlpm.val),_xlpm.Res)</f>
        <v>#NAME?</v>
      </c>
      <c r="BN89" s="1985" t="e" cm="1">
        <f t="array" ca="1" aca="1" ref="BN89">_xlfn.LET(_xlpm.val,IF($F89="",val_blankRefText,_xldudf_CX_GET(CX_ENTITY,$F89,BN$11,BN$14,,(BN$75))),_xlpm.Res,IF(OR(_xlpm.val="",_xlpm.val="Error"),"",_xlpm.val),_xlpm.Res)</f>
        <v>#NAME?</v>
      </c>
      <c r="BO89" s="2101"/>
      <c r="BP89" s="2101"/>
      <c r="BQ89" s="2101"/>
      <c r="BR89" s="2101"/>
      <c r="BS89" s="2101"/>
      <c r="BT89" s="2101"/>
      <c r="BU89" s="2101"/>
      <c r="BV89" s="2101"/>
      <c r="BW89" s="2101"/>
      <c r="BX89" s="2101"/>
      <c r="BY89" s="2101"/>
      <c r="BZ89" s="2101"/>
      <c r="CA89" s="34"/>
      <c r="CC89" s="33"/>
      <c r="CD89" s="1461" t="e" cm="1">
        <f t="array" ca="1" aca="1" ref="CD89">_xlfn.LET(_xlpm.CheckBlank,SUM(PL!$AD89:$BN89)=0,IF(_xlpm.CheckBlank,"",SUM(_xlfn._xlws.FILTER(PL!$AD89:$BN89,(YEAR(PL!$AD$12:$BN$12)=PL!CD$12)*(array_timeline&lt;=PL!CD$11)))))</f>
        <v>#NAME?</v>
      </c>
      <c r="CE89" s="1461" t="e" cm="1">
        <f t="array" ca="1" aca="1" ref="CE89">_xlfn.LET(_xlpm.CheckBlank,SUM(PL!$AD89:$BN89)=0,IF(_xlpm.CheckBlank,"",SUM(_xlfn._xlws.FILTER(PL!$AD89:$BN89,(YEAR(PL!$AD$12:$BN$12)=PL!CE$12)*(array_timeline&lt;=PL!CE$11)))))</f>
        <v>#NAME?</v>
      </c>
      <c r="CF89" s="88"/>
      <c r="CG89" s="1461" t="e" cm="1">
        <f t="array" ca="1" aca="1" ref="CG89">_xlfn.LET(_xlpm.CheckBlank,SUM(PL!$AD89:$BN89)=0,IF(_xlpm.CheckBlank,"",SUM(_xlfn._xlws.FILTER(PL!$AD89:$BN89,(YEAR(PL!$AD$12:$BN$12)=PL!CG$12)*(array_timeline&lt;=PL!CG$11)))))</f>
        <v>#NAME?</v>
      </c>
      <c r="CH89" s="1461" t="e" cm="1">
        <f t="array" ca="1" aca="1" ref="CH89">_xlfn.LET(_xlpm.CheckBlank,SUM(PL!$AD89:$BN89)=0,IF(_xlpm.CheckBlank,"",SUM(_xlfn._xlws.FILTER(PL!$AD89:$BN89,(YEAR(PL!$AD$12:$BN$12)=PL!CH$12)*(array_timeline&lt;=PL!CH$11)))))</f>
        <v>#NAME?</v>
      </c>
      <c r="CI89" s="88"/>
      <c r="CJ89" s="1461" cm="1">
        <f t="array" ref="CJ89">_xlfn.LET(_xlpm.CheckBlank,SUM(PL!$AD89:$BN89)=0,IF(_xlpm.CheckBlank,"",SUM(_xlfn.TAKE(_xlfn.DROP(PL!$AD89:$BN89,,-DATEDIFF(PL!CJ$11,val_asOfDate,"M")),1,-12))))</f>
        <v>12</v>
      </c>
      <c r="CK89" s="1461" cm="1">
        <f t="array" ref="CK89">_xlfn.LET(_xlpm.CheckBlank,SUM(PL!$AD89:$BN89)=0,IF(_xlpm.CheckBlank,"",SUM(_xlfn.TAKE(_xlfn.DROP(PL!$AD89:$BN89,,-DATEDIFF(PL!CK$11,val_asOfDate,"M")),1,-12))))</f>
        <v>12</v>
      </c>
      <c r="CL89" s="88"/>
      <c r="CM89" s="1168" t="e">
        <f t="shared" ca="1" si="21"/>
        <v>#NAME?</v>
      </c>
      <c r="CN89" s="1168" t="e">
        <f t="shared" ca="1" si="21"/>
        <v>#NAME?</v>
      </c>
      <c r="CO89" s="1169"/>
      <c r="CP89" s="1168" t="e">
        <f t="shared" ca="1" si="22"/>
        <v>#NAME?</v>
      </c>
      <c r="CQ89" s="1168" t="e">
        <f t="shared" ca="1" si="22"/>
        <v>#NAME?</v>
      </c>
      <c r="CR89" s="34"/>
    </row>
    <row r="90" spans="1:96" ht="21" customHeight="1" outlineLevel="1">
      <c r="A90" s="1322"/>
      <c r="B90" s="577" t="s">
        <v>1544</v>
      </c>
      <c r="C90" s="2125" t="s">
        <v>1545</v>
      </c>
      <c r="D90" s="577"/>
      <c r="E90" s="577" t="e" cm="1">
        <f t="array" ca="1" aca="1" ref="E90">_xlfn.LET(_xlpm.Attr,$C90,_xlpm.Lookback,$E$16,_xlpm.QueryDate,EOMONTH(val_asOfDate,_xlpm.Lookback),_xlpm.ReadField,_xldudf_CX_GET(CX_ENTITY,fx_attrConverter($C90),_xlpm.QueryDate),_xlpm.AttrBlank,_xlpm.Attr="",_xlpm.RESULT,IF(_xlpm.AttrBlank,val_blankRefText,fx_attrConverter(_xlpm.ReadField,0)),IF(_xlpm.RESULT="Error","",_xlpm.RESULT))</f>
        <v>#NAME?</v>
      </c>
      <c r="F90" s="577" t="str">
        <f t="shared" si="17"/>
        <v>Reported EBITA</v>
      </c>
      <c r="G90" s="577" t="s">
        <v>1598</v>
      </c>
      <c r="H90" s="3279">
        <v>2</v>
      </c>
      <c r="I90" s="3279">
        <v>1</v>
      </c>
      <c r="J90" s="578"/>
      <c r="K90" s="578"/>
      <c r="L90" s="578">
        <v>-1</v>
      </c>
      <c r="N90" s="158"/>
      <c r="O90" s="101"/>
      <c r="P90" s="52"/>
      <c r="Q90" s="101"/>
      <c r="R90" s="126"/>
      <c r="S90" s="101"/>
      <c r="T90" s="101"/>
      <c r="U90" s="39"/>
      <c r="W90" s="91" t="str">
        <f t="shared" si="18"/>
        <v>Budget</v>
      </c>
      <c r="X90" s="884">
        <v>0</v>
      </c>
      <c r="Y90" s="1134" t="e">
        <f t="shared" ca="1" si="19"/>
        <v>#NAME?</v>
      </c>
      <c r="Z90" s="198" cm="1">
        <f t="array" ref="Z90">_xlfn.SWITCH(TRUE,ISBLANK(_PL!$L90),"",_PL!$L90=TRUE,1,_PL!$L90=FALSE,-1,_PL!$L90=-1,0,"n/a")</f>
        <v>0</v>
      </c>
      <c r="AA90" s="200"/>
      <c r="AB90" s="1134" t="str">
        <f t="shared" si="20"/>
        <v>Reported EBITA</v>
      </c>
      <c r="AC90" s="125" t="str" cm="1">
        <f t="array" ref="AC90">_xlfn.LET(_xlpm.Def,IF(_xlfn.XMATCH(AB90,tbl_acctDef[Term],0)&gt;0,fx_getIcon("find"),""),_xlpm.Adj,IF(_xlfn.XMATCH(AB90,tbl_adjExample[Items],0)&gt;0,fx_getIcon("find"),""),IFERROR(IFBLANK(_xlpm.Def,_xlpm.Adj),""))</f>
        <v/>
      </c>
      <c r="AD90" s="1985" t="e" cm="1">
        <f t="array" ca="1" aca="1" ref="AD90">_xlfn.LET(_xlpm.val,IF($F90="",val_blankRefText,_xldudf_CX_GET(CX_ENTITY,$F90,AD$11,AD$14,,(AD$75))),_xlpm.Res,IF(OR(_xlpm.val="",_xlpm.val="Error"),"",_xlpm.val),_xlpm.Res)</f>
        <v>#NAME?</v>
      </c>
      <c r="AE90" s="1985" t="e" cm="1">
        <f t="array" ca="1" aca="1" ref="AE90">_xlfn.LET(_xlpm.val,IF($F90="",val_blankRefText,_xldudf_CX_GET(CX_ENTITY,$F90,AE$11,AE$14,,(AE$75))),_xlpm.Res,IF(OR(_xlpm.val="",_xlpm.val="Error"),"",_xlpm.val),_xlpm.Res)</f>
        <v>#NAME?</v>
      </c>
      <c r="AF90" s="1985" t="e" cm="1">
        <f t="array" ca="1" aca="1" ref="AF90">_xlfn.LET(_xlpm.val,IF($F90="",val_blankRefText,_xldudf_CX_GET(CX_ENTITY,$F90,AF$11,AF$14,,(AF$75))),_xlpm.Res,IF(OR(_xlpm.val="",_xlpm.val="Error"),"",_xlpm.val),_xlpm.Res)</f>
        <v>#NAME?</v>
      </c>
      <c r="AG90" s="1985" t="e" cm="1">
        <f t="array" ca="1" aca="1" ref="AG90">_xlfn.LET(_xlpm.val,IF($F90="",val_blankRefText,_xldudf_CX_GET(CX_ENTITY,$F90,AG$11,AG$14,,(AG$75))),_xlpm.Res,IF(OR(_xlpm.val="",_xlpm.val="Error"),"",_xlpm.val),_xlpm.Res)</f>
        <v>#NAME?</v>
      </c>
      <c r="AH90" s="1985" t="e" cm="1">
        <f t="array" ca="1" aca="1" ref="AH90">_xlfn.LET(_xlpm.val,IF($F90="",val_blankRefText,_xldudf_CX_GET(CX_ENTITY,$F90,AH$11,AH$14,,(AH$75))),_xlpm.Res,IF(OR(_xlpm.val="",_xlpm.val="Error"),"",_xlpm.val),_xlpm.Res)</f>
        <v>#NAME?</v>
      </c>
      <c r="AI90" s="1985" t="e" cm="1">
        <f t="array" ca="1" aca="1" ref="AI90">_xlfn.LET(_xlpm.val,IF($F90="",val_blankRefText,_xldudf_CX_GET(CX_ENTITY,$F90,AI$11,AI$14,,(AI$75))),_xlpm.Res,IF(OR(_xlpm.val="",_xlpm.val="Error"),"",_xlpm.val),_xlpm.Res)</f>
        <v>#NAME?</v>
      </c>
      <c r="AJ90" s="1985" t="e" cm="1">
        <f t="array" ca="1" aca="1" ref="AJ90">_xlfn.LET(_xlpm.val,IF($F90="",val_blankRefText,_xldudf_CX_GET(CX_ENTITY,$F90,AJ$11,AJ$14,,(AJ$75))),_xlpm.Res,IF(OR(_xlpm.val="",_xlpm.val="Error"),"",_xlpm.val),_xlpm.Res)</f>
        <v>#NAME?</v>
      </c>
      <c r="AK90" s="1985" t="e" cm="1">
        <f t="array" ca="1" aca="1" ref="AK90">_xlfn.LET(_xlpm.val,IF($F90="",val_blankRefText,_xldudf_CX_GET(CX_ENTITY,$F90,AK$11,AK$14,,(AK$75))),_xlpm.Res,IF(OR(_xlpm.val="",_xlpm.val="Error"),"",_xlpm.val),_xlpm.Res)</f>
        <v>#NAME?</v>
      </c>
      <c r="AL90" s="1985" t="e" cm="1">
        <f t="array" ca="1" aca="1" ref="AL90">_xlfn.LET(_xlpm.val,IF($F90="",val_blankRefText,_xldudf_CX_GET(CX_ENTITY,$F90,AL$11,AL$14,,(AL$75))),_xlpm.Res,IF(OR(_xlpm.val="",_xlpm.val="Error"),"",_xlpm.val),_xlpm.Res)</f>
        <v>#NAME?</v>
      </c>
      <c r="AM90" s="1985" t="e" cm="1">
        <f t="array" ca="1" aca="1" ref="AM90">_xlfn.LET(_xlpm.val,IF($F90="",val_blankRefText,_xldudf_CX_GET(CX_ENTITY,$F90,AM$11,AM$14,,(AM$75))),_xlpm.Res,IF(OR(_xlpm.val="",_xlpm.val="Error"),"",_xlpm.val),_xlpm.Res)</f>
        <v>#NAME?</v>
      </c>
      <c r="AN90" s="1985" t="e" cm="1">
        <f t="array" ca="1" aca="1" ref="AN90">_xlfn.LET(_xlpm.val,IF($F90="",val_blankRefText,_xldudf_CX_GET(CX_ENTITY,$F90,AN$11,AN$14,,(AN$75))),_xlpm.Res,IF(OR(_xlpm.val="",_xlpm.val="Error"),"",_xlpm.val),_xlpm.Res)</f>
        <v>#NAME?</v>
      </c>
      <c r="AO90" s="1985" t="e" cm="1">
        <f t="array" ca="1" aca="1" ref="AO90">_xlfn.LET(_xlpm.val,IF($F90="",val_blankRefText,_xldudf_CX_GET(CX_ENTITY,$F90,AO$11,AO$14,,(AO$75))),_xlpm.Res,IF(OR(_xlpm.val="",_xlpm.val="Error"),"",_xlpm.val),_xlpm.Res)</f>
        <v>#NAME?</v>
      </c>
      <c r="AP90" s="1985" t="e" cm="1">
        <f t="array" ca="1" aca="1" ref="AP90">_xlfn.LET(_xlpm.val,IF($F90="",val_blankRefText,_xldudf_CX_GET(CX_ENTITY,$F90,AP$11,AP$14,,(AP$75))),_xlpm.Res,IF(OR(_xlpm.val="",_xlpm.val="Error"),"",_xlpm.val),_xlpm.Res)</f>
        <v>#NAME?</v>
      </c>
      <c r="AQ90" s="1985" t="e" cm="1">
        <f t="array" ca="1" aca="1" ref="AQ90">_xlfn.LET(_xlpm.val,IF($F90="",val_blankRefText,_xldudf_CX_GET(CX_ENTITY,$F90,AQ$11,AQ$14,,(AQ$75))),_xlpm.Res,IF(OR(_xlpm.val="",_xlpm.val="Error"),"",_xlpm.val),_xlpm.Res)</f>
        <v>#NAME?</v>
      </c>
      <c r="AR90" s="1985" t="e" cm="1">
        <f t="array" ca="1" aca="1" ref="AR90">_xlfn.LET(_xlpm.val,IF($F90="",val_blankRefText,_xldudf_CX_GET(CX_ENTITY,$F90,AR$11,AR$14,,(AR$75))),_xlpm.Res,IF(OR(_xlpm.val="",_xlpm.val="Error"),"",_xlpm.val),_xlpm.Res)</f>
        <v>#NAME?</v>
      </c>
      <c r="AS90" s="1985" t="e" cm="1">
        <f t="array" ca="1" aca="1" ref="AS90">_xlfn.LET(_xlpm.val,IF($F90="",val_blankRefText,_xldudf_CX_GET(CX_ENTITY,$F90,AS$11,AS$14,,(AS$75))),_xlpm.Res,IF(OR(_xlpm.val="",_xlpm.val="Error"),"",_xlpm.val),_xlpm.Res)</f>
        <v>#NAME?</v>
      </c>
      <c r="AT90" s="1985" t="e" cm="1">
        <f t="array" ca="1" aca="1" ref="AT90">_xlfn.LET(_xlpm.val,IF($F90="",val_blankRefText,_xldudf_CX_GET(CX_ENTITY,$F90,AT$11,AT$14,,(AT$75))),_xlpm.Res,IF(OR(_xlpm.val="",_xlpm.val="Error"),"",_xlpm.val),_xlpm.Res)</f>
        <v>#NAME?</v>
      </c>
      <c r="AU90" s="1985" t="e" cm="1">
        <f t="array" ca="1" aca="1" ref="AU90">_xlfn.LET(_xlpm.val,IF($F90="",val_blankRefText,_xldudf_CX_GET(CX_ENTITY,$F90,AU$11,AU$14,,(AU$75))),_xlpm.Res,IF(OR(_xlpm.val="",_xlpm.val="Error"),"",_xlpm.val),_xlpm.Res)</f>
        <v>#NAME?</v>
      </c>
      <c r="AV90" s="1985" t="e" cm="1">
        <f t="array" ca="1" aca="1" ref="AV90">_xlfn.LET(_xlpm.val,IF($F90="",val_blankRefText,_xldudf_CX_GET(CX_ENTITY,$F90,AV$11,AV$14,,(AV$75))),_xlpm.Res,IF(OR(_xlpm.val="",_xlpm.val="Error"),"",_xlpm.val),_xlpm.Res)</f>
        <v>#NAME?</v>
      </c>
      <c r="AW90" s="1985" t="e" cm="1">
        <f t="array" ca="1" aca="1" ref="AW90">_xlfn.LET(_xlpm.val,IF($F90="",val_blankRefText,_xldudf_CX_GET(CX_ENTITY,$F90,AW$11,AW$14,,(AW$75))),_xlpm.Res,IF(OR(_xlpm.val="",_xlpm.val="Error"),"",_xlpm.val),_xlpm.Res)</f>
        <v>#NAME?</v>
      </c>
      <c r="AX90" s="1985" t="e" cm="1">
        <f t="array" ca="1" aca="1" ref="AX90">_xlfn.LET(_xlpm.val,IF($F90="",val_blankRefText,_xldudf_CX_GET(CX_ENTITY,$F90,AX$11,AX$14,,(AX$75))),_xlpm.Res,IF(OR(_xlpm.val="",_xlpm.val="Error"),"",_xlpm.val),_xlpm.Res)</f>
        <v>#NAME?</v>
      </c>
      <c r="AY90" s="1985" t="e" cm="1">
        <f t="array" ca="1" aca="1" ref="AY90">_xlfn.LET(_xlpm.val,IF($F90="",val_blankRefText,_xldudf_CX_GET(CX_ENTITY,$F90,AY$11,AY$14,,(AY$75))),_xlpm.Res,IF(OR(_xlpm.val="",_xlpm.val="Error"),"",_xlpm.val),_xlpm.Res)</f>
        <v>#NAME?</v>
      </c>
      <c r="AZ90" s="1985" t="e" cm="1">
        <f t="array" ca="1" aca="1" ref="AZ90">_xlfn.LET(_xlpm.val,IF($F90="",val_blankRefText,_xldudf_CX_GET(CX_ENTITY,$F90,AZ$11,AZ$14,,(AZ$75))),_xlpm.Res,IF(OR(_xlpm.val="",_xlpm.val="Error"),"",_xlpm.val),_xlpm.Res)</f>
        <v>#NAME?</v>
      </c>
      <c r="BA90" s="1985" t="e" cm="1">
        <f t="array" ca="1" aca="1" ref="BA90">_xlfn.LET(_xlpm.val,IF($F90="",val_blankRefText,_xldudf_CX_GET(CX_ENTITY,$F90,BA$11,BA$14,,(BA$75))),_xlpm.Res,IF(OR(_xlpm.val="",_xlpm.val="Error"),"",_xlpm.val),_xlpm.Res)</f>
        <v>#NAME?</v>
      </c>
      <c r="BB90" s="1985" t="e" cm="1">
        <f t="array" ca="1" aca="1" ref="BB90">_xlfn.LET(_xlpm.val,IF($F90="",val_blankRefText,_xldudf_CX_GET(CX_ENTITY,$F90,BB$11,BB$14,,(BB$75))),_xlpm.Res,IF(OR(_xlpm.val="",_xlpm.val="Error"),"",_xlpm.val),_xlpm.Res)</f>
        <v>#NAME?</v>
      </c>
      <c r="BC90" s="1985" t="e" cm="1">
        <f t="array" ca="1" aca="1" ref="BC90">_xlfn.LET(_xlpm.val,IF($F90="",val_blankRefText,_xldudf_CX_GET(CX_ENTITY,$F90,BC$11,BC$14,,(BC$75))),_xlpm.Res,IF(OR(_xlpm.val="",_xlpm.val="Error"),"",_xlpm.val),_xlpm.Res)</f>
        <v>#NAME?</v>
      </c>
      <c r="BD90" s="1985" t="e" cm="1">
        <f t="array" ca="1" aca="1" ref="BD90">_xlfn.LET(_xlpm.val,IF($F90="",val_blankRefText,_xldudf_CX_GET(CX_ENTITY,$F90,BD$11,BD$14,,(BD$75))),_xlpm.Res,IF(OR(_xlpm.val="",_xlpm.val="Error"),"",_xlpm.val),_xlpm.Res)</f>
        <v>#NAME?</v>
      </c>
      <c r="BE90" s="1985" t="e" cm="1">
        <f t="array" ca="1" aca="1" ref="BE90">_xlfn.LET(_xlpm.val,IF($F90="",val_blankRefText,_xldudf_CX_GET(CX_ENTITY,$F90,BE$11,BE$14,,(BE$75))),_xlpm.Res,IF(OR(_xlpm.val="",_xlpm.val="Error"),"",_xlpm.val),_xlpm.Res)</f>
        <v>#NAME?</v>
      </c>
      <c r="BF90" s="1985" t="e" cm="1">
        <f t="array" ca="1" aca="1" ref="BF90">_xlfn.LET(_xlpm.val,IF($F90="",val_blankRefText,_xldudf_CX_GET(CX_ENTITY,$F90,BF$11,BF$14,,(BF$75))),_xlpm.Res,IF(OR(_xlpm.val="",_xlpm.val="Error"),"",_xlpm.val),_xlpm.Res)</f>
        <v>#NAME?</v>
      </c>
      <c r="BG90" s="1985" t="e" cm="1">
        <f t="array" ca="1" aca="1" ref="BG90">_xlfn.LET(_xlpm.val,IF($F90="",val_blankRefText,_xldudf_CX_GET(CX_ENTITY,$F90,BG$11,BG$14,,(BG$75))),_xlpm.Res,IF(OR(_xlpm.val="",_xlpm.val="Error"),"",_xlpm.val),_xlpm.Res)</f>
        <v>#NAME?</v>
      </c>
      <c r="BH90" s="1985" t="e" cm="1">
        <f t="array" ca="1" aca="1" ref="BH90">_xlfn.LET(_xlpm.val,IF($F90="",val_blankRefText,_xldudf_CX_GET(CX_ENTITY,$F90,BH$11,BH$14,,(BH$75))),_xlpm.Res,IF(OR(_xlpm.val="",_xlpm.val="Error"),"",_xlpm.val),_xlpm.Res)</f>
        <v>#NAME?</v>
      </c>
      <c r="BI90" s="1985" t="e" cm="1">
        <f t="array" ca="1" aca="1" ref="BI90">_xlfn.LET(_xlpm.val,IF($F90="",val_blankRefText,_xldudf_CX_GET(CX_ENTITY,$F90,BI$11,BI$14,,(BI$75))),_xlpm.Res,IF(OR(_xlpm.val="",_xlpm.val="Error"),"",_xlpm.val),_xlpm.Res)</f>
        <v>#NAME?</v>
      </c>
      <c r="BJ90" s="1985" t="e" cm="1">
        <f t="array" ca="1" aca="1" ref="BJ90">_xlfn.LET(_xlpm.val,IF($F90="",val_blankRefText,_xldudf_CX_GET(CX_ENTITY,$F90,BJ$11,BJ$14,,(BJ$75))),_xlpm.Res,IF(OR(_xlpm.val="",_xlpm.val="Error"),"",_xlpm.val),_xlpm.Res)</f>
        <v>#NAME?</v>
      </c>
      <c r="BK90" s="1985" t="e" cm="1">
        <f t="array" ca="1" aca="1" ref="BK90">_xlfn.LET(_xlpm.val,IF($F90="",val_blankRefText,_xldudf_CX_GET(CX_ENTITY,$F90,BK$11,BK$14,,(BK$75))),_xlpm.Res,IF(OR(_xlpm.val="",_xlpm.val="Error"),"",_xlpm.val),_xlpm.Res)</f>
        <v>#NAME?</v>
      </c>
      <c r="BL90" s="1985" t="e" cm="1">
        <f t="array" ca="1" aca="1" ref="BL90">_xlfn.LET(_xlpm.val,IF($F90="",val_blankRefText,_xldudf_CX_GET(CX_ENTITY,$F90,BL$11,BL$14,,(BL$75))),_xlpm.Res,IF(OR(_xlpm.val="",_xlpm.val="Error"),"",_xlpm.val),_xlpm.Res)</f>
        <v>#NAME?</v>
      </c>
      <c r="BM90" s="1985" t="e" cm="1">
        <f t="array" ca="1" aca="1" ref="BM90">_xlfn.LET(_xlpm.val,IF($F90="",val_blankRefText,_xldudf_CX_GET(CX_ENTITY,$F90,BM$11,BM$14,,(BM$75))),_xlpm.Res,IF(OR(_xlpm.val="",_xlpm.val="Error"),"",_xlpm.val),_xlpm.Res)</f>
        <v>#NAME?</v>
      </c>
      <c r="BN90" s="1985" t="e" cm="1">
        <f t="array" ca="1" aca="1" ref="BN90">_xlfn.LET(_xlpm.val,IF($F90="",val_blankRefText,_xldudf_CX_GET(CX_ENTITY,$F90,BN$11,BN$14,,(BN$75))),_xlpm.Res,IF(OR(_xlpm.val="",_xlpm.val="Error"),"",_xlpm.val),_xlpm.Res)</f>
        <v>#NAME?</v>
      </c>
      <c r="BO90" s="2101"/>
      <c r="BP90" s="2101"/>
      <c r="BQ90" s="2101"/>
      <c r="BR90" s="2101"/>
      <c r="BS90" s="2101"/>
      <c r="BT90" s="2101"/>
      <c r="BU90" s="2101"/>
      <c r="BV90" s="2101"/>
      <c r="BW90" s="2101"/>
      <c r="BX90" s="2101"/>
      <c r="BY90" s="2101"/>
      <c r="BZ90" s="2101"/>
      <c r="CA90" s="34"/>
      <c r="CC90" s="33"/>
      <c r="CD90" s="1461" t="e" cm="1">
        <f t="array" ca="1" aca="1" ref="CD90">_xlfn.LET(_xlpm.CheckBlank,SUM(PL!$AD90:$BN90)=0,IF(_xlpm.CheckBlank,"",SUM(_xlfn._xlws.FILTER(PL!$AD90:$BN90,(YEAR(PL!$AD$12:$BN$12)=PL!CD$12)*(array_timeline&lt;=PL!CD$11)))))</f>
        <v>#NAME?</v>
      </c>
      <c r="CE90" s="1461" t="e" cm="1">
        <f t="array" ca="1" aca="1" ref="CE90">_xlfn.LET(_xlpm.CheckBlank,SUM(PL!$AD90:$BN90)=0,IF(_xlpm.CheckBlank,"",SUM(_xlfn._xlws.FILTER(PL!$AD90:$BN90,(YEAR(PL!$AD$12:$BN$12)=PL!CE$12)*(array_timeline&lt;=PL!CE$11)))))</f>
        <v>#NAME?</v>
      </c>
      <c r="CF90" s="88"/>
      <c r="CG90" s="1461" t="e" cm="1">
        <f t="array" ca="1" aca="1" ref="CG90">_xlfn.LET(_xlpm.CheckBlank,SUM(PL!$AD90:$BN90)=0,IF(_xlpm.CheckBlank,"",SUM(_xlfn._xlws.FILTER(PL!$AD90:$BN90,(YEAR(PL!$AD$12:$BN$12)=PL!CG$12)*(array_timeline&lt;=PL!CG$11)))))</f>
        <v>#NAME?</v>
      </c>
      <c r="CH90" s="1461" t="e" cm="1">
        <f t="array" ca="1" aca="1" ref="CH90">_xlfn.LET(_xlpm.CheckBlank,SUM(PL!$AD90:$BN90)=0,IF(_xlpm.CheckBlank,"",SUM(_xlfn._xlws.FILTER(PL!$AD90:$BN90,(YEAR(PL!$AD$12:$BN$12)=PL!CH$12)*(array_timeline&lt;=PL!CH$11)))))</f>
        <v>#NAME?</v>
      </c>
      <c r="CI90" s="88"/>
      <c r="CJ90" s="1461" cm="1">
        <f t="array" ref="CJ90">_xlfn.LET(_xlpm.CheckBlank,SUM(PL!$AD90:$BN90)=0,IF(_xlpm.CheckBlank,"",SUM(_xlfn.TAKE(_xlfn.DROP(PL!$AD90:$BN90,,-DATEDIFF(PL!CJ$11,val_asOfDate,"M")),1,-12))))</f>
        <v>48</v>
      </c>
      <c r="CK90" s="1461" cm="1">
        <f t="array" ref="CK90">_xlfn.LET(_xlpm.CheckBlank,SUM(PL!$AD90:$BN90)=0,IF(_xlpm.CheckBlank,"",SUM(_xlfn.TAKE(_xlfn.DROP(PL!$AD90:$BN90,,-DATEDIFF(PL!CK$11,val_asOfDate,"M")),1,-12))))</f>
        <v>48</v>
      </c>
      <c r="CL90" s="88"/>
      <c r="CM90" s="1168" t="e">
        <f t="shared" ca="1" si="21"/>
        <v>#NAME?</v>
      </c>
      <c r="CN90" s="1168" t="e">
        <f t="shared" ca="1" si="21"/>
        <v>#NAME?</v>
      </c>
      <c r="CO90" s="1169"/>
      <c r="CP90" s="1168" t="e">
        <f t="shared" ca="1" si="22"/>
        <v>#NAME?</v>
      </c>
      <c r="CQ90" s="1168" t="e">
        <f t="shared" ca="1" si="22"/>
        <v>#NAME?</v>
      </c>
      <c r="CR90" s="34"/>
    </row>
    <row r="91" spans="1:96" ht="21" customHeight="1" outlineLevel="1">
      <c r="A91" s="1322"/>
      <c r="B91" s="577" t="s">
        <v>657</v>
      </c>
      <c r="C91" s="2125" t="s">
        <v>1546</v>
      </c>
      <c r="D91" s="577"/>
      <c r="E91" s="577" t="e" cm="1">
        <f t="array" ca="1" aca="1" ref="E91">_xlfn.LET(_xlpm.Attr,$C91,_xlpm.Lookback,$E$16,_xlpm.QueryDate,EOMONTH(val_asOfDate,_xlpm.Lookback),_xlpm.ReadField,_xldudf_CX_GET(CX_ENTITY,fx_attrConverter($C91),_xlpm.QueryDate),_xlpm.AttrBlank,_xlpm.Attr="",_xlpm.RESULT,IF(_xlpm.AttrBlank,val_blankRefText,fx_attrConverter(_xlpm.ReadField,0)),IF(_xlpm.RESULT="Error","",_xlpm.RESULT))</f>
        <v>#NAME?</v>
      </c>
      <c r="F91" s="577" t="str">
        <f t="shared" si="17"/>
        <v>Amortization</v>
      </c>
      <c r="G91" s="577" t="s">
        <v>1598</v>
      </c>
      <c r="H91" s="578">
        <v>0</v>
      </c>
      <c r="I91" s="3279">
        <v>1</v>
      </c>
      <c r="J91" s="578"/>
      <c r="K91" s="578"/>
      <c r="L91" s="3269" t="b">
        <v>1</v>
      </c>
      <c r="N91" s="158"/>
      <c r="O91" s="101"/>
      <c r="P91" s="52"/>
      <c r="Q91" s="101"/>
      <c r="R91" s="126"/>
      <c r="S91" s="101"/>
      <c r="T91" s="101"/>
      <c r="U91" s="39"/>
      <c r="W91" s="91" t="str">
        <f t="shared" si="18"/>
        <v>Budget</v>
      </c>
      <c r="X91" s="884">
        <v>-1</v>
      </c>
      <c r="Y91" s="1134" t="e">
        <f t="shared" ca="1" si="19"/>
        <v>#NAME?</v>
      </c>
      <c r="Z91" s="3291" cm="1">
        <f t="array" ref="Z91">_xlfn.SWITCH(TRUE,ISBLANK(_PL!$L91),"",_PL!$L91=TRUE,1,_PL!$L91=FALSE,-1,_PL!$L91=-1,0,"n/a")</f>
        <v>1</v>
      </c>
      <c r="AA91" s="200"/>
      <c r="AB91" s="1134" t="str">
        <f t="shared" si="20"/>
        <v>Amortization</v>
      </c>
      <c r="AC91" s="125" t="e" vm="5" cm="1">
        <f t="array" ref="AC91">_xlfn.LET(_xlpm.Def,IF(_xlfn.XMATCH(AB91,tbl_acctDef[Term],0)&gt;0,fx_getIcon("find"),""),_xlpm.Adj,IF(_xlfn.XMATCH(AB91,tbl_adjExample[Items],0)&gt;0,fx_getIcon("find"),""),IFERROR(IFBLANK(_xlpm.Def,_xlpm.Adj),""))</f>
        <v>#VALUE!</v>
      </c>
      <c r="AD91" s="1985" t="e" cm="1">
        <f t="array" ca="1" aca="1" ref="AD91">_xlfn.LET(_xlpm.val,IF($F91="",val_blankRefText,_xldudf_CX_GET(CX_ENTITY,$F91,AD$11,AD$14,,(AD$75))),_xlpm.Res,IF(OR(_xlpm.val="",_xlpm.val="Error"),"",_xlpm.val),_xlpm.Res)</f>
        <v>#NAME?</v>
      </c>
      <c r="AE91" s="1985" t="e" cm="1">
        <f t="array" ca="1" aca="1" ref="AE91">_xlfn.LET(_xlpm.val,IF($F91="",val_blankRefText,_xldudf_CX_GET(CX_ENTITY,$F91,AE$11,AE$14,,(AE$75))),_xlpm.Res,IF(OR(_xlpm.val="",_xlpm.val="Error"),"",_xlpm.val),_xlpm.Res)</f>
        <v>#NAME?</v>
      </c>
      <c r="AF91" s="1985" t="e" cm="1">
        <f t="array" ca="1" aca="1" ref="AF91">_xlfn.LET(_xlpm.val,IF($F91="",val_blankRefText,_xldudf_CX_GET(CX_ENTITY,$F91,AF$11,AF$14,,(AF$75))),_xlpm.Res,IF(OR(_xlpm.val="",_xlpm.val="Error"),"",_xlpm.val),_xlpm.Res)</f>
        <v>#NAME?</v>
      </c>
      <c r="AG91" s="1985" t="e" cm="1">
        <f t="array" ca="1" aca="1" ref="AG91">_xlfn.LET(_xlpm.val,IF($F91="",val_blankRefText,_xldudf_CX_GET(CX_ENTITY,$F91,AG$11,AG$14,,(AG$75))),_xlpm.Res,IF(OR(_xlpm.val="",_xlpm.val="Error"),"",_xlpm.val),_xlpm.Res)</f>
        <v>#NAME?</v>
      </c>
      <c r="AH91" s="1985" t="e" cm="1">
        <f t="array" ca="1" aca="1" ref="AH91">_xlfn.LET(_xlpm.val,IF($F91="",val_blankRefText,_xldudf_CX_GET(CX_ENTITY,$F91,AH$11,AH$14,,(AH$75))),_xlpm.Res,IF(OR(_xlpm.val="",_xlpm.val="Error"),"",_xlpm.val),_xlpm.Res)</f>
        <v>#NAME?</v>
      </c>
      <c r="AI91" s="1985" t="e" cm="1">
        <f t="array" ca="1" aca="1" ref="AI91">_xlfn.LET(_xlpm.val,IF($F91="",val_blankRefText,_xldudf_CX_GET(CX_ENTITY,$F91,AI$11,AI$14,,(AI$75))),_xlpm.Res,IF(OR(_xlpm.val="",_xlpm.val="Error"),"",_xlpm.val),_xlpm.Res)</f>
        <v>#NAME?</v>
      </c>
      <c r="AJ91" s="1985" t="e" cm="1">
        <f t="array" ca="1" aca="1" ref="AJ91">_xlfn.LET(_xlpm.val,IF($F91="",val_blankRefText,_xldudf_CX_GET(CX_ENTITY,$F91,AJ$11,AJ$14,,(AJ$75))),_xlpm.Res,IF(OR(_xlpm.val="",_xlpm.val="Error"),"",_xlpm.val),_xlpm.Res)</f>
        <v>#NAME?</v>
      </c>
      <c r="AK91" s="1985" t="e" cm="1">
        <f t="array" ca="1" aca="1" ref="AK91">_xlfn.LET(_xlpm.val,IF($F91="",val_blankRefText,_xldudf_CX_GET(CX_ENTITY,$F91,AK$11,AK$14,,(AK$75))),_xlpm.Res,IF(OR(_xlpm.val="",_xlpm.val="Error"),"",_xlpm.val),_xlpm.Res)</f>
        <v>#NAME?</v>
      </c>
      <c r="AL91" s="1985" t="e" cm="1">
        <f t="array" ca="1" aca="1" ref="AL91">_xlfn.LET(_xlpm.val,IF($F91="",val_blankRefText,_xldudf_CX_GET(CX_ENTITY,$F91,AL$11,AL$14,,(AL$75))),_xlpm.Res,IF(OR(_xlpm.val="",_xlpm.val="Error"),"",_xlpm.val),_xlpm.Res)</f>
        <v>#NAME?</v>
      </c>
      <c r="AM91" s="1985" t="e" cm="1">
        <f t="array" ca="1" aca="1" ref="AM91">_xlfn.LET(_xlpm.val,IF($F91="",val_blankRefText,_xldudf_CX_GET(CX_ENTITY,$F91,AM$11,AM$14,,(AM$75))),_xlpm.Res,IF(OR(_xlpm.val="",_xlpm.val="Error"),"",_xlpm.val),_xlpm.Res)</f>
        <v>#NAME?</v>
      </c>
      <c r="AN91" s="1985" t="e" cm="1">
        <f t="array" ca="1" aca="1" ref="AN91">_xlfn.LET(_xlpm.val,IF($F91="",val_blankRefText,_xldudf_CX_GET(CX_ENTITY,$F91,AN$11,AN$14,,(AN$75))),_xlpm.Res,IF(OR(_xlpm.val="",_xlpm.val="Error"),"",_xlpm.val),_xlpm.Res)</f>
        <v>#NAME?</v>
      </c>
      <c r="AO91" s="1985" t="e" cm="1">
        <f t="array" ca="1" aca="1" ref="AO91">_xlfn.LET(_xlpm.val,IF($F91="",val_blankRefText,_xldudf_CX_GET(CX_ENTITY,$F91,AO$11,AO$14,,(AO$75))),_xlpm.Res,IF(OR(_xlpm.val="",_xlpm.val="Error"),"",_xlpm.val),_xlpm.Res)</f>
        <v>#NAME?</v>
      </c>
      <c r="AP91" s="1985" t="e" cm="1">
        <f t="array" ca="1" aca="1" ref="AP91">_xlfn.LET(_xlpm.val,IF($F91="",val_blankRefText,_xldudf_CX_GET(CX_ENTITY,$F91,AP$11,AP$14,,(AP$75))),_xlpm.Res,IF(OR(_xlpm.val="",_xlpm.val="Error"),"",_xlpm.val),_xlpm.Res)</f>
        <v>#NAME?</v>
      </c>
      <c r="AQ91" s="1985" t="e" cm="1">
        <f t="array" ca="1" aca="1" ref="AQ91">_xlfn.LET(_xlpm.val,IF($F91="",val_blankRefText,_xldudf_CX_GET(CX_ENTITY,$F91,AQ$11,AQ$14,,(AQ$75))),_xlpm.Res,IF(OR(_xlpm.val="",_xlpm.val="Error"),"",_xlpm.val),_xlpm.Res)</f>
        <v>#NAME?</v>
      </c>
      <c r="AR91" s="1985" t="e" cm="1">
        <f t="array" ca="1" aca="1" ref="AR91">_xlfn.LET(_xlpm.val,IF($F91="",val_blankRefText,_xldudf_CX_GET(CX_ENTITY,$F91,AR$11,AR$14,,(AR$75))),_xlpm.Res,IF(OR(_xlpm.val="",_xlpm.val="Error"),"",_xlpm.val),_xlpm.Res)</f>
        <v>#NAME?</v>
      </c>
      <c r="AS91" s="1985" t="e" cm="1">
        <f t="array" ca="1" aca="1" ref="AS91">_xlfn.LET(_xlpm.val,IF($F91="",val_blankRefText,_xldudf_CX_GET(CX_ENTITY,$F91,AS$11,AS$14,,(AS$75))),_xlpm.Res,IF(OR(_xlpm.val="",_xlpm.val="Error"),"",_xlpm.val),_xlpm.Res)</f>
        <v>#NAME?</v>
      </c>
      <c r="AT91" s="1985" t="e" cm="1">
        <f t="array" ca="1" aca="1" ref="AT91">_xlfn.LET(_xlpm.val,IF($F91="",val_blankRefText,_xldudf_CX_GET(CX_ENTITY,$F91,AT$11,AT$14,,(AT$75))),_xlpm.Res,IF(OR(_xlpm.val="",_xlpm.val="Error"),"",_xlpm.val),_xlpm.Res)</f>
        <v>#NAME?</v>
      </c>
      <c r="AU91" s="1985" t="e" cm="1">
        <f t="array" ca="1" aca="1" ref="AU91">_xlfn.LET(_xlpm.val,IF($F91="",val_blankRefText,_xldudf_CX_GET(CX_ENTITY,$F91,AU$11,AU$14,,(AU$75))),_xlpm.Res,IF(OR(_xlpm.val="",_xlpm.val="Error"),"",_xlpm.val),_xlpm.Res)</f>
        <v>#NAME?</v>
      </c>
      <c r="AV91" s="1985" t="e" cm="1">
        <f t="array" ca="1" aca="1" ref="AV91">_xlfn.LET(_xlpm.val,IF($F91="",val_blankRefText,_xldudf_CX_GET(CX_ENTITY,$F91,AV$11,AV$14,,(AV$75))),_xlpm.Res,IF(OR(_xlpm.val="",_xlpm.val="Error"),"",_xlpm.val),_xlpm.Res)</f>
        <v>#NAME?</v>
      </c>
      <c r="AW91" s="1985" t="e" cm="1">
        <f t="array" ca="1" aca="1" ref="AW91">_xlfn.LET(_xlpm.val,IF($F91="",val_blankRefText,_xldudf_CX_GET(CX_ENTITY,$F91,AW$11,AW$14,,(AW$75))),_xlpm.Res,IF(OR(_xlpm.val="",_xlpm.val="Error"),"",_xlpm.val),_xlpm.Res)</f>
        <v>#NAME?</v>
      </c>
      <c r="AX91" s="1985" t="e" cm="1">
        <f t="array" ca="1" aca="1" ref="AX91">_xlfn.LET(_xlpm.val,IF($F91="",val_blankRefText,_xldudf_CX_GET(CX_ENTITY,$F91,AX$11,AX$14,,(AX$75))),_xlpm.Res,IF(OR(_xlpm.val="",_xlpm.val="Error"),"",_xlpm.val),_xlpm.Res)</f>
        <v>#NAME?</v>
      </c>
      <c r="AY91" s="1985" t="e" cm="1">
        <f t="array" ca="1" aca="1" ref="AY91">_xlfn.LET(_xlpm.val,IF($F91="",val_blankRefText,_xldudf_CX_GET(CX_ENTITY,$F91,AY$11,AY$14,,(AY$75))),_xlpm.Res,IF(OR(_xlpm.val="",_xlpm.val="Error"),"",_xlpm.val),_xlpm.Res)</f>
        <v>#NAME?</v>
      </c>
      <c r="AZ91" s="1985" t="e" cm="1">
        <f t="array" ca="1" aca="1" ref="AZ91">_xlfn.LET(_xlpm.val,IF($F91="",val_blankRefText,_xldudf_CX_GET(CX_ENTITY,$F91,AZ$11,AZ$14,,(AZ$75))),_xlpm.Res,IF(OR(_xlpm.val="",_xlpm.val="Error"),"",_xlpm.val),_xlpm.Res)</f>
        <v>#NAME?</v>
      </c>
      <c r="BA91" s="1985" t="e" cm="1">
        <f t="array" ca="1" aca="1" ref="BA91">_xlfn.LET(_xlpm.val,IF($F91="",val_blankRefText,_xldudf_CX_GET(CX_ENTITY,$F91,BA$11,BA$14,,(BA$75))),_xlpm.Res,IF(OR(_xlpm.val="",_xlpm.val="Error"),"",_xlpm.val),_xlpm.Res)</f>
        <v>#NAME?</v>
      </c>
      <c r="BB91" s="1985" t="e" cm="1">
        <f t="array" ca="1" aca="1" ref="BB91">_xlfn.LET(_xlpm.val,IF($F91="",val_blankRefText,_xldudf_CX_GET(CX_ENTITY,$F91,BB$11,BB$14,,(BB$75))),_xlpm.Res,IF(OR(_xlpm.val="",_xlpm.val="Error"),"",_xlpm.val),_xlpm.Res)</f>
        <v>#NAME?</v>
      </c>
      <c r="BC91" s="1985" t="e" cm="1">
        <f t="array" ca="1" aca="1" ref="BC91">_xlfn.LET(_xlpm.val,IF($F91="",val_blankRefText,_xldudf_CX_GET(CX_ENTITY,$F91,BC$11,BC$14,,(BC$75))),_xlpm.Res,IF(OR(_xlpm.val="",_xlpm.val="Error"),"",_xlpm.val),_xlpm.Res)</f>
        <v>#NAME?</v>
      </c>
      <c r="BD91" s="1985" t="e" cm="1">
        <f t="array" ca="1" aca="1" ref="BD91">_xlfn.LET(_xlpm.val,IF($F91="",val_blankRefText,_xldudf_CX_GET(CX_ENTITY,$F91,BD$11,BD$14,,(BD$75))),_xlpm.Res,IF(OR(_xlpm.val="",_xlpm.val="Error"),"",_xlpm.val),_xlpm.Res)</f>
        <v>#NAME?</v>
      </c>
      <c r="BE91" s="1985" t="e" cm="1">
        <f t="array" ca="1" aca="1" ref="BE91">_xlfn.LET(_xlpm.val,IF($F91="",val_blankRefText,_xldudf_CX_GET(CX_ENTITY,$F91,BE$11,BE$14,,(BE$75))),_xlpm.Res,IF(OR(_xlpm.val="",_xlpm.val="Error"),"",_xlpm.val),_xlpm.Res)</f>
        <v>#NAME?</v>
      </c>
      <c r="BF91" s="1985" t="e" cm="1">
        <f t="array" ca="1" aca="1" ref="BF91">_xlfn.LET(_xlpm.val,IF($F91="",val_blankRefText,_xldudf_CX_GET(CX_ENTITY,$F91,BF$11,BF$14,,(BF$75))),_xlpm.Res,IF(OR(_xlpm.val="",_xlpm.val="Error"),"",_xlpm.val),_xlpm.Res)</f>
        <v>#NAME?</v>
      </c>
      <c r="BG91" s="1985" t="e" cm="1">
        <f t="array" ca="1" aca="1" ref="BG91">_xlfn.LET(_xlpm.val,IF($F91="",val_blankRefText,_xldudf_CX_GET(CX_ENTITY,$F91,BG$11,BG$14,,(BG$75))),_xlpm.Res,IF(OR(_xlpm.val="",_xlpm.val="Error"),"",_xlpm.val),_xlpm.Res)</f>
        <v>#NAME?</v>
      </c>
      <c r="BH91" s="1985" t="e" cm="1">
        <f t="array" ca="1" aca="1" ref="BH91">_xlfn.LET(_xlpm.val,IF($F91="",val_blankRefText,_xldudf_CX_GET(CX_ENTITY,$F91,BH$11,BH$14,,(BH$75))),_xlpm.Res,IF(OR(_xlpm.val="",_xlpm.val="Error"),"",_xlpm.val),_xlpm.Res)</f>
        <v>#NAME?</v>
      </c>
      <c r="BI91" s="1985" t="e" cm="1">
        <f t="array" ca="1" aca="1" ref="BI91">_xlfn.LET(_xlpm.val,IF($F91="",val_blankRefText,_xldudf_CX_GET(CX_ENTITY,$F91,BI$11,BI$14,,(BI$75))),_xlpm.Res,IF(OR(_xlpm.val="",_xlpm.val="Error"),"",_xlpm.val),_xlpm.Res)</f>
        <v>#NAME?</v>
      </c>
      <c r="BJ91" s="1985" t="e" cm="1">
        <f t="array" ca="1" aca="1" ref="BJ91">_xlfn.LET(_xlpm.val,IF($F91="",val_blankRefText,_xldudf_CX_GET(CX_ENTITY,$F91,BJ$11,BJ$14,,(BJ$75))),_xlpm.Res,IF(OR(_xlpm.val="",_xlpm.val="Error"),"",_xlpm.val),_xlpm.Res)</f>
        <v>#NAME?</v>
      </c>
      <c r="BK91" s="1985" t="e" cm="1">
        <f t="array" ca="1" aca="1" ref="BK91">_xlfn.LET(_xlpm.val,IF($F91="",val_blankRefText,_xldudf_CX_GET(CX_ENTITY,$F91,BK$11,BK$14,,(BK$75))),_xlpm.Res,IF(OR(_xlpm.val="",_xlpm.val="Error"),"",_xlpm.val),_xlpm.Res)</f>
        <v>#NAME?</v>
      </c>
      <c r="BL91" s="1985" t="e" cm="1">
        <f t="array" ca="1" aca="1" ref="BL91">_xlfn.LET(_xlpm.val,IF($F91="",val_blankRefText,_xldudf_CX_GET(CX_ENTITY,$F91,BL$11,BL$14,,(BL$75))),_xlpm.Res,IF(OR(_xlpm.val="",_xlpm.val="Error"),"",_xlpm.val),_xlpm.Res)</f>
        <v>#NAME?</v>
      </c>
      <c r="BM91" s="1985" t="e" cm="1">
        <f t="array" ca="1" aca="1" ref="BM91">_xlfn.LET(_xlpm.val,IF($F91="",val_blankRefText,_xldudf_CX_GET(CX_ENTITY,$F91,BM$11,BM$14,,(BM$75))),_xlpm.Res,IF(OR(_xlpm.val="",_xlpm.val="Error"),"",_xlpm.val),_xlpm.Res)</f>
        <v>#NAME?</v>
      </c>
      <c r="BN91" s="1985" t="e" cm="1">
        <f t="array" ca="1" aca="1" ref="BN91">_xlfn.LET(_xlpm.val,IF($F91="",val_blankRefText,_xldudf_CX_GET(CX_ENTITY,$F91,BN$11,BN$14,,(BN$75))),_xlpm.Res,IF(OR(_xlpm.val="",_xlpm.val="Error"),"",_xlpm.val),_xlpm.Res)</f>
        <v>#NAME?</v>
      </c>
      <c r="BO91" s="2101"/>
      <c r="BP91" s="2101"/>
      <c r="BQ91" s="2101"/>
      <c r="BR91" s="2101"/>
      <c r="BS91" s="2101"/>
      <c r="BT91" s="2101"/>
      <c r="BU91" s="2101"/>
      <c r="BV91" s="2101"/>
      <c r="BW91" s="2101"/>
      <c r="BX91" s="2101"/>
      <c r="BY91" s="2101"/>
      <c r="BZ91" s="2101"/>
      <c r="CA91" s="34"/>
      <c r="CC91" s="33"/>
      <c r="CD91" s="1461" t="e" cm="1">
        <f t="array" ca="1" aca="1" ref="CD91">_xlfn.LET(_xlpm.CheckBlank,SUM(PL!$AD91:$BN91)=0,IF(_xlpm.CheckBlank,"",SUM(_xlfn._xlws.FILTER(PL!$AD91:$BN91,(YEAR(PL!$AD$12:$BN$12)=PL!CD$12)*(array_timeline&lt;=PL!CD$11)))))</f>
        <v>#NAME?</v>
      </c>
      <c r="CE91" s="1461" t="e" cm="1">
        <f t="array" ca="1" aca="1" ref="CE91">_xlfn.LET(_xlpm.CheckBlank,SUM(PL!$AD91:$BN91)=0,IF(_xlpm.CheckBlank,"",SUM(_xlfn._xlws.FILTER(PL!$AD91:$BN91,(YEAR(PL!$AD$12:$BN$12)=PL!CE$12)*(array_timeline&lt;=PL!CE$11)))))</f>
        <v>#NAME?</v>
      </c>
      <c r="CF91" s="88"/>
      <c r="CG91" s="1461" t="e" cm="1">
        <f t="array" ca="1" aca="1" ref="CG91">_xlfn.LET(_xlpm.CheckBlank,SUM(PL!$AD91:$BN91)=0,IF(_xlpm.CheckBlank,"",SUM(_xlfn._xlws.FILTER(PL!$AD91:$BN91,(YEAR(PL!$AD$12:$BN$12)=PL!CG$12)*(array_timeline&lt;=PL!CG$11)))))</f>
        <v>#NAME?</v>
      </c>
      <c r="CH91" s="1461" t="e" cm="1">
        <f t="array" ca="1" aca="1" ref="CH91">_xlfn.LET(_xlpm.CheckBlank,SUM(PL!$AD91:$BN91)=0,IF(_xlpm.CheckBlank,"",SUM(_xlfn._xlws.FILTER(PL!$AD91:$BN91,(YEAR(PL!$AD$12:$BN$12)=PL!CH$12)*(array_timeline&lt;=PL!CH$11)))))</f>
        <v>#NAME?</v>
      </c>
      <c r="CI91" s="88"/>
      <c r="CJ91" s="1461" cm="1">
        <f t="array" ref="CJ91">_xlfn.LET(_xlpm.CheckBlank,SUM(PL!$AD91:$BN91)=0,IF(_xlpm.CheckBlank,"",SUM(_xlfn.TAKE(_xlfn.DROP(PL!$AD91:$BN91,,-DATEDIFF(PL!CJ$11,val_asOfDate,"M")),1,-12))))</f>
        <v>12</v>
      </c>
      <c r="CK91" s="1461" cm="1">
        <f t="array" ref="CK91">_xlfn.LET(_xlpm.CheckBlank,SUM(PL!$AD91:$BN91)=0,IF(_xlpm.CheckBlank,"",SUM(_xlfn.TAKE(_xlfn.DROP(PL!$AD91:$BN91,,-DATEDIFF(PL!CK$11,val_asOfDate,"M")),1,-12))))</f>
        <v>12</v>
      </c>
      <c r="CL91" s="88"/>
      <c r="CM91" s="1168" t="e">
        <f t="shared" ca="1" si="21"/>
        <v>#NAME?</v>
      </c>
      <c r="CN91" s="1168" t="e">
        <f t="shared" ca="1" si="21"/>
        <v>#NAME?</v>
      </c>
      <c r="CO91" s="1169"/>
      <c r="CP91" s="1168" t="e">
        <f t="shared" ca="1" si="22"/>
        <v>#NAME?</v>
      </c>
      <c r="CQ91" s="1168" t="e">
        <f t="shared" ca="1" si="22"/>
        <v>#NAME?</v>
      </c>
      <c r="CR91" s="34"/>
    </row>
    <row r="92" spans="1:96" ht="21" customHeight="1" outlineLevel="1">
      <c r="A92" s="1322"/>
      <c r="B92" s="577" t="s">
        <v>209</v>
      </c>
      <c r="C92" s="2125" t="s">
        <v>1547</v>
      </c>
      <c r="D92" s="577"/>
      <c r="E92" s="577" t="e" cm="1">
        <f t="array" ca="1" aca="1" ref="E92">_xlfn.LET(_xlpm.Attr,$C92,_xlpm.Lookback,$E$16,_xlpm.QueryDate,EOMONTH(val_asOfDate,_xlpm.Lookback),_xlpm.ReadField,_xldudf_CX_GET(CX_ENTITY,fx_attrConverter($C92),_xlpm.QueryDate),_xlpm.AttrBlank,_xlpm.Attr="",_xlpm.RESULT,IF(_xlpm.AttrBlank,val_blankRefText,fx_attrConverter(_xlpm.ReadField,0)),IF(_xlpm.RESULT="Error","",_xlpm.RESULT))</f>
        <v>#NAME?</v>
      </c>
      <c r="F92" s="577" t="str">
        <f t="shared" si="17"/>
        <v>Reported EBIT</v>
      </c>
      <c r="G92" s="577" t="s">
        <v>1598</v>
      </c>
      <c r="H92" s="3279">
        <v>2</v>
      </c>
      <c r="I92" s="3279">
        <v>1</v>
      </c>
      <c r="J92" s="578"/>
      <c r="K92" s="578"/>
      <c r="L92" s="578">
        <v>-1</v>
      </c>
      <c r="N92" s="158"/>
      <c r="O92" s="101"/>
      <c r="P92" s="52"/>
      <c r="Q92" s="101"/>
      <c r="R92" s="126"/>
      <c r="S92" s="101"/>
      <c r="T92" s="101"/>
      <c r="U92" s="39"/>
      <c r="W92" s="91" t="str">
        <f t="shared" si="18"/>
        <v>Budget</v>
      </c>
      <c r="X92" s="884">
        <v>0</v>
      </c>
      <c r="Y92" s="1134" t="e">
        <f t="shared" ca="1" si="19"/>
        <v>#NAME?</v>
      </c>
      <c r="Z92" s="198" cm="1">
        <f t="array" ref="Z92">_xlfn.SWITCH(TRUE,ISBLANK(_PL!$L92),"",_PL!$L92=TRUE,1,_PL!$L92=FALSE,-1,_PL!$L92=-1,0,"n/a")</f>
        <v>0</v>
      </c>
      <c r="AA92" s="200"/>
      <c r="AB92" s="1134" t="str">
        <f t="shared" si="20"/>
        <v>Reported EBIT</v>
      </c>
      <c r="AC92" s="125" t="str" cm="1">
        <f t="array" ref="AC92">_xlfn.LET(_xlpm.Def,IF(_xlfn.XMATCH(AB92,tbl_acctDef[Term],0)&gt;0,fx_getIcon("find"),""),_xlpm.Adj,IF(_xlfn.XMATCH(AB92,tbl_adjExample[Items],0)&gt;0,fx_getIcon("find"),""),IFERROR(IFBLANK(_xlpm.Def,_xlpm.Adj),""))</f>
        <v/>
      </c>
      <c r="AD92" s="1985" t="e" cm="1">
        <f t="array" ca="1" aca="1" ref="AD92">_xlfn.LET(_xlpm.val,IF($F92="",val_blankRefText,_xldudf_CX_GET(CX_ENTITY,$F92,AD$11,AD$14,,(AD$75))),_xlpm.Res,IF(OR(_xlpm.val="",_xlpm.val="Error"),"",_xlpm.val),_xlpm.Res)</f>
        <v>#NAME?</v>
      </c>
      <c r="AE92" s="1985" t="e" cm="1">
        <f t="array" ca="1" aca="1" ref="AE92">_xlfn.LET(_xlpm.val,IF($F92="",val_blankRefText,_xldudf_CX_GET(CX_ENTITY,$F92,AE$11,AE$14,,(AE$75))),_xlpm.Res,IF(OR(_xlpm.val="",_xlpm.val="Error"),"",_xlpm.val),_xlpm.Res)</f>
        <v>#NAME?</v>
      </c>
      <c r="AF92" s="1985" t="e" cm="1">
        <f t="array" ca="1" aca="1" ref="AF92">_xlfn.LET(_xlpm.val,IF($F92="",val_blankRefText,_xldudf_CX_GET(CX_ENTITY,$F92,AF$11,AF$14,,(AF$75))),_xlpm.Res,IF(OR(_xlpm.val="",_xlpm.val="Error"),"",_xlpm.val),_xlpm.Res)</f>
        <v>#NAME?</v>
      </c>
      <c r="AG92" s="1985" t="e" cm="1">
        <f t="array" ca="1" aca="1" ref="AG92">_xlfn.LET(_xlpm.val,IF($F92="",val_blankRefText,_xldudf_CX_GET(CX_ENTITY,$F92,AG$11,AG$14,,(AG$75))),_xlpm.Res,IF(OR(_xlpm.val="",_xlpm.val="Error"),"",_xlpm.val),_xlpm.Res)</f>
        <v>#NAME?</v>
      </c>
      <c r="AH92" s="1985" t="e" cm="1">
        <f t="array" ca="1" aca="1" ref="AH92">_xlfn.LET(_xlpm.val,IF($F92="",val_blankRefText,_xldudf_CX_GET(CX_ENTITY,$F92,AH$11,AH$14,,(AH$75))),_xlpm.Res,IF(OR(_xlpm.val="",_xlpm.val="Error"),"",_xlpm.val),_xlpm.Res)</f>
        <v>#NAME?</v>
      </c>
      <c r="AI92" s="1985" t="e" cm="1">
        <f t="array" ca="1" aca="1" ref="AI92">_xlfn.LET(_xlpm.val,IF($F92="",val_blankRefText,_xldudf_CX_GET(CX_ENTITY,$F92,AI$11,AI$14,,(AI$75))),_xlpm.Res,IF(OR(_xlpm.val="",_xlpm.val="Error"),"",_xlpm.val),_xlpm.Res)</f>
        <v>#NAME?</v>
      </c>
      <c r="AJ92" s="1985" t="e" cm="1">
        <f t="array" ca="1" aca="1" ref="AJ92">_xlfn.LET(_xlpm.val,IF($F92="",val_blankRefText,_xldudf_CX_GET(CX_ENTITY,$F92,AJ$11,AJ$14,,(AJ$75))),_xlpm.Res,IF(OR(_xlpm.val="",_xlpm.val="Error"),"",_xlpm.val),_xlpm.Res)</f>
        <v>#NAME?</v>
      </c>
      <c r="AK92" s="1985" t="e" cm="1">
        <f t="array" ca="1" aca="1" ref="AK92">_xlfn.LET(_xlpm.val,IF($F92="",val_blankRefText,_xldudf_CX_GET(CX_ENTITY,$F92,AK$11,AK$14,,(AK$75))),_xlpm.Res,IF(OR(_xlpm.val="",_xlpm.val="Error"),"",_xlpm.val),_xlpm.Res)</f>
        <v>#NAME?</v>
      </c>
      <c r="AL92" s="1985" t="e" cm="1">
        <f t="array" ca="1" aca="1" ref="AL92">_xlfn.LET(_xlpm.val,IF($F92="",val_blankRefText,_xldudf_CX_GET(CX_ENTITY,$F92,AL$11,AL$14,,(AL$75))),_xlpm.Res,IF(OR(_xlpm.val="",_xlpm.val="Error"),"",_xlpm.val),_xlpm.Res)</f>
        <v>#NAME?</v>
      </c>
      <c r="AM92" s="1985" t="e" cm="1">
        <f t="array" ca="1" aca="1" ref="AM92">_xlfn.LET(_xlpm.val,IF($F92="",val_blankRefText,_xldudf_CX_GET(CX_ENTITY,$F92,AM$11,AM$14,,(AM$75))),_xlpm.Res,IF(OR(_xlpm.val="",_xlpm.val="Error"),"",_xlpm.val),_xlpm.Res)</f>
        <v>#NAME?</v>
      </c>
      <c r="AN92" s="1985" t="e" cm="1">
        <f t="array" ca="1" aca="1" ref="AN92">_xlfn.LET(_xlpm.val,IF($F92="",val_blankRefText,_xldudf_CX_GET(CX_ENTITY,$F92,AN$11,AN$14,,(AN$75))),_xlpm.Res,IF(OR(_xlpm.val="",_xlpm.val="Error"),"",_xlpm.val),_xlpm.Res)</f>
        <v>#NAME?</v>
      </c>
      <c r="AO92" s="1985" t="e" cm="1">
        <f t="array" ca="1" aca="1" ref="AO92">_xlfn.LET(_xlpm.val,IF($F92="",val_blankRefText,_xldudf_CX_GET(CX_ENTITY,$F92,AO$11,AO$14,,(AO$75))),_xlpm.Res,IF(OR(_xlpm.val="",_xlpm.val="Error"),"",_xlpm.val),_xlpm.Res)</f>
        <v>#NAME?</v>
      </c>
      <c r="AP92" s="1985" t="e" cm="1">
        <f t="array" ca="1" aca="1" ref="AP92">_xlfn.LET(_xlpm.val,IF($F92="",val_blankRefText,_xldudf_CX_GET(CX_ENTITY,$F92,AP$11,AP$14,,(AP$75))),_xlpm.Res,IF(OR(_xlpm.val="",_xlpm.val="Error"),"",_xlpm.val),_xlpm.Res)</f>
        <v>#NAME?</v>
      </c>
      <c r="AQ92" s="1985" t="e" cm="1">
        <f t="array" ca="1" aca="1" ref="AQ92">_xlfn.LET(_xlpm.val,IF($F92="",val_blankRefText,_xldudf_CX_GET(CX_ENTITY,$F92,AQ$11,AQ$14,,(AQ$75))),_xlpm.Res,IF(OR(_xlpm.val="",_xlpm.val="Error"),"",_xlpm.val),_xlpm.Res)</f>
        <v>#NAME?</v>
      </c>
      <c r="AR92" s="1985" t="e" cm="1">
        <f t="array" ca="1" aca="1" ref="AR92">_xlfn.LET(_xlpm.val,IF($F92="",val_blankRefText,_xldudf_CX_GET(CX_ENTITY,$F92,AR$11,AR$14,,(AR$75))),_xlpm.Res,IF(OR(_xlpm.val="",_xlpm.val="Error"),"",_xlpm.val),_xlpm.Res)</f>
        <v>#NAME?</v>
      </c>
      <c r="AS92" s="1985" t="e" cm="1">
        <f t="array" ca="1" aca="1" ref="AS92">_xlfn.LET(_xlpm.val,IF($F92="",val_blankRefText,_xldudf_CX_GET(CX_ENTITY,$F92,AS$11,AS$14,,(AS$75))),_xlpm.Res,IF(OR(_xlpm.val="",_xlpm.val="Error"),"",_xlpm.val),_xlpm.Res)</f>
        <v>#NAME?</v>
      </c>
      <c r="AT92" s="1985" t="e" cm="1">
        <f t="array" ca="1" aca="1" ref="AT92">_xlfn.LET(_xlpm.val,IF($F92="",val_blankRefText,_xldudf_CX_GET(CX_ENTITY,$F92,AT$11,AT$14,,(AT$75))),_xlpm.Res,IF(OR(_xlpm.val="",_xlpm.val="Error"),"",_xlpm.val),_xlpm.Res)</f>
        <v>#NAME?</v>
      </c>
      <c r="AU92" s="1985" t="e" cm="1">
        <f t="array" ca="1" aca="1" ref="AU92">_xlfn.LET(_xlpm.val,IF($F92="",val_blankRefText,_xldudf_CX_GET(CX_ENTITY,$F92,AU$11,AU$14,,(AU$75))),_xlpm.Res,IF(OR(_xlpm.val="",_xlpm.val="Error"),"",_xlpm.val),_xlpm.Res)</f>
        <v>#NAME?</v>
      </c>
      <c r="AV92" s="1985" t="e" cm="1">
        <f t="array" ca="1" aca="1" ref="AV92">_xlfn.LET(_xlpm.val,IF($F92="",val_blankRefText,_xldudf_CX_GET(CX_ENTITY,$F92,AV$11,AV$14,,(AV$75))),_xlpm.Res,IF(OR(_xlpm.val="",_xlpm.val="Error"),"",_xlpm.val),_xlpm.Res)</f>
        <v>#NAME?</v>
      </c>
      <c r="AW92" s="1985" t="e" cm="1">
        <f t="array" ca="1" aca="1" ref="AW92">_xlfn.LET(_xlpm.val,IF($F92="",val_blankRefText,_xldudf_CX_GET(CX_ENTITY,$F92,AW$11,AW$14,,(AW$75))),_xlpm.Res,IF(OR(_xlpm.val="",_xlpm.val="Error"),"",_xlpm.val),_xlpm.Res)</f>
        <v>#NAME?</v>
      </c>
      <c r="AX92" s="1985" t="e" cm="1">
        <f t="array" ca="1" aca="1" ref="AX92">_xlfn.LET(_xlpm.val,IF($F92="",val_blankRefText,_xldudf_CX_GET(CX_ENTITY,$F92,AX$11,AX$14,,(AX$75))),_xlpm.Res,IF(OR(_xlpm.val="",_xlpm.val="Error"),"",_xlpm.val),_xlpm.Res)</f>
        <v>#NAME?</v>
      </c>
      <c r="AY92" s="1985" t="e" cm="1">
        <f t="array" ca="1" aca="1" ref="AY92">_xlfn.LET(_xlpm.val,IF($F92="",val_blankRefText,_xldudf_CX_GET(CX_ENTITY,$F92,AY$11,AY$14,,(AY$75))),_xlpm.Res,IF(OR(_xlpm.val="",_xlpm.val="Error"),"",_xlpm.val),_xlpm.Res)</f>
        <v>#NAME?</v>
      </c>
      <c r="AZ92" s="1985" t="e" cm="1">
        <f t="array" ca="1" aca="1" ref="AZ92">_xlfn.LET(_xlpm.val,IF($F92="",val_blankRefText,_xldudf_CX_GET(CX_ENTITY,$F92,AZ$11,AZ$14,,(AZ$75))),_xlpm.Res,IF(OR(_xlpm.val="",_xlpm.val="Error"),"",_xlpm.val),_xlpm.Res)</f>
        <v>#NAME?</v>
      </c>
      <c r="BA92" s="1985" t="e" cm="1">
        <f t="array" ca="1" aca="1" ref="BA92">_xlfn.LET(_xlpm.val,IF($F92="",val_blankRefText,_xldudf_CX_GET(CX_ENTITY,$F92,BA$11,BA$14,,(BA$75))),_xlpm.Res,IF(OR(_xlpm.val="",_xlpm.val="Error"),"",_xlpm.val),_xlpm.Res)</f>
        <v>#NAME?</v>
      </c>
      <c r="BB92" s="1985" t="e" cm="1">
        <f t="array" ca="1" aca="1" ref="BB92">_xlfn.LET(_xlpm.val,IF($F92="",val_blankRefText,_xldudf_CX_GET(CX_ENTITY,$F92,BB$11,BB$14,,(BB$75))),_xlpm.Res,IF(OR(_xlpm.val="",_xlpm.val="Error"),"",_xlpm.val),_xlpm.Res)</f>
        <v>#NAME?</v>
      </c>
      <c r="BC92" s="1985" t="e" cm="1">
        <f t="array" ca="1" aca="1" ref="BC92">_xlfn.LET(_xlpm.val,IF($F92="",val_blankRefText,_xldudf_CX_GET(CX_ENTITY,$F92,BC$11,BC$14,,(BC$75))),_xlpm.Res,IF(OR(_xlpm.val="",_xlpm.val="Error"),"",_xlpm.val),_xlpm.Res)</f>
        <v>#NAME?</v>
      </c>
      <c r="BD92" s="1985" t="e" cm="1">
        <f t="array" ca="1" aca="1" ref="BD92">_xlfn.LET(_xlpm.val,IF($F92="",val_blankRefText,_xldudf_CX_GET(CX_ENTITY,$F92,BD$11,BD$14,,(BD$75))),_xlpm.Res,IF(OR(_xlpm.val="",_xlpm.val="Error"),"",_xlpm.val),_xlpm.Res)</f>
        <v>#NAME?</v>
      </c>
      <c r="BE92" s="1985" t="e" cm="1">
        <f t="array" ca="1" aca="1" ref="BE92">_xlfn.LET(_xlpm.val,IF($F92="",val_blankRefText,_xldudf_CX_GET(CX_ENTITY,$F92,BE$11,BE$14,,(BE$75))),_xlpm.Res,IF(OR(_xlpm.val="",_xlpm.val="Error"),"",_xlpm.val),_xlpm.Res)</f>
        <v>#NAME?</v>
      </c>
      <c r="BF92" s="1985" t="e" cm="1">
        <f t="array" ca="1" aca="1" ref="BF92">_xlfn.LET(_xlpm.val,IF($F92="",val_blankRefText,_xldudf_CX_GET(CX_ENTITY,$F92,BF$11,BF$14,,(BF$75))),_xlpm.Res,IF(OR(_xlpm.val="",_xlpm.val="Error"),"",_xlpm.val),_xlpm.Res)</f>
        <v>#NAME?</v>
      </c>
      <c r="BG92" s="1985" t="e" cm="1">
        <f t="array" ca="1" aca="1" ref="BG92">_xlfn.LET(_xlpm.val,IF($F92="",val_blankRefText,_xldudf_CX_GET(CX_ENTITY,$F92,BG$11,BG$14,,(BG$75))),_xlpm.Res,IF(OR(_xlpm.val="",_xlpm.val="Error"),"",_xlpm.val),_xlpm.Res)</f>
        <v>#NAME?</v>
      </c>
      <c r="BH92" s="1985" t="e" cm="1">
        <f t="array" ca="1" aca="1" ref="BH92">_xlfn.LET(_xlpm.val,IF($F92="",val_blankRefText,_xldudf_CX_GET(CX_ENTITY,$F92,BH$11,BH$14,,(BH$75))),_xlpm.Res,IF(OR(_xlpm.val="",_xlpm.val="Error"),"",_xlpm.val),_xlpm.Res)</f>
        <v>#NAME?</v>
      </c>
      <c r="BI92" s="1985" t="e" cm="1">
        <f t="array" ca="1" aca="1" ref="BI92">_xlfn.LET(_xlpm.val,IF($F92="",val_blankRefText,_xldudf_CX_GET(CX_ENTITY,$F92,BI$11,BI$14,,(BI$75))),_xlpm.Res,IF(OR(_xlpm.val="",_xlpm.val="Error"),"",_xlpm.val),_xlpm.Res)</f>
        <v>#NAME?</v>
      </c>
      <c r="BJ92" s="1985" t="e" cm="1">
        <f t="array" ca="1" aca="1" ref="BJ92">_xlfn.LET(_xlpm.val,IF($F92="",val_blankRefText,_xldudf_CX_GET(CX_ENTITY,$F92,BJ$11,BJ$14,,(BJ$75))),_xlpm.Res,IF(OR(_xlpm.val="",_xlpm.val="Error"),"",_xlpm.val),_xlpm.Res)</f>
        <v>#NAME?</v>
      </c>
      <c r="BK92" s="1985" t="e" cm="1">
        <f t="array" ca="1" aca="1" ref="BK92">_xlfn.LET(_xlpm.val,IF($F92="",val_blankRefText,_xldudf_CX_GET(CX_ENTITY,$F92,BK$11,BK$14,,(BK$75))),_xlpm.Res,IF(OR(_xlpm.val="",_xlpm.val="Error"),"",_xlpm.val),_xlpm.Res)</f>
        <v>#NAME?</v>
      </c>
      <c r="BL92" s="1985" t="e" cm="1">
        <f t="array" ca="1" aca="1" ref="BL92">_xlfn.LET(_xlpm.val,IF($F92="",val_blankRefText,_xldudf_CX_GET(CX_ENTITY,$F92,BL$11,BL$14,,(BL$75))),_xlpm.Res,IF(OR(_xlpm.val="",_xlpm.val="Error"),"",_xlpm.val),_xlpm.Res)</f>
        <v>#NAME?</v>
      </c>
      <c r="BM92" s="1985" t="e" cm="1">
        <f t="array" ca="1" aca="1" ref="BM92">_xlfn.LET(_xlpm.val,IF($F92="",val_blankRefText,_xldudf_CX_GET(CX_ENTITY,$F92,BM$11,BM$14,,(BM$75))),_xlpm.Res,IF(OR(_xlpm.val="",_xlpm.val="Error"),"",_xlpm.val),_xlpm.Res)</f>
        <v>#NAME?</v>
      </c>
      <c r="BN92" s="1985" t="e" cm="1">
        <f t="array" ca="1" aca="1" ref="BN92">_xlfn.LET(_xlpm.val,IF($F92="",val_blankRefText,_xldudf_CX_GET(CX_ENTITY,$F92,BN$11,BN$14,,(BN$75))),_xlpm.Res,IF(OR(_xlpm.val="",_xlpm.val="Error"),"",_xlpm.val),_xlpm.Res)</f>
        <v>#NAME?</v>
      </c>
      <c r="BO92" s="2101"/>
      <c r="BP92" s="2101"/>
      <c r="BQ92" s="2101"/>
      <c r="BR92" s="2101"/>
      <c r="BS92" s="2101"/>
      <c r="BT92" s="2101"/>
      <c r="BU92" s="2101"/>
      <c r="BV92" s="2101"/>
      <c r="BW92" s="2101"/>
      <c r="BX92" s="2101"/>
      <c r="BY92" s="2101"/>
      <c r="BZ92" s="2101"/>
      <c r="CA92" s="34"/>
      <c r="CC92" s="33"/>
      <c r="CD92" s="1461" t="e" cm="1">
        <f t="array" ca="1" aca="1" ref="CD92">_xlfn.LET(_xlpm.CheckBlank,SUM(PL!$AD92:$BN92)=0,IF(_xlpm.CheckBlank,"",SUM(_xlfn._xlws.FILTER(PL!$AD92:$BN92,(YEAR(PL!$AD$12:$BN$12)=PL!CD$12)*(array_timeline&lt;=PL!CD$11)))))</f>
        <v>#NAME?</v>
      </c>
      <c r="CE92" s="1461" t="e" cm="1">
        <f t="array" ca="1" aca="1" ref="CE92">_xlfn.LET(_xlpm.CheckBlank,SUM(PL!$AD92:$BN92)=0,IF(_xlpm.CheckBlank,"",SUM(_xlfn._xlws.FILTER(PL!$AD92:$BN92,(YEAR(PL!$AD$12:$BN$12)=PL!CE$12)*(array_timeline&lt;=PL!CE$11)))))</f>
        <v>#NAME?</v>
      </c>
      <c r="CF92" s="88"/>
      <c r="CG92" s="1461" t="e" cm="1">
        <f t="array" ca="1" aca="1" ref="CG92">_xlfn.LET(_xlpm.CheckBlank,SUM(PL!$AD92:$BN92)=0,IF(_xlpm.CheckBlank,"",SUM(_xlfn._xlws.FILTER(PL!$AD92:$BN92,(YEAR(PL!$AD$12:$BN$12)=PL!CG$12)*(array_timeline&lt;=PL!CG$11)))))</f>
        <v>#NAME?</v>
      </c>
      <c r="CH92" s="1461" t="e" cm="1">
        <f t="array" ca="1" aca="1" ref="CH92">_xlfn.LET(_xlpm.CheckBlank,SUM(PL!$AD92:$BN92)=0,IF(_xlpm.CheckBlank,"",SUM(_xlfn._xlws.FILTER(PL!$AD92:$BN92,(YEAR(PL!$AD$12:$BN$12)=PL!CH$12)*(array_timeline&lt;=PL!CH$11)))))</f>
        <v>#NAME?</v>
      </c>
      <c r="CI92" s="88"/>
      <c r="CJ92" s="1461" cm="1">
        <f t="array" ref="CJ92">_xlfn.LET(_xlpm.CheckBlank,SUM(PL!$AD92:$BN92)=0,IF(_xlpm.CheckBlank,"",SUM(_xlfn.TAKE(_xlfn.DROP(PL!$AD92:$BN92,,-DATEDIFF(PL!CJ$11,val_asOfDate,"M")),1,-12))))</f>
        <v>60</v>
      </c>
      <c r="CK92" s="1461" cm="1">
        <f t="array" ref="CK92">_xlfn.LET(_xlpm.CheckBlank,SUM(PL!$AD92:$BN92)=0,IF(_xlpm.CheckBlank,"",SUM(_xlfn.TAKE(_xlfn.DROP(PL!$AD92:$BN92,,-DATEDIFF(PL!CK$11,val_asOfDate,"M")),1,-12))))</f>
        <v>60</v>
      </c>
      <c r="CL92" s="88"/>
      <c r="CM92" s="1168" t="e">
        <f t="shared" ca="1" si="21"/>
        <v>#NAME?</v>
      </c>
      <c r="CN92" s="1168" t="e">
        <f t="shared" ca="1" si="21"/>
        <v>#NAME?</v>
      </c>
      <c r="CO92" s="1169"/>
      <c r="CP92" s="1168" t="e">
        <f t="shared" ca="1" si="22"/>
        <v>#NAME?</v>
      </c>
      <c r="CQ92" s="1168" t="e">
        <f t="shared" ca="1" si="22"/>
        <v>#NAME?</v>
      </c>
      <c r="CR92" s="34"/>
    </row>
    <row r="93" spans="1:96" ht="21" customHeight="1" outlineLevel="2">
      <c r="A93" s="1322"/>
      <c r="B93" s="577" t="s">
        <v>1548</v>
      </c>
      <c r="C93" s="2125" t="s">
        <v>1549</v>
      </c>
      <c r="D93" s="577"/>
      <c r="E93" s="577" t="e" cm="1">
        <f t="array" ca="1" aca="1" ref="E93">_xlfn.LET(_xlpm.Attr,$C93,_xlpm.Lookback,$E$16,_xlpm.QueryDate,EOMONTH(val_asOfDate,_xlpm.Lookback),_xlpm.ReadField,_xldudf_CX_GET(CX_ENTITY,fx_attrConverter($C93),_xlpm.QueryDate),_xlpm.AttrBlank,_xlpm.Attr="",_xlpm.RESULT,IF(_xlpm.AttrBlank,val_blankRefText,fx_attrConverter(_xlpm.ReadField,0)),IF(_xlpm.RESULT="Error","",_xlpm.RESULT))</f>
        <v>#NAME?</v>
      </c>
      <c r="F93" s="577" t="str">
        <f t="shared" si="17"/>
        <v>Interest Expense</v>
      </c>
      <c r="G93" s="577" t="s">
        <v>1598</v>
      </c>
      <c r="H93" s="578">
        <v>0</v>
      </c>
      <c r="I93" s="3279">
        <v>1</v>
      </c>
      <c r="J93" s="578"/>
      <c r="K93" s="578"/>
      <c r="L93" s="3269" t="b">
        <v>1</v>
      </c>
      <c r="N93" s="158"/>
      <c r="O93" s="101"/>
      <c r="P93" s="52"/>
      <c r="Q93" s="101"/>
      <c r="R93" s="101"/>
      <c r="S93" s="101"/>
      <c r="T93" s="101"/>
      <c r="U93" s="39"/>
      <c r="W93" s="91" t="str">
        <f t="shared" si="18"/>
        <v>Budget</v>
      </c>
      <c r="X93" s="884">
        <v>-1</v>
      </c>
      <c r="Y93" s="1134" t="e">
        <f t="shared" ca="1" si="19"/>
        <v>#NAME?</v>
      </c>
      <c r="Z93" s="3291" cm="1">
        <f t="array" ref="Z93">_xlfn.SWITCH(TRUE,ISBLANK(_PL!$L93),"",_PL!$L93=TRUE,1,_PL!$L93=FALSE,-1,_PL!$L93=-1,0,"n/a")</f>
        <v>1</v>
      </c>
      <c r="AA93" s="200"/>
      <c r="AB93" s="1134" t="str">
        <f t="shared" si="20"/>
        <v>Interest Expense</v>
      </c>
      <c r="AC93" s="125" t="str" cm="1">
        <f t="array" ref="AC93">_xlfn.LET(_xlpm.Def,IF(_xlfn.XMATCH(AB93,tbl_acctDef[Term],0)&gt;0,fx_getIcon("find"),""),_xlpm.Adj,IF(_xlfn.XMATCH(AB93,tbl_adjExample[Items],0)&gt;0,fx_getIcon("find"),""),IFERROR(IFBLANK(_xlpm.Def,_xlpm.Adj),""))</f>
        <v/>
      </c>
      <c r="AD93" s="1985" t="e" cm="1">
        <f t="array" ca="1" aca="1" ref="AD93">_xlfn.LET(_xlpm.val,IF($F93="",val_blankRefText,_xldudf_CX_GET(CX_ENTITY,$F93,AD$11,AD$14,,(AD$75))),_xlpm.Res,IF(OR(_xlpm.val="",_xlpm.val="Error"),"",_xlpm.val),_xlpm.Res)</f>
        <v>#NAME?</v>
      </c>
      <c r="AE93" s="1985" t="e" cm="1">
        <f t="array" ca="1" aca="1" ref="AE93">_xlfn.LET(_xlpm.val,IF($F93="",val_blankRefText,_xldudf_CX_GET(CX_ENTITY,$F93,AE$11,AE$14,,(AE$75))),_xlpm.Res,IF(OR(_xlpm.val="",_xlpm.val="Error"),"",_xlpm.val),_xlpm.Res)</f>
        <v>#NAME?</v>
      </c>
      <c r="AF93" s="1985" t="e" cm="1">
        <f t="array" ca="1" aca="1" ref="AF93">_xlfn.LET(_xlpm.val,IF($F93="",val_blankRefText,_xldudf_CX_GET(CX_ENTITY,$F93,AF$11,AF$14,,(AF$75))),_xlpm.Res,IF(OR(_xlpm.val="",_xlpm.val="Error"),"",_xlpm.val),_xlpm.Res)</f>
        <v>#NAME?</v>
      </c>
      <c r="AG93" s="1985" t="e" cm="1">
        <f t="array" ca="1" aca="1" ref="AG93">_xlfn.LET(_xlpm.val,IF($F93="",val_blankRefText,_xldudf_CX_GET(CX_ENTITY,$F93,AG$11,AG$14,,(AG$75))),_xlpm.Res,IF(OR(_xlpm.val="",_xlpm.val="Error"),"",_xlpm.val),_xlpm.Res)</f>
        <v>#NAME?</v>
      </c>
      <c r="AH93" s="1985" t="e" cm="1">
        <f t="array" ca="1" aca="1" ref="AH93">_xlfn.LET(_xlpm.val,IF($F93="",val_blankRefText,_xldudf_CX_GET(CX_ENTITY,$F93,AH$11,AH$14,,(AH$75))),_xlpm.Res,IF(OR(_xlpm.val="",_xlpm.val="Error"),"",_xlpm.val),_xlpm.Res)</f>
        <v>#NAME?</v>
      </c>
      <c r="AI93" s="1985" t="e" cm="1">
        <f t="array" ca="1" aca="1" ref="AI93">_xlfn.LET(_xlpm.val,IF($F93="",val_blankRefText,_xldudf_CX_GET(CX_ENTITY,$F93,AI$11,AI$14,,(AI$75))),_xlpm.Res,IF(OR(_xlpm.val="",_xlpm.val="Error"),"",_xlpm.val),_xlpm.Res)</f>
        <v>#NAME?</v>
      </c>
      <c r="AJ93" s="1985" t="e" cm="1">
        <f t="array" ca="1" aca="1" ref="AJ93">_xlfn.LET(_xlpm.val,IF($F93="",val_blankRefText,_xldudf_CX_GET(CX_ENTITY,$F93,AJ$11,AJ$14,,(AJ$75))),_xlpm.Res,IF(OR(_xlpm.val="",_xlpm.val="Error"),"",_xlpm.val),_xlpm.Res)</f>
        <v>#NAME?</v>
      </c>
      <c r="AK93" s="1985" t="e" cm="1">
        <f t="array" ca="1" aca="1" ref="AK93">_xlfn.LET(_xlpm.val,IF($F93="",val_blankRefText,_xldudf_CX_GET(CX_ENTITY,$F93,AK$11,AK$14,,(AK$75))),_xlpm.Res,IF(OR(_xlpm.val="",_xlpm.val="Error"),"",_xlpm.val),_xlpm.Res)</f>
        <v>#NAME?</v>
      </c>
      <c r="AL93" s="1985" t="e" cm="1">
        <f t="array" ca="1" aca="1" ref="AL93">_xlfn.LET(_xlpm.val,IF($F93="",val_blankRefText,_xldudf_CX_GET(CX_ENTITY,$F93,AL$11,AL$14,,(AL$75))),_xlpm.Res,IF(OR(_xlpm.val="",_xlpm.val="Error"),"",_xlpm.val),_xlpm.Res)</f>
        <v>#NAME?</v>
      </c>
      <c r="AM93" s="1985" t="e" cm="1">
        <f t="array" ca="1" aca="1" ref="AM93">_xlfn.LET(_xlpm.val,IF($F93="",val_blankRefText,_xldudf_CX_GET(CX_ENTITY,$F93,AM$11,AM$14,,(AM$75))),_xlpm.Res,IF(OR(_xlpm.val="",_xlpm.val="Error"),"",_xlpm.val),_xlpm.Res)</f>
        <v>#NAME?</v>
      </c>
      <c r="AN93" s="1985" t="e" cm="1">
        <f t="array" ca="1" aca="1" ref="AN93">_xlfn.LET(_xlpm.val,IF($F93="",val_blankRefText,_xldudf_CX_GET(CX_ENTITY,$F93,AN$11,AN$14,,(AN$75))),_xlpm.Res,IF(OR(_xlpm.val="",_xlpm.val="Error"),"",_xlpm.val),_xlpm.Res)</f>
        <v>#NAME?</v>
      </c>
      <c r="AO93" s="1985" t="e" cm="1">
        <f t="array" ca="1" aca="1" ref="AO93">_xlfn.LET(_xlpm.val,IF($F93="",val_blankRefText,_xldudf_CX_GET(CX_ENTITY,$F93,AO$11,AO$14,,(AO$75))),_xlpm.Res,IF(OR(_xlpm.val="",_xlpm.val="Error"),"",_xlpm.val),_xlpm.Res)</f>
        <v>#NAME?</v>
      </c>
      <c r="AP93" s="1985" t="e" cm="1">
        <f t="array" ca="1" aca="1" ref="AP93">_xlfn.LET(_xlpm.val,IF($F93="",val_blankRefText,_xldudf_CX_GET(CX_ENTITY,$F93,AP$11,AP$14,,(AP$75))),_xlpm.Res,IF(OR(_xlpm.val="",_xlpm.val="Error"),"",_xlpm.val),_xlpm.Res)</f>
        <v>#NAME?</v>
      </c>
      <c r="AQ93" s="1985" t="e" cm="1">
        <f t="array" ca="1" aca="1" ref="AQ93">_xlfn.LET(_xlpm.val,IF($F93="",val_blankRefText,_xldudf_CX_GET(CX_ENTITY,$F93,AQ$11,AQ$14,,(AQ$75))),_xlpm.Res,IF(OR(_xlpm.val="",_xlpm.val="Error"),"",_xlpm.val),_xlpm.Res)</f>
        <v>#NAME?</v>
      </c>
      <c r="AR93" s="1985" t="e" cm="1">
        <f t="array" ca="1" aca="1" ref="AR93">_xlfn.LET(_xlpm.val,IF($F93="",val_blankRefText,_xldudf_CX_GET(CX_ENTITY,$F93,AR$11,AR$14,,(AR$75))),_xlpm.Res,IF(OR(_xlpm.val="",_xlpm.val="Error"),"",_xlpm.val),_xlpm.Res)</f>
        <v>#NAME?</v>
      </c>
      <c r="AS93" s="1985" t="e" cm="1">
        <f t="array" ca="1" aca="1" ref="AS93">_xlfn.LET(_xlpm.val,IF($F93="",val_blankRefText,_xldudf_CX_GET(CX_ENTITY,$F93,AS$11,AS$14,,(AS$75))),_xlpm.Res,IF(OR(_xlpm.val="",_xlpm.val="Error"),"",_xlpm.val),_xlpm.Res)</f>
        <v>#NAME?</v>
      </c>
      <c r="AT93" s="1985" t="e" cm="1">
        <f t="array" ca="1" aca="1" ref="AT93">_xlfn.LET(_xlpm.val,IF($F93="",val_blankRefText,_xldudf_CX_GET(CX_ENTITY,$F93,AT$11,AT$14,,(AT$75))),_xlpm.Res,IF(OR(_xlpm.val="",_xlpm.val="Error"),"",_xlpm.val),_xlpm.Res)</f>
        <v>#NAME?</v>
      </c>
      <c r="AU93" s="1985" t="e" cm="1">
        <f t="array" ca="1" aca="1" ref="AU93">_xlfn.LET(_xlpm.val,IF($F93="",val_blankRefText,_xldudf_CX_GET(CX_ENTITY,$F93,AU$11,AU$14,,(AU$75))),_xlpm.Res,IF(OR(_xlpm.val="",_xlpm.val="Error"),"",_xlpm.val),_xlpm.Res)</f>
        <v>#NAME?</v>
      </c>
      <c r="AV93" s="1985" t="e" cm="1">
        <f t="array" ca="1" aca="1" ref="AV93">_xlfn.LET(_xlpm.val,IF($F93="",val_blankRefText,_xldudf_CX_GET(CX_ENTITY,$F93,AV$11,AV$14,,(AV$75))),_xlpm.Res,IF(OR(_xlpm.val="",_xlpm.val="Error"),"",_xlpm.val),_xlpm.Res)</f>
        <v>#NAME?</v>
      </c>
      <c r="AW93" s="1985" t="e" cm="1">
        <f t="array" ca="1" aca="1" ref="AW93">_xlfn.LET(_xlpm.val,IF($F93="",val_blankRefText,_xldudf_CX_GET(CX_ENTITY,$F93,AW$11,AW$14,,(AW$75))),_xlpm.Res,IF(OR(_xlpm.val="",_xlpm.val="Error"),"",_xlpm.val),_xlpm.Res)</f>
        <v>#NAME?</v>
      </c>
      <c r="AX93" s="1985" t="e" cm="1">
        <f t="array" ca="1" aca="1" ref="AX93">_xlfn.LET(_xlpm.val,IF($F93="",val_blankRefText,_xldudf_CX_GET(CX_ENTITY,$F93,AX$11,AX$14,,(AX$75))),_xlpm.Res,IF(OR(_xlpm.val="",_xlpm.val="Error"),"",_xlpm.val),_xlpm.Res)</f>
        <v>#NAME?</v>
      </c>
      <c r="AY93" s="1985" t="e" cm="1">
        <f t="array" ca="1" aca="1" ref="AY93">_xlfn.LET(_xlpm.val,IF($F93="",val_blankRefText,_xldudf_CX_GET(CX_ENTITY,$F93,AY$11,AY$14,,(AY$75))),_xlpm.Res,IF(OR(_xlpm.val="",_xlpm.val="Error"),"",_xlpm.val),_xlpm.Res)</f>
        <v>#NAME?</v>
      </c>
      <c r="AZ93" s="1985" t="e" cm="1">
        <f t="array" ca="1" aca="1" ref="AZ93">_xlfn.LET(_xlpm.val,IF($F93="",val_blankRefText,_xldudf_CX_GET(CX_ENTITY,$F93,AZ$11,AZ$14,,(AZ$75))),_xlpm.Res,IF(OR(_xlpm.val="",_xlpm.val="Error"),"",_xlpm.val),_xlpm.Res)</f>
        <v>#NAME?</v>
      </c>
      <c r="BA93" s="1985" t="e" cm="1">
        <f t="array" ca="1" aca="1" ref="BA93">_xlfn.LET(_xlpm.val,IF($F93="",val_blankRefText,_xldudf_CX_GET(CX_ENTITY,$F93,BA$11,BA$14,,(BA$75))),_xlpm.Res,IF(OR(_xlpm.val="",_xlpm.val="Error"),"",_xlpm.val),_xlpm.Res)</f>
        <v>#NAME?</v>
      </c>
      <c r="BB93" s="1985" t="e" cm="1">
        <f t="array" ca="1" aca="1" ref="BB93">_xlfn.LET(_xlpm.val,IF($F93="",val_blankRefText,_xldudf_CX_GET(CX_ENTITY,$F93,BB$11,BB$14,,(BB$75))),_xlpm.Res,IF(OR(_xlpm.val="",_xlpm.val="Error"),"",_xlpm.val),_xlpm.Res)</f>
        <v>#NAME?</v>
      </c>
      <c r="BC93" s="1985" t="e" cm="1">
        <f t="array" ca="1" aca="1" ref="BC93">_xlfn.LET(_xlpm.val,IF($F93="",val_blankRefText,_xldudf_CX_GET(CX_ENTITY,$F93,BC$11,BC$14,,(BC$75))),_xlpm.Res,IF(OR(_xlpm.val="",_xlpm.val="Error"),"",_xlpm.val),_xlpm.Res)</f>
        <v>#NAME?</v>
      </c>
      <c r="BD93" s="1985" t="e" cm="1">
        <f t="array" ca="1" aca="1" ref="BD93">_xlfn.LET(_xlpm.val,IF($F93="",val_blankRefText,_xldudf_CX_GET(CX_ENTITY,$F93,BD$11,BD$14,,(BD$75))),_xlpm.Res,IF(OR(_xlpm.val="",_xlpm.val="Error"),"",_xlpm.val),_xlpm.Res)</f>
        <v>#NAME?</v>
      </c>
      <c r="BE93" s="1985" t="e" cm="1">
        <f t="array" ca="1" aca="1" ref="BE93">_xlfn.LET(_xlpm.val,IF($F93="",val_blankRefText,_xldudf_CX_GET(CX_ENTITY,$F93,BE$11,BE$14,,(BE$75))),_xlpm.Res,IF(OR(_xlpm.val="",_xlpm.val="Error"),"",_xlpm.val),_xlpm.Res)</f>
        <v>#NAME?</v>
      </c>
      <c r="BF93" s="1985" t="e" cm="1">
        <f t="array" ca="1" aca="1" ref="BF93">_xlfn.LET(_xlpm.val,IF($F93="",val_blankRefText,_xldudf_CX_GET(CX_ENTITY,$F93,BF$11,BF$14,,(BF$75))),_xlpm.Res,IF(OR(_xlpm.val="",_xlpm.val="Error"),"",_xlpm.val),_xlpm.Res)</f>
        <v>#NAME?</v>
      </c>
      <c r="BG93" s="1985" t="e" cm="1">
        <f t="array" ca="1" aca="1" ref="BG93">_xlfn.LET(_xlpm.val,IF($F93="",val_blankRefText,_xldudf_CX_GET(CX_ENTITY,$F93,BG$11,BG$14,,(BG$75))),_xlpm.Res,IF(OR(_xlpm.val="",_xlpm.val="Error"),"",_xlpm.val),_xlpm.Res)</f>
        <v>#NAME?</v>
      </c>
      <c r="BH93" s="1985" t="e" cm="1">
        <f t="array" ca="1" aca="1" ref="BH93">_xlfn.LET(_xlpm.val,IF($F93="",val_blankRefText,_xldudf_CX_GET(CX_ENTITY,$F93,BH$11,BH$14,,(BH$75))),_xlpm.Res,IF(OR(_xlpm.val="",_xlpm.val="Error"),"",_xlpm.val),_xlpm.Res)</f>
        <v>#NAME?</v>
      </c>
      <c r="BI93" s="1985" t="e" cm="1">
        <f t="array" ca="1" aca="1" ref="BI93">_xlfn.LET(_xlpm.val,IF($F93="",val_blankRefText,_xldudf_CX_GET(CX_ENTITY,$F93,BI$11,BI$14,,(BI$75))),_xlpm.Res,IF(OR(_xlpm.val="",_xlpm.val="Error"),"",_xlpm.val),_xlpm.Res)</f>
        <v>#NAME?</v>
      </c>
      <c r="BJ93" s="1985" t="e" cm="1">
        <f t="array" ca="1" aca="1" ref="BJ93">_xlfn.LET(_xlpm.val,IF($F93="",val_blankRefText,_xldudf_CX_GET(CX_ENTITY,$F93,BJ$11,BJ$14,,(BJ$75))),_xlpm.Res,IF(OR(_xlpm.val="",_xlpm.val="Error"),"",_xlpm.val),_xlpm.Res)</f>
        <v>#NAME?</v>
      </c>
      <c r="BK93" s="1985" t="e" cm="1">
        <f t="array" ca="1" aca="1" ref="BK93">_xlfn.LET(_xlpm.val,IF($F93="",val_blankRefText,_xldudf_CX_GET(CX_ENTITY,$F93,BK$11,BK$14,,(BK$75))),_xlpm.Res,IF(OR(_xlpm.val="",_xlpm.val="Error"),"",_xlpm.val),_xlpm.Res)</f>
        <v>#NAME?</v>
      </c>
      <c r="BL93" s="1985" t="e" cm="1">
        <f t="array" ca="1" aca="1" ref="BL93">_xlfn.LET(_xlpm.val,IF($F93="",val_blankRefText,_xldudf_CX_GET(CX_ENTITY,$F93,BL$11,BL$14,,(BL$75))),_xlpm.Res,IF(OR(_xlpm.val="",_xlpm.val="Error"),"",_xlpm.val),_xlpm.Res)</f>
        <v>#NAME?</v>
      </c>
      <c r="BM93" s="1985" t="e" cm="1">
        <f t="array" ca="1" aca="1" ref="BM93">_xlfn.LET(_xlpm.val,IF($F93="",val_blankRefText,_xldudf_CX_GET(CX_ENTITY,$F93,BM$11,BM$14,,(BM$75))),_xlpm.Res,IF(OR(_xlpm.val="",_xlpm.val="Error"),"",_xlpm.val),_xlpm.Res)</f>
        <v>#NAME?</v>
      </c>
      <c r="BN93" s="1985" t="e" cm="1">
        <f t="array" ca="1" aca="1" ref="BN93">_xlfn.LET(_xlpm.val,IF($F93="",val_blankRefText,_xldudf_CX_GET(CX_ENTITY,$F93,BN$11,BN$14,,(BN$75))),_xlpm.Res,IF(OR(_xlpm.val="",_xlpm.val="Error"),"",_xlpm.val),_xlpm.Res)</f>
        <v>#NAME?</v>
      </c>
      <c r="BO93" s="2101"/>
      <c r="BP93" s="2101"/>
      <c r="BQ93" s="2101"/>
      <c r="BR93" s="2101"/>
      <c r="BS93" s="2101"/>
      <c r="BT93" s="2101"/>
      <c r="BU93" s="2101"/>
      <c r="BV93" s="2101"/>
      <c r="BW93" s="2101"/>
      <c r="BX93" s="2101"/>
      <c r="BY93" s="2101"/>
      <c r="BZ93" s="2101"/>
      <c r="CA93" s="34"/>
      <c r="CC93" s="33"/>
      <c r="CD93" s="1461" t="e" cm="1">
        <f t="array" ca="1" aca="1" ref="CD93">_xlfn.LET(_xlpm.CheckBlank,SUM(PL!$AD93:$BN93)=0,IF(_xlpm.CheckBlank,"",SUM(_xlfn._xlws.FILTER(PL!$AD93:$BN93,(YEAR(PL!$AD$12:$BN$12)=PL!CD$12)*(array_timeline&lt;=PL!CD$11)))))</f>
        <v>#NAME?</v>
      </c>
      <c r="CE93" s="1461" t="e" cm="1">
        <f t="array" ca="1" aca="1" ref="CE93">_xlfn.LET(_xlpm.CheckBlank,SUM(PL!$AD93:$BN93)=0,IF(_xlpm.CheckBlank,"",SUM(_xlfn._xlws.FILTER(PL!$AD93:$BN93,(YEAR(PL!$AD$12:$BN$12)=PL!CE$12)*(array_timeline&lt;=PL!CE$11)))))</f>
        <v>#NAME?</v>
      </c>
      <c r="CF93" s="88"/>
      <c r="CG93" s="1461" t="e" cm="1">
        <f t="array" ca="1" aca="1" ref="CG93">_xlfn.LET(_xlpm.CheckBlank,SUM(PL!$AD93:$BN93)=0,IF(_xlpm.CheckBlank,"",SUM(_xlfn._xlws.FILTER(PL!$AD93:$BN93,(YEAR(PL!$AD$12:$BN$12)=PL!CG$12)*(array_timeline&lt;=PL!CG$11)))))</f>
        <v>#NAME?</v>
      </c>
      <c r="CH93" s="1461" t="e" cm="1">
        <f t="array" ca="1" aca="1" ref="CH93">_xlfn.LET(_xlpm.CheckBlank,SUM(PL!$AD93:$BN93)=0,IF(_xlpm.CheckBlank,"",SUM(_xlfn._xlws.FILTER(PL!$AD93:$BN93,(YEAR(PL!$AD$12:$BN$12)=PL!CH$12)*(array_timeline&lt;=PL!CH$11)))))</f>
        <v>#NAME?</v>
      </c>
      <c r="CI93" s="88"/>
      <c r="CJ93" s="1461" cm="1">
        <f t="array" ref="CJ93">_xlfn.LET(_xlpm.CheckBlank,SUM(PL!$AD93:$BN93)=0,IF(_xlpm.CheckBlank,"",SUM(_xlfn.TAKE(_xlfn.DROP(PL!$AD93:$BN93,,-DATEDIFF(PL!CJ$11,val_asOfDate,"M")),1,-12))))</f>
        <v>12</v>
      </c>
      <c r="CK93" s="1461" cm="1">
        <f t="array" ref="CK93">_xlfn.LET(_xlpm.CheckBlank,SUM(PL!$AD93:$BN93)=0,IF(_xlpm.CheckBlank,"",SUM(_xlfn.TAKE(_xlfn.DROP(PL!$AD93:$BN93,,-DATEDIFF(PL!CK$11,val_asOfDate,"M")),1,-12))))</f>
        <v>12</v>
      </c>
      <c r="CL93" s="88"/>
      <c r="CM93" s="1168" t="e">
        <f t="shared" ca="1" si="21"/>
        <v>#NAME?</v>
      </c>
      <c r="CN93" s="1168" t="e">
        <f t="shared" ca="1" si="21"/>
        <v>#NAME?</v>
      </c>
      <c r="CO93" s="1169"/>
      <c r="CP93" s="1168" t="e">
        <f t="shared" ca="1" si="22"/>
        <v>#NAME?</v>
      </c>
      <c r="CQ93" s="1168" t="e">
        <f t="shared" ca="1" si="22"/>
        <v>#NAME?</v>
      </c>
      <c r="CR93" s="34"/>
    </row>
    <row r="94" spans="1:96" ht="21" customHeight="1" outlineLevel="2">
      <c r="A94" s="1322"/>
      <c r="B94" s="577" t="s">
        <v>1550</v>
      </c>
      <c r="C94" s="2125" t="s">
        <v>1551</v>
      </c>
      <c r="D94" s="577"/>
      <c r="E94" s="577" t="e" cm="1">
        <f t="array" ca="1" aca="1" ref="E94">_xlfn.LET(_xlpm.Attr,$C94,_xlpm.Lookback,$E$16,_xlpm.QueryDate,EOMONTH(val_asOfDate,_xlpm.Lookback),_xlpm.ReadField,_xldudf_CX_GET(CX_ENTITY,fx_attrConverter($C94),_xlpm.QueryDate),_xlpm.AttrBlank,_xlpm.Attr="",_xlpm.RESULT,IF(_xlpm.AttrBlank,val_blankRefText,fx_attrConverter(_xlpm.ReadField,0)),IF(_xlpm.RESULT="Error","",_xlpm.RESULT))</f>
        <v>#NAME?</v>
      </c>
      <c r="F94" s="577" t="str">
        <f t="shared" si="17"/>
        <v>Other Items</v>
      </c>
      <c r="G94" s="577" t="s">
        <v>1598</v>
      </c>
      <c r="H94" s="578">
        <v>0</v>
      </c>
      <c r="I94" s="3279">
        <v>1</v>
      </c>
      <c r="J94" s="578"/>
      <c r="K94" s="578"/>
      <c r="L94" s="3269" t="b">
        <v>1</v>
      </c>
      <c r="N94" s="158"/>
      <c r="O94" s="101"/>
      <c r="P94" s="52"/>
      <c r="Q94" s="101"/>
      <c r="R94" s="101"/>
      <c r="S94" s="101"/>
      <c r="T94" s="101"/>
      <c r="U94" s="39"/>
      <c r="W94" s="91" t="str">
        <f t="shared" si="18"/>
        <v>Budget</v>
      </c>
      <c r="X94" s="884" t="s">
        <v>62</v>
      </c>
      <c r="Y94" s="1134" t="e">
        <f t="shared" ca="1" si="19"/>
        <v>#NAME?</v>
      </c>
      <c r="Z94" s="3291" cm="1">
        <f t="array" ref="Z94">_xlfn.SWITCH(TRUE,ISBLANK(_PL!$L94),"",_PL!$L94=TRUE,1,_PL!$L94=FALSE,-1,_PL!$L94=-1,0,"n/a")</f>
        <v>1</v>
      </c>
      <c r="AA94" s="200"/>
      <c r="AB94" s="1134" t="str">
        <f t="shared" si="20"/>
        <v>Other Items</v>
      </c>
      <c r="AC94" s="125" t="str" cm="1">
        <f t="array" ref="AC94">_xlfn.LET(_xlpm.Def,IF(_xlfn.XMATCH(AB94,tbl_acctDef[Term],0)&gt;0,fx_getIcon("find"),""),_xlpm.Adj,IF(_xlfn.XMATCH(AB94,tbl_adjExample[Items],0)&gt;0,fx_getIcon("find"),""),IFERROR(IFBLANK(_xlpm.Def,_xlpm.Adj),""))</f>
        <v/>
      </c>
      <c r="AD94" s="1985" t="e" cm="1">
        <f t="array" ca="1" aca="1" ref="AD94">_xlfn.LET(_xlpm.val,IF($F94="",val_blankRefText,_xldudf_CX_GET(CX_ENTITY,$F94,AD$11,AD$14,,(AD$75))),_xlpm.Res,IF(OR(_xlpm.val="",_xlpm.val="Error"),"",_xlpm.val),_xlpm.Res)</f>
        <v>#NAME?</v>
      </c>
      <c r="AE94" s="1985" t="e" cm="1">
        <f t="array" ca="1" aca="1" ref="AE94">_xlfn.LET(_xlpm.val,IF($F94="",val_blankRefText,_xldudf_CX_GET(CX_ENTITY,$F94,AE$11,AE$14,,(AE$75))),_xlpm.Res,IF(OR(_xlpm.val="",_xlpm.val="Error"),"",_xlpm.val),_xlpm.Res)</f>
        <v>#NAME?</v>
      </c>
      <c r="AF94" s="1985" t="e" cm="1">
        <f t="array" ca="1" aca="1" ref="AF94">_xlfn.LET(_xlpm.val,IF($F94="",val_blankRefText,_xldudf_CX_GET(CX_ENTITY,$F94,AF$11,AF$14,,(AF$75))),_xlpm.Res,IF(OR(_xlpm.val="",_xlpm.val="Error"),"",_xlpm.val),_xlpm.Res)</f>
        <v>#NAME?</v>
      </c>
      <c r="AG94" s="1985" t="e" cm="1">
        <f t="array" ca="1" aca="1" ref="AG94">_xlfn.LET(_xlpm.val,IF($F94="",val_blankRefText,_xldudf_CX_GET(CX_ENTITY,$F94,AG$11,AG$14,,(AG$75))),_xlpm.Res,IF(OR(_xlpm.val="",_xlpm.val="Error"),"",_xlpm.val),_xlpm.Res)</f>
        <v>#NAME?</v>
      </c>
      <c r="AH94" s="1985" t="e" cm="1">
        <f t="array" ca="1" aca="1" ref="AH94">_xlfn.LET(_xlpm.val,IF($F94="",val_blankRefText,_xldudf_CX_GET(CX_ENTITY,$F94,AH$11,AH$14,,(AH$75))),_xlpm.Res,IF(OR(_xlpm.val="",_xlpm.val="Error"),"",_xlpm.val),_xlpm.Res)</f>
        <v>#NAME?</v>
      </c>
      <c r="AI94" s="1985" t="e" cm="1">
        <f t="array" ca="1" aca="1" ref="AI94">_xlfn.LET(_xlpm.val,IF($F94="",val_blankRefText,_xldudf_CX_GET(CX_ENTITY,$F94,AI$11,AI$14,,(AI$75))),_xlpm.Res,IF(OR(_xlpm.val="",_xlpm.val="Error"),"",_xlpm.val),_xlpm.Res)</f>
        <v>#NAME?</v>
      </c>
      <c r="AJ94" s="1985" t="e" cm="1">
        <f t="array" ca="1" aca="1" ref="AJ94">_xlfn.LET(_xlpm.val,IF($F94="",val_blankRefText,_xldudf_CX_GET(CX_ENTITY,$F94,AJ$11,AJ$14,,(AJ$75))),_xlpm.Res,IF(OR(_xlpm.val="",_xlpm.val="Error"),"",_xlpm.val),_xlpm.Res)</f>
        <v>#NAME?</v>
      </c>
      <c r="AK94" s="1985" t="e" cm="1">
        <f t="array" ca="1" aca="1" ref="AK94">_xlfn.LET(_xlpm.val,IF($F94="",val_blankRefText,_xldudf_CX_GET(CX_ENTITY,$F94,AK$11,AK$14,,(AK$75))),_xlpm.Res,IF(OR(_xlpm.val="",_xlpm.val="Error"),"",_xlpm.val),_xlpm.Res)</f>
        <v>#NAME?</v>
      </c>
      <c r="AL94" s="1985" t="e" cm="1">
        <f t="array" ca="1" aca="1" ref="AL94">_xlfn.LET(_xlpm.val,IF($F94="",val_blankRefText,_xldudf_CX_GET(CX_ENTITY,$F94,AL$11,AL$14,,(AL$75))),_xlpm.Res,IF(OR(_xlpm.val="",_xlpm.val="Error"),"",_xlpm.val),_xlpm.Res)</f>
        <v>#NAME?</v>
      </c>
      <c r="AM94" s="1985" t="e" cm="1">
        <f t="array" ca="1" aca="1" ref="AM94">_xlfn.LET(_xlpm.val,IF($F94="",val_blankRefText,_xldudf_CX_GET(CX_ENTITY,$F94,AM$11,AM$14,,(AM$75))),_xlpm.Res,IF(OR(_xlpm.val="",_xlpm.val="Error"),"",_xlpm.val),_xlpm.Res)</f>
        <v>#NAME?</v>
      </c>
      <c r="AN94" s="1985" t="e" cm="1">
        <f t="array" ca="1" aca="1" ref="AN94">_xlfn.LET(_xlpm.val,IF($F94="",val_blankRefText,_xldudf_CX_GET(CX_ENTITY,$F94,AN$11,AN$14,,(AN$75))),_xlpm.Res,IF(OR(_xlpm.val="",_xlpm.val="Error"),"",_xlpm.val),_xlpm.Res)</f>
        <v>#NAME?</v>
      </c>
      <c r="AO94" s="1985" t="e" cm="1">
        <f t="array" ca="1" aca="1" ref="AO94">_xlfn.LET(_xlpm.val,IF($F94="",val_blankRefText,_xldudf_CX_GET(CX_ENTITY,$F94,AO$11,AO$14,,(AO$75))),_xlpm.Res,IF(OR(_xlpm.val="",_xlpm.val="Error"),"",_xlpm.val),_xlpm.Res)</f>
        <v>#NAME?</v>
      </c>
      <c r="AP94" s="1985" t="e" cm="1">
        <f t="array" ca="1" aca="1" ref="AP94">_xlfn.LET(_xlpm.val,IF($F94="",val_blankRefText,_xldudf_CX_GET(CX_ENTITY,$F94,AP$11,AP$14,,(AP$75))),_xlpm.Res,IF(OR(_xlpm.val="",_xlpm.val="Error"),"",_xlpm.val),_xlpm.Res)</f>
        <v>#NAME?</v>
      </c>
      <c r="AQ94" s="1985" t="e" cm="1">
        <f t="array" ca="1" aca="1" ref="AQ94">_xlfn.LET(_xlpm.val,IF($F94="",val_blankRefText,_xldudf_CX_GET(CX_ENTITY,$F94,AQ$11,AQ$14,,(AQ$75))),_xlpm.Res,IF(OR(_xlpm.val="",_xlpm.val="Error"),"",_xlpm.val),_xlpm.Res)</f>
        <v>#NAME?</v>
      </c>
      <c r="AR94" s="1985" t="e" cm="1">
        <f t="array" ca="1" aca="1" ref="AR94">_xlfn.LET(_xlpm.val,IF($F94="",val_blankRefText,_xldudf_CX_GET(CX_ENTITY,$F94,AR$11,AR$14,,(AR$75))),_xlpm.Res,IF(OR(_xlpm.val="",_xlpm.val="Error"),"",_xlpm.val),_xlpm.Res)</f>
        <v>#NAME?</v>
      </c>
      <c r="AS94" s="1985" t="e" cm="1">
        <f t="array" ca="1" aca="1" ref="AS94">_xlfn.LET(_xlpm.val,IF($F94="",val_blankRefText,_xldudf_CX_GET(CX_ENTITY,$F94,AS$11,AS$14,,(AS$75))),_xlpm.Res,IF(OR(_xlpm.val="",_xlpm.val="Error"),"",_xlpm.val),_xlpm.Res)</f>
        <v>#NAME?</v>
      </c>
      <c r="AT94" s="1985" t="e" cm="1">
        <f t="array" ca="1" aca="1" ref="AT94">_xlfn.LET(_xlpm.val,IF($F94="",val_blankRefText,_xldudf_CX_GET(CX_ENTITY,$F94,AT$11,AT$14,,(AT$75))),_xlpm.Res,IF(OR(_xlpm.val="",_xlpm.val="Error"),"",_xlpm.val),_xlpm.Res)</f>
        <v>#NAME?</v>
      </c>
      <c r="AU94" s="1985" t="e" cm="1">
        <f t="array" ca="1" aca="1" ref="AU94">_xlfn.LET(_xlpm.val,IF($F94="",val_blankRefText,_xldudf_CX_GET(CX_ENTITY,$F94,AU$11,AU$14,,(AU$75))),_xlpm.Res,IF(OR(_xlpm.val="",_xlpm.val="Error"),"",_xlpm.val),_xlpm.Res)</f>
        <v>#NAME?</v>
      </c>
      <c r="AV94" s="1985" t="e" cm="1">
        <f t="array" ca="1" aca="1" ref="AV94">_xlfn.LET(_xlpm.val,IF($F94="",val_blankRefText,_xldudf_CX_GET(CX_ENTITY,$F94,AV$11,AV$14,,(AV$75))),_xlpm.Res,IF(OR(_xlpm.val="",_xlpm.val="Error"),"",_xlpm.val),_xlpm.Res)</f>
        <v>#NAME?</v>
      </c>
      <c r="AW94" s="1985" t="e" cm="1">
        <f t="array" ca="1" aca="1" ref="AW94">_xlfn.LET(_xlpm.val,IF($F94="",val_blankRefText,_xldudf_CX_GET(CX_ENTITY,$F94,AW$11,AW$14,,(AW$75))),_xlpm.Res,IF(OR(_xlpm.val="",_xlpm.val="Error"),"",_xlpm.val),_xlpm.Res)</f>
        <v>#NAME?</v>
      </c>
      <c r="AX94" s="1985" t="e" cm="1">
        <f t="array" ca="1" aca="1" ref="AX94">_xlfn.LET(_xlpm.val,IF($F94="",val_blankRefText,_xldudf_CX_GET(CX_ENTITY,$F94,AX$11,AX$14,,(AX$75))),_xlpm.Res,IF(OR(_xlpm.val="",_xlpm.val="Error"),"",_xlpm.val),_xlpm.Res)</f>
        <v>#NAME?</v>
      </c>
      <c r="AY94" s="1985" t="e" cm="1">
        <f t="array" ca="1" aca="1" ref="AY94">_xlfn.LET(_xlpm.val,IF($F94="",val_blankRefText,_xldudf_CX_GET(CX_ENTITY,$F94,AY$11,AY$14,,(AY$75))),_xlpm.Res,IF(OR(_xlpm.val="",_xlpm.val="Error"),"",_xlpm.val),_xlpm.Res)</f>
        <v>#NAME?</v>
      </c>
      <c r="AZ94" s="1985" t="e" cm="1">
        <f t="array" ca="1" aca="1" ref="AZ94">_xlfn.LET(_xlpm.val,IF($F94="",val_blankRefText,_xldudf_CX_GET(CX_ENTITY,$F94,AZ$11,AZ$14,,(AZ$75))),_xlpm.Res,IF(OR(_xlpm.val="",_xlpm.val="Error"),"",_xlpm.val),_xlpm.Res)</f>
        <v>#NAME?</v>
      </c>
      <c r="BA94" s="1985" t="e" cm="1">
        <f t="array" ca="1" aca="1" ref="BA94">_xlfn.LET(_xlpm.val,IF($F94="",val_blankRefText,_xldudf_CX_GET(CX_ENTITY,$F94,BA$11,BA$14,,(BA$75))),_xlpm.Res,IF(OR(_xlpm.val="",_xlpm.val="Error"),"",_xlpm.val),_xlpm.Res)</f>
        <v>#NAME?</v>
      </c>
      <c r="BB94" s="1985" t="e" cm="1">
        <f t="array" ca="1" aca="1" ref="BB94">_xlfn.LET(_xlpm.val,IF($F94="",val_blankRefText,_xldudf_CX_GET(CX_ENTITY,$F94,BB$11,BB$14,,(BB$75))),_xlpm.Res,IF(OR(_xlpm.val="",_xlpm.val="Error"),"",_xlpm.val),_xlpm.Res)</f>
        <v>#NAME?</v>
      </c>
      <c r="BC94" s="1985" t="e" cm="1">
        <f t="array" ca="1" aca="1" ref="BC94">_xlfn.LET(_xlpm.val,IF($F94="",val_blankRefText,_xldudf_CX_GET(CX_ENTITY,$F94,BC$11,BC$14,,(BC$75))),_xlpm.Res,IF(OR(_xlpm.val="",_xlpm.val="Error"),"",_xlpm.val),_xlpm.Res)</f>
        <v>#NAME?</v>
      </c>
      <c r="BD94" s="1985" t="e" cm="1">
        <f t="array" ca="1" aca="1" ref="BD94">_xlfn.LET(_xlpm.val,IF($F94="",val_blankRefText,_xldudf_CX_GET(CX_ENTITY,$F94,BD$11,BD$14,,(BD$75))),_xlpm.Res,IF(OR(_xlpm.val="",_xlpm.val="Error"),"",_xlpm.val),_xlpm.Res)</f>
        <v>#NAME?</v>
      </c>
      <c r="BE94" s="1985" t="e" cm="1">
        <f t="array" ca="1" aca="1" ref="BE94">_xlfn.LET(_xlpm.val,IF($F94="",val_blankRefText,_xldudf_CX_GET(CX_ENTITY,$F94,BE$11,BE$14,,(BE$75))),_xlpm.Res,IF(OR(_xlpm.val="",_xlpm.val="Error"),"",_xlpm.val),_xlpm.Res)</f>
        <v>#NAME?</v>
      </c>
      <c r="BF94" s="1985" t="e" cm="1">
        <f t="array" ca="1" aca="1" ref="BF94">_xlfn.LET(_xlpm.val,IF($F94="",val_blankRefText,_xldudf_CX_GET(CX_ENTITY,$F94,BF$11,BF$14,,(BF$75))),_xlpm.Res,IF(OR(_xlpm.val="",_xlpm.val="Error"),"",_xlpm.val),_xlpm.Res)</f>
        <v>#NAME?</v>
      </c>
      <c r="BG94" s="1985" t="e" cm="1">
        <f t="array" ca="1" aca="1" ref="BG94">_xlfn.LET(_xlpm.val,IF($F94="",val_blankRefText,_xldudf_CX_GET(CX_ENTITY,$F94,BG$11,BG$14,,(BG$75))),_xlpm.Res,IF(OR(_xlpm.val="",_xlpm.val="Error"),"",_xlpm.val),_xlpm.Res)</f>
        <v>#NAME?</v>
      </c>
      <c r="BH94" s="1985" t="e" cm="1">
        <f t="array" ca="1" aca="1" ref="BH94">_xlfn.LET(_xlpm.val,IF($F94="",val_blankRefText,_xldudf_CX_GET(CX_ENTITY,$F94,BH$11,BH$14,,(BH$75))),_xlpm.Res,IF(OR(_xlpm.val="",_xlpm.val="Error"),"",_xlpm.val),_xlpm.Res)</f>
        <v>#NAME?</v>
      </c>
      <c r="BI94" s="1985" t="e" cm="1">
        <f t="array" ca="1" aca="1" ref="BI94">_xlfn.LET(_xlpm.val,IF($F94="",val_blankRefText,_xldudf_CX_GET(CX_ENTITY,$F94,BI$11,BI$14,,(BI$75))),_xlpm.Res,IF(OR(_xlpm.val="",_xlpm.val="Error"),"",_xlpm.val),_xlpm.Res)</f>
        <v>#NAME?</v>
      </c>
      <c r="BJ94" s="1985" t="e" cm="1">
        <f t="array" ca="1" aca="1" ref="BJ94">_xlfn.LET(_xlpm.val,IF($F94="",val_blankRefText,_xldudf_CX_GET(CX_ENTITY,$F94,BJ$11,BJ$14,,(BJ$75))),_xlpm.Res,IF(OR(_xlpm.val="",_xlpm.val="Error"),"",_xlpm.val),_xlpm.Res)</f>
        <v>#NAME?</v>
      </c>
      <c r="BK94" s="1985" t="e" cm="1">
        <f t="array" ca="1" aca="1" ref="BK94">_xlfn.LET(_xlpm.val,IF($F94="",val_blankRefText,_xldudf_CX_GET(CX_ENTITY,$F94,BK$11,BK$14,,(BK$75))),_xlpm.Res,IF(OR(_xlpm.val="",_xlpm.val="Error"),"",_xlpm.val),_xlpm.Res)</f>
        <v>#NAME?</v>
      </c>
      <c r="BL94" s="1985" t="e" cm="1">
        <f t="array" ca="1" aca="1" ref="BL94">_xlfn.LET(_xlpm.val,IF($F94="",val_blankRefText,_xldudf_CX_GET(CX_ENTITY,$F94,BL$11,BL$14,,(BL$75))),_xlpm.Res,IF(OR(_xlpm.val="",_xlpm.val="Error"),"",_xlpm.val),_xlpm.Res)</f>
        <v>#NAME?</v>
      </c>
      <c r="BM94" s="1985" t="e" cm="1">
        <f t="array" ca="1" aca="1" ref="BM94">_xlfn.LET(_xlpm.val,IF($F94="",val_blankRefText,_xldudf_CX_GET(CX_ENTITY,$F94,BM$11,BM$14,,(BM$75))),_xlpm.Res,IF(OR(_xlpm.val="",_xlpm.val="Error"),"",_xlpm.val),_xlpm.Res)</f>
        <v>#NAME?</v>
      </c>
      <c r="BN94" s="1985" t="e" cm="1">
        <f t="array" ca="1" aca="1" ref="BN94">_xlfn.LET(_xlpm.val,IF($F94="",val_blankRefText,_xldudf_CX_GET(CX_ENTITY,$F94,BN$11,BN$14,,(BN$75))),_xlpm.Res,IF(OR(_xlpm.val="",_xlpm.val="Error"),"",_xlpm.val),_xlpm.Res)</f>
        <v>#NAME?</v>
      </c>
      <c r="BO94" s="2101"/>
      <c r="BP94" s="2101"/>
      <c r="BQ94" s="2101"/>
      <c r="BR94" s="2101"/>
      <c r="BS94" s="2101"/>
      <c r="BT94" s="2101"/>
      <c r="BU94" s="2101"/>
      <c r="BV94" s="2101"/>
      <c r="BW94" s="2101"/>
      <c r="BX94" s="2101"/>
      <c r="BY94" s="2101"/>
      <c r="BZ94" s="2101"/>
      <c r="CA94" s="34"/>
      <c r="CC94" s="33"/>
      <c r="CD94" s="1461" t="e" cm="1">
        <f t="array" ca="1" aca="1" ref="CD94">_xlfn.LET(_xlpm.CheckBlank,SUM(PL!$AD94:$BN94)=0,IF(_xlpm.CheckBlank,"",SUM(_xlfn._xlws.FILTER(PL!$AD94:$BN94,(YEAR(PL!$AD$12:$BN$12)=PL!CD$12)*(array_timeline&lt;=PL!CD$11)))))</f>
        <v>#NAME?</v>
      </c>
      <c r="CE94" s="1461" t="e" cm="1">
        <f t="array" ca="1" aca="1" ref="CE94">_xlfn.LET(_xlpm.CheckBlank,SUM(PL!$AD94:$BN94)=0,IF(_xlpm.CheckBlank,"",SUM(_xlfn._xlws.FILTER(PL!$AD94:$BN94,(YEAR(PL!$AD$12:$BN$12)=PL!CE$12)*(array_timeline&lt;=PL!CE$11)))))</f>
        <v>#NAME?</v>
      </c>
      <c r="CF94" s="88"/>
      <c r="CG94" s="1461" t="e" cm="1">
        <f t="array" ca="1" aca="1" ref="CG94">_xlfn.LET(_xlpm.CheckBlank,SUM(PL!$AD94:$BN94)=0,IF(_xlpm.CheckBlank,"",SUM(_xlfn._xlws.FILTER(PL!$AD94:$BN94,(YEAR(PL!$AD$12:$BN$12)=PL!CG$12)*(array_timeline&lt;=PL!CG$11)))))</f>
        <v>#NAME?</v>
      </c>
      <c r="CH94" s="1461" t="e" cm="1">
        <f t="array" ca="1" aca="1" ref="CH94">_xlfn.LET(_xlpm.CheckBlank,SUM(PL!$AD94:$BN94)=0,IF(_xlpm.CheckBlank,"",SUM(_xlfn._xlws.FILTER(PL!$AD94:$BN94,(YEAR(PL!$AD$12:$BN$12)=PL!CH$12)*(array_timeline&lt;=PL!CH$11)))))</f>
        <v>#NAME?</v>
      </c>
      <c r="CI94" s="88"/>
      <c r="CJ94" s="1461" cm="1">
        <f t="array" ref="CJ94">_xlfn.LET(_xlpm.CheckBlank,SUM(PL!$AD94:$BN94)=0,IF(_xlpm.CheckBlank,"",SUM(_xlfn.TAKE(_xlfn.DROP(PL!$AD94:$BN94,,-DATEDIFF(PL!CJ$11,val_asOfDate,"M")),1,-12))))</f>
        <v>12</v>
      </c>
      <c r="CK94" s="1461" cm="1">
        <f t="array" ref="CK94">_xlfn.LET(_xlpm.CheckBlank,SUM(PL!$AD94:$BN94)=0,IF(_xlpm.CheckBlank,"",SUM(_xlfn.TAKE(_xlfn.DROP(PL!$AD94:$BN94,,-DATEDIFF(PL!CK$11,val_asOfDate,"M")),1,-12))))</f>
        <v>12</v>
      </c>
      <c r="CL94" s="88"/>
      <c r="CM94" s="1168" t="e">
        <f t="shared" ca="1" si="21"/>
        <v>#NAME?</v>
      </c>
      <c r="CN94" s="1168" t="e">
        <f t="shared" ca="1" si="21"/>
        <v>#NAME?</v>
      </c>
      <c r="CO94" s="1169"/>
      <c r="CP94" s="1168" t="e">
        <f t="shared" ca="1" si="22"/>
        <v>#NAME?</v>
      </c>
      <c r="CQ94" s="1168" t="e">
        <f t="shared" ca="1" si="22"/>
        <v>#NAME?</v>
      </c>
      <c r="CR94" s="34"/>
    </row>
    <row r="95" spans="1:96" ht="21" customHeight="1" outlineLevel="2">
      <c r="A95" s="1322"/>
      <c r="B95" s="577" t="s">
        <v>1552</v>
      </c>
      <c r="C95" s="2125" t="s">
        <v>1553</v>
      </c>
      <c r="D95" s="577"/>
      <c r="E95" s="577" t="e" cm="1">
        <f t="array" ca="1" aca="1" ref="E95">_xlfn.LET(_xlpm.Attr,$C95,_xlpm.Lookback,$E$16,_xlpm.QueryDate,EOMONTH(val_asOfDate,_xlpm.Lookback),_xlpm.ReadField,_xldudf_CX_GET(CX_ENTITY,fx_attrConverter($C95),_xlpm.QueryDate),_xlpm.AttrBlank,_xlpm.Attr="",_xlpm.RESULT,IF(_xlpm.AttrBlank,val_blankRefText,fx_attrConverter(_xlpm.ReadField,0)),IF(_xlpm.RESULT="Error","",_xlpm.RESULT))</f>
        <v>#NAME?</v>
      </c>
      <c r="F95" s="577" t="str">
        <f t="shared" si="17"/>
        <v>Reported PBT</v>
      </c>
      <c r="G95" s="577" t="s">
        <v>1598</v>
      </c>
      <c r="H95" s="3279">
        <v>2</v>
      </c>
      <c r="I95" s="3279">
        <v>1</v>
      </c>
      <c r="J95" s="578"/>
      <c r="K95" s="578"/>
      <c r="L95" s="578">
        <v>-1</v>
      </c>
      <c r="N95" s="158"/>
      <c r="O95" s="101"/>
      <c r="P95" s="52"/>
      <c r="Q95" s="101"/>
      <c r="R95" s="101"/>
      <c r="S95" s="101"/>
      <c r="T95" s="101"/>
      <c r="U95" s="39"/>
      <c r="W95" s="91" t="str">
        <f t="shared" si="18"/>
        <v>Budget</v>
      </c>
      <c r="X95" s="884">
        <v>0</v>
      </c>
      <c r="Y95" s="1134" t="e">
        <f t="shared" ca="1" si="19"/>
        <v>#NAME?</v>
      </c>
      <c r="Z95" s="198" cm="1">
        <f t="array" ref="Z95">_xlfn.SWITCH(TRUE,ISBLANK(_PL!$L95),"",_PL!$L95=TRUE,1,_PL!$L95=FALSE,-1,_PL!$L95=-1,0,"n/a")</f>
        <v>0</v>
      </c>
      <c r="AA95" s="200"/>
      <c r="AB95" s="1134" t="str">
        <f t="shared" si="20"/>
        <v>Reported PBT</v>
      </c>
      <c r="AC95" s="125" t="str" cm="1">
        <f t="array" ref="AC95">_xlfn.LET(_xlpm.Def,IF(_xlfn.XMATCH(AB95,tbl_acctDef[Term],0)&gt;0,fx_getIcon("find"),""),_xlpm.Adj,IF(_xlfn.XMATCH(AB95,tbl_adjExample[Items],0)&gt;0,fx_getIcon("find"),""),IFERROR(IFBLANK(_xlpm.Def,_xlpm.Adj),""))</f>
        <v/>
      </c>
      <c r="AD95" s="1985" t="e" cm="1">
        <f t="array" ca="1" aca="1" ref="AD95">_xlfn.LET(_xlpm.val,IF($F95="",val_blankRefText,_xldudf_CX_GET(CX_ENTITY,$F95,AD$11,AD$14,,(AD$75))),_xlpm.Res,IF(OR(_xlpm.val="",_xlpm.val="Error"),"",_xlpm.val),_xlpm.Res)</f>
        <v>#NAME?</v>
      </c>
      <c r="AE95" s="1985" t="e" cm="1">
        <f t="array" ca="1" aca="1" ref="AE95">_xlfn.LET(_xlpm.val,IF($F95="",val_blankRefText,_xldudf_CX_GET(CX_ENTITY,$F95,AE$11,AE$14,,(AE$75))),_xlpm.Res,IF(OR(_xlpm.val="",_xlpm.val="Error"),"",_xlpm.val),_xlpm.Res)</f>
        <v>#NAME?</v>
      </c>
      <c r="AF95" s="1985" t="e" cm="1">
        <f t="array" ca="1" aca="1" ref="AF95">_xlfn.LET(_xlpm.val,IF($F95="",val_blankRefText,_xldudf_CX_GET(CX_ENTITY,$F95,AF$11,AF$14,,(AF$75))),_xlpm.Res,IF(OR(_xlpm.val="",_xlpm.val="Error"),"",_xlpm.val),_xlpm.Res)</f>
        <v>#NAME?</v>
      </c>
      <c r="AG95" s="1985" t="e" cm="1">
        <f t="array" ca="1" aca="1" ref="AG95">_xlfn.LET(_xlpm.val,IF($F95="",val_blankRefText,_xldudf_CX_GET(CX_ENTITY,$F95,AG$11,AG$14,,(AG$75))),_xlpm.Res,IF(OR(_xlpm.val="",_xlpm.val="Error"),"",_xlpm.val),_xlpm.Res)</f>
        <v>#NAME?</v>
      </c>
      <c r="AH95" s="1985" t="e" cm="1">
        <f t="array" ca="1" aca="1" ref="AH95">_xlfn.LET(_xlpm.val,IF($F95="",val_blankRefText,_xldudf_CX_GET(CX_ENTITY,$F95,AH$11,AH$14,,(AH$75))),_xlpm.Res,IF(OR(_xlpm.val="",_xlpm.val="Error"),"",_xlpm.val),_xlpm.Res)</f>
        <v>#NAME?</v>
      </c>
      <c r="AI95" s="1985" t="e" cm="1">
        <f t="array" ca="1" aca="1" ref="AI95">_xlfn.LET(_xlpm.val,IF($F95="",val_blankRefText,_xldudf_CX_GET(CX_ENTITY,$F95,AI$11,AI$14,,(AI$75))),_xlpm.Res,IF(OR(_xlpm.val="",_xlpm.val="Error"),"",_xlpm.val),_xlpm.Res)</f>
        <v>#NAME?</v>
      </c>
      <c r="AJ95" s="1985" t="e" cm="1">
        <f t="array" ca="1" aca="1" ref="AJ95">_xlfn.LET(_xlpm.val,IF($F95="",val_blankRefText,_xldudf_CX_GET(CX_ENTITY,$F95,AJ$11,AJ$14,,(AJ$75))),_xlpm.Res,IF(OR(_xlpm.val="",_xlpm.val="Error"),"",_xlpm.val),_xlpm.Res)</f>
        <v>#NAME?</v>
      </c>
      <c r="AK95" s="1985" t="e" cm="1">
        <f t="array" ca="1" aca="1" ref="AK95">_xlfn.LET(_xlpm.val,IF($F95="",val_blankRefText,_xldudf_CX_GET(CX_ENTITY,$F95,AK$11,AK$14,,(AK$75))),_xlpm.Res,IF(OR(_xlpm.val="",_xlpm.val="Error"),"",_xlpm.val),_xlpm.Res)</f>
        <v>#NAME?</v>
      </c>
      <c r="AL95" s="1985" t="e" cm="1">
        <f t="array" ca="1" aca="1" ref="AL95">_xlfn.LET(_xlpm.val,IF($F95="",val_blankRefText,_xldudf_CX_GET(CX_ENTITY,$F95,AL$11,AL$14,,(AL$75))),_xlpm.Res,IF(OR(_xlpm.val="",_xlpm.val="Error"),"",_xlpm.val),_xlpm.Res)</f>
        <v>#NAME?</v>
      </c>
      <c r="AM95" s="1985" t="e" cm="1">
        <f t="array" ca="1" aca="1" ref="AM95">_xlfn.LET(_xlpm.val,IF($F95="",val_blankRefText,_xldudf_CX_GET(CX_ENTITY,$F95,AM$11,AM$14,,(AM$75))),_xlpm.Res,IF(OR(_xlpm.val="",_xlpm.val="Error"),"",_xlpm.val),_xlpm.Res)</f>
        <v>#NAME?</v>
      </c>
      <c r="AN95" s="1985" t="e" cm="1">
        <f t="array" ca="1" aca="1" ref="AN95">_xlfn.LET(_xlpm.val,IF($F95="",val_blankRefText,_xldudf_CX_GET(CX_ENTITY,$F95,AN$11,AN$14,,(AN$75))),_xlpm.Res,IF(OR(_xlpm.val="",_xlpm.val="Error"),"",_xlpm.val),_xlpm.Res)</f>
        <v>#NAME?</v>
      </c>
      <c r="AO95" s="1985" t="e" cm="1">
        <f t="array" ca="1" aca="1" ref="AO95">_xlfn.LET(_xlpm.val,IF($F95="",val_blankRefText,_xldudf_CX_GET(CX_ENTITY,$F95,AO$11,AO$14,,(AO$75))),_xlpm.Res,IF(OR(_xlpm.val="",_xlpm.val="Error"),"",_xlpm.val),_xlpm.Res)</f>
        <v>#NAME?</v>
      </c>
      <c r="AP95" s="1985" t="e" cm="1">
        <f t="array" ca="1" aca="1" ref="AP95">_xlfn.LET(_xlpm.val,IF($F95="",val_blankRefText,_xldudf_CX_GET(CX_ENTITY,$F95,AP$11,AP$14,,(AP$75))),_xlpm.Res,IF(OR(_xlpm.val="",_xlpm.val="Error"),"",_xlpm.val),_xlpm.Res)</f>
        <v>#NAME?</v>
      </c>
      <c r="AQ95" s="1985" t="e" cm="1">
        <f t="array" ca="1" aca="1" ref="AQ95">_xlfn.LET(_xlpm.val,IF($F95="",val_blankRefText,_xldudf_CX_GET(CX_ENTITY,$F95,AQ$11,AQ$14,,(AQ$75))),_xlpm.Res,IF(OR(_xlpm.val="",_xlpm.val="Error"),"",_xlpm.val),_xlpm.Res)</f>
        <v>#NAME?</v>
      </c>
      <c r="AR95" s="1985" t="e" cm="1">
        <f t="array" ca="1" aca="1" ref="AR95">_xlfn.LET(_xlpm.val,IF($F95="",val_blankRefText,_xldudf_CX_GET(CX_ENTITY,$F95,AR$11,AR$14,,(AR$75))),_xlpm.Res,IF(OR(_xlpm.val="",_xlpm.val="Error"),"",_xlpm.val),_xlpm.Res)</f>
        <v>#NAME?</v>
      </c>
      <c r="AS95" s="1985" t="e" cm="1">
        <f t="array" ca="1" aca="1" ref="AS95">_xlfn.LET(_xlpm.val,IF($F95="",val_blankRefText,_xldudf_CX_GET(CX_ENTITY,$F95,AS$11,AS$14,,(AS$75))),_xlpm.Res,IF(OR(_xlpm.val="",_xlpm.val="Error"),"",_xlpm.val),_xlpm.Res)</f>
        <v>#NAME?</v>
      </c>
      <c r="AT95" s="1985" t="e" cm="1">
        <f t="array" ca="1" aca="1" ref="AT95">_xlfn.LET(_xlpm.val,IF($F95="",val_blankRefText,_xldudf_CX_GET(CX_ENTITY,$F95,AT$11,AT$14,,(AT$75))),_xlpm.Res,IF(OR(_xlpm.val="",_xlpm.val="Error"),"",_xlpm.val),_xlpm.Res)</f>
        <v>#NAME?</v>
      </c>
      <c r="AU95" s="1985" t="e" cm="1">
        <f t="array" ca="1" aca="1" ref="AU95">_xlfn.LET(_xlpm.val,IF($F95="",val_blankRefText,_xldudf_CX_GET(CX_ENTITY,$F95,AU$11,AU$14,,(AU$75))),_xlpm.Res,IF(OR(_xlpm.val="",_xlpm.val="Error"),"",_xlpm.val),_xlpm.Res)</f>
        <v>#NAME?</v>
      </c>
      <c r="AV95" s="1985" t="e" cm="1">
        <f t="array" ca="1" aca="1" ref="AV95">_xlfn.LET(_xlpm.val,IF($F95="",val_blankRefText,_xldudf_CX_GET(CX_ENTITY,$F95,AV$11,AV$14,,(AV$75))),_xlpm.Res,IF(OR(_xlpm.val="",_xlpm.val="Error"),"",_xlpm.val),_xlpm.Res)</f>
        <v>#NAME?</v>
      </c>
      <c r="AW95" s="1985" t="e" cm="1">
        <f t="array" ca="1" aca="1" ref="AW95">_xlfn.LET(_xlpm.val,IF($F95="",val_blankRefText,_xldudf_CX_GET(CX_ENTITY,$F95,AW$11,AW$14,,(AW$75))),_xlpm.Res,IF(OR(_xlpm.val="",_xlpm.val="Error"),"",_xlpm.val),_xlpm.Res)</f>
        <v>#NAME?</v>
      </c>
      <c r="AX95" s="1985" t="e" cm="1">
        <f t="array" ca="1" aca="1" ref="AX95">_xlfn.LET(_xlpm.val,IF($F95="",val_blankRefText,_xldudf_CX_GET(CX_ENTITY,$F95,AX$11,AX$14,,(AX$75))),_xlpm.Res,IF(OR(_xlpm.val="",_xlpm.val="Error"),"",_xlpm.val),_xlpm.Res)</f>
        <v>#NAME?</v>
      </c>
      <c r="AY95" s="1985" t="e" cm="1">
        <f t="array" ca="1" aca="1" ref="AY95">_xlfn.LET(_xlpm.val,IF($F95="",val_blankRefText,_xldudf_CX_GET(CX_ENTITY,$F95,AY$11,AY$14,,(AY$75))),_xlpm.Res,IF(OR(_xlpm.val="",_xlpm.val="Error"),"",_xlpm.val),_xlpm.Res)</f>
        <v>#NAME?</v>
      </c>
      <c r="AZ95" s="1985" t="e" cm="1">
        <f t="array" ca="1" aca="1" ref="AZ95">_xlfn.LET(_xlpm.val,IF($F95="",val_blankRefText,_xldudf_CX_GET(CX_ENTITY,$F95,AZ$11,AZ$14,,(AZ$75))),_xlpm.Res,IF(OR(_xlpm.val="",_xlpm.val="Error"),"",_xlpm.val),_xlpm.Res)</f>
        <v>#NAME?</v>
      </c>
      <c r="BA95" s="1985" t="e" cm="1">
        <f t="array" ca="1" aca="1" ref="BA95">_xlfn.LET(_xlpm.val,IF($F95="",val_blankRefText,_xldudf_CX_GET(CX_ENTITY,$F95,BA$11,BA$14,,(BA$75))),_xlpm.Res,IF(OR(_xlpm.val="",_xlpm.val="Error"),"",_xlpm.val),_xlpm.Res)</f>
        <v>#NAME?</v>
      </c>
      <c r="BB95" s="1985" t="e" cm="1">
        <f t="array" ca="1" aca="1" ref="BB95">_xlfn.LET(_xlpm.val,IF($F95="",val_blankRefText,_xldudf_CX_GET(CX_ENTITY,$F95,BB$11,BB$14,,(BB$75))),_xlpm.Res,IF(OR(_xlpm.val="",_xlpm.val="Error"),"",_xlpm.val),_xlpm.Res)</f>
        <v>#NAME?</v>
      </c>
      <c r="BC95" s="1985" t="e" cm="1">
        <f t="array" ca="1" aca="1" ref="BC95">_xlfn.LET(_xlpm.val,IF($F95="",val_blankRefText,_xldudf_CX_GET(CX_ENTITY,$F95,BC$11,BC$14,,(BC$75))),_xlpm.Res,IF(OR(_xlpm.val="",_xlpm.val="Error"),"",_xlpm.val),_xlpm.Res)</f>
        <v>#NAME?</v>
      </c>
      <c r="BD95" s="1985" t="e" cm="1">
        <f t="array" ca="1" aca="1" ref="BD95">_xlfn.LET(_xlpm.val,IF($F95="",val_blankRefText,_xldudf_CX_GET(CX_ENTITY,$F95,BD$11,BD$14,,(BD$75))),_xlpm.Res,IF(OR(_xlpm.val="",_xlpm.val="Error"),"",_xlpm.val),_xlpm.Res)</f>
        <v>#NAME?</v>
      </c>
      <c r="BE95" s="1985" t="e" cm="1">
        <f t="array" ca="1" aca="1" ref="BE95">_xlfn.LET(_xlpm.val,IF($F95="",val_blankRefText,_xldudf_CX_GET(CX_ENTITY,$F95,BE$11,BE$14,,(BE$75))),_xlpm.Res,IF(OR(_xlpm.val="",_xlpm.val="Error"),"",_xlpm.val),_xlpm.Res)</f>
        <v>#NAME?</v>
      </c>
      <c r="BF95" s="1985" t="e" cm="1">
        <f t="array" ca="1" aca="1" ref="BF95">_xlfn.LET(_xlpm.val,IF($F95="",val_blankRefText,_xldudf_CX_GET(CX_ENTITY,$F95,BF$11,BF$14,,(BF$75))),_xlpm.Res,IF(OR(_xlpm.val="",_xlpm.val="Error"),"",_xlpm.val),_xlpm.Res)</f>
        <v>#NAME?</v>
      </c>
      <c r="BG95" s="1985" t="e" cm="1">
        <f t="array" ca="1" aca="1" ref="BG95">_xlfn.LET(_xlpm.val,IF($F95="",val_blankRefText,_xldudf_CX_GET(CX_ENTITY,$F95,BG$11,BG$14,,(BG$75))),_xlpm.Res,IF(OR(_xlpm.val="",_xlpm.val="Error"),"",_xlpm.val),_xlpm.Res)</f>
        <v>#NAME?</v>
      </c>
      <c r="BH95" s="1985" t="e" cm="1">
        <f t="array" ca="1" aca="1" ref="BH95">_xlfn.LET(_xlpm.val,IF($F95="",val_blankRefText,_xldudf_CX_GET(CX_ENTITY,$F95,BH$11,BH$14,,(BH$75))),_xlpm.Res,IF(OR(_xlpm.val="",_xlpm.val="Error"),"",_xlpm.val),_xlpm.Res)</f>
        <v>#NAME?</v>
      </c>
      <c r="BI95" s="1985" t="e" cm="1">
        <f t="array" ca="1" aca="1" ref="BI95">_xlfn.LET(_xlpm.val,IF($F95="",val_blankRefText,_xldudf_CX_GET(CX_ENTITY,$F95,BI$11,BI$14,,(BI$75))),_xlpm.Res,IF(OR(_xlpm.val="",_xlpm.val="Error"),"",_xlpm.val),_xlpm.Res)</f>
        <v>#NAME?</v>
      </c>
      <c r="BJ95" s="1985" t="e" cm="1">
        <f t="array" ca="1" aca="1" ref="BJ95">_xlfn.LET(_xlpm.val,IF($F95="",val_blankRefText,_xldudf_CX_GET(CX_ENTITY,$F95,BJ$11,BJ$14,,(BJ$75))),_xlpm.Res,IF(OR(_xlpm.val="",_xlpm.val="Error"),"",_xlpm.val),_xlpm.Res)</f>
        <v>#NAME?</v>
      </c>
      <c r="BK95" s="1985" t="e" cm="1">
        <f t="array" ca="1" aca="1" ref="BK95">_xlfn.LET(_xlpm.val,IF($F95="",val_blankRefText,_xldudf_CX_GET(CX_ENTITY,$F95,BK$11,BK$14,,(BK$75))),_xlpm.Res,IF(OR(_xlpm.val="",_xlpm.val="Error"),"",_xlpm.val),_xlpm.Res)</f>
        <v>#NAME?</v>
      </c>
      <c r="BL95" s="1985" t="e" cm="1">
        <f t="array" ca="1" aca="1" ref="BL95">_xlfn.LET(_xlpm.val,IF($F95="",val_blankRefText,_xldudf_CX_GET(CX_ENTITY,$F95,BL$11,BL$14,,(BL$75))),_xlpm.Res,IF(OR(_xlpm.val="",_xlpm.val="Error"),"",_xlpm.val),_xlpm.Res)</f>
        <v>#NAME?</v>
      </c>
      <c r="BM95" s="1985" t="e" cm="1">
        <f t="array" ca="1" aca="1" ref="BM95">_xlfn.LET(_xlpm.val,IF($F95="",val_blankRefText,_xldudf_CX_GET(CX_ENTITY,$F95,BM$11,BM$14,,(BM$75))),_xlpm.Res,IF(OR(_xlpm.val="",_xlpm.val="Error"),"",_xlpm.val),_xlpm.Res)</f>
        <v>#NAME?</v>
      </c>
      <c r="BN95" s="1985" t="e" cm="1">
        <f t="array" ca="1" aca="1" ref="BN95">_xlfn.LET(_xlpm.val,IF($F95="",val_blankRefText,_xldudf_CX_GET(CX_ENTITY,$F95,BN$11,BN$14,,(BN$75))),_xlpm.Res,IF(OR(_xlpm.val="",_xlpm.val="Error"),"",_xlpm.val),_xlpm.Res)</f>
        <v>#NAME?</v>
      </c>
      <c r="BO95" s="2101"/>
      <c r="BP95" s="2101"/>
      <c r="BQ95" s="2101"/>
      <c r="BR95" s="2101"/>
      <c r="BS95" s="2101"/>
      <c r="BT95" s="2101"/>
      <c r="BU95" s="2101"/>
      <c r="BV95" s="2101"/>
      <c r="BW95" s="2101"/>
      <c r="BX95" s="2101"/>
      <c r="BY95" s="2101"/>
      <c r="BZ95" s="2101"/>
      <c r="CA95" s="34"/>
      <c r="CC95" s="33"/>
      <c r="CD95" s="1461" t="e" cm="1">
        <f t="array" ca="1" aca="1" ref="CD95">_xlfn.LET(_xlpm.CheckBlank,SUM(PL!$AD95:$BN95)=0,IF(_xlpm.CheckBlank,"",SUM(_xlfn._xlws.FILTER(PL!$AD95:$BN95,(YEAR(PL!$AD$12:$BN$12)=PL!CD$12)*(array_timeline&lt;=PL!CD$11)))))</f>
        <v>#NAME?</v>
      </c>
      <c r="CE95" s="1461" t="e" cm="1">
        <f t="array" ca="1" aca="1" ref="CE95">_xlfn.LET(_xlpm.CheckBlank,SUM(PL!$AD95:$BN95)=0,IF(_xlpm.CheckBlank,"",SUM(_xlfn._xlws.FILTER(PL!$AD95:$BN95,(YEAR(PL!$AD$12:$BN$12)=PL!CE$12)*(array_timeline&lt;=PL!CE$11)))))</f>
        <v>#NAME?</v>
      </c>
      <c r="CF95" s="88"/>
      <c r="CG95" s="1461" t="e" cm="1">
        <f t="array" ca="1" aca="1" ref="CG95">_xlfn.LET(_xlpm.CheckBlank,SUM(PL!$AD95:$BN95)=0,IF(_xlpm.CheckBlank,"",SUM(_xlfn._xlws.FILTER(PL!$AD95:$BN95,(YEAR(PL!$AD$12:$BN$12)=PL!CG$12)*(array_timeline&lt;=PL!CG$11)))))</f>
        <v>#NAME?</v>
      </c>
      <c r="CH95" s="1461" t="e" cm="1">
        <f t="array" ca="1" aca="1" ref="CH95">_xlfn.LET(_xlpm.CheckBlank,SUM(PL!$AD95:$BN95)=0,IF(_xlpm.CheckBlank,"",SUM(_xlfn._xlws.FILTER(PL!$AD95:$BN95,(YEAR(PL!$AD$12:$BN$12)=PL!CH$12)*(array_timeline&lt;=PL!CH$11)))))</f>
        <v>#NAME?</v>
      </c>
      <c r="CI95" s="88"/>
      <c r="CJ95" s="1461" cm="1">
        <f t="array" ref="CJ95">_xlfn.LET(_xlpm.CheckBlank,SUM(PL!$AD95:$BN95)=0,IF(_xlpm.CheckBlank,"",SUM(_xlfn.TAKE(_xlfn.DROP(PL!$AD95:$BN95,,-DATEDIFF(PL!CJ$11,val_asOfDate,"M")),1,-12))))</f>
        <v>84</v>
      </c>
      <c r="CK95" s="1461" cm="1">
        <f t="array" ref="CK95">_xlfn.LET(_xlpm.CheckBlank,SUM(PL!$AD95:$BN95)=0,IF(_xlpm.CheckBlank,"",SUM(_xlfn.TAKE(_xlfn.DROP(PL!$AD95:$BN95,,-DATEDIFF(PL!CK$11,val_asOfDate,"M")),1,-12))))</f>
        <v>84</v>
      </c>
      <c r="CL95" s="88"/>
      <c r="CM95" s="1168" t="e">
        <f t="shared" ca="1" si="21"/>
        <v>#NAME?</v>
      </c>
      <c r="CN95" s="1168" t="e">
        <f t="shared" ca="1" si="21"/>
        <v>#NAME?</v>
      </c>
      <c r="CO95" s="1169"/>
      <c r="CP95" s="1168" t="e">
        <f t="shared" ca="1" si="22"/>
        <v>#NAME?</v>
      </c>
      <c r="CQ95" s="1168" t="e">
        <f t="shared" ca="1" si="22"/>
        <v>#NAME?</v>
      </c>
      <c r="CR95" s="34"/>
    </row>
    <row r="96" spans="1:96" ht="21" customHeight="1" outlineLevel="2">
      <c r="A96" s="1322"/>
      <c r="B96" s="577" t="s">
        <v>578</v>
      </c>
      <c r="C96" s="2125" t="s">
        <v>1554</v>
      </c>
      <c r="D96" s="577"/>
      <c r="E96" s="577" t="e" cm="1">
        <f t="array" ca="1" aca="1" ref="E96">_xlfn.LET(_xlpm.Attr,$C96,_xlpm.Lookback,$E$16,_xlpm.QueryDate,EOMONTH(val_asOfDate,_xlpm.Lookback),_xlpm.ReadField,_xldudf_CX_GET(CX_ENTITY,fx_attrConverter($C96),_xlpm.QueryDate),_xlpm.AttrBlank,_xlpm.Attr="",_xlpm.RESULT,IF(_xlpm.AttrBlank,val_blankRefText,fx_attrConverter(_xlpm.ReadField,0)),IF(_xlpm.RESULT="Error","",_xlpm.RESULT))</f>
        <v>#NAME?</v>
      </c>
      <c r="F96" s="577" t="str">
        <f t="shared" si="17"/>
        <v>Tax</v>
      </c>
      <c r="G96" s="577" t="s">
        <v>1598</v>
      </c>
      <c r="H96" s="578">
        <v>0</v>
      </c>
      <c r="I96" s="3279">
        <v>1</v>
      </c>
      <c r="J96" s="578"/>
      <c r="K96" s="578"/>
      <c r="L96" s="3269" t="b">
        <v>1</v>
      </c>
      <c r="N96" s="158"/>
      <c r="O96" s="101"/>
      <c r="P96" s="52"/>
      <c r="Q96" s="101"/>
      <c r="R96" s="101"/>
      <c r="S96" s="101"/>
      <c r="T96" s="101"/>
      <c r="U96" s="39"/>
      <c r="W96" s="91" t="str">
        <f t="shared" si="18"/>
        <v>Budget</v>
      </c>
      <c r="X96" s="884">
        <v>-1</v>
      </c>
      <c r="Y96" s="1134" t="e">
        <f t="shared" ca="1" si="19"/>
        <v>#NAME?</v>
      </c>
      <c r="Z96" s="3291" cm="1">
        <f t="array" ref="Z96">_xlfn.SWITCH(TRUE,ISBLANK(_PL!$L96),"",_PL!$L96=TRUE,1,_PL!$L96=FALSE,-1,_PL!$L96=-1,0,"n/a")</f>
        <v>1</v>
      </c>
      <c r="AA96" s="200"/>
      <c r="AB96" s="1134" t="str">
        <f t="shared" si="20"/>
        <v>Tax</v>
      </c>
      <c r="AC96" s="125" t="str" cm="1">
        <f t="array" ref="AC96">_xlfn.LET(_xlpm.Def,IF(_xlfn.XMATCH(AB96,tbl_acctDef[Term],0)&gt;0,fx_getIcon("find"),""),_xlpm.Adj,IF(_xlfn.XMATCH(AB96,tbl_adjExample[Items],0)&gt;0,fx_getIcon("find"),""),IFERROR(IFBLANK(_xlpm.Def,_xlpm.Adj),""))</f>
        <v/>
      </c>
      <c r="AD96" s="1985" t="e" cm="1">
        <f t="array" ca="1" aca="1" ref="AD96">_xlfn.LET(_xlpm.val,IF($F96="",val_blankRefText,_xldudf_CX_GET(CX_ENTITY,$F96,AD$11,AD$14,,(AD$75))),_xlpm.Res,IF(OR(_xlpm.val="",_xlpm.val="Error"),"",_xlpm.val),_xlpm.Res)</f>
        <v>#NAME?</v>
      </c>
      <c r="AE96" s="1985" t="e" cm="1">
        <f t="array" ca="1" aca="1" ref="AE96">_xlfn.LET(_xlpm.val,IF($F96="",val_blankRefText,_xldudf_CX_GET(CX_ENTITY,$F96,AE$11,AE$14,,(AE$75))),_xlpm.Res,IF(OR(_xlpm.val="",_xlpm.val="Error"),"",_xlpm.val),_xlpm.Res)</f>
        <v>#NAME?</v>
      </c>
      <c r="AF96" s="1985" t="e" cm="1">
        <f t="array" ca="1" aca="1" ref="AF96">_xlfn.LET(_xlpm.val,IF($F96="",val_blankRefText,_xldudf_CX_GET(CX_ENTITY,$F96,AF$11,AF$14,,(AF$75))),_xlpm.Res,IF(OR(_xlpm.val="",_xlpm.val="Error"),"",_xlpm.val),_xlpm.Res)</f>
        <v>#NAME?</v>
      </c>
      <c r="AG96" s="1985" t="e" cm="1">
        <f t="array" ca="1" aca="1" ref="AG96">_xlfn.LET(_xlpm.val,IF($F96="",val_blankRefText,_xldudf_CX_GET(CX_ENTITY,$F96,AG$11,AG$14,,(AG$75))),_xlpm.Res,IF(OR(_xlpm.val="",_xlpm.val="Error"),"",_xlpm.val),_xlpm.Res)</f>
        <v>#NAME?</v>
      </c>
      <c r="AH96" s="1985" t="e" cm="1">
        <f t="array" ca="1" aca="1" ref="AH96">_xlfn.LET(_xlpm.val,IF($F96="",val_blankRefText,_xldudf_CX_GET(CX_ENTITY,$F96,AH$11,AH$14,,(AH$75))),_xlpm.Res,IF(OR(_xlpm.val="",_xlpm.val="Error"),"",_xlpm.val),_xlpm.Res)</f>
        <v>#NAME?</v>
      </c>
      <c r="AI96" s="1985" t="e" cm="1">
        <f t="array" ca="1" aca="1" ref="AI96">_xlfn.LET(_xlpm.val,IF($F96="",val_blankRefText,_xldudf_CX_GET(CX_ENTITY,$F96,AI$11,AI$14,,(AI$75))),_xlpm.Res,IF(OR(_xlpm.val="",_xlpm.val="Error"),"",_xlpm.val),_xlpm.Res)</f>
        <v>#NAME?</v>
      </c>
      <c r="AJ96" s="1985" t="e" cm="1">
        <f t="array" ca="1" aca="1" ref="AJ96">_xlfn.LET(_xlpm.val,IF($F96="",val_blankRefText,_xldudf_CX_GET(CX_ENTITY,$F96,AJ$11,AJ$14,,(AJ$75))),_xlpm.Res,IF(OR(_xlpm.val="",_xlpm.val="Error"),"",_xlpm.val),_xlpm.Res)</f>
        <v>#NAME?</v>
      </c>
      <c r="AK96" s="1985" t="e" cm="1">
        <f t="array" ca="1" aca="1" ref="AK96">_xlfn.LET(_xlpm.val,IF($F96="",val_blankRefText,_xldudf_CX_GET(CX_ENTITY,$F96,AK$11,AK$14,,(AK$75))),_xlpm.Res,IF(OR(_xlpm.val="",_xlpm.val="Error"),"",_xlpm.val),_xlpm.Res)</f>
        <v>#NAME?</v>
      </c>
      <c r="AL96" s="1985" t="e" cm="1">
        <f t="array" ca="1" aca="1" ref="AL96">_xlfn.LET(_xlpm.val,IF($F96="",val_blankRefText,_xldudf_CX_GET(CX_ENTITY,$F96,AL$11,AL$14,,(AL$75))),_xlpm.Res,IF(OR(_xlpm.val="",_xlpm.val="Error"),"",_xlpm.val),_xlpm.Res)</f>
        <v>#NAME?</v>
      </c>
      <c r="AM96" s="1985" t="e" cm="1">
        <f t="array" ca="1" aca="1" ref="AM96">_xlfn.LET(_xlpm.val,IF($F96="",val_blankRefText,_xldudf_CX_GET(CX_ENTITY,$F96,AM$11,AM$14,,(AM$75))),_xlpm.Res,IF(OR(_xlpm.val="",_xlpm.val="Error"),"",_xlpm.val),_xlpm.Res)</f>
        <v>#NAME?</v>
      </c>
      <c r="AN96" s="1985" t="e" cm="1">
        <f t="array" ca="1" aca="1" ref="AN96">_xlfn.LET(_xlpm.val,IF($F96="",val_blankRefText,_xldudf_CX_GET(CX_ENTITY,$F96,AN$11,AN$14,,(AN$75))),_xlpm.Res,IF(OR(_xlpm.val="",_xlpm.val="Error"),"",_xlpm.val),_xlpm.Res)</f>
        <v>#NAME?</v>
      </c>
      <c r="AO96" s="1985" t="e" cm="1">
        <f t="array" ca="1" aca="1" ref="AO96">_xlfn.LET(_xlpm.val,IF($F96="",val_blankRefText,_xldudf_CX_GET(CX_ENTITY,$F96,AO$11,AO$14,,(AO$75))),_xlpm.Res,IF(OR(_xlpm.val="",_xlpm.val="Error"),"",_xlpm.val),_xlpm.Res)</f>
        <v>#NAME?</v>
      </c>
      <c r="AP96" s="1985" t="e" cm="1">
        <f t="array" ca="1" aca="1" ref="AP96">_xlfn.LET(_xlpm.val,IF($F96="",val_blankRefText,_xldudf_CX_GET(CX_ENTITY,$F96,AP$11,AP$14,,(AP$75))),_xlpm.Res,IF(OR(_xlpm.val="",_xlpm.val="Error"),"",_xlpm.val),_xlpm.Res)</f>
        <v>#NAME?</v>
      </c>
      <c r="AQ96" s="1985" t="e" cm="1">
        <f t="array" ca="1" aca="1" ref="AQ96">_xlfn.LET(_xlpm.val,IF($F96="",val_blankRefText,_xldudf_CX_GET(CX_ENTITY,$F96,AQ$11,AQ$14,,(AQ$75))),_xlpm.Res,IF(OR(_xlpm.val="",_xlpm.val="Error"),"",_xlpm.val),_xlpm.Res)</f>
        <v>#NAME?</v>
      </c>
      <c r="AR96" s="1985" t="e" cm="1">
        <f t="array" ca="1" aca="1" ref="AR96">_xlfn.LET(_xlpm.val,IF($F96="",val_blankRefText,_xldudf_CX_GET(CX_ENTITY,$F96,AR$11,AR$14,,(AR$75))),_xlpm.Res,IF(OR(_xlpm.val="",_xlpm.val="Error"),"",_xlpm.val),_xlpm.Res)</f>
        <v>#NAME?</v>
      </c>
      <c r="AS96" s="1985" t="e" cm="1">
        <f t="array" ca="1" aca="1" ref="AS96">_xlfn.LET(_xlpm.val,IF($F96="",val_blankRefText,_xldudf_CX_GET(CX_ENTITY,$F96,AS$11,AS$14,,(AS$75))),_xlpm.Res,IF(OR(_xlpm.val="",_xlpm.val="Error"),"",_xlpm.val),_xlpm.Res)</f>
        <v>#NAME?</v>
      </c>
      <c r="AT96" s="1985" t="e" cm="1">
        <f t="array" ca="1" aca="1" ref="AT96">_xlfn.LET(_xlpm.val,IF($F96="",val_blankRefText,_xldudf_CX_GET(CX_ENTITY,$F96,AT$11,AT$14,,(AT$75))),_xlpm.Res,IF(OR(_xlpm.val="",_xlpm.val="Error"),"",_xlpm.val),_xlpm.Res)</f>
        <v>#NAME?</v>
      </c>
      <c r="AU96" s="1985" t="e" cm="1">
        <f t="array" ca="1" aca="1" ref="AU96">_xlfn.LET(_xlpm.val,IF($F96="",val_blankRefText,_xldudf_CX_GET(CX_ENTITY,$F96,AU$11,AU$14,,(AU$75))),_xlpm.Res,IF(OR(_xlpm.val="",_xlpm.val="Error"),"",_xlpm.val),_xlpm.Res)</f>
        <v>#NAME?</v>
      </c>
      <c r="AV96" s="1985" t="e" cm="1">
        <f t="array" ca="1" aca="1" ref="AV96">_xlfn.LET(_xlpm.val,IF($F96="",val_blankRefText,_xldudf_CX_GET(CX_ENTITY,$F96,AV$11,AV$14,,(AV$75))),_xlpm.Res,IF(OR(_xlpm.val="",_xlpm.val="Error"),"",_xlpm.val),_xlpm.Res)</f>
        <v>#NAME?</v>
      </c>
      <c r="AW96" s="1985" t="e" cm="1">
        <f t="array" ca="1" aca="1" ref="AW96">_xlfn.LET(_xlpm.val,IF($F96="",val_blankRefText,_xldudf_CX_GET(CX_ENTITY,$F96,AW$11,AW$14,,(AW$75))),_xlpm.Res,IF(OR(_xlpm.val="",_xlpm.val="Error"),"",_xlpm.val),_xlpm.Res)</f>
        <v>#NAME?</v>
      </c>
      <c r="AX96" s="1985" t="e" cm="1">
        <f t="array" ca="1" aca="1" ref="AX96">_xlfn.LET(_xlpm.val,IF($F96="",val_blankRefText,_xldudf_CX_GET(CX_ENTITY,$F96,AX$11,AX$14,,(AX$75))),_xlpm.Res,IF(OR(_xlpm.val="",_xlpm.val="Error"),"",_xlpm.val),_xlpm.Res)</f>
        <v>#NAME?</v>
      </c>
      <c r="AY96" s="1985" t="e" cm="1">
        <f t="array" ca="1" aca="1" ref="AY96">_xlfn.LET(_xlpm.val,IF($F96="",val_blankRefText,_xldudf_CX_GET(CX_ENTITY,$F96,AY$11,AY$14,,(AY$75))),_xlpm.Res,IF(OR(_xlpm.val="",_xlpm.val="Error"),"",_xlpm.val),_xlpm.Res)</f>
        <v>#NAME?</v>
      </c>
      <c r="AZ96" s="1985" t="e" cm="1">
        <f t="array" ca="1" aca="1" ref="AZ96">_xlfn.LET(_xlpm.val,IF($F96="",val_blankRefText,_xldudf_CX_GET(CX_ENTITY,$F96,AZ$11,AZ$14,,(AZ$75))),_xlpm.Res,IF(OR(_xlpm.val="",_xlpm.val="Error"),"",_xlpm.val),_xlpm.Res)</f>
        <v>#NAME?</v>
      </c>
      <c r="BA96" s="1985" t="e" cm="1">
        <f t="array" ca="1" aca="1" ref="BA96">_xlfn.LET(_xlpm.val,IF($F96="",val_blankRefText,_xldudf_CX_GET(CX_ENTITY,$F96,BA$11,BA$14,,(BA$75))),_xlpm.Res,IF(OR(_xlpm.val="",_xlpm.val="Error"),"",_xlpm.val),_xlpm.Res)</f>
        <v>#NAME?</v>
      </c>
      <c r="BB96" s="1985" t="e" cm="1">
        <f t="array" ca="1" aca="1" ref="BB96">_xlfn.LET(_xlpm.val,IF($F96="",val_blankRefText,_xldudf_CX_GET(CX_ENTITY,$F96,BB$11,BB$14,,(BB$75))),_xlpm.Res,IF(OR(_xlpm.val="",_xlpm.val="Error"),"",_xlpm.val),_xlpm.Res)</f>
        <v>#NAME?</v>
      </c>
      <c r="BC96" s="1985" t="e" cm="1">
        <f t="array" ca="1" aca="1" ref="BC96">_xlfn.LET(_xlpm.val,IF($F96="",val_blankRefText,_xldudf_CX_GET(CX_ENTITY,$F96,BC$11,BC$14,,(BC$75))),_xlpm.Res,IF(OR(_xlpm.val="",_xlpm.val="Error"),"",_xlpm.val),_xlpm.Res)</f>
        <v>#NAME?</v>
      </c>
      <c r="BD96" s="1985" t="e" cm="1">
        <f t="array" ca="1" aca="1" ref="BD96">_xlfn.LET(_xlpm.val,IF($F96="",val_blankRefText,_xldudf_CX_GET(CX_ENTITY,$F96,BD$11,BD$14,,(BD$75))),_xlpm.Res,IF(OR(_xlpm.val="",_xlpm.val="Error"),"",_xlpm.val),_xlpm.Res)</f>
        <v>#NAME?</v>
      </c>
      <c r="BE96" s="1985" t="e" cm="1">
        <f t="array" ca="1" aca="1" ref="BE96">_xlfn.LET(_xlpm.val,IF($F96="",val_blankRefText,_xldudf_CX_GET(CX_ENTITY,$F96,BE$11,BE$14,,(BE$75))),_xlpm.Res,IF(OR(_xlpm.val="",_xlpm.val="Error"),"",_xlpm.val),_xlpm.Res)</f>
        <v>#NAME?</v>
      </c>
      <c r="BF96" s="1985" t="e" cm="1">
        <f t="array" ca="1" aca="1" ref="BF96">_xlfn.LET(_xlpm.val,IF($F96="",val_blankRefText,_xldudf_CX_GET(CX_ENTITY,$F96,BF$11,BF$14,,(BF$75))),_xlpm.Res,IF(OR(_xlpm.val="",_xlpm.val="Error"),"",_xlpm.val),_xlpm.Res)</f>
        <v>#NAME?</v>
      </c>
      <c r="BG96" s="1985" t="e" cm="1">
        <f t="array" ca="1" aca="1" ref="BG96">_xlfn.LET(_xlpm.val,IF($F96="",val_blankRefText,_xldudf_CX_GET(CX_ENTITY,$F96,BG$11,BG$14,,(BG$75))),_xlpm.Res,IF(OR(_xlpm.val="",_xlpm.val="Error"),"",_xlpm.val),_xlpm.Res)</f>
        <v>#NAME?</v>
      </c>
      <c r="BH96" s="1985" t="e" cm="1">
        <f t="array" ca="1" aca="1" ref="BH96">_xlfn.LET(_xlpm.val,IF($F96="",val_blankRefText,_xldudf_CX_GET(CX_ENTITY,$F96,BH$11,BH$14,,(BH$75))),_xlpm.Res,IF(OR(_xlpm.val="",_xlpm.val="Error"),"",_xlpm.val),_xlpm.Res)</f>
        <v>#NAME?</v>
      </c>
      <c r="BI96" s="1985" t="e" cm="1">
        <f t="array" ca="1" aca="1" ref="BI96">_xlfn.LET(_xlpm.val,IF($F96="",val_blankRefText,_xldudf_CX_GET(CX_ENTITY,$F96,BI$11,BI$14,,(BI$75))),_xlpm.Res,IF(OR(_xlpm.val="",_xlpm.val="Error"),"",_xlpm.val),_xlpm.Res)</f>
        <v>#NAME?</v>
      </c>
      <c r="BJ96" s="1985" t="e" cm="1">
        <f t="array" ca="1" aca="1" ref="BJ96">_xlfn.LET(_xlpm.val,IF($F96="",val_blankRefText,_xldudf_CX_GET(CX_ENTITY,$F96,BJ$11,BJ$14,,(BJ$75))),_xlpm.Res,IF(OR(_xlpm.val="",_xlpm.val="Error"),"",_xlpm.val),_xlpm.Res)</f>
        <v>#NAME?</v>
      </c>
      <c r="BK96" s="1985" t="e" cm="1">
        <f t="array" ca="1" aca="1" ref="BK96">_xlfn.LET(_xlpm.val,IF($F96="",val_blankRefText,_xldudf_CX_GET(CX_ENTITY,$F96,BK$11,BK$14,,(BK$75))),_xlpm.Res,IF(OR(_xlpm.val="",_xlpm.val="Error"),"",_xlpm.val),_xlpm.Res)</f>
        <v>#NAME?</v>
      </c>
      <c r="BL96" s="1985" t="e" cm="1">
        <f t="array" ca="1" aca="1" ref="BL96">_xlfn.LET(_xlpm.val,IF($F96="",val_blankRefText,_xldudf_CX_GET(CX_ENTITY,$F96,BL$11,BL$14,,(BL$75))),_xlpm.Res,IF(OR(_xlpm.val="",_xlpm.val="Error"),"",_xlpm.val),_xlpm.Res)</f>
        <v>#NAME?</v>
      </c>
      <c r="BM96" s="1985" t="e" cm="1">
        <f t="array" ca="1" aca="1" ref="BM96">_xlfn.LET(_xlpm.val,IF($F96="",val_blankRefText,_xldudf_CX_GET(CX_ENTITY,$F96,BM$11,BM$14,,(BM$75))),_xlpm.Res,IF(OR(_xlpm.val="",_xlpm.val="Error"),"",_xlpm.val),_xlpm.Res)</f>
        <v>#NAME?</v>
      </c>
      <c r="BN96" s="1985" t="e" cm="1">
        <f t="array" ca="1" aca="1" ref="BN96">_xlfn.LET(_xlpm.val,IF($F96="",val_blankRefText,_xldudf_CX_GET(CX_ENTITY,$F96,BN$11,BN$14,,(BN$75))),_xlpm.Res,IF(OR(_xlpm.val="",_xlpm.val="Error"),"",_xlpm.val),_xlpm.Res)</f>
        <v>#NAME?</v>
      </c>
      <c r="BO96" s="2101"/>
      <c r="BP96" s="2101"/>
      <c r="BQ96" s="2101"/>
      <c r="BR96" s="2101"/>
      <c r="BS96" s="2101"/>
      <c r="BT96" s="2101"/>
      <c r="BU96" s="2101"/>
      <c r="BV96" s="2101"/>
      <c r="BW96" s="2101"/>
      <c r="BX96" s="2101"/>
      <c r="BY96" s="2101"/>
      <c r="BZ96" s="2101"/>
      <c r="CA96" s="34"/>
      <c r="CC96" s="33"/>
      <c r="CD96" s="1461" t="e" cm="1">
        <f t="array" ca="1" aca="1" ref="CD96">_xlfn.LET(_xlpm.CheckBlank,SUM(PL!$AD96:$BN96)=0,IF(_xlpm.CheckBlank,"",SUM(_xlfn._xlws.FILTER(PL!$AD96:$BN96,(YEAR(PL!$AD$12:$BN$12)=PL!CD$12)*(array_timeline&lt;=PL!CD$11)))))</f>
        <v>#NAME?</v>
      </c>
      <c r="CE96" s="1461" t="e" cm="1">
        <f t="array" ca="1" aca="1" ref="CE96">_xlfn.LET(_xlpm.CheckBlank,SUM(PL!$AD96:$BN96)=0,IF(_xlpm.CheckBlank,"",SUM(_xlfn._xlws.FILTER(PL!$AD96:$BN96,(YEAR(PL!$AD$12:$BN$12)=PL!CE$12)*(array_timeline&lt;=PL!CE$11)))))</f>
        <v>#NAME?</v>
      </c>
      <c r="CF96" s="88"/>
      <c r="CG96" s="1461" t="e" cm="1">
        <f t="array" ca="1" aca="1" ref="CG96">_xlfn.LET(_xlpm.CheckBlank,SUM(PL!$AD96:$BN96)=0,IF(_xlpm.CheckBlank,"",SUM(_xlfn._xlws.FILTER(PL!$AD96:$BN96,(YEAR(PL!$AD$12:$BN$12)=PL!CG$12)*(array_timeline&lt;=PL!CG$11)))))</f>
        <v>#NAME?</v>
      </c>
      <c r="CH96" s="1461" t="e" cm="1">
        <f t="array" ca="1" aca="1" ref="CH96">_xlfn.LET(_xlpm.CheckBlank,SUM(PL!$AD96:$BN96)=0,IF(_xlpm.CheckBlank,"",SUM(_xlfn._xlws.FILTER(PL!$AD96:$BN96,(YEAR(PL!$AD$12:$BN$12)=PL!CH$12)*(array_timeline&lt;=PL!CH$11)))))</f>
        <v>#NAME?</v>
      </c>
      <c r="CI96" s="88"/>
      <c r="CJ96" s="1461" cm="1">
        <f t="array" ref="CJ96">_xlfn.LET(_xlpm.CheckBlank,SUM(PL!$AD96:$BN96)=0,IF(_xlpm.CheckBlank,"",SUM(_xlfn.TAKE(_xlfn.DROP(PL!$AD96:$BN96,,-DATEDIFF(PL!CJ$11,val_asOfDate,"M")),1,-12))))</f>
        <v>12</v>
      </c>
      <c r="CK96" s="1461" cm="1">
        <f t="array" ref="CK96">_xlfn.LET(_xlpm.CheckBlank,SUM(PL!$AD96:$BN96)=0,IF(_xlpm.CheckBlank,"",SUM(_xlfn.TAKE(_xlfn.DROP(PL!$AD96:$BN96,,-DATEDIFF(PL!CK$11,val_asOfDate,"M")),1,-12))))</f>
        <v>12</v>
      </c>
      <c r="CL96" s="88"/>
      <c r="CM96" s="1168" t="e">
        <f t="shared" ca="1" si="21"/>
        <v>#NAME?</v>
      </c>
      <c r="CN96" s="1168" t="e">
        <f t="shared" ca="1" si="21"/>
        <v>#NAME?</v>
      </c>
      <c r="CO96" s="1169"/>
      <c r="CP96" s="1168" t="e">
        <f t="shared" ca="1" si="22"/>
        <v>#NAME?</v>
      </c>
      <c r="CQ96" s="1168" t="e">
        <f t="shared" ca="1" si="22"/>
        <v>#NAME?</v>
      </c>
      <c r="CR96" s="34"/>
    </row>
    <row r="97" spans="1:96" ht="21" customHeight="1" outlineLevel="1">
      <c r="A97" s="1322"/>
      <c r="B97" s="575" t="s">
        <v>1555</v>
      </c>
      <c r="C97" s="2129" t="s">
        <v>1556</v>
      </c>
      <c r="D97" s="575"/>
      <c r="E97" s="575" t="e" cm="1">
        <f t="array" ca="1" aca="1" ref="E97">_xlfn.LET(_xlpm.Attr,$C97,_xlpm.Lookback,$E$16,_xlpm.QueryDate,EOMONTH(val_asOfDate,_xlpm.Lookback),_xlpm.ReadField,_xldudf_CX_GET(CX_ENTITY,fx_attrConverter($C97),_xlpm.QueryDate),_xlpm.AttrBlank,_xlpm.Attr="",_xlpm.RESULT,IF(_xlpm.AttrBlank,val_blankRefText,fx_attrConverter(_xlpm.ReadField,0)),IF(_xlpm.RESULT="Error","",_xlpm.RESULT))</f>
        <v>#NAME?</v>
      </c>
      <c r="F97" s="575" t="str">
        <f t="shared" si="17"/>
        <v>Net Profit</v>
      </c>
      <c r="G97" s="577" t="s">
        <v>1598</v>
      </c>
      <c r="H97" s="3277">
        <v>2</v>
      </c>
      <c r="I97" s="3277">
        <v>1</v>
      </c>
      <c r="J97" s="576"/>
      <c r="K97" s="576"/>
      <c r="L97" s="576">
        <v>-1</v>
      </c>
      <c r="N97" s="158"/>
      <c r="O97" s="101"/>
      <c r="P97" s="52"/>
      <c r="Q97" s="101"/>
      <c r="R97" s="101"/>
      <c r="S97" s="101"/>
      <c r="T97" s="101"/>
      <c r="U97" s="39"/>
      <c r="W97" s="268" t="str">
        <f t="shared" si="18"/>
        <v>Budget</v>
      </c>
      <c r="X97" s="893">
        <v>0</v>
      </c>
      <c r="Y97" s="879" t="e">
        <f t="shared" ca="1" si="19"/>
        <v>#NAME?</v>
      </c>
      <c r="Z97" s="538" cm="1">
        <f t="array" ref="Z97">_xlfn.SWITCH(TRUE,ISBLANK(_PL!$L97),"",_PL!$L97=TRUE,1,_PL!$L97=FALSE,-1,_PL!$L97=-1,0,"n/a")</f>
        <v>0</v>
      </c>
      <c r="AA97" s="787"/>
      <c r="AB97" s="1335" t="str">
        <f t="shared" si="20"/>
        <v>Net Profit</v>
      </c>
      <c r="AC97" s="1163" t="str" cm="1">
        <f t="array" ref="AC97">_xlfn.LET(_xlpm.Def,IF(_xlfn.XMATCH(AB97,tbl_acctDef[Term],0)&gt;0,fx_getIcon("find"),""),_xlpm.Adj,IF(_xlfn.XMATCH(AB97,tbl_adjExample[Items],0)&gt;0,fx_getIcon("find"),""),IFERROR(IFBLANK(_xlpm.Def,_xlpm.Adj),""))</f>
        <v/>
      </c>
      <c r="AD97" s="1985" t="e" cm="1">
        <f t="array" ca="1" aca="1" ref="AD97">_xlfn.LET(_xlpm.val,IF($F97="",val_blankRefText,_xldudf_CX_GET(CX_ENTITY,$F97,AD$11,AD$14,,(AD$75))),_xlpm.Res,IF(OR(_xlpm.val="",_xlpm.val="Error"),"",_xlpm.val),_xlpm.Res)</f>
        <v>#NAME?</v>
      </c>
      <c r="AE97" s="1985" t="e" cm="1">
        <f t="array" ca="1" aca="1" ref="AE97">_xlfn.LET(_xlpm.val,IF($F97="",val_blankRefText,_xldudf_CX_GET(CX_ENTITY,$F97,AE$11,AE$14,,(AE$75))),_xlpm.Res,IF(OR(_xlpm.val="",_xlpm.val="Error"),"",_xlpm.val),_xlpm.Res)</f>
        <v>#NAME?</v>
      </c>
      <c r="AF97" s="1985" t="e" cm="1">
        <f t="array" ca="1" aca="1" ref="AF97">_xlfn.LET(_xlpm.val,IF($F97="",val_blankRefText,_xldudf_CX_GET(CX_ENTITY,$F97,AF$11,AF$14,,(AF$75))),_xlpm.Res,IF(OR(_xlpm.val="",_xlpm.val="Error"),"",_xlpm.val),_xlpm.Res)</f>
        <v>#NAME?</v>
      </c>
      <c r="AG97" s="1985" t="e" cm="1">
        <f t="array" ca="1" aca="1" ref="AG97">_xlfn.LET(_xlpm.val,IF($F97="",val_blankRefText,_xldudf_CX_GET(CX_ENTITY,$F97,AG$11,AG$14,,(AG$75))),_xlpm.Res,IF(OR(_xlpm.val="",_xlpm.val="Error"),"",_xlpm.val),_xlpm.Res)</f>
        <v>#NAME?</v>
      </c>
      <c r="AH97" s="1985" t="e" cm="1">
        <f t="array" ca="1" aca="1" ref="AH97">_xlfn.LET(_xlpm.val,IF($F97="",val_blankRefText,_xldudf_CX_GET(CX_ENTITY,$F97,AH$11,AH$14,,(AH$75))),_xlpm.Res,IF(OR(_xlpm.val="",_xlpm.val="Error"),"",_xlpm.val),_xlpm.Res)</f>
        <v>#NAME?</v>
      </c>
      <c r="AI97" s="1985" t="e" cm="1">
        <f t="array" ca="1" aca="1" ref="AI97">_xlfn.LET(_xlpm.val,IF($F97="",val_blankRefText,_xldudf_CX_GET(CX_ENTITY,$F97,AI$11,AI$14,,(AI$75))),_xlpm.Res,IF(OR(_xlpm.val="",_xlpm.val="Error"),"",_xlpm.val),_xlpm.Res)</f>
        <v>#NAME?</v>
      </c>
      <c r="AJ97" s="1985" t="e" cm="1">
        <f t="array" ca="1" aca="1" ref="AJ97">_xlfn.LET(_xlpm.val,IF($F97="",val_blankRefText,_xldudf_CX_GET(CX_ENTITY,$F97,AJ$11,AJ$14,,(AJ$75))),_xlpm.Res,IF(OR(_xlpm.val="",_xlpm.val="Error"),"",_xlpm.val),_xlpm.Res)</f>
        <v>#NAME?</v>
      </c>
      <c r="AK97" s="1985" t="e" cm="1">
        <f t="array" ca="1" aca="1" ref="AK97">_xlfn.LET(_xlpm.val,IF($F97="",val_blankRefText,_xldudf_CX_GET(CX_ENTITY,$F97,AK$11,AK$14,,(AK$75))),_xlpm.Res,IF(OR(_xlpm.val="",_xlpm.val="Error"),"",_xlpm.val),_xlpm.Res)</f>
        <v>#NAME?</v>
      </c>
      <c r="AL97" s="1985" t="e" cm="1">
        <f t="array" ca="1" aca="1" ref="AL97">_xlfn.LET(_xlpm.val,IF($F97="",val_blankRefText,_xldudf_CX_GET(CX_ENTITY,$F97,AL$11,AL$14,,(AL$75))),_xlpm.Res,IF(OR(_xlpm.val="",_xlpm.val="Error"),"",_xlpm.val),_xlpm.Res)</f>
        <v>#NAME?</v>
      </c>
      <c r="AM97" s="1985" t="e" cm="1">
        <f t="array" ca="1" aca="1" ref="AM97">_xlfn.LET(_xlpm.val,IF($F97="",val_blankRefText,_xldudf_CX_GET(CX_ENTITY,$F97,AM$11,AM$14,,(AM$75))),_xlpm.Res,IF(OR(_xlpm.val="",_xlpm.val="Error"),"",_xlpm.val),_xlpm.Res)</f>
        <v>#NAME?</v>
      </c>
      <c r="AN97" s="1985" t="e" cm="1">
        <f t="array" ca="1" aca="1" ref="AN97">_xlfn.LET(_xlpm.val,IF($F97="",val_blankRefText,_xldudf_CX_GET(CX_ENTITY,$F97,AN$11,AN$14,,(AN$75))),_xlpm.Res,IF(OR(_xlpm.val="",_xlpm.val="Error"),"",_xlpm.val),_xlpm.Res)</f>
        <v>#NAME?</v>
      </c>
      <c r="AO97" s="1985" t="e" cm="1">
        <f t="array" ca="1" aca="1" ref="AO97">_xlfn.LET(_xlpm.val,IF($F97="",val_blankRefText,_xldudf_CX_GET(CX_ENTITY,$F97,AO$11,AO$14,,(AO$75))),_xlpm.Res,IF(OR(_xlpm.val="",_xlpm.val="Error"),"",_xlpm.val),_xlpm.Res)</f>
        <v>#NAME?</v>
      </c>
      <c r="AP97" s="1985" t="e" cm="1">
        <f t="array" ca="1" aca="1" ref="AP97">_xlfn.LET(_xlpm.val,IF($F97="",val_blankRefText,_xldudf_CX_GET(CX_ENTITY,$F97,AP$11,AP$14,,(AP$75))),_xlpm.Res,IF(OR(_xlpm.val="",_xlpm.val="Error"),"",_xlpm.val),_xlpm.Res)</f>
        <v>#NAME?</v>
      </c>
      <c r="AQ97" s="1985" t="e" cm="1">
        <f t="array" ca="1" aca="1" ref="AQ97">_xlfn.LET(_xlpm.val,IF($F97="",val_blankRefText,_xldudf_CX_GET(CX_ENTITY,$F97,AQ$11,AQ$14,,(AQ$75))),_xlpm.Res,IF(OR(_xlpm.val="",_xlpm.val="Error"),"",_xlpm.val),_xlpm.Res)</f>
        <v>#NAME?</v>
      </c>
      <c r="AR97" s="1985" t="e" cm="1">
        <f t="array" ca="1" aca="1" ref="AR97">_xlfn.LET(_xlpm.val,IF($F97="",val_blankRefText,_xldudf_CX_GET(CX_ENTITY,$F97,AR$11,AR$14,,(AR$75))),_xlpm.Res,IF(OR(_xlpm.val="",_xlpm.val="Error"),"",_xlpm.val),_xlpm.Res)</f>
        <v>#NAME?</v>
      </c>
      <c r="AS97" s="1985" t="e" cm="1">
        <f t="array" ca="1" aca="1" ref="AS97">_xlfn.LET(_xlpm.val,IF($F97="",val_blankRefText,_xldudf_CX_GET(CX_ENTITY,$F97,AS$11,AS$14,,(AS$75))),_xlpm.Res,IF(OR(_xlpm.val="",_xlpm.val="Error"),"",_xlpm.val),_xlpm.Res)</f>
        <v>#NAME?</v>
      </c>
      <c r="AT97" s="1985" t="e" cm="1">
        <f t="array" ca="1" aca="1" ref="AT97">_xlfn.LET(_xlpm.val,IF($F97="",val_blankRefText,_xldudf_CX_GET(CX_ENTITY,$F97,AT$11,AT$14,,(AT$75))),_xlpm.Res,IF(OR(_xlpm.val="",_xlpm.val="Error"),"",_xlpm.val),_xlpm.Res)</f>
        <v>#NAME?</v>
      </c>
      <c r="AU97" s="1985" t="e" cm="1">
        <f t="array" ca="1" aca="1" ref="AU97">_xlfn.LET(_xlpm.val,IF($F97="",val_blankRefText,_xldudf_CX_GET(CX_ENTITY,$F97,AU$11,AU$14,,(AU$75))),_xlpm.Res,IF(OR(_xlpm.val="",_xlpm.val="Error"),"",_xlpm.val),_xlpm.Res)</f>
        <v>#NAME?</v>
      </c>
      <c r="AV97" s="1985" t="e" cm="1">
        <f t="array" ca="1" aca="1" ref="AV97">_xlfn.LET(_xlpm.val,IF($F97="",val_blankRefText,_xldudf_CX_GET(CX_ENTITY,$F97,AV$11,AV$14,,(AV$75))),_xlpm.Res,IF(OR(_xlpm.val="",_xlpm.val="Error"),"",_xlpm.val),_xlpm.Res)</f>
        <v>#NAME?</v>
      </c>
      <c r="AW97" s="1985" t="e" cm="1">
        <f t="array" ca="1" aca="1" ref="AW97">_xlfn.LET(_xlpm.val,IF($F97="",val_blankRefText,_xldudf_CX_GET(CX_ENTITY,$F97,AW$11,AW$14,,(AW$75))),_xlpm.Res,IF(OR(_xlpm.val="",_xlpm.val="Error"),"",_xlpm.val),_xlpm.Res)</f>
        <v>#NAME?</v>
      </c>
      <c r="AX97" s="1985" t="e" cm="1">
        <f t="array" ca="1" aca="1" ref="AX97">_xlfn.LET(_xlpm.val,IF($F97="",val_blankRefText,_xldudf_CX_GET(CX_ENTITY,$F97,AX$11,AX$14,,(AX$75))),_xlpm.Res,IF(OR(_xlpm.val="",_xlpm.val="Error"),"",_xlpm.val),_xlpm.Res)</f>
        <v>#NAME?</v>
      </c>
      <c r="AY97" s="1985" t="e" cm="1">
        <f t="array" ca="1" aca="1" ref="AY97">_xlfn.LET(_xlpm.val,IF($F97="",val_blankRefText,_xldudf_CX_GET(CX_ENTITY,$F97,AY$11,AY$14,,(AY$75))),_xlpm.Res,IF(OR(_xlpm.val="",_xlpm.val="Error"),"",_xlpm.val),_xlpm.Res)</f>
        <v>#NAME?</v>
      </c>
      <c r="AZ97" s="1985" t="e" cm="1">
        <f t="array" ca="1" aca="1" ref="AZ97">_xlfn.LET(_xlpm.val,IF($F97="",val_blankRefText,_xldudf_CX_GET(CX_ENTITY,$F97,AZ$11,AZ$14,,(AZ$75))),_xlpm.Res,IF(OR(_xlpm.val="",_xlpm.val="Error"),"",_xlpm.val),_xlpm.Res)</f>
        <v>#NAME?</v>
      </c>
      <c r="BA97" s="1985" t="e" cm="1">
        <f t="array" ca="1" aca="1" ref="BA97">_xlfn.LET(_xlpm.val,IF($F97="",val_blankRefText,_xldudf_CX_GET(CX_ENTITY,$F97,BA$11,BA$14,,(BA$75))),_xlpm.Res,IF(OR(_xlpm.val="",_xlpm.val="Error"),"",_xlpm.val),_xlpm.Res)</f>
        <v>#NAME?</v>
      </c>
      <c r="BB97" s="1985" t="e" cm="1">
        <f t="array" ca="1" aca="1" ref="BB97">_xlfn.LET(_xlpm.val,IF($F97="",val_blankRefText,_xldudf_CX_GET(CX_ENTITY,$F97,BB$11,BB$14,,(BB$75))),_xlpm.Res,IF(OR(_xlpm.val="",_xlpm.val="Error"),"",_xlpm.val),_xlpm.Res)</f>
        <v>#NAME?</v>
      </c>
      <c r="BC97" s="1985" t="e" cm="1">
        <f t="array" ca="1" aca="1" ref="BC97">_xlfn.LET(_xlpm.val,IF($F97="",val_blankRefText,_xldudf_CX_GET(CX_ENTITY,$F97,BC$11,BC$14,,(BC$75))),_xlpm.Res,IF(OR(_xlpm.val="",_xlpm.val="Error"),"",_xlpm.val),_xlpm.Res)</f>
        <v>#NAME?</v>
      </c>
      <c r="BD97" s="1985" t="e" cm="1">
        <f t="array" ca="1" aca="1" ref="BD97">_xlfn.LET(_xlpm.val,IF($F97="",val_blankRefText,_xldudf_CX_GET(CX_ENTITY,$F97,BD$11,BD$14,,(BD$75))),_xlpm.Res,IF(OR(_xlpm.val="",_xlpm.val="Error"),"",_xlpm.val),_xlpm.Res)</f>
        <v>#NAME?</v>
      </c>
      <c r="BE97" s="1985" t="e" cm="1">
        <f t="array" ca="1" aca="1" ref="BE97">_xlfn.LET(_xlpm.val,IF($F97="",val_blankRefText,_xldudf_CX_GET(CX_ENTITY,$F97,BE$11,BE$14,,(BE$75))),_xlpm.Res,IF(OR(_xlpm.val="",_xlpm.val="Error"),"",_xlpm.val),_xlpm.Res)</f>
        <v>#NAME?</v>
      </c>
      <c r="BF97" s="1985" t="e" cm="1">
        <f t="array" ca="1" aca="1" ref="BF97">_xlfn.LET(_xlpm.val,IF($F97="",val_blankRefText,_xldudf_CX_GET(CX_ENTITY,$F97,BF$11,BF$14,,(BF$75))),_xlpm.Res,IF(OR(_xlpm.val="",_xlpm.val="Error"),"",_xlpm.val),_xlpm.Res)</f>
        <v>#NAME?</v>
      </c>
      <c r="BG97" s="1985" t="e" cm="1">
        <f t="array" ca="1" aca="1" ref="BG97">_xlfn.LET(_xlpm.val,IF($F97="",val_blankRefText,_xldudf_CX_GET(CX_ENTITY,$F97,BG$11,BG$14,,(BG$75))),_xlpm.Res,IF(OR(_xlpm.val="",_xlpm.val="Error"),"",_xlpm.val),_xlpm.Res)</f>
        <v>#NAME?</v>
      </c>
      <c r="BH97" s="1985" t="e" cm="1">
        <f t="array" ca="1" aca="1" ref="BH97">_xlfn.LET(_xlpm.val,IF($F97="",val_blankRefText,_xldudf_CX_GET(CX_ENTITY,$F97,BH$11,BH$14,,(BH$75))),_xlpm.Res,IF(OR(_xlpm.val="",_xlpm.val="Error"),"",_xlpm.val),_xlpm.Res)</f>
        <v>#NAME?</v>
      </c>
      <c r="BI97" s="1985" t="e" cm="1">
        <f t="array" ca="1" aca="1" ref="BI97">_xlfn.LET(_xlpm.val,IF($F97="",val_blankRefText,_xldudf_CX_GET(CX_ENTITY,$F97,BI$11,BI$14,,(BI$75))),_xlpm.Res,IF(OR(_xlpm.val="",_xlpm.val="Error"),"",_xlpm.val),_xlpm.Res)</f>
        <v>#NAME?</v>
      </c>
      <c r="BJ97" s="1985" t="e" cm="1">
        <f t="array" ca="1" aca="1" ref="BJ97">_xlfn.LET(_xlpm.val,IF($F97="",val_blankRefText,_xldudf_CX_GET(CX_ENTITY,$F97,BJ$11,BJ$14,,(BJ$75))),_xlpm.Res,IF(OR(_xlpm.val="",_xlpm.val="Error"),"",_xlpm.val),_xlpm.Res)</f>
        <v>#NAME?</v>
      </c>
      <c r="BK97" s="1985" t="e" cm="1">
        <f t="array" ca="1" aca="1" ref="BK97">_xlfn.LET(_xlpm.val,IF($F97="",val_blankRefText,_xldudf_CX_GET(CX_ENTITY,$F97,BK$11,BK$14,,(BK$75))),_xlpm.Res,IF(OR(_xlpm.val="",_xlpm.val="Error"),"",_xlpm.val),_xlpm.Res)</f>
        <v>#NAME?</v>
      </c>
      <c r="BL97" s="1985" t="e" cm="1">
        <f t="array" ca="1" aca="1" ref="BL97">_xlfn.LET(_xlpm.val,IF($F97="",val_blankRefText,_xldudf_CX_GET(CX_ENTITY,$F97,BL$11,BL$14,,(BL$75))),_xlpm.Res,IF(OR(_xlpm.val="",_xlpm.val="Error"),"",_xlpm.val),_xlpm.Res)</f>
        <v>#NAME?</v>
      </c>
      <c r="BM97" s="1985" t="e" cm="1">
        <f t="array" ca="1" aca="1" ref="BM97">_xlfn.LET(_xlpm.val,IF($F97="",val_blankRefText,_xldudf_CX_GET(CX_ENTITY,$F97,BM$11,BM$14,,(BM$75))),_xlpm.Res,IF(OR(_xlpm.val="",_xlpm.val="Error"),"",_xlpm.val),_xlpm.Res)</f>
        <v>#NAME?</v>
      </c>
      <c r="BN97" s="1985" t="e" cm="1">
        <f t="array" ca="1" aca="1" ref="BN97">_xlfn.LET(_xlpm.val,IF($F97="",val_blankRefText,_xldudf_CX_GET(CX_ENTITY,$F97,BN$11,BN$14,,(BN$75))),_xlpm.Res,IF(OR(_xlpm.val="",_xlpm.val="Error"),"",_xlpm.val),_xlpm.Res)</f>
        <v>#NAME?</v>
      </c>
      <c r="BO97" s="2101"/>
      <c r="BP97" s="2101"/>
      <c r="BQ97" s="2101"/>
      <c r="BR97" s="2101"/>
      <c r="BS97" s="2101"/>
      <c r="BT97" s="2101"/>
      <c r="BU97" s="2101"/>
      <c r="BV97" s="2101"/>
      <c r="BW97" s="2101"/>
      <c r="BX97" s="2101"/>
      <c r="BY97" s="2101"/>
      <c r="BZ97" s="2101"/>
      <c r="CA97" s="34"/>
      <c r="CC97" s="33"/>
      <c r="CD97" s="1461" t="e" cm="1">
        <f t="array" ca="1" aca="1" ref="CD97">_xlfn.LET(_xlpm.CheckBlank,SUM(PL!$AD97:$BN97)=0,IF(_xlpm.CheckBlank,"",SUM(_xlfn._xlws.FILTER(PL!$AD97:$BN97,(YEAR(PL!$AD$12:$BN$12)=PL!CD$12)*(array_timeline&lt;=PL!CD$11)))))</f>
        <v>#NAME?</v>
      </c>
      <c r="CE97" s="1461" t="e" cm="1">
        <f t="array" ca="1" aca="1" ref="CE97">_xlfn.LET(_xlpm.CheckBlank,SUM(PL!$AD97:$BN97)=0,IF(_xlpm.CheckBlank,"",SUM(_xlfn._xlws.FILTER(PL!$AD97:$BN97,(YEAR(PL!$AD$12:$BN$12)=PL!CE$12)*(array_timeline&lt;=PL!CE$11)))))</f>
        <v>#NAME?</v>
      </c>
      <c r="CF97" s="88"/>
      <c r="CG97" s="1461" t="e" cm="1">
        <f t="array" ca="1" aca="1" ref="CG97">_xlfn.LET(_xlpm.CheckBlank,SUM(PL!$AD97:$BN97)=0,IF(_xlpm.CheckBlank,"",SUM(_xlfn._xlws.FILTER(PL!$AD97:$BN97,(YEAR(PL!$AD$12:$BN$12)=PL!CG$12)*(array_timeline&lt;=PL!CG$11)))))</f>
        <v>#NAME?</v>
      </c>
      <c r="CH97" s="1461" t="e" cm="1">
        <f t="array" ca="1" aca="1" ref="CH97">_xlfn.LET(_xlpm.CheckBlank,SUM(PL!$AD97:$BN97)=0,IF(_xlpm.CheckBlank,"",SUM(_xlfn._xlws.FILTER(PL!$AD97:$BN97,(YEAR(PL!$AD$12:$BN$12)=PL!CH$12)*(array_timeline&lt;=PL!CH$11)))))</f>
        <v>#NAME?</v>
      </c>
      <c r="CI97" s="88"/>
      <c r="CJ97" s="1461" cm="1">
        <f t="array" ref="CJ97">_xlfn.LET(_xlpm.CheckBlank,SUM(PL!$AD97:$BN97)=0,IF(_xlpm.CheckBlank,"",SUM(_xlfn.TAKE(_xlfn.DROP(PL!$AD97:$BN97,,-DATEDIFF(PL!CJ$11,val_asOfDate,"M")),1,-12))))</f>
        <v>96</v>
      </c>
      <c r="CK97" s="1461" cm="1">
        <f t="array" ref="CK97">_xlfn.LET(_xlpm.CheckBlank,SUM(PL!$AD97:$BN97)=0,IF(_xlpm.CheckBlank,"",SUM(_xlfn.TAKE(_xlfn.DROP(PL!$AD97:$BN97,,-DATEDIFF(PL!CK$11,val_asOfDate,"M")),1,-12))))</f>
        <v>96</v>
      </c>
      <c r="CL97" s="88"/>
      <c r="CM97" s="1168" t="e">
        <f t="shared" ca="1" si="21"/>
        <v>#NAME?</v>
      </c>
      <c r="CN97" s="1168" t="e">
        <f t="shared" ca="1" si="21"/>
        <v>#NAME?</v>
      </c>
      <c r="CO97" s="1169"/>
      <c r="CP97" s="1168" t="e">
        <f t="shared" ca="1" si="22"/>
        <v>#NAME?</v>
      </c>
      <c r="CQ97" s="1168" t="e">
        <f t="shared" ca="1" si="22"/>
        <v>#NAME?</v>
      </c>
      <c r="CR97" s="34"/>
    </row>
    <row r="98" spans="1:96" ht="15.5" outlineLevel="1">
      <c r="A98" s="1322"/>
      <c r="B98" s="577"/>
      <c r="C98" s="577"/>
      <c r="D98" s="577"/>
      <c r="E98" s="577"/>
      <c r="F98" s="577"/>
      <c r="G98" s="577"/>
      <c r="H98" s="578"/>
      <c r="I98" s="578"/>
      <c r="J98" s="578"/>
      <c r="K98" s="578"/>
      <c r="L98" s="578"/>
      <c r="N98" s="158"/>
      <c r="O98" s="101"/>
      <c r="P98" s="52"/>
      <c r="Q98" s="101"/>
      <c r="R98" s="126"/>
      <c r="S98" s="101"/>
      <c r="T98" s="101"/>
      <c r="U98" s="39"/>
      <c r="W98" s="198"/>
      <c r="X98" s="887"/>
      <c r="Y98" s="88"/>
      <c r="Z98" s="543"/>
      <c r="AA98" s="97"/>
      <c r="AB98" s="97"/>
      <c r="AC98" s="128" t="str" cm="1">
        <f t="array" ref="AC98">_xlfn.LET(_xlpm.Def,IF(_xlfn.XMATCH(AB98,tbl_acctDef[Term],0)&gt;0,fx_getIcon("find"),""),_xlpm.Adj,IF(_xlfn.XMATCH(AB98,tbl_adjExample[Items],0)&gt;0,fx_getIcon("find"),""),IFERROR(IFBLANK(_xlpm.Def,_xlpm.Adj),""))</f>
        <v/>
      </c>
      <c r="AD98" s="166"/>
      <c r="AE98" s="166"/>
      <c r="AF98" s="166"/>
      <c r="AG98" s="166"/>
      <c r="AH98" s="166"/>
      <c r="AI98" s="166"/>
      <c r="AJ98" s="166"/>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c r="BI98" s="166"/>
      <c r="BJ98" s="166"/>
      <c r="BK98" s="166"/>
      <c r="BL98" s="166"/>
      <c r="BM98" s="166"/>
      <c r="BN98" s="166"/>
      <c r="BO98" s="166"/>
      <c r="BP98" s="166"/>
      <c r="BQ98" s="166"/>
      <c r="BR98" s="166"/>
      <c r="BS98" s="166"/>
      <c r="BT98" s="166"/>
      <c r="BU98" s="166"/>
      <c r="BV98" s="166"/>
      <c r="BW98" s="166"/>
      <c r="BX98" s="166"/>
      <c r="BY98" s="166"/>
      <c r="BZ98" s="166"/>
      <c r="CA98" s="34"/>
      <c r="CC98" s="176"/>
      <c r="CD98" s="177"/>
      <c r="CE98" s="177"/>
      <c r="CF98" s="178"/>
      <c r="CG98" s="177"/>
      <c r="CH98" s="177"/>
      <c r="CI98" s="88"/>
      <c r="CJ98" s="274"/>
      <c r="CK98" s="274"/>
      <c r="CL98" s="88"/>
      <c r="CM98" s="88"/>
      <c r="CN98" s="88"/>
      <c r="CO98" s="88"/>
      <c r="CP98" s="88"/>
      <c r="CQ98" s="88"/>
      <c r="CR98" s="34"/>
    </row>
    <row r="99" spans="1:96" ht="17.25" customHeight="1" outlineLevel="1">
      <c r="A99" s="1322"/>
      <c r="B99" s="574"/>
      <c r="C99" s="574"/>
      <c r="D99" s="574"/>
      <c r="E99" s="1331"/>
      <c r="F99" s="574"/>
      <c r="G99" s="853"/>
      <c r="H99" s="401"/>
      <c r="I99" s="401"/>
      <c r="J99" s="401"/>
      <c r="K99" s="401"/>
      <c r="L99" s="401"/>
      <c r="N99" s="158"/>
      <c r="O99" s="2"/>
      <c r="P99" s="52"/>
      <c r="Q99" s="2"/>
      <c r="R99" s="539"/>
      <c r="S99" s="2"/>
      <c r="T99" s="2"/>
      <c r="U99" s="39"/>
      <c r="W99" s="3156" t="s">
        <v>94</v>
      </c>
      <c r="X99" s="1255"/>
      <c r="Y99" s="1257" t="s">
        <v>104</v>
      </c>
      <c r="Z99" s="556"/>
      <c r="AA99" s="817"/>
      <c r="AB99" s="1630"/>
      <c r="AC99" s="553"/>
      <c r="AD99" s="859"/>
      <c r="AE99" s="859"/>
      <c r="AF99" s="859"/>
      <c r="AG99" s="859"/>
      <c r="AH99" s="859"/>
      <c r="AI99" s="859"/>
      <c r="AJ99" s="859"/>
      <c r="AK99" s="859"/>
      <c r="AL99" s="859"/>
      <c r="AM99" s="859"/>
      <c r="AN99" s="859"/>
      <c r="AO99" s="859"/>
      <c r="AP99" s="859"/>
      <c r="AQ99" s="859"/>
      <c r="AR99" s="859"/>
      <c r="AS99" s="859"/>
      <c r="AT99" s="859"/>
      <c r="AU99" s="859"/>
      <c r="AV99" s="859"/>
      <c r="AW99" s="859"/>
      <c r="AX99" s="859"/>
      <c r="AY99" s="859"/>
      <c r="AZ99" s="859"/>
      <c r="BA99" s="859"/>
      <c r="BB99" s="859"/>
      <c r="BC99" s="859"/>
      <c r="BD99" s="859"/>
      <c r="BE99" s="859"/>
      <c r="BF99" s="859"/>
      <c r="BG99" s="859"/>
      <c r="BH99" s="859"/>
      <c r="BI99" s="859"/>
      <c r="BJ99" s="859"/>
      <c r="BK99" s="859"/>
      <c r="BL99" s="859"/>
      <c r="BM99" s="859"/>
      <c r="BN99" s="1215"/>
      <c r="BO99" s="1804"/>
      <c r="BP99" s="1804"/>
      <c r="BQ99" s="1804"/>
      <c r="BR99" s="1804"/>
      <c r="BS99" s="1804"/>
      <c r="BT99" s="1804"/>
      <c r="BU99" s="1804"/>
      <c r="BV99" s="1804"/>
      <c r="BW99" s="1804"/>
      <c r="BX99" s="1804"/>
      <c r="BY99" s="1804"/>
      <c r="BZ99" s="1804"/>
      <c r="CA99" s="34"/>
      <c r="CC99" s="33"/>
      <c r="CD99" s="1738"/>
      <c r="CE99" s="699"/>
      <c r="CF99" s="3"/>
      <c r="CG99" s="1738"/>
      <c r="CH99" s="1740"/>
      <c r="CI99" s="3"/>
      <c r="CJ99" s="1511"/>
      <c r="CK99" s="1215"/>
      <c r="CL99" s="3"/>
      <c r="CM99" s="1511"/>
      <c r="CN99" s="1215"/>
      <c r="CO99" s="3"/>
      <c r="CP99" s="1511"/>
      <c r="CQ99" s="1215"/>
      <c r="CR99" s="34"/>
    </row>
    <row r="100" spans="1:96" ht="17.25" customHeight="1" outlineLevel="1">
      <c r="A100" s="1322"/>
      <c r="B100" s="575"/>
      <c r="C100" s="575"/>
      <c r="D100" s="575"/>
      <c r="E100" s="1332"/>
      <c r="F100" s="575"/>
      <c r="G100" s="853"/>
      <c r="H100" s="576"/>
      <c r="I100" s="576"/>
      <c r="J100" s="576"/>
      <c r="K100" s="576"/>
      <c r="L100" s="576"/>
      <c r="N100" s="1278"/>
      <c r="O100" s="1279"/>
      <c r="P100" s="1280"/>
      <c r="Q100" s="1279"/>
      <c r="R100" s="1279"/>
      <c r="S100" s="1279"/>
      <c r="T100" s="1279"/>
      <c r="U100" s="1281"/>
      <c r="V100" s="880"/>
      <c r="W100" s="3157"/>
      <c r="X100" s="1256"/>
      <c r="Y100" s="1282"/>
      <c r="Z100" s="1283"/>
      <c r="AA100" s="1284"/>
      <c r="AB100" s="1631"/>
      <c r="AC100" s="1217"/>
      <c r="AD100" s="1285"/>
      <c r="AE100" s="1286"/>
      <c r="AF100" s="1286"/>
      <c r="AG100" s="1286"/>
      <c r="AH100" s="1286"/>
      <c r="AI100" s="1286"/>
      <c r="AJ100" s="1286"/>
      <c r="AK100" s="1286"/>
      <c r="AL100" s="1286"/>
      <c r="AM100" s="1286"/>
      <c r="AN100" s="1286"/>
      <c r="AO100" s="1286"/>
      <c r="AP100" s="1286"/>
      <c r="AQ100" s="1286"/>
      <c r="AR100" s="1286"/>
      <c r="AS100" s="1286"/>
      <c r="AT100" s="1286"/>
      <c r="AU100" s="1286"/>
      <c r="AV100" s="1286"/>
      <c r="AW100" s="1286"/>
      <c r="AX100" s="1286"/>
      <c r="AY100" s="1286"/>
      <c r="AZ100" s="1286"/>
      <c r="BA100" s="1286"/>
      <c r="BB100" s="1286"/>
      <c r="BC100" s="1286"/>
      <c r="BD100" s="1286"/>
      <c r="BE100" s="1286"/>
      <c r="BF100" s="1286"/>
      <c r="BG100" s="1286"/>
      <c r="BH100" s="1286"/>
      <c r="BI100" s="1286"/>
      <c r="BJ100" s="1286"/>
      <c r="BK100" s="1286"/>
      <c r="BL100" s="1286"/>
      <c r="BM100" s="1286"/>
      <c r="BN100" s="1287"/>
      <c r="BO100" s="2102"/>
      <c r="BP100" s="2102"/>
      <c r="BQ100" s="2102"/>
      <c r="BR100" s="2102"/>
      <c r="BS100" s="2102"/>
      <c r="BT100" s="2102"/>
      <c r="BU100" s="2102"/>
      <c r="BV100" s="2102"/>
      <c r="BW100" s="2102"/>
      <c r="BX100" s="2102"/>
      <c r="BY100" s="2102"/>
      <c r="BZ100" s="2102"/>
      <c r="CA100" s="1220"/>
      <c r="CB100" s="880"/>
      <c r="CC100" s="1288"/>
      <c r="CD100" s="1739"/>
      <c r="CE100" s="1287"/>
      <c r="CF100" s="1289"/>
      <c r="CG100" s="1739"/>
      <c r="CH100" s="1741"/>
      <c r="CI100" s="1289"/>
      <c r="CJ100" s="1658"/>
      <c r="CK100" s="1659"/>
      <c r="CL100" s="1289"/>
      <c r="CM100" s="1654"/>
      <c r="CN100" s="1287"/>
      <c r="CO100" s="1289"/>
      <c r="CP100" s="1654"/>
      <c r="CQ100" s="1287"/>
      <c r="CR100" s="1220"/>
    </row>
    <row r="101" spans="1:96" ht="21" customHeight="1" outlineLevel="1">
      <c r="A101" s="1322"/>
      <c r="B101" s="574" t="s">
        <v>821</v>
      </c>
      <c r="C101" s="2125" t="s">
        <v>1557</v>
      </c>
      <c r="D101" s="574"/>
      <c r="E101" s="1615" t="e" cm="1">
        <f t="array" ca="1" aca="1" ref="E101">_xlfn.LET(_xlpm.Attr,$C101,_xlpm.Lookback,$E$16,_xlpm.QueryDate,EOMONTH(val_asOfDate,_xlpm.Lookback),_xlpm.ReadField,_xldudf_CX_GET(CX_ENTITY,fx_attrConverter($C101),_xlpm.QueryDate),_xlpm.AttrBlank,_xlpm.Attr="",_xlpm.RESULT,IF(_xlpm.AttrBlank,val_blankRefText,fx_attrConverter(_xlpm.ReadField,0)),IF(_xlpm.RESULT="Error","",_xlpm.RESULT))</f>
        <v>#NAME?</v>
      </c>
      <c r="F101" s="577" t="str">
        <f t="shared" si="28" ref="F101:F110">IF($B101&lt;&gt;"",$B101,$E101)</f>
        <v>Annual Recurring Revenue (Rolling 12 months)</v>
      </c>
      <c r="G101" s="577" t="s">
        <v>1599</v>
      </c>
      <c r="H101" s="3284">
        <v>1</v>
      </c>
      <c r="I101" s="3284">
        <v>1</v>
      </c>
      <c r="J101" s="401"/>
      <c r="K101" s="401"/>
      <c r="L101" s="581" t="b">
        <v>0</v>
      </c>
      <c r="N101" s="158"/>
      <c r="O101" s="101"/>
      <c r="P101" s="52"/>
      <c r="Q101" s="101"/>
      <c r="R101" s="126"/>
      <c r="S101" s="101"/>
      <c r="T101" s="101"/>
      <c r="U101" s="39"/>
      <c r="W101" s="91" t="str">
        <f>_PL!$W$72</f>
        <v>Budget</v>
      </c>
      <c r="X101" s="2370" t="e" cm="1">
        <f t="array" ca="1" aca="1" ref="X101">_xlfn.LET(_xlpm.toPass,$E101="",_xlpm.hasParts,ISNUMBER(SEARCH("|",$E101)),_xlpm.Part1,INDEX(_xlfn.TEXTSPLIT($E101,"|",,FALSE,1),1),_xlpm.Part1Num,IFERROR(_xlfn.NUMBERVALUE(_xlpm.Part1),_xlpm.Part1),_xlfn.SWITCH(TRUE,_xlpm.toPass,"",_xlpm.hasParts,_xlpm.Part1Num,$E101))</f>
        <v>#NAME?</v>
      </c>
      <c r="Y101" s="590" t="e" cm="1">
        <f t="array" ca="1" aca="1" ref="Y101">_xlfn.LET(_xlpm.PackedString,E101,IF(_xlpm.PackedString="","",IF(ISNUMBER(SEARCH("|",_xlpm.PackedString)),INDEX(_xlfn.TEXTSPLIT(_xlpm.PackedString,"|",,FALSE),2),_xlpm.PackedString)))</f>
        <v>#NAME?</v>
      </c>
      <c r="Z101" s="198" t="e">
        <f ca="1" t="shared" si="29" ref="Z101:Z110">IF(Y101="","",0)</f>
        <v>#NAME?</v>
      </c>
      <c r="AA101" s="200"/>
      <c r="AB101" s="709" t="e" cm="1">
        <f t="array" ca="1" aca="1" ref="AB101">_xlfn.LET(_xlpm.PackedString,E101,IF(_xlpm.PackedString="","",IF(ISNUMBER(SEARCH("|",_xlpm.PackedString)),INDEX(_xlfn.TEXTSPLIT(_xlpm.PackedString,"|",,FALSE),3),_xlpm.PackedString)))</f>
        <v>#NAME?</v>
      </c>
      <c r="AC101" s="124" t="str" cm="1">
        <f t="array" ca="1" aca="1" ref="AC101">_xlfn.LET(_xlpm.Def,IF(_xlfn.XMATCH(AB101,tbl_acctDef[Term],0)&gt;0,fx_getIcon("find"),""),_xlpm.Adj,IF(_xlfn.XMATCH(AB101,tbl_adjExample[Items],0)&gt;0,fx_getIcon("find"),""),IFERROR(IFBLANK(_xlpm.Def,_xlpm.Adj),""))</f>
        <v/>
      </c>
      <c r="AD101" s="1986" t="e" cm="1">
        <f t="array" ca="1" aca="1" ref="AD101">_xlfn.LET(_xlpm.val,IF($F101="",val_blankRefText,_xldudf_CX_GET(CX_ENTITY,$F101,AD$11,AD$14,,(AD$75))),_xlpm.Res,IF(OR(_xlpm.val="",_xlpm.val="Error"),"",_xlpm.val),_xlpm.Res)</f>
        <v>#NAME?</v>
      </c>
      <c r="AE101" s="1986" t="e" cm="1">
        <f t="array" ca="1" aca="1" ref="AE101">_xlfn.LET(_xlpm.val,IF($F101="",val_blankRefText,_xldudf_CX_GET(CX_ENTITY,$F101,AE$11,AE$14,,(AE$75))),_xlpm.Res,IF(OR(_xlpm.val="",_xlpm.val="Error"),"",_xlpm.val),_xlpm.Res)</f>
        <v>#NAME?</v>
      </c>
      <c r="AF101" s="1986" t="e" cm="1">
        <f t="array" ca="1" aca="1" ref="AF101">_xlfn.LET(_xlpm.val,IF($F101="",val_blankRefText,_xldudf_CX_GET(CX_ENTITY,$F101,AF$11,AF$14,,(AF$75))),_xlpm.Res,IF(OR(_xlpm.val="",_xlpm.val="Error"),"",_xlpm.val),_xlpm.Res)</f>
        <v>#NAME?</v>
      </c>
      <c r="AG101" s="1986" t="e" cm="1">
        <f t="array" ca="1" aca="1" ref="AG101">_xlfn.LET(_xlpm.val,IF($F101="",val_blankRefText,_xldudf_CX_GET(CX_ENTITY,$F101,AG$11,AG$14,,(AG$75))),_xlpm.Res,IF(OR(_xlpm.val="",_xlpm.val="Error"),"",_xlpm.val),_xlpm.Res)</f>
        <v>#NAME?</v>
      </c>
      <c r="AH101" s="1986" t="e" cm="1">
        <f t="array" ca="1" aca="1" ref="AH101">_xlfn.LET(_xlpm.val,IF($F101="",val_blankRefText,_xldudf_CX_GET(CX_ENTITY,$F101,AH$11,AH$14,,(AH$75))),_xlpm.Res,IF(OR(_xlpm.val="",_xlpm.val="Error"),"",_xlpm.val),_xlpm.Res)</f>
        <v>#NAME?</v>
      </c>
      <c r="AI101" s="1986" t="e" cm="1">
        <f t="array" ca="1" aca="1" ref="AI101">_xlfn.LET(_xlpm.val,IF($F101="",val_blankRefText,_xldudf_CX_GET(CX_ENTITY,$F101,AI$11,AI$14,,(AI$75))),_xlpm.Res,IF(OR(_xlpm.val="",_xlpm.val="Error"),"",_xlpm.val),_xlpm.Res)</f>
        <v>#NAME?</v>
      </c>
      <c r="AJ101" s="1986" t="e" cm="1">
        <f t="array" ca="1" aca="1" ref="AJ101">_xlfn.LET(_xlpm.val,IF($F101="",val_blankRefText,_xldudf_CX_GET(CX_ENTITY,$F101,AJ$11,AJ$14,,(AJ$75))),_xlpm.Res,IF(OR(_xlpm.val="",_xlpm.val="Error"),"",_xlpm.val),_xlpm.Res)</f>
        <v>#NAME?</v>
      </c>
      <c r="AK101" s="1986" t="e" cm="1">
        <f t="array" ca="1" aca="1" ref="AK101">_xlfn.LET(_xlpm.val,IF($F101="",val_blankRefText,_xldudf_CX_GET(CX_ENTITY,$F101,AK$11,AK$14,,(AK$75))),_xlpm.Res,IF(OR(_xlpm.val="",_xlpm.val="Error"),"",_xlpm.val),_xlpm.Res)</f>
        <v>#NAME?</v>
      </c>
      <c r="AL101" s="1986" t="e" cm="1">
        <f t="array" ca="1" aca="1" ref="AL101">_xlfn.LET(_xlpm.val,IF($F101="",val_blankRefText,_xldudf_CX_GET(CX_ENTITY,$F101,AL$11,AL$14,,(AL$75))),_xlpm.Res,IF(OR(_xlpm.val="",_xlpm.val="Error"),"",_xlpm.val),_xlpm.Res)</f>
        <v>#NAME?</v>
      </c>
      <c r="AM101" s="1986" t="e" cm="1">
        <f t="array" ca="1" aca="1" ref="AM101">_xlfn.LET(_xlpm.val,IF($F101="",val_blankRefText,_xldudf_CX_GET(CX_ENTITY,$F101,AM$11,AM$14,,(AM$75))),_xlpm.Res,IF(OR(_xlpm.val="",_xlpm.val="Error"),"",_xlpm.val),_xlpm.Res)</f>
        <v>#NAME?</v>
      </c>
      <c r="AN101" s="1986" t="e" cm="1">
        <f t="array" ca="1" aca="1" ref="AN101">_xlfn.LET(_xlpm.val,IF($F101="",val_blankRefText,_xldudf_CX_GET(CX_ENTITY,$F101,AN$11,AN$14,,(AN$75))),_xlpm.Res,IF(OR(_xlpm.val="",_xlpm.val="Error"),"",_xlpm.val),_xlpm.Res)</f>
        <v>#NAME?</v>
      </c>
      <c r="AO101" s="1986" t="e" cm="1">
        <f t="array" ca="1" aca="1" ref="AO101">_xlfn.LET(_xlpm.val,IF($F101="",val_blankRefText,_xldudf_CX_GET(CX_ENTITY,$F101,AO$11,AO$14,,(AO$75))),_xlpm.Res,IF(OR(_xlpm.val="",_xlpm.val="Error"),"",_xlpm.val),_xlpm.Res)</f>
        <v>#NAME?</v>
      </c>
      <c r="AP101" s="1986" t="e" cm="1">
        <f t="array" ca="1" aca="1" ref="AP101">_xlfn.LET(_xlpm.val,IF($F101="",val_blankRefText,_xldudf_CX_GET(CX_ENTITY,$F101,AP$11,AP$14,,(AP$75))),_xlpm.Res,IF(OR(_xlpm.val="",_xlpm.val="Error"),"",_xlpm.val),_xlpm.Res)</f>
        <v>#NAME?</v>
      </c>
      <c r="AQ101" s="1986" t="e" cm="1">
        <f t="array" ca="1" aca="1" ref="AQ101">_xlfn.LET(_xlpm.val,IF($F101="",val_blankRefText,_xldudf_CX_GET(CX_ENTITY,$F101,AQ$11,AQ$14,,(AQ$75))),_xlpm.Res,IF(OR(_xlpm.val="",_xlpm.val="Error"),"",_xlpm.val),_xlpm.Res)</f>
        <v>#NAME?</v>
      </c>
      <c r="AR101" s="1986" t="e" cm="1">
        <f t="array" ca="1" aca="1" ref="AR101">_xlfn.LET(_xlpm.val,IF($F101="",val_blankRefText,_xldudf_CX_GET(CX_ENTITY,$F101,AR$11,AR$14,,(AR$75))),_xlpm.Res,IF(OR(_xlpm.val="",_xlpm.val="Error"),"",_xlpm.val),_xlpm.Res)</f>
        <v>#NAME?</v>
      </c>
      <c r="AS101" s="1986" t="e" cm="1">
        <f t="array" ca="1" aca="1" ref="AS101">_xlfn.LET(_xlpm.val,IF($F101="",val_blankRefText,_xldudf_CX_GET(CX_ENTITY,$F101,AS$11,AS$14,,(AS$75))),_xlpm.Res,IF(OR(_xlpm.val="",_xlpm.val="Error"),"",_xlpm.val),_xlpm.Res)</f>
        <v>#NAME?</v>
      </c>
      <c r="AT101" s="1986" t="e" cm="1">
        <f t="array" ca="1" aca="1" ref="AT101">_xlfn.LET(_xlpm.val,IF($F101="",val_blankRefText,_xldudf_CX_GET(CX_ENTITY,$F101,AT$11,AT$14,,(AT$75))),_xlpm.Res,IF(OR(_xlpm.val="",_xlpm.val="Error"),"",_xlpm.val),_xlpm.Res)</f>
        <v>#NAME?</v>
      </c>
      <c r="AU101" s="1986" t="e" cm="1">
        <f t="array" ca="1" aca="1" ref="AU101">_xlfn.LET(_xlpm.val,IF($F101="",val_blankRefText,_xldudf_CX_GET(CX_ENTITY,$F101,AU$11,AU$14,,(AU$75))),_xlpm.Res,IF(OR(_xlpm.val="",_xlpm.val="Error"),"",_xlpm.val),_xlpm.Res)</f>
        <v>#NAME?</v>
      </c>
      <c r="AV101" s="1986" t="e" cm="1">
        <f t="array" ca="1" aca="1" ref="AV101">_xlfn.LET(_xlpm.val,IF($F101="",val_blankRefText,_xldudf_CX_GET(CX_ENTITY,$F101,AV$11,AV$14,,(AV$75))),_xlpm.Res,IF(OR(_xlpm.val="",_xlpm.val="Error"),"",_xlpm.val),_xlpm.Res)</f>
        <v>#NAME?</v>
      </c>
      <c r="AW101" s="1986" t="e" cm="1">
        <f t="array" ca="1" aca="1" ref="AW101">_xlfn.LET(_xlpm.val,IF($F101="",val_blankRefText,_xldudf_CX_GET(CX_ENTITY,$F101,AW$11,AW$14,,(AW$75))),_xlpm.Res,IF(OR(_xlpm.val="",_xlpm.val="Error"),"",_xlpm.val),_xlpm.Res)</f>
        <v>#NAME?</v>
      </c>
      <c r="AX101" s="1986" t="e" cm="1">
        <f t="array" ca="1" aca="1" ref="AX101">_xlfn.LET(_xlpm.val,IF($F101="",val_blankRefText,_xldudf_CX_GET(CX_ENTITY,$F101,AX$11,AX$14,,(AX$75))),_xlpm.Res,IF(OR(_xlpm.val="",_xlpm.val="Error"),"",_xlpm.val),_xlpm.Res)</f>
        <v>#NAME?</v>
      </c>
      <c r="AY101" s="1986" t="e" cm="1">
        <f t="array" ca="1" aca="1" ref="AY101">_xlfn.LET(_xlpm.val,IF($F101="",val_blankRefText,_xldudf_CX_GET(CX_ENTITY,$F101,AY$11,AY$14,,(AY$75))),_xlpm.Res,IF(OR(_xlpm.val="",_xlpm.val="Error"),"",_xlpm.val),_xlpm.Res)</f>
        <v>#NAME?</v>
      </c>
      <c r="AZ101" s="1986" t="e" cm="1">
        <f t="array" ca="1" aca="1" ref="AZ101">_xlfn.LET(_xlpm.val,IF($F101="",val_blankRefText,_xldudf_CX_GET(CX_ENTITY,$F101,AZ$11,AZ$14,,(AZ$75))),_xlpm.Res,IF(OR(_xlpm.val="",_xlpm.val="Error"),"",_xlpm.val),_xlpm.Res)</f>
        <v>#NAME?</v>
      </c>
      <c r="BA101" s="1986" t="e" cm="1">
        <f t="array" ca="1" aca="1" ref="BA101">_xlfn.LET(_xlpm.val,IF($F101="",val_blankRefText,_xldudf_CX_GET(CX_ENTITY,$F101,BA$11,BA$14,,(BA$75))),_xlpm.Res,IF(OR(_xlpm.val="",_xlpm.val="Error"),"",_xlpm.val),_xlpm.Res)</f>
        <v>#NAME?</v>
      </c>
      <c r="BB101" s="1986" t="e" cm="1">
        <f t="array" ca="1" aca="1" ref="BB101">_xlfn.LET(_xlpm.val,IF($F101="",val_blankRefText,_xldudf_CX_GET(CX_ENTITY,$F101,BB$11,BB$14,,(BB$75))),_xlpm.Res,IF(OR(_xlpm.val="",_xlpm.val="Error"),"",_xlpm.val),_xlpm.Res)</f>
        <v>#NAME?</v>
      </c>
      <c r="BC101" s="1986" t="e" cm="1">
        <f t="array" ca="1" aca="1" ref="BC101">_xlfn.LET(_xlpm.val,IF($F101="",val_blankRefText,_xldudf_CX_GET(CX_ENTITY,$F101,BC$11,BC$14,,(BC$75))),_xlpm.Res,IF(OR(_xlpm.val="",_xlpm.val="Error"),"",_xlpm.val),_xlpm.Res)</f>
        <v>#NAME?</v>
      </c>
      <c r="BD101" s="1986" t="e" cm="1">
        <f t="array" ca="1" aca="1" ref="BD101">_xlfn.LET(_xlpm.val,IF($F101="",val_blankRefText,_xldudf_CX_GET(CX_ENTITY,$F101,BD$11,BD$14,,(BD$75))),_xlpm.Res,IF(OR(_xlpm.val="",_xlpm.val="Error"),"",_xlpm.val),_xlpm.Res)</f>
        <v>#NAME?</v>
      </c>
      <c r="BE101" s="1986" t="e" cm="1">
        <f t="array" ca="1" aca="1" ref="BE101">_xlfn.LET(_xlpm.val,IF($F101="",val_blankRefText,_xldudf_CX_GET(CX_ENTITY,$F101,BE$11,BE$14,,(BE$75))),_xlpm.Res,IF(OR(_xlpm.val="",_xlpm.val="Error"),"",_xlpm.val),_xlpm.Res)</f>
        <v>#NAME?</v>
      </c>
      <c r="BF101" s="1986" t="e" cm="1">
        <f t="array" ca="1" aca="1" ref="BF101">_xlfn.LET(_xlpm.val,IF($F101="",val_blankRefText,_xldudf_CX_GET(CX_ENTITY,$F101,BF$11,BF$14,,(BF$75))),_xlpm.Res,IF(OR(_xlpm.val="",_xlpm.val="Error"),"",_xlpm.val),_xlpm.Res)</f>
        <v>#NAME?</v>
      </c>
      <c r="BG101" s="1986" t="e" cm="1">
        <f t="array" ca="1" aca="1" ref="BG101">_xlfn.LET(_xlpm.val,IF($F101="",val_blankRefText,_xldudf_CX_GET(CX_ENTITY,$F101,BG$11,BG$14,,(BG$75))),_xlpm.Res,IF(OR(_xlpm.val="",_xlpm.val="Error"),"",_xlpm.val),_xlpm.Res)</f>
        <v>#NAME?</v>
      </c>
      <c r="BH101" s="1986" t="e" cm="1">
        <f t="array" ca="1" aca="1" ref="BH101">_xlfn.LET(_xlpm.val,IF($F101="",val_blankRefText,_xldudf_CX_GET(CX_ENTITY,$F101,BH$11,BH$14,,(BH$75))),_xlpm.Res,IF(OR(_xlpm.val="",_xlpm.val="Error"),"",_xlpm.val),_xlpm.Res)</f>
        <v>#NAME?</v>
      </c>
      <c r="BI101" s="1986" t="e" cm="1">
        <f t="array" ca="1" aca="1" ref="BI101">_xlfn.LET(_xlpm.val,IF($F101="",val_blankRefText,_xldudf_CX_GET(CX_ENTITY,$F101,BI$11,BI$14,,(BI$75))),_xlpm.Res,IF(OR(_xlpm.val="",_xlpm.val="Error"),"",_xlpm.val),_xlpm.Res)</f>
        <v>#NAME?</v>
      </c>
      <c r="BJ101" s="1986" t="e" cm="1">
        <f t="array" ca="1" aca="1" ref="BJ101">_xlfn.LET(_xlpm.val,IF($F101="",val_blankRefText,_xldudf_CX_GET(CX_ENTITY,$F101,BJ$11,BJ$14,,(BJ$75))),_xlpm.Res,IF(OR(_xlpm.val="",_xlpm.val="Error"),"",_xlpm.val),_xlpm.Res)</f>
        <v>#NAME?</v>
      </c>
      <c r="BK101" s="1986" t="e" cm="1">
        <f t="array" ca="1" aca="1" ref="BK101">_xlfn.LET(_xlpm.val,IF($F101="",val_blankRefText,_xldudf_CX_GET(CX_ENTITY,$F101,BK$11,BK$14,,(BK$75))),_xlpm.Res,IF(OR(_xlpm.val="",_xlpm.val="Error"),"",_xlpm.val),_xlpm.Res)</f>
        <v>#NAME?</v>
      </c>
      <c r="BL101" s="1986" t="e" cm="1">
        <f t="array" ca="1" aca="1" ref="BL101">_xlfn.LET(_xlpm.val,IF($F101="",val_blankRefText,_xldudf_CX_GET(CX_ENTITY,$F101,BL$11,BL$14,,(BL$75))),_xlpm.Res,IF(OR(_xlpm.val="",_xlpm.val="Error"),"",_xlpm.val),_xlpm.Res)</f>
        <v>#NAME?</v>
      </c>
      <c r="BM101" s="1986" t="e" cm="1">
        <f t="array" ca="1" aca="1" ref="BM101">_xlfn.LET(_xlpm.val,IF($F101="",val_blankRefText,_xldudf_CX_GET(CX_ENTITY,$F101,BM$11,BM$14,,(BM$75))),_xlpm.Res,IF(OR(_xlpm.val="",_xlpm.val="Error"),"",_xlpm.val),_xlpm.Res)</f>
        <v>#NAME?</v>
      </c>
      <c r="BN101" s="1986" t="e" cm="1">
        <f t="array" ca="1" aca="1" ref="BN101">_xlfn.LET(_xlpm.val,IF($F101="",val_blankRefText,_xldudf_CX_GET(CX_ENTITY,$F101,BN$11,BN$14,,(BN$75))),_xlpm.Res,IF(OR(_xlpm.val="",_xlpm.val="Error"),"",_xlpm.val),_xlpm.Res)</f>
        <v>#NAME?</v>
      </c>
      <c r="BO101" s="2103"/>
      <c r="BP101" s="2103"/>
      <c r="BQ101" s="2103"/>
      <c r="BR101" s="2103"/>
      <c r="BS101" s="2103"/>
      <c r="BT101" s="2103"/>
      <c r="BU101" s="2103"/>
      <c r="BV101" s="2103"/>
      <c r="BW101" s="2103"/>
      <c r="BX101" s="2103"/>
      <c r="BY101" s="2103"/>
      <c r="BZ101" s="2103"/>
      <c r="CA101" s="34"/>
      <c r="CC101" s="33"/>
      <c r="CD101" s="559" t="e">
        <f ca="1">_xlfn.XLOOKUP(CD$74,array_timeline,PL!$AD101:$BN101,"")</f>
        <v>#NAME?</v>
      </c>
      <c r="CE101" s="559" t="e">
        <f ca="1">_xlfn.XLOOKUP(CE$74,array_timeline,PL!$AD$101:$BN$101,"")</f>
        <v>#NAME?</v>
      </c>
      <c r="CF101" s="3"/>
      <c r="CG101" s="1461"/>
      <c r="CH101" s="1461"/>
      <c r="CI101" s="3"/>
      <c r="CJ101" s="3274">
        <f>_xlfn.XLOOKUP(CJ$74,array_timeline,PL!$AD101:$BN101,"")</f>
        <v>1</v>
      </c>
      <c r="CK101" s="3274">
        <f>_xlfn.XLOOKUP(CK$74,array_timeline,PL!$AD$101:$BN$101,"")</f>
        <v>1</v>
      </c>
      <c r="CL101" s="3"/>
      <c r="CM101" s="1655"/>
      <c r="CN101" s="1656"/>
      <c r="CO101" s="3"/>
      <c r="CP101" s="1655"/>
      <c r="CQ101" s="1656"/>
      <c r="CR101" s="34"/>
    </row>
    <row r="102" spans="1:96" ht="21" customHeight="1" outlineLevel="2">
      <c r="A102" s="1322"/>
      <c r="B102" s="2128" t="s">
        <v>1559</v>
      </c>
      <c r="C102" s="2125" t="s">
        <v>1560</v>
      </c>
      <c r="D102" s="577"/>
      <c r="E102" s="1615" t="e" cm="1">
        <f t="array" ca="1" aca="1" ref="E102">_xlfn.LET(_xlpm.Attr,$C102,_xlpm.Lookback,$E$16,_xlpm.QueryDate,EOMONTH(val_asOfDate,_xlpm.Lookback),_xlpm.ReadField,_xldudf_CX_GET(CX_ENTITY,fx_attrConverter($C102),_xlpm.QueryDate),_xlpm.AttrBlank,_xlpm.Attr="",_xlpm.RESULT,IF(_xlpm.AttrBlank,val_blankRefText,fx_attrConverter(_xlpm.ReadField,0)),IF(_xlpm.RESULT="Error","",_xlpm.RESULT))</f>
        <v>#NAME?</v>
      </c>
      <c r="F102" s="577" t="str">
        <f t="shared" si="28"/>
        <v>Custom Metric Amount 1</v>
      </c>
      <c r="G102" s="577" t="s">
        <v>1599</v>
      </c>
      <c r="H102" s="3280">
        <v>1</v>
      </c>
      <c r="I102" s="3280">
        <v>1</v>
      </c>
      <c r="J102" s="401"/>
      <c r="K102" s="401"/>
      <c r="L102" s="581" t="b">
        <v>0</v>
      </c>
      <c r="N102" s="158"/>
      <c r="O102" s="101"/>
      <c r="P102" s="52"/>
      <c r="Q102" s="101"/>
      <c r="R102" s="126"/>
      <c r="S102" s="101"/>
      <c r="T102" s="101"/>
      <c r="U102" s="39"/>
      <c r="W102" s="91" t="str">
        <f>_PL!$W$72</f>
        <v>Budget</v>
      </c>
      <c r="X102" s="2370" t="e" cm="1">
        <f t="array" ca="1" aca="1" ref="X102">_xlfn.LET(_xlpm.toPass,$E102="",_xlpm.hasParts,ISNUMBER(SEARCH("|",$E102)),_xlpm.Part1,INDEX(_xlfn.TEXTSPLIT($E102,"|",,FALSE,1),1),_xlpm.Part1Num,IFERROR(_xlfn.NUMBERVALUE(_xlpm.Part1),_xlpm.Part1),_xlfn.SWITCH(TRUE,_xlpm.toPass,"",_xlpm.hasParts,_xlpm.Part1Num,$E102))</f>
        <v>#NAME?</v>
      </c>
      <c r="Y102" s="590" t="e" cm="1">
        <f t="array" ca="1" aca="1" ref="Y102">_xlfn.LET(_xlpm.PackedString,E102,IF(_xlpm.PackedString="","",IF(ISNUMBER(SEARCH("|",_xlpm.PackedString)),INDEX(_xlfn.TEXTSPLIT(_xlpm.PackedString,"|",,FALSE),2),_xlpm.PackedString)))</f>
        <v>#NAME?</v>
      </c>
      <c r="Z102" s="198" t="e">
        <f t="shared" ca="1" si="29"/>
        <v>#NAME?</v>
      </c>
      <c r="AA102" s="200"/>
      <c r="AB102" s="709" t="e" cm="1">
        <f t="array" ca="1" aca="1" ref="AB102">_xlfn.LET(_xlpm.PackedString,E102,IF(_xlpm.PackedString="","",IF(ISNUMBER(SEARCH("|",_xlpm.PackedString)),INDEX(_xlfn.TEXTSPLIT(_xlpm.PackedString,"|",,FALSE),3),_xlpm.PackedString)))</f>
        <v>#NAME?</v>
      </c>
      <c r="AC102" s="124" t="str" cm="1">
        <f t="array" ca="1" aca="1" ref="AC102">_xlfn.LET(_xlpm.Def,IF(_xlfn.XMATCH(AB102,tbl_acctDef[Term],0)&gt;0,fx_getIcon("find"),""),_xlpm.Adj,IF(_xlfn.XMATCH(AB102,tbl_adjExample[Items],0)&gt;0,fx_getIcon("find"),""),IFERROR(IFBLANK(_xlpm.Def,_xlpm.Adj),""))</f>
        <v/>
      </c>
      <c r="AD102" s="1986" t="e" cm="1">
        <f t="array" ca="1" aca="1" ref="AD102">_xlfn.LET(_xlpm.val,IF($F102="",val_blankRefText,_xldudf_CX_GET(CX_ENTITY,$F102,AD$11,AD$14,,(AD$75))),_xlpm.Res,IF(OR(_xlpm.val="",_xlpm.val="Error"),"",_xlpm.val),_xlpm.Res)</f>
        <v>#NAME?</v>
      </c>
      <c r="AE102" s="1986" t="e" cm="1">
        <f t="array" ca="1" aca="1" ref="AE102">_xlfn.LET(_xlpm.val,IF($F102="",val_blankRefText,_xldudf_CX_GET(CX_ENTITY,$F102,AE$11,AE$14,,(AE$75))),_xlpm.Res,IF(OR(_xlpm.val="",_xlpm.val="Error"),"",_xlpm.val),_xlpm.Res)</f>
        <v>#NAME?</v>
      </c>
      <c r="AF102" s="1986" t="e" cm="1">
        <f t="array" ca="1" aca="1" ref="AF102">_xlfn.LET(_xlpm.val,IF($F102="",val_blankRefText,_xldudf_CX_GET(CX_ENTITY,$F102,AF$11,AF$14,,(AF$75))),_xlpm.Res,IF(OR(_xlpm.val="",_xlpm.val="Error"),"",_xlpm.val),_xlpm.Res)</f>
        <v>#NAME?</v>
      </c>
      <c r="AG102" s="1986" t="e" cm="1">
        <f t="array" ca="1" aca="1" ref="AG102">_xlfn.LET(_xlpm.val,IF($F102="",val_blankRefText,_xldudf_CX_GET(CX_ENTITY,$F102,AG$11,AG$14,,(AG$75))),_xlpm.Res,IF(OR(_xlpm.val="",_xlpm.val="Error"),"",_xlpm.val),_xlpm.Res)</f>
        <v>#NAME?</v>
      </c>
      <c r="AH102" s="1986" t="e" cm="1">
        <f t="array" ca="1" aca="1" ref="AH102">_xlfn.LET(_xlpm.val,IF($F102="",val_blankRefText,_xldudf_CX_GET(CX_ENTITY,$F102,AH$11,AH$14,,(AH$75))),_xlpm.Res,IF(OR(_xlpm.val="",_xlpm.val="Error"),"",_xlpm.val),_xlpm.Res)</f>
        <v>#NAME?</v>
      </c>
      <c r="AI102" s="1986" t="e" cm="1">
        <f t="array" ca="1" aca="1" ref="AI102">_xlfn.LET(_xlpm.val,IF($F102="",val_blankRefText,_xldudf_CX_GET(CX_ENTITY,$F102,AI$11,AI$14,,(AI$75))),_xlpm.Res,IF(OR(_xlpm.val="",_xlpm.val="Error"),"",_xlpm.val),_xlpm.Res)</f>
        <v>#NAME?</v>
      </c>
      <c r="AJ102" s="1986" t="e" cm="1">
        <f t="array" ca="1" aca="1" ref="AJ102">_xlfn.LET(_xlpm.val,IF($F102="",val_blankRefText,_xldudf_CX_GET(CX_ENTITY,$F102,AJ$11,AJ$14,,(AJ$75))),_xlpm.Res,IF(OR(_xlpm.val="",_xlpm.val="Error"),"",_xlpm.val),_xlpm.Res)</f>
        <v>#NAME?</v>
      </c>
      <c r="AK102" s="1986" t="e" cm="1">
        <f t="array" ca="1" aca="1" ref="AK102">_xlfn.LET(_xlpm.val,IF($F102="",val_blankRefText,_xldudf_CX_GET(CX_ENTITY,$F102,AK$11,AK$14,,(AK$75))),_xlpm.Res,IF(OR(_xlpm.val="",_xlpm.val="Error"),"",_xlpm.val),_xlpm.Res)</f>
        <v>#NAME?</v>
      </c>
      <c r="AL102" s="1986" t="e" cm="1">
        <f t="array" ca="1" aca="1" ref="AL102">_xlfn.LET(_xlpm.val,IF($F102="",val_blankRefText,_xldudf_CX_GET(CX_ENTITY,$F102,AL$11,AL$14,,(AL$75))),_xlpm.Res,IF(OR(_xlpm.val="",_xlpm.val="Error"),"",_xlpm.val),_xlpm.Res)</f>
        <v>#NAME?</v>
      </c>
      <c r="AM102" s="1986" t="e" cm="1">
        <f t="array" ca="1" aca="1" ref="AM102">_xlfn.LET(_xlpm.val,IF($F102="",val_blankRefText,_xldudf_CX_GET(CX_ENTITY,$F102,AM$11,AM$14,,(AM$75))),_xlpm.Res,IF(OR(_xlpm.val="",_xlpm.val="Error"),"",_xlpm.val),_xlpm.Res)</f>
        <v>#NAME?</v>
      </c>
      <c r="AN102" s="1986" t="e" cm="1">
        <f t="array" ca="1" aca="1" ref="AN102">_xlfn.LET(_xlpm.val,IF($F102="",val_blankRefText,_xldudf_CX_GET(CX_ENTITY,$F102,AN$11,AN$14,,(AN$75))),_xlpm.Res,IF(OR(_xlpm.val="",_xlpm.val="Error"),"",_xlpm.val),_xlpm.Res)</f>
        <v>#NAME?</v>
      </c>
      <c r="AO102" s="1986" t="e" cm="1">
        <f t="array" ca="1" aca="1" ref="AO102">_xlfn.LET(_xlpm.val,IF($F102="",val_blankRefText,_xldudf_CX_GET(CX_ENTITY,$F102,AO$11,AO$14,,(AO$75))),_xlpm.Res,IF(OR(_xlpm.val="",_xlpm.val="Error"),"",_xlpm.val),_xlpm.Res)</f>
        <v>#NAME?</v>
      </c>
      <c r="AP102" s="1986" t="e" cm="1">
        <f t="array" ca="1" aca="1" ref="AP102">_xlfn.LET(_xlpm.val,IF($F102="",val_blankRefText,_xldudf_CX_GET(CX_ENTITY,$F102,AP$11,AP$14,,(AP$75))),_xlpm.Res,IF(OR(_xlpm.val="",_xlpm.val="Error"),"",_xlpm.val),_xlpm.Res)</f>
        <v>#NAME?</v>
      </c>
      <c r="AQ102" s="1986" t="e" cm="1">
        <f t="array" ca="1" aca="1" ref="AQ102">_xlfn.LET(_xlpm.val,IF($F102="",val_blankRefText,_xldudf_CX_GET(CX_ENTITY,$F102,AQ$11,AQ$14,,(AQ$75))),_xlpm.Res,IF(OR(_xlpm.val="",_xlpm.val="Error"),"",_xlpm.val),_xlpm.Res)</f>
        <v>#NAME?</v>
      </c>
      <c r="AR102" s="1986" t="e" cm="1">
        <f t="array" ca="1" aca="1" ref="AR102">_xlfn.LET(_xlpm.val,IF($F102="",val_blankRefText,_xldudf_CX_GET(CX_ENTITY,$F102,AR$11,AR$14,,(AR$75))),_xlpm.Res,IF(OR(_xlpm.val="",_xlpm.val="Error"),"",_xlpm.val),_xlpm.Res)</f>
        <v>#NAME?</v>
      </c>
      <c r="AS102" s="1986" t="e" cm="1">
        <f t="array" ca="1" aca="1" ref="AS102">_xlfn.LET(_xlpm.val,IF($F102="",val_blankRefText,_xldudf_CX_GET(CX_ENTITY,$F102,AS$11,AS$14,,(AS$75))),_xlpm.Res,IF(OR(_xlpm.val="",_xlpm.val="Error"),"",_xlpm.val),_xlpm.Res)</f>
        <v>#NAME?</v>
      </c>
      <c r="AT102" s="1986" t="e" cm="1">
        <f t="array" ca="1" aca="1" ref="AT102">_xlfn.LET(_xlpm.val,IF($F102="",val_blankRefText,_xldudf_CX_GET(CX_ENTITY,$F102,AT$11,AT$14,,(AT$75))),_xlpm.Res,IF(OR(_xlpm.val="",_xlpm.val="Error"),"",_xlpm.val),_xlpm.Res)</f>
        <v>#NAME?</v>
      </c>
      <c r="AU102" s="1986" t="e" cm="1">
        <f t="array" ca="1" aca="1" ref="AU102">_xlfn.LET(_xlpm.val,IF($F102="",val_blankRefText,_xldudf_CX_GET(CX_ENTITY,$F102,AU$11,AU$14,,(AU$75))),_xlpm.Res,IF(OR(_xlpm.val="",_xlpm.val="Error"),"",_xlpm.val),_xlpm.Res)</f>
        <v>#NAME?</v>
      </c>
      <c r="AV102" s="1986" t="e" cm="1">
        <f t="array" ca="1" aca="1" ref="AV102">_xlfn.LET(_xlpm.val,IF($F102="",val_blankRefText,_xldudf_CX_GET(CX_ENTITY,$F102,AV$11,AV$14,,(AV$75))),_xlpm.Res,IF(OR(_xlpm.val="",_xlpm.val="Error"),"",_xlpm.val),_xlpm.Res)</f>
        <v>#NAME?</v>
      </c>
      <c r="AW102" s="1986" t="e" cm="1">
        <f t="array" ca="1" aca="1" ref="AW102">_xlfn.LET(_xlpm.val,IF($F102="",val_blankRefText,_xldudf_CX_GET(CX_ENTITY,$F102,AW$11,AW$14,,(AW$75))),_xlpm.Res,IF(OR(_xlpm.val="",_xlpm.val="Error"),"",_xlpm.val),_xlpm.Res)</f>
        <v>#NAME?</v>
      </c>
      <c r="AX102" s="1986" t="e" cm="1">
        <f t="array" ca="1" aca="1" ref="AX102">_xlfn.LET(_xlpm.val,IF($F102="",val_blankRefText,_xldudf_CX_GET(CX_ENTITY,$F102,AX$11,AX$14,,(AX$75))),_xlpm.Res,IF(OR(_xlpm.val="",_xlpm.val="Error"),"",_xlpm.val),_xlpm.Res)</f>
        <v>#NAME?</v>
      </c>
      <c r="AY102" s="1986" t="e" cm="1">
        <f t="array" ca="1" aca="1" ref="AY102">_xlfn.LET(_xlpm.val,IF($F102="",val_blankRefText,_xldudf_CX_GET(CX_ENTITY,$F102,AY$11,AY$14,,(AY$75))),_xlpm.Res,IF(OR(_xlpm.val="",_xlpm.val="Error"),"",_xlpm.val),_xlpm.Res)</f>
        <v>#NAME?</v>
      </c>
      <c r="AZ102" s="1986" t="e" cm="1">
        <f t="array" ca="1" aca="1" ref="AZ102">_xlfn.LET(_xlpm.val,IF($F102="",val_blankRefText,_xldudf_CX_GET(CX_ENTITY,$F102,AZ$11,AZ$14,,(AZ$75))),_xlpm.Res,IF(OR(_xlpm.val="",_xlpm.val="Error"),"",_xlpm.val),_xlpm.Res)</f>
        <v>#NAME?</v>
      </c>
      <c r="BA102" s="1986" t="e" cm="1">
        <f t="array" ca="1" aca="1" ref="BA102">_xlfn.LET(_xlpm.val,IF($F102="",val_blankRefText,_xldudf_CX_GET(CX_ENTITY,$F102,BA$11,BA$14,,(BA$75))),_xlpm.Res,IF(OR(_xlpm.val="",_xlpm.val="Error"),"",_xlpm.val),_xlpm.Res)</f>
        <v>#NAME?</v>
      </c>
      <c r="BB102" s="1986" t="e" cm="1">
        <f t="array" ca="1" aca="1" ref="BB102">_xlfn.LET(_xlpm.val,IF($F102="",val_blankRefText,_xldudf_CX_GET(CX_ENTITY,$F102,BB$11,BB$14,,(BB$75))),_xlpm.Res,IF(OR(_xlpm.val="",_xlpm.val="Error"),"",_xlpm.val),_xlpm.Res)</f>
        <v>#NAME?</v>
      </c>
      <c r="BC102" s="1986" t="e" cm="1">
        <f t="array" ca="1" aca="1" ref="BC102">_xlfn.LET(_xlpm.val,IF($F102="",val_blankRefText,_xldudf_CX_GET(CX_ENTITY,$F102,BC$11,BC$14,,(BC$75))),_xlpm.Res,IF(OR(_xlpm.val="",_xlpm.val="Error"),"",_xlpm.val),_xlpm.Res)</f>
        <v>#NAME?</v>
      </c>
      <c r="BD102" s="1986" t="e" cm="1">
        <f t="array" ca="1" aca="1" ref="BD102">_xlfn.LET(_xlpm.val,IF($F102="",val_blankRefText,_xldudf_CX_GET(CX_ENTITY,$F102,BD$11,BD$14,,(BD$75))),_xlpm.Res,IF(OR(_xlpm.val="",_xlpm.val="Error"),"",_xlpm.val),_xlpm.Res)</f>
        <v>#NAME?</v>
      </c>
      <c r="BE102" s="1986" t="e" cm="1">
        <f t="array" ca="1" aca="1" ref="BE102">_xlfn.LET(_xlpm.val,IF($F102="",val_blankRefText,_xldudf_CX_GET(CX_ENTITY,$F102,BE$11,BE$14,,(BE$75))),_xlpm.Res,IF(OR(_xlpm.val="",_xlpm.val="Error"),"",_xlpm.val),_xlpm.Res)</f>
        <v>#NAME?</v>
      </c>
      <c r="BF102" s="1986" t="e" cm="1">
        <f t="array" ca="1" aca="1" ref="BF102">_xlfn.LET(_xlpm.val,IF($F102="",val_blankRefText,_xldudf_CX_GET(CX_ENTITY,$F102,BF$11,BF$14,,(BF$75))),_xlpm.Res,IF(OR(_xlpm.val="",_xlpm.val="Error"),"",_xlpm.val),_xlpm.Res)</f>
        <v>#NAME?</v>
      </c>
      <c r="BG102" s="1986" t="e" cm="1">
        <f t="array" ca="1" aca="1" ref="BG102">_xlfn.LET(_xlpm.val,IF($F102="",val_blankRefText,_xldudf_CX_GET(CX_ENTITY,$F102,BG$11,BG$14,,(BG$75))),_xlpm.Res,IF(OR(_xlpm.val="",_xlpm.val="Error"),"",_xlpm.val),_xlpm.Res)</f>
        <v>#NAME?</v>
      </c>
      <c r="BH102" s="1986" t="e" cm="1">
        <f t="array" ca="1" aca="1" ref="BH102">_xlfn.LET(_xlpm.val,IF($F102="",val_blankRefText,_xldudf_CX_GET(CX_ENTITY,$F102,BH$11,BH$14,,(BH$75))),_xlpm.Res,IF(OR(_xlpm.val="",_xlpm.val="Error"),"",_xlpm.val),_xlpm.Res)</f>
        <v>#NAME?</v>
      </c>
      <c r="BI102" s="1986" t="e" cm="1">
        <f t="array" ca="1" aca="1" ref="BI102">_xlfn.LET(_xlpm.val,IF($F102="",val_blankRefText,_xldudf_CX_GET(CX_ENTITY,$F102,BI$11,BI$14,,(BI$75))),_xlpm.Res,IF(OR(_xlpm.val="",_xlpm.val="Error"),"",_xlpm.val),_xlpm.Res)</f>
        <v>#NAME?</v>
      </c>
      <c r="BJ102" s="1986" t="e" cm="1">
        <f t="array" ca="1" aca="1" ref="BJ102">_xlfn.LET(_xlpm.val,IF($F102="",val_blankRefText,_xldudf_CX_GET(CX_ENTITY,$F102,BJ$11,BJ$14,,(BJ$75))),_xlpm.Res,IF(OR(_xlpm.val="",_xlpm.val="Error"),"",_xlpm.val),_xlpm.Res)</f>
        <v>#NAME?</v>
      </c>
      <c r="BK102" s="1986" t="e" cm="1">
        <f t="array" ca="1" aca="1" ref="BK102">_xlfn.LET(_xlpm.val,IF($F102="",val_blankRefText,_xldudf_CX_GET(CX_ENTITY,$F102,BK$11,BK$14,,(BK$75))),_xlpm.Res,IF(OR(_xlpm.val="",_xlpm.val="Error"),"",_xlpm.val),_xlpm.Res)</f>
        <v>#NAME?</v>
      </c>
      <c r="BL102" s="1986" t="e" cm="1">
        <f t="array" ca="1" aca="1" ref="BL102">_xlfn.LET(_xlpm.val,IF($F102="",val_blankRefText,_xldudf_CX_GET(CX_ENTITY,$F102,BL$11,BL$14,,(BL$75))),_xlpm.Res,IF(OR(_xlpm.val="",_xlpm.val="Error"),"",_xlpm.val),_xlpm.Res)</f>
        <v>#NAME?</v>
      </c>
      <c r="BM102" s="1986" t="e" cm="1">
        <f t="array" ca="1" aca="1" ref="BM102">_xlfn.LET(_xlpm.val,IF($F102="",val_blankRefText,_xldudf_CX_GET(CX_ENTITY,$F102,BM$11,BM$14,,(BM$75))),_xlpm.Res,IF(OR(_xlpm.val="",_xlpm.val="Error"),"",_xlpm.val),_xlpm.Res)</f>
        <v>#NAME?</v>
      </c>
      <c r="BN102" s="1986" t="e" cm="1">
        <f t="array" ca="1" aca="1" ref="BN102">_xlfn.LET(_xlpm.val,IF($F102="",val_blankRefText,_xldudf_CX_GET(CX_ENTITY,$F102,BN$11,BN$14,,(BN$75))),_xlpm.Res,IF(OR(_xlpm.val="",_xlpm.val="Error"),"",_xlpm.val),_xlpm.Res)</f>
        <v>#NAME?</v>
      </c>
      <c r="BO102" s="2104"/>
      <c r="BP102" s="2104"/>
      <c r="BQ102" s="2104"/>
      <c r="BR102" s="2104"/>
      <c r="BS102" s="2104"/>
      <c r="BT102" s="2104"/>
      <c r="BU102" s="2104"/>
      <c r="BV102" s="2104"/>
      <c r="BW102" s="2104"/>
      <c r="BX102" s="2104"/>
      <c r="BY102" s="2104"/>
      <c r="BZ102" s="2104"/>
      <c r="CA102" s="34"/>
      <c r="CC102" s="33"/>
      <c r="CD102" s="1461" t="e" cm="1">
        <f t="array" ca="1" aca="1" ref="CD102">_xlfn.LET(_xlpm.CheckBlank,SUM(PL!$AD102:$BN102)=0,IF(_xlpm.CheckBlank,"",SUM(_xlfn._xlws.FILTER(PL!$AD102:$BN102,(YEAR(PL!$AD$12:$BN$12)=PL!CD$12)*(array_timeline&lt;=PL!CD$11)))))</f>
        <v>#NAME?</v>
      </c>
      <c r="CE102" s="1461" t="e" cm="1">
        <f t="array" ca="1" aca="1" ref="CE102">_xlfn.LET(_xlpm.CheckBlank,SUM(PL!$AD102:$BN102)=0,IF(_xlpm.CheckBlank,"",SUM(_xlfn._xlws.FILTER(PL!$AD102:$BN102,(YEAR(PL!$AD$12:$BN$12)=PL!CE$12)*(array_timeline&lt;=PL!CE$11)))))</f>
        <v>#NAME?</v>
      </c>
      <c r="CF102" s="88"/>
      <c r="CG102" s="1461" t="e" cm="1">
        <f t="array" ca="1" aca="1" ref="CG102">_xlfn.LET(_xlpm.CheckBlank,SUM(PL!$AD102:$BN102)=0,IF(_xlpm.CheckBlank,"",SUM(_xlfn._xlws.FILTER(PL!$AD102:$BN102,(YEAR(PL!$AD$12:$BN$12)=PL!CG$12)*(array_timeline&lt;=PL!CG$11)))))</f>
        <v>#NAME?</v>
      </c>
      <c r="CH102" s="1461" t="e" cm="1">
        <f t="array" ca="1" aca="1" ref="CH102">_xlfn.LET(_xlpm.CheckBlank,SUM(PL!$AD102:$BN102)=0,IF(_xlpm.CheckBlank,"",SUM(_xlfn._xlws.FILTER(PL!$AD102:$BN102,(YEAR(PL!$AD$12:$BN$12)=PL!CH$12)*(array_timeline&lt;=PL!CH$11)))))</f>
        <v>#NAME?</v>
      </c>
      <c r="CI102" s="88"/>
      <c r="CJ102" s="1461" cm="1">
        <f t="array" ref="CJ102">_xlfn.LET(_xlpm.CheckBlank,SUM(PL!$AD102:$BN102)=0,IF(_xlpm.CheckBlank,"",SUM(_xlfn.TAKE(_xlfn.DROP(PL!$AD102:$BN102,,-DATEDIFF(PL!CJ$11,val_asOfDate,"M")),1,-12))))</f>
        <v>12</v>
      </c>
      <c r="CK102" s="1461" cm="1">
        <f t="array" ref="CK102">_xlfn.LET(_xlpm.CheckBlank,SUM(PL!$AD102:$BN102)=0,IF(_xlpm.CheckBlank,"",SUM(_xlfn.TAKE(_xlfn.DROP(PL!$AD102:$BN102,,-DATEDIFF(PL!CK$11,val_asOfDate,"M")),1,-12))))</f>
        <v>12</v>
      </c>
      <c r="CL102" s="3"/>
      <c r="CM102" s="840"/>
      <c r="CN102" s="840"/>
      <c r="CO102" s="3"/>
      <c r="CP102" s="840"/>
      <c r="CQ102" s="840"/>
      <c r="CR102" s="34"/>
    </row>
    <row r="103" spans="1:96" ht="21" customHeight="1" outlineLevel="2">
      <c r="A103" s="1322"/>
      <c r="B103" s="2128" t="s">
        <v>1561</v>
      </c>
      <c r="C103" s="2125" t="s">
        <v>1562</v>
      </c>
      <c r="D103" s="577"/>
      <c r="E103" s="1615" t="e" cm="1">
        <f t="array" ca="1" aca="1" ref="E103">_xlfn.LET(_xlpm.Attr,$C103,_xlpm.Lookback,$E$16,_xlpm.QueryDate,EOMONTH(val_asOfDate,_xlpm.Lookback),_xlpm.ReadField,_xldudf_CX_GET(CX_ENTITY,fx_attrConverter($C103),_xlpm.QueryDate),_xlpm.AttrBlank,_xlpm.Attr="",_xlpm.RESULT,IF(_xlpm.AttrBlank,val_blankRefText,fx_attrConverter(_xlpm.ReadField,0)),IF(_xlpm.RESULT="Error","",_xlpm.RESULT))</f>
        <v>#NAME?</v>
      </c>
      <c r="F103" s="577" t="str">
        <f t="shared" si="28"/>
        <v>Custom Metric Amount 2</v>
      </c>
      <c r="G103" s="577" t="s">
        <v>1599</v>
      </c>
      <c r="H103" s="3280">
        <v>1</v>
      </c>
      <c r="I103" s="3280">
        <v>1</v>
      </c>
      <c r="J103" s="401"/>
      <c r="K103" s="401"/>
      <c r="L103" s="581" t="b">
        <v>0</v>
      </c>
      <c r="N103" s="158"/>
      <c r="O103" s="101"/>
      <c r="P103" s="52"/>
      <c r="Q103" s="101"/>
      <c r="R103" s="126"/>
      <c r="S103" s="101"/>
      <c r="T103" s="101"/>
      <c r="U103" s="39"/>
      <c r="W103" s="91" t="str">
        <f>_PL!$W$72</f>
        <v>Budget</v>
      </c>
      <c r="X103" s="2370" t="e" cm="1">
        <f t="array" ca="1" aca="1" ref="X103">_xlfn.LET(_xlpm.toPass,$E103="",_xlpm.hasParts,ISNUMBER(SEARCH("|",$E103)),_xlpm.Part1,INDEX(_xlfn.TEXTSPLIT($E103,"|",,FALSE,1),1),_xlpm.Part1Num,IFERROR(_xlfn.NUMBERVALUE(_xlpm.Part1),_xlpm.Part1),_xlfn.SWITCH(TRUE,_xlpm.toPass,"",_xlpm.hasParts,_xlpm.Part1Num,$E103))</f>
        <v>#NAME?</v>
      </c>
      <c r="Y103" s="590" t="e" cm="1">
        <f t="array" ca="1" aca="1" ref="Y103">_xlfn.LET(_xlpm.PackedString,E103,IF(_xlpm.PackedString="","",IF(ISNUMBER(SEARCH("|",_xlpm.PackedString)),INDEX(_xlfn.TEXTSPLIT(_xlpm.PackedString,"|",,FALSE),2),_xlpm.PackedString)))</f>
        <v>#NAME?</v>
      </c>
      <c r="Z103" s="198" t="e">
        <f t="shared" ca="1" si="29"/>
        <v>#NAME?</v>
      </c>
      <c r="AA103" s="200"/>
      <c r="AB103" s="709" t="e" cm="1">
        <f t="array" ca="1" aca="1" ref="AB103">_xlfn.LET(_xlpm.PackedString,E103,IF(_xlpm.PackedString="","",IF(ISNUMBER(SEARCH("|",_xlpm.PackedString)),INDEX(_xlfn.TEXTSPLIT(_xlpm.PackedString,"|",,FALSE),3),_xlpm.PackedString)))</f>
        <v>#NAME?</v>
      </c>
      <c r="AC103" s="124" t="str" cm="1">
        <f t="array" ca="1" aca="1" ref="AC103">_xlfn.LET(_xlpm.Def,IF(_xlfn.XMATCH(AB103,tbl_acctDef[Term],0)&gt;0,fx_getIcon("find"),""),_xlpm.Adj,IF(_xlfn.XMATCH(AB103,tbl_adjExample[Items],0)&gt;0,fx_getIcon("find"),""),IFERROR(IFBLANK(_xlpm.Def,_xlpm.Adj),""))</f>
        <v/>
      </c>
      <c r="AD103" s="1986" t="e" cm="1">
        <f t="array" ca="1" aca="1" ref="AD103">_xlfn.LET(_xlpm.val,IF($F103="",val_blankRefText,_xldudf_CX_GET(CX_ENTITY,$F103,AD$11,AD$14,,(AD$75))),_xlpm.Res,IF(OR(_xlpm.val="",_xlpm.val="Error"),"",_xlpm.val),_xlpm.Res)</f>
        <v>#NAME?</v>
      </c>
      <c r="AE103" s="1986" t="e" cm="1">
        <f t="array" ca="1" aca="1" ref="AE103">_xlfn.LET(_xlpm.val,IF($F103="",val_blankRefText,_xldudf_CX_GET(CX_ENTITY,$F103,AE$11,AE$14,,(AE$75))),_xlpm.Res,IF(OR(_xlpm.val="",_xlpm.val="Error"),"",_xlpm.val),_xlpm.Res)</f>
        <v>#NAME?</v>
      </c>
      <c r="AF103" s="1986" t="e" cm="1">
        <f t="array" ca="1" aca="1" ref="AF103">_xlfn.LET(_xlpm.val,IF($F103="",val_blankRefText,_xldudf_CX_GET(CX_ENTITY,$F103,AF$11,AF$14,,(AF$75))),_xlpm.Res,IF(OR(_xlpm.val="",_xlpm.val="Error"),"",_xlpm.val),_xlpm.Res)</f>
        <v>#NAME?</v>
      </c>
      <c r="AG103" s="1986" t="e" cm="1">
        <f t="array" ca="1" aca="1" ref="AG103">_xlfn.LET(_xlpm.val,IF($F103="",val_blankRefText,_xldudf_CX_GET(CX_ENTITY,$F103,AG$11,AG$14,,(AG$75))),_xlpm.Res,IF(OR(_xlpm.val="",_xlpm.val="Error"),"",_xlpm.val),_xlpm.Res)</f>
        <v>#NAME?</v>
      </c>
      <c r="AH103" s="1986" t="e" cm="1">
        <f t="array" ca="1" aca="1" ref="AH103">_xlfn.LET(_xlpm.val,IF($F103="",val_blankRefText,_xldudf_CX_GET(CX_ENTITY,$F103,AH$11,AH$14,,(AH$75))),_xlpm.Res,IF(OR(_xlpm.val="",_xlpm.val="Error"),"",_xlpm.val),_xlpm.Res)</f>
        <v>#NAME?</v>
      </c>
      <c r="AI103" s="1986" t="e" cm="1">
        <f t="array" ca="1" aca="1" ref="AI103">_xlfn.LET(_xlpm.val,IF($F103="",val_blankRefText,_xldudf_CX_GET(CX_ENTITY,$F103,AI$11,AI$14,,(AI$75))),_xlpm.Res,IF(OR(_xlpm.val="",_xlpm.val="Error"),"",_xlpm.val),_xlpm.Res)</f>
        <v>#NAME?</v>
      </c>
      <c r="AJ103" s="1986" t="e" cm="1">
        <f t="array" ca="1" aca="1" ref="AJ103">_xlfn.LET(_xlpm.val,IF($F103="",val_blankRefText,_xldudf_CX_GET(CX_ENTITY,$F103,AJ$11,AJ$14,,(AJ$75))),_xlpm.Res,IF(OR(_xlpm.val="",_xlpm.val="Error"),"",_xlpm.val),_xlpm.Res)</f>
        <v>#NAME?</v>
      </c>
      <c r="AK103" s="1986" t="e" cm="1">
        <f t="array" ca="1" aca="1" ref="AK103">_xlfn.LET(_xlpm.val,IF($F103="",val_blankRefText,_xldudf_CX_GET(CX_ENTITY,$F103,AK$11,AK$14,,(AK$75))),_xlpm.Res,IF(OR(_xlpm.val="",_xlpm.val="Error"),"",_xlpm.val),_xlpm.Res)</f>
        <v>#NAME?</v>
      </c>
      <c r="AL103" s="1986" t="e" cm="1">
        <f t="array" ca="1" aca="1" ref="AL103">_xlfn.LET(_xlpm.val,IF($F103="",val_blankRefText,_xldudf_CX_GET(CX_ENTITY,$F103,AL$11,AL$14,,(AL$75))),_xlpm.Res,IF(OR(_xlpm.val="",_xlpm.val="Error"),"",_xlpm.val),_xlpm.Res)</f>
        <v>#NAME?</v>
      </c>
      <c r="AM103" s="1986" t="e" cm="1">
        <f t="array" ca="1" aca="1" ref="AM103">_xlfn.LET(_xlpm.val,IF($F103="",val_blankRefText,_xldudf_CX_GET(CX_ENTITY,$F103,AM$11,AM$14,,(AM$75))),_xlpm.Res,IF(OR(_xlpm.val="",_xlpm.val="Error"),"",_xlpm.val),_xlpm.Res)</f>
        <v>#NAME?</v>
      </c>
      <c r="AN103" s="1986" t="e" cm="1">
        <f t="array" ca="1" aca="1" ref="AN103">_xlfn.LET(_xlpm.val,IF($F103="",val_blankRefText,_xldudf_CX_GET(CX_ENTITY,$F103,AN$11,AN$14,,(AN$75))),_xlpm.Res,IF(OR(_xlpm.val="",_xlpm.val="Error"),"",_xlpm.val),_xlpm.Res)</f>
        <v>#NAME?</v>
      </c>
      <c r="AO103" s="1986" t="e" cm="1">
        <f t="array" ca="1" aca="1" ref="AO103">_xlfn.LET(_xlpm.val,IF($F103="",val_blankRefText,_xldudf_CX_GET(CX_ENTITY,$F103,AO$11,AO$14,,(AO$75))),_xlpm.Res,IF(OR(_xlpm.val="",_xlpm.val="Error"),"",_xlpm.val),_xlpm.Res)</f>
        <v>#NAME?</v>
      </c>
      <c r="AP103" s="1986" t="e" cm="1">
        <f t="array" ca="1" aca="1" ref="AP103">_xlfn.LET(_xlpm.val,IF($F103="",val_blankRefText,_xldudf_CX_GET(CX_ENTITY,$F103,AP$11,AP$14,,(AP$75))),_xlpm.Res,IF(OR(_xlpm.val="",_xlpm.val="Error"),"",_xlpm.val),_xlpm.Res)</f>
        <v>#NAME?</v>
      </c>
      <c r="AQ103" s="1986" t="e" cm="1">
        <f t="array" ca="1" aca="1" ref="AQ103">_xlfn.LET(_xlpm.val,IF($F103="",val_blankRefText,_xldudf_CX_GET(CX_ENTITY,$F103,AQ$11,AQ$14,,(AQ$75))),_xlpm.Res,IF(OR(_xlpm.val="",_xlpm.val="Error"),"",_xlpm.val),_xlpm.Res)</f>
        <v>#NAME?</v>
      </c>
      <c r="AR103" s="1986" t="e" cm="1">
        <f t="array" ca="1" aca="1" ref="AR103">_xlfn.LET(_xlpm.val,IF($F103="",val_blankRefText,_xldudf_CX_GET(CX_ENTITY,$F103,AR$11,AR$14,,(AR$75))),_xlpm.Res,IF(OR(_xlpm.val="",_xlpm.val="Error"),"",_xlpm.val),_xlpm.Res)</f>
        <v>#NAME?</v>
      </c>
      <c r="AS103" s="1986" t="e" cm="1">
        <f t="array" ca="1" aca="1" ref="AS103">_xlfn.LET(_xlpm.val,IF($F103="",val_blankRefText,_xldudf_CX_GET(CX_ENTITY,$F103,AS$11,AS$14,,(AS$75))),_xlpm.Res,IF(OR(_xlpm.val="",_xlpm.val="Error"),"",_xlpm.val),_xlpm.Res)</f>
        <v>#NAME?</v>
      </c>
      <c r="AT103" s="1986" t="e" cm="1">
        <f t="array" ca="1" aca="1" ref="AT103">_xlfn.LET(_xlpm.val,IF($F103="",val_blankRefText,_xldudf_CX_GET(CX_ENTITY,$F103,AT$11,AT$14,,(AT$75))),_xlpm.Res,IF(OR(_xlpm.val="",_xlpm.val="Error"),"",_xlpm.val),_xlpm.Res)</f>
        <v>#NAME?</v>
      </c>
      <c r="AU103" s="1986" t="e" cm="1">
        <f t="array" ca="1" aca="1" ref="AU103">_xlfn.LET(_xlpm.val,IF($F103="",val_blankRefText,_xldudf_CX_GET(CX_ENTITY,$F103,AU$11,AU$14,,(AU$75))),_xlpm.Res,IF(OR(_xlpm.val="",_xlpm.val="Error"),"",_xlpm.val),_xlpm.Res)</f>
        <v>#NAME?</v>
      </c>
      <c r="AV103" s="1986" t="e" cm="1">
        <f t="array" ca="1" aca="1" ref="AV103">_xlfn.LET(_xlpm.val,IF($F103="",val_blankRefText,_xldudf_CX_GET(CX_ENTITY,$F103,AV$11,AV$14,,(AV$75))),_xlpm.Res,IF(OR(_xlpm.val="",_xlpm.val="Error"),"",_xlpm.val),_xlpm.Res)</f>
        <v>#NAME?</v>
      </c>
      <c r="AW103" s="1986" t="e" cm="1">
        <f t="array" ca="1" aca="1" ref="AW103">_xlfn.LET(_xlpm.val,IF($F103="",val_blankRefText,_xldudf_CX_GET(CX_ENTITY,$F103,AW$11,AW$14,,(AW$75))),_xlpm.Res,IF(OR(_xlpm.val="",_xlpm.val="Error"),"",_xlpm.val),_xlpm.Res)</f>
        <v>#NAME?</v>
      </c>
      <c r="AX103" s="1986" t="e" cm="1">
        <f t="array" ca="1" aca="1" ref="AX103">_xlfn.LET(_xlpm.val,IF($F103="",val_blankRefText,_xldudf_CX_GET(CX_ENTITY,$F103,AX$11,AX$14,,(AX$75))),_xlpm.Res,IF(OR(_xlpm.val="",_xlpm.val="Error"),"",_xlpm.val),_xlpm.Res)</f>
        <v>#NAME?</v>
      </c>
      <c r="AY103" s="1986" t="e" cm="1">
        <f t="array" ca="1" aca="1" ref="AY103">_xlfn.LET(_xlpm.val,IF($F103="",val_blankRefText,_xldudf_CX_GET(CX_ENTITY,$F103,AY$11,AY$14,,(AY$75))),_xlpm.Res,IF(OR(_xlpm.val="",_xlpm.val="Error"),"",_xlpm.val),_xlpm.Res)</f>
        <v>#NAME?</v>
      </c>
      <c r="AZ103" s="1986" t="e" cm="1">
        <f t="array" ca="1" aca="1" ref="AZ103">_xlfn.LET(_xlpm.val,IF($F103="",val_blankRefText,_xldudf_CX_GET(CX_ENTITY,$F103,AZ$11,AZ$14,,(AZ$75))),_xlpm.Res,IF(OR(_xlpm.val="",_xlpm.val="Error"),"",_xlpm.val),_xlpm.Res)</f>
        <v>#NAME?</v>
      </c>
      <c r="BA103" s="1986" t="e" cm="1">
        <f t="array" ca="1" aca="1" ref="BA103">_xlfn.LET(_xlpm.val,IF($F103="",val_blankRefText,_xldudf_CX_GET(CX_ENTITY,$F103,BA$11,BA$14,,(BA$75))),_xlpm.Res,IF(OR(_xlpm.val="",_xlpm.val="Error"),"",_xlpm.val),_xlpm.Res)</f>
        <v>#NAME?</v>
      </c>
      <c r="BB103" s="1986" t="e" cm="1">
        <f t="array" ca="1" aca="1" ref="BB103">_xlfn.LET(_xlpm.val,IF($F103="",val_blankRefText,_xldudf_CX_GET(CX_ENTITY,$F103,BB$11,BB$14,,(BB$75))),_xlpm.Res,IF(OR(_xlpm.val="",_xlpm.val="Error"),"",_xlpm.val),_xlpm.Res)</f>
        <v>#NAME?</v>
      </c>
      <c r="BC103" s="1986" t="e" cm="1">
        <f t="array" ca="1" aca="1" ref="BC103">_xlfn.LET(_xlpm.val,IF($F103="",val_blankRefText,_xldudf_CX_GET(CX_ENTITY,$F103,BC$11,BC$14,,(BC$75))),_xlpm.Res,IF(OR(_xlpm.val="",_xlpm.val="Error"),"",_xlpm.val),_xlpm.Res)</f>
        <v>#NAME?</v>
      </c>
      <c r="BD103" s="1986" t="e" cm="1">
        <f t="array" ca="1" aca="1" ref="BD103">_xlfn.LET(_xlpm.val,IF($F103="",val_blankRefText,_xldudf_CX_GET(CX_ENTITY,$F103,BD$11,BD$14,,(BD$75))),_xlpm.Res,IF(OR(_xlpm.val="",_xlpm.val="Error"),"",_xlpm.val),_xlpm.Res)</f>
        <v>#NAME?</v>
      </c>
      <c r="BE103" s="1986" t="e" cm="1">
        <f t="array" ca="1" aca="1" ref="BE103">_xlfn.LET(_xlpm.val,IF($F103="",val_blankRefText,_xldudf_CX_GET(CX_ENTITY,$F103,BE$11,BE$14,,(BE$75))),_xlpm.Res,IF(OR(_xlpm.val="",_xlpm.val="Error"),"",_xlpm.val),_xlpm.Res)</f>
        <v>#NAME?</v>
      </c>
      <c r="BF103" s="1986" t="e" cm="1">
        <f t="array" ca="1" aca="1" ref="BF103">_xlfn.LET(_xlpm.val,IF($F103="",val_blankRefText,_xldudf_CX_GET(CX_ENTITY,$F103,BF$11,BF$14,,(BF$75))),_xlpm.Res,IF(OR(_xlpm.val="",_xlpm.val="Error"),"",_xlpm.val),_xlpm.Res)</f>
        <v>#NAME?</v>
      </c>
      <c r="BG103" s="1986" t="e" cm="1">
        <f t="array" ca="1" aca="1" ref="BG103">_xlfn.LET(_xlpm.val,IF($F103="",val_blankRefText,_xldudf_CX_GET(CX_ENTITY,$F103,BG$11,BG$14,,(BG$75))),_xlpm.Res,IF(OR(_xlpm.val="",_xlpm.val="Error"),"",_xlpm.val),_xlpm.Res)</f>
        <v>#NAME?</v>
      </c>
      <c r="BH103" s="1986" t="e" cm="1">
        <f t="array" ca="1" aca="1" ref="BH103">_xlfn.LET(_xlpm.val,IF($F103="",val_blankRefText,_xldudf_CX_GET(CX_ENTITY,$F103,BH$11,BH$14,,(BH$75))),_xlpm.Res,IF(OR(_xlpm.val="",_xlpm.val="Error"),"",_xlpm.val),_xlpm.Res)</f>
        <v>#NAME?</v>
      </c>
      <c r="BI103" s="1986" t="e" cm="1">
        <f t="array" ca="1" aca="1" ref="BI103">_xlfn.LET(_xlpm.val,IF($F103="",val_blankRefText,_xldudf_CX_GET(CX_ENTITY,$F103,BI$11,BI$14,,(BI$75))),_xlpm.Res,IF(OR(_xlpm.val="",_xlpm.val="Error"),"",_xlpm.val),_xlpm.Res)</f>
        <v>#NAME?</v>
      </c>
      <c r="BJ103" s="1986" t="e" cm="1">
        <f t="array" ca="1" aca="1" ref="BJ103">_xlfn.LET(_xlpm.val,IF($F103="",val_blankRefText,_xldudf_CX_GET(CX_ENTITY,$F103,BJ$11,BJ$14,,(BJ$75))),_xlpm.Res,IF(OR(_xlpm.val="",_xlpm.val="Error"),"",_xlpm.val),_xlpm.Res)</f>
        <v>#NAME?</v>
      </c>
      <c r="BK103" s="1986" t="e" cm="1">
        <f t="array" ca="1" aca="1" ref="BK103">_xlfn.LET(_xlpm.val,IF($F103="",val_blankRefText,_xldudf_CX_GET(CX_ENTITY,$F103,BK$11,BK$14,,(BK$75))),_xlpm.Res,IF(OR(_xlpm.val="",_xlpm.val="Error"),"",_xlpm.val),_xlpm.Res)</f>
        <v>#NAME?</v>
      </c>
      <c r="BL103" s="1986" t="e" cm="1">
        <f t="array" ca="1" aca="1" ref="BL103">_xlfn.LET(_xlpm.val,IF($F103="",val_blankRefText,_xldudf_CX_GET(CX_ENTITY,$F103,BL$11,BL$14,,(BL$75))),_xlpm.Res,IF(OR(_xlpm.val="",_xlpm.val="Error"),"",_xlpm.val),_xlpm.Res)</f>
        <v>#NAME?</v>
      </c>
      <c r="BM103" s="1986" t="e" cm="1">
        <f t="array" ca="1" aca="1" ref="BM103">_xlfn.LET(_xlpm.val,IF($F103="",val_blankRefText,_xldudf_CX_GET(CX_ENTITY,$F103,BM$11,BM$14,,(BM$75))),_xlpm.Res,IF(OR(_xlpm.val="",_xlpm.val="Error"),"",_xlpm.val),_xlpm.Res)</f>
        <v>#NAME?</v>
      </c>
      <c r="BN103" s="1986" t="e" cm="1">
        <f t="array" ca="1" aca="1" ref="BN103">_xlfn.LET(_xlpm.val,IF($F103="",val_blankRefText,_xldudf_CX_GET(CX_ENTITY,$F103,BN$11,BN$14,,(BN$75))),_xlpm.Res,IF(OR(_xlpm.val="",_xlpm.val="Error"),"",_xlpm.val),_xlpm.Res)</f>
        <v>#NAME?</v>
      </c>
      <c r="BO103" s="2104" t="e" cm="1">
        <f t="array" ca="1" aca="1" ref="BO103">_xlfn.LET(_xlpm.val,IF($F103="",val_blankRefText,_xldudf_CX_GET(CX_ENTITY,fx_attrConverter($F103),BO$11,BO$14,,(BO$75))),_xlpm.Res,IF(OR(_xlpm.val="",_xlpm.val="Error"),"",_xlpm.val),_xlpm.Res)</f>
        <v>#NAME?</v>
      </c>
      <c r="BP103" s="2104" t="e" cm="1">
        <f t="array" ca="1" aca="1" ref="BP103">_xlfn.LET(_xlpm.val,IF($F103="",val_blankRefText,_xldudf_CX_GET(CX_ENTITY,fx_attrConverter($F103),BP$11,BP$14,,(BP$75))),_xlpm.Res,IF(OR(_xlpm.val="",_xlpm.val="Error"),"",_xlpm.val),_xlpm.Res)</f>
        <v>#NAME?</v>
      </c>
      <c r="BQ103" s="2104" t="e" cm="1">
        <f t="array" ca="1" aca="1" ref="BQ103">_xlfn.LET(_xlpm.val,IF($F103="",val_blankRefText,_xldudf_CX_GET(CX_ENTITY,fx_attrConverter($F103),BQ$11,BQ$14,,(BQ$75))),_xlpm.Res,IF(OR(_xlpm.val="",_xlpm.val="Error"),"",_xlpm.val),_xlpm.Res)</f>
        <v>#NAME?</v>
      </c>
      <c r="BR103" s="2104" t="e" cm="1">
        <f t="array" ca="1" aca="1" ref="BR103">_xlfn.LET(_xlpm.val,IF($F103="",val_blankRefText,_xldudf_CX_GET(CX_ENTITY,fx_attrConverter($F103),BR$11,BR$14,,(BR$75))),_xlpm.Res,IF(OR(_xlpm.val="",_xlpm.val="Error"),"",_xlpm.val),_xlpm.Res)</f>
        <v>#NAME?</v>
      </c>
      <c r="BS103" s="2104" t="e" cm="1">
        <f t="array" ca="1" aca="1" ref="BS103">_xlfn.LET(_xlpm.val,IF($F103="",val_blankRefText,_xldudf_CX_GET(CX_ENTITY,fx_attrConverter($F103),BS$11,BS$14,,(BS$75))),_xlpm.Res,IF(OR(_xlpm.val="",_xlpm.val="Error"),"",_xlpm.val),_xlpm.Res)</f>
        <v>#NAME?</v>
      </c>
      <c r="BT103" s="2104" t="e" cm="1">
        <f t="array" ca="1" aca="1" ref="BT103">_xlfn.LET(_xlpm.val,IF($F103="",val_blankRefText,_xldudf_CX_GET(CX_ENTITY,fx_attrConverter($F103),BT$11,BT$14,,(BT$75))),_xlpm.Res,IF(OR(_xlpm.val="",_xlpm.val="Error"),"",_xlpm.val),_xlpm.Res)</f>
        <v>#NAME?</v>
      </c>
      <c r="BU103" s="2104" t="e" cm="1">
        <f t="array" ca="1" aca="1" ref="BU103">_xlfn.LET(_xlpm.val,IF($F103="",val_blankRefText,_xldudf_CX_GET(CX_ENTITY,fx_attrConverter($F103),BU$11,BU$14,,(BU$75))),_xlpm.Res,IF(OR(_xlpm.val="",_xlpm.val="Error"),"",_xlpm.val),_xlpm.Res)</f>
        <v>#NAME?</v>
      </c>
      <c r="BV103" s="2104" t="e" cm="1">
        <f t="array" ca="1" aca="1" ref="BV103">_xlfn.LET(_xlpm.val,IF($F103="",val_blankRefText,_xldudf_CX_GET(CX_ENTITY,fx_attrConverter($F103),BV$11,BV$14,,(BV$75))),_xlpm.Res,IF(OR(_xlpm.val="",_xlpm.val="Error"),"",_xlpm.val),_xlpm.Res)</f>
        <v>#NAME?</v>
      </c>
      <c r="BW103" s="2104" t="e" cm="1">
        <f t="array" ca="1" aca="1" ref="BW103">_xlfn.LET(_xlpm.val,IF($F103="",val_blankRefText,_xldudf_CX_GET(CX_ENTITY,fx_attrConverter($F103),BW$11,BW$14,,(BW$75))),_xlpm.Res,IF(OR(_xlpm.val="",_xlpm.val="Error"),"",_xlpm.val),_xlpm.Res)</f>
        <v>#NAME?</v>
      </c>
      <c r="BX103" s="2104" t="e" cm="1">
        <f t="array" ca="1" aca="1" ref="BX103">_xlfn.LET(_xlpm.val,IF($F103="",val_blankRefText,_xldudf_CX_GET(CX_ENTITY,fx_attrConverter($F103),BX$11,BX$14,,(BX$75))),_xlpm.Res,IF(OR(_xlpm.val="",_xlpm.val="Error"),"",_xlpm.val),_xlpm.Res)</f>
        <v>#NAME?</v>
      </c>
      <c r="BY103" s="2104" t="e" cm="1">
        <f t="array" ca="1" aca="1" ref="BY103">_xlfn.LET(_xlpm.val,IF($F103="",val_blankRefText,_xldudf_CX_GET(CX_ENTITY,fx_attrConverter($F103),BY$11,BY$14,,(BY$75))),_xlpm.Res,IF(OR(_xlpm.val="",_xlpm.val="Error"),"",_xlpm.val),_xlpm.Res)</f>
        <v>#NAME?</v>
      </c>
      <c r="BZ103" s="2104" t="e" cm="1">
        <f t="array" ca="1" aca="1" ref="BZ103">_xlfn.LET(_xlpm.val,IF($F103="",val_blankRefText,_xldudf_CX_GET(CX_ENTITY,fx_attrConverter($F103),BZ$11,BZ$14,,(BZ$75))),_xlpm.Res,IF(OR(_xlpm.val="",_xlpm.val="Error"),"",_xlpm.val),_xlpm.Res)</f>
        <v>#NAME?</v>
      </c>
      <c r="CA103" s="34" t="e" cm="1">
        <f t="array" ca="1" aca="1" ref="CA103">_xlfn.LET(_xlpm.val,IF($F103="",val_blankRefText,_xldudf_CX_GET(CX_ENTITY,fx_attrConverter($F103),CA$11,CA$14,,(CA$75))),_xlpm.Res,IF(OR(_xlpm.val="",_xlpm.val="Error"),"",_xlpm.val),_xlpm.Res)</f>
        <v>#NAME?</v>
      </c>
      <c r="CC103" s="33"/>
      <c r="CD103" s="1461" t="e" cm="1">
        <f t="array" ca="1" aca="1" ref="CD103">_xlfn.LET(_xlpm.CheckBlank,SUM(PL!$AD103:$BN103)=0,IF(_xlpm.CheckBlank,"",SUM(_xlfn._xlws.FILTER(PL!$AD103:$BN103,(YEAR(PL!$AD$12:$BN$12)=PL!CD$12)*(array_timeline&lt;=PL!CD$11)))))</f>
        <v>#NAME?</v>
      </c>
      <c r="CE103" s="1461" t="e" cm="1">
        <f t="array" ca="1" aca="1" ref="CE103">_xlfn.LET(_xlpm.CheckBlank,SUM(PL!$AD103:$BN103)=0,IF(_xlpm.CheckBlank,"",SUM(_xlfn._xlws.FILTER(PL!$AD103:$BN103,(YEAR(PL!$AD$12:$BN$12)=PL!CE$12)*(array_timeline&lt;=PL!CE$11)))))</f>
        <v>#NAME?</v>
      </c>
      <c r="CF103" s="88"/>
      <c r="CG103" s="1461" t="e" cm="1">
        <f t="array" ca="1" aca="1" ref="CG103">_xlfn.LET(_xlpm.CheckBlank,SUM(PL!$AD103:$BN103)=0,IF(_xlpm.CheckBlank,"",SUM(_xlfn._xlws.FILTER(PL!$AD103:$BN103,(YEAR(PL!$AD$12:$BN$12)=PL!CG$12)*(array_timeline&lt;=PL!CG$11)))))</f>
        <v>#NAME?</v>
      </c>
      <c r="CH103" s="1461" t="e" cm="1">
        <f t="array" ca="1" aca="1" ref="CH103">_xlfn.LET(_xlpm.CheckBlank,SUM(PL!$AD103:$BN103)=0,IF(_xlpm.CheckBlank,"",SUM(_xlfn._xlws.FILTER(PL!$AD103:$BN103,(YEAR(PL!$AD$12:$BN$12)=PL!CH$12)*(array_timeline&lt;=PL!CH$11)))))</f>
        <v>#NAME?</v>
      </c>
      <c r="CI103" s="88"/>
      <c r="CJ103" s="1461" cm="1">
        <f t="array" ref="CJ103">_xlfn.LET(_xlpm.CheckBlank,SUM(PL!$AD103:$BN103)=0,IF(_xlpm.CheckBlank,"",SUM(_xlfn.TAKE(_xlfn.DROP(PL!$AD103:$BN103,,-DATEDIFF(PL!CJ$11,val_asOfDate,"M")),1,-12))))</f>
        <v>12</v>
      </c>
      <c r="CK103" s="1461" cm="1">
        <f t="array" ref="CK103">_xlfn.LET(_xlpm.CheckBlank,SUM(PL!$AD103:$BN103)=0,IF(_xlpm.CheckBlank,"",SUM(_xlfn.TAKE(_xlfn.DROP(PL!$AD103:$BN103,,-DATEDIFF(PL!CK$11,val_asOfDate,"M")),1,-12))))</f>
        <v>12</v>
      </c>
      <c r="CL103" s="3"/>
      <c r="CM103" s="763"/>
      <c r="CN103" s="763"/>
      <c r="CO103" s="3"/>
      <c r="CP103" s="763"/>
      <c r="CQ103" s="763"/>
      <c r="CR103" s="34"/>
    </row>
    <row r="104" spans="1:96" ht="21" customHeight="1" outlineLevel="2">
      <c r="A104" s="1322"/>
      <c r="B104" s="2128" t="s">
        <v>1563</v>
      </c>
      <c r="C104" s="2125" t="s">
        <v>1564</v>
      </c>
      <c r="D104" s="577"/>
      <c r="E104" s="1615" t="e" cm="1">
        <f t="array" ca="1" aca="1" ref="E104">_xlfn.LET(_xlpm.Attr,$C104,_xlpm.Lookback,$E$16,_xlpm.QueryDate,EOMONTH(val_asOfDate,_xlpm.Lookback),_xlpm.ReadField,_xldudf_CX_GET(CX_ENTITY,fx_attrConverter($C104),_xlpm.QueryDate),_xlpm.AttrBlank,_xlpm.Attr="",_xlpm.RESULT,IF(_xlpm.AttrBlank,val_blankRefText,fx_attrConverter(_xlpm.ReadField,0)),IF(_xlpm.RESULT="Error","",_xlpm.RESULT))</f>
        <v>#NAME?</v>
      </c>
      <c r="F104" s="577" t="str">
        <f t="shared" si="28"/>
        <v>Custom Metric Amount 3</v>
      </c>
      <c r="G104" s="577" t="s">
        <v>1599</v>
      </c>
      <c r="H104" s="3280">
        <v>1</v>
      </c>
      <c r="I104" s="3280">
        <v>1</v>
      </c>
      <c r="J104" s="401"/>
      <c r="K104" s="401"/>
      <c r="L104" s="581" t="b">
        <v>0</v>
      </c>
      <c r="N104" s="158"/>
      <c r="O104" s="101"/>
      <c r="P104" s="52"/>
      <c r="Q104" s="101"/>
      <c r="R104" s="126"/>
      <c r="S104" s="101"/>
      <c r="T104" s="101"/>
      <c r="U104" s="39"/>
      <c r="W104" s="91" t="str">
        <f>_PL!$W$72</f>
        <v>Budget</v>
      </c>
      <c r="X104" s="2370" t="e" cm="1">
        <f t="array" ca="1" aca="1" ref="X104">_xlfn.LET(_xlpm.toPass,$E104="",_xlpm.hasParts,ISNUMBER(SEARCH("|",$E104)),_xlpm.Part1,INDEX(_xlfn.TEXTSPLIT($E104,"|",,FALSE,1),1),_xlpm.Part1Num,IFERROR(_xlfn.NUMBERVALUE(_xlpm.Part1),_xlpm.Part1),_xlfn.SWITCH(TRUE,_xlpm.toPass,"",_xlpm.hasParts,_xlpm.Part1Num,$E104))</f>
        <v>#NAME?</v>
      </c>
      <c r="Y104" s="590" t="e" cm="1">
        <f t="array" ca="1" aca="1" ref="Y104">_xlfn.LET(_xlpm.PackedString,E104,IF(_xlpm.PackedString="","",IF(ISNUMBER(SEARCH("|",_xlpm.PackedString)),INDEX(_xlfn.TEXTSPLIT(_xlpm.PackedString,"|",,FALSE),2),_xlpm.PackedString)))</f>
        <v>#NAME?</v>
      </c>
      <c r="Z104" s="198" t="e">
        <f t="shared" ca="1" si="29"/>
        <v>#NAME?</v>
      </c>
      <c r="AA104" s="200"/>
      <c r="AB104" s="709" t="e" cm="1">
        <f t="array" ca="1" aca="1" ref="AB104">_xlfn.LET(_xlpm.PackedString,E104,IF(_xlpm.PackedString="","",IF(ISNUMBER(SEARCH("|",_xlpm.PackedString)),INDEX(_xlfn.TEXTSPLIT(_xlpm.PackedString,"|",,FALSE),3),_xlpm.PackedString)))</f>
        <v>#NAME?</v>
      </c>
      <c r="AC104" s="124" t="str" cm="1">
        <f t="array" ca="1" aca="1" ref="AC104">_xlfn.LET(_xlpm.Def,IF(_xlfn.XMATCH(AB104,tbl_acctDef[Term],0)&gt;0,fx_getIcon("find"),""),_xlpm.Adj,IF(_xlfn.XMATCH(AB104,tbl_adjExample[Items],0)&gt;0,fx_getIcon("find"),""),IFERROR(IFBLANK(_xlpm.Def,_xlpm.Adj),""))</f>
        <v/>
      </c>
      <c r="AD104" s="1986" t="e" cm="1">
        <f t="array" ca="1" aca="1" ref="AD104">_xlfn.LET(_xlpm.val,IF($F104="",val_blankRefText,_xldudf_CX_GET(CX_ENTITY,$F104,AD$11,AD$14,,(AD$75))),_xlpm.Res,IF(OR(_xlpm.val="",_xlpm.val="Error"),"",_xlpm.val),_xlpm.Res)</f>
        <v>#NAME?</v>
      </c>
      <c r="AE104" s="1986" t="e" cm="1">
        <f t="array" ca="1" aca="1" ref="AE104">_xlfn.LET(_xlpm.val,IF($F104="",val_blankRefText,_xldudf_CX_GET(CX_ENTITY,$F104,AE$11,AE$14,,(AE$75))),_xlpm.Res,IF(OR(_xlpm.val="",_xlpm.val="Error"),"",_xlpm.val),_xlpm.Res)</f>
        <v>#NAME?</v>
      </c>
      <c r="AF104" s="1986" t="e" cm="1">
        <f t="array" ca="1" aca="1" ref="AF104">_xlfn.LET(_xlpm.val,IF($F104="",val_blankRefText,_xldudf_CX_GET(CX_ENTITY,$F104,AF$11,AF$14,,(AF$75))),_xlpm.Res,IF(OR(_xlpm.val="",_xlpm.val="Error"),"",_xlpm.val),_xlpm.Res)</f>
        <v>#NAME?</v>
      </c>
      <c r="AG104" s="1986" t="e" cm="1">
        <f t="array" ca="1" aca="1" ref="AG104">_xlfn.LET(_xlpm.val,IF($F104="",val_blankRefText,_xldudf_CX_GET(CX_ENTITY,$F104,AG$11,AG$14,,(AG$75))),_xlpm.Res,IF(OR(_xlpm.val="",_xlpm.val="Error"),"",_xlpm.val),_xlpm.Res)</f>
        <v>#NAME?</v>
      </c>
      <c r="AH104" s="1986" t="e" cm="1">
        <f t="array" ca="1" aca="1" ref="AH104">_xlfn.LET(_xlpm.val,IF($F104="",val_blankRefText,_xldudf_CX_GET(CX_ENTITY,$F104,AH$11,AH$14,,(AH$75))),_xlpm.Res,IF(OR(_xlpm.val="",_xlpm.val="Error"),"",_xlpm.val),_xlpm.Res)</f>
        <v>#NAME?</v>
      </c>
      <c r="AI104" s="1986" t="e" cm="1">
        <f t="array" ca="1" aca="1" ref="AI104">_xlfn.LET(_xlpm.val,IF($F104="",val_blankRefText,_xldudf_CX_GET(CX_ENTITY,$F104,AI$11,AI$14,,(AI$75))),_xlpm.Res,IF(OR(_xlpm.val="",_xlpm.val="Error"),"",_xlpm.val),_xlpm.Res)</f>
        <v>#NAME?</v>
      </c>
      <c r="AJ104" s="1986" t="e" cm="1">
        <f t="array" ca="1" aca="1" ref="AJ104">_xlfn.LET(_xlpm.val,IF($F104="",val_blankRefText,_xldudf_CX_GET(CX_ENTITY,$F104,AJ$11,AJ$14,,(AJ$75))),_xlpm.Res,IF(OR(_xlpm.val="",_xlpm.val="Error"),"",_xlpm.val),_xlpm.Res)</f>
        <v>#NAME?</v>
      </c>
      <c r="AK104" s="1986" t="e" cm="1">
        <f t="array" ca="1" aca="1" ref="AK104">_xlfn.LET(_xlpm.val,IF($F104="",val_blankRefText,_xldudf_CX_GET(CX_ENTITY,$F104,AK$11,AK$14,,(AK$75))),_xlpm.Res,IF(OR(_xlpm.val="",_xlpm.val="Error"),"",_xlpm.val),_xlpm.Res)</f>
        <v>#NAME?</v>
      </c>
      <c r="AL104" s="1986" t="e" cm="1">
        <f t="array" ca="1" aca="1" ref="AL104">_xlfn.LET(_xlpm.val,IF($F104="",val_blankRefText,_xldudf_CX_GET(CX_ENTITY,$F104,AL$11,AL$14,,(AL$75))),_xlpm.Res,IF(OR(_xlpm.val="",_xlpm.val="Error"),"",_xlpm.val),_xlpm.Res)</f>
        <v>#NAME?</v>
      </c>
      <c r="AM104" s="1986" t="e" cm="1">
        <f t="array" ca="1" aca="1" ref="AM104">_xlfn.LET(_xlpm.val,IF($F104="",val_blankRefText,_xldudf_CX_GET(CX_ENTITY,$F104,AM$11,AM$14,,(AM$75))),_xlpm.Res,IF(OR(_xlpm.val="",_xlpm.val="Error"),"",_xlpm.val),_xlpm.Res)</f>
        <v>#NAME?</v>
      </c>
      <c r="AN104" s="1986" t="e" cm="1">
        <f t="array" ca="1" aca="1" ref="AN104">_xlfn.LET(_xlpm.val,IF($F104="",val_blankRefText,_xldudf_CX_GET(CX_ENTITY,$F104,AN$11,AN$14,,(AN$75))),_xlpm.Res,IF(OR(_xlpm.val="",_xlpm.val="Error"),"",_xlpm.val),_xlpm.Res)</f>
        <v>#NAME?</v>
      </c>
      <c r="AO104" s="1986" t="e" cm="1">
        <f t="array" ca="1" aca="1" ref="AO104">_xlfn.LET(_xlpm.val,IF($F104="",val_blankRefText,_xldudf_CX_GET(CX_ENTITY,$F104,AO$11,AO$14,,(AO$75))),_xlpm.Res,IF(OR(_xlpm.val="",_xlpm.val="Error"),"",_xlpm.val),_xlpm.Res)</f>
        <v>#NAME?</v>
      </c>
      <c r="AP104" s="1986" t="e" cm="1">
        <f t="array" ca="1" aca="1" ref="AP104">_xlfn.LET(_xlpm.val,IF($F104="",val_blankRefText,_xldudf_CX_GET(CX_ENTITY,$F104,AP$11,AP$14,,(AP$75))),_xlpm.Res,IF(OR(_xlpm.val="",_xlpm.val="Error"),"",_xlpm.val),_xlpm.Res)</f>
        <v>#NAME?</v>
      </c>
      <c r="AQ104" s="1986" t="e" cm="1">
        <f t="array" ca="1" aca="1" ref="AQ104">_xlfn.LET(_xlpm.val,IF($F104="",val_blankRefText,_xldudf_CX_GET(CX_ENTITY,$F104,AQ$11,AQ$14,,(AQ$75))),_xlpm.Res,IF(OR(_xlpm.val="",_xlpm.val="Error"),"",_xlpm.val),_xlpm.Res)</f>
        <v>#NAME?</v>
      </c>
      <c r="AR104" s="1986" t="e" cm="1">
        <f t="array" ca="1" aca="1" ref="AR104">_xlfn.LET(_xlpm.val,IF($F104="",val_blankRefText,_xldudf_CX_GET(CX_ENTITY,$F104,AR$11,AR$14,,(AR$75))),_xlpm.Res,IF(OR(_xlpm.val="",_xlpm.val="Error"),"",_xlpm.val),_xlpm.Res)</f>
        <v>#NAME?</v>
      </c>
      <c r="AS104" s="1986" t="e" cm="1">
        <f t="array" ca="1" aca="1" ref="AS104">_xlfn.LET(_xlpm.val,IF($F104="",val_blankRefText,_xldudf_CX_GET(CX_ENTITY,$F104,AS$11,AS$14,,(AS$75))),_xlpm.Res,IF(OR(_xlpm.val="",_xlpm.val="Error"),"",_xlpm.val),_xlpm.Res)</f>
        <v>#NAME?</v>
      </c>
      <c r="AT104" s="1986" t="e" cm="1">
        <f t="array" ca="1" aca="1" ref="AT104">_xlfn.LET(_xlpm.val,IF($F104="",val_blankRefText,_xldudf_CX_GET(CX_ENTITY,$F104,AT$11,AT$14,,(AT$75))),_xlpm.Res,IF(OR(_xlpm.val="",_xlpm.val="Error"),"",_xlpm.val),_xlpm.Res)</f>
        <v>#NAME?</v>
      </c>
      <c r="AU104" s="1986" t="e" cm="1">
        <f t="array" ca="1" aca="1" ref="AU104">_xlfn.LET(_xlpm.val,IF($F104="",val_blankRefText,_xldudf_CX_GET(CX_ENTITY,$F104,AU$11,AU$14,,(AU$75))),_xlpm.Res,IF(OR(_xlpm.val="",_xlpm.val="Error"),"",_xlpm.val),_xlpm.Res)</f>
        <v>#NAME?</v>
      </c>
      <c r="AV104" s="1986" t="e" cm="1">
        <f t="array" ca="1" aca="1" ref="AV104">_xlfn.LET(_xlpm.val,IF($F104="",val_blankRefText,_xldudf_CX_GET(CX_ENTITY,$F104,AV$11,AV$14,,(AV$75))),_xlpm.Res,IF(OR(_xlpm.val="",_xlpm.val="Error"),"",_xlpm.val),_xlpm.Res)</f>
        <v>#NAME?</v>
      </c>
      <c r="AW104" s="1986" t="e" cm="1">
        <f t="array" ca="1" aca="1" ref="AW104">_xlfn.LET(_xlpm.val,IF($F104="",val_blankRefText,_xldudf_CX_GET(CX_ENTITY,$F104,AW$11,AW$14,,(AW$75))),_xlpm.Res,IF(OR(_xlpm.val="",_xlpm.val="Error"),"",_xlpm.val),_xlpm.Res)</f>
        <v>#NAME?</v>
      </c>
      <c r="AX104" s="1986" t="e" cm="1">
        <f t="array" ca="1" aca="1" ref="AX104">_xlfn.LET(_xlpm.val,IF($F104="",val_blankRefText,_xldudf_CX_GET(CX_ENTITY,$F104,AX$11,AX$14,,(AX$75))),_xlpm.Res,IF(OR(_xlpm.val="",_xlpm.val="Error"),"",_xlpm.val),_xlpm.Res)</f>
        <v>#NAME?</v>
      </c>
      <c r="AY104" s="1986" t="e" cm="1">
        <f t="array" ca="1" aca="1" ref="AY104">_xlfn.LET(_xlpm.val,IF($F104="",val_blankRefText,_xldudf_CX_GET(CX_ENTITY,$F104,AY$11,AY$14,,(AY$75))),_xlpm.Res,IF(OR(_xlpm.val="",_xlpm.val="Error"),"",_xlpm.val),_xlpm.Res)</f>
        <v>#NAME?</v>
      </c>
      <c r="AZ104" s="1986" t="e" cm="1">
        <f t="array" ca="1" aca="1" ref="AZ104">_xlfn.LET(_xlpm.val,IF($F104="",val_blankRefText,_xldudf_CX_GET(CX_ENTITY,$F104,AZ$11,AZ$14,,(AZ$75))),_xlpm.Res,IF(OR(_xlpm.val="",_xlpm.val="Error"),"",_xlpm.val),_xlpm.Res)</f>
        <v>#NAME?</v>
      </c>
      <c r="BA104" s="1986" t="e" cm="1">
        <f t="array" ca="1" aca="1" ref="BA104">_xlfn.LET(_xlpm.val,IF($F104="",val_blankRefText,_xldudf_CX_GET(CX_ENTITY,$F104,BA$11,BA$14,,(BA$75))),_xlpm.Res,IF(OR(_xlpm.val="",_xlpm.val="Error"),"",_xlpm.val),_xlpm.Res)</f>
        <v>#NAME?</v>
      </c>
      <c r="BB104" s="1986" t="e" cm="1">
        <f t="array" ca="1" aca="1" ref="BB104">_xlfn.LET(_xlpm.val,IF($F104="",val_blankRefText,_xldudf_CX_GET(CX_ENTITY,$F104,BB$11,BB$14,,(BB$75))),_xlpm.Res,IF(OR(_xlpm.val="",_xlpm.val="Error"),"",_xlpm.val),_xlpm.Res)</f>
        <v>#NAME?</v>
      </c>
      <c r="BC104" s="1986" t="e" cm="1">
        <f t="array" ca="1" aca="1" ref="BC104">_xlfn.LET(_xlpm.val,IF($F104="",val_blankRefText,_xldudf_CX_GET(CX_ENTITY,$F104,BC$11,BC$14,,(BC$75))),_xlpm.Res,IF(OR(_xlpm.val="",_xlpm.val="Error"),"",_xlpm.val),_xlpm.Res)</f>
        <v>#NAME?</v>
      </c>
      <c r="BD104" s="1986" t="e" cm="1">
        <f t="array" ca="1" aca="1" ref="BD104">_xlfn.LET(_xlpm.val,IF($F104="",val_blankRefText,_xldudf_CX_GET(CX_ENTITY,$F104,BD$11,BD$14,,(BD$75))),_xlpm.Res,IF(OR(_xlpm.val="",_xlpm.val="Error"),"",_xlpm.val),_xlpm.Res)</f>
        <v>#NAME?</v>
      </c>
      <c r="BE104" s="1986" t="e" cm="1">
        <f t="array" ca="1" aca="1" ref="BE104">_xlfn.LET(_xlpm.val,IF($F104="",val_blankRefText,_xldudf_CX_GET(CX_ENTITY,$F104,BE$11,BE$14,,(BE$75))),_xlpm.Res,IF(OR(_xlpm.val="",_xlpm.val="Error"),"",_xlpm.val),_xlpm.Res)</f>
        <v>#NAME?</v>
      </c>
      <c r="BF104" s="1986" t="e" cm="1">
        <f t="array" ca="1" aca="1" ref="BF104">_xlfn.LET(_xlpm.val,IF($F104="",val_blankRefText,_xldudf_CX_GET(CX_ENTITY,$F104,BF$11,BF$14,,(BF$75))),_xlpm.Res,IF(OR(_xlpm.val="",_xlpm.val="Error"),"",_xlpm.val),_xlpm.Res)</f>
        <v>#NAME?</v>
      </c>
      <c r="BG104" s="1986" t="e" cm="1">
        <f t="array" ca="1" aca="1" ref="BG104">_xlfn.LET(_xlpm.val,IF($F104="",val_blankRefText,_xldudf_CX_GET(CX_ENTITY,$F104,BG$11,BG$14,,(BG$75))),_xlpm.Res,IF(OR(_xlpm.val="",_xlpm.val="Error"),"",_xlpm.val),_xlpm.Res)</f>
        <v>#NAME?</v>
      </c>
      <c r="BH104" s="1986" t="e" cm="1">
        <f t="array" ca="1" aca="1" ref="BH104">_xlfn.LET(_xlpm.val,IF($F104="",val_blankRefText,_xldudf_CX_GET(CX_ENTITY,$F104,BH$11,BH$14,,(BH$75))),_xlpm.Res,IF(OR(_xlpm.val="",_xlpm.val="Error"),"",_xlpm.val),_xlpm.Res)</f>
        <v>#NAME?</v>
      </c>
      <c r="BI104" s="1986" t="e" cm="1">
        <f t="array" ca="1" aca="1" ref="BI104">_xlfn.LET(_xlpm.val,IF($F104="",val_blankRefText,_xldudf_CX_GET(CX_ENTITY,$F104,BI$11,BI$14,,(BI$75))),_xlpm.Res,IF(OR(_xlpm.val="",_xlpm.val="Error"),"",_xlpm.val),_xlpm.Res)</f>
        <v>#NAME?</v>
      </c>
      <c r="BJ104" s="1986" t="e" cm="1">
        <f t="array" ca="1" aca="1" ref="BJ104">_xlfn.LET(_xlpm.val,IF($F104="",val_blankRefText,_xldudf_CX_GET(CX_ENTITY,$F104,BJ$11,BJ$14,,(BJ$75))),_xlpm.Res,IF(OR(_xlpm.val="",_xlpm.val="Error"),"",_xlpm.val),_xlpm.Res)</f>
        <v>#NAME?</v>
      </c>
      <c r="BK104" s="1986" t="e" cm="1">
        <f t="array" ca="1" aca="1" ref="BK104">_xlfn.LET(_xlpm.val,IF($F104="",val_blankRefText,_xldudf_CX_GET(CX_ENTITY,$F104,BK$11,BK$14,,(BK$75))),_xlpm.Res,IF(OR(_xlpm.val="",_xlpm.val="Error"),"",_xlpm.val),_xlpm.Res)</f>
        <v>#NAME?</v>
      </c>
      <c r="BL104" s="1986" t="e" cm="1">
        <f t="array" ca="1" aca="1" ref="BL104">_xlfn.LET(_xlpm.val,IF($F104="",val_blankRefText,_xldudf_CX_GET(CX_ENTITY,$F104,BL$11,BL$14,,(BL$75))),_xlpm.Res,IF(OR(_xlpm.val="",_xlpm.val="Error"),"",_xlpm.val),_xlpm.Res)</f>
        <v>#NAME?</v>
      </c>
      <c r="BM104" s="1986" t="e" cm="1">
        <f t="array" ca="1" aca="1" ref="BM104">_xlfn.LET(_xlpm.val,IF($F104="",val_blankRefText,_xldudf_CX_GET(CX_ENTITY,$F104,BM$11,BM$14,,(BM$75))),_xlpm.Res,IF(OR(_xlpm.val="",_xlpm.val="Error"),"",_xlpm.val),_xlpm.Res)</f>
        <v>#NAME?</v>
      </c>
      <c r="BN104" s="1986" t="e" cm="1">
        <f t="array" ca="1" aca="1" ref="BN104">_xlfn.LET(_xlpm.val,IF($F104="",val_blankRefText,_xldudf_CX_GET(CX_ENTITY,$F104,BN$11,BN$14,,(BN$75))),_xlpm.Res,IF(OR(_xlpm.val="",_xlpm.val="Error"),"",_xlpm.val),_xlpm.Res)</f>
        <v>#NAME?</v>
      </c>
      <c r="BO104" s="2104" t="e" cm="1">
        <f t="array" ca="1" aca="1" ref="BO104">_xlfn.LET(_xlpm.val,IF($F104="",val_blankRefText,_xldudf_CX_GET(CX_ENTITY,fx_attrConverter($F104),BO$11,BO$14,,(BO$75))),_xlpm.Res,IF(OR(_xlpm.val="",_xlpm.val="Error"),"",_xlpm.val),_xlpm.Res)</f>
        <v>#NAME?</v>
      </c>
      <c r="BP104" s="2104" t="e" cm="1">
        <f t="array" ca="1" aca="1" ref="BP104">_xlfn.LET(_xlpm.val,IF($F104="",val_blankRefText,_xldudf_CX_GET(CX_ENTITY,fx_attrConverter($F104),BP$11,BP$14,,(BP$75))),_xlpm.Res,IF(OR(_xlpm.val="",_xlpm.val="Error"),"",_xlpm.val),_xlpm.Res)</f>
        <v>#NAME?</v>
      </c>
      <c r="BQ104" s="2104" t="e" cm="1">
        <f t="array" ca="1" aca="1" ref="BQ104">_xlfn.LET(_xlpm.val,IF($F104="",val_blankRefText,_xldudf_CX_GET(CX_ENTITY,fx_attrConverter($F104),BQ$11,BQ$14,,(BQ$75))),_xlpm.Res,IF(OR(_xlpm.val="",_xlpm.val="Error"),"",_xlpm.val),_xlpm.Res)</f>
        <v>#NAME?</v>
      </c>
      <c r="BR104" s="2104" t="e" cm="1">
        <f t="array" ca="1" aca="1" ref="BR104">_xlfn.LET(_xlpm.val,IF($F104="",val_blankRefText,_xldudf_CX_GET(CX_ENTITY,fx_attrConverter($F104),BR$11,BR$14,,(BR$75))),_xlpm.Res,IF(OR(_xlpm.val="",_xlpm.val="Error"),"",_xlpm.val),_xlpm.Res)</f>
        <v>#NAME?</v>
      </c>
      <c r="BS104" s="2104" t="e" cm="1">
        <f t="array" ca="1" aca="1" ref="BS104">_xlfn.LET(_xlpm.val,IF($F104="",val_blankRefText,_xldudf_CX_GET(CX_ENTITY,fx_attrConverter($F104),BS$11,BS$14,,(BS$75))),_xlpm.Res,IF(OR(_xlpm.val="",_xlpm.val="Error"),"",_xlpm.val),_xlpm.Res)</f>
        <v>#NAME?</v>
      </c>
      <c r="BT104" s="2104" t="e" cm="1">
        <f t="array" ca="1" aca="1" ref="BT104">_xlfn.LET(_xlpm.val,IF($F104="",val_blankRefText,_xldudf_CX_GET(CX_ENTITY,fx_attrConverter($F104),BT$11,BT$14,,(BT$75))),_xlpm.Res,IF(OR(_xlpm.val="",_xlpm.val="Error"),"",_xlpm.val),_xlpm.Res)</f>
        <v>#NAME?</v>
      </c>
      <c r="BU104" s="2104" t="e" cm="1">
        <f t="array" ca="1" aca="1" ref="BU104">_xlfn.LET(_xlpm.val,IF($F104="",val_blankRefText,_xldudf_CX_GET(CX_ENTITY,fx_attrConverter($F104),BU$11,BU$14,,(BU$75))),_xlpm.Res,IF(OR(_xlpm.val="",_xlpm.val="Error"),"",_xlpm.val),_xlpm.Res)</f>
        <v>#NAME?</v>
      </c>
      <c r="BV104" s="2104" t="e" cm="1">
        <f t="array" ca="1" aca="1" ref="BV104">_xlfn.LET(_xlpm.val,IF($F104="",val_blankRefText,_xldudf_CX_GET(CX_ENTITY,fx_attrConverter($F104),BV$11,BV$14,,(BV$75))),_xlpm.Res,IF(OR(_xlpm.val="",_xlpm.val="Error"),"",_xlpm.val),_xlpm.Res)</f>
        <v>#NAME?</v>
      </c>
      <c r="BW104" s="2104" t="e" cm="1">
        <f t="array" ca="1" aca="1" ref="BW104">_xlfn.LET(_xlpm.val,IF($F104="",val_blankRefText,_xldudf_CX_GET(CX_ENTITY,fx_attrConverter($F104),BW$11,BW$14,,(BW$75))),_xlpm.Res,IF(OR(_xlpm.val="",_xlpm.val="Error"),"",_xlpm.val),_xlpm.Res)</f>
        <v>#NAME?</v>
      </c>
      <c r="BX104" s="2104" t="e" cm="1">
        <f t="array" ca="1" aca="1" ref="BX104">_xlfn.LET(_xlpm.val,IF($F104="",val_blankRefText,_xldudf_CX_GET(CX_ENTITY,fx_attrConverter($F104),BX$11,BX$14,,(BX$75))),_xlpm.Res,IF(OR(_xlpm.val="",_xlpm.val="Error"),"",_xlpm.val),_xlpm.Res)</f>
        <v>#NAME?</v>
      </c>
      <c r="BY104" s="2104" t="e" cm="1">
        <f t="array" ca="1" aca="1" ref="BY104">_xlfn.LET(_xlpm.val,IF($F104="",val_blankRefText,_xldudf_CX_GET(CX_ENTITY,fx_attrConverter($F104),BY$11,BY$14,,(BY$75))),_xlpm.Res,IF(OR(_xlpm.val="",_xlpm.val="Error"),"",_xlpm.val),_xlpm.Res)</f>
        <v>#NAME?</v>
      </c>
      <c r="BZ104" s="2104" t="e" cm="1">
        <f t="array" ca="1" aca="1" ref="BZ104">_xlfn.LET(_xlpm.val,IF($F104="",val_blankRefText,_xldudf_CX_GET(CX_ENTITY,fx_attrConverter($F104),BZ$11,BZ$14,,(BZ$75))),_xlpm.Res,IF(OR(_xlpm.val="",_xlpm.val="Error"),"",_xlpm.val),_xlpm.Res)</f>
        <v>#NAME?</v>
      </c>
      <c r="CA104" s="34" t="e" cm="1">
        <f t="array" ca="1" aca="1" ref="CA104">_xlfn.LET(_xlpm.val,IF($F104="",val_blankRefText,_xldudf_CX_GET(CX_ENTITY,fx_attrConverter($F104),CA$11,CA$14,,(CA$75))),_xlpm.Res,IF(OR(_xlpm.val="",_xlpm.val="Error"),"",_xlpm.val),_xlpm.Res)</f>
        <v>#NAME?</v>
      </c>
      <c r="CC104" s="33"/>
      <c r="CD104" s="1461" t="e" cm="1">
        <f t="array" ca="1" aca="1" ref="CD104">_xlfn.LET(_xlpm.CheckBlank,SUM(PL!$AD104:$BN104)=0,IF(_xlpm.CheckBlank,"",SUM(_xlfn._xlws.FILTER(PL!$AD104:$BN104,(YEAR(PL!$AD$12:$BN$12)=PL!CD$12)*(array_timeline&lt;=PL!CD$11)))))</f>
        <v>#NAME?</v>
      </c>
      <c r="CE104" s="1461" t="e" cm="1">
        <f t="array" ca="1" aca="1" ref="CE104">_xlfn.LET(_xlpm.CheckBlank,SUM(PL!$AD104:$BN104)=0,IF(_xlpm.CheckBlank,"",SUM(_xlfn._xlws.FILTER(PL!$AD104:$BN104,(YEAR(PL!$AD$12:$BN$12)=PL!CE$12)*(array_timeline&lt;=PL!CE$11)))))</f>
        <v>#NAME?</v>
      </c>
      <c r="CF104" s="88"/>
      <c r="CG104" s="1461" t="e" cm="1">
        <f t="array" ca="1" aca="1" ref="CG104">_xlfn.LET(_xlpm.CheckBlank,SUM(PL!$AD104:$BN104)=0,IF(_xlpm.CheckBlank,"",SUM(_xlfn._xlws.FILTER(PL!$AD104:$BN104,(YEAR(PL!$AD$12:$BN$12)=PL!CG$12)*(array_timeline&lt;=PL!CG$11)))))</f>
        <v>#NAME?</v>
      </c>
      <c r="CH104" s="1461" t="e" cm="1">
        <f t="array" ca="1" aca="1" ref="CH104">_xlfn.LET(_xlpm.CheckBlank,SUM(PL!$AD104:$BN104)=0,IF(_xlpm.CheckBlank,"",SUM(_xlfn._xlws.FILTER(PL!$AD104:$BN104,(YEAR(PL!$AD$12:$BN$12)=PL!CH$12)*(array_timeline&lt;=PL!CH$11)))))</f>
        <v>#NAME?</v>
      </c>
      <c r="CI104" s="88"/>
      <c r="CJ104" s="1461" cm="1">
        <f t="array" ref="CJ104">_xlfn.LET(_xlpm.CheckBlank,SUM(PL!$AD104:$BN104)=0,IF(_xlpm.CheckBlank,"",SUM(_xlfn.TAKE(_xlfn.DROP(PL!$AD104:$BN104,,-DATEDIFF(PL!CJ$11,val_asOfDate,"M")),1,-12))))</f>
        <v>12</v>
      </c>
      <c r="CK104" s="1461" cm="1">
        <f t="array" ref="CK104">_xlfn.LET(_xlpm.CheckBlank,SUM(PL!$AD104:$BN104)=0,IF(_xlpm.CheckBlank,"",SUM(_xlfn.TAKE(_xlfn.DROP(PL!$AD104:$BN104,,-DATEDIFF(PL!CK$11,val_asOfDate,"M")),1,-12))))</f>
        <v>12</v>
      </c>
      <c r="CL104" s="3"/>
      <c r="CM104" s="763"/>
      <c r="CN104" s="763"/>
      <c r="CO104" s="3"/>
      <c r="CP104" s="763"/>
      <c r="CQ104" s="763"/>
      <c r="CR104" s="34"/>
    </row>
    <row r="105" spans="1:96" ht="21" customHeight="1" outlineLevel="2">
      <c r="A105" s="1322"/>
      <c r="B105" s="2128" t="s">
        <v>1565</v>
      </c>
      <c r="C105" s="2125" t="s">
        <v>1566</v>
      </c>
      <c r="D105" s="577"/>
      <c r="E105" s="1615" t="e" cm="1">
        <f t="array" ca="1" aca="1" ref="E105">_xlfn.LET(_xlpm.Attr,$C105,_xlpm.Lookback,$E$16,_xlpm.QueryDate,EOMONTH(val_asOfDate,_xlpm.Lookback),_xlpm.ReadField,_xldudf_CX_GET(CX_ENTITY,fx_attrConverter($C105),_xlpm.QueryDate),_xlpm.AttrBlank,_xlpm.Attr="",_xlpm.RESULT,IF(_xlpm.AttrBlank,val_blankRefText,fx_attrConverter(_xlpm.ReadField,0)),IF(_xlpm.RESULT="Error","",_xlpm.RESULT))</f>
        <v>#NAME?</v>
      </c>
      <c r="F105" s="577" t="str">
        <f t="shared" si="28"/>
        <v>Custom Metric Amount 4</v>
      </c>
      <c r="G105" s="577" t="s">
        <v>1599</v>
      </c>
      <c r="H105" s="3280">
        <v>1</v>
      </c>
      <c r="I105" s="3280">
        <v>1</v>
      </c>
      <c r="J105" s="401"/>
      <c r="K105" s="401"/>
      <c r="L105" s="581" t="b">
        <v>0</v>
      </c>
      <c r="N105" s="158"/>
      <c r="O105" s="101"/>
      <c r="P105" s="52"/>
      <c r="Q105" s="101"/>
      <c r="R105" s="126"/>
      <c r="S105" s="101"/>
      <c r="T105" s="101"/>
      <c r="U105" s="39"/>
      <c r="W105" s="91" t="str">
        <f>_PL!$W$72</f>
        <v>Budget</v>
      </c>
      <c r="X105" s="2370" t="e" cm="1">
        <f t="array" ca="1" aca="1" ref="X105">_xlfn.LET(_xlpm.toPass,$E105="",_xlpm.hasParts,ISNUMBER(SEARCH("|",$E105)),_xlpm.Part1,INDEX(_xlfn.TEXTSPLIT($E105,"|",,FALSE,1),1),_xlpm.Part1Num,IFERROR(_xlfn.NUMBERVALUE(_xlpm.Part1),_xlpm.Part1),_xlfn.SWITCH(TRUE,_xlpm.toPass,"",_xlpm.hasParts,_xlpm.Part1Num,$E105))</f>
        <v>#NAME?</v>
      </c>
      <c r="Y105" s="590" t="e" cm="1">
        <f t="array" ca="1" aca="1" ref="Y105">_xlfn.LET(_xlpm.PackedString,E105,IF(_xlpm.PackedString="","",IF(ISNUMBER(SEARCH("|",_xlpm.PackedString)),INDEX(_xlfn.TEXTSPLIT(_xlpm.PackedString,"|",,FALSE),2),_xlpm.PackedString)))</f>
        <v>#NAME?</v>
      </c>
      <c r="Z105" s="198" t="e">
        <f t="shared" ca="1" si="29"/>
        <v>#NAME?</v>
      </c>
      <c r="AA105" s="200"/>
      <c r="AB105" s="709" t="e" cm="1">
        <f t="array" ca="1" aca="1" ref="AB105">_xlfn.LET(_xlpm.PackedString,E105,IF(_xlpm.PackedString="","",IF(ISNUMBER(SEARCH("|",_xlpm.PackedString)),INDEX(_xlfn.TEXTSPLIT(_xlpm.PackedString,"|",,FALSE),3),_xlpm.PackedString)))</f>
        <v>#NAME?</v>
      </c>
      <c r="AC105" s="124" t="str" cm="1">
        <f t="array" ca="1" aca="1" ref="AC105">_xlfn.LET(_xlpm.Def,IF(_xlfn.XMATCH(AB105,tbl_acctDef[Term],0)&gt;0,fx_getIcon("find"),""),_xlpm.Adj,IF(_xlfn.XMATCH(AB105,tbl_adjExample[Items],0)&gt;0,fx_getIcon("find"),""),IFERROR(IFBLANK(_xlpm.Def,_xlpm.Adj),""))</f>
        <v/>
      </c>
      <c r="AD105" s="1986" t="e" cm="1">
        <f t="array" ca="1" aca="1" ref="AD105">_xlfn.LET(_xlpm.val,IF($F105="",val_blankRefText,_xldudf_CX_GET(CX_ENTITY,$F105,AD$11,AD$14,,(AD$75))),_xlpm.Res,IF(OR(_xlpm.val="",_xlpm.val="Error"),"",_xlpm.val),_xlpm.Res)</f>
        <v>#NAME?</v>
      </c>
      <c r="AE105" s="1986" t="e" cm="1">
        <f t="array" ca="1" aca="1" ref="AE105">_xlfn.LET(_xlpm.val,IF($F105="",val_blankRefText,_xldudf_CX_GET(CX_ENTITY,$F105,AE$11,AE$14,,(AE$75))),_xlpm.Res,IF(OR(_xlpm.val="",_xlpm.val="Error"),"",_xlpm.val),_xlpm.Res)</f>
        <v>#NAME?</v>
      </c>
      <c r="AF105" s="1986" t="e" cm="1">
        <f t="array" ca="1" aca="1" ref="AF105">_xlfn.LET(_xlpm.val,IF($F105="",val_blankRefText,_xldudf_CX_GET(CX_ENTITY,$F105,AF$11,AF$14,,(AF$75))),_xlpm.Res,IF(OR(_xlpm.val="",_xlpm.val="Error"),"",_xlpm.val),_xlpm.Res)</f>
        <v>#NAME?</v>
      </c>
      <c r="AG105" s="1986" t="e" cm="1">
        <f t="array" ca="1" aca="1" ref="AG105">_xlfn.LET(_xlpm.val,IF($F105="",val_blankRefText,_xldudf_CX_GET(CX_ENTITY,$F105,AG$11,AG$14,,(AG$75))),_xlpm.Res,IF(OR(_xlpm.val="",_xlpm.val="Error"),"",_xlpm.val),_xlpm.Res)</f>
        <v>#NAME?</v>
      </c>
      <c r="AH105" s="1986" t="e" cm="1">
        <f t="array" ca="1" aca="1" ref="AH105">_xlfn.LET(_xlpm.val,IF($F105="",val_blankRefText,_xldudf_CX_GET(CX_ENTITY,$F105,AH$11,AH$14,,(AH$75))),_xlpm.Res,IF(OR(_xlpm.val="",_xlpm.val="Error"),"",_xlpm.val),_xlpm.Res)</f>
        <v>#NAME?</v>
      </c>
      <c r="AI105" s="1986" t="e" cm="1">
        <f t="array" ca="1" aca="1" ref="AI105">_xlfn.LET(_xlpm.val,IF($F105="",val_blankRefText,_xldudf_CX_GET(CX_ENTITY,$F105,AI$11,AI$14,,(AI$75))),_xlpm.Res,IF(OR(_xlpm.val="",_xlpm.val="Error"),"",_xlpm.val),_xlpm.Res)</f>
        <v>#NAME?</v>
      </c>
      <c r="AJ105" s="1986" t="e" cm="1">
        <f t="array" ca="1" aca="1" ref="AJ105">_xlfn.LET(_xlpm.val,IF($F105="",val_blankRefText,_xldudf_CX_GET(CX_ENTITY,$F105,AJ$11,AJ$14,,(AJ$75))),_xlpm.Res,IF(OR(_xlpm.val="",_xlpm.val="Error"),"",_xlpm.val),_xlpm.Res)</f>
        <v>#NAME?</v>
      </c>
      <c r="AK105" s="1986" t="e" cm="1">
        <f t="array" ca="1" aca="1" ref="AK105">_xlfn.LET(_xlpm.val,IF($F105="",val_blankRefText,_xldudf_CX_GET(CX_ENTITY,$F105,AK$11,AK$14,,(AK$75))),_xlpm.Res,IF(OR(_xlpm.val="",_xlpm.val="Error"),"",_xlpm.val),_xlpm.Res)</f>
        <v>#NAME?</v>
      </c>
      <c r="AL105" s="1986" t="e" cm="1">
        <f t="array" ca="1" aca="1" ref="AL105">_xlfn.LET(_xlpm.val,IF($F105="",val_blankRefText,_xldudf_CX_GET(CX_ENTITY,$F105,AL$11,AL$14,,(AL$75))),_xlpm.Res,IF(OR(_xlpm.val="",_xlpm.val="Error"),"",_xlpm.val),_xlpm.Res)</f>
        <v>#NAME?</v>
      </c>
      <c r="AM105" s="1986" t="e" cm="1">
        <f t="array" ca="1" aca="1" ref="AM105">_xlfn.LET(_xlpm.val,IF($F105="",val_blankRefText,_xldudf_CX_GET(CX_ENTITY,$F105,AM$11,AM$14,,(AM$75))),_xlpm.Res,IF(OR(_xlpm.val="",_xlpm.val="Error"),"",_xlpm.val),_xlpm.Res)</f>
        <v>#NAME?</v>
      </c>
      <c r="AN105" s="1986" t="e" cm="1">
        <f t="array" ca="1" aca="1" ref="AN105">_xlfn.LET(_xlpm.val,IF($F105="",val_blankRefText,_xldudf_CX_GET(CX_ENTITY,$F105,AN$11,AN$14,,(AN$75))),_xlpm.Res,IF(OR(_xlpm.val="",_xlpm.val="Error"),"",_xlpm.val),_xlpm.Res)</f>
        <v>#NAME?</v>
      </c>
      <c r="AO105" s="1986" t="e" cm="1">
        <f t="array" ca="1" aca="1" ref="AO105">_xlfn.LET(_xlpm.val,IF($F105="",val_blankRefText,_xldudf_CX_GET(CX_ENTITY,$F105,AO$11,AO$14,,(AO$75))),_xlpm.Res,IF(OR(_xlpm.val="",_xlpm.val="Error"),"",_xlpm.val),_xlpm.Res)</f>
        <v>#NAME?</v>
      </c>
      <c r="AP105" s="1986" t="e" cm="1">
        <f t="array" ca="1" aca="1" ref="AP105">_xlfn.LET(_xlpm.val,IF($F105="",val_blankRefText,_xldudf_CX_GET(CX_ENTITY,$F105,AP$11,AP$14,,(AP$75))),_xlpm.Res,IF(OR(_xlpm.val="",_xlpm.val="Error"),"",_xlpm.val),_xlpm.Res)</f>
        <v>#NAME?</v>
      </c>
      <c r="AQ105" s="1986" t="e" cm="1">
        <f t="array" ca="1" aca="1" ref="AQ105">_xlfn.LET(_xlpm.val,IF($F105="",val_blankRefText,_xldudf_CX_GET(CX_ENTITY,$F105,AQ$11,AQ$14,,(AQ$75))),_xlpm.Res,IF(OR(_xlpm.val="",_xlpm.val="Error"),"",_xlpm.val),_xlpm.Res)</f>
        <v>#NAME?</v>
      </c>
      <c r="AR105" s="1986" t="e" cm="1">
        <f t="array" ca="1" aca="1" ref="AR105">_xlfn.LET(_xlpm.val,IF($F105="",val_blankRefText,_xldudf_CX_GET(CX_ENTITY,$F105,AR$11,AR$14,,(AR$75))),_xlpm.Res,IF(OR(_xlpm.val="",_xlpm.val="Error"),"",_xlpm.val),_xlpm.Res)</f>
        <v>#NAME?</v>
      </c>
      <c r="AS105" s="1986" t="e" cm="1">
        <f t="array" ca="1" aca="1" ref="AS105">_xlfn.LET(_xlpm.val,IF($F105="",val_blankRefText,_xldudf_CX_GET(CX_ENTITY,$F105,AS$11,AS$14,,(AS$75))),_xlpm.Res,IF(OR(_xlpm.val="",_xlpm.val="Error"),"",_xlpm.val),_xlpm.Res)</f>
        <v>#NAME?</v>
      </c>
      <c r="AT105" s="1986" t="e" cm="1">
        <f t="array" ca="1" aca="1" ref="AT105">_xlfn.LET(_xlpm.val,IF($F105="",val_blankRefText,_xldudf_CX_GET(CX_ENTITY,$F105,AT$11,AT$14,,(AT$75))),_xlpm.Res,IF(OR(_xlpm.val="",_xlpm.val="Error"),"",_xlpm.val),_xlpm.Res)</f>
        <v>#NAME?</v>
      </c>
      <c r="AU105" s="1986" t="e" cm="1">
        <f t="array" ca="1" aca="1" ref="AU105">_xlfn.LET(_xlpm.val,IF($F105="",val_blankRefText,_xldudf_CX_GET(CX_ENTITY,$F105,AU$11,AU$14,,(AU$75))),_xlpm.Res,IF(OR(_xlpm.val="",_xlpm.val="Error"),"",_xlpm.val),_xlpm.Res)</f>
        <v>#NAME?</v>
      </c>
      <c r="AV105" s="1986" t="e" cm="1">
        <f t="array" ca="1" aca="1" ref="AV105">_xlfn.LET(_xlpm.val,IF($F105="",val_blankRefText,_xldudf_CX_GET(CX_ENTITY,$F105,AV$11,AV$14,,(AV$75))),_xlpm.Res,IF(OR(_xlpm.val="",_xlpm.val="Error"),"",_xlpm.val),_xlpm.Res)</f>
        <v>#NAME?</v>
      </c>
      <c r="AW105" s="1986" t="e" cm="1">
        <f t="array" ca="1" aca="1" ref="AW105">_xlfn.LET(_xlpm.val,IF($F105="",val_blankRefText,_xldudf_CX_GET(CX_ENTITY,$F105,AW$11,AW$14,,(AW$75))),_xlpm.Res,IF(OR(_xlpm.val="",_xlpm.val="Error"),"",_xlpm.val),_xlpm.Res)</f>
        <v>#NAME?</v>
      </c>
      <c r="AX105" s="1986" t="e" cm="1">
        <f t="array" ca="1" aca="1" ref="AX105">_xlfn.LET(_xlpm.val,IF($F105="",val_blankRefText,_xldudf_CX_GET(CX_ENTITY,$F105,AX$11,AX$14,,(AX$75))),_xlpm.Res,IF(OR(_xlpm.val="",_xlpm.val="Error"),"",_xlpm.val),_xlpm.Res)</f>
        <v>#NAME?</v>
      </c>
      <c r="AY105" s="1986" t="e" cm="1">
        <f t="array" ca="1" aca="1" ref="AY105">_xlfn.LET(_xlpm.val,IF($F105="",val_blankRefText,_xldudf_CX_GET(CX_ENTITY,$F105,AY$11,AY$14,,(AY$75))),_xlpm.Res,IF(OR(_xlpm.val="",_xlpm.val="Error"),"",_xlpm.val),_xlpm.Res)</f>
        <v>#NAME?</v>
      </c>
      <c r="AZ105" s="1986" t="e" cm="1">
        <f t="array" ca="1" aca="1" ref="AZ105">_xlfn.LET(_xlpm.val,IF($F105="",val_blankRefText,_xldudf_CX_GET(CX_ENTITY,$F105,AZ$11,AZ$14,,(AZ$75))),_xlpm.Res,IF(OR(_xlpm.val="",_xlpm.val="Error"),"",_xlpm.val),_xlpm.Res)</f>
        <v>#NAME?</v>
      </c>
      <c r="BA105" s="1986" t="e" cm="1">
        <f t="array" ca="1" aca="1" ref="BA105">_xlfn.LET(_xlpm.val,IF($F105="",val_blankRefText,_xldudf_CX_GET(CX_ENTITY,$F105,BA$11,BA$14,,(BA$75))),_xlpm.Res,IF(OR(_xlpm.val="",_xlpm.val="Error"),"",_xlpm.val),_xlpm.Res)</f>
        <v>#NAME?</v>
      </c>
      <c r="BB105" s="1986" t="e" cm="1">
        <f t="array" ca="1" aca="1" ref="BB105">_xlfn.LET(_xlpm.val,IF($F105="",val_blankRefText,_xldudf_CX_GET(CX_ENTITY,$F105,BB$11,BB$14,,(BB$75))),_xlpm.Res,IF(OR(_xlpm.val="",_xlpm.val="Error"),"",_xlpm.val),_xlpm.Res)</f>
        <v>#NAME?</v>
      </c>
      <c r="BC105" s="1986" t="e" cm="1">
        <f t="array" ca="1" aca="1" ref="BC105">_xlfn.LET(_xlpm.val,IF($F105="",val_blankRefText,_xldudf_CX_GET(CX_ENTITY,$F105,BC$11,BC$14,,(BC$75))),_xlpm.Res,IF(OR(_xlpm.val="",_xlpm.val="Error"),"",_xlpm.val),_xlpm.Res)</f>
        <v>#NAME?</v>
      </c>
      <c r="BD105" s="1986" t="e" cm="1">
        <f t="array" ca="1" aca="1" ref="BD105">_xlfn.LET(_xlpm.val,IF($F105="",val_blankRefText,_xldudf_CX_GET(CX_ENTITY,$F105,BD$11,BD$14,,(BD$75))),_xlpm.Res,IF(OR(_xlpm.val="",_xlpm.val="Error"),"",_xlpm.val),_xlpm.Res)</f>
        <v>#NAME?</v>
      </c>
      <c r="BE105" s="1986" t="e" cm="1">
        <f t="array" ca="1" aca="1" ref="BE105">_xlfn.LET(_xlpm.val,IF($F105="",val_blankRefText,_xldudf_CX_GET(CX_ENTITY,$F105,BE$11,BE$14,,(BE$75))),_xlpm.Res,IF(OR(_xlpm.val="",_xlpm.val="Error"),"",_xlpm.val),_xlpm.Res)</f>
        <v>#NAME?</v>
      </c>
      <c r="BF105" s="1986" t="e" cm="1">
        <f t="array" ca="1" aca="1" ref="BF105">_xlfn.LET(_xlpm.val,IF($F105="",val_blankRefText,_xldudf_CX_GET(CX_ENTITY,$F105,BF$11,BF$14,,(BF$75))),_xlpm.Res,IF(OR(_xlpm.val="",_xlpm.val="Error"),"",_xlpm.val),_xlpm.Res)</f>
        <v>#NAME?</v>
      </c>
      <c r="BG105" s="1986" t="e" cm="1">
        <f t="array" ca="1" aca="1" ref="BG105">_xlfn.LET(_xlpm.val,IF($F105="",val_blankRefText,_xldudf_CX_GET(CX_ENTITY,$F105,BG$11,BG$14,,(BG$75))),_xlpm.Res,IF(OR(_xlpm.val="",_xlpm.val="Error"),"",_xlpm.val),_xlpm.Res)</f>
        <v>#NAME?</v>
      </c>
      <c r="BH105" s="1986" t="e" cm="1">
        <f t="array" ca="1" aca="1" ref="BH105">_xlfn.LET(_xlpm.val,IF($F105="",val_blankRefText,_xldudf_CX_GET(CX_ENTITY,$F105,BH$11,BH$14,,(BH$75))),_xlpm.Res,IF(OR(_xlpm.val="",_xlpm.val="Error"),"",_xlpm.val),_xlpm.Res)</f>
        <v>#NAME?</v>
      </c>
      <c r="BI105" s="1986" t="e" cm="1">
        <f t="array" ca="1" aca="1" ref="BI105">_xlfn.LET(_xlpm.val,IF($F105="",val_blankRefText,_xldudf_CX_GET(CX_ENTITY,$F105,BI$11,BI$14,,(BI$75))),_xlpm.Res,IF(OR(_xlpm.val="",_xlpm.val="Error"),"",_xlpm.val),_xlpm.Res)</f>
        <v>#NAME?</v>
      </c>
      <c r="BJ105" s="1986" t="e" cm="1">
        <f t="array" ca="1" aca="1" ref="BJ105">_xlfn.LET(_xlpm.val,IF($F105="",val_blankRefText,_xldudf_CX_GET(CX_ENTITY,$F105,BJ$11,BJ$14,,(BJ$75))),_xlpm.Res,IF(OR(_xlpm.val="",_xlpm.val="Error"),"",_xlpm.val),_xlpm.Res)</f>
        <v>#NAME?</v>
      </c>
      <c r="BK105" s="1986" t="e" cm="1">
        <f t="array" ca="1" aca="1" ref="BK105">_xlfn.LET(_xlpm.val,IF($F105="",val_blankRefText,_xldudf_CX_GET(CX_ENTITY,$F105,BK$11,BK$14,,(BK$75))),_xlpm.Res,IF(OR(_xlpm.val="",_xlpm.val="Error"),"",_xlpm.val),_xlpm.Res)</f>
        <v>#NAME?</v>
      </c>
      <c r="BL105" s="1986" t="e" cm="1">
        <f t="array" ca="1" aca="1" ref="BL105">_xlfn.LET(_xlpm.val,IF($F105="",val_blankRefText,_xldudf_CX_GET(CX_ENTITY,$F105,BL$11,BL$14,,(BL$75))),_xlpm.Res,IF(OR(_xlpm.val="",_xlpm.val="Error"),"",_xlpm.val),_xlpm.Res)</f>
        <v>#NAME?</v>
      </c>
      <c r="BM105" s="1986" t="e" cm="1">
        <f t="array" ca="1" aca="1" ref="BM105">_xlfn.LET(_xlpm.val,IF($F105="",val_blankRefText,_xldudf_CX_GET(CX_ENTITY,$F105,BM$11,BM$14,,(BM$75))),_xlpm.Res,IF(OR(_xlpm.val="",_xlpm.val="Error"),"",_xlpm.val),_xlpm.Res)</f>
        <v>#NAME?</v>
      </c>
      <c r="BN105" s="1986" t="e" cm="1">
        <f t="array" ca="1" aca="1" ref="BN105">_xlfn.LET(_xlpm.val,IF($F105="",val_blankRefText,_xldudf_CX_GET(CX_ENTITY,$F105,BN$11,BN$14,,(BN$75))),_xlpm.Res,IF(OR(_xlpm.val="",_xlpm.val="Error"),"",_xlpm.val),_xlpm.Res)</f>
        <v>#NAME?</v>
      </c>
      <c r="BO105" s="2104" t="e" cm="1">
        <f t="array" ca="1" aca="1" ref="BO105">_xlfn.LET(_xlpm.val,IF($F105="",val_blankRefText,_xldudf_CX_GET(CX_ENTITY,fx_attrConverter($F105),BO$11,BO$14,,(BO$75))),_xlpm.Res,IF(OR(_xlpm.val="",_xlpm.val="Error"),"",_xlpm.val),_xlpm.Res)</f>
        <v>#NAME?</v>
      </c>
      <c r="BP105" s="2104" t="e" cm="1">
        <f t="array" ca="1" aca="1" ref="BP105">_xlfn.LET(_xlpm.val,IF($F105="",val_blankRefText,_xldudf_CX_GET(CX_ENTITY,fx_attrConverter($F105),BP$11,BP$14,,(BP$75))),_xlpm.Res,IF(OR(_xlpm.val="",_xlpm.val="Error"),"",_xlpm.val),_xlpm.Res)</f>
        <v>#NAME?</v>
      </c>
      <c r="BQ105" s="2104" t="e" cm="1">
        <f t="array" ca="1" aca="1" ref="BQ105">_xlfn.LET(_xlpm.val,IF($F105="",val_blankRefText,_xldudf_CX_GET(CX_ENTITY,fx_attrConverter($F105),BQ$11,BQ$14,,(BQ$75))),_xlpm.Res,IF(OR(_xlpm.val="",_xlpm.val="Error"),"",_xlpm.val),_xlpm.Res)</f>
        <v>#NAME?</v>
      </c>
      <c r="BR105" s="2104" t="e" cm="1">
        <f t="array" ca="1" aca="1" ref="BR105">_xlfn.LET(_xlpm.val,IF($F105="",val_blankRefText,_xldudf_CX_GET(CX_ENTITY,fx_attrConverter($F105),BR$11,BR$14,,(BR$75))),_xlpm.Res,IF(OR(_xlpm.val="",_xlpm.val="Error"),"",_xlpm.val),_xlpm.Res)</f>
        <v>#NAME?</v>
      </c>
      <c r="BS105" s="2104" t="e" cm="1">
        <f t="array" ca="1" aca="1" ref="BS105">_xlfn.LET(_xlpm.val,IF($F105="",val_blankRefText,_xldudf_CX_GET(CX_ENTITY,fx_attrConverter($F105),BS$11,BS$14,,(BS$75))),_xlpm.Res,IF(OR(_xlpm.val="",_xlpm.val="Error"),"",_xlpm.val),_xlpm.Res)</f>
        <v>#NAME?</v>
      </c>
      <c r="BT105" s="2104" t="e" cm="1">
        <f t="array" ca="1" aca="1" ref="BT105">_xlfn.LET(_xlpm.val,IF($F105="",val_blankRefText,_xldudf_CX_GET(CX_ENTITY,fx_attrConverter($F105),BT$11,BT$14,,(BT$75))),_xlpm.Res,IF(OR(_xlpm.val="",_xlpm.val="Error"),"",_xlpm.val),_xlpm.Res)</f>
        <v>#NAME?</v>
      </c>
      <c r="BU105" s="2104" t="e" cm="1">
        <f t="array" ca="1" aca="1" ref="BU105">_xlfn.LET(_xlpm.val,IF($F105="",val_blankRefText,_xldudf_CX_GET(CX_ENTITY,fx_attrConverter($F105),BU$11,BU$14,,(BU$75))),_xlpm.Res,IF(OR(_xlpm.val="",_xlpm.val="Error"),"",_xlpm.val),_xlpm.Res)</f>
        <v>#NAME?</v>
      </c>
      <c r="BV105" s="2104" t="e" cm="1">
        <f t="array" ca="1" aca="1" ref="BV105">_xlfn.LET(_xlpm.val,IF($F105="",val_blankRefText,_xldudf_CX_GET(CX_ENTITY,fx_attrConverter($F105),BV$11,BV$14,,(BV$75))),_xlpm.Res,IF(OR(_xlpm.val="",_xlpm.val="Error"),"",_xlpm.val),_xlpm.Res)</f>
        <v>#NAME?</v>
      </c>
      <c r="BW105" s="2104" t="e" cm="1">
        <f t="array" ca="1" aca="1" ref="BW105">_xlfn.LET(_xlpm.val,IF($F105="",val_blankRefText,_xldudf_CX_GET(CX_ENTITY,fx_attrConverter($F105),BW$11,BW$14,,(BW$75))),_xlpm.Res,IF(OR(_xlpm.val="",_xlpm.val="Error"),"",_xlpm.val),_xlpm.Res)</f>
        <v>#NAME?</v>
      </c>
      <c r="BX105" s="2104" t="e" cm="1">
        <f t="array" ca="1" aca="1" ref="BX105">_xlfn.LET(_xlpm.val,IF($F105="",val_blankRefText,_xldudf_CX_GET(CX_ENTITY,fx_attrConverter($F105),BX$11,BX$14,,(BX$75))),_xlpm.Res,IF(OR(_xlpm.val="",_xlpm.val="Error"),"",_xlpm.val),_xlpm.Res)</f>
        <v>#NAME?</v>
      </c>
      <c r="BY105" s="2104" t="e" cm="1">
        <f t="array" ca="1" aca="1" ref="BY105">_xlfn.LET(_xlpm.val,IF($F105="",val_blankRefText,_xldudf_CX_GET(CX_ENTITY,fx_attrConverter($F105),BY$11,BY$14,,(BY$75))),_xlpm.Res,IF(OR(_xlpm.val="",_xlpm.val="Error"),"",_xlpm.val),_xlpm.Res)</f>
        <v>#NAME?</v>
      </c>
      <c r="BZ105" s="2104" t="e" cm="1">
        <f t="array" ca="1" aca="1" ref="BZ105">_xlfn.LET(_xlpm.val,IF($F105="",val_blankRefText,_xldudf_CX_GET(CX_ENTITY,fx_attrConverter($F105),BZ$11,BZ$14,,(BZ$75))),_xlpm.Res,IF(OR(_xlpm.val="",_xlpm.val="Error"),"",_xlpm.val),_xlpm.Res)</f>
        <v>#NAME?</v>
      </c>
      <c r="CA105" s="34" t="e" cm="1">
        <f t="array" ca="1" aca="1" ref="CA105">_xlfn.LET(_xlpm.val,IF($F105="",val_blankRefText,_xldudf_CX_GET(CX_ENTITY,fx_attrConverter($F105),CA$11,CA$14,,(CA$75))),_xlpm.Res,IF(OR(_xlpm.val="",_xlpm.val="Error"),"",_xlpm.val),_xlpm.Res)</f>
        <v>#NAME?</v>
      </c>
      <c r="CC105" s="33"/>
      <c r="CD105" s="1461" t="e" cm="1">
        <f t="array" ca="1" aca="1" ref="CD105">_xlfn.LET(_xlpm.CheckBlank,SUM(PL!$AD105:$BN105)=0,IF(_xlpm.CheckBlank,"",SUM(_xlfn._xlws.FILTER(PL!$AD105:$BN105,(YEAR(PL!$AD$12:$BN$12)=PL!CD$12)*(array_timeline&lt;=PL!CD$11)))))</f>
        <v>#NAME?</v>
      </c>
      <c r="CE105" s="1461" t="e" cm="1">
        <f t="array" ca="1" aca="1" ref="CE105">_xlfn.LET(_xlpm.CheckBlank,SUM(PL!$AD105:$BN105)=0,IF(_xlpm.CheckBlank,"",SUM(_xlfn._xlws.FILTER(PL!$AD105:$BN105,(YEAR(PL!$AD$12:$BN$12)=PL!CE$12)*(array_timeline&lt;=PL!CE$11)))))</f>
        <v>#NAME?</v>
      </c>
      <c r="CF105" s="88"/>
      <c r="CG105" s="1461" t="e" cm="1">
        <f t="array" ca="1" aca="1" ref="CG105">_xlfn.LET(_xlpm.CheckBlank,SUM(PL!$AD105:$BN105)=0,IF(_xlpm.CheckBlank,"",SUM(_xlfn._xlws.FILTER(PL!$AD105:$BN105,(YEAR(PL!$AD$12:$BN$12)=PL!CG$12)*(array_timeline&lt;=PL!CG$11)))))</f>
        <v>#NAME?</v>
      </c>
      <c r="CH105" s="1461" t="e" cm="1">
        <f t="array" ca="1" aca="1" ref="CH105">_xlfn.LET(_xlpm.CheckBlank,SUM(PL!$AD105:$BN105)=0,IF(_xlpm.CheckBlank,"",SUM(_xlfn._xlws.FILTER(PL!$AD105:$BN105,(YEAR(PL!$AD$12:$BN$12)=PL!CH$12)*(array_timeline&lt;=PL!CH$11)))))</f>
        <v>#NAME?</v>
      </c>
      <c r="CI105" s="88"/>
      <c r="CJ105" s="1461" cm="1">
        <f t="array" ref="CJ105">_xlfn.LET(_xlpm.CheckBlank,SUM(PL!$AD105:$BN105)=0,IF(_xlpm.CheckBlank,"",SUM(_xlfn.TAKE(_xlfn.DROP(PL!$AD105:$BN105,,-DATEDIFF(PL!CJ$11,val_asOfDate,"M")),1,-12))))</f>
        <v>12</v>
      </c>
      <c r="CK105" s="1461" cm="1">
        <f t="array" ref="CK105">_xlfn.LET(_xlpm.CheckBlank,SUM(PL!$AD105:$BN105)=0,IF(_xlpm.CheckBlank,"",SUM(_xlfn.TAKE(_xlfn.DROP(PL!$AD105:$BN105,,-DATEDIFF(PL!CK$11,val_asOfDate,"M")),1,-12))))</f>
        <v>12</v>
      </c>
      <c r="CL105" s="3"/>
      <c r="CM105" s="763"/>
      <c r="CN105" s="763"/>
      <c r="CO105" s="3"/>
      <c r="CP105" s="763"/>
      <c r="CQ105" s="763"/>
      <c r="CR105" s="34"/>
    </row>
    <row r="106" spans="1:96" ht="21" customHeight="1" outlineLevel="2">
      <c r="A106" s="1322"/>
      <c r="B106" s="2128" t="s">
        <v>1567</v>
      </c>
      <c r="C106" s="2125" t="s">
        <v>1568</v>
      </c>
      <c r="D106" s="577"/>
      <c r="E106" s="1615" t="e" cm="1">
        <f t="array" ca="1" aca="1" ref="E106">_xlfn.LET(_xlpm.Attr,$C106,_xlpm.Lookback,$E$16,_xlpm.QueryDate,EOMONTH(val_asOfDate,_xlpm.Lookback),_xlpm.ReadField,_xldudf_CX_GET(CX_ENTITY,fx_attrConverter($C106),_xlpm.QueryDate),_xlpm.AttrBlank,_xlpm.Attr="",_xlpm.RESULT,IF(_xlpm.AttrBlank,val_blankRefText,fx_attrConverter(_xlpm.ReadField,0)),IF(_xlpm.RESULT="Error","",_xlpm.RESULT))</f>
        <v>#NAME?</v>
      </c>
      <c r="F106" s="577" t="str">
        <f t="shared" si="28"/>
        <v>Custom Metric Amount 5</v>
      </c>
      <c r="G106" s="577" t="s">
        <v>1599</v>
      </c>
      <c r="H106" s="401"/>
      <c r="I106" s="401"/>
      <c r="J106" s="401"/>
      <c r="K106" s="401"/>
      <c r="L106" s="581" t="b">
        <v>0</v>
      </c>
      <c r="N106" s="158"/>
      <c r="O106" s="101"/>
      <c r="P106" s="52"/>
      <c r="Q106" s="101"/>
      <c r="R106" s="126"/>
      <c r="S106" s="101"/>
      <c r="T106" s="101"/>
      <c r="U106" s="39"/>
      <c r="W106" s="91" t="str">
        <f>_PL!$W$72</f>
        <v>Budget</v>
      </c>
      <c r="X106" s="2370" t="e" cm="1">
        <f t="array" ca="1" aca="1" ref="X106">_xlfn.LET(_xlpm.toPass,$E106="",_xlpm.hasParts,ISNUMBER(SEARCH("|",$E106)),_xlpm.Part1,INDEX(_xlfn.TEXTSPLIT($E106,"|",,FALSE,1),1),_xlpm.Part1Num,IFERROR(_xlfn.NUMBERVALUE(_xlpm.Part1),_xlpm.Part1),_xlfn.SWITCH(TRUE,_xlpm.toPass,"",_xlpm.hasParts,_xlpm.Part1Num,$E106))</f>
        <v>#NAME?</v>
      </c>
      <c r="Y106" s="590" t="e" cm="1">
        <f t="array" ca="1" aca="1" ref="Y106">_xlfn.LET(_xlpm.PackedString,E106,IF(_xlpm.PackedString="","",IF(ISNUMBER(SEARCH("|",_xlpm.PackedString)),INDEX(_xlfn.TEXTSPLIT(_xlpm.PackedString,"|",,FALSE),2),_xlpm.PackedString)))</f>
        <v>#NAME?</v>
      </c>
      <c r="Z106" s="198" t="e">
        <f t="shared" ca="1" si="29"/>
        <v>#NAME?</v>
      </c>
      <c r="AA106" s="200"/>
      <c r="AB106" s="709" t="e" cm="1">
        <f t="array" ca="1" aca="1" ref="AB106">_xlfn.LET(_xlpm.PackedString,E106,IF(_xlpm.PackedString="","",IF(ISNUMBER(SEARCH("|",_xlpm.PackedString)),INDEX(_xlfn.TEXTSPLIT(_xlpm.PackedString,"|",,FALSE),3),_xlpm.PackedString)))</f>
        <v>#NAME?</v>
      </c>
      <c r="AC106" s="124"/>
      <c r="AD106" s="1986" t="e" cm="1">
        <f t="array" ca="1" aca="1" ref="AD106">_xlfn.LET(_xlpm.val,IF($F106="",val_blankRefText,_xldudf_CX_GET(CX_ENTITY,$F106,AD$11,AD$14,,(AD$75))),_xlpm.Res,IF(OR(_xlpm.val="",_xlpm.val="Error"),"",_xlpm.val),_xlpm.Res)</f>
        <v>#NAME?</v>
      </c>
      <c r="AE106" s="1986" t="e" cm="1">
        <f t="array" ca="1" aca="1" ref="AE106">_xlfn.LET(_xlpm.val,IF($F106="",val_blankRefText,_xldudf_CX_GET(CX_ENTITY,$F106,AE$11,AE$14,,(AE$75))),_xlpm.Res,IF(OR(_xlpm.val="",_xlpm.val="Error"),"",_xlpm.val),_xlpm.Res)</f>
        <v>#NAME?</v>
      </c>
      <c r="AF106" s="1986" t="e" cm="1">
        <f t="array" ca="1" aca="1" ref="AF106">_xlfn.LET(_xlpm.val,IF($F106="",val_blankRefText,_xldudf_CX_GET(CX_ENTITY,$F106,AF$11,AF$14,,(AF$75))),_xlpm.Res,IF(OR(_xlpm.val="",_xlpm.val="Error"),"",_xlpm.val),_xlpm.Res)</f>
        <v>#NAME?</v>
      </c>
      <c r="AG106" s="1986" t="e" cm="1">
        <f t="array" ca="1" aca="1" ref="AG106">_xlfn.LET(_xlpm.val,IF($F106="",val_blankRefText,_xldudf_CX_GET(CX_ENTITY,$F106,AG$11,AG$14,,(AG$75))),_xlpm.Res,IF(OR(_xlpm.val="",_xlpm.val="Error"),"",_xlpm.val),_xlpm.Res)</f>
        <v>#NAME?</v>
      </c>
      <c r="AH106" s="1986" t="e" cm="1">
        <f t="array" ca="1" aca="1" ref="AH106">_xlfn.LET(_xlpm.val,IF($F106="",val_blankRefText,_xldudf_CX_GET(CX_ENTITY,$F106,AH$11,AH$14,,(AH$75))),_xlpm.Res,IF(OR(_xlpm.val="",_xlpm.val="Error"),"",_xlpm.val),_xlpm.Res)</f>
        <v>#NAME?</v>
      </c>
      <c r="AI106" s="1986" t="e" cm="1">
        <f t="array" ca="1" aca="1" ref="AI106">_xlfn.LET(_xlpm.val,IF($F106="",val_blankRefText,_xldudf_CX_GET(CX_ENTITY,$F106,AI$11,AI$14,,(AI$75))),_xlpm.Res,IF(OR(_xlpm.val="",_xlpm.val="Error"),"",_xlpm.val),_xlpm.Res)</f>
        <v>#NAME?</v>
      </c>
      <c r="AJ106" s="1986" t="e" cm="1">
        <f t="array" ca="1" aca="1" ref="AJ106">_xlfn.LET(_xlpm.val,IF($F106="",val_blankRefText,_xldudf_CX_GET(CX_ENTITY,$F106,AJ$11,AJ$14,,(AJ$75))),_xlpm.Res,IF(OR(_xlpm.val="",_xlpm.val="Error"),"",_xlpm.val),_xlpm.Res)</f>
        <v>#NAME?</v>
      </c>
      <c r="AK106" s="1986" t="e" cm="1">
        <f t="array" ca="1" aca="1" ref="AK106">_xlfn.LET(_xlpm.val,IF($F106="",val_blankRefText,_xldudf_CX_GET(CX_ENTITY,$F106,AK$11,AK$14,,(AK$75))),_xlpm.Res,IF(OR(_xlpm.val="",_xlpm.val="Error"),"",_xlpm.val),_xlpm.Res)</f>
        <v>#NAME?</v>
      </c>
      <c r="AL106" s="1986" t="e" cm="1">
        <f t="array" ca="1" aca="1" ref="AL106">_xlfn.LET(_xlpm.val,IF($F106="",val_blankRefText,_xldudf_CX_GET(CX_ENTITY,$F106,AL$11,AL$14,,(AL$75))),_xlpm.Res,IF(OR(_xlpm.val="",_xlpm.val="Error"),"",_xlpm.val),_xlpm.Res)</f>
        <v>#NAME?</v>
      </c>
      <c r="AM106" s="1986" t="e" cm="1">
        <f t="array" ca="1" aca="1" ref="AM106">_xlfn.LET(_xlpm.val,IF($F106="",val_blankRefText,_xldudf_CX_GET(CX_ENTITY,$F106,AM$11,AM$14,,(AM$75))),_xlpm.Res,IF(OR(_xlpm.val="",_xlpm.val="Error"),"",_xlpm.val),_xlpm.Res)</f>
        <v>#NAME?</v>
      </c>
      <c r="AN106" s="1986" t="e" cm="1">
        <f t="array" ca="1" aca="1" ref="AN106">_xlfn.LET(_xlpm.val,IF($F106="",val_blankRefText,_xldudf_CX_GET(CX_ENTITY,$F106,AN$11,AN$14,,(AN$75))),_xlpm.Res,IF(OR(_xlpm.val="",_xlpm.val="Error"),"",_xlpm.val),_xlpm.Res)</f>
        <v>#NAME?</v>
      </c>
      <c r="AO106" s="1986" t="e" cm="1">
        <f t="array" ca="1" aca="1" ref="AO106">_xlfn.LET(_xlpm.val,IF($F106="",val_blankRefText,_xldudf_CX_GET(CX_ENTITY,$F106,AO$11,AO$14,,(AO$75))),_xlpm.Res,IF(OR(_xlpm.val="",_xlpm.val="Error"),"",_xlpm.val),_xlpm.Res)</f>
        <v>#NAME?</v>
      </c>
      <c r="AP106" s="1986" t="e" cm="1">
        <f t="array" ca="1" aca="1" ref="AP106">_xlfn.LET(_xlpm.val,IF($F106="",val_blankRefText,_xldudf_CX_GET(CX_ENTITY,$F106,AP$11,AP$14,,(AP$75))),_xlpm.Res,IF(OR(_xlpm.val="",_xlpm.val="Error"),"",_xlpm.val),_xlpm.Res)</f>
        <v>#NAME?</v>
      </c>
      <c r="AQ106" s="1986" t="e" cm="1">
        <f t="array" ca="1" aca="1" ref="AQ106">_xlfn.LET(_xlpm.val,IF($F106="",val_blankRefText,_xldudf_CX_GET(CX_ENTITY,$F106,AQ$11,AQ$14,,(AQ$75))),_xlpm.Res,IF(OR(_xlpm.val="",_xlpm.val="Error"),"",_xlpm.val),_xlpm.Res)</f>
        <v>#NAME?</v>
      </c>
      <c r="AR106" s="1986" t="e" cm="1">
        <f t="array" ca="1" aca="1" ref="AR106">_xlfn.LET(_xlpm.val,IF($F106="",val_blankRefText,_xldudf_CX_GET(CX_ENTITY,$F106,AR$11,AR$14,,(AR$75))),_xlpm.Res,IF(OR(_xlpm.val="",_xlpm.val="Error"),"",_xlpm.val),_xlpm.Res)</f>
        <v>#NAME?</v>
      </c>
      <c r="AS106" s="1986" t="e" cm="1">
        <f t="array" ca="1" aca="1" ref="AS106">_xlfn.LET(_xlpm.val,IF($F106="",val_blankRefText,_xldudf_CX_GET(CX_ENTITY,$F106,AS$11,AS$14,,(AS$75))),_xlpm.Res,IF(OR(_xlpm.val="",_xlpm.val="Error"),"",_xlpm.val),_xlpm.Res)</f>
        <v>#NAME?</v>
      </c>
      <c r="AT106" s="1986" t="e" cm="1">
        <f t="array" ca="1" aca="1" ref="AT106">_xlfn.LET(_xlpm.val,IF($F106="",val_blankRefText,_xldudf_CX_GET(CX_ENTITY,$F106,AT$11,AT$14,,(AT$75))),_xlpm.Res,IF(OR(_xlpm.val="",_xlpm.val="Error"),"",_xlpm.val),_xlpm.Res)</f>
        <v>#NAME?</v>
      </c>
      <c r="AU106" s="1986" t="e" cm="1">
        <f t="array" ca="1" aca="1" ref="AU106">_xlfn.LET(_xlpm.val,IF($F106="",val_blankRefText,_xldudf_CX_GET(CX_ENTITY,$F106,AU$11,AU$14,,(AU$75))),_xlpm.Res,IF(OR(_xlpm.val="",_xlpm.val="Error"),"",_xlpm.val),_xlpm.Res)</f>
        <v>#NAME?</v>
      </c>
      <c r="AV106" s="1986" t="e" cm="1">
        <f t="array" ca="1" aca="1" ref="AV106">_xlfn.LET(_xlpm.val,IF($F106="",val_blankRefText,_xldudf_CX_GET(CX_ENTITY,$F106,AV$11,AV$14,,(AV$75))),_xlpm.Res,IF(OR(_xlpm.val="",_xlpm.val="Error"),"",_xlpm.val),_xlpm.Res)</f>
        <v>#NAME?</v>
      </c>
      <c r="AW106" s="1986" t="e" cm="1">
        <f t="array" ca="1" aca="1" ref="AW106">_xlfn.LET(_xlpm.val,IF($F106="",val_blankRefText,_xldudf_CX_GET(CX_ENTITY,$F106,AW$11,AW$14,,(AW$75))),_xlpm.Res,IF(OR(_xlpm.val="",_xlpm.val="Error"),"",_xlpm.val),_xlpm.Res)</f>
        <v>#NAME?</v>
      </c>
      <c r="AX106" s="1986" t="e" cm="1">
        <f t="array" ca="1" aca="1" ref="AX106">_xlfn.LET(_xlpm.val,IF($F106="",val_blankRefText,_xldudf_CX_GET(CX_ENTITY,$F106,AX$11,AX$14,,(AX$75))),_xlpm.Res,IF(OR(_xlpm.val="",_xlpm.val="Error"),"",_xlpm.val),_xlpm.Res)</f>
        <v>#NAME?</v>
      </c>
      <c r="AY106" s="1986" t="e" cm="1">
        <f t="array" ca="1" aca="1" ref="AY106">_xlfn.LET(_xlpm.val,IF($F106="",val_blankRefText,_xldudf_CX_GET(CX_ENTITY,$F106,AY$11,AY$14,,(AY$75))),_xlpm.Res,IF(OR(_xlpm.val="",_xlpm.val="Error"),"",_xlpm.val),_xlpm.Res)</f>
        <v>#NAME?</v>
      </c>
      <c r="AZ106" s="1986" t="e" cm="1">
        <f t="array" ca="1" aca="1" ref="AZ106">_xlfn.LET(_xlpm.val,IF($F106="",val_blankRefText,_xldudf_CX_GET(CX_ENTITY,$F106,AZ$11,AZ$14,,(AZ$75))),_xlpm.Res,IF(OR(_xlpm.val="",_xlpm.val="Error"),"",_xlpm.val),_xlpm.Res)</f>
        <v>#NAME?</v>
      </c>
      <c r="BA106" s="1986" t="e" cm="1">
        <f t="array" ca="1" aca="1" ref="BA106">_xlfn.LET(_xlpm.val,IF($F106="",val_blankRefText,_xldudf_CX_GET(CX_ENTITY,$F106,BA$11,BA$14,,(BA$75))),_xlpm.Res,IF(OR(_xlpm.val="",_xlpm.val="Error"),"",_xlpm.val),_xlpm.Res)</f>
        <v>#NAME?</v>
      </c>
      <c r="BB106" s="1986" t="e" cm="1">
        <f t="array" ca="1" aca="1" ref="BB106">_xlfn.LET(_xlpm.val,IF($F106="",val_blankRefText,_xldudf_CX_GET(CX_ENTITY,$F106,BB$11,BB$14,,(BB$75))),_xlpm.Res,IF(OR(_xlpm.val="",_xlpm.val="Error"),"",_xlpm.val),_xlpm.Res)</f>
        <v>#NAME?</v>
      </c>
      <c r="BC106" s="1986" t="e" cm="1">
        <f t="array" ca="1" aca="1" ref="BC106">_xlfn.LET(_xlpm.val,IF($F106="",val_blankRefText,_xldudf_CX_GET(CX_ENTITY,$F106,BC$11,BC$14,,(BC$75))),_xlpm.Res,IF(OR(_xlpm.val="",_xlpm.val="Error"),"",_xlpm.val),_xlpm.Res)</f>
        <v>#NAME?</v>
      </c>
      <c r="BD106" s="1986" t="e" cm="1">
        <f t="array" ca="1" aca="1" ref="BD106">_xlfn.LET(_xlpm.val,IF($F106="",val_blankRefText,_xldudf_CX_GET(CX_ENTITY,$F106,BD$11,BD$14,,(BD$75))),_xlpm.Res,IF(OR(_xlpm.val="",_xlpm.val="Error"),"",_xlpm.val),_xlpm.Res)</f>
        <v>#NAME?</v>
      </c>
      <c r="BE106" s="1986" t="e" cm="1">
        <f t="array" ca="1" aca="1" ref="BE106">_xlfn.LET(_xlpm.val,IF($F106="",val_blankRefText,_xldudf_CX_GET(CX_ENTITY,$F106,BE$11,BE$14,,(BE$75))),_xlpm.Res,IF(OR(_xlpm.val="",_xlpm.val="Error"),"",_xlpm.val),_xlpm.Res)</f>
        <v>#NAME?</v>
      </c>
      <c r="BF106" s="1986" t="e" cm="1">
        <f t="array" ca="1" aca="1" ref="BF106">_xlfn.LET(_xlpm.val,IF($F106="",val_blankRefText,_xldudf_CX_GET(CX_ENTITY,$F106,BF$11,BF$14,,(BF$75))),_xlpm.Res,IF(OR(_xlpm.val="",_xlpm.val="Error"),"",_xlpm.val),_xlpm.Res)</f>
        <v>#NAME?</v>
      </c>
      <c r="BG106" s="1986" t="e" cm="1">
        <f t="array" ca="1" aca="1" ref="BG106">_xlfn.LET(_xlpm.val,IF($F106="",val_blankRefText,_xldudf_CX_GET(CX_ENTITY,$F106,BG$11,BG$14,,(BG$75))),_xlpm.Res,IF(OR(_xlpm.val="",_xlpm.val="Error"),"",_xlpm.val),_xlpm.Res)</f>
        <v>#NAME?</v>
      </c>
      <c r="BH106" s="1986" t="e" cm="1">
        <f t="array" ca="1" aca="1" ref="BH106">_xlfn.LET(_xlpm.val,IF($F106="",val_blankRefText,_xldudf_CX_GET(CX_ENTITY,$F106,BH$11,BH$14,,(BH$75))),_xlpm.Res,IF(OR(_xlpm.val="",_xlpm.val="Error"),"",_xlpm.val),_xlpm.Res)</f>
        <v>#NAME?</v>
      </c>
      <c r="BI106" s="1986" t="e" cm="1">
        <f t="array" ca="1" aca="1" ref="BI106">_xlfn.LET(_xlpm.val,IF($F106="",val_blankRefText,_xldudf_CX_GET(CX_ENTITY,$F106,BI$11,BI$14,,(BI$75))),_xlpm.Res,IF(OR(_xlpm.val="",_xlpm.val="Error"),"",_xlpm.val),_xlpm.Res)</f>
        <v>#NAME?</v>
      </c>
      <c r="BJ106" s="1986" t="e" cm="1">
        <f t="array" ca="1" aca="1" ref="BJ106">_xlfn.LET(_xlpm.val,IF($F106="",val_blankRefText,_xldudf_CX_GET(CX_ENTITY,$F106,BJ$11,BJ$14,,(BJ$75))),_xlpm.Res,IF(OR(_xlpm.val="",_xlpm.val="Error"),"",_xlpm.val),_xlpm.Res)</f>
        <v>#NAME?</v>
      </c>
      <c r="BK106" s="1986" t="e" cm="1">
        <f t="array" ca="1" aca="1" ref="BK106">_xlfn.LET(_xlpm.val,IF($F106="",val_blankRefText,_xldudf_CX_GET(CX_ENTITY,$F106,BK$11,BK$14,,(BK$75))),_xlpm.Res,IF(OR(_xlpm.val="",_xlpm.val="Error"),"",_xlpm.val),_xlpm.Res)</f>
        <v>#NAME?</v>
      </c>
      <c r="BL106" s="1986" t="e" cm="1">
        <f t="array" ca="1" aca="1" ref="BL106">_xlfn.LET(_xlpm.val,IF($F106="",val_blankRefText,_xldudf_CX_GET(CX_ENTITY,$F106,BL$11,BL$14,,(BL$75))),_xlpm.Res,IF(OR(_xlpm.val="",_xlpm.val="Error"),"",_xlpm.val),_xlpm.Res)</f>
        <v>#NAME?</v>
      </c>
      <c r="BM106" s="1986" t="e" cm="1">
        <f t="array" ca="1" aca="1" ref="BM106">_xlfn.LET(_xlpm.val,IF($F106="",val_blankRefText,_xldudf_CX_GET(CX_ENTITY,$F106,BM$11,BM$14,,(BM$75))),_xlpm.Res,IF(OR(_xlpm.val="",_xlpm.val="Error"),"",_xlpm.val),_xlpm.Res)</f>
        <v>#NAME?</v>
      </c>
      <c r="BN106" s="1986" t="e" cm="1">
        <f t="array" ca="1" aca="1" ref="BN106">_xlfn.LET(_xlpm.val,IF($F106="",val_blankRefText,_xldudf_CX_GET(CX_ENTITY,$F106,BN$11,BN$14,,(BN$75))),_xlpm.Res,IF(OR(_xlpm.val="",_xlpm.val="Error"),"",_xlpm.val),_xlpm.Res)</f>
        <v>#NAME?</v>
      </c>
      <c r="BO106" s="2104"/>
      <c r="BP106" s="2104"/>
      <c r="BQ106" s="2104"/>
      <c r="BR106" s="2104"/>
      <c r="BS106" s="2104"/>
      <c r="BT106" s="2104"/>
      <c r="BU106" s="2104"/>
      <c r="BV106" s="2104"/>
      <c r="BW106" s="2104"/>
      <c r="BX106" s="2104"/>
      <c r="BY106" s="2104"/>
      <c r="BZ106" s="2104"/>
      <c r="CA106" s="34"/>
      <c r="CC106" s="33"/>
      <c r="CD106" s="763"/>
      <c r="CE106" s="763"/>
      <c r="CF106" s="3"/>
      <c r="CG106" s="763"/>
      <c r="CH106" s="763"/>
      <c r="CI106" s="3"/>
      <c r="CJ106" s="763"/>
      <c r="CK106" s="763"/>
      <c r="CL106" s="3"/>
      <c r="CM106" s="763"/>
      <c r="CN106" s="763"/>
      <c r="CO106" s="3"/>
      <c r="CP106" s="763"/>
      <c r="CQ106" s="763"/>
      <c r="CR106" s="34"/>
    </row>
    <row r="107" spans="1:96" ht="21" customHeight="1" outlineLevel="2">
      <c r="A107" s="1322"/>
      <c r="B107" s="2128" t="s">
        <v>1569</v>
      </c>
      <c r="C107" s="2125" t="s">
        <v>1570</v>
      </c>
      <c r="D107" s="577"/>
      <c r="E107" s="1615" t="e" cm="1">
        <f t="array" ca="1" aca="1" ref="E107">_xlfn.LET(_xlpm.Attr,$C107,_xlpm.Lookback,$E$16,_xlpm.QueryDate,EOMONTH(val_asOfDate,_xlpm.Lookback),_xlpm.ReadField,_xldudf_CX_GET(CX_ENTITY,fx_attrConverter($C107),_xlpm.QueryDate),_xlpm.AttrBlank,_xlpm.Attr="",_xlpm.RESULT,IF(_xlpm.AttrBlank,val_blankRefText,fx_attrConverter(_xlpm.ReadField,0)),IF(_xlpm.RESULT="Error","",_xlpm.RESULT))</f>
        <v>#NAME?</v>
      </c>
      <c r="F107" s="577" t="str">
        <f t="shared" si="28"/>
        <v>Custom Metric Amount 6</v>
      </c>
      <c r="G107" s="577" t="s">
        <v>1599</v>
      </c>
      <c r="H107" s="401"/>
      <c r="I107" s="401"/>
      <c r="J107" s="401"/>
      <c r="K107" s="401"/>
      <c r="L107" s="581" t="b">
        <v>0</v>
      </c>
      <c r="N107" s="158"/>
      <c r="O107" s="101"/>
      <c r="P107" s="52"/>
      <c r="Q107" s="101"/>
      <c r="R107" s="126"/>
      <c r="S107" s="101"/>
      <c r="T107" s="101"/>
      <c r="U107" s="39"/>
      <c r="W107" s="91" t="str">
        <f>_PL!$W$72</f>
        <v>Budget</v>
      </c>
      <c r="X107" s="2370" t="e" cm="1">
        <f t="array" ca="1" aca="1" ref="X107">_xlfn.LET(_xlpm.toPass,$E107="",_xlpm.hasParts,ISNUMBER(SEARCH("|",$E107)),_xlpm.Part1,INDEX(_xlfn.TEXTSPLIT($E107,"|",,FALSE,1),1),_xlpm.Part1Num,IFERROR(_xlfn.NUMBERVALUE(_xlpm.Part1),_xlpm.Part1),_xlfn.SWITCH(TRUE,_xlpm.toPass,"",_xlpm.hasParts,_xlpm.Part1Num,$E107))</f>
        <v>#NAME?</v>
      </c>
      <c r="Y107" s="590" t="e" cm="1">
        <f t="array" ca="1" aca="1" ref="Y107">_xlfn.LET(_xlpm.PackedString,E107,IF(_xlpm.PackedString="","",IF(ISNUMBER(SEARCH("|",_xlpm.PackedString)),INDEX(_xlfn.TEXTSPLIT(_xlpm.PackedString,"|",,FALSE),2),_xlpm.PackedString)))</f>
        <v>#NAME?</v>
      </c>
      <c r="Z107" s="198" t="e">
        <f t="shared" ca="1" si="29"/>
        <v>#NAME?</v>
      </c>
      <c r="AA107" s="200"/>
      <c r="AB107" s="709" t="e" cm="1">
        <f t="array" ca="1" aca="1" ref="AB107">_xlfn.LET(_xlpm.PackedString,E107,IF(_xlpm.PackedString="","",IF(ISNUMBER(SEARCH("|",_xlpm.PackedString)),INDEX(_xlfn.TEXTSPLIT(_xlpm.PackedString,"|",,FALSE),3),_xlpm.PackedString)))</f>
        <v>#NAME?</v>
      </c>
      <c r="AC107" s="124"/>
      <c r="AD107" s="1986" t="e" cm="1">
        <f t="array" ca="1" aca="1" ref="AD107">_xlfn.LET(_xlpm.val,IF($F107="",val_blankRefText,_xldudf_CX_GET(CX_ENTITY,$F107,AD$11,AD$14,,(AD$75))),_xlpm.Res,IF(OR(_xlpm.val="",_xlpm.val="Error"),"",_xlpm.val),_xlpm.Res)</f>
        <v>#NAME?</v>
      </c>
      <c r="AE107" s="1986" t="e" cm="1">
        <f t="array" ca="1" aca="1" ref="AE107">_xlfn.LET(_xlpm.val,IF($F107="",val_blankRefText,_xldudf_CX_GET(CX_ENTITY,$F107,AE$11,AE$14,,(AE$75))),_xlpm.Res,IF(OR(_xlpm.val="",_xlpm.val="Error"),"",_xlpm.val),_xlpm.Res)</f>
        <v>#NAME?</v>
      </c>
      <c r="AF107" s="1986" t="e" cm="1">
        <f t="array" ca="1" aca="1" ref="AF107">_xlfn.LET(_xlpm.val,IF($F107="",val_blankRefText,_xldudf_CX_GET(CX_ENTITY,$F107,AF$11,AF$14,,(AF$75))),_xlpm.Res,IF(OR(_xlpm.val="",_xlpm.val="Error"),"",_xlpm.val),_xlpm.Res)</f>
        <v>#NAME?</v>
      </c>
      <c r="AG107" s="1986" t="e" cm="1">
        <f t="array" ca="1" aca="1" ref="AG107">_xlfn.LET(_xlpm.val,IF($F107="",val_blankRefText,_xldudf_CX_GET(CX_ENTITY,$F107,AG$11,AG$14,,(AG$75))),_xlpm.Res,IF(OR(_xlpm.val="",_xlpm.val="Error"),"",_xlpm.val),_xlpm.Res)</f>
        <v>#NAME?</v>
      </c>
      <c r="AH107" s="1986" t="e" cm="1">
        <f t="array" ca="1" aca="1" ref="AH107">_xlfn.LET(_xlpm.val,IF($F107="",val_blankRefText,_xldudf_CX_GET(CX_ENTITY,$F107,AH$11,AH$14,,(AH$75))),_xlpm.Res,IF(OR(_xlpm.val="",_xlpm.val="Error"),"",_xlpm.val),_xlpm.Res)</f>
        <v>#NAME?</v>
      </c>
      <c r="AI107" s="1986" t="e" cm="1">
        <f t="array" ca="1" aca="1" ref="AI107">_xlfn.LET(_xlpm.val,IF($F107="",val_blankRefText,_xldudf_CX_GET(CX_ENTITY,$F107,AI$11,AI$14,,(AI$75))),_xlpm.Res,IF(OR(_xlpm.val="",_xlpm.val="Error"),"",_xlpm.val),_xlpm.Res)</f>
        <v>#NAME?</v>
      </c>
      <c r="AJ107" s="1986" t="e" cm="1">
        <f t="array" ca="1" aca="1" ref="AJ107">_xlfn.LET(_xlpm.val,IF($F107="",val_blankRefText,_xldudf_CX_GET(CX_ENTITY,$F107,AJ$11,AJ$14,,(AJ$75))),_xlpm.Res,IF(OR(_xlpm.val="",_xlpm.val="Error"),"",_xlpm.val),_xlpm.Res)</f>
        <v>#NAME?</v>
      </c>
      <c r="AK107" s="1986" t="e" cm="1">
        <f t="array" ca="1" aca="1" ref="AK107">_xlfn.LET(_xlpm.val,IF($F107="",val_blankRefText,_xldudf_CX_GET(CX_ENTITY,$F107,AK$11,AK$14,,(AK$75))),_xlpm.Res,IF(OR(_xlpm.val="",_xlpm.val="Error"),"",_xlpm.val),_xlpm.Res)</f>
        <v>#NAME?</v>
      </c>
      <c r="AL107" s="1986" t="e" cm="1">
        <f t="array" ca="1" aca="1" ref="AL107">_xlfn.LET(_xlpm.val,IF($F107="",val_blankRefText,_xldudf_CX_GET(CX_ENTITY,$F107,AL$11,AL$14,,(AL$75))),_xlpm.Res,IF(OR(_xlpm.val="",_xlpm.val="Error"),"",_xlpm.val),_xlpm.Res)</f>
        <v>#NAME?</v>
      </c>
      <c r="AM107" s="1986" t="e" cm="1">
        <f t="array" ca="1" aca="1" ref="AM107">_xlfn.LET(_xlpm.val,IF($F107="",val_blankRefText,_xldudf_CX_GET(CX_ENTITY,$F107,AM$11,AM$14,,(AM$75))),_xlpm.Res,IF(OR(_xlpm.val="",_xlpm.val="Error"),"",_xlpm.val),_xlpm.Res)</f>
        <v>#NAME?</v>
      </c>
      <c r="AN107" s="1986" t="e" cm="1">
        <f t="array" ca="1" aca="1" ref="AN107">_xlfn.LET(_xlpm.val,IF($F107="",val_blankRefText,_xldudf_CX_GET(CX_ENTITY,$F107,AN$11,AN$14,,(AN$75))),_xlpm.Res,IF(OR(_xlpm.val="",_xlpm.val="Error"),"",_xlpm.val),_xlpm.Res)</f>
        <v>#NAME?</v>
      </c>
      <c r="AO107" s="1986" t="e" cm="1">
        <f t="array" ca="1" aca="1" ref="AO107">_xlfn.LET(_xlpm.val,IF($F107="",val_blankRefText,_xldudf_CX_GET(CX_ENTITY,$F107,AO$11,AO$14,,(AO$75))),_xlpm.Res,IF(OR(_xlpm.val="",_xlpm.val="Error"),"",_xlpm.val),_xlpm.Res)</f>
        <v>#NAME?</v>
      </c>
      <c r="AP107" s="1986" t="e" cm="1">
        <f t="array" ca="1" aca="1" ref="AP107">_xlfn.LET(_xlpm.val,IF($F107="",val_blankRefText,_xldudf_CX_GET(CX_ENTITY,$F107,AP$11,AP$14,,(AP$75))),_xlpm.Res,IF(OR(_xlpm.val="",_xlpm.val="Error"),"",_xlpm.val),_xlpm.Res)</f>
        <v>#NAME?</v>
      </c>
      <c r="AQ107" s="1986" t="e" cm="1">
        <f t="array" ca="1" aca="1" ref="AQ107">_xlfn.LET(_xlpm.val,IF($F107="",val_blankRefText,_xldudf_CX_GET(CX_ENTITY,$F107,AQ$11,AQ$14,,(AQ$75))),_xlpm.Res,IF(OR(_xlpm.val="",_xlpm.val="Error"),"",_xlpm.val),_xlpm.Res)</f>
        <v>#NAME?</v>
      </c>
      <c r="AR107" s="1986" t="e" cm="1">
        <f t="array" ca="1" aca="1" ref="AR107">_xlfn.LET(_xlpm.val,IF($F107="",val_blankRefText,_xldudf_CX_GET(CX_ENTITY,$F107,AR$11,AR$14,,(AR$75))),_xlpm.Res,IF(OR(_xlpm.val="",_xlpm.val="Error"),"",_xlpm.val),_xlpm.Res)</f>
        <v>#NAME?</v>
      </c>
      <c r="AS107" s="1986" t="e" cm="1">
        <f t="array" ca="1" aca="1" ref="AS107">_xlfn.LET(_xlpm.val,IF($F107="",val_blankRefText,_xldudf_CX_GET(CX_ENTITY,$F107,AS$11,AS$14,,(AS$75))),_xlpm.Res,IF(OR(_xlpm.val="",_xlpm.val="Error"),"",_xlpm.val),_xlpm.Res)</f>
        <v>#NAME?</v>
      </c>
      <c r="AT107" s="1986" t="e" cm="1">
        <f t="array" ca="1" aca="1" ref="AT107">_xlfn.LET(_xlpm.val,IF($F107="",val_blankRefText,_xldudf_CX_GET(CX_ENTITY,$F107,AT$11,AT$14,,(AT$75))),_xlpm.Res,IF(OR(_xlpm.val="",_xlpm.val="Error"),"",_xlpm.val),_xlpm.Res)</f>
        <v>#NAME?</v>
      </c>
      <c r="AU107" s="1986" t="e" cm="1">
        <f t="array" ca="1" aca="1" ref="AU107">_xlfn.LET(_xlpm.val,IF($F107="",val_blankRefText,_xldudf_CX_GET(CX_ENTITY,$F107,AU$11,AU$14,,(AU$75))),_xlpm.Res,IF(OR(_xlpm.val="",_xlpm.val="Error"),"",_xlpm.val),_xlpm.Res)</f>
        <v>#NAME?</v>
      </c>
      <c r="AV107" s="1986" t="e" cm="1">
        <f t="array" ca="1" aca="1" ref="AV107">_xlfn.LET(_xlpm.val,IF($F107="",val_blankRefText,_xldudf_CX_GET(CX_ENTITY,$F107,AV$11,AV$14,,(AV$75))),_xlpm.Res,IF(OR(_xlpm.val="",_xlpm.val="Error"),"",_xlpm.val),_xlpm.Res)</f>
        <v>#NAME?</v>
      </c>
      <c r="AW107" s="1986" t="e" cm="1">
        <f t="array" ca="1" aca="1" ref="AW107">_xlfn.LET(_xlpm.val,IF($F107="",val_blankRefText,_xldudf_CX_GET(CX_ENTITY,$F107,AW$11,AW$14,,(AW$75))),_xlpm.Res,IF(OR(_xlpm.val="",_xlpm.val="Error"),"",_xlpm.val),_xlpm.Res)</f>
        <v>#NAME?</v>
      </c>
      <c r="AX107" s="1986" t="e" cm="1">
        <f t="array" ca="1" aca="1" ref="AX107">_xlfn.LET(_xlpm.val,IF($F107="",val_blankRefText,_xldudf_CX_GET(CX_ENTITY,$F107,AX$11,AX$14,,(AX$75))),_xlpm.Res,IF(OR(_xlpm.val="",_xlpm.val="Error"),"",_xlpm.val),_xlpm.Res)</f>
        <v>#NAME?</v>
      </c>
      <c r="AY107" s="1986" t="e" cm="1">
        <f t="array" ca="1" aca="1" ref="AY107">_xlfn.LET(_xlpm.val,IF($F107="",val_blankRefText,_xldudf_CX_GET(CX_ENTITY,$F107,AY$11,AY$14,,(AY$75))),_xlpm.Res,IF(OR(_xlpm.val="",_xlpm.val="Error"),"",_xlpm.val),_xlpm.Res)</f>
        <v>#NAME?</v>
      </c>
      <c r="AZ107" s="1986" t="e" cm="1">
        <f t="array" ca="1" aca="1" ref="AZ107">_xlfn.LET(_xlpm.val,IF($F107="",val_blankRefText,_xldudf_CX_GET(CX_ENTITY,$F107,AZ$11,AZ$14,,(AZ$75))),_xlpm.Res,IF(OR(_xlpm.val="",_xlpm.val="Error"),"",_xlpm.val),_xlpm.Res)</f>
        <v>#NAME?</v>
      </c>
      <c r="BA107" s="1986" t="e" cm="1">
        <f t="array" ca="1" aca="1" ref="BA107">_xlfn.LET(_xlpm.val,IF($F107="",val_blankRefText,_xldudf_CX_GET(CX_ENTITY,$F107,BA$11,BA$14,,(BA$75))),_xlpm.Res,IF(OR(_xlpm.val="",_xlpm.val="Error"),"",_xlpm.val),_xlpm.Res)</f>
        <v>#NAME?</v>
      </c>
      <c r="BB107" s="1986" t="e" cm="1">
        <f t="array" ca="1" aca="1" ref="BB107">_xlfn.LET(_xlpm.val,IF($F107="",val_blankRefText,_xldudf_CX_GET(CX_ENTITY,$F107,BB$11,BB$14,,(BB$75))),_xlpm.Res,IF(OR(_xlpm.val="",_xlpm.val="Error"),"",_xlpm.val),_xlpm.Res)</f>
        <v>#NAME?</v>
      </c>
      <c r="BC107" s="1986" t="e" cm="1">
        <f t="array" ca="1" aca="1" ref="BC107">_xlfn.LET(_xlpm.val,IF($F107="",val_blankRefText,_xldudf_CX_GET(CX_ENTITY,$F107,BC$11,BC$14,,(BC$75))),_xlpm.Res,IF(OR(_xlpm.val="",_xlpm.val="Error"),"",_xlpm.val),_xlpm.Res)</f>
        <v>#NAME?</v>
      </c>
      <c r="BD107" s="1986" t="e" cm="1">
        <f t="array" ca="1" aca="1" ref="BD107">_xlfn.LET(_xlpm.val,IF($F107="",val_blankRefText,_xldudf_CX_GET(CX_ENTITY,$F107,BD$11,BD$14,,(BD$75))),_xlpm.Res,IF(OR(_xlpm.val="",_xlpm.val="Error"),"",_xlpm.val),_xlpm.Res)</f>
        <v>#NAME?</v>
      </c>
      <c r="BE107" s="1986" t="e" cm="1">
        <f t="array" ca="1" aca="1" ref="BE107">_xlfn.LET(_xlpm.val,IF($F107="",val_blankRefText,_xldudf_CX_GET(CX_ENTITY,$F107,BE$11,BE$14,,(BE$75))),_xlpm.Res,IF(OR(_xlpm.val="",_xlpm.val="Error"),"",_xlpm.val),_xlpm.Res)</f>
        <v>#NAME?</v>
      </c>
      <c r="BF107" s="1986" t="e" cm="1">
        <f t="array" ca="1" aca="1" ref="BF107">_xlfn.LET(_xlpm.val,IF($F107="",val_blankRefText,_xldudf_CX_GET(CX_ENTITY,$F107,BF$11,BF$14,,(BF$75))),_xlpm.Res,IF(OR(_xlpm.val="",_xlpm.val="Error"),"",_xlpm.val),_xlpm.Res)</f>
        <v>#NAME?</v>
      </c>
      <c r="BG107" s="1986" t="e" cm="1">
        <f t="array" ca="1" aca="1" ref="BG107">_xlfn.LET(_xlpm.val,IF($F107="",val_blankRefText,_xldudf_CX_GET(CX_ENTITY,$F107,BG$11,BG$14,,(BG$75))),_xlpm.Res,IF(OR(_xlpm.val="",_xlpm.val="Error"),"",_xlpm.val),_xlpm.Res)</f>
        <v>#NAME?</v>
      </c>
      <c r="BH107" s="1986" t="e" cm="1">
        <f t="array" ca="1" aca="1" ref="BH107">_xlfn.LET(_xlpm.val,IF($F107="",val_blankRefText,_xldudf_CX_GET(CX_ENTITY,$F107,BH$11,BH$14,,(BH$75))),_xlpm.Res,IF(OR(_xlpm.val="",_xlpm.val="Error"),"",_xlpm.val),_xlpm.Res)</f>
        <v>#NAME?</v>
      </c>
      <c r="BI107" s="1986" t="e" cm="1">
        <f t="array" ca="1" aca="1" ref="BI107">_xlfn.LET(_xlpm.val,IF($F107="",val_blankRefText,_xldudf_CX_GET(CX_ENTITY,$F107,BI$11,BI$14,,(BI$75))),_xlpm.Res,IF(OR(_xlpm.val="",_xlpm.val="Error"),"",_xlpm.val),_xlpm.Res)</f>
        <v>#NAME?</v>
      </c>
      <c r="BJ107" s="1986" t="e" cm="1">
        <f t="array" ca="1" aca="1" ref="BJ107">_xlfn.LET(_xlpm.val,IF($F107="",val_blankRefText,_xldudf_CX_GET(CX_ENTITY,$F107,BJ$11,BJ$14,,(BJ$75))),_xlpm.Res,IF(OR(_xlpm.val="",_xlpm.val="Error"),"",_xlpm.val),_xlpm.Res)</f>
        <v>#NAME?</v>
      </c>
      <c r="BK107" s="1986" t="e" cm="1">
        <f t="array" ca="1" aca="1" ref="BK107">_xlfn.LET(_xlpm.val,IF($F107="",val_blankRefText,_xldudf_CX_GET(CX_ENTITY,$F107,BK$11,BK$14,,(BK$75))),_xlpm.Res,IF(OR(_xlpm.val="",_xlpm.val="Error"),"",_xlpm.val),_xlpm.Res)</f>
        <v>#NAME?</v>
      </c>
      <c r="BL107" s="1986" t="e" cm="1">
        <f t="array" ca="1" aca="1" ref="BL107">_xlfn.LET(_xlpm.val,IF($F107="",val_blankRefText,_xldudf_CX_GET(CX_ENTITY,$F107,BL$11,BL$14,,(BL$75))),_xlpm.Res,IF(OR(_xlpm.val="",_xlpm.val="Error"),"",_xlpm.val),_xlpm.Res)</f>
        <v>#NAME?</v>
      </c>
      <c r="BM107" s="1986" t="e" cm="1">
        <f t="array" ca="1" aca="1" ref="BM107">_xlfn.LET(_xlpm.val,IF($F107="",val_blankRefText,_xldudf_CX_GET(CX_ENTITY,$F107,BM$11,BM$14,,(BM$75))),_xlpm.Res,IF(OR(_xlpm.val="",_xlpm.val="Error"),"",_xlpm.val),_xlpm.Res)</f>
        <v>#NAME?</v>
      </c>
      <c r="BN107" s="1986" t="e" cm="1">
        <f t="array" ca="1" aca="1" ref="BN107">_xlfn.LET(_xlpm.val,IF($F107="",val_blankRefText,_xldudf_CX_GET(CX_ENTITY,$F107,BN$11,BN$14,,(BN$75))),_xlpm.Res,IF(OR(_xlpm.val="",_xlpm.val="Error"),"",_xlpm.val),_xlpm.Res)</f>
        <v>#NAME?</v>
      </c>
      <c r="BO107" s="2104"/>
      <c r="BP107" s="2104"/>
      <c r="BQ107" s="2104"/>
      <c r="BR107" s="2104"/>
      <c r="BS107" s="2104"/>
      <c r="BT107" s="2104"/>
      <c r="BU107" s="2104"/>
      <c r="BV107" s="2104"/>
      <c r="BW107" s="2104"/>
      <c r="BX107" s="2104"/>
      <c r="BY107" s="2104"/>
      <c r="BZ107" s="2104"/>
      <c r="CA107" s="34"/>
      <c r="CC107" s="33"/>
      <c r="CD107" s="763"/>
      <c r="CE107" s="763"/>
      <c r="CF107" s="3"/>
      <c r="CG107" s="763"/>
      <c r="CH107" s="763"/>
      <c r="CI107" s="3"/>
      <c r="CJ107" s="763"/>
      <c r="CK107" s="763"/>
      <c r="CL107" s="3"/>
      <c r="CM107" s="763"/>
      <c r="CN107" s="763"/>
      <c r="CO107" s="3"/>
      <c r="CP107" s="763"/>
      <c r="CQ107" s="763"/>
      <c r="CR107" s="34"/>
    </row>
    <row r="108" spans="1:96" ht="21" customHeight="1" outlineLevel="2">
      <c r="A108" s="1322"/>
      <c r="B108" s="2128" t="s">
        <v>1571</v>
      </c>
      <c r="C108" s="2125" t="s">
        <v>1572</v>
      </c>
      <c r="D108" s="577"/>
      <c r="E108" s="1615" t="e" cm="1">
        <f t="array" ca="1" aca="1" ref="E108">_xlfn.LET(_xlpm.Attr,$C108,_xlpm.Lookback,$E$16,_xlpm.QueryDate,EOMONTH(val_asOfDate,_xlpm.Lookback),_xlpm.ReadField,_xldudf_CX_GET(CX_ENTITY,fx_attrConverter($C108),_xlpm.QueryDate),_xlpm.AttrBlank,_xlpm.Attr="",_xlpm.RESULT,IF(_xlpm.AttrBlank,val_blankRefText,fx_attrConverter(_xlpm.ReadField,0)),IF(_xlpm.RESULT="Error","",_xlpm.RESULT))</f>
        <v>#NAME?</v>
      </c>
      <c r="F108" s="577" t="str">
        <f t="shared" si="28"/>
        <v>Custom Metric Amount 7</v>
      </c>
      <c r="G108" s="577" t="s">
        <v>1599</v>
      </c>
      <c r="H108" s="401"/>
      <c r="I108" s="401"/>
      <c r="J108" s="401"/>
      <c r="K108" s="401"/>
      <c r="L108" s="581" t="b">
        <v>0</v>
      </c>
      <c r="N108" s="158"/>
      <c r="O108" s="101"/>
      <c r="P108" s="52"/>
      <c r="Q108" s="101"/>
      <c r="R108" s="126"/>
      <c r="S108" s="101"/>
      <c r="T108" s="101"/>
      <c r="U108" s="39"/>
      <c r="W108" s="91" t="str">
        <f>_PL!$W$72</f>
        <v>Budget</v>
      </c>
      <c r="X108" s="2370" t="e" cm="1">
        <f t="array" ca="1" aca="1" ref="X108">_xlfn.LET(_xlpm.toPass,$E108="",_xlpm.hasParts,ISNUMBER(SEARCH("|",$E108)),_xlpm.Part1,INDEX(_xlfn.TEXTSPLIT($E108,"|",,FALSE,1),1),_xlpm.Part1Num,IFERROR(_xlfn.NUMBERVALUE(_xlpm.Part1),_xlpm.Part1),_xlfn.SWITCH(TRUE,_xlpm.toPass,"",_xlpm.hasParts,_xlpm.Part1Num,$E108))</f>
        <v>#NAME?</v>
      </c>
      <c r="Y108" s="590" t="e" cm="1">
        <f t="array" ca="1" aca="1" ref="Y108">_xlfn.LET(_xlpm.PackedString,E108,IF(_xlpm.PackedString="","",IF(ISNUMBER(SEARCH("|",_xlpm.PackedString)),INDEX(_xlfn.TEXTSPLIT(_xlpm.PackedString,"|",,FALSE),2),_xlpm.PackedString)))</f>
        <v>#NAME?</v>
      </c>
      <c r="Z108" s="198" t="e">
        <f t="shared" ca="1" si="29"/>
        <v>#NAME?</v>
      </c>
      <c r="AA108" s="200"/>
      <c r="AB108" s="709" t="e" cm="1">
        <f t="array" ca="1" aca="1" ref="AB108">_xlfn.LET(_xlpm.PackedString,E108,IF(_xlpm.PackedString="","",IF(ISNUMBER(SEARCH("|",_xlpm.PackedString)),INDEX(_xlfn.TEXTSPLIT(_xlpm.PackedString,"|",,FALSE),3),_xlpm.PackedString)))</f>
        <v>#NAME?</v>
      </c>
      <c r="AC108" s="124"/>
      <c r="AD108" s="1986" t="e" cm="1">
        <f t="array" ca="1" aca="1" ref="AD108">_xlfn.LET(_xlpm.val,IF($F108="",val_blankRefText,_xldudf_CX_GET(CX_ENTITY,$F108,AD$11,AD$14,,(AD$75))),_xlpm.Res,IF(OR(_xlpm.val="",_xlpm.val="Error"),"",_xlpm.val),_xlpm.Res)</f>
        <v>#NAME?</v>
      </c>
      <c r="AE108" s="1986" t="e" cm="1">
        <f t="array" ca="1" aca="1" ref="AE108">_xlfn.LET(_xlpm.val,IF($F108="",val_blankRefText,_xldudf_CX_GET(CX_ENTITY,$F108,AE$11,AE$14,,(AE$75))),_xlpm.Res,IF(OR(_xlpm.val="",_xlpm.val="Error"),"",_xlpm.val),_xlpm.Res)</f>
        <v>#NAME?</v>
      </c>
      <c r="AF108" s="1986" t="e" cm="1">
        <f t="array" ca="1" aca="1" ref="AF108">_xlfn.LET(_xlpm.val,IF($F108="",val_blankRefText,_xldudf_CX_GET(CX_ENTITY,$F108,AF$11,AF$14,,(AF$75))),_xlpm.Res,IF(OR(_xlpm.val="",_xlpm.val="Error"),"",_xlpm.val),_xlpm.Res)</f>
        <v>#NAME?</v>
      </c>
      <c r="AG108" s="1986" t="e" cm="1">
        <f t="array" ca="1" aca="1" ref="AG108">_xlfn.LET(_xlpm.val,IF($F108="",val_blankRefText,_xldudf_CX_GET(CX_ENTITY,$F108,AG$11,AG$14,,(AG$75))),_xlpm.Res,IF(OR(_xlpm.val="",_xlpm.val="Error"),"",_xlpm.val),_xlpm.Res)</f>
        <v>#NAME?</v>
      </c>
      <c r="AH108" s="1986" t="e" cm="1">
        <f t="array" ca="1" aca="1" ref="AH108">_xlfn.LET(_xlpm.val,IF($F108="",val_blankRefText,_xldudf_CX_GET(CX_ENTITY,$F108,AH$11,AH$14,,(AH$75))),_xlpm.Res,IF(OR(_xlpm.val="",_xlpm.val="Error"),"",_xlpm.val),_xlpm.Res)</f>
        <v>#NAME?</v>
      </c>
      <c r="AI108" s="1986" t="e" cm="1">
        <f t="array" ca="1" aca="1" ref="AI108">_xlfn.LET(_xlpm.val,IF($F108="",val_blankRefText,_xldudf_CX_GET(CX_ENTITY,$F108,AI$11,AI$14,,(AI$75))),_xlpm.Res,IF(OR(_xlpm.val="",_xlpm.val="Error"),"",_xlpm.val),_xlpm.Res)</f>
        <v>#NAME?</v>
      </c>
      <c r="AJ108" s="1986" t="e" cm="1">
        <f t="array" ca="1" aca="1" ref="AJ108">_xlfn.LET(_xlpm.val,IF($F108="",val_blankRefText,_xldudf_CX_GET(CX_ENTITY,$F108,AJ$11,AJ$14,,(AJ$75))),_xlpm.Res,IF(OR(_xlpm.val="",_xlpm.val="Error"),"",_xlpm.val),_xlpm.Res)</f>
        <v>#NAME?</v>
      </c>
      <c r="AK108" s="1986" t="e" cm="1">
        <f t="array" ca="1" aca="1" ref="AK108">_xlfn.LET(_xlpm.val,IF($F108="",val_blankRefText,_xldudf_CX_GET(CX_ENTITY,$F108,AK$11,AK$14,,(AK$75))),_xlpm.Res,IF(OR(_xlpm.val="",_xlpm.val="Error"),"",_xlpm.val),_xlpm.Res)</f>
        <v>#NAME?</v>
      </c>
      <c r="AL108" s="1986" t="e" cm="1">
        <f t="array" ca="1" aca="1" ref="AL108">_xlfn.LET(_xlpm.val,IF($F108="",val_blankRefText,_xldudf_CX_GET(CX_ENTITY,$F108,AL$11,AL$14,,(AL$75))),_xlpm.Res,IF(OR(_xlpm.val="",_xlpm.val="Error"),"",_xlpm.val),_xlpm.Res)</f>
        <v>#NAME?</v>
      </c>
      <c r="AM108" s="1986" t="e" cm="1">
        <f t="array" ca="1" aca="1" ref="AM108">_xlfn.LET(_xlpm.val,IF($F108="",val_blankRefText,_xldudf_CX_GET(CX_ENTITY,$F108,AM$11,AM$14,,(AM$75))),_xlpm.Res,IF(OR(_xlpm.val="",_xlpm.val="Error"),"",_xlpm.val),_xlpm.Res)</f>
        <v>#NAME?</v>
      </c>
      <c r="AN108" s="1986" t="e" cm="1">
        <f t="array" ca="1" aca="1" ref="AN108">_xlfn.LET(_xlpm.val,IF($F108="",val_blankRefText,_xldudf_CX_GET(CX_ENTITY,$F108,AN$11,AN$14,,(AN$75))),_xlpm.Res,IF(OR(_xlpm.val="",_xlpm.val="Error"),"",_xlpm.val),_xlpm.Res)</f>
        <v>#NAME?</v>
      </c>
      <c r="AO108" s="1986" t="e" cm="1">
        <f t="array" ca="1" aca="1" ref="AO108">_xlfn.LET(_xlpm.val,IF($F108="",val_blankRefText,_xldudf_CX_GET(CX_ENTITY,$F108,AO$11,AO$14,,(AO$75))),_xlpm.Res,IF(OR(_xlpm.val="",_xlpm.val="Error"),"",_xlpm.val),_xlpm.Res)</f>
        <v>#NAME?</v>
      </c>
      <c r="AP108" s="1986" t="e" cm="1">
        <f t="array" ca="1" aca="1" ref="AP108">_xlfn.LET(_xlpm.val,IF($F108="",val_blankRefText,_xldudf_CX_GET(CX_ENTITY,$F108,AP$11,AP$14,,(AP$75))),_xlpm.Res,IF(OR(_xlpm.val="",_xlpm.val="Error"),"",_xlpm.val),_xlpm.Res)</f>
        <v>#NAME?</v>
      </c>
      <c r="AQ108" s="1986" t="e" cm="1">
        <f t="array" ca="1" aca="1" ref="AQ108">_xlfn.LET(_xlpm.val,IF($F108="",val_blankRefText,_xldudf_CX_GET(CX_ENTITY,$F108,AQ$11,AQ$14,,(AQ$75))),_xlpm.Res,IF(OR(_xlpm.val="",_xlpm.val="Error"),"",_xlpm.val),_xlpm.Res)</f>
        <v>#NAME?</v>
      </c>
      <c r="AR108" s="1986" t="e" cm="1">
        <f t="array" ca="1" aca="1" ref="AR108">_xlfn.LET(_xlpm.val,IF($F108="",val_blankRefText,_xldudf_CX_GET(CX_ENTITY,$F108,AR$11,AR$14,,(AR$75))),_xlpm.Res,IF(OR(_xlpm.val="",_xlpm.val="Error"),"",_xlpm.val),_xlpm.Res)</f>
        <v>#NAME?</v>
      </c>
      <c r="AS108" s="1986" t="e" cm="1">
        <f t="array" ca="1" aca="1" ref="AS108">_xlfn.LET(_xlpm.val,IF($F108="",val_blankRefText,_xldudf_CX_GET(CX_ENTITY,$F108,AS$11,AS$14,,(AS$75))),_xlpm.Res,IF(OR(_xlpm.val="",_xlpm.val="Error"),"",_xlpm.val),_xlpm.Res)</f>
        <v>#NAME?</v>
      </c>
      <c r="AT108" s="1986" t="e" cm="1">
        <f t="array" ca="1" aca="1" ref="AT108">_xlfn.LET(_xlpm.val,IF($F108="",val_blankRefText,_xldudf_CX_GET(CX_ENTITY,$F108,AT$11,AT$14,,(AT$75))),_xlpm.Res,IF(OR(_xlpm.val="",_xlpm.val="Error"),"",_xlpm.val),_xlpm.Res)</f>
        <v>#NAME?</v>
      </c>
      <c r="AU108" s="1986" t="e" cm="1">
        <f t="array" ca="1" aca="1" ref="AU108">_xlfn.LET(_xlpm.val,IF($F108="",val_blankRefText,_xldudf_CX_GET(CX_ENTITY,$F108,AU$11,AU$14,,(AU$75))),_xlpm.Res,IF(OR(_xlpm.val="",_xlpm.val="Error"),"",_xlpm.val),_xlpm.Res)</f>
        <v>#NAME?</v>
      </c>
      <c r="AV108" s="1986" t="e" cm="1">
        <f t="array" ca="1" aca="1" ref="AV108">_xlfn.LET(_xlpm.val,IF($F108="",val_blankRefText,_xldudf_CX_GET(CX_ENTITY,$F108,AV$11,AV$14,,(AV$75))),_xlpm.Res,IF(OR(_xlpm.val="",_xlpm.val="Error"),"",_xlpm.val),_xlpm.Res)</f>
        <v>#NAME?</v>
      </c>
      <c r="AW108" s="1986" t="e" cm="1">
        <f t="array" ca="1" aca="1" ref="AW108">_xlfn.LET(_xlpm.val,IF($F108="",val_blankRefText,_xldudf_CX_GET(CX_ENTITY,$F108,AW$11,AW$14,,(AW$75))),_xlpm.Res,IF(OR(_xlpm.val="",_xlpm.val="Error"),"",_xlpm.val),_xlpm.Res)</f>
        <v>#NAME?</v>
      </c>
      <c r="AX108" s="1986" t="e" cm="1">
        <f t="array" ca="1" aca="1" ref="AX108">_xlfn.LET(_xlpm.val,IF($F108="",val_blankRefText,_xldudf_CX_GET(CX_ENTITY,$F108,AX$11,AX$14,,(AX$75))),_xlpm.Res,IF(OR(_xlpm.val="",_xlpm.val="Error"),"",_xlpm.val),_xlpm.Res)</f>
        <v>#NAME?</v>
      </c>
      <c r="AY108" s="1986" t="e" cm="1">
        <f t="array" ca="1" aca="1" ref="AY108">_xlfn.LET(_xlpm.val,IF($F108="",val_blankRefText,_xldudf_CX_GET(CX_ENTITY,$F108,AY$11,AY$14,,(AY$75))),_xlpm.Res,IF(OR(_xlpm.val="",_xlpm.val="Error"),"",_xlpm.val),_xlpm.Res)</f>
        <v>#NAME?</v>
      </c>
      <c r="AZ108" s="1986" t="e" cm="1">
        <f t="array" ca="1" aca="1" ref="AZ108">_xlfn.LET(_xlpm.val,IF($F108="",val_blankRefText,_xldudf_CX_GET(CX_ENTITY,$F108,AZ$11,AZ$14,,(AZ$75))),_xlpm.Res,IF(OR(_xlpm.val="",_xlpm.val="Error"),"",_xlpm.val),_xlpm.Res)</f>
        <v>#NAME?</v>
      </c>
      <c r="BA108" s="1986" t="e" cm="1">
        <f t="array" ca="1" aca="1" ref="BA108">_xlfn.LET(_xlpm.val,IF($F108="",val_blankRefText,_xldudf_CX_GET(CX_ENTITY,$F108,BA$11,BA$14,,(BA$75))),_xlpm.Res,IF(OR(_xlpm.val="",_xlpm.val="Error"),"",_xlpm.val),_xlpm.Res)</f>
        <v>#NAME?</v>
      </c>
      <c r="BB108" s="1986" t="e" cm="1">
        <f t="array" ca="1" aca="1" ref="BB108">_xlfn.LET(_xlpm.val,IF($F108="",val_blankRefText,_xldudf_CX_GET(CX_ENTITY,$F108,BB$11,BB$14,,(BB$75))),_xlpm.Res,IF(OR(_xlpm.val="",_xlpm.val="Error"),"",_xlpm.val),_xlpm.Res)</f>
        <v>#NAME?</v>
      </c>
      <c r="BC108" s="1986" t="e" cm="1">
        <f t="array" ca="1" aca="1" ref="BC108">_xlfn.LET(_xlpm.val,IF($F108="",val_blankRefText,_xldudf_CX_GET(CX_ENTITY,$F108,BC$11,BC$14,,(BC$75))),_xlpm.Res,IF(OR(_xlpm.val="",_xlpm.val="Error"),"",_xlpm.val),_xlpm.Res)</f>
        <v>#NAME?</v>
      </c>
      <c r="BD108" s="1986" t="e" cm="1">
        <f t="array" ca="1" aca="1" ref="BD108">_xlfn.LET(_xlpm.val,IF($F108="",val_blankRefText,_xldudf_CX_GET(CX_ENTITY,$F108,BD$11,BD$14,,(BD$75))),_xlpm.Res,IF(OR(_xlpm.val="",_xlpm.val="Error"),"",_xlpm.val),_xlpm.Res)</f>
        <v>#NAME?</v>
      </c>
      <c r="BE108" s="1986" t="e" cm="1">
        <f t="array" ca="1" aca="1" ref="BE108">_xlfn.LET(_xlpm.val,IF($F108="",val_blankRefText,_xldudf_CX_GET(CX_ENTITY,$F108,BE$11,BE$14,,(BE$75))),_xlpm.Res,IF(OR(_xlpm.val="",_xlpm.val="Error"),"",_xlpm.val),_xlpm.Res)</f>
        <v>#NAME?</v>
      </c>
      <c r="BF108" s="1986" t="e" cm="1">
        <f t="array" ca="1" aca="1" ref="BF108">_xlfn.LET(_xlpm.val,IF($F108="",val_blankRefText,_xldudf_CX_GET(CX_ENTITY,$F108,BF$11,BF$14,,(BF$75))),_xlpm.Res,IF(OR(_xlpm.val="",_xlpm.val="Error"),"",_xlpm.val),_xlpm.Res)</f>
        <v>#NAME?</v>
      </c>
      <c r="BG108" s="1986" t="e" cm="1">
        <f t="array" ca="1" aca="1" ref="BG108">_xlfn.LET(_xlpm.val,IF($F108="",val_blankRefText,_xldudf_CX_GET(CX_ENTITY,$F108,BG$11,BG$14,,(BG$75))),_xlpm.Res,IF(OR(_xlpm.val="",_xlpm.val="Error"),"",_xlpm.val),_xlpm.Res)</f>
        <v>#NAME?</v>
      </c>
      <c r="BH108" s="1986" t="e" cm="1">
        <f t="array" ca="1" aca="1" ref="BH108">_xlfn.LET(_xlpm.val,IF($F108="",val_blankRefText,_xldudf_CX_GET(CX_ENTITY,$F108,BH$11,BH$14,,(BH$75))),_xlpm.Res,IF(OR(_xlpm.val="",_xlpm.val="Error"),"",_xlpm.val),_xlpm.Res)</f>
        <v>#NAME?</v>
      </c>
      <c r="BI108" s="1986" t="e" cm="1">
        <f t="array" ca="1" aca="1" ref="BI108">_xlfn.LET(_xlpm.val,IF($F108="",val_blankRefText,_xldudf_CX_GET(CX_ENTITY,$F108,BI$11,BI$14,,(BI$75))),_xlpm.Res,IF(OR(_xlpm.val="",_xlpm.val="Error"),"",_xlpm.val),_xlpm.Res)</f>
        <v>#NAME?</v>
      </c>
      <c r="BJ108" s="1986" t="e" cm="1">
        <f t="array" ca="1" aca="1" ref="BJ108">_xlfn.LET(_xlpm.val,IF($F108="",val_blankRefText,_xldudf_CX_GET(CX_ENTITY,$F108,BJ$11,BJ$14,,(BJ$75))),_xlpm.Res,IF(OR(_xlpm.val="",_xlpm.val="Error"),"",_xlpm.val),_xlpm.Res)</f>
        <v>#NAME?</v>
      </c>
      <c r="BK108" s="1986" t="e" cm="1">
        <f t="array" ca="1" aca="1" ref="BK108">_xlfn.LET(_xlpm.val,IF($F108="",val_blankRefText,_xldudf_CX_GET(CX_ENTITY,$F108,BK$11,BK$14,,(BK$75))),_xlpm.Res,IF(OR(_xlpm.val="",_xlpm.val="Error"),"",_xlpm.val),_xlpm.Res)</f>
        <v>#NAME?</v>
      </c>
      <c r="BL108" s="1986" t="e" cm="1">
        <f t="array" ca="1" aca="1" ref="BL108">_xlfn.LET(_xlpm.val,IF($F108="",val_blankRefText,_xldudf_CX_GET(CX_ENTITY,$F108,BL$11,BL$14,,(BL$75))),_xlpm.Res,IF(OR(_xlpm.val="",_xlpm.val="Error"),"",_xlpm.val),_xlpm.Res)</f>
        <v>#NAME?</v>
      </c>
      <c r="BM108" s="1986" t="e" cm="1">
        <f t="array" ca="1" aca="1" ref="BM108">_xlfn.LET(_xlpm.val,IF($F108="",val_blankRefText,_xldudf_CX_GET(CX_ENTITY,$F108,BM$11,BM$14,,(BM$75))),_xlpm.Res,IF(OR(_xlpm.val="",_xlpm.val="Error"),"",_xlpm.val),_xlpm.Res)</f>
        <v>#NAME?</v>
      </c>
      <c r="BN108" s="1986" t="e" cm="1">
        <f t="array" ca="1" aca="1" ref="BN108">_xlfn.LET(_xlpm.val,IF($F108="",val_blankRefText,_xldudf_CX_GET(CX_ENTITY,$F108,BN$11,BN$14,,(BN$75))),_xlpm.Res,IF(OR(_xlpm.val="",_xlpm.val="Error"),"",_xlpm.val),_xlpm.Res)</f>
        <v>#NAME?</v>
      </c>
      <c r="BO108" s="2104"/>
      <c r="BP108" s="2104"/>
      <c r="BQ108" s="2104"/>
      <c r="BR108" s="2104"/>
      <c r="BS108" s="2104"/>
      <c r="BT108" s="2104"/>
      <c r="BU108" s="2104"/>
      <c r="BV108" s="2104"/>
      <c r="BW108" s="2104"/>
      <c r="BX108" s="2104"/>
      <c r="BY108" s="2104"/>
      <c r="BZ108" s="2104"/>
      <c r="CA108" s="34"/>
      <c r="CC108" s="33"/>
      <c r="CD108" s="763"/>
      <c r="CE108" s="763"/>
      <c r="CF108" s="3"/>
      <c r="CG108" s="763"/>
      <c r="CH108" s="763"/>
      <c r="CI108" s="3"/>
      <c r="CJ108" s="763"/>
      <c r="CK108" s="763"/>
      <c r="CL108" s="3"/>
      <c r="CM108" s="763"/>
      <c r="CN108" s="763"/>
      <c r="CO108" s="3"/>
      <c r="CP108" s="763"/>
      <c r="CQ108" s="763"/>
      <c r="CR108" s="34"/>
    </row>
    <row r="109" spans="1:96" ht="21" customHeight="1" outlineLevel="2">
      <c r="A109" s="1322"/>
      <c r="B109" s="2128" t="s">
        <v>1573</v>
      </c>
      <c r="C109" s="2125" t="s">
        <v>1574</v>
      </c>
      <c r="D109" s="577"/>
      <c r="E109" s="1615" t="e" cm="1">
        <f t="array" ca="1" aca="1" ref="E109">_xlfn.LET(_xlpm.Attr,$C109,_xlpm.Lookback,$E$16,_xlpm.QueryDate,EOMONTH(val_asOfDate,_xlpm.Lookback),_xlpm.ReadField,_xldudf_CX_GET(CX_ENTITY,fx_attrConverter($C109),_xlpm.QueryDate),_xlpm.AttrBlank,_xlpm.Attr="",_xlpm.RESULT,IF(_xlpm.AttrBlank,val_blankRefText,fx_attrConverter(_xlpm.ReadField,0)),IF(_xlpm.RESULT="Error","",_xlpm.RESULT))</f>
        <v>#NAME?</v>
      </c>
      <c r="F109" s="574" t="str">
        <f t="shared" si="28"/>
        <v>Custom Metric Amount 8</v>
      </c>
      <c r="G109" s="574" t="s">
        <v>1599</v>
      </c>
      <c r="H109" s="401"/>
      <c r="I109" s="401"/>
      <c r="J109" s="401"/>
      <c r="K109" s="401"/>
      <c r="L109" s="581" t="b">
        <v>0</v>
      </c>
      <c r="N109" s="158"/>
      <c r="O109" s="101"/>
      <c r="P109" s="52"/>
      <c r="Q109" s="101"/>
      <c r="R109" s="126"/>
      <c r="S109" s="101"/>
      <c r="T109" s="101"/>
      <c r="U109" s="39"/>
      <c r="W109" s="91" t="str">
        <f>_PL!$W$72</f>
        <v>Budget</v>
      </c>
      <c r="X109" s="2370" t="e" cm="1">
        <f t="array" ca="1" aca="1" ref="X109">_xlfn.LET(_xlpm.toPass,$E109="",_xlpm.hasParts,ISNUMBER(SEARCH("|",$E109)),_xlpm.Part1,INDEX(_xlfn.TEXTSPLIT($E109,"|",,FALSE,1),1),_xlpm.Part1Num,IFERROR(_xlfn.NUMBERVALUE(_xlpm.Part1),_xlpm.Part1),_xlfn.SWITCH(TRUE,_xlpm.toPass,"",_xlpm.hasParts,_xlpm.Part1Num,$E109))</f>
        <v>#NAME?</v>
      </c>
      <c r="Y109" s="590" t="e" cm="1">
        <f t="array" ca="1" aca="1" ref="Y109">_xlfn.LET(_xlpm.PackedString,E109,IF(_xlpm.PackedString="","",IF(ISNUMBER(SEARCH("|",_xlpm.PackedString)),INDEX(_xlfn.TEXTSPLIT(_xlpm.PackedString,"|",,FALSE),2),_xlpm.PackedString)))</f>
        <v>#NAME?</v>
      </c>
      <c r="Z109" s="198" t="e">
        <f t="shared" ca="1" si="29"/>
        <v>#NAME?</v>
      </c>
      <c r="AA109" s="200"/>
      <c r="AB109" s="709" t="e" cm="1">
        <f t="array" ca="1" aca="1" ref="AB109">_xlfn.LET(_xlpm.PackedString,E109,IF(_xlpm.PackedString="","",IF(ISNUMBER(SEARCH("|",_xlpm.PackedString)),INDEX(_xlfn.TEXTSPLIT(_xlpm.PackedString,"|",,FALSE),3),_xlpm.PackedString)))</f>
        <v>#NAME?</v>
      </c>
      <c r="AC109" s="124"/>
      <c r="AD109" s="1986" t="e" cm="1">
        <f t="array" ca="1" aca="1" ref="AD109">_xlfn.LET(_xlpm.val,IF($F109="",val_blankRefText,_xldudf_CX_GET(CX_ENTITY,$F109,AD$11,AD$14,,(AD$75))),_xlpm.Res,IF(OR(_xlpm.val="",_xlpm.val="Error"),"",_xlpm.val),_xlpm.Res)</f>
        <v>#NAME?</v>
      </c>
      <c r="AE109" s="1986" t="e" cm="1">
        <f t="array" ca="1" aca="1" ref="AE109">_xlfn.LET(_xlpm.val,IF($F109="",val_blankRefText,_xldudf_CX_GET(CX_ENTITY,$F109,AE$11,AE$14,,(AE$75))),_xlpm.Res,IF(OR(_xlpm.val="",_xlpm.val="Error"),"",_xlpm.val),_xlpm.Res)</f>
        <v>#NAME?</v>
      </c>
      <c r="AF109" s="1986" t="e" cm="1">
        <f t="array" ca="1" aca="1" ref="AF109">_xlfn.LET(_xlpm.val,IF($F109="",val_blankRefText,_xldudf_CX_GET(CX_ENTITY,$F109,AF$11,AF$14,,(AF$75))),_xlpm.Res,IF(OR(_xlpm.val="",_xlpm.val="Error"),"",_xlpm.val),_xlpm.Res)</f>
        <v>#NAME?</v>
      </c>
      <c r="AG109" s="1986" t="e" cm="1">
        <f t="array" ca="1" aca="1" ref="AG109">_xlfn.LET(_xlpm.val,IF($F109="",val_blankRefText,_xldudf_CX_GET(CX_ENTITY,$F109,AG$11,AG$14,,(AG$75))),_xlpm.Res,IF(OR(_xlpm.val="",_xlpm.val="Error"),"",_xlpm.val),_xlpm.Res)</f>
        <v>#NAME?</v>
      </c>
      <c r="AH109" s="1986" t="e" cm="1">
        <f t="array" ca="1" aca="1" ref="AH109">_xlfn.LET(_xlpm.val,IF($F109="",val_blankRefText,_xldudf_CX_GET(CX_ENTITY,$F109,AH$11,AH$14,,(AH$75))),_xlpm.Res,IF(OR(_xlpm.val="",_xlpm.val="Error"),"",_xlpm.val),_xlpm.Res)</f>
        <v>#NAME?</v>
      </c>
      <c r="AI109" s="1986" t="e" cm="1">
        <f t="array" ca="1" aca="1" ref="AI109">_xlfn.LET(_xlpm.val,IF($F109="",val_blankRefText,_xldudf_CX_GET(CX_ENTITY,$F109,AI$11,AI$14,,(AI$75))),_xlpm.Res,IF(OR(_xlpm.val="",_xlpm.val="Error"),"",_xlpm.val),_xlpm.Res)</f>
        <v>#NAME?</v>
      </c>
      <c r="AJ109" s="1986" t="e" cm="1">
        <f t="array" ca="1" aca="1" ref="AJ109">_xlfn.LET(_xlpm.val,IF($F109="",val_blankRefText,_xldudf_CX_GET(CX_ENTITY,$F109,AJ$11,AJ$14,,(AJ$75))),_xlpm.Res,IF(OR(_xlpm.val="",_xlpm.val="Error"),"",_xlpm.val),_xlpm.Res)</f>
        <v>#NAME?</v>
      </c>
      <c r="AK109" s="1986" t="e" cm="1">
        <f t="array" ca="1" aca="1" ref="AK109">_xlfn.LET(_xlpm.val,IF($F109="",val_blankRefText,_xldudf_CX_GET(CX_ENTITY,$F109,AK$11,AK$14,,(AK$75))),_xlpm.Res,IF(OR(_xlpm.val="",_xlpm.val="Error"),"",_xlpm.val),_xlpm.Res)</f>
        <v>#NAME?</v>
      </c>
      <c r="AL109" s="1986" t="e" cm="1">
        <f t="array" ca="1" aca="1" ref="AL109">_xlfn.LET(_xlpm.val,IF($F109="",val_blankRefText,_xldudf_CX_GET(CX_ENTITY,$F109,AL$11,AL$14,,(AL$75))),_xlpm.Res,IF(OR(_xlpm.val="",_xlpm.val="Error"),"",_xlpm.val),_xlpm.Res)</f>
        <v>#NAME?</v>
      </c>
      <c r="AM109" s="1986" t="e" cm="1">
        <f t="array" ca="1" aca="1" ref="AM109">_xlfn.LET(_xlpm.val,IF($F109="",val_blankRefText,_xldudf_CX_GET(CX_ENTITY,$F109,AM$11,AM$14,,(AM$75))),_xlpm.Res,IF(OR(_xlpm.val="",_xlpm.val="Error"),"",_xlpm.val),_xlpm.Res)</f>
        <v>#NAME?</v>
      </c>
      <c r="AN109" s="1986" t="e" cm="1">
        <f t="array" ca="1" aca="1" ref="AN109">_xlfn.LET(_xlpm.val,IF($F109="",val_blankRefText,_xldudf_CX_GET(CX_ENTITY,$F109,AN$11,AN$14,,(AN$75))),_xlpm.Res,IF(OR(_xlpm.val="",_xlpm.val="Error"),"",_xlpm.val),_xlpm.Res)</f>
        <v>#NAME?</v>
      </c>
      <c r="AO109" s="1986" t="e" cm="1">
        <f t="array" ca="1" aca="1" ref="AO109">_xlfn.LET(_xlpm.val,IF($F109="",val_blankRefText,_xldudf_CX_GET(CX_ENTITY,$F109,AO$11,AO$14,,(AO$75))),_xlpm.Res,IF(OR(_xlpm.val="",_xlpm.val="Error"),"",_xlpm.val),_xlpm.Res)</f>
        <v>#NAME?</v>
      </c>
      <c r="AP109" s="1986" t="e" cm="1">
        <f t="array" ca="1" aca="1" ref="AP109">_xlfn.LET(_xlpm.val,IF($F109="",val_blankRefText,_xldudf_CX_GET(CX_ENTITY,$F109,AP$11,AP$14,,(AP$75))),_xlpm.Res,IF(OR(_xlpm.val="",_xlpm.val="Error"),"",_xlpm.val),_xlpm.Res)</f>
        <v>#NAME?</v>
      </c>
      <c r="AQ109" s="1986" t="e" cm="1">
        <f t="array" ca="1" aca="1" ref="AQ109">_xlfn.LET(_xlpm.val,IF($F109="",val_blankRefText,_xldudf_CX_GET(CX_ENTITY,$F109,AQ$11,AQ$14,,(AQ$75))),_xlpm.Res,IF(OR(_xlpm.val="",_xlpm.val="Error"),"",_xlpm.val),_xlpm.Res)</f>
        <v>#NAME?</v>
      </c>
      <c r="AR109" s="1986" t="e" cm="1">
        <f t="array" ca="1" aca="1" ref="AR109">_xlfn.LET(_xlpm.val,IF($F109="",val_blankRefText,_xldudf_CX_GET(CX_ENTITY,$F109,AR$11,AR$14,,(AR$75))),_xlpm.Res,IF(OR(_xlpm.val="",_xlpm.val="Error"),"",_xlpm.val),_xlpm.Res)</f>
        <v>#NAME?</v>
      </c>
      <c r="AS109" s="1986" t="e" cm="1">
        <f t="array" ca="1" aca="1" ref="AS109">_xlfn.LET(_xlpm.val,IF($F109="",val_blankRefText,_xldudf_CX_GET(CX_ENTITY,$F109,AS$11,AS$14,,(AS$75))),_xlpm.Res,IF(OR(_xlpm.val="",_xlpm.val="Error"),"",_xlpm.val),_xlpm.Res)</f>
        <v>#NAME?</v>
      </c>
      <c r="AT109" s="1986" t="e" cm="1">
        <f t="array" ca="1" aca="1" ref="AT109">_xlfn.LET(_xlpm.val,IF($F109="",val_blankRefText,_xldudf_CX_GET(CX_ENTITY,$F109,AT$11,AT$14,,(AT$75))),_xlpm.Res,IF(OR(_xlpm.val="",_xlpm.val="Error"),"",_xlpm.val),_xlpm.Res)</f>
        <v>#NAME?</v>
      </c>
      <c r="AU109" s="1986" t="e" cm="1">
        <f t="array" ca="1" aca="1" ref="AU109">_xlfn.LET(_xlpm.val,IF($F109="",val_blankRefText,_xldudf_CX_GET(CX_ENTITY,$F109,AU$11,AU$14,,(AU$75))),_xlpm.Res,IF(OR(_xlpm.val="",_xlpm.val="Error"),"",_xlpm.val),_xlpm.Res)</f>
        <v>#NAME?</v>
      </c>
      <c r="AV109" s="1986" t="e" cm="1">
        <f t="array" ca="1" aca="1" ref="AV109">_xlfn.LET(_xlpm.val,IF($F109="",val_blankRefText,_xldudf_CX_GET(CX_ENTITY,$F109,AV$11,AV$14,,(AV$75))),_xlpm.Res,IF(OR(_xlpm.val="",_xlpm.val="Error"),"",_xlpm.val),_xlpm.Res)</f>
        <v>#NAME?</v>
      </c>
      <c r="AW109" s="1986" t="e" cm="1">
        <f t="array" ca="1" aca="1" ref="AW109">_xlfn.LET(_xlpm.val,IF($F109="",val_blankRefText,_xldudf_CX_GET(CX_ENTITY,$F109,AW$11,AW$14,,(AW$75))),_xlpm.Res,IF(OR(_xlpm.val="",_xlpm.val="Error"),"",_xlpm.val),_xlpm.Res)</f>
        <v>#NAME?</v>
      </c>
      <c r="AX109" s="1986" t="e" cm="1">
        <f t="array" ca="1" aca="1" ref="AX109">_xlfn.LET(_xlpm.val,IF($F109="",val_blankRefText,_xldudf_CX_GET(CX_ENTITY,$F109,AX$11,AX$14,,(AX$75))),_xlpm.Res,IF(OR(_xlpm.val="",_xlpm.val="Error"),"",_xlpm.val),_xlpm.Res)</f>
        <v>#NAME?</v>
      </c>
      <c r="AY109" s="1986" t="e" cm="1">
        <f t="array" ca="1" aca="1" ref="AY109">_xlfn.LET(_xlpm.val,IF($F109="",val_blankRefText,_xldudf_CX_GET(CX_ENTITY,$F109,AY$11,AY$14,,(AY$75))),_xlpm.Res,IF(OR(_xlpm.val="",_xlpm.val="Error"),"",_xlpm.val),_xlpm.Res)</f>
        <v>#NAME?</v>
      </c>
      <c r="AZ109" s="1986" t="e" cm="1">
        <f t="array" ca="1" aca="1" ref="AZ109">_xlfn.LET(_xlpm.val,IF($F109="",val_blankRefText,_xldudf_CX_GET(CX_ENTITY,$F109,AZ$11,AZ$14,,(AZ$75))),_xlpm.Res,IF(OR(_xlpm.val="",_xlpm.val="Error"),"",_xlpm.val),_xlpm.Res)</f>
        <v>#NAME?</v>
      </c>
      <c r="BA109" s="1986" t="e" cm="1">
        <f t="array" ca="1" aca="1" ref="BA109">_xlfn.LET(_xlpm.val,IF($F109="",val_blankRefText,_xldudf_CX_GET(CX_ENTITY,$F109,BA$11,BA$14,,(BA$75))),_xlpm.Res,IF(OR(_xlpm.val="",_xlpm.val="Error"),"",_xlpm.val),_xlpm.Res)</f>
        <v>#NAME?</v>
      </c>
      <c r="BB109" s="1986" t="e" cm="1">
        <f t="array" ca="1" aca="1" ref="BB109">_xlfn.LET(_xlpm.val,IF($F109="",val_blankRefText,_xldudf_CX_GET(CX_ENTITY,$F109,BB$11,BB$14,,(BB$75))),_xlpm.Res,IF(OR(_xlpm.val="",_xlpm.val="Error"),"",_xlpm.val),_xlpm.Res)</f>
        <v>#NAME?</v>
      </c>
      <c r="BC109" s="1986" t="e" cm="1">
        <f t="array" ca="1" aca="1" ref="BC109">_xlfn.LET(_xlpm.val,IF($F109="",val_blankRefText,_xldudf_CX_GET(CX_ENTITY,$F109,BC$11,BC$14,,(BC$75))),_xlpm.Res,IF(OR(_xlpm.val="",_xlpm.val="Error"),"",_xlpm.val),_xlpm.Res)</f>
        <v>#NAME?</v>
      </c>
      <c r="BD109" s="1986" t="e" cm="1">
        <f t="array" ca="1" aca="1" ref="BD109">_xlfn.LET(_xlpm.val,IF($F109="",val_blankRefText,_xldudf_CX_GET(CX_ENTITY,$F109,BD$11,BD$14,,(BD$75))),_xlpm.Res,IF(OR(_xlpm.val="",_xlpm.val="Error"),"",_xlpm.val),_xlpm.Res)</f>
        <v>#NAME?</v>
      </c>
      <c r="BE109" s="1986" t="e" cm="1">
        <f t="array" ca="1" aca="1" ref="BE109">_xlfn.LET(_xlpm.val,IF($F109="",val_blankRefText,_xldudf_CX_GET(CX_ENTITY,$F109,BE$11,BE$14,,(BE$75))),_xlpm.Res,IF(OR(_xlpm.val="",_xlpm.val="Error"),"",_xlpm.val),_xlpm.Res)</f>
        <v>#NAME?</v>
      </c>
      <c r="BF109" s="1986" t="e" cm="1">
        <f t="array" ca="1" aca="1" ref="BF109">_xlfn.LET(_xlpm.val,IF($F109="",val_blankRefText,_xldudf_CX_GET(CX_ENTITY,$F109,BF$11,BF$14,,(BF$75))),_xlpm.Res,IF(OR(_xlpm.val="",_xlpm.val="Error"),"",_xlpm.val),_xlpm.Res)</f>
        <v>#NAME?</v>
      </c>
      <c r="BG109" s="1986" t="e" cm="1">
        <f t="array" ca="1" aca="1" ref="BG109">_xlfn.LET(_xlpm.val,IF($F109="",val_blankRefText,_xldudf_CX_GET(CX_ENTITY,$F109,BG$11,BG$14,,(BG$75))),_xlpm.Res,IF(OR(_xlpm.val="",_xlpm.val="Error"),"",_xlpm.val),_xlpm.Res)</f>
        <v>#NAME?</v>
      </c>
      <c r="BH109" s="1986" t="e" cm="1">
        <f t="array" ca="1" aca="1" ref="BH109">_xlfn.LET(_xlpm.val,IF($F109="",val_blankRefText,_xldudf_CX_GET(CX_ENTITY,$F109,BH$11,BH$14,,(BH$75))),_xlpm.Res,IF(OR(_xlpm.val="",_xlpm.val="Error"),"",_xlpm.val),_xlpm.Res)</f>
        <v>#NAME?</v>
      </c>
      <c r="BI109" s="1986" t="e" cm="1">
        <f t="array" ca="1" aca="1" ref="BI109">_xlfn.LET(_xlpm.val,IF($F109="",val_blankRefText,_xldudf_CX_GET(CX_ENTITY,$F109,BI$11,BI$14,,(BI$75))),_xlpm.Res,IF(OR(_xlpm.val="",_xlpm.val="Error"),"",_xlpm.val),_xlpm.Res)</f>
        <v>#NAME?</v>
      </c>
      <c r="BJ109" s="1986" t="e" cm="1">
        <f t="array" ca="1" aca="1" ref="BJ109">_xlfn.LET(_xlpm.val,IF($F109="",val_blankRefText,_xldudf_CX_GET(CX_ENTITY,$F109,BJ$11,BJ$14,,(BJ$75))),_xlpm.Res,IF(OR(_xlpm.val="",_xlpm.val="Error"),"",_xlpm.val),_xlpm.Res)</f>
        <v>#NAME?</v>
      </c>
      <c r="BK109" s="1986" t="e" cm="1">
        <f t="array" ca="1" aca="1" ref="BK109">_xlfn.LET(_xlpm.val,IF($F109="",val_blankRefText,_xldudf_CX_GET(CX_ENTITY,$F109,BK$11,BK$14,,(BK$75))),_xlpm.Res,IF(OR(_xlpm.val="",_xlpm.val="Error"),"",_xlpm.val),_xlpm.Res)</f>
        <v>#NAME?</v>
      </c>
      <c r="BL109" s="1986" t="e" cm="1">
        <f t="array" ca="1" aca="1" ref="BL109">_xlfn.LET(_xlpm.val,IF($F109="",val_blankRefText,_xldudf_CX_GET(CX_ENTITY,$F109,BL$11,BL$14,,(BL$75))),_xlpm.Res,IF(OR(_xlpm.val="",_xlpm.val="Error"),"",_xlpm.val),_xlpm.Res)</f>
        <v>#NAME?</v>
      </c>
      <c r="BM109" s="1986" t="e" cm="1">
        <f t="array" ca="1" aca="1" ref="BM109">_xlfn.LET(_xlpm.val,IF($F109="",val_blankRefText,_xldudf_CX_GET(CX_ENTITY,$F109,BM$11,BM$14,,(BM$75))),_xlpm.Res,IF(OR(_xlpm.val="",_xlpm.val="Error"),"",_xlpm.val),_xlpm.Res)</f>
        <v>#NAME?</v>
      </c>
      <c r="BN109" s="1986" t="e" cm="1">
        <f t="array" ca="1" aca="1" ref="BN109">_xlfn.LET(_xlpm.val,IF($F109="",val_blankRefText,_xldudf_CX_GET(CX_ENTITY,$F109,BN$11,BN$14,,(BN$75))),_xlpm.Res,IF(OR(_xlpm.val="",_xlpm.val="Error"),"",_xlpm.val),_xlpm.Res)</f>
        <v>#NAME?</v>
      </c>
      <c r="BO109" s="2104"/>
      <c r="BP109" s="2104"/>
      <c r="BQ109" s="2104"/>
      <c r="BR109" s="2104"/>
      <c r="BS109" s="2104"/>
      <c r="BT109" s="2104"/>
      <c r="BU109" s="2104"/>
      <c r="BV109" s="2104"/>
      <c r="BW109" s="2104"/>
      <c r="BX109" s="2104"/>
      <c r="BY109" s="2104"/>
      <c r="BZ109" s="2104"/>
      <c r="CA109" s="34"/>
      <c r="CC109" s="33"/>
      <c r="CD109" s="763"/>
      <c r="CE109" s="763"/>
      <c r="CF109" s="3"/>
      <c r="CG109" s="763"/>
      <c r="CH109" s="763"/>
      <c r="CI109" s="3"/>
      <c r="CJ109" s="763"/>
      <c r="CK109" s="763"/>
      <c r="CL109" s="3"/>
      <c r="CM109" s="763"/>
      <c r="CN109" s="763"/>
      <c r="CO109" s="3"/>
      <c r="CP109" s="763"/>
      <c r="CQ109" s="763"/>
      <c r="CR109" s="34"/>
    </row>
    <row r="110" spans="1:96" ht="21" customHeight="1" outlineLevel="2">
      <c r="A110" s="1322"/>
      <c r="B110" s="2130" t="s">
        <v>1575</v>
      </c>
      <c r="C110" s="2129" t="s">
        <v>1576</v>
      </c>
      <c r="D110" s="575"/>
      <c r="E110" s="1615" t="e" cm="1">
        <f t="array" ca="1" aca="1" ref="E110">_xlfn.LET(_xlpm.Attr,$C110,_xlpm.Lookback,$E$16,_xlpm.QueryDate,EOMONTH(val_asOfDate,_xlpm.Lookback),_xlpm.ReadField,_xldudf_CX_GET(CX_ENTITY,fx_attrConverter($C110),_xlpm.QueryDate),_xlpm.AttrBlank,_xlpm.Attr="",_xlpm.RESULT,IF(_xlpm.AttrBlank,val_blankRefText,fx_attrConverter(_xlpm.ReadField,0)),IF(_xlpm.RESULT="Error","",_xlpm.RESULT))</f>
        <v>#NAME?</v>
      </c>
      <c r="F110" s="575" t="str">
        <f t="shared" si="28"/>
        <v>Custom Metric Amount 9</v>
      </c>
      <c r="G110" s="575" t="s">
        <v>1599</v>
      </c>
      <c r="H110" s="3277">
        <v>1</v>
      </c>
      <c r="I110" s="3277">
        <v>1</v>
      </c>
      <c r="J110" s="576"/>
      <c r="K110" s="576"/>
      <c r="L110" s="581" t="b">
        <v>0</v>
      </c>
      <c r="N110" s="158"/>
      <c r="O110" s="101"/>
      <c r="P110" s="52"/>
      <c r="Q110" s="101"/>
      <c r="R110" s="126"/>
      <c r="S110" s="101"/>
      <c r="T110" s="101"/>
      <c r="U110" s="39"/>
      <c r="W110" s="91" t="str">
        <f>_PL!$W$72</f>
        <v>Budget</v>
      </c>
      <c r="X110" s="2370" t="e" cm="1">
        <f t="array" ca="1" aca="1" ref="X110">_xlfn.LET(_xlpm.toPass,$E110="",_xlpm.hasParts,ISNUMBER(SEARCH("|",$E110)),_xlpm.Part1,INDEX(_xlfn.TEXTSPLIT($E110,"|",,FALSE,1),1),_xlpm.Part1Num,IFERROR(_xlfn.NUMBERVALUE(_xlpm.Part1),_xlpm.Part1),_xlfn.SWITCH(TRUE,_xlpm.toPass,"",_xlpm.hasParts,_xlpm.Part1Num,$E110))</f>
        <v>#NAME?</v>
      </c>
      <c r="Y110" s="590" t="e" cm="1">
        <f t="array" ca="1" aca="1" ref="Y110">_xlfn.LET(_xlpm.PackedString,E110,IF(_xlpm.PackedString="","",IF(ISNUMBER(SEARCH("|",_xlpm.PackedString)),INDEX(_xlfn.TEXTSPLIT(_xlpm.PackedString,"|",,FALSE),2),_xlpm.PackedString)))</f>
        <v>#NAME?</v>
      </c>
      <c r="Z110" s="198" t="e">
        <f t="shared" ca="1" si="29"/>
        <v>#NAME?</v>
      </c>
      <c r="AA110" s="787"/>
      <c r="AB110" s="709" t="e" cm="1">
        <f t="array" ca="1" aca="1" ref="AB110">_xlfn.LET(_xlpm.PackedString,E110,IF(_xlpm.PackedString="","",IF(ISNUMBER(SEARCH("|",_xlpm.PackedString)),INDEX(_xlfn.TEXTSPLIT(_xlpm.PackedString,"|",,FALSE),3),_xlpm.PackedString)))</f>
        <v>#NAME?</v>
      </c>
      <c r="AC110" s="124" t="str" cm="1">
        <f t="array" ca="1" aca="1" ref="AC110">_xlfn.LET(_xlpm.Def,IF(_xlfn.XMATCH(AB110,tbl_acctDef[Term],0)&gt;0,fx_getIcon("find"),""),_xlpm.Adj,IF(_xlfn.XMATCH(AB110,tbl_adjExample[Items],0)&gt;0,fx_getIcon("find"),""),IFERROR(IFBLANK(_xlpm.Def,_xlpm.Adj),""))</f>
        <v/>
      </c>
      <c r="AD110" s="763"/>
      <c r="AE110" s="763"/>
      <c r="AF110" s="763"/>
      <c r="AG110" s="763"/>
      <c r="AH110" s="763"/>
      <c r="AI110" s="763"/>
      <c r="AJ110" s="763"/>
      <c r="AK110" s="763"/>
      <c r="AL110" s="763"/>
      <c r="AM110" s="763"/>
      <c r="AN110" s="763"/>
      <c r="AO110" s="763"/>
      <c r="AP110" s="763"/>
      <c r="AQ110" s="763"/>
      <c r="AR110" s="763"/>
      <c r="AS110" s="763"/>
      <c r="AT110" s="763"/>
      <c r="AU110" s="763"/>
      <c r="AV110" s="763"/>
      <c r="AW110" s="763"/>
      <c r="AX110" s="763"/>
      <c r="AY110" s="763"/>
      <c r="AZ110" s="763"/>
      <c r="BA110" s="763"/>
      <c r="BB110" s="763"/>
      <c r="BC110" s="763"/>
      <c r="BD110" s="763"/>
      <c r="BE110" s="763"/>
      <c r="BF110" s="763"/>
      <c r="BG110" s="763"/>
      <c r="BH110" s="763"/>
      <c r="BI110" s="763"/>
      <c r="BJ110" s="763"/>
      <c r="BK110" s="763"/>
      <c r="BL110" s="763"/>
      <c r="BM110" s="763"/>
      <c r="BN110" s="763"/>
      <c r="BO110" s="2104"/>
      <c r="BP110" s="2104"/>
      <c r="BQ110" s="2104"/>
      <c r="BR110" s="2104"/>
      <c r="BS110" s="2104"/>
      <c r="BT110" s="2104"/>
      <c r="BU110" s="2104"/>
      <c r="BV110" s="2104"/>
      <c r="BW110" s="2104"/>
      <c r="BX110" s="2104"/>
      <c r="BY110" s="2104"/>
      <c r="BZ110" s="2104"/>
      <c r="CA110" s="34"/>
      <c r="CC110" s="33"/>
      <c r="CD110" s="763"/>
      <c r="CE110" s="763"/>
      <c r="CF110" s="3"/>
      <c r="CG110" s="763"/>
      <c r="CH110" s="763"/>
      <c r="CI110" s="3"/>
      <c r="CJ110" s="763"/>
      <c r="CK110" s="763"/>
      <c r="CL110" s="3"/>
      <c r="CM110" s="763"/>
      <c r="CN110" s="763"/>
      <c r="CO110" s="3"/>
      <c r="CP110" s="763"/>
      <c r="CQ110" s="763"/>
      <c r="CR110" s="34"/>
    </row>
    <row r="111" spans="1:96" ht="15.5" outlineLevel="1">
      <c r="A111" s="1322"/>
      <c r="B111" s="577"/>
      <c r="C111" s="577"/>
      <c r="D111" s="577"/>
      <c r="E111" s="577"/>
      <c r="F111" s="577"/>
      <c r="G111" s="577"/>
      <c r="H111" s="578"/>
      <c r="I111" s="578"/>
      <c r="J111" s="578"/>
      <c r="K111" s="578"/>
      <c r="L111" s="578"/>
      <c r="N111" s="158"/>
      <c r="O111" s="101"/>
      <c r="P111" s="52"/>
      <c r="Q111" s="101"/>
      <c r="R111" s="126"/>
      <c r="S111" s="101"/>
      <c r="T111" s="101"/>
      <c r="U111" s="39"/>
      <c r="W111" s="198"/>
      <c r="X111" s="887"/>
      <c r="Y111" s="88"/>
      <c r="Z111" s="543"/>
      <c r="AA111" s="97"/>
      <c r="AB111" s="97"/>
      <c r="AC111" s="128"/>
      <c r="AD111" s="166"/>
      <c r="AE111" s="166"/>
      <c r="AF111" s="166"/>
      <c r="AG111" s="166"/>
      <c r="AH111" s="166"/>
      <c r="AI111" s="166"/>
      <c r="AJ111" s="166"/>
      <c r="AK111" s="166"/>
      <c r="AL111" s="166"/>
      <c r="AM111" s="166"/>
      <c r="AN111" s="166"/>
      <c r="AO111" s="166"/>
      <c r="AP111" s="166"/>
      <c r="AQ111" s="166"/>
      <c r="AR111" s="166"/>
      <c r="AS111" s="166"/>
      <c r="AT111" s="166"/>
      <c r="AU111" s="166"/>
      <c r="AV111" s="166"/>
      <c r="AW111" s="166"/>
      <c r="AX111" s="166"/>
      <c r="AY111" s="166"/>
      <c r="AZ111" s="166"/>
      <c r="BA111" s="166"/>
      <c r="BB111" s="166"/>
      <c r="BC111" s="166"/>
      <c r="BD111" s="166"/>
      <c r="BE111" s="166"/>
      <c r="BF111" s="166"/>
      <c r="BG111" s="166"/>
      <c r="BH111" s="166"/>
      <c r="BI111" s="166"/>
      <c r="BJ111" s="166"/>
      <c r="BK111" s="166"/>
      <c r="BL111" s="166"/>
      <c r="BM111" s="166"/>
      <c r="BN111" s="166"/>
      <c r="BO111" s="166"/>
      <c r="BP111" s="166"/>
      <c r="BQ111" s="166"/>
      <c r="BR111" s="166"/>
      <c r="BS111" s="166"/>
      <c r="BT111" s="166"/>
      <c r="BU111" s="166"/>
      <c r="BV111" s="166"/>
      <c r="BW111" s="166"/>
      <c r="BX111" s="166"/>
      <c r="BY111" s="166"/>
      <c r="BZ111" s="166"/>
      <c r="CA111" s="34"/>
      <c r="CC111" s="176"/>
      <c r="CD111" s="177"/>
      <c r="CE111" s="177"/>
      <c r="CF111" s="178"/>
      <c r="CG111" s="177"/>
      <c r="CH111" s="177"/>
      <c r="CI111" s="88"/>
      <c r="CJ111" s="274"/>
      <c r="CK111" s="274"/>
      <c r="CL111" s="88"/>
      <c r="CM111" s="274"/>
      <c r="CN111" s="171"/>
      <c r="CO111" s="88"/>
      <c r="CP111" s="274"/>
      <c r="CQ111" s="171"/>
      <c r="CR111" s="34"/>
    </row>
    <row r="112" spans="1:96" ht="32.25" customHeight="1" outlineLevel="1">
      <c r="A112" s="1322"/>
      <c r="B112" s="575"/>
      <c r="C112" s="575"/>
      <c r="D112" s="575"/>
      <c r="E112" s="575"/>
      <c r="F112" s="575"/>
      <c r="G112" s="2338"/>
      <c r="H112" s="576"/>
      <c r="I112" s="576"/>
      <c r="J112" s="576"/>
      <c r="K112" s="576"/>
      <c r="L112" s="576"/>
      <c r="N112" s="158"/>
      <c r="O112" s="2"/>
      <c r="P112" s="52"/>
      <c r="Q112" s="2"/>
      <c r="R112" s="539"/>
      <c r="S112" s="2"/>
      <c r="T112" s="2"/>
      <c r="U112" s="39"/>
      <c r="W112" s="565" t="s">
        <v>94</v>
      </c>
      <c r="X112" s="886"/>
      <c r="Y112" s="757" t="s">
        <v>105</v>
      </c>
      <c r="Z112" s="556"/>
      <c r="AA112" s="550"/>
      <c r="AB112" s="558"/>
      <c r="AC112" s="125"/>
      <c r="AD112" s="562"/>
      <c r="AE112" s="562"/>
      <c r="AF112" s="562"/>
      <c r="AG112" s="562"/>
      <c r="AH112" s="562"/>
      <c r="AI112" s="562"/>
      <c r="AJ112" s="562"/>
      <c r="AK112" s="562"/>
      <c r="AL112" s="562"/>
      <c r="AM112" s="562"/>
      <c r="AN112" s="562"/>
      <c r="AO112" s="562"/>
      <c r="AP112" s="562"/>
      <c r="AQ112" s="562"/>
      <c r="AR112" s="562"/>
      <c r="AS112" s="562"/>
      <c r="AT112" s="562"/>
      <c r="AU112" s="562"/>
      <c r="AV112" s="562"/>
      <c r="AW112" s="562"/>
      <c r="AX112" s="562"/>
      <c r="AY112" s="562"/>
      <c r="AZ112" s="562"/>
      <c r="BA112" s="562"/>
      <c r="BB112" s="562"/>
      <c r="BC112" s="562"/>
      <c r="BD112" s="562"/>
      <c r="BE112" s="562"/>
      <c r="BF112" s="562"/>
      <c r="BG112" s="562"/>
      <c r="BH112" s="562"/>
      <c r="BI112" s="562"/>
      <c r="BJ112" s="562"/>
      <c r="BK112" s="562"/>
      <c r="BL112" s="562"/>
      <c r="BM112" s="562"/>
      <c r="BN112" s="552"/>
      <c r="BO112" s="1844"/>
      <c r="BP112" s="1844"/>
      <c r="BQ112" s="1844"/>
      <c r="BR112" s="1844"/>
      <c r="BS112" s="1844"/>
      <c r="BT112" s="1844"/>
      <c r="BU112" s="1844"/>
      <c r="BV112" s="1844"/>
      <c r="BW112" s="1844"/>
      <c r="BX112" s="1844"/>
      <c r="BY112" s="1844"/>
      <c r="BZ112" s="1844"/>
      <c r="CA112" s="34"/>
      <c r="CC112" s="33"/>
      <c r="CD112" s="700"/>
      <c r="CE112" s="701"/>
      <c r="CF112" s="3"/>
      <c r="CG112" s="700"/>
      <c r="CH112" s="701"/>
      <c r="CI112" s="3"/>
      <c r="CJ112" s="700"/>
      <c r="CK112" s="701"/>
      <c r="CL112" s="3"/>
      <c r="CM112" s="700"/>
      <c r="CN112" s="701"/>
      <c r="CO112" s="3"/>
      <c r="CP112" s="700"/>
      <c r="CQ112" s="701"/>
      <c r="CR112" s="34"/>
    </row>
    <row r="113" spans="1:96" ht="21" customHeight="1" outlineLevel="1">
      <c r="A113" s="1322"/>
      <c r="B113" s="577" t="s">
        <v>1577</v>
      </c>
      <c r="C113" s="2131" t="s">
        <v>1578</v>
      </c>
      <c r="D113" s="577"/>
      <c r="E113" s="1615" t="e" cm="1">
        <f t="array" ca="1" aca="1" ref="E113">_xlfn.LET(_xlpm.Attr,$C113,_xlpm.Lookback,$E$16,_xlpm.QueryDate,EOMONTH(val_asOfDate,_xlpm.Lookback),_xlpm.ReadField,_xldudf_CX_GET(CX_ENTITY,fx_attrConverter($C113),_xlpm.QueryDate),_xlpm.AttrBlank,_xlpm.Attr="",_xlpm.RESULT,IF(_xlpm.AttrBlank,val_blankRefText,fx_attrConverter(_xlpm.ReadField,0)),IF(_xlpm.RESULT="Error","",_xlpm.RESULT))</f>
        <v>#NAME?</v>
      </c>
      <c r="F113" s="577" t="str">
        <f t="shared" si="30" ref="F113:F122">IF($B113&lt;&gt;"",$B113,$E113)</f>
        <v>Custom Metric Amount 1 [Calculated]</v>
      </c>
      <c r="G113" s="577" t="s">
        <v>1600</v>
      </c>
      <c r="H113" s="3284">
        <v>1</v>
      </c>
      <c r="I113" s="3284">
        <v>1</v>
      </c>
      <c r="J113" s="401"/>
      <c r="K113" s="401"/>
      <c r="L113" s="401">
        <v>-1</v>
      </c>
      <c r="N113" s="158"/>
      <c r="O113" s="101"/>
      <c r="P113" s="52"/>
      <c r="Q113" s="101"/>
      <c r="R113" s="126"/>
      <c r="S113" s="101"/>
      <c r="T113" s="101"/>
      <c r="U113" s="39"/>
      <c r="W113" s="269" t="str">
        <f>_PL!$W$72</f>
        <v>Budget</v>
      </c>
      <c r="X113" s="2370" t="e" cm="1">
        <f t="array" ca="1" aca="1" ref="X113">_xlfn.LET(_xlpm.toPass,$E113="",_xlpm.hasParts,ISNUMBER(SEARCH("|",$E113)),_xlpm.Part1,INDEX(_xlfn.TEXTSPLIT($E113,"|",,FALSE,1),1),_xlpm.Part1Num,IFERROR(_xlfn.NUMBERVALUE(_xlpm.Part1),_xlpm.Part1),_xlfn.SWITCH(TRUE,_xlpm.toPass,"",_xlpm.hasParts,_xlpm.Part1Num,$E113))</f>
        <v>#NAME?</v>
      </c>
      <c r="Y113" s="590" t="e" cm="1">
        <f t="array" ca="1" aca="1" ref="Y113">_xlfn.LET(_xlpm.PackedString,E113,IF(_xlpm.PackedString="","",IF(ISNUMBER(SEARCH("|",_xlpm.PackedString)),INDEX(_xlfn.TEXTSPLIT(_xlpm.PackedString,"|",,FALSE),2),_xlpm.PackedString)))</f>
        <v>#NAME?</v>
      </c>
      <c r="Z113" s="198" t="e">
        <f ca="1" t="shared" si="31" ref="Z113:Z122">IF(Y113="","",0)</f>
        <v>#NAME?</v>
      </c>
      <c r="AA113" s="877"/>
      <c r="AB113" s="709" t="e" cm="1">
        <f t="array" ca="1" aca="1" ref="AB113">_xlfn.LET(_xlpm.PackedString,E113,IF(_xlpm.PackedString="","",IF(ISNUMBER(SEARCH("|",_xlpm.PackedString)),INDEX(_xlfn.TEXTSPLIT(_xlpm.PackedString,"|",,FALSE),3),_xlpm.PackedString)))</f>
        <v>#NAME?</v>
      </c>
      <c r="AC113" s="275" t="str" cm="1">
        <f t="array" ca="1" aca="1" ref="AC113">_xlfn.LET(_xlpm.Def,IF(_xlfn.XMATCH(AB113,tbl_acctDef[Term],0)&gt;0,fx_getIcon("find"),""),_xlpm.Adj,IF(_xlfn.XMATCH(AB113,tbl_adjExample[Items],0)&gt;0,fx_getIcon("find"),""),IFERROR(IFBLANK(_xlpm.Def,_xlpm.Adj),""))</f>
        <v/>
      </c>
      <c r="AD113" s="1985" t="e" cm="1">
        <f t="array" ca="1" aca="1" ref="AD113">_xlfn.LET(_xlpm.val,IF($F113="",val_blankRefText,_xldudf_CX_GET(CX_ENTITY,$F113,AD$11,AD$14,,(AD$75))),_xlpm.Res,IF(OR(_xlpm.val="",_xlpm.val="Error"),"",_xlpm.val),_xlpm.Res)</f>
        <v>#NAME?</v>
      </c>
      <c r="AE113" s="1985" t="e" cm="1">
        <f t="array" ca="1" aca="1" ref="AE113">_xlfn.LET(_xlpm.val,IF($F113="",val_blankRefText,_xldudf_CX_GET(CX_ENTITY,$F113,AE$11,AE$14,,(AE$75))),_xlpm.Res,IF(OR(_xlpm.val="",_xlpm.val="Error"),"",_xlpm.val),_xlpm.Res)</f>
        <v>#NAME?</v>
      </c>
      <c r="AF113" s="1985" t="e" cm="1">
        <f t="array" ca="1" aca="1" ref="AF113">_xlfn.LET(_xlpm.val,IF($F113="",val_blankRefText,_xldudf_CX_GET(CX_ENTITY,$F113,AF$11,AF$14,,(AF$75))),_xlpm.Res,IF(OR(_xlpm.val="",_xlpm.val="Error"),"",_xlpm.val),_xlpm.Res)</f>
        <v>#NAME?</v>
      </c>
      <c r="AG113" s="1985" t="e" cm="1">
        <f t="array" ca="1" aca="1" ref="AG113">_xlfn.LET(_xlpm.val,IF($F113="",val_blankRefText,_xldudf_CX_GET(CX_ENTITY,$F113,AG$11,AG$14,,(AG$75))),_xlpm.Res,IF(OR(_xlpm.val="",_xlpm.val="Error"),"",_xlpm.val),_xlpm.Res)</f>
        <v>#NAME?</v>
      </c>
      <c r="AH113" s="1985" t="e" cm="1">
        <f t="array" ca="1" aca="1" ref="AH113">_xlfn.LET(_xlpm.val,IF($F113="",val_blankRefText,_xldudf_CX_GET(CX_ENTITY,$F113,AH$11,AH$14,,(AH$75))),_xlpm.Res,IF(OR(_xlpm.val="",_xlpm.val="Error"),"",_xlpm.val),_xlpm.Res)</f>
        <v>#NAME?</v>
      </c>
      <c r="AI113" s="1985" t="e" cm="1">
        <f t="array" ca="1" aca="1" ref="AI113">_xlfn.LET(_xlpm.val,IF($F113="",val_blankRefText,_xldudf_CX_GET(CX_ENTITY,$F113,AI$11,AI$14,,(AI$75))),_xlpm.Res,IF(OR(_xlpm.val="",_xlpm.val="Error"),"",_xlpm.val),_xlpm.Res)</f>
        <v>#NAME?</v>
      </c>
      <c r="AJ113" s="1985" t="e" cm="1">
        <f t="array" ca="1" aca="1" ref="AJ113">_xlfn.LET(_xlpm.val,IF($F113="",val_blankRefText,_xldudf_CX_GET(CX_ENTITY,$F113,AJ$11,AJ$14,,(AJ$75))),_xlpm.Res,IF(OR(_xlpm.val="",_xlpm.val="Error"),"",_xlpm.val),_xlpm.Res)</f>
        <v>#NAME?</v>
      </c>
      <c r="AK113" s="1985" t="e" cm="1">
        <f t="array" ca="1" aca="1" ref="AK113">_xlfn.LET(_xlpm.val,IF($F113="",val_blankRefText,_xldudf_CX_GET(CX_ENTITY,$F113,AK$11,AK$14,,(AK$75))),_xlpm.Res,IF(OR(_xlpm.val="",_xlpm.val="Error"),"",_xlpm.val),_xlpm.Res)</f>
        <v>#NAME?</v>
      </c>
      <c r="AL113" s="1985" t="e" cm="1">
        <f t="array" ca="1" aca="1" ref="AL113">_xlfn.LET(_xlpm.val,IF($F113="",val_blankRefText,_xldudf_CX_GET(CX_ENTITY,$F113,AL$11,AL$14,,(AL$75))),_xlpm.Res,IF(OR(_xlpm.val="",_xlpm.val="Error"),"",_xlpm.val),_xlpm.Res)</f>
        <v>#NAME?</v>
      </c>
      <c r="AM113" s="1985" t="e" cm="1">
        <f t="array" ca="1" aca="1" ref="AM113">_xlfn.LET(_xlpm.val,IF($F113="",val_blankRefText,_xldudf_CX_GET(CX_ENTITY,$F113,AM$11,AM$14,,(AM$75))),_xlpm.Res,IF(OR(_xlpm.val="",_xlpm.val="Error"),"",_xlpm.val),_xlpm.Res)</f>
        <v>#NAME?</v>
      </c>
      <c r="AN113" s="1985" t="e" cm="1">
        <f t="array" ca="1" aca="1" ref="AN113">_xlfn.LET(_xlpm.val,IF($F113="",val_blankRefText,_xldudf_CX_GET(CX_ENTITY,$F113,AN$11,AN$14,,(AN$75))),_xlpm.Res,IF(OR(_xlpm.val="",_xlpm.val="Error"),"",_xlpm.val),_xlpm.Res)</f>
        <v>#NAME?</v>
      </c>
      <c r="AO113" s="1985" t="e" cm="1">
        <f t="array" ca="1" aca="1" ref="AO113">_xlfn.LET(_xlpm.val,IF($F113="",val_blankRefText,_xldudf_CX_GET(CX_ENTITY,$F113,AO$11,AO$14,,(AO$75))),_xlpm.Res,IF(OR(_xlpm.val="",_xlpm.val="Error"),"",_xlpm.val),_xlpm.Res)</f>
        <v>#NAME?</v>
      </c>
      <c r="AP113" s="1985" t="e" cm="1">
        <f t="array" ca="1" aca="1" ref="AP113">_xlfn.LET(_xlpm.val,IF($F113="",val_blankRefText,_xldudf_CX_GET(CX_ENTITY,$F113,AP$11,AP$14,,(AP$75))),_xlpm.Res,IF(OR(_xlpm.val="",_xlpm.val="Error"),"",_xlpm.val),_xlpm.Res)</f>
        <v>#NAME?</v>
      </c>
      <c r="AQ113" s="1985" t="e" cm="1">
        <f t="array" ca="1" aca="1" ref="AQ113">_xlfn.LET(_xlpm.val,IF($F113="",val_blankRefText,_xldudf_CX_GET(CX_ENTITY,$F113,AQ$11,AQ$14,,(AQ$75))),_xlpm.Res,IF(OR(_xlpm.val="",_xlpm.val="Error"),"",_xlpm.val),_xlpm.Res)</f>
        <v>#NAME?</v>
      </c>
      <c r="AR113" s="1985" t="e" cm="1">
        <f t="array" ca="1" aca="1" ref="AR113">_xlfn.LET(_xlpm.val,IF($F113="",val_blankRefText,_xldudf_CX_GET(CX_ENTITY,$F113,AR$11,AR$14,,(AR$75))),_xlpm.Res,IF(OR(_xlpm.val="",_xlpm.val="Error"),"",_xlpm.val),_xlpm.Res)</f>
        <v>#NAME?</v>
      </c>
      <c r="AS113" s="1985" t="e" cm="1">
        <f t="array" ca="1" aca="1" ref="AS113">_xlfn.LET(_xlpm.val,IF($F113="",val_blankRefText,_xldudf_CX_GET(CX_ENTITY,$F113,AS$11,AS$14,,(AS$75))),_xlpm.Res,IF(OR(_xlpm.val="",_xlpm.val="Error"),"",_xlpm.val),_xlpm.Res)</f>
        <v>#NAME?</v>
      </c>
      <c r="AT113" s="1985" t="e" cm="1">
        <f t="array" ca="1" aca="1" ref="AT113">_xlfn.LET(_xlpm.val,IF($F113="",val_blankRefText,_xldudf_CX_GET(CX_ENTITY,$F113,AT$11,AT$14,,(AT$75))),_xlpm.Res,IF(OR(_xlpm.val="",_xlpm.val="Error"),"",_xlpm.val),_xlpm.Res)</f>
        <v>#NAME?</v>
      </c>
      <c r="AU113" s="1985" t="e" cm="1">
        <f t="array" ca="1" aca="1" ref="AU113">_xlfn.LET(_xlpm.val,IF($F113="",val_blankRefText,_xldudf_CX_GET(CX_ENTITY,$F113,AU$11,AU$14,,(AU$75))),_xlpm.Res,IF(OR(_xlpm.val="",_xlpm.val="Error"),"",_xlpm.val),_xlpm.Res)</f>
        <v>#NAME?</v>
      </c>
      <c r="AV113" s="1985" t="e" cm="1">
        <f t="array" ca="1" aca="1" ref="AV113">_xlfn.LET(_xlpm.val,IF($F113="",val_blankRefText,_xldudf_CX_GET(CX_ENTITY,$F113,AV$11,AV$14,,(AV$75))),_xlpm.Res,IF(OR(_xlpm.val="",_xlpm.val="Error"),"",_xlpm.val),_xlpm.Res)</f>
        <v>#NAME?</v>
      </c>
      <c r="AW113" s="1985" t="e" cm="1">
        <f t="array" ca="1" aca="1" ref="AW113">_xlfn.LET(_xlpm.val,IF($F113="",val_blankRefText,_xldudf_CX_GET(CX_ENTITY,$F113,AW$11,AW$14,,(AW$75))),_xlpm.Res,IF(OR(_xlpm.val="",_xlpm.val="Error"),"",_xlpm.val),_xlpm.Res)</f>
        <v>#NAME?</v>
      </c>
      <c r="AX113" s="1985" t="e" cm="1">
        <f t="array" ca="1" aca="1" ref="AX113">_xlfn.LET(_xlpm.val,IF($F113="",val_blankRefText,_xldudf_CX_GET(CX_ENTITY,$F113,AX$11,AX$14,,(AX$75))),_xlpm.Res,IF(OR(_xlpm.val="",_xlpm.val="Error"),"",_xlpm.val),_xlpm.Res)</f>
        <v>#NAME?</v>
      </c>
      <c r="AY113" s="1985" t="e" cm="1">
        <f t="array" ca="1" aca="1" ref="AY113">_xlfn.LET(_xlpm.val,IF($F113="",val_blankRefText,_xldudf_CX_GET(CX_ENTITY,$F113,AY$11,AY$14,,(AY$75))),_xlpm.Res,IF(OR(_xlpm.val="",_xlpm.val="Error"),"",_xlpm.val),_xlpm.Res)</f>
        <v>#NAME?</v>
      </c>
      <c r="AZ113" s="1985" t="e" cm="1">
        <f t="array" ca="1" aca="1" ref="AZ113">_xlfn.LET(_xlpm.val,IF($F113="",val_blankRefText,_xldudf_CX_GET(CX_ENTITY,$F113,AZ$11,AZ$14,,(AZ$75))),_xlpm.Res,IF(OR(_xlpm.val="",_xlpm.val="Error"),"",_xlpm.val),_xlpm.Res)</f>
        <v>#NAME?</v>
      </c>
      <c r="BA113" s="1985" t="e" cm="1">
        <f t="array" ca="1" aca="1" ref="BA113">_xlfn.LET(_xlpm.val,IF($F113="",val_blankRefText,_xldudf_CX_GET(CX_ENTITY,$F113,BA$11,BA$14,,(BA$75))),_xlpm.Res,IF(OR(_xlpm.val="",_xlpm.val="Error"),"",_xlpm.val),_xlpm.Res)</f>
        <v>#NAME?</v>
      </c>
      <c r="BB113" s="1985" t="e" cm="1">
        <f t="array" ca="1" aca="1" ref="BB113">_xlfn.LET(_xlpm.val,IF($F113="",val_blankRefText,_xldudf_CX_GET(CX_ENTITY,$F113,BB$11,BB$14,,(BB$75))),_xlpm.Res,IF(OR(_xlpm.val="",_xlpm.val="Error"),"",_xlpm.val),_xlpm.Res)</f>
        <v>#NAME?</v>
      </c>
      <c r="BC113" s="1985" t="e" cm="1">
        <f t="array" ca="1" aca="1" ref="BC113">_xlfn.LET(_xlpm.val,IF($F113="",val_blankRefText,_xldudf_CX_GET(CX_ENTITY,$F113,BC$11,BC$14,,(BC$75))),_xlpm.Res,IF(OR(_xlpm.val="",_xlpm.val="Error"),"",_xlpm.val),_xlpm.Res)</f>
        <v>#NAME?</v>
      </c>
      <c r="BD113" s="1985" t="e" cm="1">
        <f t="array" ca="1" aca="1" ref="BD113">_xlfn.LET(_xlpm.val,IF($F113="",val_blankRefText,_xldudf_CX_GET(CX_ENTITY,$F113,BD$11,BD$14,,(BD$75))),_xlpm.Res,IF(OR(_xlpm.val="",_xlpm.val="Error"),"",_xlpm.val),_xlpm.Res)</f>
        <v>#NAME?</v>
      </c>
      <c r="BE113" s="1985" t="e" cm="1">
        <f t="array" ca="1" aca="1" ref="BE113">_xlfn.LET(_xlpm.val,IF($F113="",val_blankRefText,_xldudf_CX_GET(CX_ENTITY,$F113,BE$11,BE$14,,(BE$75))),_xlpm.Res,IF(OR(_xlpm.val="",_xlpm.val="Error"),"",_xlpm.val),_xlpm.Res)</f>
        <v>#NAME?</v>
      </c>
      <c r="BF113" s="1985" t="e" cm="1">
        <f t="array" ca="1" aca="1" ref="BF113">_xlfn.LET(_xlpm.val,IF($F113="",val_blankRefText,_xldudf_CX_GET(CX_ENTITY,$F113,BF$11,BF$14,,(BF$75))),_xlpm.Res,IF(OR(_xlpm.val="",_xlpm.val="Error"),"",_xlpm.val),_xlpm.Res)</f>
        <v>#NAME?</v>
      </c>
      <c r="BG113" s="1985" t="e" cm="1">
        <f t="array" ca="1" aca="1" ref="BG113">_xlfn.LET(_xlpm.val,IF($F113="",val_blankRefText,_xldudf_CX_GET(CX_ENTITY,$F113,BG$11,BG$14,,(BG$75))),_xlpm.Res,IF(OR(_xlpm.val="",_xlpm.val="Error"),"",_xlpm.val),_xlpm.Res)</f>
        <v>#NAME?</v>
      </c>
      <c r="BH113" s="1985" t="e" cm="1">
        <f t="array" ca="1" aca="1" ref="BH113">_xlfn.LET(_xlpm.val,IF($F113="",val_blankRefText,_xldudf_CX_GET(CX_ENTITY,$F113,BH$11,BH$14,,(BH$75))),_xlpm.Res,IF(OR(_xlpm.val="",_xlpm.val="Error"),"",_xlpm.val),_xlpm.Res)</f>
        <v>#NAME?</v>
      </c>
      <c r="BI113" s="1985" t="e" cm="1">
        <f t="array" ca="1" aca="1" ref="BI113">_xlfn.LET(_xlpm.val,IF($F113="",val_blankRefText,_xldudf_CX_GET(CX_ENTITY,$F113,BI$11,BI$14,,(BI$75))),_xlpm.Res,IF(OR(_xlpm.val="",_xlpm.val="Error"),"",_xlpm.val),_xlpm.Res)</f>
        <v>#NAME?</v>
      </c>
      <c r="BJ113" s="1985" t="e" cm="1">
        <f t="array" ca="1" aca="1" ref="BJ113">_xlfn.LET(_xlpm.val,IF($F113="",val_blankRefText,_xldudf_CX_GET(CX_ENTITY,$F113,BJ$11,BJ$14,,(BJ$75))),_xlpm.Res,IF(OR(_xlpm.val="",_xlpm.val="Error"),"",_xlpm.val),_xlpm.Res)</f>
        <v>#NAME?</v>
      </c>
      <c r="BK113" s="1985" t="e" cm="1">
        <f t="array" ca="1" aca="1" ref="BK113">_xlfn.LET(_xlpm.val,IF($F113="",val_blankRefText,_xldudf_CX_GET(CX_ENTITY,$F113,BK$11,BK$14,,(BK$75))),_xlpm.Res,IF(OR(_xlpm.val="",_xlpm.val="Error"),"",_xlpm.val),_xlpm.Res)</f>
        <v>#NAME?</v>
      </c>
      <c r="BL113" s="1985" t="e" cm="1">
        <f t="array" ca="1" aca="1" ref="BL113">_xlfn.LET(_xlpm.val,IF($F113="",val_blankRefText,_xldudf_CX_GET(CX_ENTITY,$F113,BL$11,BL$14,,(BL$75))),_xlpm.Res,IF(OR(_xlpm.val="",_xlpm.val="Error"),"",_xlpm.val),_xlpm.Res)</f>
        <v>#NAME?</v>
      </c>
      <c r="BM113" s="1985" t="e" cm="1">
        <f t="array" ca="1" aca="1" ref="BM113">_xlfn.LET(_xlpm.val,IF($F113="",val_blankRefText,_xldudf_CX_GET(CX_ENTITY,$F113,BM$11,BM$14,,(BM$75))),_xlpm.Res,IF(OR(_xlpm.val="",_xlpm.val="Error"),"",_xlpm.val),_xlpm.Res)</f>
        <v>#NAME?</v>
      </c>
      <c r="BN113" s="1985" t="e" cm="1">
        <f t="array" ca="1" aca="1" ref="BN113">_xlfn.LET(_xlpm.val,IF($F113="",val_blankRefText,_xldudf_CX_GET(CX_ENTITY,$F113,BN$11,BN$14,,(BN$75))),_xlpm.Res,IF(OR(_xlpm.val="",_xlpm.val="Error"),"",_xlpm.val),_xlpm.Res)</f>
        <v>#NAME?</v>
      </c>
      <c r="BO113" s="2101"/>
      <c r="BP113" s="2101"/>
      <c r="BQ113" s="2101"/>
      <c r="BR113" s="2101"/>
      <c r="BS113" s="2101"/>
      <c r="BT113" s="2101"/>
      <c r="BU113" s="2101"/>
      <c r="BV113" s="2101"/>
      <c r="BW113" s="2101"/>
      <c r="BX113" s="2101"/>
      <c r="BY113" s="2101"/>
      <c r="BZ113" s="2101"/>
      <c r="CA113" s="34"/>
      <c r="CC113" s="33"/>
      <c r="CD113" s="1461"/>
      <c r="CE113" s="1461"/>
      <c r="CF113" s="1662"/>
      <c r="CG113" s="1461"/>
      <c r="CH113" s="1461"/>
      <c r="CI113" s="1662"/>
      <c r="CJ113" s="1461" t="str" cm="1">
        <f t="array" ca="1" aca="1" ref="CJ113">_xlfn.LET(_xlpm.CheckBlank,SUM(PL!$AD113:$BN113)=0,IF(_xlpm.CheckBlank,"",SUM(_xlfn.TAKE(_xlfn.DROP(PL!$AD113:$BN113,,-DATEDIFF(PL!CJ$11,val_asOfDate,"M")),1,-12))))</f>
        <v/>
      </c>
      <c r="CK113" s="1461" t="str" cm="1">
        <f t="array" ca="1" aca="1" ref="CK113">_xlfn.LET(_xlpm.CheckBlank,SUM(PL!$AD113:$BN113)=0,IF(_xlpm.CheckBlank,"",SUM(_xlfn.TAKE(_xlfn.DROP(PL!$AD113:$BN113,,-DATEDIFF(PL!CK$11,val_asOfDate,"M")),1,-12))))</f>
        <v/>
      </c>
      <c r="CL113" s="1662"/>
      <c r="CM113" s="1661" t="e">
        <f ca="1">CM57</f>
        <v>#NAME?</v>
      </c>
      <c r="CN113" s="1661" t="e">
        <f ca="1">CN57</f>
        <v>#NAME?</v>
      </c>
      <c r="CO113" s="1662"/>
      <c r="CP113" s="1661" t="e">
        <f ca="1">CP57</f>
        <v>#NAME?</v>
      </c>
      <c r="CQ113" s="1661" t="e">
        <f ca="1">CQ57</f>
        <v>#NAME?</v>
      </c>
      <c r="CR113" s="34"/>
    </row>
    <row r="114" spans="1:96" ht="21" customHeight="1" outlineLevel="1">
      <c r="A114" s="1322"/>
      <c r="B114" s="574" t="s">
        <v>1580</v>
      </c>
      <c r="C114" s="2125" t="s">
        <v>1581</v>
      </c>
      <c r="D114" s="577"/>
      <c r="E114" s="1615" t="e" cm="1">
        <f t="array" ca="1" aca="1" ref="E114">_xlfn.LET(_xlpm.Attr,$C114,_xlpm.Lookback,$E$16,_xlpm.QueryDate,EOMONTH(val_asOfDate,_xlpm.Lookback),_xlpm.ReadField,_xldudf_CX_GET(CX_ENTITY,fx_attrConverter($C114),_xlpm.QueryDate),_xlpm.AttrBlank,_xlpm.Attr="",_xlpm.RESULT,IF(_xlpm.AttrBlank,val_blankRefText,fx_attrConverter(_xlpm.ReadField,0)),IF(_xlpm.RESULT="Error","",_xlpm.RESULT))</f>
        <v>#NAME?</v>
      </c>
      <c r="F114" s="577" t="str">
        <f t="shared" si="30"/>
        <v>Custom Metric Amount 2 [Calculated]</v>
      </c>
      <c r="G114" s="577" t="s">
        <v>1600</v>
      </c>
      <c r="H114" s="3280">
        <v>1</v>
      </c>
      <c r="I114" s="3280">
        <v>1</v>
      </c>
      <c r="J114" s="401"/>
      <c r="K114" s="401"/>
      <c r="L114" s="401">
        <v>-1</v>
      </c>
      <c r="N114" s="158"/>
      <c r="O114" s="101"/>
      <c r="P114" s="52"/>
      <c r="Q114" s="101"/>
      <c r="R114" s="126"/>
      <c r="S114" s="101"/>
      <c r="T114" s="101"/>
      <c r="U114" s="39"/>
      <c r="W114" s="91" t="str">
        <f>_PL!$W$72</f>
        <v>Budget</v>
      </c>
      <c r="X114" s="2370" t="e" cm="1">
        <f t="array" ca="1" aca="1" ref="X114">_xlfn.LET(_xlpm.toPass,$E114="",_xlpm.hasParts,ISNUMBER(SEARCH("|",$E114)),_xlpm.Part1,INDEX(_xlfn.TEXTSPLIT($E114,"|",,FALSE,1),1),_xlpm.Part1Num,IFERROR(_xlfn.NUMBERVALUE(_xlpm.Part1),_xlpm.Part1),_xlfn.SWITCH(TRUE,_xlpm.toPass,"",_xlpm.hasParts,_xlpm.Part1Num,$E114))</f>
        <v>#NAME?</v>
      </c>
      <c r="Y114" s="590" t="e" cm="1">
        <f t="array" ca="1" aca="1" ref="Y114">_xlfn.LET(_xlpm.PackedString,E114,IF(_xlpm.PackedString="","",IF(ISNUMBER(SEARCH("|",_xlpm.PackedString)),INDEX(_xlfn.TEXTSPLIT(_xlpm.PackedString,"|",,FALSE),2),_xlpm.PackedString)))</f>
        <v>#NAME?</v>
      </c>
      <c r="Z114" s="198" t="e">
        <f t="shared" ca="1" si="31"/>
        <v>#NAME?</v>
      </c>
      <c r="AA114" s="200"/>
      <c r="AB114" s="709" t="e" cm="1">
        <f t="array" ca="1" aca="1" ref="AB114">_xlfn.LET(_xlpm.PackedString,E114,IF(_xlpm.PackedString="","",IF(ISNUMBER(SEARCH("|",_xlpm.PackedString)),INDEX(_xlfn.TEXTSPLIT(_xlpm.PackedString,"|",,FALSE),3),_xlpm.PackedString)))</f>
        <v>#NAME?</v>
      </c>
      <c r="AC114" s="275" t="str" cm="1">
        <f t="array" ca="1" aca="1" ref="AC114">_xlfn.LET(_xlpm.Def,IF(_xlfn.XMATCH(AB114,tbl_acctDef[Term],0)&gt;0,fx_getIcon("find"),""),_xlpm.Adj,IF(_xlfn.XMATCH(AB114,tbl_adjExample[Items],0)&gt;0,fx_getIcon("find"),""),IFERROR(IFBLANK(_xlpm.Def,_xlpm.Adj),""))</f>
        <v/>
      </c>
      <c r="AD114" s="1985" t="e" cm="1">
        <f t="array" ca="1" aca="1" ref="AD114">_xlfn.LET(_xlpm.val,IF($F114="",val_blankRefText,_xldudf_CX_GET(CX_ENTITY,$F114,AD$11,AD$14,,(AD$75))),_xlpm.Res,IF(OR(_xlpm.val="",_xlpm.val="Error"),"",_xlpm.val),_xlpm.Res)</f>
        <v>#NAME?</v>
      </c>
      <c r="AE114" s="1985" t="e" cm="1">
        <f t="array" ca="1" aca="1" ref="AE114">_xlfn.LET(_xlpm.val,IF($F114="",val_blankRefText,_xldudf_CX_GET(CX_ENTITY,$F114,AE$11,AE$14,,(AE$75))),_xlpm.Res,IF(OR(_xlpm.val="",_xlpm.val="Error"),"",_xlpm.val),_xlpm.Res)</f>
        <v>#NAME?</v>
      </c>
      <c r="AF114" s="1985" t="e" cm="1">
        <f t="array" ca="1" aca="1" ref="AF114">_xlfn.LET(_xlpm.val,IF($F114="",val_blankRefText,_xldudf_CX_GET(CX_ENTITY,$F114,AF$11,AF$14,,(AF$75))),_xlpm.Res,IF(OR(_xlpm.val="",_xlpm.val="Error"),"",_xlpm.val),_xlpm.Res)</f>
        <v>#NAME?</v>
      </c>
      <c r="AG114" s="1985" t="e" cm="1">
        <f t="array" ca="1" aca="1" ref="AG114">_xlfn.LET(_xlpm.val,IF($F114="",val_blankRefText,_xldudf_CX_GET(CX_ENTITY,$F114,AG$11,AG$14,,(AG$75))),_xlpm.Res,IF(OR(_xlpm.val="",_xlpm.val="Error"),"",_xlpm.val),_xlpm.Res)</f>
        <v>#NAME?</v>
      </c>
      <c r="AH114" s="1985" t="e" cm="1">
        <f t="array" ca="1" aca="1" ref="AH114">_xlfn.LET(_xlpm.val,IF($F114="",val_blankRefText,_xldudf_CX_GET(CX_ENTITY,$F114,AH$11,AH$14,,(AH$75))),_xlpm.Res,IF(OR(_xlpm.val="",_xlpm.val="Error"),"",_xlpm.val),_xlpm.Res)</f>
        <v>#NAME?</v>
      </c>
      <c r="AI114" s="1985" t="e" cm="1">
        <f t="array" ca="1" aca="1" ref="AI114">_xlfn.LET(_xlpm.val,IF($F114="",val_blankRefText,_xldudf_CX_GET(CX_ENTITY,$F114,AI$11,AI$14,,(AI$75))),_xlpm.Res,IF(OR(_xlpm.val="",_xlpm.val="Error"),"",_xlpm.val),_xlpm.Res)</f>
        <v>#NAME?</v>
      </c>
      <c r="AJ114" s="1985" t="e" cm="1">
        <f t="array" ca="1" aca="1" ref="AJ114">_xlfn.LET(_xlpm.val,IF($F114="",val_blankRefText,_xldudf_CX_GET(CX_ENTITY,$F114,AJ$11,AJ$14,,(AJ$75))),_xlpm.Res,IF(OR(_xlpm.val="",_xlpm.val="Error"),"",_xlpm.val),_xlpm.Res)</f>
        <v>#NAME?</v>
      </c>
      <c r="AK114" s="1985" t="e" cm="1">
        <f t="array" ca="1" aca="1" ref="AK114">_xlfn.LET(_xlpm.val,IF($F114="",val_blankRefText,_xldudf_CX_GET(CX_ENTITY,$F114,AK$11,AK$14,,(AK$75))),_xlpm.Res,IF(OR(_xlpm.val="",_xlpm.val="Error"),"",_xlpm.val),_xlpm.Res)</f>
        <v>#NAME?</v>
      </c>
      <c r="AL114" s="1985" t="e" cm="1">
        <f t="array" ca="1" aca="1" ref="AL114">_xlfn.LET(_xlpm.val,IF($F114="",val_blankRefText,_xldudf_CX_GET(CX_ENTITY,$F114,AL$11,AL$14,,(AL$75))),_xlpm.Res,IF(OR(_xlpm.val="",_xlpm.val="Error"),"",_xlpm.val),_xlpm.Res)</f>
        <v>#NAME?</v>
      </c>
      <c r="AM114" s="1985" t="e" cm="1">
        <f t="array" ca="1" aca="1" ref="AM114">_xlfn.LET(_xlpm.val,IF($F114="",val_blankRefText,_xldudf_CX_GET(CX_ENTITY,$F114,AM$11,AM$14,,(AM$75))),_xlpm.Res,IF(OR(_xlpm.val="",_xlpm.val="Error"),"",_xlpm.val),_xlpm.Res)</f>
        <v>#NAME?</v>
      </c>
      <c r="AN114" s="1985" t="e" cm="1">
        <f t="array" ca="1" aca="1" ref="AN114">_xlfn.LET(_xlpm.val,IF($F114="",val_blankRefText,_xldudf_CX_GET(CX_ENTITY,$F114,AN$11,AN$14,,(AN$75))),_xlpm.Res,IF(OR(_xlpm.val="",_xlpm.val="Error"),"",_xlpm.val),_xlpm.Res)</f>
        <v>#NAME?</v>
      </c>
      <c r="AO114" s="1985" t="e" cm="1">
        <f t="array" ca="1" aca="1" ref="AO114">_xlfn.LET(_xlpm.val,IF($F114="",val_blankRefText,_xldudf_CX_GET(CX_ENTITY,$F114,AO$11,AO$14,,(AO$75))),_xlpm.Res,IF(OR(_xlpm.val="",_xlpm.val="Error"),"",_xlpm.val),_xlpm.Res)</f>
        <v>#NAME?</v>
      </c>
      <c r="AP114" s="1985" t="e" cm="1">
        <f t="array" ca="1" aca="1" ref="AP114">_xlfn.LET(_xlpm.val,IF($F114="",val_blankRefText,_xldudf_CX_GET(CX_ENTITY,$F114,AP$11,AP$14,,(AP$75))),_xlpm.Res,IF(OR(_xlpm.val="",_xlpm.val="Error"),"",_xlpm.val),_xlpm.Res)</f>
        <v>#NAME?</v>
      </c>
      <c r="AQ114" s="1985" t="e" cm="1">
        <f t="array" ca="1" aca="1" ref="AQ114">_xlfn.LET(_xlpm.val,IF($F114="",val_blankRefText,_xldudf_CX_GET(CX_ENTITY,$F114,AQ$11,AQ$14,,(AQ$75))),_xlpm.Res,IF(OR(_xlpm.val="",_xlpm.val="Error"),"",_xlpm.val),_xlpm.Res)</f>
        <v>#NAME?</v>
      </c>
      <c r="AR114" s="1985" t="e" cm="1">
        <f t="array" ca="1" aca="1" ref="AR114">_xlfn.LET(_xlpm.val,IF($F114="",val_blankRefText,_xldudf_CX_GET(CX_ENTITY,$F114,AR$11,AR$14,,(AR$75))),_xlpm.Res,IF(OR(_xlpm.val="",_xlpm.val="Error"),"",_xlpm.val),_xlpm.Res)</f>
        <v>#NAME?</v>
      </c>
      <c r="AS114" s="1985" t="e" cm="1">
        <f t="array" ca="1" aca="1" ref="AS114">_xlfn.LET(_xlpm.val,IF($F114="",val_blankRefText,_xldudf_CX_GET(CX_ENTITY,$F114,AS$11,AS$14,,(AS$75))),_xlpm.Res,IF(OR(_xlpm.val="",_xlpm.val="Error"),"",_xlpm.val),_xlpm.Res)</f>
        <v>#NAME?</v>
      </c>
      <c r="AT114" s="1985" t="e" cm="1">
        <f t="array" ca="1" aca="1" ref="AT114">_xlfn.LET(_xlpm.val,IF($F114="",val_blankRefText,_xldudf_CX_GET(CX_ENTITY,$F114,AT$11,AT$14,,(AT$75))),_xlpm.Res,IF(OR(_xlpm.val="",_xlpm.val="Error"),"",_xlpm.val),_xlpm.Res)</f>
        <v>#NAME?</v>
      </c>
      <c r="AU114" s="1985" t="e" cm="1">
        <f t="array" ca="1" aca="1" ref="AU114">_xlfn.LET(_xlpm.val,IF($F114="",val_blankRefText,_xldudf_CX_GET(CX_ENTITY,$F114,AU$11,AU$14,,(AU$75))),_xlpm.Res,IF(OR(_xlpm.val="",_xlpm.val="Error"),"",_xlpm.val),_xlpm.Res)</f>
        <v>#NAME?</v>
      </c>
      <c r="AV114" s="1985" t="e" cm="1">
        <f t="array" ca="1" aca="1" ref="AV114">_xlfn.LET(_xlpm.val,IF($F114="",val_blankRefText,_xldudf_CX_GET(CX_ENTITY,$F114,AV$11,AV$14,,(AV$75))),_xlpm.Res,IF(OR(_xlpm.val="",_xlpm.val="Error"),"",_xlpm.val),_xlpm.Res)</f>
        <v>#NAME?</v>
      </c>
      <c r="AW114" s="1985" t="e" cm="1">
        <f t="array" ca="1" aca="1" ref="AW114">_xlfn.LET(_xlpm.val,IF($F114="",val_blankRefText,_xldudf_CX_GET(CX_ENTITY,$F114,AW$11,AW$14,,(AW$75))),_xlpm.Res,IF(OR(_xlpm.val="",_xlpm.val="Error"),"",_xlpm.val),_xlpm.Res)</f>
        <v>#NAME?</v>
      </c>
      <c r="AX114" s="1985" t="e" cm="1">
        <f t="array" ca="1" aca="1" ref="AX114">_xlfn.LET(_xlpm.val,IF($F114="",val_blankRefText,_xldudf_CX_GET(CX_ENTITY,$F114,AX$11,AX$14,,(AX$75))),_xlpm.Res,IF(OR(_xlpm.val="",_xlpm.val="Error"),"",_xlpm.val),_xlpm.Res)</f>
        <v>#NAME?</v>
      </c>
      <c r="AY114" s="1985" t="e" cm="1">
        <f t="array" ca="1" aca="1" ref="AY114">_xlfn.LET(_xlpm.val,IF($F114="",val_blankRefText,_xldudf_CX_GET(CX_ENTITY,$F114,AY$11,AY$14,,(AY$75))),_xlpm.Res,IF(OR(_xlpm.val="",_xlpm.val="Error"),"",_xlpm.val),_xlpm.Res)</f>
        <v>#NAME?</v>
      </c>
      <c r="AZ114" s="1985" t="e" cm="1">
        <f t="array" ca="1" aca="1" ref="AZ114">_xlfn.LET(_xlpm.val,IF($F114="",val_blankRefText,_xldudf_CX_GET(CX_ENTITY,$F114,AZ$11,AZ$14,,(AZ$75))),_xlpm.Res,IF(OR(_xlpm.val="",_xlpm.val="Error"),"",_xlpm.val),_xlpm.Res)</f>
        <v>#NAME?</v>
      </c>
      <c r="BA114" s="1985" t="e" cm="1">
        <f t="array" ca="1" aca="1" ref="BA114">_xlfn.LET(_xlpm.val,IF($F114="",val_blankRefText,_xldudf_CX_GET(CX_ENTITY,$F114,BA$11,BA$14,,(BA$75))),_xlpm.Res,IF(OR(_xlpm.val="",_xlpm.val="Error"),"",_xlpm.val),_xlpm.Res)</f>
        <v>#NAME?</v>
      </c>
      <c r="BB114" s="1985" t="e" cm="1">
        <f t="array" ca="1" aca="1" ref="BB114">_xlfn.LET(_xlpm.val,IF($F114="",val_blankRefText,_xldudf_CX_GET(CX_ENTITY,$F114,BB$11,BB$14,,(BB$75))),_xlpm.Res,IF(OR(_xlpm.val="",_xlpm.val="Error"),"",_xlpm.val),_xlpm.Res)</f>
        <v>#NAME?</v>
      </c>
      <c r="BC114" s="1985" t="e" cm="1">
        <f t="array" ca="1" aca="1" ref="BC114">_xlfn.LET(_xlpm.val,IF($F114="",val_blankRefText,_xldudf_CX_GET(CX_ENTITY,$F114,BC$11,BC$14,,(BC$75))),_xlpm.Res,IF(OR(_xlpm.val="",_xlpm.val="Error"),"",_xlpm.val),_xlpm.Res)</f>
        <v>#NAME?</v>
      </c>
      <c r="BD114" s="1985" t="e" cm="1">
        <f t="array" ca="1" aca="1" ref="BD114">_xlfn.LET(_xlpm.val,IF($F114="",val_blankRefText,_xldudf_CX_GET(CX_ENTITY,$F114,BD$11,BD$14,,(BD$75))),_xlpm.Res,IF(OR(_xlpm.val="",_xlpm.val="Error"),"",_xlpm.val),_xlpm.Res)</f>
        <v>#NAME?</v>
      </c>
      <c r="BE114" s="1985" t="e" cm="1">
        <f t="array" ca="1" aca="1" ref="BE114">_xlfn.LET(_xlpm.val,IF($F114="",val_blankRefText,_xldudf_CX_GET(CX_ENTITY,$F114,BE$11,BE$14,,(BE$75))),_xlpm.Res,IF(OR(_xlpm.val="",_xlpm.val="Error"),"",_xlpm.val),_xlpm.Res)</f>
        <v>#NAME?</v>
      </c>
      <c r="BF114" s="1985" t="e" cm="1">
        <f t="array" ca="1" aca="1" ref="BF114">_xlfn.LET(_xlpm.val,IF($F114="",val_blankRefText,_xldudf_CX_GET(CX_ENTITY,$F114,BF$11,BF$14,,(BF$75))),_xlpm.Res,IF(OR(_xlpm.val="",_xlpm.val="Error"),"",_xlpm.val),_xlpm.Res)</f>
        <v>#NAME?</v>
      </c>
      <c r="BG114" s="1985" t="e" cm="1">
        <f t="array" ca="1" aca="1" ref="BG114">_xlfn.LET(_xlpm.val,IF($F114="",val_blankRefText,_xldudf_CX_GET(CX_ENTITY,$F114,BG$11,BG$14,,(BG$75))),_xlpm.Res,IF(OR(_xlpm.val="",_xlpm.val="Error"),"",_xlpm.val),_xlpm.Res)</f>
        <v>#NAME?</v>
      </c>
      <c r="BH114" s="1985" t="e" cm="1">
        <f t="array" ca="1" aca="1" ref="BH114">_xlfn.LET(_xlpm.val,IF($F114="",val_blankRefText,_xldudf_CX_GET(CX_ENTITY,$F114,BH$11,BH$14,,(BH$75))),_xlpm.Res,IF(OR(_xlpm.val="",_xlpm.val="Error"),"",_xlpm.val),_xlpm.Res)</f>
        <v>#NAME?</v>
      </c>
      <c r="BI114" s="1985" t="e" cm="1">
        <f t="array" ca="1" aca="1" ref="BI114">_xlfn.LET(_xlpm.val,IF($F114="",val_blankRefText,_xldudf_CX_GET(CX_ENTITY,$F114,BI$11,BI$14,,(BI$75))),_xlpm.Res,IF(OR(_xlpm.val="",_xlpm.val="Error"),"",_xlpm.val),_xlpm.Res)</f>
        <v>#NAME?</v>
      </c>
      <c r="BJ114" s="1985" t="e" cm="1">
        <f t="array" ca="1" aca="1" ref="BJ114">_xlfn.LET(_xlpm.val,IF($F114="",val_blankRefText,_xldudf_CX_GET(CX_ENTITY,$F114,BJ$11,BJ$14,,(BJ$75))),_xlpm.Res,IF(OR(_xlpm.val="",_xlpm.val="Error"),"",_xlpm.val),_xlpm.Res)</f>
        <v>#NAME?</v>
      </c>
      <c r="BK114" s="1985" t="e" cm="1">
        <f t="array" ca="1" aca="1" ref="BK114">_xlfn.LET(_xlpm.val,IF($F114="",val_blankRefText,_xldudf_CX_GET(CX_ENTITY,$F114,BK$11,BK$14,,(BK$75))),_xlpm.Res,IF(OR(_xlpm.val="",_xlpm.val="Error"),"",_xlpm.val),_xlpm.Res)</f>
        <v>#NAME?</v>
      </c>
      <c r="BL114" s="1985" t="e" cm="1">
        <f t="array" ca="1" aca="1" ref="BL114">_xlfn.LET(_xlpm.val,IF($F114="",val_blankRefText,_xldudf_CX_GET(CX_ENTITY,$F114,BL$11,BL$14,,(BL$75))),_xlpm.Res,IF(OR(_xlpm.val="",_xlpm.val="Error"),"",_xlpm.val),_xlpm.Res)</f>
        <v>#NAME?</v>
      </c>
      <c r="BM114" s="1985" t="e" cm="1">
        <f t="array" ca="1" aca="1" ref="BM114">_xlfn.LET(_xlpm.val,IF($F114="",val_blankRefText,_xldudf_CX_GET(CX_ENTITY,$F114,BM$11,BM$14,,(BM$75))),_xlpm.Res,IF(OR(_xlpm.val="",_xlpm.val="Error"),"",_xlpm.val),_xlpm.Res)</f>
        <v>#NAME?</v>
      </c>
      <c r="BN114" s="1985" t="e" cm="1">
        <f t="array" ca="1" aca="1" ref="BN114">_xlfn.LET(_xlpm.val,IF($F114="",val_blankRefText,_xldudf_CX_GET(CX_ENTITY,$F114,BN$11,BN$14,,(BN$75))),_xlpm.Res,IF(OR(_xlpm.val="",_xlpm.val="Error"),"",_xlpm.val),_xlpm.Res)</f>
        <v>#NAME?</v>
      </c>
      <c r="BO114" s="2101"/>
      <c r="BP114" s="2101"/>
      <c r="BQ114" s="2101"/>
      <c r="BR114" s="2101"/>
      <c r="BS114" s="2101"/>
      <c r="BT114" s="2101"/>
      <c r="BU114" s="2101"/>
      <c r="BV114" s="2101"/>
      <c r="BW114" s="2101"/>
      <c r="BX114" s="2101"/>
      <c r="BY114" s="2101"/>
      <c r="BZ114" s="2101"/>
      <c r="CA114" s="34"/>
      <c r="CC114" s="33"/>
      <c r="CD114" s="1772" t="str" cm="1">
        <f t="array" ref="CD114">_xlfn.LET(_xlpm.CheckBlank,SUM(PL!$AD114:PL!$BN114)=0,IF(_xlpm.CheckBlank,"",SUM(_xlfn._xlws.FILTER(PL!$AD114:$BN114,(YEAR(PL!$AD$12:$BN$12)=PL!CD$12)*(array_timeline&lt;=PL!CD$11)))))</f>
        <v/>
      </c>
      <c r="CE114" s="1772" t="str" cm="1">
        <f t="array" ref="CE114">_xlfn.LET(_xlpm.CheckBlank,SUM(PL!$AD114:PL!$BN114)=0,IF(_xlpm.CheckBlank,"",SUM(_xlfn._xlws.FILTER(PL!$AD114:$BN114,(YEAR(PL!$AD$12:$BN$12)=PL!CE$12)*(array_timeline&lt;=PL!CE$11)))))</f>
        <v/>
      </c>
      <c r="CF114" s="3"/>
      <c r="CG114" s="1461" t="str" cm="1">
        <f t="array" ref="CG114">_xlfn.LET(_xlpm.CheckBlank,SUM(PL!$AD114:$BN114)=0,IF(_xlpm.CheckBlank,"",SUM(_xlfn._xlws.FILTER(PL!$AD114:$BN114,(YEAR(PL!$AD$12:$BN$12)=PL!CG$12)*(array_timeline&lt;=PL!CG$11)))))</f>
        <v/>
      </c>
      <c r="CH114" s="1461" t="str" cm="1">
        <f t="array" ref="CH114">_xlfn.LET(_xlpm.CheckBlank,SUM(PL!$AD114:$BN114)=0,IF(_xlpm.CheckBlank,"",SUM(_xlfn._xlws.FILTER(PL!$AD114:$BN114,(YEAR(PL!$AD$12:$BN$12)=PL!CH$12)*(array_timeline&lt;=PL!CH$11)))))</f>
        <v/>
      </c>
      <c r="CI114" s="3"/>
      <c r="CJ114" s="1461" t="str" cm="1">
        <f t="array" ref="CJ114">_xlfn.LET(_xlpm.CheckBlank,SUM(PL!$AD114:$BN114)=0,IF(_xlpm.CheckBlank,"",SUM(_xlfn.TAKE(_xlfn.DROP(PL!$AD114:$BN114,,-DATEDIFF(PL!CJ$11,val_asOfDate,"M")),1,-12))))</f>
        <v/>
      </c>
      <c r="CK114" s="1461" t="str" cm="1">
        <f t="array" ref="CK114">_xlfn.LET(_xlpm.CheckBlank,SUM(PL!$AD114:$BN114)=0,IF(_xlpm.CheckBlank,"",SUM(_xlfn.TAKE(_xlfn.DROP(PL!$AD114:$BN114,,-DATEDIFF(PL!CK$11,val_asOfDate,"M")),1,-12))))</f>
        <v/>
      </c>
      <c r="CL114" s="3"/>
      <c r="CM114" s="1661" t="e">
        <f ca="1">CM58</f>
        <v>#NAME?</v>
      </c>
      <c r="CN114" s="1661" t="e">
        <f ca="1">CN58</f>
        <v>#NAME?</v>
      </c>
      <c r="CO114" s="3"/>
      <c r="CP114" s="1661" t="e">
        <f ca="1">CP58</f>
        <v>#NAME?</v>
      </c>
      <c r="CQ114" s="1661" t="e">
        <f ca="1">CQ58</f>
        <v>#NAME?</v>
      </c>
      <c r="CR114" s="34"/>
    </row>
    <row r="115" spans="1:96" ht="21" customHeight="1" outlineLevel="1">
      <c r="A115" s="1322"/>
      <c r="B115" s="574" t="s">
        <v>1582</v>
      </c>
      <c r="C115" s="2131" t="s">
        <v>1583</v>
      </c>
      <c r="D115" s="577"/>
      <c r="E115" s="1615" t="e" cm="1">
        <f t="array" ca="1" aca="1" ref="E115">_xlfn.LET(_xlpm.Attr,$C115,_xlpm.Lookback,$E$16,_xlpm.QueryDate,EOMONTH(val_asOfDate,_xlpm.Lookback),_xlpm.ReadField,_xldudf_CX_GET(CX_ENTITY,fx_attrConverter($C115),_xlpm.QueryDate),_xlpm.AttrBlank,_xlpm.Attr="",_xlpm.RESULT,IF(_xlpm.AttrBlank,val_blankRefText,fx_attrConverter(_xlpm.ReadField,0)),IF(_xlpm.RESULT="Error","",_xlpm.RESULT))</f>
        <v>#NAME?</v>
      </c>
      <c r="F115" s="577" t="str">
        <f t="shared" si="30"/>
        <v>Custom Metric Amount 3 [Calculated]</v>
      </c>
      <c r="G115" s="577" t="s">
        <v>1600</v>
      </c>
      <c r="H115" s="3280">
        <v>1</v>
      </c>
      <c r="I115" s="3280">
        <v>1</v>
      </c>
      <c r="J115" s="401"/>
      <c r="K115" s="401"/>
      <c r="L115" s="581" t="b">
        <v>0</v>
      </c>
      <c r="N115" s="158"/>
      <c r="O115" s="101"/>
      <c r="P115" s="52"/>
      <c r="Q115" s="101"/>
      <c r="R115" s="126"/>
      <c r="S115" s="101"/>
      <c r="T115" s="101"/>
      <c r="U115" s="39"/>
      <c r="W115" s="91" t="str">
        <f>_PL!$W$72</f>
        <v>Budget</v>
      </c>
      <c r="X115" s="2370" t="e" cm="1">
        <f t="array" ca="1" aca="1" ref="X115">_xlfn.LET(_xlpm.toPass,$E115="",_xlpm.hasParts,ISNUMBER(SEARCH("|",$E115)),_xlpm.Part1,INDEX(_xlfn.TEXTSPLIT($E115,"|",,FALSE,1),1),_xlpm.Part1Num,IFERROR(_xlfn.NUMBERVALUE(_xlpm.Part1),_xlpm.Part1),_xlfn.SWITCH(TRUE,_xlpm.toPass,"",_xlpm.hasParts,_xlpm.Part1Num,$E115))</f>
        <v>#NAME?</v>
      </c>
      <c r="Y115" s="590" t="e" cm="1">
        <f t="array" ca="1" aca="1" ref="Y115">_xlfn.LET(_xlpm.PackedString,E115,IF(_xlpm.PackedString="","",IF(ISNUMBER(SEARCH("|",_xlpm.PackedString)),INDEX(_xlfn.TEXTSPLIT(_xlpm.PackedString,"|",,FALSE),2),_xlpm.PackedString)))</f>
        <v>#NAME?</v>
      </c>
      <c r="Z115" s="198" t="e">
        <f t="shared" ca="1" si="31"/>
        <v>#NAME?</v>
      </c>
      <c r="AA115" s="200"/>
      <c r="AB115" s="709" t="e" cm="1">
        <f t="array" ca="1" aca="1" ref="AB115">_xlfn.LET(_xlpm.PackedString,E115,IF(_xlpm.PackedString="","",IF(ISNUMBER(SEARCH("|",_xlpm.PackedString)),INDEX(_xlfn.TEXTSPLIT(_xlpm.PackedString,"|",,FALSE),3),_xlpm.PackedString)))</f>
        <v>#NAME?</v>
      </c>
      <c r="AC115" s="275" t="str" cm="1">
        <f t="array" ca="1" aca="1" ref="AC115">_xlfn.LET(_xlpm.Def,IF(_xlfn.XMATCH(AB115,tbl_acctDef[Term],0)&gt;0,fx_getIcon("find"),""),_xlpm.Adj,IF(_xlfn.XMATCH(AB115,tbl_adjExample[Items],0)&gt;0,fx_getIcon("find"),""),IFERROR(IFBLANK(_xlpm.Def,_xlpm.Adj),""))</f>
        <v/>
      </c>
      <c r="AD115" s="1985" t="e" cm="1">
        <f t="array" ca="1" aca="1" ref="AD115">_xlfn.LET(_xlpm.val,IF($F115="",val_blankRefText,_xldudf_CX_GET(CX_ENTITY,$F115,AD$11,AD$14,,(AD$75))),_xlpm.Res,IF(OR(_xlpm.val="",_xlpm.val="Error"),"",_xlpm.val),_xlpm.Res)</f>
        <v>#NAME?</v>
      </c>
      <c r="AE115" s="1985" t="e" cm="1">
        <f t="array" ca="1" aca="1" ref="AE115">_xlfn.LET(_xlpm.val,IF($F115="",val_blankRefText,_xldudf_CX_GET(CX_ENTITY,$F115,AE$11,AE$14,,(AE$75))),_xlpm.Res,IF(OR(_xlpm.val="",_xlpm.val="Error"),"",_xlpm.val),_xlpm.Res)</f>
        <v>#NAME?</v>
      </c>
      <c r="AF115" s="1985" t="e" cm="1">
        <f t="array" ca="1" aca="1" ref="AF115">_xlfn.LET(_xlpm.val,IF($F115="",val_blankRefText,_xldudf_CX_GET(CX_ENTITY,$F115,AF$11,AF$14,,(AF$75))),_xlpm.Res,IF(OR(_xlpm.val="",_xlpm.val="Error"),"",_xlpm.val),_xlpm.Res)</f>
        <v>#NAME?</v>
      </c>
      <c r="AG115" s="1985" t="e" cm="1">
        <f t="array" ca="1" aca="1" ref="AG115">_xlfn.LET(_xlpm.val,IF($F115="",val_blankRefText,_xldudf_CX_GET(CX_ENTITY,$F115,AG$11,AG$14,,(AG$75))),_xlpm.Res,IF(OR(_xlpm.val="",_xlpm.val="Error"),"",_xlpm.val),_xlpm.Res)</f>
        <v>#NAME?</v>
      </c>
      <c r="AH115" s="1985" t="e" cm="1">
        <f t="array" ca="1" aca="1" ref="AH115">_xlfn.LET(_xlpm.val,IF($F115="",val_blankRefText,_xldudf_CX_GET(CX_ENTITY,$F115,AH$11,AH$14,,(AH$75))),_xlpm.Res,IF(OR(_xlpm.val="",_xlpm.val="Error"),"",_xlpm.val),_xlpm.Res)</f>
        <v>#NAME?</v>
      </c>
      <c r="AI115" s="1985" t="e" cm="1">
        <f t="array" ca="1" aca="1" ref="AI115">_xlfn.LET(_xlpm.val,IF($F115="",val_blankRefText,_xldudf_CX_GET(CX_ENTITY,$F115,AI$11,AI$14,,(AI$75))),_xlpm.Res,IF(OR(_xlpm.val="",_xlpm.val="Error"),"",_xlpm.val),_xlpm.Res)</f>
        <v>#NAME?</v>
      </c>
      <c r="AJ115" s="1985" t="e" cm="1">
        <f t="array" ca="1" aca="1" ref="AJ115">_xlfn.LET(_xlpm.val,IF($F115="",val_blankRefText,_xldudf_CX_GET(CX_ENTITY,$F115,AJ$11,AJ$14,,(AJ$75))),_xlpm.Res,IF(OR(_xlpm.val="",_xlpm.val="Error"),"",_xlpm.val),_xlpm.Res)</f>
        <v>#NAME?</v>
      </c>
      <c r="AK115" s="1985" t="e" cm="1">
        <f t="array" ca="1" aca="1" ref="AK115">_xlfn.LET(_xlpm.val,IF($F115="",val_blankRefText,_xldudf_CX_GET(CX_ENTITY,$F115,AK$11,AK$14,,(AK$75))),_xlpm.Res,IF(OR(_xlpm.val="",_xlpm.val="Error"),"",_xlpm.val),_xlpm.Res)</f>
        <v>#NAME?</v>
      </c>
      <c r="AL115" s="1985" t="e" cm="1">
        <f t="array" ca="1" aca="1" ref="AL115">_xlfn.LET(_xlpm.val,IF($F115="",val_blankRefText,_xldudf_CX_GET(CX_ENTITY,$F115,AL$11,AL$14,,(AL$75))),_xlpm.Res,IF(OR(_xlpm.val="",_xlpm.val="Error"),"",_xlpm.val),_xlpm.Res)</f>
        <v>#NAME?</v>
      </c>
      <c r="AM115" s="1985" t="e" cm="1">
        <f t="array" ca="1" aca="1" ref="AM115">_xlfn.LET(_xlpm.val,IF($F115="",val_blankRefText,_xldudf_CX_GET(CX_ENTITY,$F115,AM$11,AM$14,,(AM$75))),_xlpm.Res,IF(OR(_xlpm.val="",_xlpm.val="Error"),"",_xlpm.val),_xlpm.Res)</f>
        <v>#NAME?</v>
      </c>
      <c r="AN115" s="1985" t="e" cm="1">
        <f t="array" ca="1" aca="1" ref="AN115">_xlfn.LET(_xlpm.val,IF($F115="",val_blankRefText,_xldudf_CX_GET(CX_ENTITY,$F115,AN$11,AN$14,,(AN$75))),_xlpm.Res,IF(OR(_xlpm.val="",_xlpm.val="Error"),"",_xlpm.val),_xlpm.Res)</f>
        <v>#NAME?</v>
      </c>
      <c r="AO115" s="1985" t="e" cm="1">
        <f t="array" ca="1" aca="1" ref="AO115">_xlfn.LET(_xlpm.val,IF($F115="",val_blankRefText,_xldudf_CX_GET(CX_ENTITY,$F115,AO$11,AO$14,,(AO$75))),_xlpm.Res,IF(OR(_xlpm.val="",_xlpm.val="Error"),"",_xlpm.val),_xlpm.Res)</f>
        <v>#NAME?</v>
      </c>
      <c r="AP115" s="1985" t="e" cm="1">
        <f t="array" ca="1" aca="1" ref="AP115">_xlfn.LET(_xlpm.val,IF($F115="",val_blankRefText,_xldudf_CX_GET(CX_ENTITY,$F115,AP$11,AP$14,,(AP$75))),_xlpm.Res,IF(OR(_xlpm.val="",_xlpm.val="Error"),"",_xlpm.val),_xlpm.Res)</f>
        <v>#NAME?</v>
      </c>
      <c r="AQ115" s="1985" t="e" cm="1">
        <f t="array" ca="1" aca="1" ref="AQ115">_xlfn.LET(_xlpm.val,IF($F115="",val_blankRefText,_xldudf_CX_GET(CX_ENTITY,$F115,AQ$11,AQ$14,,(AQ$75))),_xlpm.Res,IF(OR(_xlpm.val="",_xlpm.val="Error"),"",_xlpm.val),_xlpm.Res)</f>
        <v>#NAME?</v>
      </c>
      <c r="AR115" s="1985" t="e" cm="1">
        <f t="array" ca="1" aca="1" ref="AR115">_xlfn.LET(_xlpm.val,IF($F115="",val_blankRefText,_xldudf_CX_GET(CX_ENTITY,$F115,AR$11,AR$14,,(AR$75))),_xlpm.Res,IF(OR(_xlpm.val="",_xlpm.val="Error"),"",_xlpm.val),_xlpm.Res)</f>
        <v>#NAME?</v>
      </c>
      <c r="AS115" s="1985" t="e" cm="1">
        <f t="array" ca="1" aca="1" ref="AS115">_xlfn.LET(_xlpm.val,IF($F115="",val_blankRefText,_xldudf_CX_GET(CX_ENTITY,$F115,AS$11,AS$14,,(AS$75))),_xlpm.Res,IF(OR(_xlpm.val="",_xlpm.val="Error"),"",_xlpm.val),_xlpm.Res)</f>
        <v>#NAME?</v>
      </c>
      <c r="AT115" s="1985" t="e" cm="1">
        <f t="array" ca="1" aca="1" ref="AT115">_xlfn.LET(_xlpm.val,IF($F115="",val_blankRefText,_xldudf_CX_GET(CX_ENTITY,$F115,AT$11,AT$14,,(AT$75))),_xlpm.Res,IF(OR(_xlpm.val="",_xlpm.val="Error"),"",_xlpm.val),_xlpm.Res)</f>
        <v>#NAME?</v>
      </c>
      <c r="AU115" s="1985" t="e" cm="1">
        <f t="array" ca="1" aca="1" ref="AU115">_xlfn.LET(_xlpm.val,IF($F115="",val_blankRefText,_xldudf_CX_GET(CX_ENTITY,$F115,AU$11,AU$14,,(AU$75))),_xlpm.Res,IF(OR(_xlpm.val="",_xlpm.val="Error"),"",_xlpm.val),_xlpm.Res)</f>
        <v>#NAME?</v>
      </c>
      <c r="AV115" s="1985" t="e" cm="1">
        <f t="array" ca="1" aca="1" ref="AV115">_xlfn.LET(_xlpm.val,IF($F115="",val_blankRefText,_xldudf_CX_GET(CX_ENTITY,$F115,AV$11,AV$14,,(AV$75))),_xlpm.Res,IF(OR(_xlpm.val="",_xlpm.val="Error"),"",_xlpm.val),_xlpm.Res)</f>
        <v>#NAME?</v>
      </c>
      <c r="AW115" s="1985" t="e" cm="1">
        <f t="array" ca="1" aca="1" ref="AW115">_xlfn.LET(_xlpm.val,IF($F115="",val_blankRefText,_xldudf_CX_GET(CX_ENTITY,$F115,AW$11,AW$14,,(AW$75))),_xlpm.Res,IF(OR(_xlpm.val="",_xlpm.val="Error"),"",_xlpm.val),_xlpm.Res)</f>
        <v>#NAME?</v>
      </c>
      <c r="AX115" s="1985" t="e" cm="1">
        <f t="array" ca="1" aca="1" ref="AX115">_xlfn.LET(_xlpm.val,IF($F115="",val_blankRefText,_xldudf_CX_GET(CX_ENTITY,$F115,AX$11,AX$14,,(AX$75))),_xlpm.Res,IF(OR(_xlpm.val="",_xlpm.val="Error"),"",_xlpm.val),_xlpm.Res)</f>
        <v>#NAME?</v>
      </c>
      <c r="AY115" s="1985" t="e" cm="1">
        <f t="array" ca="1" aca="1" ref="AY115">_xlfn.LET(_xlpm.val,IF($F115="",val_blankRefText,_xldudf_CX_GET(CX_ENTITY,$F115,AY$11,AY$14,,(AY$75))),_xlpm.Res,IF(OR(_xlpm.val="",_xlpm.val="Error"),"",_xlpm.val),_xlpm.Res)</f>
        <v>#NAME?</v>
      </c>
      <c r="AZ115" s="1985" t="e" cm="1">
        <f t="array" ca="1" aca="1" ref="AZ115">_xlfn.LET(_xlpm.val,IF($F115="",val_blankRefText,_xldudf_CX_GET(CX_ENTITY,$F115,AZ$11,AZ$14,,(AZ$75))),_xlpm.Res,IF(OR(_xlpm.val="",_xlpm.val="Error"),"",_xlpm.val),_xlpm.Res)</f>
        <v>#NAME?</v>
      </c>
      <c r="BA115" s="1985" t="e" cm="1">
        <f t="array" ca="1" aca="1" ref="BA115">_xlfn.LET(_xlpm.val,IF($F115="",val_blankRefText,_xldudf_CX_GET(CX_ENTITY,$F115,BA$11,BA$14,,(BA$75))),_xlpm.Res,IF(OR(_xlpm.val="",_xlpm.val="Error"),"",_xlpm.val),_xlpm.Res)</f>
        <v>#NAME?</v>
      </c>
      <c r="BB115" s="1985" t="e" cm="1">
        <f t="array" ca="1" aca="1" ref="BB115">_xlfn.LET(_xlpm.val,IF($F115="",val_blankRefText,_xldudf_CX_GET(CX_ENTITY,$F115,BB$11,BB$14,,(BB$75))),_xlpm.Res,IF(OR(_xlpm.val="",_xlpm.val="Error"),"",_xlpm.val),_xlpm.Res)</f>
        <v>#NAME?</v>
      </c>
      <c r="BC115" s="1985" t="e" cm="1">
        <f t="array" ca="1" aca="1" ref="BC115">_xlfn.LET(_xlpm.val,IF($F115="",val_blankRefText,_xldudf_CX_GET(CX_ENTITY,$F115,BC$11,BC$14,,(BC$75))),_xlpm.Res,IF(OR(_xlpm.val="",_xlpm.val="Error"),"",_xlpm.val),_xlpm.Res)</f>
        <v>#NAME?</v>
      </c>
      <c r="BD115" s="1985" t="e" cm="1">
        <f t="array" ca="1" aca="1" ref="BD115">_xlfn.LET(_xlpm.val,IF($F115="",val_blankRefText,_xldudf_CX_GET(CX_ENTITY,$F115,BD$11,BD$14,,(BD$75))),_xlpm.Res,IF(OR(_xlpm.val="",_xlpm.val="Error"),"",_xlpm.val),_xlpm.Res)</f>
        <v>#NAME?</v>
      </c>
      <c r="BE115" s="1985" t="e" cm="1">
        <f t="array" ca="1" aca="1" ref="BE115">_xlfn.LET(_xlpm.val,IF($F115="",val_blankRefText,_xldudf_CX_GET(CX_ENTITY,$F115,BE$11,BE$14,,(BE$75))),_xlpm.Res,IF(OR(_xlpm.val="",_xlpm.val="Error"),"",_xlpm.val),_xlpm.Res)</f>
        <v>#NAME?</v>
      </c>
      <c r="BF115" s="1985" t="e" cm="1">
        <f t="array" ca="1" aca="1" ref="BF115">_xlfn.LET(_xlpm.val,IF($F115="",val_blankRefText,_xldudf_CX_GET(CX_ENTITY,$F115,BF$11,BF$14,,(BF$75))),_xlpm.Res,IF(OR(_xlpm.val="",_xlpm.val="Error"),"",_xlpm.val),_xlpm.Res)</f>
        <v>#NAME?</v>
      </c>
      <c r="BG115" s="1985" t="e" cm="1">
        <f t="array" ca="1" aca="1" ref="BG115">_xlfn.LET(_xlpm.val,IF($F115="",val_blankRefText,_xldudf_CX_GET(CX_ENTITY,$F115,BG$11,BG$14,,(BG$75))),_xlpm.Res,IF(OR(_xlpm.val="",_xlpm.val="Error"),"",_xlpm.val),_xlpm.Res)</f>
        <v>#NAME?</v>
      </c>
      <c r="BH115" s="1985" t="e" cm="1">
        <f t="array" ca="1" aca="1" ref="BH115">_xlfn.LET(_xlpm.val,IF($F115="",val_blankRefText,_xldudf_CX_GET(CX_ENTITY,$F115,BH$11,BH$14,,(BH$75))),_xlpm.Res,IF(OR(_xlpm.val="",_xlpm.val="Error"),"",_xlpm.val),_xlpm.Res)</f>
        <v>#NAME?</v>
      </c>
      <c r="BI115" s="1985" t="e" cm="1">
        <f t="array" ca="1" aca="1" ref="BI115">_xlfn.LET(_xlpm.val,IF($F115="",val_blankRefText,_xldudf_CX_GET(CX_ENTITY,$F115,BI$11,BI$14,,(BI$75))),_xlpm.Res,IF(OR(_xlpm.val="",_xlpm.val="Error"),"",_xlpm.val),_xlpm.Res)</f>
        <v>#NAME?</v>
      </c>
      <c r="BJ115" s="1985" t="e" cm="1">
        <f t="array" ca="1" aca="1" ref="BJ115">_xlfn.LET(_xlpm.val,IF($F115="",val_blankRefText,_xldudf_CX_GET(CX_ENTITY,$F115,BJ$11,BJ$14,,(BJ$75))),_xlpm.Res,IF(OR(_xlpm.val="",_xlpm.val="Error"),"",_xlpm.val),_xlpm.Res)</f>
        <v>#NAME?</v>
      </c>
      <c r="BK115" s="1985" t="e" cm="1">
        <f t="array" ca="1" aca="1" ref="BK115">_xlfn.LET(_xlpm.val,IF($F115="",val_blankRefText,_xldudf_CX_GET(CX_ENTITY,$F115,BK$11,BK$14,,(BK$75))),_xlpm.Res,IF(OR(_xlpm.val="",_xlpm.val="Error"),"",_xlpm.val),_xlpm.Res)</f>
        <v>#NAME?</v>
      </c>
      <c r="BL115" s="1985" t="e" cm="1">
        <f t="array" ca="1" aca="1" ref="BL115">_xlfn.LET(_xlpm.val,IF($F115="",val_blankRefText,_xldudf_CX_GET(CX_ENTITY,$F115,BL$11,BL$14,,(BL$75))),_xlpm.Res,IF(OR(_xlpm.val="",_xlpm.val="Error"),"",_xlpm.val),_xlpm.Res)</f>
        <v>#NAME?</v>
      </c>
      <c r="BM115" s="1985" t="e" cm="1">
        <f t="array" ca="1" aca="1" ref="BM115">_xlfn.LET(_xlpm.val,IF($F115="",val_blankRefText,_xldudf_CX_GET(CX_ENTITY,$F115,BM$11,BM$14,,(BM$75))),_xlpm.Res,IF(OR(_xlpm.val="",_xlpm.val="Error"),"",_xlpm.val),_xlpm.Res)</f>
        <v>#NAME?</v>
      </c>
      <c r="BN115" s="1985" t="e" cm="1">
        <f t="array" ca="1" aca="1" ref="BN115">_xlfn.LET(_xlpm.val,IF($F115="",val_blankRefText,_xldudf_CX_GET(CX_ENTITY,$F115,BN$11,BN$14,,(BN$75))),_xlpm.Res,IF(OR(_xlpm.val="",_xlpm.val="Error"),"",_xlpm.val),_xlpm.Res)</f>
        <v>#NAME?</v>
      </c>
      <c r="BO115" s="2104"/>
      <c r="BP115" s="2104"/>
      <c r="BQ115" s="2104"/>
      <c r="BR115" s="2104"/>
      <c r="BS115" s="2104"/>
      <c r="BT115" s="2104"/>
      <c r="BU115" s="2104"/>
      <c r="BV115" s="2104"/>
      <c r="BW115" s="2104"/>
      <c r="BX115" s="2104"/>
      <c r="BY115" s="2104"/>
      <c r="BZ115" s="2104"/>
      <c r="CA115" s="34"/>
      <c r="CC115" s="33"/>
      <c r="CD115" s="763"/>
      <c r="CE115" s="763"/>
      <c r="CF115" s="3"/>
      <c r="CG115" s="763"/>
      <c r="CH115" s="763"/>
      <c r="CI115" s="3"/>
      <c r="CJ115" s="763"/>
      <c r="CK115" s="763"/>
      <c r="CL115" s="3"/>
      <c r="CM115" s="763"/>
      <c r="CN115" s="763"/>
      <c r="CO115" s="3"/>
      <c r="CP115" s="763"/>
      <c r="CQ115" s="763"/>
      <c r="CR115" s="34"/>
    </row>
    <row r="116" spans="1:96" ht="21" customHeight="1" outlineLevel="2">
      <c r="A116" s="1322"/>
      <c r="B116" s="574" t="s">
        <v>1584</v>
      </c>
      <c r="C116" s="2131" t="s">
        <v>1585</v>
      </c>
      <c r="D116" s="577"/>
      <c r="E116" s="1615" t="e" cm="1">
        <f t="array" ca="1" aca="1" ref="E116">_xlfn.LET(_xlpm.Attr,$C116,_xlpm.Lookback,$E$16,_xlpm.QueryDate,EOMONTH(val_asOfDate,_xlpm.Lookback),_xlpm.ReadField,_xldudf_CX_GET(CX_ENTITY,fx_attrConverter($C116),_xlpm.QueryDate),_xlpm.AttrBlank,_xlpm.Attr="",_xlpm.RESULT,IF(_xlpm.AttrBlank,val_blankRefText,fx_attrConverter(_xlpm.ReadField,0)),IF(_xlpm.RESULT="Error","",_xlpm.RESULT))</f>
        <v>#NAME?</v>
      </c>
      <c r="F116" s="577" t="str">
        <f t="shared" si="30"/>
        <v>Custom Metric Amount 4 [Calculated]</v>
      </c>
      <c r="G116" s="577" t="s">
        <v>1600</v>
      </c>
      <c r="H116" s="3280">
        <v>1</v>
      </c>
      <c r="I116" s="3280">
        <v>1</v>
      </c>
      <c r="J116" s="401"/>
      <c r="K116" s="401"/>
      <c r="L116" s="581" t="b">
        <v>0</v>
      </c>
      <c r="N116" s="158"/>
      <c r="O116" s="101"/>
      <c r="P116" s="52"/>
      <c r="Q116" s="101"/>
      <c r="R116" s="126"/>
      <c r="S116" s="101"/>
      <c r="T116" s="101"/>
      <c r="U116" s="39"/>
      <c r="W116" s="91" t="str">
        <f>_PL!$W$72</f>
        <v>Budget</v>
      </c>
      <c r="X116" s="2370" t="e" cm="1">
        <f t="array" ca="1" aca="1" ref="X116">_xlfn.LET(_xlpm.toPass,$E116="",_xlpm.hasParts,ISNUMBER(SEARCH("|",$E116)),_xlpm.Part1,INDEX(_xlfn.TEXTSPLIT($E116,"|",,FALSE,1),1),_xlpm.Part1Num,IFERROR(_xlfn.NUMBERVALUE(_xlpm.Part1),_xlpm.Part1),_xlfn.SWITCH(TRUE,_xlpm.toPass,"",_xlpm.hasParts,_xlpm.Part1Num,$E116))</f>
        <v>#NAME?</v>
      </c>
      <c r="Y116" s="590" t="e" cm="1">
        <f t="array" ca="1" aca="1" ref="Y116">_xlfn.LET(_xlpm.PackedString,E116,IF(_xlpm.PackedString="","",IF(ISNUMBER(SEARCH("|",_xlpm.PackedString)),INDEX(_xlfn.TEXTSPLIT(_xlpm.PackedString,"|",,FALSE),2),_xlpm.PackedString)))</f>
        <v>#NAME?</v>
      </c>
      <c r="Z116" s="198" t="e">
        <f t="shared" ca="1" si="31"/>
        <v>#NAME?</v>
      </c>
      <c r="AA116" s="200"/>
      <c r="AB116" s="709" t="e" cm="1">
        <f t="array" ca="1" aca="1" ref="AB116">_xlfn.LET(_xlpm.PackedString,E116,IF(_xlpm.PackedString="","",IF(ISNUMBER(SEARCH("|",_xlpm.PackedString)),INDEX(_xlfn.TEXTSPLIT(_xlpm.PackedString,"|",,FALSE),3),_xlpm.PackedString)))</f>
        <v>#NAME?</v>
      </c>
      <c r="AC116" s="275" t="str" cm="1">
        <f t="array" ca="1" aca="1" ref="AC116">_xlfn.LET(_xlpm.Def,IF(_xlfn.XMATCH(AB116,tbl_acctDef[Term],0)&gt;0,fx_getIcon("find"),""),_xlpm.Adj,IF(_xlfn.XMATCH(AB116,tbl_adjExample[Items],0)&gt;0,fx_getIcon("find"),""),IFERROR(IFBLANK(_xlpm.Def,_xlpm.Adj),""))</f>
        <v/>
      </c>
      <c r="AD116" s="1985" t="e" cm="1">
        <f t="array" ca="1" aca="1" ref="AD116">_xlfn.LET(_xlpm.val,IF($F116="",val_blankRefText,_xldudf_CX_GET(CX_ENTITY,$F116,AD$11,AD$14,,(AD$75))),_xlpm.Res,IF(OR(_xlpm.val="",_xlpm.val="Error"),"",_xlpm.val),_xlpm.Res)</f>
        <v>#NAME?</v>
      </c>
      <c r="AE116" s="1985" t="e" cm="1">
        <f t="array" ca="1" aca="1" ref="AE116">_xlfn.LET(_xlpm.val,IF($F116="",val_blankRefText,_xldudf_CX_GET(CX_ENTITY,$F116,AE$11,AE$14,,(AE$75))),_xlpm.Res,IF(OR(_xlpm.val="",_xlpm.val="Error"),"",_xlpm.val),_xlpm.Res)</f>
        <v>#NAME?</v>
      </c>
      <c r="AF116" s="1985" t="e" cm="1">
        <f t="array" ca="1" aca="1" ref="AF116">_xlfn.LET(_xlpm.val,IF($F116="",val_blankRefText,_xldudf_CX_GET(CX_ENTITY,$F116,AF$11,AF$14,,(AF$75))),_xlpm.Res,IF(OR(_xlpm.val="",_xlpm.val="Error"),"",_xlpm.val),_xlpm.Res)</f>
        <v>#NAME?</v>
      </c>
      <c r="AG116" s="1985" t="e" cm="1">
        <f t="array" ca="1" aca="1" ref="AG116">_xlfn.LET(_xlpm.val,IF($F116="",val_blankRefText,_xldudf_CX_GET(CX_ENTITY,$F116,AG$11,AG$14,,(AG$75))),_xlpm.Res,IF(OR(_xlpm.val="",_xlpm.val="Error"),"",_xlpm.val),_xlpm.Res)</f>
        <v>#NAME?</v>
      </c>
      <c r="AH116" s="1985" t="e" cm="1">
        <f t="array" ca="1" aca="1" ref="AH116">_xlfn.LET(_xlpm.val,IF($F116="",val_blankRefText,_xldudf_CX_GET(CX_ENTITY,$F116,AH$11,AH$14,,(AH$75))),_xlpm.Res,IF(OR(_xlpm.val="",_xlpm.val="Error"),"",_xlpm.val),_xlpm.Res)</f>
        <v>#NAME?</v>
      </c>
      <c r="AI116" s="1985" t="e" cm="1">
        <f t="array" ca="1" aca="1" ref="AI116">_xlfn.LET(_xlpm.val,IF($F116="",val_blankRefText,_xldudf_CX_GET(CX_ENTITY,$F116,AI$11,AI$14,,(AI$75))),_xlpm.Res,IF(OR(_xlpm.val="",_xlpm.val="Error"),"",_xlpm.val),_xlpm.Res)</f>
        <v>#NAME?</v>
      </c>
      <c r="AJ116" s="1985" t="e" cm="1">
        <f t="array" ca="1" aca="1" ref="AJ116">_xlfn.LET(_xlpm.val,IF($F116="",val_blankRefText,_xldudf_CX_GET(CX_ENTITY,$F116,AJ$11,AJ$14,,(AJ$75))),_xlpm.Res,IF(OR(_xlpm.val="",_xlpm.val="Error"),"",_xlpm.val),_xlpm.Res)</f>
        <v>#NAME?</v>
      </c>
      <c r="AK116" s="1985" t="e" cm="1">
        <f t="array" ca="1" aca="1" ref="AK116">_xlfn.LET(_xlpm.val,IF($F116="",val_blankRefText,_xldudf_CX_GET(CX_ENTITY,$F116,AK$11,AK$14,,(AK$75))),_xlpm.Res,IF(OR(_xlpm.val="",_xlpm.val="Error"),"",_xlpm.val),_xlpm.Res)</f>
        <v>#NAME?</v>
      </c>
      <c r="AL116" s="1985" t="e" cm="1">
        <f t="array" ca="1" aca="1" ref="AL116">_xlfn.LET(_xlpm.val,IF($F116="",val_blankRefText,_xldudf_CX_GET(CX_ENTITY,$F116,AL$11,AL$14,,(AL$75))),_xlpm.Res,IF(OR(_xlpm.val="",_xlpm.val="Error"),"",_xlpm.val),_xlpm.Res)</f>
        <v>#NAME?</v>
      </c>
      <c r="AM116" s="1985" t="e" cm="1">
        <f t="array" ca="1" aca="1" ref="AM116">_xlfn.LET(_xlpm.val,IF($F116="",val_blankRefText,_xldudf_CX_GET(CX_ENTITY,$F116,AM$11,AM$14,,(AM$75))),_xlpm.Res,IF(OR(_xlpm.val="",_xlpm.val="Error"),"",_xlpm.val),_xlpm.Res)</f>
        <v>#NAME?</v>
      </c>
      <c r="AN116" s="1985" t="e" cm="1">
        <f t="array" ca="1" aca="1" ref="AN116">_xlfn.LET(_xlpm.val,IF($F116="",val_blankRefText,_xldudf_CX_GET(CX_ENTITY,$F116,AN$11,AN$14,,(AN$75))),_xlpm.Res,IF(OR(_xlpm.val="",_xlpm.val="Error"),"",_xlpm.val),_xlpm.Res)</f>
        <v>#NAME?</v>
      </c>
      <c r="AO116" s="1985" t="e" cm="1">
        <f t="array" ca="1" aca="1" ref="AO116">_xlfn.LET(_xlpm.val,IF($F116="",val_blankRefText,_xldudf_CX_GET(CX_ENTITY,$F116,AO$11,AO$14,,(AO$75))),_xlpm.Res,IF(OR(_xlpm.val="",_xlpm.val="Error"),"",_xlpm.val),_xlpm.Res)</f>
        <v>#NAME?</v>
      </c>
      <c r="AP116" s="1985" t="e" cm="1">
        <f t="array" ca="1" aca="1" ref="AP116">_xlfn.LET(_xlpm.val,IF($F116="",val_blankRefText,_xldudf_CX_GET(CX_ENTITY,$F116,AP$11,AP$14,,(AP$75))),_xlpm.Res,IF(OR(_xlpm.val="",_xlpm.val="Error"),"",_xlpm.val),_xlpm.Res)</f>
        <v>#NAME?</v>
      </c>
      <c r="AQ116" s="1985" t="e" cm="1">
        <f t="array" ca="1" aca="1" ref="AQ116">_xlfn.LET(_xlpm.val,IF($F116="",val_blankRefText,_xldudf_CX_GET(CX_ENTITY,$F116,AQ$11,AQ$14,,(AQ$75))),_xlpm.Res,IF(OR(_xlpm.val="",_xlpm.val="Error"),"",_xlpm.val),_xlpm.Res)</f>
        <v>#NAME?</v>
      </c>
      <c r="AR116" s="1985" t="e" cm="1">
        <f t="array" ca="1" aca="1" ref="AR116">_xlfn.LET(_xlpm.val,IF($F116="",val_blankRefText,_xldudf_CX_GET(CX_ENTITY,$F116,AR$11,AR$14,,(AR$75))),_xlpm.Res,IF(OR(_xlpm.val="",_xlpm.val="Error"),"",_xlpm.val),_xlpm.Res)</f>
        <v>#NAME?</v>
      </c>
      <c r="AS116" s="1985" t="e" cm="1">
        <f t="array" ca="1" aca="1" ref="AS116">_xlfn.LET(_xlpm.val,IF($F116="",val_blankRefText,_xldudf_CX_GET(CX_ENTITY,$F116,AS$11,AS$14,,(AS$75))),_xlpm.Res,IF(OR(_xlpm.val="",_xlpm.val="Error"),"",_xlpm.val),_xlpm.Res)</f>
        <v>#NAME?</v>
      </c>
      <c r="AT116" s="1985" t="e" cm="1">
        <f t="array" ca="1" aca="1" ref="AT116">_xlfn.LET(_xlpm.val,IF($F116="",val_blankRefText,_xldudf_CX_GET(CX_ENTITY,$F116,AT$11,AT$14,,(AT$75))),_xlpm.Res,IF(OR(_xlpm.val="",_xlpm.val="Error"),"",_xlpm.val),_xlpm.Res)</f>
        <v>#NAME?</v>
      </c>
      <c r="AU116" s="1985" t="e" cm="1">
        <f t="array" ca="1" aca="1" ref="AU116">_xlfn.LET(_xlpm.val,IF($F116="",val_blankRefText,_xldudf_CX_GET(CX_ENTITY,$F116,AU$11,AU$14,,(AU$75))),_xlpm.Res,IF(OR(_xlpm.val="",_xlpm.val="Error"),"",_xlpm.val),_xlpm.Res)</f>
        <v>#NAME?</v>
      </c>
      <c r="AV116" s="1985" t="e" cm="1">
        <f t="array" ca="1" aca="1" ref="AV116">_xlfn.LET(_xlpm.val,IF($F116="",val_blankRefText,_xldudf_CX_GET(CX_ENTITY,$F116,AV$11,AV$14,,(AV$75))),_xlpm.Res,IF(OR(_xlpm.val="",_xlpm.val="Error"),"",_xlpm.val),_xlpm.Res)</f>
        <v>#NAME?</v>
      </c>
      <c r="AW116" s="1985" t="e" cm="1">
        <f t="array" ca="1" aca="1" ref="AW116">_xlfn.LET(_xlpm.val,IF($F116="",val_blankRefText,_xldudf_CX_GET(CX_ENTITY,$F116,AW$11,AW$14,,(AW$75))),_xlpm.Res,IF(OR(_xlpm.val="",_xlpm.val="Error"),"",_xlpm.val),_xlpm.Res)</f>
        <v>#NAME?</v>
      </c>
      <c r="AX116" s="1985" t="e" cm="1">
        <f t="array" ca="1" aca="1" ref="AX116">_xlfn.LET(_xlpm.val,IF($F116="",val_blankRefText,_xldudf_CX_GET(CX_ENTITY,$F116,AX$11,AX$14,,(AX$75))),_xlpm.Res,IF(OR(_xlpm.val="",_xlpm.val="Error"),"",_xlpm.val),_xlpm.Res)</f>
        <v>#NAME?</v>
      </c>
      <c r="AY116" s="1985" t="e" cm="1">
        <f t="array" ca="1" aca="1" ref="AY116">_xlfn.LET(_xlpm.val,IF($F116="",val_blankRefText,_xldudf_CX_GET(CX_ENTITY,$F116,AY$11,AY$14,,(AY$75))),_xlpm.Res,IF(OR(_xlpm.val="",_xlpm.val="Error"),"",_xlpm.val),_xlpm.Res)</f>
        <v>#NAME?</v>
      </c>
      <c r="AZ116" s="1985" t="e" cm="1">
        <f t="array" ca="1" aca="1" ref="AZ116">_xlfn.LET(_xlpm.val,IF($F116="",val_blankRefText,_xldudf_CX_GET(CX_ENTITY,$F116,AZ$11,AZ$14,,(AZ$75))),_xlpm.Res,IF(OR(_xlpm.val="",_xlpm.val="Error"),"",_xlpm.val),_xlpm.Res)</f>
        <v>#NAME?</v>
      </c>
      <c r="BA116" s="1985" t="e" cm="1">
        <f t="array" ca="1" aca="1" ref="BA116">_xlfn.LET(_xlpm.val,IF($F116="",val_blankRefText,_xldudf_CX_GET(CX_ENTITY,$F116,BA$11,BA$14,,(BA$75))),_xlpm.Res,IF(OR(_xlpm.val="",_xlpm.val="Error"),"",_xlpm.val),_xlpm.Res)</f>
        <v>#NAME?</v>
      </c>
      <c r="BB116" s="1985" t="e" cm="1">
        <f t="array" ca="1" aca="1" ref="BB116">_xlfn.LET(_xlpm.val,IF($F116="",val_blankRefText,_xldudf_CX_GET(CX_ENTITY,$F116,BB$11,BB$14,,(BB$75))),_xlpm.Res,IF(OR(_xlpm.val="",_xlpm.val="Error"),"",_xlpm.val),_xlpm.Res)</f>
        <v>#NAME?</v>
      </c>
      <c r="BC116" s="1985" t="e" cm="1">
        <f t="array" ca="1" aca="1" ref="BC116">_xlfn.LET(_xlpm.val,IF($F116="",val_blankRefText,_xldudf_CX_GET(CX_ENTITY,$F116,BC$11,BC$14,,(BC$75))),_xlpm.Res,IF(OR(_xlpm.val="",_xlpm.val="Error"),"",_xlpm.val),_xlpm.Res)</f>
        <v>#NAME?</v>
      </c>
      <c r="BD116" s="1985" t="e" cm="1">
        <f t="array" ca="1" aca="1" ref="BD116">_xlfn.LET(_xlpm.val,IF($F116="",val_blankRefText,_xldudf_CX_GET(CX_ENTITY,$F116,BD$11,BD$14,,(BD$75))),_xlpm.Res,IF(OR(_xlpm.val="",_xlpm.val="Error"),"",_xlpm.val),_xlpm.Res)</f>
        <v>#NAME?</v>
      </c>
      <c r="BE116" s="1985" t="e" cm="1">
        <f t="array" ca="1" aca="1" ref="BE116">_xlfn.LET(_xlpm.val,IF($F116="",val_blankRefText,_xldudf_CX_GET(CX_ENTITY,$F116,BE$11,BE$14,,(BE$75))),_xlpm.Res,IF(OR(_xlpm.val="",_xlpm.val="Error"),"",_xlpm.val),_xlpm.Res)</f>
        <v>#NAME?</v>
      </c>
      <c r="BF116" s="1985" t="e" cm="1">
        <f t="array" ca="1" aca="1" ref="BF116">_xlfn.LET(_xlpm.val,IF($F116="",val_blankRefText,_xldudf_CX_GET(CX_ENTITY,$F116,BF$11,BF$14,,(BF$75))),_xlpm.Res,IF(OR(_xlpm.val="",_xlpm.val="Error"),"",_xlpm.val),_xlpm.Res)</f>
        <v>#NAME?</v>
      </c>
      <c r="BG116" s="1985" t="e" cm="1">
        <f t="array" ca="1" aca="1" ref="BG116">_xlfn.LET(_xlpm.val,IF($F116="",val_blankRefText,_xldudf_CX_GET(CX_ENTITY,$F116,BG$11,BG$14,,(BG$75))),_xlpm.Res,IF(OR(_xlpm.val="",_xlpm.val="Error"),"",_xlpm.val),_xlpm.Res)</f>
        <v>#NAME?</v>
      </c>
      <c r="BH116" s="1985" t="e" cm="1">
        <f t="array" ca="1" aca="1" ref="BH116">_xlfn.LET(_xlpm.val,IF($F116="",val_blankRefText,_xldudf_CX_GET(CX_ENTITY,$F116,BH$11,BH$14,,(BH$75))),_xlpm.Res,IF(OR(_xlpm.val="",_xlpm.val="Error"),"",_xlpm.val),_xlpm.Res)</f>
        <v>#NAME?</v>
      </c>
      <c r="BI116" s="1985" t="e" cm="1">
        <f t="array" ca="1" aca="1" ref="BI116">_xlfn.LET(_xlpm.val,IF($F116="",val_blankRefText,_xldudf_CX_GET(CX_ENTITY,$F116,BI$11,BI$14,,(BI$75))),_xlpm.Res,IF(OR(_xlpm.val="",_xlpm.val="Error"),"",_xlpm.val),_xlpm.Res)</f>
        <v>#NAME?</v>
      </c>
      <c r="BJ116" s="1985" t="e" cm="1">
        <f t="array" ca="1" aca="1" ref="BJ116">_xlfn.LET(_xlpm.val,IF($F116="",val_blankRefText,_xldudf_CX_GET(CX_ENTITY,$F116,BJ$11,BJ$14,,(BJ$75))),_xlpm.Res,IF(OR(_xlpm.val="",_xlpm.val="Error"),"",_xlpm.val),_xlpm.Res)</f>
        <v>#NAME?</v>
      </c>
      <c r="BK116" s="1985" t="e" cm="1">
        <f t="array" ca="1" aca="1" ref="BK116">_xlfn.LET(_xlpm.val,IF($F116="",val_blankRefText,_xldudf_CX_GET(CX_ENTITY,$F116,BK$11,BK$14,,(BK$75))),_xlpm.Res,IF(OR(_xlpm.val="",_xlpm.val="Error"),"",_xlpm.val),_xlpm.Res)</f>
        <v>#NAME?</v>
      </c>
      <c r="BL116" s="1985" t="e" cm="1">
        <f t="array" ca="1" aca="1" ref="BL116">_xlfn.LET(_xlpm.val,IF($F116="",val_blankRefText,_xldudf_CX_GET(CX_ENTITY,$F116,BL$11,BL$14,,(BL$75))),_xlpm.Res,IF(OR(_xlpm.val="",_xlpm.val="Error"),"",_xlpm.val),_xlpm.Res)</f>
        <v>#NAME?</v>
      </c>
      <c r="BM116" s="1985" t="e" cm="1">
        <f t="array" ca="1" aca="1" ref="BM116">_xlfn.LET(_xlpm.val,IF($F116="",val_blankRefText,_xldudf_CX_GET(CX_ENTITY,$F116,BM$11,BM$14,,(BM$75))),_xlpm.Res,IF(OR(_xlpm.val="",_xlpm.val="Error"),"",_xlpm.val),_xlpm.Res)</f>
        <v>#NAME?</v>
      </c>
      <c r="BN116" s="1985" t="e" cm="1">
        <f t="array" ca="1" aca="1" ref="BN116">_xlfn.LET(_xlpm.val,IF($F116="",val_blankRefText,_xldudf_CX_GET(CX_ENTITY,$F116,BN$11,BN$14,,(BN$75))),_xlpm.Res,IF(OR(_xlpm.val="",_xlpm.val="Error"),"",_xlpm.val),_xlpm.Res)</f>
        <v>#NAME?</v>
      </c>
      <c r="BO116" s="2104"/>
      <c r="BP116" s="2104"/>
      <c r="BQ116" s="2104"/>
      <c r="BR116" s="2104"/>
      <c r="BS116" s="2104"/>
      <c r="BT116" s="2104"/>
      <c r="BU116" s="2104"/>
      <c r="BV116" s="2104"/>
      <c r="BW116" s="2104"/>
      <c r="BX116" s="2104"/>
      <c r="BY116" s="2104"/>
      <c r="BZ116" s="2104"/>
      <c r="CA116" s="34"/>
      <c r="CC116" s="33"/>
      <c r="CD116" s="763"/>
      <c r="CE116" s="763"/>
      <c r="CF116" s="3"/>
      <c r="CG116" s="763"/>
      <c r="CH116" s="763"/>
      <c r="CI116" s="3"/>
      <c r="CJ116" s="763"/>
      <c r="CK116" s="763"/>
      <c r="CL116" s="3"/>
      <c r="CM116" s="763"/>
      <c r="CN116" s="763"/>
      <c r="CO116" s="3"/>
      <c r="CP116" s="763"/>
      <c r="CQ116" s="763"/>
      <c r="CR116" s="34"/>
    </row>
    <row r="117" spans="1:96" ht="21" customHeight="1" outlineLevel="2">
      <c r="A117" s="1322"/>
      <c r="B117" s="574" t="s">
        <v>1586</v>
      </c>
      <c r="C117" s="2131" t="s">
        <v>1587</v>
      </c>
      <c r="D117" s="574"/>
      <c r="E117" s="1615" t="e" cm="1">
        <f t="array" ca="1" aca="1" ref="E117">_xlfn.LET(_xlpm.Attr,$C117,_xlpm.Lookback,$E$16,_xlpm.QueryDate,EOMONTH(val_asOfDate,_xlpm.Lookback),_xlpm.ReadField,_xldudf_CX_GET(CX_ENTITY,fx_attrConverter($C117),_xlpm.QueryDate),_xlpm.AttrBlank,_xlpm.Attr="",_xlpm.RESULT,IF(_xlpm.AttrBlank,val_blankRefText,fx_attrConverter(_xlpm.ReadField,0)),IF(_xlpm.RESULT="Error","",_xlpm.RESULT))</f>
        <v>#NAME?</v>
      </c>
      <c r="F117" s="574" t="str">
        <f t="shared" si="30"/>
        <v>Custom Metric Amount 5 [Calculated]</v>
      </c>
      <c r="G117" s="574" t="s">
        <v>1600</v>
      </c>
      <c r="H117" s="3280">
        <v>1</v>
      </c>
      <c r="I117" s="3280">
        <v>1</v>
      </c>
      <c r="J117" s="401"/>
      <c r="K117" s="401"/>
      <c r="L117" s="581" t="b">
        <v>0</v>
      </c>
      <c r="N117" s="158"/>
      <c r="O117" s="101"/>
      <c r="P117" s="52"/>
      <c r="Q117" s="101"/>
      <c r="R117" s="126"/>
      <c r="S117" s="101"/>
      <c r="T117" s="101"/>
      <c r="U117" s="39"/>
      <c r="W117" s="91" t="str">
        <f>_PL!$W$72</f>
        <v>Budget</v>
      </c>
      <c r="X117" s="2370" t="e" cm="1">
        <f t="array" ca="1" aca="1" ref="X117">_xlfn.LET(_xlpm.toPass,$E117="",_xlpm.hasParts,ISNUMBER(SEARCH("|",$E117)),_xlpm.Part1,INDEX(_xlfn.TEXTSPLIT($E117,"|",,FALSE,1),1),_xlpm.Part1Num,IFERROR(_xlfn.NUMBERVALUE(_xlpm.Part1),_xlpm.Part1),_xlfn.SWITCH(TRUE,_xlpm.toPass,"",_xlpm.hasParts,_xlpm.Part1Num,$E117))</f>
        <v>#NAME?</v>
      </c>
      <c r="Y117" s="590" t="e" cm="1">
        <f t="array" ca="1" aca="1" ref="Y117">_xlfn.LET(_xlpm.PackedString,E117,IF(_xlpm.PackedString="","",IF(ISNUMBER(SEARCH("|",_xlpm.PackedString)),INDEX(_xlfn.TEXTSPLIT(_xlpm.PackedString,"|",,FALSE),2),_xlpm.PackedString)))</f>
        <v>#NAME?</v>
      </c>
      <c r="Z117" s="198" t="e">
        <f t="shared" ca="1" si="31"/>
        <v>#NAME?</v>
      </c>
      <c r="AA117" s="200"/>
      <c r="AB117" s="709" t="e" cm="1">
        <f t="array" ca="1" aca="1" ref="AB117">_xlfn.LET(_xlpm.PackedString,E117,IF(_xlpm.PackedString="","",IF(ISNUMBER(SEARCH("|",_xlpm.PackedString)),INDEX(_xlfn.TEXTSPLIT(_xlpm.PackedString,"|",,FALSE),3),_xlpm.PackedString)))</f>
        <v>#NAME?</v>
      </c>
      <c r="AC117" s="275" t="str" cm="1">
        <f t="array" ca="1" aca="1" ref="AC117">_xlfn.LET(_xlpm.Def,IF(_xlfn.XMATCH(AB117,tbl_acctDef[Term],0)&gt;0,fx_getIcon("find"),""),_xlpm.Adj,IF(_xlfn.XMATCH(AB117,tbl_adjExample[Items],0)&gt;0,fx_getIcon("find"),""),IFERROR(IFBLANK(_xlpm.Def,_xlpm.Adj),""))</f>
        <v/>
      </c>
      <c r="AD117" s="1985" t="e" cm="1">
        <f t="array" ca="1" aca="1" ref="AD117">_xlfn.LET(_xlpm.val,IF($F117="",val_blankRefText,_xldudf_CX_GET(CX_ENTITY,$F117,AD$11,AD$14,,(AD$75))),_xlpm.Res,IF(OR(_xlpm.val="",_xlpm.val="Error"),"",_xlpm.val),_xlpm.Res)</f>
        <v>#NAME?</v>
      </c>
      <c r="AE117" s="1985" t="e" cm="1">
        <f t="array" ca="1" aca="1" ref="AE117">_xlfn.LET(_xlpm.val,IF($F117="",val_blankRefText,_xldudf_CX_GET(CX_ENTITY,$F117,AE$11,AE$14,,(AE$75))),_xlpm.Res,IF(OR(_xlpm.val="",_xlpm.val="Error"),"",_xlpm.val),_xlpm.Res)</f>
        <v>#NAME?</v>
      </c>
      <c r="AF117" s="1985" t="e" cm="1">
        <f t="array" ca="1" aca="1" ref="AF117">_xlfn.LET(_xlpm.val,IF($F117="",val_blankRefText,_xldudf_CX_GET(CX_ENTITY,$F117,AF$11,AF$14,,(AF$75))),_xlpm.Res,IF(OR(_xlpm.val="",_xlpm.val="Error"),"",_xlpm.val),_xlpm.Res)</f>
        <v>#NAME?</v>
      </c>
      <c r="AG117" s="1985" t="e" cm="1">
        <f t="array" ca="1" aca="1" ref="AG117">_xlfn.LET(_xlpm.val,IF($F117="",val_blankRefText,_xldudf_CX_GET(CX_ENTITY,$F117,AG$11,AG$14,,(AG$75))),_xlpm.Res,IF(OR(_xlpm.val="",_xlpm.val="Error"),"",_xlpm.val),_xlpm.Res)</f>
        <v>#NAME?</v>
      </c>
      <c r="AH117" s="1985" t="e" cm="1">
        <f t="array" ca="1" aca="1" ref="AH117">_xlfn.LET(_xlpm.val,IF($F117="",val_blankRefText,_xldudf_CX_GET(CX_ENTITY,$F117,AH$11,AH$14,,(AH$75))),_xlpm.Res,IF(OR(_xlpm.val="",_xlpm.val="Error"),"",_xlpm.val),_xlpm.Res)</f>
        <v>#NAME?</v>
      </c>
      <c r="AI117" s="1985" t="e" cm="1">
        <f t="array" ca="1" aca="1" ref="AI117">_xlfn.LET(_xlpm.val,IF($F117="",val_blankRefText,_xldudf_CX_GET(CX_ENTITY,$F117,AI$11,AI$14,,(AI$75))),_xlpm.Res,IF(OR(_xlpm.val="",_xlpm.val="Error"),"",_xlpm.val),_xlpm.Res)</f>
        <v>#NAME?</v>
      </c>
      <c r="AJ117" s="1985" t="e" cm="1">
        <f t="array" ca="1" aca="1" ref="AJ117">_xlfn.LET(_xlpm.val,IF($F117="",val_blankRefText,_xldudf_CX_GET(CX_ENTITY,$F117,AJ$11,AJ$14,,(AJ$75))),_xlpm.Res,IF(OR(_xlpm.val="",_xlpm.val="Error"),"",_xlpm.val),_xlpm.Res)</f>
        <v>#NAME?</v>
      </c>
      <c r="AK117" s="1985" t="e" cm="1">
        <f t="array" ca="1" aca="1" ref="AK117">_xlfn.LET(_xlpm.val,IF($F117="",val_blankRefText,_xldudf_CX_GET(CX_ENTITY,$F117,AK$11,AK$14,,(AK$75))),_xlpm.Res,IF(OR(_xlpm.val="",_xlpm.val="Error"),"",_xlpm.val),_xlpm.Res)</f>
        <v>#NAME?</v>
      </c>
      <c r="AL117" s="1985" t="e" cm="1">
        <f t="array" ca="1" aca="1" ref="AL117">_xlfn.LET(_xlpm.val,IF($F117="",val_blankRefText,_xldudf_CX_GET(CX_ENTITY,$F117,AL$11,AL$14,,(AL$75))),_xlpm.Res,IF(OR(_xlpm.val="",_xlpm.val="Error"),"",_xlpm.val),_xlpm.Res)</f>
        <v>#NAME?</v>
      </c>
      <c r="AM117" s="1985" t="e" cm="1">
        <f t="array" ca="1" aca="1" ref="AM117">_xlfn.LET(_xlpm.val,IF($F117="",val_blankRefText,_xldudf_CX_GET(CX_ENTITY,$F117,AM$11,AM$14,,(AM$75))),_xlpm.Res,IF(OR(_xlpm.val="",_xlpm.val="Error"),"",_xlpm.val),_xlpm.Res)</f>
        <v>#NAME?</v>
      </c>
      <c r="AN117" s="1985" t="e" cm="1">
        <f t="array" ca="1" aca="1" ref="AN117">_xlfn.LET(_xlpm.val,IF($F117="",val_blankRefText,_xldudf_CX_GET(CX_ENTITY,$F117,AN$11,AN$14,,(AN$75))),_xlpm.Res,IF(OR(_xlpm.val="",_xlpm.val="Error"),"",_xlpm.val),_xlpm.Res)</f>
        <v>#NAME?</v>
      </c>
      <c r="AO117" s="1985" t="e" cm="1">
        <f t="array" ca="1" aca="1" ref="AO117">_xlfn.LET(_xlpm.val,IF($F117="",val_blankRefText,_xldudf_CX_GET(CX_ENTITY,$F117,AO$11,AO$14,,(AO$75))),_xlpm.Res,IF(OR(_xlpm.val="",_xlpm.val="Error"),"",_xlpm.val),_xlpm.Res)</f>
        <v>#NAME?</v>
      </c>
      <c r="AP117" s="1985" t="e" cm="1">
        <f t="array" ca="1" aca="1" ref="AP117">_xlfn.LET(_xlpm.val,IF($F117="",val_blankRefText,_xldudf_CX_GET(CX_ENTITY,$F117,AP$11,AP$14,,(AP$75))),_xlpm.Res,IF(OR(_xlpm.val="",_xlpm.val="Error"),"",_xlpm.val),_xlpm.Res)</f>
        <v>#NAME?</v>
      </c>
      <c r="AQ117" s="1985" t="e" cm="1">
        <f t="array" ca="1" aca="1" ref="AQ117">_xlfn.LET(_xlpm.val,IF($F117="",val_blankRefText,_xldudf_CX_GET(CX_ENTITY,$F117,AQ$11,AQ$14,,(AQ$75))),_xlpm.Res,IF(OR(_xlpm.val="",_xlpm.val="Error"),"",_xlpm.val),_xlpm.Res)</f>
        <v>#NAME?</v>
      </c>
      <c r="AR117" s="1985" t="e" cm="1">
        <f t="array" ca="1" aca="1" ref="AR117">_xlfn.LET(_xlpm.val,IF($F117="",val_blankRefText,_xldudf_CX_GET(CX_ENTITY,$F117,AR$11,AR$14,,(AR$75))),_xlpm.Res,IF(OR(_xlpm.val="",_xlpm.val="Error"),"",_xlpm.val),_xlpm.Res)</f>
        <v>#NAME?</v>
      </c>
      <c r="AS117" s="1985" t="e" cm="1">
        <f t="array" ca="1" aca="1" ref="AS117">_xlfn.LET(_xlpm.val,IF($F117="",val_blankRefText,_xldudf_CX_GET(CX_ENTITY,$F117,AS$11,AS$14,,(AS$75))),_xlpm.Res,IF(OR(_xlpm.val="",_xlpm.val="Error"),"",_xlpm.val),_xlpm.Res)</f>
        <v>#NAME?</v>
      </c>
      <c r="AT117" s="1985" t="e" cm="1">
        <f t="array" ca="1" aca="1" ref="AT117">_xlfn.LET(_xlpm.val,IF($F117="",val_blankRefText,_xldudf_CX_GET(CX_ENTITY,$F117,AT$11,AT$14,,(AT$75))),_xlpm.Res,IF(OR(_xlpm.val="",_xlpm.val="Error"),"",_xlpm.val),_xlpm.Res)</f>
        <v>#NAME?</v>
      </c>
      <c r="AU117" s="1985" t="e" cm="1">
        <f t="array" ca="1" aca="1" ref="AU117">_xlfn.LET(_xlpm.val,IF($F117="",val_blankRefText,_xldudf_CX_GET(CX_ENTITY,$F117,AU$11,AU$14,,(AU$75))),_xlpm.Res,IF(OR(_xlpm.val="",_xlpm.val="Error"),"",_xlpm.val),_xlpm.Res)</f>
        <v>#NAME?</v>
      </c>
      <c r="AV117" s="1985" t="e" cm="1">
        <f t="array" ca="1" aca="1" ref="AV117">_xlfn.LET(_xlpm.val,IF($F117="",val_blankRefText,_xldudf_CX_GET(CX_ENTITY,$F117,AV$11,AV$14,,(AV$75))),_xlpm.Res,IF(OR(_xlpm.val="",_xlpm.val="Error"),"",_xlpm.val),_xlpm.Res)</f>
        <v>#NAME?</v>
      </c>
      <c r="AW117" s="1985" t="e" cm="1">
        <f t="array" ca="1" aca="1" ref="AW117">_xlfn.LET(_xlpm.val,IF($F117="",val_blankRefText,_xldudf_CX_GET(CX_ENTITY,$F117,AW$11,AW$14,,(AW$75))),_xlpm.Res,IF(OR(_xlpm.val="",_xlpm.val="Error"),"",_xlpm.val),_xlpm.Res)</f>
        <v>#NAME?</v>
      </c>
      <c r="AX117" s="1985" t="e" cm="1">
        <f t="array" ca="1" aca="1" ref="AX117">_xlfn.LET(_xlpm.val,IF($F117="",val_blankRefText,_xldudf_CX_GET(CX_ENTITY,$F117,AX$11,AX$14,,(AX$75))),_xlpm.Res,IF(OR(_xlpm.val="",_xlpm.val="Error"),"",_xlpm.val),_xlpm.Res)</f>
        <v>#NAME?</v>
      </c>
      <c r="AY117" s="1985" t="e" cm="1">
        <f t="array" ca="1" aca="1" ref="AY117">_xlfn.LET(_xlpm.val,IF($F117="",val_blankRefText,_xldudf_CX_GET(CX_ENTITY,$F117,AY$11,AY$14,,(AY$75))),_xlpm.Res,IF(OR(_xlpm.val="",_xlpm.val="Error"),"",_xlpm.val),_xlpm.Res)</f>
        <v>#NAME?</v>
      </c>
      <c r="AZ117" s="1985" t="e" cm="1">
        <f t="array" ca="1" aca="1" ref="AZ117">_xlfn.LET(_xlpm.val,IF($F117="",val_blankRefText,_xldudf_CX_GET(CX_ENTITY,$F117,AZ$11,AZ$14,,(AZ$75))),_xlpm.Res,IF(OR(_xlpm.val="",_xlpm.val="Error"),"",_xlpm.val),_xlpm.Res)</f>
        <v>#NAME?</v>
      </c>
      <c r="BA117" s="1985" t="e" cm="1">
        <f t="array" ca="1" aca="1" ref="BA117">_xlfn.LET(_xlpm.val,IF($F117="",val_blankRefText,_xldudf_CX_GET(CX_ENTITY,$F117,BA$11,BA$14,,(BA$75))),_xlpm.Res,IF(OR(_xlpm.val="",_xlpm.val="Error"),"",_xlpm.val),_xlpm.Res)</f>
        <v>#NAME?</v>
      </c>
      <c r="BB117" s="1985" t="e" cm="1">
        <f t="array" ca="1" aca="1" ref="BB117">_xlfn.LET(_xlpm.val,IF($F117="",val_blankRefText,_xldudf_CX_GET(CX_ENTITY,$F117,BB$11,BB$14,,(BB$75))),_xlpm.Res,IF(OR(_xlpm.val="",_xlpm.val="Error"),"",_xlpm.val),_xlpm.Res)</f>
        <v>#NAME?</v>
      </c>
      <c r="BC117" s="1985" t="e" cm="1">
        <f t="array" ca="1" aca="1" ref="BC117">_xlfn.LET(_xlpm.val,IF($F117="",val_blankRefText,_xldudf_CX_GET(CX_ENTITY,$F117,BC$11,BC$14,,(BC$75))),_xlpm.Res,IF(OR(_xlpm.val="",_xlpm.val="Error"),"",_xlpm.val),_xlpm.Res)</f>
        <v>#NAME?</v>
      </c>
      <c r="BD117" s="1985" t="e" cm="1">
        <f t="array" ca="1" aca="1" ref="BD117">_xlfn.LET(_xlpm.val,IF($F117="",val_blankRefText,_xldudf_CX_GET(CX_ENTITY,$F117,BD$11,BD$14,,(BD$75))),_xlpm.Res,IF(OR(_xlpm.val="",_xlpm.val="Error"),"",_xlpm.val),_xlpm.Res)</f>
        <v>#NAME?</v>
      </c>
      <c r="BE117" s="1985" t="e" cm="1">
        <f t="array" ca="1" aca="1" ref="BE117">_xlfn.LET(_xlpm.val,IF($F117="",val_blankRefText,_xldudf_CX_GET(CX_ENTITY,$F117,BE$11,BE$14,,(BE$75))),_xlpm.Res,IF(OR(_xlpm.val="",_xlpm.val="Error"),"",_xlpm.val),_xlpm.Res)</f>
        <v>#NAME?</v>
      </c>
      <c r="BF117" s="1985" t="e" cm="1">
        <f t="array" ca="1" aca="1" ref="BF117">_xlfn.LET(_xlpm.val,IF($F117="",val_blankRefText,_xldudf_CX_GET(CX_ENTITY,$F117,BF$11,BF$14,,(BF$75))),_xlpm.Res,IF(OR(_xlpm.val="",_xlpm.val="Error"),"",_xlpm.val),_xlpm.Res)</f>
        <v>#NAME?</v>
      </c>
      <c r="BG117" s="1985" t="e" cm="1">
        <f t="array" ca="1" aca="1" ref="BG117">_xlfn.LET(_xlpm.val,IF($F117="",val_blankRefText,_xldudf_CX_GET(CX_ENTITY,$F117,BG$11,BG$14,,(BG$75))),_xlpm.Res,IF(OR(_xlpm.val="",_xlpm.val="Error"),"",_xlpm.val),_xlpm.Res)</f>
        <v>#NAME?</v>
      </c>
      <c r="BH117" s="1985" t="e" cm="1">
        <f t="array" ca="1" aca="1" ref="BH117">_xlfn.LET(_xlpm.val,IF($F117="",val_blankRefText,_xldudf_CX_GET(CX_ENTITY,$F117,BH$11,BH$14,,(BH$75))),_xlpm.Res,IF(OR(_xlpm.val="",_xlpm.val="Error"),"",_xlpm.val),_xlpm.Res)</f>
        <v>#NAME?</v>
      </c>
      <c r="BI117" s="1985" t="e" cm="1">
        <f t="array" ca="1" aca="1" ref="BI117">_xlfn.LET(_xlpm.val,IF($F117="",val_blankRefText,_xldudf_CX_GET(CX_ENTITY,$F117,BI$11,BI$14,,(BI$75))),_xlpm.Res,IF(OR(_xlpm.val="",_xlpm.val="Error"),"",_xlpm.val),_xlpm.Res)</f>
        <v>#NAME?</v>
      </c>
      <c r="BJ117" s="1985" t="e" cm="1">
        <f t="array" ca="1" aca="1" ref="BJ117">_xlfn.LET(_xlpm.val,IF($F117="",val_blankRefText,_xldudf_CX_GET(CX_ENTITY,$F117,BJ$11,BJ$14,,(BJ$75))),_xlpm.Res,IF(OR(_xlpm.val="",_xlpm.val="Error"),"",_xlpm.val),_xlpm.Res)</f>
        <v>#NAME?</v>
      </c>
      <c r="BK117" s="1985" t="e" cm="1">
        <f t="array" ca="1" aca="1" ref="BK117">_xlfn.LET(_xlpm.val,IF($F117="",val_blankRefText,_xldudf_CX_GET(CX_ENTITY,$F117,BK$11,BK$14,,(BK$75))),_xlpm.Res,IF(OR(_xlpm.val="",_xlpm.val="Error"),"",_xlpm.val),_xlpm.Res)</f>
        <v>#NAME?</v>
      </c>
      <c r="BL117" s="1985" t="e" cm="1">
        <f t="array" ca="1" aca="1" ref="BL117">_xlfn.LET(_xlpm.val,IF($F117="",val_blankRefText,_xldudf_CX_GET(CX_ENTITY,$F117,BL$11,BL$14,,(BL$75))),_xlpm.Res,IF(OR(_xlpm.val="",_xlpm.val="Error"),"",_xlpm.val),_xlpm.Res)</f>
        <v>#NAME?</v>
      </c>
      <c r="BM117" s="1985" t="e" cm="1">
        <f t="array" ca="1" aca="1" ref="BM117">_xlfn.LET(_xlpm.val,IF($F117="",val_blankRefText,_xldudf_CX_GET(CX_ENTITY,$F117,BM$11,BM$14,,(BM$75))),_xlpm.Res,IF(OR(_xlpm.val="",_xlpm.val="Error"),"",_xlpm.val),_xlpm.Res)</f>
        <v>#NAME?</v>
      </c>
      <c r="BN117" s="1985" t="e" cm="1">
        <f t="array" ca="1" aca="1" ref="BN117">_xlfn.LET(_xlpm.val,IF($F117="",val_blankRefText,_xldudf_CX_GET(CX_ENTITY,$F117,BN$11,BN$14,,(BN$75))),_xlpm.Res,IF(OR(_xlpm.val="",_xlpm.val="Error"),"",_xlpm.val),_xlpm.Res)</f>
        <v>#NAME?</v>
      </c>
      <c r="BO117" s="2104"/>
      <c r="BP117" s="2104"/>
      <c r="BQ117" s="2104"/>
      <c r="BR117" s="2104"/>
      <c r="BS117" s="2104"/>
      <c r="BT117" s="2104"/>
      <c r="BU117" s="2104"/>
      <c r="BV117" s="2104"/>
      <c r="BW117" s="2104"/>
      <c r="BX117" s="2104"/>
      <c r="BY117" s="2104"/>
      <c r="BZ117" s="2104"/>
      <c r="CA117" s="34"/>
      <c r="CC117" s="33"/>
      <c r="CD117" s="763"/>
      <c r="CE117" s="763"/>
      <c r="CF117" s="3"/>
      <c r="CG117" s="763"/>
      <c r="CH117" s="763"/>
      <c r="CI117" s="3"/>
      <c r="CJ117" s="763"/>
      <c r="CK117" s="763"/>
      <c r="CL117" s="3"/>
      <c r="CM117" s="763"/>
      <c r="CN117" s="763"/>
      <c r="CO117" s="3"/>
      <c r="CP117" s="763"/>
      <c r="CQ117" s="763"/>
      <c r="CR117" s="34"/>
    </row>
    <row r="118" spans="1:96" ht="21" customHeight="1" outlineLevel="2">
      <c r="A118" s="1322"/>
      <c r="B118" s="574" t="s">
        <v>1588</v>
      </c>
      <c r="C118" s="2131" t="s">
        <v>1589</v>
      </c>
      <c r="D118" s="574"/>
      <c r="E118" s="1615" t="e" cm="1">
        <f t="array" ca="1" aca="1" ref="E118">_xlfn.LET(_xlpm.Attr,$C118,_xlpm.Lookback,$E$16,_xlpm.QueryDate,EOMONTH(val_asOfDate,_xlpm.Lookback),_xlpm.ReadField,_xldudf_CX_GET(CX_ENTITY,fx_attrConverter($C118),_xlpm.QueryDate),_xlpm.AttrBlank,_xlpm.Attr="",_xlpm.RESULT,IF(_xlpm.AttrBlank,val_blankRefText,fx_attrConverter(_xlpm.ReadField,0)),IF(_xlpm.RESULT="Error","",_xlpm.RESULT))</f>
        <v>#NAME?</v>
      </c>
      <c r="F118" s="574" t="str">
        <f t="shared" si="30"/>
        <v>Custom Metric Amount 6 [Calculated]</v>
      </c>
      <c r="G118" s="574" t="s">
        <v>1600</v>
      </c>
      <c r="H118" s="3280">
        <v>1</v>
      </c>
      <c r="I118" s="3280">
        <v>1</v>
      </c>
      <c r="J118" s="401"/>
      <c r="K118" s="401"/>
      <c r="L118" s="581" t="b">
        <v>0</v>
      </c>
      <c r="N118" s="158"/>
      <c r="O118" s="101"/>
      <c r="P118" s="52"/>
      <c r="Q118" s="101"/>
      <c r="R118" s="126"/>
      <c r="S118" s="101"/>
      <c r="T118" s="101"/>
      <c r="U118" s="39"/>
      <c r="W118" s="268" t="str">
        <f>_PL!$W$72</f>
        <v>Budget</v>
      </c>
      <c r="X118" s="2370" t="e" cm="1">
        <f t="array" ca="1" aca="1" ref="X118">_xlfn.LET(_xlpm.toPass,$E118="",_xlpm.hasParts,ISNUMBER(SEARCH("|",$E118)),_xlpm.Part1,INDEX(_xlfn.TEXTSPLIT($E118,"|",,FALSE,1),1),_xlpm.Part1Num,IFERROR(_xlfn.NUMBERVALUE(_xlpm.Part1),_xlpm.Part1),_xlfn.SWITCH(TRUE,_xlpm.toPass,"",_xlpm.hasParts,_xlpm.Part1Num,$E118))</f>
        <v>#NAME?</v>
      </c>
      <c r="Y118" s="590" t="e" cm="1">
        <f t="array" ca="1" aca="1" ref="Y118">_xlfn.LET(_xlpm.PackedString,E118,IF(_xlpm.PackedString="","",IF(ISNUMBER(SEARCH("|",_xlpm.PackedString)),INDEX(_xlfn.TEXTSPLIT(_xlpm.PackedString,"|",,FALSE),2),_xlpm.PackedString)))</f>
        <v>#NAME?</v>
      </c>
      <c r="Z118" s="198" t="e">
        <f t="shared" ca="1" si="31"/>
        <v>#NAME?</v>
      </c>
      <c r="AA118" s="787"/>
      <c r="AB118" s="709" t="e" cm="1">
        <f t="array" ca="1" aca="1" ref="AB118">_xlfn.LET(_xlpm.PackedString,E118,IF(_xlpm.PackedString="","",IF(ISNUMBER(SEARCH("|",_xlpm.PackedString)),INDEX(_xlfn.TEXTSPLIT(_xlpm.PackedString,"|",,FALSE),3),_xlpm.PackedString)))</f>
        <v>#NAME?</v>
      </c>
      <c r="AC118" s="275" t="str" cm="1">
        <f t="array" ca="1" aca="1" ref="AC118">_xlfn.LET(_xlpm.Def,IF(_xlfn.XMATCH(AB118,tbl_acctDef[Term],0)&gt;0,fx_getIcon("find"),""),_xlpm.Adj,IF(_xlfn.XMATCH(AB118,tbl_adjExample[Items],0)&gt;0,fx_getIcon("find"),""),IFERROR(IFBLANK(_xlpm.Def,_xlpm.Adj),""))</f>
        <v/>
      </c>
      <c r="AD118" s="1985" t="e" cm="1">
        <f t="array" ca="1" aca="1" ref="AD118">_xlfn.LET(_xlpm.val,IF($F118="",val_blankRefText,_xldudf_CX_GET(CX_ENTITY,$F118,AD$11,AD$14,,(AD$75))),_xlpm.Res,IF(OR(_xlpm.val="",_xlpm.val="Error"),"",_xlpm.val),_xlpm.Res)</f>
        <v>#NAME?</v>
      </c>
      <c r="AE118" s="1985" t="e" cm="1">
        <f t="array" ca="1" aca="1" ref="AE118">_xlfn.LET(_xlpm.val,IF($F118="",val_blankRefText,_xldudf_CX_GET(CX_ENTITY,$F118,AE$11,AE$14,,(AE$75))),_xlpm.Res,IF(OR(_xlpm.val="",_xlpm.val="Error"),"",_xlpm.val),_xlpm.Res)</f>
        <v>#NAME?</v>
      </c>
      <c r="AF118" s="1985" t="e" cm="1">
        <f t="array" ca="1" aca="1" ref="AF118">_xlfn.LET(_xlpm.val,IF($F118="",val_blankRefText,_xldudf_CX_GET(CX_ENTITY,$F118,AF$11,AF$14,,(AF$75))),_xlpm.Res,IF(OR(_xlpm.val="",_xlpm.val="Error"),"",_xlpm.val),_xlpm.Res)</f>
        <v>#NAME?</v>
      </c>
      <c r="AG118" s="1985" t="e" cm="1">
        <f t="array" ca="1" aca="1" ref="AG118">_xlfn.LET(_xlpm.val,IF($F118="",val_blankRefText,_xldudf_CX_GET(CX_ENTITY,$F118,AG$11,AG$14,,(AG$75))),_xlpm.Res,IF(OR(_xlpm.val="",_xlpm.val="Error"),"",_xlpm.val),_xlpm.Res)</f>
        <v>#NAME?</v>
      </c>
      <c r="AH118" s="1985" t="e" cm="1">
        <f t="array" ca="1" aca="1" ref="AH118">_xlfn.LET(_xlpm.val,IF($F118="",val_blankRefText,_xldudf_CX_GET(CX_ENTITY,$F118,AH$11,AH$14,,(AH$75))),_xlpm.Res,IF(OR(_xlpm.val="",_xlpm.val="Error"),"",_xlpm.val),_xlpm.Res)</f>
        <v>#NAME?</v>
      </c>
      <c r="AI118" s="1985" t="e" cm="1">
        <f t="array" ca="1" aca="1" ref="AI118">_xlfn.LET(_xlpm.val,IF($F118="",val_blankRefText,_xldudf_CX_GET(CX_ENTITY,$F118,AI$11,AI$14,,(AI$75))),_xlpm.Res,IF(OR(_xlpm.val="",_xlpm.val="Error"),"",_xlpm.val),_xlpm.Res)</f>
        <v>#NAME?</v>
      </c>
      <c r="AJ118" s="1985" t="e" cm="1">
        <f t="array" ca="1" aca="1" ref="AJ118">_xlfn.LET(_xlpm.val,IF($F118="",val_blankRefText,_xldudf_CX_GET(CX_ENTITY,$F118,AJ$11,AJ$14,,(AJ$75))),_xlpm.Res,IF(OR(_xlpm.val="",_xlpm.val="Error"),"",_xlpm.val),_xlpm.Res)</f>
        <v>#NAME?</v>
      </c>
      <c r="AK118" s="1985" t="e" cm="1">
        <f t="array" ca="1" aca="1" ref="AK118">_xlfn.LET(_xlpm.val,IF($F118="",val_blankRefText,_xldudf_CX_GET(CX_ENTITY,$F118,AK$11,AK$14,,(AK$75))),_xlpm.Res,IF(OR(_xlpm.val="",_xlpm.val="Error"),"",_xlpm.val),_xlpm.Res)</f>
        <v>#NAME?</v>
      </c>
      <c r="AL118" s="1985" t="e" cm="1">
        <f t="array" ca="1" aca="1" ref="AL118">_xlfn.LET(_xlpm.val,IF($F118="",val_blankRefText,_xldudf_CX_GET(CX_ENTITY,$F118,AL$11,AL$14,,(AL$75))),_xlpm.Res,IF(OR(_xlpm.val="",_xlpm.val="Error"),"",_xlpm.val),_xlpm.Res)</f>
        <v>#NAME?</v>
      </c>
      <c r="AM118" s="1985" t="e" cm="1">
        <f t="array" ca="1" aca="1" ref="AM118">_xlfn.LET(_xlpm.val,IF($F118="",val_blankRefText,_xldudf_CX_GET(CX_ENTITY,$F118,AM$11,AM$14,,(AM$75))),_xlpm.Res,IF(OR(_xlpm.val="",_xlpm.val="Error"),"",_xlpm.val),_xlpm.Res)</f>
        <v>#NAME?</v>
      </c>
      <c r="AN118" s="1985" t="e" cm="1">
        <f t="array" ca="1" aca="1" ref="AN118">_xlfn.LET(_xlpm.val,IF($F118="",val_blankRefText,_xldudf_CX_GET(CX_ENTITY,$F118,AN$11,AN$14,,(AN$75))),_xlpm.Res,IF(OR(_xlpm.val="",_xlpm.val="Error"),"",_xlpm.val),_xlpm.Res)</f>
        <v>#NAME?</v>
      </c>
      <c r="AO118" s="1985" t="e" cm="1">
        <f t="array" ca="1" aca="1" ref="AO118">_xlfn.LET(_xlpm.val,IF($F118="",val_blankRefText,_xldudf_CX_GET(CX_ENTITY,$F118,AO$11,AO$14,,(AO$75))),_xlpm.Res,IF(OR(_xlpm.val="",_xlpm.val="Error"),"",_xlpm.val),_xlpm.Res)</f>
        <v>#NAME?</v>
      </c>
      <c r="AP118" s="1985" t="e" cm="1">
        <f t="array" ca="1" aca="1" ref="AP118">_xlfn.LET(_xlpm.val,IF($F118="",val_blankRefText,_xldudf_CX_GET(CX_ENTITY,$F118,AP$11,AP$14,,(AP$75))),_xlpm.Res,IF(OR(_xlpm.val="",_xlpm.val="Error"),"",_xlpm.val),_xlpm.Res)</f>
        <v>#NAME?</v>
      </c>
      <c r="AQ118" s="1985" t="e" cm="1">
        <f t="array" ca="1" aca="1" ref="AQ118">_xlfn.LET(_xlpm.val,IF($F118="",val_blankRefText,_xldudf_CX_GET(CX_ENTITY,$F118,AQ$11,AQ$14,,(AQ$75))),_xlpm.Res,IF(OR(_xlpm.val="",_xlpm.val="Error"),"",_xlpm.val),_xlpm.Res)</f>
        <v>#NAME?</v>
      </c>
      <c r="AR118" s="1985" t="e" cm="1">
        <f t="array" ca="1" aca="1" ref="AR118">_xlfn.LET(_xlpm.val,IF($F118="",val_blankRefText,_xldudf_CX_GET(CX_ENTITY,$F118,AR$11,AR$14,,(AR$75))),_xlpm.Res,IF(OR(_xlpm.val="",_xlpm.val="Error"),"",_xlpm.val),_xlpm.Res)</f>
        <v>#NAME?</v>
      </c>
      <c r="AS118" s="1985" t="e" cm="1">
        <f t="array" ca="1" aca="1" ref="AS118">_xlfn.LET(_xlpm.val,IF($F118="",val_blankRefText,_xldudf_CX_GET(CX_ENTITY,$F118,AS$11,AS$14,,(AS$75))),_xlpm.Res,IF(OR(_xlpm.val="",_xlpm.val="Error"),"",_xlpm.val),_xlpm.Res)</f>
        <v>#NAME?</v>
      </c>
      <c r="AT118" s="1985" t="e" cm="1">
        <f t="array" ca="1" aca="1" ref="AT118">_xlfn.LET(_xlpm.val,IF($F118="",val_blankRefText,_xldudf_CX_GET(CX_ENTITY,$F118,AT$11,AT$14,,(AT$75))),_xlpm.Res,IF(OR(_xlpm.val="",_xlpm.val="Error"),"",_xlpm.val),_xlpm.Res)</f>
        <v>#NAME?</v>
      </c>
      <c r="AU118" s="1985" t="e" cm="1">
        <f t="array" ca="1" aca="1" ref="AU118">_xlfn.LET(_xlpm.val,IF($F118="",val_blankRefText,_xldudf_CX_GET(CX_ENTITY,$F118,AU$11,AU$14,,(AU$75))),_xlpm.Res,IF(OR(_xlpm.val="",_xlpm.val="Error"),"",_xlpm.val),_xlpm.Res)</f>
        <v>#NAME?</v>
      </c>
      <c r="AV118" s="1985" t="e" cm="1">
        <f t="array" ca="1" aca="1" ref="AV118">_xlfn.LET(_xlpm.val,IF($F118="",val_blankRefText,_xldudf_CX_GET(CX_ENTITY,$F118,AV$11,AV$14,,(AV$75))),_xlpm.Res,IF(OR(_xlpm.val="",_xlpm.val="Error"),"",_xlpm.val),_xlpm.Res)</f>
        <v>#NAME?</v>
      </c>
      <c r="AW118" s="1985" t="e" cm="1">
        <f t="array" ca="1" aca="1" ref="AW118">_xlfn.LET(_xlpm.val,IF($F118="",val_blankRefText,_xldudf_CX_GET(CX_ENTITY,$F118,AW$11,AW$14,,(AW$75))),_xlpm.Res,IF(OR(_xlpm.val="",_xlpm.val="Error"),"",_xlpm.val),_xlpm.Res)</f>
        <v>#NAME?</v>
      </c>
      <c r="AX118" s="1985" t="e" cm="1">
        <f t="array" ca="1" aca="1" ref="AX118">_xlfn.LET(_xlpm.val,IF($F118="",val_blankRefText,_xldudf_CX_GET(CX_ENTITY,$F118,AX$11,AX$14,,(AX$75))),_xlpm.Res,IF(OR(_xlpm.val="",_xlpm.val="Error"),"",_xlpm.val),_xlpm.Res)</f>
        <v>#NAME?</v>
      </c>
      <c r="AY118" s="1985" t="e" cm="1">
        <f t="array" ca="1" aca="1" ref="AY118">_xlfn.LET(_xlpm.val,IF($F118="",val_blankRefText,_xldudf_CX_GET(CX_ENTITY,$F118,AY$11,AY$14,,(AY$75))),_xlpm.Res,IF(OR(_xlpm.val="",_xlpm.val="Error"),"",_xlpm.val),_xlpm.Res)</f>
        <v>#NAME?</v>
      </c>
      <c r="AZ118" s="1985" t="e" cm="1">
        <f t="array" ca="1" aca="1" ref="AZ118">_xlfn.LET(_xlpm.val,IF($F118="",val_blankRefText,_xldudf_CX_GET(CX_ENTITY,$F118,AZ$11,AZ$14,,(AZ$75))),_xlpm.Res,IF(OR(_xlpm.val="",_xlpm.val="Error"),"",_xlpm.val),_xlpm.Res)</f>
        <v>#NAME?</v>
      </c>
      <c r="BA118" s="1985" t="e" cm="1">
        <f t="array" ca="1" aca="1" ref="BA118">_xlfn.LET(_xlpm.val,IF($F118="",val_blankRefText,_xldudf_CX_GET(CX_ENTITY,$F118,BA$11,BA$14,,(BA$75))),_xlpm.Res,IF(OR(_xlpm.val="",_xlpm.val="Error"),"",_xlpm.val),_xlpm.Res)</f>
        <v>#NAME?</v>
      </c>
      <c r="BB118" s="1985" t="e" cm="1">
        <f t="array" ca="1" aca="1" ref="BB118">_xlfn.LET(_xlpm.val,IF($F118="",val_blankRefText,_xldudf_CX_GET(CX_ENTITY,$F118,BB$11,BB$14,,(BB$75))),_xlpm.Res,IF(OR(_xlpm.val="",_xlpm.val="Error"),"",_xlpm.val),_xlpm.Res)</f>
        <v>#NAME?</v>
      </c>
      <c r="BC118" s="1985" t="e" cm="1">
        <f t="array" ca="1" aca="1" ref="BC118">_xlfn.LET(_xlpm.val,IF($F118="",val_blankRefText,_xldudf_CX_GET(CX_ENTITY,$F118,BC$11,BC$14,,(BC$75))),_xlpm.Res,IF(OR(_xlpm.val="",_xlpm.val="Error"),"",_xlpm.val),_xlpm.Res)</f>
        <v>#NAME?</v>
      </c>
      <c r="BD118" s="1985" t="e" cm="1">
        <f t="array" ca="1" aca="1" ref="BD118">_xlfn.LET(_xlpm.val,IF($F118="",val_blankRefText,_xldudf_CX_GET(CX_ENTITY,$F118,BD$11,BD$14,,(BD$75))),_xlpm.Res,IF(OR(_xlpm.val="",_xlpm.val="Error"),"",_xlpm.val),_xlpm.Res)</f>
        <v>#NAME?</v>
      </c>
      <c r="BE118" s="1985" t="e" cm="1">
        <f t="array" ca="1" aca="1" ref="BE118">_xlfn.LET(_xlpm.val,IF($F118="",val_blankRefText,_xldudf_CX_GET(CX_ENTITY,$F118,BE$11,BE$14,,(BE$75))),_xlpm.Res,IF(OR(_xlpm.val="",_xlpm.val="Error"),"",_xlpm.val),_xlpm.Res)</f>
        <v>#NAME?</v>
      </c>
      <c r="BF118" s="1985" t="e" cm="1">
        <f t="array" ca="1" aca="1" ref="BF118">_xlfn.LET(_xlpm.val,IF($F118="",val_blankRefText,_xldudf_CX_GET(CX_ENTITY,$F118,BF$11,BF$14,,(BF$75))),_xlpm.Res,IF(OR(_xlpm.val="",_xlpm.val="Error"),"",_xlpm.val),_xlpm.Res)</f>
        <v>#NAME?</v>
      </c>
      <c r="BG118" s="1985" t="e" cm="1">
        <f t="array" ca="1" aca="1" ref="BG118">_xlfn.LET(_xlpm.val,IF($F118="",val_blankRefText,_xldudf_CX_GET(CX_ENTITY,$F118,BG$11,BG$14,,(BG$75))),_xlpm.Res,IF(OR(_xlpm.val="",_xlpm.val="Error"),"",_xlpm.val),_xlpm.Res)</f>
        <v>#NAME?</v>
      </c>
      <c r="BH118" s="1985" t="e" cm="1">
        <f t="array" ca="1" aca="1" ref="BH118">_xlfn.LET(_xlpm.val,IF($F118="",val_blankRefText,_xldudf_CX_GET(CX_ENTITY,$F118,BH$11,BH$14,,(BH$75))),_xlpm.Res,IF(OR(_xlpm.val="",_xlpm.val="Error"),"",_xlpm.val),_xlpm.Res)</f>
        <v>#NAME?</v>
      </c>
      <c r="BI118" s="1985" t="e" cm="1">
        <f t="array" ca="1" aca="1" ref="BI118">_xlfn.LET(_xlpm.val,IF($F118="",val_blankRefText,_xldudf_CX_GET(CX_ENTITY,$F118,BI$11,BI$14,,(BI$75))),_xlpm.Res,IF(OR(_xlpm.val="",_xlpm.val="Error"),"",_xlpm.val),_xlpm.Res)</f>
        <v>#NAME?</v>
      </c>
      <c r="BJ118" s="1985" t="e" cm="1">
        <f t="array" ca="1" aca="1" ref="BJ118">_xlfn.LET(_xlpm.val,IF($F118="",val_blankRefText,_xldudf_CX_GET(CX_ENTITY,$F118,BJ$11,BJ$14,,(BJ$75))),_xlpm.Res,IF(OR(_xlpm.val="",_xlpm.val="Error"),"",_xlpm.val),_xlpm.Res)</f>
        <v>#NAME?</v>
      </c>
      <c r="BK118" s="1985" t="e" cm="1">
        <f t="array" ca="1" aca="1" ref="BK118">_xlfn.LET(_xlpm.val,IF($F118="",val_blankRefText,_xldudf_CX_GET(CX_ENTITY,$F118,BK$11,BK$14,,(BK$75))),_xlpm.Res,IF(OR(_xlpm.val="",_xlpm.val="Error"),"",_xlpm.val),_xlpm.Res)</f>
        <v>#NAME?</v>
      </c>
      <c r="BL118" s="1985" t="e" cm="1">
        <f t="array" ca="1" aca="1" ref="BL118">_xlfn.LET(_xlpm.val,IF($F118="",val_blankRefText,_xldudf_CX_GET(CX_ENTITY,$F118,BL$11,BL$14,,(BL$75))),_xlpm.Res,IF(OR(_xlpm.val="",_xlpm.val="Error"),"",_xlpm.val),_xlpm.Res)</f>
        <v>#NAME?</v>
      </c>
      <c r="BM118" s="1985" t="e" cm="1">
        <f t="array" ca="1" aca="1" ref="BM118">_xlfn.LET(_xlpm.val,IF($F118="",val_blankRefText,_xldudf_CX_GET(CX_ENTITY,$F118,BM$11,BM$14,,(BM$75))),_xlpm.Res,IF(OR(_xlpm.val="",_xlpm.val="Error"),"",_xlpm.val),_xlpm.Res)</f>
        <v>#NAME?</v>
      </c>
      <c r="BN118" s="1985" t="e" cm="1">
        <f t="array" ca="1" aca="1" ref="BN118">_xlfn.LET(_xlpm.val,IF($F118="",val_blankRefText,_xldudf_CX_GET(CX_ENTITY,$F118,BN$11,BN$14,,(BN$75))),_xlpm.Res,IF(OR(_xlpm.val="",_xlpm.val="Error"),"",_xlpm.val),_xlpm.Res)</f>
        <v>#NAME?</v>
      </c>
      <c r="BO118" s="2104"/>
      <c r="BP118" s="2104"/>
      <c r="BQ118" s="2104"/>
      <c r="BR118" s="2104"/>
      <c r="BS118" s="2104"/>
      <c r="BT118" s="2104"/>
      <c r="BU118" s="2104"/>
      <c r="BV118" s="2104"/>
      <c r="BW118" s="2104"/>
      <c r="BX118" s="2104"/>
      <c r="BY118" s="2104"/>
      <c r="BZ118" s="2104"/>
      <c r="CA118" s="34"/>
      <c r="CC118" s="33"/>
      <c r="CD118" s="763"/>
      <c r="CE118" s="763"/>
      <c r="CF118" s="3"/>
      <c r="CG118" s="763"/>
      <c r="CH118" s="763"/>
      <c r="CI118" s="3"/>
      <c r="CJ118" s="763"/>
      <c r="CK118" s="763"/>
      <c r="CL118" s="3"/>
      <c r="CM118" s="763"/>
      <c r="CN118" s="763"/>
      <c r="CO118" s="3"/>
      <c r="CP118" s="763"/>
      <c r="CQ118" s="763"/>
      <c r="CR118" s="34"/>
    </row>
    <row r="119" spans="1:96" ht="21" customHeight="1" outlineLevel="1">
      <c r="A119" s="1322"/>
      <c r="B119" s="574" t="s">
        <v>1590</v>
      </c>
      <c r="C119" s="2131" t="s">
        <v>1591</v>
      </c>
      <c r="D119" s="574"/>
      <c r="E119" s="1615" t="e" cm="1">
        <f t="array" ca="1" aca="1" ref="E119">_xlfn.LET(_xlpm.Attr,$C119,_xlpm.Lookback,$E$16,_xlpm.QueryDate,EOMONTH(val_asOfDate,_xlpm.Lookback),_xlpm.ReadField,_xldudf_CX_GET(CX_ENTITY,fx_attrConverter($C119),_xlpm.QueryDate),_xlpm.AttrBlank,_xlpm.Attr="",_xlpm.RESULT,IF(_xlpm.AttrBlank,val_blankRefText,fx_attrConverter(_xlpm.ReadField,0)),IF(_xlpm.RESULT="Error","",_xlpm.RESULT))</f>
        <v>#NAME?</v>
      </c>
      <c r="F119" s="574" t="str">
        <f t="shared" si="30"/>
        <v>Custom Metric Amount 7 [Calculated]</v>
      </c>
      <c r="G119" s="574" t="s">
        <v>1600</v>
      </c>
      <c r="H119" s="3280">
        <v>1</v>
      </c>
      <c r="I119" s="3280">
        <v>1</v>
      </c>
      <c r="J119" s="401"/>
      <c r="K119" s="401"/>
      <c r="L119" s="581" t="b">
        <v>0</v>
      </c>
      <c r="N119" s="158"/>
      <c r="O119" s="101"/>
      <c r="P119" s="52"/>
      <c r="Q119" s="101"/>
      <c r="R119" s="126"/>
      <c r="S119" s="101"/>
      <c r="T119" s="101"/>
      <c r="U119" s="39"/>
      <c r="W119" s="91" t="str">
        <f>_PL!$W$72</f>
        <v>Budget</v>
      </c>
      <c r="X119" s="2370" t="e" cm="1">
        <f t="array" ca="1" aca="1" ref="X119">_xlfn.LET(_xlpm.toPass,$E119="",_xlpm.hasParts,ISNUMBER(SEARCH("|",$E119)),_xlpm.Part1,INDEX(_xlfn.TEXTSPLIT($E119,"|",,FALSE,1),1),_xlpm.Part1Num,IFERROR(_xlfn.NUMBERVALUE(_xlpm.Part1),_xlpm.Part1),_xlfn.SWITCH(TRUE,_xlpm.toPass,"",_xlpm.hasParts,_xlpm.Part1Num,$E119))</f>
        <v>#NAME?</v>
      </c>
      <c r="Y119" s="590" t="e" cm="1">
        <f t="array" ca="1" aca="1" ref="Y119">_xlfn.LET(_xlpm.PackedString,E119,IF(_xlpm.PackedString="","",IF(ISNUMBER(SEARCH("|",_xlpm.PackedString)),INDEX(_xlfn.TEXTSPLIT(_xlpm.PackedString,"|",,FALSE),2),_xlpm.PackedString)))</f>
        <v>#NAME?</v>
      </c>
      <c r="Z119" s="198" t="e">
        <f t="shared" ca="1" si="31"/>
        <v>#NAME?</v>
      </c>
      <c r="AA119" s="200"/>
      <c r="AB119" s="709" t="e" cm="1">
        <f t="array" ca="1" aca="1" ref="AB119">_xlfn.LET(_xlpm.PackedString,E119,IF(_xlpm.PackedString="","",IF(ISNUMBER(SEARCH("|",_xlpm.PackedString)),INDEX(_xlfn.TEXTSPLIT(_xlpm.PackedString,"|",,FALSE),3),_xlpm.PackedString)))</f>
        <v>#NAME?</v>
      </c>
      <c r="AC119" s="275" t="str" cm="1">
        <f t="array" ca="1" aca="1" ref="AC119">_xlfn.LET(_xlpm.Def,IF(_xlfn.XMATCH(AB119,tbl_acctDef[Term],0)&gt;0,fx_getIcon("find"),""),_xlpm.Adj,IF(_xlfn.XMATCH(AB119,tbl_adjExample[Items],0)&gt;0,fx_getIcon("find"),""),IFERROR(IFBLANK(_xlpm.Def,_xlpm.Adj),""))</f>
        <v/>
      </c>
      <c r="AD119" s="1985" t="e" cm="1">
        <f t="array" ca="1" aca="1" ref="AD119">_xlfn.LET(_xlpm.val,IF($F119="",val_blankRefText,_xldudf_CX_GET(CX_ENTITY,$F119,AD$11,AD$14,,(AD$75))),_xlpm.Res,IF(OR(_xlpm.val="",_xlpm.val="Error"),"",_xlpm.val),_xlpm.Res)</f>
        <v>#NAME?</v>
      </c>
      <c r="AE119" s="1985" t="e" cm="1">
        <f t="array" ca="1" aca="1" ref="AE119">_xlfn.LET(_xlpm.val,IF($F119="",val_blankRefText,_xldudf_CX_GET(CX_ENTITY,$F119,AE$11,AE$14,,(AE$75))),_xlpm.Res,IF(OR(_xlpm.val="",_xlpm.val="Error"),"",_xlpm.val),_xlpm.Res)</f>
        <v>#NAME?</v>
      </c>
      <c r="AF119" s="1985" t="e" cm="1">
        <f t="array" ca="1" aca="1" ref="AF119">_xlfn.LET(_xlpm.val,IF($F119="",val_blankRefText,_xldudf_CX_GET(CX_ENTITY,$F119,AF$11,AF$14,,(AF$75))),_xlpm.Res,IF(OR(_xlpm.val="",_xlpm.val="Error"),"",_xlpm.val),_xlpm.Res)</f>
        <v>#NAME?</v>
      </c>
      <c r="AG119" s="1985" t="e" cm="1">
        <f t="array" ca="1" aca="1" ref="AG119">_xlfn.LET(_xlpm.val,IF($F119="",val_blankRefText,_xldudf_CX_GET(CX_ENTITY,$F119,AG$11,AG$14,,(AG$75))),_xlpm.Res,IF(OR(_xlpm.val="",_xlpm.val="Error"),"",_xlpm.val),_xlpm.Res)</f>
        <v>#NAME?</v>
      </c>
      <c r="AH119" s="1985" t="e" cm="1">
        <f t="array" ca="1" aca="1" ref="AH119">_xlfn.LET(_xlpm.val,IF($F119="",val_blankRefText,_xldudf_CX_GET(CX_ENTITY,$F119,AH$11,AH$14,,(AH$75))),_xlpm.Res,IF(OR(_xlpm.val="",_xlpm.val="Error"),"",_xlpm.val),_xlpm.Res)</f>
        <v>#NAME?</v>
      </c>
      <c r="AI119" s="1985" t="e" cm="1">
        <f t="array" ca="1" aca="1" ref="AI119">_xlfn.LET(_xlpm.val,IF($F119="",val_blankRefText,_xldudf_CX_GET(CX_ENTITY,$F119,AI$11,AI$14,,(AI$75))),_xlpm.Res,IF(OR(_xlpm.val="",_xlpm.val="Error"),"",_xlpm.val),_xlpm.Res)</f>
        <v>#NAME?</v>
      </c>
      <c r="AJ119" s="1985" t="e" cm="1">
        <f t="array" ca="1" aca="1" ref="AJ119">_xlfn.LET(_xlpm.val,IF($F119="",val_blankRefText,_xldudf_CX_GET(CX_ENTITY,$F119,AJ$11,AJ$14,,(AJ$75))),_xlpm.Res,IF(OR(_xlpm.val="",_xlpm.val="Error"),"",_xlpm.val),_xlpm.Res)</f>
        <v>#NAME?</v>
      </c>
      <c r="AK119" s="1985" t="e" cm="1">
        <f t="array" ca="1" aca="1" ref="AK119">_xlfn.LET(_xlpm.val,IF($F119="",val_blankRefText,_xldudf_CX_GET(CX_ENTITY,$F119,AK$11,AK$14,,(AK$75))),_xlpm.Res,IF(OR(_xlpm.val="",_xlpm.val="Error"),"",_xlpm.val),_xlpm.Res)</f>
        <v>#NAME?</v>
      </c>
      <c r="AL119" s="1985" t="e" cm="1">
        <f t="array" ca="1" aca="1" ref="AL119">_xlfn.LET(_xlpm.val,IF($F119="",val_blankRefText,_xldudf_CX_GET(CX_ENTITY,$F119,AL$11,AL$14,,(AL$75))),_xlpm.Res,IF(OR(_xlpm.val="",_xlpm.val="Error"),"",_xlpm.val),_xlpm.Res)</f>
        <v>#NAME?</v>
      </c>
      <c r="AM119" s="1985" t="e" cm="1">
        <f t="array" ca="1" aca="1" ref="AM119">_xlfn.LET(_xlpm.val,IF($F119="",val_blankRefText,_xldudf_CX_GET(CX_ENTITY,$F119,AM$11,AM$14,,(AM$75))),_xlpm.Res,IF(OR(_xlpm.val="",_xlpm.val="Error"),"",_xlpm.val),_xlpm.Res)</f>
        <v>#NAME?</v>
      </c>
      <c r="AN119" s="1985" t="e" cm="1">
        <f t="array" ca="1" aca="1" ref="AN119">_xlfn.LET(_xlpm.val,IF($F119="",val_blankRefText,_xldudf_CX_GET(CX_ENTITY,$F119,AN$11,AN$14,,(AN$75))),_xlpm.Res,IF(OR(_xlpm.val="",_xlpm.val="Error"),"",_xlpm.val),_xlpm.Res)</f>
        <v>#NAME?</v>
      </c>
      <c r="AO119" s="1985" t="e" cm="1">
        <f t="array" ca="1" aca="1" ref="AO119">_xlfn.LET(_xlpm.val,IF($F119="",val_blankRefText,_xldudf_CX_GET(CX_ENTITY,$F119,AO$11,AO$14,,(AO$75))),_xlpm.Res,IF(OR(_xlpm.val="",_xlpm.val="Error"),"",_xlpm.val),_xlpm.Res)</f>
        <v>#NAME?</v>
      </c>
      <c r="AP119" s="1985" t="e" cm="1">
        <f t="array" ca="1" aca="1" ref="AP119">_xlfn.LET(_xlpm.val,IF($F119="",val_blankRefText,_xldudf_CX_GET(CX_ENTITY,$F119,AP$11,AP$14,,(AP$75))),_xlpm.Res,IF(OR(_xlpm.val="",_xlpm.val="Error"),"",_xlpm.val),_xlpm.Res)</f>
        <v>#NAME?</v>
      </c>
      <c r="AQ119" s="1985" t="e" cm="1">
        <f t="array" ca="1" aca="1" ref="AQ119">_xlfn.LET(_xlpm.val,IF($F119="",val_blankRefText,_xldudf_CX_GET(CX_ENTITY,$F119,AQ$11,AQ$14,,(AQ$75))),_xlpm.Res,IF(OR(_xlpm.val="",_xlpm.val="Error"),"",_xlpm.val),_xlpm.Res)</f>
        <v>#NAME?</v>
      </c>
      <c r="AR119" s="1985" t="e" cm="1">
        <f t="array" ca="1" aca="1" ref="AR119">_xlfn.LET(_xlpm.val,IF($F119="",val_blankRefText,_xldudf_CX_GET(CX_ENTITY,$F119,AR$11,AR$14,,(AR$75))),_xlpm.Res,IF(OR(_xlpm.val="",_xlpm.val="Error"),"",_xlpm.val),_xlpm.Res)</f>
        <v>#NAME?</v>
      </c>
      <c r="AS119" s="1985" t="e" cm="1">
        <f t="array" ca="1" aca="1" ref="AS119">_xlfn.LET(_xlpm.val,IF($F119="",val_blankRefText,_xldudf_CX_GET(CX_ENTITY,$F119,AS$11,AS$14,,(AS$75))),_xlpm.Res,IF(OR(_xlpm.val="",_xlpm.val="Error"),"",_xlpm.val),_xlpm.Res)</f>
        <v>#NAME?</v>
      </c>
      <c r="AT119" s="1985" t="e" cm="1">
        <f t="array" ca="1" aca="1" ref="AT119">_xlfn.LET(_xlpm.val,IF($F119="",val_blankRefText,_xldudf_CX_GET(CX_ENTITY,$F119,AT$11,AT$14,,(AT$75))),_xlpm.Res,IF(OR(_xlpm.val="",_xlpm.val="Error"),"",_xlpm.val),_xlpm.Res)</f>
        <v>#NAME?</v>
      </c>
      <c r="AU119" s="1985" t="e" cm="1">
        <f t="array" ca="1" aca="1" ref="AU119">_xlfn.LET(_xlpm.val,IF($F119="",val_blankRefText,_xldudf_CX_GET(CX_ENTITY,$F119,AU$11,AU$14,,(AU$75))),_xlpm.Res,IF(OR(_xlpm.val="",_xlpm.val="Error"),"",_xlpm.val),_xlpm.Res)</f>
        <v>#NAME?</v>
      </c>
      <c r="AV119" s="1985" t="e" cm="1">
        <f t="array" ca="1" aca="1" ref="AV119">_xlfn.LET(_xlpm.val,IF($F119="",val_blankRefText,_xldudf_CX_GET(CX_ENTITY,$F119,AV$11,AV$14,,(AV$75))),_xlpm.Res,IF(OR(_xlpm.val="",_xlpm.val="Error"),"",_xlpm.val),_xlpm.Res)</f>
        <v>#NAME?</v>
      </c>
      <c r="AW119" s="1985" t="e" cm="1">
        <f t="array" ca="1" aca="1" ref="AW119">_xlfn.LET(_xlpm.val,IF($F119="",val_blankRefText,_xldudf_CX_GET(CX_ENTITY,$F119,AW$11,AW$14,,(AW$75))),_xlpm.Res,IF(OR(_xlpm.val="",_xlpm.val="Error"),"",_xlpm.val),_xlpm.Res)</f>
        <v>#NAME?</v>
      </c>
      <c r="AX119" s="1985" t="e" cm="1">
        <f t="array" ca="1" aca="1" ref="AX119">_xlfn.LET(_xlpm.val,IF($F119="",val_blankRefText,_xldudf_CX_GET(CX_ENTITY,$F119,AX$11,AX$14,,(AX$75))),_xlpm.Res,IF(OR(_xlpm.val="",_xlpm.val="Error"),"",_xlpm.val),_xlpm.Res)</f>
        <v>#NAME?</v>
      </c>
      <c r="AY119" s="1985" t="e" cm="1">
        <f t="array" ca="1" aca="1" ref="AY119">_xlfn.LET(_xlpm.val,IF($F119="",val_blankRefText,_xldudf_CX_GET(CX_ENTITY,$F119,AY$11,AY$14,,(AY$75))),_xlpm.Res,IF(OR(_xlpm.val="",_xlpm.val="Error"),"",_xlpm.val),_xlpm.Res)</f>
        <v>#NAME?</v>
      </c>
      <c r="AZ119" s="1985" t="e" cm="1">
        <f t="array" ca="1" aca="1" ref="AZ119">_xlfn.LET(_xlpm.val,IF($F119="",val_blankRefText,_xldudf_CX_GET(CX_ENTITY,$F119,AZ$11,AZ$14,,(AZ$75))),_xlpm.Res,IF(OR(_xlpm.val="",_xlpm.val="Error"),"",_xlpm.val),_xlpm.Res)</f>
        <v>#NAME?</v>
      </c>
      <c r="BA119" s="1985" t="e" cm="1">
        <f t="array" ca="1" aca="1" ref="BA119">_xlfn.LET(_xlpm.val,IF($F119="",val_blankRefText,_xldudf_CX_GET(CX_ENTITY,$F119,BA$11,BA$14,,(BA$75))),_xlpm.Res,IF(OR(_xlpm.val="",_xlpm.val="Error"),"",_xlpm.val),_xlpm.Res)</f>
        <v>#NAME?</v>
      </c>
      <c r="BB119" s="1985" t="e" cm="1">
        <f t="array" ca="1" aca="1" ref="BB119">_xlfn.LET(_xlpm.val,IF($F119="",val_blankRefText,_xldudf_CX_GET(CX_ENTITY,$F119,BB$11,BB$14,,(BB$75))),_xlpm.Res,IF(OR(_xlpm.val="",_xlpm.val="Error"),"",_xlpm.val),_xlpm.Res)</f>
        <v>#NAME?</v>
      </c>
      <c r="BC119" s="1985" t="e" cm="1">
        <f t="array" ca="1" aca="1" ref="BC119">_xlfn.LET(_xlpm.val,IF($F119="",val_blankRefText,_xldudf_CX_GET(CX_ENTITY,$F119,BC$11,BC$14,,(BC$75))),_xlpm.Res,IF(OR(_xlpm.val="",_xlpm.val="Error"),"",_xlpm.val),_xlpm.Res)</f>
        <v>#NAME?</v>
      </c>
      <c r="BD119" s="1985" t="e" cm="1">
        <f t="array" ca="1" aca="1" ref="BD119">_xlfn.LET(_xlpm.val,IF($F119="",val_blankRefText,_xldudf_CX_GET(CX_ENTITY,$F119,BD$11,BD$14,,(BD$75))),_xlpm.Res,IF(OR(_xlpm.val="",_xlpm.val="Error"),"",_xlpm.val),_xlpm.Res)</f>
        <v>#NAME?</v>
      </c>
      <c r="BE119" s="1985" t="e" cm="1">
        <f t="array" ca="1" aca="1" ref="BE119">_xlfn.LET(_xlpm.val,IF($F119="",val_blankRefText,_xldudf_CX_GET(CX_ENTITY,$F119,BE$11,BE$14,,(BE$75))),_xlpm.Res,IF(OR(_xlpm.val="",_xlpm.val="Error"),"",_xlpm.val),_xlpm.Res)</f>
        <v>#NAME?</v>
      </c>
      <c r="BF119" s="1985" t="e" cm="1">
        <f t="array" ca="1" aca="1" ref="BF119">_xlfn.LET(_xlpm.val,IF($F119="",val_blankRefText,_xldudf_CX_GET(CX_ENTITY,$F119,BF$11,BF$14,,(BF$75))),_xlpm.Res,IF(OR(_xlpm.val="",_xlpm.val="Error"),"",_xlpm.val),_xlpm.Res)</f>
        <v>#NAME?</v>
      </c>
      <c r="BG119" s="1985" t="e" cm="1">
        <f t="array" ca="1" aca="1" ref="BG119">_xlfn.LET(_xlpm.val,IF($F119="",val_blankRefText,_xldudf_CX_GET(CX_ENTITY,$F119,BG$11,BG$14,,(BG$75))),_xlpm.Res,IF(OR(_xlpm.val="",_xlpm.val="Error"),"",_xlpm.val),_xlpm.Res)</f>
        <v>#NAME?</v>
      </c>
      <c r="BH119" s="1985" t="e" cm="1">
        <f t="array" ca="1" aca="1" ref="BH119">_xlfn.LET(_xlpm.val,IF($F119="",val_blankRefText,_xldudf_CX_GET(CX_ENTITY,$F119,BH$11,BH$14,,(BH$75))),_xlpm.Res,IF(OR(_xlpm.val="",_xlpm.val="Error"),"",_xlpm.val),_xlpm.Res)</f>
        <v>#NAME?</v>
      </c>
      <c r="BI119" s="1985" t="e" cm="1">
        <f t="array" ca="1" aca="1" ref="BI119">_xlfn.LET(_xlpm.val,IF($F119="",val_blankRefText,_xldudf_CX_GET(CX_ENTITY,$F119,BI$11,BI$14,,(BI$75))),_xlpm.Res,IF(OR(_xlpm.val="",_xlpm.val="Error"),"",_xlpm.val),_xlpm.Res)</f>
        <v>#NAME?</v>
      </c>
      <c r="BJ119" s="1985" t="e" cm="1">
        <f t="array" ca="1" aca="1" ref="BJ119">_xlfn.LET(_xlpm.val,IF($F119="",val_blankRefText,_xldudf_CX_GET(CX_ENTITY,$F119,BJ$11,BJ$14,,(BJ$75))),_xlpm.Res,IF(OR(_xlpm.val="",_xlpm.val="Error"),"",_xlpm.val),_xlpm.Res)</f>
        <v>#NAME?</v>
      </c>
      <c r="BK119" s="1985" t="e" cm="1">
        <f t="array" ca="1" aca="1" ref="BK119">_xlfn.LET(_xlpm.val,IF($F119="",val_blankRefText,_xldudf_CX_GET(CX_ENTITY,$F119,BK$11,BK$14,,(BK$75))),_xlpm.Res,IF(OR(_xlpm.val="",_xlpm.val="Error"),"",_xlpm.val),_xlpm.Res)</f>
        <v>#NAME?</v>
      </c>
      <c r="BL119" s="1985" t="e" cm="1">
        <f t="array" ca="1" aca="1" ref="BL119">_xlfn.LET(_xlpm.val,IF($F119="",val_blankRefText,_xldudf_CX_GET(CX_ENTITY,$F119,BL$11,BL$14,,(BL$75))),_xlpm.Res,IF(OR(_xlpm.val="",_xlpm.val="Error"),"",_xlpm.val),_xlpm.Res)</f>
        <v>#NAME?</v>
      </c>
      <c r="BM119" s="1985" t="e" cm="1">
        <f t="array" ca="1" aca="1" ref="BM119">_xlfn.LET(_xlpm.val,IF($F119="",val_blankRefText,_xldudf_CX_GET(CX_ENTITY,$F119,BM$11,BM$14,,(BM$75))),_xlpm.Res,IF(OR(_xlpm.val="",_xlpm.val="Error"),"",_xlpm.val),_xlpm.Res)</f>
        <v>#NAME?</v>
      </c>
      <c r="BN119" s="1985" t="e" cm="1">
        <f t="array" ca="1" aca="1" ref="BN119">_xlfn.LET(_xlpm.val,IF($F119="",val_blankRefText,_xldudf_CX_GET(CX_ENTITY,$F119,BN$11,BN$14,,(BN$75))),_xlpm.Res,IF(OR(_xlpm.val="",_xlpm.val="Error"),"",_xlpm.val),_xlpm.Res)</f>
        <v>#NAME?</v>
      </c>
      <c r="BO119" s="2104"/>
      <c r="BP119" s="2104"/>
      <c r="BQ119" s="2104"/>
      <c r="BR119" s="2104"/>
      <c r="BS119" s="2104"/>
      <c r="BT119" s="2104"/>
      <c r="BU119" s="2104"/>
      <c r="BV119" s="2104"/>
      <c r="BW119" s="2104"/>
      <c r="BX119" s="2104"/>
      <c r="BY119" s="2104"/>
      <c r="BZ119" s="2104"/>
      <c r="CA119" s="34"/>
      <c r="CC119" s="33"/>
      <c r="CD119" s="763"/>
      <c r="CE119" s="763"/>
      <c r="CF119" s="3"/>
      <c r="CG119" s="763"/>
      <c r="CH119" s="763"/>
      <c r="CI119" s="3"/>
      <c r="CJ119" s="763"/>
      <c r="CK119" s="763"/>
      <c r="CL119" s="3"/>
      <c r="CM119" s="763"/>
      <c r="CN119" s="763"/>
      <c r="CO119" s="3"/>
      <c r="CP119" s="763"/>
      <c r="CQ119" s="763"/>
      <c r="CR119" s="34"/>
    </row>
    <row r="120" spans="1:96" ht="21" customHeight="1" outlineLevel="2">
      <c r="A120" s="1322"/>
      <c r="B120" s="574" t="s">
        <v>1592</v>
      </c>
      <c r="C120" s="2131" t="s">
        <v>1593</v>
      </c>
      <c r="D120" s="577"/>
      <c r="E120" s="1615" t="e" cm="1">
        <f t="array" ca="1" aca="1" ref="E120">_xlfn.LET(_xlpm.Attr,$C120,_xlpm.Lookback,$E$16,_xlpm.QueryDate,EOMONTH(val_asOfDate,_xlpm.Lookback),_xlpm.ReadField,_xldudf_CX_GET(CX_ENTITY,fx_attrConverter($C120),_xlpm.QueryDate),_xlpm.AttrBlank,_xlpm.Attr="",_xlpm.RESULT,IF(_xlpm.AttrBlank,val_blankRefText,fx_attrConverter(_xlpm.ReadField,0)),IF(_xlpm.RESULT="Error","",_xlpm.RESULT))</f>
        <v>#NAME?</v>
      </c>
      <c r="F120" s="577" t="str">
        <f t="shared" si="30"/>
        <v>Custom Metric Amount 8 [Calculated]</v>
      </c>
      <c r="G120" s="577" t="s">
        <v>1600</v>
      </c>
      <c r="H120" s="3280">
        <v>1</v>
      </c>
      <c r="I120" s="3280">
        <v>1</v>
      </c>
      <c r="J120" s="401"/>
      <c r="K120" s="401"/>
      <c r="L120" s="581" t="b">
        <v>0</v>
      </c>
      <c r="N120" s="158"/>
      <c r="O120" s="101"/>
      <c r="P120" s="52"/>
      <c r="Q120" s="101"/>
      <c r="R120" s="126"/>
      <c r="S120" s="101"/>
      <c r="T120" s="101"/>
      <c r="U120" s="39"/>
      <c r="W120" s="91" t="str">
        <f>_PL!$W$72</f>
        <v>Budget</v>
      </c>
      <c r="X120" s="2370" t="e" cm="1">
        <f t="array" ca="1" aca="1" ref="X120">_xlfn.LET(_xlpm.toPass,$E120="",_xlpm.hasParts,ISNUMBER(SEARCH("|",$E120)),_xlpm.Part1,INDEX(_xlfn.TEXTSPLIT($E120,"|",,FALSE,1),1),_xlpm.Part1Num,IFERROR(_xlfn.NUMBERVALUE(_xlpm.Part1),_xlpm.Part1),_xlfn.SWITCH(TRUE,_xlpm.toPass,"",_xlpm.hasParts,_xlpm.Part1Num,$E120))</f>
        <v>#NAME?</v>
      </c>
      <c r="Y120" s="590" t="e" cm="1">
        <f t="array" ca="1" aca="1" ref="Y120">_xlfn.LET(_xlpm.PackedString,E120,IF(_xlpm.PackedString="","",IF(ISNUMBER(SEARCH("|",_xlpm.PackedString)),INDEX(_xlfn.TEXTSPLIT(_xlpm.PackedString,"|",,FALSE),2),_xlpm.PackedString)))</f>
        <v>#NAME?</v>
      </c>
      <c r="Z120" s="198" t="e">
        <f t="shared" ca="1" si="31"/>
        <v>#NAME?</v>
      </c>
      <c r="AA120" s="200"/>
      <c r="AB120" s="709" t="e" cm="1">
        <f t="array" ca="1" aca="1" ref="AB120">_xlfn.LET(_xlpm.PackedString,E120,IF(_xlpm.PackedString="","",IF(ISNUMBER(SEARCH("|",_xlpm.PackedString)),INDEX(_xlfn.TEXTSPLIT(_xlpm.PackedString,"|",,FALSE),3),_xlpm.PackedString)))</f>
        <v>#NAME?</v>
      </c>
      <c r="AC120" s="275" t="str" cm="1">
        <f t="array" ca="1" aca="1" ref="AC120">_xlfn.LET(_xlpm.Def,IF(_xlfn.XMATCH(AB120,tbl_acctDef[Term],0)&gt;0,fx_getIcon("find"),""),_xlpm.Adj,IF(_xlfn.XMATCH(AB120,tbl_adjExample[Items],0)&gt;0,fx_getIcon("find"),""),IFERROR(IFBLANK(_xlpm.Def,_xlpm.Adj),""))</f>
        <v/>
      </c>
      <c r="AD120" s="1985" t="e" cm="1">
        <f t="array" ca="1" aca="1" ref="AD120">_xlfn.LET(_xlpm.val,IF($F120="",val_blankRefText,_xldudf_CX_GET(CX_ENTITY,$F120,AD$11,AD$14,,(AD$75))),_xlpm.Res,IF(OR(_xlpm.val="",_xlpm.val="Error"),"",_xlpm.val),_xlpm.Res)</f>
        <v>#NAME?</v>
      </c>
      <c r="AE120" s="1985" t="e" cm="1">
        <f t="array" ca="1" aca="1" ref="AE120">_xlfn.LET(_xlpm.val,IF($F120="",val_blankRefText,_xldudf_CX_GET(CX_ENTITY,$F120,AE$11,AE$14,,(AE$75))),_xlpm.Res,IF(OR(_xlpm.val="",_xlpm.val="Error"),"",_xlpm.val),_xlpm.Res)</f>
        <v>#NAME?</v>
      </c>
      <c r="AF120" s="1985" t="e" cm="1">
        <f t="array" ca="1" aca="1" ref="AF120">_xlfn.LET(_xlpm.val,IF($F120="",val_blankRefText,_xldudf_CX_GET(CX_ENTITY,$F120,AF$11,AF$14,,(AF$75))),_xlpm.Res,IF(OR(_xlpm.val="",_xlpm.val="Error"),"",_xlpm.val),_xlpm.Res)</f>
        <v>#NAME?</v>
      </c>
      <c r="AG120" s="1985" t="e" cm="1">
        <f t="array" ca="1" aca="1" ref="AG120">_xlfn.LET(_xlpm.val,IF($F120="",val_blankRefText,_xldudf_CX_GET(CX_ENTITY,$F120,AG$11,AG$14,,(AG$75))),_xlpm.Res,IF(OR(_xlpm.val="",_xlpm.val="Error"),"",_xlpm.val),_xlpm.Res)</f>
        <v>#NAME?</v>
      </c>
      <c r="AH120" s="1985" t="e" cm="1">
        <f t="array" ca="1" aca="1" ref="AH120">_xlfn.LET(_xlpm.val,IF($F120="",val_blankRefText,_xldudf_CX_GET(CX_ENTITY,$F120,AH$11,AH$14,,(AH$75))),_xlpm.Res,IF(OR(_xlpm.val="",_xlpm.val="Error"),"",_xlpm.val),_xlpm.Res)</f>
        <v>#NAME?</v>
      </c>
      <c r="AI120" s="1985" t="e" cm="1">
        <f t="array" ca="1" aca="1" ref="AI120">_xlfn.LET(_xlpm.val,IF($F120="",val_blankRefText,_xldudf_CX_GET(CX_ENTITY,$F120,AI$11,AI$14,,(AI$75))),_xlpm.Res,IF(OR(_xlpm.val="",_xlpm.val="Error"),"",_xlpm.val),_xlpm.Res)</f>
        <v>#NAME?</v>
      </c>
      <c r="AJ120" s="1985" t="e" cm="1">
        <f t="array" ca="1" aca="1" ref="AJ120">_xlfn.LET(_xlpm.val,IF($F120="",val_blankRefText,_xldudf_CX_GET(CX_ENTITY,$F120,AJ$11,AJ$14,,(AJ$75))),_xlpm.Res,IF(OR(_xlpm.val="",_xlpm.val="Error"),"",_xlpm.val),_xlpm.Res)</f>
        <v>#NAME?</v>
      </c>
      <c r="AK120" s="1985" t="e" cm="1">
        <f t="array" ca="1" aca="1" ref="AK120">_xlfn.LET(_xlpm.val,IF($F120="",val_blankRefText,_xldudf_CX_GET(CX_ENTITY,$F120,AK$11,AK$14,,(AK$75))),_xlpm.Res,IF(OR(_xlpm.val="",_xlpm.val="Error"),"",_xlpm.val),_xlpm.Res)</f>
        <v>#NAME?</v>
      </c>
      <c r="AL120" s="1985" t="e" cm="1">
        <f t="array" ca="1" aca="1" ref="AL120">_xlfn.LET(_xlpm.val,IF($F120="",val_blankRefText,_xldudf_CX_GET(CX_ENTITY,$F120,AL$11,AL$14,,(AL$75))),_xlpm.Res,IF(OR(_xlpm.val="",_xlpm.val="Error"),"",_xlpm.val),_xlpm.Res)</f>
        <v>#NAME?</v>
      </c>
      <c r="AM120" s="1985" t="e" cm="1">
        <f t="array" ca="1" aca="1" ref="AM120">_xlfn.LET(_xlpm.val,IF($F120="",val_blankRefText,_xldudf_CX_GET(CX_ENTITY,$F120,AM$11,AM$14,,(AM$75))),_xlpm.Res,IF(OR(_xlpm.val="",_xlpm.val="Error"),"",_xlpm.val),_xlpm.Res)</f>
        <v>#NAME?</v>
      </c>
      <c r="AN120" s="1985" t="e" cm="1">
        <f t="array" ca="1" aca="1" ref="AN120">_xlfn.LET(_xlpm.val,IF($F120="",val_blankRefText,_xldudf_CX_GET(CX_ENTITY,$F120,AN$11,AN$14,,(AN$75))),_xlpm.Res,IF(OR(_xlpm.val="",_xlpm.val="Error"),"",_xlpm.val),_xlpm.Res)</f>
        <v>#NAME?</v>
      </c>
      <c r="AO120" s="1985" t="e" cm="1">
        <f t="array" ca="1" aca="1" ref="AO120">_xlfn.LET(_xlpm.val,IF($F120="",val_blankRefText,_xldudf_CX_GET(CX_ENTITY,$F120,AO$11,AO$14,,(AO$75))),_xlpm.Res,IF(OR(_xlpm.val="",_xlpm.val="Error"),"",_xlpm.val),_xlpm.Res)</f>
        <v>#NAME?</v>
      </c>
      <c r="AP120" s="1985" t="e" cm="1">
        <f t="array" ca="1" aca="1" ref="AP120">_xlfn.LET(_xlpm.val,IF($F120="",val_blankRefText,_xldudf_CX_GET(CX_ENTITY,$F120,AP$11,AP$14,,(AP$75))),_xlpm.Res,IF(OR(_xlpm.val="",_xlpm.val="Error"),"",_xlpm.val),_xlpm.Res)</f>
        <v>#NAME?</v>
      </c>
      <c r="AQ120" s="1985" t="e" cm="1">
        <f t="array" ca="1" aca="1" ref="AQ120">_xlfn.LET(_xlpm.val,IF($F120="",val_blankRefText,_xldudf_CX_GET(CX_ENTITY,$F120,AQ$11,AQ$14,,(AQ$75))),_xlpm.Res,IF(OR(_xlpm.val="",_xlpm.val="Error"),"",_xlpm.val),_xlpm.Res)</f>
        <v>#NAME?</v>
      </c>
      <c r="AR120" s="1985" t="e" cm="1">
        <f t="array" ca="1" aca="1" ref="AR120">_xlfn.LET(_xlpm.val,IF($F120="",val_blankRefText,_xldudf_CX_GET(CX_ENTITY,$F120,AR$11,AR$14,,(AR$75))),_xlpm.Res,IF(OR(_xlpm.val="",_xlpm.val="Error"),"",_xlpm.val),_xlpm.Res)</f>
        <v>#NAME?</v>
      </c>
      <c r="AS120" s="1985" t="e" cm="1">
        <f t="array" ca="1" aca="1" ref="AS120">_xlfn.LET(_xlpm.val,IF($F120="",val_blankRefText,_xldudf_CX_GET(CX_ENTITY,$F120,AS$11,AS$14,,(AS$75))),_xlpm.Res,IF(OR(_xlpm.val="",_xlpm.val="Error"),"",_xlpm.val),_xlpm.Res)</f>
        <v>#NAME?</v>
      </c>
      <c r="AT120" s="1985" t="e" cm="1">
        <f t="array" ca="1" aca="1" ref="AT120">_xlfn.LET(_xlpm.val,IF($F120="",val_blankRefText,_xldudf_CX_GET(CX_ENTITY,$F120,AT$11,AT$14,,(AT$75))),_xlpm.Res,IF(OR(_xlpm.val="",_xlpm.val="Error"),"",_xlpm.val),_xlpm.Res)</f>
        <v>#NAME?</v>
      </c>
      <c r="AU120" s="1985" t="e" cm="1">
        <f t="array" ca="1" aca="1" ref="AU120">_xlfn.LET(_xlpm.val,IF($F120="",val_blankRefText,_xldudf_CX_GET(CX_ENTITY,$F120,AU$11,AU$14,,(AU$75))),_xlpm.Res,IF(OR(_xlpm.val="",_xlpm.val="Error"),"",_xlpm.val),_xlpm.Res)</f>
        <v>#NAME?</v>
      </c>
      <c r="AV120" s="1985" t="e" cm="1">
        <f t="array" ca="1" aca="1" ref="AV120">_xlfn.LET(_xlpm.val,IF($F120="",val_blankRefText,_xldudf_CX_GET(CX_ENTITY,$F120,AV$11,AV$14,,(AV$75))),_xlpm.Res,IF(OR(_xlpm.val="",_xlpm.val="Error"),"",_xlpm.val),_xlpm.Res)</f>
        <v>#NAME?</v>
      </c>
      <c r="AW120" s="1985" t="e" cm="1">
        <f t="array" ca="1" aca="1" ref="AW120">_xlfn.LET(_xlpm.val,IF($F120="",val_blankRefText,_xldudf_CX_GET(CX_ENTITY,$F120,AW$11,AW$14,,(AW$75))),_xlpm.Res,IF(OR(_xlpm.val="",_xlpm.val="Error"),"",_xlpm.val),_xlpm.Res)</f>
        <v>#NAME?</v>
      </c>
      <c r="AX120" s="1985" t="e" cm="1">
        <f t="array" ca="1" aca="1" ref="AX120">_xlfn.LET(_xlpm.val,IF($F120="",val_blankRefText,_xldudf_CX_GET(CX_ENTITY,$F120,AX$11,AX$14,,(AX$75))),_xlpm.Res,IF(OR(_xlpm.val="",_xlpm.val="Error"),"",_xlpm.val),_xlpm.Res)</f>
        <v>#NAME?</v>
      </c>
      <c r="AY120" s="1985" t="e" cm="1">
        <f t="array" ca="1" aca="1" ref="AY120">_xlfn.LET(_xlpm.val,IF($F120="",val_blankRefText,_xldudf_CX_GET(CX_ENTITY,$F120,AY$11,AY$14,,(AY$75))),_xlpm.Res,IF(OR(_xlpm.val="",_xlpm.val="Error"),"",_xlpm.val),_xlpm.Res)</f>
        <v>#NAME?</v>
      </c>
      <c r="AZ120" s="1985" t="e" cm="1">
        <f t="array" ca="1" aca="1" ref="AZ120">_xlfn.LET(_xlpm.val,IF($F120="",val_blankRefText,_xldudf_CX_GET(CX_ENTITY,$F120,AZ$11,AZ$14,,(AZ$75))),_xlpm.Res,IF(OR(_xlpm.val="",_xlpm.val="Error"),"",_xlpm.val),_xlpm.Res)</f>
        <v>#NAME?</v>
      </c>
      <c r="BA120" s="1985" t="e" cm="1">
        <f t="array" ca="1" aca="1" ref="BA120">_xlfn.LET(_xlpm.val,IF($F120="",val_blankRefText,_xldudf_CX_GET(CX_ENTITY,$F120,BA$11,BA$14,,(BA$75))),_xlpm.Res,IF(OR(_xlpm.val="",_xlpm.val="Error"),"",_xlpm.val),_xlpm.Res)</f>
        <v>#NAME?</v>
      </c>
      <c r="BB120" s="1985" t="e" cm="1">
        <f t="array" ca="1" aca="1" ref="BB120">_xlfn.LET(_xlpm.val,IF($F120="",val_blankRefText,_xldudf_CX_GET(CX_ENTITY,$F120,BB$11,BB$14,,(BB$75))),_xlpm.Res,IF(OR(_xlpm.val="",_xlpm.val="Error"),"",_xlpm.val),_xlpm.Res)</f>
        <v>#NAME?</v>
      </c>
      <c r="BC120" s="1985" t="e" cm="1">
        <f t="array" ca="1" aca="1" ref="BC120">_xlfn.LET(_xlpm.val,IF($F120="",val_blankRefText,_xldudf_CX_GET(CX_ENTITY,$F120,BC$11,BC$14,,(BC$75))),_xlpm.Res,IF(OR(_xlpm.val="",_xlpm.val="Error"),"",_xlpm.val),_xlpm.Res)</f>
        <v>#NAME?</v>
      </c>
      <c r="BD120" s="1985" t="e" cm="1">
        <f t="array" ca="1" aca="1" ref="BD120">_xlfn.LET(_xlpm.val,IF($F120="",val_blankRefText,_xldudf_CX_GET(CX_ENTITY,$F120,BD$11,BD$14,,(BD$75))),_xlpm.Res,IF(OR(_xlpm.val="",_xlpm.val="Error"),"",_xlpm.val),_xlpm.Res)</f>
        <v>#NAME?</v>
      </c>
      <c r="BE120" s="1985" t="e" cm="1">
        <f t="array" ca="1" aca="1" ref="BE120">_xlfn.LET(_xlpm.val,IF($F120="",val_blankRefText,_xldudf_CX_GET(CX_ENTITY,$F120,BE$11,BE$14,,(BE$75))),_xlpm.Res,IF(OR(_xlpm.val="",_xlpm.val="Error"),"",_xlpm.val),_xlpm.Res)</f>
        <v>#NAME?</v>
      </c>
      <c r="BF120" s="1985" t="e" cm="1">
        <f t="array" ca="1" aca="1" ref="BF120">_xlfn.LET(_xlpm.val,IF($F120="",val_blankRefText,_xldudf_CX_GET(CX_ENTITY,$F120,BF$11,BF$14,,(BF$75))),_xlpm.Res,IF(OR(_xlpm.val="",_xlpm.val="Error"),"",_xlpm.val),_xlpm.Res)</f>
        <v>#NAME?</v>
      </c>
      <c r="BG120" s="1985" t="e" cm="1">
        <f t="array" ca="1" aca="1" ref="BG120">_xlfn.LET(_xlpm.val,IF($F120="",val_blankRefText,_xldudf_CX_GET(CX_ENTITY,$F120,BG$11,BG$14,,(BG$75))),_xlpm.Res,IF(OR(_xlpm.val="",_xlpm.val="Error"),"",_xlpm.val),_xlpm.Res)</f>
        <v>#NAME?</v>
      </c>
      <c r="BH120" s="1985" t="e" cm="1">
        <f t="array" ca="1" aca="1" ref="BH120">_xlfn.LET(_xlpm.val,IF($F120="",val_blankRefText,_xldudf_CX_GET(CX_ENTITY,$F120,BH$11,BH$14,,(BH$75))),_xlpm.Res,IF(OR(_xlpm.val="",_xlpm.val="Error"),"",_xlpm.val),_xlpm.Res)</f>
        <v>#NAME?</v>
      </c>
      <c r="BI120" s="1985" t="e" cm="1">
        <f t="array" ca="1" aca="1" ref="BI120">_xlfn.LET(_xlpm.val,IF($F120="",val_blankRefText,_xldudf_CX_GET(CX_ENTITY,$F120,BI$11,BI$14,,(BI$75))),_xlpm.Res,IF(OR(_xlpm.val="",_xlpm.val="Error"),"",_xlpm.val),_xlpm.Res)</f>
        <v>#NAME?</v>
      </c>
      <c r="BJ120" s="1985" t="e" cm="1">
        <f t="array" ca="1" aca="1" ref="BJ120">_xlfn.LET(_xlpm.val,IF($F120="",val_blankRefText,_xldudf_CX_GET(CX_ENTITY,$F120,BJ$11,BJ$14,,(BJ$75))),_xlpm.Res,IF(OR(_xlpm.val="",_xlpm.val="Error"),"",_xlpm.val),_xlpm.Res)</f>
        <v>#NAME?</v>
      </c>
      <c r="BK120" s="1985" t="e" cm="1">
        <f t="array" ca="1" aca="1" ref="BK120">_xlfn.LET(_xlpm.val,IF($F120="",val_blankRefText,_xldudf_CX_GET(CX_ENTITY,$F120,BK$11,BK$14,,(BK$75))),_xlpm.Res,IF(OR(_xlpm.val="",_xlpm.val="Error"),"",_xlpm.val),_xlpm.Res)</f>
        <v>#NAME?</v>
      </c>
      <c r="BL120" s="1985" t="e" cm="1">
        <f t="array" ca="1" aca="1" ref="BL120">_xlfn.LET(_xlpm.val,IF($F120="",val_blankRefText,_xldudf_CX_GET(CX_ENTITY,$F120,BL$11,BL$14,,(BL$75))),_xlpm.Res,IF(OR(_xlpm.val="",_xlpm.val="Error"),"",_xlpm.val),_xlpm.Res)</f>
        <v>#NAME?</v>
      </c>
      <c r="BM120" s="1985" t="e" cm="1">
        <f t="array" ca="1" aca="1" ref="BM120">_xlfn.LET(_xlpm.val,IF($F120="",val_blankRefText,_xldudf_CX_GET(CX_ENTITY,$F120,BM$11,BM$14,,(BM$75))),_xlpm.Res,IF(OR(_xlpm.val="",_xlpm.val="Error"),"",_xlpm.val),_xlpm.Res)</f>
        <v>#NAME?</v>
      </c>
      <c r="BN120" s="1985" t="e" cm="1">
        <f t="array" ca="1" aca="1" ref="BN120">_xlfn.LET(_xlpm.val,IF($F120="",val_blankRefText,_xldudf_CX_GET(CX_ENTITY,$F120,BN$11,BN$14,,(BN$75))),_xlpm.Res,IF(OR(_xlpm.val="",_xlpm.val="Error"),"",_xlpm.val),_xlpm.Res)</f>
        <v>#NAME?</v>
      </c>
      <c r="BO120" s="2104"/>
      <c r="BP120" s="2104"/>
      <c r="BQ120" s="2104"/>
      <c r="BR120" s="2104"/>
      <c r="BS120" s="2104"/>
      <c r="BT120" s="2104"/>
      <c r="BU120" s="2104"/>
      <c r="BV120" s="2104"/>
      <c r="BW120" s="2104"/>
      <c r="BX120" s="2104"/>
      <c r="BY120" s="2104"/>
      <c r="BZ120" s="2104"/>
      <c r="CA120" s="34"/>
      <c r="CC120" s="33"/>
      <c r="CD120" s="763"/>
      <c r="CE120" s="763"/>
      <c r="CF120" s="3"/>
      <c r="CG120" s="763"/>
      <c r="CH120" s="763"/>
      <c r="CI120" s="3"/>
      <c r="CJ120" s="763"/>
      <c r="CK120" s="763"/>
      <c r="CL120" s="3"/>
      <c r="CM120" s="763"/>
      <c r="CN120" s="763"/>
      <c r="CO120" s="3"/>
      <c r="CP120" s="763"/>
      <c r="CQ120" s="763"/>
      <c r="CR120" s="34"/>
    </row>
    <row r="121" spans="1:96" ht="21" customHeight="1" outlineLevel="2">
      <c r="A121" s="1322"/>
      <c r="B121" s="574" t="s">
        <v>1594</v>
      </c>
      <c r="C121" s="2131" t="s">
        <v>1595</v>
      </c>
      <c r="D121" s="574"/>
      <c r="E121" s="1615" t="e" cm="1">
        <f t="array" ca="1" aca="1" ref="E121">_xlfn.LET(_xlpm.Attr,$C121,_xlpm.Lookback,$E$16,_xlpm.QueryDate,EOMONTH(val_asOfDate,_xlpm.Lookback),_xlpm.ReadField,_xldudf_CX_GET(CX_ENTITY,fx_attrConverter($C121),_xlpm.QueryDate),_xlpm.AttrBlank,_xlpm.Attr="",_xlpm.RESULT,IF(_xlpm.AttrBlank,val_blankRefText,fx_attrConverter(_xlpm.ReadField,0)),IF(_xlpm.RESULT="Error","",_xlpm.RESULT))</f>
        <v>#NAME?</v>
      </c>
      <c r="F121" s="577" t="str">
        <f t="shared" si="30"/>
        <v>Custom Metric Amount 9 [Calculated]</v>
      </c>
      <c r="G121" s="577" t="s">
        <v>1600</v>
      </c>
      <c r="H121" s="3280">
        <v>1</v>
      </c>
      <c r="I121" s="3280">
        <v>1</v>
      </c>
      <c r="J121" s="401"/>
      <c r="K121" s="401"/>
      <c r="L121" s="581" t="b">
        <v>0</v>
      </c>
      <c r="N121" s="158"/>
      <c r="O121" s="101"/>
      <c r="P121" s="52"/>
      <c r="Q121" s="101"/>
      <c r="R121" s="126"/>
      <c r="S121" s="101"/>
      <c r="T121" s="101"/>
      <c r="U121" s="39"/>
      <c r="W121" s="91" t="str">
        <f>_PL!$W$72</f>
        <v>Budget</v>
      </c>
      <c r="X121" s="2370" t="e" cm="1">
        <f t="array" ca="1" aca="1" ref="X121">_xlfn.LET(_xlpm.toPass,$E121="",_xlpm.hasParts,ISNUMBER(SEARCH("|",$E121)),_xlpm.Part1,INDEX(_xlfn.TEXTSPLIT($E121,"|",,FALSE,1),1),_xlpm.Part1Num,IFERROR(_xlfn.NUMBERVALUE(_xlpm.Part1),_xlpm.Part1),_xlfn.SWITCH(TRUE,_xlpm.toPass,"",_xlpm.hasParts,_xlpm.Part1Num,$E121))</f>
        <v>#NAME?</v>
      </c>
      <c r="Y121" s="590" t="e" cm="1">
        <f t="array" ca="1" aca="1" ref="Y121">_xlfn.LET(_xlpm.PackedString,E121,IF(_xlpm.PackedString="","",IF(ISNUMBER(SEARCH("|",_xlpm.PackedString)),INDEX(_xlfn.TEXTSPLIT(_xlpm.PackedString,"|",,FALSE),2),_xlpm.PackedString)))</f>
        <v>#NAME?</v>
      </c>
      <c r="Z121" s="198" t="e">
        <f t="shared" ca="1" si="31"/>
        <v>#NAME?</v>
      </c>
      <c r="AA121" s="200"/>
      <c r="AB121" s="709" t="e" cm="1">
        <f t="array" ca="1" aca="1" ref="AB121">_xlfn.LET(_xlpm.PackedString,E121,IF(_xlpm.PackedString="","",IF(ISNUMBER(SEARCH("|",_xlpm.PackedString)),INDEX(_xlfn.TEXTSPLIT(_xlpm.PackedString,"|",,FALSE),3),_xlpm.PackedString)))</f>
        <v>#NAME?</v>
      </c>
      <c r="AC121" s="275" t="str" cm="1">
        <f t="array" ca="1" aca="1" ref="AC121">_xlfn.LET(_xlpm.Def,IF(_xlfn.XMATCH(AB121,tbl_acctDef[Term],0)&gt;0,fx_getIcon("find"),""),_xlpm.Adj,IF(_xlfn.XMATCH(AB121,tbl_adjExample[Items],0)&gt;0,fx_getIcon("find"),""),IFERROR(IFBLANK(_xlpm.Def,_xlpm.Adj),""))</f>
        <v/>
      </c>
      <c r="AD121" s="1985" t="e" cm="1">
        <f t="array" ca="1" aca="1" ref="AD121">_xlfn.LET(_xlpm.val,IF($F121="",val_blankRefText,_xldudf_CX_GET(CX_ENTITY,$F121,AD$11,AD$14,,(AD$75))),_xlpm.Res,IF(OR(_xlpm.val="",_xlpm.val="Error"),"",_xlpm.val),_xlpm.Res)</f>
        <v>#NAME?</v>
      </c>
      <c r="AE121" s="1985" t="e" cm="1">
        <f t="array" ca="1" aca="1" ref="AE121">_xlfn.LET(_xlpm.val,IF($F121="",val_blankRefText,_xldudf_CX_GET(CX_ENTITY,$F121,AE$11,AE$14,,(AE$75))),_xlpm.Res,IF(OR(_xlpm.val="",_xlpm.val="Error"),"",_xlpm.val),_xlpm.Res)</f>
        <v>#NAME?</v>
      </c>
      <c r="AF121" s="1985" t="e" cm="1">
        <f t="array" ca="1" aca="1" ref="AF121">_xlfn.LET(_xlpm.val,IF($F121="",val_blankRefText,_xldudf_CX_GET(CX_ENTITY,$F121,AF$11,AF$14,,(AF$75))),_xlpm.Res,IF(OR(_xlpm.val="",_xlpm.val="Error"),"",_xlpm.val),_xlpm.Res)</f>
        <v>#NAME?</v>
      </c>
      <c r="AG121" s="1985" t="e" cm="1">
        <f t="array" ca="1" aca="1" ref="AG121">_xlfn.LET(_xlpm.val,IF($F121="",val_blankRefText,_xldudf_CX_GET(CX_ENTITY,$F121,AG$11,AG$14,,(AG$75))),_xlpm.Res,IF(OR(_xlpm.val="",_xlpm.val="Error"),"",_xlpm.val),_xlpm.Res)</f>
        <v>#NAME?</v>
      </c>
      <c r="AH121" s="1985" t="e" cm="1">
        <f t="array" ca="1" aca="1" ref="AH121">_xlfn.LET(_xlpm.val,IF($F121="",val_blankRefText,_xldudf_CX_GET(CX_ENTITY,$F121,AH$11,AH$14,,(AH$75))),_xlpm.Res,IF(OR(_xlpm.val="",_xlpm.val="Error"),"",_xlpm.val),_xlpm.Res)</f>
        <v>#NAME?</v>
      </c>
      <c r="AI121" s="1985" t="e" cm="1">
        <f t="array" ca="1" aca="1" ref="AI121">_xlfn.LET(_xlpm.val,IF($F121="",val_blankRefText,_xldudf_CX_GET(CX_ENTITY,$F121,AI$11,AI$14,,(AI$75))),_xlpm.Res,IF(OR(_xlpm.val="",_xlpm.val="Error"),"",_xlpm.val),_xlpm.Res)</f>
        <v>#NAME?</v>
      </c>
      <c r="AJ121" s="1985" t="e" cm="1">
        <f t="array" ca="1" aca="1" ref="AJ121">_xlfn.LET(_xlpm.val,IF($F121="",val_blankRefText,_xldudf_CX_GET(CX_ENTITY,$F121,AJ$11,AJ$14,,(AJ$75))),_xlpm.Res,IF(OR(_xlpm.val="",_xlpm.val="Error"),"",_xlpm.val),_xlpm.Res)</f>
        <v>#NAME?</v>
      </c>
      <c r="AK121" s="1985" t="e" cm="1">
        <f t="array" ca="1" aca="1" ref="AK121">_xlfn.LET(_xlpm.val,IF($F121="",val_blankRefText,_xldudf_CX_GET(CX_ENTITY,$F121,AK$11,AK$14,,(AK$75))),_xlpm.Res,IF(OR(_xlpm.val="",_xlpm.val="Error"),"",_xlpm.val),_xlpm.Res)</f>
        <v>#NAME?</v>
      </c>
      <c r="AL121" s="1985" t="e" cm="1">
        <f t="array" ca="1" aca="1" ref="AL121">_xlfn.LET(_xlpm.val,IF($F121="",val_blankRefText,_xldudf_CX_GET(CX_ENTITY,$F121,AL$11,AL$14,,(AL$75))),_xlpm.Res,IF(OR(_xlpm.val="",_xlpm.val="Error"),"",_xlpm.val),_xlpm.Res)</f>
        <v>#NAME?</v>
      </c>
      <c r="AM121" s="1985" t="e" cm="1">
        <f t="array" ca="1" aca="1" ref="AM121">_xlfn.LET(_xlpm.val,IF($F121="",val_blankRefText,_xldudf_CX_GET(CX_ENTITY,$F121,AM$11,AM$14,,(AM$75))),_xlpm.Res,IF(OR(_xlpm.val="",_xlpm.val="Error"),"",_xlpm.val),_xlpm.Res)</f>
        <v>#NAME?</v>
      </c>
      <c r="AN121" s="1985" t="e" cm="1">
        <f t="array" ca="1" aca="1" ref="AN121">_xlfn.LET(_xlpm.val,IF($F121="",val_blankRefText,_xldudf_CX_GET(CX_ENTITY,$F121,AN$11,AN$14,,(AN$75))),_xlpm.Res,IF(OR(_xlpm.val="",_xlpm.val="Error"),"",_xlpm.val),_xlpm.Res)</f>
        <v>#NAME?</v>
      </c>
      <c r="AO121" s="1985" t="e" cm="1">
        <f t="array" ca="1" aca="1" ref="AO121">_xlfn.LET(_xlpm.val,IF($F121="",val_blankRefText,_xldudf_CX_GET(CX_ENTITY,$F121,AO$11,AO$14,,(AO$75))),_xlpm.Res,IF(OR(_xlpm.val="",_xlpm.val="Error"),"",_xlpm.val),_xlpm.Res)</f>
        <v>#NAME?</v>
      </c>
      <c r="AP121" s="1985" t="e" cm="1">
        <f t="array" ca="1" aca="1" ref="AP121">_xlfn.LET(_xlpm.val,IF($F121="",val_blankRefText,_xldudf_CX_GET(CX_ENTITY,$F121,AP$11,AP$14,,(AP$75))),_xlpm.Res,IF(OR(_xlpm.val="",_xlpm.val="Error"),"",_xlpm.val),_xlpm.Res)</f>
        <v>#NAME?</v>
      </c>
      <c r="AQ121" s="1985" t="e" cm="1">
        <f t="array" ca="1" aca="1" ref="AQ121">_xlfn.LET(_xlpm.val,IF($F121="",val_blankRefText,_xldudf_CX_GET(CX_ENTITY,$F121,AQ$11,AQ$14,,(AQ$75))),_xlpm.Res,IF(OR(_xlpm.val="",_xlpm.val="Error"),"",_xlpm.val),_xlpm.Res)</f>
        <v>#NAME?</v>
      </c>
      <c r="AR121" s="1985" t="e" cm="1">
        <f t="array" ca="1" aca="1" ref="AR121">_xlfn.LET(_xlpm.val,IF($F121="",val_blankRefText,_xldudf_CX_GET(CX_ENTITY,$F121,AR$11,AR$14,,(AR$75))),_xlpm.Res,IF(OR(_xlpm.val="",_xlpm.val="Error"),"",_xlpm.val),_xlpm.Res)</f>
        <v>#NAME?</v>
      </c>
      <c r="AS121" s="1985" t="e" cm="1">
        <f t="array" ca="1" aca="1" ref="AS121">_xlfn.LET(_xlpm.val,IF($F121="",val_blankRefText,_xldudf_CX_GET(CX_ENTITY,$F121,AS$11,AS$14,,(AS$75))),_xlpm.Res,IF(OR(_xlpm.val="",_xlpm.val="Error"),"",_xlpm.val),_xlpm.Res)</f>
        <v>#NAME?</v>
      </c>
      <c r="AT121" s="1985" t="e" cm="1">
        <f t="array" ca="1" aca="1" ref="AT121">_xlfn.LET(_xlpm.val,IF($F121="",val_blankRefText,_xldudf_CX_GET(CX_ENTITY,$F121,AT$11,AT$14,,(AT$75))),_xlpm.Res,IF(OR(_xlpm.val="",_xlpm.val="Error"),"",_xlpm.val),_xlpm.Res)</f>
        <v>#NAME?</v>
      </c>
      <c r="AU121" s="1985" t="e" cm="1">
        <f t="array" ca="1" aca="1" ref="AU121">_xlfn.LET(_xlpm.val,IF($F121="",val_blankRefText,_xldudf_CX_GET(CX_ENTITY,$F121,AU$11,AU$14,,(AU$75))),_xlpm.Res,IF(OR(_xlpm.val="",_xlpm.val="Error"),"",_xlpm.val),_xlpm.Res)</f>
        <v>#NAME?</v>
      </c>
      <c r="AV121" s="1985" t="e" cm="1">
        <f t="array" ca="1" aca="1" ref="AV121">_xlfn.LET(_xlpm.val,IF($F121="",val_blankRefText,_xldudf_CX_GET(CX_ENTITY,$F121,AV$11,AV$14,,(AV$75))),_xlpm.Res,IF(OR(_xlpm.val="",_xlpm.val="Error"),"",_xlpm.val),_xlpm.Res)</f>
        <v>#NAME?</v>
      </c>
      <c r="AW121" s="1985" t="e" cm="1">
        <f t="array" ca="1" aca="1" ref="AW121">_xlfn.LET(_xlpm.val,IF($F121="",val_blankRefText,_xldudf_CX_GET(CX_ENTITY,$F121,AW$11,AW$14,,(AW$75))),_xlpm.Res,IF(OR(_xlpm.val="",_xlpm.val="Error"),"",_xlpm.val),_xlpm.Res)</f>
        <v>#NAME?</v>
      </c>
      <c r="AX121" s="1985" t="e" cm="1">
        <f t="array" ca="1" aca="1" ref="AX121">_xlfn.LET(_xlpm.val,IF($F121="",val_blankRefText,_xldudf_CX_GET(CX_ENTITY,$F121,AX$11,AX$14,,(AX$75))),_xlpm.Res,IF(OR(_xlpm.val="",_xlpm.val="Error"),"",_xlpm.val),_xlpm.Res)</f>
        <v>#NAME?</v>
      </c>
      <c r="AY121" s="1985" t="e" cm="1">
        <f t="array" ca="1" aca="1" ref="AY121">_xlfn.LET(_xlpm.val,IF($F121="",val_blankRefText,_xldudf_CX_GET(CX_ENTITY,$F121,AY$11,AY$14,,(AY$75))),_xlpm.Res,IF(OR(_xlpm.val="",_xlpm.val="Error"),"",_xlpm.val),_xlpm.Res)</f>
        <v>#NAME?</v>
      </c>
      <c r="AZ121" s="1985" t="e" cm="1">
        <f t="array" ca="1" aca="1" ref="AZ121">_xlfn.LET(_xlpm.val,IF($F121="",val_blankRefText,_xldudf_CX_GET(CX_ENTITY,$F121,AZ$11,AZ$14,,(AZ$75))),_xlpm.Res,IF(OR(_xlpm.val="",_xlpm.val="Error"),"",_xlpm.val),_xlpm.Res)</f>
        <v>#NAME?</v>
      </c>
      <c r="BA121" s="1985" t="e" cm="1">
        <f t="array" ca="1" aca="1" ref="BA121">_xlfn.LET(_xlpm.val,IF($F121="",val_blankRefText,_xldudf_CX_GET(CX_ENTITY,$F121,BA$11,BA$14,,(BA$75))),_xlpm.Res,IF(OR(_xlpm.val="",_xlpm.val="Error"),"",_xlpm.val),_xlpm.Res)</f>
        <v>#NAME?</v>
      </c>
      <c r="BB121" s="1985" t="e" cm="1">
        <f t="array" ca="1" aca="1" ref="BB121">_xlfn.LET(_xlpm.val,IF($F121="",val_blankRefText,_xldudf_CX_GET(CX_ENTITY,$F121,BB$11,BB$14,,(BB$75))),_xlpm.Res,IF(OR(_xlpm.val="",_xlpm.val="Error"),"",_xlpm.val),_xlpm.Res)</f>
        <v>#NAME?</v>
      </c>
      <c r="BC121" s="1985" t="e" cm="1">
        <f t="array" ca="1" aca="1" ref="BC121">_xlfn.LET(_xlpm.val,IF($F121="",val_blankRefText,_xldudf_CX_GET(CX_ENTITY,$F121,BC$11,BC$14,,(BC$75))),_xlpm.Res,IF(OR(_xlpm.val="",_xlpm.val="Error"),"",_xlpm.val),_xlpm.Res)</f>
        <v>#NAME?</v>
      </c>
      <c r="BD121" s="1985" t="e" cm="1">
        <f t="array" ca="1" aca="1" ref="BD121">_xlfn.LET(_xlpm.val,IF($F121="",val_blankRefText,_xldudf_CX_GET(CX_ENTITY,$F121,BD$11,BD$14,,(BD$75))),_xlpm.Res,IF(OR(_xlpm.val="",_xlpm.val="Error"),"",_xlpm.val),_xlpm.Res)</f>
        <v>#NAME?</v>
      </c>
      <c r="BE121" s="1985" t="e" cm="1">
        <f t="array" ca="1" aca="1" ref="BE121">_xlfn.LET(_xlpm.val,IF($F121="",val_blankRefText,_xldudf_CX_GET(CX_ENTITY,$F121,BE$11,BE$14,,(BE$75))),_xlpm.Res,IF(OR(_xlpm.val="",_xlpm.val="Error"),"",_xlpm.val),_xlpm.Res)</f>
        <v>#NAME?</v>
      </c>
      <c r="BF121" s="1985" t="e" cm="1">
        <f t="array" ca="1" aca="1" ref="BF121">_xlfn.LET(_xlpm.val,IF($F121="",val_blankRefText,_xldudf_CX_GET(CX_ENTITY,$F121,BF$11,BF$14,,(BF$75))),_xlpm.Res,IF(OR(_xlpm.val="",_xlpm.val="Error"),"",_xlpm.val),_xlpm.Res)</f>
        <v>#NAME?</v>
      </c>
      <c r="BG121" s="1985" t="e" cm="1">
        <f t="array" ca="1" aca="1" ref="BG121">_xlfn.LET(_xlpm.val,IF($F121="",val_blankRefText,_xldudf_CX_GET(CX_ENTITY,$F121,BG$11,BG$14,,(BG$75))),_xlpm.Res,IF(OR(_xlpm.val="",_xlpm.val="Error"),"",_xlpm.val),_xlpm.Res)</f>
        <v>#NAME?</v>
      </c>
      <c r="BH121" s="1985" t="e" cm="1">
        <f t="array" ca="1" aca="1" ref="BH121">_xlfn.LET(_xlpm.val,IF($F121="",val_blankRefText,_xldudf_CX_GET(CX_ENTITY,$F121,BH$11,BH$14,,(BH$75))),_xlpm.Res,IF(OR(_xlpm.val="",_xlpm.val="Error"),"",_xlpm.val),_xlpm.Res)</f>
        <v>#NAME?</v>
      </c>
      <c r="BI121" s="1985" t="e" cm="1">
        <f t="array" ca="1" aca="1" ref="BI121">_xlfn.LET(_xlpm.val,IF($F121="",val_blankRefText,_xldudf_CX_GET(CX_ENTITY,$F121,BI$11,BI$14,,(BI$75))),_xlpm.Res,IF(OR(_xlpm.val="",_xlpm.val="Error"),"",_xlpm.val),_xlpm.Res)</f>
        <v>#NAME?</v>
      </c>
      <c r="BJ121" s="1985" t="e" cm="1">
        <f t="array" ca="1" aca="1" ref="BJ121">_xlfn.LET(_xlpm.val,IF($F121="",val_blankRefText,_xldudf_CX_GET(CX_ENTITY,$F121,BJ$11,BJ$14,,(BJ$75))),_xlpm.Res,IF(OR(_xlpm.val="",_xlpm.val="Error"),"",_xlpm.val),_xlpm.Res)</f>
        <v>#NAME?</v>
      </c>
      <c r="BK121" s="1985" t="e" cm="1">
        <f t="array" ca="1" aca="1" ref="BK121">_xlfn.LET(_xlpm.val,IF($F121="",val_blankRefText,_xldudf_CX_GET(CX_ENTITY,$F121,BK$11,BK$14,,(BK$75))),_xlpm.Res,IF(OR(_xlpm.val="",_xlpm.val="Error"),"",_xlpm.val),_xlpm.Res)</f>
        <v>#NAME?</v>
      </c>
      <c r="BL121" s="1985" t="e" cm="1">
        <f t="array" ca="1" aca="1" ref="BL121">_xlfn.LET(_xlpm.val,IF($F121="",val_blankRefText,_xldudf_CX_GET(CX_ENTITY,$F121,BL$11,BL$14,,(BL$75))),_xlpm.Res,IF(OR(_xlpm.val="",_xlpm.val="Error"),"",_xlpm.val),_xlpm.Res)</f>
        <v>#NAME?</v>
      </c>
      <c r="BM121" s="1985" t="e" cm="1">
        <f t="array" ca="1" aca="1" ref="BM121">_xlfn.LET(_xlpm.val,IF($F121="",val_blankRefText,_xldudf_CX_GET(CX_ENTITY,$F121,BM$11,BM$14,,(BM$75))),_xlpm.Res,IF(OR(_xlpm.val="",_xlpm.val="Error"),"",_xlpm.val),_xlpm.Res)</f>
        <v>#NAME?</v>
      </c>
      <c r="BN121" s="1985" t="e" cm="1">
        <f t="array" ca="1" aca="1" ref="BN121">_xlfn.LET(_xlpm.val,IF($F121="",val_blankRefText,_xldudf_CX_GET(CX_ENTITY,$F121,BN$11,BN$14,,(BN$75))),_xlpm.Res,IF(OR(_xlpm.val="",_xlpm.val="Error"),"",_xlpm.val),_xlpm.Res)</f>
        <v>#NAME?</v>
      </c>
      <c r="BO121" s="2104"/>
      <c r="BP121" s="2104"/>
      <c r="BQ121" s="2104"/>
      <c r="BR121" s="2104"/>
      <c r="BS121" s="2104"/>
      <c r="BT121" s="2104"/>
      <c r="BU121" s="2104"/>
      <c r="BV121" s="2104"/>
      <c r="BW121" s="2104"/>
      <c r="BX121" s="2104"/>
      <c r="BY121" s="2104"/>
      <c r="BZ121" s="2104"/>
      <c r="CA121" s="34"/>
      <c r="CC121" s="33"/>
      <c r="CD121" s="763"/>
      <c r="CE121" s="763"/>
      <c r="CF121" s="3"/>
      <c r="CG121" s="763"/>
      <c r="CH121" s="763"/>
      <c r="CI121" s="3"/>
      <c r="CJ121" s="763"/>
      <c r="CK121" s="763"/>
      <c r="CL121" s="3"/>
      <c r="CM121" s="763"/>
      <c r="CN121" s="763"/>
      <c r="CO121" s="3"/>
      <c r="CP121" s="763"/>
      <c r="CQ121" s="763"/>
      <c r="CR121" s="34"/>
    </row>
    <row r="122" spans="1:96" ht="21" customHeight="1" outlineLevel="2">
      <c r="A122" s="1322"/>
      <c r="B122" s="575" t="s">
        <v>1596</v>
      </c>
      <c r="C122" s="2129" t="s">
        <v>1597</v>
      </c>
      <c r="D122" s="575"/>
      <c r="E122" s="1615" t="e" cm="1">
        <f t="array" ca="1" aca="1" ref="E122">_xlfn.LET(_xlpm.Attr,$C122,_xlpm.Lookback,$E$16,_xlpm.QueryDate,EOMONTH(val_asOfDate,_xlpm.Lookback),_xlpm.ReadField,_xldudf_CX_GET(CX_ENTITY,fx_attrConverter($C122),_xlpm.QueryDate),_xlpm.AttrBlank,_xlpm.Attr="",_xlpm.RESULT,IF(_xlpm.AttrBlank,val_blankRefText,fx_attrConverter(_xlpm.ReadField,0)),IF(_xlpm.RESULT="Error","",_xlpm.RESULT))</f>
        <v>#NAME?</v>
      </c>
      <c r="F122" s="575" t="str">
        <f t="shared" si="30"/>
        <v>Custom Metric Amount 10 [Calculated]</v>
      </c>
      <c r="G122" s="575" t="s">
        <v>1600</v>
      </c>
      <c r="H122" s="3277">
        <v>1</v>
      </c>
      <c r="I122" s="3277">
        <v>1</v>
      </c>
      <c r="J122" s="576"/>
      <c r="K122" s="576"/>
      <c r="L122" s="2339" t="b">
        <v>0</v>
      </c>
      <c r="N122" s="158"/>
      <c r="O122" s="101"/>
      <c r="P122" s="52"/>
      <c r="Q122" s="101"/>
      <c r="R122" s="126"/>
      <c r="S122" s="101"/>
      <c r="T122" s="101"/>
      <c r="U122" s="39"/>
      <c r="W122" s="268" t="str">
        <f>_PL!$W$72</f>
        <v>Budget</v>
      </c>
      <c r="X122" s="2370" t="e" cm="1">
        <f t="array" ca="1" aca="1" ref="X122">_xlfn.LET(_xlpm.toPass,$E122="",_xlpm.hasParts,ISNUMBER(SEARCH("|",$E122)),_xlpm.Part1,INDEX(_xlfn.TEXTSPLIT($E122,"|",,FALSE,1),1),_xlpm.Part1Num,IFERROR(_xlfn.NUMBERVALUE(_xlpm.Part1),_xlpm.Part1),_xlfn.SWITCH(TRUE,_xlpm.toPass,"",_xlpm.hasParts,_xlpm.Part1Num,$E122))</f>
        <v>#NAME?</v>
      </c>
      <c r="Y122" s="590" t="e" cm="1">
        <f t="array" ca="1" aca="1" ref="Y122">_xlfn.LET(_xlpm.PackedString,E122,IF(_xlpm.PackedString="","",IF(ISNUMBER(SEARCH("|",_xlpm.PackedString)),INDEX(_xlfn.TEXTSPLIT(_xlpm.PackedString,"|",,FALSE),2),_xlpm.PackedString)))</f>
        <v>#NAME?</v>
      </c>
      <c r="Z122" s="198" t="e">
        <f t="shared" ca="1" si="31"/>
        <v>#NAME?</v>
      </c>
      <c r="AA122" s="787"/>
      <c r="AB122" s="709" t="e" cm="1">
        <f t="array" ca="1" aca="1" ref="AB122">_xlfn.LET(_xlpm.PackedString,E122,IF(_xlpm.PackedString="","",IF(ISNUMBER(SEARCH("|",_xlpm.PackedString)),INDEX(_xlfn.TEXTSPLIT(_xlpm.PackedString,"|",,FALSE),3),_xlpm.PackedString)))</f>
        <v>#NAME?</v>
      </c>
      <c r="AC122" s="275" t="str" cm="1">
        <f t="array" ca="1" aca="1" ref="AC122">_xlfn.LET(_xlpm.Def,IF(_xlfn.XMATCH(AB122,tbl_acctDef[Term],0)&gt;0,fx_getIcon("find"),""),_xlpm.Adj,IF(_xlfn.XMATCH(AB122,tbl_adjExample[Items],0)&gt;0,fx_getIcon("find"),""),IFERROR(IFBLANK(_xlpm.Def,_xlpm.Adj),""))</f>
        <v/>
      </c>
      <c r="AD122" s="1985" t="e" cm="1">
        <f t="array" ca="1" aca="1" ref="AD122">_xlfn.LET(_xlpm.val,IF($F122="",val_blankRefText,_xldudf_CX_GET(CX_ENTITY,$F122,AD$11,AD$14,,(AD$75))),_xlpm.Res,IF(OR(_xlpm.val="",_xlpm.val="Error"),"",_xlpm.val),_xlpm.Res)</f>
        <v>#NAME?</v>
      </c>
      <c r="AE122" s="1985" t="e" cm="1">
        <f t="array" ca="1" aca="1" ref="AE122">_xlfn.LET(_xlpm.val,IF($F122="",val_blankRefText,_xldudf_CX_GET(CX_ENTITY,$F122,AE$11,AE$14,,(AE$75))),_xlpm.Res,IF(OR(_xlpm.val="",_xlpm.val="Error"),"",_xlpm.val),_xlpm.Res)</f>
        <v>#NAME?</v>
      </c>
      <c r="AF122" s="1985" t="e" cm="1">
        <f t="array" ca="1" aca="1" ref="AF122">_xlfn.LET(_xlpm.val,IF($F122="",val_blankRefText,_xldudf_CX_GET(CX_ENTITY,$F122,AF$11,AF$14,,(AF$75))),_xlpm.Res,IF(OR(_xlpm.val="",_xlpm.val="Error"),"",_xlpm.val),_xlpm.Res)</f>
        <v>#NAME?</v>
      </c>
      <c r="AG122" s="1985" t="e" cm="1">
        <f t="array" ca="1" aca="1" ref="AG122">_xlfn.LET(_xlpm.val,IF($F122="",val_blankRefText,_xldudf_CX_GET(CX_ENTITY,$F122,AG$11,AG$14,,(AG$75))),_xlpm.Res,IF(OR(_xlpm.val="",_xlpm.val="Error"),"",_xlpm.val),_xlpm.Res)</f>
        <v>#NAME?</v>
      </c>
      <c r="AH122" s="1985" t="e" cm="1">
        <f t="array" ca="1" aca="1" ref="AH122">_xlfn.LET(_xlpm.val,IF($F122="",val_blankRefText,_xldudf_CX_GET(CX_ENTITY,$F122,AH$11,AH$14,,(AH$75))),_xlpm.Res,IF(OR(_xlpm.val="",_xlpm.val="Error"),"",_xlpm.val),_xlpm.Res)</f>
        <v>#NAME?</v>
      </c>
      <c r="AI122" s="1985" t="e" cm="1">
        <f t="array" ca="1" aca="1" ref="AI122">_xlfn.LET(_xlpm.val,IF($F122="",val_blankRefText,_xldudf_CX_GET(CX_ENTITY,$F122,AI$11,AI$14,,(AI$75))),_xlpm.Res,IF(OR(_xlpm.val="",_xlpm.val="Error"),"",_xlpm.val),_xlpm.Res)</f>
        <v>#NAME?</v>
      </c>
      <c r="AJ122" s="1985" t="e" cm="1">
        <f t="array" ca="1" aca="1" ref="AJ122">_xlfn.LET(_xlpm.val,IF($F122="",val_blankRefText,_xldudf_CX_GET(CX_ENTITY,$F122,AJ$11,AJ$14,,(AJ$75))),_xlpm.Res,IF(OR(_xlpm.val="",_xlpm.val="Error"),"",_xlpm.val),_xlpm.Res)</f>
        <v>#NAME?</v>
      </c>
      <c r="AK122" s="1985" t="e" cm="1">
        <f t="array" ca="1" aca="1" ref="AK122">_xlfn.LET(_xlpm.val,IF($F122="",val_blankRefText,_xldudf_CX_GET(CX_ENTITY,$F122,AK$11,AK$14,,(AK$75))),_xlpm.Res,IF(OR(_xlpm.val="",_xlpm.val="Error"),"",_xlpm.val),_xlpm.Res)</f>
        <v>#NAME?</v>
      </c>
      <c r="AL122" s="1985" t="e" cm="1">
        <f t="array" ca="1" aca="1" ref="AL122">_xlfn.LET(_xlpm.val,IF($F122="",val_blankRefText,_xldudf_CX_GET(CX_ENTITY,$F122,AL$11,AL$14,,(AL$75))),_xlpm.Res,IF(OR(_xlpm.val="",_xlpm.val="Error"),"",_xlpm.val),_xlpm.Res)</f>
        <v>#NAME?</v>
      </c>
      <c r="AM122" s="1985" t="e" cm="1">
        <f t="array" ca="1" aca="1" ref="AM122">_xlfn.LET(_xlpm.val,IF($F122="",val_blankRefText,_xldudf_CX_GET(CX_ENTITY,$F122,AM$11,AM$14,,(AM$75))),_xlpm.Res,IF(OR(_xlpm.val="",_xlpm.val="Error"),"",_xlpm.val),_xlpm.Res)</f>
        <v>#NAME?</v>
      </c>
      <c r="AN122" s="1985" t="e" cm="1">
        <f t="array" ca="1" aca="1" ref="AN122">_xlfn.LET(_xlpm.val,IF($F122="",val_blankRefText,_xldudf_CX_GET(CX_ENTITY,$F122,AN$11,AN$14,,(AN$75))),_xlpm.Res,IF(OR(_xlpm.val="",_xlpm.val="Error"),"",_xlpm.val),_xlpm.Res)</f>
        <v>#NAME?</v>
      </c>
      <c r="AO122" s="1985" t="e" cm="1">
        <f t="array" ca="1" aca="1" ref="AO122">_xlfn.LET(_xlpm.val,IF($F122="",val_blankRefText,_xldudf_CX_GET(CX_ENTITY,$F122,AO$11,AO$14,,(AO$75))),_xlpm.Res,IF(OR(_xlpm.val="",_xlpm.val="Error"),"",_xlpm.val),_xlpm.Res)</f>
        <v>#NAME?</v>
      </c>
      <c r="AP122" s="1985" t="e" cm="1">
        <f t="array" ca="1" aca="1" ref="AP122">_xlfn.LET(_xlpm.val,IF($F122="",val_blankRefText,_xldudf_CX_GET(CX_ENTITY,$F122,AP$11,AP$14,,(AP$75))),_xlpm.Res,IF(OR(_xlpm.val="",_xlpm.val="Error"),"",_xlpm.val),_xlpm.Res)</f>
        <v>#NAME?</v>
      </c>
      <c r="AQ122" s="1985" t="e" cm="1">
        <f t="array" ca="1" aca="1" ref="AQ122">_xlfn.LET(_xlpm.val,IF($F122="",val_blankRefText,_xldudf_CX_GET(CX_ENTITY,$F122,AQ$11,AQ$14,,(AQ$75))),_xlpm.Res,IF(OR(_xlpm.val="",_xlpm.val="Error"),"",_xlpm.val),_xlpm.Res)</f>
        <v>#NAME?</v>
      </c>
      <c r="AR122" s="1985" t="e" cm="1">
        <f t="array" ca="1" aca="1" ref="AR122">_xlfn.LET(_xlpm.val,IF($F122="",val_blankRefText,_xldudf_CX_GET(CX_ENTITY,$F122,AR$11,AR$14,,(AR$75))),_xlpm.Res,IF(OR(_xlpm.val="",_xlpm.val="Error"),"",_xlpm.val),_xlpm.Res)</f>
        <v>#NAME?</v>
      </c>
      <c r="AS122" s="1985" t="e" cm="1">
        <f t="array" ca="1" aca="1" ref="AS122">_xlfn.LET(_xlpm.val,IF($F122="",val_blankRefText,_xldudf_CX_GET(CX_ENTITY,$F122,AS$11,AS$14,,(AS$75))),_xlpm.Res,IF(OR(_xlpm.val="",_xlpm.val="Error"),"",_xlpm.val),_xlpm.Res)</f>
        <v>#NAME?</v>
      </c>
      <c r="AT122" s="1985" t="e" cm="1">
        <f t="array" ca="1" aca="1" ref="AT122">_xlfn.LET(_xlpm.val,IF($F122="",val_blankRefText,_xldudf_CX_GET(CX_ENTITY,$F122,AT$11,AT$14,,(AT$75))),_xlpm.Res,IF(OR(_xlpm.val="",_xlpm.val="Error"),"",_xlpm.val),_xlpm.Res)</f>
        <v>#NAME?</v>
      </c>
      <c r="AU122" s="1985" t="e" cm="1">
        <f t="array" ca="1" aca="1" ref="AU122">_xlfn.LET(_xlpm.val,IF($F122="",val_blankRefText,_xldudf_CX_GET(CX_ENTITY,$F122,AU$11,AU$14,,(AU$75))),_xlpm.Res,IF(OR(_xlpm.val="",_xlpm.val="Error"),"",_xlpm.val),_xlpm.Res)</f>
        <v>#NAME?</v>
      </c>
      <c r="AV122" s="1985" t="e" cm="1">
        <f t="array" ca="1" aca="1" ref="AV122">_xlfn.LET(_xlpm.val,IF($F122="",val_blankRefText,_xldudf_CX_GET(CX_ENTITY,$F122,AV$11,AV$14,,(AV$75))),_xlpm.Res,IF(OR(_xlpm.val="",_xlpm.val="Error"),"",_xlpm.val),_xlpm.Res)</f>
        <v>#NAME?</v>
      </c>
      <c r="AW122" s="1985" t="e" cm="1">
        <f t="array" ca="1" aca="1" ref="AW122">_xlfn.LET(_xlpm.val,IF($F122="",val_blankRefText,_xldudf_CX_GET(CX_ENTITY,$F122,AW$11,AW$14,,(AW$75))),_xlpm.Res,IF(OR(_xlpm.val="",_xlpm.val="Error"),"",_xlpm.val),_xlpm.Res)</f>
        <v>#NAME?</v>
      </c>
      <c r="AX122" s="1985" t="e" cm="1">
        <f t="array" ca="1" aca="1" ref="AX122">_xlfn.LET(_xlpm.val,IF($F122="",val_blankRefText,_xldudf_CX_GET(CX_ENTITY,$F122,AX$11,AX$14,,(AX$75))),_xlpm.Res,IF(OR(_xlpm.val="",_xlpm.val="Error"),"",_xlpm.val),_xlpm.Res)</f>
        <v>#NAME?</v>
      </c>
      <c r="AY122" s="1985" t="e" cm="1">
        <f t="array" ca="1" aca="1" ref="AY122">_xlfn.LET(_xlpm.val,IF($F122="",val_blankRefText,_xldudf_CX_GET(CX_ENTITY,$F122,AY$11,AY$14,,(AY$75))),_xlpm.Res,IF(OR(_xlpm.val="",_xlpm.val="Error"),"",_xlpm.val),_xlpm.Res)</f>
        <v>#NAME?</v>
      </c>
      <c r="AZ122" s="1985" t="e" cm="1">
        <f t="array" ca="1" aca="1" ref="AZ122">_xlfn.LET(_xlpm.val,IF($F122="",val_blankRefText,_xldudf_CX_GET(CX_ENTITY,$F122,AZ$11,AZ$14,,(AZ$75))),_xlpm.Res,IF(OR(_xlpm.val="",_xlpm.val="Error"),"",_xlpm.val),_xlpm.Res)</f>
        <v>#NAME?</v>
      </c>
      <c r="BA122" s="1985" t="e" cm="1">
        <f t="array" ca="1" aca="1" ref="BA122">_xlfn.LET(_xlpm.val,IF($F122="",val_blankRefText,_xldudf_CX_GET(CX_ENTITY,$F122,BA$11,BA$14,,(BA$75))),_xlpm.Res,IF(OR(_xlpm.val="",_xlpm.val="Error"),"",_xlpm.val),_xlpm.Res)</f>
        <v>#NAME?</v>
      </c>
      <c r="BB122" s="1985" t="e" cm="1">
        <f t="array" ca="1" aca="1" ref="BB122">_xlfn.LET(_xlpm.val,IF($F122="",val_blankRefText,_xldudf_CX_GET(CX_ENTITY,$F122,BB$11,BB$14,,(BB$75))),_xlpm.Res,IF(OR(_xlpm.val="",_xlpm.val="Error"),"",_xlpm.val),_xlpm.Res)</f>
        <v>#NAME?</v>
      </c>
      <c r="BC122" s="1985" t="e" cm="1">
        <f t="array" ca="1" aca="1" ref="BC122">_xlfn.LET(_xlpm.val,IF($F122="",val_blankRefText,_xldudf_CX_GET(CX_ENTITY,$F122,BC$11,BC$14,,(BC$75))),_xlpm.Res,IF(OR(_xlpm.val="",_xlpm.val="Error"),"",_xlpm.val),_xlpm.Res)</f>
        <v>#NAME?</v>
      </c>
      <c r="BD122" s="1985" t="e" cm="1">
        <f t="array" ca="1" aca="1" ref="BD122">_xlfn.LET(_xlpm.val,IF($F122="",val_blankRefText,_xldudf_CX_GET(CX_ENTITY,$F122,BD$11,BD$14,,(BD$75))),_xlpm.Res,IF(OR(_xlpm.val="",_xlpm.val="Error"),"",_xlpm.val),_xlpm.Res)</f>
        <v>#NAME?</v>
      </c>
      <c r="BE122" s="1985" t="e" cm="1">
        <f t="array" ca="1" aca="1" ref="BE122">_xlfn.LET(_xlpm.val,IF($F122="",val_blankRefText,_xldudf_CX_GET(CX_ENTITY,$F122,BE$11,BE$14,,(BE$75))),_xlpm.Res,IF(OR(_xlpm.val="",_xlpm.val="Error"),"",_xlpm.val),_xlpm.Res)</f>
        <v>#NAME?</v>
      </c>
      <c r="BF122" s="1985" t="e" cm="1">
        <f t="array" ca="1" aca="1" ref="BF122">_xlfn.LET(_xlpm.val,IF($F122="",val_blankRefText,_xldudf_CX_GET(CX_ENTITY,$F122,BF$11,BF$14,,(BF$75))),_xlpm.Res,IF(OR(_xlpm.val="",_xlpm.val="Error"),"",_xlpm.val),_xlpm.Res)</f>
        <v>#NAME?</v>
      </c>
      <c r="BG122" s="1985" t="e" cm="1">
        <f t="array" ca="1" aca="1" ref="BG122">_xlfn.LET(_xlpm.val,IF($F122="",val_blankRefText,_xldudf_CX_GET(CX_ENTITY,$F122,BG$11,BG$14,,(BG$75))),_xlpm.Res,IF(OR(_xlpm.val="",_xlpm.val="Error"),"",_xlpm.val),_xlpm.Res)</f>
        <v>#NAME?</v>
      </c>
      <c r="BH122" s="1985" t="e" cm="1">
        <f t="array" ca="1" aca="1" ref="BH122">_xlfn.LET(_xlpm.val,IF($F122="",val_blankRefText,_xldudf_CX_GET(CX_ENTITY,$F122,BH$11,BH$14,,(BH$75))),_xlpm.Res,IF(OR(_xlpm.val="",_xlpm.val="Error"),"",_xlpm.val),_xlpm.Res)</f>
        <v>#NAME?</v>
      </c>
      <c r="BI122" s="1985" t="e" cm="1">
        <f t="array" ca="1" aca="1" ref="BI122">_xlfn.LET(_xlpm.val,IF($F122="",val_blankRefText,_xldudf_CX_GET(CX_ENTITY,$F122,BI$11,BI$14,,(BI$75))),_xlpm.Res,IF(OR(_xlpm.val="",_xlpm.val="Error"),"",_xlpm.val),_xlpm.Res)</f>
        <v>#NAME?</v>
      </c>
      <c r="BJ122" s="1985" t="e" cm="1">
        <f t="array" ca="1" aca="1" ref="BJ122">_xlfn.LET(_xlpm.val,IF($F122="",val_blankRefText,_xldudf_CX_GET(CX_ENTITY,$F122,BJ$11,BJ$14,,(BJ$75))),_xlpm.Res,IF(OR(_xlpm.val="",_xlpm.val="Error"),"",_xlpm.val),_xlpm.Res)</f>
        <v>#NAME?</v>
      </c>
      <c r="BK122" s="1985" t="e" cm="1">
        <f t="array" ca="1" aca="1" ref="BK122">_xlfn.LET(_xlpm.val,IF($F122="",val_blankRefText,_xldudf_CX_GET(CX_ENTITY,$F122,BK$11,BK$14,,(BK$75))),_xlpm.Res,IF(OR(_xlpm.val="",_xlpm.val="Error"),"",_xlpm.val),_xlpm.Res)</f>
        <v>#NAME?</v>
      </c>
      <c r="BL122" s="1985" t="e" cm="1">
        <f t="array" ca="1" aca="1" ref="BL122">_xlfn.LET(_xlpm.val,IF($F122="",val_blankRefText,_xldudf_CX_GET(CX_ENTITY,$F122,BL$11,BL$14,,(BL$75))),_xlpm.Res,IF(OR(_xlpm.val="",_xlpm.val="Error"),"",_xlpm.val),_xlpm.Res)</f>
        <v>#NAME?</v>
      </c>
      <c r="BM122" s="1985" t="e" cm="1">
        <f t="array" ca="1" aca="1" ref="BM122">_xlfn.LET(_xlpm.val,IF($F122="",val_blankRefText,_xldudf_CX_GET(CX_ENTITY,$F122,BM$11,BM$14,,(BM$75))),_xlpm.Res,IF(OR(_xlpm.val="",_xlpm.val="Error"),"",_xlpm.val),_xlpm.Res)</f>
        <v>#NAME?</v>
      </c>
      <c r="BN122" s="1985" t="e" cm="1">
        <f t="array" ca="1" aca="1" ref="BN122">_xlfn.LET(_xlpm.val,IF($F122="",val_blankRefText,_xldudf_CX_GET(CX_ENTITY,$F122,BN$11,BN$14,,(BN$75))),_xlpm.Res,IF(OR(_xlpm.val="",_xlpm.val="Error"),"",_xlpm.val),_xlpm.Res)</f>
        <v>#NAME?</v>
      </c>
      <c r="BO122" s="2104"/>
      <c r="BP122" s="2104"/>
      <c r="BQ122" s="2104"/>
      <c r="BR122" s="2104"/>
      <c r="BS122" s="2104"/>
      <c r="BT122" s="2104"/>
      <c r="BU122" s="2104"/>
      <c r="BV122" s="2104"/>
      <c r="BW122" s="2104"/>
      <c r="BX122" s="2104"/>
      <c r="BY122" s="2104"/>
      <c r="BZ122" s="2104"/>
      <c r="CA122" s="34"/>
      <c r="CC122" s="33"/>
      <c r="CD122" s="763"/>
      <c r="CE122" s="763"/>
      <c r="CF122" s="3"/>
      <c r="CG122" s="763"/>
      <c r="CH122" s="763"/>
      <c r="CI122" s="3"/>
      <c r="CJ122" s="763"/>
      <c r="CK122" s="763"/>
      <c r="CL122" s="3"/>
      <c r="CM122" s="763"/>
      <c r="CN122" s="763"/>
      <c r="CO122" s="3"/>
      <c r="CP122" s="763"/>
      <c r="CQ122" s="763"/>
      <c r="CR122" s="34"/>
    </row>
    <row r="123" spans="1:96" ht="15.5" outlineLevel="1">
      <c r="A123" s="1322"/>
      <c r="B123" s="577"/>
      <c r="C123" s="577"/>
      <c r="D123" s="577"/>
      <c r="E123" s="573"/>
      <c r="F123" s="577"/>
      <c r="G123" s="577"/>
      <c r="H123" s="578"/>
      <c r="I123" s="578"/>
      <c r="J123" s="578"/>
      <c r="K123" s="578"/>
      <c r="L123" s="578"/>
      <c r="N123" s="158"/>
      <c r="O123" s="101"/>
      <c r="P123" s="89"/>
      <c r="Q123" s="89"/>
      <c r="R123" s="101"/>
      <c r="S123" s="101"/>
      <c r="T123" s="101"/>
      <c r="U123" s="39"/>
      <c r="W123" s="198"/>
      <c r="X123" s="887"/>
      <c r="Y123" s="88"/>
      <c r="Z123" s="198"/>
      <c r="AA123" s="97"/>
      <c r="AB123" s="97"/>
      <c r="AC123" s="128"/>
      <c r="AD123" s="166"/>
      <c r="AE123" s="166"/>
      <c r="AF123" s="166"/>
      <c r="AG123" s="166"/>
      <c r="AH123" s="166"/>
      <c r="AI123" s="166"/>
      <c r="AJ123" s="166"/>
      <c r="AK123" s="166"/>
      <c r="AL123" s="166"/>
      <c r="AM123" s="166"/>
      <c r="AN123" s="166"/>
      <c r="AO123" s="166"/>
      <c r="AP123" s="166"/>
      <c r="AQ123" s="166"/>
      <c r="AR123" s="166"/>
      <c r="AS123" s="166"/>
      <c r="AT123" s="166"/>
      <c r="AU123" s="166"/>
      <c r="AV123" s="166"/>
      <c r="AW123" s="166"/>
      <c r="AX123" s="166"/>
      <c r="AY123" s="166"/>
      <c r="AZ123" s="166"/>
      <c r="BA123" s="166"/>
      <c r="BB123" s="166"/>
      <c r="BC123" s="166"/>
      <c r="BD123" s="166"/>
      <c r="BE123" s="166"/>
      <c r="BF123" s="166"/>
      <c r="BG123" s="166"/>
      <c r="BH123" s="166"/>
      <c r="BI123" s="166"/>
      <c r="BJ123" s="166"/>
      <c r="BK123" s="166"/>
      <c r="BL123" s="166"/>
      <c r="BM123" s="166"/>
      <c r="BN123" s="166"/>
      <c r="BO123" s="166"/>
      <c r="BP123" s="166"/>
      <c r="BQ123" s="166"/>
      <c r="BR123" s="166"/>
      <c r="BS123" s="166"/>
      <c r="BT123" s="166"/>
      <c r="BU123" s="166"/>
      <c r="BV123" s="166"/>
      <c r="BW123" s="166"/>
      <c r="BX123" s="166"/>
      <c r="BY123" s="166"/>
      <c r="BZ123" s="166"/>
      <c r="CA123" s="34"/>
      <c r="CC123" s="176"/>
      <c r="CD123" s="177"/>
      <c r="CE123" s="177"/>
      <c r="CF123" s="178"/>
      <c r="CG123" s="177"/>
      <c r="CH123" s="177"/>
      <c r="CI123" s="88"/>
      <c r="CJ123" s="274"/>
      <c r="CK123" s="274"/>
      <c r="CL123" s="88"/>
      <c r="CM123" s="274"/>
      <c r="CN123" s="171"/>
      <c r="CO123" s="88"/>
      <c r="CP123" s="274"/>
      <c r="CQ123" s="171"/>
      <c r="CR123" s="34"/>
    </row>
    <row r="124" spans="1:96" ht="15.5">
      <c r="A124" s="1322"/>
      <c r="B124" s="577"/>
      <c r="C124" s="577"/>
      <c r="D124" s="577"/>
      <c r="E124" s="577"/>
      <c r="F124" s="577"/>
      <c r="G124" s="577"/>
      <c r="H124" s="578"/>
      <c r="I124" s="578"/>
      <c r="J124" s="578"/>
      <c r="K124" s="578"/>
      <c r="L124" s="578"/>
      <c r="N124" s="158"/>
      <c r="O124" s="101"/>
      <c r="P124" s="137"/>
      <c r="Q124" s="137"/>
      <c r="R124" s="140"/>
      <c r="S124" s="101"/>
      <c r="T124" s="101"/>
      <c r="U124" s="39"/>
      <c r="W124" s="198"/>
      <c r="X124" s="887"/>
      <c r="Y124" s="88"/>
      <c r="Z124" s="543"/>
      <c r="AA124" s="97"/>
      <c r="AB124" s="97"/>
      <c r="AC124" s="128"/>
      <c r="AD124" s="88"/>
      <c r="AE124" s="88"/>
      <c r="AF124" s="88"/>
      <c r="AG124" s="88"/>
      <c r="AH124" s="88"/>
      <c r="AI124" s="88"/>
      <c r="AJ124" s="88"/>
      <c r="AK124" s="88"/>
      <c r="AL124" s="88"/>
      <c r="AM124" s="88"/>
      <c r="AN124" s="88"/>
      <c r="AO124" s="88"/>
      <c r="AP124" s="88"/>
      <c r="AQ124" s="88"/>
      <c r="AR124" s="88"/>
      <c r="AS124" s="88"/>
      <c r="AT124" s="781"/>
      <c r="AU124" s="782"/>
      <c r="AV124" s="782"/>
      <c r="AW124" s="782"/>
      <c r="AX124" s="782"/>
      <c r="AY124" s="782"/>
      <c r="AZ124" s="782"/>
      <c r="BA124" s="782"/>
      <c r="BB124" s="782"/>
      <c r="BC124" s="782"/>
      <c r="BD124" s="782"/>
      <c r="BE124" s="782"/>
      <c r="BF124" s="782"/>
      <c r="BG124" s="782"/>
      <c r="BH124" s="782"/>
      <c r="BI124" s="782"/>
      <c r="BJ124" s="783"/>
      <c r="BK124" s="783"/>
      <c r="BL124" s="783"/>
      <c r="BM124" s="783"/>
      <c r="BN124" s="783"/>
      <c r="BO124" s="783"/>
      <c r="BP124" s="783"/>
      <c r="BQ124" s="783"/>
      <c r="BR124" s="783"/>
      <c r="BS124" s="783"/>
      <c r="BT124" s="783"/>
      <c r="BU124" s="783"/>
      <c r="BV124" s="783"/>
      <c r="BW124" s="783"/>
      <c r="BX124" s="783"/>
      <c r="BY124" s="783"/>
      <c r="BZ124" s="783"/>
      <c r="CA124" s="34"/>
      <c r="CC124" s="181"/>
      <c r="CD124" s="296"/>
      <c r="CE124" s="296"/>
      <c r="CF124" s="296"/>
      <c r="CG124" s="296"/>
      <c r="CH124" s="296"/>
      <c r="CI124" s="296"/>
      <c r="CJ124" s="296"/>
      <c r="CK124" s="296"/>
      <c r="CL124" s="88"/>
      <c r="CM124" s="88"/>
      <c r="CN124" s="88"/>
      <c r="CO124" s="88"/>
      <c r="CP124" s="88"/>
      <c r="CQ124" s="88"/>
      <c r="CR124" s="34"/>
    </row>
    <row r="125" spans="1:96" ht="32.5">
      <c r="A125" s="1322"/>
      <c r="B125" s="577"/>
      <c r="C125" s="577"/>
      <c r="D125" s="577"/>
      <c r="E125" s="577"/>
      <c r="F125" s="577"/>
      <c r="G125" s="577"/>
      <c r="H125" s="578"/>
      <c r="I125" s="578"/>
      <c r="J125" s="578"/>
      <c r="K125" s="578"/>
      <c r="L125" s="578"/>
      <c r="N125" s="158"/>
      <c r="O125" s="101"/>
      <c r="P125" s="137"/>
      <c r="Q125" s="137"/>
      <c r="R125" s="140"/>
      <c r="S125" s="101"/>
      <c r="T125" s="101"/>
      <c r="U125" s="39"/>
      <c r="W125" s="198"/>
      <c r="X125" s="887"/>
      <c r="Y125" s="23" t="s">
        <v>108</v>
      </c>
      <c r="Z125" s="788"/>
      <c r="AA125" s="97"/>
      <c r="AB125" s="97"/>
      <c r="AC125" s="128"/>
      <c r="AD125" s="88"/>
      <c r="AE125" s="88"/>
      <c r="AF125" s="88"/>
      <c r="AG125" s="88"/>
      <c r="AH125" s="88"/>
      <c r="AI125" s="88"/>
      <c r="AJ125" s="88"/>
      <c r="AK125" s="88"/>
      <c r="AL125" s="88"/>
      <c r="AM125" s="88"/>
      <c r="AN125" s="88"/>
      <c r="AO125" s="88"/>
      <c r="AP125" s="88"/>
      <c r="AQ125" s="88"/>
      <c r="AR125" s="88"/>
      <c r="AS125" s="88"/>
      <c r="AT125" s="88"/>
      <c r="AU125" s="783"/>
      <c r="AV125" s="783"/>
      <c r="AW125" s="783"/>
      <c r="AX125" s="783"/>
      <c r="AY125" s="783"/>
      <c r="AZ125" s="783"/>
      <c r="BA125" s="783"/>
      <c r="BB125" s="783"/>
      <c r="BC125" s="783"/>
      <c r="BD125" s="783"/>
      <c r="BE125" s="783"/>
      <c r="BF125" s="783"/>
      <c r="BG125" s="783"/>
      <c r="BH125" s="783"/>
      <c r="BI125" s="783"/>
      <c r="BJ125" s="783"/>
      <c r="BK125" s="783"/>
      <c r="BL125" s="783"/>
      <c r="BM125" s="783"/>
      <c r="BN125" s="783"/>
      <c r="BO125" s="783"/>
      <c r="BP125" s="783"/>
      <c r="BQ125" s="783"/>
      <c r="BR125" s="783"/>
      <c r="BS125" s="783"/>
      <c r="BT125" s="783"/>
      <c r="BU125" s="783"/>
      <c r="BV125" s="783"/>
      <c r="BW125" s="783"/>
      <c r="BX125" s="783"/>
      <c r="BY125" s="783"/>
      <c r="BZ125" s="783"/>
      <c r="CA125" s="34"/>
      <c r="CC125" s="50"/>
      <c r="CD125" s="172"/>
      <c r="CE125" s="172"/>
      <c r="CF125" s="172"/>
      <c r="CG125" s="172"/>
      <c r="CH125" s="172"/>
      <c r="CI125" s="172"/>
      <c r="CJ125" s="172"/>
      <c r="CK125" s="172"/>
      <c r="CL125" s="88"/>
      <c r="CM125" s="88"/>
      <c r="CN125" s="88"/>
      <c r="CO125" s="88"/>
      <c r="CP125" s="88"/>
      <c r="CQ125" s="88"/>
      <c r="CR125" s="34"/>
    </row>
    <row r="126" spans="1:96" ht="17.5">
      <c r="A126" s="1322"/>
      <c r="B126" s="577"/>
      <c r="C126" s="577"/>
      <c r="D126" s="577"/>
      <c r="E126" s="577"/>
      <c r="F126" s="577"/>
      <c r="G126" s="577"/>
      <c r="H126" s="578"/>
      <c r="I126" s="578"/>
      <c r="J126" s="578"/>
      <c r="K126" s="578"/>
      <c r="L126" s="578"/>
      <c r="N126" s="158"/>
      <c r="O126" s="101"/>
      <c r="P126" s="89"/>
      <c r="Q126" s="89"/>
      <c r="R126" s="89"/>
      <c r="S126" s="2"/>
      <c r="T126" s="2"/>
      <c r="U126" s="39"/>
      <c r="W126" s="198"/>
      <c r="X126" s="887"/>
      <c r="Y126" s="864"/>
      <c r="Z126" s="788"/>
      <c r="AA126" s="97"/>
      <c r="AB126" s="97"/>
      <c r="AC126" s="128"/>
      <c r="AD126" s="88"/>
      <c r="AE126" s="88"/>
      <c r="AF126" s="88"/>
      <c r="AG126" s="88"/>
      <c r="AH126" s="88"/>
      <c r="AI126" s="88"/>
      <c r="AJ126" s="88"/>
      <c r="AK126" s="88"/>
      <c r="AL126" s="88"/>
      <c r="AM126" s="88"/>
      <c r="AN126" s="88"/>
      <c r="AO126" s="88"/>
      <c r="AP126" s="88"/>
      <c r="AQ126" s="88"/>
      <c r="AR126" s="88"/>
      <c r="AS126" s="88"/>
      <c r="AT126" s="88"/>
      <c r="AU126" s="783"/>
      <c r="AV126" s="783"/>
      <c r="AW126" s="783"/>
      <c r="AX126" s="783"/>
      <c r="AY126" s="783"/>
      <c r="AZ126" s="783"/>
      <c r="BA126" s="783"/>
      <c r="BB126" s="783"/>
      <c r="BC126" s="783"/>
      <c r="BD126" s="783"/>
      <c r="BE126" s="783"/>
      <c r="BF126" s="783"/>
      <c r="BG126" s="783"/>
      <c r="BH126" s="783"/>
      <c r="BI126" s="783"/>
      <c r="BJ126" s="783"/>
      <c r="BK126" s="783"/>
      <c r="BL126" s="783"/>
      <c r="BM126" s="783"/>
      <c r="BN126" s="783"/>
      <c r="BO126" s="783"/>
      <c r="BP126" s="783"/>
      <c r="BQ126" s="783"/>
      <c r="BR126" s="783"/>
      <c r="BS126" s="783"/>
      <c r="BT126" s="783"/>
      <c r="BU126" s="783"/>
      <c r="BV126" s="783"/>
      <c r="BW126" s="783"/>
      <c r="BX126" s="783"/>
      <c r="BY126" s="783"/>
      <c r="BZ126" s="783"/>
      <c r="CA126" s="34"/>
      <c r="CC126" s="50"/>
      <c r="CD126" s="172"/>
      <c r="CE126" s="172"/>
      <c r="CF126" s="172"/>
      <c r="CG126" s="172"/>
      <c r="CH126" s="172"/>
      <c r="CI126" s="172"/>
      <c r="CJ126" s="172"/>
      <c r="CK126" s="172"/>
      <c r="CL126" s="88"/>
      <c r="CM126" s="88"/>
      <c r="CN126" s="88"/>
      <c r="CO126" s="88"/>
      <c r="CP126" s="88"/>
      <c r="CQ126" s="88"/>
      <c r="CR126" s="34"/>
    </row>
    <row r="127" spans="1:96" ht="32.5">
      <c r="A127" s="1322"/>
      <c r="B127" s="577"/>
      <c r="C127" s="577"/>
      <c r="D127" s="577"/>
      <c r="E127" s="577"/>
      <c r="F127" s="577"/>
      <c r="G127" s="577"/>
      <c r="H127" s="578"/>
      <c r="I127" s="578"/>
      <c r="J127" s="578"/>
      <c r="K127" s="578"/>
      <c r="L127" s="578"/>
      <c r="N127" s="158"/>
      <c r="O127" s="101"/>
      <c r="P127" s="52"/>
      <c r="Q127" s="2"/>
      <c r="R127" s="140"/>
      <c r="S127" s="101"/>
      <c r="T127" s="101"/>
      <c r="U127" s="39"/>
      <c r="W127" s="198"/>
      <c r="X127" s="887"/>
      <c r="Y127" s="23"/>
      <c r="Z127" s="788"/>
      <c r="AA127" s="97"/>
      <c r="AB127" s="97"/>
      <c r="AC127" s="128"/>
      <c r="AD127" s="88"/>
      <c r="AE127" s="88"/>
      <c r="AF127" s="88"/>
      <c r="AG127" s="88"/>
      <c r="AH127" s="88"/>
      <c r="AI127" s="88"/>
      <c r="AJ127" s="88"/>
      <c r="AK127" s="88"/>
      <c r="AL127" s="88"/>
      <c r="AM127" s="88"/>
      <c r="AN127" s="88"/>
      <c r="AO127" s="88"/>
      <c r="AP127" s="88"/>
      <c r="AQ127" s="88"/>
      <c r="AR127" s="88"/>
      <c r="AS127" s="88"/>
      <c r="AT127" s="88"/>
      <c r="AU127" s="783"/>
      <c r="AV127" s="783"/>
      <c r="AW127" s="783"/>
      <c r="AX127" s="783"/>
      <c r="AY127" s="783"/>
      <c r="AZ127" s="783"/>
      <c r="BA127" s="783"/>
      <c r="BB127" s="783"/>
      <c r="BC127" s="783"/>
      <c r="BD127" s="783"/>
      <c r="BE127" s="783"/>
      <c r="BF127" s="783"/>
      <c r="BG127" s="783"/>
      <c r="BH127" s="783"/>
      <c r="BI127" s="783"/>
      <c r="BJ127" s="783"/>
      <c r="BK127" s="783"/>
      <c r="BL127" s="783"/>
      <c r="BM127" s="783"/>
      <c r="BN127" s="783"/>
      <c r="BO127" s="783"/>
      <c r="BP127" s="783"/>
      <c r="BQ127" s="783"/>
      <c r="BR127" s="783"/>
      <c r="BS127" s="783"/>
      <c r="BT127" s="783"/>
      <c r="BU127" s="783"/>
      <c r="BV127" s="783"/>
      <c r="BW127" s="783"/>
      <c r="BX127" s="783"/>
      <c r="BY127" s="783"/>
      <c r="BZ127" s="783"/>
      <c r="CA127" s="34"/>
      <c r="CC127" s="50"/>
      <c r="CD127" s="3018" t="s">
        <v>41</v>
      </c>
      <c r="CE127" s="3019"/>
      <c r="CF127" s="1472"/>
      <c r="CG127" s="3026" t="s">
        <v>109</v>
      </c>
      <c r="CH127" s="3027"/>
      <c r="CI127" s="1473"/>
      <c r="CJ127" s="3022" t="s">
        <v>43</v>
      </c>
      <c r="CK127" s="3023"/>
      <c r="CL127" s="1473"/>
      <c r="CM127" s="3015" t="s">
        <v>44</v>
      </c>
      <c r="CN127" s="3016"/>
      <c r="CO127" s="1470"/>
      <c r="CP127" s="3015" t="s">
        <v>45</v>
      </c>
      <c r="CQ127" s="3016"/>
      <c r="CR127" s="34"/>
    </row>
    <row r="128" spans="1:96" ht="18">
      <c r="A128" s="1322"/>
      <c r="B128" s="577"/>
      <c r="C128" s="574"/>
      <c r="D128" s="577"/>
      <c r="E128" s="577"/>
      <c r="F128" s="577"/>
      <c r="G128" s="3158" t="s">
        <v>108</v>
      </c>
      <c r="H128" s="510"/>
      <c r="I128" s="510"/>
      <c r="J128" s="30"/>
      <c r="K128" s="30"/>
      <c r="L128" s="30"/>
      <c r="N128" s="158"/>
      <c r="O128" s="101"/>
      <c r="P128" s="52"/>
      <c r="Q128" s="2"/>
      <c r="R128" s="140"/>
      <c r="S128" s="101"/>
      <c r="T128" s="101"/>
      <c r="U128" s="39"/>
      <c r="W128" s="3045" t="str" cm="1">
        <f t="array" ref="W128">fx_scenarioConverter("Actual")</f>
        <v>Actual</v>
      </c>
      <c r="X128" s="1247"/>
      <c r="Y128" s="3040" t="str">
        <f>IF(F128&lt;&gt;"",F128,PL!Y128)</f>
        <v>Top Line Organic Growth</v>
      </c>
      <c r="Z128" s="1248" t="s">
        <v>82</v>
      </c>
      <c r="AA128" s="1249"/>
      <c r="AB128" s="1630"/>
      <c r="AC128" s="1273"/>
      <c r="AD128" s="859"/>
      <c r="AE128" s="859"/>
      <c r="AF128" s="859"/>
      <c r="AG128" s="859"/>
      <c r="AH128" s="859"/>
      <c r="AI128" s="859"/>
      <c r="AJ128" s="859"/>
      <c r="AK128" s="859"/>
      <c r="AL128" s="859"/>
      <c r="AM128" s="859"/>
      <c r="AN128" s="859"/>
      <c r="AO128" s="859"/>
      <c r="AP128" s="859"/>
      <c r="AQ128" s="859"/>
      <c r="AR128" s="859"/>
      <c r="AS128" s="859"/>
      <c r="AT128" s="859"/>
      <c r="AU128" s="859"/>
      <c r="AV128" s="859"/>
      <c r="AW128" s="859"/>
      <c r="AX128" s="859"/>
      <c r="AY128" s="859"/>
      <c r="AZ128" s="859"/>
      <c r="BA128" s="859"/>
      <c r="BB128" s="859"/>
      <c r="BC128" s="859"/>
      <c r="BD128" s="859"/>
      <c r="BE128" s="859"/>
      <c r="BF128" s="859"/>
      <c r="BG128" s="859"/>
      <c r="BH128" s="859"/>
      <c r="BI128" s="859"/>
      <c r="BJ128" s="859"/>
      <c r="BK128" s="859"/>
      <c r="BL128" s="859"/>
      <c r="BM128" s="859"/>
      <c r="BN128" s="859"/>
      <c r="BO128" s="542"/>
      <c r="BP128" s="542"/>
      <c r="BQ128" s="542"/>
      <c r="BR128" s="542"/>
      <c r="BS128" s="542"/>
      <c r="BT128" s="542"/>
      <c r="BU128" s="542"/>
      <c r="BV128" s="542"/>
      <c r="BW128" s="542"/>
      <c r="BX128" s="542"/>
      <c r="BY128" s="542"/>
      <c r="BZ128" s="542"/>
      <c r="CA128" s="34"/>
      <c r="CC128" s="33"/>
      <c r="CD128" s="1343" t="e" cm="1">
        <f t="array" ca="1" aca="1" ref="CD128">YEAR(val_currentFYE)-2</f>
        <v>#NAME?</v>
      </c>
      <c r="CE128" s="1344" t="e" cm="1">
        <f t="array" ca="1" aca="1" ref="CE128">YEAR(val_currentFYE)-1</f>
        <v>#NAME?</v>
      </c>
      <c r="CF128" s="88"/>
      <c r="CG128" s="1350" t="e" cm="1">
        <f t="array" ca="1" aca="1" ref="CG128">YEAR(val_currentFYE)</f>
        <v>#NAME?</v>
      </c>
      <c r="CH128" s="1351" t="e" cm="1">
        <f t="array" ca="1" aca="1" ref="CH128">YEAR(val_currentFYE)</f>
        <v>#NAME?</v>
      </c>
      <c r="CI128" s="170"/>
      <c r="CJ128" s="208" t="s">
        <v>54</v>
      </c>
      <c r="CK128" s="209" t="s">
        <v>54</v>
      </c>
      <c r="CL128" s="88"/>
      <c r="CM128" s="1664" t="e" cm="1">
        <f t="array" ca="1" aca="1" ref="CM128">YEAR(val_currentFYE)</f>
        <v>#NAME?</v>
      </c>
      <c r="CN128" s="1665" t="e" cm="1">
        <f t="array" ca="1" aca="1" ref="CN128">YEAR(val_currentFYE)</f>
        <v>#NAME?</v>
      </c>
      <c r="CO128" s="88"/>
      <c r="CP128" s="1664" t="e" cm="1">
        <f t="array" ca="1" aca="1" ref="CP128">YEAR(val_currentFYE)</f>
        <v>#NAME?</v>
      </c>
      <c r="CQ128" s="1665" t="e" cm="1">
        <f t="array" ca="1" aca="1" ref="CQ128">YEAR(val_currentFYE)</f>
        <v>#NAME?</v>
      </c>
      <c r="CR128" s="34"/>
    </row>
    <row r="129" spans="1:96" ht="18">
      <c r="A129" s="1322"/>
      <c r="B129" s="577"/>
      <c r="C129" s="574"/>
      <c r="D129" s="577"/>
      <c r="E129" s="577"/>
      <c r="F129" s="577"/>
      <c r="G129" s="3158"/>
      <c r="H129" s="510"/>
      <c r="I129" s="510"/>
      <c r="J129" s="30"/>
      <c r="K129" s="30"/>
      <c r="L129" s="30"/>
      <c r="N129" s="158"/>
      <c r="O129" s="101"/>
      <c r="P129" s="52"/>
      <c r="Q129" s="2"/>
      <c r="R129" s="140"/>
      <c r="S129" s="101"/>
      <c r="T129" s="101"/>
      <c r="U129" s="39"/>
      <c r="W129" s="3046"/>
      <c r="X129" s="1250"/>
      <c r="Y129" s="3041"/>
      <c r="Z129" s="1251"/>
      <c r="AA129" s="1252"/>
      <c r="AB129" s="1631"/>
      <c r="AC129" s="1162"/>
      <c r="AD129" s="1253"/>
      <c r="AE129" s="1253"/>
      <c r="AF129" s="1253"/>
      <c r="AG129" s="1253"/>
      <c r="AH129" s="1253"/>
      <c r="AI129" s="1253"/>
      <c r="AJ129" s="1253"/>
      <c r="AK129" s="1253"/>
      <c r="AL129" s="1253"/>
      <c r="AM129" s="1253"/>
      <c r="AN129" s="1253"/>
      <c r="AO129" s="1253"/>
      <c r="AP129" s="1253"/>
      <c r="AQ129" s="1253"/>
      <c r="AR129" s="1253"/>
      <c r="AS129" s="1253"/>
      <c r="AT129" s="1253"/>
      <c r="AU129" s="1253"/>
      <c r="AV129" s="1253"/>
      <c r="AW129" s="1253"/>
      <c r="AX129" s="1253"/>
      <c r="AY129" s="1253"/>
      <c r="AZ129" s="1253"/>
      <c r="BA129" s="1253"/>
      <c r="BB129" s="1253"/>
      <c r="BC129" s="1253"/>
      <c r="BD129" s="1253"/>
      <c r="BE129" s="1253"/>
      <c r="BF129" s="1253"/>
      <c r="BG129" s="1253"/>
      <c r="BH129" s="1253"/>
      <c r="BI129" s="1253"/>
      <c r="BJ129" s="1253"/>
      <c r="BK129" s="1253"/>
      <c r="BL129" s="1253"/>
      <c r="BM129" s="1253"/>
      <c r="BN129" s="1253"/>
      <c r="BO129" s="2099"/>
      <c r="BP129" s="2099"/>
      <c r="BQ129" s="2099"/>
      <c r="BR129" s="2099"/>
      <c r="BS129" s="2099"/>
      <c r="BT129" s="2099"/>
      <c r="BU129" s="2099"/>
      <c r="BV129" s="2099"/>
      <c r="BW129" s="2099"/>
      <c r="BX129" s="2099"/>
      <c r="BY129" s="2099"/>
      <c r="BZ129" s="2099"/>
      <c r="CA129" s="34"/>
      <c r="CC129" s="33"/>
      <c r="CD129" s="1341"/>
      <c r="CE129" s="1342"/>
      <c r="CF129" s="88"/>
      <c r="CG129" s="1350"/>
      <c r="CH129" s="1351"/>
      <c r="CI129" s="170"/>
      <c r="CJ129" s="1348"/>
      <c r="CK129" s="1349"/>
      <c r="CL129" s="88"/>
      <c r="CM129" s="1666"/>
      <c r="CN129" s="1667"/>
      <c r="CO129" s="869"/>
      <c r="CP129" s="1666"/>
      <c r="CQ129" s="1667"/>
      <c r="CR129" s="34"/>
    </row>
    <row r="130" spans="1:96" ht="30.75" customHeight="1" outlineLevel="1">
      <c r="A130" s="1322"/>
      <c r="B130" s="583"/>
      <c r="C130" s="583"/>
      <c r="D130" s="583"/>
      <c r="E130" s="583"/>
      <c r="F130" s="577"/>
      <c r="G130" s="583"/>
      <c r="H130" s="1333"/>
      <c r="I130" s="1333">
        <v>3</v>
      </c>
      <c r="J130" s="572"/>
      <c r="K130" s="572"/>
      <c r="L130" s="572"/>
      <c r="N130" s="158"/>
      <c r="O130" s="101"/>
      <c r="P130" s="52"/>
      <c r="Q130" s="2"/>
      <c r="R130" s="140"/>
      <c r="S130" s="101"/>
      <c r="T130" s="101"/>
      <c r="U130" s="39"/>
      <c r="W130" s="161"/>
      <c r="X130" s="887"/>
      <c r="Y130" s="155"/>
      <c r="Z130" s="789"/>
      <c r="AA130" s="163"/>
      <c r="AB130" s="273"/>
      <c r="AC130" s="1164"/>
      <c r="AD130" s="977" cm="1">
        <f t="array" ref="AD130:BN130">EOMONTH(val_asOfDate,_xlfn.SEQUENCE(1,37,-36,1))</f>
        <v>44926</v>
      </c>
      <c r="AE130" s="977">
        <v>44957</v>
      </c>
      <c r="AF130" s="977">
        <v>44985</v>
      </c>
      <c r="AG130" s="977">
        <v>45016</v>
      </c>
      <c r="AH130" s="977">
        <v>45046</v>
      </c>
      <c r="AI130" s="977">
        <v>45077</v>
      </c>
      <c r="AJ130" s="977">
        <v>45107</v>
      </c>
      <c r="AK130" s="977">
        <v>45138</v>
      </c>
      <c r="AL130" s="977">
        <v>45169</v>
      </c>
      <c r="AM130" s="977">
        <v>45199</v>
      </c>
      <c r="AN130" s="977">
        <v>45230</v>
      </c>
      <c r="AO130" s="977">
        <v>45260</v>
      </c>
      <c r="AP130" s="977">
        <v>45291</v>
      </c>
      <c r="AQ130" s="977">
        <v>45322</v>
      </c>
      <c r="AR130" s="977">
        <v>45351</v>
      </c>
      <c r="AS130" s="977">
        <v>45382</v>
      </c>
      <c r="AT130" s="977">
        <v>45412</v>
      </c>
      <c r="AU130" s="977">
        <v>45443</v>
      </c>
      <c r="AV130" s="977">
        <v>45473</v>
      </c>
      <c r="AW130" s="977">
        <v>45504</v>
      </c>
      <c r="AX130" s="977">
        <v>45535</v>
      </c>
      <c r="AY130" s="977">
        <v>45565</v>
      </c>
      <c r="AZ130" s="977">
        <v>45596</v>
      </c>
      <c r="BA130" s="977">
        <v>45626</v>
      </c>
      <c r="BB130" s="977">
        <v>45657</v>
      </c>
      <c r="BC130" s="977">
        <v>45688</v>
      </c>
      <c r="BD130" s="977">
        <v>45716</v>
      </c>
      <c r="BE130" s="977">
        <v>45747</v>
      </c>
      <c r="BF130" s="977">
        <v>45777</v>
      </c>
      <c r="BG130" s="977">
        <v>45808</v>
      </c>
      <c r="BH130" s="977">
        <v>45838</v>
      </c>
      <c r="BI130" s="977">
        <v>45869</v>
      </c>
      <c r="BJ130" s="977">
        <v>45900</v>
      </c>
      <c r="BK130" s="977">
        <v>45930</v>
      </c>
      <c r="BL130" s="977">
        <v>45961</v>
      </c>
      <c r="BM130" s="977">
        <v>45991</v>
      </c>
      <c r="BN130" s="978">
        <v>46022</v>
      </c>
      <c r="BO130" s="2090"/>
      <c r="BP130" s="2090"/>
      <c r="BQ130" s="2090"/>
      <c r="BR130" s="2090"/>
      <c r="BS130" s="2090"/>
      <c r="BT130" s="2090"/>
      <c r="BU130" s="2090"/>
      <c r="BV130" s="2090"/>
      <c r="BW130" s="2090"/>
      <c r="BX130" s="2090"/>
      <c r="BY130" s="2090"/>
      <c r="BZ130" s="2090"/>
      <c r="CA130" s="34"/>
      <c r="CC130" s="183"/>
      <c r="CD130" s="1716" t="e" cm="1">
        <f t="array" ca="1" aca="1" ref="CD130">EOMONTH(val_currentFYE,-24)</f>
        <v>#NAME?</v>
      </c>
      <c r="CE130" s="1717" t="e" cm="1">
        <f t="array" ca="1" aca="1" ref="CE130">EOMONTH(val_currentFYE,-12)</f>
        <v>#NAME?</v>
      </c>
      <c r="CF130" s="277"/>
      <c r="CG130" s="1715">
        <f>EOMONTH(val_asOfDate,-1)</f>
        <v>45991</v>
      </c>
      <c r="CH130" s="1715">
        <f>EOMONTH(val_asOfDate,0)</f>
        <v>46022</v>
      </c>
      <c r="CI130" s="276"/>
      <c r="CJ130" s="1709">
        <f>EOMONTH(val_asOfDate,-1)</f>
        <v>45991</v>
      </c>
      <c r="CK130" s="1710">
        <f>EOMONTH(val_asOfDate,0)</f>
        <v>46022</v>
      </c>
      <c r="CL130" s="88"/>
      <c r="CM130" s="1718" t="e" cm="1">
        <f t="array" ca="1" aca="1" ref="CM130">val_currentFYE</f>
        <v>#NAME?</v>
      </c>
      <c r="CN130" s="1719" t="e" cm="1">
        <f t="array" ca="1" aca="1" ref="CN130">val_currentFYE</f>
        <v>#NAME?</v>
      </c>
      <c r="CO130" s="88"/>
      <c r="CP130" s="1728" t="e" cm="1">
        <f t="array" ca="1" aca="1" ref="CP130">EOMONTH(val_currentFYE,12)</f>
        <v>#NAME?</v>
      </c>
      <c r="CQ130" s="1728" t="e" cm="1">
        <f t="array" ca="1" aca="1" ref="CQ130">EOMONTH(val_currentFYE,12)</f>
        <v>#NAME?</v>
      </c>
      <c r="CR130" s="34"/>
    </row>
    <row r="131" spans="1:96" ht="30.75" customHeight="1" outlineLevel="1">
      <c r="A131" s="1322"/>
      <c r="B131" s="1328"/>
      <c r="C131" s="1328"/>
      <c r="D131" s="1328"/>
      <c r="E131" s="1328"/>
      <c r="F131" s="1329"/>
      <c r="G131" s="1328"/>
      <c r="H131" s="588"/>
      <c r="I131" s="588"/>
      <c r="J131" s="1334"/>
      <c r="K131" s="1334"/>
      <c r="L131" s="1334"/>
      <c r="N131" s="158"/>
      <c r="O131" s="101"/>
      <c r="P131" s="52"/>
      <c r="Q131" s="2"/>
      <c r="R131" s="140"/>
      <c r="S131" s="101"/>
      <c r="T131" s="101"/>
      <c r="U131" s="39"/>
      <c r="W131" s="751" t="s">
        <v>94</v>
      </c>
      <c r="X131" s="896"/>
      <c r="Y131" s="764" t="s">
        <v>111</v>
      </c>
      <c r="Z131" s="790"/>
      <c r="AA131" s="193"/>
      <c r="AB131" s="193"/>
      <c r="AC131" s="125"/>
      <c r="AD131" s="2622" t="str">
        <f>$W$128</f>
        <v>Actual</v>
      </c>
      <c r="AE131" s="2622" t="str">
        <f t="shared" si="32" ref="AE131:BN131">$W$128</f>
        <v>Actual</v>
      </c>
      <c r="AF131" s="2622" t="str">
        <f t="shared" si="32"/>
        <v>Actual</v>
      </c>
      <c r="AG131" s="2622" t="str">
        <f t="shared" si="32"/>
        <v>Actual</v>
      </c>
      <c r="AH131" s="2622" t="str">
        <f t="shared" si="32"/>
        <v>Actual</v>
      </c>
      <c r="AI131" s="2622" t="str">
        <f t="shared" si="32"/>
        <v>Actual</v>
      </c>
      <c r="AJ131" s="2622" t="str">
        <f t="shared" si="32"/>
        <v>Actual</v>
      </c>
      <c r="AK131" s="2622" t="str">
        <f t="shared" si="32"/>
        <v>Actual</v>
      </c>
      <c r="AL131" s="2622" t="str">
        <f t="shared" si="32"/>
        <v>Actual</v>
      </c>
      <c r="AM131" s="2622" t="str">
        <f t="shared" si="32"/>
        <v>Actual</v>
      </c>
      <c r="AN131" s="2622" t="str">
        <f t="shared" si="32"/>
        <v>Actual</v>
      </c>
      <c r="AO131" s="2622" t="str">
        <f t="shared" si="32"/>
        <v>Actual</v>
      </c>
      <c r="AP131" s="2622" t="str">
        <f t="shared" si="32"/>
        <v>Actual</v>
      </c>
      <c r="AQ131" s="2622" t="str">
        <f t="shared" si="32"/>
        <v>Actual</v>
      </c>
      <c r="AR131" s="2622" t="str">
        <f t="shared" si="32"/>
        <v>Actual</v>
      </c>
      <c r="AS131" s="2622" t="str">
        <f t="shared" si="32"/>
        <v>Actual</v>
      </c>
      <c r="AT131" s="2622" t="str">
        <f t="shared" si="32"/>
        <v>Actual</v>
      </c>
      <c r="AU131" s="2622" t="str">
        <f t="shared" si="32"/>
        <v>Actual</v>
      </c>
      <c r="AV131" s="2622" t="str">
        <f t="shared" si="32"/>
        <v>Actual</v>
      </c>
      <c r="AW131" s="2622" t="str">
        <f t="shared" si="32"/>
        <v>Actual</v>
      </c>
      <c r="AX131" s="2622" t="str">
        <f t="shared" si="32"/>
        <v>Actual</v>
      </c>
      <c r="AY131" s="2622" t="str">
        <f t="shared" si="32"/>
        <v>Actual</v>
      </c>
      <c r="AZ131" s="2622" t="str">
        <f t="shared" si="32"/>
        <v>Actual</v>
      </c>
      <c r="BA131" s="2622" t="str">
        <f t="shared" si="32"/>
        <v>Actual</v>
      </c>
      <c r="BB131" s="2622" t="str">
        <f t="shared" si="32"/>
        <v>Actual</v>
      </c>
      <c r="BC131" s="2622" t="str">
        <f t="shared" si="32"/>
        <v>Actual</v>
      </c>
      <c r="BD131" s="2622" t="str">
        <f t="shared" si="32"/>
        <v>Actual</v>
      </c>
      <c r="BE131" s="2622" t="str">
        <f t="shared" si="32"/>
        <v>Actual</v>
      </c>
      <c r="BF131" s="2622" t="str">
        <f t="shared" si="32"/>
        <v>Actual</v>
      </c>
      <c r="BG131" s="2622" t="str">
        <f t="shared" si="32"/>
        <v>Actual</v>
      </c>
      <c r="BH131" s="2622" t="str">
        <f t="shared" si="32"/>
        <v>Actual</v>
      </c>
      <c r="BI131" s="2622" t="str">
        <f t="shared" si="32"/>
        <v>Actual</v>
      </c>
      <c r="BJ131" s="2622" t="str">
        <f t="shared" si="32"/>
        <v>Actual</v>
      </c>
      <c r="BK131" s="2622" t="str">
        <f t="shared" si="32"/>
        <v>Actual</v>
      </c>
      <c r="BL131" s="2622" t="str">
        <f t="shared" si="32"/>
        <v>Actual</v>
      </c>
      <c r="BM131" s="2622" t="str">
        <f t="shared" si="32"/>
        <v>Actual</v>
      </c>
      <c r="BN131" s="2622" t="str">
        <f t="shared" si="32"/>
        <v>Actual</v>
      </c>
      <c r="BO131" s="2070"/>
      <c r="BP131" s="2070"/>
      <c r="BQ131" s="2070"/>
      <c r="BR131" s="2070"/>
      <c r="BS131" s="2070"/>
      <c r="BT131" s="2070"/>
      <c r="BU131" s="2070"/>
      <c r="BV131" s="2070"/>
      <c r="BW131" s="2070"/>
      <c r="BX131" s="2070"/>
      <c r="BY131" s="2070"/>
      <c r="BZ131" s="2070"/>
      <c r="CA131" s="34"/>
      <c r="CC131" s="58"/>
      <c r="CD131" s="2622" t="str">
        <f>$W$128</f>
        <v>Actual</v>
      </c>
      <c r="CE131" s="2622" t="str">
        <f>$W$128</f>
        <v>Actual</v>
      </c>
      <c r="CF131" s="278"/>
      <c r="CG131" s="2622" t="str">
        <f>$W$128</f>
        <v>Actual</v>
      </c>
      <c r="CH131" s="2622" t="str">
        <f>$W$128</f>
        <v>Actual</v>
      </c>
      <c r="CI131" s="278"/>
      <c r="CJ131" s="2622" t="str">
        <f>$W$128</f>
        <v>Actual</v>
      </c>
      <c r="CK131" s="2622" t="str">
        <f>$W$128</f>
        <v>Actual</v>
      </c>
      <c r="CL131" s="88"/>
      <c r="CM131" s="1819" t="str">
        <f>$CM$19</f>
        <v>Original Budget</v>
      </c>
      <c r="CN131" s="1819" t="str">
        <f>$CN$19</f>
        <v>LE</v>
      </c>
      <c r="CO131" s="1205"/>
      <c r="CP131" s="1819" t="str">
        <f>$CP$19</f>
        <v>Original Budget</v>
      </c>
      <c r="CQ131" s="1819" t="str">
        <f>$CQ$19</f>
        <v>LE</v>
      </c>
      <c r="CR131" s="34"/>
    </row>
    <row r="132" spans="1:96" ht="21" customHeight="1" outlineLevel="1">
      <c r="A132" s="1322"/>
      <c r="B132" s="577"/>
      <c r="C132" s="577" t="s">
        <v>1601</v>
      </c>
      <c r="D132" s="577"/>
      <c r="E132" s="577" t="e" cm="1">
        <f t="array" ca="1" aca="1" ref="E132">IFBLANK(_xldudf_CX_GET(CX_ENTITY,fx_attrConverter(C132),val_asOfDate),PL!D132)</f>
        <v>#NAME?</v>
      </c>
      <c r="F132" s="577" t="e">
        <f ca="1" t="shared" si="33" ref="F132:F137">IF($B132&lt;&gt;"",$B132,$E132)</f>
        <v>#NAME?</v>
      </c>
      <c r="G132" s="577" t="s">
        <v>108</v>
      </c>
      <c r="H132" s="3287">
        <v>2</v>
      </c>
      <c r="I132" s="3287">
        <v>1</v>
      </c>
      <c r="J132" s="30"/>
      <c r="K132" s="30"/>
      <c r="L132" s="578">
        <v>-1</v>
      </c>
      <c r="N132" s="158"/>
      <c r="O132" s="101"/>
      <c r="P132" s="52"/>
      <c r="Q132" s="2"/>
      <c r="R132" s="101"/>
      <c r="S132" s="101"/>
      <c r="T132" s="101"/>
      <c r="U132" s="39"/>
      <c r="W132" s="91" t="s">
        <v>103</v>
      </c>
      <c r="X132" s="1007" t="e" vm="4" cm="1">
        <f t="array" ref="X132">fx_getIcon("select")</f>
        <v>#VALUE!</v>
      </c>
      <c r="Y132" s="1127" t="e" cm="1">
        <f t="array" ca="1" aca="1" ref="Y132">IFBLANK(_xldudf_CX_GET(CX_ENTITY,fx_attrConverter(C132),val_asOfDate),PL!D132)</f>
        <v>#NAME?</v>
      </c>
      <c r="Z132" s="878"/>
      <c r="AA132" s="903"/>
      <c r="AB132" s="1135" t="s">
        <v>1099</v>
      </c>
      <c r="AC132" s="128" t="str" cm="1">
        <f t="array" ref="AC132">_xlfn.LET(_xlpm.Def,IF(_xlfn.XMATCH(AB132,tbl_acctDef[Term],0)&gt;0,fx_getIcon("find"),""),_xlpm.Adj,IF(_xlfn.XMATCH(AB132,tbl_adjExample[Items],0)&gt;0,fx_getIcon("find"),""),IFERROR(IFBLANK(_xlpm.Def,_xlpm.Adj),""))</f>
        <v/>
      </c>
      <c r="AD132" s="571" t="str" cm="1">
        <f t="array" ca="1" aca="1" ref="AD132">_xlfn.LET(_xlpm.findRow,_xlfn.XMATCH($W132&amp;$Y132,$W$20:$W$118&amp;$AB$20:$AB$118,0),_xlpm.Choose,_xlfn.CHOOSEROWS($AD$20:$BN$118,_xlpm.findRow),_xlpm.RESULT,IF(ISERROR(_xlpm.findRow),"",_xlpm.Choose),_xlpm.RESULT)</f>
        <v/>
      </c>
      <c r="AE132" s="760"/>
      <c r="AF132" s="760"/>
      <c r="AG132" s="760"/>
      <c r="AH132" s="760"/>
      <c r="AI132" s="760"/>
      <c r="AJ132" s="760"/>
      <c r="AK132" s="760"/>
      <c r="AL132" s="760"/>
      <c r="AM132" s="760"/>
      <c r="AN132" s="760"/>
      <c r="AO132" s="760"/>
      <c r="AP132" s="760"/>
      <c r="AQ132" s="760"/>
      <c r="AR132" s="760"/>
      <c r="AS132" s="760"/>
      <c r="AT132" s="760"/>
      <c r="AU132" s="760"/>
      <c r="AV132" s="760"/>
      <c r="AW132" s="760"/>
      <c r="AX132" s="760"/>
      <c r="AY132" s="760"/>
      <c r="AZ132" s="760"/>
      <c r="BA132" s="760"/>
      <c r="BB132" s="760"/>
      <c r="BC132" s="760"/>
      <c r="BD132" s="760"/>
      <c r="BE132" s="760"/>
      <c r="BF132" s="760"/>
      <c r="BG132" s="760"/>
      <c r="BH132" s="760"/>
      <c r="BI132" s="760"/>
      <c r="BJ132" s="760"/>
      <c r="BK132" s="760"/>
      <c r="BL132" s="760"/>
      <c r="BM132" s="760"/>
      <c r="BN132" s="760"/>
      <c r="BO132" s="2105"/>
      <c r="BP132" s="2105"/>
      <c r="BQ132" s="2105"/>
      <c r="BR132" s="2105"/>
      <c r="BS132" s="2105"/>
      <c r="BT132" s="2105"/>
      <c r="BU132" s="2105"/>
      <c r="BV132" s="2105"/>
      <c r="BW132" s="2105"/>
      <c r="BX132" s="2105"/>
      <c r="BY132" s="2105"/>
      <c r="BZ132" s="2105"/>
      <c r="CA132" s="34"/>
      <c r="CC132" s="50"/>
      <c r="CD132" s="1461" t="e" cm="1">
        <f t="array" ca="1" aca="1" ref="CD132">_xlfn.LET(_xlpm.CheckBlank,SUM(PL!$AD132:$BN132)=0,IF(_xlpm.CheckBlank,"",SUM(_xlfn._xlws.FILTER(PL!$AD132:$BN132,(YEAR(PL!$AD$12:$BN$12)=PL!CD$12)*(array_timeline&lt;=PL!CD$11)))))</f>
        <v>#NAME?</v>
      </c>
      <c r="CE132" s="1461" t="e" cm="1">
        <f t="array" ca="1" aca="1" ref="CE132">_xlfn.LET(_xlpm.CheckBlank,SUM(PL!$AD132:$BN132)=0,IF(_xlpm.CheckBlank,"",SUM(_xlfn._xlws.FILTER(PL!$AD132:$BN132,(YEAR(PL!$AD$12:$BN$12)=PL!CE$12)*(array_timeline&lt;=PL!CE$11)))))</f>
        <v>#NAME?</v>
      </c>
      <c r="CF132" s="88"/>
      <c r="CG132" s="1461" t="e" cm="1">
        <f t="array" ca="1" aca="1" ref="CG132">_xlfn.LET(_xlpm.CheckBlank,SUM(PL!$AD132:$BN132)=0,IF(_xlpm.CheckBlank,"",SUM(_xlfn._xlws.FILTER(PL!$AD132:$BN132,(YEAR(PL!$AD$12:$BN$12)=PL!CG$12)*(array_timeline&lt;=PL!CG$11)))))</f>
        <v>#NAME?</v>
      </c>
      <c r="CH132" s="1461" t="e" cm="1">
        <f t="array" ca="1" aca="1" ref="CH132">_xlfn.LET(_xlpm.CheckBlank,SUM(PL!$AD132:$BN132)=0,IF(_xlpm.CheckBlank,"",SUM(_xlfn._xlws.FILTER(PL!$AD132:$BN132,(YEAR(PL!$AD$12:$BN$12)=PL!CH$12)*(array_timeline&lt;=PL!CH$11)))))</f>
        <v>#NAME?</v>
      </c>
      <c r="CI132" s="88"/>
      <c r="CJ132" s="1461" cm="1">
        <f t="array" ref="CJ132">_xlfn.LET(_xlpm.CheckBlank,SUM(PL!$AD132:$BN132)=0,IF(_xlpm.CheckBlank,"",SUM(_xlfn.TAKE(_xlfn.DROP(PL!$AD132:$BN132,,-DATEDIFF(PL!CJ$11,val_asOfDate,"M")),1,-12))))</f>
        <v>12</v>
      </c>
      <c r="CK132" s="1461" cm="1">
        <f t="array" ref="CK132">_xlfn.LET(_xlpm.CheckBlank,SUM(PL!$AD132:$BN132)=0,IF(_xlpm.CheckBlank,"",SUM(_xlfn.TAKE(_xlfn.DROP(PL!$AD132:$BN132,,-DATEDIFF(PL!CK$11,val_asOfDate,"M")),1,-12))))</f>
        <v>12</v>
      </c>
      <c r="CL132" s="1204"/>
      <c r="CM132" s="1142" t="str" cm="1">
        <f t="array" ca="1" aca="1" ref="CM132">_xlfn.LET(_xlpm.findRow,_xlfn.XMATCH($W132&amp;$Y132,$W$20:$W$118&amp;$AB$20:$AB$118,0),_xlpm.Choose,_xlfn.CHOOSEROWS($CM$20:$CN$118,_xlpm.findRow),_xlpm.RESULT,IF(ISERROR(_xlpm.findRow),"",_xlpm.Choose),_xlpm.RESULT)</f>
        <v/>
      </c>
      <c r="CN132" s="1142"/>
      <c r="CO132" s="88"/>
      <c r="CP132" s="1142" t="str" cm="1">
        <f t="array" ca="1" aca="1" ref="CP132">_xlfn.LET(_xlpm.findRow,_xlfn.XMATCH($W132&amp;$Y132,$W$20:$W$118&amp;$AB$20:$AB$118,0),_xlpm.Choose,_xlfn.CHOOSEROWS($CP$20:$CQ$118,_xlpm.findRow),_xlpm.RESULT,IF(ISERROR(_xlpm.findRow),"",_xlpm.Choose),_xlpm.RESULT)</f>
        <v/>
      </c>
      <c r="CQ132" s="1142"/>
      <c r="CR132" s="34"/>
    </row>
    <row r="133" spans="1:96" ht="21" customHeight="1" outlineLevel="1">
      <c r="A133" s="1322"/>
      <c r="B133" s="577" t="s">
        <v>1602</v>
      </c>
      <c r="C133" s="577"/>
      <c r="D133" s="577"/>
      <c r="E133" s="577" t="str" cm="1">
        <f t="array" ca="1" aca="1" ref="E133">_xlfn.LET(_xlpm.Attr,$C133,_xlpm.Lookback,$E$16,_xlpm.QueryDate,EOMONTH(val_asOfDate,_xlpm.Lookback),_xlpm.ReadField,_xldudf_CX_GET(CX_ENTITY,fx_attrConverter($C133),_xlpm.QueryDate),_xlpm.AttrBlank,_xlpm.Attr="",_xlpm.RESULT,IF(_xlpm.AttrBlank,val_blankRefText,fx_attrConverter(_xlpm.ReadField,0)),IF(_xlpm.RESULT="Error","",_xlpm.RESULT))</f>
        <v/>
      </c>
      <c r="F133" s="577" t="str">
        <f t="shared" si="33"/>
        <v>o/w Inorganic Revenue</v>
      </c>
      <c r="G133" s="577" t="s">
        <v>108</v>
      </c>
      <c r="H133" s="3282">
        <v>1</v>
      </c>
      <c r="I133" s="3282">
        <v>1</v>
      </c>
      <c r="J133" s="30"/>
      <c r="K133" s="30"/>
      <c r="L133" s="3269" t="b">
        <v>1</v>
      </c>
      <c r="N133" s="158"/>
      <c r="O133" s="101"/>
      <c r="P133" s="52"/>
      <c r="Q133" s="2"/>
      <c r="R133" s="101"/>
      <c r="S133" s="101"/>
      <c r="T133" s="101"/>
      <c r="U133" s="39"/>
      <c r="W133" s="91" t="s">
        <v>103</v>
      </c>
      <c r="X133" s="3289">
        <v>1</v>
      </c>
      <c r="Y133" s="509" t="s">
        <v>614</v>
      </c>
      <c r="Z133" s="3291" cm="1">
        <f t="array" ref="Z133">_xlfn.SWITCH(TRUE,ISBLANK(_PL!$L133),"",_PL!$L133=TRUE,1,_PL!$L133=FALSE,-1,_PL!$L133=-1,0,"n/a")</f>
        <v>1</v>
      </c>
      <c r="AA133" s="97"/>
      <c r="AB133" s="301" t="s">
        <v>614</v>
      </c>
      <c r="AC133" s="877" t="e" vm="5" cm="1">
        <f t="array" ref="AC133">_xlfn.LET(_xlpm.Def,IF(_xlfn.XMATCH(AB133,tbl_acctDef[Term],0)&gt;0,fx_getIcon("find"),""),_xlpm.Adj,IF(_xlfn.XMATCH(AB133,tbl_adjExample[Items],0)&gt;0,fx_getIcon("find"),""),IFERROR(IFBLANK(_xlpm.Def,_xlpm.Adj),""))</f>
        <v>#VALUE!</v>
      </c>
      <c r="AD133" s="1986" t="e" cm="1">
        <f t="array" ca="1" aca="1" ref="AD133">_xlfn.LET(_xlpm.val,IF($F133="",val_blankRefText,_xldudf_CX_GET(CX_ENTITY,$F133,AD$11,AD$14,,(AD$131))),_xlpm.Res,IF(OR(_xlpm.val="",_xlpm.val="Error"),"",_xlpm.val),_xlpm.Res)</f>
        <v>#NAME?</v>
      </c>
      <c r="AE133" s="1986" t="e" cm="1">
        <f t="array" ca="1" aca="1" ref="AE133">_xlfn.LET(_xlpm.val,IF($F133="",val_blankRefText,_xldudf_CX_GET(CX_ENTITY,$F133,AE$11,AE$14,,(AE$131))),_xlpm.Res,IF(OR(_xlpm.val="",_xlpm.val="Error"),"",_xlpm.val),_xlpm.Res)</f>
        <v>#NAME?</v>
      </c>
      <c r="AF133" s="1986" t="e" cm="1">
        <f t="array" ca="1" aca="1" ref="AF133">_xlfn.LET(_xlpm.val,IF($F133="",val_blankRefText,_xldudf_CX_GET(CX_ENTITY,$F133,AF$11,AF$14,,(AF$131))),_xlpm.Res,IF(OR(_xlpm.val="",_xlpm.val="Error"),"",_xlpm.val),_xlpm.Res)</f>
        <v>#NAME?</v>
      </c>
      <c r="AG133" s="1986" t="e" cm="1">
        <f t="array" ca="1" aca="1" ref="AG133">_xlfn.LET(_xlpm.val,IF($F133="",val_blankRefText,_xldudf_CX_GET(CX_ENTITY,$F133,AG$11,AG$14,,(AG$131))),_xlpm.Res,IF(OR(_xlpm.val="",_xlpm.val="Error"),"",_xlpm.val),_xlpm.Res)</f>
        <v>#NAME?</v>
      </c>
      <c r="AH133" s="1986" t="e" cm="1">
        <f t="array" ca="1" aca="1" ref="AH133">_xlfn.LET(_xlpm.val,IF($F133="",val_blankRefText,_xldudf_CX_GET(CX_ENTITY,$F133,AH$11,AH$14,,(AH$131))),_xlpm.Res,IF(OR(_xlpm.val="",_xlpm.val="Error"),"",_xlpm.val),_xlpm.Res)</f>
        <v>#NAME?</v>
      </c>
      <c r="AI133" s="1986" t="e" cm="1">
        <f t="array" ca="1" aca="1" ref="AI133">_xlfn.LET(_xlpm.val,IF($F133="",val_blankRefText,_xldudf_CX_GET(CX_ENTITY,$F133,AI$11,AI$14,,(AI$131))),_xlpm.Res,IF(OR(_xlpm.val="",_xlpm.val="Error"),"",_xlpm.val),_xlpm.Res)</f>
        <v>#NAME?</v>
      </c>
      <c r="AJ133" s="1986" t="e" cm="1">
        <f t="array" ca="1" aca="1" ref="AJ133">_xlfn.LET(_xlpm.val,IF($F133="",val_blankRefText,_xldudf_CX_GET(CX_ENTITY,$F133,AJ$11,AJ$14,,(AJ$131))),_xlpm.Res,IF(OR(_xlpm.val="",_xlpm.val="Error"),"",_xlpm.val),_xlpm.Res)</f>
        <v>#NAME?</v>
      </c>
      <c r="AK133" s="1986" t="e" cm="1">
        <f t="array" ca="1" aca="1" ref="AK133">_xlfn.LET(_xlpm.val,IF($F133="",val_blankRefText,_xldudf_CX_GET(CX_ENTITY,$F133,AK$11,AK$14,,(AK$131))),_xlpm.Res,IF(OR(_xlpm.val="",_xlpm.val="Error"),"",_xlpm.val),_xlpm.Res)</f>
        <v>#NAME?</v>
      </c>
      <c r="AL133" s="1986" t="e" cm="1">
        <f t="array" ca="1" aca="1" ref="AL133">_xlfn.LET(_xlpm.val,IF($F133="",val_blankRefText,_xldudf_CX_GET(CX_ENTITY,$F133,AL$11,AL$14,,(AL$131))),_xlpm.Res,IF(OR(_xlpm.val="",_xlpm.val="Error"),"",_xlpm.val),_xlpm.Res)</f>
        <v>#NAME?</v>
      </c>
      <c r="AM133" s="1986" t="e" cm="1">
        <f t="array" ca="1" aca="1" ref="AM133">_xlfn.LET(_xlpm.val,IF($F133="",val_blankRefText,_xldudf_CX_GET(CX_ENTITY,$F133,AM$11,AM$14,,(AM$131))),_xlpm.Res,IF(OR(_xlpm.val="",_xlpm.val="Error"),"",_xlpm.val),_xlpm.Res)</f>
        <v>#NAME?</v>
      </c>
      <c r="AN133" s="1986" t="e" cm="1">
        <f t="array" ca="1" aca="1" ref="AN133">_xlfn.LET(_xlpm.val,IF($F133="",val_blankRefText,_xldudf_CX_GET(CX_ENTITY,$F133,AN$11,AN$14,,(AN$131))),_xlpm.Res,IF(OR(_xlpm.val="",_xlpm.val="Error"),"",_xlpm.val),_xlpm.Res)</f>
        <v>#NAME?</v>
      </c>
      <c r="AO133" s="1986" t="e" cm="1">
        <f t="array" ca="1" aca="1" ref="AO133">_xlfn.LET(_xlpm.val,IF($F133="",val_blankRefText,_xldudf_CX_GET(CX_ENTITY,$F133,AO$11,AO$14,,(AO$131))),_xlpm.Res,IF(OR(_xlpm.val="",_xlpm.val="Error"),"",_xlpm.val),_xlpm.Res)</f>
        <v>#NAME?</v>
      </c>
      <c r="AP133" s="1986" t="e" cm="1">
        <f t="array" ca="1" aca="1" ref="AP133">_xlfn.LET(_xlpm.val,IF($F133="",val_blankRefText,_xldudf_CX_GET(CX_ENTITY,$F133,AP$11,AP$14,,(AP$131))),_xlpm.Res,IF(OR(_xlpm.val="",_xlpm.val="Error"),"",_xlpm.val),_xlpm.Res)</f>
        <v>#NAME?</v>
      </c>
      <c r="AQ133" s="1986" t="e" cm="1">
        <f t="array" ca="1" aca="1" ref="AQ133">_xlfn.LET(_xlpm.val,IF($F133="",val_blankRefText,_xldudf_CX_GET(CX_ENTITY,$F133,AQ$11,AQ$14,,(AQ$131))),_xlpm.Res,IF(OR(_xlpm.val="",_xlpm.val="Error"),"",_xlpm.val),_xlpm.Res)</f>
        <v>#NAME?</v>
      </c>
      <c r="AR133" s="1986" t="e" cm="1">
        <f t="array" ca="1" aca="1" ref="AR133">_xlfn.LET(_xlpm.val,IF($F133="",val_blankRefText,_xldudf_CX_GET(CX_ENTITY,$F133,AR$11,AR$14,,(AR$131))),_xlpm.Res,IF(OR(_xlpm.val="",_xlpm.val="Error"),"",_xlpm.val),_xlpm.Res)</f>
        <v>#NAME?</v>
      </c>
      <c r="AS133" s="1986" t="e" cm="1">
        <f t="array" ca="1" aca="1" ref="AS133">_xlfn.LET(_xlpm.val,IF($F133="",val_blankRefText,_xldudf_CX_GET(CX_ENTITY,$F133,AS$11,AS$14,,(AS$131))),_xlpm.Res,IF(OR(_xlpm.val="",_xlpm.val="Error"),"",_xlpm.val),_xlpm.Res)</f>
        <v>#NAME?</v>
      </c>
      <c r="AT133" s="1986" t="e" cm="1">
        <f t="array" ca="1" aca="1" ref="AT133">_xlfn.LET(_xlpm.val,IF($F133="",val_blankRefText,_xldudf_CX_GET(CX_ENTITY,$F133,AT$11,AT$14,,(AT$131))),_xlpm.Res,IF(OR(_xlpm.val="",_xlpm.val="Error"),"",_xlpm.val),_xlpm.Res)</f>
        <v>#NAME?</v>
      </c>
      <c r="AU133" s="1986" t="e" cm="1">
        <f t="array" ca="1" aca="1" ref="AU133">_xlfn.LET(_xlpm.val,IF($F133="",val_blankRefText,_xldudf_CX_GET(CX_ENTITY,$F133,AU$11,AU$14,,(AU$131))),_xlpm.Res,IF(OR(_xlpm.val="",_xlpm.val="Error"),"",_xlpm.val),_xlpm.Res)</f>
        <v>#NAME?</v>
      </c>
      <c r="AV133" s="1986" t="e" cm="1">
        <f t="array" ca="1" aca="1" ref="AV133">_xlfn.LET(_xlpm.val,IF($F133="",val_blankRefText,_xldudf_CX_GET(CX_ENTITY,$F133,AV$11,AV$14,,(AV$131))),_xlpm.Res,IF(OR(_xlpm.val="",_xlpm.val="Error"),"",_xlpm.val),_xlpm.Res)</f>
        <v>#NAME?</v>
      </c>
      <c r="AW133" s="1986" t="e" cm="1">
        <f t="array" ca="1" aca="1" ref="AW133">_xlfn.LET(_xlpm.val,IF($F133="",val_blankRefText,_xldudf_CX_GET(CX_ENTITY,$F133,AW$11,AW$14,,(AW$131))),_xlpm.Res,IF(OR(_xlpm.val="",_xlpm.val="Error"),"",_xlpm.val),_xlpm.Res)</f>
        <v>#NAME?</v>
      </c>
      <c r="AX133" s="1986" t="e" cm="1">
        <f t="array" ca="1" aca="1" ref="AX133">_xlfn.LET(_xlpm.val,IF($F133="",val_blankRefText,_xldudf_CX_GET(CX_ENTITY,$F133,AX$11,AX$14,,(AX$131))),_xlpm.Res,IF(OR(_xlpm.val="",_xlpm.val="Error"),"",_xlpm.val),_xlpm.Res)</f>
        <v>#NAME?</v>
      </c>
      <c r="AY133" s="1986" t="e" cm="1">
        <f t="array" ca="1" aca="1" ref="AY133">_xlfn.LET(_xlpm.val,IF($F133="",val_blankRefText,_xldudf_CX_GET(CX_ENTITY,$F133,AY$11,AY$14,,(AY$131))),_xlpm.Res,IF(OR(_xlpm.val="",_xlpm.val="Error"),"",_xlpm.val),_xlpm.Res)</f>
        <v>#NAME?</v>
      </c>
      <c r="AZ133" s="1986" t="e" cm="1">
        <f t="array" ca="1" aca="1" ref="AZ133">_xlfn.LET(_xlpm.val,IF($F133="",val_blankRefText,_xldudf_CX_GET(CX_ENTITY,$F133,AZ$11,AZ$14,,(AZ$131))),_xlpm.Res,IF(OR(_xlpm.val="",_xlpm.val="Error"),"",_xlpm.val),_xlpm.Res)</f>
        <v>#NAME?</v>
      </c>
      <c r="BA133" s="1986" t="e" cm="1">
        <f t="array" ca="1" aca="1" ref="BA133">_xlfn.LET(_xlpm.val,IF($F133="",val_blankRefText,_xldudf_CX_GET(CX_ENTITY,$F133,BA$11,BA$14,,(BA$131))),_xlpm.Res,IF(OR(_xlpm.val="",_xlpm.val="Error"),"",_xlpm.val),_xlpm.Res)</f>
        <v>#NAME?</v>
      </c>
      <c r="BB133" s="1986" t="e" cm="1">
        <f t="array" ca="1" aca="1" ref="BB133">_xlfn.LET(_xlpm.val,IF($F133="",val_blankRefText,_xldudf_CX_GET(CX_ENTITY,$F133,BB$11,BB$14,,(BB$131))),_xlpm.Res,IF(OR(_xlpm.val="",_xlpm.val="Error"),"",_xlpm.val),_xlpm.Res)</f>
        <v>#NAME?</v>
      </c>
      <c r="BC133" s="1986" t="e" cm="1">
        <f t="array" ca="1" aca="1" ref="BC133">_xlfn.LET(_xlpm.val,IF($F133="",val_blankRefText,_xldudf_CX_GET(CX_ENTITY,$F133,BC$11,BC$14,,(BC$131))),_xlpm.Res,IF(OR(_xlpm.val="",_xlpm.val="Error"),"",_xlpm.val),_xlpm.Res)</f>
        <v>#NAME?</v>
      </c>
      <c r="BD133" s="1986" t="e" cm="1">
        <f t="array" ca="1" aca="1" ref="BD133">_xlfn.LET(_xlpm.val,IF($F133="",val_blankRefText,_xldudf_CX_GET(CX_ENTITY,$F133,BD$11,BD$14,,(BD$131))),_xlpm.Res,IF(OR(_xlpm.val="",_xlpm.val="Error"),"",_xlpm.val),_xlpm.Res)</f>
        <v>#NAME?</v>
      </c>
      <c r="BE133" s="1986" t="e" cm="1">
        <f t="array" ca="1" aca="1" ref="BE133">_xlfn.LET(_xlpm.val,IF($F133="",val_blankRefText,_xldudf_CX_GET(CX_ENTITY,$F133,BE$11,BE$14,,(BE$131))),_xlpm.Res,IF(OR(_xlpm.val="",_xlpm.val="Error"),"",_xlpm.val),_xlpm.Res)</f>
        <v>#NAME?</v>
      </c>
      <c r="BF133" s="1986" t="e" cm="1">
        <f t="array" ca="1" aca="1" ref="BF133">_xlfn.LET(_xlpm.val,IF($F133="",val_blankRefText,_xldudf_CX_GET(CX_ENTITY,$F133,BF$11,BF$14,,(BF$131))),_xlpm.Res,IF(OR(_xlpm.val="",_xlpm.val="Error"),"",_xlpm.val),_xlpm.Res)</f>
        <v>#NAME?</v>
      </c>
      <c r="BG133" s="1986" t="e" cm="1">
        <f t="array" ca="1" aca="1" ref="BG133">_xlfn.LET(_xlpm.val,IF($F133="",val_blankRefText,_xldudf_CX_GET(CX_ENTITY,$F133,BG$11,BG$14,,(BG$131))),_xlpm.Res,IF(OR(_xlpm.val="",_xlpm.val="Error"),"",_xlpm.val),_xlpm.Res)</f>
        <v>#NAME?</v>
      </c>
      <c r="BH133" s="1986" t="e" cm="1">
        <f t="array" ca="1" aca="1" ref="BH133">_xlfn.LET(_xlpm.val,IF($F133="",val_blankRefText,_xldudf_CX_GET(CX_ENTITY,$F133,BH$11,BH$14,,(BH$131))),_xlpm.Res,IF(OR(_xlpm.val="",_xlpm.val="Error"),"",_xlpm.val),_xlpm.Res)</f>
        <v>#NAME?</v>
      </c>
      <c r="BI133" s="1986" t="e" cm="1">
        <f t="array" ca="1" aca="1" ref="BI133">_xlfn.LET(_xlpm.val,IF($F133="",val_blankRefText,_xldudf_CX_GET(CX_ENTITY,$F133,BI$11,BI$14,,(BI$131))),_xlpm.Res,IF(OR(_xlpm.val="",_xlpm.val="Error"),"",_xlpm.val),_xlpm.Res)</f>
        <v>#NAME?</v>
      </c>
      <c r="BJ133" s="1986" t="e" cm="1">
        <f t="array" ca="1" aca="1" ref="BJ133">_xlfn.LET(_xlpm.val,IF($F133="",val_blankRefText,_xldudf_CX_GET(CX_ENTITY,$F133,BJ$11,BJ$14,,(BJ$131))),_xlpm.Res,IF(OR(_xlpm.val="",_xlpm.val="Error"),"",_xlpm.val),_xlpm.Res)</f>
        <v>#NAME?</v>
      </c>
      <c r="BK133" s="1986" t="e" cm="1">
        <f t="array" ca="1" aca="1" ref="BK133">_xlfn.LET(_xlpm.val,IF($F133="",val_blankRefText,_xldudf_CX_GET(CX_ENTITY,$F133,BK$11,BK$14,,(BK$131))),_xlpm.Res,IF(OR(_xlpm.val="",_xlpm.val="Error"),"",_xlpm.val),_xlpm.Res)</f>
        <v>#NAME?</v>
      </c>
      <c r="BL133" s="1986" t="e" cm="1">
        <f t="array" ca="1" aca="1" ref="BL133">_xlfn.LET(_xlpm.val,IF($F133="",val_blankRefText,_xldudf_CX_GET(CX_ENTITY,$F133,BL$11,BL$14,,(BL$131))),_xlpm.Res,IF(OR(_xlpm.val="",_xlpm.val="Error"),"",_xlpm.val),_xlpm.Res)</f>
        <v>#NAME?</v>
      </c>
      <c r="BM133" s="1986" t="e" cm="1">
        <f t="array" ca="1" aca="1" ref="BM133">_xlfn.LET(_xlpm.val,IF($F133="",val_blankRefText,_xldudf_CX_GET(CX_ENTITY,$F133,BM$11,BM$14,,(BM$131))),_xlpm.Res,IF(OR(_xlpm.val="",_xlpm.val="Error"),"",_xlpm.val),_xlpm.Res)</f>
        <v>#NAME?</v>
      </c>
      <c r="BN133" s="1986" t="e" cm="1">
        <f t="array" ca="1" aca="1" ref="BN133">_xlfn.LET(_xlpm.val,IF($F133="",val_blankRefText,_xldudf_CX_GET(CX_ENTITY,$F133,BN$11,BN$14,,(BN$131))),_xlpm.Res,IF(OR(_xlpm.val="",_xlpm.val="Error"),"",_xlpm.val),_xlpm.Res)</f>
        <v>#NAME?</v>
      </c>
      <c r="BO133" s="2103"/>
      <c r="BP133" s="2103"/>
      <c r="BQ133" s="2103"/>
      <c r="BR133" s="2103"/>
      <c r="BS133" s="2103"/>
      <c r="BT133" s="2103"/>
      <c r="BU133" s="2103"/>
      <c r="BV133" s="2103"/>
      <c r="BW133" s="2103"/>
      <c r="BX133" s="2103"/>
      <c r="BY133" s="2103"/>
      <c r="BZ133" s="2103"/>
      <c r="CA133" s="34"/>
      <c r="CC133" s="50"/>
      <c r="CD133" s="1461" t="e" cm="1">
        <f t="array" ca="1" aca="1" ref="CD133">_xlfn.LET(_xlpm.CheckBlank,SUM(PL!$AD133:$BN133)=0,IF(_xlpm.CheckBlank,"",SUM(_xlfn._xlws.FILTER(PL!$AD133:$BN133,(YEAR(PL!$AD$12:$BN$12)=PL!CD$12)*(array_timeline&lt;=PL!CD$11)))))</f>
        <v>#NAME?</v>
      </c>
      <c r="CE133" s="1461" t="e" cm="1">
        <f t="array" ca="1" aca="1" ref="CE133">_xlfn.LET(_xlpm.CheckBlank,SUM(PL!$AD133:$BN133)=0,IF(_xlpm.CheckBlank,"",SUM(_xlfn._xlws.FILTER(PL!$AD133:$BN133,(YEAR(PL!$AD$12:$BN$12)=PL!CE$12)*(array_timeline&lt;=PL!CE$11)))))</f>
        <v>#NAME?</v>
      </c>
      <c r="CF133" s="88"/>
      <c r="CG133" s="1461" t="e" cm="1">
        <f t="array" ca="1" aca="1" ref="CG133">_xlfn.LET(_xlpm.CheckBlank,SUM(PL!$AD133:$BN133)=0,IF(_xlpm.CheckBlank,"",SUM(_xlfn._xlws.FILTER(PL!$AD133:$BN133,(YEAR(PL!$AD$12:$BN$12)=PL!CG$12)*(array_timeline&lt;=PL!CG$11)))))</f>
        <v>#NAME?</v>
      </c>
      <c r="CH133" s="1461" t="e" cm="1">
        <f t="array" ca="1" aca="1" ref="CH133">_xlfn.LET(_xlpm.CheckBlank,SUM(PL!$AD133:$BN133)=0,IF(_xlpm.CheckBlank,"",SUM(_xlfn._xlws.FILTER(PL!$AD133:$BN133,(YEAR(PL!$AD$12:$BN$12)=PL!CH$12)*(array_timeline&lt;=PL!CH$11)))))</f>
        <v>#NAME?</v>
      </c>
      <c r="CI133" s="88"/>
      <c r="CJ133" s="1461" cm="1">
        <f t="array" ref="CJ133">_xlfn.LET(_xlpm.CheckBlank,SUM(PL!$AD133:$BN133)=0,IF(_xlpm.CheckBlank,"",SUM(_xlfn.TAKE(_xlfn.DROP(PL!$AD133:$BN133,,-DATEDIFF(PL!CJ$11,val_asOfDate,"M")),1,-12))))</f>
        <v>12</v>
      </c>
      <c r="CK133" s="1461" cm="1">
        <f t="array" ref="CK133">_xlfn.LET(_xlpm.CheckBlank,SUM(PL!$AD133:$BN133)=0,IF(_xlpm.CheckBlank,"",SUM(_xlfn.TAKE(_xlfn.DROP(PL!$AD133:$BN133,,-DATEDIFF(PL!CK$11,val_asOfDate,"M")),1,-12))))</f>
        <v>12</v>
      </c>
      <c r="CL133" s="88"/>
      <c r="CM133" s="1986" t="e" cm="1">
        <f t="array" ca="1" aca="1" ref="CM133">_xlfn.LET(_xlpm.val,IF($F133="",val_blankRefText,_xldudf_CX_GET(CX_ENTITY,$F133,CM$11,CM$14,,(CM$131))),_xlpm.Res,IF(OR(_xlpm.val="",_xlpm.val="Error"),"",_xlpm.val),_xlpm.Res)</f>
        <v>#NAME?</v>
      </c>
      <c r="CN133" s="1986" t="e" cm="1">
        <f t="array" ca="1" aca="1" ref="CN133">_xlfn.LET(_xlpm.val,IF($F133="",val_blankRefText,_xldudf_CX_GET(CX_ENTITY,$F133,CN$11,CN$14,,(CN$131))),_xlpm.Res,IF(OR(_xlpm.val="",_xlpm.val="Error"),"",_xlpm.val),_xlpm.Res)</f>
        <v>#NAME?</v>
      </c>
      <c r="CO133" s="1169"/>
      <c r="CP133" s="1986" t="e" cm="1">
        <f t="array" ca="1" aca="1" ref="CP133">_xlfn.LET(_xlpm.val,IF($F133="",val_blankRefText,_xldudf_CX_GET(CX_ENTITY,$F133,CP$11,CP$14,,(CP$131))),_xlpm.Res,IF(OR(_xlpm.val="",_xlpm.val="Error"),"",_xlpm.val),_xlpm.Res)</f>
        <v>#NAME?</v>
      </c>
      <c r="CQ133" s="1986" t="e" cm="1">
        <f t="array" ca="1" aca="1" ref="CQ133">_xlfn.LET(_xlpm.val,IF($F133="",val_blankRefText,_xldudf_CX_GET(CX_ENTITY,$F133,CQ$11,CQ$14,,(CQ$131))),_xlpm.Res,IF(OR(_xlpm.val="",_xlpm.val="Error"),"",_xlpm.val),_xlpm.Res)</f>
        <v>#NAME?</v>
      </c>
      <c r="CR133" s="34"/>
    </row>
    <row r="134" spans="1:96" ht="21" customHeight="1" outlineLevel="1">
      <c r="A134" s="1322"/>
      <c r="B134" s="577" t="s">
        <v>1603</v>
      </c>
      <c r="C134" s="577"/>
      <c r="D134" s="577"/>
      <c r="E134" s="577" t="str" cm="1">
        <f t="array" ca="1" aca="1" ref="E134">_xlfn.LET(_xlpm.Attr,$C134,_xlpm.Lookback,$E$16,_xlpm.QueryDate,EOMONTH(val_asOfDate,_xlpm.Lookback),_xlpm.ReadField,_xldudf_CX_GET(CX_ENTITY,fx_attrConverter($C134),_xlpm.QueryDate),_xlpm.AttrBlank,_xlpm.Attr="",_xlpm.RESULT,IF(_xlpm.AttrBlank,val_blankRefText,fx_attrConverter(_xlpm.ReadField,0)),IF(_xlpm.RESULT="Error","",_xlpm.RESULT))</f>
        <v/>
      </c>
      <c r="F134" s="577" t="str">
        <f t="shared" si="33"/>
        <v>o/w Organic Revenue</v>
      </c>
      <c r="G134" s="577" t="s">
        <v>108</v>
      </c>
      <c r="H134" s="3282">
        <v>1</v>
      </c>
      <c r="I134" s="3282">
        <v>1</v>
      </c>
      <c r="J134" s="30"/>
      <c r="K134" s="30"/>
      <c r="L134" s="3269" t="b">
        <v>1</v>
      </c>
      <c r="N134" s="158"/>
      <c r="O134" s="101"/>
      <c r="P134" s="52"/>
      <c r="Q134" s="2"/>
      <c r="R134" s="101"/>
      <c r="S134" s="101"/>
      <c r="T134" s="101"/>
      <c r="U134" s="39"/>
      <c r="W134" s="91" t="s">
        <v>103</v>
      </c>
      <c r="X134" s="3289">
        <v>1</v>
      </c>
      <c r="Y134" s="509" t="s">
        <v>617</v>
      </c>
      <c r="Z134" s="3291" cm="1">
        <f t="array" ref="Z134">_xlfn.SWITCH(TRUE,ISBLANK(_PL!$L134),"",_PL!$L134=TRUE,1,_PL!$L134=FALSE,-1,_PL!$L134=-1,0,"n/a")</f>
        <v>1</v>
      </c>
      <c r="AA134" s="97"/>
      <c r="AB134" s="33" t="s">
        <v>617</v>
      </c>
      <c r="AC134" s="200" t="e" vm="5" cm="1">
        <f t="array" ref="AC134">_xlfn.LET(_xlpm.Def,IF(_xlfn.XMATCH(AB134,tbl_acctDef[Term],0)&gt;0,fx_getIcon("find"),""),_xlpm.Adj,IF(_xlfn.XMATCH(AB134,tbl_adjExample[Items],0)&gt;0,fx_getIcon("find"),""),IFERROR(IFBLANK(_xlpm.Def,_xlpm.Adj),""))</f>
        <v>#VALUE!</v>
      </c>
      <c r="AD134" s="1986" t="e" cm="1">
        <f t="array" ca="1" aca="1" ref="AD134">_xlfn.LET(_xlpm.val,IF($F134="",val_blankRefText,_xldudf_CX_GET(CX_ENTITY,$F134,AD$11,AD$14,,(AD$131))),_xlpm.Res,IF(OR(_xlpm.val="",_xlpm.val="Error"),"",_xlpm.val),_xlpm.Res)</f>
        <v>#NAME?</v>
      </c>
      <c r="AE134" s="1986" t="e" cm="1">
        <f t="array" ca="1" aca="1" ref="AE134">_xlfn.LET(_xlpm.val,IF($F134="",val_blankRefText,_xldudf_CX_GET(CX_ENTITY,$F134,AE$11,AE$14,,(AE$131))),_xlpm.Res,IF(OR(_xlpm.val="",_xlpm.val="Error"),"",_xlpm.val),_xlpm.Res)</f>
        <v>#NAME?</v>
      </c>
      <c r="AF134" s="1986" t="e" cm="1">
        <f t="array" ca="1" aca="1" ref="AF134">_xlfn.LET(_xlpm.val,IF($F134="",val_blankRefText,_xldudf_CX_GET(CX_ENTITY,$F134,AF$11,AF$14,,(AF$131))),_xlpm.Res,IF(OR(_xlpm.val="",_xlpm.val="Error"),"",_xlpm.val),_xlpm.Res)</f>
        <v>#NAME?</v>
      </c>
      <c r="AG134" s="1986" t="e" cm="1">
        <f t="array" ca="1" aca="1" ref="AG134">_xlfn.LET(_xlpm.val,IF($F134="",val_blankRefText,_xldudf_CX_GET(CX_ENTITY,$F134,AG$11,AG$14,,(AG$131))),_xlpm.Res,IF(OR(_xlpm.val="",_xlpm.val="Error"),"",_xlpm.val),_xlpm.Res)</f>
        <v>#NAME?</v>
      </c>
      <c r="AH134" s="1986" t="e" cm="1">
        <f t="array" ca="1" aca="1" ref="AH134">_xlfn.LET(_xlpm.val,IF($F134="",val_blankRefText,_xldudf_CX_GET(CX_ENTITY,$F134,AH$11,AH$14,,(AH$131))),_xlpm.Res,IF(OR(_xlpm.val="",_xlpm.val="Error"),"",_xlpm.val),_xlpm.Res)</f>
        <v>#NAME?</v>
      </c>
      <c r="AI134" s="1986" t="e" cm="1">
        <f t="array" ca="1" aca="1" ref="AI134">_xlfn.LET(_xlpm.val,IF($F134="",val_blankRefText,_xldudf_CX_GET(CX_ENTITY,$F134,AI$11,AI$14,,(AI$131))),_xlpm.Res,IF(OR(_xlpm.val="",_xlpm.val="Error"),"",_xlpm.val),_xlpm.Res)</f>
        <v>#NAME?</v>
      </c>
      <c r="AJ134" s="1986" t="e" cm="1">
        <f t="array" ca="1" aca="1" ref="AJ134">_xlfn.LET(_xlpm.val,IF($F134="",val_blankRefText,_xldudf_CX_GET(CX_ENTITY,$F134,AJ$11,AJ$14,,(AJ$131))),_xlpm.Res,IF(OR(_xlpm.val="",_xlpm.val="Error"),"",_xlpm.val),_xlpm.Res)</f>
        <v>#NAME?</v>
      </c>
      <c r="AK134" s="1986" t="e" cm="1">
        <f t="array" ca="1" aca="1" ref="AK134">_xlfn.LET(_xlpm.val,IF($F134="",val_blankRefText,_xldudf_CX_GET(CX_ENTITY,$F134,AK$11,AK$14,,(AK$131))),_xlpm.Res,IF(OR(_xlpm.val="",_xlpm.val="Error"),"",_xlpm.val),_xlpm.Res)</f>
        <v>#NAME?</v>
      </c>
      <c r="AL134" s="1986" t="e" cm="1">
        <f t="array" ca="1" aca="1" ref="AL134">_xlfn.LET(_xlpm.val,IF($F134="",val_blankRefText,_xldudf_CX_GET(CX_ENTITY,$F134,AL$11,AL$14,,(AL$131))),_xlpm.Res,IF(OR(_xlpm.val="",_xlpm.val="Error"),"",_xlpm.val),_xlpm.Res)</f>
        <v>#NAME?</v>
      </c>
      <c r="AM134" s="1986" t="e" cm="1">
        <f t="array" ca="1" aca="1" ref="AM134">_xlfn.LET(_xlpm.val,IF($F134="",val_blankRefText,_xldudf_CX_GET(CX_ENTITY,$F134,AM$11,AM$14,,(AM$131))),_xlpm.Res,IF(OR(_xlpm.val="",_xlpm.val="Error"),"",_xlpm.val),_xlpm.Res)</f>
        <v>#NAME?</v>
      </c>
      <c r="AN134" s="1986" t="e" cm="1">
        <f t="array" ca="1" aca="1" ref="AN134">_xlfn.LET(_xlpm.val,IF($F134="",val_blankRefText,_xldudf_CX_GET(CX_ENTITY,$F134,AN$11,AN$14,,(AN$131))),_xlpm.Res,IF(OR(_xlpm.val="",_xlpm.val="Error"),"",_xlpm.val),_xlpm.Res)</f>
        <v>#NAME?</v>
      </c>
      <c r="AO134" s="1986" t="e" cm="1">
        <f t="array" ca="1" aca="1" ref="AO134">_xlfn.LET(_xlpm.val,IF($F134="",val_blankRefText,_xldudf_CX_GET(CX_ENTITY,$F134,AO$11,AO$14,,(AO$131))),_xlpm.Res,IF(OR(_xlpm.val="",_xlpm.val="Error"),"",_xlpm.val),_xlpm.Res)</f>
        <v>#NAME?</v>
      </c>
      <c r="AP134" s="1986" t="e" cm="1">
        <f t="array" ca="1" aca="1" ref="AP134">_xlfn.LET(_xlpm.val,IF($F134="",val_blankRefText,_xldudf_CX_GET(CX_ENTITY,$F134,AP$11,AP$14,,(AP$131))),_xlpm.Res,IF(OR(_xlpm.val="",_xlpm.val="Error"),"",_xlpm.val),_xlpm.Res)</f>
        <v>#NAME?</v>
      </c>
      <c r="AQ134" s="1986" t="e" cm="1">
        <f t="array" ca="1" aca="1" ref="AQ134">_xlfn.LET(_xlpm.val,IF($F134="",val_blankRefText,_xldudf_CX_GET(CX_ENTITY,$F134,AQ$11,AQ$14,,(AQ$131))),_xlpm.Res,IF(OR(_xlpm.val="",_xlpm.val="Error"),"",_xlpm.val),_xlpm.Res)</f>
        <v>#NAME?</v>
      </c>
      <c r="AR134" s="1986" t="e" cm="1">
        <f t="array" ca="1" aca="1" ref="AR134">_xlfn.LET(_xlpm.val,IF($F134="",val_blankRefText,_xldudf_CX_GET(CX_ENTITY,$F134,AR$11,AR$14,,(AR$131))),_xlpm.Res,IF(OR(_xlpm.val="",_xlpm.val="Error"),"",_xlpm.val),_xlpm.Res)</f>
        <v>#NAME?</v>
      </c>
      <c r="AS134" s="1986" t="e" cm="1">
        <f t="array" ca="1" aca="1" ref="AS134">_xlfn.LET(_xlpm.val,IF($F134="",val_blankRefText,_xldudf_CX_GET(CX_ENTITY,$F134,AS$11,AS$14,,(AS$131))),_xlpm.Res,IF(OR(_xlpm.val="",_xlpm.val="Error"),"",_xlpm.val),_xlpm.Res)</f>
        <v>#NAME?</v>
      </c>
      <c r="AT134" s="1986" t="e" cm="1">
        <f t="array" ca="1" aca="1" ref="AT134">_xlfn.LET(_xlpm.val,IF($F134="",val_blankRefText,_xldudf_CX_GET(CX_ENTITY,$F134,AT$11,AT$14,,(AT$131))),_xlpm.Res,IF(OR(_xlpm.val="",_xlpm.val="Error"),"",_xlpm.val),_xlpm.Res)</f>
        <v>#NAME?</v>
      </c>
      <c r="AU134" s="1986" t="e" cm="1">
        <f t="array" ca="1" aca="1" ref="AU134">_xlfn.LET(_xlpm.val,IF($F134="",val_blankRefText,_xldudf_CX_GET(CX_ENTITY,$F134,AU$11,AU$14,,(AU$131))),_xlpm.Res,IF(OR(_xlpm.val="",_xlpm.val="Error"),"",_xlpm.val),_xlpm.Res)</f>
        <v>#NAME?</v>
      </c>
      <c r="AV134" s="1986" t="e" cm="1">
        <f t="array" ca="1" aca="1" ref="AV134">_xlfn.LET(_xlpm.val,IF($F134="",val_blankRefText,_xldudf_CX_GET(CX_ENTITY,$F134,AV$11,AV$14,,(AV$131))),_xlpm.Res,IF(OR(_xlpm.val="",_xlpm.val="Error"),"",_xlpm.val),_xlpm.Res)</f>
        <v>#NAME?</v>
      </c>
      <c r="AW134" s="1986" t="e" cm="1">
        <f t="array" ca="1" aca="1" ref="AW134">_xlfn.LET(_xlpm.val,IF($F134="",val_blankRefText,_xldudf_CX_GET(CX_ENTITY,$F134,AW$11,AW$14,,(AW$131))),_xlpm.Res,IF(OR(_xlpm.val="",_xlpm.val="Error"),"",_xlpm.val),_xlpm.Res)</f>
        <v>#NAME?</v>
      </c>
      <c r="AX134" s="1986" t="e" cm="1">
        <f t="array" ca="1" aca="1" ref="AX134">_xlfn.LET(_xlpm.val,IF($F134="",val_blankRefText,_xldudf_CX_GET(CX_ENTITY,$F134,AX$11,AX$14,,(AX$131))),_xlpm.Res,IF(OR(_xlpm.val="",_xlpm.val="Error"),"",_xlpm.val),_xlpm.Res)</f>
        <v>#NAME?</v>
      </c>
      <c r="AY134" s="1986" t="e" cm="1">
        <f t="array" ca="1" aca="1" ref="AY134">_xlfn.LET(_xlpm.val,IF($F134="",val_blankRefText,_xldudf_CX_GET(CX_ENTITY,$F134,AY$11,AY$14,,(AY$131))),_xlpm.Res,IF(OR(_xlpm.val="",_xlpm.val="Error"),"",_xlpm.val),_xlpm.Res)</f>
        <v>#NAME?</v>
      </c>
      <c r="AZ134" s="1986" t="e" cm="1">
        <f t="array" ca="1" aca="1" ref="AZ134">_xlfn.LET(_xlpm.val,IF($F134="",val_blankRefText,_xldudf_CX_GET(CX_ENTITY,$F134,AZ$11,AZ$14,,(AZ$131))),_xlpm.Res,IF(OR(_xlpm.val="",_xlpm.val="Error"),"",_xlpm.val),_xlpm.Res)</f>
        <v>#NAME?</v>
      </c>
      <c r="BA134" s="1986" t="e" cm="1">
        <f t="array" ca="1" aca="1" ref="BA134">_xlfn.LET(_xlpm.val,IF($F134="",val_blankRefText,_xldudf_CX_GET(CX_ENTITY,$F134,BA$11,BA$14,,(BA$131))),_xlpm.Res,IF(OR(_xlpm.val="",_xlpm.val="Error"),"",_xlpm.val),_xlpm.Res)</f>
        <v>#NAME?</v>
      </c>
      <c r="BB134" s="1986" t="e" cm="1">
        <f t="array" ca="1" aca="1" ref="BB134">_xlfn.LET(_xlpm.val,IF($F134="",val_blankRefText,_xldudf_CX_GET(CX_ENTITY,$F134,BB$11,BB$14,,(BB$131))),_xlpm.Res,IF(OR(_xlpm.val="",_xlpm.val="Error"),"",_xlpm.val),_xlpm.Res)</f>
        <v>#NAME?</v>
      </c>
      <c r="BC134" s="1986" t="e" cm="1">
        <f t="array" ca="1" aca="1" ref="BC134">_xlfn.LET(_xlpm.val,IF($F134="",val_blankRefText,_xldudf_CX_GET(CX_ENTITY,$F134,BC$11,BC$14,,(BC$131))),_xlpm.Res,IF(OR(_xlpm.val="",_xlpm.val="Error"),"",_xlpm.val),_xlpm.Res)</f>
        <v>#NAME?</v>
      </c>
      <c r="BD134" s="1986" t="e" cm="1">
        <f t="array" ca="1" aca="1" ref="BD134">_xlfn.LET(_xlpm.val,IF($F134="",val_blankRefText,_xldudf_CX_GET(CX_ENTITY,$F134,BD$11,BD$14,,(BD$131))),_xlpm.Res,IF(OR(_xlpm.val="",_xlpm.val="Error"),"",_xlpm.val),_xlpm.Res)</f>
        <v>#NAME?</v>
      </c>
      <c r="BE134" s="1986" t="e" cm="1">
        <f t="array" ca="1" aca="1" ref="BE134">_xlfn.LET(_xlpm.val,IF($F134="",val_blankRefText,_xldudf_CX_GET(CX_ENTITY,$F134,BE$11,BE$14,,(BE$131))),_xlpm.Res,IF(OR(_xlpm.val="",_xlpm.val="Error"),"",_xlpm.val),_xlpm.Res)</f>
        <v>#NAME?</v>
      </c>
      <c r="BF134" s="1986" t="e" cm="1">
        <f t="array" ca="1" aca="1" ref="BF134">_xlfn.LET(_xlpm.val,IF($F134="",val_blankRefText,_xldudf_CX_GET(CX_ENTITY,$F134,BF$11,BF$14,,(BF$131))),_xlpm.Res,IF(OR(_xlpm.val="",_xlpm.val="Error"),"",_xlpm.val),_xlpm.Res)</f>
        <v>#NAME?</v>
      </c>
      <c r="BG134" s="1986" t="e" cm="1">
        <f t="array" ca="1" aca="1" ref="BG134">_xlfn.LET(_xlpm.val,IF($F134="",val_blankRefText,_xldudf_CX_GET(CX_ENTITY,$F134,BG$11,BG$14,,(BG$131))),_xlpm.Res,IF(OR(_xlpm.val="",_xlpm.val="Error"),"",_xlpm.val),_xlpm.Res)</f>
        <v>#NAME?</v>
      </c>
      <c r="BH134" s="1986" t="e" cm="1">
        <f t="array" ca="1" aca="1" ref="BH134">_xlfn.LET(_xlpm.val,IF($F134="",val_blankRefText,_xldudf_CX_GET(CX_ENTITY,$F134,BH$11,BH$14,,(BH$131))),_xlpm.Res,IF(OR(_xlpm.val="",_xlpm.val="Error"),"",_xlpm.val),_xlpm.Res)</f>
        <v>#NAME?</v>
      </c>
      <c r="BI134" s="1986" t="e" cm="1">
        <f t="array" ca="1" aca="1" ref="BI134">_xlfn.LET(_xlpm.val,IF($F134="",val_blankRefText,_xldudf_CX_GET(CX_ENTITY,$F134,BI$11,BI$14,,(BI$131))),_xlpm.Res,IF(OR(_xlpm.val="",_xlpm.val="Error"),"",_xlpm.val),_xlpm.Res)</f>
        <v>#NAME?</v>
      </c>
      <c r="BJ134" s="1986" t="e" cm="1">
        <f t="array" ca="1" aca="1" ref="BJ134">_xlfn.LET(_xlpm.val,IF($F134="",val_blankRefText,_xldudf_CX_GET(CX_ENTITY,$F134,BJ$11,BJ$14,,(BJ$131))),_xlpm.Res,IF(OR(_xlpm.val="",_xlpm.val="Error"),"",_xlpm.val),_xlpm.Res)</f>
        <v>#NAME?</v>
      </c>
      <c r="BK134" s="1986" t="e" cm="1">
        <f t="array" ca="1" aca="1" ref="BK134">_xlfn.LET(_xlpm.val,IF($F134="",val_blankRefText,_xldudf_CX_GET(CX_ENTITY,$F134,BK$11,BK$14,,(BK$131))),_xlpm.Res,IF(OR(_xlpm.val="",_xlpm.val="Error"),"",_xlpm.val),_xlpm.Res)</f>
        <v>#NAME?</v>
      </c>
      <c r="BL134" s="1986" t="e" cm="1">
        <f t="array" ca="1" aca="1" ref="BL134">_xlfn.LET(_xlpm.val,IF($F134="",val_blankRefText,_xldudf_CX_GET(CX_ENTITY,$F134,BL$11,BL$14,,(BL$131))),_xlpm.Res,IF(OR(_xlpm.val="",_xlpm.val="Error"),"",_xlpm.val),_xlpm.Res)</f>
        <v>#NAME?</v>
      </c>
      <c r="BM134" s="1986" t="e" cm="1">
        <f t="array" ca="1" aca="1" ref="BM134">_xlfn.LET(_xlpm.val,IF($F134="",val_blankRefText,_xldudf_CX_GET(CX_ENTITY,$F134,BM$11,BM$14,,(BM$131))),_xlpm.Res,IF(OR(_xlpm.val="",_xlpm.val="Error"),"",_xlpm.val),_xlpm.Res)</f>
        <v>#NAME?</v>
      </c>
      <c r="BN134" s="1986" t="e" cm="1">
        <f t="array" ca="1" aca="1" ref="BN134">_xlfn.LET(_xlpm.val,IF($F134="",val_blankRefText,_xldudf_CX_GET(CX_ENTITY,$F134,BN$11,BN$14,,(BN$131))),_xlpm.Res,IF(OR(_xlpm.val="",_xlpm.val="Error"),"",_xlpm.val),_xlpm.Res)</f>
        <v>#NAME?</v>
      </c>
      <c r="BO134" s="2103"/>
      <c r="BP134" s="2103"/>
      <c r="BQ134" s="2103"/>
      <c r="BR134" s="2103"/>
      <c r="BS134" s="2103"/>
      <c r="BT134" s="2103"/>
      <c r="BU134" s="2103"/>
      <c r="BV134" s="2103"/>
      <c r="BW134" s="2103"/>
      <c r="BX134" s="2103"/>
      <c r="BY134" s="2103"/>
      <c r="BZ134" s="2103"/>
      <c r="CA134" s="34"/>
      <c r="CC134" s="50"/>
      <c r="CD134" s="1461" t="e" cm="1">
        <f t="array" ca="1" aca="1" ref="CD134">_xlfn.LET(_xlpm.CheckBlank,SUM(PL!$AD134:$BN134)=0,IF(_xlpm.CheckBlank,"",SUM(_xlfn._xlws.FILTER(PL!$AD134:$BN134,(YEAR(PL!$AD$12:$BN$12)=PL!CD$12)*(array_timeline&lt;=PL!CD$11)))))</f>
        <v>#NAME?</v>
      </c>
      <c r="CE134" s="1461" t="e" cm="1">
        <f t="array" ca="1" aca="1" ref="CE134">_xlfn.LET(_xlpm.CheckBlank,SUM(PL!$AD134:$BN134)=0,IF(_xlpm.CheckBlank,"",SUM(_xlfn._xlws.FILTER(PL!$AD134:$BN134,(YEAR(PL!$AD$12:$BN$12)=PL!CE$12)*(array_timeline&lt;=PL!CE$11)))))</f>
        <v>#NAME?</v>
      </c>
      <c r="CF134" s="88"/>
      <c r="CG134" s="1461" t="e" cm="1">
        <f t="array" ca="1" aca="1" ref="CG134">_xlfn.LET(_xlpm.CheckBlank,SUM(PL!$AD134:$BN134)=0,IF(_xlpm.CheckBlank,"",SUM(_xlfn._xlws.FILTER(PL!$AD134:$BN134,(YEAR(PL!$AD$12:$BN$12)=PL!CG$12)*(array_timeline&lt;=PL!CG$11)))))</f>
        <v>#NAME?</v>
      </c>
      <c r="CH134" s="1461" t="e" cm="1">
        <f t="array" ca="1" aca="1" ref="CH134">_xlfn.LET(_xlpm.CheckBlank,SUM(PL!$AD134:$BN134)=0,IF(_xlpm.CheckBlank,"",SUM(_xlfn._xlws.FILTER(PL!$AD134:$BN134,(YEAR(PL!$AD$12:$BN$12)=PL!CH$12)*(array_timeline&lt;=PL!CH$11)))))</f>
        <v>#NAME?</v>
      </c>
      <c r="CI134" s="88"/>
      <c r="CJ134" s="1461" cm="1">
        <f t="array" ref="CJ134">_xlfn.LET(_xlpm.CheckBlank,SUM(PL!$AD134:$BN134)=0,IF(_xlpm.CheckBlank,"",SUM(_xlfn.TAKE(_xlfn.DROP(PL!$AD134:$BN134,,-DATEDIFF(PL!CJ$11,val_asOfDate,"M")),1,-12))))</f>
        <v>12</v>
      </c>
      <c r="CK134" s="1461" cm="1">
        <f t="array" ref="CK134">_xlfn.LET(_xlpm.CheckBlank,SUM(PL!$AD134:$BN134)=0,IF(_xlpm.CheckBlank,"",SUM(_xlfn.TAKE(_xlfn.DROP(PL!$AD134:$BN134,,-DATEDIFF(PL!CK$11,val_asOfDate,"M")),1,-12))))</f>
        <v>12</v>
      </c>
      <c r="CL134" s="88"/>
      <c r="CM134" s="1986" t="e" cm="1">
        <f t="array" ca="1" aca="1" ref="CM134">_xlfn.LET(_xlpm.val,IF($F134="",val_blankRefText,_xldudf_CX_GET(CX_ENTITY,$F134,CM$11,CM$14,,(CM$131))),_xlpm.Res,IF(OR(_xlpm.val="",_xlpm.val="Error"),"",_xlpm.val),_xlpm.Res)</f>
        <v>#NAME?</v>
      </c>
      <c r="CN134" s="1986" t="e" cm="1">
        <f t="array" ca="1" aca="1" ref="CN134">_xlfn.LET(_xlpm.val,IF($F134="",val_blankRefText,_xldudf_CX_GET(CX_ENTITY,$F134,CN$11,CN$14,,(CN$131))),_xlpm.Res,IF(OR(_xlpm.val="",_xlpm.val="Error"),"",_xlpm.val),_xlpm.Res)</f>
        <v>#NAME?</v>
      </c>
      <c r="CO134" s="1169"/>
      <c r="CP134" s="1986" t="e" cm="1">
        <f t="array" ca="1" aca="1" ref="CP134">_xlfn.LET(_xlpm.val,IF($F134="",val_blankRefText,_xldudf_CX_GET(CX_ENTITY,$F134,CP$11,CP$14,,(CP$131))),_xlpm.Res,IF(OR(_xlpm.val="",_xlpm.val="Error"),"",_xlpm.val),_xlpm.Res)</f>
        <v>#NAME?</v>
      </c>
      <c r="CQ134" s="1986" t="e" cm="1">
        <f t="array" ca="1" aca="1" ref="CQ134">_xlfn.LET(_xlpm.val,IF($F134="",val_blankRefText,_xldudf_CX_GET(CX_ENTITY,$F134,CQ$11,CQ$14,,(CQ$131))),_xlpm.Res,IF(OR(_xlpm.val="",_xlpm.val="Error"),"",_xlpm.val),_xlpm.Res)</f>
        <v>#NAME?</v>
      </c>
      <c r="CR134" s="34"/>
    </row>
    <row r="135" spans="1:96" ht="21" customHeight="1" outlineLevel="1">
      <c r="A135" s="1322"/>
      <c r="B135" s="577" t="s">
        <v>1604</v>
      </c>
      <c r="C135" s="574"/>
      <c r="D135" s="577"/>
      <c r="E135" s="577" t="str" cm="1">
        <f t="array" ca="1" aca="1" ref="E135">_xlfn.LET(_xlpm.Attr,$C135,_xlpm.Lookback,$E$16,_xlpm.QueryDate,EOMONTH(val_asOfDate,_xlpm.Lookback),_xlpm.ReadField,_xldudf_CX_GET(CX_ENTITY,fx_attrConverter($C135),_xlpm.QueryDate),_xlpm.AttrBlank,_xlpm.Attr="",_xlpm.RESULT,IF(_xlpm.AttrBlank,val_blankRefText,fx_attrConverter(_xlpm.ReadField,0)),IF(_xlpm.RESULT="Error","",_xlpm.RESULT))</f>
        <v/>
      </c>
      <c r="F135" s="577" t="str">
        <f t="shared" si="33"/>
        <v>o/w Organic Volume Growth</v>
      </c>
      <c r="G135" s="577" t="s">
        <v>108</v>
      </c>
      <c r="H135" s="584"/>
      <c r="I135" s="3282">
        <v>2</v>
      </c>
      <c r="J135" s="30"/>
      <c r="K135" s="30"/>
      <c r="L135" s="3269" t="b">
        <v>1</v>
      </c>
      <c r="N135" s="158"/>
      <c r="O135" s="101"/>
      <c r="P135" s="52"/>
      <c r="Q135" s="2"/>
      <c r="R135" s="101"/>
      <c r="S135" s="101"/>
      <c r="T135" s="101"/>
      <c r="U135" s="39"/>
      <c r="W135" s="91" t="s">
        <v>103</v>
      </c>
      <c r="X135" s="894"/>
      <c r="Y135" s="509" t="s">
        <v>624</v>
      </c>
      <c r="Z135" s="3291" cm="1">
        <f t="array" ref="Z135">_xlfn.SWITCH(TRUE,ISBLANK(_PL!$L135),"",_PL!$L135=TRUE,1,_PL!$L135=FALSE,-1,_PL!$L135=-1,0,"n/a")</f>
        <v>1</v>
      </c>
      <c r="AA135" s="97"/>
      <c r="AB135" s="33" t="s">
        <v>624</v>
      </c>
      <c r="AC135" s="200" t="e" vm="5" cm="1">
        <f t="array" ref="AC135">_xlfn.LET(_xlpm.Def,IF(_xlfn.XMATCH(AB135,tbl_acctDef[Term],0)&gt;0,fx_getIcon("find"),""),_xlpm.Adj,IF(_xlfn.XMATCH(AB135,tbl_adjExample[Items],0)&gt;0,fx_getIcon("find"),""),IFERROR(IFBLANK(_xlpm.Def,_xlpm.Adj),""))</f>
        <v>#VALUE!</v>
      </c>
      <c r="AD135" s="1986" t="e" cm="1">
        <f t="array" ca="1" aca="1" ref="AD135">_xlfn.LET(_xlpm.val,IF($F135="",val_blankRefText,_xldudf_CX_GET(CX_ENTITY,$F135,AD$11,AD$14,,(AD$131))),_xlpm.Res,IF(OR(_xlpm.val="",_xlpm.val="Error"),"",_xlpm.val),_xlpm.Res)</f>
        <v>#NAME?</v>
      </c>
      <c r="AE135" s="1986" t="e" cm="1">
        <f t="array" ca="1" aca="1" ref="AE135">_xlfn.LET(_xlpm.val,IF($F135="",val_blankRefText,_xldudf_CX_GET(CX_ENTITY,$F135,AE$11,AE$14,,(AE$131))),_xlpm.Res,IF(OR(_xlpm.val="",_xlpm.val="Error"),"",_xlpm.val),_xlpm.Res)</f>
        <v>#NAME?</v>
      </c>
      <c r="AF135" s="1986" t="e" cm="1">
        <f t="array" ca="1" aca="1" ref="AF135">_xlfn.LET(_xlpm.val,IF($F135="",val_blankRefText,_xldudf_CX_GET(CX_ENTITY,$F135,AF$11,AF$14,,(AF$131))),_xlpm.Res,IF(OR(_xlpm.val="",_xlpm.val="Error"),"",_xlpm.val),_xlpm.Res)</f>
        <v>#NAME?</v>
      </c>
      <c r="AG135" s="1986" t="e" cm="1">
        <f t="array" ca="1" aca="1" ref="AG135">_xlfn.LET(_xlpm.val,IF($F135="",val_blankRefText,_xldudf_CX_GET(CX_ENTITY,$F135,AG$11,AG$14,,(AG$131))),_xlpm.Res,IF(OR(_xlpm.val="",_xlpm.val="Error"),"",_xlpm.val),_xlpm.Res)</f>
        <v>#NAME?</v>
      </c>
      <c r="AH135" s="1986" t="e" cm="1">
        <f t="array" ca="1" aca="1" ref="AH135">_xlfn.LET(_xlpm.val,IF($F135="",val_blankRefText,_xldudf_CX_GET(CX_ENTITY,$F135,AH$11,AH$14,,(AH$131))),_xlpm.Res,IF(OR(_xlpm.val="",_xlpm.val="Error"),"",_xlpm.val),_xlpm.Res)</f>
        <v>#NAME?</v>
      </c>
      <c r="AI135" s="1986" t="e" cm="1">
        <f t="array" ca="1" aca="1" ref="AI135">_xlfn.LET(_xlpm.val,IF($F135="",val_blankRefText,_xldudf_CX_GET(CX_ENTITY,$F135,AI$11,AI$14,,(AI$131))),_xlpm.Res,IF(OR(_xlpm.val="",_xlpm.val="Error"),"",_xlpm.val),_xlpm.Res)</f>
        <v>#NAME?</v>
      </c>
      <c r="AJ135" s="1986" t="e" cm="1">
        <f t="array" ca="1" aca="1" ref="AJ135">_xlfn.LET(_xlpm.val,IF($F135="",val_blankRefText,_xldudf_CX_GET(CX_ENTITY,$F135,AJ$11,AJ$14,,(AJ$131))),_xlpm.Res,IF(OR(_xlpm.val="",_xlpm.val="Error"),"",_xlpm.val),_xlpm.Res)</f>
        <v>#NAME?</v>
      </c>
      <c r="AK135" s="1986" t="e" cm="1">
        <f t="array" ca="1" aca="1" ref="AK135">_xlfn.LET(_xlpm.val,IF($F135="",val_blankRefText,_xldudf_CX_GET(CX_ENTITY,$F135,AK$11,AK$14,,(AK$131))),_xlpm.Res,IF(OR(_xlpm.val="",_xlpm.val="Error"),"",_xlpm.val),_xlpm.Res)</f>
        <v>#NAME?</v>
      </c>
      <c r="AL135" s="1986" t="e" cm="1">
        <f t="array" ca="1" aca="1" ref="AL135">_xlfn.LET(_xlpm.val,IF($F135="",val_blankRefText,_xldudf_CX_GET(CX_ENTITY,$F135,AL$11,AL$14,,(AL$131))),_xlpm.Res,IF(OR(_xlpm.val="",_xlpm.val="Error"),"",_xlpm.val),_xlpm.Res)</f>
        <v>#NAME?</v>
      </c>
      <c r="AM135" s="1986" t="e" cm="1">
        <f t="array" ca="1" aca="1" ref="AM135">_xlfn.LET(_xlpm.val,IF($F135="",val_blankRefText,_xldudf_CX_GET(CX_ENTITY,$F135,AM$11,AM$14,,(AM$131))),_xlpm.Res,IF(OR(_xlpm.val="",_xlpm.val="Error"),"",_xlpm.val),_xlpm.Res)</f>
        <v>#NAME?</v>
      </c>
      <c r="AN135" s="1986" t="e" cm="1">
        <f t="array" ca="1" aca="1" ref="AN135">_xlfn.LET(_xlpm.val,IF($F135="",val_blankRefText,_xldudf_CX_GET(CX_ENTITY,$F135,AN$11,AN$14,,(AN$131))),_xlpm.Res,IF(OR(_xlpm.val="",_xlpm.val="Error"),"",_xlpm.val),_xlpm.Res)</f>
        <v>#NAME?</v>
      </c>
      <c r="AO135" s="1986" t="e" cm="1">
        <f t="array" ca="1" aca="1" ref="AO135">_xlfn.LET(_xlpm.val,IF($F135="",val_blankRefText,_xldudf_CX_GET(CX_ENTITY,$F135,AO$11,AO$14,,(AO$131))),_xlpm.Res,IF(OR(_xlpm.val="",_xlpm.val="Error"),"",_xlpm.val),_xlpm.Res)</f>
        <v>#NAME?</v>
      </c>
      <c r="AP135" s="1986" t="e" cm="1">
        <f t="array" ca="1" aca="1" ref="AP135">_xlfn.LET(_xlpm.val,IF($F135="",val_blankRefText,_xldudf_CX_GET(CX_ENTITY,$F135,AP$11,AP$14,,(AP$131))),_xlpm.Res,IF(OR(_xlpm.val="",_xlpm.val="Error"),"",_xlpm.val),_xlpm.Res)</f>
        <v>#NAME?</v>
      </c>
      <c r="AQ135" s="1986" t="e" cm="1">
        <f t="array" ca="1" aca="1" ref="AQ135">_xlfn.LET(_xlpm.val,IF($F135="",val_blankRefText,_xldudf_CX_GET(CX_ENTITY,$F135,AQ$11,AQ$14,,(AQ$131))),_xlpm.Res,IF(OR(_xlpm.val="",_xlpm.val="Error"),"",_xlpm.val),_xlpm.Res)</f>
        <v>#NAME?</v>
      </c>
      <c r="AR135" s="1986" t="e" cm="1">
        <f t="array" ca="1" aca="1" ref="AR135">_xlfn.LET(_xlpm.val,IF($F135="",val_blankRefText,_xldudf_CX_GET(CX_ENTITY,$F135,AR$11,AR$14,,(AR$131))),_xlpm.Res,IF(OR(_xlpm.val="",_xlpm.val="Error"),"",_xlpm.val),_xlpm.Res)</f>
        <v>#NAME?</v>
      </c>
      <c r="AS135" s="1986" t="e" cm="1">
        <f t="array" ca="1" aca="1" ref="AS135">_xlfn.LET(_xlpm.val,IF($F135="",val_blankRefText,_xldudf_CX_GET(CX_ENTITY,$F135,AS$11,AS$14,,(AS$131))),_xlpm.Res,IF(OR(_xlpm.val="",_xlpm.val="Error"),"",_xlpm.val),_xlpm.Res)</f>
        <v>#NAME?</v>
      </c>
      <c r="AT135" s="1986" t="e" cm="1">
        <f t="array" ca="1" aca="1" ref="AT135">_xlfn.LET(_xlpm.val,IF($F135="",val_blankRefText,_xldudf_CX_GET(CX_ENTITY,$F135,AT$11,AT$14,,(AT$131))),_xlpm.Res,IF(OR(_xlpm.val="",_xlpm.val="Error"),"",_xlpm.val),_xlpm.Res)</f>
        <v>#NAME?</v>
      </c>
      <c r="AU135" s="1986" t="e" cm="1">
        <f t="array" ca="1" aca="1" ref="AU135">_xlfn.LET(_xlpm.val,IF($F135="",val_blankRefText,_xldudf_CX_GET(CX_ENTITY,$F135,AU$11,AU$14,,(AU$131))),_xlpm.Res,IF(OR(_xlpm.val="",_xlpm.val="Error"),"",_xlpm.val),_xlpm.Res)</f>
        <v>#NAME?</v>
      </c>
      <c r="AV135" s="1986" t="e" cm="1">
        <f t="array" ca="1" aca="1" ref="AV135">_xlfn.LET(_xlpm.val,IF($F135="",val_blankRefText,_xldudf_CX_GET(CX_ENTITY,$F135,AV$11,AV$14,,(AV$131))),_xlpm.Res,IF(OR(_xlpm.val="",_xlpm.val="Error"),"",_xlpm.val),_xlpm.Res)</f>
        <v>#NAME?</v>
      </c>
      <c r="AW135" s="1986" t="e" cm="1">
        <f t="array" ca="1" aca="1" ref="AW135">_xlfn.LET(_xlpm.val,IF($F135="",val_blankRefText,_xldudf_CX_GET(CX_ENTITY,$F135,AW$11,AW$14,,(AW$131))),_xlpm.Res,IF(OR(_xlpm.val="",_xlpm.val="Error"),"",_xlpm.val),_xlpm.Res)</f>
        <v>#NAME?</v>
      </c>
      <c r="AX135" s="1986" t="e" cm="1">
        <f t="array" ca="1" aca="1" ref="AX135">_xlfn.LET(_xlpm.val,IF($F135="",val_blankRefText,_xldudf_CX_GET(CX_ENTITY,$F135,AX$11,AX$14,,(AX$131))),_xlpm.Res,IF(OR(_xlpm.val="",_xlpm.val="Error"),"",_xlpm.val),_xlpm.Res)</f>
        <v>#NAME?</v>
      </c>
      <c r="AY135" s="1986" t="e" cm="1">
        <f t="array" ca="1" aca="1" ref="AY135">_xlfn.LET(_xlpm.val,IF($F135="",val_blankRefText,_xldudf_CX_GET(CX_ENTITY,$F135,AY$11,AY$14,,(AY$131))),_xlpm.Res,IF(OR(_xlpm.val="",_xlpm.val="Error"),"",_xlpm.val),_xlpm.Res)</f>
        <v>#NAME?</v>
      </c>
      <c r="AZ135" s="1986" t="e" cm="1">
        <f t="array" ca="1" aca="1" ref="AZ135">_xlfn.LET(_xlpm.val,IF($F135="",val_blankRefText,_xldudf_CX_GET(CX_ENTITY,$F135,AZ$11,AZ$14,,(AZ$131))),_xlpm.Res,IF(OR(_xlpm.val="",_xlpm.val="Error"),"",_xlpm.val),_xlpm.Res)</f>
        <v>#NAME?</v>
      </c>
      <c r="BA135" s="1986" t="e" cm="1">
        <f t="array" ca="1" aca="1" ref="BA135">_xlfn.LET(_xlpm.val,IF($F135="",val_blankRefText,_xldudf_CX_GET(CX_ENTITY,$F135,BA$11,BA$14,,(BA$131))),_xlpm.Res,IF(OR(_xlpm.val="",_xlpm.val="Error"),"",_xlpm.val),_xlpm.Res)</f>
        <v>#NAME?</v>
      </c>
      <c r="BB135" s="1986" t="e" cm="1">
        <f t="array" ca="1" aca="1" ref="BB135">_xlfn.LET(_xlpm.val,IF($F135="",val_blankRefText,_xldudf_CX_GET(CX_ENTITY,$F135,BB$11,BB$14,,(BB$131))),_xlpm.Res,IF(OR(_xlpm.val="",_xlpm.val="Error"),"",_xlpm.val),_xlpm.Res)</f>
        <v>#NAME?</v>
      </c>
      <c r="BC135" s="1986" t="e" cm="1">
        <f t="array" ca="1" aca="1" ref="BC135">_xlfn.LET(_xlpm.val,IF($F135="",val_blankRefText,_xldudf_CX_GET(CX_ENTITY,$F135,BC$11,BC$14,,(BC$131))),_xlpm.Res,IF(OR(_xlpm.val="",_xlpm.val="Error"),"",_xlpm.val),_xlpm.Res)</f>
        <v>#NAME?</v>
      </c>
      <c r="BD135" s="1986" t="e" cm="1">
        <f t="array" ca="1" aca="1" ref="BD135">_xlfn.LET(_xlpm.val,IF($F135="",val_blankRefText,_xldudf_CX_GET(CX_ENTITY,$F135,BD$11,BD$14,,(BD$131))),_xlpm.Res,IF(OR(_xlpm.val="",_xlpm.val="Error"),"",_xlpm.val),_xlpm.Res)</f>
        <v>#NAME?</v>
      </c>
      <c r="BE135" s="1986" t="e" cm="1">
        <f t="array" ca="1" aca="1" ref="BE135">_xlfn.LET(_xlpm.val,IF($F135="",val_blankRefText,_xldudf_CX_GET(CX_ENTITY,$F135,BE$11,BE$14,,(BE$131))),_xlpm.Res,IF(OR(_xlpm.val="",_xlpm.val="Error"),"",_xlpm.val),_xlpm.Res)</f>
        <v>#NAME?</v>
      </c>
      <c r="BF135" s="1986" t="e" cm="1">
        <f t="array" ca="1" aca="1" ref="BF135">_xlfn.LET(_xlpm.val,IF($F135="",val_blankRefText,_xldudf_CX_GET(CX_ENTITY,$F135,BF$11,BF$14,,(BF$131))),_xlpm.Res,IF(OR(_xlpm.val="",_xlpm.val="Error"),"",_xlpm.val),_xlpm.Res)</f>
        <v>#NAME?</v>
      </c>
      <c r="BG135" s="1986" t="e" cm="1">
        <f t="array" ca="1" aca="1" ref="BG135">_xlfn.LET(_xlpm.val,IF($F135="",val_blankRefText,_xldudf_CX_GET(CX_ENTITY,$F135,BG$11,BG$14,,(BG$131))),_xlpm.Res,IF(OR(_xlpm.val="",_xlpm.val="Error"),"",_xlpm.val),_xlpm.Res)</f>
        <v>#NAME?</v>
      </c>
      <c r="BH135" s="1986" t="e" cm="1">
        <f t="array" ca="1" aca="1" ref="BH135">_xlfn.LET(_xlpm.val,IF($F135="",val_blankRefText,_xldudf_CX_GET(CX_ENTITY,$F135,BH$11,BH$14,,(BH$131))),_xlpm.Res,IF(OR(_xlpm.val="",_xlpm.val="Error"),"",_xlpm.val),_xlpm.Res)</f>
        <v>#NAME?</v>
      </c>
      <c r="BI135" s="1986" t="e" cm="1">
        <f t="array" ca="1" aca="1" ref="BI135">_xlfn.LET(_xlpm.val,IF($F135="",val_blankRefText,_xldudf_CX_GET(CX_ENTITY,$F135,BI$11,BI$14,,(BI$131))),_xlpm.Res,IF(OR(_xlpm.val="",_xlpm.val="Error"),"",_xlpm.val),_xlpm.Res)</f>
        <v>#NAME?</v>
      </c>
      <c r="BJ135" s="1986" t="e" cm="1">
        <f t="array" ca="1" aca="1" ref="BJ135">_xlfn.LET(_xlpm.val,IF($F135="",val_blankRefText,_xldudf_CX_GET(CX_ENTITY,$F135,BJ$11,BJ$14,,(BJ$131))),_xlpm.Res,IF(OR(_xlpm.val="",_xlpm.val="Error"),"",_xlpm.val),_xlpm.Res)</f>
        <v>#NAME?</v>
      </c>
      <c r="BK135" s="1986" t="e" cm="1">
        <f t="array" ca="1" aca="1" ref="BK135">_xlfn.LET(_xlpm.val,IF($F135="",val_blankRefText,_xldudf_CX_GET(CX_ENTITY,$F135,BK$11,BK$14,,(BK$131))),_xlpm.Res,IF(OR(_xlpm.val="",_xlpm.val="Error"),"",_xlpm.val),_xlpm.Res)</f>
        <v>#NAME?</v>
      </c>
      <c r="BL135" s="1986" t="e" cm="1">
        <f t="array" ca="1" aca="1" ref="BL135">_xlfn.LET(_xlpm.val,IF($F135="",val_blankRefText,_xldudf_CX_GET(CX_ENTITY,$F135,BL$11,BL$14,,(BL$131))),_xlpm.Res,IF(OR(_xlpm.val="",_xlpm.val="Error"),"",_xlpm.val),_xlpm.Res)</f>
        <v>#NAME?</v>
      </c>
      <c r="BM135" s="1986" t="e" cm="1">
        <f t="array" ca="1" aca="1" ref="BM135">_xlfn.LET(_xlpm.val,IF($F135="",val_blankRefText,_xldudf_CX_GET(CX_ENTITY,$F135,BM$11,BM$14,,(BM$131))),_xlpm.Res,IF(OR(_xlpm.val="",_xlpm.val="Error"),"",_xlpm.val),_xlpm.Res)</f>
        <v>#NAME?</v>
      </c>
      <c r="BN135" s="1986" t="e" cm="1">
        <f t="array" ca="1" aca="1" ref="BN135">_xlfn.LET(_xlpm.val,IF($F135="",val_blankRefText,_xldudf_CX_GET(CX_ENTITY,$F135,BN$11,BN$14,,(BN$131))),_xlpm.Res,IF(OR(_xlpm.val="",_xlpm.val="Error"),"",_xlpm.val),_xlpm.Res)</f>
        <v>#NAME?</v>
      </c>
      <c r="BO135" s="2103"/>
      <c r="BP135" s="2103"/>
      <c r="BQ135" s="2103"/>
      <c r="BR135" s="2103"/>
      <c r="BS135" s="2103"/>
      <c r="BT135" s="2103"/>
      <c r="BU135" s="2103"/>
      <c r="BV135" s="2103"/>
      <c r="BW135" s="2103"/>
      <c r="BX135" s="2103"/>
      <c r="BY135" s="2103"/>
      <c r="BZ135" s="2103"/>
      <c r="CA135" s="34"/>
      <c r="CC135" s="50"/>
      <c r="CD135" s="1461" t="e" cm="1">
        <f t="array" ca="1" aca="1" ref="CD135">_xlfn.LET(_xlpm.CheckBlank,SUM(PL!$AD135:$BN135)=0,IF(_xlpm.CheckBlank,"",SUM(_xlfn._xlws.FILTER(PL!$AD135:$BN135,(YEAR(PL!$AD$12:$BN$12)=PL!CD$12)*(array_timeline&lt;=PL!CD$11)))))</f>
        <v>#NAME?</v>
      </c>
      <c r="CE135" s="1461" t="e" cm="1">
        <f t="array" ca="1" aca="1" ref="CE135">_xlfn.LET(_xlpm.CheckBlank,SUM(PL!$AD135:$BN135)=0,IF(_xlpm.CheckBlank,"",SUM(_xlfn._xlws.FILTER(PL!$AD135:$BN135,(YEAR(PL!$AD$12:$BN$12)=PL!CE$12)*(array_timeline&lt;=PL!CE$11)))))</f>
        <v>#NAME?</v>
      </c>
      <c r="CF135" s="1169"/>
      <c r="CG135" s="1461" t="e" cm="1">
        <f t="array" ca="1" aca="1" ref="CG135">_xlfn.LET(_xlpm.CheckBlank,SUM(PL!$AD135:$BN135)=0,IF(_xlpm.CheckBlank,"",SUM(_xlfn._xlws.FILTER(PL!$AD135:$BN135,(YEAR(PL!$AD$12:$BN$12)=PL!CG$12)*(array_timeline&lt;=PL!CG$11)))))</f>
        <v>#NAME?</v>
      </c>
      <c r="CH135" s="1461" t="e" cm="1">
        <f t="array" ca="1" aca="1" ref="CH135">_xlfn.LET(_xlpm.CheckBlank,SUM(PL!$AD135:$BN135)=0,IF(_xlpm.CheckBlank,"",SUM(_xlfn._xlws.FILTER(PL!$AD135:$BN135,(YEAR(PL!$AD$12:$BN$12)=PL!CH$12)*(array_timeline&lt;=PL!CH$11)))))</f>
        <v>#NAME?</v>
      </c>
      <c r="CI135" s="1170"/>
      <c r="CJ135" s="1461" cm="1">
        <f t="array" ref="CJ135">_xlfn.LET(_xlpm.CheckBlank,SUM(PL!$AD135:$BN135)=0,IF(_xlpm.CheckBlank,"",SUM(_xlfn.TAKE(_xlfn.DROP(PL!$AD135:$BN135,,-DATEDIFF(PL!CJ$11,val_asOfDate,"M")),1,-12))))</f>
        <v>12</v>
      </c>
      <c r="CK135" s="1461" cm="1">
        <f t="array" ref="CK135">_xlfn.LET(_xlpm.CheckBlank,SUM(PL!$AD135:$BN135)=0,IF(_xlpm.CheckBlank,"",SUM(_xlfn.TAKE(_xlfn.DROP(PL!$AD135:$BN135,,-DATEDIFF(PL!CK$11,val_asOfDate,"M")),1,-12))))</f>
        <v>12</v>
      </c>
      <c r="CL135" s="292"/>
      <c r="CM135" s="1986" t="e" cm="1">
        <f t="array" ca="1" aca="1" ref="CM135">_xlfn.LET(_xlpm.val,IF($F135="",val_blankRefText,_xldudf_CX_GET(CX_ENTITY,$F135,CM$11,CM$14,,(CM$131))),_xlpm.Res,IF(OR(_xlpm.val="",_xlpm.val="Error"),"",_xlpm.val),_xlpm.Res)</f>
        <v>#NAME?</v>
      </c>
      <c r="CN135" s="1986" t="e" cm="1">
        <f t="array" ca="1" aca="1" ref="CN135">_xlfn.LET(_xlpm.val,IF($F135="",val_blankRefText,_xldudf_CX_GET(CX_ENTITY,$F135,CN$11,CN$14,,(CN$131))),_xlpm.Res,IF(OR(_xlpm.val="",_xlpm.val="Error"),"",_xlpm.val),_xlpm.Res)</f>
        <v>#NAME?</v>
      </c>
      <c r="CO135" s="1169"/>
      <c r="CP135" s="1986" t="e" cm="1">
        <f t="array" ca="1" aca="1" ref="CP135">_xlfn.LET(_xlpm.val,IF($F135="",val_blankRefText,_xldudf_CX_GET(CX_ENTITY,$F135,CP$11,CP$14,,(CP$131))),_xlpm.Res,IF(OR(_xlpm.val="",_xlpm.val="Error"),"",_xlpm.val),_xlpm.Res)</f>
        <v>#NAME?</v>
      </c>
      <c r="CQ135" s="1986" t="e" cm="1">
        <f t="array" ca="1" aca="1" ref="CQ135">_xlfn.LET(_xlpm.val,IF($F135="",val_blankRefText,_xldudf_CX_GET(CX_ENTITY,$F135,CQ$11,CQ$14,,(CQ$131))),_xlpm.Res,IF(OR(_xlpm.val="",_xlpm.val="Error"),"",_xlpm.val),_xlpm.Res)</f>
        <v>#NAME?</v>
      </c>
      <c r="CR135" s="34"/>
    </row>
    <row r="136" spans="1:96" ht="21" customHeight="1" outlineLevel="1">
      <c r="A136" s="1322"/>
      <c r="B136" s="577" t="s">
        <v>1605</v>
      </c>
      <c r="C136" s="577"/>
      <c r="D136" s="577"/>
      <c r="E136" s="577" t="str" cm="1">
        <f t="array" ca="1" aca="1" ref="E136">_xlfn.LET(_xlpm.Attr,$C136,_xlpm.Lookback,$E$16,_xlpm.QueryDate,EOMONTH(val_asOfDate,_xlpm.Lookback),_xlpm.ReadField,_xldudf_CX_GET(CX_ENTITY,fx_attrConverter($C136),_xlpm.QueryDate),_xlpm.AttrBlank,_xlpm.Attr="",_xlpm.RESULT,IF(_xlpm.AttrBlank,val_blankRefText,fx_attrConverter(_xlpm.ReadField,0)),IF(_xlpm.RESULT="Error","",_xlpm.RESULT))</f>
        <v/>
      </c>
      <c r="F136" s="577" t="str">
        <f t="shared" si="33"/>
        <v>o/w Organic Volume Growth - YTD</v>
      </c>
      <c r="G136" s="577" t="s">
        <v>108</v>
      </c>
      <c r="H136" s="578"/>
      <c r="I136" s="3279">
        <v>2</v>
      </c>
      <c r="J136" s="578"/>
      <c r="K136" s="578"/>
      <c r="L136" s="3269" t="b">
        <v>1</v>
      </c>
      <c r="N136" s="158"/>
      <c r="O136" s="101"/>
      <c r="P136" s="52"/>
      <c r="Q136" s="2"/>
      <c r="R136" s="101"/>
      <c r="S136" s="101"/>
      <c r="T136" s="101"/>
      <c r="U136" s="39"/>
      <c r="W136" s="91" t="s">
        <v>103</v>
      </c>
      <c r="X136" s="894"/>
      <c r="Y136" s="509" t="s">
        <v>630</v>
      </c>
      <c r="Z136" s="3291" cm="1">
        <f t="array" ref="Z136">_xlfn.SWITCH(TRUE,ISBLANK(_PL!$L136),"",_PL!$L136=TRUE,1,_PL!$L136=FALSE,-1,_PL!$L136=-1,0,"n/a")</f>
        <v>1</v>
      </c>
      <c r="AA136" s="97"/>
      <c r="AB136" s="33" t="s">
        <v>630</v>
      </c>
      <c r="AC136" s="787" t="e" vm="5" cm="1">
        <f t="array" ref="AC136">_xlfn.LET(_xlpm.Def,IF(_xlfn.XMATCH(AB136,tbl_acctDef[Term],0)&gt;0,fx_getIcon("find"),""),_xlpm.Adj,IF(_xlfn.XMATCH(AB136,tbl_adjExample[Items],0)&gt;0,fx_getIcon("find"),""),IFERROR(IFBLANK(_xlpm.Def,_xlpm.Adj),""))</f>
        <v>#VALUE!</v>
      </c>
      <c r="AD136" s="1986" t="e" cm="1">
        <f t="array" ca="1" aca="1" ref="AD136">_xlfn.LET(_xlpm.val,IF($F136="",val_blankRefText,_xldudf_CX_GET(CX_ENTITY,$F136,AD$11,AD$14,,(AD$131))),_xlpm.Res,IF(OR(_xlpm.val="",_xlpm.val="Error"),"",_xlpm.val),_xlpm.Res)</f>
        <v>#NAME?</v>
      </c>
      <c r="AE136" s="1986" t="e" cm="1">
        <f t="array" ca="1" aca="1" ref="AE136">_xlfn.LET(_xlpm.val,IF($F136="",val_blankRefText,_xldudf_CX_GET(CX_ENTITY,$F136,AE$11,AE$14,,(AE$131))),_xlpm.Res,IF(OR(_xlpm.val="",_xlpm.val="Error"),"",_xlpm.val),_xlpm.Res)</f>
        <v>#NAME?</v>
      </c>
      <c r="AF136" s="1986" t="e" cm="1">
        <f t="array" ca="1" aca="1" ref="AF136">_xlfn.LET(_xlpm.val,IF($F136="",val_blankRefText,_xldudf_CX_GET(CX_ENTITY,$F136,AF$11,AF$14,,(AF$131))),_xlpm.Res,IF(OR(_xlpm.val="",_xlpm.val="Error"),"",_xlpm.val),_xlpm.Res)</f>
        <v>#NAME?</v>
      </c>
      <c r="AG136" s="1986" t="e" cm="1">
        <f t="array" ca="1" aca="1" ref="AG136">_xlfn.LET(_xlpm.val,IF($F136="",val_blankRefText,_xldudf_CX_GET(CX_ENTITY,$F136,AG$11,AG$14,,(AG$131))),_xlpm.Res,IF(OR(_xlpm.val="",_xlpm.val="Error"),"",_xlpm.val),_xlpm.Res)</f>
        <v>#NAME?</v>
      </c>
      <c r="AH136" s="1986" t="e" cm="1">
        <f t="array" ca="1" aca="1" ref="AH136">_xlfn.LET(_xlpm.val,IF($F136="",val_blankRefText,_xldudf_CX_GET(CX_ENTITY,$F136,AH$11,AH$14,,(AH$131))),_xlpm.Res,IF(OR(_xlpm.val="",_xlpm.val="Error"),"",_xlpm.val),_xlpm.Res)</f>
        <v>#NAME?</v>
      </c>
      <c r="AI136" s="1986" t="e" cm="1">
        <f t="array" ca="1" aca="1" ref="AI136">_xlfn.LET(_xlpm.val,IF($F136="",val_blankRefText,_xldudf_CX_GET(CX_ENTITY,$F136,AI$11,AI$14,,(AI$131))),_xlpm.Res,IF(OR(_xlpm.val="",_xlpm.val="Error"),"",_xlpm.val),_xlpm.Res)</f>
        <v>#NAME?</v>
      </c>
      <c r="AJ136" s="1986" t="e" cm="1">
        <f t="array" ca="1" aca="1" ref="AJ136">_xlfn.LET(_xlpm.val,IF($F136="",val_blankRefText,_xldudf_CX_GET(CX_ENTITY,$F136,AJ$11,AJ$14,,(AJ$131))),_xlpm.Res,IF(OR(_xlpm.val="",_xlpm.val="Error"),"",_xlpm.val),_xlpm.Res)</f>
        <v>#NAME?</v>
      </c>
      <c r="AK136" s="1986" t="e" cm="1">
        <f t="array" ca="1" aca="1" ref="AK136">_xlfn.LET(_xlpm.val,IF($F136="",val_blankRefText,_xldudf_CX_GET(CX_ENTITY,$F136,AK$11,AK$14,,(AK$131))),_xlpm.Res,IF(OR(_xlpm.val="",_xlpm.val="Error"),"",_xlpm.val),_xlpm.Res)</f>
        <v>#NAME?</v>
      </c>
      <c r="AL136" s="1986" t="e" cm="1">
        <f t="array" ca="1" aca="1" ref="AL136">_xlfn.LET(_xlpm.val,IF($F136="",val_blankRefText,_xldudf_CX_GET(CX_ENTITY,$F136,AL$11,AL$14,,(AL$131))),_xlpm.Res,IF(OR(_xlpm.val="",_xlpm.val="Error"),"",_xlpm.val),_xlpm.Res)</f>
        <v>#NAME?</v>
      </c>
      <c r="AM136" s="1986" t="e" cm="1">
        <f t="array" ca="1" aca="1" ref="AM136">_xlfn.LET(_xlpm.val,IF($F136="",val_blankRefText,_xldudf_CX_GET(CX_ENTITY,$F136,AM$11,AM$14,,(AM$131))),_xlpm.Res,IF(OR(_xlpm.val="",_xlpm.val="Error"),"",_xlpm.val),_xlpm.Res)</f>
        <v>#NAME?</v>
      </c>
      <c r="AN136" s="1986" t="e" cm="1">
        <f t="array" ca="1" aca="1" ref="AN136">_xlfn.LET(_xlpm.val,IF($F136="",val_blankRefText,_xldudf_CX_GET(CX_ENTITY,$F136,AN$11,AN$14,,(AN$131))),_xlpm.Res,IF(OR(_xlpm.val="",_xlpm.val="Error"),"",_xlpm.val),_xlpm.Res)</f>
        <v>#NAME?</v>
      </c>
      <c r="AO136" s="1986" t="e" cm="1">
        <f t="array" ca="1" aca="1" ref="AO136">_xlfn.LET(_xlpm.val,IF($F136="",val_blankRefText,_xldudf_CX_GET(CX_ENTITY,$F136,AO$11,AO$14,,(AO$131))),_xlpm.Res,IF(OR(_xlpm.val="",_xlpm.val="Error"),"",_xlpm.val),_xlpm.Res)</f>
        <v>#NAME?</v>
      </c>
      <c r="AP136" s="1986" t="e" cm="1">
        <f t="array" ca="1" aca="1" ref="AP136">_xlfn.LET(_xlpm.val,IF($F136="",val_blankRefText,_xldudf_CX_GET(CX_ENTITY,$F136,AP$11,AP$14,,(AP$131))),_xlpm.Res,IF(OR(_xlpm.val="",_xlpm.val="Error"),"",_xlpm.val),_xlpm.Res)</f>
        <v>#NAME?</v>
      </c>
      <c r="AQ136" s="1986" t="e" cm="1">
        <f t="array" ca="1" aca="1" ref="AQ136">_xlfn.LET(_xlpm.val,IF($F136="",val_blankRefText,_xldudf_CX_GET(CX_ENTITY,$F136,AQ$11,AQ$14,,(AQ$131))),_xlpm.Res,IF(OR(_xlpm.val="",_xlpm.val="Error"),"",_xlpm.val),_xlpm.Res)</f>
        <v>#NAME?</v>
      </c>
      <c r="AR136" s="1986" t="e" cm="1">
        <f t="array" ca="1" aca="1" ref="AR136">_xlfn.LET(_xlpm.val,IF($F136="",val_blankRefText,_xldudf_CX_GET(CX_ENTITY,$F136,AR$11,AR$14,,(AR$131))),_xlpm.Res,IF(OR(_xlpm.val="",_xlpm.val="Error"),"",_xlpm.val),_xlpm.Res)</f>
        <v>#NAME?</v>
      </c>
      <c r="AS136" s="1986" t="e" cm="1">
        <f t="array" ca="1" aca="1" ref="AS136">_xlfn.LET(_xlpm.val,IF($F136="",val_blankRefText,_xldudf_CX_GET(CX_ENTITY,$F136,AS$11,AS$14,,(AS$131))),_xlpm.Res,IF(OR(_xlpm.val="",_xlpm.val="Error"),"",_xlpm.val),_xlpm.Res)</f>
        <v>#NAME?</v>
      </c>
      <c r="AT136" s="1986" t="e" cm="1">
        <f t="array" ca="1" aca="1" ref="AT136">_xlfn.LET(_xlpm.val,IF($F136="",val_blankRefText,_xldudf_CX_GET(CX_ENTITY,$F136,AT$11,AT$14,,(AT$131))),_xlpm.Res,IF(OR(_xlpm.val="",_xlpm.val="Error"),"",_xlpm.val),_xlpm.Res)</f>
        <v>#NAME?</v>
      </c>
      <c r="AU136" s="1986" t="e" cm="1">
        <f t="array" ca="1" aca="1" ref="AU136">_xlfn.LET(_xlpm.val,IF($F136="",val_blankRefText,_xldudf_CX_GET(CX_ENTITY,$F136,AU$11,AU$14,,(AU$131))),_xlpm.Res,IF(OR(_xlpm.val="",_xlpm.val="Error"),"",_xlpm.val),_xlpm.Res)</f>
        <v>#NAME?</v>
      </c>
      <c r="AV136" s="1986" t="e" cm="1">
        <f t="array" ca="1" aca="1" ref="AV136">_xlfn.LET(_xlpm.val,IF($F136="",val_blankRefText,_xldudf_CX_GET(CX_ENTITY,$F136,AV$11,AV$14,,(AV$131))),_xlpm.Res,IF(OR(_xlpm.val="",_xlpm.val="Error"),"",_xlpm.val),_xlpm.Res)</f>
        <v>#NAME?</v>
      </c>
      <c r="AW136" s="1986" t="e" cm="1">
        <f t="array" ca="1" aca="1" ref="AW136">_xlfn.LET(_xlpm.val,IF($F136="",val_blankRefText,_xldudf_CX_GET(CX_ENTITY,$F136,AW$11,AW$14,,(AW$131))),_xlpm.Res,IF(OR(_xlpm.val="",_xlpm.val="Error"),"",_xlpm.val),_xlpm.Res)</f>
        <v>#NAME?</v>
      </c>
      <c r="AX136" s="1986" t="e" cm="1">
        <f t="array" ca="1" aca="1" ref="AX136">_xlfn.LET(_xlpm.val,IF($F136="",val_blankRefText,_xldudf_CX_GET(CX_ENTITY,$F136,AX$11,AX$14,,(AX$131))),_xlpm.Res,IF(OR(_xlpm.val="",_xlpm.val="Error"),"",_xlpm.val),_xlpm.Res)</f>
        <v>#NAME?</v>
      </c>
      <c r="AY136" s="1986" t="e" cm="1">
        <f t="array" ca="1" aca="1" ref="AY136">_xlfn.LET(_xlpm.val,IF($F136="",val_blankRefText,_xldudf_CX_GET(CX_ENTITY,$F136,AY$11,AY$14,,(AY$131))),_xlpm.Res,IF(OR(_xlpm.val="",_xlpm.val="Error"),"",_xlpm.val),_xlpm.Res)</f>
        <v>#NAME?</v>
      </c>
      <c r="AZ136" s="1986" t="e" cm="1">
        <f t="array" ca="1" aca="1" ref="AZ136">_xlfn.LET(_xlpm.val,IF($F136="",val_blankRefText,_xldudf_CX_GET(CX_ENTITY,$F136,AZ$11,AZ$14,,(AZ$131))),_xlpm.Res,IF(OR(_xlpm.val="",_xlpm.val="Error"),"",_xlpm.val),_xlpm.Res)</f>
        <v>#NAME?</v>
      </c>
      <c r="BA136" s="1986" t="e" cm="1">
        <f t="array" ca="1" aca="1" ref="BA136">_xlfn.LET(_xlpm.val,IF($F136="",val_blankRefText,_xldudf_CX_GET(CX_ENTITY,$F136,BA$11,BA$14,,(BA$131))),_xlpm.Res,IF(OR(_xlpm.val="",_xlpm.val="Error"),"",_xlpm.val),_xlpm.Res)</f>
        <v>#NAME?</v>
      </c>
      <c r="BB136" s="1986" t="e" cm="1">
        <f t="array" ca="1" aca="1" ref="BB136">_xlfn.LET(_xlpm.val,IF($F136="",val_blankRefText,_xldudf_CX_GET(CX_ENTITY,$F136,BB$11,BB$14,,(BB$131))),_xlpm.Res,IF(OR(_xlpm.val="",_xlpm.val="Error"),"",_xlpm.val),_xlpm.Res)</f>
        <v>#NAME?</v>
      </c>
      <c r="BC136" s="1986" t="e" cm="1">
        <f t="array" ca="1" aca="1" ref="BC136">_xlfn.LET(_xlpm.val,IF($F136="",val_blankRefText,_xldudf_CX_GET(CX_ENTITY,$F136,BC$11,BC$14,,(BC$131))),_xlpm.Res,IF(OR(_xlpm.val="",_xlpm.val="Error"),"",_xlpm.val),_xlpm.Res)</f>
        <v>#NAME?</v>
      </c>
      <c r="BD136" s="1986" t="e" cm="1">
        <f t="array" ca="1" aca="1" ref="BD136">_xlfn.LET(_xlpm.val,IF($F136="",val_blankRefText,_xldudf_CX_GET(CX_ENTITY,$F136,BD$11,BD$14,,(BD$131))),_xlpm.Res,IF(OR(_xlpm.val="",_xlpm.val="Error"),"",_xlpm.val),_xlpm.Res)</f>
        <v>#NAME?</v>
      </c>
      <c r="BE136" s="1986" t="e" cm="1">
        <f t="array" ca="1" aca="1" ref="BE136">_xlfn.LET(_xlpm.val,IF($F136="",val_blankRefText,_xldudf_CX_GET(CX_ENTITY,$F136,BE$11,BE$14,,(BE$131))),_xlpm.Res,IF(OR(_xlpm.val="",_xlpm.val="Error"),"",_xlpm.val),_xlpm.Res)</f>
        <v>#NAME?</v>
      </c>
      <c r="BF136" s="1986" t="e" cm="1">
        <f t="array" ca="1" aca="1" ref="BF136">_xlfn.LET(_xlpm.val,IF($F136="",val_blankRefText,_xldudf_CX_GET(CX_ENTITY,$F136,BF$11,BF$14,,(BF$131))),_xlpm.Res,IF(OR(_xlpm.val="",_xlpm.val="Error"),"",_xlpm.val),_xlpm.Res)</f>
        <v>#NAME?</v>
      </c>
      <c r="BG136" s="1986" t="e" cm="1">
        <f t="array" ca="1" aca="1" ref="BG136">_xlfn.LET(_xlpm.val,IF($F136="",val_blankRefText,_xldudf_CX_GET(CX_ENTITY,$F136,BG$11,BG$14,,(BG$131))),_xlpm.Res,IF(OR(_xlpm.val="",_xlpm.val="Error"),"",_xlpm.val),_xlpm.Res)</f>
        <v>#NAME?</v>
      </c>
      <c r="BH136" s="1986" t="e" cm="1">
        <f t="array" ca="1" aca="1" ref="BH136">_xlfn.LET(_xlpm.val,IF($F136="",val_blankRefText,_xldudf_CX_GET(CX_ENTITY,$F136,BH$11,BH$14,,(BH$131))),_xlpm.Res,IF(OR(_xlpm.val="",_xlpm.val="Error"),"",_xlpm.val),_xlpm.Res)</f>
        <v>#NAME?</v>
      </c>
      <c r="BI136" s="1986" t="e" cm="1">
        <f t="array" ca="1" aca="1" ref="BI136">_xlfn.LET(_xlpm.val,IF($F136="",val_blankRefText,_xldudf_CX_GET(CX_ENTITY,$F136,BI$11,BI$14,,(BI$131))),_xlpm.Res,IF(OR(_xlpm.val="",_xlpm.val="Error"),"",_xlpm.val),_xlpm.Res)</f>
        <v>#NAME?</v>
      </c>
      <c r="BJ136" s="1986" t="e" cm="1">
        <f t="array" ca="1" aca="1" ref="BJ136">_xlfn.LET(_xlpm.val,IF($F136="",val_blankRefText,_xldudf_CX_GET(CX_ENTITY,$F136,BJ$11,BJ$14,,(BJ$131))),_xlpm.Res,IF(OR(_xlpm.val="",_xlpm.val="Error"),"",_xlpm.val),_xlpm.Res)</f>
        <v>#NAME?</v>
      </c>
      <c r="BK136" s="1986" t="e" cm="1">
        <f t="array" ca="1" aca="1" ref="BK136">_xlfn.LET(_xlpm.val,IF($F136="",val_blankRefText,_xldudf_CX_GET(CX_ENTITY,$F136,BK$11,BK$14,,(BK$131))),_xlpm.Res,IF(OR(_xlpm.val="",_xlpm.val="Error"),"",_xlpm.val),_xlpm.Res)</f>
        <v>#NAME?</v>
      </c>
      <c r="BL136" s="1986" t="e" cm="1">
        <f t="array" ca="1" aca="1" ref="BL136">_xlfn.LET(_xlpm.val,IF($F136="",val_blankRefText,_xldudf_CX_GET(CX_ENTITY,$F136,BL$11,BL$14,,(BL$131))),_xlpm.Res,IF(OR(_xlpm.val="",_xlpm.val="Error"),"",_xlpm.val),_xlpm.Res)</f>
        <v>#NAME?</v>
      </c>
      <c r="BM136" s="1986" t="e" cm="1">
        <f t="array" ca="1" aca="1" ref="BM136">_xlfn.LET(_xlpm.val,IF($F136="",val_blankRefText,_xldudf_CX_GET(CX_ENTITY,$F136,BM$11,BM$14,,(BM$131))),_xlpm.Res,IF(OR(_xlpm.val="",_xlpm.val="Error"),"",_xlpm.val),_xlpm.Res)</f>
        <v>#NAME?</v>
      </c>
      <c r="BN136" s="1986" t="e" cm="1">
        <f t="array" ca="1" aca="1" ref="BN136">_xlfn.LET(_xlpm.val,IF($F136="",val_blankRefText,_xldudf_CX_GET(CX_ENTITY,$F136,BN$11,BN$14,,(BN$131))),_xlpm.Res,IF(OR(_xlpm.val="",_xlpm.val="Error"),"",_xlpm.val),_xlpm.Res)</f>
        <v>#NAME?</v>
      </c>
      <c r="BO136" s="2103"/>
      <c r="BP136" s="2103"/>
      <c r="BQ136" s="2103"/>
      <c r="BR136" s="2103"/>
      <c r="BS136" s="2103"/>
      <c r="BT136" s="2103"/>
      <c r="BU136" s="2103"/>
      <c r="BV136" s="2103"/>
      <c r="BW136" s="2103"/>
      <c r="BX136" s="2103"/>
      <c r="BY136" s="2103"/>
      <c r="BZ136" s="2103"/>
      <c r="CA136" s="34"/>
      <c r="CC136" s="50"/>
      <c r="CD136" s="1461" t="e" cm="1">
        <f t="array" ca="1" aca="1" ref="CD136">_xlfn.LET(_xlpm.CheckBlank,SUM(PL!$AD136:$BN136)=0,IF(_xlpm.CheckBlank,"",SUM(_xlfn._xlws.FILTER(PL!$AD136:$BN136,(YEAR(PL!$AD$12:$BN$12)=PL!CD$12)*(array_timeline&lt;=PL!CD$11)))))</f>
        <v>#NAME?</v>
      </c>
      <c r="CE136" s="1461" t="e" cm="1">
        <f t="array" ca="1" aca="1" ref="CE136">_xlfn.LET(_xlpm.CheckBlank,SUM(PL!$AD136:$BN136)=0,IF(_xlpm.CheckBlank,"",SUM(_xlfn._xlws.FILTER(PL!$AD136:$BN136,(YEAR(PL!$AD$12:$BN$12)=PL!CE$12)*(array_timeline&lt;=PL!CE$11)))))</f>
        <v>#NAME?</v>
      </c>
      <c r="CF136" s="1169"/>
      <c r="CG136" s="1461" t="e" cm="1">
        <f t="array" ca="1" aca="1" ref="CG136">_xlfn.LET(_xlpm.CheckBlank,SUM(PL!$AD136:$BN136)=0,IF(_xlpm.CheckBlank,"",SUM(_xlfn._xlws.FILTER(PL!$AD136:$BN136,(YEAR(PL!$AD$12:$BN$12)=PL!CG$12)*(array_timeline&lt;=PL!CG$11)))))</f>
        <v>#NAME?</v>
      </c>
      <c r="CH136" s="1461" t="e" cm="1">
        <f t="array" ca="1" aca="1" ref="CH136">_xlfn.LET(_xlpm.CheckBlank,SUM(PL!$AD136:$BN136)=0,IF(_xlpm.CheckBlank,"",SUM(_xlfn._xlws.FILTER(PL!$AD136:$BN136,(YEAR(PL!$AD$12:$BN$12)=PL!CH$12)*(array_timeline&lt;=PL!CH$11)))))</f>
        <v>#NAME?</v>
      </c>
      <c r="CI136" s="1170"/>
      <c r="CJ136" s="1461" cm="1">
        <f t="array" ref="CJ136">_xlfn.LET(_xlpm.CheckBlank,SUM(PL!$AD136:$BN136)=0,IF(_xlpm.CheckBlank,"",SUM(_xlfn.TAKE(_xlfn.DROP(PL!$AD136:$BN136,,-DATEDIFF(PL!CJ$11,val_asOfDate,"M")),1,-12))))</f>
        <v>12</v>
      </c>
      <c r="CK136" s="1461" cm="1">
        <f t="array" ref="CK136">_xlfn.LET(_xlpm.CheckBlank,SUM(PL!$AD136:$BN136)=0,IF(_xlpm.CheckBlank,"",SUM(_xlfn.TAKE(_xlfn.DROP(PL!$AD136:$BN136,,-DATEDIFF(PL!CK$11,val_asOfDate,"M")),1,-12))))</f>
        <v>12</v>
      </c>
      <c r="CL136" s="88"/>
      <c r="CM136" s="1986" t="e" cm="1">
        <f t="array" ca="1" aca="1" ref="CM136">_xlfn.LET(_xlpm.val,IF($F136="",val_blankRefText,_xldudf_CX_GET(CX_ENTITY,$F136,CM$11,CM$14,,(CM$131))),_xlpm.Res,IF(OR(_xlpm.val="",_xlpm.val="Error"),"",_xlpm.val),_xlpm.Res)</f>
        <v>#NAME?</v>
      </c>
      <c r="CN136" s="1986" t="e" cm="1">
        <f t="array" ca="1" aca="1" ref="CN136">_xlfn.LET(_xlpm.val,IF($F136="",val_blankRefText,_xldudf_CX_GET(CX_ENTITY,$F136,CN$11,CN$14,,(CN$131))),_xlpm.Res,IF(OR(_xlpm.val="",_xlpm.val="Error"),"",_xlpm.val),_xlpm.Res)</f>
        <v>#NAME?</v>
      </c>
      <c r="CO136" s="1169"/>
      <c r="CP136" s="1986" t="e" cm="1">
        <f t="array" ca="1" aca="1" ref="CP136">_xlfn.LET(_xlpm.val,IF($F136="",val_blankRefText,_xldudf_CX_GET(CX_ENTITY,$F136,CP$11,CP$14,,(CP$131))),_xlpm.Res,IF(OR(_xlpm.val="",_xlpm.val="Error"),"",_xlpm.val),_xlpm.Res)</f>
        <v>#NAME?</v>
      </c>
      <c r="CQ136" s="1986" t="e" cm="1">
        <f t="array" ca="1" aca="1" ref="CQ136">_xlfn.LET(_xlpm.val,IF($F136="",val_blankRefText,_xldudf_CX_GET(CX_ENTITY,$F136,CQ$11,CQ$14,,(CQ$131))),_xlpm.Res,IF(OR(_xlpm.val="",_xlpm.val="Error"),"",_xlpm.val),_xlpm.Res)</f>
        <v>#NAME?</v>
      </c>
      <c r="CR136" s="34"/>
    </row>
    <row r="137" spans="1:96" ht="21" customHeight="1" outlineLevel="1">
      <c r="A137" s="1322"/>
      <c r="B137" s="1328" t="s">
        <v>114</v>
      </c>
      <c r="C137" s="1328"/>
      <c r="D137" s="1328"/>
      <c r="E137" s="1328"/>
      <c r="F137" s="577" t="str">
        <f t="shared" si="33"/>
        <v>o/w Organic Volume Growth - LTM</v>
      </c>
      <c r="G137" s="577" t="s">
        <v>108</v>
      </c>
      <c r="H137" s="578"/>
      <c r="I137" s="3325">
        <v>2</v>
      </c>
      <c r="J137" s="578"/>
      <c r="K137" s="578"/>
      <c r="L137" s="3275" t="b">
        <v>1</v>
      </c>
      <c r="N137" s="158"/>
      <c r="O137" s="101"/>
      <c r="P137" s="52"/>
      <c r="Q137" s="2"/>
      <c r="R137" s="101"/>
      <c r="S137" s="101"/>
      <c r="T137" s="101"/>
      <c r="U137" s="39"/>
      <c r="W137" s="91" t="s">
        <v>103</v>
      </c>
      <c r="X137" s="894"/>
      <c r="Y137" s="509" t="s">
        <v>1606</v>
      </c>
      <c r="Z137" s="3291" cm="1">
        <f t="array" ref="Z137">_xlfn.SWITCH(TRUE,ISBLANK(_PL!$L137),"",_PL!$L137=TRUE,1,_PL!$L137=FALSE,-1,_PL!$L137=-1,0,"n/a")</f>
        <v>1</v>
      </c>
      <c r="AA137" s="97"/>
      <c r="AB137" s="33" t="s">
        <v>1606</v>
      </c>
      <c r="AC137" s="787" t="str" cm="1">
        <f t="array" ref="AC137">_xlfn.LET(_xlpm.Def,IF(_xlfn.XMATCH(AB137,tbl_acctDef[Term],0)&gt;0,fx_getIcon("find"),""),_xlpm.Adj,IF(_xlfn.XMATCH(AB137,tbl_adjExample[Items],0)&gt;0,fx_getIcon("find"),""),IFERROR(IFBLANK(_xlpm.Def,_xlpm.Adj),""))</f>
        <v/>
      </c>
      <c r="AD137" s="1986" t="e" cm="1">
        <f t="array" ca="1" aca="1" ref="AD137">_xlfn.LET(_xlpm.val,IF($F137="",val_blankRefText,_xldudf_CX_GET(CX_ENTITY,$F137,AD$11,AD$14,,(AD$131))),_xlpm.Res,IF(OR(_xlpm.val="",_xlpm.val="Error"),"",_xlpm.val),_xlpm.Res)</f>
        <v>#NAME?</v>
      </c>
      <c r="AE137" s="1986" t="e" cm="1">
        <f t="array" ca="1" aca="1" ref="AE137">_xlfn.LET(_xlpm.val,IF($F137="",val_blankRefText,_xldudf_CX_GET(CX_ENTITY,$F137,AE$11,AE$14,,(AE$131))),_xlpm.Res,IF(OR(_xlpm.val="",_xlpm.val="Error"),"",_xlpm.val),_xlpm.Res)</f>
        <v>#NAME?</v>
      </c>
      <c r="AF137" s="1986" t="e" cm="1">
        <f t="array" ca="1" aca="1" ref="AF137">_xlfn.LET(_xlpm.val,IF($F137="",val_blankRefText,_xldudf_CX_GET(CX_ENTITY,$F137,AF$11,AF$14,,(AF$131))),_xlpm.Res,IF(OR(_xlpm.val="",_xlpm.val="Error"),"",_xlpm.val),_xlpm.Res)</f>
        <v>#NAME?</v>
      </c>
      <c r="AG137" s="1986" t="e" cm="1">
        <f t="array" ca="1" aca="1" ref="AG137">_xlfn.LET(_xlpm.val,IF($F137="",val_blankRefText,_xldudf_CX_GET(CX_ENTITY,$F137,AG$11,AG$14,,(AG$131))),_xlpm.Res,IF(OR(_xlpm.val="",_xlpm.val="Error"),"",_xlpm.val),_xlpm.Res)</f>
        <v>#NAME?</v>
      </c>
      <c r="AH137" s="1986" t="e" cm="1">
        <f t="array" ca="1" aca="1" ref="AH137">_xlfn.LET(_xlpm.val,IF($F137="",val_blankRefText,_xldudf_CX_GET(CX_ENTITY,$F137,AH$11,AH$14,,(AH$131))),_xlpm.Res,IF(OR(_xlpm.val="",_xlpm.val="Error"),"",_xlpm.val),_xlpm.Res)</f>
        <v>#NAME?</v>
      </c>
      <c r="AI137" s="1986" t="e" cm="1">
        <f t="array" ca="1" aca="1" ref="AI137">_xlfn.LET(_xlpm.val,IF($F137="",val_blankRefText,_xldudf_CX_GET(CX_ENTITY,$F137,AI$11,AI$14,,(AI$131))),_xlpm.Res,IF(OR(_xlpm.val="",_xlpm.val="Error"),"",_xlpm.val),_xlpm.Res)</f>
        <v>#NAME?</v>
      </c>
      <c r="AJ137" s="1986" t="e" cm="1">
        <f t="array" ca="1" aca="1" ref="AJ137">_xlfn.LET(_xlpm.val,IF($F137="",val_blankRefText,_xldudf_CX_GET(CX_ENTITY,$F137,AJ$11,AJ$14,,(AJ$131))),_xlpm.Res,IF(OR(_xlpm.val="",_xlpm.val="Error"),"",_xlpm.val),_xlpm.Res)</f>
        <v>#NAME?</v>
      </c>
      <c r="AK137" s="1986" t="e" cm="1">
        <f t="array" ca="1" aca="1" ref="AK137">_xlfn.LET(_xlpm.val,IF($F137="",val_blankRefText,_xldudf_CX_GET(CX_ENTITY,$F137,AK$11,AK$14,,(AK$131))),_xlpm.Res,IF(OR(_xlpm.val="",_xlpm.val="Error"),"",_xlpm.val),_xlpm.Res)</f>
        <v>#NAME?</v>
      </c>
      <c r="AL137" s="1986" t="e" cm="1">
        <f t="array" ca="1" aca="1" ref="AL137">_xlfn.LET(_xlpm.val,IF($F137="",val_blankRefText,_xldudf_CX_GET(CX_ENTITY,$F137,AL$11,AL$14,,(AL$131))),_xlpm.Res,IF(OR(_xlpm.val="",_xlpm.val="Error"),"",_xlpm.val),_xlpm.Res)</f>
        <v>#NAME?</v>
      </c>
      <c r="AM137" s="1986" t="e" cm="1">
        <f t="array" ca="1" aca="1" ref="AM137">_xlfn.LET(_xlpm.val,IF($F137="",val_blankRefText,_xldudf_CX_GET(CX_ENTITY,$F137,AM$11,AM$14,,(AM$131))),_xlpm.Res,IF(OR(_xlpm.val="",_xlpm.val="Error"),"",_xlpm.val),_xlpm.Res)</f>
        <v>#NAME?</v>
      </c>
      <c r="AN137" s="1986" t="e" cm="1">
        <f t="array" ca="1" aca="1" ref="AN137">_xlfn.LET(_xlpm.val,IF($F137="",val_blankRefText,_xldudf_CX_GET(CX_ENTITY,$F137,AN$11,AN$14,,(AN$131))),_xlpm.Res,IF(OR(_xlpm.val="",_xlpm.val="Error"),"",_xlpm.val),_xlpm.Res)</f>
        <v>#NAME?</v>
      </c>
      <c r="AO137" s="1986" t="e" cm="1">
        <f t="array" ca="1" aca="1" ref="AO137">_xlfn.LET(_xlpm.val,IF($F137="",val_blankRefText,_xldudf_CX_GET(CX_ENTITY,$F137,AO$11,AO$14,,(AO$131))),_xlpm.Res,IF(OR(_xlpm.val="",_xlpm.val="Error"),"",_xlpm.val),_xlpm.Res)</f>
        <v>#NAME?</v>
      </c>
      <c r="AP137" s="1986" t="e" cm="1">
        <f t="array" ca="1" aca="1" ref="AP137">_xlfn.LET(_xlpm.val,IF($F137="",val_blankRefText,_xldudf_CX_GET(CX_ENTITY,$F137,AP$11,AP$14,,(AP$131))),_xlpm.Res,IF(OR(_xlpm.val="",_xlpm.val="Error"),"",_xlpm.val),_xlpm.Res)</f>
        <v>#NAME?</v>
      </c>
      <c r="AQ137" s="1986" t="e" cm="1">
        <f t="array" ca="1" aca="1" ref="AQ137">_xlfn.LET(_xlpm.val,IF($F137="",val_blankRefText,_xldudf_CX_GET(CX_ENTITY,$F137,AQ$11,AQ$14,,(AQ$131))),_xlpm.Res,IF(OR(_xlpm.val="",_xlpm.val="Error"),"",_xlpm.val),_xlpm.Res)</f>
        <v>#NAME?</v>
      </c>
      <c r="AR137" s="1986" t="e" cm="1">
        <f t="array" ca="1" aca="1" ref="AR137">_xlfn.LET(_xlpm.val,IF($F137="",val_blankRefText,_xldudf_CX_GET(CX_ENTITY,$F137,AR$11,AR$14,,(AR$131))),_xlpm.Res,IF(OR(_xlpm.val="",_xlpm.val="Error"),"",_xlpm.val),_xlpm.Res)</f>
        <v>#NAME?</v>
      </c>
      <c r="AS137" s="1986" t="e" cm="1">
        <f t="array" ca="1" aca="1" ref="AS137">_xlfn.LET(_xlpm.val,IF($F137="",val_blankRefText,_xldudf_CX_GET(CX_ENTITY,$F137,AS$11,AS$14,,(AS$131))),_xlpm.Res,IF(OR(_xlpm.val="",_xlpm.val="Error"),"",_xlpm.val),_xlpm.Res)</f>
        <v>#NAME?</v>
      </c>
      <c r="AT137" s="1986" t="e" cm="1">
        <f t="array" ca="1" aca="1" ref="AT137">_xlfn.LET(_xlpm.val,IF($F137="",val_blankRefText,_xldudf_CX_GET(CX_ENTITY,$F137,AT$11,AT$14,,(AT$131))),_xlpm.Res,IF(OR(_xlpm.val="",_xlpm.val="Error"),"",_xlpm.val),_xlpm.Res)</f>
        <v>#NAME?</v>
      </c>
      <c r="AU137" s="1986" t="e" cm="1">
        <f t="array" ca="1" aca="1" ref="AU137">_xlfn.LET(_xlpm.val,IF($F137="",val_blankRefText,_xldudf_CX_GET(CX_ENTITY,$F137,AU$11,AU$14,,(AU$131))),_xlpm.Res,IF(OR(_xlpm.val="",_xlpm.val="Error"),"",_xlpm.val),_xlpm.Res)</f>
        <v>#NAME?</v>
      </c>
      <c r="AV137" s="1986" t="e" cm="1">
        <f t="array" ca="1" aca="1" ref="AV137">_xlfn.LET(_xlpm.val,IF($F137="",val_blankRefText,_xldudf_CX_GET(CX_ENTITY,$F137,AV$11,AV$14,,(AV$131))),_xlpm.Res,IF(OR(_xlpm.val="",_xlpm.val="Error"),"",_xlpm.val),_xlpm.Res)</f>
        <v>#NAME?</v>
      </c>
      <c r="AW137" s="1986" t="e" cm="1">
        <f t="array" ca="1" aca="1" ref="AW137">_xlfn.LET(_xlpm.val,IF($F137="",val_blankRefText,_xldudf_CX_GET(CX_ENTITY,$F137,AW$11,AW$14,,(AW$131))),_xlpm.Res,IF(OR(_xlpm.val="",_xlpm.val="Error"),"",_xlpm.val),_xlpm.Res)</f>
        <v>#NAME?</v>
      </c>
      <c r="AX137" s="1986" t="e" cm="1">
        <f t="array" ca="1" aca="1" ref="AX137">_xlfn.LET(_xlpm.val,IF($F137="",val_blankRefText,_xldudf_CX_GET(CX_ENTITY,$F137,AX$11,AX$14,,(AX$131))),_xlpm.Res,IF(OR(_xlpm.val="",_xlpm.val="Error"),"",_xlpm.val),_xlpm.Res)</f>
        <v>#NAME?</v>
      </c>
      <c r="AY137" s="1986" t="e" cm="1">
        <f t="array" ca="1" aca="1" ref="AY137">_xlfn.LET(_xlpm.val,IF($F137="",val_blankRefText,_xldudf_CX_GET(CX_ENTITY,$F137,AY$11,AY$14,,(AY$131))),_xlpm.Res,IF(OR(_xlpm.val="",_xlpm.val="Error"),"",_xlpm.val),_xlpm.Res)</f>
        <v>#NAME?</v>
      </c>
      <c r="AZ137" s="1986" t="e" cm="1">
        <f t="array" ca="1" aca="1" ref="AZ137">_xlfn.LET(_xlpm.val,IF($F137="",val_blankRefText,_xldudf_CX_GET(CX_ENTITY,$F137,AZ$11,AZ$14,,(AZ$131))),_xlpm.Res,IF(OR(_xlpm.val="",_xlpm.val="Error"),"",_xlpm.val),_xlpm.Res)</f>
        <v>#NAME?</v>
      </c>
      <c r="BA137" s="1986" t="e" cm="1">
        <f t="array" ca="1" aca="1" ref="BA137">_xlfn.LET(_xlpm.val,IF($F137="",val_blankRefText,_xldudf_CX_GET(CX_ENTITY,$F137,BA$11,BA$14,,(BA$131))),_xlpm.Res,IF(OR(_xlpm.val="",_xlpm.val="Error"),"",_xlpm.val),_xlpm.Res)</f>
        <v>#NAME?</v>
      </c>
      <c r="BB137" s="1986" t="e" cm="1">
        <f t="array" ca="1" aca="1" ref="BB137">_xlfn.LET(_xlpm.val,IF($F137="",val_blankRefText,_xldudf_CX_GET(CX_ENTITY,$F137,BB$11,BB$14,,(BB$131))),_xlpm.Res,IF(OR(_xlpm.val="",_xlpm.val="Error"),"",_xlpm.val),_xlpm.Res)</f>
        <v>#NAME?</v>
      </c>
      <c r="BC137" s="1986" t="e" cm="1">
        <f t="array" ca="1" aca="1" ref="BC137">_xlfn.LET(_xlpm.val,IF($F137="",val_blankRefText,_xldudf_CX_GET(CX_ENTITY,$F137,BC$11,BC$14,,(BC$131))),_xlpm.Res,IF(OR(_xlpm.val="",_xlpm.val="Error"),"",_xlpm.val),_xlpm.Res)</f>
        <v>#NAME?</v>
      </c>
      <c r="BD137" s="1986" t="e" cm="1">
        <f t="array" ca="1" aca="1" ref="BD137">_xlfn.LET(_xlpm.val,IF($F137="",val_blankRefText,_xldudf_CX_GET(CX_ENTITY,$F137,BD$11,BD$14,,(BD$131))),_xlpm.Res,IF(OR(_xlpm.val="",_xlpm.val="Error"),"",_xlpm.val),_xlpm.Res)</f>
        <v>#NAME?</v>
      </c>
      <c r="BE137" s="1986" t="e" cm="1">
        <f t="array" ca="1" aca="1" ref="BE137">_xlfn.LET(_xlpm.val,IF($F137="",val_blankRefText,_xldudf_CX_GET(CX_ENTITY,$F137,BE$11,BE$14,,(BE$131))),_xlpm.Res,IF(OR(_xlpm.val="",_xlpm.val="Error"),"",_xlpm.val),_xlpm.Res)</f>
        <v>#NAME?</v>
      </c>
      <c r="BF137" s="1986" t="e" cm="1">
        <f t="array" ca="1" aca="1" ref="BF137">_xlfn.LET(_xlpm.val,IF($F137="",val_blankRefText,_xldudf_CX_GET(CX_ENTITY,$F137,BF$11,BF$14,,(BF$131))),_xlpm.Res,IF(OR(_xlpm.val="",_xlpm.val="Error"),"",_xlpm.val),_xlpm.Res)</f>
        <v>#NAME?</v>
      </c>
      <c r="BG137" s="1986" t="e" cm="1">
        <f t="array" ca="1" aca="1" ref="BG137">_xlfn.LET(_xlpm.val,IF($F137="",val_blankRefText,_xldudf_CX_GET(CX_ENTITY,$F137,BG$11,BG$14,,(BG$131))),_xlpm.Res,IF(OR(_xlpm.val="",_xlpm.val="Error"),"",_xlpm.val),_xlpm.Res)</f>
        <v>#NAME?</v>
      </c>
      <c r="BH137" s="1986" t="e" cm="1">
        <f t="array" ca="1" aca="1" ref="BH137">_xlfn.LET(_xlpm.val,IF($F137="",val_blankRefText,_xldudf_CX_GET(CX_ENTITY,$F137,BH$11,BH$14,,(BH$131))),_xlpm.Res,IF(OR(_xlpm.val="",_xlpm.val="Error"),"",_xlpm.val),_xlpm.Res)</f>
        <v>#NAME?</v>
      </c>
      <c r="BI137" s="1986" t="e" cm="1">
        <f t="array" ca="1" aca="1" ref="BI137">_xlfn.LET(_xlpm.val,IF($F137="",val_blankRefText,_xldudf_CX_GET(CX_ENTITY,$F137,BI$11,BI$14,,(BI$131))),_xlpm.Res,IF(OR(_xlpm.val="",_xlpm.val="Error"),"",_xlpm.val),_xlpm.Res)</f>
        <v>#NAME?</v>
      </c>
      <c r="BJ137" s="1986" t="e" cm="1">
        <f t="array" ca="1" aca="1" ref="BJ137">_xlfn.LET(_xlpm.val,IF($F137="",val_blankRefText,_xldudf_CX_GET(CX_ENTITY,$F137,BJ$11,BJ$14,,(BJ$131))),_xlpm.Res,IF(OR(_xlpm.val="",_xlpm.val="Error"),"",_xlpm.val),_xlpm.Res)</f>
        <v>#NAME?</v>
      </c>
      <c r="BK137" s="1986" t="e" cm="1">
        <f t="array" ca="1" aca="1" ref="BK137">_xlfn.LET(_xlpm.val,IF($F137="",val_blankRefText,_xldudf_CX_GET(CX_ENTITY,$F137,BK$11,BK$14,,(BK$131))),_xlpm.Res,IF(OR(_xlpm.val="",_xlpm.val="Error"),"",_xlpm.val),_xlpm.Res)</f>
        <v>#NAME?</v>
      </c>
      <c r="BL137" s="1986" t="e" cm="1">
        <f t="array" ca="1" aca="1" ref="BL137">_xlfn.LET(_xlpm.val,IF($F137="",val_blankRefText,_xldudf_CX_GET(CX_ENTITY,$F137,BL$11,BL$14,,(BL$131))),_xlpm.Res,IF(OR(_xlpm.val="",_xlpm.val="Error"),"",_xlpm.val),_xlpm.Res)</f>
        <v>#NAME?</v>
      </c>
      <c r="BM137" s="1986" t="e" cm="1">
        <f t="array" ca="1" aca="1" ref="BM137">_xlfn.LET(_xlpm.val,IF($F137="",val_blankRefText,_xldudf_CX_GET(CX_ENTITY,$F137,BM$11,BM$14,,(BM$131))),_xlpm.Res,IF(OR(_xlpm.val="",_xlpm.val="Error"),"",_xlpm.val),_xlpm.Res)</f>
        <v>#NAME?</v>
      </c>
      <c r="BN137" s="1986" t="e" cm="1">
        <f t="array" ca="1" aca="1" ref="BN137">_xlfn.LET(_xlpm.val,IF($F137="",val_blankRefText,_xldudf_CX_GET(CX_ENTITY,$F137,BN$11,BN$14,,(BN$131))),_xlpm.Res,IF(OR(_xlpm.val="",_xlpm.val="Error"),"",_xlpm.val),_xlpm.Res)</f>
        <v>#NAME?</v>
      </c>
      <c r="BO137" s="2103"/>
      <c r="BP137" s="2103"/>
      <c r="BQ137" s="2103"/>
      <c r="BR137" s="2103"/>
      <c r="BS137" s="2103"/>
      <c r="BT137" s="2103"/>
      <c r="BU137" s="2103"/>
      <c r="BV137" s="2103"/>
      <c r="BW137" s="2103"/>
      <c r="BX137" s="2103"/>
      <c r="BY137" s="2103"/>
      <c r="BZ137" s="2103"/>
      <c r="CA137" s="34"/>
      <c r="CC137" s="50"/>
      <c r="CD137" s="1461" t="e" cm="1">
        <f t="array" ca="1" aca="1" ref="CD137">_xlfn.LET(_xlpm.CheckBlank,SUM(PL!$AD137:$BN137)=0,IF(_xlpm.CheckBlank,"",SUM(_xlfn._xlws.FILTER(PL!$AD137:$BN137,(YEAR(PL!$AD$12:$BN$12)=PL!CD$12)*(array_timeline&lt;=PL!CD$11)))))</f>
        <v>#NAME?</v>
      </c>
      <c r="CE137" s="1461" t="e" cm="1">
        <f t="array" ca="1" aca="1" ref="CE137">_xlfn.LET(_xlpm.CheckBlank,SUM(PL!$AD137:$BN137)=0,IF(_xlpm.CheckBlank,"",SUM(_xlfn._xlws.FILTER(PL!$AD137:$BN137,(YEAR(PL!$AD$12:$BN$12)=PL!CE$12)*(array_timeline&lt;=PL!CE$11)))))</f>
        <v>#NAME?</v>
      </c>
      <c r="CF137" s="1169"/>
      <c r="CG137" s="1461" t="e" cm="1">
        <f t="array" ca="1" aca="1" ref="CG137">_xlfn.LET(_xlpm.CheckBlank,SUM(PL!$AD137:$BN137)=0,IF(_xlpm.CheckBlank,"",SUM(_xlfn._xlws.FILTER(PL!$AD137:$BN137,(YEAR(PL!$AD$12:$BN$12)=PL!CG$12)*(array_timeline&lt;=PL!CG$11)))))</f>
        <v>#NAME?</v>
      </c>
      <c r="CH137" s="1461" t="e" cm="1">
        <f t="array" ca="1" aca="1" ref="CH137">_xlfn.LET(_xlpm.CheckBlank,SUM(PL!$AD137:$BN137)=0,IF(_xlpm.CheckBlank,"",SUM(_xlfn._xlws.FILTER(PL!$AD137:$BN137,(YEAR(PL!$AD$12:$BN$12)=PL!CH$12)*(array_timeline&lt;=PL!CH$11)))))</f>
        <v>#NAME?</v>
      </c>
      <c r="CI137" s="1170"/>
      <c r="CJ137" s="1461" cm="1">
        <f t="array" ref="CJ137">_xlfn.LET(_xlpm.CheckBlank,SUM(PL!$AD137:$BN137)=0,IF(_xlpm.CheckBlank,"",SUM(_xlfn.TAKE(_xlfn.DROP(PL!$AD137:$BN137,,-DATEDIFF(PL!CJ$11,val_asOfDate,"M")),1,-12))))</f>
        <v>12</v>
      </c>
      <c r="CK137" s="1461" cm="1">
        <f t="array" ref="CK137">_xlfn.LET(_xlpm.CheckBlank,SUM(PL!$AD137:$BN137)=0,IF(_xlpm.CheckBlank,"",SUM(_xlfn.TAKE(_xlfn.DROP(PL!$AD137:$BN137,,-DATEDIFF(PL!CK$11,val_asOfDate,"M")),1,-12))))</f>
        <v>12</v>
      </c>
      <c r="CL137" s="88"/>
      <c r="CM137" s="1986" t="e" cm="1">
        <f t="array" ca="1" aca="1" ref="CM137">_xlfn.LET(_xlpm.val,IF($F137="",val_blankRefText,_xldudf_CX_GET(CX_ENTITY,$F137,CM$11,CM$14,,(CM$131))),_xlpm.Res,IF(OR(_xlpm.val="",_xlpm.val="Error"),"",_xlpm.val),_xlpm.Res)</f>
        <v>#NAME?</v>
      </c>
      <c r="CN137" s="1986" t="e" cm="1">
        <f t="array" ca="1" aca="1" ref="CN137">_xlfn.LET(_xlpm.val,IF($F137="",val_blankRefText,_xldudf_CX_GET(CX_ENTITY,$F137,CN$11,CN$14,,(CN$131))),_xlpm.Res,IF(OR(_xlpm.val="",_xlpm.val="Error"),"",_xlpm.val),_xlpm.Res)</f>
        <v>#NAME?</v>
      </c>
      <c r="CO137" s="1169"/>
      <c r="CP137" s="1986" t="e" cm="1">
        <f t="array" ca="1" aca="1" ref="CP137">_xlfn.LET(_xlpm.val,IF($F137="",val_blankRefText,_xldudf_CX_GET(CX_ENTITY,$F137,CP$11,CP$14,,(CP$131))),_xlpm.Res,IF(OR(_xlpm.val="",_xlpm.val="Error"),"",_xlpm.val),_xlpm.Res)</f>
        <v>#NAME?</v>
      </c>
      <c r="CQ137" s="1986" t="e" cm="1">
        <f t="array" ca="1" aca="1" ref="CQ137">_xlfn.LET(_xlpm.val,IF($F137="",val_blankRefText,_xldudf_CX_GET(CX_ENTITY,$F137,CQ$11,CQ$14,,(CQ$131))),_xlpm.Res,IF(OR(_xlpm.val="",_xlpm.val="Error"),"",_xlpm.val),_xlpm.Res)</f>
        <v>#NAME?</v>
      </c>
      <c r="CR137" s="34"/>
    </row>
    <row r="138" spans="1:96" ht="21" customHeight="1" outlineLevel="1">
      <c r="A138" s="1322"/>
      <c r="B138" s="577"/>
      <c r="C138" s="577"/>
      <c r="D138" s="577"/>
      <c r="E138" s="577"/>
      <c r="F138" s="2284"/>
      <c r="G138" s="2284"/>
      <c r="H138" s="2284"/>
      <c r="I138" s="2284"/>
      <c r="J138" s="2284"/>
      <c r="K138" s="2284"/>
      <c r="L138" s="2284"/>
      <c r="N138" s="158"/>
      <c r="O138" s="101"/>
      <c r="P138" s="52"/>
      <c r="Q138" s="2"/>
      <c r="R138" s="101"/>
      <c r="S138" s="101"/>
      <c r="T138" s="101"/>
      <c r="U138" s="39"/>
      <c r="W138" s="268" t="s">
        <v>103</v>
      </c>
      <c r="X138" s="895">
        <v>0</v>
      </c>
      <c r="Y138" s="270" t="s">
        <v>167</v>
      </c>
      <c r="Z138" s="538"/>
      <c r="AA138" s="904"/>
      <c r="AB138" s="1136" t="s">
        <v>167</v>
      </c>
      <c r="AC138" s="124" t="str" cm="1">
        <f t="array" ref="AC138">_xlfn.LET(_xlpm.Def,IF(_xlfn.XMATCH(AB138,tbl_acctDef[Term],0)&gt;0,fx_getIcon("find"),""),_xlpm.Adj,IF(_xlfn.XMATCH(AB138,tbl_adjExample[Items],0)&gt;0,fx_getIcon("find"),""),IFERROR(IFBLANK(_xlpm.Def,_xlpm.Adj),""))</f>
        <v/>
      </c>
      <c r="AD138" s="758" t="e">
        <f ca="1" t="shared" si="34" ref="AD138">SUM(AD133:AD134)</f>
        <v>#NAME?</v>
      </c>
      <c r="AE138" s="758" t="e">
        <f ca="1" t="shared" si="35" ref="AE138:BN138">SUM(AE133:AE134)</f>
        <v>#NAME?</v>
      </c>
      <c r="AF138" s="758" t="e">
        <f t="shared" ca="1" si="35"/>
        <v>#NAME?</v>
      </c>
      <c r="AG138" s="758" t="e">
        <f t="shared" ca="1" si="35"/>
        <v>#NAME?</v>
      </c>
      <c r="AH138" s="758" t="e">
        <f t="shared" ca="1" si="35"/>
        <v>#NAME?</v>
      </c>
      <c r="AI138" s="758" t="e">
        <f t="shared" ca="1" si="35"/>
        <v>#NAME?</v>
      </c>
      <c r="AJ138" s="758" t="e">
        <f t="shared" ca="1" si="35"/>
        <v>#NAME?</v>
      </c>
      <c r="AK138" s="758" t="e">
        <f t="shared" ca="1" si="35"/>
        <v>#NAME?</v>
      </c>
      <c r="AL138" s="758" t="e">
        <f t="shared" ca="1" si="35"/>
        <v>#NAME?</v>
      </c>
      <c r="AM138" s="758" t="e">
        <f t="shared" ca="1" si="35"/>
        <v>#NAME?</v>
      </c>
      <c r="AN138" s="758" t="e">
        <f t="shared" ca="1" si="35"/>
        <v>#NAME?</v>
      </c>
      <c r="AO138" s="758" t="e">
        <f t="shared" ca="1" si="35"/>
        <v>#NAME?</v>
      </c>
      <c r="AP138" s="758" t="e">
        <f t="shared" ca="1" si="35"/>
        <v>#NAME?</v>
      </c>
      <c r="AQ138" s="758" t="e">
        <f t="shared" ca="1" si="35"/>
        <v>#NAME?</v>
      </c>
      <c r="AR138" s="758" t="e">
        <f t="shared" ca="1" si="35"/>
        <v>#NAME?</v>
      </c>
      <c r="AS138" s="758" t="e">
        <f t="shared" ca="1" si="35"/>
        <v>#NAME?</v>
      </c>
      <c r="AT138" s="758" t="e">
        <f t="shared" ca="1" si="35"/>
        <v>#NAME?</v>
      </c>
      <c r="AU138" s="758" t="e">
        <f t="shared" ca="1" si="35"/>
        <v>#NAME?</v>
      </c>
      <c r="AV138" s="758" t="e">
        <f t="shared" ca="1" si="35"/>
        <v>#NAME?</v>
      </c>
      <c r="AW138" s="758" t="e">
        <f t="shared" ca="1" si="35"/>
        <v>#NAME?</v>
      </c>
      <c r="AX138" s="758" t="e">
        <f t="shared" ca="1" si="35"/>
        <v>#NAME?</v>
      </c>
      <c r="AY138" s="758" t="e">
        <f t="shared" ca="1" si="35"/>
        <v>#NAME?</v>
      </c>
      <c r="AZ138" s="758" t="e">
        <f t="shared" ca="1" si="35"/>
        <v>#NAME?</v>
      </c>
      <c r="BA138" s="758" t="e">
        <f t="shared" ca="1" si="35"/>
        <v>#NAME?</v>
      </c>
      <c r="BB138" s="758" t="e">
        <f t="shared" ca="1" si="35"/>
        <v>#NAME?</v>
      </c>
      <c r="BC138" s="758" t="e">
        <f t="shared" ca="1" si="35"/>
        <v>#NAME?</v>
      </c>
      <c r="BD138" s="758" t="e">
        <f t="shared" ca="1" si="35"/>
        <v>#NAME?</v>
      </c>
      <c r="BE138" s="758" t="e">
        <f t="shared" ca="1" si="35"/>
        <v>#NAME?</v>
      </c>
      <c r="BF138" s="758" t="e">
        <f t="shared" ca="1" si="35"/>
        <v>#NAME?</v>
      </c>
      <c r="BG138" s="758" t="e">
        <f t="shared" ca="1" si="35"/>
        <v>#NAME?</v>
      </c>
      <c r="BH138" s="758" t="e">
        <f t="shared" ca="1" si="35"/>
        <v>#NAME?</v>
      </c>
      <c r="BI138" s="758" t="e">
        <f t="shared" ca="1" si="35"/>
        <v>#NAME?</v>
      </c>
      <c r="BJ138" s="758" t="e">
        <f t="shared" ca="1" si="35"/>
        <v>#NAME?</v>
      </c>
      <c r="BK138" s="758" t="e">
        <f t="shared" ca="1" si="35"/>
        <v>#NAME?</v>
      </c>
      <c r="BL138" s="758" t="e">
        <f t="shared" ca="1" si="35"/>
        <v>#NAME?</v>
      </c>
      <c r="BM138" s="758" t="e">
        <f t="shared" ca="1" si="35"/>
        <v>#NAME?</v>
      </c>
      <c r="BN138" s="759" t="e">
        <f t="shared" ca="1" si="35"/>
        <v>#NAME?</v>
      </c>
      <c r="BO138" s="2106"/>
      <c r="BP138" s="2106"/>
      <c r="BQ138" s="2106"/>
      <c r="BR138" s="2106"/>
      <c r="BS138" s="2106"/>
      <c r="BT138" s="2106"/>
      <c r="BU138" s="2106"/>
      <c r="BV138" s="2106"/>
      <c r="BW138" s="2106"/>
      <c r="BX138" s="2106"/>
      <c r="BY138" s="2106"/>
      <c r="BZ138" s="2106"/>
      <c r="CA138" s="34"/>
      <c r="CC138" s="50"/>
      <c r="CD138" s="1461" t="e" cm="1">
        <f t="array" ca="1" aca="1" ref="CD138">_xlfn.LET(_xlpm.CheckBlank,SUM(PL!$AD138:$BN138)=0,IF(_xlpm.CheckBlank,"",SUM(_xlfn._xlws.FILTER(PL!$AD138:$BN138,(YEAR(PL!$AD$12:$BN$12)=PL!CD$12)*(array_timeline&lt;=PL!CD$11)))))</f>
        <v>#NAME?</v>
      </c>
      <c r="CE138" s="1461" t="e" cm="1">
        <f t="array" ca="1" aca="1" ref="CE138">_xlfn.LET(_xlpm.CheckBlank,SUM(PL!$AD138:$BN138)=0,IF(_xlpm.CheckBlank,"",SUM(_xlfn._xlws.FILTER(PL!$AD138:$BN138,(YEAR(PL!$AD$12:$BN$12)=PL!CE$12)*(array_timeline&lt;=PL!CE$11)))))</f>
        <v>#NAME?</v>
      </c>
      <c r="CF138" s="88"/>
      <c r="CG138" s="1461" t="e" cm="1">
        <f t="array" ca="1" aca="1" ref="CG138">_xlfn.LET(_xlpm.CheckBlank,SUM(PL!$AD138:$BN138)=0,IF(_xlpm.CheckBlank,"",SUM(_xlfn._xlws.FILTER(PL!$AD138:$BN138,(YEAR(PL!$AD$12:$BN$12)=PL!CG$12)*(array_timeline&lt;=PL!CG$11)))))</f>
        <v>#NAME?</v>
      </c>
      <c r="CH138" s="1461" t="e" cm="1">
        <f t="array" ca="1" aca="1" ref="CH138">_xlfn.LET(_xlpm.CheckBlank,SUM(PL!$AD138:$BN138)=0,IF(_xlpm.CheckBlank,"",SUM(_xlfn._xlws.FILTER(PL!$AD138:$BN138,(YEAR(PL!$AD$12:$BN$12)=PL!CH$12)*(array_timeline&lt;=PL!CH$11)))))</f>
        <v>#NAME?</v>
      </c>
      <c r="CI138" s="88"/>
      <c r="CJ138" s="1461" cm="1">
        <f t="array" ref="CJ138">_xlfn.LET(_xlpm.CheckBlank,SUM(PL!$AD138:$BN138)=0,IF(_xlpm.CheckBlank,"",SUM(_xlfn.TAKE(_xlfn.DROP(PL!$AD138:$BN138,,-DATEDIFF(PL!CJ$11,val_asOfDate,"M")),1,-12))))</f>
        <v>12</v>
      </c>
      <c r="CK138" s="1461" cm="1">
        <f t="array" ref="CK138">_xlfn.LET(_xlpm.CheckBlank,SUM(PL!$AD138:$BN138)=0,IF(_xlpm.CheckBlank,"",SUM(_xlfn.TAKE(_xlfn.DROP(PL!$AD138:$BN138,,-DATEDIFF(PL!CK$11,val_asOfDate,"M")),1,-12))))</f>
        <v>12</v>
      </c>
      <c r="CL138" s="1204"/>
      <c r="CM138" s="1986" t="str" cm="1">
        <f t="array" ref="CM138">_xlfn.LET(_xlpm.val,IF($F138="",val_blankRefText,_xldudf_CX_GET(CX_ENTITY,$F138,CM$11,CM$14,,(CM$131))),_xlpm.Res,IF(OR(_xlpm.val="",_xlpm.val="Error"),"",_xlpm.val),_xlpm.Res)</f>
        <v/>
      </c>
      <c r="CN138" s="1986" t="str" cm="1">
        <f t="array" ref="CN138">_xlfn.LET(_xlpm.val,IF($F138="",val_blankRefText,_xldudf_CX_GET(CX_ENTITY,$F138,CN$11,CN$14,,(CN$131))),_xlpm.Res,IF(OR(_xlpm.val="",_xlpm.val="Error"),"",_xlpm.val),_xlpm.Res)</f>
        <v/>
      </c>
      <c r="CO138" s="1204"/>
      <c r="CP138" s="1986" t="str" cm="1">
        <f t="array" ref="CP138">_xlfn.LET(_xlpm.val,IF($F138="",val_blankRefText,_xldudf_CX_GET(CX_ENTITY,$F138,CP$11,CP$14,,(CP$131))),_xlpm.Res,IF(OR(_xlpm.val="",_xlpm.val="Error"),"",_xlpm.val),_xlpm.Res)</f>
        <v/>
      </c>
      <c r="CQ138" s="1986" t="str" cm="1">
        <f t="array" ref="CQ138">_xlfn.LET(_xlpm.val,IF($F138="",val_blankRefText,_xldudf_CX_GET(CX_ENTITY,$F138,CQ$11,CQ$14,,(CQ$131))),_xlpm.Res,IF(OR(_xlpm.val="",_xlpm.val="Error"),"",_xlpm.val),_xlpm.Res)</f>
        <v/>
      </c>
      <c r="CR138" s="34"/>
    </row>
    <row r="139" spans="1:96" ht="32.5" outlineLevel="1">
      <c r="A139" s="1322"/>
      <c r="B139" s="577"/>
      <c r="C139" s="577"/>
      <c r="D139" s="577"/>
      <c r="E139" s="577"/>
      <c r="F139" s="577"/>
      <c r="G139" s="577"/>
      <c r="H139" s="578"/>
      <c r="I139" s="578"/>
      <c r="J139" s="578"/>
      <c r="K139" s="578"/>
      <c r="L139" s="578"/>
      <c r="N139" s="158"/>
      <c r="O139" s="101"/>
      <c r="P139" s="52"/>
      <c r="Q139" s="2"/>
      <c r="R139" s="101"/>
      <c r="S139" s="101"/>
      <c r="T139" s="101"/>
      <c r="U139" s="39"/>
      <c r="W139" s="283"/>
      <c r="X139" s="887"/>
      <c r="Y139" s="24"/>
      <c r="Z139" s="865"/>
      <c r="AA139" s="97"/>
      <c r="AB139" s="885"/>
      <c r="AC139" s="128"/>
      <c r="AD139" s="128"/>
      <c r="AE139" s="128"/>
      <c r="AF139" s="128"/>
      <c r="AG139" s="128"/>
      <c r="AH139" s="128"/>
      <c r="AI139" s="128"/>
      <c r="AJ139" s="128"/>
      <c r="AK139" s="128"/>
      <c r="AL139" s="128"/>
      <c r="AM139" s="128"/>
      <c r="AN139" s="128"/>
      <c r="AO139" s="128"/>
      <c r="AP139" s="128"/>
      <c r="AQ139" s="128"/>
      <c r="AR139" s="128"/>
      <c r="AS139" s="128"/>
      <c r="AT139" s="128"/>
      <c r="AU139" s="128"/>
      <c r="AV139" s="128"/>
      <c r="AW139" s="128"/>
      <c r="AX139" s="128"/>
      <c r="AY139" s="128"/>
      <c r="AZ139" s="128"/>
      <c r="BA139" s="128"/>
      <c r="BB139" s="128"/>
      <c r="BC139" s="128"/>
      <c r="BD139" s="128"/>
      <c r="BE139" s="128"/>
      <c r="BF139" s="128"/>
      <c r="BG139" s="128"/>
      <c r="BH139" s="128"/>
      <c r="BI139" s="128"/>
      <c r="BJ139" s="128"/>
      <c r="BK139" s="128"/>
      <c r="BL139" s="128"/>
      <c r="BM139" s="128"/>
      <c r="BN139" s="128"/>
      <c r="BO139" s="128"/>
      <c r="BP139" s="128"/>
      <c r="BQ139" s="128"/>
      <c r="BR139" s="128"/>
      <c r="BS139" s="128"/>
      <c r="BT139" s="128"/>
      <c r="BU139" s="128"/>
      <c r="BV139" s="128"/>
      <c r="BW139" s="128"/>
      <c r="BX139" s="128"/>
      <c r="BY139" s="128"/>
      <c r="BZ139" s="128"/>
      <c r="CA139" s="34"/>
      <c r="CC139" s="50"/>
      <c r="CD139" s="294"/>
      <c r="CE139" s="294"/>
      <c r="CF139" s="294"/>
      <c r="CG139" s="294"/>
      <c r="CH139" s="294"/>
      <c r="CI139" s="293"/>
      <c r="CJ139" s="295"/>
      <c r="CK139" s="295"/>
      <c r="CL139" s="88"/>
      <c r="CM139" s="88"/>
      <c r="CN139" s="88"/>
      <c r="CO139" s="88"/>
      <c r="CP139" s="88"/>
      <c r="CQ139" s="88"/>
      <c r="CR139" s="34"/>
    </row>
    <row r="140" spans="1:96" ht="15.5" outlineLevel="2">
      <c r="A140" s="1322"/>
      <c r="B140" s="577"/>
      <c r="C140" s="577"/>
      <c r="D140" s="577"/>
      <c r="E140" s="577"/>
      <c r="F140" s="577"/>
      <c r="G140" s="577"/>
      <c r="H140" s="578"/>
      <c r="I140" s="578"/>
      <c r="J140" s="578"/>
      <c r="K140" s="578"/>
      <c r="L140" s="578"/>
      <c r="N140" s="158"/>
      <c r="O140" s="101"/>
      <c r="P140" s="52"/>
      <c r="Q140" s="101"/>
      <c r="R140" s="101"/>
      <c r="S140" s="101"/>
      <c r="T140" s="101"/>
      <c r="U140" s="39"/>
      <c r="W140" s="91"/>
      <c r="X140" s="898"/>
      <c r="Y140" s="127"/>
      <c r="Z140" s="791"/>
      <c r="AA140" s="127"/>
      <c r="AB140" s="127"/>
      <c r="AC140" s="127"/>
      <c r="AD140" s="127"/>
      <c r="AE140" s="127"/>
      <c r="AF140" s="86"/>
      <c r="AG140" s="86"/>
      <c r="AH140" s="86"/>
      <c r="AI140" s="86"/>
      <c r="AJ140" s="86"/>
      <c r="AK140" s="86"/>
      <c r="AL140" s="86"/>
      <c r="AM140" s="86"/>
      <c r="AN140" s="86"/>
      <c r="AO140" s="86"/>
      <c r="AP140" s="86"/>
      <c r="AQ140" s="86"/>
      <c r="AR140" s="86"/>
      <c r="AS140" s="86"/>
      <c r="AT140" s="86"/>
      <c r="AU140" s="86"/>
      <c r="AV140" s="86"/>
      <c r="AW140" s="86"/>
      <c r="AX140" s="86"/>
      <c r="AY140" s="86"/>
      <c r="AZ140" s="86"/>
      <c r="BA140" s="86"/>
      <c r="BB140" s="86"/>
      <c r="BC140" s="86"/>
      <c r="BD140" s="86"/>
      <c r="BE140" s="86"/>
      <c r="BF140" s="86"/>
      <c r="BG140" s="86"/>
      <c r="BH140" s="86"/>
      <c r="BI140" s="86"/>
      <c r="BJ140" s="86"/>
      <c r="BK140" s="86"/>
      <c r="BL140" s="86"/>
      <c r="BM140" s="86"/>
      <c r="BN140" s="86"/>
      <c r="BO140" s="86"/>
      <c r="BP140" s="86"/>
      <c r="BQ140" s="86"/>
      <c r="BR140" s="86"/>
      <c r="BS140" s="86"/>
      <c r="BT140" s="86"/>
      <c r="BU140" s="86"/>
      <c r="BV140" s="86"/>
      <c r="BW140" s="86"/>
      <c r="BX140" s="86"/>
      <c r="BY140" s="86"/>
      <c r="BZ140" s="86"/>
      <c r="CA140" s="34"/>
      <c r="CC140" s="50"/>
      <c r="CD140" s="294"/>
      <c r="CE140" s="294"/>
      <c r="CF140" s="294"/>
      <c r="CG140" s="294"/>
      <c r="CH140" s="294"/>
      <c r="CI140" s="293"/>
      <c r="CJ140" s="295"/>
      <c r="CK140" s="295"/>
      <c r="CL140" s="88"/>
      <c r="CM140" s="88"/>
      <c r="CN140" s="88"/>
      <c r="CO140" s="88"/>
      <c r="CP140" s="88"/>
      <c r="CQ140" s="88"/>
      <c r="CR140" s="34"/>
    </row>
    <row r="141" spans="1:96" ht="32.5">
      <c r="A141" s="1322"/>
      <c r="B141" s="577"/>
      <c r="C141" s="577"/>
      <c r="D141" s="577"/>
      <c r="E141" s="577"/>
      <c r="F141" s="577"/>
      <c r="G141" s="577"/>
      <c r="H141" s="578"/>
      <c r="I141" s="578"/>
      <c r="J141" s="578"/>
      <c r="K141" s="578"/>
      <c r="L141" s="578"/>
      <c r="N141" s="158"/>
      <c r="O141" s="101"/>
      <c r="P141" s="52"/>
      <c r="Q141" s="101"/>
      <c r="R141" s="101"/>
      <c r="S141" s="101"/>
      <c r="T141" s="101"/>
      <c r="U141" s="39"/>
      <c r="W141" s="91"/>
      <c r="X141" s="887"/>
      <c r="Y141" s="23" t="s">
        <v>116</v>
      </c>
      <c r="Z141" s="788"/>
      <c r="AA141" s="97"/>
      <c r="AB141" s="97"/>
      <c r="AC141" s="128"/>
      <c r="AD141" s="998"/>
      <c r="AE141" s="88"/>
      <c r="AF141" s="88"/>
      <c r="AG141" s="88"/>
      <c r="AH141" s="88"/>
      <c r="AI141" s="88"/>
      <c r="AJ141" s="88"/>
      <c r="AK141" s="88"/>
      <c r="AL141" s="88"/>
      <c r="AM141" s="88"/>
      <c r="AN141" s="88"/>
      <c r="AO141" s="88"/>
      <c r="AP141" s="88"/>
      <c r="AQ141" s="88"/>
      <c r="AR141" s="88"/>
      <c r="AS141" s="88"/>
      <c r="AT141" s="88"/>
      <c r="AU141" s="783"/>
      <c r="AV141" s="783"/>
      <c r="AW141" s="783"/>
      <c r="AX141" s="783"/>
      <c r="AY141" s="783"/>
      <c r="AZ141" s="783"/>
      <c r="BA141" s="783"/>
      <c r="BB141" s="783"/>
      <c r="BC141" s="783"/>
      <c r="BD141" s="783"/>
      <c r="BE141" s="783"/>
      <c r="BF141" s="783"/>
      <c r="BG141" s="783"/>
      <c r="BH141" s="783"/>
      <c r="BI141" s="783"/>
      <c r="BJ141" s="783"/>
      <c r="BK141" s="783"/>
      <c r="BL141" s="783"/>
      <c r="BM141" s="783"/>
      <c r="BN141" s="783"/>
      <c r="BO141" s="783"/>
      <c r="BP141" s="783"/>
      <c r="BQ141" s="783"/>
      <c r="BR141" s="783"/>
      <c r="BS141" s="783"/>
      <c r="BT141" s="783"/>
      <c r="BU141" s="783"/>
      <c r="BV141" s="783"/>
      <c r="BW141" s="783"/>
      <c r="BX141" s="783"/>
      <c r="BY141" s="783"/>
      <c r="BZ141" s="783"/>
      <c r="CA141" s="34"/>
      <c r="CC141" s="50"/>
      <c r="CD141" s="294"/>
      <c r="CE141" s="294"/>
      <c r="CF141" s="294"/>
      <c r="CG141" s="294"/>
      <c r="CH141" s="294"/>
      <c r="CI141" s="293"/>
      <c r="CJ141" s="295"/>
      <c r="CK141" s="295"/>
      <c r="CL141" s="88"/>
      <c r="CM141" s="88"/>
      <c r="CN141" s="88"/>
      <c r="CO141" s="88"/>
      <c r="CP141" s="88"/>
      <c r="CQ141" s="88"/>
      <c r="CR141" s="34"/>
    </row>
    <row r="142" spans="1:96" ht="32.5">
      <c r="A142" s="1322"/>
      <c r="B142" s="577"/>
      <c r="C142" s="577"/>
      <c r="D142" s="577"/>
      <c r="E142" s="577"/>
      <c r="F142" s="577"/>
      <c r="G142" s="577"/>
      <c r="H142" s="578"/>
      <c r="I142" s="578"/>
      <c r="J142" s="578"/>
      <c r="K142" s="578"/>
      <c r="L142" s="578"/>
      <c r="N142" s="158"/>
      <c r="O142" s="101"/>
      <c r="P142" s="101"/>
      <c r="Q142" s="101"/>
      <c r="R142" s="101"/>
      <c r="S142" s="101"/>
      <c r="T142" s="101"/>
      <c r="U142" s="39"/>
      <c r="W142" s="91"/>
      <c r="X142" s="887"/>
      <c r="Y142" s="23"/>
      <c r="Z142" s="788"/>
      <c r="AA142" s="97"/>
      <c r="AB142" s="97"/>
      <c r="AC142" s="128"/>
      <c r="AD142" s="88"/>
      <c r="AE142" s="88"/>
      <c r="AF142" s="88"/>
      <c r="AG142" s="88"/>
      <c r="AH142" s="88"/>
      <c r="AI142" s="88"/>
      <c r="AJ142" s="88"/>
      <c r="AK142" s="88"/>
      <c r="AL142" s="88"/>
      <c r="AM142" s="88"/>
      <c r="AN142" s="88"/>
      <c r="AO142" s="88"/>
      <c r="AP142" s="88"/>
      <c r="AQ142" s="88"/>
      <c r="AR142" s="88"/>
      <c r="AS142" s="88"/>
      <c r="AT142" s="88"/>
      <c r="AU142" s="783"/>
      <c r="AV142" s="783"/>
      <c r="AW142" s="783"/>
      <c r="AX142" s="783"/>
      <c r="AY142" s="783"/>
      <c r="AZ142" s="783"/>
      <c r="BA142" s="783"/>
      <c r="BB142" s="783"/>
      <c r="BC142" s="783"/>
      <c r="BD142" s="783"/>
      <c r="BE142" s="783"/>
      <c r="BF142" s="783"/>
      <c r="BG142" s="783"/>
      <c r="BH142" s="783"/>
      <c r="BI142" s="783"/>
      <c r="BJ142" s="783"/>
      <c r="BK142" s="783"/>
      <c r="BL142" s="783"/>
      <c r="BM142" s="783"/>
      <c r="BN142" s="783"/>
      <c r="BO142" s="783"/>
      <c r="BP142" s="783"/>
      <c r="BQ142" s="783"/>
      <c r="BR142" s="783"/>
      <c r="BS142" s="783"/>
      <c r="BT142" s="783"/>
      <c r="BU142" s="783"/>
      <c r="BV142" s="783"/>
      <c r="BW142" s="783"/>
      <c r="BX142" s="783"/>
      <c r="BY142" s="783"/>
      <c r="BZ142" s="783"/>
      <c r="CA142" s="34"/>
      <c r="CC142" s="50"/>
      <c r="CD142" s="3018" t="s">
        <v>41</v>
      </c>
      <c r="CE142" s="3019"/>
      <c r="CF142" s="1472"/>
      <c r="CG142" s="3026" t="s">
        <v>109</v>
      </c>
      <c r="CH142" s="3027"/>
      <c r="CI142" s="1473"/>
      <c r="CJ142" s="3022" t="s">
        <v>43</v>
      </c>
      <c r="CK142" s="3023"/>
      <c r="CL142" s="2353"/>
      <c r="CM142" s="3015" t="s">
        <v>44</v>
      </c>
      <c r="CN142" s="3016"/>
      <c r="CO142" s="1470"/>
      <c r="CP142" s="3015" t="s">
        <v>45</v>
      </c>
      <c r="CQ142" s="3016"/>
      <c r="CR142" s="34"/>
    </row>
    <row r="143" spans="1:96" ht="18">
      <c r="A143" s="1322"/>
      <c r="B143" s="577"/>
      <c r="C143" s="577"/>
      <c r="D143" s="577"/>
      <c r="E143" s="577"/>
      <c r="F143" s="577"/>
      <c r="G143" s="577"/>
      <c r="H143" s="510"/>
      <c r="I143" s="510"/>
      <c r="J143" s="30"/>
      <c r="K143" s="30"/>
      <c r="L143" s="30"/>
      <c r="N143" s="158"/>
      <c r="O143" s="101"/>
      <c r="P143" s="1688"/>
      <c r="Q143" s="1688"/>
      <c r="R143" s="101"/>
      <c r="S143" s="291"/>
      <c r="T143" s="291"/>
      <c r="U143" s="39"/>
      <c r="W143" s="3045" t="str" cm="1">
        <f t="array" ref="W143">fx_scenarioConverter("Actual")</f>
        <v>Actual</v>
      </c>
      <c r="X143" s="1247"/>
      <c r="Y143" s="3040" t="s">
        <v>117</v>
      </c>
      <c r="Z143" s="1248" t="s">
        <v>82</v>
      </c>
      <c r="AA143" s="1249"/>
      <c r="AB143" s="1630"/>
      <c r="AC143" s="1273"/>
      <c r="AD143" s="859"/>
      <c r="AE143" s="859"/>
      <c r="AF143" s="859"/>
      <c r="AG143" s="859"/>
      <c r="AH143" s="859"/>
      <c r="AI143" s="859"/>
      <c r="AJ143" s="859"/>
      <c r="AK143" s="859"/>
      <c r="AL143" s="859"/>
      <c r="AM143" s="859"/>
      <c r="AN143" s="859"/>
      <c r="AO143" s="859"/>
      <c r="AP143" s="859"/>
      <c r="AQ143" s="859"/>
      <c r="AR143" s="859"/>
      <c r="AS143" s="859"/>
      <c r="AT143" s="859"/>
      <c r="AU143" s="859"/>
      <c r="AV143" s="859"/>
      <c r="AW143" s="859"/>
      <c r="AX143" s="859"/>
      <c r="AY143" s="859"/>
      <c r="AZ143" s="859"/>
      <c r="BA143" s="859"/>
      <c r="BB143" s="859"/>
      <c r="BC143" s="859"/>
      <c r="BD143" s="859"/>
      <c r="BE143" s="859"/>
      <c r="BF143" s="859"/>
      <c r="BG143" s="859"/>
      <c r="BH143" s="859"/>
      <c r="BI143" s="859"/>
      <c r="BJ143" s="859"/>
      <c r="BK143" s="859"/>
      <c r="BL143" s="859"/>
      <c r="BM143" s="859"/>
      <c r="BN143" s="859"/>
      <c r="BO143" s="542"/>
      <c r="BP143" s="542"/>
      <c r="BQ143" s="542"/>
      <c r="BR143" s="542"/>
      <c r="BS143" s="542"/>
      <c r="BT143" s="542"/>
      <c r="BU143" s="542"/>
      <c r="BV143" s="542"/>
      <c r="BW143" s="542"/>
      <c r="BX143" s="542"/>
      <c r="BY143" s="542"/>
      <c r="BZ143" s="542"/>
      <c r="CA143" s="34"/>
      <c r="CC143" s="33"/>
      <c r="CD143" s="1343" t="e" cm="1">
        <f t="array" ca="1" aca="1" ref="CD143">YEAR(val_currentFYE)-2</f>
        <v>#NAME?</v>
      </c>
      <c r="CE143" s="1344" t="e" cm="1">
        <f t="array" ca="1" aca="1" ref="CE143">YEAR(val_currentFYE)-1</f>
        <v>#NAME?</v>
      </c>
      <c r="CF143" s="88"/>
      <c r="CG143" s="1350" t="e" cm="1">
        <f t="array" ca="1" aca="1" ref="CG143">YEAR(val_currentFYE)</f>
        <v>#NAME?</v>
      </c>
      <c r="CH143" s="1351" t="e" cm="1">
        <f t="array" ca="1" aca="1" ref="CH143">YEAR(val_currentFYE)</f>
        <v>#NAME?</v>
      </c>
      <c r="CI143" s="170"/>
      <c r="CJ143" s="208" t="s">
        <v>54</v>
      </c>
      <c r="CK143" s="209" t="s">
        <v>54</v>
      </c>
      <c r="CL143" s="88"/>
      <c r="CM143" s="1664" t="e" cm="1">
        <f t="array" ca="1" aca="1" ref="CM143">YEAR(val_currentFYE)</f>
        <v>#NAME?</v>
      </c>
      <c r="CN143" s="1665" t="e" cm="1">
        <f t="array" ca="1" aca="1" ref="CN143">YEAR(val_currentFYE)</f>
        <v>#NAME?</v>
      </c>
      <c r="CO143" s="88"/>
      <c r="CP143" s="1664" t="e" cm="1">
        <f t="array" ca="1" aca="1" ref="CP143">YEAR(val_currentFYE)</f>
        <v>#NAME?</v>
      </c>
      <c r="CQ143" s="1665" t="e" cm="1">
        <f t="array" ca="1" aca="1" ref="CQ143">YEAR(val_currentFYE)</f>
        <v>#NAME?</v>
      </c>
      <c r="CR143" s="34"/>
    </row>
    <row r="144" spans="1:96" ht="18">
      <c r="A144" s="1322"/>
      <c r="B144" s="577"/>
      <c r="C144" s="577"/>
      <c r="D144" s="577"/>
      <c r="E144" s="577"/>
      <c r="F144" s="577"/>
      <c r="G144" s="577"/>
      <c r="H144" s="510"/>
      <c r="I144" s="510"/>
      <c r="J144" s="30"/>
      <c r="K144" s="30"/>
      <c r="L144" s="30"/>
      <c r="N144" s="158"/>
      <c r="O144" s="101"/>
      <c r="P144" s="1688"/>
      <c r="Q144" s="1688"/>
      <c r="R144" s="101"/>
      <c r="S144" s="289"/>
      <c r="T144" s="289"/>
      <c r="U144" s="39"/>
      <c r="W144" s="3046"/>
      <c r="X144" s="1250"/>
      <c r="Y144" s="3041"/>
      <c r="Z144" s="1251"/>
      <c r="AA144" s="1252"/>
      <c r="AB144" s="1861"/>
      <c r="AC144" s="1162"/>
      <c r="AD144" s="1253"/>
      <c r="AE144" s="1253"/>
      <c r="AF144" s="1253"/>
      <c r="AG144" s="1253"/>
      <c r="AH144" s="1253"/>
      <c r="AI144" s="1253"/>
      <c r="AJ144" s="1253"/>
      <c r="AK144" s="1253"/>
      <c r="AL144" s="1253"/>
      <c r="AM144" s="1253"/>
      <c r="AN144" s="1253"/>
      <c r="AO144" s="1253"/>
      <c r="AP144" s="1253"/>
      <c r="AQ144" s="1253"/>
      <c r="AR144" s="1253"/>
      <c r="AS144" s="1253"/>
      <c r="AT144" s="1253"/>
      <c r="AU144" s="1253"/>
      <c r="AV144" s="1253"/>
      <c r="AW144" s="1253"/>
      <c r="AX144" s="1253"/>
      <c r="AY144" s="1253"/>
      <c r="AZ144" s="1253"/>
      <c r="BA144" s="1253"/>
      <c r="BB144" s="1253"/>
      <c r="BC144" s="1253"/>
      <c r="BD144" s="1253"/>
      <c r="BE144" s="1253"/>
      <c r="BF144" s="1253"/>
      <c r="BG144" s="1253"/>
      <c r="BH144" s="1253"/>
      <c r="BI144" s="1253"/>
      <c r="BJ144" s="1253"/>
      <c r="BK144" s="1253"/>
      <c r="BL144" s="1253"/>
      <c r="BM144" s="1253"/>
      <c r="BN144" s="1253"/>
      <c r="BO144" s="2099"/>
      <c r="BP144" s="2099"/>
      <c r="BQ144" s="2099"/>
      <c r="BR144" s="2099"/>
      <c r="BS144" s="2099"/>
      <c r="BT144" s="2099"/>
      <c r="BU144" s="2099"/>
      <c r="BV144" s="2099"/>
      <c r="BW144" s="2099"/>
      <c r="BX144" s="2099"/>
      <c r="BY144" s="2099"/>
      <c r="BZ144" s="2099"/>
      <c r="CA144" s="34"/>
      <c r="CC144" s="33"/>
      <c r="CD144" s="1341"/>
      <c r="CE144" s="1342"/>
      <c r="CF144" s="88"/>
      <c r="CG144" s="1350"/>
      <c r="CH144" s="1351"/>
      <c r="CI144" s="170"/>
      <c r="CJ144" s="1348"/>
      <c r="CK144" s="1349"/>
      <c r="CL144" s="88"/>
      <c r="CM144" s="1666"/>
      <c r="CN144" s="1667"/>
      <c r="CO144" s="869"/>
      <c r="CP144" s="1666"/>
      <c r="CQ144" s="1667"/>
      <c r="CR144" s="34"/>
    </row>
    <row r="145" spans="1:96" ht="30.75" customHeight="1" outlineLevel="1">
      <c r="A145" s="1322"/>
      <c r="B145" s="583"/>
      <c r="C145" s="583"/>
      <c r="D145" s="583"/>
      <c r="E145" s="583"/>
      <c r="F145" s="577"/>
      <c r="G145" s="577" t="s">
        <v>868</v>
      </c>
      <c r="H145" s="1333"/>
      <c r="I145" s="1333">
        <v>3</v>
      </c>
      <c r="J145" s="572"/>
      <c r="K145" s="572"/>
      <c r="L145" s="572"/>
      <c r="N145" s="158"/>
      <c r="O145" s="101"/>
      <c r="P145" s="101"/>
      <c r="Q145" s="101"/>
      <c r="R145" s="101"/>
      <c r="S145" s="101"/>
      <c r="T145" s="101"/>
      <c r="U145" s="39"/>
      <c r="W145" s="161"/>
      <c r="X145" s="887"/>
      <c r="Y145" s="186"/>
      <c r="Z145" s="789"/>
      <c r="AA145" s="163"/>
      <c r="AB145" s="162"/>
      <c r="AC145" s="1164"/>
      <c r="AD145" s="977" cm="1">
        <f t="array" ref="AD145:BN145">EOMONTH(val_asOfDate,_xlfn.SEQUENCE(1,37,-36,1))</f>
        <v>44926</v>
      </c>
      <c r="AE145" s="977">
        <v>44957</v>
      </c>
      <c r="AF145" s="977">
        <v>44985</v>
      </c>
      <c r="AG145" s="977">
        <v>45016</v>
      </c>
      <c r="AH145" s="977">
        <v>45046</v>
      </c>
      <c r="AI145" s="977">
        <v>45077</v>
      </c>
      <c r="AJ145" s="977">
        <v>45107</v>
      </c>
      <c r="AK145" s="977">
        <v>45138</v>
      </c>
      <c r="AL145" s="977">
        <v>45169</v>
      </c>
      <c r="AM145" s="977">
        <v>45199</v>
      </c>
      <c r="AN145" s="977">
        <v>45230</v>
      </c>
      <c r="AO145" s="977">
        <v>45260</v>
      </c>
      <c r="AP145" s="977">
        <v>45291</v>
      </c>
      <c r="AQ145" s="977">
        <v>45322</v>
      </c>
      <c r="AR145" s="977">
        <v>45351</v>
      </c>
      <c r="AS145" s="977">
        <v>45382</v>
      </c>
      <c r="AT145" s="977">
        <v>45412</v>
      </c>
      <c r="AU145" s="977">
        <v>45443</v>
      </c>
      <c r="AV145" s="977">
        <v>45473</v>
      </c>
      <c r="AW145" s="977">
        <v>45504</v>
      </c>
      <c r="AX145" s="977">
        <v>45535</v>
      </c>
      <c r="AY145" s="977">
        <v>45565</v>
      </c>
      <c r="AZ145" s="977">
        <v>45596</v>
      </c>
      <c r="BA145" s="977">
        <v>45626</v>
      </c>
      <c r="BB145" s="977">
        <v>45657</v>
      </c>
      <c r="BC145" s="977">
        <v>45688</v>
      </c>
      <c r="BD145" s="977">
        <v>45716</v>
      </c>
      <c r="BE145" s="977">
        <v>45747</v>
      </c>
      <c r="BF145" s="977">
        <v>45777</v>
      </c>
      <c r="BG145" s="977">
        <v>45808</v>
      </c>
      <c r="BH145" s="977">
        <v>45838</v>
      </c>
      <c r="BI145" s="977">
        <v>45869</v>
      </c>
      <c r="BJ145" s="977">
        <v>45900</v>
      </c>
      <c r="BK145" s="977">
        <v>45930</v>
      </c>
      <c r="BL145" s="977">
        <v>45961</v>
      </c>
      <c r="BM145" s="977">
        <v>45991</v>
      </c>
      <c r="BN145" s="978">
        <v>46022</v>
      </c>
      <c r="BO145" s="2090"/>
      <c r="BP145" s="2090"/>
      <c r="BQ145" s="2090"/>
      <c r="BR145" s="2090"/>
      <c r="BS145" s="2090"/>
      <c r="BT145" s="2090"/>
      <c r="BU145" s="2090"/>
      <c r="BV145" s="2090"/>
      <c r="BW145" s="2090"/>
      <c r="BX145" s="2090"/>
      <c r="BY145" s="2090"/>
      <c r="BZ145" s="2090"/>
      <c r="CA145" s="34"/>
      <c r="CC145" s="183"/>
      <c r="CD145" s="1716" t="e" cm="1">
        <f t="array" ca="1" aca="1" ref="CD145">EOMONTH(val_currentFYE,-24)</f>
        <v>#NAME?</v>
      </c>
      <c r="CE145" s="1717" t="e" cm="1">
        <f t="array" ca="1" aca="1" ref="CE145">EOMONTH(val_currentFYE,-12)</f>
        <v>#NAME?</v>
      </c>
      <c r="CF145" s="277"/>
      <c r="CG145" s="1715">
        <f>EOMONTH(val_asOfDate,-1)</f>
        <v>45991</v>
      </c>
      <c r="CH145" s="1715">
        <f>EOMONTH(val_asOfDate,0)</f>
        <v>46022</v>
      </c>
      <c r="CI145" s="276"/>
      <c r="CJ145" s="1709">
        <f>EOMONTH(val_asOfDate,-1)</f>
        <v>45991</v>
      </c>
      <c r="CK145" s="1710">
        <f>EOMONTH(val_asOfDate,0)</f>
        <v>46022</v>
      </c>
      <c r="CL145" s="88"/>
      <c r="CM145" s="1718" t="e" cm="1">
        <f t="array" ca="1" aca="1" ref="CM145">val_currentFYE</f>
        <v>#NAME?</v>
      </c>
      <c r="CN145" s="1719" t="e" cm="1">
        <f t="array" ca="1" aca="1" ref="CN145">val_currentFYE</f>
        <v>#NAME?</v>
      </c>
      <c r="CO145" s="88"/>
      <c r="CP145" s="1728" t="e" cm="1">
        <f t="array" ca="1" aca="1" ref="CP145">EOMONTH(val_currentFYE,12)</f>
        <v>#NAME?</v>
      </c>
      <c r="CQ145" s="1728" t="e" cm="1">
        <f t="array" ca="1" aca="1" ref="CQ145">EOMONTH(val_currentFYE,12)</f>
        <v>#NAME?</v>
      </c>
      <c r="CR145" s="34"/>
    </row>
    <row r="146" spans="1:96" ht="30.75" customHeight="1" outlineLevel="1">
      <c r="A146" s="1322"/>
      <c r="B146" s="1328"/>
      <c r="C146" s="1328"/>
      <c r="D146" s="1328"/>
      <c r="E146" s="1328"/>
      <c r="F146" s="1329"/>
      <c r="G146" s="1328"/>
      <c r="H146" s="588"/>
      <c r="I146" s="588"/>
      <c r="J146" s="1334"/>
      <c r="K146" s="1334"/>
      <c r="L146" s="589"/>
      <c r="N146" s="158"/>
      <c r="O146" s="101"/>
      <c r="P146" s="52"/>
      <c r="Q146" s="101"/>
      <c r="R146" s="101"/>
      <c r="S146" s="101"/>
      <c r="T146" s="101"/>
      <c r="U146" s="39"/>
      <c r="W146" s="751" t="s">
        <v>94</v>
      </c>
      <c r="X146" s="899"/>
      <c r="Y146" s="912" t="s">
        <v>118</v>
      </c>
      <c r="Z146" s="790"/>
      <c r="AA146" s="193"/>
      <c r="AB146" s="193"/>
      <c r="AC146" s="125"/>
      <c r="AD146" s="2622" t="str">
        <f>$W$143</f>
        <v>Actual</v>
      </c>
      <c r="AE146" s="2622" t="str">
        <f t="shared" si="36" ref="AE146:BN146">$W$143</f>
        <v>Actual</v>
      </c>
      <c r="AF146" s="2622" t="str">
        <f t="shared" si="36"/>
        <v>Actual</v>
      </c>
      <c r="AG146" s="2622" t="str">
        <f t="shared" si="36"/>
        <v>Actual</v>
      </c>
      <c r="AH146" s="2622" t="str">
        <f t="shared" si="36"/>
        <v>Actual</v>
      </c>
      <c r="AI146" s="2622" t="str">
        <f t="shared" si="36"/>
        <v>Actual</v>
      </c>
      <c r="AJ146" s="2622" t="str">
        <f t="shared" si="36"/>
        <v>Actual</v>
      </c>
      <c r="AK146" s="2622" t="str">
        <f t="shared" si="36"/>
        <v>Actual</v>
      </c>
      <c r="AL146" s="2622" t="str">
        <f t="shared" si="36"/>
        <v>Actual</v>
      </c>
      <c r="AM146" s="2622" t="str">
        <f t="shared" si="36"/>
        <v>Actual</v>
      </c>
      <c r="AN146" s="2622" t="str">
        <f t="shared" si="36"/>
        <v>Actual</v>
      </c>
      <c r="AO146" s="2622" t="str">
        <f t="shared" si="36"/>
        <v>Actual</v>
      </c>
      <c r="AP146" s="2622" t="str">
        <f t="shared" si="36"/>
        <v>Actual</v>
      </c>
      <c r="AQ146" s="2622" t="str">
        <f t="shared" si="36"/>
        <v>Actual</v>
      </c>
      <c r="AR146" s="2622" t="str">
        <f t="shared" si="36"/>
        <v>Actual</v>
      </c>
      <c r="AS146" s="2622" t="str">
        <f t="shared" si="36"/>
        <v>Actual</v>
      </c>
      <c r="AT146" s="2622" t="str">
        <f t="shared" si="36"/>
        <v>Actual</v>
      </c>
      <c r="AU146" s="2622" t="str">
        <f t="shared" si="36"/>
        <v>Actual</v>
      </c>
      <c r="AV146" s="2622" t="str">
        <f t="shared" si="36"/>
        <v>Actual</v>
      </c>
      <c r="AW146" s="2622" t="str">
        <f t="shared" si="36"/>
        <v>Actual</v>
      </c>
      <c r="AX146" s="2622" t="str">
        <f t="shared" si="36"/>
        <v>Actual</v>
      </c>
      <c r="AY146" s="2622" t="str">
        <f t="shared" si="36"/>
        <v>Actual</v>
      </c>
      <c r="AZ146" s="2622" t="str">
        <f t="shared" si="36"/>
        <v>Actual</v>
      </c>
      <c r="BA146" s="2622" t="str">
        <f t="shared" si="36"/>
        <v>Actual</v>
      </c>
      <c r="BB146" s="2622" t="str">
        <f t="shared" si="36"/>
        <v>Actual</v>
      </c>
      <c r="BC146" s="2622" t="str">
        <f t="shared" si="36"/>
        <v>Actual</v>
      </c>
      <c r="BD146" s="2622" t="str">
        <f t="shared" si="36"/>
        <v>Actual</v>
      </c>
      <c r="BE146" s="2622" t="str">
        <f t="shared" si="36"/>
        <v>Actual</v>
      </c>
      <c r="BF146" s="2622" t="str">
        <f t="shared" si="36"/>
        <v>Actual</v>
      </c>
      <c r="BG146" s="2622" t="str">
        <f t="shared" si="36"/>
        <v>Actual</v>
      </c>
      <c r="BH146" s="2622" t="str">
        <f t="shared" si="36"/>
        <v>Actual</v>
      </c>
      <c r="BI146" s="2622" t="str">
        <f t="shared" si="36"/>
        <v>Actual</v>
      </c>
      <c r="BJ146" s="2622" t="str">
        <f t="shared" si="36"/>
        <v>Actual</v>
      </c>
      <c r="BK146" s="2622" t="str">
        <f t="shared" si="36"/>
        <v>Actual</v>
      </c>
      <c r="BL146" s="2622" t="str">
        <f t="shared" si="36"/>
        <v>Actual</v>
      </c>
      <c r="BM146" s="2622" t="str">
        <f t="shared" si="36"/>
        <v>Actual</v>
      </c>
      <c r="BN146" s="2622" t="str">
        <f t="shared" si="36"/>
        <v>Actual</v>
      </c>
      <c r="BO146" s="2070"/>
      <c r="BP146" s="2070"/>
      <c r="BQ146" s="2070"/>
      <c r="BR146" s="2070"/>
      <c r="BS146" s="2070"/>
      <c r="BT146" s="2070"/>
      <c r="BU146" s="2070"/>
      <c r="BV146" s="2070"/>
      <c r="BW146" s="2070"/>
      <c r="BX146" s="2070"/>
      <c r="BY146" s="2070"/>
      <c r="BZ146" s="2070"/>
      <c r="CA146" s="34"/>
      <c r="CC146" s="58"/>
      <c r="CD146" s="2622" t="str">
        <f t="shared" si="37" ref="CD146:CE146">$W$143</f>
        <v>Actual</v>
      </c>
      <c r="CE146" s="2622" t="str">
        <f t="shared" si="37"/>
        <v>Actual</v>
      </c>
      <c r="CF146" s="278"/>
      <c r="CG146" s="2622" t="str">
        <f t="shared" si="38" ref="CG146:CH146">$W$143</f>
        <v>Actual</v>
      </c>
      <c r="CH146" s="2622" t="str">
        <f t="shared" si="38"/>
        <v>Actual</v>
      </c>
      <c r="CI146" s="278"/>
      <c r="CJ146" s="2622" t="str">
        <f t="shared" si="39" ref="CJ146:CK146">$W$143</f>
        <v>Actual</v>
      </c>
      <c r="CK146" s="2622" t="str">
        <f t="shared" si="39"/>
        <v>Actual</v>
      </c>
      <c r="CL146" s="88"/>
      <c r="CM146" s="1819" t="str">
        <f>$CM$19</f>
        <v>Original Budget</v>
      </c>
      <c r="CN146" s="1819" t="str">
        <f>$CN$19</f>
        <v>LE</v>
      </c>
      <c r="CO146" s="1205"/>
      <c r="CP146" s="1819" t="str">
        <f>$CP$19</f>
        <v>Original Budget</v>
      </c>
      <c r="CQ146" s="1819" t="str">
        <f>$CQ$19</f>
        <v>LE</v>
      </c>
      <c r="CR146" s="34"/>
    </row>
    <row r="147" spans="1:96" ht="21" customHeight="1" outlineLevel="1">
      <c r="A147" s="1322"/>
      <c r="B147" s="577" t="s">
        <v>119</v>
      </c>
      <c r="C147" s="577" t="s">
        <v>1607</v>
      </c>
      <c r="D147" s="577"/>
      <c r="E147" s="577" t="e" cm="1">
        <f t="array" ca="1" aca="1" ref="E147">IFBLANK(_xldudf_CX_GET(CX_ENTITY,fx_attrConverter(C147),val_asOfDate),PL!D147)</f>
        <v>#NAME?</v>
      </c>
      <c r="F147" s="577" t="str">
        <f>IF($B147&lt;&gt;"",$B147,$E147)</f>
        <v>Revenue Top Line Amount</v>
      </c>
      <c r="G147" s="577" t="s">
        <v>1608</v>
      </c>
      <c r="H147" s="3287">
        <v>2</v>
      </c>
      <c r="I147" s="3287">
        <v>1</v>
      </c>
      <c r="J147" s="30"/>
      <c r="K147" s="30"/>
      <c r="L147" s="578"/>
      <c r="N147" s="158"/>
      <c r="O147" s="101"/>
      <c r="P147" s="52"/>
      <c r="Q147" s="101"/>
      <c r="R147" s="101"/>
      <c r="S147" s="101"/>
      <c r="T147" s="101"/>
      <c r="U147" s="39"/>
      <c r="W147" s="269" t="str">
        <f>W143</f>
        <v>Actual</v>
      </c>
      <c r="X147" s="815" t="e" vm="4" cm="1">
        <f t="array" ref="X147">fx_getIcon("select")</f>
        <v>#VALUE!</v>
      </c>
      <c r="Y147" s="1127" t="e" cm="1">
        <f t="array" ca="1" aca="1" ref="Y147">IFBLANK(_xldudf_CX_GET(CX_ENTITY,fx_attrConverter(C147),val_asOfDate),"Please select your Top Line Metric")</f>
        <v>#NAME?</v>
      </c>
      <c r="Z147" s="878"/>
      <c r="AA147" s="877"/>
      <c r="AB147" s="1161" t="str" cm="1">
        <f t="array" ca="1" aca="1" ref="AB147">IFERROR(_xlfn.XLOOKUP($Y147,$Y20:$Y$41,$AB$20:$AB$41),"")</f>
        <v/>
      </c>
      <c r="AC147" s="1163" t="str" cm="1">
        <f t="array" ca="1" aca="1" ref="AC147">_xlfn.LET(_xlpm.Def,IF(_xlfn.XMATCH(AB147,tbl_acctDef[Term],0)&gt;0,fx_getIcon("find"),""),_xlpm.Adj,IF(_xlfn.XMATCH(AB147,tbl_adjExample[Items],0)&gt;0,fx_getIcon("find"),""),IFERROR(IFBLANK(_xlpm.Def,_xlpm.Adj),""))</f>
        <v/>
      </c>
      <c r="AD147" s="1132" t="e" cm="1">
        <f t="array" ca="1" aca="1" ref="AD147">_xlfn.LET(_xlpm.val,IF($F147="",val_blankRefText,_xldudf_CX_GET(CX_ENTITY,$F147,AD$11,AD$14,,(AD$146))),_xlpm.Res,IF(OR(_xlpm.val="",_xlpm.val="Error"),"",_xlpm.val),_xlpm.Res)</f>
        <v>#NAME?</v>
      </c>
      <c r="AE147" s="1132" t="e" cm="1">
        <f t="array" ca="1" aca="1" ref="AE147">_xlfn.LET(_xlpm.val,IF($F147="",val_blankRefText,_xldudf_CX_GET(CX_ENTITY,$F147,AE$11,AE$14,,(AE$146))),_xlpm.Res,IF(OR(_xlpm.val="",_xlpm.val="Error"),"",_xlpm.val),_xlpm.Res)</f>
        <v>#NAME?</v>
      </c>
      <c r="AF147" s="910" t="e" cm="1">
        <f t="array" ca="1" aca="1" ref="AF147">_xlfn.LET(_xlpm.val,IF($F147="",val_blankRefText,_xldudf_CX_GET(CX_ENTITY,$F147,AF$11,AF$14,,(AF$146))),_xlpm.Res,IF(OR(_xlpm.val="",_xlpm.val="Error"),"",_xlpm.val),_xlpm.Res)</f>
        <v>#NAME?</v>
      </c>
      <c r="AG147" s="910" t="e" cm="1">
        <f t="array" ca="1" aca="1" ref="AG147">_xlfn.LET(_xlpm.val,IF($F147="",val_blankRefText,_xldudf_CX_GET(CX_ENTITY,$F147,AG$11,AG$14,,(AG$146))),_xlpm.Res,IF(OR(_xlpm.val="",_xlpm.val="Error"),"",_xlpm.val),_xlpm.Res)</f>
        <v>#NAME?</v>
      </c>
      <c r="AH147" s="910" t="e" cm="1">
        <f t="array" ca="1" aca="1" ref="AH147">_xlfn.LET(_xlpm.val,IF($F147="",val_blankRefText,_xldudf_CX_GET(CX_ENTITY,$F147,AH$11,AH$14,,(AH$146))),_xlpm.Res,IF(OR(_xlpm.val="",_xlpm.val="Error"),"",_xlpm.val),_xlpm.Res)</f>
        <v>#NAME?</v>
      </c>
      <c r="AI147" s="910" t="e" cm="1">
        <f t="array" ca="1" aca="1" ref="AI147">_xlfn.LET(_xlpm.val,IF($F147="",val_blankRefText,_xldudf_CX_GET(CX_ENTITY,$F147,AI$11,AI$14,,(AI$146))),_xlpm.Res,IF(OR(_xlpm.val="",_xlpm.val="Error"),"",_xlpm.val),_xlpm.Res)</f>
        <v>#NAME?</v>
      </c>
      <c r="AJ147" s="910" t="e" cm="1">
        <f t="array" ca="1" aca="1" ref="AJ147">_xlfn.LET(_xlpm.val,IF($F147="",val_blankRefText,_xldudf_CX_GET(CX_ENTITY,$F147,AJ$11,AJ$14,,(AJ$146))),_xlpm.Res,IF(OR(_xlpm.val="",_xlpm.val="Error"),"",_xlpm.val),_xlpm.Res)</f>
        <v>#NAME?</v>
      </c>
      <c r="AK147" s="910" t="e" cm="1">
        <f t="array" ca="1" aca="1" ref="AK147">_xlfn.LET(_xlpm.val,IF($F147="",val_blankRefText,_xldudf_CX_GET(CX_ENTITY,$F147,AK$11,AK$14,,(AK$146))),_xlpm.Res,IF(OR(_xlpm.val="",_xlpm.val="Error"),"",_xlpm.val),_xlpm.Res)</f>
        <v>#NAME?</v>
      </c>
      <c r="AL147" s="910" t="e" cm="1">
        <f t="array" ca="1" aca="1" ref="AL147">_xlfn.LET(_xlpm.val,IF($F147="",val_blankRefText,_xldudf_CX_GET(CX_ENTITY,$F147,AL$11,AL$14,,(AL$146))),_xlpm.Res,IF(OR(_xlpm.val="",_xlpm.val="Error"),"",_xlpm.val),_xlpm.Res)</f>
        <v>#NAME?</v>
      </c>
      <c r="AM147" s="910" t="e" cm="1">
        <f t="array" ca="1" aca="1" ref="AM147">_xlfn.LET(_xlpm.val,IF($F147="",val_blankRefText,_xldudf_CX_GET(CX_ENTITY,$F147,AM$11,AM$14,,(AM$146))),_xlpm.Res,IF(OR(_xlpm.val="",_xlpm.val="Error"),"",_xlpm.val),_xlpm.Res)</f>
        <v>#NAME?</v>
      </c>
      <c r="AN147" s="910" t="e" cm="1">
        <f t="array" ca="1" aca="1" ref="AN147">_xlfn.LET(_xlpm.val,IF($F147="",val_blankRefText,_xldudf_CX_GET(CX_ENTITY,$F147,AN$11,AN$14,,(AN$146))),_xlpm.Res,IF(OR(_xlpm.val="",_xlpm.val="Error"),"",_xlpm.val),_xlpm.Res)</f>
        <v>#NAME?</v>
      </c>
      <c r="AO147" s="910" t="e" cm="1">
        <f t="array" ca="1" aca="1" ref="AO147">_xlfn.LET(_xlpm.val,IF($F147="",val_blankRefText,_xldudf_CX_GET(CX_ENTITY,$F147,AO$11,AO$14,,(AO$146))),_xlpm.Res,IF(OR(_xlpm.val="",_xlpm.val="Error"),"",_xlpm.val),_xlpm.Res)</f>
        <v>#NAME?</v>
      </c>
      <c r="AP147" s="910" t="e" cm="1">
        <f t="array" ca="1" aca="1" ref="AP147">_xlfn.LET(_xlpm.val,IF($F147="",val_blankRefText,_xldudf_CX_GET(CX_ENTITY,$F147,AP$11,AP$14,,(AP$146))),_xlpm.Res,IF(OR(_xlpm.val="",_xlpm.val="Error"),"",_xlpm.val),_xlpm.Res)</f>
        <v>#NAME?</v>
      </c>
      <c r="AQ147" s="910" t="e" cm="1">
        <f t="array" ca="1" aca="1" ref="AQ147">_xlfn.LET(_xlpm.val,IF($F147="",val_blankRefText,_xldudf_CX_GET(CX_ENTITY,$F147,AQ$11,AQ$14,,(AQ$146))),_xlpm.Res,IF(OR(_xlpm.val="",_xlpm.val="Error"),"",_xlpm.val),_xlpm.Res)</f>
        <v>#NAME?</v>
      </c>
      <c r="AR147" s="910" t="e" cm="1">
        <f t="array" ca="1" aca="1" ref="AR147">_xlfn.LET(_xlpm.val,IF($F147="",val_blankRefText,_xldudf_CX_GET(CX_ENTITY,$F147,AR$11,AR$14,,(AR$146))),_xlpm.Res,IF(OR(_xlpm.val="",_xlpm.val="Error"),"",_xlpm.val),_xlpm.Res)</f>
        <v>#NAME?</v>
      </c>
      <c r="AS147" s="910" t="e" cm="1">
        <f t="array" ca="1" aca="1" ref="AS147">_xlfn.LET(_xlpm.val,IF($F147="",val_blankRefText,_xldudf_CX_GET(CX_ENTITY,$F147,AS$11,AS$14,,(AS$146))),_xlpm.Res,IF(OR(_xlpm.val="",_xlpm.val="Error"),"",_xlpm.val),_xlpm.Res)</f>
        <v>#NAME?</v>
      </c>
      <c r="AT147" s="910" t="e" cm="1">
        <f t="array" ca="1" aca="1" ref="AT147">_xlfn.LET(_xlpm.val,IF($F147="",val_blankRefText,_xldudf_CX_GET(CX_ENTITY,$F147,AT$11,AT$14,,(AT$146))),_xlpm.Res,IF(OR(_xlpm.val="",_xlpm.val="Error"),"",_xlpm.val),_xlpm.Res)</f>
        <v>#NAME?</v>
      </c>
      <c r="AU147" s="910" t="e" cm="1">
        <f t="array" ca="1" aca="1" ref="AU147">_xlfn.LET(_xlpm.val,IF($F147="",val_blankRefText,_xldudf_CX_GET(CX_ENTITY,$F147,AU$11,AU$14,,(AU$146))),_xlpm.Res,IF(OR(_xlpm.val="",_xlpm.val="Error"),"",_xlpm.val),_xlpm.Res)</f>
        <v>#NAME?</v>
      </c>
      <c r="AV147" s="910" t="e" cm="1">
        <f t="array" ca="1" aca="1" ref="AV147">_xlfn.LET(_xlpm.val,IF($F147="",val_blankRefText,_xldudf_CX_GET(CX_ENTITY,$F147,AV$11,AV$14,,(AV$146))),_xlpm.Res,IF(OR(_xlpm.val="",_xlpm.val="Error"),"",_xlpm.val),_xlpm.Res)</f>
        <v>#NAME?</v>
      </c>
      <c r="AW147" s="910" t="e" cm="1">
        <f t="array" ca="1" aca="1" ref="AW147">_xlfn.LET(_xlpm.val,IF($F147="",val_blankRefText,_xldudf_CX_GET(CX_ENTITY,$F147,AW$11,AW$14,,(AW$146))),_xlpm.Res,IF(OR(_xlpm.val="",_xlpm.val="Error"),"",_xlpm.val),_xlpm.Res)</f>
        <v>#NAME?</v>
      </c>
      <c r="AX147" s="910" t="e" cm="1">
        <f t="array" ca="1" aca="1" ref="AX147">_xlfn.LET(_xlpm.val,IF($F147="",val_blankRefText,_xldudf_CX_GET(CX_ENTITY,$F147,AX$11,AX$14,,(AX$146))),_xlpm.Res,IF(OR(_xlpm.val="",_xlpm.val="Error"),"",_xlpm.val),_xlpm.Res)</f>
        <v>#NAME?</v>
      </c>
      <c r="AY147" s="910" t="e" cm="1">
        <f t="array" ca="1" aca="1" ref="AY147">_xlfn.LET(_xlpm.val,IF($F147="",val_blankRefText,_xldudf_CX_GET(CX_ENTITY,$F147,AY$11,AY$14,,(AY$146))),_xlpm.Res,IF(OR(_xlpm.val="",_xlpm.val="Error"),"",_xlpm.val),_xlpm.Res)</f>
        <v>#NAME?</v>
      </c>
      <c r="AZ147" s="910" t="e" cm="1">
        <f t="array" ca="1" aca="1" ref="AZ147">_xlfn.LET(_xlpm.val,IF($F147="",val_blankRefText,_xldudf_CX_GET(CX_ENTITY,$F147,AZ$11,AZ$14,,(AZ$146))),_xlpm.Res,IF(OR(_xlpm.val="",_xlpm.val="Error"),"",_xlpm.val),_xlpm.Res)</f>
        <v>#NAME?</v>
      </c>
      <c r="BA147" s="910" t="e" cm="1">
        <f t="array" ca="1" aca="1" ref="BA147">_xlfn.LET(_xlpm.val,IF($F147="",val_blankRefText,_xldudf_CX_GET(CX_ENTITY,$F147,BA$11,BA$14,,(BA$146))),_xlpm.Res,IF(OR(_xlpm.val="",_xlpm.val="Error"),"",_xlpm.val),_xlpm.Res)</f>
        <v>#NAME?</v>
      </c>
      <c r="BB147" s="910" t="e" cm="1">
        <f t="array" ca="1" aca="1" ref="BB147">_xlfn.LET(_xlpm.val,IF($F147="",val_blankRefText,_xldudf_CX_GET(CX_ENTITY,$F147,BB$11,BB$14,,(BB$146))),_xlpm.Res,IF(OR(_xlpm.val="",_xlpm.val="Error"),"",_xlpm.val),_xlpm.Res)</f>
        <v>#NAME?</v>
      </c>
      <c r="BC147" s="910" t="e" cm="1">
        <f t="array" ca="1" aca="1" ref="BC147">_xlfn.LET(_xlpm.val,IF($F147="",val_blankRefText,_xldudf_CX_GET(CX_ENTITY,$F147,BC$11,BC$14,,(BC$146))),_xlpm.Res,IF(OR(_xlpm.val="",_xlpm.val="Error"),"",_xlpm.val),_xlpm.Res)</f>
        <v>#NAME?</v>
      </c>
      <c r="BD147" s="910" t="e" cm="1">
        <f t="array" ca="1" aca="1" ref="BD147">_xlfn.LET(_xlpm.val,IF($F147="",val_blankRefText,_xldudf_CX_GET(CX_ENTITY,$F147,BD$11,BD$14,,(BD$146))),_xlpm.Res,IF(OR(_xlpm.val="",_xlpm.val="Error"),"",_xlpm.val),_xlpm.Res)</f>
        <v>#NAME?</v>
      </c>
      <c r="BE147" s="910" t="e" cm="1">
        <f t="array" ca="1" aca="1" ref="BE147">_xlfn.LET(_xlpm.val,IF($F147="",val_blankRefText,_xldudf_CX_GET(CX_ENTITY,$F147,BE$11,BE$14,,(BE$146))),_xlpm.Res,IF(OR(_xlpm.val="",_xlpm.val="Error"),"",_xlpm.val),_xlpm.Res)</f>
        <v>#NAME?</v>
      </c>
      <c r="BF147" s="910" t="e" cm="1">
        <f t="array" ca="1" aca="1" ref="BF147">_xlfn.LET(_xlpm.val,IF($F147="",val_blankRefText,_xldudf_CX_GET(CX_ENTITY,$F147,BF$11,BF$14,,(BF$146))),_xlpm.Res,IF(OR(_xlpm.val="",_xlpm.val="Error"),"",_xlpm.val),_xlpm.Res)</f>
        <v>#NAME?</v>
      </c>
      <c r="BG147" s="910" t="e" cm="1">
        <f t="array" ca="1" aca="1" ref="BG147">_xlfn.LET(_xlpm.val,IF($F147="",val_blankRefText,_xldudf_CX_GET(CX_ENTITY,$F147,BG$11,BG$14,,(BG$146))),_xlpm.Res,IF(OR(_xlpm.val="",_xlpm.val="Error"),"",_xlpm.val),_xlpm.Res)</f>
        <v>#NAME?</v>
      </c>
      <c r="BH147" s="910" t="e" cm="1">
        <f t="array" ca="1" aca="1" ref="BH147">_xlfn.LET(_xlpm.val,IF($F147="",val_blankRefText,_xldudf_CX_GET(CX_ENTITY,$F147,BH$11,BH$14,,(BH$146))),_xlpm.Res,IF(OR(_xlpm.val="",_xlpm.val="Error"),"",_xlpm.val),_xlpm.Res)</f>
        <v>#NAME?</v>
      </c>
      <c r="BI147" s="910" t="e" cm="1">
        <f t="array" ca="1" aca="1" ref="BI147">_xlfn.LET(_xlpm.val,IF($F147="",val_blankRefText,_xldudf_CX_GET(CX_ENTITY,$F147,BI$11,BI$14,,(BI$146))),_xlpm.Res,IF(OR(_xlpm.val="",_xlpm.val="Error"),"",_xlpm.val),_xlpm.Res)</f>
        <v>#NAME?</v>
      </c>
      <c r="BJ147" s="910" t="e" cm="1">
        <f t="array" ca="1" aca="1" ref="BJ147">_xlfn.LET(_xlpm.val,IF($F147="",val_blankRefText,_xldudf_CX_GET(CX_ENTITY,$F147,BJ$11,BJ$14,,(BJ$146))),_xlpm.Res,IF(OR(_xlpm.val="",_xlpm.val="Error"),"",_xlpm.val),_xlpm.Res)</f>
        <v>#NAME?</v>
      </c>
      <c r="BK147" s="910" t="e" cm="1">
        <f t="array" ca="1" aca="1" ref="BK147">_xlfn.LET(_xlpm.val,IF($F147="",val_blankRefText,_xldudf_CX_GET(CX_ENTITY,$F147,BK$11,BK$14,,(BK$146))),_xlpm.Res,IF(OR(_xlpm.val="",_xlpm.val="Error"),"",_xlpm.val),_xlpm.Res)</f>
        <v>#NAME?</v>
      </c>
      <c r="BL147" s="910" t="e" cm="1">
        <f t="array" ca="1" aca="1" ref="BL147">_xlfn.LET(_xlpm.val,IF($F147="",val_blankRefText,_xldudf_CX_GET(CX_ENTITY,$F147,BL$11,BL$14,,(BL$146))),_xlpm.Res,IF(OR(_xlpm.val="",_xlpm.val="Error"),"",_xlpm.val),_xlpm.Res)</f>
        <v>#NAME?</v>
      </c>
      <c r="BM147" s="910" t="e" cm="1">
        <f t="array" ca="1" aca="1" ref="BM147">_xlfn.LET(_xlpm.val,IF($F147="",val_blankRefText,_xldudf_CX_GET(CX_ENTITY,$F147,BM$11,BM$14,,(BM$146))),_xlpm.Res,IF(OR(_xlpm.val="",_xlpm.val="Error"),"",_xlpm.val),_xlpm.Res)</f>
        <v>#NAME?</v>
      </c>
      <c r="BN147" s="910" t="e" cm="1">
        <f t="array" ca="1" aca="1" ref="BN147">_xlfn.LET(_xlpm.val,IF($F147="",val_blankRefText,_xldudf_CX_GET(CX_ENTITY,$F147,BN$11,BN$14,,(BN$146))),_xlpm.Res,IF(OR(_xlpm.val="",_xlpm.val="Error"),"",_xlpm.val),_xlpm.Res)</f>
        <v>#NAME?</v>
      </c>
      <c r="BO147" s="2107"/>
      <c r="BP147" s="2107"/>
      <c r="BQ147" s="2107"/>
      <c r="BR147" s="2107"/>
      <c r="BS147" s="2107"/>
      <c r="BT147" s="2107"/>
      <c r="BU147" s="2107"/>
      <c r="BV147" s="2107"/>
      <c r="BW147" s="2107"/>
      <c r="BX147" s="2107"/>
      <c r="BY147" s="2107"/>
      <c r="BZ147" s="2107"/>
      <c r="CA147" s="34"/>
      <c r="CC147" s="33"/>
      <c r="CD147" s="1461" t="e" cm="1">
        <f t="array" ca="1" aca="1" ref="CD147">_xlfn.LET(_xlpm.CheckBlank,SUM(PL!$AD147:$BN147)=0,IF(_xlpm.CheckBlank,"",SUM(_xlfn._xlws.FILTER(PL!$AD147:$BN147,(YEAR(PL!$AD$12:$BN$12)=PL!CD$12)*(array_timeline&lt;=PL!CD$11)))))</f>
        <v>#NAME?</v>
      </c>
      <c r="CE147" s="1461" t="e" cm="1">
        <f t="array" ca="1" aca="1" ref="CE147">_xlfn.LET(_xlpm.CheckBlank,SUM(PL!$AD147:$BN147)=0,IF(_xlpm.CheckBlank,"",SUM(_xlfn._xlws.FILTER(PL!$AD147:$BN147,(YEAR(PL!$AD$12:$BN$12)=PL!CE$12)*(array_timeline&lt;=PL!CE$11)))))</f>
        <v>#NAME?</v>
      </c>
      <c r="CF147" s="88"/>
      <c r="CG147" s="1461" t="e" cm="1">
        <f t="array" ca="1" aca="1" ref="CG147">_xlfn.LET(_xlpm.CheckBlank,SUM(PL!$AD147:$BN147)=0,IF(_xlpm.CheckBlank,"",SUM(_xlfn._xlws.FILTER(PL!$AD147:$BN147,(YEAR(PL!$AD$12:$BN$12)=PL!CG$12)*(array_timeline&lt;=PL!CG$11)))))</f>
        <v>#NAME?</v>
      </c>
      <c r="CH147" s="1461" t="e" cm="1">
        <f t="array" ca="1" aca="1" ref="CH147">_xlfn.LET(_xlpm.CheckBlank,SUM(PL!$AD147:$BN147)=0,IF(_xlpm.CheckBlank,"",SUM(_xlfn._xlws.FILTER(PL!$AD147:$BN147,(YEAR(PL!$AD$12:$BN$12)=PL!CH$12)*(array_timeline&lt;=PL!CH$11)))))</f>
        <v>#NAME?</v>
      </c>
      <c r="CI147" s="88"/>
      <c r="CJ147" s="1461" cm="1">
        <f t="array" ref="CJ147">_xlfn.LET(_xlpm.CheckBlank,SUM(PL!$AD147:$BN147)=0,IF(_xlpm.CheckBlank,"",SUM(_xlfn.TAKE(_xlfn.DROP(PL!$AD147:$BN147,,-DATEDIFF(PL!CJ$11,val_asOfDate,"M")),1,-12))))</f>
        <v>12</v>
      </c>
      <c r="CK147" s="1461" cm="1">
        <f t="array" ref="CK147">_xlfn.LET(_xlpm.CheckBlank,SUM(PL!$AD147:$BN147)=0,IF(_xlpm.CheckBlank,"",SUM(_xlfn.TAKE(_xlfn.DROP(PL!$AD147:$BN147,,-DATEDIFF(PL!CK$11,val_asOfDate,"M")),1,-12))))</f>
        <v>12</v>
      </c>
      <c r="CL147" s="88"/>
      <c r="CM147" s="1142" t="str" cm="1">
        <f t="array" ca="1" aca="1" ref="CM147">_xlfn.LET(_xlpm.findRow,_xlfn.XMATCH($W147&amp;$Y147,$W$20:$W$118&amp;$AB$20:$AB$118,0),_xlpm.Choose,_xlfn.CHOOSEROWS($CM$20:$CN$118,_xlpm.findRow),_xlpm.RESULT,IF(ISERROR(_xlpm.findRow),"",_xlpm.Choose),_xlpm.RESULT)</f>
        <v/>
      </c>
      <c r="CN147" s="1142"/>
      <c r="CO147" s="88"/>
      <c r="CP147" s="1142" t="str" cm="1">
        <f t="array" ca="1" aca="1" ref="CP147">_xlfn.LET(_xlpm.findRow,_xlfn.XMATCH($W147&amp;$Y147,$W$20:$W$118&amp;$AB$20:$AB$118,0),_xlpm.Choose,_xlfn.CHOOSEROWS($CP$20:$CQ$118,_xlpm.findRow),_xlpm.RESULT,IF(ISERROR(_xlpm.findRow),"",_xlpm.Choose),_xlpm.RESULT)</f>
        <v/>
      </c>
      <c r="CQ147" s="1142"/>
      <c r="CR147" s="34"/>
    </row>
    <row r="148" spans="1:96" ht="45.75" customHeight="1" outlineLevel="1">
      <c r="A148" s="1322"/>
      <c r="B148" s="2128" t="s">
        <v>1015</v>
      </c>
      <c r="C148" s="2128"/>
      <c r="D148" s="1322"/>
      <c r="E148" s="577" t="str" cm="1">
        <f t="array" ca="1" aca="1" ref="E148">_xlfn.LET(_xlpm.Attr,$C148,_xlpm.Lookback,$E$16,_xlpm.QueryDate,EOMONTH(val_asOfDate,_xlpm.Lookback),_xlpm.ReadField,_xldudf_CX_GET(CX_ENTITY,fx_attrConverter($C148),_xlpm.QueryDate),_xlpm.AttrBlank,_xlpm.Attr="",_xlpm.RESULT,IF(_xlpm.AttrBlank,val_blankRefText,fx_attrConverter(_xlpm.ReadField,0)),IF(_xlpm.RESULT="Error","",_xlpm.RESULT))</f>
        <v/>
      </c>
      <c r="F148" s="577" t="str">
        <f t="shared" si="40" ref="F148:F154">IF($B148&lt;&gt;"",$B148,$E148)</f>
        <v>Excluding pending (not closed) deals (Annual Only) (Topline)</v>
      </c>
      <c r="G148" s="577" t="s">
        <v>1608</v>
      </c>
      <c r="H148" s="3278">
        <v>1</v>
      </c>
      <c r="I148" s="3278">
        <v>1</v>
      </c>
      <c r="J148" s="30"/>
      <c r="K148" s="30"/>
      <c r="L148" s="3269" t="b">
        <v>1</v>
      </c>
      <c r="N148" s="158"/>
      <c r="O148" s="101"/>
      <c r="P148" s="52"/>
      <c r="Q148" s="101"/>
      <c r="R148" s="101"/>
      <c r="S148" s="101"/>
      <c r="T148" s="101"/>
      <c r="U148" s="39"/>
      <c r="W148" s="1518" t="str">
        <f>W147</f>
        <v>Actual</v>
      </c>
      <c r="X148" s="815">
        <v>-1</v>
      </c>
      <c r="Y148" s="1521" t="s">
        <v>120</v>
      </c>
      <c r="Z148" s="3291" cm="1">
        <f t="array" ref="Z148">_xlfn.SWITCH(TRUE,ISBLANK(_PL!$L148),"",_PL!$L148=TRUE,1,_PL!$L148=FALSE,-1,_PL!$L148=-1,0,"n/a")</f>
        <v>1</v>
      </c>
      <c r="AA148" s="905"/>
      <c r="AB148" s="88"/>
      <c r="AC148" s="914" t="str" cm="1">
        <f t="array" ref="AC148">_xlfn.LET(_xlpm.Def,IF(_xlfn.XMATCH(AB148,tbl_acctDef[Term],0)&gt;0,fx_getIcon("find"),""),_xlpm.Adj,IF(_xlfn.XMATCH(AB148,tbl_adjExample[Items],0)&gt;0,fx_getIcon("find"),""),IFERROR(IFBLANK(_xlpm.Def,_xlpm.Adj),""))</f>
        <v/>
      </c>
      <c r="AD148" s="793"/>
      <c r="AE148" s="793"/>
      <c r="AF148" s="793"/>
      <c r="AG148" s="793"/>
      <c r="AH148" s="793"/>
      <c r="AI148" s="793"/>
      <c r="AJ148" s="793"/>
      <c r="AK148" s="793"/>
      <c r="AL148" s="793"/>
      <c r="AM148" s="793"/>
      <c r="AN148" s="793"/>
      <c r="AO148" s="793"/>
      <c r="AP148" s="793"/>
      <c r="AQ148" s="793"/>
      <c r="AR148" s="793"/>
      <c r="AS148" s="793"/>
      <c r="AT148" s="793"/>
      <c r="AU148" s="793"/>
      <c r="AV148" s="793"/>
      <c r="AW148" s="793"/>
      <c r="AX148" s="793"/>
      <c r="AY148" s="793"/>
      <c r="AZ148" s="793"/>
      <c r="BA148" s="793"/>
      <c r="BB148" s="793"/>
      <c r="BC148" s="793"/>
      <c r="BD148" s="793"/>
      <c r="BE148" s="793"/>
      <c r="BF148" s="793"/>
      <c r="BG148" s="793"/>
      <c r="BH148" s="793"/>
      <c r="BI148" s="793"/>
      <c r="BJ148" s="793"/>
      <c r="BK148" s="793"/>
      <c r="BL148" s="793"/>
      <c r="BM148" s="793"/>
      <c r="BN148" s="793"/>
      <c r="BO148" s="2104"/>
      <c r="BP148" s="2104"/>
      <c r="BQ148" s="2104"/>
      <c r="BR148" s="2104"/>
      <c r="BS148" s="2104"/>
      <c r="BT148" s="2104"/>
      <c r="BU148" s="2104"/>
      <c r="BV148" s="2104"/>
      <c r="BW148" s="2104"/>
      <c r="BX148" s="2104"/>
      <c r="BY148" s="2104"/>
      <c r="BZ148" s="2104"/>
      <c r="CA148" s="34"/>
      <c r="CC148" s="299"/>
      <c r="CD148" s="793"/>
      <c r="CE148" s="793"/>
      <c r="CF148" s="88"/>
      <c r="CG148" s="793"/>
      <c r="CH148" s="793"/>
      <c r="CI148" s="88"/>
      <c r="CJ148" s="793"/>
      <c r="CK148" s="793"/>
      <c r="CL148" s="88"/>
      <c r="CM148" s="1986" t="e" cm="1">
        <f t="array" ca="1" aca="1" ref="CM148">_xlfn.LET(_xlpm.val,IF($F148="",val_blankRefText,_xldudf_CX_GET(CX_ENTITY,$F148,CM$11,CM$14,,(CM$146))),_xlpm.Res,IF(OR(_xlpm.val="",_xlpm.val="Error"),"",_xlpm.val),_xlpm.Res)</f>
        <v>#NAME?</v>
      </c>
      <c r="CN148" s="1986" t="e" cm="1">
        <f t="array" ca="1" aca="1" ref="CN148">_xlfn.LET(_xlpm.val,IF($F148="",val_blankRefText,_xldudf_CX_GET(CX_ENTITY,$F148,CN$11,CN$14,,(CN$146))),_xlpm.Res,IF(OR(_xlpm.val="",_xlpm.val="Error"),"",_xlpm.val),_xlpm.Res)</f>
        <v>#NAME?</v>
      </c>
      <c r="CO148" s="1169"/>
      <c r="CP148" s="1986" t="e" cm="1">
        <f t="array" ca="1" aca="1" ref="CP148">_xlfn.LET(_xlpm.val,IF($F148="",val_blankRefText,_xldudf_CX_GET(CX_ENTITY,$F148,CP$11,CP$14,,(CP$146))),_xlpm.Res,IF(OR(_xlpm.val="",_xlpm.val="Error"),"",_xlpm.val),_xlpm.Res)</f>
        <v>#NAME?</v>
      </c>
      <c r="CQ148" s="1986" t="e" cm="1">
        <f t="array" ca="1" aca="1" ref="CQ148">_xlfn.LET(_xlpm.val,IF($F148="",val_blankRefText,_xldudf_CX_GET(CX_ENTITY,$F148,CQ$11,CQ$14,,(CQ$146))),_xlpm.Res,IF(OR(_xlpm.val="",_xlpm.val="Error"),"",_xlpm.val),_xlpm.Res)</f>
        <v>#NAME?</v>
      </c>
      <c r="CR148" s="34"/>
    </row>
    <row r="149" spans="1:96" ht="45.75" customHeight="1" outlineLevel="1">
      <c r="A149" s="1322"/>
      <c r="B149" s="2128" t="s">
        <v>1018</v>
      </c>
      <c r="C149" s="2128"/>
      <c r="D149" s="1322"/>
      <c r="E149" s="577" t="str" cm="1">
        <f t="array" ca="1" aca="1" ref="E149">_xlfn.LET(_xlpm.Attr,$C149,_xlpm.Lookback,$E$16,_xlpm.QueryDate,EOMONTH(val_asOfDate,_xlpm.Lookback),_xlpm.ReadField,_xldudf_CX_GET(CX_ENTITY,fx_attrConverter($C149),_xlpm.QueryDate),_xlpm.AttrBlank,_xlpm.Attr="",_xlpm.RESULT,IF(_xlpm.AttrBlank,val_blankRefText,fx_attrConverter(_xlpm.ReadField,0)),IF(_xlpm.RESULT="Error","",_xlpm.RESULT))</f>
        <v/>
      </c>
      <c r="F149" s="577" t="str">
        <f t="shared" si="40"/>
        <v>Including closed (not budgeted) deals (Annual Only) (Topline)</v>
      </c>
      <c r="G149" s="577" t="s">
        <v>1608</v>
      </c>
      <c r="H149" s="3278">
        <v>1</v>
      </c>
      <c r="I149" s="3278">
        <v>1</v>
      </c>
      <c r="J149" s="30"/>
      <c r="K149" s="30"/>
      <c r="L149" s="3269" t="b">
        <v>1</v>
      </c>
      <c r="N149" s="158"/>
      <c r="O149" s="101"/>
      <c r="P149" s="52"/>
      <c r="Q149" s="101"/>
      <c r="R149" s="101"/>
      <c r="S149" s="101"/>
      <c r="T149" s="101"/>
      <c r="U149" s="39"/>
      <c r="W149" s="1518" t="str">
        <f>W147</f>
        <v>Actual</v>
      </c>
      <c r="X149" s="3299">
        <v>1</v>
      </c>
      <c r="Y149" s="1519" t="s">
        <v>121</v>
      </c>
      <c r="Z149" s="3291" cm="1">
        <f t="array" ref="Z149">_xlfn.SWITCH(TRUE,ISBLANK(_PL!$L149),"",_PL!$L149=TRUE,1,_PL!$L149=FALSE,-1,_PL!$L149=-1,0,"n/a")</f>
        <v>1</v>
      </c>
      <c r="AA149" s="905"/>
      <c r="AB149" s="3154"/>
      <c r="AC149" s="914" t="str" cm="1">
        <f t="array" ref="AC149">_xlfn.LET(_xlpm.Def,IF(_xlfn.XMATCH(AB149,tbl_acctDef[Term],0)&gt;0,fx_getIcon("find"),""),_xlpm.Adj,IF(_xlfn.XMATCH(AB149,tbl_adjExample[Items],0)&gt;0,fx_getIcon("find"),""),IFERROR(IFBLANK(_xlpm.Def,_xlpm.Adj),""))</f>
        <v/>
      </c>
      <c r="AD149" s="793"/>
      <c r="AE149" s="793"/>
      <c r="AF149" s="793"/>
      <c r="AG149" s="793"/>
      <c r="AH149" s="793"/>
      <c r="AI149" s="793"/>
      <c r="AJ149" s="793"/>
      <c r="AK149" s="793"/>
      <c r="AL149" s="793"/>
      <c r="AM149" s="793"/>
      <c r="AN149" s="793"/>
      <c r="AO149" s="793"/>
      <c r="AP149" s="793"/>
      <c r="AQ149" s="793"/>
      <c r="AR149" s="793"/>
      <c r="AS149" s="793"/>
      <c r="AT149" s="793"/>
      <c r="AU149" s="793"/>
      <c r="AV149" s="793"/>
      <c r="AW149" s="793"/>
      <c r="AX149" s="793"/>
      <c r="AY149" s="793"/>
      <c r="AZ149" s="793"/>
      <c r="BA149" s="793"/>
      <c r="BB149" s="793"/>
      <c r="BC149" s="793"/>
      <c r="BD149" s="793"/>
      <c r="BE149" s="793"/>
      <c r="BF149" s="793"/>
      <c r="BG149" s="793"/>
      <c r="BH149" s="793"/>
      <c r="BI149" s="793"/>
      <c r="BJ149" s="793"/>
      <c r="BK149" s="793"/>
      <c r="BL149" s="793"/>
      <c r="BM149" s="793"/>
      <c r="BN149" s="793"/>
      <c r="BO149" s="2104"/>
      <c r="BP149" s="2104"/>
      <c r="BQ149" s="2104"/>
      <c r="BR149" s="2104"/>
      <c r="BS149" s="2104"/>
      <c r="BT149" s="2104"/>
      <c r="BU149" s="2104"/>
      <c r="BV149" s="2104"/>
      <c r="BW149" s="2104"/>
      <c r="BX149" s="2104"/>
      <c r="BY149" s="2104"/>
      <c r="BZ149" s="2104"/>
      <c r="CA149" s="34"/>
      <c r="CC149" s="299"/>
      <c r="CD149" s="793"/>
      <c r="CE149" s="793"/>
      <c r="CF149" s="88"/>
      <c r="CG149" s="793"/>
      <c r="CH149" s="793"/>
      <c r="CI149" s="88"/>
      <c r="CJ149" s="793"/>
      <c r="CK149" s="793"/>
      <c r="CL149" s="88"/>
      <c r="CM149" s="1986" t="e" cm="1">
        <f t="array" ca="1" aca="1" ref="CM149">_xlfn.LET(_xlpm.val,IF($F149="",val_blankRefText,_xldudf_CX_GET(CX_ENTITY,$F149,CM$11,CM$14,,(CM$146))),_xlpm.Res,IF(OR(_xlpm.val="",_xlpm.val="Error"),"",_xlpm.val),_xlpm.Res)</f>
        <v>#NAME?</v>
      </c>
      <c r="CN149" s="1986" t="e" cm="1">
        <f t="array" ca="1" aca="1" ref="CN149">_xlfn.LET(_xlpm.val,IF($F149="",val_blankRefText,_xldudf_CX_GET(CX_ENTITY,$F149,CN$11,CN$14,,(CN$146))),_xlpm.Res,IF(OR(_xlpm.val="",_xlpm.val="Error"),"",_xlpm.val),_xlpm.Res)</f>
        <v>#NAME?</v>
      </c>
      <c r="CO149" s="1169"/>
      <c r="CP149" s="1986" t="e" cm="1">
        <f t="array" ca="1" aca="1" ref="CP149">_xlfn.LET(_xlpm.val,IF($F149="",val_blankRefText,_xldudf_CX_GET(CX_ENTITY,$F149,CP$11,CP$14,,(CP$146))),_xlpm.Res,IF(OR(_xlpm.val="",_xlpm.val="Error"),"",_xlpm.val),_xlpm.Res)</f>
        <v>#NAME?</v>
      </c>
      <c r="CQ149" s="1986" t="e" cm="1">
        <f t="array" ca="1" aca="1" ref="CQ149">_xlfn.LET(_xlpm.val,IF($F149="",val_blankRefText,_xldudf_CX_GET(CX_ENTITY,$F149,CQ$11,CQ$14,,(CQ$146))),_xlpm.Res,IF(OR(_xlpm.val="",_xlpm.val="Error"),"",_xlpm.val),_xlpm.Res)</f>
        <v>#NAME?</v>
      </c>
      <c r="CR149" s="34"/>
    </row>
    <row r="150" spans="1:96" ht="21" customHeight="1" outlineLevel="1">
      <c r="A150" s="1322"/>
      <c r="B150" s="2128" t="s">
        <v>122</v>
      </c>
      <c r="C150" s="2128" t="s">
        <v>1609</v>
      </c>
      <c r="D150" s="1322"/>
      <c r="E150" s="577" t="e" cm="1">
        <f t="array" ca="1" aca="1" ref="E150">_xlfn.LET(_xlpm.Attr,$C150,_xlpm.Lookback,$E$16,_xlpm.QueryDate,EOMONTH(val_asOfDate,_xlpm.Lookback),_xlpm.ReadField,_xldudf_CX_GET(CX_ENTITY,fx_attrConverter($C150),_xlpm.QueryDate),_xlpm.AttrBlank,_xlpm.Attr="",_xlpm.RESULT,IF(_xlpm.AttrBlank,val_blankRefText,fx_attrConverter(_xlpm.ReadField,0)),IF(_xlpm.RESULT="Error","",_xlpm.RESULT))</f>
        <v>#NAME?</v>
      </c>
      <c r="F150" s="577" t="str">
        <f t="shared" si="40"/>
        <v>Lfl Revenue Adjustment - Amount 3</v>
      </c>
      <c r="G150" s="577" t="s">
        <v>1608</v>
      </c>
      <c r="H150" s="3278">
        <v>1</v>
      </c>
      <c r="I150" s="3278">
        <v>1</v>
      </c>
      <c r="J150" s="30"/>
      <c r="K150" s="30"/>
      <c r="L150" s="579" t="b">
        <v>0</v>
      </c>
      <c r="N150" s="158"/>
      <c r="O150" s="101"/>
      <c r="P150" s="52"/>
      <c r="Q150" s="101"/>
      <c r="R150" s="140"/>
      <c r="S150" s="101"/>
      <c r="T150" s="101"/>
      <c r="U150" s="39"/>
      <c r="W150" s="91" t="str">
        <f>W147</f>
        <v>Actual</v>
      </c>
      <c r="X150" s="815" t="s">
        <v>62</v>
      </c>
      <c r="Y150" s="1555" t="e">
        <f ca="1">IF(E150="","Please select or type in or leave as blank",E150)</f>
        <v>#NAME?</v>
      </c>
      <c r="Z150" s="198" cm="1">
        <f t="array" ref="Z150">_xlfn.SWITCH(TRUE,ISBLANK(_PL!$L150),"",_PL!$L150=TRUE,1,_PL!$L150=FALSE,-1,_PL!$L150=-1,0,"n/a")</f>
        <v>-1</v>
      </c>
      <c r="AA150" s="905"/>
      <c r="AB150" s="3154"/>
      <c r="AC150" s="914" t="str" cm="1">
        <f t="array" ref="AC150">_xlfn.LET(_xlpm.Def,IF(_xlfn.XMATCH(AB150,tbl_acctDef[Term],0)&gt;0,fx_getIcon("find"),""),_xlpm.Adj,IF(_xlfn.XMATCH(AB150,tbl_adjExample[Items],0)&gt;0,fx_getIcon("find"),""),IFERROR(IFBLANK(_xlpm.Def,_xlpm.Adj),""))</f>
        <v/>
      </c>
      <c r="AD150" s="1986" t="e" cm="1">
        <f t="array" ca="1" aca="1" ref="AD150">_xlfn.LET(_xlpm.val,IF($F150="",val_blankRefText,_xldudf_CX_GET(CX_ENTITY,$F150,AD$11,AD$14,,(AD$146))),_xlpm.Res,IF(OR(_xlpm.val="",_xlpm.val="Error"),"",_xlpm.val),_xlpm.Res)</f>
        <v>#NAME?</v>
      </c>
      <c r="AE150" s="1986" t="e" cm="1">
        <f t="array" ca="1" aca="1" ref="AE150">_xlfn.LET(_xlpm.val,IF($F150="",val_blankRefText,_xldudf_CX_GET(CX_ENTITY,$F150,AE$11,AE$14,,(AE$146))),_xlpm.Res,IF(OR(_xlpm.val="",_xlpm.val="Error"),"",_xlpm.val),_xlpm.Res)</f>
        <v>#NAME?</v>
      </c>
      <c r="AF150" s="1986" t="e" cm="1">
        <f t="array" ca="1" aca="1" ref="AF150">_xlfn.LET(_xlpm.val,IF($F150="",val_blankRefText,_xldudf_CX_GET(CX_ENTITY,$F150,AF$11,AF$14,,(AF$146))),_xlpm.Res,IF(OR(_xlpm.val="",_xlpm.val="Error"),"",_xlpm.val),_xlpm.Res)</f>
        <v>#NAME?</v>
      </c>
      <c r="AG150" s="1986" t="e" cm="1">
        <f t="array" ca="1" aca="1" ref="AG150">_xlfn.LET(_xlpm.val,IF($F150="",val_blankRefText,_xldudf_CX_GET(CX_ENTITY,$F150,AG$11,AG$14,,(AG$146))),_xlpm.Res,IF(OR(_xlpm.val="",_xlpm.val="Error"),"",_xlpm.val),_xlpm.Res)</f>
        <v>#NAME?</v>
      </c>
      <c r="AH150" s="1986" t="e" cm="1">
        <f t="array" ca="1" aca="1" ref="AH150">_xlfn.LET(_xlpm.val,IF($F150="",val_blankRefText,_xldudf_CX_GET(CX_ENTITY,$F150,AH$11,AH$14,,(AH$146))),_xlpm.Res,IF(OR(_xlpm.val="",_xlpm.val="Error"),"",_xlpm.val),_xlpm.Res)</f>
        <v>#NAME?</v>
      </c>
      <c r="AI150" s="1986" t="e" cm="1">
        <f t="array" ca="1" aca="1" ref="AI150">_xlfn.LET(_xlpm.val,IF($F150="",val_blankRefText,_xldudf_CX_GET(CX_ENTITY,$F150,AI$11,AI$14,,(AI$146))),_xlpm.Res,IF(OR(_xlpm.val="",_xlpm.val="Error"),"",_xlpm.val),_xlpm.Res)</f>
        <v>#NAME?</v>
      </c>
      <c r="AJ150" s="1986" t="e" cm="1">
        <f t="array" ca="1" aca="1" ref="AJ150">_xlfn.LET(_xlpm.val,IF($F150="",val_blankRefText,_xldudf_CX_GET(CX_ENTITY,$F150,AJ$11,AJ$14,,(AJ$146))),_xlpm.Res,IF(OR(_xlpm.val="",_xlpm.val="Error"),"",_xlpm.val),_xlpm.Res)</f>
        <v>#NAME?</v>
      </c>
      <c r="AK150" s="1986" t="e" cm="1">
        <f t="array" ca="1" aca="1" ref="AK150">_xlfn.LET(_xlpm.val,IF($F150="",val_blankRefText,_xldudf_CX_GET(CX_ENTITY,$F150,AK$11,AK$14,,(AK$146))),_xlpm.Res,IF(OR(_xlpm.val="",_xlpm.val="Error"),"",_xlpm.val),_xlpm.Res)</f>
        <v>#NAME?</v>
      </c>
      <c r="AL150" s="1986" t="e" cm="1">
        <f t="array" ca="1" aca="1" ref="AL150">_xlfn.LET(_xlpm.val,IF($F150="",val_blankRefText,_xldudf_CX_GET(CX_ENTITY,$F150,AL$11,AL$14,,(AL$146))),_xlpm.Res,IF(OR(_xlpm.val="",_xlpm.val="Error"),"",_xlpm.val),_xlpm.Res)</f>
        <v>#NAME?</v>
      </c>
      <c r="AM150" s="1986" t="e" cm="1">
        <f t="array" ca="1" aca="1" ref="AM150">_xlfn.LET(_xlpm.val,IF($F150="",val_blankRefText,_xldudf_CX_GET(CX_ENTITY,$F150,AM$11,AM$14,,(AM$146))),_xlpm.Res,IF(OR(_xlpm.val="",_xlpm.val="Error"),"",_xlpm.val),_xlpm.Res)</f>
        <v>#NAME?</v>
      </c>
      <c r="AN150" s="1986" t="e" cm="1">
        <f t="array" ca="1" aca="1" ref="AN150">_xlfn.LET(_xlpm.val,IF($F150="",val_blankRefText,_xldudf_CX_GET(CX_ENTITY,$F150,AN$11,AN$14,,(AN$146))),_xlpm.Res,IF(OR(_xlpm.val="",_xlpm.val="Error"),"",_xlpm.val),_xlpm.Res)</f>
        <v>#NAME?</v>
      </c>
      <c r="AO150" s="1986" t="e" cm="1">
        <f t="array" ca="1" aca="1" ref="AO150">_xlfn.LET(_xlpm.val,IF($F150="",val_blankRefText,_xldudf_CX_GET(CX_ENTITY,$F150,AO$11,AO$14,,(AO$146))),_xlpm.Res,IF(OR(_xlpm.val="",_xlpm.val="Error"),"",_xlpm.val),_xlpm.Res)</f>
        <v>#NAME?</v>
      </c>
      <c r="AP150" s="1986" t="e" cm="1">
        <f t="array" ca="1" aca="1" ref="AP150">_xlfn.LET(_xlpm.val,IF($F150="",val_blankRefText,_xldudf_CX_GET(CX_ENTITY,$F150,AP$11,AP$14,,(AP$146))),_xlpm.Res,IF(OR(_xlpm.val="",_xlpm.val="Error"),"",_xlpm.val),_xlpm.Res)</f>
        <v>#NAME?</v>
      </c>
      <c r="AQ150" s="1986" t="e" cm="1">
        <f t="array" ca="1" aca="1" ref="AQ150">_xlfn.LET(_xlpm.val,IF($F150="",val_blankRefText,_xldudf_CX_GET(CX_ENTITY,$F150,AQ$11,AQ$14,,(AQ$146))),_xlpm.Res,IF(OR(_xlpm.val="",_xlpm.val="Error"),"",_xlpm.val),_xlpm.Res)</f>
        <v>#NAME?</v>
      </c>
      <c r="AR150" s="1986" t="e" cm="1">
        <f t="array" ca="1" aca="1" ref="AR150">_xlfn.LET(_xlpm.val,IF($F150="",val_blankRefText,_xldudf_CX_GET(CX_ENTITY,$F150,AR$11,AR$14,,(AR$146))),_xlpm.Res,IF(OR(_xlpm.val="",_xlpm.val="Error"),"",_xlpm.val),_xlpm.Res)</f>
        <v>#NAME?</v>
      </c>
      <c r="AS150" s="1986" t="e" cm="1">
        <f t="array" ca="1" aca="1" ref="AS150">_xlfn.LET(_xlpm.val,IF($F150="",val_blankRefText,_xldudf_CX_GET(CX_ENTITY,$F150,AS$11,AS$14,,(AS$146))),_xlpm.Res,IF(OR(_xlpm.val="",_xlpm.val="Error"),"",_xlpm.val),_xlpm.Res)</f>
        <v>#NAME?</v>
      </c>
      <c r="AT150" s="1986" t="e" cm="1">
        <f t="array" ca="1" aca="1" ref="AT150">_xlfn.LET(_xlpm.val,IF($F150="",val_blankRefText,_xldudf_CX_GET(CX_ENTITY,$F150,AT$11,AT$14,,(AT$146))),_xlpm.Res,IF(OR(_xlpm.val="",_xlpm.val="Error"),"",_xlpm.val),_xlpm.Res)</f>
        <v>#NAME?</v>
      </c>
      <c r="AU150" s="1986" t="e" cm="1">
        <f t="array" ca="1" aca="1" ref="AU150">_xlfn.LET(_xlpm.val,IF($F150="",val_blankRefText,_xldudf_CX_GET(CX_ENTITY,$F150,AU$11,AU$14,,(AU$146))),_xlpm.Res,IF(OR(_xlpm.val="",_xlpm.val="Error"),"",_xlpm.val),_xlpm.Res)</f>
        <v>#NAME?</v>
      </c>
      <c r="AV150" s="1986" t="e" cm="1">
        <f t="array" ca="1" aca="1" ref="AV150">_xlfn.LET(_xlpm.val,IF($F150="",val_blankRefText,_xldudf_CX_GET(CX_ENTITY,$F150,AV$11,AV$14,,(AV$146))),_xlpm.Res,IF(OR(_xlpm.val="",_xlpm.val="Error"),"",_xlpm.val),_xlpm.Res)</f>
        <v>#NAME?</v>
      </c>
      <c r="AW150" s="1986" t="e" cm="1">
        <f t="array" ca="1" aca="1" ref="AW150">_xlfn.LET(_xlpm.val,IF($F150="",val_blankRefText,_xldudf_CX_GET(CX_ENTITY,$F150,AW$11,AW$14,,(AW$146))),_xlpm.Res,IF(OR(_xlpm.val="",_xlpm.val="Error"),"",_xlpm.val),_xlpm.Res)</f>
        <v>#NAME?</v>
      </c>
      <c r="AX150" s="1986" t="e" cm="1">
        <f t="array" ca="1" aca="1" ref="AX150">_xlfn.LET(_xlpm.val,IF($F150="",val_blankRefText,_xldudf_CX_GET(CX_ENTITY,$F150,AX$11,AX$14,,(AX$146))),_xlpm.Res,IF(OR(_xlpm.val="",_xlpm.val="Error"),"",_xlpm.val),_xlpm.Res)</f>
        <v>#NAME?</v>
      </c>
      <c r="AY150" s="1986" t="e" cm="1">
        <f t="array" ca="1" aca="1" ref="AY150">_xlfn.LET(_xlpm.val,IF($F150="",val_blankRefText,_xldudf_CX_GET(CX_ENTITY,$F150,AY$11,AY$14,,(AY$146))),_xlpm.Res,IF(OR(_xlpm.val="",_xlpm.val="Error"),"",_xlpm.val),_xlpm.Res)</f>
        <v>#NAME?</v>
      </c>
      <c r="AZ150" s="1986" t="e" cm="1">
        <f t="array" ca="1" aca="1" ref="AZ150">_xlfn.LET(_xlpm.val,IF($F150="",val_blankRefText,_xldudf_CX_GET(CX_ENTITY,$F150,AZ$11,AZ$14,,(AZ$146))),_xlpm.Res,IF(OR(_xlpm.val="",_xlpm.val="Error"),"",_xlpm.val),_xlpm.Res)</f>
        <v>#NAME?</v>
      </c>
      <c r="BA150" s="1986" t="e" cm="1">
        <f t="array" ca="1" aca="1" ref="BA150">_xlfn.LET(_xlpm.val,IF($F150="",val_blankRefText,_xldudf_CX_GET(CX_ENTITY,$F150,BA$11,BA$14,,(BA$146))),_xlpm.Res,IF(OR(_xlpm.val="",_xlpm.val="Error"),"",_xlpm.val),_xlpm.Res)</f>
        <v>#NAME?</v>
      </c>
      <c r="BB150" s="1986" t="e" cm="1">
        <f t="array" ca="1" aca="1" ref="BB150">_xlfn.LET(_xlpm.val,IF($F150="",val_blankRefText,_xldudf_CX_GET(CX_ENTITY,$F150,BB$11,BB$14,,(BB$146))),_xlpm.Res,IF(OR(_xlpm.val="",_xlpm.val="Error"),"",_xlpm.val),_xlpm.Res)</f>
        <v>#NAME?</v>
      </c>
      <c r="BC150" s="1986" t="e" cm="1">
        <f t="array" ca="1" aca="1" ref="BC150">_xlfn.LET(_xlpm.val,IF($F150="",val_blankRefText,_xldudf_CX_GET(CX_ENTITY,$F150,BC$11,BC$14,,(BC$146))),_xlpm.Res,IF(OR(_xlpm.val="",_xlpm.val="Error"),"",_xlpm.val),_xlpm.Res)</f>
        <v>#NAME?</v>
      </c>
      <c r="BD150" s="1986" t="e" cm="1">
        <f t="array" ca="1" aca="1" ref="BD150">_xlfn.LET(_xlpm.val,IF($F150="",val_blankRefText,_xldudf_CX_GET(CX_ENTITY,$F150,BD$11,BD$14,,(BD$146))),_xlpm.Res,IF(OR(_xlpm.val="",_xlpm.val="Error"),"",_xlpm.val),_xlpm.Res)</f>
        <v>#NAME?</v>
      </c>
      <c r="BE150" s="1986" t="e" cm="1">
        <f t="array" ca="1" aca="1" ref="BE150">_xlfn.LET(_xlpm.val,IF($F150="",val_blankRefText,_xldudf_CX_GET(CX_ENTITY,$F150,BE$11,BE$14,,(BE$146))),_xlpm.Res,IF(OR(_xlpm.val="",_xlpm.val="Error"),"",_xlpm.val),_xlpm.Res)</f>
        <v>#NAME?</v>
      </c>
      <c r="BF150" s="1986" t="e" cm="1">
        <f t="array" ca="1" aca="1" ref="BF150">_xlfn.LET(_xlpm.val,IF($F150="",val_blankRefText,_xldudf_CX_GET(CX_ENTITY,$F150,BF$11,BF$14,,(BF$146))),_xlpm.Res,IF(OR(_xlpm.val="",_xlpm.val="Error"),"",_xlpm.val),_xlpm.Res)</f>
        <v>#NAME?</v>
      </c>
      <c r="BG150" s="1986" t="e" cm="1">
        <f t="array" ca="1" aca="1" ref="BG150">_xlfn.LET(_xlpm.val,IF($F150="",val_blankRefText,_xldudf_CX_GET(CX_ENTITY,$F150,BG$11,BG$14,,(BG$146))),_xlpm.Res,IF(OR(_xlpm.val="",_xlpm.val="Error"),"",_xlpm.val),_xlpm.Res)</f>
        <v>#NAME?</v>
      </c>
      <c r="BH150" s="1986" t="e" cm="1">
        <f t="array" ca="1" aca="1" ref="BH150">_xlfn.LET(_xlpm.val,IF($F150="",val_blankRefText,_xldudf_CX_GET(CX_ENTITY,$F150,BH$11,BH$14,,(BH$146))),_xlpm.Res,IF(OR(_xlpm.val="",_xlpm.val="Error"),"",_xlpm.val),_xlpm.Res)</f>
        <v>#NAME?</v>
      </c>
      <c r="BI150" s="1986" t="e" cm="1">
        <f t="array" ca="1" aca="1" ref="BI150">_xlfn.LET(_xlpm.val,IF($F150="",val_blankRefText,_xldudf_CX_GET(CX_ENTITY,$F150,BI$11,BI$14,,(BI$146))),_xlpm.Res,IF(OR(_xlpm.val="",_xlpm.val="Error"),"",_xlpm.val),_xlpm.Res)</f>
        <v>#NAME?</v>
      </c>
      <c r="BJ150" s="1986" t="e" cm="1">
        <f t="array" ca="1" aca="1" ref="BJ150">_xlfn.LET(_xlpm.val,IF($F150="",val_blankRefText,_xldudf_CX_GET(CX_ENTITY,$F150,BJ$11,BJ$14,,(BJ$146))),_xlpm.Res,IF(OR(_xlpm.val="",_xlpm.val="Error"),"",_xlpm.val),_xlpm.Res)</f>
        <v>#NAME?</v>
      </c>
      <c r="BK150" s="1986" t="e" cm="1">
        <f t="array" ca="1" aca="1" ref="BK150">_xlfn.LET(_xlpm.val,IF($F150="",val_blankRefText,_xldudf_CX_GET(CX_ENTITY,$F150,BK$11,BK$14,,(BK$146))),_xlpm.Res,IF(OR(_xlpm.val="",_xlpm.val="Error"),"",_xlpm.val),_xlpm.Res)</f>
        <v>#NAME?</v>
      </c>
      <c r="BL150" s="1986" t="e" cm="1">
        <f t="array" ca="1" aca="1" ref="BL150">_xlfn.LET(_xlpm.val,IF($F150="",val_blankRefText,_xldudf_CX_GET(CX_ENTITY,$F150,BL$11,BL$14,,(BL$146))),_xlpm.Res,IF(OR(_xlpm.val="",_xlpm.val="Error"),"",_xlpm.val),_xlpm.Res)</f>
        <v>#NAME?</v>
      </c>
      <c r="BM150" s="1986" t="e" cm="1">
        <f t="array" ca="1" aca="1" ref="BM150">_xlfn.LET(_xlpm.val,IF($F150="",val_blankRefText,_xldudf_CX_GET(CX_ENTITY,$F150,BM$11,BM$14,,(BM$146))),_xlpm.Res,IF(OR(_xlpm.val="",_xlpm.val="Error"),"",_xlpm.val),_xlpm.Res)</f>
        <v>#NAME?</v>
      </c>
      <c r="BN150" s="1986" t="e" cm="1">
        <f t="array" ca="1" aca="1" ref="BN150">_xlfn.LET(_xlpm.val,IF($F150="",val_blankRefText,_xldudf_CX_GET(CX_ENTITY,$F150,BN$11,BN$14,,(BN$146))),_xlpm.Res,IF(OR(_xlpm.val="",_xlpm.val="Error"),"",_xlpm.val),_xlpm.Res)</f>
        <v>#NAME?</v>
      </c>
      <c r="BO150" s="2103"/>
      <c r="BP150" s="2103"/>
      <c r="BQ150" s="2103"/>
      <c r="BR150" s="2103"/>
      <c r="BS150" s="2103"/>
      <c r="BT150" s="2103"/>
      <c r="BU150" s="2103"/>
      <c r="BV150" s="2103"/>
      <c r="BW150" s="2103"/>
      <c r="BX150" s="2103"/>
      <c r="BY150" s="2103"/>
      <c r="BZ150" s="2103"/>
      <c r="CA150" s="34"/>
      <c r="CC150" s="50"/>
      <c r="CD150" s="1461" t="e" cm="1">
        <f t="array" ca="1" aca="1" ref="CD150">_xlfn.LET(_xlpm.CheckBlank,SUM(PL!$AD150:$BN150)=0,IF(_xlpm.CheckBlank,"",SUM(_xlfn._xlws.FILTER(PL!$AD150:$BN150,(YEAR(PL!$AD$12:$BN$12)=PL!CD$12)*(array_timeline&lt;=PL!CD$11)))))</f>
        <v>#NAME?</v>
      </c>
      <c r="CE150" s="1461" t="e" cm="1">
        <f t="array" ca="1" aca="1" ref="CE150">_xlfn.LET(_xlpm.CheckBlank,SUM(PL!$AD150:$BN150)=0,IF(_xlpm.CheckBlank,"",SUM(_xlfn._xlws.FILTER(PL!$AD150:$BN150,(YEAR(PL!$AD$12:$BN$12)=PL!CE$12)*(array_timeline&lt;=PL!CE$11)))))</f>
        <v>#NAME?</v>
      </c>
      <c r="CF150" s="88"/>
      <c r="CG150" s="1461" t="e" cm="1">
        <f t="array" ca="1" aca="1" ref="CG150">_xlfn.LET(_xlpm.CheckBlank,SUM(PL!$AD150:$BN150)=0,IF(_xlpm.CheckBlank,"",SUM(_xlfn._xlws.FILTER(PL!$AD150:$BN150,(YEAR(PL!$AD$12:$BN$12)=PL!CG$12)*(array_timeline&lt;=PL!CG$11)))))</f>
        <v>#NAME?</v>
      </c>
      <c r="CH150" s="1461" t="e" cm="1">
        <f t="array" ca="1" aca="1" ref="CH150">_xlfn.LET(_xlpm.CheckBlank,SUM(PL!$AD150:$BN150)=0,IF(_xlpm.CheckBlank,"",SUM(_xlfn._xlws.FILTER(PL!$AD150:$BN150,(YEAR(PL!$AD$12:$BN$12)=PL!CH$12)*(array_timeline&lt;=PL!CH$11)))))</f>
        <v>#NAME?</v>
      </c>
      <c r="CI150" s="88"/>
      <c r="CJ150" s="1461" cm="1">
        <f t="array" ref="CJ150">_xlfn.LET(_xlpm.CheckBlank,SUM(PL!$AD150:$BN150)=0,IF(_xlpm.CheckBlank,"",SUM(_xlfn.TAKE(_xlfn.DROP(PL!$AD150:$BN150,,-DATEDIFF(PL!CJ$11,val_asOfDate,"M")),1,-12))))</f>
        <v>12</v>
      </c>
      <c r="CK150" s="1461" cm="1">
        <f t="array" ref="CK150">_xlfn.LET(_xlpm.CheckBlank,SUM(PL!$AD150:$BN150)=0,IF(_xlpm.CheckBlank,"",SUM(_xlfn.TAKE(_xlfn.DROP(PL!$AD150:$BN150,,-DATEDIFF(PL!CK$11,val_asOfDate,"M")),1,-12))))</f>
        <v>12</v>
      </c>
      <c r="CL150" s="88"/>
      <c r="CM150" s="1986" t="e" cm="1">
        <f t="array" ca="1" aca="1" ref="CM150">_xlfn.LET(_xlpm.val,IF($F150="",val_blankRefText,_xldudf_CX_GET(CX_ENTITY,$F150,CM$11,CM$14,,(CM$146))),_xlpm.Res,IF(OR(_xlpm.val="",_xlpm.val="Error"),"",_xlpm.val),_xlpm.Res)</f>
        <v>#NAME?</v>
      </c>
      <c r="CN150" s="1986" t="e" cm="1">
        <f t="array" ca="1" aca="1" ref="CN150">_xlfn.LET(_xlpm.val,IF($F150="",val_blankRefText,_xldudf_CX_GET(CX_ENTITY,$F150,CN$11,CN$14,,(CN$146))),_xlpm.Res,IF(OR(_xlpm.val="",_xlpm.val="Error"),"",_xlpm.val),_xlpm.Res)</f>
        <v>#NAME?</v>
      </c>
      <c r="CO150" s="1169"/>
      <c r="CP150" s="1986" t="e" cm="1">
        <f t="array" ca="1" aca="1" ref="CP150">_xlfn.LET(_xlpm.val,IF($F150="",val_blankRefText,_xldudf_CX_GET(CX_ENTITY,$F150,CP$11,CP$14,,(CP$146))),_xlpm.Res,IF(OR(_xlpm.val="",_xlpm.val="Error"),"",_xlpm.val),_xlpm.Res)</f>
        <v>#NAME?</v>
      </c>
      <c r="CQ150" s="1986" t="e" cm="1">
        <f t="array" ca="1" aca="1" ref="CQ150">_xlfn.LET(_xlpm.val,IF($F150="",val_blankRefText,_xldudf_CX_GET(CX_ENTITY,$F150,CQ$11,CQ$14,,(CQ$146))),_xlpm.Res,IF(OR(_xlpm.val="",_xlpm.val="Error"),"",_xlpm.val),_xlpm.Res)</f>
        <v>#NAME?</v>
      </c>
      <c r="CR150" s="34"/>
    </row>
    <row r="151" spans="1:96" ht="21" customHeight="1" outlineLevel="1">
      <c r="A151" s="1322"/>
      <c r="B151" s="2128" t="s">
        <v>124</v>
      </c>
      <c r="C151" s="2128" t="s">
        <v>1610</v>
      </c>
      <c r="D151" s="1322"/>
      <c r="E151" s="577" t="e" cm="1">
        <f t="array" ca="1" aca="1" ref="E151">_xlfn.LET(_xlpm.Attr,$C151,_xlpm.Lookback,$E$16,_xlpm.QueryDate,EOMONTH(val_asOfDate,_xlpm.Lookback),_xlpm.ReadField,_xldudf_CX_GET(CX_ENTITY,fx_attrConverter($C151),_xlpm.QueryDate),_xlpm.AttrBlank,_xlpm.Attr="",_xlpm.RESULT,IF(_xlpm.AttrBlank,val_blankRefText,fx_attrConverter(_xlpm.ReadField,0)),IF(_xlpm.RESULT="Error","",_xlpm.RESULT))</f>
        <v>#NAME?</v>
      </c>
      <c r="F151" s="577" t="str">
        <f t="shared" si="40"/>
        <v>Lfl Revenue Adjustment - Amount 4</v>
      </c>
      <c r="G151" s="577" t="s">
        <v>1608</v>
      </c>
      <c r="H151" s="3278">
        <v>1</v>
      </c>
      <c r="I151" s="3278">
        <v>1</v>
      </c>
      <c r="J151" s="30"/>
      <c r="K151" s="30"/>
      <c r="L151" s="579" t="b">
        <v>0</v>
      </c>
      <c r="N151" s="158"/>
      <c r="O151" s="101"/>
      <c r="P151" s="52"/>
      <c r="Q151" s="101"/>
      <c r="R151" s="101"/>
      <c r="S151" s="101"/>
      <c r="T151" s="101"/>
      <c r="U151" s="39"/>
      <c r="W151" s="91" t="str">
        <f>W147</f>
        <v>Actual</v>
      </c>
      <c r="X151" s="815" t="s">
        <v>62</v>
      </c>
      <c r="Y151" s="1555" t="e">
        <f ca="1" t="shared" si="41" ref="Y151:Y153">IF(E151="","Please select or type in or leave as blank",E151)</f>
        <v>#NAME?</v>
      </c>
      <c r="Z151" s="198" cm="1">
        <f t="array" ref="Z151">_xlfn.SWITCH(TRUE,ISBLANK(_PL!$L151),"",_PL!$L151=TRUE,1,_PL!$L151=FALSE,-1,_PL!$L151=-1,0,"n/a")</f>
        <v>-1</v>
      </c>
      <c r="AA151" s="905"/>
      <c r="AB151" s="1131"/>
      <c r="AC151" s="914" t="str" cm="1">
        <f t="array" ref="AC151">_xlfn.LET(_xlpm.Def,IF(_xlfn.XMATCH(AB151,tbl_acctDef[Term],0)&gt;0,fx_getIcon("find"),""),_xlpm.Adj,IF(_xlfn.XMATCH(AB151,tbl_adjExample[Items],0)&gt;0,fx_getIcon("find"),""),IFERROR(IFBLANK(_xlpm.Def,_xlpm.Adj),""))</f>
        <v/>
      </c>
      <c r="AD151" s="1986" t="e" cm="1">
        <f t="array" ca="1" aca="1" ref="AD151">_xlfn.LET(_xlpm.val,IF($F151="",val_blankRefText,_xldudf_CX_GET(CX_ENTITY,$F151,AD$11,AD$14,,(AD$146))),_xlpm.Res,IF(OR(_xlpm.val="",_xlpm.val="Error"),"",_xlpm.val),_xlpm.Res)</f>
        <v>#NAME?</v>
      </c>
      <c r="AE151" s="1986" t="e" cm="1">
        <f t="array" ca="1" aca="1" ref="AE151">_xlfn.LET(_xlpm.val,IF($F151="",val_blankRefText,_xldudf_CX_GET(CX_ENTITY,$F151,AE$11,AE$14,,(AE$146))),_xlpm.Res,IF(OR(_xlpm.val="",_xlpm.val="Error"),"",_xlpm.val),_xlpm.Res)</f>
        <v>#NAME?</v>
      </c>
      <c r="AF151" s="1986" t="e" cm="1">
        <f t="array" ca="1" aca="1" ref="AF151">_xlfn.LET(_xlpm.val,IF($F151="",val_blankRefText,_xldudf_CX_GET(CX_ENTITY,$F151,AF$11,AF$14,,(AF$146))),_xlpm.Res,IF(OR(_xlpm.val="",_xlpm.val="Error"),"",_xlpm.val),_xlpm.Res)</f>
        <v>#NAME?</v>
      </c>
      <c r="AG151" s="1986" t="e" cm="1">
        <f t="array" ca="1" aca="1" ref="AG151">_xlfn.LET(_xlpm.val,IF($F151="",val_blankRefText,_xldudf_CX_GET(CX_ENTITY,$F151,AG$11,AG$14,,(AG$146))),_xlpm.Res,IF(OR(_xlpm.val="",_xlpm.val="Error"),"",_xlpm.val),_xlpm.Res)</f>
        <v>#NAME?</v>
      </c>
      <c r="AH151" s="1986" t="e" cm="1">
        <f t="array" ca="1" aca="1" ref="AH151">_xlfn.LET(_xlpm.val,IF($F151="",val_blankRefText,_xldudf_CX_GET(CX_ENTITY,$F151,AH$11,AH$14,,(AH$146))),_xlpm.Res,IF(OR(_xlpm.val="",_xlpm.val="Error"),"",_xlpm.val),_xlpm.Res)</f>
        <v>#NAME?</v>
      </c>
      <c r="AI151" s="1986" t="e" cm="1">
        <f t="array" ca="1" aca="1" ref="AI151">_xlfn.LET(_xlpm.val,IF($F151="",val_blankRefText,_xldudf_CX_GET(CX_ENTITY,$F151,AI$11,AI$14,,(AI$146))),_xlpm.Res,IF(OR(_xlpm.val="",_xlpm.val="Error"),"",_xlpm.val),_xlpm.Res)</f>
        <v>#NAME?</v>
      </c>
      <c r="AJ151" s="1986" t="e" cm="1">
        <f t="array" ca="1" aca="1" ref="AJ151">_xlfn.LET(_xlpm.val,IF($F151="",val_blankRefText,_xldudf_CX_GET(CX_ENTITY,$F151,AJ$11,AJ$14,,(AJ$146))),_xlpm.Res,IF(OR(_xlpm.val="",_xlpm.val="Error"),"",_xlpm.val),_xlpm.Res)</f>
        <v>#NAME?</v>
      </c>
      <c r="AK151" s="1986" t="e" cm="1">
        <f t="array" ca="1" aca="1" ref="AK151">_xlfn.LET(_xlpm.val,IF($F151="",val_blankRefText,_xldudf_CX_GET(CX_ENTITY,$F151,AK$11,AK$14,,(AK$146))),_xlpm.Res,IF(OR(_xlpm.val="",_xlpm.val="Error"),"",_xlpm.val),_xlpm.Res)</f>
        <v>#NAME?</v>
      </c>
      <c r="AL151" s="1986" t="e" cm="1">
        <f t="array" ca="1" aca="1" ref="AL151">_xlfn.LET(_xlpm.val,IF($F151="",val_blankRefText,_xldudf_CX_GET(CX_ENTITY,$F151,AL$11,AL$14,,(AL$146))),_xlpm.Res,IF(OR(_xlpm.val="",_xlpm.val="Error"),"",_xlpm.val),_xlpm.Res)</f>
        <v>#NAME?</v>
      </c>
      <c r="AM151" s="1986" t="e" cm="1">
        <f t="array" ca="1" aca="1" ref="AM151">_xlfn.LET(_xlpm.val,IF($F151="",val_blankRefText,_xldudf_CX_GET(CX_ENTITY,$F151,AM$11,AM$14,,(AM$146))),_xlpm.Res,IF(OR(_xlpm.val="",_xlpm.val="Error"),"",_xlpm.val),_xlpm.Res)</f>
        <v>#NAME?</v>
      </c>
      <c r="AN151" s="1986" t="e" cm="1">
        <f t="array" ca="1" aca="1" ref="AN151">_xlfn.LET(_xlpm.val,IF($F151="",val_blankRefText,_xldudf_CX_GET(CX_ENTITY,$F151,AN$11,AN$14,,(AN$146))),_xlpm.Res,IF(OR(_xlpm.val="",_xlpm.val="Error"),"",_xlpm.val),_xlpm.Res)</f>
        <v>#NAME?</v>
      </c>
      <c r="AO151" s="1986" t="e" cm="1">
        <f t="array" ca="1" aca="1" ref="AO151">_xlfn.LET(_xlpm.val,IF($F151="",val_blankRefText,_xldudf_CX_GET(CX_ENTITY,$F151,AO$11,AO$14,,(AO$146))),_xlpm.Res,IF(OR(_xlpm.val="",_xlpm.val="Error"),"",_xlpm.val),_xlpm.Res)</f>
        <v>#NAME?</v>
      </c>
      <c r="AP151" s="1986" t="e" cm="1">
        <f t="array" ca="1" aca="1" ref="AP151">_xlfn.LET(_xlpm.val,IF($F151="",val_blankRefText,_xldudf_CX_GET(CX_ENTITY,$F151,AP$11,AP$14,,(AP$146))),_xlpm.Res,IF(OR(_xlpm.val="",_xlpm.val="Error"),"",_xlpm.val),_xlpm.Res)</f>
        <v>#NAME?</v>
      </c>
      <c r="AQ151" s="1986" t="e" cm="1">
        <f t="array" ca="1" aca="1" ref="AQ151">_xlfn.LET(_xlpm.val,IF($F151="",val_blankRefText,_xldudf_CX_GET(CX_ENTITY,$F151,AQ$11,AQ$14,,(AQ$146))),_xlpm.Res,IF(OR(_xlpm.val="",_xlpm.val="Error"),"",_xlpm.val),_xlpm.Res)</f>
        <v>#NAME?</v>
      </c>
      <c r="AR151" s="1986" t="e" cm="1">
        <f t="array" ca="1" aca="1" ref="AR151">_xlfn.LET(_xlpm.val,IF($F151="",val_blankRefText,_xldudf_CX_GET(CX_ENTITY,$F151,AR$11,AR$14,,(AR$146))),_xlpm.Res,IF(OR(_xlpm.val="",_xlpm.val="Error"),"",_xlpm.val),_xlpm.Res)</f>
        <v>#NAME?</v>
      </c>
      <c r="AS151" s="1986" t="e" cm="1">
        <f t="array" ca="1" aca="1" ref="AS151">_xlfn.LET(_xlpm.val,IF($F151="",val_blankRefText,_xldudf_CX_GET(CX_ENTITY,$F151,AS$11,AS$14,,(AS$146))),_xlpm.Res,IF(OR(_xlpm.val="",_xlpm.val="Error"),"",_xlpm.val),_xlpm.Res)</f>
        <v>#NAME?</v>
      </c>
      <c r="AT151" s="1986" t="e" cm="1">
        <f t="array" ca="1" aca="1" ref="AT151">_xlfn.LET(_xlpm.val,IF($F151="",val_blankRefText,_xldudf_CX_GET(CX_ENTITY,$F151,AT$11,AT$14,,(AT$146))),_xlpm.Res,IF(OR(_xlpm.val="",_xlpm.val="Error"),"",_xlpm.val),_xlpm.Res)</f>
        <v>#NAME?</v>
      </c>
      <c r="AU151" s="1986" t="e" cm="1">
        <f t="array" ca="1" aca="1" ref="AU151">_xlfn.LET(_xlpm.val,IF($F151="",val_blankRefText,_xldudf_CX_GET(CX_ENTITY,$F151,AU$11,AU$14,,(AU$146))),_xlpm.Res,IF(OR(_xlpm.val="",_xlpm.val="Error"),"",_xlpm.val),_xlpm.Res)</f>
        <v>#NAME?</v>
      </c>
      <c r="AV151" s="1986" t="e" cm="1">
        <f t="array" ca="1" aca="1" ref="AV151">_xlfn.LET(_xlpm.val,IF($F151="",val_blankRefText,_xldudf_CX_GET(CX_ENTITY,$F151,AV$11,AV$14,,(AV$146))),_xlpm.Res,IF(OR(_xlpm.val="",_xlpm.val="Error"),"",_xlpm.val),_xlpm.Res)</f>
        <v>#NAME?</v>
      </c>
      <c r="AW151" s="1986" t="e" cm="1">
        <f t="array" ca="1" aca="1" ref="AW151">_xlfn.LET(_xlpm.val,IF($F151="",val_blankRefText,_xldudf_CX_GET(CX_ENTITY,$F151,AW$11,AW$14,,(AW$146))),_xlpm.Res,IF(OR(_xlpm.val="",_xlpm.val="Error"),"",_xlpm.val),_xlpm.Res)</f>
        <v>#NAME?</v>
      </c>
      <c r="AX151" s="1986" t="e" cm="1">
        <f t="array" ca="1" aca="1" ref="AX151">_xlfn.LET(_xlpm.val,IF($F151="",val_blankRefText,_xldudf_CX_GET(CX_ENTITY,$F151,AX$11,AX$14,,(AX$146))),_xlpm.Res,IF(OR(_xlpm.val="",_xlpm.val="Error"),"",_xlpm.val),_xlpm.Res)</f>
        <v>#NAME?</v>
      </c>
      <c r="AY151" s="1986" t="e" cm="1">
        <f t="array" ca="1" aca="1" ref="AY151">_xlfn.LET(_xlpm.val,IF($F151="",val_blankRefText,_xldudf_CX_GET(CX_ENTITY,$F151,AY$11,AY$14,,(AY$146))),_xlpm.Res,IF(OR(_xlpm.val="",_xlpm.val="Error"),"",_xlpm.val),_xlpm.Res)</f>
        <v>#NAME?</v>
      </c>
      <c r="AZ151" s="1986" t="e" cm="1">
        <f t="array" ca="1" aca="1" ref="AZ151">_xlfn.LET(_xlpm.val,IF($F151="",val_blankRefText,_xldudf_CX_GET(CX_ENTITY,$F151,AZ$11,AZ$14,,(AZ$146))),_xlpm.Res,IF(OR(_xlpm.val="",_xlpm.val="Error"),"",_xlpm.val),_xlpm.Res)</f>
        <v>#NAME?</v>
      </c>
      <c r="BA151" s="1986" t="e" cm="1">
        <f t="array" ca="1" aca="1" ref="BA151">_xlfn.LET(_xlpm.val,IF($F151="",val_blankRefText,_xldudf_CX_GET(CX_ENTITY,$F151,BA$11,BA$14,,(BA$146))),_xlpm.Res,IF(OR(_xlpm.val="",_xlpm.val="Error"),"",_xlpm.val),_xlpm.Res)</f>
        <v>#NAME?</v>
      </c>
      <c r="BB151" s="1986" t="e" cm="1">
        <f t="array" ca="1" aca="1" ref="BB151">_xlfn.LET(_xlpm.val,IF($F151="",val_blankRefText,_xldudf_CX_GET(CX_ENTITY,$F151,BB$11,BB$14,,(BB$146))),_xlpm.Res,IF(OR(_xlpm.val="",_xlpm.val="Error"),"",_xlpm.val),_xlpm.Res)</f>
        <v>#NAME?</v>
      </c>
      <c r="BC151" s="1986" t="e" cm="1">
        <f t="array" ca="1" aca="1" ref="BC151">_xlfn.LET(_xlpm.val,IF($F151="",val_blankRefText,_xldudf_CX_GET(CX_ENTITY,$F151,BC$11,BC$14,,(BC$146))),_xlpm.Res,IF(OR(_xlpm.val="",_xlpm.val="Error"),"",_xlpm.val),_xlpm.Res)</f>
        <v>#NAME?</v>
      </c>
      <c r="BD151" s="1986" t="e" cm="1">
        <f t="array" ca="1" aca="1" ref="BD151">_xlfn.LET(_xlpm.val,IF($F151="",val_blankRefText,_xldudf_CX_GET(CX_ENTITY,$F151,BD$11,BD$14,,(BD$146))),_xlpm.Res,IF(OR(_xlpm.val="",_xlpm.val="Error"),"",_xlpm.val),_xlpm.Res)</f>
        <v>#NAME?</v>
      </c>
      <c r="BE151" s="1986" t="e" cm="1">
        <f t="array" ca="1" aca="1" ref="BE151">_xlfn.LET(_xlpm.val,IF($F151="",val_blankRefText,_xldudf_CX_GET(CX_ENTITY,$F151,BE$11,BE$14,,(BE$146))),_xlpm.Res,IF(OR(_xlpm.val="",_xlpm.val="Error"),"",_xlpm.val),_xlpm.Res)</f>
        <v>#NAME?</v>
      </c>
      <c r="BF151" s="1986" t="e" cm="1">
        <f t="array" ca="1" aca="1" ref="BF151">_xlfn.LET(_xlpm.val,IF($F151="",val_blankRefText,_xldudf_CX_GET(CX_ENTITY,$F151,BF$11,BF$14,,(BF$146))),_xlpm.Res,IF(OR(_xlpm.val="",_xlpm.val="Error"),"",_xlpm.val),_xlpm.Res)</f>
        <v>#NAME?</v>
      </c>
      <c r="BG151" s="1986" t="e" cm="1">
        <f t="array" ca="1" aca="1" ref="BG151">_xlfn.LET(_xlpm.val,IF($F151="",val_blankRefText,_xldudf_CX_GET(CX_ENTITY,$F151,BG$11,BG$14,,(BG$146))),_xlpm.Res,IF(OR(_xlpm.val="",_xlpm.val="Error"),"",_xlpm.val),_xlpm.Res)</f>
        <v>#NAME?</v>
      </c>
      <c r="BH151" s="1986" t="e" cm="1">
        <f t="array" ca="1" aca="1" ref="BH151">_xlfn.LET(_xlpm.val,IF($F151="",val_blankRefText,_xldudf_CX_GET(CX_ENTITY,$F151,BH$11,BH$14,,(BH$146))),_xlpm.Res,IF(OR(_xlpm.val="",_xlpm.val="Error"),"",_xlpm.val),_xlpm.Res)</f>
        <v>#NAME?</v>
      </c>
      <c r="BI151" s="1986" t="e" cm="1">
        <f t="array" ca="1" aca="1" ref="BI151">_xlfn.LET(_xlpm.val,IF($F151="",val_blankRefText,_xldudf_CX_GET(CX_ENTITY,$F151,BI$11,BI$14,,(BI$146))),_xlpm.Res,IF(OR(_xlpm.val="",_xlpm.val="Error"),"",_xlpm.val),_xlpm.Res)</f>
        <v>#NAME?</v>
      </c>
      <c r="BJ151" s="1986" t="e" cm="1">
        <f t="array" ca="1" aca="1" ref="BJ151">_xlfn.LET(_xlpm.val,IF($F151="",val_blankRefText,_xldudf_CX_GET(CX_ENTITY,$F151,BJ$11,BJ$14,,(BJ$146))),_xlpm.Res,IF(OR(_xlpm.val="",_xlpm.val="Error"),"",_xlpm.val),_xlpm.Res)</f>
        <v>#NAME?</v>
      </c>
      <c r="BK151" s="1986" t="e" cm="1">
        <f t="array" ca="1" aca="1" ref="BK151">_xlfn.LET(_xlpm.val,IF($F151="",val_blankRefText,_xldudf_CX_GET(CX_ENTITY,$F151,BK$11,BK$14,,(BK$146))),_xlpm.Res,IF(OR(_xlpm.val="",_xlpm.val="Error"),"",_xlpm.val),_xlpm.Res)</f>
        <v>#NAME?</v>
      </c>
      <c r="BL151" s="1986" t="e" cm="1">
        <f t="array" ca="1" aca="1" ref="BL151">_xlfn.LET(_xlpm.val,IF($F151="",val_blankRefText,_xldudf_CX_GET(CX_ENTITY,$F151,BL$11,BL$14,,(BL$146))),_xlpm.Res,IF(OR(_xlpm.val="",_xlpm.val="Error"),"",_xlpm.val),_xlpm.Res)</f>
        <v>#NAME?</v>
      </c>
      <c r="BM151" s="1986" t="e" cm="1">
        <f t="array" ca="1" aca="1" ref="BM151">_xlfn.LET(_xlpm.val,IF($F151="",val_blankRefText,_xldudf_CX_GET(CX_ENTITY,$F151,BM$11,BM$14,,(BM$146))),_xlpm.Res,IF(OR(_xlpm.val="",_xlpm.val="Error"),"",_xlpm.val),_xlpm.Res)</f>
        <v>#NAME?</v>
      </c>
      <c r="BN151" s="1986" t="e" cm="1">
        <f t="array" ca="1" aca="1" ref="BN151">_xlfn.LET(_xlpm.val,IF($F151="",val_blankRefText,_xldudf_CX_GET(CX_ENTITY,$F151,BN$11,BN$14,,(BN$146))),_xlpm.Res,IF(OR(_xlpm.val="",_xlpm.val="Error"),"",_xlpm.val),_xlpm.Res)</f>
        <v>#NAME?</v>
      </c>
      <c r="BO151" s="2103"/>
      <c r="BP151" s="2103"/>
      <c r="BQ151" s="2103"/>
      <c r="BR151" s="2103"/>
      <c r="BS151" s="2103"/>
      <c r="BT151" s="2103"/>
      <c r="BU151" s="2103"/>
      <c r="BV151" s="2103"/>
      <c r="BW151" s="2103"/>
      <c r="BX151" s="2103"/>
      <c r="BY151" s="2103"/>
      <c r="BZ151" s="2103"/>
      <c r="CA151" s="34"/>
      <c r="CC151" s="50"/>
      <c r="CD151" s="1461" t="e" cm="1">
        <f t="array" ca="1" aca="1" ref="CD151">_xlfn.LET(_xlpm.CheckBlank,SUM(PL!$AD151:$BN151)=0,IF(_xlpm.CheckBlank,"",SUM(_xlfn._xlws.FILTER(PL!$AD151:$BN151,(YEAR(PL!$AD$12:$BN$12)=PL!CD$12)*(array_timeline&lt;=PL!CD$11)))))</f>
        <v>#NAME?</v>
      </c>
      <c r="CE151" s="1461" t="e" cm="1">
        <f t="array" ca="1" aca="1" ref="CE151">_xlfn.LET(_xlpm.CheckBlank,SUM(PL!$AD151:$BN151)=0,IF(_xlpm.CheckBlank,"",SUM(_xlfn._xlws.FILTER(PL!$AD151:$BN151,(YEAR(PL!$AD$12:$BN$12)=PL!CE$12)*(array_timeline&lt;=PL!CE$11)))))</f>
        <v>#NAME?</v>
      </c>
      <c r="CF151" s="88"/>
      <c r="CG151" s="1461" t="e" cm="1">
        <f t="array" ca="1" aca="1" ref="CG151">_xlfn.LET(_xlpm.CheckBlank,SUM(PL!$AD151:$BN151)=0,IF(_xlpm.CheckBlank,"",SUM(_xlfn._xlws.FILTER(PL!$AD151:$BN151,(YEAR(PL!$AD$12:$BN$12)=PL!CG$12)*(array_timeline&lt;=PL!CG$11)))))</f>
        <v>#NAME?</v>
      </c>
      <c r="CH151" s="1461" t="e" cm="1">
        <f t="array" ca="1" aca="1" ref="CH151">_xlfn.LET(_xlpm.CheckBlank,SUM(PL!$AD151:$BN151)=0,IF(_xlpm.CheckBlank,"",SUM(_xlfn._xlws.FILTER(PL!$AD151:$BN151,(YEAR(PL!$AD$12:$BN$12)=PL!CH$12)*(array_timeline&lt;=PL!CH$11)))))</f>
        <v>#NAME?</v>
      </c>
      <c r="CI151" s="88"/>
      <c r="CJ151" s="1461" cm="1">
        <f t="array" ref="CJ151">_xlfn.LET(_xlpm.CheckBlank,SUM(PL!$AD151:$BN151)=0,IF(_xlpm.CheckBlank,"",SUM(_xlfn.TAKE(_xlfn.DROP(PL!$AD151:$BN151,,-DATEDIFF(PL!CJ$11,val_asOfDate,"M")),1,-12))))</f>
        <v>12</v>
      </c>
      <c r="CK151" s="1461" cm="1">
        <f t="array" ref="CK151">_xlfn.LET(_xlpm.CheckBlank,SUM(PL!$AD151:$BN151)=0,IF(_xlpm.CheckBlank,"",SUM(_xlfn.TAKE(_xlfn.DROP(PL!$AD151:$BN151,,-DATEDIFF(PL!CK$11,val_asOfDate,"M")),1,-12))))</f>
        <v>12</v>
      </c>
      <c r="CL151" s="88"/>
      <c r="CM151" s="1986" t="e" cm="1">
        <f t="array" ca="1" aca="1" ref="CM151">_xlfn.LET(_xlpm.val,IF($F151="",val_blankRefText,_xldudf_CX_GET(CX_ENTITY,$F151,CM$11,CM$14,,(CM$146))),_xlpm.Res,IF(OR(_xlpm.val="",_xlpm.val="Error"),"",_xlpm.val),_xlpm.Res)</f>
        <v>#NAME?</v>
      </c>
      <c r="CN151" s="1986" t="e" cm="1">
        <f t="array" ca="1" aca="1" ref="CN151">_xlfn.LET(_xlpm.val,IF($F151="",val_blankRefText,_xldudf_CX_GET(CX_ENTITY,$F151,CN$11,CN$14,,(CN$146))),_xlpm.Res,IF(OR(_xlpm.val="",_xlpm.val="Error"),"",_xlpm.val),_xlpm.Res)</f>
        <v>#NAME?</v>
      </c>
      <c r="CO151" s="1169"/>
      <c r="CP151" s="1986" t="e" cm="1">
        <f t="array" ca="1" aca="1" ref="CP151">_xlfn.LET(_xlpm.val,IF($F151="",val_blankRefText,_xldudf_CX_GET(CX_ENTITY,$F151,CP$11,CP$14,,(CP$146))),_xlpm.Res,IF(OR(_xlpm.val="",_xlpm.val="Error"),"",_xlpm.val),_xlpm.Res)</f>
        <v>#NAME?</v>
      </c>
      <c r="CQ151" s="1986" t="e" cm="1">
        <f t="array" ca="1" aca="1" ref="CQ151">_xlfn.LET(_xlpm.val,IF($F151="",val_blankRefText,_xldudf_CX_GET(CX_ENTITY,$F151,CQ$11,CQ$14,,(CQ$146))),_xlpm.Res,IF(OR(_xlpm.val="",_xlpm.val="Error"),"",_xlpm.val),_xlpm.Res)</f>
        <v>#NAME?</v>
      </c>
      <c r="CR151" s="34"/>
    </row>
    <row r="152" spans="1:96" ht="21" customHeight="1" outlineLevel="1">
      <c r="A152" s="1322"/>
      <c r="B152" s="2128" t="s">
        <v>126</v>
      </c>
      <c r="C152" s="2128" t="s">
        <v>1611</v>
      </c>
      <c r="D152" s="1322"/>
      <c r="E152" s="577" t="e" cm="1">
        <f t="array" ca="1" aca="1" ref="E152">_xlfn.LET(_xlpm.Attr,$C152,_xlpm.Lookback,$E$16,_xlpm.QueryDate,EOMONTH(val_asOfDate,_xlpm.Lookback),_xlpm.ReadField,_xldudf_CX_GET(CX_ENTITY,fx_attrConverter($C152),_xlpm.QueryDate),_xlpm.AttrBlank,_xlpm.Attr="",_xlpm.RESULT,IF(_xlpm.AttrBlank,val_blankRefText,fx_attrConverter(_xlpm.ReadField,0)),IF(_xlpm.RESULT="Error","",_xlpm.RESULT))</f>
        <v>#NAME?</v>
      </c>
      <c r="F152" s="577" t="str">
        <f t="shared" si="40"/>
        <v>Lfl Revenue Adjustment - Amount 5</v>
      </c>
      <c r="G152" s="577" t="s">
        <v>1608</v>
      </c>
      <c r="H152" s="3278">
        <v>1</v>
      </c>
      <c r="I152" s="3278">
        <v>1</v>
      </c>
      <c r="J152" s="30"/>
      <c r="K152" s="30"/>
      <c r="L152" s="579" t="b">
        <v>0</v>
      </c>
      <c r="N152" s="158"/>
      <c r="O152" s="101"/>
      <c r="P152" s="52"/>
      <c r="Q152" s="101"/>
      <c r="R152" s="101"/>
      <c r="S152" s="101"/>
      <c r="T152" s="101"/>
      <c r="U152" s="39"/>
      <c r="W152" s="91" t="str">
        <f>W148</f>
        <v>Actual</v>
      </c>
      <c r="X152" s="815" t="s">
        <v>62</v>
      </c>
      <c r="Y152" s="1555" t="e">
        <f t="shared" ca="1" si="41"/>
        <v>#NAME?</v>
      </c>
      <c r="Z152" s="198" cm="1">
        <f t="array" ref="Z152">_xlfn.SWITCH(TRUE,ISBLANK(_PL!$L152),"",_PL!$L152=TRUE,1,_PL!$L152=FALSE,-1,_PL!$L152=-1,0,"n/a")</f>
        <v>-1</v>
      </c>
      <c r="AA152" s="905"/>
      <c r="AB152" s="1139"/>
      <c r="AC152" s="914" t="str" cm="1">
        <f t="array" ref="AC152">_xlfn.LET(_xlpm.Def,IF(_xlfn.XMATCH(AB152,tbl_acctDef[Term],0)&gt;0,fx_getIcon("find"),""),_xlpm.Adj,IF(_xlfn.XMATCH(AB152,tbl_adjExample[Items],0)&gt;0,fx_getIcon("find"),""),IFERROR(IFBLANK(_xlpm.Def,_xlpm.Adj),""))</f>
        <v/>
      </c>
      <c r="AD152" s="1986" t="e" cm="1">
        <f t="array" ca="1" aca="1" ref="AD152">_xlfn.LET(_xlpm.val,IF($F152="",val_blankRefText,_xldudf_CX_GET(CX_ENTITY,$F152,AD$11,AD$14,,(AD$146))),_xlpm.Res,IF(OR(_xlpm.val="",_xlpm.val="Error"),"",_xlpm.val),_xlpm.Res)</f>
        <v>#NAME?</v>
      </c>
      <c r="AE152" s="1986" t="e" cm="1">
        <f t="array" ca="1" aca="1" ref="AE152">_xlfn.LET(_xlpm.val,IF($F152="",val_blankRefText,_xldudf_CX_GET(CX_ENTITY,$F152,AE$11,AE$14,,(AE$146))),_xlpm.Res,IF(OR(_xlpm.val="",_xlpm.val="Error"),"",_xlpm.val),_xlpm.Res)</f>
        <v>#NAME?</v>
      </c>
      <c r="AF152" s="1986" t="e" cm="1">
        <f t="array" ca="1" aca="1" ref="AF152">_xlfn.LET(_xlpm.val,IF($F152="",val_blankRefText,_xldudf_CX_GET(CX_ENTITY,$F152,AF$11,AF$14,,(AF$146))),_xlpm.Res,IF(OR(_xlpm.val="",_xlpm.val="Error"),"",_xlpm.val),_xlpm.Res)</f>
        <v>#NAME?</v>
      </c>
      <c r="AG152" s="1986" t="e" cm="1">
        <f t="array" ca="1" aca="1" ref="AG152">_xlfn.LET(_xlpm.val,IF($F152="",val_blankRefText,_xldudf_CX_GET(CX_ENTITY,$F152,AG$11,AG$14,,(AG$146))),_xlpm.Res,IF(OR(_xlpm.val="",_xlpm.val="Error"),"",_xlpm.val),_xlpm.Res)</f>
        <v>#NAME?</v>
      </c>
      <c r="AH152" s="1986" t="e" cm="1">
        <f t="array" ca="1" aca="1" ref="AH152">_xlfn.LET(_xlpm.val,IF($F152="",val_blankRefText,_xldudf_CX_GET(CX_ENTITY,$F152,AH$11,AH$14,,(AH$146))),_xlpm.Res,IF(OR(_xlpm.val="",_xlpm.val="Error"),"",_xlpm.val),_xlpm.Res)</f>
        <v>#NAME?</v>
      </c>
      <c r="AI152" s="1986" t="e" cm="1">
        <f t="array" ca="1" aca="1" ref="AI152">_xlfn.LET(_xlpm.val,IF($F152="",val_blankRefText,_xldudf_CX_GET(CX_ENTITY,$F152,AI$11,AI$14,,(AI$146))),_xlpm.Res,IF(OR(_xlpm.val="",_xlpm.val="Error"),"",_xlpm.val),_xlpm.Res)</f>
        <v>#NAME?</v>
      </c>
      <c r="AJ152" s="1986" t="e" cm="1">
        <f t="array" ca="1" aca="1" ref="AJ152">_xlfn.LET(_xlpm.val,IF($F152="",val_blankRefText,_xldudf_CX_GET(CX_ENTITY,$F152,AJ$11,AJ$14,,(AJ$146))),_xlpm.Res,IF(OR(_xlpm.val="",_xlpm.val="Error"),"",_xlpm.val),_xlpm.Res)</f>
        <v>#NAME?</v>
      </c>
      <c r="AK152" s="1986" t="e" cm="1">
        <f t="array" ca="1" aca="1" ref="AK152">_xlfn.LET(_xlpm.val,IF($F152="",val_blankRefText,_xldudf_CX_GET(CX_ENTITY,$F152,AK$11,AK$14,,(AK$146))),_xlpm.Res,IF(OR(_xlpm.val="",_xlpm.val="Error"),"",_xlpm.val),_xlpm.Res)</f>
        <v>#NAME?</v>
      </c>
      <c r="AL152" s="1986" t="e" cm="1">
        <f t="array" ca="1" aca="1" ref="AL152">_xlfn.LET(_xlpm.val,IF($F152="",val_blankRefText,_xldudf_CX_GET(CX_ENTITY,$F152,AL$11,AL$14,,(AL$146))),_xlpm.Res,IF(OR(_xlpm.val="",_xlpm.val="Error"),"",_xlpm.val),_xlpm.Res)</f>
        <v>#NAME?</v>
      </c>
      <c r="AM152" s="1986" t="e" cm="1">
        <f t="array" ca="1" aca="1" ref="AM152">_xlfn.LET(_xlpm.val,IF($F152="",val_blankRefText,_xldudf_CX_GET(CX_ENTITY,$F152,AM$11,AM$14,,(AM$146))),_xlpm.Res,IF(OR(_xlpm.val="",_xlpm.val="Error"),"",_xlpm.val),_xlpm.Res)</f>
        <v>#NAME?</v>
      </c>
      <c r="AN152" s="1986" t="e" cm="1">
        <f t="array" ca="1" aca="1" ref="AN152">_xlfn.LET(_xlpm.val,IF($F152="",val_blankRefText,_xldudf_CX_GET(CX_ENTITY,$F152,AN$11,AN$14,,(AN$146))),_xlpm.Res,IF(OR(_xlpm.val="",_xlpm.val="Error"),"",_xlpm.val),_xlpm.Res)</f>
        <v>#NAME?</v>
      </c>
      <c r="AO152" s="1986" t="e" cm="1">
        <f t="array" ca="1" aca="1" ref="AO152">_xlfn.LET(_xlpm.val,IF($F152="",val_blankRefText,_xldudf_CX_GET(CX_ENTITY,$F152,AO$11,AO$14,,(AO$146))),_xlpm.Res,IF(OR(_xlpm.val="",_xlpm.val="Error"),"",_xlpm.val),_xlpm.Res)</f>
        <v>#NAME?</v>
      </c>
      <c r="AP152" s="1986" t="e" cm="1">
        <f t="array" ca="1" aca="1" ref="AP152">_xlfn.LET(_xlpm.val,IF($F152="",val_blankRefText,_xldudf_CX_GET(CX_ENTITY,$F152,AP$11,AP$14,,(AP$146))),_xlpm.Res,IF(OR(_xlpm.val="",_xlpm.val="Error"),"",_xlpm.val),_xlpm.Res)</f>
        <v>#NAME?</v>
      </c>
      <c r="AQ152" s="1986" t="e" cm="1">
        <f t="array" ca="1" aca="1" ref="AQ152">_xlfn.LET(_xlpm.val,IF($F152="",val_blankRefText,_xldudf_CX_GET(CX_ENTITY,$F152,AQ$11,AQ$14,,(AQ$146))),_xlpm.Res,IF(OR(_xlpm.val="",_xlpm.val="Error"),"",_xlpm.val),_xlpm.Res)</f>
        <v>#NAME?</v>
      </c>
      <c r="AR152" s="1986" t="e" cm="1">
        <f t="array" ca="1" aca="1" ref="AR152">_xlfn.LET(_xlpm.val,IF($F152="",val_blankRefText,_xldudf_CX_GET(CX_ENTITY,$F152,AR$11,AR$14,,(AR$146))),_xlpm.Res,IF(OR(_xlpm.val="",_xlpm.val="Error"),"",_xlpm.val),_xlpm.Res)</f>
        <v>#NAME?</v>
      </c>
      <c r="AS152" s="1986" t="e" cm="1">
        <f t="array" ca="1" aca="1" ref="AS152">_xlfn.LET(_xlpm.val,IF($F152="",val_blankRefText,_xldudf_CX_GET(CX_ENTITY,$F152,AS$11,AS$14,,(AS$146))),_xlpm.Res,IF(OR(_xlpm.val="",_xlpm.val="Error"),"",_xlpm.val),_xlpm.Res)</f>
        <v>#NAME?</v>
      </c>
      <c r="AT152" s="1986" t="e" cm="1">
        <f t="array" ca="1" aca="1" ref="AT152">_xlfn.LET(_xlpm.val,IF($F152="",val_blankRefText,_xldudf_CX_GET(CX_ENTITY,$F152,AT$11,AT$14,,(AT$146))),_xlpm.Res,IF(OR(_xlpm.val="",_xlpm.val="Error"),"",_xlpm.val),_xlpm.Res)</f>
        <v>#NAME?</v>
      </c>
      <c r="AU152" s="1986" t="e" cm="1">
        <f t="array" ca="1" aca="1" ref="AU152">_xlfn.LET(_xlpm.val,IF($F152="",val_blankRefText,_xldudf_CX_GET(CX_ENTITY,$F152,AU$11,AU$14,,(AU$146))),_xlpm.Res,IF(OR(_xlpm.val="",_xlpm.val="Error"),"",_xlpm.val),_xlpm.Res)</f>
        <v>#NAME?</v>
      </c>
      <c r="AV152" s="1986" t="e" cm="1">
        <f t="array" ca="1" aca="1" ref="AV152">_xlfn.LET(_xlpm.val,IF($F152="",val_blankRefText,_xldudf_CX_GET(CX_ENTITY,$F152,AV$11,AV$14,,(AV$146))),_xlpm.Res,IF(OR(_xlpm.val="",_xlpm.val="Error"),"",_xlpm.val),_xlpm.Res)</f>
        <v>#NAME?</v>
      </c>
      <c r="AW152" s="1986" t="e" cm="1">
        <f t="array" ca="1" aca="1" ref="AW152">_xlfn.LET(_xlpm.val,IF($F152="",val_blankRefText,_xldudf_CX_GET(CX_ENTITY,$F152,AW$11,AW$14,,(AW$146))),_xlpm.Res,IF(OR(_xlpm.val="",_xlpm.val="Error"),"",_xlpm.val),_xlpm.Res)</f>
        <v>#NAME?</v>
      </c>
      <c r="AX152" s="1986" t="e" cm="1">
        <f t="array" ca="1" aca="1" ref="AX152">_xlfn.LET(_xlpm.val,IF($F152="",val_blankRefText,_xldudf_CX_GET(CX_ENTITY,$F152,AX$11,AX$14,,(AX$146))),_xlpm.Res,IF(OR(_xlpm.val="",_xlpm.val="Error"),"",_xlpm.val),_xlpm.Res)</f>
        <v>#NAME?</v>
      </c>
      <c r="AY152" s="1986" t="e" cm="1">
        <f t="array" ca="1" aca="1" ref="AY152">_xlfn.LET(_xlpm.val,IF($F152="",val_blankRefText,_xldudf_CX_GET(CX_ENTITY,$F152,AY$11,AY$14,,(AY$146))),_xlpm.Res,IF(OR(_xlpm.val="",_xlpm.val="Error"),"",_xlpm.val),_xlpm.Res)</f>
        <v>#NAME?</v>
      </c>
      <c r="AZ152" s="1986" t="e" cm="1">
        <f t="array" ca="1" aca="1" ref="AZ152">_xlfn.LET(_xlpm.val,IF($F152="",val_blankRefText,_xldudf_CX_GET(CX_ENTITY,$F152,AZ$11,AZ$14,,(AZ$146))),_xlpm.Res,IF(OR(_xlpm.val="",_xlpm.val="Error"),"",_xlpm.val),_xlpm.Res)</f>
        <v>#NAME?</v>
      </c>
      <c r="BA152" s="1986" t="e" cm="1">
        <f t="array" ca="1" aca="1" ref="BA152">_xlfn.LET(_xlpm.val,IF($F152="",val_blankRefText,_xldudf_CX_GET(CX_ENTITY,$F152,BA$11,BA$14,,(BA$146))),_xlpm.Res,IF(OR(_xlpm.val="",_xlpm.val="Error"),"",_xlpm.val),_xlpm.Res)</f>
        <v>#NAME?</v>
      </c>
      <c r="BB152" s="1986" t="e" cm="1">
        <f t="array" ca="1" aca="1" ref="BB152">_xlfn.LET(_xlpm.val,IF($F152="",val_blankRefText,_xldudf_CX_GET(CX_ENTITY,$F152,BB$11,BB$14,,(BB$146))),_xlpm.Res,IF(OR(_xlpm.val="",_xlpm.val="Error"),"",_xlpm.val),_xlpm.Res)</f>
        <v>#NAME?</v>
      </c>
      <c r="BC152" s="1986" t="e" cm="1">
        <f t="array" ca="1" aca="1" ref="BC152">_xlfn.LET(_xlpm.val,IF($F152="",val_blankRefText,_xldudf_CX_GET(CX_ENTITY,$F152,BC$11,BC$14,,(BC$146))),_xlpm.Res,IF(OR(_xlpm.val="",_xlpm.val="Error"),"",_xlpm.val),_xlpm.Res)</f>
        <v>#NAME?</v>
      </c>
      <c r="BD152" s="1986" t="e" cm="1">
        <f t="array" ca="1" aca="1" ref="BD152">_xlfn.LET(_xlpm.val,IF($F152="",val_blankRefText,_xldudf_CX_GET(CX_ENTITY,$F152,BD$11,BD$14,,(BD$146))),_xlpm.Res,IF(OR(_xlpm.val="",_xlpm.val="Error"),"",_xlpm.val),_xlpm.Res)</f>
        <v>#NAME?</v>
      </c>
      <c r="BE152" s="1986" t="e" cm="1">
        <f t="array" ca="1" aca="1" ref="BE152">_xlfn.LET(_xlpm.val,IF($F152="",val_blankRefText,_xldudf_CX_GET(CX_ENTITY,$F152,BE$11,BE$14,,(BE$146))),_xlpm.Res,IF(OR(_xlpm.val="",_xlpm.val="Error"),"",_xlpm.val),_xlpm.Res)</f>
        <v>#NAME?</v>
      </c>
      <c r="BF152" s="1986" t="e" cm="1">
        <f t="array" ca="1" aca="1" ref="BF152">_xlfn.LET(_xlpm.val,IF($F152="",val_blankRefText,_xldudf_CX_GET(CX_ENTITY,$F152,BF$11,BF$14,,(BF$146))),_xlpm.Res,IF(OR(_xlpm.val="",_xlpm.val="Error"),"",_xlpm.val),_xlpm.Res)</f>
        <v>#NAME?</v>
      </c>
      <c r="BG152" s="1986" t="e" cm="1">
        <f t="array" ca="1" aca="1" ref="BG152">_xlfn.LET(_xlpm.val,IF($F152="",val_blankRefText,_xldudf_CX_GET(CX_ENTITY,$F152,BG$11,BG$14,,(BG$146))),_xlpm.Res,IF(OR(_xlpm.val="",_xlpm.val="Error"),"",_xlpm.val),_xlpm.Res)</f>
        <v>#NAME?</v>
      </c>
      <c r="BH152" s="1986" t="e" cm="1">
        <f t="array" ca="1" aca="1" ref="BH152">_xlfn.LET(_xlpm.val,IF($F152="",val_blankRefText,_xldudf_CX_GET(CX_ENTITY,$F152,BH$11,BH$14,,(BH$146))),_xlpm.Res,IF(OR(_xlpm.val="",_xlpm.val="Error"),"",_xlpm.val),_xlpm.Res)</f>
        <v>#NAME?</v>
      </c>
      <c r="BI152" s="1986" t="e" cm="1">
        <f t="array" ca="1" aca="1" ref="BI152">_xlfn.LET(_xlpm.val,IF($F152="",val_blankRefText,_xldudf_CX_GET(CX_ENTITY,$F152,BI$11,BI$14,,(BI$146))),_xlpm.Res,IF(OR(_xlpm.val="",_xlpm.val="Error"),"",_xlpm.val),_xlpm.Res)</f>
        <v>#NAME?</v>
      </c>
      <c r="BJ152" s="1986" t="e" cm="1">
        <f t="array" ca="1" aca="1" ref="BJ152">_xlfn.LET(_xlpm.val,IF($F152="",val_blankRefText,_xldudf_CX_GET(CX_ENTITY,$F152,BJ$11,BJ$14,,(BJ$146))),_xlpm.Res,IF(OR(_xlpm.val="",_xlpm.val="Error"),"",_xlpm.val),_xlpm.Res)</f>
        <v>#NAME?</v>
      </c>
      <c r="BK152" s="1986" t="e" cm="1">
        <f t="array" ca="1" aca="1" ref="BK152">_xlfn.LET(_xlpm.val,IF($F152="",val_blankRefText,_xldudf_CX_GET(CX_ENTITY,$F152,BK$11,BK$14,,(BK$146))),_xlpm.Res,IF(OR(_xlpm.val="",_xlpm.val="Error"),"",_xlpm.val),_xlpm.Res)</f>
        <v>#NAME?</v>
      </c>
      <c r="BL152" s="1986" t="e" cm="1">
        <f t="array" ca="1" aca="1" ref="BL152">_xlfn.LET(_xlpm.val,IF($F152="",val_blankRefText,_xldudf_CX_GET(CX_ENTITY,$F152,BL$11,BL$14,,(BL$146))),_xlpm.Res,IF(OR(_xlpm.val="",_xlpm.val="Error"),"",_xlpm.val),_xlpm.Res)</f>
        <v>#NAME?</v>
      </c>
      <c r="BM152" s="1986" t="e" cm="1">
        <f t="array" ca="1" aca="1" ref="BM152">_xlfn.LET(_xlpm.val,IF($F152="",val_blankRefText,_xldudf_CX_GET(CX_ENTITY,$F152,BM$11,BM$14,,(BM$146))),_xlpm.Res,IF(OR(_xlpm.val="",_xlpm.val="Error"),"",_xlpm.val),_xlpm.Res)</f>
        <v>#NAME?</v>
      </c>
      <c r="BN152" s="1986" t="e" cm="1">
        <f t="array" ca="1" aca="1" ref="BN152">_xlfn.LET(_xlpm.val,IF($F152="",val_blankRefText,_xldudf_CX_GET(CX_ENTITY,$F152,BN$11,BN$14,,(BN$146))),_xlpm.Res,IF(OR(_xlpm.val="",_xlpm.val="Error"),"",_xlpm.val),_xlpm.Res)</f>
        <v>#NAME?</v>
      </c>
      <c r="BO152" s="2103"/>
      <c r="BP152" s="2103"/>
      <c r="BQ152" s="2103"/>
      <c r="BR152" s="2103"/>
      <c r="BS152" s="2103"/>
      <c r="BT152" s="2103"/>
      <c r="BU152" s="2103"/>
      <c r="BV152" s="2103"/>
      <c r="BW152" s="2103"/>
      <c r="BX152" s="2103"/>
      <c r="BY152" s="2103"/>
      <c r="BZ152" s="2103"/>
      <c r="CA152" s="34"/>
      <c r="CC152" s="50"/>
      <c r="CD152" s="1461" t="e" cm="1">
        <f t="array" ca="1" aca="1" ref="CD152">_xlfn.LET(_xlpm.CheckBlank,SUM(PL!$AD152:$BN152)=0,IF(_xlpm.CheckBlank,"",SUM(_xlfn._xlws.FILTER(PL!$AD152:$BN152,(YEAR(PL!$AD$12:$BN$12)=PL!CD$12)*(array_timeline&lt;=PL!CD$11)))))</f>
        <v>#NAME?</v>
      </c>
      <c r="CE152" s="1461" t="e" cm="1">
        <f t="array" ca="1" aca="1" ref="CE152">_xlfn.LET(_xlpm.CheckBlank,SUM(PL!$AD152:$BN152)=0,IF(_xlpm.CheckBlank,"",SUM(_xlfn._xlws.FILTER(PL!$AD152:$BN152,(YEAR(PL!$AD$12:$BN$12)=PL!CE$12)*(array_timeline&lt;=PL!CE$11)))))</f>
        <v>#NAME?</v>
      </c>
      <c r="CF152" s="88"/>
      <c r="CG152" s="1461" t="e" cm="1">
        <f t="array" ca="1" aca="1" ref="CG152">_xlfn.LET(_xlpm.CheckBlank,SUM(PL!$AD152:$BN152)=0,IF(_xlpm.CheckBlank,"",SUM(_xlfn._xlws.FILTER(PL!$AD152:$BN152,(YEAR(PL!$AD$12:$BN$12)=PL!CG$12)*(array_timeline&lt;=PL!CG$11)))))</f>
        <v>#NAME?</v>
      </c>
      <c r="CH152" s="1461" t="e" cm="1">
        <f t="array" ca="1" aca="1" ref="CH152">_xlfn.LET(_xlpm.CheckBlank,SUM(PL!$AD152:$BN152)=0,IF(_xlpm.CheckBlank,"",SUM(_xlfn._xlws.FILTER(PL!$AD152:$BN152,(YEAR(PL!$AD$12:$BN$12)=PL!CH$12)*(array_timeline&lt;=PL!CH$11)))))</f>
        <v>#NAME?</v>
      </c>
      <c r="CI152" s="88"/>
      <c r="CJ152" s="1461" cm="1">
        <f t="array" ref="CJ152">_xlfn.LET(_xlpm.CheckBlank,SUM(PL!$AD152:$BN152)=0,IF(_xlpm.CheckBlank,"",SUM(_xlfn.TAKE(_xlfn.DROP(PL!$AD152:$BN152,,-DATEDIFF(PL!CJ$11,val_asOfDate,"M")),1,-12))))</f>
        <v>12</v>
      </c>
      <c r="CK152" s="1461" cm="1">
        <f t="array" ref="CK152">_xlfn.LET(_xlpm.CheckBlank,SUM(PL!$AD152:$BN152)=0,IF(_xlpm.CheckBlank,"",SUM(_xlfn.TAKE(_xlfn.DROP(PL!$AD152:$BN152,,-DATEDIFF(PL!CK$11,val_asOfDate,"M")),1,-12))))</f>
        <v>12</v>
      </c>
      <c r="CL152" s="88"/>
      <c r="CM152" s="1986" t="e" cm="1">
        <f t="array" ca="1" aca="1" ref="CM152">_xlfn.LET(_xlpm.val,IF($F152="",val_blankRefText,_xldudf_CX_GET(CX_ENTITY,$F152,CM$11,CM$14,,(CM$146))),_xlpm.Res,IF(OR(_xlpm.val="",_xlpm.val="Error"),"",_xlpm.val),_xlpm.Res)</f>
        <v>#NAME?</v>
      </c>
      <c r="CN152" s="1986" t="e" cm="1">
        <f t="array" ca="1" aca="1" ref="CN152">_xlfn.LET(_xlpm.val,IF($F152="",val_blankRefText,_xldudf_CX_GET(CX_ENTITY,$F152,CN$11,CN$14,,(CN$146))),_xlpm.Res,IF(OR(_xlpm.val="",_xlpm.val="Error"),"",_xlpm.val),_xlpm.Res)</f>
        <v>#NAME?</v>
      </c>
      <c r="CO152" s="1169"/>
      <c r="CP152" s="1986" t="e" cm="1">
        <f t="array" ca="1" aca="1" ref="CP152">_xlfn.LET(_xlpm.val,IF($F152="",val_blankRefText,_xldudf_CX_GET(CX_ENTITY,$F152,CP$11,CP$14,,(CP$146))),_xlpm.Res,IF(OR(_xlpm.val="",_xlpm.val="Error"),"",_xlpm.val),_xlpm.Res)</f>
        <v>#NAME?</v>
      </c>
      <c r="CQ152" s="1986" t="e" cm="1">
        <f t="array" ca="1" aca="1" ref="CQ152">_xlfn.LET(_xlpm.val,IF($F152="",val_blankRefText,_xldudf_CX_GET(CX_ENTITY,$F152,CQ$11,CQ$14,,(CQ$146))),_xlpm.Res,IF(OR(_xlpm.val="",_xlpm.val="Error"),"",_xlpm.val),_xlpm.Res)</f>
        <v>#NAME?</v>
      </c>
      <c r="CR152" s="34"/>
    </row>
    <row r="153" spans="1:96" ht="21" customHeight="1" outlineLevel="1">
      <c r="A153" s="1322"/>
      <c r="B153" s="2128" t="s">
        <v>127</v>
      </c>
      <c r="C153" s="2128" t="s">
        <v>1612</v>
      </c>
      <c r="D153" s="580"/>
      <c r="E153" s="577" t="e" cm="1">
        <f t="array" ca="1" aca="1" ref="E153">_xlfn.LET(_xlpm.Attr,$C153,_xlpm.Lookback,$E$16,_xlpm.QueryDate,EOMONTH(val_asOfDate,_xlpm.Lookback),_xlpm.ReadField,_xldudf_CX_GET(CX_ENTITY,fx_attrConverter($C153),_xlpm.QueryDate),_xlpm.AttrBlank,_xlpm.Attr="",_xlpm.RESULT,IF(_xlpm.AttrBlank,val_blankRefText,fx_attrConverter(_xlpm.ReadField,0)),IF(_xlpm.RESULT="Error","",_xlpm.RESULT))</f>
        <v>#NAME?</v>
      </c>
      <c r="F153" s="577" t="str">
        <f t="shared" si="40"/>
        <v>Lfl Revenue Adjustment - Amount 6</v>
      </c>
      <c r="G153" s="577" t="s">
        <v>1608</v>
      </c>
      <c r="H153" s="3278">
        <v>1</v>
      </c>
      <c r="I153" s="3290">
        <v>1</v>
      </c>
      <c r="J153" s="586"/>
      <c r="K153" s="586"/>
      <c r="L153" s="579" t="b">
        <v>0</v>
      </c>
      <c r="N153" s="158"/>
      <c r="O153" s="101"/>
      <c r="P153" s="52"/>
      <c r="Q153" s="101"/>
      <c r="R153" s="101"/>
      <c r="S153" s="101"/>
      <c r="T153" s="101"/>
      <c r="U153" s="39"/>
      <c r="W153" s="91" t="str">
        <f>W149</f>
        <v>Actual</v>
      </c>
      <c r="X153" s="815" t="s">
        <v>62</v>
      </c>
      <c r="Y153" s="1555" t="e">
        <f t="shared" ca="1" si="41"/>
        <v>#NAME?</v>
      </c>
      <c r="Z153" s="198" cm="1">
        <f t="array" ref="Z153">_xlfn.SWITCH(TRUE,ISBLANK(_PL!$L153),"",_PL!$L153=TRUE,1,_PL!$L153=FALSE,-1,_PL!$L153=-1,0,"n/a")</f>
        <v>-1</v>
      </c>
      <c r="AA153" s="905"/>
      <c r="AB153" s="13"/>
      <c r="AC153" s="1138" t="str" cm="1">
        <f t="array" ref="AC153">_xlfn.LET(_xlpm.Def,IF(_xlfn.XMATCH(AB153,tbl_acctDef[Term],0)&gt;0,fx_getIcon("find"),""),_xlpm.Adj,IF(_xlfn.XMATCH(AB153,tbl_adjExample[Items],0)&gt;0,fx_getIcon("find"),""),IFERROR(IFBLANK(_xlpm.Def,_xlpm.Adj),""))</f>
        <v/>
      </c>
      <c r="AD153" s="1986" t="e" cm="1">
        <f t="array" ca="1" aca="1" ref="AD153">_xlfn.LET(_xlpm.val,IF($F153="",val_blankRefText,_xldudf_CX_GET(CX_ENTITY,$F153,AD$11,AD$14,,(AD$146))),_xlpm.Res,IF(OR(_xlpm.val="",_xlpm.val="Error"),"",_xlpm.val),_xlpm.Res)</f>
        <v>#NAME?</v>
      </c>
      <c r="AE153" s="1986" t="e" cm="1">
        <f t="array" ca="1" aca="1" ref="AE153">_xlfn.LET(_xlpm.val,IF($F153="",val_blankRefText,_xldudf_CX_GET(CX_ENTITY,$F153,AE$11,AE$14,,(AE$146))),_xlpm.Res,IF(OR(_xlpm.val="",_xlpm.val="Error"),"",_xlpm.val),_xlpm.Res)</f>
        <v>#NAME?</v>
      </c>
      <c r="AF153" s="1986" t="e" cm="1">
        <f t="array" ca="1" aca="1" ref="AF153">_xlfn.LET(_xlpm.val,IF($F153="",val_blankRefText,_xldudf_CX_GET(CX_ENTITY,$F153,AF$11,AF$14,,(AF$146))),_xlpm.Res,IF(OR(_xlpm.val="",_xlpm.val="Error"),"",_xlpm.val),_xlpm.Res)</f>
        <v>#NAME?</v>
      </c>
      <c r="AG153" s="1986" t="e" cm="1">
        <f t="array" ca="1" aca="1" ref="AG153">_xlfn.LET(_xlpm.val,IF($F153="",val_blankRefText,_xldudf_CX_GET(CX_ENTITY,$F153,AG$11,AG$14,,(AG$146))),_xlpm.Res,IF(OR(_xlpm.val="",_xlpm.val="Error"),"",_xlpm.val),_xlpm.Res)</f>
        <v>#NAME?</v>
      </c>
      <c r="AH153" s="1986" t="e" cm="1">
        <f t="array" ca="1" aca="1" ref="AH153">_xlfn.LET(_xlpm.val,IF($F153="",val_blankRefText,_xldudf_CX_GET(CX_ENTITY,$F153,AH$11,AH$14,,(AH$146))),_xlpm.Res,IF(OR(_xlpm.val="",_xlpm.val="Error"),"",_xlpm.val),_xlpm.Res)</f>
        <v>#NAME?</v>
      </c>
      <c r="AI153" s="1986" t="e" cm="1">
        <f t="array" ca="1" aca="1" ref="AI153">_xlfn.LET(_xlpm.val,IF($F153="",val_blankRefText,_xldudf_CX_GET(CX_ENTITY,$F153,AI$11,AI$14,,(AI$146))),_xlpm.Res,IF(OR(_xlpm.val="",_xlpm.val="Error"),"",_xlpm.val),_xlpm.Res)</f>
        <v>#NAME?</v>
      </c>
      <c r="AJ153" s="1986" t="e" cm="1">
        <f t="array" ca="1" aca="1" ref="AJ153">_xlfn.LET(_xlpm.val,IF($F153="",val_blankRefText,_xldudf_CX_GET(CX_ENTITY,$F153,AJ$11,AJ$14,,(AJ$146))),_xlpm.Res,IF(OR(_xlpm.val="",_xlpm.val="Error"),"",_xlpm.val),_xlpm.Res)</f>
        <v>#NAME?</v>
      </c>
      <c r="AK153" s="1986" t="e" cm="1">
        <f t="array" ca="1" aca="1" ref="AK153">_xlfn.LET(_xlpm.val,IF($F153="",val_blankRefText,_xldudf_CX_GET(CX_ENTITY,$F153,AK$11,AK$14,,(AK$146))),_xlpm.Res,IF(OR(_xlpm.val="",_xlpm.val="Error"),"",_xlpm.val),_xlpm.Res)</f>
        <v>#NAME?</v>
      </c>
      <c r="AL153" s="1986" t="e" cm="1">
        <f t="array" ca="1" aca="1" ref="AL153">_xlfn.LET(_xlpm.val,IF($F153="",val_blankRefText,_xldudf_CX_GET(CX_ENTITY,$F153,AL$11,AL$14,,(AL$146))),_xlpm.Res,IF(OR(_xlpm.val="",_xlpm.val="Error"),"",_xlpm.val),_xlpm.Res)</f>
        <v>#NAME?</v>
      </c>
      <c r="AM153" s="1986" t="e" cm="1">
        <f t="array" ca="1" aca="1" ref="AM153">_xlfn.LET(_xlpm.val,IF($F153="",val_blankRefText,_xldudf_CX_GET(CX_ENTITY,$F153,AM$11,AM$14,,(AM$146))),_xlpm.Res,IF(OR(_xlpm.val="",_xlpm.val="Error"),"",_xlpm.val),_xlpm.Res)</f>
        <v>#NAME?</v>
      </c>
      <c r="AN153" s="1986" t="e" cm="1">
        <f t="array" ca="1" aca="1" ref="AN153">_xlfn.LET(_xlpm.val,IF($F153="",val_blankRefText,_xldudf_CX_GET(CX_ENTITY,$F153,AN$11,AN$14,,(AN$146))),_xlpm.Res,IF(OR(_xlpm.val="",_xlpm.val="Error"),"",_xlpm.val),_xlpm.Res)</f>
        <v>#NAME?</v>
      </c>
      <c r="AO153" s="1986" t="e" cm="1">
        <f t="array" ca="1" aca="1" ref="AO153">_xlfn.LET(_xlpm.val,IF($F153="",val_blankRefText,_xldudf_CX_GET(CX_ENTITY,$F153,AO$11,AO$14,,(AO$146))),_xlpm.Res,IF(OR(_xlpm.val="",_xlpm.val="Error"),"",_xlpm.val),_xlpm.Res)</f>
        <v>#NAME?</v>
      </c>
      <c r="AP153" s="1986" t="e" cm="1">
        <f t="array" ca="1" aca="1" ref="AP153">_xlfn.LET(_xlpm.val,IF($F153="",val_blankRefText,_xldudf_CX_GET(CX_ENTITY,$F153,AP$11,AP$14,,(AP$146))),_xlpm.Res,IF(OR(_xlpm.val="",_xlpm.val="Error"),"",_xlpm.val),_xlpm.Res)</f>
        <v>#NAME?</v>
      </c>
      <c r="AQ153" s="1986" t="e" cm="1">
        <f t="array" ca="1" aca="1" ref="AQ153">_xlfn.LET(_xlpm.val,IF($F153="",val_blankRefText,_xldudf_CX_GET(CX_ENTITY,$F153,AQ$11,AQ$14,,(AQ$146))),_xlpm.Res,IF(OR(_xlpm.val="",_xlpm.val="Error"),"",_xlpm.val),_xlpm.Res)</f>
        <v>#NAME?</v>
      </c>
      <c r="AR153" s="1986" t="e" cm="1">
        <f t="array" ca="1" aca="1" ref="AR153">_xlfn.LET(_xlpm.val,IF($F153="",val_blankRefText,_xldudf_CX_GET(CX_ENTITY,$F153,AR$11,AR$14,,(AR$146))),_xlpm.Res,IF(OR(_xlpm.val="",_xlpm.val="Error"),"",_xlpm.val),_xlpm.Res)</f>
        <v>#NAME?</v>
      </c>
      <c r="AS153" s="1986" t="e" cm="1">
        <f t="array" ca="1" aca="1" ref="AS153">_xlfn.LET(_xlpm.val,IF($F153="",val_blankRefText,_xldudf_CX_GET(CX_ENTITY,$F153,AS$11,AS$14,,(AS$146))),_xlpm.Res,IF(OR(_xlpm.val="",_xlpm.val="Error"),"",_xlpm.val),_xlpm.Res)</f>
        <v>#NAME?</v>
      </c>
      <c r="AT153" s="1986" t="e" cm="1">
        <f t="array" ca="1" aca="1" ref="AT153">_xlfn.LET(_xlpm.val,IF($F153="",val_blankRefText,_xldudf_CX_GET(CX_ENTITY,$F153,AT$11,AT$14,,(AT$146))),_xlpm.Res,IF(OR(_xlpm.val="",_xlpm.val="Error"),"",_xlpm.val),_xlpm.Res)</f>
        <v>#NAME?</v>
      </c>
      <c r="AU153" s="1986" t="e" cm="1">
        <f t="array" ca="1" aca="1" ref="AU153">_xlfn.LET(_xlpm.val,IF($F153="",val_blankRefText,_xldudf_CX_GET(CX_ENTITY,$F153,AU$11,AU$14,,(AU$146))),_xlpm.Res,IF(OR(_xlpm.val="",_xlpm.val="Error"),"",_xlpm.val),_xlpm.Res)</f>
        <v>#NAME?</v>
      </c>
      <c r="AV153" s="1986" t="e" cm="1">
        <f t="array" ca="1" aca="1" ref="AV153">_xlfn.LET(_xlpm.val,IF($F153="",val_blankRefText,_xldudf_CX_GET(CX_ENTITY,$F153,AV$11,AV$14,,(AV$146))),_xlpm.Res,IF(OR(_xlpm.val="",_xlpm.val="Error"),"",_xlpm.val),_xlpm.Res)</f>
        <v>#NAME?</v>
      </c>
      <c r="AW153" s="1986" t="e" cm="1">
        <f t="array" ca="1" aca="1" ref="AW153">_xlfn.LET(_xlpm.val,IF($F153="",val_blankRefText,_xldudf_CX_GET(CX_ENTITY,$F153,AW$11,AW$14,,(AW$146))),_xlpm.Res,IF(OR(_xlpm.val="",_xlpm.val="Error"),"",_xlpm.val),_xlpm.Res)</f>
        <v>#NAME?</v>
      </c>
      <c r="AX153" s="1986" t="e" cm="1">
        <f t="array" ca="1" aca="1" ref="AX153">_xlfn.LET(_xlpm.val,IF($F153="",val_blankRefText,_xldudf_CX_GET(CX_ENTITY,$F153,AX$11,AX$14,,(AX$146))),_xlpm.Res,IF(OR(_xlpm.val="",_xlpm.val="Error"),"",_xlpm.val),_xlpm.Res)</f>
        <v>#NAME?</v>
      </c>
      <c r="AY153" s="1986" t="e" cm="1">
        <f t="array" ca="1" aca="1" ref="AY153">_xlfn.LET(_xlpm.val,IF($F153="",val_blankRefText,_xldudf_CX_GET(CX_ENTITY,$F153,AY$11,AY$14,,(AY$146))),_xlpm.Res,IF(OR(_xlpm.val="",_xlpm.val="Error"),"",_xlpm.val),_xlpm.Res)</f>
        <v>#NAME?</v>
      </c>
      <c r="AZ153" s="1986" t="e" cm="1">
        <f t="array" ca="1" aca="1" ref="AZ153">_xlfn.LET(_xlpm.val,IF($F153="",val_blankRefText,_xldudf_CX_GET(CX_ENTITY,$F153,AZ$11,AZ$14,,(AZ$146))),_xlpm.Res,IF(OR(_xlpm.val="",_xlpm.val="Error"),"",_xlpm.val),_xlpm.Res)</f>
        <v>#NAME?</v>
      </c>
      <c r="BA153" s="1986" t="e" cm="1">
        <f t="array" ca="1" aca="1" ref="BA153">_xlfn.LET(_xlpm.val,IF($F153="",val_blankRefText,_xldudf_CX_GET(CX_ENTITY,$F153,BA$11,BA$14,,(BA$146))),_xlpm.Res,IF(OR(_xlpm.val="",_xlpm.val="Error"),"",_xlpm.val),_xlpm.Res)</f>
        <v>#NAME?</v>
      </c>
      <c r="BB153" s="1986" t="e" cm="1">
        <f t="array" ca="1" aca="1" ref="BB153">_xlfn.LET(_xlpm.val,IF($F153="",val_blankRefText,_xldudf_CX_GET(CX_ENTITY,$F153,BB$11,BB$14,,(BB$146))),_xlpm.Res,IF(OR(_xlpm.val="",_xlpm.val="Error"),"",_xlpm.val),_xlpm.Res)</f>
        <v>#NAME?</v>
      </c>
      <c r="BC153" s="1986" t="e" cm="1">
        <f t="array" ca="1" aca="1" ref="BC153">_xlfn.LET(_xlpm.val,IF($F153="",val_blankRefText,_xldudf_CX_GET(CX_ENTITY,$F153,BC$11,BC$14,,(BC$146))),_xlpm.Res,IF(OR(_xlpm.val="",_xlpm.val="Error"),"",_xlpm.val),_xlpm.Res)</f>
        <v>#NAME?</v>
      </c>
      <c r="BD153" s="1986" t="e" cm="1">
        <f t="array" ca="1" aca="1" ref="BD153">_xlfn.LET(_xlpm.val,IF($F153="",val_blankRefText,_xldudf_CX_GET(CX_ENTITY,$F153,BD$11,BD$14,,(BD$146))),_xlpm.Res,IF(OR(_xlpm.val="",_xlpm.val="Error"),"",_xlpm.val),_xlpm.Res)</f>
        <v>#NAME?</v>
      </c>
      <c r="BE153" s="1986" t="e" cm="1">
        <f t="array" ca="1" aca="1" ref="BE153">_xlfn.LET(_xlpm.val,IF($F153="",val_blankRefText,_xldudf_CX_GET(CX_ENTITY,$F153,BE$11,BE$14,,(BE$146))),_xlpm.Res,IF(OR(_xlpm.val="",_xlpm.val="Error"),"",_xlpm.val),_xlpm.Res)</f>
        <v>#NAME?</v>
      </c>
      <c r="BF153" s="1986" t="e" cm="1">
        <f t="array" ca="1" aca="1" ref="BF153">_xlfn.LET(_xlpm.val,IF($F153="",val_blankRefText,_xldudf_CX_GET(CX_ENTITY,$F153,BF$11,BF$14,,(BF$146))),_xlpm.Res,IF(OR(_xlpm.val="",_xlpm.val="Error"),"",_xlpm.val),_xlpm.Res)</f>
        <v>#NAME?</v>
      </c>
      <c r="BG153" s="1986" t="e" cm="1">
        <f t="array" ca="1" aca="1" ref="BG153">_xlfn.LET(_xlpm.val,IF($F153="",val_blankRefText,_xldudf_CX_GET(CX_ENTITY,$F153,BG$11,BG$14,,(BG$146))),_xlpm.Res,IF(OR(_xlpm.val="",_xlpm.val="Error"),"",_xlpm.val),_xlpm.Res)</f>
        <v>#NAME?</v>
      </c>
      <c r="BH153" s="1986" t="e" cm="1">
        <f t="array" ca="1" aca="1" ref="BH153">_xlfn.LET(_xlpm.val,IF($F153="",val_blankRefText,_xldudf_CX_GET(CX_ENTITY,$F153,BH$11,BH$14,,(BH$146))),_xlpm.Res,IF(OR(_xlpm.val="",_xlpm.val="Error"),"",_xlpm.val),_xlpm.Res)</f>
        <v>#NAME?</v>
      </c>
      <c r="BI153" s="1986" t="e" cm="1">
        <f t="array" ca="1" aca="1" ref="BI153">_xlfn.LET(_xlpm.val,IF($F153="",val_blankRefText,_xldudf_CX_GET(CX_ENTITY,$F153,BI$11,BI$14,,(BI$146))),_xlpm.Res,IF(OR(_xlpm.val="",_xlpm.val="Error"),"",_xlpm.val),_xlpm.Res)</f>
        <v>#NAME?</v>
      </c>
      <c r="BJ153" s="1986" t="e" cm="1">
        <f t="array" ca="1" aca="1" ref="BJ153">_xlfn.LET(_xlpm.val,IF($F153="",val_blankRefText,_xldudf_CX_GET(CX_ENTITY,$F153,BJ$11,BJ$14,,(BJ$146))),_xlpm.Res,IF(OR(_xlpm.val="",_xlpm.val="Error"),"",_xlpm.val),_xlpm.Res)</f>
        <v>#NAME?</v>
      </c>
      <c r="BK153" s="1986" t="e" cm="1">
        <f t="array" ca="1" aca="1" ref="BK153">_xlfn.LET(_xlpm.val,IF($F153="",val_blankRefText,_xldudf_CX_GET(CX_ENTITY,$F153,BK$11,BK$14,,(BK$146))),_xlpm.Res,IF(OR(_xlpm.val="",_xlpm.val="Error"),"",_xlpm.val),_xlpm.Res)</f>
        <v>#NAME?</v>
      </c>
      <c r="BL153" s="1986" t="e" cm="1">
        <f t="array" ca="1" aca="1" ref="BL153">_xlfn.LET(_xlpm.val,IF($F153="",val_blankRefText,_xldudf_CX_GET(CX_ENTITY,$F153,BL$11,BL$14,,(BL$146))),_xlpm.Res,IF(OR(_xlpm.val="",_xlpm.val="Error"),"",_xlpm.val),_xlpm.Res)</f>
        <v>#NAME?</v>
      </c>
      <c r="BM153" s="1986" t="e" cm="1">
        <f t="array" ca="1" aca="1" ref="BM153">_xlfn.LET(_xlpm.val,IF($F153="",val_blankRefText,_xldudf_CX_GET(CX_ENTITY,$F153,BM$11,BM$14,,(BM$146))),_xlpm.Res,IF(OR(_xlpm.val="",_xlpm.val="Error"),"",_xlpm.val),_xlpm.Res)</f>
        <v>#NAME?</v>
      </c>
      <c r="BN153" s="1986" t="e" cm="1">
        <f t="array" ca="1" aca="1" ref="BN153">_xlfn.LET(_xlpm.val,IF($F153="",val_blankRefText,_xldudf_CX_GET(CX_ENTITY,$F153,BN$11,BN$14,,(BN$146))),_xlpm.Res,IF(OR(_xlpm.val="",_xlpm.val="Error"),"",_xlpm.val),_xlpm.Res)</f>
        <v>#NAME?</v>
      </c>
      <c r="BO153" s="2103"/>
      <c r="BP153" s="2103"/>
      <c r="BQ153" s="2103"/>
      <c r="BR153" s="2103"/>
      <c r="BS153" s="2103"/>
      <c r="BT153" s="2103"/>
      <c r="BU153" s="2103"/>
      <c r="BV153" s="2103"/>
      <c r="BW153" s="2103"/>
      <c r="BX153" s="2103"/>
      <c r="BY153" s="2103"/>
      <c r="BZ153" s="2103"/>
      <c r="CA153" s="34"/>
      <c r="CC153" s="50"/>
      <c r="CD153" s="1461" t="e" cm="1">
        <f t="array" ca="1" aca="1" ref="CD153">_xlfn.LET(_xlpm.CheckBlank,SUM(PL!$AD153:$BN153)=0,IF(_xlpm.CheckBlank,"",SUM(_xlfn._xlws.FILTER(PL!$AD153:$BN153,(YEAR(PL!$AD$12:$BN$12)=PL!CD$12)*(array_timeline&lt;=PL!CD$11)))))</f>
        <v>#NAME?</v>
      </c>
      <c r="CE153" s="1461" t="e" cm="1">
        <f t="array" ca="1" aca="1" ref="CE153">_xlfn.LET(_xlpm.CheckBlank,SUM(PL!$AD153:$BN153)=0,IF(_xlpm.CheckBlank,"",SUM(_xlfn._xlws.FILTER(PL!$AD153:$BN153,(YEAR(PL!$AD$12:$BN$12)=PL!CE$12)*(array_timeline&lt;=PL!CE$11)))))</f>
        <v>#NAME?</v>
      </c>
      <c r="CF153" s="88"/>
      <c r="CG153" s="1461" t="e" cm="1">
        <f t="array" ca="1" aca="1" ref="CG153">_xlfn.LET(_xlpm.CheckBlank,SUM(PL!$AD153:$BN153)=0,IF(_xlpm.CheckBlank,"",SUM(_xlfn._xlws.FILTER(PL!$AD153:$BN153,(YEAR(PL!$AD$12:$BN$12)=PL!CG$12)*(array_timeline&lt;=PL!CG$11)))))</f>
        <v>#NAME?</v>
      </c>
      <c r="CH153" s="1461" t="e" cm="1">
        <f t="array" ca="1" aca="1" ref="CH153">_xlfn.LET(_xlpm.CheckBlank,SUM(PL!$AD153:$BN153)=0,IF(_xlpm.CheckBlank,"",SUM(_xlfn._xlws.FILTER(PL!$AD153:$BN153,(YEAR(PL!$AD$12:$BN$12)=PL!CH$12)*(array_timeline&lt;=PL!CH$11)))))</f>
        <v>#NAME?</v>
      </c>
      <c r="CI153" s="88"/>
      <c r="CJ153" s="1461" cm="1">
        <f t="array" ref="CJ153">_xlfn.LET(_xlpm.CheckBlank,SUM(PL!$AD153:$BN153)=0,IF(_xlpm.CheckBlank,"",SUM(_xlfn.TAKE(_xlfn.DROP(PL!$AD153:$BN153,,-DATEDIFF(PL!CJ$11,val_asOfDate,"M")),1,-12))))</f>
        <v>12</v>
      </c>
      <c r="CK153" s="1461" cm="1">
        <f t="array" ref="CK153">_xlfn.LET(_xlpm.CheckBlank,SUM(PL!$AD153:$BN153)=0,IF(_xlpm.CheckBlank,"",SUM(_xlfn.TAKE(_xlfn.DROP(PL!$AD153:$BN153,,-DATEDIFF(PL!CK$11,val_asOfDate,"M")),1,-12))))</f>
        <v>12</v>
      </c>
      <c r="CL153" s="88"/>
      <c r="CM153" s="1986" t="e" cm="1">
        <f t="array" ca="1" aca="1" ref="CM153">_xlfn.LET(_xlpm.val,IF($F153="",val_blankRefText,_xldudf_CX_GET(CX_ENTITY,$F153,CM$11,CM$14,,(CM$146))),_xlpm.Res,IF(OR(_xlpm.val="",_xlpm.val="Error"),"",_xlpm.val),_xlpm.Res)</f>
        <v>#NAME?</v>
      </c>
      <c r="CN153" s="1986" t="e" cm="1">
        <f t="array" ca="1" aca="1" ref="CN153">_xlfn.LET(_xlpm.val,IF($F153="",val_blankRefText,_xldudf_CX_GET(CX_ENTITY,$F153,CN$11,CN$14,,(CN$146))),_xlpm.Res,IF(OR(_xlpm.val="",_xlpm.val="Error"),"",_xlpm.val),_xlpm.Res)</f>
        <v>#NAME?</v>
      </c>
      <c r="CO153" s="1169"/>
      <c r="CP153" s="1986" t="e" cm="1">
        <f t="array" ca="1" aca="1" ref="CP153">_xlfn.LET(_xlpm.val,IF($F153="",val_blankRefText,_xldudf_CX_GET(CX_ENTITY,$F153,CP$11,CP$14,,(CP$146))),_xlpm.Res,IF(OR(_xlpm.val="",_xlpm.val="Error"),"",_xlpm.val),_xlpm.Res)</f>
        <v>#NAME?</v>
      </c>
      <c r="CQ153" s="1986" t="e" cm="1">
        <f t="array" ca="1" aca="1" ref="CQ153">_xlfn.LET(_xlpm.val,IF($F153="",val_blankRefText,_xldudf_CX_GET(CX_ENTITY,$F153,CQ$11,CQ$14,,(CQ$146))),_xlpm.Res,IF(OR(_xlpm.val="",_xlpm.val="Error"),"",_xlpm.val),_xlpm.Res)</f>
        <v>#NAME?</v>
      </c>
      <c r="CR153" s="34"/>
    </row>
    <row r="154" spans="1:96" ht="21" customHeight="1" outlineLevel="1">
      <c r="A154" s="1322"/>
      <c r="B154" s="1328" t="s">
        <v>128</v>
      </c>
      <c r="C154" s="1328" t="s">
        <v>1613</v>
      </c>
      <c r="D154" s="1328"/>
      <c r="E154" s="1328"/>
      <c r="F154" s="1328" t="str">
        <f t="shared" si="40"/>
        <v>Lfl Revenue Amount</v>
      </c>
      <c r="G154" s="1328" t="s">
        <v>1608</v>
      </c>
      <c r="H154" s="3281">
        <v>2</v>
      </c>
      <c r="I154" s="3281">
        <v>1</v>
      </c>
      <c r="J154" s="1334"/>
      <c r="K154" s="1334"/>
      <c r="L154" s="589">
        <v>-1</v>
      </c>
      <c r="N154" s="158"/>
      <c r="O154" s="101"/>
      <c r="P154" s="52"/>
      <c r="Q154" s="101"/>
      <c r="R154" s="101"/>
      <c r="S154" s="101"/>
      <c r="T154" s="101"/>
      <c r="U154" s="39"/>
      <c r="W154" s="268" t="str">
        <f>W147</f>
        <v>Actual</v>
      </c>
      <c r="X154" s="815">
        <v>0</v>
      </c>
      <c r="Y154" s="1127" t="e" cm="1">
        <f t="array" ca="1" aca="1" ref="Y154">IFBLANK(_xldudf_CX_GET(CX_ENTITY,fx_attrConverter(C154),val_asOfDate),"Please name your Like-for-Like Revenue")</f>
        <v>#NAME?</v>
      </c>
      <c r="Z154" s="538" cm="1">
        <f t="array" ref="Z154">_xlfn.SWITCH(TRUE,ISBLANK(_PL!$L154),"",_PL!$L154=TRUE,1,_PL!$L154=FALSE,-1,_PL!$L154=-1,0,"n/a")</f>
        <v>0</v>
      </c>
      <c r="AA154" s="787"/>
      <c r="AB154" s="1161" t="s">
        <v>130</v>
      </c>
      <c r="AC154" s="1163" t="str" cm="1">
        <f t="array" ref="AC154">_xlfn.LET(_xlpm.Def,IF(_xlfn.XMATCH(AB154,tbl_acctDef[Term],0)&gt;0,fx_getIcon("find"),""),_xlpm.Adj,IF(_xlfn.XMATCH(AB154,tbl_adjExample[Items],0)&gt;0,fx_getIcon("find"),""),IFERROR(IFBLANK(_xlpm.Def,_xlpm.Adj),""))</f>
        <v/>
      </c>
      <c r="AD154" s="1132" t="e" cm="1">
        <f t="array" ca="1" aca="1" ref="AD154">_xlfn.LET(_xlpm.val,IF($F154="",val_blankRefText,_xldudf_CX_GET(CX_ENTITY,fx_attrConverter($F154),AD$11,AD$14,,(AD$146))),_xlpm.Res,IF(OR(_xlpm.val="",_xlpm.val="Error"),"",_xlpm.val),_xlpm.Res)</f>
        <v>#NAME?</v>
      </c>
      <c r="AE154" s="1132" t="e" cm="1">
        <f t="array" ca="1" aca="1" ref="AE154">_xlfn.LET(_xlpm.val,IF($F154="",val_blankRefText,_xldudf_CX_GET(CX_ENTITY,fx_attrConverter($F154),AE$11,AE$14,,(AE$146))),_xlpm.Res,IF(OR(_xlpm.val="",_xlpm.val="Error"),"",_xlpm.val),_xlpm.Res)</f>
        <v>#NAME?</v>
      </c>
      <c r="AF154" s="910" t="e" cm="1">
        <f t="array" ca="1" aca="1" ref="AF154">_xlfn.LET(_xlpm.val,IF($F154="",val_blankRefText,_xldudf_CX_GET(CX_ENTITY,fx_attrConverter($F154),AF$11,AF$14,,(AF$146))),_xlpm.Res,IF(OR(_xlpm.val="",_xlpm.val="Error"),"",_xlpm.val),_xlpm.Res)</f>
        <v>#NAME?</v>
      </c>
      <c r="AG154" s="910" t="e" cm="1">
        <f t="array" ca="1" aca="1" ref="AG154">_xlfn.LET(_xlpm.val,IF($F154="",val_blankRefText,_xldudf_CX_GET(CX_ENTITY,fx_attrConverter($F154),AG$11,AG$14,,(AG$146))),_xlpm.Res,IF(OR(_xlpm.val="",_xlpm.val="Error"),"",_xlpm.val),_xlpm.Res)</f>
        <v>#NAME?</v>
      </c>
      <c r="AH154" s="910" t="e" cm="1">
        <f t="array" ca="1" aca="1" ref="AH154">_xlfn.LET(_xlpm.val,IF($F154="",val_blankRefText,_xldudf_CX_GET(CX_ENTITY,fx_attrConverter($F154),AH$11,AH$14,,(AH$146))),_xlpm.Res,IF(OR(_xlpm.val="",_xlpm.val="Error"),"",_xlpm.val),_xlpm.Res)</f>
        <v>#NAME?</v>
      </c>
      <c r="AI154" s="910" t="e" cm="1">
        <f t="array" ca="1" aca="1" ref="AI154">_xlfn.LET(_xlpm.val,IF($F154="",val_blankRefText,_xldudf_CX_GET(CX_ENTITY,fx_attrConverter($F154),AI$11,AI$14,,(AI$146))),_xlpm.Res,IF(OR(_xlpm.val="",_xlpm.val="Error"),"",_xlpm.val),_xlpm.Res)</f>
        <v>#NAME?</v>
      </c>
      <c r="AJ154" s="910" t="e" cm="1">
        <f t="array" ca="1" aca="1" ref="AJ154">_xlfn.LET(_xlpm.val,IF($F154="",val_blankRefText,_xldudf_CX_GET(CX_ENTITY,fx_attrConverter($F154),AJ$11,AJ$14,,(AJ$146))),_xlpm.Res,IF(OR(_xlpm.val="",_xlpm.val="Error"),"",_xlpm.val),_xlpm.Res)</f>
        <v>#NAME?</v>
      </c>
      <c r="AK154" s="910" t="e" cm="1">
        <f t="array" ca="1" aca="1" ref="AK154">_xlfn.LET(_xlpm.val,IF($F154="",val_blankRefText,_xldudf_CX_GET(CX_ENTITY,fx_attrConverter($F154),AK$11,AK$14,,(AK$146))),_xlpm.Res,IF(OR(_xlpm.val="",_xlpm.val="Error"),"",_xlpm.val),_xlpm.Res)</f>
        <v>#NAME?</v>
      </c>
      <c r="AL154" s="910" t="e" cm="1">
        <f t="array" ca="1" aca="1" ref="AL154">_xlfn.LET(_xlpm.val,IF($F154="",val_blankRefText,_xldudf_CX_GET(CX_ENTITY,fx_attrConverter($F154),AL$11,AL$14,,(AL$146))),_xlpm.Res,IF(OR(_xlpm.val="",_xlpm.val="Error"),"",_xlpm.val),_xlpm.Res)</f>
        <v>#NAME?</v>
      </c>
      <c r="AM154" s="910" t="e" cm="1">
        <f t="array" ca="1" aca="1" ref="AM154">_xlfn.LET(_xlpm.val,IF($F154="",val_blankRefText,_xldudf_CX_GET(CX_ENTITY,fx_attrConverter($F154),AM$11,AM$14,,(AM$146))),_xlpm.Res,IF(OR(_xlpm.val="",_xlpm.val="Error"),"",_xlpm.val),_xlpm.Res)</f>
        <v>#NAME?</v>
      </c>
      <c r="AN154" s="910" t="e" cm="1">
        <f t="array" ca="1" aca="1" ref="AN154">_xlfn.LET(_xlpm.val,IF($F154="",val_blankRefText,_xldudf_CX_GET(CX_ENTITY,fx_attrConverter($F154),AN$11,AN$14,,(AN$146))),_xlpm.Res,IF(OR(_xlpm.val="",_xlpm.val="Error"),"",_xlpm.val),_xlpm.Res)</f>
        <v>#NAME?</v>
      </c>
      <c r="AO154" s="910" t="e" cm="1">
        <f t="array" ca="1" aca="1" ref="AO154">_xlfn.LET(_xlpm.val,IF($F154="",val_blankRefText,_xldudf_CX_GET(CX_ENTITY,fx_attrConverter($F154),AO$11,AO$14,,(AO$146))),_xlpm.Res,IF(OR(_xlpm.val="",_xlpm.val="Error"),"",_xlpm.val),_xlpm.Res)</f>
        <v>#NAME?</v>
      </c>
      <c r="AP154" s="910" t="e" cm="1">
        <f t="array" ca="1" aca="1" ref="AP154">_xlfn.LET(_xlpm.val,IF($F154="",val_blankRefText,_xldudf_CX_GET(CX_ENTITY,fx_attrConverter($F154),AP$11,AP$14,,(AP$146))),_xlpm.Res,IF(OR(_xlpm.val="",_xlpm.val="Error"),"",_xlpm.val),_xlpm.Res)</f>
        <v>#NAME?</v>
      </c>
      <c r="AQ154" s="910" t="e" cm="1">
        <f t="array" ca="1" aca="1" ref="AQ154">_xlfn.LET(_xlpm.val,IF($F154="",val_blankRefText,_xldudf_CX_GET(CX_ENTITY,fx_attrConverter($F154),AQ$11,AQ$14,,(AQ$146))),_xlpm.Res,IF(OR(_xlpm.val="",_xlpm.val="Error"),"",_xlpm.val),_xlpm.Res)</f>
        <v>#NAME?</v>
      </c>
      <c r="AR154" s="910" t="e" cm="1">
        <f t="array" ca="1" aca="1" ref="AR154">_xlfn.LET(_xlpm.val,IF($F154="",val_blankRefText,_xldudf_CX_GET(CX_ENTITY,fx_attrConverter($F154),AR$11,AR$14,,(AR$146))),_xlpm.Res,IF(OR(_xlpm.val="",_xlpm.val="Error"),"",_xlpm.val),_xlpm.Res)</f>
        <v>#NAME?</v>
      </c>
      <c r="AS154" s="910" t="e" cm="1">
        <f t="array" ca="1" aca="1" ref="AS154">_xlfn.LET(_xlpm.val,IF($F154="",val_blankRefText,_xldudf_CX_GET(CX_ENTITY,fx_attrConverter($F154),AS$11,AS$14,,(AS$146))),_xlpm.Res,IF(OR(_xlpm.val="",_xlpm.val="Error"),"",_xlpm.val),_xlpm.Res)</f>
        <v>#NAME?</v>
      </c>
      <c r="AT154" s="910" t="e" cm="1">
        <f t="array" ca="1" aca="1" ref="AT154">_xlfn.LET(_xlpm.val,IF($F154="",val_blankRefText,_xldudf_CX_GET(CX_ENTITY,fx_attrConverter($F154),AT$11,AT$14,,(AT$146))),_xlpm.Res,IF(OR(_xlpm.val="",_xlpm.val="Error"),"",_xlpm.val),_xlpm.Res)</f>
        <v>#NAME?</v>
      </c>
      <c r="AU154" s="910" t="e" cm="1">
        <f t="array" ca="1" aca="1" ref="AU154">_xlfn.LET(_xlpm.val,IF($F154="",val_blankRefText,_xldudf_CX_GET(CX_ENTITY,fx_attrConverter($F154),AU$11,AU$14,,(AU$146))),_xlpm.Res,IF(OR(_xlpm.val="",_xlpm.val="Error"),"",_xlpm.val),_xlpm.Res)</f>
        <v>#NAME?</v>
      </c>
      <c r="AV154" s="910" t="e" cm="1">
        <f t="array" ca="1" aca="1" ref="AV154">_xlfn.LET(_xlpm.val,IF($F154="",val_blankRefText,_xldudf_CX_GET(CX_ENTITY,fx_attrConverter($F154),AV$11,AV$14,,(AV$146))),_xlpm.Res,IF(OR(_xlpm.val="",_xlpm.val="Error"),"",_xlpm.val),_xlpm.Res)</f>
        <v>#NAME?</v>
      </c>
      <c r="AW154" s="910" t="e" cm="1">
        <f t="array" ca="1" aca="1" ref="AW154">_xlfn.LET(_xlpm.val,IF($F154="",val_blankRefText,_xldudf_CX_GET(CX_ENTITY,fx_attrConverter($F154),AW$11,AW$14,,(AW$146))),_xlpm.Res,IF(OR(_xlpm.val="",_xlpm.val="Error"),"",_xlpm.val),_xlpm.Res)</f>
        <v>#NAME?</v>
      </c>
      <c r="AX154" s="910" t="e" cm="1">
        <f t="array" ca="1" aca="1" ref="AX154">_xlfn.LET(_xlpm.val,IF($F154="",val_blankRefText,_xldudf_CX_GET(CX_ENTITY,fx_attrConverter($F154),AX$11,AX$14,,(AX$146))),_xlpm.Res,IF(OR(_xlpm.val="",_xlpm.val="Error"),"",_xlpm.val),_xlpm.Res)</f>
        <v>#NAME?</v>
      </c>
      <c r="AY154" s="910" t="e" cm="1">
        <f t="array" ca="1" aca="1" ref="AY154">_xlfn.LET(_xlpm.val,IF($F154="",val_blankRefText,_xldudf_CX_GET(CX_ENTITY,fx_attrConverter($F154),AY$11,AY$14,,(AY$146))),_xlpm.Res,IF(OR(_xlpm.val="",_xlpm.val="Error"),"",_xlpm.val),_xlpm.Res)</f>
        <v>#NAME?</v>
      </c>
      <c r="AZ154" s="910" t="e" cm="1">
        <f t="array" ca="1" aca="1" ref="AZ154">_xlfn.LET(_xlpm.val,IF($F154="",val_blankRefText,_xldudf_CX_GET(CX_ENTITY,fx_attrConverter($F154),AZ$11,AZ$14,,(AZ$146))),_xlpm.Res,IF(OR(_xlpm.val="",_xlpm.val="Error"),"",_xlpm.val),_xlpm.Res)</f>
        <v>#NAME?</v>
      </c>
      <c r="BA154" s="910" t="e" cm="1">
        <f t="array" ca="1" aca="1" ref="BA154">_xlfn.LET(_xlpm.val,IF($F154="",val_blankRefText,_xldudf_CX_GET(CX_ENTITY,fx_attrConverter($F154),BA$11,BA$14,,(BA$146))),_xlpm.Res,IF(OR(_xlpm.val="",_xlpm.val="Error"),"",_xlpm.val),_xlpm.Res)</f>
        <v>#NAME?</v>
      </c>
      <c r="BB154" s="910" t="e" cm="1">
        <f t="array" ca="1" aca="1" ref="BB154">_xlfn.LET(_xlpm.val,IF($F154="",val_blankRefText,_xldudf_CX_GET(CX_ENTITY,fx_attrConverter($F154),BB$11,BB$14,,(BB$146))),_xlpm.Res,IF(OR(_xlpm.val="",_xlpm.val="Error"),"",_xlpm.val),_xlpm.Res)</f>
        <v>#NAME?</v>
      </c>
      <c r="BC154" s="910" t="e" cm="1">
        <f t="array" ca="1" aca="1" ref="BC154">_xlfn.LET(_xlpm.val,IF($F154="",val_blankRefText,_xldudf_CX_GET(CX_ENTITY,fx_attrConverter($F154),BC$11,BC$14,,(BC$146))),_xlpm.Res,IF(OR(_xlpm.val="",_xlpm.val="Error"),"",_xlpm.val),_xlpm.Res)</f>
        <v>#NAME?</v>
      </c>
      <c r="BD154" s="910" t="e" cm="1">
        <f t="array" ca="1" aca="1" ref="BD154">_xlfn.LET(_xlpm.val,IF($F154="",val_blankRefText,_xldudf_CX_GET(CX_ENTITY,fx_attrConverter($F154),BD$11,BD$14,,(BD$146))),_xlpm.Res,IF(OR(_xlpm.val="",_xlpm.val="Error"),"",_xlpm.val),_xlpm.Res)</f>
        <v>#NAME?</v>
      </c>
      <c r="BE154" s="910" t="e" cm="1">
        <f t="array" ca="1" aca="1" ref="BE154">_xlfn.LET(_xlpm.val,IF($F154="",val_blankRefText,_xldudf_CX_GET(CX_ENTITY,fx_attrConverter($F154),BE$11,BE$14,,(BE$146))),_xlpm.Res,IF(OR(_xlpm.val="",_xlpm.val="Error"),"",_xlpm.val),_xlpm.Res)</f>
        <v>#NAME?</v>
      </c>
      <c r="BF154" s="910" t="e" cm="1">
        <f t="array" ca="1" aca="1" ref="BF154">_xlfn.LET(_xlpm.val,IF($F154="",val_blankRefText,_xldudf_CX_GET(CX_ENTITY,fx_attrConverter($F154),BF$11,BF$14,,(BF$146))),_xlpm.Res,IF(OR(_xlpm.val="",_xlpm.val="Error"),"",_xlpm.val),_xlpm.Res)</f>
        <v>#NAME?</v>
      </c>
      <c r="BG154" s="910" t="e" cm="1">
        <f t="array" ca="1" aca="1" ref="BG154">_xlfn.LET(_xlpm.val,IF($F154="",val_blankRefText,_xldudf_CX_GET(CX_ENTITY,fx_attrConverter($F154),BG$11,BG$14,,(BG$146))),_xlpm.Res,IF(OR(_xlpm.val="",_xlpm.val="Error"),"",_xlpm.val),_xlpm.Res)</f>
        <v>#NAME?</v>
      </c>
      <c r="BH154" s="910" t="e" cm="1">
        <f t="array" ca="1" aca="1" ref="BH154">_xlfn.LET(_xlpm.val,IF($F154="",val_blankRefText,_xldudf_CX_GET(CX_ENTITY,fx_attrConverter($F154),BH$11,BH$14,,(BH$146))),_xlpm.Res,IF(OR(_xlpm.val="",_xlpm.val="Error"),"",_xlpm.val),_xlpm.Res)</f>
        <v>#NAME?</v>
      </c>
      <c r="BI154" s="910" t="e" cm="1">
        <f t="array" ca="1" aca="1" ref="BI154">_xlfn.LET(_xlpm.val,IF($F154="",val_blankRefText,_xldudf_CX_GET(CX_ENTITY,fx_attrConverter($F154),BI$11,BI$14,,(BI$146))),_xlpm.Res,IF(OR(_xlpm.val="",_xlpm.val="Error"),"",_xlpm.val),_xlpm.Res)</f>
        <v>#NAME?</v>
      </c>
      <c r="BJ154" s="910" t="e" cm="1">
        <f t="array" ca="1" aca="1" ref="BJ154">_xlfn.LET(_xlpm.val,IF($F154="",val_blankRefText,_xldudf_CX_GET(CX_ENTITY,fx_attrConverter($F154),BJ$11,BJ$14,,(BJ$146))),_xlpm.Res,IF(OR(_xlpm.val="",_xlpm.val="Error"),"",_xlpm.val),_xlpm.Res)</f>
        <v>#NAME?</v>
      </c>
      <c r="BK154" s="910" t="e" cm="1">
        <f t="array" ca="1" aca="1" ref="BK154">_xlfn.LET(_xlpm.val,IF($F154="",val_blankRefText,_xldudf_CX_GET(CX_ENTITY,fx_attrConverter($F154),BK$11,BK$14,,(BK$146))),_xlpm.Res,IF(OR(_xlpm.val="",_xlpm.val="Error"),"",_xlpm.val),_xlpm.Res)</f>
        <v>#NAME?</v>
      </c>
      <c r="BL154" s="910" t="e" cm="1">
        <f t="array" ca="1" aca="1" ref="BL154">_xlfn.LET(_xlpm.val,IF($F154="",val_blankRefText,_xldudf_CX_GET(CX_ENTITY,fx_attrConverter($F154),BL$11,BL$14,,(BL$146))),_xlpm.Res,IF(OR(_xlpm.val="",_xlpm.val="Error"),"",_xlpm.val),_xlpm.Res)</f>
        <v>#NAME?</v>
      </c>
      <c r="BM154" s="910" t="e" cm="1">
        <f t="array" ca="1" aca="1" ref="BM154">_xlfn.LET(_xlpm.val,IF($F154="",val_blankRefText,_xldudf_CX_GET(CX_ENTITY,fx_attrConverter($F154),BM$11,BM$14,,(BM$146))),_xlpm.Res,IF(OR(_xlpm.val="",_xlpm.val="Error"),"",_xlpm.val),_xlpm.Res)</f>
        <v>#NAME?</v>
      </c>
      <c r="BN154" s="910" t="e" cm="1">
        <f t="array" ca="1" aca="1" ref="BN154">_xlfn.LET(_xlpm.val,IF($F154="",val_blankRefText,_xldudf_CX_GET(CX_ENTITY,fx_attrConverter($F154),BN$11,BN$14,,(BN$146))),_xlpm.Res,IF(OR(_xlpm.val="",_xlpm.val="Error"),"",_xlpm.val),_xlpm.Res)</f>
        <v>#NAME?</v>
      </c>
      <c r="BO154" s="2107"/>
      <c r="BP154" s="2107"/>
      <c r="BQ154" s="2107"/>
      <c r="BR154" s="2107"/>
      <c r="BS154" s="2107"/>
      <c r="BT154" s="2107"/>
      <c r="BU154" s="2107"/>
      <c r="BV154" s="2107"/>
      <c r="BW154" s="2107"/>
      <c r="BX154" s="2107"/>
      <c r="BY154" s="2107"/>
      <c r="BZ154" s="2107"/>
      <c r="CA154" s="34"/>
      <c r="CC154" s="33"/>
      <c r="CD154" s="1461" t="str" cm="1">
        <f t="array" ca="1" aca="1" ref="CD154:CE154">IF(ISNUMBER(CD147:CE147),_xlfn.BYCOL(_xlfn.VSTACK(CD147:CE147,CD148:CE153),_xleta.SUM),"")</f>
        <v/>
      </c>
      <c r="CE154" s="1461" t="str">
        <f ca="1"/>
        <v/>
      </c>
      <c r="CF154" s="88"/>
      <c r="CG154" s="1461" t="str" cm="1">
        <f t="array" ca="1" aca="1" ref="CG154:CH154">IF(ISNUMBER(CG147:CH147),_xlfn.BYCOL(_xlfn.VSTACK(CG147:CH147,CG148:CH153),_xleta.SUM),"")</f>
        <v/>
      </c>
      <c r="CH154" s="1461" t="str">
        <f ca="1"/>
        <v/>
      </c>
      <c r="CI154" s="88"/>
      <c r="CJ154" s="1461" cm="1">
        <f t="array" ref="CJ154:CK154">IF(ISNUMBER(CJ147:CK147),_xlfn.BYCOL(_xlfn.VSTACK(CJ147:CK147,CJ148:CK153),_xleta.SUM),"")</f>
        <v>60</v>
      </c>
      <c r="CK154" s="1461">
        <v>60</v>
      </c>
      <c r="CL154" s="88"/>
      <c r="CM154" s="1201" t="str" cm="1">
        <f t="array" ca="1" aca="1" ref="CM154:CN154">IF(ISNUMBER(CM147:CN147),_xlfn.BYCOL(_xlfn.VSTACK(CM147:CN147,CM148:CN153),_xleta.SUM),"")</f>
        <v/>
      </c>
      <c r="CN154" s="1202" t="str">
        <f ca="1"/>
        <v/>
      </c>
      <c r="CO154" s="88"/>
      <c r="CP154" s="1201" t="str" cm="1">
        <f t="array" ca="1" aca="1" ref="CP154:CQ154">IF(ISNUMBER(CP147:CQ147),_xlfn.BYCOL(_xlfn.VSTACK(CP147:CQ147,CP148:CQ153),_xleta.SUM),"")</f>
        <v/>
      </c>
      <c r="CQ154" s="1202" t="str">
        <f ca="1"/>
        <v/>
      </c>
      <c r="CR154" s="34"/>
    </row>
    <row r="155" spans="1:96" ht="15.5" outlineLevel="1">
      <c r="A155" s="1322"/>
      <c r="B155" s="577"/>
      <c r="C155" s="577"/>
      <c r="D155" s="574"/>
      <c r="E155" s="574"/>
      <c r="F155" s="577"/>
      <c r="G155" s="577"/>
      <c r="H155" s="578"/>
      <c r="I155" s="578"/>
      <c r="J155" s="578"/>
      <c r="K155" s="578"/>
      <c r="L155" s="578"/>
      <c r="N155" s="158"/>
      <c r="O155" s="101"/>
      <c r="P155" s="52"/>
      <c r="Q155" s="101"/>
      <c r="R155" s="101"/>
      <c r="S155" s="101"/>
      <c r="T155" s="101"/>
      <c r="U155" s="39"/>
      <c r="W155" s="91"/>
      <c r="X155" s="887"/>
      <c r="Y155" s="136"/>
      <c r="Z155" s="792"/>
      <c r="AA155" s="97"/>
      <c r="AB155" s="97"/>
      <c r="AC155" s="128"/>
      <c r="AD155" s="179"/>
      <c r="AE155" s="179"/>
      <c r="AF155" s="179"/>
      <c r="AG155" s="179"/>
      <c r="AH155" s="179"/>
      <c r="AI155" s="179"/>
      <c r="AJ155" s="179"/>
      <c r="AK155" s="179"/>
      <c r="AL155" s="179"/>
      <c r="AM155" s="179"/>
      <c r="AN155" s="179"/>
      <c r="AO155" s="179"/>
      <c r="AP155" s="179"/>
      <c r="AQ155" s="179"/>
      <c r="AR155" s="179"/>
      <c r="AS155" s="179"/>
      <c r="AT155" s="179"/>
      <c r="AU155" s="566"/>
      <c r="AV155" s="566"/>
      <c r="AW155" s="566"/>
      <c r="AX155" s="566"/>
      <c r="AY155" s="566"/>
      <c r="AZ155" s="566"/>
      <c r="BA155" s="566"/>
      <c r="BB155" s="566"/>
      <c r="BC155" s="566"/>
      <c r="BD155" s="566"/>
      <c r="BE155" s="566"/>
      <c r="BF155" s="566"/>
      <c r="BG155" s="566"/>
      <c r="BH155" s="566"/>
      <c r="BI155" s="566"/>
      <c r="BJ155" s="566"/>
      <c r="BK155" s="566"/>
      <c r="BL155" s="566"/>
      <c r="BM155" s="566"/>
      <c r="BN155" s="566"/>
      <c r="BO155" s="566"/>
      <c r="BP155" s="566"/>
      <c r="BQ155" s="566"/>
      <c r="BR155" s="566"/>
      <c r="BS155" s="566"/>
      <c r="BT155" s="566"/>
      <c r="BU155" s="566"/>
      <c r="BV155" s="566"/>
      <c r="BW155" s="566"/>
      <c r="BX155" s="566"/>
      <c r="BY155" s="566"/>
      <c r="BZ155" s="566"/>
      <c r="CA155" s="34"/>
      <c r="CC155" s="50"/>
      <c r="CD155" s="182"/>
      <c r="CE155" s="182"/>
      <c r="CF155" s="182"/>
      <c r="CG155" s="182"/>
      <c r="CH155" s="182"/>
      <c r="CI155" s="88"/>
      <c r="CJ155" s="172"/>
      <c r="CK155" s="172"/>
      <c r="CL155" s="88"/>
      <c r="CM155" s="88"/>
      <c r="CN155" s="88"/>
      <c r="CO155" s="88"/>
      <c r="CP155" s="88"/>
      <c r="CQ155" s="88"/>
      <c r="CR155" s="34"/>
    </row>
    <row r="156" spans="1:96" ht="22.5" outlineLevel="1">
      <c r="A156" s="1322"/>
      <c r="B156" s="577"/>
      <c r="C156" s="577"/>
      <c r="D156" s="574"/>
      <c r="E156" s="574"/>
      <c r="F156" s="574"/>
      <c r="G156" s="577"/>
      <c r="H156" s="510"/>
      <c r="I156" s="510"/>
      <c r="J156" s="30"/>
      <c r="K156" s="30"/>
      <c r="L156" s="30"/>
      <c r="N156" s="158"/>
      <c r="O156" s="101"/>
      <c r="P156" s="52"/>
      <c r="Q156" s="101"/>
      <c r="R156" s="101"/>
      <c r="S156" s="101"/>
      <c r="T156" s="101"/>
      <c r="U156" s="39"/>
      <c r="W156" s="165"/>
      <c r="X156" s="887"/>
      <c r="Y156" s="155"/>
      <c r="Z156" s="788"/>
      <c r="AA156" s="97"/>
      <c r="AB156" s="97"/>
      <c r="AC156" s="128"/>
      <c r="AD156" s="164"/>
      <c r="AE156" s="164"/>
      <c r="AF156" s="164"/>
      <c r="AG156" s="164"/>
      <c r="AH156" s="164"/>
      <c r="AI156" s="164"/>
      <c r="AJ156" s="164"/>
      <c r="AK156" s="164"/>
      <c r="AL156" s="164"/>
      <c r="AM156" s="164"/>
      <c r="AN156" s="164"/>
      <c r="AO156" s="164"/>
      <c r="AP156" s="164"/>
      <c r="AQ156" s="164"/>
      <c r="AR156" s="164"/>
      <c r="AS156" s="164"/>
      <c r="AT156" s="164"/>
      <c r="AU156" s="164"/>
      <c r="AV156" s="164"/>
      <c r="AW156" s="164"/>
      <c r="AX156" s="164"/>
      <c r="AY156" s="164"/>
      <c r="AZ156" s="164"/>
      <c r="BA156" s="164"/>
      <c r="BB156" s="164"/>
      <c r="BC156" s="164"/>
      <c r="BD156" s="164"/>
      <c r="BE156" s="164"/>
      <c r="BF156" s="164"/>
      <c r="BG156" s="164"/>
      <c r="BH156" s="164"/>
      <c r="BI156" s="164"/>
      <c r="BJ156" s="164"/>
      <c r="BK156" s="164"/>
      <c r="BL156" s="164"/>
      <c r="BM156" s="164"/>
      <c r="BN156" s="164"/>
      <c r="BO156" s="164"/>
      <c r="BP156" s="164"/>
      <c r="BQ156" s="164"/>
      <c r="BR156" s="164"/>
      <c r="BS156" s="164"/>
      <c r="BT156" s="164"/>
      <c r="BU156" s="164"/>
      <c r="BV156" s="164"/>
      <c r="BW156" s="164"/>
      <c r="BX156" s="164"/>
      <c r="BY156" s="164"/>
      <c r="BZ156" s="164"/>
      <c r="CA156" s="34"/>
      <c r="CC156" s="50"/>
      <c r="CD156" s="3018" t="s">
        <v>41</v>
      </c>
      <c r="CE156" s="3019"/>
      <c r="CF156" s="1472"/>
      <c r="CG156" s="3026" t="s">
        <v>109</v>
      </c>
      <c r="CH156" s="3027"/>
      <c r="CI156" s="1473"/>
      <c r="CJ156" s="3022" t="s">
        <v>43</v>
      </c>
      <c r="CK156" s="3023"/>
      <c r="CL156" s="1473"/>
      <c r="CM156" s="3015" t="s">
        <v>44</v>
      </c>
      <c r="CN156" s="3016"/>
      <c r="CO156" s="1470"/>
      <c r="CP156" s="3015" t="s">
        <v>45</v>
      </c>
      <c r="CQ156" s="3016"/>
      <c r="CR156" s="34"/>
    </row>
    <row r="157" spans="1:96" ht="18">
      <c r="A157" s="1322"/>
      <c r="B157" s="577"/>
      <c r="C157" s="577"/>
      <c r="D157" s="574"/>
      <c r="E157" s="574"/>
      <c r="F157" s="574"/>
      <c r="G157" s="577"/>
      <c r="H157" s="578"/>
      <c r="I157" s="578"/>
      <c r="J157" s="578"/>
      <c r="K157" s="578"/>
      <c r="L157" s="578"/>
      <c r="N157" s="158"/>
      <c r="O157" s="101"/>
      <c r="P157" s="52"/>
      <c r="Q157" s="2"/>
      <c r="R157" s="101"/>
      <c r="S157" s="2"/>
      <c r="T157" s="2"/>
      <c r="U157" s="39"/>
      <c r="W157" s="3045" t="str" cm="1">
        <f t="array" ref="W157">fx_scenarioConverter("Actual")</f>
        <v>Actual</v>
      </c>
      <c r="X157" s="1247"/>
      <c r="Y157" s="3040" t="s">
        <v>1614</v>
      </c>
      <c r="Z157" s="1248" t="s">
        <v>82</v>
      </c>
      <c r="AA157" s="1249"/>
      <c r="AB157" s="1630"/>
      <c r="AC157" s="1273"/>
      <c r="AD157" s="859"/>
      <c r="AE157" s="859"/>
      <c r="AF157" s="859"/>
      <c r="AG157" s="859"/>
      <c r="AH157" s="859"/>
      <c r="AI157" s="859"/>
      <c r="AJ157" s="859"/>
      <c r="AK157" s="859"/>
      <c r="AL157" s="859"/>
      <c r="AM157" s="859"/>
      <c r="AN157" s="859"/>
      <c r="AO157" s="859"/>
      <c r="AP157" s="859"/>
      <c r="AQ157" s="859"/>
      <c r="AR157" s="859"/>
      <c r="AS157" s="859"/>
      <c r="AT157" s="859"/>
      <c r="AU157" s="859"/>
      <c r="AV157" s="859"/>
      <c r="AW157" s="859"/>
      <c r="AX157" s="859"/>
      <c r="AY157" s="859"/>
      <c r="AZ157" s="859"/>
      <c r="BA157" s="859"/>
      <c r="BB157" s="859"/>
      <c r="BC157" s="859"/>
      <c r="BD157" s="859"/>
      <c r="BE157" s="859"/>
      <c r="BF157" s="859"/>
      <c r="BG157" s="859"/>
      <c r="BH157" s="859"/>
      <c r="BI157" s="859"/>
      <c r="BJ157" s="859"/>
      <c r="BK157" s="859"/>
      <c r="BL157" s="859"/>
      <c r="BM157" s="859"/>
      <c r="BN157" s="859"/>
      <c r="BO157" s="542"/>
      <c r="BP157" s="542"/>
      <c r="BQ157" s="542"/>
      <c r="BR157" s="542"/>
      <c r="BS157" s="542"/>
      <c r="BT157" s="542"/>
      <c r="BU157" s="542"/>
      <c r="BV157" s="542"/>
      <c r="BW157" s="542"/>
      <c r="BX157" s="542"/>
      <c r="BY157" s="542"/>
      <c r="BZ157" s="542"/>
      <c r="CA157" s="34"/>
      <c r="CC157" s="33"/>
      <c r="CD157" s="1343" t="e" cm="1">
        <f t="array" ca="1" aca="1" ref="CD157">YEAR(val_currentFYE)-2</f>
        <v>#NAME?</v>
      </c>
      <c r="CE157" s="1344" t="e" cm="1">
        <f t="array" ca="1" aca="1" ref="CE157">YEAR(val_currentFYE)-1</f>
        <v>#NAME?</v>
      </c>
      <c r="CF157" s="88"/>
      <c r="CG157" s="1350" t="e" cm="1">
        <f t="array" ca="1" aca="1" ref="CG157">YEAR(val_currentFYE)</f>
        <v>#NAME?</v>
      </c>
      <c r="CH157" s="1351" t="e" cm="1">
        <f t="array" ca="1" aca="1" ref="CH157">YEAR(val_currentFYE)</f>
        <v>#NAME?</v>
      </c>
      <c r="CI157" s="170"/>
      <c r="CJ157" s="208" t="s">
        <v>54</v>
      </c>
      <c r="CK157" s="209" t="s">
        <v>54</v>
      </c>
      <c r="CL157" s="88"/>
      <c r="CM157" s="1664" t="e" cm="1">
        <f t="array" ca="1" aca="1" ref="CM157">YEAR(val_currentFYE)</f>
        <v>#NAME?</v>
      </c>
      <c r="CN157" s="1665" t="e" cm="1">
        <f t="array" ca="1" aca="1" ref="CN157">YEAR(val_currentFYE)</f>
        <v>#NAME?</v>
      </c>
      <c r="CO157" s="88"/>
      <c r="CP157" s="1664" t="e" cm="1">
        <f t="array" ca="1" aca="1" ref="CP157">YEAR(val_currentFYE)</f>
        <v>#NAME?</v>
      </c>
      <c r="CQ157" s="1665" t="e" cm="1">
        <f t="array" ca="1" aca="1" ref="CQ157">YEAR(val_currentFYE)</f>
        <v>#NAME?</v>
      </c>
      <c r="CR157" s="34"/>
    </row>
    <row r="158" spans="1:96" ht="18">
      <c r="A158" s="1322"/>
      <c r="B158" s="577"/>
      <c r="C158" s="577"/>
      <c r="D158" s="577"/>
      <c r="E158" s="577"/>
      <c r="F158" s="577"/>
      <c r="G158" s="577"/>
      <c r="H158" s="578"/>
      <c r="I158" s="578"/>
      <c r="J158" s="578"/>
      <c r="K158" s="578"/>
      <c r="L158" s="578"/>
      <c r="N158" s="158"/>
      <c r="O158" s="101"/>
      <c r="P158" s="52"/>
      <c r="Q158" s="2"/>
      <c r="R158" s="101"/>
      <c r="S158" s="2"/>
      <c r="T158" s="2"/>
      <c r="U158" s="39"/>
      <c r="W158" s="3046"/>
      <c r="X158" s="1250"/>
      <c r="Y158" s="3041"/>
      <c r="Z158" s="1251"/>
      <c r="AA158" s="1252"/>
      <c r="AB158" s="1631"/>
      <c r="AC158" s="1162"/>
      <c r="AD158" s="1253"/>
      <c r="AE158" s="1253"/>
      <c r="AF158" s="1253"/>
      <c r="AG158" s="1253"/>
      <c r="AH158" s="1253"/>
      <c r="AI158" s="1253"/>
      <c r="AJ158" s="1253"/>
      <c r="AK158" s="1253"/>
      <c r="AL158" s="1253"/>
      <c r="AM158" s="1253"/>
      <c r="AN158" s="1253"/>
      <c r="AO158" s="1253"/>
      <c r="AP158" s="1253"/>
      <c r="AQ158" s="1253"/>
      <c r="AR158" s="1253"/>
      <c r="AS158" s="1253"/>
      <c r="AT158" s="1253"/>
      <c r="AU158" s="1253"/>
      <c r="AV158" s="1253"/>
      <c r="AW158" s="1253"/>
      <c r="AX158" s="1253"/>
      <c r="AY158" s="1253"/>
      <c r="AZ158" s="1253"/>
      <c r="BA158" s="1253"/>
      <c r="BB158" s="1253"/>
      <c r="BC158" s="1253"/>
      <c r="BD158" s="1253"/>
      <c r="BE158" s="1253"/>
      <c r="BF158" s="1253"/>
      <c r="BG158" s="1253"/>
      <c r="BH158" s="1253"/>
      <c r="BI158" s="1253"/>
      <c r="BJ158" s="1253"/>
      <c r="BK158" s="1253"/>
      <c r="BL158" s="1253"/>
      <c r="BM158" s="1253"/>
      <c r="BN158" s="1253"/>
      <c r="BO158" s="2099"/>
      <c r="BP158" s="2099"/>
      <c r="BQ158" s="2099"/>
      <c r="BR158" s="2099"/>
      <c r="BS158" s="2099"/>
      <c r="BT158" s="2099"/>
      <c r="BU158" s="2099"/>
      <c r="BV158" s="2099"/>
      <c r="BW158" s="2099"/>
      <c r="BX158" s="2099"/>
      <c r="BY158" s="2099"/>
      <c r="BZ158" s="2099"/>
      <c r="CA158" s="34"/>
      <c r="CC158" s="33"/>
      <c r="CD158" s="1341"/>
      <c r="CE158" s="1342"/>
      <c r="CF158" s="88"/>
      <c r="CG158" s="1350"/>
      <c r="CH158" s="1351"/>
      <c r="CI158" s="170"/>
      <c r="CJ158" s="1348"/>
      <c r="CK158" s="1349"/>
      <c r="CL158" s="88"/>
      <c r="CM158" s="1666"/>
      <c r="CN158" s="1667"/>
      <c r="CO158" s="88"/>
      <c r="CP158" s="1666"/>
      <c r="CQ158" s="1667"/>
      <c r="CR158" s="34"/>
    </row>
    <row r="159" spans="1:96" ht="30.75" customHeight="1" outlineLevel="1">
      <c r="A159" s="1322"/>
      <c r="B159" s="583"/>
      <c r="C159" s="583"/>
      <c r="D159" s="583"/>
      <c r="E159" s="583"/>
      <c r="F159" s="577"/>
      <c r="G159" s="577" t="s">
        <v>1615</v>
      </c>
      <c r="H159" s="1333"/>
      <c r="I159" s="1333">
        <v>3</v>
      </c>
      <c r="J159" s="572"/>
      <c r="K159" s="572"/>
      <c r="L159" s="572"/>
      <c r="N159" s="158"/>
      <c r="O159" s="101"/>
      <c r="P159" s="52"/>
      <c r="Q159" s="101"/>
      <c r="R159" s="101"/>
      <c r="S159" s="101"/>
      <c r="T159" s="101"/>
      <c r="U159" s="39"/>
      <c r="W159" s="161"/>
      <c r="X159" s="887"/>
      <c r="Y159" s="186"/>
      <c r="Z159" s="789"/>
      <c r="AA159" s="1629"/>
      <c r="AB159" s="162"/>
      <c r="AC159" s="195"/>
      <c r="AD159" s="977" cm="1">
        <f t="array" ref="AD159:BN159">EOMONTH(val_asOfDate,_xlfn.SEQUENCE(1,37,-36,1))</f>
        <v>44926</v>
      </c>
      <c r="AE159" s="977">
        <v>44957</v>
      </c>
      <c r="AF159" s="977">
        <v>44985</v>
      </c>
      <c r="AG159" s="977">
        <v>45016</v>
      </c>
      <c r="AH159" s="977">
        <v>45046</v>
      </c>
      <c r="AI159" s="977">
        <v>45077</v>
      </c>
      <c r="AJ159" s="977">
        <v>45107</v>
      </c>
      <c r="AK159" s="977">
        <v>45138</v>
      </c>
      <c r="AL159" s="977">
        <v>45169</v>
      </c>
      <c r="AM159" s="977">
        <v>45199</v>
      </c>
      <c r="AN159" s="977">
        <v>45230</v>
      </c>
      <c r="AO159" s="977">
        <v>45260</v>
      </c>
      <c r="AP159" s="977">
        <v>45291</v>
      </c>
      <c r="AQ159" s="977">
        <v>45322</v>
      </c>
      <c r="AR159" s="977">
        <v>45351</v>
      </c>
      <c r="AS159" s="977">
        <v>45382</v>
      </c>
      <c r="AT159" s="977">
        <v>45412</v>
      </c>
      <c r="AU159" s="977">
        <v>45443</v>
      </c>
      <c r="AV159" s="977">
        <v>45473</v>
      </c>
      <c r="AW159" s="977">
        <v>45504</v>
      </c>
      <c r="AX159" s="977">
        <v>45535</v>
      </c>
      <c r="AY159" s="977">
        <v>45565</v>
      </c>
      <c r="AZ159" s="977">
        <v>45596</v>
      </c>
      <c r="BA159" s="977">
        <v>45626</v>
      </c>
      <c r="BB159" s="977">
        <v>45657</v>
      </c>
      <c r="BC159" s="977">
        <v>45688</v>
      </c>
      <c r="BD159" s="977">
        <v>45716</v>
      </c>
      <c r="BE159" s="977">
        <v>45747</v>
      </c>
      <c r="BF159" s="977">
        <v>45777</v>
      </c>
      <c r="BG159" s="977">
        <v>45808</v>
      </c>
      <c r="BH159" s="977">
        <v>45838</v>
      </c>
      <c r="BI159" s="977">
        <v>45869</v>
      </c>
      <c r="BJ159" s="977">
        <v>45900</v>
      </c>
      <c r="BK159" s="977">
        <v>45930</v>
      </c>
      <c r="BL159" s="977">
        <v>45961</v>
      </c>
      <c r="BM159" s="977">
        <v>45991</v>
      </c>
      <c r="BN159" s="978">
        <v>46022</v>
      </c>
      <c r="BO159" s="2090"/>
      <c r="BP159" s="2090"/>
      <c r="BQ159" s="2090"/>
      <c r="BR159" s="2090"/>
      <c r="BS159" s="2090"/>
      <c r="BT159" s="2090"/>
      <c r="BU159" s="2090"/>
      <c r="BV159" s="2090"/>
      <c r="BW159" s="2090"/>
      <c r="BX159" s="2090"/>
      <c r="BY159" s="2090"/>
      <c r="BZ159" s="2090"/>
      <c r="CA159" s="34"/>
      <c r="CC159" s="298"/>
      <c r="CD159" s="1716" t="e" cm="1">
        <f t="array" ca="1" aca="1" ref="CD159">EOMONTH(val_currentFYE,-24)</f>
        <v>#NAME?</v>
      </c>
      <c r="CE159" s="1717" t="e" cm="1">
        <f t="array" ca="1" aca="1" ref="CE159">EOMONTH(val_currentFYE,-12)</f>
        <v>#NAME?</v>
      </c>
      <c r="CF159" s="277"/>
      <c r="CG159" s="1715">
        <f>EOMONTH(val_asOfDate,-1)</f>
        <v>45991</v>
      </c>
      <c r="CH159" s="1715">
        <f>EOMONTH(val_asOfDate,0)</f>
        <v>46022</v>
      </c>
      <c r="CI159" s="276"/>
      <c r="CJ159" s="1709">
        <f>EOMONTH(val_asOfDate,-1)</f>
        <v>45991</v>
      </c>
      <c r="CK159" s="1710">
        <f>EOMONTH(val_asOfDate,0)</f>
        <v>46022</v>
      </c>
      <c r="CL159" s="88"/>
      <c r="CM159" s="1718" t="e" cm="1">
        <f t="array" ca="1" aca="1" ref="CM159">val_currentFYE</f>
        <v>#NAME?</v>
      </c>
      <c r="CN159" s="1719" t="e" cm="1">
        <f t="array" ca="1" aca="1" ref="CN159">val_currentFYE</f>
        <v>#NAME?</v>
      </c>
      <c r="CO159" s="88"/>
      <c r="CP159" s="1728" t="e" cm="1">
        <f t="array" ca="1" aca="1" ref="CP159">EOMONTH(val_currentFYE,12)</f>
        <v>#NAME?</v>
      </c>
      <c r="CQ159" s="1728" t="e" cm="1">
        <f t="array" ca="1" aca="1" ref="CQ159">EOMONTH(val_currentFYE,12)</f>
        <v>#NAME?</v>
      </c>
      <c r="CR159" s="34"/>
    </row>
    <row r="160" spans="1:96" ht="30.75" customHeight="1" outlineLevel="1">
      <c r="A160" s="1322"/>
      <c r="B160" s="1328"/>
      <c r="C160" s="1328"/>
      <c r="D160" s="1328"/>
      <c r="E160" s="1328"/>
      <c r="F160" s="1329"/>
      <c r="G160" s="1328"/>
      <c r="H160" s="588"/>
      <c r="I160" s="588"/>
      <c r="J160" s="1334"/>
      <c r="K160" s="1334"/>
      <c r="L160" s="1334"/>
      <c r="N160" s="158"/>
      <c r="O160" s="101"/>
      <c r="P160" s="52"/>
      <c r="Q160" s="101"/>
      <c r="R160" s="101"/>
      <c r="S160" s="101"/>
      <c r="T160" s="101"/>
      <c r="U160" s="39"/>
      <c r="W160" s="751" t="s">
        <v>94</v>
      </c>
      <c r="X160" s="896"/>
      <c r="Y160" s="762" t="s">
        <v>118</v>
      </c>
      <c r="Z160" s="790"/>
      <c r="AA160" s="193"/>
      <c r="AB160" s="193"/>
      <c r="AC160" s="125"/>
      <c r="AD160" s="2622" t="str">
        <f>$W$157</f>
        <v>Actual</v>
      </c>
      <c r="AE160" s="2622" t="str">
        <f t="shared" si="42" ref="AE160:BN160">$W$157</f>
        <v>Actual</v>
      </c>
      <c r="AF160" s="2622" t="str">
        <f t="shared" si="42"/>
        <v>Actual</v>
      </c>
      <c r="AG160" s="2622" t="str">
        <f t="shared" si="42"/>
        <v>Actual</v>
      </c>
      <c r="AH160" s="2622" t="str">
        <f t="shared" si="42"/>
        <v>Actual</v>
      </c>
      <c r="AI160" s="2622" t="str">
        <f t="shared" si="42"/>
        <v>Actual</v>
      </c>
      <c r="AJ160" s="2622" t="str">
        <f t="shared" si="42"/>
        <v>Actual</v>
      </c>
      <c r="AK160" s="2622" t="str">
        <f t="shared" si="42"/>
        <v>Actual</v>
      </c>
      <c r="AL160" s="2622" t="str">
        <f t="shared" si="42"/>
        <v>Actual</v>
      </c>
      <c r="AM160" s="2622" t="str">
        <f t="shared" si="42"/>
        <v>Actual</v>
      </c>
      <c r="AN160" s="2622" t="str">
        <f t="shared" si="42"/>
        <v>Actual</v>
      </c>
      <c r="AO160" s="2622" t="str">
        <f t="shared" si="42"/>
        <v>Actual</v>
      </c>
      <c r="AP160" s="2622" t="str">
        <f t="shared" si="42"/>
        <v>Actual</v>
      </c>
      <c r="AQ160" s="2622" t="str">
        <f t="shared" si="42"/>
        <v>Actual</v>
      </c>
      <c r="AR160" s="2622" t="str">
        <f t="shared" si="42"/>
        <v>Actual</v>
      </c>
      <c r="AS160" s="2622" t="str">
        <f t="shared" si="42"/>
        <v>Actual</v>
      </c>
      <c r="AT160" s="2622" t="str">
        <f t="shared" si="42"/>
        <v>Actual</v>
      </c>
      <c r="AU160" s="2622" t="str">
        <f t="shared" si="42"/>
        <v>Actual</v>
      </c>
      <c r="AV160" s="2622" t="str">
        <f t="shared" si="42"/>
        <v>Actual</v>
      </c>
      <c r="AW160" s="2622" t="str">
        <f t="shared" si="42"/>
        <v>Actual</v>
      </c>
      <c r="AX160" s="2622" t="str">
        <f t="shared" si="42"/>
        <v>Actual</v>
      </c>
      <c r="AY160" s="2622" t="str">
        <f t="shared" si="42"/>
        <v>Actual</v>
      </c>
      <c r="AZ160" s="2622" t="str">
        <f t="shared" si="42"/>
        <v>Actual</v>
      </c>
      <c r="BA160" s="2622" t="str">
        <f t="shared" si="42"/>
        <v>Actual</v>
      </c>
      <c r="BB160" s="2622" t="str">
        <f t="shared" si="42"/>
        <v>Actual</v>
      </c>
      <c r="BC160" s="2622" t="str">
        <f t="shared" si="42"/>
        <v>Actual</v>
      </c>
      <c r="BD160" s="2622" t="str">
        <f t="shared" si="42"/>
        <v>Actual</v>
      </c>
      <c r="BE160" s="2622" t="str">
        <f t="shared" si="42"/>
        <v>Actual</v>
      </c>
      <c r="BF160" s="2622" t="str">
        <f t="shared" si="42"/>
        <v>Actual</v>
      </c>
      <c r="BG160" s="2622" t="str">
        <f t="shared" si="42"/>
        <v>Actual</v>
      </c>
      <c r="BH160" s="2622" t="str">
        <f t="shared" si="42"/>
        <v>Actual</v>
      </c>
      <c r="BI160" s="2622" t="str">
        <f t="shared" si="42"/>
        <v>Actual</v>
      </c>
      <c r="BJ160" s="2622" t="str">
        <f t="shared" si="42"/>
        <v>Actual</v>
      </c>
      <c r="BK160" s="2622" t="str">
        <f t="shared" si="42"/>
        <v>Actual</v>
      </c>
      <c r="BL160" s="2622" t="str">
        <f t="shared" si="42"/>
        <v>Actual</v>
      </c>
      <c r="BM160" s="2622" t="str">
        <f t="shared" si="42"/>
        <v>Actual</v>
      </c>
      <c r="BN160" s="2622" t="str">
        <f t="shared" si="42"/>
        <v>Actual</v>
      </c>
      <c r="BO160" s="2070"/>
      <c r="BP160" s="2070"/>
      <c r="BQ160" s="2070"/>
      <c r="BR160" s="2070"/>
      <c r="BS160" s="2070"/>
      <c r="BT160" s="2070"/>
      <c r="BU160" s="2070"/>
      <c r="BV160" s="2070"/>
      <c r="BW160" s="2070"/>
      <c r="BX160" s="2070"/>
      <c r="BY160" s="2070"/>
      <c r="BZ160" s="2070"/>
      <c r="CA160" s="34"/>
      <c r="CC160" s="58"/>
      <c r="CD160" s="167" t="str">
        <f t="shared" si="43" ref="CD160:CE160">$W$157</f>
        <v>Actual</v>
      </c>
      <c r="CE160" s="167" t="str">
        <f t="shared" si="43"/>
        <v>Actual</v>
      </c>
      <c r="CF160" s="278"/>
      <c r="CG160" s="167" t="str">
        <f t="shared" si="44" ref="CG160:CH160">$W$157</f>
        <v>Actual</v>
      </c>
      <c r="CH160" s="167" t="str">
        <f t="shared" si="44"/>
        <v>Actual</v>
      </c>
      <c r="CI160" s="278"/>
      <c r="CJ160" s="167" t="str">
        <f t="shared" si="45" ref="CJ160:CK160">$W$157</f>
        <v>Actual</v>
      </c>
      <c r="CK160" s="167" t="str">
        <f t="shared" si="45"/>
        <v>Actual</v>
      </c>
      <c r="CL160" s="88"/>
      <c r="CM160" s="1819" t="str">
        <f>$CM$19</f>
        <v>Original Budget</v>
      </c>
      <c r="CN160" s="1819" t="str">
        <f>$CN$19</f>
        <v>LE</v>
      </c>
      <c r="CO160" s="1205"/>
      <c r="CP160" s="1819" t="str">
        <f>$CP$19</f>
        <v>Original Budget</v>
      </c>
      <c r="CQ160" s="1819" t="str">
        <f>$CQ$19</f>
        <v>LE</v>
      </c>
      <c r="CR160" s="34"/>
    </row>
    <row r="161" spans="1:96" ht="21" customHeight="1" outlineLevel="1">
      <c r="A161" s="1322"/>
      <c r="B161" s="577" t="s">
        <v>132</v>
      </c>
      <c r="C161" s="577" t="s">
        <v>1616</v>
      </c>
      <c r="D161" s="577"/>
      <c r="E161" s="577" t="e" cm="1">
        <f t="array" ca="1" aca="1" ref="E161">IFBLANK(_xldudf_CX_GET(CX_ENTITY,fx_attrConverter(C161),val_asOfDate),PL!D161)</f>
        <v>#NAME?</v>
      </c>
      <c r="F161" s="577" t="str">
        <f>IF($B161&lt;&gt;"",$B161,$E161)</f>
        <v>Earning Metric Amount</v>
      </c>
      <c r="G161" s="1328" t="s">
        <v>1615</v>
      </c>
      <c r="H161" s="3287">
        <v>2</v>
      </c>
      <c r="I161" s="3287">
        <v>1</v>
      </c>
      <c r="J161" s="30"/>
      <c r="K161" s="30"/>
      <c r="L161" s="578"/>
      <c r="N161" s="158"/>
      <c r="O161" s="101"/>
      <c r="P161" s="52"/>
      <c r="Q161" s="101"/>
      <c r="R161" s="101"/>
      <c r="S161" s="101"/>
      <c r="T161" s="101"/>
      <c r="U161" s="39"/>
      <c r="W161" s="91" t="str">
        <f>W157</f>
        <v>Actual</v>
      </c>
      <c r="X161" s="900" t="e" vm="4" cm="1">
        <f t="array" ref="X161">fx_getIcon("select")</f>
        <v>#VALUE!</v>
      </c>
      <c r="Y161" s="1127" t="e" cm="1">
        <f t="array" ca="1" aca="1" ref="Y161">IFBLANK(_xldudf_CX_GET(CX_ENTITY,fx_attrConverter(C161),val_asOfDate),"Please select your Earning Metric")</f>
        <v>#NAME?</v>
      </c>
      <c r="Z161" s="878"/>
      <c r="AA161" s="877"/>
      <c r="AB161" s="1133" t="str" cm="1">
        <f t="array" ca="1" aca="1" ref="AB161">IFERROR(_xlfn.XLOOKUP($Y161,$Y33:$Y$41,$AB$20:$AB$41),"")</f>
        <v/>
      </c>
      <c r="AC161" s="1163" t="str" cm="1">
        <f t="array" ca="1" aca="1" ref="AC161">_xlfn.LET(_xlpm.Def,IF(_xlfn.XMATCH(AB161,tbl_acctDef[Term],0)&gt;0,fx_getIcon("find"),""),_xlpm.Adj,IF(_xlfn.XMATCH(AB161,tbl_adjExample[Items],0)&gt;0,fx_getIcon("find"),""),IFERROR(IFBLANK(_xlpm.Def,_xlpm.Adj),""))</f>
        <v/>
      </c>
      <c r="AD161" s="1132" t="e" cm="1">
        <f t="array" ca="1" aca="1" ref="AD161">_xlfn.LET(_xlpm.val,IF($F161="",val_blankRefText,_xldudf_CX_GET(CX_ENTITY,$F161,AD$11,AD$14,,(AD$146))),_xlpm.Res,IF(OR(_xlpm.val="",_xlpm.val="Error"),"",_xlpm.val),_xlpm.Res)</f>
        <v>#NAME?</v>
      </c>
      <c r="AE161" s="1132" t="e" cm="1">
        <f t="array" ca="1" aca="1" ref="AE161">_xlfn.LET(_xlpm.val,IF($F161="",val_blankRefText,_xldudf_CX_GET(CX_ENTITY,$F161,AE$11,AE$14,,(AE$146))),_xlpm.Res,IF(OR(_xlpm.val="",_xlpm.val="Error"),"",_xlpm.val),_xlpm.Res)</f>
        <v>#NAME?</v>
      </c>
      <c r="AF161" s="910" t="e" cm="1">
        <f t="array" ca="1" aca="1" ref="AF161">_xlfn.LET(_xlpm.val,IF($F161="",val_blankRefText,_xldudf_CX_GET(CX_ENTITY,$F161,AF$11,AF$14,,(AF$146))),_xlpm.Res,IF(OR(_xlpm.val="",_xlpm.val="Error"),"",_xlpm.val),_xlpm.Res)</f>
        <v>#NAME?</v>
      </c>
      <c r="AG161" s="910" t="e" cm="1">
        <f t="array" ca="1" aca="1" ref="AG161">_xlfn.LET(_xlpm.val,IF($F161="",val_blankRefText,_xldudf_CX_GET(CX_ENTITY,$F161,AG$11,AG$14,,(AG$146))),_xlpm.Res,IF(OR(_xlpm.val="",_xlpm.val="Error"),"",_xlpm.val),_xlpm.Res)</f>
        <v>#NAME?</v>
      </c>
      <c r="AH161" s="910" t="e" cm="1">
        <f t="array" ca="1" aca="1" ref="AH161">_xlfn.LET(_xlpm.val,IF($F161="",val_blankRefText,_xldudf_CX_GET(CX_ENTITY,$F161,AH$11,AH$14,,(AH$146))),_xlpm.Res,IF(OR(_xlpm.val="",_xlpm.val="Error"),"",_xlpm.val),_xlpm.Res)</f>
        <v>#NAME?</v>
      </c>
      <c r="AI161" s="910" t="e" cm="1">
        <f t="array" ca="1" aca="1" ref="AI161">_xlfn.LET(_xlpm.val,IF($F161="",val_blankRefText,_xldudf_CX_GET(CX_ENTITY,$F161,AI$11,AI$14,,(AI$146))),_xlpm.Res,IF(OR(_xlpm.val="",_xlpm.val="Error"),"",_xlpm.val),_xlpm.Res)</f>
        <v>#NAME?</v>
      </c>
      <c r="AJ161" s="910" t="e" cm="1">
        <f t="array" ca="1" aca="1" ref="AJ161">_xlfn.LET(_xlpm.val,IF($F161="",val_blankRefText,_xldudf_CX_GET(CX_ENTITY,$F161,AJ$11,AJ$14,,(AJ$146))),_xlpm.Res,IF(OR(_xlpm.val="",_xlpm.val="Error"),"",_xlpm.val),_xlpm.Res)</f>
        <v>#NAME?</v>
      </c>
      <c r="AK161" s="910" t="e" cm="1">
        <f t="array" ca="1" aca="1" ref="AK161">_xlfn.LET(_xlpm.val,IF($F161="",val_blankRefText,_xldudf_CX_GET(CX_ENTITY,$F161,AK$11,AK$14,,(AK$146))),_xlpm.Res,IF(OR(_xlpm.val="",_xlpm.val="Error"),"",_xlpm.val),_xlpm.Res)</f>
        <v>#NAME?</v>
      </c>
      <c r="AL161" s="910" t="e" cm="1">
        <f t="array" ca="1" aca="1" ref="AL161">_xlfn.LET(_xlpm.val,IF($F161="",val_blankRefText,_xldudf_CX_GET(CX_ENTITY,$F161,AL$11,AL$14,,(AL$146))),_xlpm.Res,IF(OR(_xlpm.val="",_xlpm.val="Error"),"",_xlpm.val),_xlpm.Res)</f>
        <v>#NAME?</v>
      </c>
      <c r="AM161" s="910" t="e" cm="1">
        <f t="array" ca="1" aca="1" ref="AM161">_xlfn.LET(_xlpm.val,IF($F161="",val_blankRefText,_xldudf_CX_GET(CX_ENTITY,$F161,AM$11,AM$14,,(AM$146))),_xlpm.Res,IF(OR(_xlpm.val="",_xlpm.val="Error"),"",_xlpm.val),_xlpm.Res)</f>
        <v>#NAME?</v>
      </c>
      <c r="AN161" s="910" t="e" cm="1">
        <f t="array" ca="1" aca="1" ref="AN161">_xlfn.LET(_xlpm.val,IF($F161="",val_blankRefText,_xldudf_CX_GET(CX_ENTITY,$F161,AN$11,AN$14,,(AN$146))),_xlpm.Res,IF(OR(_xlpm.val="",_xlpm.val="Error"),"",_xlpm.val),_xlpm.Res)</f>
        <v>#NAME?</v>
      </c>
      <c r="AO161" s="910" t="e" cm="1">
        <f t="array" ca="1" aca="1" ref="AO161">_xlfn.LET(_xlpm.val,IF($F161="",val_blankRefText,_xldudf_CX_GET(CX_ENTITY,$F161,AO$11,AO$14,,(AO$146))),_xlpm.Res,IF(OR(_xlpm.val="",_xlpm.val="Error"),"",_xlpm.val),_xlpm.Res)</f>
        <v>#NAME?</v>
      </c>
      <c r="AP161" s="910" t="e" cm="1">
        <f t="array" ca="1" aca="1" ref="AP161">_xlfn.LET(_xlpm.val,IF($F161="",val_blankRefText,_xldudf_CX_GET(CX_ENTITY,$F161,AP$11,AP$14,,(AP$146))),_xlpm.Res,IF(OR(_xlpm.val="",_xlpm.val="Error"),"",_xlpm.val),_xlpm.Res)</f>
        <v>#NAME?</v>
      </c>
      <c r="AQ161" s="910" t="e" cm="1">
        <f t="array" ca="1" aca="1" ref="AQ161">_xlfn.LET(_xlpm.val,IF($F161="",val_blankRefText,_xldudf_CX_GET(CX_ENTITY,$F161,AQ$11,AQ$14,,(AQ$146))),_xlpm.Res,IF(OR(_xlpm.val="",_xlpm.val="Error"),"",_xlpm.val),_xlpm.Res)</f>
        <v>#NAME?</v>
      </c>
      <c r="AR161" s="910" t="e" cm="1">
        <f t="array" ca="1" aca="1" ref="AR161">_xlfn.LET(_xlpm.val,IF($F161="",val_blankRefText,_xldudf_CX_GET(CX_ENTITY,$F161,AR$11,AR$14,,(AR$146))),_xlpm.Res,IF(OR(_xlpm.val="",_xlpm.val="Error"),"",_xlpm.val),_xlpm.Res)</f>
        <v>#NAME?</v>
      </c>
      <c r="AS161" s="910" t="e" cm="1">
        <f t="array" ca="1" aca="1" ref="AS161">_xlfn.LET(_xlpm.val,IF($F161="",val_blankRefText,_xldudf_CX_GET(CX_ENTITY,$F161,AS$11,AS$14,,(AS$146))),_xlpm.Res,IF(OR(_xlpm.val="",_xlpm.val="Error"),"",_xlpm.val),_xlpm.Res)</f>
        <v>#NAME?</v>
      </c>
      <c r="AT161" s="910" t="e" cm="1">
        <f t="array" ca="1" aca="1" ref="AT161">_xlfn.LET(_xlpm.val,IF($F161="",val_blankRefText,_xldudf_CX_GET(CX_ENTITY,$F161,AT$11,AT$14,,(AT$146))),_xlpm.Res,IF(OR(_xlpm.val="",_xlpm.val="Error"),"",_xlpm.val),_xlpm.Res)</f>
        <v>#NAME?</v>
      </c>
      <c r="AU161" s="910" t="e" cm="1">
        <f t="array" ca="1" aca="1" ref="AU161">_xlfn.LET(_xlpm.val,IF($F161="",val_blankRefText,_xldudf_CX_GET(CX_ENTITY,$F161,AU$11,AU$14,,(AU$146))),_xlpm.Res,IF(OR(_xlpm.val="",_xlpm.val="Error"),"",_xlpm.val),_xlpm.Res)</f>
        <v>#NAME?</v>
      </c>
      <c r="AV161" s="910" t="e" cm="1">
        <f t="array" ca="1" aca="1" ref="AV161">_xlfn.LET(_xlpm.val,IF($F161="",val_blankRefText,_xldudf_CX_GET(CX_ENTITY,$F161,AV$11,AV$14,,(AV$146))),_xlpm.Res,IF(OR(_xlpm.val="",_xlpm.val="Error"),"",_xlpm.val),_xlpm.Res)</f>
        <v>#NAME?</v>
      </c>
      <c r="AW161" s="910" t="e" cm="1">
        <f t="array" ca="1" aca="1" ref="AW161">_xlfn.LET(_xlpm.val,IF($F161="",val_blankRefText,_xldudf_CX_GET(CX_ENTITY,$F161,AW$11,AW$14,,(AW$146))),_xlpm.Res,IF(OR(_xlpm.val="",_xlpm.val="Error"),"",_xlpm.val),_xlpm.Res)</f>
        <v>#NAME?</v>
      </c>
      <c r="AX161" s="910" t="e" cm="1">
        <f t="array" ca="1" aca="1" ref="AX161">_xlfn.LET(_xlpm.val,IF($F161="",val_blankRefText,_xldudf_CX_GET(CX_ENTITY,$F161,AX$11,AX$14,,(AX$146))),_xlpm.Res,IF(OR(_xlpm.val="",_xlpm.val="Error"),"",_xlpm.val),_xlpm.Res)</f>
        <v>#NAME?</v>
      </c>
      <c r="AY161" s="910" t="e" cm="1">
        <f t="array" ca="1" aca="1" ref="AY161">_xlfn.LET(_xlpm.val,IF($F161="",val_blankRefText,_xldudf_CX_GET(CX_ENTITY,$F161,AY$11,AY$14,,(AY$146))),_xlpm.Res,IF(OR(_xlpm.val="",_xlpm.val="Error"),"",_xlpm.val),_xlpm.Res)</f>
        <v>#NAME?</v>
      </c>
      <c r="AZ161" s="910" t="e" cm="1">
        <f t="array" ca="1" aca="1" ref="AZ161">_xlfn.LET(_xlpm.val,IF($F161="",val_blankRefText,_xldudf_CX_GET(CX_ENTITY,$F161,AZ$11,AZ$14,,(AZ$146))),_xlpm.Res,IF(OR(_xlpm.val="",_xlpm.val="Error"),"",_xlpm.val),_xlpm.Res)</f>
        <v>#NAME?</v>
      </c>
      <c r="BA161" s="910" t="e" cm="1">
        <f t="array" ca="1" aca="1" ref="BA161">_xlfn.LET(_xlpm.val,IF($F161="",val_blankRefText,_xldudf_CX_GET(CX_ENTITY,$F161,BA$11,BA$14,,(BA$146))),_xlpm.Res,IF(OR(_xlpm.val="",_xlpm.val="Error"),"",_xlpm.val),_xlpm.Res)</f>
        <v>#NAME?</v>
      </c>
      <c r="BB161" s="910" t="e" cm="1">
        <f t="array" ca="1" aca="1" ref="BB161">_xlfn.LET(_xlpm.val,IF($F161="",val_blankRefText,_xldudf_CX_GET(CX_ENTITY,$F161,BB$11,BB$14,,(BB$146))),_xlpm.Res,IF(OR(_xlpm.val="",_xlpm.val="Error"),"",_xlpm.val),_xlpm.Res)</f>
        <v>#NAME?</v>
      </c>
      <c r="BC161" s="910" t="e" cm="1">
        <f t="array" ca="1" aca="1" ref="BC161">_xlfn.LET(_xlpm.val,IF($F161="",val_blankRefText,_xldudf_CX_GET(CX_ENTITY,$F161,BC$11,BC$14,,(BC$146))),_xlpm.Res,IF(OR(_xlpm.val="",_xlpm.val="Error"),"",_xlpm.val),_xlpm.Res)</f>
        <v>#NAME?</v>
      </c>
      <c r="BD161" s="910" t="e" cm="1">
        <f t="array" ca="1" aca="1" ref="BD161">_xlfn.LET(_xlpm.val,IF($F161="",val_blankRefText,_xldudf_CX_GET(CX_ENTITY,$F161,BD$11,BD$14,,(BD$146))),_xlpm.Res,IF(OR(_xlpm.val="",_xlpm.val="Error"),"",_xlpm.val),_xlpm.Res)</f>
        <v>#NAME?</v>
      </c>
      <c r="BE161" s="910" t="e" cm="1">
        <f t="array" ca="1" aca="1" ref="BE161">_xlfn.LET(_xlpm.val,IF($F161="",val_blankRefText,_xldudf_CX_GET(CX_ENTITY,$F161,BE$11,BE$14,,(BE$146))),_xlpm.Res,IF(OR(_xlpm.val="",_xlpm.val="Error"),"",_xlpm.val),_xlpm.Res)</f>
        <v>#NAME?</v>
      </c>
      <c r="BF161" s="910" t="e" cm="1">
        <f t="array" ca="1" aca="1" ref="BF161">_xlfn.LET(_xlpm.val,IF($F161="",val_blankRefText,_xldudf_CX_GET(CX_ENTITY,$F161,BF$11,BF$14,,(BF$146))),_xlpm.Res,IF(OR(_xlpm.val="",_xlpm.val="Error"),"",_xlpm.val),_xlpm.Res)</f>
        <v>#NAME?</v>
      </c>
      <c r="BG161" s="910" t="e" cm="1">
        <f t="array" ca="1" aca="1" ref="BG161">_xlfn.LET(_xlpm.val,IF($F161="",val_blankRefText,_xldudf_CX_GET(CX_ENTITY,$F161,BG$11,BG$14,,(BG$146))),_xlpm.Res,IF(OR(_xlpm.val="",_xlpm.val="Error"),"",_xlpm.val),_xlpm.Res)</f>
        <v>#NAME?</v>
      </c>
      <c r="BH161" s="910" t="e" cm="1">
        <f t="array" ca="1" aca="1" ref="BH161">_xlfn.LET(_xlpm.val,IF($F161="",val_blankRefText,_xldudf_CX_GET(CX_ENTITY,$F161,BH$11,BH$14,,(BH$146))),_xlpm.Res,IF(OR(_xlpm.val="",_xlpm.val="Error"),"",_xlpm.val),_xlpm.Res)</f>
        <v>#NAME?</v>
      </c>
      <c r="BI161" s="910" t="e" cm="1">
        <f t="array" ca="1" aca="1" ref="BI161">_xlfn.LET(_xlpm.val,IF($F161="",val_blankRefText,_xldudf_CX_GET(CX_ENTITY,$F161,BI$11,BI$14,,(BI$146))),_xlpm.Res,IF(OR(_xlpm.val="",_xlpm.val="Error"),"",_xlpm.val),_xlpm.Res)</f>
        <v>#NAME?</v>
      </c>
      <c r="BJ161" s="910" t="e" cm="1">
        <f t="array" ca="1" aca="1" ref="BJ161">_xlfn.LET(_xlpm.val,IF($F161="",val_blankRefText,_xldudf_CX_GET(CX_ENTITY,$F161,BJ$11,BJ$14,,(BJ$146))),_xlpm.Res,IF(OR(_xlpm.val="",_xlpm.val="Error"),"",_xlpm.val),_xlpm.Res)</f>
        <v>#NAME?</v>
      </c>
      <c r="BK161" s="910" t="e" cm="1">
        <f t="array" ca="1" aca="1" ref="BK161">_xlfn.LET(_xlpm.val,IF($F161="",val_blankRefText,_xldudf_CX_GET(CX_ENTITY,$F161,BK$11,BK$14,,(BK$146))),_xlpm.Res,IF(OR(_xlpm.val="",_xlpm.val="Error"),"",_xlpm.val),_xlpm.Res)</f>
        <v>#NAME?</v>
      </c>
      <c r="BL161" s="910" t="e" cm="1">
        <f t="array" ca="1" aca="1" ref="BL161">_xlfn.LET(_xlpm.val,IF($F161="",val_blankRefText,_xldudf_CX_GET(CX_ENTITY,$F161,BL$11,BL$14,,(BL$146))),_xlpm.Res,IF(OR(_xlpm.val="",_xlpm.val="Error"),"",_xlpm.val),_xlpm.Res)</f>
        <v>#NAME?</v>
      </c>
      <c r="BM161" s="910" t="e" cm="1">
        <f t="array" ca="1" aca="1" ref="BM161">_xlfn.LET(_xlpm.val,IF($F161="",val_blankRefText,_xldudf_CX_GET(CX_ENTITY,$F161,BM$11,BM$14,,(BM$146))),_xlpm.Res,IF(OR(_xlpm.val="",_xlpm.val="Error"),"",_xlpm.val),_xlpm.Res)</f>
        <v>#NAME?</v>
      </c>
      <c r="BN161" s="910" t="e" cm="1">
        <f t="array" ca="1" aca="1" ref="BN161">_xlfn.LET(_xlpm.val,IF($F161="",val_blankRefText,_xldudf_CX_GET(CX_ENTITY,$F161,BN$11,BN$14,,(BN$146))),_xlpm.Res,IF(OR(_xlpm.val="",_xlpm.val="Error"),"",_xlpm.val),_xlpm.Res)</f>
        <v>#NAME?</v>
      </c>
      <c r="BO161" s="2107"/>
      <c r="BP161" s="2107"/>
      <c r="BQ161" s="2107"/>
      <c r="BR161" s="2107"/>
      <c r="BS161" s="2107"/>
      <c r="BT161" s="2107"/>
      <c r="BU161" s="2107"/>
      <c r="BV161" s="2107"/>
      <c r="BW161" s="2107"/>
      <c r="BX161" s="2107"/>
      <c r="BY161" s="2107"/>
      <c r="BZ161" s="2107"/>
      <c r="CA161" s="34"/>
      <c r="CC161" s="33"/>
      <c r="CD161" s="1461" t="e" cm="1">
        <f t="array" ca="1" aca="1" ref="CD161">_xlfn.LET(_xlpm.CheckBlank,SUM(PL!$AD161:$BN161)=0,IF(_xlpm.CheckBlank,"",SUM(_xlfn._xlws.FILTER(PL!$AD161:$BN161,(YEAR(PL!$AD$12:$BN$12)=PL!CD$12)*(array_timeline&lt;=PL!CD$11)))))</f>
        <v>#NAME?</v>
      </c>
      <c r="CE161" s="1461" t="e" cm="1">
        <f t="array" ca="1" aca="1" ref="CE161">_xlfn.LET(_xlpm.CheckBlank,SUM(PL!$AD161:$BN161)=0,IF(_xlpm.CheckBlank,"",SUM(_xlfn._xlws.FILTER(PL!$AD161:$BN161,(YEAR(PL!$AD$12:$BN$12)=PL!CE$12)*(array_timeline&lt;=PL!CE$11)))))</f>
        <v>#NAME?</v>
      </c>
      <c r="CF161" s="88"/>
      <c r="CG161" s="1461" t="e" cm="1">
        <f t="array" ca="1" aca="1" ref="CG161">_xlfn.LET(_xlpm.CheckBlank,SUM(PL!$AD161:$BN161)=0,IF(_xlpm.CheckBlank,"",SUM(_xlfn._xlws.FILTER(PL!$AD161:$BN161,(YEAR(PL!$AD$12:$BN$12)=PL!CG$12)*(array_timeline&lt;=PL!CG$11)))))</f>
        <v>#NAME?</v>
      </c>
      <c r="CH161" s="1461" t="e" cm="1">
        <f t="array" ca="1" aca="1" ref="CH161">_xlfn.LET(_xlpm.CheckBlank,SUM(PL!$AD161:$BN161)=0,IF(_xlpm.CheckBlank,"",SUM(_xlfn._xlws.FILTER(PL!$AD161:$BN161,(YEAR(PL!$AD$12:$BN$12)=PL!CH$12)*(array_timeline&lt;=PL!CH$11)))))</f>
        <v>#NAME?</v>
      </c>
      <c r="CI161" s="88"/>
      <c r="CJ161" s="1461" cm="1">
        <f t="array" ref="CJ161">_xlfn.LET(_xlpm.CheckBlank,SUM(PL!$AD161:$BN161)=0,IF(_xlpm.CheckBlank,"",SUM(_xlfn.TAKE(_xlfn.DROP(PL!$AD161:$BN161,,-DATEDIFF(PL!CJ$11,val_asOfDate,"M")),1,-12))))</f>
        <v>12</v>
      </c>
      <c r="CK161" s="1461" cm="1">
        <f t="array" ref="CK161">_xlfn.LET(_xlpm.CheckBlank,SUM(PL!$AD161:$BN161)=0,IF(_xlpm.CheckBlank,"",SUM(_xlfn.TAKE(_xlfn.DROP(PL!$AD161:$BN161,,-DATEDIFF(PL!CK$11,val_asOfDate,"M")),1,-12))))</f>
        <v>12</v>
      </c>
      <c r="CL161" s="88"/>
      <c r="CM161" s="1194" t="str" cm="1">
        <f t="array" ca="1" aca="1" ref="CM161">_xlfn.LET(_xlpm.findRow,_xlfn.XMATCH($W161&amp;$Y161,$W$20:$W$118&amp;$AB$20:$AB$118,0),_xlpm.Choose,_xlfn.CHOOSEROWS($CM$20:$CN$118,_xlpm.findRow),_xlpm.RESULT,IF(ISERROR(_xlpm.findRow),"",_xlpm.Choose),_xlpm.RESULT)</f>
        <v/>
      </c>
      <c r="CN161" s="1203"/>
      <c r="CO161" s="88"/>
      <c r="CP161" s="1194" t="str" cm="1">
        <f t="array" ca="1" aca="1" ref="CP161">_xlfn.LET(_xlpm.findRow,_xlfn.XMATCH($W161&amp;$Y161,$W$20:$W$118&amp;$AB$20:$AB$118,0),_xlpm.Choose,_xlfn.CHOOSEROWS($CP$20:$CQ$118,_xlpm.findRow),_xlpm.RESULT,IF(ISERROR(_xlpm.findRow),"",_xlpm.Choose),_xlpm.RESULT)</f>
        <v/>
      </c>
      <c r="CQ161" s="1203"/>
      <c r="CR161" s="34"/>
    </row>
    <row r="162" spans="1:96" ht="45.75" customHeight="1" outlineLevel="1">
      <c r="A162" s="1322"/>
      <c r="B162" s="2128" t="s">
        <v>1016</v>
      </c>
      <c r="C162" s="577"/>
      <c r="D162" s="577"/>
      <c r="E162" s="577" t="str" cm="1">
        <f t="array" ca="1" aca="1" ref="E162">_xlfn.LET(_xlpm.Attr,$C162,_xlpm.Lookback,$E$16,_xlpm.QueryDate,EOMONTH(val_asOfDate,_xlpm.Lookback),_xlpm.ReadField,_xldudf_CX_GET(CX_ENTITY,fx_attrConverter($C162),_xlpm.QueryDate),_xlpm.AttrBlank,_xlpm.Attr="",_xlpm.RESULT,IF(_xlpm.AttrBlank,val_blankRefText,fx_attrConverter(_xlpm.ReadField,0)),IF(_xlpm.RESULT="Error","",_xlpm.RESULT))</f>
        <v/>
      </c>
      <c r="F162" s="577" t="str">
        <f t="shared" si="46" ref="F162:F168">IF($B162&lt;&gt;"",$B162,$E162)</f>
        <v>Excluding pending (not closed) deals (Annual Only) (Earning)</v>
      </c>
      <c r="G162" s="577" t="s">
        <v>1615</v>
      </c>
      <c r="H162" s="510">
        <v>0</v>
      </c>
      <c r="I162" s="3278">
        <v>1</v>
      </c>
      <c r="J162" s="30"/>
      <c r="K162" s="30"/>
      <c r="L162" s="3269" t="b">
        <v>1</v>
      </c>
      <c r="N162" s="158"/>
      <c r="O162" s="101"/>
      <c r="P162" s="52"/>
      <c r="Q162" s="101"/>
      <c r="R162" s="101"/>
      <c r="S162" s="101"/>
      <c r="T162" s="101"/>
      <c r="U162" s="39"/>
      <c r="W162" s="1518" t="str">
        <f>W161</f>
        <v>Actual</v>
      </c>
      <c r="X162" s="913">
        <v>-1</v>
      </c>
      <c r="Y162" s="1521" t="s">
        <v>120</v>
      </c>
      <c r="Z162" s="3291" cm="1">
        <f t="array" ref="Z162">_xlfn.SWITCH(TRUE,ISBLANK(_PL!$L162),"",_PL!$L162=TRUE,1,_PL!$L162=FALSE,-1,_PL!$L162=-1,0,"n/a")</f>
        <v>1</v>
      </c>
      <c r="AA162" s="905"/>
      <c r="AB162" s="1128"/>
      <c r="AC162" s="914" t="str" cm="1">
        <f t="array" ref="AC162">_xlfn.LET(_xlpm.Def,IF(_xlfn.XMATCH(AB162,tbl_acctDef[Term],0)&gt;0,fx_getIcon("find"),""),_xlpm.Adj,IF(_xlfn.XMATCH(AB162,tbl_adjExample[Items],0)&gt;0,fx_getIcon("find"),""),IFERROR(IFBLANK(_xlpm.Def,_xlpm.Adj),""))</f>
        <v/>
      </c>
      <c r="AD162" s="793"/>
      <c r="AE162" s="793"/>
      <c r="AF162" s="793"/>
      <c r="AG162" s="793"/>
      <c r="AH162" s="793"/>
      <c r="AI162" s="793"/>
      <c r="AJ162" s="793"/>
      <c r="AK162" s="793"/>
      <c r="AL162" s="793"/>
      <c r="AM162" s="793"/>
      <c r="AN162" s="793"/>
      <c r="AO162" s="793"/>
      <c r="AP162" s="793"/>
      <c r="AQ162" s="793"/>
      <c r="AR162" s="793"/>
      <c r="AS162" s="793"/>
      <c r="AT162" s="793"/>
      <c r="AU162" s="793"/>
      <c r="AV162" s="793"/>
      <c r="AW162" s="793"/>
      <c r="AX162" s="793"/>
      <c r="AY162" s="793"/>
      <c r="AZ162" s="793"/>
      <c r="BA162" s="793"/>
      <c r="BB162" s="793"/>
      <c r="BC162" s="793"/>
      <c r="BD162" s="793"/>
      <c r="BE162" s="793"/>
      <c r="BF162" s="793"/>
      <c r="BG162" s="793"/>
      <c r="BH162" s="793"/>
      <c r="BI162" s="793"/>
      <c r="BJ162" s="793"/>
      <c r="BK162" s="793"/>
      <c r="BL162" s="793"/>
      <c r="BM162" s="793"/>
      <c r="BN162" s="793"/>
      <c r="BO162" s="2104"/>
      <c r="BP162" s="2104"/>
      <c r="BQ162" s="2104"/>
      <c r="BR162" s="2104"/>
      <c r="BS162" s="2104"/>
      <c r="BT162" s="2104"/>
      <c r="BU162" s="2104"/>
      <c r="BV162" s="2104"/>
      <c r="BW162" s="2104"/>
      <c r="BX162" s="2104"/>
      <c r="BY162" s="2104"/>
      <c r="BZ162" s="2104"/>
      <c r="CA162" s="34"/>
      <c r="CC162" s="299"/>
      <c r="CD162" s="793"/>
      <c r="CE162" s="793"/>
      <c r="CF162" s="88"/>
      <c r="CG162" s="793"/>
      <c r="CH162" s="793"/>
      <c r="CI162" s="88"/>
      <c r="CJ162" s="793"/>
      <c r="CK162" s="793"/>
      <c r="CL162" s="88"/>
      <c r="CM162" s="1986" t="e" cm="1">
        <f t="array" ca="1" aca="1" ref="CM162">_xlfn.LET(_xlpm.val,IF($F162="",val_blankRefText,_xldudf_CX_GET(CX_ENTITY,$F162,CM$11,CM$14,,(CM$160))),_xlpm.Res,IF(OR(_xlpm.val="",_xlpm.val="Error"),"",_xlpm.val),_xlpm.Res)</f>
        <v>#NAME?</v>
      </c>
      <c r="CN162" s="1986" t="e" cm="1">
        <f t="array" ca="1" aca="1" ref="CN162">_xlfn.LET(_xlpm.val,IF($F162="",val_blankRefText,_xldudf_CX_GET(CX_ENTITY,$F162,CN$11,CN$14,,(CN$160))),_xlpm.Res,IF(OR(_xlpm.val="",_xlpm.val="Error"),"",_xlpm.val),_xlpm.Res)</f>
        <v>#NAME?</v>
      </c>
      <c r="CO162" s="1169"/>
      <c r="CP162" s="1986" t="e" cm="1">
        <f t="array" ca="1" aca="1" ref="CP162">_xlfn.LET(_xlpm.val,IF($F162="",val_blankRefText,_xldudf_CX_GET(CX_ENTITY,$F162,CP$11,CP$14,,(CP$160))),_xlpm.Res,IF(OR(_xlpm.val="",_xlpm.val="Error"),"",_xlpm.val),_xlpm.Res)</f>
        <v>#NAME?</v>
      </c>
      <c r="CQ162" s="1986" t="e" cm="1">
        <f t="array" ca="1" aca="1" ref="CQ162">_xlfn.LET(_xlpm.val,IF($F162="",val_blankRefText,_xldudf_CX_GET(CX_ENTITY,$F162,CQ$11,CQ$14,,(CQ$160))),_xlpm.Res,IF(OR(_xlpm.val="",_xlpm.val="Error"),"",_xlpm.val),_xlpm.Res)</f>
        <v>#NAME?</v>
      </c>
      <c r="CR162" s="34"/>
    </row>
    <row r="163" spans="1:96" ht="45.75" customHeight="1" outlineLevel="1">
      <c r="A163" s="1322"/>
      <c r="B163" s="2128" t="s">
        <v>1019</v>
      </c>
      <c r="C163" s="577"/>
      <c r="D163" s="577"/>
      <c r="E163" s="577" t="str" cm="1">
        <f t="array" ca="1" aca="1" ref="E163">_xlfn.LET(_xlpm.Attr,$C163,_xlpm.Lookback,$E$16,_xlpm.QueryDate,EOMONTH(val_asOfDate,_xlpm.Lookback),_xlpm.ReadField,_xldudf_CX_GET(CX_ENTITY,fx_attrConverter($C163),_xlpm.QueryDate),_xlpm.AttrBlank,_xlpm.Attr="",_xlpm.RESULT,IF(_xlpm.AttrBlank,val_blankRefText,fx_attrConverter(_xlpm.ReadField,0)),IF(_xlpm.RESULT="Error","",_xlpm.RESULT))</f>
        <v/>
      </c>
      <c r="F163" s="577" t="str">
        <f t="shared" si="46"/>
        <v>Including closed (not budgeted) deals (Annual Only) (Earning)</v>
      </c>
      <c r="G163" s="577" t="s">
        <v>1615</v>
      </c>
      <c r="H163" s="510">
        <v>0</v>
      </c>
      <c r="I163" s="3278">
        <v>1</v>
      </c>
      <c r="J163" s="30"/>
      <c r="K163" s="30"/>
      <c r="L163" s="3269" t="b">
        <v>1</v>
      </c>
      <c r="N163" s="158"/>
      <c r="O163" s="101"/>
      <c r="P163" s="52"/>
      <c r="Q163" s="101"/>
      <c r="R163" s="101"/>
      <c r="S163" s="101"/>
      <c r="T163" s="101"/>
      <c r="U163" s="39"/>
      <c r="W163" s="1518" t="str">
        <f>W161</f>
        <v>Actual</v>
      </c>
      <c r="X163" s="3335">
        <v>1</v>
      </c>
      <c r="Y163" s="1519" t="s">
        <v>121</v>
      </c>
      <c r="Z163" s="3291" cm="1">
        <f t="array" ref="Z163">_xlfn.SWITCH(TRUE,ISBLANK(_PL!$L163),"",_PL!$L163=TRUE,1,_PL!$L163=FALSE,-1,_PL!$L163=-1,0,"n/a")</f>
        <v>1</v>
      </c>
      <c r="AA163" s="905"/>
      <c r="AB163" s="3017"/>
      <c r="AC163" s="914" t="str" cm="1">
        <f t="array" ref="AC163">_xlfn.LET(_xlpm.Def,IF(_xlfn.XMATCH(AB163,tbl_acctDef[Term],0)&gt;0,fx_getIcon("find"),""),_xlpm.Adj,IF(_xlfn.XMATCH(AB163,tbl_adjExample[Items],0)&gt;0,fx_getIcon("find"),""),IFERROR(IFBLANK(_xlpm.Def,_xlpm.Adj),""))</f>
        <v/>
      </c>
      <c r="AD163" s="793"/>
      <c r="AE163" s="793"/>
      <c r="AF163" s="793"/>
      <c r="AG163" s="793"/>
      <c r="AH163" s="793"/>
      <c r="AI163" s="793"/>
      <c r="AJ163" s="793"/>
      <c r="AK163" s="793"/>
      <c r="AL163" s="793"/>
      <c r="AM163" s="793"/>
      <c r="AN163" s="793"/>
      <c r="AO163" s="793"/>
      <c r="AP163" s="793"/>
      <c r="AQ163" s="793"/>
      <c r="AR163" s="793"/>
      <c r="AS163" s="793"/>
      <c r="AT163" s="793"/>
      <c r="AU163" s="793"/>
      <c r="AV163" s="793"/>
      <c r="AW163" s="793"/>
      <c r="AX163" s="793"/>
      <c r="AY163" s="793"/>
      <c r="AZ163" s="793"/>
      <c r="BA163" s="793"/>
      <c r="BB163" s="793"/>
      <c r="BC163" s="793"/>
      <c r="BD163" s="793"/>
      <c r="BE163" s="793"/>
      <c r="BF163" s="793"/>
      <c r="BG163" s="793"/>
      <c r="BH163" s="793"/>
      <c r="BI163" s="793"/>
      <c r="BJ163" s="793"/>
      <c r="BK163" s="793"/>
      <c r="BL163" s="793"/>
      <c r="BM163" s="793"/>
      <c r="BN163" s="793"/>
      <c r="BO163" s="2104"/>
      <c r="BP163" s="2104"/>
      <c r="BQ163" s="2104"/>
      <c r="BR163" s="2104"/>
      <c r="BS163" s="2104"/>
      <c r="BT163" s="2104"/>
      <c r="BU163" s="2104"/>
      <c r="BV163" s="2104"/>
      <c r="BW163" s="2104"/>
      <c r="BX163" s="2104"/>
      <c r="BY163" s="2104"/>
      <c r="BZ163" s="2104"/>
      <c r="CA163" s="34"/>
      <c r="CC163" s="299"/>
      <c r="CD163" s="793"/>
      <c r="CE163" s="793"/>
      <c r="CF163" s="88"/>
      <c r="CG163" s="793"/>
      <c r="CH163" s="793"/>
      <c r="CI163" s="88"/>
      <c r="CJ163" s="793"/>
      <c r="CK163" s="793"/>
      <c r="CL163" s="88"/>
      <c r="CM163" s="1986" t="e" cm="1">
        <f t="array" ca="1" aca="1" ref="CM163">_xlfn.LET(_xlpm.val,IF($F163="",val_blankRefText,_xldudf_CX_GET(CX_ENTITY,$F163,CM$11,CM$14,,(CM$160))),_xlpm.Res,IF(OR(_xlpm.val="",_xlpm.val="Error"),"",_xlpm.val),_xlpm.Res)</f>
        <v>#NAME?</v>
      </c>
      <c r="CN163" s="1986" t="e" cm="1">
        <f t="array" ca="1" aca="1" ref="CN163">_xlfn.LET(_xlpm.val,IF($F163="",val_blankRefText,_xldudf_CX_GET(CX_ENTITY,$F163,CN$11,CN$14,,(CN$160))),_xlpm.Res,IF(OR(_xlpm.val="",_xlpm.val="Error"),"",_xlpm.val),_xlpm.Res)</f>
        <v>#NAME?</v>
      </c>
      <c r="CO163" s="1169"/>
      <c r="CP163" s="1986" t="e" cm="1">
        <f t="array" ca="1" aca="1" ref="CP163">_xlfn.LET(_xlpm.val,IF($F163="",val_blankRefText,_xldudf_CX_GET(CX_ENTITY,$F163,CP$11,CP$14,,(CP$160))),_xlpm.Res,IF(OR(_xlpm.val="",_xlpm.val="Error"),"",_xlpm.val),_xlpm.Res)</f>
        <v>#NAME?</v>
      </c>
      <c r="CQ163" s="1986" t="e" cm="1">
        <f t="array" ca="1" aca="1" ref="CQ163">_xlfn.LET(_xlpm.val,IF($F163="",val_blankRefText,_xldudf_CX_GET(CX_ENTITY,$F163,CQ$11,CQ$14,,(CQ$160))),_xlpm.Res,IF(OR(_xlpm.val="",_xlpm.val="Error"),"",_xlpm.val),_xlpm.Res)</f>
        <v>#NAME?</v>
      </c>
      <c r="CR163" s="34"/>
    </row>
    <row r="164" spans="1:96" ht="21" customHeight="1" outlineLevel="1">
      <c r="A164" s="1322"/>
      <c r="B164" s="577" t="s">
        <v>136</v>
      </c>
      <c r="C164" s="577" t="s">
        <v>1617</v>
      </c>
      <c r="D164" s="577"/>
      <c r="E164" s="577" t="e" cm="1">
        <f t="array" ca="1" aca="1" ref="E164">_xlfn.LET(_xlpm.Attr,$C164,_xlpm.Lookback,$E$16,_xlpm.QueryDate,EOMONTH(val_asOfDate,_xlpm.Lookback),_xlpm.ReadField,_xldudf_CX_GET(CX_ENTITY,fx_attrConverter($C164),_xlpm.QueryDate),_xlpm.AttrBlank,_xlpm.Attr="",_xlpm.RESULT,IF(_xlpm.AttrBlank,val_blankRefText,fx_attrConverter(_xlpm.ReadField,0)),IF(_xlpm.RESULT="Error","",_xlpm.RESULT))</f>
        <v>#NAME?</v>
      </c>
      <c r="F164" s="577" t="str">
        <f t="shared" si="46"/>
        <v>Earning Metric Adjustment Type II - Amount 3</v>
      </c>
      <c r="G164" s="577" t="s">
        <v>1615</v>
      </c>
      <c r="H164" s="510">
        <v>0</v>
      </c>
      <c r="I164" s="3278">
        <v>1</v>
      </c>
      <c r="J164" s="30"/>
      <c r="K164" s="30"/>
      <c r="L164" s="579" t="b">
        <v>0</v>
      </c>
      <c r="N164" s="158"/>
      <c r="O164" s="101"/>
      <c r="P164" s="52"/>
      <c r="Q164" s="101"/>
      <c r="R164" s="101"/>
      <c r="S164" s="101"/>
      <c r="T164" s="101"/>
      <c r="U164" s="39"/>
      <c r="W164" s="91" t="str">
        <f>W161</f>
        <v>Actual</v>
      </c>
      <c r="X164" s="884" t="s">
        <v>62</v>
      </c>
      <c r="Y164" s="1555" t="e">
        <f ca="1" t="shared" si="47" ref="Y164:Y167">IF(E164="","Please select or type in or leave as blank",E164)</f>
        <v>#NAME?</v>
      </c>
      <c r="Z164" s="198" cm="1">
        <f t="array" ref="Z164">_xlfn.SWITCH(TRUE,ISBLANK(_PL!$L164),"",_PL!$L164=TRUE,1,_PL!$L164=FALSE,-1,_PL!$L164=-1,0,"n/a")</f>
        <v>-1</v>
      </c>
      <c r="AA164" s="905"/>
      <c r="AB164" s="3017"/>
      <c r="AC164" s="914" t="str" cm="1">
        <f t="array" ref="AC164">_xlfn.LET(_xlpm.Def,IF(_xlfn.XMATCH(AB164,tbl_acctDef[Term],0)&gt;0,fx_getIcon("find"),""),_xlpm.Adj,IF(_xlfn.XMATCH(AB164,tbl_adjExample[Items],0)&gt;0,fx_getIcon("find"),""),IFERROR(IFBLANK(_xlpm.Def,_xlpm.Adj),""))</f>
        <v/>
      </c>
      <c r="AD164" s="1986" t="e" cm="1">
        <f t="array" ca="1" aca="1" ref="AD164">_xlfn.LET(_xlpm.val,IF($F164="",val_blankRefText,_xldudf_CX_GET(CX_ENTITY,$F164,AD$11,AD$14,,(AD$146))),_xlpm.Res,IF(OR(_xlpm.val="",_xlpm.val="Error"),"",_xlpm.val),_xlpm.Res)</f>
        <v>#NAME?</v>
      </c>
      <c r="AE164" s="1986" t="e" cm="1">
        <f t="array" ca="1" aca="1" ref="AE164">_xlfn.LET(_xlpm.val,IF($F164="",val_blankRefText,_xldudf_CX_GET(CX_ENTITY,$F164,AE$11,AE$14,,(AE$146))),_xlpm.Res,IF(OR(_xlpm.val="",_xlpm.val="Error"),"",_xlpm.val),_xlpm.Res)</f>
        <v>#NAME?</v>
      </c>
      <c r="AF164" s="1986" t="e" cm="1">
        <f t="array" ca="1" aca="1" ref="AF164">_xlfn.LET(_xlpm.val,IF($F164="",val_blankRefText,_xldudf_CX_GET(CX_ENTITY,$F164,AF$11,AF$14,,(AF$146))),_xlpm.Res,IF(OR(_xlpm.val="",_xlpm.val="Error"),"",_xlpm.val),_xlpm.Res)</f>
        <v>#NAME?</v>
      </c>
      <c r="AG164" s="1986" t="e" cm="1">
        <f t="array" ca="1" aca="1" ref="AG164">_xlfn.LET(_xlpm.val,IF($F164="",val_blankRefText,_xldudf_CX_GET(CX_ENTITY,$F164,AG$11,AG$14,,(AG$146))),_xlpm.Res,IF(OR(_xlpm.val="",_xlpm.val="Error"),"",_xlpm.val),_xlpm.Res)</f>
        <v>#NAME?</v>
      </c>
      <c r="AH164" s="1986" t="e" cm="1">
        <f t="array" ca="1" aca="1" ref="AH164">_xlfn.LET(_xlpm.val,IF($F164="",val_blankRefText,_xldudf_CX_GET(CX_ENTITY,$F164,AH$11,AH$14,,(AH$146))),_xlpm.Res,IF(OR(_xlpm.val="",_xlpm.val="Error"),"",_xlpm.val),_xlpm.Res)</f>
        <v>#NAME?</v>
      </c>
      <c r="AI164" s="1986" t="e" cm="1">
        <f t="array" ca="1" aca="1" ref="AI164">_xlfn.LET(_xlpm.val,IF($F164="",val_blankRefText,_xldudf_CX_GET(CX_ENTITY,$F164,AI$11,AI$14,,(AI$146))),_xlpm.Res,IF(OR(_xlpm.val="",_xlpm.val="Error"),"",_xlpm.val),_xlpm.Res)</f>
        <v>#NAME?</v>
      </c>
      <c r="AJ164" s="1986" t="e" cm="1">
        <f t="array" ca="1" aca="1" ref="AJ164">_xlfn.LET(_xlpm.val,IF($F164="",val_blankRefText,_xldudf_CX_GET(CX_ENTITY,$F164,AJ$11,AJ$14,,(AJ$146))),_xlpm.Res,IF(OR(_xlpm.val="",_xlpm.val="Error"),"",_xlpm.val),_xlpm.Res)</f>
        <v>#NAME?</v>
      </c>
      <c r="AK164" s="1986" t="e" cm="1">
        <f t="array" ca="1" aca="1" ref="AK164">_xlfn.LET(_xlpm.val,IF($F164="",val_blankRefText,_xldudf_CX_GET(CX_ENTITY,$F164,AK$11,AK$14,,(AK$146))),_xlpm.Res,IF(OR(_xlpm.val="",_xlpm.val="Error"),"",_xlpm.val),_xlpm.Res)</f>
        <v>#NAME?</v>
      </c>
      <c r="AL164" s="1986" t="e" cm="1">
        <f t="array" ca="1" aca="1" ref="AL164">_xlfn.LET(_xlpm.val,IF($F164="",val_blankRefText,_xldudf_CX_GET(CX_ENTITY,$F164,AL$11,AL$14,,(AL$146))),_xlpm.Res,IF(OR(_xlpm.val="",_xlpm.val="Error"),"",_xlpm.val),_xlpm.Res)</f>
        <v>#NAME?</v>
      </c>
      <c r="AM164" s="1986" t="e" cm="1">
        <f t="array" ca="1" aca="1" ref="AM164">_xlfn.LET(_xlpm.val,IF($F164="",val_blankRefText,_xldudf_CX_GET(CX_ENTITY,$F164,AM$11,AM$14,,(AM$146))),_xlpm.Res,IF(OR(_xlpm.val="",_xlpm.val="Error"),"",_xlpm.val),_xlpm.Res)</f>
        <v>#NAME?</v>
      </c>
      <c r="AN164" s="1986" t="e" cm="1">
        <f t="array" ca="1" aca="1" ref="AN164">_xlfn.LET(_xlpm.val,IF($F164="",val_blankRefText,_xldudf_CX_GET(CX_ENTITY,$F164,AN$11,AN$14,,(AN$146))),_xlpm.Res,IF(OR(_xlpm.val="",_xlpm.val="Error"),"",_xlpm.val),_xlpm.Res)</f>
        <v>#NAME?</v>
      </c>
      <c r="AO164" s="1986" t="e" cm="1">
        <f t="array" ca="1" aca="1" ref="AO164">_xlfn.LET(_xlpm.val,IF($F164="",val_blankRefText,_xldudf_CX_GET(CX_ENTITY,$F164,AO$11,AO$14,,(AO$146))),_xlpm.Res,IF(OR(_xlpm.val="",_xlpm.val="Error"),"",_xlpm.val),_xlpm.Res)</f>
        <v>#NAME?</v>
      </c>
      <c r="AP164" s="1986" t="e" cm="1">
        <f t="array" ca="1" aca="1" ref="AP164">_xlfn.LET(_xlpm.val,IF($F164="",val_blankRefText,_xldudf_CX_GET(CX_ENTITY,$F164,AP$11,AP$14,,(AP$146))),_xlpm.Res,IF(OR(_xlpm.val="",_xlpm.val="Error"),"",_xlpm.val),_xlpm.Res)</f>
        <v>#NAME?</v>
      </c>
      <c r="AQ164" s="1986" t="e" cm="1">
        <f t="array" ca="1" aca="1" ref="AQ164">_xlfn.LET(_xlpm.val,IF($F164="",val_blankRefText,_xldudf_CX_GET(CX_ENTITY,$F164,AQ$11,AQ$14,,(AQ$146))),_xlpm.Res,IF(OR(_xlpm.val="",_xlpm.val="Error"),"",_xlpm.val),_xlpm.Res)</f>
        <v>#NAME?</v>
      </c>
      <c r="AR164" s="1986" t="e" cm="1">
        <f t="array" ca="1" aca="1" ref="AR164">_xlfn.LET(_xlpm.val,IF($F164="",val_blankRefText,_xldudf_CX_GET(CX_ENTITY,$F164,AR$11,AR$14,,(AR$146))),_xlpm.Res,IF(OR(_xlpm.val="",_xlpm.val="Error"),"",_xlpm.val),_xlpm.Res)</f>
        <v>#NAME?</v>
      </c>
      <c r="AS164" s="1986" t="e" cm="1">
        <f t="array" ca="1" aca="1" ref="AS164">_xlfn.LET(_xlpm.val,IF($F164="",val_blankRefText,_xldudf_CX_GET(CX_ENTITY,$F164,AS$11,AS$14,,(AS$146))),_xlpm.Res,IF(OR(_xlpm.val="",_xlpm.val="Error"),"",_xlpm.val),_xlpm.Res)</f>
        <v>#NAME?</v>
      </c>
      <c r="AT164" s="1986" t="e" cm="1">
        <f t="array" ca="1" aca="1" ref="AT164">_xlfn.LET(_xlpm.val,IF($F164="",val_blankRefText,_xldudf_CX_GET(CX_ENTITY,$F164,AT$11,AT$14,,(AT$146))),_xlpm.Res,IF(OR(_xlpm.val="",_xlpm.val="Error"),"",_xlpm.val),_xlpm.Res)</f>
        <v>#NAME?</v>
      </c>
      <c r="AU164" s="1986" t="e" cm="1">
        <f t="array" ca="1" aca="1" ref="AU164">_xlfn.LET(_xlpm.val,IF($F164="",val_blankRefText,_xldudf_CX_GET(CX_ENTITY,$F164,AU$11,AU$14,,(AU$146))),_xlpm.Res,IF(OR(_xlpm.val="",_xlpm.val="Error"),"",_xlpm.val),_xlpm.Res)</f>
        <v>#NAME?</v>
      </c>
      <c r="AV164" s="1986" t="e" cm="1">
        <f t="array" ca="1" aca="1" ref="AV164">_xlfn.LET(_xlpm.val,IF($F164="",val_blankRefText,_xldudf_CX_GET(CX_ENTITY,$F164,AV$11,AV$14,,(AV$146))),_xlpm.Res,IF(OR(_xlpm.val="",_xlpm.val="Error"),"",_xlpm.val),_xlpm.Res)</f>
        <v>#NAME?</v>
      </c>
      <c r="AW164" s="1986" t="e" cm="1">
        <f t="array" ca="1" aca="1" ref="AW164">_xlfn.LET(_xlpm.val,IF($F164="",val_blankRefText,_xldudf_CX_GET(CX_ENTITY,$F164,AW$11,AW$14,,(AW$146))),_xlpm.Res,IF(OR(_xlpm.val="",_xlpm.val="Error"),"",_xlpm.val),_xlpm.Res)</f>
        <v>#NAME?</v>
      </c>
      <c r="AX164" s="1986" t="e" cm="1">
        <f t="array" ca="1" aca="1" ref="AX164">_xlfn.LET(_xlpm.val,IF($F164="",val_blankRefText,_xldudf_CX_GET(CX_ENTITY,$F164,AX$11,AX$14,,(AX$146))),_xlpm.Res,IF(OR(_xlpm.val="",_xlpm.val="Error"),"",_xlpm.val),_xlpm.Res)</f>
        <v>#NAME?</v>
      </c>
      <c r="AY164" s="1986" t="e" cm="1">
        <f t="array" ca="1" aca="1" ref="AY164">_xlfn.LET(_xlpm.val,IF($F164="",val_blankRefText,_xldudf_CX_GET(CX_ENTITY,$F164,AY$11,AY$14,,(AY$146))),_xlpm.Res,IF(OR(_xlpm.val="",_xlpm.val="Error"),"",_xlpm.val),_xlpm.Res)</f>
        <v>#NAME?</v>
      </c>
      <c r="AZ164" s="1986" t="e" cm="1">
        <f t="array" ca="1" aca="1" ref="AZ164">_xlfn.LET(_xlpm.val,IF($F164="",val_blankRefText,_xldudf_CX_GET(CX_ENTITY,$F164,AZ$11,AZ$14,,(AZ$146))),_xlpm.Res,IF(OR(_xlpm.val="",_xlpm.val="Error"),"",_xlpm.val),_xlpm.Res)</f>
        <v>#NAME?</v>
      </c>
      <c r="BA164" s="1986" t="e" cm="1">
        <f t="array" ca="1" aca="1" ref="BA164">_xlfn.LET(_xlpm.val,IF($F164="",val_blankRefText,_xldudf_CX_GET(CX_ENTITY,$F164,BA$11,BA$14,,(BA$146))),_xlpm.Res,IF(OR(_xlpm.val="",_xlpm.val="Error"),"",_xlpm.val),_xlpm.Res)</f>
        <v>#NAME?</v>
      </c>
      <c r="BB164" s="1986" t="e" cm="1">
        <f t="array" ca="1" aca="1" ref="BB164">_xlfn.LET(_xlpm.val,IF($F164="",val_blankRefText,_xldudf_CX_GET(CX_ENTITY,$F164,BB$11,BB$14,,(BB$146))),_xlpm.Res,IF(OR(_xlpm.val="",_xlpm.val="Error"),"",_xlpm.val),_xlpm.Res)</f>
        <v>#NAME?</v>
      </c>
      <c r="BC164" s="1986" t="e" cm="1">
        <f t="array" ca="1" aca="1" ref="BC164">_xlfn.LET(_xlpm.val,IF($F164="",val_blankRefText,_xldudf_CX_GET(CX_ENTITY,$F164,BC$11,BC$14,,(BC$146))),_xlpm.Res,IF(OR(_xlpm.val="",_xlpm.val="Error"),"",_xlpm.val),_xlpm.Res)</f>
        <v>#NAME?</v>
      </c>
      <c r="BD164" s="1986" t="e" cm="1">
        <f t="array" ca="1" aca="1" ref="BD164">_xlfn.LET(_xlpm.val,IF($F164="",val_blankRefText,_xldudf_CX_GET(CX_ENTITY,$F164,BD$11,BD$14,,(BD$146))),_xlpm.Res,IF(OR(_xlpm.val="",_xlpm.val="Error"),"",_xlpm.val),_xlpm.Res)</f>
        <v>#NAME?</v>
      </c>
      <c r="BE164" s="1986" t="e" cm="1">
        <f t="array" ca="1" aca="1" ref="BE164">_xlfn.LET(_xlpm.val,IF($F164="",val_blankRefText,_xldudf_CX_GET(CX_ENTITY,$F164,BE$11,BE$14,,(BE$146))),_xlpm.Res,IF(OR(_xlpm.val="",_xlpm.val="Error"),"",_xlpm.val),_xlpm.Res)</f>
        <v>#NAME?</v>
      </c>
      <c r="BF164" s="1986" t="e" cm="1">
        <f t="array" ca="1" aca="1" ref="BF164">_xlfn.LET(_xlpm.val,IF($F164="",val_blankRefText,_xldudf_CX_GET(CX_ENTITY,$F164,BF$11,BF$14,,(BF$146))),_xlpm.Res,IF(OR(_xlpm.val="",_xlpm.val="Error"),"",_xlpm.val),_xlpm.Res)</f>
        <v>#NAME?</v>
      </c>
      <c r="BG164" s="1986" t="e" cm="1">
        <f t="array" ca="1" aca="1" ref="BG164">_xlfn.LET(_xlpm.val,IF($F164="",val_blankRefText,_xldudf_CX_GET(CX_ENTITY,$F164,BG$11,BG$14,,(BG$146))),_xlpm.Res,IF(OR(_xlpm.val="",_xlpm.val="Error"),"",_xlpm.val),_xlpm.Res)</f>
        <v>#NAME?</v>
      </c>
      <c r="BH164" s="1986" t="e" cm="1">
        <f t="array" ca="1" aca="1" ref="BH164">_xlfn.LET(_xlpm.val,IF($F164="",val_blankRefText,_xldudf_CX_GET(CX_ENTITY,$F164,BH$11,BH$14,,(BH$146))),_xlpm.Res,IF(OR(_xlpm.val="",_xlpm.val="Error"),"",_xlpm.val),_xlpm.Res)</f>
        <v>#NAME?</v>
      </c>
      <c r="BI164" s="1986" t="e" cm="1">
        <f t="array" ca="1" aca="1" ref="BI164">_xlfn.LET(_xlpm.val,IF($F164="",val_blankRefText,_xldudf_CX_GET(CX_ENTITY,$F164,BI$11,BI$14,,(BI$146))),_xlpm.Res,IF(OR(_xlpm.val="",_xlpm.val="Error"),"",_xlpm.val),_xlpm.Res)</f>
        <v>#NAME?</v>
      </c>
      <c r="BJ164" s="1986" t="e" cm="1">
        <f t="array" ca="1" aca="1" ref="BJ164">_xlfn.LET(_xlpm.val,IF($F164="",val_blankRefText,_xldudf_CX_GET(CX_ENTITY,$F164,BJ$11,BJ$14,,(BJ$146))),_xlpm.Res,IF(OR(_xlpm.val="",_xlpm.val="Error"),"",_xlpm.val),_xlpm.Res)</f>
        <v>#NAME?</v>
      </c>
      <c r="BK164" s="1986" t="e" cm="1">
        <f t="array" ca="1" aca="1" ref="BK164">_xlfn.LET(_xlpm.val,IF($F164="",val_blankRefText,_xldudf_CX_GET(CX_ENTITY,$F164,BK$11,BK$14,,(BK$146))),_xlpm.Res,IF(OR(_xlpm.val="",_xlpm.val="Error"),"",_xlpm.val),_xlpm.Res)</f>
        <v>#NAME?</v>
      </c>
      <c r="BL164" s="1986" t="e" cm="1">
        <f t="array" ca="1" aca="1" ref="BL164">_xlfn.LET(_xlpm.val,IF($F164="",val_blankRefText,_xldudf_CX_GET(CX_ENTITY,$F164,BL$11,BL$14,,(BL$146))),_xlpm.Res,IF(OR(_xlpm.val="",_xlpm.val="Error"),"",_xlpm.val),_xlpm.Res)</f>
        <v>#NAME?</v>
      </c>
      <c r="BM164" s="1986" t="e" cm="1">
        <f t="array" ca="1" aca="1" ref="BM164">_xlfn.LET(_xlpm.val,IF($F164="",val_blankRefText,_xldudf_CX_GET(CX_ENTITY,$F164,BM$11,BM$14,,(BM$146))),_xlpm.Res,IF(OR(_xlpm.val="",_xlpm.val="Error"),"",_xlpm.val),_xlpm.Res)</f>
        <v>#NAME?</v>
      </c>
      <c r="BN164" s="1986" t="e" cm="1">
        <f t="array" ca="1" aca="1" ref="BN164">_xlfn.LET(_xlpm.val,IF($F164="",val_blankRefText,_xldudf_CX_GET(CX_ENTITY,$F164,BN$11,BN$14,,(BN$146))),_xlpm.Res,IF(OR(_xlpm.val="",_xlpm.val="Error"),"",_xlpm.val),_xlpm.Res)</f>
        <v>#NAME?</v>
      </c>
      <c r="BO164" s="2103"/>
      <c r="BP164" s="2103"/>
      <c r="BQ164" s="2103"/>
      <c r="BR164" s="2103"/>
      <c r="BS164" s="2103"/>
      <c r="BT164" s="2103"/>
      <c r="BU164" s="2103"/>
      <c r="BV164" s="2103"/>
      <c r="BW164" s="2103"/>
      <c r="BX164" s="2103"/>
      <c r="BY164" s="2103"/>
      <c r="BZ164" s="2103"/>
      <c r="CA164" s="34"/>
      <c r="CC164" s="299"/>
      <c r="CD164" s="1461" t="e" cm="1">
        <f t="array" ca="1" aca="1" ref="CD164">_xlfn.LET(_xlpm.CheckBlank,SUM(PL!$AD164:$BN164)=0,IF(_xlpm.CheckBlank,"",SUM(_xlfn._xlws.FILTER(PL!$AD164:$BN164,(YEAR(PL!$AD$12:$BN$12)=PL!CD$12)*(array_timeline&lt;=PL!CD$11)))))</f>
        <v>#NAME?</v>
      </c>
      <c r="CE164" s="1461" t="e" cm="1">
        <f t="array" ca="1" aca="1" ref="CE164">_xlfn.LET(_xlpm.CheckBlank,SUM(PL!$AD164:$BN164)=0,IF(_xlpm.CheckBlank,"",SUM(_xlfn._xlws.FILTER(PL!$AD164:$BN164,(YEAR(PL!$AD$12:$BN$12)=PL!CE$12)*(array_timeline&lt;=PL!CE$11)))))</f>
        <v>#NAME?</v>
      </c>
      <c r="CF164" s="88"/>
      <c r="CG164" s="1461" t="e" cm="1">
        <f t="array" ca="1" aca="1" ref="CG164">_xlfn.LET(_xlpm.CheckBlank,SUM(PL!$AD164:$BN164)=0,IF(_xlpm.CheckBlank,"",SUM(_xlfn._xlws.FILTER(PL!$AD164:$BN164,(YEAR(PL!$AD$12:$BN$12)=PL!CG$12)*(array_timeline&lt;=PL!CG$11)))))</f>
        <v>#NAME?</v>
      </c>
      <c r="CH164" s="1461" t="e" cm="1">
        <f t="array" ca="1" aca="1" ref="CH164">_xlfn.LET(_xlpm.CheckBlank,SUM(PL!$AD164:$BN164)=0,IF(_xlpm.CheckBlank,"",SUM(_xlfn._xlws.FILTER(PL!$AD164:$BN164,(YEAR(PL!$AD$12:$BN$12)=PL!CH$12)*(array_timeline&lt;=PL!CH$11)))))</f>
        <v>#NAME?</v>
      </c>
      <c r="CI164" s="88"/>
      <c r="CJ164" s="1461" cm="1">
        <f t="array" ref="CJ164">_xlfn.LET(_xlpm.CheckBlank,SUM(PL!$AD164:$BN164)=0,IF(_xlpm.CheckBlank,"",SUM(_xlfn.TAKE(_xlfn.DROP(PL!$AD164:$BN164,,-DATEDIFF(PL!CJ$11,val_asOfDate,"M")),1,-12))))</f>
        <v>12</v>
      </c>
      <c r="CK164" s="1461" cm="1">
        <f t="array" ref="CK164">_xlfn.LET(_xlpm.CheckBlank,SUM(PL!$AD164:$BN164)=0,IF(_xlpm.CheckBlank,"",SUM(_xlfn.TAKE(_xlfn.DROP(PL!$AD164:$BN164,,-DATEDIFF(PL!CK$11,val_asOfDate,"M")),1,-12))))</f>
        <v>12</v>
      </c>
      <c r="CL164" s="88"/>
      <c r="CM164" s="1986" t="e" cm="1">
        <f t="array" ca="1" aca="1" ref="CM164">_xlfn.LET(_xlpm.val,IF($F164="",val_blankRefText,_xldudf_CX_GET(CX_ENTITY,$F164,CM$11,CM$14,,(CM$160))),_xlpm.Res,IF(OR(_xlpm.val="",_xlpm.val="Error"),"",_xlpm.val),_xlpm.Res)</f>
        <v>#NAME?</v>
      </c>
      <c r="CN164" s="1986" t="e" cm="1">
        <f t="array" ca="1" aca="1" ref="CN164">_xlfn.LET(_xlpm.val,IF($F164="",val_blankRefText,_xldudf_CX_GET(CX_ENTITY,$F164,CN$11,CN$14,,(CN$160))),_xlpm.Res,IF(OR(_xlpm.val="",_xlpm.val="Error"),"",_xlpm.val),_xlpm.Res)</f>
        <v>#NAME?</v>
      </c>
      <c r="CO164" s="1169"/>
      <c r="CP164" s="1986" t="e" cm="1">
        <f t="array" ca="1" aca="1" ref="CP164">_xlfn.LET(_xlpm.val,IF($F164="",val_blankRefText,_xldudf_CX_GET(CX_ENTITY,$F164,CP$11,CP$14,,(CP$160))),_xlpm.Res,IF(OR(_xlpm.val="",_xlpm.val="Error"),"",_xlpm.val),_xlpm.Res)</f>
        <v>#NAME?</v>
      </c>
      <c r="CQ164" s="1986" t="e" cm="1">
        <f t="array" ca="1" aca="1" ref="CQ164">_xlfn.LET(_xlpm.val,IF($F164="",val_blankRefText,_xldudf_CX_GET(CX_ENTITY,$F164,CQ$11,CQ$14,,(CQ$160))),_xlpm.Res,IF(OR(_xlpm.val="",_xlpm.val="Error"),"",_xlpm.val),_xlpm.Res)</f>
        <v>#NAME?</v>
      </c>
      <c r="CR164" s="34"/>
    </row>
    <row r="165" spans="1:96" ht="21" customHeight="1" outlineLevel="1">
      <c r="A165" s="1322"/>
      <c r="B165" s="577" t="s">
        <v>137</v>
      </c>
      <c r="C165" s="577" t="s">
        <v>1618</v>
      </c>
      <c r="D165" s="577"/>
      <c r="E165" s="577" t="e" cm="1">
        <f t="array" ca="1" aca="1" ref="E165">_xlfn.LET(_xlpm.Attr,$C165,_xlpm.Lookback,$E$16,_xlpm.QueryDate,EOMONTH(val_asOfDate,_xlpm.Lookback),_xlpm.ReadField,_xldudf_CX_GET(CX_ENTITY,fx_attrConverter($C165),_xlpm.QueryDate),_xlpm.AttrBlank,_xlpm.Attr="",_xlpm.RESULT,IF(_xlpm.AttrBlank,val_blankRefText,fx_attrConverter(_xlpm.ReadField,0)),IF(_xlpm.RESULT="Error","",_xlpm.RESULT))</f>
        <v>#NAME?</v>
      </c>
      <c r="F165" s="577" t="str">
        <f t="shared" si="46"/>
        <v>Earning Metric Adjustment Type II - Amount 4</v>
      </c>
      <c r="G165" s="577" t="s">
        <v>1615</v>
      </c>
      <c r="H165" s="510">
        <v>0</v>
      </c>
      <c r="I165" s="3278">
        <v>1</v>
      </c>
      <c r="J165" s="30"/>
      <c r="K165" s="30"/>
      <c r="L165" s="579" t="b">
        <v>0</v>
      </c>
      <c r="N165" s="158"/>
      <c r="O165" s="101"/>
      <c r="P165" s="52"/>
      <c r="Q165" s="101"/>
      <c r="R165" s="101"/>
      <c r="S165" s="101"/>
      <c r="T165" s="101"/>
      <c r="U165" s="39"/>
      <c r="W165" s="91" t="str">
        <f>W161</f>
        <v>Actual</v>
      </c>
      <c r="X165" s="884" t="s">
        <v>62</v>
      </c>
      <c r="Y165" s="1555" t="e">
        <f t="shared" ca="1" si="47"/>
        <v>#NAME?</v>
      </c>
      <c r="Z165" s="198" cm="1">
        <f t="array" ref="Z165">_xlfn.SWITCH(TRUE,ISBLANK(_PL!$L165),"",_PL!$L165=TRUE,1,_PL!$L165=FALSE,-1,_PL!$L165=-1,0,"n/a")</f>
        <v>-1</v>
      </c>
      <c r="AA165" s="905"/>
      <c r="AB165" s="1131"/>
      <c r="AC165" s="914" t="str" cm="1">
        <f t="array" ref="AC165">_xlfn.LET(_xlpm.Def,IF(_xlfn.XMATCH(AB165,tbl_acctDef[Term],0)&gt;0,fx_getIcon("find"),""),_xlpm.Adj,IF(_xlfn.XMATCH(AB165,tbl_adjExample[Items],0)&gt;0,fx_getIcon("find"),""),IFERROR(IFBLANK(_xlpm.Def,_xlpm.Adj),""))</f>
        <v/>
      </c>
      <c r="AD165" s="1986" t="e" cm="1">
        <f t="array" ca="1" aca="1" ref="AD165">_xlfn.LET(_xlpm.val,IF($F165="",val_blankRefText,_xldudf_CX_GET(CX_ENTITY,$F165,AD$11,AD$14,,(AD$146))),_xlpm.Res,IF(OR(_xlpm.val="",_xlpm.val="Error"),"",_xlpm.val),_xlpm.Res)</f>
        <v>#NAME?</v>
      </c>
      <c r="AE165" s="1986" t="e" cm="1">
        <f t="array" ca="1" aca="1" ref="AE165">_xlfn.LET(_xlpm.val,IF($F165="",val_blankRefText,_xldudf_CX_GET(CX_ENTITY,$F165,AE$11,AE$14,,(AE$146))),_xlpm.Res,IF(OR(_xlpm.val="",_xlpm.val="Error"),"",_xlpm.val),_xlpm.Res)</f>
        <v>#NAME?</v>
      </c>
      <c r="AF165" s="1986" t="e" cm="1">
        <f t="array" ca="1" aca="1" ref="AF165">_xlfn.LET(_xlpm.val,IF($F165="",val_blankRefText,_xldudf_CX_GET(CX_ENTITY,$F165,AF$11,AF$14,,(AF$146))),_xlpm.Res,IF(OR(_xlpm.val="",_xlpm.val="Error"),"",_xlpm.val),_xlpm.Res)</f>
        <v>#NAME?</v>
      </c>
      <c r="AG165" s="1986" t="e" cm="1">
        <f t="array" ca="1" aca="1" ref="AG165">_xlfn.LET(_xlpm.val,IF($F165="",val_blankRefText,_xldudf_CX_GET(CX_ENTITY,$F165,AG$11,AG$14,,(AG$146))),_xlpm.Res,IF(OR(_xlpm.val="",_xlpm.val="Error"),"",_xlpm.val),_xlpm.Res)</f>
        <v>#NAME?</v>
      </c>
      <c r="AH165" s="1986" t="e" cm="1">
        <f t="array" ca="1" aca="1" ref="AH165">_xlfn.LET(_xlpm.val,IF($F165="",val_blankRefText,_xldudf_CX_GET(CX_ENTITY,$F165,AH$11,AH$14,,(AH$146))),_xlpm.Res,IF(OR(_xlpm.val="",_xlpm.val="Error"),"",_xlpm.val),_xlpm.Res)</f>
        <v>#NAME?</v>
      </c>
      <c r="AI165" s="1986" t="e" cm="1">
        <f t="array" ca="1" aca="1" ref="AI165">_xlfn.LET(_xlpm.val,IF($F165="",val_blankRefText,_xldudf_CX_GET(CX_ENTITY,$F165,AI$11,AI$14,,(AI$146))),_xlpm.Res,IF(OR(_xlpm.val="",_xlpm.val="Error"),"",_xlpm.val),_xlpm.Res)</f>
        <v>#NAME?</v>
      </c>
      <c r="AJ165" s="1986" t="e" cm="1">
        <f t="array" ca="1" aca="1" ref="AJ165">_xlfn.LET(_xlpm.val,IF($F165="",val_blankRefText,_xldudf_CX_GET(CX_ENTITY,$F165,AJ$11,AJ$14,,(AJ$146))),_xlpm.Res,IF(OR(_xlpm.val="",_xlpm.val="Error"),"",_xlpm.val),_xlpm.Res)</f>
        <v>#NAME?</v>
      </c>
      <c r="AK165" s="1986" t="e" cm="1">
        <f t="array" ca="1" aca="1" ref="AK165">_xlfn.LET(_xlpm.val,IF($F165="",val_blankRefText,_xldudf_CX_GET(CX_ENTITY,$F165,AK$11,AK$14,,(AK$146))),_xlpm.Res,IF(OR(_xlpm.val="",_xlpm.val="Error"),"",_xlpm.val),_xlpm.Res)</f>
        <v>#NAME?</v>
      </c>
      <c r="AL165" s="1986" t="e" cm="1">
        <f t="array" ca="1" aca="1" ref="AL165">_xlfn.LET(_xlpm.val,IF($F165="",val_blankRefText,_xldudf_CX_GET(CX_ENTITY,$F165,AL$11,AL$14,,(AL$146))),_xlpm.Res,IF(OR(_xlpm.val="",_xlpm.val="Error"),"",_xlpm.val),_xlpm.Res)</f>
        <v>#NAME?</v>
      </c>
      <c r="AM165" s="1986" t="e" cm="1">
        <f t="array" ca="1" aca="1" ref="AM165">_xlfn.LET(_xlpm.val,IF($F165="",val_blankRefText,_xldudf_CX_GET(CX_ENTITY,$F165,AM$11,AM$14,,(AM$146))),_xlpm.Res,IF(OR(_xlpm.val="",_xlpm.val="Error"),"",_xlpm.val),_xlpm.Res)</f>
        <v>#NAME?</v>
      </c>
      <c r="AN165" s="1986" t="e" cm="1">
        <f t="array" ca="1" aca="1" ref="AN165">_xlfn.LET(_xlpm.val,IF($F165="",val_blankRefText,_xldudf_CX_GET(CX_ENTITY,$F165,AN$11,AN$14,,(AN$146))),_xlpm.Res,IF(OR(_xlpm.val="",_xlpm.val="Error"),"",_xlpm.val),_xlpm.Res)</f>
        <v>#NAME?</v>
      </c>
      <c r="AO165" s="1986" t="e" cm="1">
        <f t="array" ca="1" aca="1" ref="AO165">_xlfn.LET(_xlpm.val,IF($F165="",val_blankRefText,_xldudf_CX_GET(CX_ENTITY,$F165,AO$11,AO$14,,(AO$146))),_xlpm.Res,IF(OR(_xlpm.val="",_xlpm.val="Error"),"",_xlpm.val),_xlpm.Res)</f>
        <v>#NAME?</v>
      </c>
      <c r="AP165" s="1986" t="e" cm="1">
        <f t="array" ca="1" aca="1" ref="AP165">_xlfn.LET(_xlpm.val,IF($F165="",val_blankRefText,_xldudf_CX_GET(CX_ENTITY,$F165,AP$11,AP$14,,(AP$146))),_xlpm.Res,IF(OR(_xlpm.val="",_xlpm.val="Error"),"",_xlpm.val),_xlpm.Res)</f>
        <v>#NAME?</v>
      </c>
      <c r="AQ165" s="1986" t="e" cm="1">
        <f t="array" ca="1" aca="1" ref="AQ165">_xlfn.LET(_xlpm.val,IF($F165="",val_blankRefText,_xldudf_CX_GET(CX_ENTITY,$F165,AQ$11,AQ$14,,(AQ$146))),_xlpm.Res,IF(OR(_xlpm.val="",_xlpm.val="Error"),"",_xlpm.val),_xlpm.Res)</f>
        <v>#NAME?</v>
      </c>
      <c r="AR165" s="1986" t="e" cm="1">
        <f t="array" ca="1" aca="1" ref="AR165">_xlfn.LET(_xlpm.val,IF($F165="",val_blankRefText,_xldudf_CX_GET(CX_ENTITY,$F165,AR$11,AR$14,,(AR$146))),_xlpm.Res,IF(OR(_xlpm.val="",_xlpm.val="Error"),"",_xlpm.val),_xlpm.Res)</f>
        <v>#NAME?</v>
      </c>
      <c r="AS165" s="1986" t="e" cm="1">
        <f t="array" ca="1" aca="1" ref="AS165">_xlfn.LET(_xlpm.val,IF($F165="",val_blankRefText,_xldudf_CX_GET(CX_ENTITY,$F165,AS$11,AS$14,,(AS$146))),_xlpm.Res,IF(OR(_xlpm.val="",_xlpm.val="Error"),"",_xlpm.val),_xlpm.Res)</f>
        <v>#NAME?</v>
      </c>
      <c r="AT165" s="1986" t="e" cm="1">
        <f t="array" ca="1" aca="1" ref="AT165">_xlfn.LET(_xlpm.val,IF($F165="",val_blankRefText,_xldudf_CX_GET(CX_ENTITY,$F165,AT$11,AT$14,,(AT$146))),_xlpm.Res,IF(OR(_xlpm.val="",_xlpm.val="Error"),"",_xlpm.val),_xlpm.Res)</f>
        <v>#NAME?</v>
      </c>
      <c r="AU165" s="1986" t="e" cm="1">
        <f t="array" ca="1" aca="1" ref="AU165">_xlfn.LET(_xlpm.val,IF($F165="",val_blankRefText,_xldudf_CX_GET(CX_ENTITY,$F165,AU$11,AU$14,,(AU$146))),_xlpm.Res,IF(OR(_xlpm.val="",_xlpm.val="Error"),"",_xlpm.val),_xlpm.Res)</f>
        <v>#NAME?</v>
      </c>
      <c r="AV165" s="1986" t="e" cm="1">
        <f t="array" ca="1" aca="1" ref="AV165">_xlfn.LET(_xlpm.val,IF($F165="",val_blankRefText,_xldudf_CX_GET(CX_ENTITY,$F165,AV$11,AV$14,,(AV$146))),_xlpm.Res,IF(OR(_xlpm.val="",_xlpm.val="Error"),"",_xlpm.val),_xlpm.Res)</f>
        <v>#NAME?</v>
      </c>
      <c r="AW165" s="1986" t="e" cm="1">
        <f t="array" ca="1" aca="1" ref="AW165">_xlfn.LET(_xlpm.val,IF($F165="",val_blankRefText,_xldudf_CX_GET(CX_ENTITY,$F165,AW$11,AW$14,,(AW$146))),_xlpm.Res,IF(OR(_xlpm.val="",_xlpm.val="Error"),"",_xlpm.val),_xlpm.Res)</f>
        <v>#NAME?</v>
      </c>
      <c r="AX165" s="1986" t="e" cm="1">
        <f t="array" ca="1" aca="1" ref="AX165">_xlfn.LET(_xlpm.val,IF($F165="",val_blankRefText,_xldudf_CX_GET(CX_ENTITY,$F165,AX$11,AX$14,,(AX$146))),_xlpm.Res,IF(OR(_xlpm.val="",_xlpm.val="Error"),"",_xlpm.val),_xlpm.Res)</f>
        <v>#NAME?</v>
      </c>
      <c r="AY165" s="1986" t="e" cm="1">
        <f t="array" ca="1" aca="1" ref="AY165">_xlfn.LET(_xlpm.val,IF($F165="",val_blankRefText,_xldudf_CX_GET(CX_ENTITY,$F165,AY$11,AY$14,,(AY$146))),_xlpm.Res,IF(OR(_xlpm.val="",_xlpm.val="Error"),"",_xlpm.val),_xlpm.Res)</f>
        <v>#NAME?</v>
      </c>
      <c r="AZ165" s="1986" t="e" cm="1">
        <f t="array" ca="1" aca="1" ref="AZ165">_xlfn.LET(_xlpm.val,IF($F165="",val_blankRefText,_xldudf_CX_GET(CX_ENTITY,$F165,AZ$11,AZ$14,,(AZ$146))),_xlpm.Res,IF(OR(_xlpm.val="",_xlpm.val="Error"),"",_xlpm.val),_xlpm.Res)</f>
        <v>#NAME?</v>
      </c>
      <c r="BA165" s="1986" t="e" cm="1">
        <f t="array" ca="1" aca="1" ref="BA165">_xlfn.LET(_xlpm.val,IF($F165="",val_blankRefText,_xldudf_CX_GET(CX_ENTITY,$F165,BA$11,BA$14,,(BA$146))),_xlpm.Res,IF(OR(_xlpm.val="",_xlpm.val="Error"),"",_xlpm.val),_xlpm.Res)</f>
        <v>#NAME?</v>
      </c>
      <c r="BB165" s="1986" t="e" cm="1">
        <f t="array" ca="1" aca="1" ref="BB165">_xlfn.LET(_xlpm.val,IF($F165="",val_blankRefText,_xldudf_CX_GET(CX_ENTITY,$F165,BB$11,BB$14,,(BB$146))),_xlpm.Res,IF(OR(_xlpm.val="",_xlpm.val="Error"),"",_xlpm.val),_xlpm.Res)</f>
        <v>#NAME?</v>
      </c>
      <c r="BC165" s="1986" t="e" cm="1">
        <f t="array" ca="1" aca="1" ref="BC165">_xlfn.LET(_xlpm.val,IF($F165="",val_blankRefText,_xldudf_CX_GET(CX_ENTITY,$F165,BC$11,BC$14,,(BC$146))),_xlpm.Res,IF(OR(_xlpm.val="",_xlpm.val="Error"),"",_xlpm.val),_xlpm.Res)</f>
        <v>#NAME?</v>
      </c>
      <c r="BD165" s="1986" t="e" cm="1">
        <f t="array" ca="1" aca="1" ref="BD165">_xlfn.LET(_xlpm.val,IF($F165="",val_blankRefText,_xldudf_CX_GET(CX_ENTITY,$F165,BD$11,BD$14,,(BD$146))),_xlpm.Res,IF(OR(_xlpm.val="",_xlpm.val="Error"),"",_xlpm.val),_xlpm.Res)</f>
        <v>#NAME?</v>
      </c>
      <c r="BE165" s="1986" t="e" cm="1">
        <f t="array" ca="1" aca="1" ref="BE165">_xlfn.LET(_xlpm.val,IF($F165="",val_blankRefText,_xldudf_CX_GET(CX_ENTITY,$F165,BE$11,BE$14,,(BE$146))),_xlpm.Res,IF(OR(_xlpm.val="",_xlpm.val="Error"),"",_xlpm.val),_xlpm.Res)</f>
        <v>#NAME?</v>
      </c>
      <c r="BF165" s="1986" t="e" cm="1">
        <f t="array" ca="1" aca="1" ref="BF165">_xlfn.LET(_xlpm.val,IF($F165="",val_blankRefText,_xldudf_CX_GET(CX_ENTITY,$F165,BF$11,BF$14,,(BF$146))),_xlpm.Res,IF(OR(_xlpm.val="",_xlpm.val="Error"),"",_xlpm.val),_xlpm.Res)</f>
        <v>#NAME?</v>
      </c>
      <c r="BG165" s="1986" t="e" cm="1">
        <f t="array" ca="1" aca="1" ref="BG165">_xlfn.LET(_xlpm.val,IF($F165="",val_blankRefText,_xldudf_CX_GET(CX_ENTITY,$F165,BG$11,BG$14,,(BG$146))),_xlpm.Res,IF(OR(_xlpm.val="",_xlpm.val="Error"),"",_xlpm.val),_xlpm.Res)</f>
        <v>#NAME?</v>
      </c>
      <c r="BH165" s="1986" t="e" cm="1">
        <f t="array" ca="1" aca="1" ref="BH165">_xlfn.LET(_xlpm.val,IF($F165="",val_blankRefText,_xldudf_CX_GET(CX_ENTITY,$F165,BH$11,BH$14,,(BH$146))),_xlpm.Res,IF(OR(_xlpm.val="",_xlpm.val="Error"),"",_xlpm.val),_xlpm.Res)</f>
        <v>#NAME?</v>
      </c>
      <c r="BI165" s="1986" t="e" cm="1">
        <f t="array" ca="1" aca="1" ref="BI165">_xlfn.LET(_xlpm.val,IF($F165="",val_blankRefText,_xldudf_CX_GET(CX_ENTITY,$F165,BI$11,BI$14,,(BI$146))),_xlpm.Res,IF(OR(_xlpm.val="",_xlpm.val="Error"),"",_xlpm.val),_xlpm.Res)</f>
        <v>#NAME?</v>
      </c>
      <c r="BJ165" s="1986" t="e" cm="1">
        <f t="array" ca="1" aca="1" ref="BJ165">_xlfn.LET(_xlpm.val,IF($F165="",val_blankRefText,_xldudf_CX_GET(CX_ENTITY,$F165,BJ$11,BJ$14,,(BJ$146))),_xlpm.Res,IF(OR(_xlpm.val="",_xlpm.val="Error"),"",_xlpm.val),_xlpm.Res)</f>
        <v>#NAME?</v>
      </c>
      <c r="BK165" s="1986" t="e" cm="1">
        <f t="array" ca="1" aca="1" ref="BK165">_xlfn.LET(_xlpm.val,IF($F165="",val_blankRefText,_xldudf_CX_GET(CX_ENTITY,$F165,BK$11,BK$14,,(BK$146))),_xlpm.Res,IF(OR(_xlpm.val="",_xlpm.val="Error"),"",_xlpm.val),_xlpm.Res)</f>
        <v>#NAME?</v>
      </c>
      <c r="BL165" s="1986" t="e" cm="1">
        <f t="array" ca="1" aca="1" ref="BL165">_xlfn.LET(_xlpm.val,IF($F165="",val_blankRefText,_xldudf_CX_GET(CX_ENTITY,$F165,BL$11,BL$14,,(BL$146))),_xlpm.Res,IF(OR(_xlpm.val="",_xlpm.val="Error"),"",_xlpm.val),_xlpm.Res)</f>
        <v>#NAME?</v>
      </c>
      <c r="BM165" s="1986" t="e" cm="1">
        <f t="array" ca="1" aca="1" ref="BM165">_xlfn.LET(_xlpm.val,IF($F165="",val_blankRefText,_xldudf_CX_GET(CX_ENTITY,$F165,BM$11,BM$14,,(BM$146))),_xlpm.Res,IF(OR(_xlpm.val="",_xlpm.val="Error"),"",_xlpm.val),_xlpm.Res)</f>
        <v>#NAME?</v>
      </c>
      <c r="BN165" s="1986" t="e" cm="1">
        <f t="array" ca="1" aca="1" ref="BN165">_xlfn.LET(_xlpm.val,IF($F165="",val_blankRefText,_xldudf_CX_GET(CX_ENTITY,$F165,BN$11,BN$14,,(BN$146))),_xlpm.Res,IF(OR(_xlpm.val="",_xlpm.val="Error"),"",_xlpm.val),_xlpm.Res)</f>
        <v>#NAME?</v>
      </c>
      <c r="BO165" s="2103"/>
      <c r="BP165" s="2103"/>
      <c r="BQ165" s="2103"/>
      <c r="BR165" s="2103"/>
      <c r="BS165" s="2103"/>
      <c r="BT165" s="2103"/>
      <c r="BU165" s="2103"/>
      <c r="BV165" s="2103"/>
      <c r="BW165" s="2103"/>
      <c r="BX165" s="2103"/>
      <c r="BY165" s="2103"/>
      <c r="BZ165" s="2103"/>
      <c r="CA165" s="34"/>
      <c r="CC165" s="299"/>
      <c r="CD165" s="1461" t="e" cm="1">
        <f t="array" ca="1" aca="1" ref="CD165">_xlfn.LET(_xlpm.CheckBlank,SUM(PL!$AD165:$BN165)=0,IF(_xlpm.CheckBlank,"",SUM(_xlfn._xlws.FILTER(PL!$AD165:$BN165,(YEAR(PL!$AD$12:$BN$12)=PL!CD$12)*(array_timeline&lt;=PL!CD$11)))))</f>
        <v>#NAME?</v>
      </c>
      <c r="CE165" s="1461" t="e" cm="1">
        <f t="array" ca="1" aca="1" ref="CE165">_xlfn.LET(_xlpm.CheckBlank,SUM(PL!$AD165:$BN165)=0,IF(_xlpm.CheckBlank,"",SUM(_xlfn._xlws.FILTER(PL!$AD165:$BN165,(YEAR(PL!$AD$12:$BN$12)=PL!CE$12)*(array_timeline&lt;=PL!CE$11)))))</f>
        <v>#NAME?</v>
      </c>
      <c r="CF165" s="88"/>
      <c r="CG165" s="1461" t="e" cm="1">
        <f t="array" ca="1" aca="1" ref="CG165">_xlfn.LET(_xlpm.CheckBlank,SUM(PL!$AD165:$BN165)=0,IF(_xlpm.CheckBlank,"",SUM(_xlfn._xlws.FILTER(PL!$AD165:$BN165,(YEAR(PL!$AD$12:$BN$12)=PL!CG$12)*(array_timeline&lt;=PL!CG$11)))))</f>
        <v>#NAME?</v>
      </c>
      <c r="CH165" s="1461" t="e" cm="1">
        <f t="array" ca="1" aca="1" ref="CH165">_xlfn.LET(_xlpm.CheckBlank,SUM(PL!$AD165:$BN165)=0,IF(_xlpm.CheckBlank,"",SUM(_xlfn._xlws.FILTER(PL!$AD165:$BN165,(YEAR(PL!$AD$12:$BN$12)=PL!CH$12)*(array_timeline&lt;=PL!CH$11)))))</f>
        <v>#NAME?</v>
      </c>
      <c r="CI165" s="88"/>
      <c r="CJ165" s="1461" cm="1">
        <f t="array" ref="CJ165">_xlfn.LET(_xlpm.CheckBlank,SUM(PL!$AD165:$BN165)=0,IF(_xlpm.CheckBlank,"",SUM(_xlfn.TAKE(_xlfn.DROP(PL!$AD165:$BN165,,-DATEDIFF(PL!CJ$11,val_asOfDate,"M")),1,-12))))</f>
        <v>12</v>
      </c>
      <c r="CK165" s="1461" cm="1">
        <f t="array" ref="CK165">_xlfn.LET(_xlpm.CheckBlank,SUM(PL!$AD165:$BN165)=0,IF(_xlpm.CheckBlank,"",SUM(_xlfn.TAKE(_xlfn.DROP(PL!$AD165:$BN165,,-DATEDIFF(PL!CK$11,val_asOfDate,"M")),1,-12))))</f>
        <v>12</v>
      </c>
      <c r="CL165" s="88"/>
      <c r="CM165" s="1986" t="e" cm="1">
        <f t="array" ca="1" aca="1" ref="CM165">_xlfn.LET(_xlpm.val,IF($F165="",val_blankRefText,_xldudf_CX_GET(CX_ENTITY,$F165,CM$11,CM$14,,(CM$160))),_xlpm.Res,IF(OR(_xlpm.val="",_xlpm.val="Error"),"",_xlpm.val),_xlpm.Res)</f>
        <v>#NAME?</v>
      </c>
      <c r="CN165" s="1986" t="e" cm="1">
        <f t="array" ca="1" aca="1" ref="CN165">_xlfn.LET(_xlpm.val,IF($F165="",val_blankRefText,_xldudf_CX_GET(CX_ENTITY,$F165,CN$11,CN$14,,(CN$160))),_xlpm.Res,IF(OR(_xlpm.val="",_xlpm.val="Error"),"",_xlpm.val),_xlpm.Res)</f>
        <v>#NAME?</v>
      </c>
      <c r="CO165" s="1169"/>
      <c r="CP165" s="1986" t="e" cm="1">
        <f t="array" ca="1" aca="1" ref="CP165">_xlfn.LET(_xlpm.val,IF($F165="",val_blankRefText,_xldudf_CX_GET(CX_ENTITY,$F165,CP$11,CP$14,,(CP$160))),_xlpm.Res,IF(OR(_xlpm.val="",_xlpm.val="Error"),"",_xlpm.val),_xlpm.Res)</f>
        <v>#NAME?</v>
      </c>
      <c r="CQ165" s="1986" t="e" cm="1">
        <f t="array" ca="1" aca="1" ref="CQ165">_xlfn.LET(_xlpm.val,IF($F165="",val_blankRefText,_xldudf_CX_GET(CX_ENTITY,$F165,CQ$11,CQ$14,,(CQ$160))),_xlpm.Res,IF(OR(_xlpm.val="",_xlpm.val="Error"),"",_xlpm.val),_xlpm.Res)</f>
        <v>#NAME?</v>
      </c>
      <c r="CR165" s="34"/>
    </row>
    <row r="166" spans="1:96" ht="21" customHeight="1" outlineLevel="1">
      <c r="A166" s="1322"/>
      <c r="B166" s="577" t="s">
        <v>138</v>
      </c>
      <c r="C166" s="577" t="s">
        <v>1619</v>
      </c>
      <c r="D166" s="577"/>
      <c r="E166" s="577" t="e" cm="1">
        <f t="array" ca="1" aca="1" ref="E166">_xlfn.LET(_xlpm.Attr,$C166,_xlpm.Lookback,$E$16,_xlpm.QueryDate,EOMONTH(val_asOfDate,_xlpm.Lookback),_xlpm.ReadField,_xldudf_CX_GET(CX_ENTITY,fx_attrConverter($C166),_xlpm.QueryDate),_xlpm.AttrBlank,_xlpm.Attr="",_xlpm.RESULT,IF(_xlpm.AttrBlank,val_blankRefText,fx_attrConverter(_xlpm.ReadField,0)),IF(_xlpm.RESULT="Error","",_xlpm.RESULT))</f>
        <v>#NAME?</v>
      </c>
      <c r="F166" s="577" t="str">
        <f t="shared" si="46"/>
        <v>Earning Metric Adjustment Type II - Amount 5</v>
      </c>
      <c r="G166" s="577" t="s">
        <v>1615</v>
      </c>
      <c r="H166" s="510">
        <v>0</v>
      </c>
      <c r="I166" s="3278">
        <v>1</v>
      </c>
      <c r="J166" s="30"/>
      <c r="K166" s="30"/>
      <c r="L166" s="579" t="b">
        <v>0</v>
      </c>
      <c r="N166" s="158"/>
      <c r="O166" s="101"/>
      <c r="P166" s="52"/>
      <c r="Q166" s="101"/>
      <c r="R166" s="101"/>
      <c r="S166" s="101"/>
      <c r="T166" s="101"/>
      <c r="U166" s="39"/>
      <c r="W166" s="91" t="str">
        <f>W162</f>
        <v>Actual</v>
      </c>
      <c r="X166" s="884" t="s">
        <v>62</v>
      </c>
      <c r="Y166" s="1555" t="e">
        <f t="shared" ca="1" si="47"/>
        <v>#NAME?</v>
      </c>
      <c r="Z166" s="198" cm="1">
        <f t="array" ref="Z166">_xlfn.SWITCH(TRUE,ISBLANK(_PL!$L166),"",_PL!$L166=TRUE,1,_PL!$L166=FALSE,-1,_PL!$L166=-1,0,"n/a")</f>
        <v>-1</v>
      </c>
      <c r="AA166" s="905"/>
      <c r="AB166" s="1128"/>
      <c r="AC166" s="914" t="str" cm="1">
        <f t="array" ref="AC166">_xlfn.LET(_xlpm.Def,IF(_xlfn.XMATCH(AB166,tbl_acctDef[Term],0)&gt;0,fx_getIcon("find"),""),_xlpm.Adj,IF(_xlfn.XMATCH(AB166,tbl_adjExample[Items],0)&gt;0,fx_getIcon("find"),""),IFERROR(IFBLANK(_xlpm.Def,_xlpm.Adj),""))</f>
        <v/>
      </c>
      <c r="AD166" s="1986" t="e" cm="1">
        <f t="array" ca="1" aca="1" ref="AD166">_xlfn.LET(_xlpm.val,IF($F166="",val_blankRefText,_xldudf_CX_GET(CX_ENTITY,$F166,AD$11,AD$14,,(AD$146))),_xlpm.Res,IF(OR(_xlpm.val="",_xlpm.val="Error"),"",_xlpm.val),_xlpm.Res)</f>
        <v>#NAME?</v>
      </c>
      <c r="AE166" s="1986" t="e" cm="1">
        <f t="array" ca="1" aca="1" ref="AE166">_xlfn.LET(_xlpm.val,IF($F166="",val_blankRefText,_xldudf_CX_GET(CX_ENTITY,$F166,AE$11,AE$14,,(AE$146))),_xlpm.Res,IF(OR(_xlpm.val="",_xlpm.val="Error"),"",_xlpm.val),_xlpm.Res)</f>
        <v>#NAME?</v>
      </c>
      <c r="AF166" s="1986" t="e" cm="1">
        <f t="array" ca="1" aca="1" ref="AF166">_xlfn.LET(_xlpm.val,IF($F166="",val_blankRefText,_xldudf_CX_GET(CX_ENTITY,$F166,AF$11,AF$14,,(AF$146))),_xlpm.Res,IF(OR(_xlpm.val="",_xlpm.val="Error"),"",_xlpm.val),_xlpm.Res)</f>
        <v>#NAME?</v>
      </c>
      <c r="AG166" s="1986" t="e" cm="1">
        <f t="array" ca="1" aca="1" ref="AG166">_xlfn.LET(_xlpm.val,IF($F166="",val_blankRefText,_xldudf_CX_GET(CX_ENTITY,$F166,AG$11,AG$14,,(AG$146))),_xlpm.Res,IF(OR(_xlpm.val="",_xlpm.val="Error"),"",_xlpm.val),_xlpm.Res)</f>
        <v>#NAME?</v>
      </c>
      <c r="AH166" s="1986" t="e" cm="1">
        <f t="array" ca="1" aca="1" ref="AH166">_xlfn.LET(_xlpm.val,IF($F166="",val_blankRefText,_xldudf_CX_GET(CX_ENTITY,$F166,AH$11,AH$14,,(AH$146))),_xlpm.Res,IF(OR(_xlpm.val="",_xlpm.val="Error"),"",_xlpm.val),_xlpm.Res)</f>
        <v>#NAME?</v>
      </c>
      <c r="AI166" s="1986" t="e" cm="1">
        <f t="array" ca="1" aca="1" ref="AI166">_xlfn.LET(_xlpm.val,IF($F166="",val_blankRefText,_xldudf_CX_GET(CX_ENTITY,$F166,AI$11,AI$14,,(AI$146))),_xlpm.Res,IF(OR(_xlpm.val="",_xlpm.val="Error"),"",_xlpm.val),_xlpm.Res)</f>
        <v>#NAME?</v>
      </c>
      <c r="AJ166" s="1986" t="e" cm="1">
        <f t="array" ca="1" aca="1" ref="AJ166">_xlfn.LET(_xlpm.val,IF($F166="",val_blankRefText,_xldudf_CX_GET(CX_ENTITY,$F166,AJ$11,AJ$14,,(AJ$146))),_xlpm.Res,IF(OR(_xlpm.val="",_xlpm.val="Error"),"",_xlpm.val),_xlpm.Res)</f>
        <v>#NAME?</v>
      </c>
      <c r="AK166" s="1986" t="e" cm="1">
        <f t="array" ca="1" aca="1" ref="AK166">_xlfn.LET(_xlpm.val,IF($F166="",val_blankRefText,_xldudf_CX_GET(CX_ENTITY,$F166,AK$11,AK$14,,(AK$146))),_xlpm.Res,IF(OR(_xlpm.val="",_xlpm.val="Error"),"",_xlpm.val),_xlpm.Res)</f>
        <v>#NAME?</v>
      </c>
      <c r="AL166" s="1986" t="e" cm="1">
        <f t="array" ca="1" aca="1" ref="AL166">_xlfn.LET(_xlpm.val,IF($F166="",val_blankRefText,_xldudf_CX_GET(CX_ENTITY,$F166,AL$11,AL$14,,(AL$146))),_xlpm.Res,IF(OR(_xlpm.val="",_xlpm.val="Error"),"",_xlpm.val),_xlpm.Res)</f>
        <v>#NAME?</v>
      </c>
      <c r="AM166" s="1986" t="e" cm="1">
        <f t="array" ca="1" aca="1" ref="AM166">_xlfn.LET(_xlpm.val,IF($F166="",val_blankRefText,_xldudf_CX_GET(CX_ENTITY,$F166,AM$11,AM$14,,(AM$146))),_xlpm.Res,IF(OR(_xlpm.val="",_xlpm.val="Error"),"",_xlpm.val),_xlpm.Res)</f>
        <v>#NAME?</v>
      </c>
      <c r="AN166" s="1986" t="e" cm="1">
        <f t="array" ca="1" aca="1" ref="AN166">_xlfn.LET(_xlpm.val,IF($F166="",val_blankRefText,_xldudf_CX_GET(CX_ENTITY,$F166,AN$11,AN$14,,(AN$146))),_xlpm.Res,IF(OR(_xlpm.val="",_xlpm.val="Error"),"",_xlpm.val),_xlpm.Res)</f>
        <v>#NAME?</v>
      </c>
      <c r="AO166" s="1986" t="e" cm="1">
        <f t="array" ca="1" aca="1" ref="AO166">_xlfn.LET(_xlpm.val,IF($F166="",val_blankRefText,_xldudf_CX_GET(CX_ENTITY,$F166,AO$11,AO$14,,(AO$146))),_xlpm.Res,IF(OR(_xlpm.val="",_xlpm.val="Error"),"",_xlpm.val),_xlpm.Res)</f>
        <v>#NAME?</v>
      </c>
      <c r="AP166" s="1986" t="e" cm="1">
        <f t="array" ca="1" aca="1" ref="AP166">_xlfn.LET(_xlpm.val,IF($F166="",val_blankRefText,_xldudf_CX_GET(CX_ENTITY,$F166,AP$11,AP$14,,(AP$146))),_xlpm.Res,IF(OR(_xlpm.val="",_xlpm.val="Error"),"",_xlpm.val),_xlpm.Res)</f>
        <v>#NAME?</v>
      </c>
      <c r="AQ166" s="1986" t="e" cm="1">
        <f t="array" ca="1" aca="1" ref="AQ166">_xlfn.LET(_xlpm.val,IF($F166="",val_blankRefText,_xldudf_CX_GET(CX_ENTITY,$F166,AQ$11,AQ$14,,(AQ$146))),_xlpm.Res,IF(OR(_xlpm.val="",_xlpm.val="Error"),"",_xlpm.val),_xlpm.Res)</f>
        <v>#NAME?</v>
      </c>
      <c r="AR166" s="1986" t="e" cm="1">
        <f t="array" ca="1" aca="1" ref="AR166">_xlfn.LET(_xlpm.val,IF($F166="",val_blankRefText,_xldudf_CX_GET(CX_ENTITY,$F166,AR$11,AR$14,,(AR$146))),_xlpm.Res,IF(OR(_xlpm.val="",_xlpm.val="Error"),"",_xlpm.val),_xlpm.Res)</f>
        <v>#NAME?</v>
      </c>
      <c r="AS166" s="1986" t="e" cm="1">
        <f t="array" ca="1" aca="1" ref="AS166">_xlfn.LET(_xlpm.val,IF($F166="",val_blankRefText,_xldudf_CX_GET(CX_ENTITY,$F166,AS$11,AS$14,,(AS$146))),_xlpm.Res,IF(OR(_xlpm.val="",_xlpm.val="Error"),"",_xlpm.val),_xlpm.Res)</f>
        <v>#NAME?</v>
      </c>
      <c r="AT166" s="1986" t="e" cm="1">
        <f t="array" ca="1" aca="1" ref="AT166">_xlfn.LET(_xlpm.val,IF($F166="",val_blankRefText,_xldudf_CX_GET(CX_ENTITY,$F166,AT$11,AT$14,,(AT$146))),_xlpm.Res,IF(OR(_xlpm.val="",_xlpm.val="Error"),"",_xlpm.val),_xlpm.Res)</f>
        <v>#NAME?</v>
      </c>
      <c r="AU166" s="1986" t="e" cm="1">
        <f t="array" ca="1" aca="1" ref="AU166">_xlfn.LET(_xlpm.val,IF($F166="",val_blankRefText,_xldudf_CX_GET(CX_ENTITY,$F166,AU$11,AU$14,,(AU$146))),_xlpm.Res,IF(OR(_xlpm.val="",_xlpm.val="Error"),"",_xlpm.val),_xlpm.Res)</f>
        <v>#NAME?</v>
      </c>
      <c r="AV166" s="1986" t="e" cm="1">
        <f t="array" ca="1" aca="1" ref="AV166">_xlfn.LET(_xlpm.val,IF($F166="",val_blankRefText,_xldudf_CX_GET(CX_ENTITY,$F166,AV$11,AV$14,,(AV$146))),_xlpm.Res,IF(OR(_xlpm.val="",_xlpm.val="Error"),"",_xlpm.val),_xlpm.Res)</f>
        <v>#NAME?</v>
      </c>
      <c r="AW166" s="1986" t="e" cm="1">
        <f t="array" ca="1" aca="1" ref="AW166">_xlfn.LET(_xlpm.val,IF($F166="",val_blankRefText,_xldudf_CX_GET(CX_ENTITY,$F166,AW$11,AW$14,,(AW$146))),_xlpm.Res,IF(OR(_xlpm.val="",_xlpm.val="Error"),"",_xlpm.val),_xlpm.Res)</f>
        <v>#NAME?</v>
      </c>
      <c r="AX166" s="1986" t="e" cm="1">
        <f t="array" ca="1" aca="1" ref="AX166">_xlfn.LET(_xlpm.val,IF($F166="",val_blankRefText,_xldudf_CX_GET(CX_ENTITY,$F166,AX$11,AX$14,,(AX$146))),_xlpm.Res,IF(OR(_xlpm.val="",_xlpm.val="Error"),"",_xlpm.val),_xlpm.Res)</f>
        <v>#NAME?</v>
      </c>
      <c r="AY166" s="1986" t="e" cm="1">
        <f t="array" ca="1" aca="1" ref="AY166">_xlfn.LET(_xlpm.val,IF($F166="",val_blankRefText,_xldudf_CX_GET(CX_ENTITY,$F166,AY$11,AY$14,,(AY$146))),_xlpm.Res,IF(OR(_xlpm.val="",_xlpm.val="Error"),"",_xlpm.val),_xlpm.Res)</f>
        <v>#NAME?</v>
      </c>
      <c r="AZ166" s="1986" t="e" cm="1">
        <f t="array" ca="1" aca="1" ref="AZ166">_xlfn.LET(_xlpm.val,IF($F166="",val_blankRefText,_xldudf_CX_GET(CX_ENTITY,$F166,AZ$11,AZ$14,,(AZ$146))),_xlpm.Res,IF(OR(_xlpm.val="",_xlpm.val="Error"),"",_xlpm.val),_xlpm.Res)</f>
        <v>#NAME?</v>
      </c>
      <c r="BA166" s="1986" t="e" cm="1">
        <f t="array" ca="1" aca="1" ref="BA166">_xlfn.LET(_xlpm.val,IF($F166="",val_blankRefText,_xldudf_CX_GET(CX_ENTITY,$F166,BA$11,BA$14,,(BA$146))),_xlpm.Res,IF(OR(_xlpm.val="",_xlpm.val="Error"),"",_xlpm.val),_xlpm.Res)</f>
        <v>#NAME?</v>
      </c>
      <c r="BB166" s="1986" t="e" cm="1">
        <f t="array" ca="1" aca="1" ref="BB166">_xlfn.LET(_xlpm.val,IF($F166="",val_blankRefText,_xldudf_CX_GET(CX_ENTITY,$F166,BB$11,BB$14,,(BB$146))),_xlpm.Res,IF(OR(_xlpm.val="",_xlpm.val="Error"),"",_xlpm.val),_xlpm.Res)</f>
        <v>#NAME?</v>
      </c>
      <c r="BC166" s="1986" t="e" cm="1">
        <f t="array" ca="1" aca="1" ref="BC166">_xlfn.LET(_xlpm.val,IF($F166="",val_blankRefText,_xldudf_CX_GET(CX_ENTITY,$F166,BC$11,BC$14,,(BC$146))),_xlpm.Res,IF(OR(_xlpm.val="",_xlpm.val="Error"),"",_xlpm.val),_xlpm.Res)</f>
        <v>#NAME?</v>
      </c>
      <c r="BD166" s="1986" t="e" cm="1">
        <f t="array" ca="1" aca="1" ref="BD166">_xlfn.LET(_xlpm.val,IF($F166="",val_blankRefText,_xldudf_CX_GET(CX_ENTITY,$F166,BD$11,BD$14,,(BD$146))),_xlpm.Res,IF(OR(_xlpm.val="",_xlpm.val="Error"),"",_xlpm.val),_xlpm.Res)</f>
        <v>#NAME?</v>
      </c>
      <c r="BE166" s="1986" t="e" cm="1">
        <f t="array" ca="1" aca="1" ref="BE166">_xlfn.LET(_xlpm.val,IF($F166="",val_blankRefText,_xldudf_CX_GET(CX_ENTITY,$F166,BE$11,BE$14,,(BE$146))),_xlpm.Res,IF(OR(_xlpm.val="",_xlpm.val="Error"),"",_xlpm.val),_xlpm.Res)</f>
        <v>#NAME?</v>
      </c>
      <c r="BF166" s="1986" t="e" cm="1">
        <f t="array" ca="1" aca="1" ref="BF166">_xlfn.LET(_xlpm.val,IF($F166="",val_blankRefText,_xldudf_CX_GET(CX_ENTITY,$F166,BF$11,BF$14,,(BF$146))),_xlpm.Res,IF(OR(_xlpm.val="",_xlpm.val="Error"),"",_xlpm.val),_xlpm.Res)</f>
        <v>#NAME?</v>
      </c>
      <c r="BG166" s="1986" t="e" cm="1">
        <f t="array" ca="1" aca="1" ref="BG166">_xlfn.LET(_xlpm.val,IF($F166="",val_blankRefText,_xldudf_CX_GET(CX_ENTITY,$F166,BG$11,BG$14,,(BG$146))),_xlpm.Res,IF(OR(_xlpm.val="",_xlpm.val="Error"),"",_xlpm.val),_xlpm.Res)</f>
        <v>#NAME?</v>
      </c>
      <c r="BH166" s="1986" t="e" cm="1">
        <f t="array" ca="1" aca="1" ref="BH166">_xlfn.LET(_xlpm.val,IF($F166="",val_blankRefText,_xldudf_CX_GET(CX_ENTITY,$F166,BH$11,BH$14,,(BH$146))),_xlpm.Res,IF(OR(_xlpm.val="",_xlpm.val="Error"),"",_xlpm.val),_xlpm.Res)</f>
        <v>#NAME?</v>
      </c>
      <c r="BI166" s="1986" t="e" cm="1">
        <f t="array" ca="1" aca="1" ref="BI166">_xlfn.LET(_xlpm.val,IF($F166="",val_blankRefText,_xldudf_CX_GET(CX_ENTITY,$F166,BI$11,BI$14,,(BI$146))),_xlpm.Res,IF(OR(_xlpm.val="",_xlpm.val="Error"),"",_xlpm.val),_xlpm.Res)</f>
        <v>#NAME?</v>
      </c>
      <c r="BJ166" s="1986" t="e" cm="1">
        <f t="array" ca="1" aca="1" ref="BJ166">_xlfn.LET(_xlpm.val,IF($F166="",val_blankRefText,_xldudf_CX_GET(CX_ENTITY,$F166,BJ$11,BJ$14,,(BJ$146))),_xlpm.Res,IF(OR(_xlpm.val="",_xlpm.val="Error"),"",_xlpm.val),_xlpm.Res)</f>
        <v>#NAME?</v>
      </c>
      <c r="BK166" s="1986" t="e" cm="1">
        <f t="array" ca="1" aca="1" ref="BK166">_xlfn.LET(_xlpm.val,IF($F166="",val_blankRefText,_xldudf_CX_GET(CX_ENTITY,$F166,BK$11,BK$14,,(BK$146))),_xlpm.Res,IF(OR(_xlpm.val="",_xlpm.val="Error"),"",_xlpm.val),_xlpm.Res)</f>
        <v>#NAME?</v>
      </c>
      <c r="BL166" s="1986" t="e" cm="1">
        <f t="array" ca="1" aca="1" ref="BL166">_xlfn.LET(_xlpm.val,IF($F166="",val_blankRefText,_xldudf_CX_GET(CX_ENTITY,$F166,BL$11,BL$14,,(BL$146))),_xlpm.Res,IF(OR(_xlpm.val="",_xlpm.val="Error"),"",_xlpm.val),_xlpm.Res)</f>
        <v>#NAME?</v>
      </c>
      <c r="BM166" s="1986" t="e" cm="1">
        <f t="array" ca="1" aca="1" ref="BM166">_xlfn.LET(_xlpm.val,IF($F166="",val_blankRefText,_xldudf_CX_GET(CX_ENTITY,$F166,BM$11,BM$14,,(BM$146))),_xlpm.Res,IF(OR(_xlpm.val="",_xlpm.val="Error"),"",_xlpm.val),_xlpm.Res)</f>
        <v>#NAME?</v>
      </c>
      <c r="BN166" s="1986" t="e" cm="1">
        <f t="array" ca="1" aca="1" ref="BN166">_xlfn.LET(_xlpm.val,IF($F166="",val_blankRefText,_xldudf_CX_GET(CX_ENTITY,$F166,BN$11,BN$14,,(BN$146))),_xlpm.Res,IF(OR(_xlpm.val="",_xlpm.val="Error"),"",_xlpm.val),_xlpm.Res)</f>
        <v>#NAME?</v>
      </c>
      <c r="BO166" s="2103"/>
      <c r="BP166" s="2103"/>
      <c r="BQ166" s="2103"/>
      <c r="BR166" s="2103"/>
      <c r="BS166" s="2103"/>
      <c r="BT166" s="2103"/>
      <c r="BU166" s="2103"/>
      <c r="BV166" s="2103"/>
      <c r="BW166" s="2103"/>
      <c r="BX166" s="2103"/>
      <c r="BY166" s="2103"/>
      <c r="BZ166" s="2103"/>
      <c r="CA166" s="34"/>
      <c r="CC166" s="299"/>
      <c r="CD166" s="1461" t="e" cm="1">
        <f t="array" ca="1" aca="1" ref="CD166">_xlfn.LET(_xlpm.CheckBlank,SUM(PL!$AD166:$BN166)=0,IF(_xlpm.CheckBlank,"",SUM(_xlfn._xlws.FILTER(PL!$AD166:$BN166,(YEAR(PL!$AD$12:$BN$12)=PL!CD$12)*(array_timeline&lt;=PL!CD$11)))))</f>
        <v>#NAME?</v>
      </c>
      <c r="CE166" s="1461" t="e" cm="1">
        <f t="array" ca="1" aca="1" ref="CE166">_xlfn.LET(_xlpm.CheckBlank,SUM(PL!$AD166:$BN166)=0,IF(_xlpm.CheckBlank,"",SUM(_xlfn._xlws.FILTER(PL!$AD166:$BN166,(YEAR(PL!$AD$12:$BN$12)=PL!CE$12)*(array_timeline&lt;=PL!CE$11)))))</f>
        <v>#NAME?</v>
      </c>
      <c r="CF166" s="88"/>
      <c r="CG166" s="1461" t="e" cm="1">
        <f t="array" ca="1" aca="1" ref="CG166">_xlfn.LET(_xlpm.CheckBlank,SUM(PL!$AD166:$BN166)=0,IF(_xlpm.CheckBlank,"",SUM(_xlfn._xlws.FILTER(PL!$AD166:$BN166,(YEAR(PL!$AD$12:$BN$12)=PL!CG$12)*(array_timeline&lt;=PL!CG$11)))))</f>
        <v>#NAME?</v>
      </c>
      <c r="CH166" s="1461" t="e" cm="1">
        <f t="array" ca="1" aca="1" ref="CH166">_xlfn.LET(_xlpm.CheckBlank,SUM(PL!$AD166:$BN166)=0,IF(_xlpm.CheckBlank,"",SUM(_xlfn._xlws.FILTER(PL!$AD166:$BN166,(YEAR(PL!$AD$12:$BN$12)=PL!CH$12)*(array_timeline&lt;=PL!CH$11)))))</f>
        <v>#NAME?</v>
      </c>
      <c r="CI166" s="88"/>
      <c r="CJ166" s="1461" cm="1">
        <f t="array" ref="CJ166">_xlfn.LET(_xlpm.CheckBlank,SUM(PL!$AD166:$BN166)=0,IF(_xlpm.CheckBlank,"",SUM(_xlfn.TAKE(_xlfn.DROP(PL!$AD166:$BN166,,-DATEDIFF(PL!CJ$11,val_asOfDate,"M")),1,-12))))</f>
        <v>12</v>
      </c>
      <c r="CK166" s="1461" cm="1">
        <f t="array" ref="CK166">_xlfn.LET(_xlpm.CheckBlank,SUM(PL!$AD166:$BN166)=0,IF(_xlpm.CheckBlank,"",SUM(_xlfn.TAKE(_xlfn.DROP(PL!$AD166:$BN166,,-DATEDIFF(PL!CK$11,val_asOfDate,"M")),1,-12))))</f>
        <v>12</v>
      </c>
      <c r="CL166" s="88"/>
      <c r="CM166" s="1986" t="e" cm="1">
        <f t="array" ca="1" aca="1" ref="CM166">_xlfn.LET(_xlpm.val,IF($F166="",val_blankRefText,_xldudf_CX_GET(CX_ENTITY,$F166,CM$11,CM$14,,(CM$160))),_xlpm.Res,IF(OR(_xlpm.val="",_xlpm.val="Error"),"",_xlpm.val),_xlpm.Res)</f>
        <v>#NAME?</v>
      </c>
      <c r="CN166" s="1986" t="e" cm="1">
        <f t="array" ca="1" aca="1" ref="CN166">_xlfn.LET(_xlpm.val,IF($F166="",val_blankRefText,_xldudf_CX_GET(CX_ENTITY,$F166,CN$11,CN$14,,(CN$160))),_xlpm.Res,IF(OR(_xlpm.val="",_xlpm.val="Error"),"",_xlpm.val),_xlpm.Res)</f>
        <v>#NAME?</v>
      </c>
      <c r="CO166" s="1169"/>
      <c r="CP166" s="1986" t="e" cm="1">
        <f t="array" ca="1" aca="1" ref="CP166">_xlfn.LET(_xlpm.val,IF($F166="",val_blankRefText,_xldudf_CX_GET(CX_ENTITY,$F166,CP$11,CP$14,,(CP$160))),_xlpm.Res,IF(OR(_xlpm.val="",_xlpm.val="Error"),"",_xlpm.val),_xlpm.Res)</f>
        <v>#NAME?</v>
      </c>
      <c r="CQ166" s="1986" t="e" cm="1">
        <f t="array" ca="1" aca="1" ref="CQ166">_xlfn.LET(_xlpm.val,IF($F166="",val_blankRefText,_xldudf_CX_GET(CX_ENTITY,$F166,CQ$11,CQ$14,,(CQ$160))),_xlpm.Res,IF(OR(_xlpm.val="",_xlpm.val="Error"),"",_xlpm.val),_xlpm.Res)</f>
        <v>#NAME?</v>
      </c>
      <c r="CR166" s="34"/>
    </row>
    <row r="167" spans="1:96" ht="21" customHeight="1" outlineLevel="1">
      <c r="A167" s="1322"/>
      <c r="B167" s="577" t="s">
        <v>139</v>
      </c>
      <c r="C167" s="577" t="s">
        <v>1620</v>
      </c>
      <c r="D167" s="577"/>
      <c r="E167" s="577" t="e" cm="1">
        <f t="array" ca="1" aca="1" ref="E167">_xlfn.LET(_xlpm.Attr,$C167,_xlpm.Lookback,$E$16,_xlpm.QueryDate,EOMONTH(val_asOfDate,_xlpm.Lookback),_xlpm.ReadField,_xldudf_CX_GET(CX_ENTITY,fx_attrConverter($C167),_xlpm.QueryDate),_xlpm.AttrBlank,_xlpm.Attr="",_xlpm.RESULT,IF(_xlpm.AttrBlank,val_blankRefText,fx_attrConverter(_xlpm.ReadField,0)),IF(_xlpm.RESULT="Error","",_xlpm.RESULT))</f>
        <v>#NAME?</v>
      </c>
      <c r="F167" s="577" t="str">
        <f t="shared" si="46"/>
        <v>Earning Metric Adjustment Type II - Amount 6</v>
      </c>
      <c r="G167" s="577" t="s">
        <v>1615</v>
      </c>
      <c r="H167" s="510">
        <v>0</v>
      </c>
      <c r="I167" s="3278">
        <v>1</v>
      </c>
      <c r="J167" s="30"/>
      <c r="K167" s="30"/>
      <c r="L167" s="579" t="b">
        <v>0</v>
      </c>
      <c r="N167" s="158"/>
      <c r="O167" s="101"/>
      <c r="P167" s="52"/>
      <c r="Q167" s="101"/>
      <c r="R167" s="101"/>
      <c r="S167" s="101"/>
      <c r="T167" s="101"/>
      <c r="U167" s="39"/>
      <c r="W167" s="91" t="str">
        <f>W163</f>
        <v>Actual</v>
      </c>
      <c r="X167" s="884" t="s">
        <v>62</v>
      </c>
      <c r="Y167" s="1555" t="e">
        <f t="shared" ca="1" si="47"/>
        <v>#NAME?</v>
      </c>
      <c r="Z167" s="198" cm="1">
        <f t="array" ref="Z167">_xlfn.SWITCH(TRUE,ISBLANK(_PL!$L167),"",_PL!$L167=TRUE,1,_PL!$L167=FALSE,-1,_PL!$L167=-1,0,"n/a")</f>
        <v>-1</v>
      </c>
      <c r="AA167" s="905"/>
      <c r="AB167" s="1128"/>
      <c r="AC167" s="914" t="str" cm="1">
        <f t="array" ref="AC167">_xlfn.LET(_xlpm.Def,IF(_xlfn.XMATCH(AB167,tbl_acctDef[Term],0)&gt;0,fx_getIcon("find"),""),_xlpm.Adj,IF(_xlfn.XMATCH(AB167,tbl_adjExample[Items],0)&gt;0,fx_getIcon("find"),""),IFERROR(IFBLANK(_xlpm.Def,_xlpm.Adj),""))</f>
        <v/>
      </c>
      <c r="AD167" s="1986" t="e" cm="1">
        <f t="array" ca="1" aca="1" ref="AD167">_xlfn.LET(_xlpm.val,IF($F167="",val_blankRefText,_xldudf_CX_GET(CX_ENTITY,$F167,AD$11,AD$14,,(AD$146))),_xlpm.Res,IF(OR(_xlpm.val="",_xlpm.val="Error"),"",_xlpm.val),_xlpm.Res)</f>
        <v>#NAME?</v>
      </c>
      <c r="AE167" s="1986" t="e" cm="1">
        <f t="array" ca="1" aca="1" ref="AE167">_xlfn.LET(_xlpm.val,IF($F167="",val_blankRefText,_xldudf_CX_GET(CX_ENTITY,$F167,AE$11,AE$14,,(AE$146))),_xlpm.Res,IF(OR(_xlpm.val="",_xlpm.val="Error"),"",_xlpm.val),_xlpm.Res)</f>
        <v>#NAME?</v>
      </c>
      <c r="AF167" s="1986" t="e" cm="1">
        <f t="array" ca="1" aca="1" ref="AF167">_xlfn.LET(_xlpm.val,IF($F167="",val_blankRefText,_xldudf_CX_GET(CX_ENTITY,$F167,AF$11,AF$14,,(AF$146))),_xlpm.Res,IF(OR(_xlpm.val="",_xlpm.val="Error"),"",_xlpm.val),_xlpm.Res)</f>
        <v>#NAME?</v>
      </c>
      <c r="AG167" s="1986" t="e" cm="1">
        <f t="array" ca="1" aca="1" ref="AG167">_xlfn.LET(_xlpm.val,IF($F167="",val_blankRefText,_xldudf_CX_GET(CX_ENTITY,$F167,AG$11,AG$14,,(AG$146))),_xlpm.Res,IF(OR(_xlpm.val="",_xlpm.val="Error"),"",_xlpm.val),_xlpm.Res)</f>
        <v>#NAME?</v>
      </c>
      <c r="AH167" s="1986" t="e" cm="1">
        <f t="array" ca="1" aca="1" ref="AH167">_xlfn.LET(_xlpm.val,IF($F167="",val_blankRefText,_xldudf_CX_GET(CX_ENTITY,$F167,AH$11,AH$14,,(AH$146))),_xlpm.Res,IF(OR(_xlpm.val="",_xlpm.val="Error"),"",_xlpm.val),_xlpm.Res)</f>
        <v>#NAME?</v>
      </c>
      <c r="AI167" s="1986" t="e" cm="1">
        <f t="array" ca="1" aca="1" ref="AI167">_xlfn.LET(_xlpm.val,IF($F167="",val_blankRefText,_xldudf_CX_GET(CX_ENTITY,$F167,AI$11,AI$14,,(AI$146))),_xlpm.Res,IF(OR(_xlpm.val="",_xlpm.val="Error"),"",_xlpm.val),_xlpm.Res)</f>
        <v>#NAME?</v>
      </c>
      <c r="AJ167" s="1986" t="e" cm="1">
        <f t="array" ca="1" aca="1" ref="AJ167">_xlfn.LET(_xlpm.val,IF($F167="",val_blankRefText,_xldudf_CX_GET(CX_ENTITY,$F167,AJ$11,AJ$14,,(AJ$146))),_xlpm.Res,IF(OR(_xlpm.val="",_xlpm.val="Error"),"",_xlpm.val),_xlpm.Res)</f>
        <v>#NAME?</v>
      </c>
      <c r="AK167" s="1986" t="e" cm="1">
        <f t="array" ca="1" aca="1" ref="AK167">_xlfn.LET(_xlpm.val,IF($F167="",val_blankRefText,_xldudf_CX_GET(CX_ENTITY,$F167,AK$11,AK$14,,(AK$146))),_xlpm.Res,IF(OR(_xlpm.val="",_xlpm.val="Error"),"",_xlpm.val),_xlpm.Res)</f>
        <v>#NAME?</v>
      </c>
      <c r="AL167" s="1986" t="e" cm="1">
        <f t="array" ca="1" aca="1" ref="AL167">_xlfn.LET(_xlpm.val,IF($F167="",val_blankRefText,_xldudf_CX_GET(CX_ENTITY,$F167,AL$11,AL$14,,(AL$146))),_xlpm.Res,IF(OR(_xlpm.val="",_xlpm.val="Error"),"",_xlpm.val),_xlpm.Res)</f>
        <v>#NAME?</v>
      </c>
      <c r="AM167" s="1986" t="e" cm="1">
        <f t="array" ca="1" aca="1" ref="AM167">_xlfn.LET(_xlpm.val,IF($F167="",val_blankRefText,_xldudf_CX_GET(CX_ENTITY,$F167,AM$11,AM$14,,(AM$146))),_xlpm.Res,IF(OR(_xlpm.val="",_xlpm.val="Error"),"",_xlpm.val),_xlpm.Res)</f>
        <v>#NAME?</v>
      </c>
      <c r="AN167" s="1986" t="e" cm="1">
        <f t="array" ca="1" aca="1" ref="AN167">_xlfn.LET(_xlpm.val,IF($F167="",val_blankRefText,_xldudf_CX_GET(CX_ENTITY,$F167,AN$11,AN$14,,(AN$146))),_xlpm.Res,IF(OR(_xlpm.val="",_xlpm.val="Error"),"",_xlpm.val),_xlpm.Res)</f>
        <v>#NAME?</v>
      </c>
      <c r="AO167" s="1986" t="e" cm="1">
        <f t="array" ca="1" aca="1" ref="AO167">_xlfn.LET(_xlpm.val,IF($F167="",val_blankRefText,_xldudf_CX_GET(CX_ENTITY,$F167,AO$11,AO$14,,(AO$146))),_xlpm.Res,IF(OR(_xlpm.val="",_xlpm.val="Error"),"",_xlpm.val),_xlpm.Res)</f>
        <v>#NAME?</v>
      </c>
      <c r="AP167" s="1986" t="e" cm="1">
        <f t="array" ca="1" aca="1" ref="AP167">_xlfn.LET(_xlpm.val,IF($F167="",val_blankRefText,_xldudf_CX_GET(CX_ENTITY,$F167,AP$11,AP$14,,(AP$146))),_xlpm.Res,IF(OR(_xlpm.val="",_xlpm.val="Error"),"",_xlpm.val),_xlpm.Res)</f>
        <v>#NAME?</v>
      </c>
      <c r="AQ167" s="1986" t="e" cm="1">
        <f t="array" ca="1" aca="1" ref="AQ167">_xlfn.LET(_xlpm.val,IF($F167="",val_blankRefText,_xldudf_CX_GET(CX_ENTITY,$F167,AQ$11,AQ$14,,(AQ$146))),_xlpm.Res,IF(OR(_xlpm.val="",_xlpm.val="Error"),"",_xlpm.val),_xlpm.Res)</f>
        <v>#NAME?</v>
      </c>
      <c r="AR167" s="1986" t="e" cm="1">
        <f t="array" ca="1" aca="1" ref="AR167">_xlfn.LET(_xlpm.val,IF($F167="",val_blankRefText,_xldudf_CX_GET(CX_ENTITY,$F167,AR$11,AR$14,,(AR$146))),_xlpm.Res,IF(OR(_xlpm.val="",_xlpm.val="Error"),"",_xlpm.val),_xlpm.Res)</f>
        <v>#NAME?</v>
      </c>
      <c r="AS167" s="1986" t="e" cm="1">
        <f t="array" ca="1" aca="1" ref="AS167">_xlfn.LET(_xlpm.val,IF($F167="",val_blankRefText,_xldudf_CX_GET(CX_ENTITY,$F167,AS$11,AS$14,,(AS$146))),_xlpm.Res,IF(OR(_xlpm.val="",_xlpm.val="Error"),"",_xlpm.val),_xlpm.Res)</f>
        <v>#NAME?</v>
      </c>
      <c r="AT167" s="1986" t="e" cm="1">
        <f t="array" ca="1" aca="1" ref="AT167">_xlfn.LET(_xlpm.val,IF($F167="",val_blankRefText,_xldudf_CX_GET(CX_ENTITY,$F167,AT$11,AT$14,,(AT$146))),_xlpm.Res,IF(OR(_xlpm.val="",_xlpm.val="Error"),"",_xlpm.val),_xlpm.Res)</f>
        <v>#NAME?</v>
      </c>
      <c r="AU167" s="1986" t="e" cm="1">
        <f t="array" ca="1" aca="1" ref="AU167">_xlfn.LET(_xlpm.val,IF($F167="",val_blankRefText,_xldudf_CX_GET(CX_ENTITY,$F167,AU$11,AU$14,,(AU$146))),_xlpm.Res,IF(OR(_xlpm.val="",_xlpm.val="Error"),"",_xlpm.val),_xlpm.Res)</f>
        <v>#NAME?</v>
      </c>
      <c r="AV167" s="1986" t="e" cm="1">
        <f t="array" ca="1" aca="1" ref="AV167">_xlfn.LET(_xlpm.val,IF($F167="",val_blankRefText,_xldudf_CX_GET(CX_ENTITY,$F167,AV$11,AV$14,,(AV$146))),_xlpm.Res,IF(OR(_xlpm.val="",_xlpm.val="Error"),"",_xlpm.val),_xlpm.Res)</f>
        <v>#NAME?</v>
      </c>
      <c r="AW167" s="1986" t="e" cm="1">
        <f t="array" ca="1" aca="1" ref="AW167">_xlfn.LET(_xlpm.val,IF($F167="",val_blankRefText,_xldudf_CX_GET(CX_ENTITY,$F167,AW$11,AW$14,,(AW$146))),_xlpm.Res,IF(OR(_xlpm.val="",_xlpm.val="Error"),"",_xlpm.val),_xlpm.Res)</f>
        <v>#NAME?</v>
      </c>
      <c r="AX167" s="1986" t="e" cm="1">
        <f t="array" ca="1" aca="1" ref="AX167">_xlfn.LET(_xlpm.val,IF($F167="",val_blankRefText,_xldudf_CX_GET(CX_ENTITY,$F167,AX$11,AX$14,,(AX$146))),_xlpm.Res,IF(OR(_xlpm.val="",_xlpm.val="Error"),"",_xlpm.val),_xlpm.Res)</f>
        <v>#NAME?</v>
      </c>
      <c r="AY167" s="1986" t="e" cm="1">
        <f t="array" ca="1" aca="1" ref="AY167">_xlfn.LET(_xlpm.val,IF($F167="",val_blankRefText,_xldudf_CX_GET(CX_ENTITY,$F167,AY$11,AY$14,,(AY$146))),_xlpm.Res,IF(OR(_xlpm.val="",_xlpm.val="Error"),"",_xlpm.val),_xlpm.Res)</f>
        <v>#NAME?</v>
      </c>
      <c r="AZ167" s="1986" t="e" cm="1">
        <f t="array" ca="1" aca="1" ref="AZ167">_xlfn.LET(_xlpm.val,IF($F167="",val_blankRefText,_xldudf_CX_GET(CX_ENTITY,$F167,AZ$11,AZ$14,,(AZ$146))),_xlpm.Res,IF(OR(_xlpm.val="",_xlpm.val="Error"),"",_xlpm.val),_xlpm.Res)</f>
        <v>#NAME?</v>
      </c>
      <c r="BA167" s="1986" t="e" cm="1">
        <f t="array" ca="1" aca="1" ref="BA167">_xlfn.LET(_xlpm.val,IF($F167="",val_blankRefText,_xldudf_CX_GET(CX_ENTITY,$F167,BA$11,BA$14,,(BA$146))),_xlpm.Res,IF(OR(_xlpm.val="",_xlpm.val="Error"),"",_xlpm.val),_xlpm.Res)</f>
        <v>#NAME?</v>
      </c>
      <c r="BB167" s="1986" t="e" cm="1">
        <f t="array" ca="1" aca="1" ref="BB167">_xlfn.LET(_xlpm.val,IF($F167="",val_blankRefText,_xldudf_CX_GET(CX_ENTITY,$F167,BB$11,BB$14,,(BB$146))),_xlpm.Res,IF(OR(_xlpm.val="",_xlpm.val="Error"),"",_xlpm.val),_xlpm.Res)</f>
        <v>#NAME?</v>
      </c>
      <c r="BC167" s="1986" t="e" cm="1">
        <f t="array" ca="1" aca="1" ref="BC167">_xlfn.LET(_xlpm.val,IF($F167="",val_blankRefText,_xldudf_CX_GET(CX_ENTITY,$F167,BC$11,BC$14,,(BC$146))),_xlpm.Res,IF(OR(_xlpm.val="",_xlpm.val="Error"),"",_xlpm.val),_xlpm.Res)</f>
        <v>#NAME?</v>
      </c>
      <c r="BD167" s="1986" t="e" cm="1">
        <f t="array" ca="1" aca="1" ref="BD167">_xlfn.LET(_xlpm.val,IF($F167="",val_blankRefText,_xldudf_CX_GET(CX_ENTITY,$F167,BD$11,BD$14,,(BD$146))),_xlpm.Res,IF(OR(_xlpm.val="",_xlpm.val="Error"),"",_xlpm.val),_xlpm.Res)</f>
        <v>#NAME?</v>
      </c>
      <c r="BE167" s="1986" t="e" cm="1">
        <f t="array" ca="1" aca="1" ref="BE167">_xlfn.LET(_xlpm.val,IF($F167="",val_blankRefText,_xldudf_CX_GET(CX_ENTITY,$F167,BE$11,BE$14,,(BE$146))),_xlpm.Res,IF(OR(_xlpm.val="",_xlpm.val="Error"),"",_xlpm.val),_xlpm.Res)</f>
        <v>#NAME?</v>
      </c>
      <c r="BF167" s="1986" t="e" cm="1">
        <f t="array" ca="1" aca="1" ref="BF167">_xlfn.LET(_xlpm.val,IF($F167="",val_blankRefText,_xldudf_CX_GET(CX_ENTITY,$F167,BF$11,BF$14,,(BF$146))),_xlpm.Res,IF(OR(_xlpm.val="",_xlpm.val="Error"),"",_xlpm.val),_xlpm.Res)</f>
        <v>#NAME?</v>
      </c>
      <c r="BG167" s="1986" t="e" cm="1">
        <f t="array" ca="1" aca="1" ref="BG167">_xlfn.LET(_xlpm.val,IF($F167="",val_blankRefText,_xldudf_CX_GET(CX_ENTITY,$F167,BG$11,BG$14,,(BG$146))),_xlpm.Res,IF(OR(_xlpm.val="",_xlpm.val="Error"),"",_xlpm.val),_xlpm.Res)</f>
        <v>#NAME?</v>
      </c>
      <c r="BH167" s="1986" t="e" cm="1">
        <f t="array" ca="1" aca="1" ref="BH167">_xlfn.LET(_xlpm.val,IF($F167="",val_blankRefText,_xldudf_CX_GET(CX_ENTITY,$F167,BH$11,BH$14,,(BH$146))),_xlpm.Res,IF(OR(_xlpm.val="",_xlpm.val="Error"),"",_xlpm.val),_xlpm.Res)</f>
        <v>#NAME?</v>
      </c>
      <c r="BI167" s="1986" t="e" cm="1">
        <f t="array" ca="1" aca="1" ref="BI167">_xlfn.LET(_xlpm.val,IF($F167="",val_blankRefText,_xldudf_CX_GET(CX_ENTITY,$F167,BI$11,BI$14,,(BI$146))),_xlpm.Res,IF(OR(_xlpm.val="",_xlpm.val="Error"),"",_xlpm.val),_xlpm.Res)</f>
        <v>#NAME?</v>
      </c>
      <c r="BJ167" s="1986" t="e" cm="1">
        <f t="array" ca="1" aca="1" ref="BJ167">_xlfn.LET(_xlpm.val,IF($F167="",val_blankRefText,_xldudf_CX_GET(CX_ENTITY,$F167,BJ$11,BJ$14,,(BJ$146))),_xlpm.Res,IF(OR(_xlpm.val="",_xlpm.val="Error"),"",_xlpm.val),_xlpm.Res)</f>
        <v>#NAME?</v>
      </c>
      <c r="BK167" s="1986" t="e" cm="1">
        <f t="array" ca="1" aca="1" ref="BK167">_xlfn.LET(_xlpm.val,IF($F167="",val_blankRefText,_xldudf_CX_GET(CX_ENTITY,$F167,BK$11,BK$14,,(BK$146))),_xlpm.Res,IF(OR(_xlpm.val="",_xlpm.val="Error"),"",_xlpm.val),_xlpm.Res)</f>
        <v>#NAME?</v>
      </c>
      <c r="BL167" s="1986" t="e" cm="1">
        <f t="array" ca="1" aca="1" ref="BL167">_xlfn.LET(_xlpm.val,IF($F167="",val_blankRefText,_xldudf_CX_GET(CX_ENTITY,$F167,BL$11,BL$14,,(BL$146))),_xlpm.Res,IF(OR(_xlpm.val="",_xlpm.val="Error"),"",_xlpm.val),_xlpm.Res)</f>
        <v>#NAME?</v>
      </c>
      <c r="BM167" s="1986" t="e" cm="1">
        <f t="array" ca="1" aca="1" ref="BM167">_xlfn.LET(_xlpm.val,IF($F167="",val_blankRefText,_xldudf_CX_GET(CX_ENTITY,$F167,BM$11,BM$14,,(BM$146))),_xlpm.Res,IF(OR(_xlpm.val="",_xlpm.val="Error"),"",_xlpm.val),_xlpm.Res)</f>
        <v>#NAME?</v>
      </c>
      <c r="BN167" s="1986" t="e" cm="1">
        <f t="array" ca="1" aca="1" ref="BN167">_xlfn.LET(_xlpm.val,IF($F167="",val_blankRefText,_xldudf_CX_GET(CX_ENTITY,$F167,BN$11,BN$14,,(BN$146))),_xlpm.Res,IF(OR(_xlpm.val="",_xlpm.val="Error"),"",_xlpm.val),_xlpm.Res)</f>
        <v>#NAME?</v>
      </c>
      <c r="BO167" s="2103"/>
      <c r="BP167" s="2103"/>
      <c r="BQ167" s="2103"/>
      <c r="BR167" s="2103"/>
      <c r="BS167" s="2103"/>
      <c r="BT167" s="2103"/>
      <c r="BU167" s="2103"/>
      <c r="BV167" s="2103"/>
      <c r="BW167" s="2103"/>
      <c r="BX167" s="2103"/>
      <c r="BY167" s="2103"/>
      <c r="BZ167" s="2103"/>
      <c r="CA167" s="34"/>
      <c r="CC167" s="299"/>
      <c r="CD167" s="1461" t="e" cm="1">
        <f t="array" ca="1" aca="1" ref="CD167">_xlfn.LET(_xlpm.CheckBlank,SUM(PL!$AD167:$BN167)=0,IF(_xlpm.CheckBlank,"",SUM(_xlfn._xlws.FILTER(PL!$AD167:$BN167,(YEAR(PL!$AD$12:$BN$12)=PL!CD$12)*(array_timeline&lt;=PL!CD$11)))))</f>
        <v>#NAME?</v>
      </c>
      <c r="CE167" s="1461" t="e" cm="1">
        <f t="array" ca="1" aca="1" ref="CE167">_xlfn.LET(_xlpm.CheckBlank,SUM(PL!$AD167:$BN167)=0,IF(_xlpm.CheckBlank,"",SUM(_xlfn._xlws.FILTER(PL!$AD167:$BN167,(YEAR(PL!$AD$12:$BN$12)=PL!CE$12)*(array_timeline&lt;=PL!CE$11)))))</f>
        <v>#NAME?</v>
      </c>
      <c r="CF167" s="88"/>
      <c r="CG167" s="1461" t="e" cm="1">
        <f t="array" ca="1" aca="1" ref="CG167">_xlfn.LET(_xlpm.CheckBlank,SUM(PL!$AD167:$BN167)=0,IF(_xlpm.CheckBlank,"",SUM(_xlfn._xlws.FILTER(PL!$AD167:$BN167,(YEAR(PL!$AD$12:$BN$12)=PL!CG$12)*(array_timeline&lt;=PL!CG$11)))))</f>
        <v>#NAME?</v>
      </c>
      <c r="CH167" s="1461" t="e" cm="1">
        <f t="array" ca="1" aca="1" ref="CH167">_xlfn.LET(_xlpm.CheckBlank,SUM(PL!$AD167:$BN167)=0,IF(_xlpm.CheckBlank,"",SUM(_xlfn._xlws.FILTER(PL!$AD167:$BN167,(YEAR(PL!$AD$12:$BN$12)=PL!CH$12)*(array_timeline&lt;=PL!CH$11)))))</f>
        <v>#NAME?</v>
      </c>
      <c r="CI167" s="88"/>
      <c r="CJ167" s="1461" cm="1">
        <f t="array" ref="CJ167">_xlfn.LET(_xlpm.CheckBlank,SUM(PL!$AD167:$BN167)=0,IF(_xlpm.CheckBlank,"",SUM(_xlfn.TAKE(_xlfn.DROP(PL!$AD167:$BN167,,-DATEDIFF(PL!CJ$11,val_asOfDate,"M")),1,-12))))</f>
        <v>12</v>
      </c>
      <c r="CK167" s="1461" cm="1">
        <f t="array" ref="CK167">_xlfn.LET(_xlpm.CheckBlank,SUM(PL!$AD167:$BN167)=0,IF(_xlpm.CheckBlank,"",SUM(_xlfn.TAKE(_xlfn.DROP(PL!$AD167:$BN167,,-DATEDIFF(PL!CK$11,val_asOfDate,"M")),1,-12))))</f>
        <v>12</v>
      </c>
      <c r="CL167" s="88"/>
      <c r="CM167" s="1986" t="e" cm="1">
        <f t="array" ca="1" aca="1" ref="CM167">_xlfn.LET(_xlpm.val,IF($F167="",val_blankRefText,_xldudf_CX_GET(CX_ENTITY,$F167,CM$11,CM$14,,(CM$160))),_xlpm.Res,IF(OR(_xlpm.val="",_xlpm.val="Error"),"",_xlpm.val),_xlpm.Res)</f>
        <v>#NAME?</v>
      </c>
      <c r="CN167" s="1986" t="e" cm="1">
        <f t="array" ca="1" aca="1" ref="CN167">_xlfn.LET(_xlpm.val,IF($F167="",val_blankRefText,_xldudf_CX_GET(CX_ENTITY,$F167,CN$11,CN$14,,(CN$160))),_xlpm.Res,IF(OR(_xlpm.val="",_xlpm.val="Error"),"",_xlpm.val),_xlpm.Res)</f>
        <v>#NAME?</v>
      </c>
      <c r="CO167" s="1169"/>
      <c r="CP167" s="1986" t="e" cm="1">
        <f t="array" ca="1" aca="1" ref="CP167">_xlfn.LET(_xlpm.val,IF($F167="",val_blankRefText,_xldudf_CX_GET(CX_ENTITY,$F167,CP$11,CP$14,,(CP$160))),_xlpm.Res,IF(OR(_xlpm.val="",_xlpm.val="Error"),"",_xlpm.val),_xlpm.Res)</f>
        <v>#NAME?</v>
      </c>
      <c r="CQ167" s="1986" t="e" cm="1">
        <f t="array" ca="1" aca="1" ref="CQ167">_xlfn.LET(_xlpm.val,IF($F167="",val_blankRefText,_xldudf_CX_GET(CX_ENTITY,$F167,CQ$11,CQ$14,,(CQ$160))),_xlpm.Res,IF(OR(_xlpm.val="",_xlpm.val="Error"),"",_xlpm.val),_xlpm.Res)</f>
        <v>#NAME?</v>
      </c>
      <c r="CR167" s="34"/>
    </row>
    <row r="168" spans="1:96" ht="21" customHeight="1" outlineLevel="1">
      <c r="A168" s="1322"/>
      <c r="B168" s="1328" t="s">
        <v>140</v>
      </c>
      <c r="C168" s="1328" t="s">
        <v>1621</v>
      </c>
      <c r="D168" s="1328"/>
      <c r="E168" s="1328"/>
      <c r="F168" s="1328" t="str">
        <f t="shared" si="46"/>
        <v>Adjusted Earning Amount</v>
      </c>
      <c r="G168" s="1328" t="s">
        <v>1615</v>
      </c>
      <c r="H168" s="3281">
        <v>2</v>
      </c>
      <c r="I168" s="3281">
        <v>1</v>
      </c>
      <c r="J168" s="1334"/>
      <c r="K168" s="1334"/>
      <c r="L168" s="589">
        <v>-1</v>
      </c>
      <c r="N168" s="158"/>
      <c r="O168" s="101"/>
      <c r="P168" s="52"/>
      <c r="Q168" s="101"/>
      <c r="R168" s="101"/>
      <c r="S168" s="101"/>
      <c r="T168" s="101"/>
      <c r="U168" s="39"/>
      <c r="W168" s="268" t="str">
        <f>W161</f>
        <v>Actual</v>
      </c>
      <c r="X168" s="893">
        <v>0</v>
      </c>
      <c r="Y168" s="1127" t="e" cm="1">
        <f t="array" ca="1" aca="1" ref="Y168">IFBLANK(_xldudf_CX_GET(CX_ENTITY,fx_attrConverter(C168),val_asOfDate),"Please name your Like-for-like Earning Metric")</f>
        <v>#NAME?</v>
      </c>
      <c r="Z168" s="538" cm="1">
        <f t="array" ref="Z168">_xlfn.SWITCH(TRUE,ISBLANK(_PL!$L168),"",_PL!$L168=TRUE,1,_PL!$L168=FALSE,-1,_PL!$L168=-1,0,"n/a")</f>
        <v>0</v>
      </c>
      <c r="AA168" s="787"/>
      <c r="AB168" s="1133" t="s">
        <v>950</v>
      </c>
      <c r="AC168" s="1163" t="str" cm="1">
        <f t="array" ref="AC168">_xlfn.LET(_xlpm.Def,IF(_xlfn.XMATCH(AB168,tbl_acctDef[Term],0)&gt;0,fx_getIcon("find"),""),_xlpm.Adj,IF(_xlfn.XMATCH(AB168,tbl_adjExample[Items],0)&gt;0,fx_getIcon("find"),""),IFERROR(IFBLANK(_xlpm.Def,_xlpm.Adj),""))</f>
        <v/>
      </c>
      <c r="AD168" s="1132" t="e" cm="1">
        <f t="array" ca="1" aca="1" ref="AD168">_xlfn.LET(_xlpm.val,IF($F168="",val_blankRefText,_xldudf_CX_GET(CX_ENTITY,$F168,AD$11,AD$14,,(AD$146))),_xlpm.Res,IF(OR(_xlpm.val="",_xlpm.val="Error"),"",_xlpm.val),_xlpm.Res)</f>
        <v>#NAME?</v>
      </c>
      <c r="AE168" s="1132" t="e" cm="1">
        <f t="array" ca="1" aca="1" ref="AE168">_xlfn.LET(_xlpm.val,IF($F168="",val_blankRefText,_xldudf_CX_GET(CX_ENTITY,$F168,AE$11,AE$14,,(AE$146))),_xlpm.Res,IF(OR(_xlpm.val="",_xlpm.val="Error"),"",_xlpm.val),_xlpm.Res)</f>
        <v>#NAME?</v>
      </c>
      <c r="AF168" s="910" t="e" cm="1">
        <f t="array" ca="1" aca="1" ref="AF168">_xlfn.LET(_xlpm.val,IF($F168="",val_blankRefText,_xldudf_CX_GET(CX_ENTITY,$F168,AF$11,AF$14,,(AF$146))),_xlpm.Res,IF(OR(_xlpm.val="",_xlpm.val="Error"),"",_xlpm.val),_xlpm.Res)</f>
        <v>#NAME?</v>
      </c>
      <c r="AG168" s="910" t="e" cm="1">
        <f t="array" ca="1" aca="1" ref="AG168">_xlfn.LET(_xlpm.val,IF($F168="",val_blankRefText,_xldudf_CX_GET(CX_ENTITY,$F168,AG$11,AG$14,,(AG$146))),_xlpm.Res,IF(OR(_xlpm.val="",_xlpm.val="Error"),"",_xlpm.val),_xlpm.Res)</f>
        <v>#NAME?</v>
      </c>
      <c r="AH168" s="910" t="e" cm="1">
        <f t="array" ca="1" aca="1" ref="AH168">_xlfn.LET(_xlpm.val,IF($F168="",val_blankRefText,_xldudf_CX_GET(CX_ENTITY,$F168,AH$11,AH$14,,(AH$146))),_xlpm.Res,IF(OR(_xlpm.val="",_xlpm.val="Error"),"",_xlpm.val),_xlpm.Res)</f>
        <v>#NAME?</v>
      </c>
      <c r="AI168" s="910" t="e" cm="1">
        <f t="array" ca="1" aca="1" ref="AI168">_xlfn.LET(_xlpm.val,IF($F168="",val_blankRefText,_xldudf_CX_GET(CX_ENTITY,$F168,AI$11,AI$14,,(AI$146))),_xlpm.Res,IF(OR(_xlpm.val="",_xlpm.val="Error"),"",_xlpm.val),_xlpm.Res)</f>
        <v>#NAME?</v>
      </c>
      <c r="AJ168" s="910" t="e" cm="1">
        <f t="array" ca="1" aca="1" ref="AJ168">_xlfn.LET(_xlpm.val,IF($F168="",val_blankRefText,_xldudf_CX_GET(CX_ENTITY,$F168,AJ$11,AJ$14,,(AJ$146))),_xlpm.Res,IF(OR(_xlpm.val="",_xlpm.val="Error"),"",_xlpm.val),_xlpm.Res)</f>
        <v>#NAME?</v>
      </c>
      <c r="AK168" s="910" t="e" cm="1">
        <f t="array" ca="1" aca="1" ref="AK168">_xlfn.LET(_xlpm.val,IF($F168="",val_blankRefText,_xldudf_CX_GET(CX_ENTITY,$F168,AK$11,AK$14,,(AK$146))),_xlpm.Res,IF(OR(_xlpm.val="",_xlpm.val="Error"),"",_xlpm.val),_xlpm.Res)</f>
        <v>#NAME?</v>
      </c>
      <c r="AL168" s="910" t="e" cm="1">
        <f t="array" ca="1" aca="1" ref="AL168">_xlfn.LET(_xlpm.val,IF($F168="",val_blankRefText,_xldudf_CX_GET(CX_ENTITY,$F168,AL$11,AL$14,,(AL$146))),_xlpm.Res,IF(OR(_xlpm.val="",_xlpm.val="Error"),"",_xlpm.val),_xlpm.Res)</f>
        <v>#NAME?</v>
      </c>
      <c r="AM168" s="910" t="e" cm="1">
        <f t="array" ca="1" aca="1" ref="AM168">_xlfn.LET(_xlpm.val,IF($F168="",val_blankRefText,_xldudf_CX_GET(CX_ENTITY,$F168,AM$11,AM$14,,(AM$146))),_xlpm.Res,IF(OR(_xlpm.val="",_xlpm.val="Error"),"",_xlpm.val),_xlpm.Res)</f>
        <v>#NAME?</v>
      </c>
      <c r="AN168" s="910" t="e" cm="1">
        <f t="array" ca="1" aca="1" ref="AN168">_xlfn.LET(_xlpm.val,IF($F168="",val_blankRefText,_xldudf_CX_GET(CX_ENTITY,$F168,AN$11,AN$14,,(AN$146))),_xlpm.Res,IF(OR(_xlpm.val="",_xlpm.val="Error"),"",_xlpm.val),_xlpm.Res)</f>
        <v>#NAME?</v>
      </c>
      <c r="AO168" s="910" t="e" cm="1">
        <f t="array" ca="1" aca="1" ref="AO168">_xlfn.LET(_xlpm.val,IF($F168="",val_blankRefText,_xldudf_CX_GET(CX_ENTITY,$F168,AO$11,AO$14,,(AO$146))),_xlpm.Res,IF(OR(_xlpm.val="",_xlpm.val="Error"),"",_xlpm.val),_xlpm.Res)</f>
        <v>#NAME?</v>
      </c>
      <c r="AP168" s="910" t="e" cm="1">
        <f t="array" ca="1" aca="1" ref="AP168">_xlfn.LET(_xlpm.val,IF($F168="",val_blankRefText,_xldudf_CX_GET(CX_ENTITY,$F168,AP$11,AP$14,,(AP$146))),_xlpm.Res,IF(OR(_xlpm.val="",_xlpm.val="Error"),"",_xlpm.val),_xlpm.Res)</f>
        <v>#NAME?</v>
      </c>
      <c r="AQ168" s="910" t="e" cm="1">
        <f t="array" ca="1" aca="1" ref="AQ168">_xlfn.LET(_xlpm.val,IF($F168="",val_blankRefText,_xldudf_CX_GET(CX_ENTITY,$F168,AQ$11,AQ$14,,(AQ$146))),_xlpm.Res,IF(OR(_xlpm.val="",_xlpm.val="Error"),"",_xlpm.val),_xlpm.Res)</f>
        <v>#NAME?</v>
      </c>
      <c r="AR168" s="910" t="e" cm="1">
        <f t="array" ca="1" aca="1" ref="AR168">_xlfn.LET(_xlpm.val,IF($F168="",val_blankRefText,_xldudf_CX_GET(CX_ENTITY,$F168,AR$11,AR$14,,(AR$146))),_xlpm.Res,IF(OR(_xlpm.val="",_xlpm.val="Error"),"",_xlpm.val),_xlpm.Res)</f>
        <v>#NAME?</v>
      </c>
      <c r="AS168" s="910" t="e" cm="1">
        <f t="array" ca="1" aca="1" ref="AS168">_xlfn.LET(_xlpm.val,IF($F168="",val_blankRefText,_xldudf_CX_GET(CX_ENTITY,$F168,AS$11,AS$14,,(AS$146))),_xlpm.Res,IF(OR(_xlpm.val="",_xlpm.val="Error"),"",_xlpm.val),_xlpm.Res)</f>
        <v>#NAME?</v>
      </c>
      <c r="AT168" s="910" t="e" cm="1">
        <f t="array" ca="1" aca="1" ref="AT168">_xlfn.LET(_xlpm.val,IF($F168="",val_blankRefText,_xldudf_CX_GET(CX_ENTITY,$F168,AT$11,AT$14,,(AT$146))),_xlpm.Res,IF(OR(_xlpm.val="",_xlpm.val="Error"),"",_xlpm.val),_xlpm.Res)</f>
        <v>#NAME?</v>
      </c>
      <c r="AU168" s="910" t="e" cm="1">
        <f t="array" ca="1" aca="1" ref="AU168">_xlfn.LET(_xlpm.val,IF($F168="",val_blankRefText,_xldudf_CX_GET(CX_ENTITY,$F168,AU$11,AU$14,,(AU$146))),_xlpm.Res,IF(OR(_xlpm.val="",_xlpm.val="Error"),"",_xlpm.val),_xlpm.Res)</f>
        <v>#NAME?</v>
      </c>
      <c r="AV168" s="910" t="e" cm="1">
        <f t="array" ca="1" aca="1" ref="AV168">_xlfn.LET(_xlpm.val,IF($F168="",val_blankRefText,_xldudf_CX_GET(CX_ENTITY,$F168,AV$11,AV$14,,(AV$146))),_xlpm.Res,IF(OR(_xlpm.val="",_xlpm.val="Error"),"",_xlpm.val),_xlpm.Res)</f>
        <v>#NAME?</v>
      </c>
      <c r="AW168" s="910" t="e" cm="1">
        <f t="array" ca="1" aca="1" ref="AW168">_xlfn.LET(_xlpm.val,IF($F168="",val_blankRefText,_xldudf_CX_GET(CX_ENTITY,$F168,AW$11,AW$14,,(AW$146))),_xlpm.Res,IF(OR(_xlpm.val="",_xlpm.val="Error"),"",_xlpm.val),_xlpm.Res)</f>
        <v>#NAME?</v>
      </c>
      <c r="AX168" s="910" t="e" cm="1">
        <f t="array" ca="1" aca="1" ref="AX168">_xlfn.LET(_xlpm.val,IF($F168="",val_blankRefText,_xldudf_CX_GET(CX_ENTITY,$F168,AX$11,AX$14,,(AX$146))),_xlpm.Res,IF(OR(_xlpm.val="",_xlpm.val="Error"),"",_xlpm.val),_xlpm.Res)</f>
        <v>#NAME?</v>
      </c>
      <c r="AY168" s="910" t="e" cm="1">
        <f t="array" ca="1" aca="1" ref="AY168">_xlfn.LET(_xlpm.val,IF($F168="",val_blankRefText,_xldudf_CX_GET(CX_ENTITY,$F168,AY$11,AY$14,,(AY$146))),_xlpm.Res,IF(OR(_xlpm.val="",_xlpm.val="Error"),"",_xlpm.val),_xlpm.Res)</f>
        <v>#NAME?</v>
      </c>
      <c r="AZ168" s="910" t="e" cm="1">
        <f t="array" ca="1" aca="1" ref="AZ168">_xlfn.LET(_xlpm.val,IF($F168="",val_blankRefText,_xldudf_CX_GET(CX_ENTITY,$F168,AZ$11,AZ$14,,(AZ$146))),_xlpm.Res,IF(OR(_xlpm.val="",_xlpm.val="Error"),"",_xlpm.val),_xlpm.Res)</f>
        <v>#NAME?</v>
      </c>
      <c r="BA168" s="910" t="e" cm="1">
        <f t="array" ca="1" aca="1" ref="BA168">_xlfn.LET(_xlpm.val,IF($F168="",val_blankRefText,_xldudf_CX_GET(CX_ENTITY,$F168,BA$11,BA$14,,(BA$146))),_xlpm.Res,IF(OR(_xlpm.val="",_xlpm.val="Error"),"",_xlpm.val),_xlpm.Res)</f>
        <v>#NAME?</v>
      </c>
      <c r="BB168" s="910" t="e" cm="1">
        <f t="array" ca="1" aca="1" ref="BB168">_xlfn.LET(_xlpm.val,IF($F168="",val_blankRefText,_xldudf_CX_GET(CX_ENTITY,$F168,BB$11,BB$14,,(BB$146))),_xlpm.Res,IF(OR(_xlpm.val="",_xlpm.val="Error"),"",_xlpm.val),_xlpm.Res)</f>
        <v>#NAME?</v>
      </c>
      <c r="BC168" s="910" t="e" cm="1">
        <f t="array" ca="1" aca="1" ref="BC168">_xlfn.LET(_xlpm.val,IF($F168="",val_blankRefText,_xldudf_CX_GET(CX_ENTITY,$F168,BC$11,BC$14,,(BC$146))),_xlpm.Res,IF(OR(_xlpm.val="",_xlpm.val="Error"),"",_xlpm.val),_xlpm.Res)</f>
        <v>#NAME?</v>
      </c>
      <c r="BD168" s="910" t="e" cm="1">
        <f t="array" ca="1" aca="1" ref="BD168">_xlfn.LET(_xlpm.val,IF($F168="",val_blankRefText,_xldudf_CX_GET(CX_ENTITY,$F168,BD$11,BD$14,,(BD$146))),_xlpm.Res,IF(OR(_xlpm.val="",_xlpm.val="Error"),"",_xlpm.val),_xlpm.Res)</f>
        <v>#NAME?</v>
      </c>
      <c r="BE168" s="910" t="e" cm="1">
        <f t="array" ca="1" aca="1" ref="BE168">_xlfn.LET(_xlpm.val,IF($F168="",val_blankRefText,_xldudf_CX_GET(CX_ENTITY,$F168,BE$11,BE$14,,(BE$146))),_xlpm.Res,IF(OR(_xlpm.val="",_xlpm.val="Error"),"",_xlpm.val),_xlpm.Res)</f>
        <v>#NAME?</v>
      </c>
      <c r="BF168" s="910" t="e" cm="1">
        <f t="array" ca="1" aca="1" ref="BF168">_xlfn.LET(_xlpm.val,IF($F168="",val_blankRefText,_xldudf_CX_GET(CX_ENTITY,$F168,BF$11,BF$14,,(BF$146))),_xlpm.Res,IF(OR(_xlpm.val="",_xlpm.val="Error"),"",_xlpm.val),_xlpm.Res)</f>
        <v>#NAME?</v>
      </c>
      <c r="BG168" s="910" t="e" cm="1">
        <f t="array" ca="1" aca="1" ref="BG168">_xlfn.LET(_xlpm.val,IF($F168="",val_blankRefText,_xldudf_CX_GET(CX_ENTITY,$F168,BG$11,BG$14,,(BG$146))),_xlpm.Res,IF(OR(_xlpm.val="",_xlpm.val="Error"),"",_xlpm.val),_xlpm.Res)</f>
        <v>#NAME?</v>
      </c>
      <c r="BH168" s="910" t="e" cm="1">
        <f t="array" ca="1" aca="1" ref="BH168">_xlfn.LET(_xlpm.val,IF($F168="",val_blankRefText,_xldudf_CX_GET(CX_ENTITY,$F168,BH$11,BH$14,,(BH$146))),_xlpm.Res,IF(OR(_xlpm.val="",_xlpm.val="Error"),"",_xlpm.val),_xlpm.Res)</f>
        <v>#NAME?</v>
      </c>
      <c r="BI168" s="910" t="e" cm="1">
        <f t="array" ca="1" aca="1" ref="BI168">_xlfn.LET(_xlpm.val,IF($F168="",val_blankRefText,_xldudf_CX_GET(CX_ENTITY,$F168,BI$11,BI$14,,(BI$146))),_xlpm.Res,IF(OR(_xlpm.val="",_xlpm.val="Error"),"",_xlpm.val),_xlpm.Res)</f>
        <v>#NAME?</v>
      </c>
      <c r="BJ168" s="910" t="e" cm="1">
        <f t="array" ca="1" aca="1" ref="BJ168">_xlfn.LET(_xlpm.val,IF($F168="",val_blankRefText,_xldudf_CX_GET(CX_ENTITY,$F168,BJ$11,BJ$14,,(BJ$146))),_xlpm.Res,IF(OR(_xlpm.val="",_xlpm.val="Error"),"",_xlpm.val),_xlpm.Res)</f>
        <v>#NAME?</v>
      </c>
      <c r="BK168" s="910" t="e" cm="1">
        <f t="array" ca="1" aca="1" ref="BK168">_xlfn.LET(_xlpm.val,IF($F168="",val_blankRefText,_xldudf_CX_GET(CX_ENTITY,$F168,BK$11,BK$14,,(BK$146))),_xlpm.Res,IF(OR(_xlpm.val="",_xlpm.val="Error"),"",_xlpm.val),_xlpm.Res)</f>
        <v>#NAME?</v>
      </c>
      <c r="BL168" s="910" t="e" cm="1">
        <f t="array" ca="1" aca="1" ref="BL168">_xlfn.LET(_xlpm.val,IF($F168="",val_blankRefText,_xldudf_CX_GET(CX_ENTITY,$F168,BL$11,BL$14,,(BL$146))),_xlpm.Res,IF(OR(_xlpm.val="",_xlpm.val="Error"),"",_xlpm.val),_xlpm.Res)</f>
        <v>#NAME?</v>
      </c>
      <c r="BM168" s="910" t="e" cm="1">
        <f t="array" ca="1" aca="1" ref="BM168">_xlfn.LET(_xlpm.val,IF($F168="",val_blankRefText,_xldudf_CX_GET(CX_ENTITY,$F168,BM$11,BM$14,,(BM$146))),_xlpm.Res,IF(OR(_xlpm.val="",_xlpm.val="Error"),"",_xlpm.val),_xlpm.Res)</f>
        <v>#NAME?</v>
      </c>
      <c r="BN168" s="910" t="e" cm="1">
        <f t="array" ca="1" aca="1" ref="BN168">_xlfn.LET(_xlpm.val,IF($F168="",val_blankRefText,_xldudf_CX_GET(CX_ENTITY,$F168,BN$11,BN$14,,(BN$146))),_xlpm.Res,IF(OR(_xlpm.val="",_xlpm.val="Error"),"",_xlpm.val),_xlpm.Res)</f>
        <v>#NAME?</v>
      </c>
      <c r="BO168" s="2107"/>
      <c r="BP168" s="2107"/>
      <c r="BQ168" s="2107"/>
      <c r="BR168" s="2107"/>
      <c r="BS168" s="2107"/>
      <c r="BT168" s="2107"/>
      <c r="BU168" s="2107"/>
      <c r="BV168" s="2107"/>
      <c r="BW168" s="2107"/>
      <c r="BX168" s="2107"/>
      <c r="BY168" s="2107"/>
      <c r="BZ168" s="2107"/>
      <c r="CA168" s="34"/>
      <c r="CC168" s="33"/>
      <c r="CD168" s="1461" t="str" cm="1">
        <f t="array" ca="1" aca="1" ref="CD168:CE168">IF(ISNUMBER(CD161:CE161),_xlfn.BYCOL(_xlfn.VSTACK(CD161:CE161,CD162:CE167),_xleta.SUM),"")</f>
        <v/>
      </c>
      <c r="CE168" s="1461" t="str">
        <f ca="1"/>
        <v/>
      </c>
      <c r="CF168" s="88"/>
      <c r="CG168" s="1461" t="str" cm="1">
        <f t="array" ca="1" aca="1" ref="CG168:CH168">IF(ISNUMBER(CG161:CH161),_xlfn.BYCOL(_xlfn.VSTACK(CG161:CH161,CG162:CH167),_xleta.SUM),"")</f>
        <v/>
      </c>
      <c r="CH168" s="1461" t="str">
        <f ca="1"/>
        <v/>
      </c>
      <c r="CI168" s="88"/>
      <c r="CJ168" s="1461" cm="1">
        <f t="array" ref="CJ168:CK168">IF(ISNUMBER(CJ161:CK161),_xlfn.BYCOL(_xlfn.VSTACK(CJ161:CK161,CJ162:CK167),_xleta.SUM),"")</f>
        <v>60</v>
      </c>
      <c r="CK168" s="1461">
        <v>60</v>
      </c>
      <c r="CL168" s="88"/>
      <c r="CM168" s="1201" t="str" cm="1">
        <f t="array" ca="1" aca="1" ref="CM168:CN168">IF(ISNUMBER(CM161:CN161),_xlfn.BYCOL(_xlfn.VSTACK(CM161:CN161,CM162:CN167),_xleta.SUM),"")</f>
        <v/>
      </c>
      <c r="CN168" s="1202" t="str">
        <f ca="1"/>
        <v/>
      </c>
      <c r="CO168" s="88"/>
      <c r="CP168" s="1201" t="str" cm="1">
        <f t="array" ca="1" aca="1" ref="CP168:CQ168">IF(ISNUMBER(CP161:CQ161),_xlfn.BYCOL(_xlfn.VSTACK(CP161:CQ161,CP162:CQ167),_xleta.SUM),"")</f>
        <v/>
      </c>
      <c r="CQ168" s="1202" t="str">
        <f ca="1"/>
        <v/>
      </c>
      <c r="CR168" s="34"/>
    </row>
    <row r="169" spans="1:96" ht="18" outlineLevel="2">
      <c r="A169" s="1322"/>
      <c r="B169" s="577"/>
      <c r="C169" s="577"/>
      <c r="D169" s="574"/>
      <c r="E169" s="574"/>
      <c r="F169" s="577"/>
      <c r="G169" s="577"/>
      <c r="H169" s="510"/>
      <c r="I169" s="510"/>
      <c r="J169" s="30"/>
      <c r="K169" s="30"/>
      <c r="L169" s="30"/>
      <c r="N169" s="158"/>
      <c r="O169" s="101"/>
      <c r="P169" s="52"/>
      <c r="Q169" s="101"/>
      <c r="R169" s="101"/>
      <c r="S169" s="101"/>
      <c r="T169" s="101"/>
      <c r="U169" s="39"/>
      <c r="W169" s="794"/>
      <c r="X169" s="887"/>
      <c r="Y169" s="324"/>
      <c r="Z169" s="795"/>
      <c r="AA169" s="97"/>
      <c r="AB169" s="97"/>
      <c r="AC169" s="128"/>
      <c r="AD169" s="796"/>
      <c r="AE169" s="796"/>
      <c r="AF169" s="796"/>
      <c r="AG169" s="796"/>
      <c r="AH169" s="796"/>
      <c r="AI169" s="796"/>
      <c r="AJ169" s="796"/>
      <c r="AK169" s="796"/>
      <c r="AL169" s="796"/>
      <c r="AM169" s="796"/>
      <c r="AN169" s="796"/>
      <c r="AO169" s="796"/>
      <c r="AP169" s="796"/>
      <c r="AQ169" s="796"/>
      <c r="AR169" s="796"/>
      <c r="AS169" s="796"/>
      <c r="AT169" s="796"/>
      <c r="AU169" s="796"/>
      <c r="AV169" s="796"/>
      <c r="AW169" s="796"/>
      <c r="AX169" s="796"/>
      <c r="AY169" s="796"/>
      <c r="AZ169" s="796"/>
      <c r="BA169" s="796"/>
      <c r="BB169" s="796"/>
      <c r="BC169" s="796"/>
      <c r="BD169" s="796"/>
      <c r="BE169" s="796"/>
      <c r="BF169" s="796"/>
      <c r="BG169" s="796"/>
      <c r="BH169" s="796"/>
      <c r="BI169" s="796"/>
      <c r="BJ169" s="796"/>
      <c r="BK169" s="796"/>
      <c r="BL169" s="796"/>
      <c r="BM169" s="796"/>
      <c r="BN169" s="796"/>
      <c r="BO169" s="796"/>
      <c r="BP169" s="796"/>
      <c r="BQ169" s="796"/>
      <c r="BR169" s="796"/>
      <c r="BS169" s="796"/>
      <c r="BT169" s="796"/>
      <c r="BU169" s="796"/>
      <c r="BV169" s="796"/>
      <c r="BW169" s="796"/>
      <c r="BX169" s="796"/>
      <c r="BY169" s="796"/>
      <c r="BZ169" s="796"/>
      <c r="CA169" s="34"/>
      <c r="CC169" s="797"/>
      <c r="CD169" s="1354"/>
      <c r="CE169" s="1354"/>
      <c r="CF169" s="1354"/>
      <c r="CG169" s="1354"/>
      <c r="CH169" s="1354"/>
      <c r="CI169" s="88"/>
      <c r="CJ169" s="796"/>
      <c r="CK169" s="796"/>
      <c r="CL169" s="88"/>
      <c r="CM169" s="88"/>
      <c r="CN169" s="88"/>
      <c r="CO169" s="88"/>
      <c r="CP169" s="88"/>
      <c r="CQ169" s="88"/>
      <c r="CR169" s="34"/>
    </row>
    <row r="170" spans="1:96" ht="22.5" outlineLevel="1">
      <c r="A170" s="1322"/>
      <c r="B170" s="577"/>
      <c r="C170" s="577"/>
      <c r="D170" s="574"/>
      <c r="E170" s="574"/>
      <c r="F170" s="577"/>
      <c r="G170" s="577"/>
      <c r="H170" s="510"/>
      <c r="I170" s="510"/>
      <c r="J170" s="30"/>
      <c r="K170" s="30"/>
      <c r="L170" s="30"/>
      <c r="N170" s="158"/>
      <c r="O170" s="101"/>
      <c r="P170" s="52"/>
      <c r="Q170" s="101"/>
      <c r="R170" s="101"/>
      <c r="S170" s="101"/>
      <c r="T170" s="101"/>
      <c r="U170" s="39"/>
      <c r="W170" s="165"/>
      <c r="X170" s="887"/>
      <c r="Y170" s="155"/>
      <c r="Z170" s="788"/>
      <c r="AA170" s="97"/>
      <c r="AB170" s="97"/>
      <c r="AC170" s="128"/>
      <c r="AD170" s="164"/>
      <c r="AE170" s="164"/>
      <c r="AF170" s="164"/>
      <c r="AG170" s="164"/>
      <c r="AH170" s="164"/>
      <c r="AI170" s="164"/>
      <c r="AJ170" s="164"/>
      <c r="AK170" s="164"/>
      <c r="AL170" s="164"/>
      <c r="AM170" s="164"/>
      <c r="AN170" s="164"/>
      <c r="AO170" s="164"/>
      <c r="AP170" s="164"/>
      <c r="AQ170" s="164"/>
      <c r="AR170" s="164"/>
      <c r="AS170" s="164"/>
      <c r="AT170" s="164"/>
      <c r="AU170" s="164"/>
      <c r="AV170" s="164"/>
      <c r="AW170" s="164"/>
      <c r="AX170" s="164"/>
      <c r="AY170" s="164"/>
      <c r="AZ170" s="164"/>
      <c r="BA170" s="164"/>
      <c r="BB170" s="164"/>
      <c r="BC170" s="164"/>
      <c r="BD170" s="164"/>
      <c r="BE170" s="164"/>
      <c r="BF170" s="164"/>
      <c r="BG170" s="164"/>
      <c r="BH170" s="164"/>
      <c r="BI170" s="164"/>
      <c r="BJ170" s="164"/>
      <c r="BK170" s="164"/>
      <c r="BL170" s="164"/>
      <c r="BM170" s="164"/>
      <c r="BN170" s="164"/>
      <c r="BO170" s="164"/>
      <c r="BP170" s="164"/>
      <c r="BQ170" s="164"/>
      <c r="BR170" s="164"/>
      <c r="BS170" s="164"/>
      <c r="BT170" s="164"/>
      <c r="BU170" s="164"/>
      <c r="BV170" s="164"/>
      <c r="BW170" s="164"/>
      <c r="BX170" s="164"/>
      <c r="BY170" s="164"/>
      <c r="BZ170" s="164"/>
      <c r="CA170" s="34"/>
      <c r="CC170" s="50"/>
      <c r="CD170" s="3018" t="s">
        <v>41</v>
      </c>
      <c r="CE170" s="3019"/>
      <c r="CF170" s="1472"/>
      <c r="CG170" s="3020" t="s">
        <v>109</v>
      </c>
      <c r="CH170" s="3021"/>
      <c r="CI170" s="1473"/>
      <c r="CJ170" s="3022" t="s">
        <v>43</v>
      </c>
      <c r="CK170" s="3023"/>
      <c r="CL170" s="1473"/>
      <c r="CM170" s="3015" t="s">
        <v>44</v>
      </c>
      <c r="CN170" s="3016"/>
      <c r="CO170" s="1470"/>
      <c r="CP170" s="3015" t="s">
        <v>45</v>
      </c>
      <c r="CQ170" s="3016"/>
      <c r="CR170" s="34"/>
    </row>
    <row r="171" spans="1:96" ht="18" customHeight="1">
      <c r="A171" s="1322"/>
      <c r="B171" s="577"/>
      <c r="C171" s="577"/>
      <c r="D171" s="577"/>
      <c r="E171" s="577"/>
      <c r="F171" s="577"/>
      <c r="G171" s="577"/>
      <c r="H171" s="578"/>
      <c r="I171" s="578"/>
      <c r="J171" s="578"/>
      <c r="K171" s="578"/>
      <c r="L171" s="578"/>
      <c r="N171" s="158"/>
      <c r="O171" s="101"/>
      <c r="P171" s="52"/>
      <c r="Q171" s="2"/>
      <c r="R171" s="101"/>
      <c r="S171" s="2"/>
      <c r="T171" s="2"/>
      <c r="U171" s="39"/>
      <c r="W171" s="3045" t="str" cm="1">
        <f t="array" ref="W171">fx_scenarioConverter("Actual")</f>
        <v>Actual</v>
      </c>
      <c r="X171" s="1247"/>
      <c r="Y171" s="3040" t="s">
        <v>143</v>
      </c>
      <c r="Z171" s="1248" t="s">
        <v>82</v>
      </c>
      <c r="AA171" s="1249"/>
      <c r="AB171" s="1630"/>
      <c r="AC171" s="1273"/>
      <c r="AD171" s="859"/>
      <c r="AE171" s="859"/>
      <c r="AF171" s="859"/>
      <c r="AG171" s="859"/>
      <c r="AH171" s="859"/>
      <c r="AI171" s="859"/>
      <c r="AJ171" s="859"/>
      <c r="AK171" s="859"/>
      <c r="AL171" s="859"/>
      <c r="AM171" s="859"/>
      <c r="AN171" s="859"/>
      <c r="AO171" s="859"/>
      <c r="AP171" s="859"/>
      <c r="AQ171" s="859"/>
      <c r="AR171" s="859"/>
      <c r="AS171" s="859"/>
      <c r="AT171" s="859"/>
      <c r="AU171" s="859"/>
      <c r="AV171" s="859"/>
      <c r="AW171" s="859"/>
      <c r="AX171" s="859"/>
      <c r="AY171" s="859"/>
      <c r="AZ171" s="859"/>
      <c r="BA171" s="859"/>
      <c r="BB171" s="859"/>
      <c r="BC171" s="859"/>
      <c r="BD171" s="859"/>
      <c r="BE171" s="859"/>
      <c r="BF171" s="859"/>
      <c r="BG171" s="859"/>
      <c r="BH171" s="859"/>
      <c r="BI171" s="859"/>
      <c r="BJ171" s="859"/>
      <c r="BK171" s="859"/>
      <c r="BL171" s="859"/>
      <c r="BM171" s="859"/>
      <c r="BN171" s="859"/>
      <c r="BO171" s="542"/>
      <c r="BP171" s="542"/>
      <c r="BQ171" s="542"/>
      <c r="BR171" s="542"/>
      <c r="BS171" s="542"/>
      <c r="BT171" s="542"/>
      <c r="BU171" s="542"/>
      <c r="BV171" s="542"/>
      <c r="BW171" s="542"/>
      <c r="BX171" s="542"/>
      <c r="BY171" s="542"/>
      <c r="BZ171" s="542"/>
      <c r="CA171" s="34"/>
      <c r="CC171" s="33"/>
      <c r="CD171" s="1343" t="e" cm="1">
        <f t="array" ca="1" aca="1" ref="CD171">YEAR(val_currentFYE)-2</f>
        <v>#NAME?</v>
      </c>
      <c r="CE171" s="1344" t="e" cm="1">
        <f t="array" ca="1" aca="1" ref="CE171">YEAR(val_currentFYE)-1</f>
        <v>#NAME?</v>
      </c>
      <c r="CF171" s="88"/>
      <c r="CG171" s="1350" t="e" cm="1">
        <f t="array" ca="1" aca="1" ref="CG171">YEAR(val_currentFYE)</f>
        <v>#NAME?</v>
      </c>
      <c r="CH171" s="1351" t="e" cm="1">
        <f t="array" ca="1" aca="1" ref="CH171">YEAR(val_currentFYE)</f>
        <v>#NAME?</v>
      </c>
      <c r="CI171" s="170"/>
      <c r="CJ171" s="208" t="s">
        <v>54</v>
      </c>
      <c r="CK171" s="209" t="s">
        <v>54</v>
      </c>
      <c r="CL171" s="88"/>
      <c r="CM171" s="1664"/>
      <c r="CN171" s="1665"/>
      <c r="CO171" s="88"/>
      <c r="CP171" s="1664"/>
      <c r="CQ171" s="1665"/>
      <c r="CR171" s="34"/>
    </row>
    <row r="172" spans="1:96" ht="18" customHeight="1">
      <c r="A172" s="1322"/>
      <c r="B172" s="577"/>
      <c r="C172" s="577"/>
      <c r="D172" s="577"/>
      <c r="E172" s="577"/>
      <c r="F172" s="577"/>
      <c r="G172" s="577"/>
      <c r="H172" s="578"/>
      <c r="I172" s="578"/>
      <c r="J172" s="578"/>
      <c r="K172" s="578"/>
      <c r="L172" s="578"/>
      <c r="N172" s="158"/>
      <c r="O172" s="101"/>
      <c r="P172" s="52"/>
      <c r="Q172" s="2"/>
      <c r="R172" s="101"/>
      <c r="S172" s="2"/>
      <c r="T172" s="2"/>
      <c r="U172" s="39"/>
      <c r="W172" s="3046"/>
      <c r="X172" s="1250"/>
      <c r="Y172" s="3041"/>
      <c r="Z172" s="1251"/>
      <c r="AA172" s="1252"/>
      <c r="AB172" s="1631"/>
      <c r="AC172" s="1162"/>
      <c r="AD172" s="1253"/>
      <c r="AE172" s="1253"/>
      <c r="AF172" s="1253"/>
      <c r="AG172" s="1253"/>
      <c r="AH172" s="1253"/>
      <c r="AI172" s="1253"/>
      <c r="AJ172" s="1253"/>
      <c r="AK172" s="1253"/>
      <c r="AL172" s="1253"/>
      <c r="AM172" s="1253"/>
      <c r="AN172" s="1253"/>
      <c r="AO172" s="1253"/>
      <c r="AP172" s="1253"/>
      <c r="AQ172" s="1253"/>
      <c r="AR172" s="1253"/>
      <c r="AS172" s="1253"/>
      <c r="AT172" s="1253"/>
      <c r="AU172" s="1253"/>
      <c r="AV172" s="1253"/>
      <c r="AW172" s="1253"/>
      <c r="AX172" s="1253"/>
      <c r="AY172" s="1253"/>
      <c r="AZ172" s="1253"/>
      <c r="BA172" s="1253"/>
      <c r="BB172" s="1253"/>
      <c r="BC172" s="1253"/>
      <c r="BD172" s="1253"/>
      <c r="BE172" s="1253"/>
      <c r="BF172" s="1253"/>
      <c r="BG172" s="1253"/>
      <c r="BH172" s="1253"/>
      <c r="BI172" s="1253"/>
      <c r="BJ172" s="1253"/>
      <c r="BK172" s="1253"/>
      <c r="BL172" s="1253"/>
      <c r="BM172" s="1253"/>
      <c r="BN172" s="1253"/>
      <c r="BO172" s="2099"/>
      <c r="BP172" s="2099"/>
      <c r="BQ172" s="2099"/>
      <c r="BR172" s="2099"/>
      <c r="BS172" s="2099"/>
      <c r="BT172" s="2099"/>
      <c r="BU172" s="2099"/>
      <c r="BV172" s="2099"/>
      <c r="BW172" s="2099"/>
      <c r="BX172" s="2099"/>
      <c r="BY172" s="2099"/>
      <c r="BZ172" s="2099"/>
      <c r="CA172" s="34"/>
      <c r="CC172" s="33"/>
      <c r="CD172" s="1341"/>
      <c r="CE172" s="1342"/>
      <c r="CF172" s="88"/>
      <c r="CG172" s="1350"/>
      <c r="CH172" s="1351"/>
      <c r="CI172" s="170"/>
      <c r="CJ172" s="1348"/>
      <c r="CK172" s="1349"/>
      <c r="CL172" s="88"/>
      <c r="CM172" s="1666"/>
      <c r="CN172" s="1667"/>
      <c r="CO172" s="88"/>
      <c r="CP172" s="1666"/>
      <c r="CQ172" s="1667"/>
      <c r="CR172" s="34"/>
    </row>
    <row r="173" spans="1:96" ht="30.75" customHeight="1" outlineLevel="1">
      <c r="A173" s="1322"/>
      <c r="B173" s="583"/>
      <c r="C173" s="583"/>
      <c r="D173" s="583"/>
      <c r="E173" s="583"/>
      <c r="F173" s="577"/>
      <c r="G173" s="577" t="s">
        <v>1622</v>
      </c>
      <c r="H173" s="1333"/>
      <c r="I173" s="1333">
        <v>3</v>
      </c>
      <c r="J173" s="572"/>
      <c r="K173" s="572"/>
      <c r="L173" s="572"/>
      <c r="N173" s="158"/>
      <c r="O173" s="101"/>
      <c r="P173" s="52"/>
      <c r="Q173" s="101"/>
      <c r="R173" s="101"/>
      <c r="S173" s="101"/>
      <c r="T173" s="101"/>
      <c r="U173" s="39"/>
      <c r="W173" s="161"/>
      <c r="X173" s="887"/>
      <c r="Y173" s="186"/>
      <c r="Z173" s="789"/>
      <c r="AA173" s="1629"/>
      <c r="AB173" s="162"/>
      <c r="AC173" s="195"/>
      <c r="AD173" s="977" cm="1">
        <f t="array" ref="AD173:BN173">EOMONTH(val_asOfDate,_xlfn.SEQUENCE(1,37,-36,1))</f>
        <v>44926</v>
      </c>
      <c r="AE173" s="977">
        <v>44957</v>
      </c>
      <c r="AF173" s="977">
        <v>44985</v>
      </c>
      <c r="AG173" s="977">
        <v>45016</v>
      </c>
      <c r="AH173" s="977">
        <v>45046</v>
      </c>
      <c r="AI173" s="977">
        <v>45077</v>
      </c>
      <c r="AJ173" s="977">
        <v>45107</v>
      </c>
      <c r="AK173" s="977">
        <v>45138</v>
      </c>
      <c r="AL173" s="977">
        <v>45169</v>
      </c>
      <c r="AM173" s="977">
        <v>45199</v>
      </c>
      <c r="AN173" s="977">
        <v>45230</v>
      </c>
      <c r="AO173" s="977">
        <v>45260</v>
      </c>
      <c r="AP173" s="977">
        <v>45291</v>
      </c>
      <c r="AQ173" s="977">
        <v>45322</v>
      </c>
      <c r="AR173" s="977">
        <v>45351</v>
      </c>
      <c r="AS173" s="977">
        <v>45382</v>
      </c>
      <c r="AT173" s="977">
        <v>45412</v>
      </c>
      <c r="AU173" s="977">
        <v>45443</v>
      </c>
      <c r="AV173" s="977">
        <v>45473</v>
      </c>
      <c r="AW173" s="977">
        <v>45504</v>
      </c>
      <c r="AX173" s="977">
        <v>45535</v>
      </c>
      <c r="AY173" s="977">
        <v>45565</v>
      </c>
      <c r="AZ173" s="977">
        <v>45596</v>
      </c>
      <c r="BA173" s="977">
        <v>45626</v>
      </c>
      <c r="BB173" s="977">
        <v>45657</v>
      </c>
      <c r="BC173" s="977">
        <v>45688</v>
      </c>
      <c r="BD173" s="977">
        <v>45716</v>
      </c>
      <c r="BE173" s="977">
        <v>45747</v>
      </c>
      <c r="BF173" s="977">
        <v>45777</v>
      </c>
      <c r="BG173" s="977">
        <v>45808</v>
      </c>
      <c r="BH173" s="977">
        <v>45838</v>
      </c>
      <c r="BI173" s="977">
        <v>45869</v>
      </c>
      <c r="BJ173" s="977">
        <v>45900</v>
      </c>
      <c r="BK173" s="977">
        <v>45930</v>
      </c>
      <c r="BL173" s="977">
        <v>45961</v>
      </c>
      <c r="BM173" s="977">
        <v>45991</v>
      </c>
      <c r="BN173" s="978">
        <v>46022</v>
      </c>
      <c r="BO173" s="2090"/>
      <c r="BP173" s="2090"/>
      <c r="BQ173" s="2090"/>
      <c r="BR173" s="2090"/>
      <c r="BS173" s="2090"/>
      <c r="BT173" s="2090"/>
      <c r="BU173" s="2090"/>
      <c r="BV173" s="2090"/>
      <c r="BW173" s="2090"/>
      <c r="BX173" s="2090"/>
      <c r="BY173" s="2090"/>
      <c r="BZ173" s="2090"/>
      <c r="CA173" s="34"/>
      <c r="CC173" s="298"/>
      <c r="CD173" s="1716" t="e" cm="1">
        <f t="array" ca="1" aca="1" ref="CD173">EOMONTH(val_currentFYE,-24)</f>
        <v>#NAME?</v>
      </c>
      <c r="CE173" s="1717" t="e" cm="1">
        <f t="array" ca="1" aca="1" ref="CE173">EOMONTH(val_currentFYE,-12)</f>
        <v>#NAME?</v>
      </c>
      <c r="CF173" s="277"/>
      <c r="CG173" s="1715">
        <f>EOMONTH(val_asOfDate,-1)</f>
        <v>45991</v>
      </c>
      <c r="CH173" s="1715">
        <f>EOMONTH(val_asOfDate,0)</f>
        <v>46022</v>
      </c>
      <c r="CI173" s="276"/>
      <c r="CJ173" s="1709">
        <f>EOMONTH(val_asOfDate,-1)</f>
        <v>45991</v>
      </c>
      <c r="CK173" s="1710">
        <f>EOMONTH(val_asOfDate,0)</f>
        <v>46022</v>
      </c>
      <c r="CL173" s="88"/>
      <c r="CM173" s="1718" t="e" cm="1">
        <f t="array" ca="1" aca="1" ref="CM173">val_currentFYE</f>
        <v>#NAME?</v>
      </c>
      <c r="CN173" s="1719" t="e" cm="1">
        <f t="array" ca="1" aca="1" ref="CN173">val_currentFYE</f>
        <v>#NAME?</v>
      </c>
      <c r="CO173" s="88"/>
      <c r="CP173" s="1728" t="e" cm="1">
        <f t="array" ca="1" aca="1" ref="CP173">EOMONTH(val_currentFYE,12)</f>
        <v>#NAME?</v>
      </c>
      <c r="CQ173" s="1728" t="e" cm="1">
        <f t="array" ca="1" aca="1" ref="CQ173">EOMONTH(val_currentFYE,12)</f>
        <v>#NAME?</v>
      </c>
      <c r="CR173" s="34"/>
    </row>
    <row r="174" spans="1:96" ht="30.75" customHeight="1" outlineLevel="1">
      <c r="A174" s="1322"/>
      <c r="B174" s="1328"/>
      <c r="C174" s="1328"/>
      <c r="D174" s="1328"/>
      <c r="E174" s="1328"/>
      <c r="F174" s="1329"/>
      <c r="G174" s="1328"/>
      <c r="H174" s="588"/>
      <c r="I174" s="588"/>
      <c r="J174" s="1334"/>
      <c r="K174" s="1334"/>
      <c r="L174" s="1334"/>
      <c r="N174" s="158"/>
      <c r="O174" s="101"/>
      <c r="P174" s="52"/>
      <c r="Q174" s="101"/>
      <c r="R174" s="101"/>
      <c r="S174" s="101"/>
      <c r="T174" s="101"/>
      <c r="U174" s="39"/>
      <c r="W174" s="751" t="s">
        <v>94</v>
      </c>
      <c r="X174" s="896"/>
      <c r="Y174" s="762" t="s">
        <v>118</v>
      </c>
      <c r="Z174" s="790"/>
      <c r="AA174" s="193"/>
      <c r="AB174" s="193"/>
      <c r="AC174" s="125"/>
      <c r="AD174" s="2622" t="str">
        <f>$W$171</f>
        <v>Actual</v>
      </c>
      <c r="AE174" s="2622" t="str">
        <f t="shared" si="48" ref="AE174:BN174">$W$171</f>
        <v>Actual</v>
      </c>
      <c r="AF174" s="2622" t="str">
        <f t="shared" si="48"/>
        <v>Actual</v>
      </c>
      <c r="AG174" s="2622" t="str">
        <f t="shared" si="48"/>
        <v>Actual</v>
      </c>
      <c r="AH174" s="2622" t="str">
        <f t="shared" si="48"/>
        <v>Actual</v>
      </c>
      <c r="AI174" s="2622" t="str">
        <f t="shared" si="48"/>
        <v>Actual</v>
      </c>
      <c r="AJ174" s="2622" t="str">
        <f t="shared" si="48"/>
        <v>Actual</v>
      </c>
      <c r="AK174" s="2622" t="str">
        <f t="shared" si="48"/>
        <v>Actual</v>
      </c>
      <c r="AL174" s="2622" t="str">
        <f t="shared" si="48"/>
        <v>Actual</v>
      </c>
      <c r="AM174" s="2622" t="str">
        <f t="shared" si="48"/>
        <v>Actual</v>
      </c>
      <c r="AN174" s="2622" t="str">
        <f t="shared" si="48"/>
        <v>Actual</v>
      </c>
      <c r="AO174" s="2622" t="str">
        <f t="shared" si="48"/>
        <v>Actual</v>
      </c>
      <c r="AP174" s="2622" t="str">
        <f t="shared" si="48"/>
        <v>Actual</v>
      </c>
      <c r="AQ174" s="2622" t="str">
        <f t="shared" si="48"/>
        <v>Actual</v>
      </c>
      <c r="AR174" s="2622" t="str">
        <f t="shared" si="48"/>
        <v>Actual</v>
      </c>
      <c r="AS174" s="2622" t="str">
        <f t="shared" si="48"/>
        <v>Actual</v>
      </c>
      <c r="AT174" s="2622" t="str">
        <f t="shared" si="48"/>
        <v>Actual</v>
      </c>
      <c r="AU174" s="2622" t="str">
        <f t="shared" si="48"/>
        <v>Actual</v>
      </c>
      <c r="AV174" s="2622" t="str">
        <f t="shared" si="48"/>
        <v>Actual</v>
      </c>
      <c r="AW174" s="2622" t="str">
        <f t="shared" si="48"/>
        <v>Actual</v>
      </c>
      <c r="AX174" s="2622" t="str">
        <f t="shared" si="48"/>
        <v>Actual</v>
      </c>
      <c r="AY174" s="2622" t="str">
        <f t="shared" si="48"/>
        <v>Actual</v>
      </c>
      <c r="AZ174" s="2622" t="str">
        <f t="shared" si="48"/>
        <v>Actual</v>
      </c>
      <c r="BA174" s="2622" t="str">
        <f t="shared" si="48"/>
        <v>Actual</v>
      </c>
      <c r="BB174" s="2622" t="str">
        <f t="shared" si="48"/>
        <v>Actual</v>
      </c>
      <c r="BC174" s="2622" t="str">
        <f t="shared" si="48"/>
        <v>Actual</v>
      </c>
      <c r="BD174" s="2622" t="str">
        <f t="shared" si="48"/>
        <v>Actual</v>
      </c>
      <c r="BE174" s="2622" t="str">
        <f t="shared" si="48"/>
        <v>Actual</v>
      </c>
      <c r="BF174" s="2622" t="str">
        <f t="shared" si="48"/>
        <v>Actual</v>
      </c>
      <c r="BG174" s="2622" t="str">
        <f t="shared" si="48"/>
        <v>Actual</v>
      </c>
      <c r="BH174" s="2622" t="str">
        <f t="shared" si="48"/>
        <v>Actual</v>
      </c>
      <c r="BI174" s="2622" t="str">
        <f t="shared" si="48"/>
        <v>Actual</v>
      </c>
      <c r="BJ174" s="2622" t="str">
        <f t="shared" si="48"/>
        <v>Actual</v>
      </c>
      <c r="BK174" s="2622" t="str">
        <f t="shared" si="48"/>
        <v>Actual</v>
      </c>
      <c r="BL174" s="2622" t="str">
        <f t="shared" si="48"/>
        <v>Actual</v>
      </c>
      <c r="BM174" s="2622" t="str">
        <f t="shared" si="48"/>
        <v>Actual</v>
      </c>
      <c r="BN174" s="2622" t="str">
        <f t="shared" si="48"/>
        <v>Actual</v>
      </c>
      <c r="BO174" s="2070"/>
      <c r="BP174" s="2070"/>
      <c r="BQ174" s="2070"/>
      <c r="BR174" s="2070"/>
      <c r="BS174" s="2070"/>
      <c r="BT174" s="2070"/>
      <c r="BU174" s="2070"/>
      <c r="BV174" s="2070"/>
      <c r="BW174" s="2070"/>
      <c r="BX174" s="2070"/>
      <c r="BY174" s="2070"/>
      <c r="BZ174" s="2070"/>
      <c r="CA174" s="34"/>
      <c r="CC174" s="58"/>
      <c r="CD174" s="2622" t="str">
        <f t="shared" si="49" ref="CD174:CE174">$W$171</f>
        <v>Actual</v>
      </c>
      <c r="CE174" s="2622" t="str">
        <f t="shared" si="49"/>
        <v>Actual</v>
      </c>
      <c r="CF174" s="278"/>
      <c r="CG174" s="2622" t="str">
        <f t="shared" si="50" ref="CG174:CH174">$W$171</f>
        <v>Actual</v>
      </c>
      <c r="CH174" s="2622" t="str">
        <f t="shared" si="50"/>
        <v>Actual</v>
      </c>
      <c r="CI174" s="278"/>
      <c r="CJ174" s="2622" t="str">
        <f t="shared" si="51" ref="CJ174:CK174">$W$171</f>
        <v>Actual</v>
      </c>
      <c r="CK174" s="2622" t="str">
        <f t="shared" si="51"/>
        <v>Actual</v>
      </c>
      <c r="CL174" s="88"/>
      <c r="CM174" s="1819" t="str">
        <f>$CM$19</f>
        <v>Original Budget</v>
      </c>
      <c r="CN174" s="1819" t="str">
        <f>$CN$19</f>
        <v>LE</v>
      </c>
      <c r="CO174" s="1205"/>
      <c r="CP174" s="1819" t="str">
        <f>$CP$19</f>
        <v>Original Budget</v>
      </c>
      <c r="CQ174" s="1819" t="str">
        <f>$CQ$19</f>
        <v>LE</v>
      </c>
      <c r="CR174" s="34"/>
    </row>
    <row r="175" spans="1:96" ht="21" customHeight="1" outlineLevel="1">
      <c r="A175" s="1322"/>
      <c r="B175" s="577" t="s">
        <v>144</v>
      </c>
      <c r="C175" s="577" t="s">
        <v>1623</v>
      </c>
      <c r="D175" s="577"/>
      <c r="E175" s="577" t="e" cm="1">
        <f t="array" ca="1" aca="1" ref="E175">IFBLANK(_xldudf_CX_GET(CX_ENTITY,fx_attrConverter(C175),val_asOfDate),PL!D175)</f>
        <v>#NAME?</v>
      </c>
      <c r="F175" s="577" t="str">
        <f>IF($B175&lt;&gt;"",$B175,$E175)</f>
        <v>Valuation Metric Amount</v>
      </c>
      <c r="G175" s="577" t="s">
        <v>1622</v>
      </c>
      <c r="H175" s="3287">
        <v>2</v>
      </c>
      <c r="I175" s="3287">
        <v>1</v>
      </c>
      <c r="J175" s="30"/>
      <c r="K175" s="30"/>
      <c r="L175" s="578">
        <v>-1</v>
      </c>
      <c r="N175" s="158"/>
      <c r="O175" s="101"/>
      <c r="P175" s="52"/>
      <c r="Q175" s="101"/>
      <c r="R175" s="101"/>
      <c r="S175" s="101"/>
      <c r="T175" s="101"/>
      <c r="U175" s="39"/>
      <c r="W175" s="91" t="str">
        <f>W171</f>
        <v>Actual</v>
      </c>
      <c r="X175" s="900" t="e" vm="4" cm="1">
        <f t="array" ref="X175">fx_getIcon("select")</f>
        <v>#VALUE!</v>
      </c>
      <c r="Y175" s="1127" t="e" cm="1">
        <f t="array" ca="1" aca="1" ref="Y175">IFBLANK(_xldudf_CX_GET(CX_ENTITY,fx_attrConverter(C175),val_asOfDate),"Please select your Valuation Metric")</f>
        <v>#NAME?</v>
      </c>
      <c r="Z175" s="878"/>
      <c r="AA175" s="877"/>
      <c r="AB175" s="1133" t="str" cm="1">
        <f t="array" ca="1" aca="1" ref="AB175">IFERROR(_xlfn.XLOOKUP($Y175,$Y$41:$Y50,$AB$20:$AB$41),"")</f>
        <v/>
      </c>
      <c r="AC175" s="1163" t="str" cm="1">
        <f t="array" ca="1" aca="1" ref="AC175">_xlfn.LET(_xlpm.Def,IF(_xlfn.XMATCH(AB175,tbl_acctDef[Term],0)&gt;0,fx_getIcon("find"),""),_xlpm.Adj,IF(_xlfn.XMATCH(AB175,tbl_adjExample[Items],0)&gt;0,fx_getIcon("find"),""),IFERROR(IFBLANK(_xlpm.Def,_xlpm.Adj),""))</f>
        <v/>
      </c>
      <c r="AD175" s="1132" t="e" cm="1">
        <f t="array" ca="1" aca="1" ref="AD175">_xlfn.LET(_xlpm.val,IF($F175="",val_blankRefText,_xldudf_CX_GET(CX_ENTITY,$F175,AD$11,AD$14,,(AD$146))),_xlpm.Res,IF(OR(_xlpm.val="",_xlpm.val="Error"),"",_xlpm.val),_xlpm.Res)</f>
        <v>#NAME?</v>
      </c>
      <c r="AE175" s="1132" t="e" cm="1">
        <f t="array" ca="1" aca="1" ref="AE175">_xlfn.LET(_xlpm.val,IF($F175="",val_blankRefText,_xldudf_CX_GET(CX_ENTITY,$F175,AE$11,AE$14,,(AE$146))),_xlpm.Res,IF(OR(_xlpm.val="",_xlpm.val="Error"),"",_xlpm.val),_xlpm.Res)</f>
        <v>#NAME?</v>
      </c>
      <c r="AF175" s="910" t="e" cm="1">
        <f t="array" ca="1" aca="1" ref="AF175">_xlfn.LET(_xlpm.val,IF($F175="",val_blankRefText,_xldudf_CX_GET(CX_ENTITY,$F175,AF$11,AF$14,,(AF$146))),_xlpm.Res,IF(OR(_xlpm.val="",_xlpm.val="Error"),"",_xlpm.val),_xlpm.Res)</f>
        <v>#NAME?</v>
      </c>
      <c r="AG175" s="910" t="e" cm="1">
        <f t="array" ca="1" aca="1" ref="AG175">_xlfn.LET(_xlpm.val,IF($F175="",val_blankRefText,_xldudf_CX_GET(CX_ENTITY,$F175,AG$11,AG$14,,(AG$146))),_xlpm.Res,IF(OR(_xlpm.val="",_xlpm.val="Error"),"",_xlpm.val),_xlpm.Res)</f>
        <v>#NAME?</v>
      </c>
      <c r="AH175" s="910" t="e" cm="1">
        <f t="array" ca="1" aca="1" ref="AH175">_xlfn.LET(_xlpm.val,IF($F175="",val_blankRefText,_xldudf_CX_GET(CX_ENTITY,$F175,AH$11,AH$14,,(AH$146))),_xlpm.Res,IF(OR(_xlpm.val="",_xlpm.val="Error"),"",_xlpm.val),_xlpm.Res)</f>
        <v>#NAME?</v>
      </c>
      <c r="AI175" s="910" t="e" cm="1">
        <f t="array" ca="1" aca="1" ref="AI175">_xlfn.LET(_xlpm.val,IF($F175="",val_blankRefText,_xldudf_CX_GET(CX_ENTITY,$F175,AI$11,AI$14,,(AI$146))),_xlpm.Res,IF(OR(_xlpm.val="",_xlpm.val="Error"),"",_xlpm.val),_xlpm.Res)</f>
        <v>#NAME?</v>
      </c>
      <c r="AJ175" s="910" t="e" cm="1">
        <f t="array" ca="1" aca="1" ref="AJ175">_xlfn.LET(_xlpm.val,IF($F175="",val_blankRefText,_xldudf_CX_GET(CX_ENTITY,$F175,AJ$11,AJ$14,,(AJ$146))),_xlpm.Res,IF(OR(_xlpm.val="",_xlpm.val="Error"),"",_xlpm.val),_xlpm.Res)</f>
        <v>#NAME?</v>
      </c>
      <c r="AK175" s="910" t="e" cm="1">
        <f t="array" ca="1" aca="1" ref="AK175">_xlfn.LET(_xlpm.val,IF($F175="",val_blankRefText,_xldudf_CX_GET(CX_ENTITY,$F175,AK$11,AK$14,,(AK$146))),_xlpm.Res,IF(OR(_xlpm.val="",_xlpm.val="Error"),"",_xlpm.val),_xlpm.Res)</f>
        <v>#NAME?</v>
      </c>
      <c r="AL175" s="910" t="e" cm="1">
        <f t="array" ca="1" aca="1" ref="AL175">_xlfn.LET(_xlpm.val,IF($F175="",val_blankRefText,_xldudf_CX_GET(CX_ENTITY,$F175,AL$11,AL$14,,(AL$146))),_xlpm.Res,IF(OR(_xlpm.val="",_xlpm.val="Error"),"",_xlpm.val),_xlpm.Res)</f>
        <v>#NAME?</v>
      </c>
      <c r="AM175" s="910" t="e" cm="1">
        <f t="array" ca="1" aca="1" ref="AM175">_xlfn.LET(_xlpm.val,IF($F175="",val_blankRefText,_xldudf_CX_GET(CX_ENTITY,$F175,AM$11,AM$14,,(AM$146))),_xlpm.Res,IF(OR(_xlpm.val="",_xlpm.val="Error"),"",_xlpm.val),_xlpm.Res)</f>
        <v>#NAME?</v>
      </c>
      <c r="AN175" s="910" t="e" cm="1">
        <f t="array" ca="1" aca="1" ref="AN175">_xlfn.LET(_xlpm.val,IF($F175="",val_blankRefText,_xldudf_CX_GET(CX_ENTITY,$F175,AN$11,AN$14,,(AN$146))),_xlpm.Res,IF(OR(_xlpm.val="",_xlpm.val="Error"),"",_xlpm.val),_xlpm.Res)</f>
        <v>#NAME?</v>
      </c>
      <c r="AO175" s="910" t="e" cm="1">
        <f t="array" ca="1" aca="1" ref="AO175">_xlfn.LET(_xlpm.val,IF($F175="",val_blankRefText,_xldudf_CX_GET(CX_ENTITY,$F175,AO$11,AO$14,,(AO$146))),_xlpm.Res,IF(OR(_xlpm.val="",_xlpm.val="Error"),"",_xlpm.val),_xlpm.Res)</f>
        <v>#NAME?</v>
      </c>
      <c r="AP175" s="910" t="e" cm="1">
        <f t="array" ca="1" aca="1" ref="AP175">_xlfn.LET(_xlpm.val,IF($F175="",val_blankRefText,_xldudf_CX_GET(CX_ENTITY,$F175,AP$11,AP$14,,(AP$146))),_xlpm.Res,IF(OR(_xlpm.val="",_xlpm.val="Error"),"",_xlpm.val),_xlpm.Res)</f>
        <v>#NAME?</v>
      </c>
      <c r="AQ175" s="910" t="e" cm="1">
        <f t="array" ca="1" aca="1" ref="AQ175">_xlfn.LET(_xlpm.val,IF($F175="",val_blankRefText,_xldudf_CX_GET(CX_ENTITY,$F175,AQ$11,AQ$14,,(AQ$146))),_xlpm.Res,IF(OR(_xlpm.val="",_xlpm.val="Error"),"",_xlpm.val),_xlpm.Res)</f>
        <v>#NAME?</v>
      </c>
      <c r="AR175" s="910" t="e" cm="1">
        <f t="array" ca="1" aca="1" ref="AR175">_xlfn.LET(_xlpm.val,IF($F175="",val_blankRefText,_xldudf_CX_GET(CX_ENTITY,$F175,AR$11,AR$14,,(AR$146))),_xlpm.Res,IF(OR(_xlpm.val="",_xlpm.val="Error"),"",_xlpm.val),_xlpm.Res)</f>
        <v>#NAME?</v>
      </c>
      <c r="AS175" s="910" t="e" cm="1">
        <f t="array" ca="1" aca="1" ref="AS175">_xlfn.LET(_xlpm.val,IF($F175="",val_blankRefText,_xldudf_CX_GET(CX_ENTITY,$F175,AS$11,AS$14,,(AS$146))),_xlpm.Res,IF(OR(_xlpm.val="",_xlpm.val="Error"),"",_xlpm.val),_xlpm.Res)</f>
        <v>#NAME?</v>
      </c>
      <c r="AT175" s="910" t="e" cm="1">
        <f t="array" ca="1" aca="1" ref="AT175">_xlfn.LET(_xlpm.val,IF($F175="",val_blankRefText,_xldudf_CX_GET(CX_ENTITY,$F175,AT$11,AT$14,,(AT$146))),_xlpm.Res,IF(OR(_xlpm.val="",_xlpm.val="Error"),"",_xlpm.val),_xlpm.Res)</f>
        <v>#NAME?</v>
      </c>
      <c r="AU175" s="910" t="e" cm="1">
        <f t="array" ca="1" aca="1" ref="AU175">_xlfn.LET(_xlpm.val,IF($F175="",val_blankRefText,_xldudf_CX_GET(CX_ENTITY,$F175,AU$11,AU$14,,(AU$146))),_xlpm.Res,IF(OR(_xlpm.val="",_xlpm.val="Error"),"",_xlpm.val),_xlpm.Res)</f>
        <v>#NAME?</v>
      </c>
      <c r="AV175" s="910" t="e" cm="1">
        <f t="array" ca="1" aca="1" ref="AV175">_xlfn.LET(_xlpm.val,IF($F175="",val_blankRefText,_xldudf_CX_GET(CX_ENTITY,$F175,AV$11,AV$14,,(AV$146))),_xlpm.Res,IF(OR(_xlpm.val="",_xlpm.val="Error"),"",_xlpm.val),_xlpm.Res)</f>
        <v>#NAME?</v>
      </c>
      <c r="AW175" s="910" t="e" cm="1">
        <f t="array" ca="1" aca="1" ref="AW175">_xlfn.LET(_xlpm.val,IF($F175="",val_blankRefText,_xldudf_CX_GET(CX_ENTITY,$F175,AW$11,AW$14,,(AW$146))),_xlpm.Res,IF(OR(_xlpm.val="",_xlpm.val="Error"),"",_xlpm.val),_xlpm.Res)</f>
        <v>#NAME?</v>
      </c>
      <c r="AX175" s="910" t="e" cm="1">
        <f t="array" ca="1" aca="1" ref="AX175">_xlfn.LET(_xlpm.val,IF($F175="",val_blankRefText,_xldudf_CX_GET(CX_ENTITY,$F175,AX$11,AX$14,,(AX$146))),_xlpm.Res,IF(OR(_xlpm.val="",_xlpm.val="Error"),"",_xlpm.val),_xlpm.Res)</f>
        <v>#NAME?</v>
      </c>
      <c r="AY175" s="910" t="e" cm="1">
        <f t="array" ca="1" aca="1" ref="AY175">_xlfn.LET(_xlpm.val,IF($F175="",val_blankRefText,_xldudf_CX_GET(CX_ENTITY,$F175,AY$11,AY$14,,(AY$146))),_xlpm.Res,IF(OR(_xlpm.val="",_xlpm.val="Error"),"",_xlpm.val),_xlpm.Res)</f>
        <v>#NAME?</v>
      </c>
      <c r="AZ175" s="910" t="e" cm="1">
        <f t="array" ca="1" aca="1" ref="AZ175">_xlfn.LET(_xlpm.val,IF($F175="",val_blankRefText,_xldudf_CX_GET(CX_ENTITY,$F175,AZ$11,AZ$14,,(AZ$146))),_xlpm.Res,IF(OR(_xlpm.val="",_xlpm.val="Error"),"",_xlpm.val),_xlpm.Res)</f>
        <v>#NAME?</v>
      </c>
      <c r="BA175" s="910" t="e" cm="1">
        <f t="array" ca="1" aca="1" ref="BA175">_xlfn.LET(_xlpm.val,IF($F175="",val_blankRefText,_xldudf_CX_GET(CX_ENTITY,$F175,BA$11,BA$14,,(BA$146))),_xlpm.Res,IF(OR(_xlpm.val="",_xlpm.val="Error"),"",_xlpm.val),_xlpm.Res)</f>
        <v>#NAME?</v>
      </c>
      <c r="BB175" s="910" t="e" cm="1">
        <f t="array" ca="1" aca="1" ref="BB175">_xlfn.LET(_xlpm.val,IF($F175="",val_blankRefText,_xldudf_CX_GET(CX_ENTITY,$F175,BB$11,BB$14,,(BB$146))),_xlpm.Res,IF(OR(_xlpm.val="",_xlpm.val="Error"),"",_xlpm.val),_xlpm.Res)</f>
        <v>#NAME?</v>
      </c>
      <c r="BC175" s="910" t="e" cm="1">
        <f t="array" ca="1" aca="1" ref="BC175">_xlfn.LET(_xlpm.val,IF($F175="",val_blankRefText,_xldudf_CX_GET(CX_ENTITY,$F175,BC$11,BC$14,,(BC$146))),_xlpm.Res,IF(OR(_xlpm.val="",_xlpm.val="Error"),"",_xlpm.val),_xlpm.Res)</f>
        <v>#NAME?</v>
      </c>
      <c r="BD175" s="910" t="e" cm="1">
        <f t="array" ca="1" aca="1" ref="BD175">_xlfn.LET(_xlpm.val,IF($F175="",val_blankRefText,_xldudf_CX_GET(CX_ENTITY,$F175,BD$11,BD$14,,(BD$146))),_xlpm.Res,IF(OR(_xlpm.val="",_xlpm.val="Error"),"",_xlpm.val),_xlpm.Res)</f>
        <v>#NAME?</v>
      </c>
      <c r="BE175" s="910" t="e" cm="1">
        <f t="array" ca="1" aca="1" ref="BE175">_xlfn.LET(_xlpm.val,IF($F175="",val_blankRefText,_xldudf_CX_GET(CX_ENTITY,$F175,BE$11,BE$14,,(BE$146))),_xlpm.Res,IF(OR(_xlpm.val="",_xlpm.val="Error"),"",_xlpm.val),_xlpm.Res)</f>
        <v>#NAME?</v>
      </c>
      <c r="BF175" s="910" t="e" cm="1">
        <f t="array" ca="1" aca="1" ref="BF175">_xlfn.LET(_xlpm.val,IF($F175="",val_blankRefText,_xldudf_CX_GET(CX_ENTITY,$F175,BF$11,BF$14,,(BF$146))),_xlpm.Res,IF(OR(_xlpm.val="",_xlpm.val="Error"),"",_xlpm.val),_xlpm.Res)</f>
        <v>#NAME?</v>
      </c>
      <c r="BG175" s="910" t="e" cm="1">
        <f t="array" ca="1" aca="1" ref="BG175">_xlfn.LET(_xlpm.val,IF($F175="",val_blankRefText,_xldudf_CX_GET(CX_ENTITY,$F175,BG$11,BG$14,,(BG$146))),_xlpm.Res,IF(OR(_xlpm.val="",_xlpm.val="Error"),"",_xlpm.val),_xlpm.Res)</f>
        <v>#NAME?</v>
      </c>
      <c r="BH175" s="910" t="e" cm="1">
        <f t="array" ca="1" aca="1" ref="BH175">_xlfn.LET(_xlpm.val,IF($F175="",val_blankRefText,_xldudf_CX_GET(CX_ENTITY,$F175,BH$11,BH$14,,(BH$146))),_xlpm.Res,IF(OR(_xlpm.val="",_xlpm.val="Error"),"",_xlpm.val),_xlpm.Res)</f>
        <v>#NAME?</v>
      </c>
      <c r="BI175" s="910" t="e" cm="1">
        <f t="array" ca="1" aca="1" ref="BI175">_xlfn.LET(_xlpm.val,IF($F175="",val_blankRefText,_xldudf_CX_GET(CX_ENTITY,$F175,BI$11,BI$14,,(BI$146))),_xlpm.Res,IF(OR(_xlpm.val="",_xlpm.val="Error"),"",_xlpm.val),_xlpm.Res)</f>
        <v>#NAME?</v>
      </c>
      <c r="BJ175" s="910" t="e" cm="1">
        <f t="array" ca="1" aca="1" ref="BJ175">_xlfn.LET(_xlpm.val,IF($F175="",val_blankRefText,_xldudf_CX_GET(CX_ENTITY,$F175,BJ$11,BJ$14,,(BJ$146))),_xlpm.Res,IF(OR(_xlpm.val="",_xlpm.val="Error"),"",_xlpm.val),_xlpm.Res)</f>
        <v>#NAME?</v>
      </c>
      <c r="BK175" s="910" t="e" cm="1">
        <f t="array" ca="1" aca="1" ref="BK175">_xlfn.LET(_xlpm.val,IF($F175="",val_blankRefText,_xldudf_CX_GET(CX_ENTITY,$F175,BK$11,BK$14,,(BK$146))),_xlpm.Res,IF(OR(_xlpm.val="",_xlpm.val="Error"),"",_xlpm.val),_xlpm.Res)</f>
        <v>#NAME?</v>
      </c>
      <c r="BL175" s="910" t="e" cm="1">
        <f t="array" ca="1" aca="1" ref="BL175">_xlfn.LET(_xlpm.val,IF($F175="",val_blankRefText,_xldudf_CX_GET(CX_ENTITY,$F175,BL$11,BL$14,,(BL$146))),_xlpm.Res,IF(OR(_xlpm.val="",_xlpm.val="Error"),"",_xlpm.val),_xlpm.Res)</f>
        <v>#NAME?</v>
      </c>
      <c r="BM175" s="910" t="e" cm="1">
        <f t="array" ca="1" aca="1" ref="BM175">_xlfn.LET(_xlpm.val,IF($F175="",val_blankRefText,_xldudf_CX_GET(CX_ENTITY,$F175,BM$11,BM$14,,(BM$146))),_xlpm.Res,IF(OR(_xlpm.val="",_xlpm.val="Error"),"",_xlpm.val),_xlpm.Res)</f>
        <v>#NAME?</v>
      </c>
      <c r="BN175" s="910" t="e" cm="1">
        <f t="array" ca="1" aca="1" ref="BN175">_xlfn.LET(_xlpm.val,IF($F175="",val_blankRefText,_xldudf_CX_GET(CX_ENTITY,$F175,BN$11,BN$14,,(BN$146))),_xlpm.Res,IF(OR(_xlpm.val="",_xlpm.val="Error"),"",_xlpm.val),_xlpm.Res)</f>
        <v>#NAME?</v>
      </c>
      <c r="BO175" s="2107"/>
      <c r="BP175" s="2107"/>
      <c r="BQ175" s="2107"/>
      <c r="BR175" s="2107"/>
      <c r="BS175" s="2107"/>
      <c r="BT175" s="2107"/>
      <c r="BU175" s="2107"/>
      <c r="BV175" s="2107"/>
      <c r="BW175" s="2107"/>
      <c r="BX175" s="2107"/>
      <c r="BY175" s="2107"/>
      <c r="BZ175" s="2107"/>
      <c r="CA175" s="34"/>
      <c r="CC175" s="33"/>
      <c r="CD175" s="1461" t="e" cm="1">
        <f t="array" ca="1" aca="1" ref="CD175">_xlfn.LET(_xlpm.CheckBlank,SUM(PL!$AD175:$BN175)=0,IF(_xlpm.CheckBlank,"",SUM(_xlfn._xlws.FILTER(PL!$AD175:$BN175,(YEAR(PL!$AD$12:$BN$12)=PL!CD$12)*(array_timeline&lt;=PL!CD$11)))))</f>
        <v>#NAME?</v>
      </c>
      <c r="CE175" s="1461" t="e" cm="1">
        <f t="array" ca="1" aca="1" ref="CE175">_xlfn.LET(_xlpm.CheckBlank,SUM(PL!$AD175:$BN175)=0,IF(_xlpm.CheckBlank,"",SUM(_xlfn._xlws.FILTER(PL!$AD175:$BN175,(YEAR(PL!$AD$12:$BN$12)=PL!CE$12)*(array_timeline&lt;=PL!CE$11)))))</f>
        <v>#NAME?</v>
      </c>
      <c r="CF175" s="88"/>
      <c r="CG175" s="1461" t="e" cm="1">
        <f t="array" ca="1" aca="1" ref="CG175">_xlfn.LET(_xlpm.CheckBlank,SUM(PL!$AD175:$BN175)=0,IF(_xlpm.CheckBlank,"",SUM(_xlfn._xlws.FILTER(PL!$AD175:$BN175,(YEAR(PL!$AD$12:$BN$12)=PL!CG$12)*(array_timeline&lt;=PL!CG$11)))))</f>
        <v>#NAME?</v>
      </c>
      <c r="CH175" s="1461" t="e" cm="1">
        <f t="array" ca="1" aca="1" ref="CH175">_xlfn.LET(_xlpm.CheckBlank,SUM(PL!$AD175:$BN175)=0,IF(_xlpm.CheckBlank,"",SUM(_xlfn._xlws.FILTER(PL!$AD175:$BN175,(YEAR(PL!$AD$12:$BN$12)=PL!CH$12)*(array_timeline&lt;=PL!CH$11)))))</f>
        <v>#NAME?</v>
      </c>
      <c r="CI175" s="88"/>
      <c r="CJ175" s="1657" cm="1">
        <f t="array" ref="CJ175">_xlfn.LET(_xlpm.CheckBlank,SUM(PL!$AD175:$BN175)=0,IF(_xlpm.CheckBlank,"",SUM(_xlfn.TAKE(_xlfn.DROP(PL!$AB175:$BN175,,-DATEDIFF(PL!CJ$11,val_asOfDate,"M")),1,-12))))</f>
        <v>12</v>
      </c>
      <c r="CK175" s="1657" cm="1">
        <f t="array" ref="CK175">_xlfn.LET(_xlpm.CheckBlank,SUM(PL!$AD175:$BN175)=0,IF(_xlpm.CheckBlank,"",SUM(_xlfn.TAKE(_xlfn.DROP(PL!$AB175:$BN175,,-DATEDIFF(PL!CK$11,val_asOfDate,"M")),1,-12))))</f>
        <v>12</v>
      </c>
      <c r="CL175" s="88"/>
      <c r="CM175" s="1142" t="str" cm="1">
        <f t="array" ca="1" aca="1" ref="CM175">_xlfn.LET(_xlpm.findRow,_xlfn.XMATCH($W175&amp;$Y175,$W$20:$W$118&amp;$AB$20:$AB$118,0),_xlpm.Choose,_xlfn.CHOOSEROWS($CM$20:$CN$118,_xlpm.findRow),_xlpm.RESULT,IF(ISERROR(_xlpm.findRow),"",_xlpm.Choose),_xlpm.RESULT)</f>
        <v/>
      </c>
      <c r="CN175" s="1142"/>
      <c r="CO175" s="88"/>
      <c r="CP175" s="1142" t="str" cm="1">
        <f t="array" ca="1" aca="1" ref="CP175">_xlfn.LET(_xlpm.findRow,_xlfn.XMATCH($W175&amp;$Y175,$W$20:$W$118&amp;$AB$20:$AB$118,0),_xlpm.Choose,_xlfn.CHOOSEROWS($CP$20:$CQ$118,_xlpm.findRow),_xlpm.RESULT,IF(ISERROR(_xlpm.findRow),"",_xlpm.Choose),_xlpm.RESULT)</f>
        <v/>
      </c>
      <c r="CQ175" s="1142"/>
      <c r="CR175" s="34"/>
    </row>
    <row r="176" spans="1:96" ht="45.75" customHeight="1" outlineLevel="1">
      <c r="A176" s="1322"/>
      <c r="B176" s="2128" t="s">
        <v>1017</v>
      </c>
      <c r="C176" s="577"/>
      <c r="D176" s="577"/>
      <c r="E176" s="577" t="str" cm="1">
        <f t="array" ca="1" aca="1" ref="E176">_xlfn.LET(_xlpm.Attr,$C176,_xlpm.Lookback,$E$16,_xlpm.QueryDate,EOMONTH(val_asOfDate,_xlpm.Lookback),_xlpm.ReadField,_xldudf_CX_GET(CX_ENTITY,fx_attrConverter($C176),_xlpm.QueryDate),_xlpm.AttrBlank,_xlpm.Attr="",_xlpm.RESULT,IF(_xlpm.AttrBlank,val_blankRefText,fx_attrConverter(_xlpm.ReadField,0)),IF(_xlpm.RESULT="Error","",_xlpm.RESULT))</f>
        <v/>
      </c>
      <c r="F176" s="577" t="str">
        <f t="shared" si="52" ref="F176:F182">IF($B176&lt;&gt;"",$B176,$E176)</f>
        <v>Excluding pending (not closed) deals (Annual Only) (Valuation)</v>
      </c>
      <c r="G176" s="577" t="s">
        <v>1622</v>
      </c>
      <c r="H176" s="510">
        <v>0</v>
      </c>
      <c r="I176" s="3278">
        <v>1</v>
      </c>
      <c r="J176" s="30"/>
      <c r="K176" s="30"/>
      <c r="L176" s="3269" t="b">
        <v>1</v>
      </c>
      <c r="N176" s="158"/>
      <c r="O176" s="101"/>
      <c r="P176" s="52"/>
      <c r="Q176" s="101"/>
      <c r="R176" s="101"/>
      <c r="S176" s="101"/>
      <c r="T176" s="101"/>
      <c r="U176" s="39"/>
      <c r="W176" s="1518" t="str">
        <f>W175</f>
        <v>Actual</v>
      </c>
      <c r="X176" s="913">
        <v>-1</v>
      </c>
      <c r="Y176" s="1519" t="s">
        <v>120</v>
      </c>
      <c r="Z176" s="3291" cm="1">
        <f t="array" ref="Z176">_xlfn.SWITCH(TRUE,ISBLANK(_PL!$L176),"",_PL!$L176=TRUE,1,_PL!$L176=FALSE,-1,_PL!$L176=-1,0,"n/a")</f>
        <v>1</v>
      </c>
      <c r="AA176" s="905"/>
      <c r="AB176" s="1128"/>
      <c r="AC176" s="914" t="str" cm="1">
        <f t="array" ref="AC176">_xlfn.LET(_xlpm.Def,IF(_xlfn.XMATCH(AB176,tbl_acctDef[Term],0)&gt;0,fx_getIcon("find"),""),_xlpm.Adj,IF(_xlfn.XMATCH(AB176,tbl_adjExample[Items],0)&gt;0,fx_getIcon("find"),""),IFERROR(IFBLANK(_xlpm.Def,_xlpm.Adj),""))</f>
        <v/>
      </c>
      <c r="AD176" s="793"/>
      <c r="AE176" s="793"/>
      <c r="AF176" s="793"/>
      <c r="AG176" s="793"/>
      <c r="AH176" s="793"/>
      <c r="AI176" s="793"/>
      <c r="AJ176" s="793"/>
      <c r="AK176" s="793"/>
      <c r="AL176" s="793"/>
      <c r="AM176" s="793"/>
      <c r="AN176" s="793"/>
      <c r="AO176" s="793"/>
      <c r="AP176" s="793"/>
      <c r="AQ176" s="793"/>
      <c r="AR176" s="793"/>
      <c r="AS176" s="793"/>
      <c r="AT176" s="793"/>
      <c r="AU176" s="793"/>
      <c r="AV176" s="793"/>
      <c r="AW176" s="793"/>
      <c r="AX176" s="793"/>
      <c r="AY176" s="793"/>
      <c r="AZ176" s="793"/>
      <c r="BA176" s="793"/>
      <c r="BB176" s="793"/>
      <c r="BC176" s="793"/>
      <c r="BD176" s="793"/>
      <c r="BE176" s="793"/>
      <c r="BF176" s="793"/>
      <c r="BG176" s="793"/>
      <c r="BH176" s="793"/>
      <c r="BI176" s="793"/>
      <c r="BJ176" s="793"/>
      <c r="BK176" s="793"/>
      <c r="BL176" s="793"/>
      <c r="BM176" s="793"/>
      <c r="BN176" s="793"/>
      <c r="BO176" s="2104"/>
      <c r="BP176" s="2104"/>
      <c r="BQ176" s="2104"/>
      <c r="BR176" s="2104"/>
      <c r="BS176" s="2104"/>
      <c r="BT176" s="2104"/>
      <c r="BU176" s="2104"/>
      <c r="BV176" s="2104"/>
      <c r="BW176" s="2104"/>
      <c r="BX176" s="2104"/>
      <c r="BY176" s="2104"/>
      <c r="BZ176" s="2104"/>
      <c r="CA176" s="34"/>
      <c r="CC176" s="299"/>
      <c r="CD176" s="793"/>
      <c r="CE176" s="793"/>
      <c r="CF176" s="88"/>
      <c r="CG176" s="793"/>
      <c r="CH176" s="793"/>
      <c r="CI176" s="88"/>
      <c r="CJ176" s="1663"/>
      <c r="CK176" s="1663"/>
      <c r="CL176" s="88"/>
      <c r="CM176" s="1986" t="e" cm="1">
        <f t="array" ca="1" aca="1" ref="CM176">_xlfn.LET(_xlpm.val,IF($F176="",val_blankRefText,_xldudf_CX_GET(CX_ENTITY,$F176,CM$11,CM$14,,(CM$174))),_xlpm.Res,IF(OR(_xlpm.val="",_xlpm.val="Error"),"",_xlpm.val),_xlpm.Res)</f>
        <v>#NAME?</v>
      </c>
      <c r="CN176" s="1986" t="e" cm="1">
        <f t="array" ca="1" aca="1" ref="CN176">_xlfn.LET(_xlpm.val,IF($F176="",val_blankRefText,_xldudf_CX_GET(CX_ENTITY,$F176,CN$11,CN$14,,(CN$174))),_xlpm.Res,IF(OR(_xlpm.val="",_xlpm.val="Error"),"",_xlpm.val),_xlpm.Res)</f>
        <v>#NAME?</v>
      </c>
      <c r="CO176" s="1169"/>
      <c r="CP176" s="1986" t="e" cm="1">
        <f t="array" ca="1" aca="1" ref="CP176">_xlfn.LET(_xlpm.val,IF($F176="",val_blankRefText,_xldudf_CX_GET(CX_ENTITY,$F176,CP$11,CP$14,,(CP$174))),_xlpm.Res,IF(OR(_xlpm.val="",_xlpm.val="Error"),"",_xlpm.val),_xlpm.Res)</f>
        <v>#NAME?</v>
      </c>
      <c r="CQ176" s="1986" t="e" cm="1">
        <f t="array" ca="1" aca="1" ref="CQ176">_xlfn.LET(_xlpm.val,IF($F176="",val_blankRefText,_xldudf_CX_GET(CX_ENTITY,$F176,CQ$11,CQ$14,,(CQ$174))),_xlpm.Res,IF(OR(_xlpm.val="",_xlpm.val="Error"),"",_xlpm.val),_xlpm.Res)</f>
        <v>#NAME?</v>
      </c>
      <c r="CR176" s="34"/>
    </row>
    <row r="177" spans="1:96" ht="45.75" customHeight="1" outlineLevel="1">
      <c r="A177" s="1322"/>
      <c r="B177" s="2128" t="s">
        <v>1020</v>
      </c>
      <c r="C177" s="577"/>
      <c r="D177" s="577"/>
      <c r="E177" s="577" t="str" cm="1">
        <f t="array" ca="1" aca="1" ref="E177">_xlfn.LET(_xlpm.Attr,$C177,_xlpm.Lookback,$E$16,_xlpm.QueryDate,EOMONTH(val_asOfDate,_xlpm.Lookback),_xlpm.ReadField,_xldudf_CX_GET(CX_ENTITY,fx_attrConverter($C177),_xlpm.QueryDate),_xlpm.AttrBlank,_xlpm.Attr="",_xlpm.RESULT,IF(_xlpm.AttrBlank,val_blankRefText,fx_attrConverter(_xlpm.ReadField,0)),IF(_xlpm.RESULT="Error","",_xlpm.RESULT))</f>
        <v/>
      </c>
      <c r="F177" s="577" t="str">
        <f t="shared" si="52"/>
        <v>Including closed (not budgeted) deals (Annual Only) (Valuation)</v>
      </c>
      <c r="G177" s="577" t="s">
        <v>1622</v>
      </c>
      <c r="H177" s="510">
        <v>0</v>
      </c>
      <c r="I177" s="3278">
        <v>1</v>
      </c>
      <c r="J177" s="30"/>
      <c r="K177" s="30"/>
      <c r="L177" s="3269" t="b">
        <v>1</v>
      </c>
      <c r="N177" s="158"/>
      <c r="O177" s="101"/>
      <c r="P177" s="52"/>
      <c r="Q177" s="101"/>
      <c r="R177" s="101"/>
      <c r="S177" s="101"/>
      <c r="T177" s="101"/>
      <c r="U177" s="39"/>
      <c r="W177" s="1518" t="str">
        <f>W175</f>
        <v>Actual</v>
      </c>
      <c r="X177" s="3335">
        <v>1</v>
      </c>
      <c r="Y177" s="1519" t="s">
        <v>121</v>
      </c>
      <c r="Z177" s="3291" cm="1">
        <f t="array" ref="Z177">_xlfn.SWITCH(TRUE,ISBLANK(_PL!$L177),"",_PL!$L177=TRUE,1,_PL!$L177=FALSE,-1,_PL!$L177=-1,0,"n/a")</f>
        <v>1</v>
      </c>
      <c r="AA177" s="905"/>
      <c r="AB177" s="3017"/>
      <c r="AC177" s="914" t="str" cm="1">
        <f t="array" ref="AC177">_xlfn.LET(_xlpm.Def,IF(_xlfn.XMATCH(AB177,tbl_acctDef[Term],0)&gt;0,fx_getIcon("find"),""),_xlpm.Adj,IF(_xlfn.XMATCH(AB177,tbl_adjExample[Items],0)&gt;0,fx_getIcon("find"),""),IFERROR(IFBLANK(_xlpm.Def,_xlpm.Adj),""))</f>
        <v/>
      </c>
      <c r="AD177" s="793"/>
      <c r="AE177" s="793"/>
      <c r="AF177" s="793"/>
      <c r="AG177" s="793"/>
      <c r="AH177" s="793"/>
      <c r="AI177" s="793"/>
      <c r="AJ177" s="793"/>
      <c r="AK177" s="793"/>
      <c r="AL177" s="793"/>
      <c r="AM177" s="793"/>
      <c r="AN177" s="793"/>
      <c r="AO177" s="793"/>
      <c r="AP177" s="793"/>
      <c r="AQ177" s="793"/>
      <c r="AR177" s="793"/>
      <c r="AS177" s="793"/>
      <c r="AT177" s="793"/>
      <c r="AU177" s="793"/>
      <c r="AV177" s="793"/>
      <c r="AW177" s="793"/>
      <c r="AX177" s="793"/>
      <c r="AY177" s="793"/>
      <c r="AZ177" s="793"/>
      <c r="BA177" s="793"/>
      <c r="BB177" s="793"/>
      <c r="BC177" s="793"/>
      <c r="BD177" s="793"/>
      <c r="BE177" s="793"/>
      <c r="BF177" s="793"/>
      <c r="BG177" s="793"/>
      <c r="BH177" s="793"/>
      <c r="BI177" s="793"/>
      <c r="BJ177" s="793"/>
      <c r="BK177" s="793"/>
      <c r="BL177" s="793"/>
      <c r="BM177" s="793"/>
      <c r="BN177" s="793"/>
      <c r="BO177" s="2104"/>
      <c r="BP177" s="2104"/>
      <c r="BQ177" s="2104"/>
      <c r="BR177" s="2104"/>
      <c r="BS177" s="2104"/>
      <c r="BT177" s="2104"/>
      <c r="BU177" s="2104"/>
      <c r="BV177" s="2104"/>
      <c r="BW177" s="2104"/>
      <c r="BX177" s="2104"/>
      <c r="BY177" s="2104"/>
      <c r="BZ177" s="2104"/>
      <c r="CA177" s="34"/>
      <c r="CC177" s="299"/>
      <c r="CD177" s="793"/>
      <c r="CE177" s="793"/>
      <c r="CF177" s="88"/>
      <c r="CG177" s="793"/>
      <c r="CH177" s="793"/>
      <c r="CI177" s="88"/>
      <c r="CJ177" s="1663"/>
      <c r="CK177" s="1663"/>
      <c r="CL177" s="88"/>
      <c r="CM177" s="1986" t="e" cm="1">
        <f t="array" ca="1" aca="1" ref="CM177">_xlfn.LET(_xlpm.val,IF($F177="",val_blankRefText,_xldudf_CX_GET(CX_ENTITY,$F177,CM$11,CM$14,,(CM$174))),_xlpm.Res,IF(OR(_xlpm.val="",_xlpm.val="Error"),"",_xlpm.val),_xlpm.Res)</f>
        <v>#NAME?</v>
      </c>
      <c r="CN177" s="1986" t="e" cm="1">
        <f t="array" ca="1" aca="1" ref="CN177">_xlfn.LET(_xlpm.val,IF($F177="",val_blankRefText,_xldudf_CX_GET(CX_ENTITY,$F177,CN$11,CN$14,,(CN$174))),_xlpm.Res,IF(OR(_xlpm.val="",_xlpm.val="Error"),"",_xlpm.val),_xlpm.Res)</f>
        <v>#NAME?</v>
      </c>
      <c r="CO177" s="1169"/>
      <c r="CP177" s="1986" t="e" cm="1">
        <f t="array" ca="1" aca="1" ref="CP177">_xlfn.LET(_xlpm.val,IF($F177="",val_blankRefText,_xldudf_CX_GET(CX_ENTITY,$F177,CP$11,CP$14,,(CP$174))),_xlpm.Res,IF(OR(_xlpm.val="",_xlpm.val="Error"),"",_xlpm.val),_xlpm.Res)</f>
        <v>#NAME?</v>
      </c>
      <c r="CQ177" s="1986" t="e" cm="1">
        <f t="array" ca="1" aca="1" ref="CQ177">_xlfn.LET(_xlpm.val,IF($F177="",val_blankRefText,_xldudf_CX_GET(CX_ENTITY,$F177,CQ$11,CQ$14,,(CQ$174))),_xlpm.Res,IF(OR(_xlpm.val="",_xlpm.val="Error"),"",_xlpm.val),_xlpm.Res)</f>
        <v>#NAME?</v>
      </c>
      <c r="CR177" s="34"/>
    </row>
    <row r="178" spans="1:96" ht="21" customHeight="1" outlineLevel="1">
      <c r="A178" s="1322"/>
      <c r="B178" s="577" t="s">
        <v>148</v>
      </c>
      <c r="C178" s="577" t="s">
        <v>1624</v>
      </c>
      <c r="D178" s="577"/>
      <c r="E178" s="577" t="e" cm="1">
        <f t="array" ca="1" aca="1" ref="E178">_xlfn.LET(_xlpm.Attr,$C178,_xlpm.Lookback,$E$16,_xlpm.QueryDate,EOMONTH(val_asOfDate,_xlpm.Lookback),_xlpm.ReadField,_xldudf_CX_GET(CX_ENTITY,fx_attrConverter($C178),_xlpm.QueryDate),_xlpm.AttrBlank,_xlpm.Attr="",_xlpm.RESULT,IF(_xlpm.AttrBlank,val_blankRefText,fx_attrConverter(_xlpm.ReadField,0)),IF(_xlpm.RESULT="Error","",_xlpm.RESULT))</f>
        <v>#NAME?</v>
      </c>
      <c r="F178" s="577" t="str">
        <f t="shared" si="52"/>
        <v>Valuation Metric Adjustment Type II - Amount 3</v>
      </c>
      <c r="G178" s="577" t="s">
        <v>1622</v>
      </c>
      <c r="H178" s="510">
        <v>0</v>
      </c>
      <c r="I178" s="3278">
        <v>1</v>
      </c>
      <c r="J178" s="30"/>
      <c r="K178" s="30"/>
      <c r="L178" s="579" t="b">
        <v>0</v>
      </c>
      <c r="N178" s="158"/>
      <c r="O178" s="101"/>
      <c r="P178" s="52"/>
      <c r="Q178" s="101"/>
      <c r="R178" s="101"/>
      <c r="S178" s="101"/>
      <c r="T178" s="101"/>
      <c r="U178" s="39"/>
      <c r="W178" s="91" t="str">
        <f>W175</f>
        <v>Actual</v>
      </c>
      <c r="X178" s="884" t="s">
        <v>62</v>
      </c>
      <c r="Y178" s="1555" t="e">
        <f ca="1" t="shared" si="53" ref="Y178:Y181">IF(E178="","Please select or type in or leave as blank",E178)</f>
        <v>#NAME?</v>
      </c>
      <c r="Z178" s="198" cm="1">
        <f t="array" ref="Z178">_xlfn.SWITCH(TRUE,ISBLANK(_PL!$L178),"",_PL!$L178=TRUE,1,_PL!$L178=FALSE,-1,_PL!$L178=-1,0,"n/a")</f>
        <v>-1</v>
      </c>
      <c r="AA178" s="905"/>
      <c r="AB178" s="3017"/>
      <c r="AC178" s="914" t="str" cm="1">
        <f t="array" ref="AC178">_xlfn.LET(_xlpm.Def,IF(_xlfn.XMATCH(AB178,tbl_acctDef[Term],0)&gt;0,fx_getIcon("find"),""),_xlpm.Adj,IF(_xlfn.XMATCH(AB178,tbl_adjExample[Items],0)&gt;0,fx_getIcon("find"),""),IFERROR(IFBLANK(_xlpm.Def,_xlpm.Adj),""))</f>
        <v/>
      </c>
      <c r="AD178" s="1986" t="e" cm="1">
        <f t="array" ca="1" aca="1" ref="AD178">_xlfn.LET(_xlpm.val,IF($F178="",val_blankRefText,_xldudf_CX_GET(CX_ENTITY,$F178,AD$11,AD$14,,(AD$146))),_xlpm.Res,IF(OR(_xlpm.val="",_xlpm.val="Error"),"",_xlpm.val),_xlpm.Res)</f>
        <v>#NAME?</v>
      </c>
      <c r="AE178" s="1986" t="e" cm="1">
        <f t="array" ca="1" aca="1" ref="AE178">_xlfn.LET(_xlpm.val,IF($F178="",val_blankRefText,_xldudf_CX_GET(CX_ENTITY,$F178,AE$11,AE$14,,(AE$146))),_xlpm.Res,IF(OR(_xlpm.val="",_xlpm.val="Error"),"",_xlpm.val),_xlpm.Res)</f>
        <v>#NAME?</v>
      </c>
      <c r="AF178" s="1986" t="e" cm="1">
        <f t="array" ca="1" aca="1" ref="AF178">_xlfn.LET(_xlpm.val,IF($F178="",val_blankRefText,_xldudf_CX_GET(CX_ENTITY,$F178,AF$11,AF$14,,(AF$146))),_xlpm.Res,IF(OR(_xlpm.val="",_xlpm.val="Error"),"",_xlpm.val),_xlpm.Res)</f>
        <v>#NAME?</v>
      </c>
      <c r="AG178" s="1986" t="e" cm="1">
        <f t="array" ca="1" aca="1" ref="AG178">_xlfn.LET(_xlpm.val,IF($F178="",val_blankRefText,_xldudf_CX_GET(CX_ENTITY,$F178,AG$11,AG$14,,(AG$146))),_xlpm.Res,IF(OR(_xlpm.val="",_xlpm.val="Error"),"",_xlpm.val),_xlpm.Res)</f>
        <v>#NAME?</v>
      </c>
      <c r="AH178" s="1986" t="e" cm="1">
        <f t="array" ca="1" aca="1" ref="AH178">_xlfn.LET(_xlpm.val,IF($F178="",val_blankRefText,_xldudf_CX_GET(CX_ENTITY,$F178,AH$11,AH$14,,(AH$146))),_xlpm.Res,IF(OR(_xlpm.val="",_xlpm.val="Error"),"",_xlpm.val),_xlpm.Res)</f>
        <v>#NAME?</v>
      </c>
      <c r="AI178" s="1986" t="e" cm="1">
        <f t="array" ca="1" aca="1" ref="AI178">_xlfn.LET(_xlpm.val,IF($F178="",val_blankRefText,_xldudf_CX_GET(CX_ENTITY,$F178,AI$11,AI$14,,(AI$146))),_xlpm.Res,IF(OR(_xlpm.val="",_xlpm.val="Error"),"",_xlpm.val),_xlpm.Res)</f>
        <v>#NAME?</v>
      </c>
      <c r="AJ178" s="1986" t="e" cm="1">
        <f t="array" ca="1" aca="1" ref="AJ178">_xlfn.LET(_xlpm.val,IF($F178="",val_blankRefText,_xldudf_CX_GET(CX_ENTITY,$F178,AJ$11,AJ$14,,(AJ$146))),_xlpm.Res,IF(OR(_xlpm.val="",_xlpm.val="Error"),"",_xlpm.val),_xlpm.Res)</f>
        <v>#NAME?</v>
      </c>
      <c r="AK178" s="1986" t="e" cm="1">
        <f t="array" ca="1" aca="1" ref="AK178">_xlfn.LET(_xlpm.val,IF($F178="",val_blankRefText,_xldudf_CX_GET(CX_ENTITY,$F178,AK$11,AK$14,,(AK$146))),_xlpm.Res,IF(OR(_xlpm.val="",_xlpm.val="Error"),"",_xlpm.val),_xlpm.Res)</f>
        <v>#NAME?</v>
      </c>
      <c r="AL178" s="1986" t="e" cm="1">
        <f t="array" ca="1" aca="1" ref="AL178">_xlfn.LET(_xlpm.val,IF($F178="",val_blankRefText,_xldudf_CX_GET(CX_ENTITY,$F178,AL$11,AL$14,,(AL$146))),_xlpm.Res,IF(OR(_xlpm.val="",_xlpm.val="Error"),"",_xlpm.val),_xlpm.Res)</f>
        <v>#NAME?</v>
      </c>
      <c r="AM178" s="1986" t="e" cm="1">
        <f t="array" ca="1" aca="1" ref="AM178">_xlfn.LET(_xlpm.val,IF($F178="",val_blankRefText,_xldudf_CX_GET(CX_ENTITY,$F178,AM$11,AM$14,,(AM$146))),_xlpm.Res,IF(OR(_xlpm.val="",_xlpm.val="Error"),"",_xlpm.val),_xlpm.Res)</f>
        <v>#NAME?</v>
      </c>
      <c r="AN178" s="1986" t="e" cm="1">
        <f t="array" ca="1" aca="1" ref="AN178">_xlfn.LET(_xlpm.val,IF($F178="",val_blankRefText,_xldudf_CX_GET(CX_ENTITY,$F178,AN$11,AN$14,,(AN$146))),_xlpm.Res,IF(OR(_xlpm.val="",_xlpm.val="Error"),"",_xlpm.val),_xlpm.Res)</f>
        <v>#NAME?</v>
      </c>
      <c r="AO178" s="1986" t="e" cm="1">
        <f t="array" ca="1" aca="1" ref="AO178">_xlfn.LET(_xlpm.val,IF($F178="",val_blankRefText,_xldudf_CX_GET(CX_ENTITY,$F178,AO$11,AO$14,,(AO$146))),_xlpm.Res,IF(OR(_xlpm.val="",_xlpm.val="Error"),"",_xlpm.val),_xlpm.Res)</f>
        <v>#NAME?</v>
      </c>
      <c r="AP178" s="1986" t="e" cm="1">
        <f t="array" ca="1" aca="1" ref="AP178">_xlfn.LET(_xlpm.val,IF($F178="",val_blankRefText,_xldudf_CX_GET(CX_ENTITY,$F178,AP$11,AP$14,,(AP$146))),_xlpm.Res,IF(OR(_xlpm.val="",_xlpm.val="Error"),"",_xlpm.val),_xlpm.Res)</f>
        <v>#NAME?</v>
      </c>
      <c r="AQ178" s="1986" t="e" cm="1">
        <f t="array" ca="1" aca="1" ref="AQ178">_xlfn.LET(_xlpm.val,IF($F178="",val_blankRefText,_xldudf_CX_GET(CX_ENTITY,$F178,AQ$11,AQ$14,,(AQ$146))),_xlpm.Res,IF(OR(_xlpm.val="",_xlpm.val="Error"),"",_xlpm.val),_xlpm.Res)</f>
        <v>#NAME?</v>
      </c>
      <c r="AR178" s="1986" t="e" cm="1">
        <f t="array" ca="1" aca="1" ref="AR178">_xlfn.LET(_xlpm.val,IF($F178="",val_blankRefText,_xldudf_CX_GET(CX_ENTITY,$F178,AR$11,AR$14,,(AR$146))),_xlpm.Res,IF(OR(_xlpm.val="",_xlpm.val="Error"),"",_xlpm.val),_xlpm.Res)</f>
        <v>#NAME?</v>
      </c>
      <c r="AS178" s="1986" t="e" cm="1">
        <f t="array" ca="1" aca="1" ref="AS178">_xlfn.LET(_xlpm.val,IF($F178="",val_blankRefText,_xldudf_CX_GET(CX_ENTITY,$F178,AS$11,AS$14,,(AS$146))),_xlpm.Res,IF(OR(_xlpm.val="",_xlpm.val="Error"),"",_xlpm.val),_xlpm.Res)</f>
        <v>#NAME?</v>
      </c>
      <c r="AT178" s="1986" t="e" cm="1">
        <f t="array" ca="1" aca="1" ref="AT178">_xlfn.LET(_xlpm.val,IF($F178="",val_blankRefText,_xldudf_CX_GET(CX_ENTITY,$F178,AT$11,AT$14,,(AT$146))),_xlpm.Res,IF(OR(_xlpm.val="",_xlpm.val="Error"),"",_xlpm.val),_xlpm.Res)</f>
        <v>#NAME?</v>
      </c>
      <c r="AU178" s="1986" t="e" cm="1">
        <f t="array" ca="1" aca="1" ref="AU178">_xlfn.LET(_xlpm.val,IF($F178="",val_blankRefText,_xldudf_CX_GET(CX_ENTITY,$F178,AU$11,AU$14,,(AU$146))),_xlpm.Res,IF(OR(_xlpm.val="",_xlpm.val="Error"),"",_xlpm.val),_xlpm.Res)</f>
        <v>#NAME?</v>
      </c>
      <c r="AV178" s="1986" t="e" cm="1">
        <f t="array" ca="1" aca="1" ref="AV178">_xlfn.LET(_xlpm.val,IF($F178="",val_blankRefText,_xldudf_CX_GET(CX_ENTITY,$F178,AV$11,AV$14,,(AV$146))),_xlpm.Res,IF(OR(_xlpm.val="",_xlpm.val="Error"),"",_xlpm.val),_xlpm.Res)</f>
        <v>#NAME?</v>
      </c>
      <c r="AW178" s="1986" t="e" cm="1">
        <f t="array" ca="1" aca="1" ref="AW178">_xlfn.LET(_xlpm.val,IF($F178="",val_blankRefText,_xldudf_CX_GET(CX_ENTITY,$F178,AW$11,AW$14,,(AW$146))),_xlpm.Res,IF(OR(_xlpm.val="",_xlpm.val="Error"),"",_xlpm.val),_xlpm.Res)</f>
        <v>#NAME?</v>
      </c>
      <c r="AX178" s="1986" t="e" cm="1">
        <f t="array" ca="1" aca="1" ref="AX178">_xlfn.LET(_xlpm.val,IF($F178="",val_blankRefText,_xldudf_CX_GET(CX_ENTITY,$F178,AX$11,AX$14,,(AX$146))),_xlpm.Res,IF(OR(_xlpm.val="",_xlpm.val="Error"),"",_xlpm.val),_xlpm.Res)</f>
        <v>#NAME?</v>
      </c>
      <c r="AY178" s="1986" t="e" cm="1">
        <f t="array" ca="1" aca="1" ref="AY178">_xlfn.LET(_xlpm.val,IF($F178="",val_blankRefText,_xldudf_CX_GET(CX_ENTITY,$F178,AY$11,AY$14,,(AY$146))),_xlpm.Res,IF(OR(_xlpm.val="",_xlpm.val="Error"),"",_xlpm.val),_xlpm.Res)</f>
        <v>#NAME?</v>
      </c>
      <c r="AZ178" s="1986" t="e" cm="1">
        <f t="array" ca="1" aca="1" ref="AZ178">_xlfn.LET(_xlpm.val,IF($F178="",val_blankRefText,_xldudf_CX_GET(CX_ENTITY,$F178,AZ$11,AZ$14,,(AZ$146))),_xlpm.Res,IF(OR(_xlpm.val="",_xlpm.val="Error"),"",_xlpm.val),_xlpm.Res)</f>
        <v>#NAME?</v>
      </c>
      <c r="BA178" s="1986" t="e" cm="1">
        <f t="array" ca="1" aca="1" ref="BA178">_xlfn.LET(_xlpm.val,IF($F178="",val_blankRefText,_xldudf_CX_GET(CX_ENTITY,$F178,BA$11,BA$14,,(BA$146))),_xlpm.Res,IF(OR(_xlpm.val="",_xlpm.val="Error"),"",_xlpm.val),_xlpm.Res)</f>
        <v>#NAME?</v>
      </c>
      <c r="BB178" s="1986" t="e" cm="1">
        <f t="array" ca="1" aca="1" ref="BB178">_xlfn.LET(_xlpm.val,IF($F178="",val_blankRefText,_xldudf_CX_GET(CX_ENTITY,$F178,BB$11,BB$14,,(BB$146))),_xlpm.Res,IF(OR(_xlpm.val="",_xlpm.val="Error"),"",_xlpm.val),_xlpm.Res)</f>
        <v>#NAME?</v>
      </c>
      <c r="BC178" s="1986" t="e" cm="1">
        <f t="array" ca="1" aca="1" ref="BC178">_xlfn.LET(_xlpm.val,IF($F178="",val_blankRefText,_xldudf_CX_GET(CX_ENTITY,$F178,BC$11,BC$14,,(BC$146))),_xlpm.Res,IF(OR(_xlpm.val="",_xlpm.val="Error"),"",_xlpm.val),_xlpm.Res)</f>
        <v>#NAME?</v>
      </c>
      <c r="BD178" s="1986" t="e" cm="1">
        <f t="array" ca="1" aca="1" ref="BD178">_xlfn.LET(_xlpm.val,IF($F178="",val_blankRefText,_xldudf_CX_GET(CX_ENTITY,$F178,BD$11,BD$14,,(BD$146))),_xlpm.Res,IF(OR(_xlpm.val="",_xlpm.val="Error"),"",_xlpm.val),_xlpm.Res)</f>
        <v>#NAME?</v>
      </c>
      <c r="BE178" s="1986" t="e" cm="1">
        <f t="array" ca="1" aca="1" ref="BE178">_xlfn.LET(_xlpm.val,IF($F178="",val_blankRefText,_xldudf_CX_GET(CX_ENTITY,$F178,BE$11,BE$14,,(BE$146))),_xlpm.Res,IF(OR(_xlpm.val="",_xlpm.val="Error"),"",_xlpm.val),_xlpm.Res)</f>
        <v>#NAME?</v>
      </c>
      <c r="BF178" s="1986" t="e" cm="1">
        <f t="array" ca="1" aca="1" ref="BF178">_xlfn.LET(_xlpm.val,IF($F178="",val_blankRefText,_xldudf_CX_GET(CX_ENTITY,$F178,BF$11,BF$14,,(BF$146))),_xlpm.Res,IF(OR(_xlpm.val="",_xlpm.val="Error"),"",_xlpm.val),_xlpm.Res)</f>
        <v>#NAME?</v>
      </c>
      <c r="BG178" s="1986" t="e" cm="1">
        <f t="array" ca="1" aca="1" ref="BG178">_xlfn.LET(_xlpm.val,IF($F178="",val_blankRefText,_xldudf_CX_GET(CX_ENTITY,$F178,BG$11,BG$14,,(BG$146))),_xlpm.Res,IF(OR(_xlpm.val="",_xlpm.val="Error"),"",_xlpm.val),_xlpm.Res)</f>
        <v>#NAME?</v>
      </c>
      <c r="BH178" s="1986" t="e" cm="1">
        <f t="array" ca="1" aca="1" ref="BH178">_xlfn.LET(_xlpm.val,IF($F178="",val_blankRefText,_xldudf_CX_GET(CX_ENTITY,$F178,BH$11,BH$14,,(BH$146))),_xlpm.Res,IF(OR(_xlpm.val="",_xlpm.val="Error"),"",_xlpm.val),_xlpm.Res)</f>
        <v>#NAME?</v>
      </c>
      <c r="BI178" s="1986" t="e" cm="1">
        <f t="array" ca="1" aca="1" ref="BI178">_xlfn.LET(_xlpm.val,IF($F178="",val_blankRefText,_xldudf_CX_GET(CX_ENTITY,$F178,BI$11,BI$14,,(BI$146))),_xlpm.Res,IF(OR(_xlpm.val="",_xlpm.val="Error"),"",_xlpm.val),_xlpm.Res)</f>
        <v>#NAME?</v>
      </c>
      <c r="BJ178" s="1986" t="e" cm="1">
        <f t="array" ca="1" aca="1" ref="BJ178">_xlfn.LET(_xlpm.val,IF($F178="",val_blankRefText,_xldudf_CX_GET(CX_ENTITY,$F178,BJ$11,BJ$14,,(BJ$146))),_xlpm.Res,IF(OR(_xlpm.val="",_xlpm.val="Error"),"",_xlpm.val),_xlpm.Res)</f>
        <v>#NAME?</v>
      </c>
      <c r="BK178" s="1986" t="e" cm="1">
        <f t="array" ca="1" aca="1" ref="BK178">_xlfn.LET(_xlpm.val,IF($F178="",val_blankRefText,_xldudf_CX_GET(CX_ENTITY,$F178,BK$11,BK$14,,(BK$146))),_xlpm.Res,IF(OR(_xlpm.val="",_xlpm.val="Error"),"",_xlpm.val),_xlpm.Res)</f>
        <v>#NAME?</v>
      </c>
      <c r="BL178" s="1986" t="e" cm="1">
        <f t="array" ca="1" aca="1" ref="BL178">_xlfn.LET(_xlpm.val,IF($F178="",val_blankRefText,_xldudf_CX_GET(CX_ENTITY,$F178,BL$11,BL$14,,(BL$146))),_xlpm.Res,IF(OR(_xlpm.val="",_xlpm.val="Error"),"",_xlpm.val),_xlpm.Res)</f>
        <v>#NAME?</v>
      </c>
      <c r="BM178" s="1986" t="e" cm="1">
        <f t="array" ca="1" aca="1" ref="BM178">_xlfn.LET(_xlpm.val,IF($F178="",val_blankRefText,_xldudf_CX_GET(CX_ENTITY,$F178,BM$11,BM$14,,(BM$146))),_xlpm.Res,IF(OR(_xlpm.val="",_xlpm.val="Error"),"",_xlpm.val),_xlpm.Res)</f>
        <v>#NAME?</v>
      </c>
      <c r="BN178" s="1986" t="e" cm="1">
        <f t="array" ca="1" aca="1" ref="BN178">_xlfn.LET(_xlpm.val,IF($F178="",val_blankRefText,_xldudf_CX_GET(CX_ENTITY,$F178,BN$11,BN$14,,(BN$146))),_xlpm.Res,IF(OR(_xlpm.val="",_xlpm.val="Error"),"",_xlpm.val),_xlpm.Res)</f>
        <v>#NAME?</v>
      </c>
      <c r="BO178" s="2103"/>
      <c r="BP178" s="2103"/>
      <c r="BQ178" s="2103"/>
      <c r="BR178" s="2103"/>
      <c r="BS178" s="2103"/>
      <c r="BT178" s="2103"/>
      <c r="BU178" s="2103"/>
      <c r="BV178" s="2103"/>
      <c r="BW178" s="2103"/>
      <c r="BX178" s="2103"/>
      <c r="BY178" s="2103"/>
      <c r="BZ178" s="2103"/>
      <c r="CA178" s="34"/>
      <c r="CC178" s="299"/>
      <c r="CD178" s="1461" t="e" cm="1">
        <f t="array" ca="1" aca="1" ref="CD178">_xlfn.LET(_xlpm.CheckBlank,SUM(PL!$AD178:$BN178)=0,IF(_xlpm.CheckBlank,"",SUM(_xlfn._xlws.FILTER(PL!$AD178:$BN178,(YEAR(PL!$AD$12:$BN$12)=PL!CD$12)*(array_timeline&lt;=PL!CD$11)))))</f>
        <v>#NAME?</v>
      </c>
      <c r="CE178" s="1461" t="e" cm="1">
        <f t="array" ca="1" aca="1" ref="CE178">_xlfn.LET(_xlpm.CheckBlank,SUM(PL!$AD178:$BN178)=0,IF(_xlpm.CheckBlank,"",SUM(_xlfn._xlws.FILTER(PL!$AD178:$BN178,(YEAR(PL!$AD$12:$BN$12)=PL!CE$12)*(array_timeline&lt;=PL!CE$11)))))</f>
        <v>#NAME?</v>
      </c>
      <c r="CF178" s="88"/>
      <c r="CG178" s="1461" t="e" cm="1">
        <f t="array" ca="1" aca="1" ref="CG178">_xlfn.LET(_xlpm.CheckBlank,SUM(PL!$AD178:$BN178)=0,IF(_xlpm.CheckBlank,"",SUM(_xlfn._xlws.FILTER(PL!$AD178:$BN178,(YEAR(PL!$AD$12:$BN$12)=PL!CG$12)*(array_timeline&lt;=PL!CG$11)))))</f>
        <v>#NAME?</v>
      </c>
      <c r="CH178" s="1461" t="e" cm="1">
        <f t="array" ca="1" aca="1" ref="CH178">_xlfn.LET(_xlpm.CheckBlank,SUM(PL!$AD178:$BN178)=0,IF(_xlpm.CheckBlank,"",SUM(_xlfn._xlws.FILTER(PL!$AD178:$BN178,(YEAR(PL!$AD$12:$BN$12)=PL!CH$12)*(array_timeline&lt;=PL!CH$11)))))</f>
        <v>#NAME?</v>
      </c>
      <c r="CI178" s="88"/>
      <c r="CJ178" s="1461" cm="1">
        <f t="array" ref="CJ178">_xlfn.LET(_xlpm.CheckBlank,SUM(PL!$AD178:$BN178)=0,IF(_xlpm.CheckBlank,"",SUM(_xlfn.TAKE(_xlfn.DROP(PL!$AD178:$BN178,,-DATEDIFF(PL!CJ$11,val_asOfDate,"M")),1,-12))))</f>
        <v>12</v>
      </c>
      <c r="CK178" s="1461" cm="1">
        <f t="array" ref="CK178">_xlfn.LET(_xlpm.CheckBlank,SUM(PL!$AD178:$BN178)=0,IF(_xlpm.CheckBlank,"",SUM(_xlfn.TAKE(_xlfn.DROP(PL!$AD178:$BN178,,-DATEDIFF(PL!CK$11,val_asOfDate,"M")),1,-12))))</f>
        <v>12</v>
      </c>
      <c r="CL178" s="88"/>
      <c r="CM178" s="1986" t="e" cm="1">
        <f t="array" ca="1" aca="1" ref="CM178">_xlfn.LET(_xlpm.val,IF($F178="",val_blankRefText,_xldudf_CX_GET(CX_ENTITY,$F178,CM$11,CM$14,,(CM$174))),_xlpm.Res,IF(OR(_xlpm.val="",_xlpm.val="Error"),"",_xlpm.val),_xlpm.Res)</f>
        <v>#NAME?</v>
      </c>
      <c r="CN178" s="1986" t="e" cm="1">
        <f t="array" ca="1" aca="1" ref="CN178">_xlfn.LET(_xlpm.val,IF($F178="",val_blankRefText,_xldudf_CX_GET(CX_ENTITY,$F178,CN$11,CN$14,,(CN$174))),_xlpm.Res,IF(OR(_xlpm.val="",_xlpm.val="Error"),"",_xlpm.val),_xlpm.Res)</f>
        <v>#NAME?</v>
      </c>
      <c r="CO178" s="1169"/>
      <c r="CP178" s="1986" t="e" cm="1">
        <f t="array" ca="1" aca="1" ref="CP178">_xlfn.LET(_xlpm.val,IF($F178="",val_blankRefText,_xldudf_CX_GET(CX_ENTITY,$F178,CP$11,CP$14,,(CP$174))),_xlpm.Res,IF(OR(_xlpm.val="",_xlpm.val="Error"),"",_xlpm.val),_xlpm.Res)</f>
        <v>#NAME?</v>
      </c>
      <c r="CQ178" s="1986" t="e" cm="1">
        <f t="array" ca="1" aca="1" ref="CQ178">_xlfn.LET(_xlpm.val,IF($F178="",val_blankRefText,_xldudf_CX_GET(CX_ENTITY,$F178,CQ$11,CQ$14,,(CQ$174))),_xlpm.Res,IF(OR(_xlpm.val="",_xlpm.val="Error"),"",_xlpm.val),_xlpm.Res)</f>
        <v>#NAME?</v>
      </c>
      <c r="CR178" s="34"/>
    </row>
    <row r="179" spans="1:96" ht="21" customHeight="1" outlineLevel="1">
      <c r="A179" s="1322"/>
      <c r="B179" s="577" t="s">
        <v>149</v>
      </c>
      <c r="C179" s="577" t="s">
        <v>1625</v>
      </c>
      <c r="D179" s="577"/>
      <c r="E179" s="577" t="e" cm="1">
        <f t="array" ca="1" aca="1" ref="E179">_xlfn.LET(_xlpm.Attr,$C179,_xlpm.Lookback,$E$16,_xlpm.QueryDate,EOMONTH(val_asOfDate,_xlpm.Lookback),_xlpm.ReadField,_xldudf_CX_GET(CX_ENTITY,fx_attrConverter($C179),_xlpm.QueryDate),_xlpm.AttrBlank,_xlpm.Attr="",_xlpm.RESULT,IF(_xlpm.AttrBlank,val_blankRefText,fx_attrConverter(_xlpm.ReadField,0)),IF(_xlpm.RESULT="Error","",_xlpm.RESULT))</f>
        <v>#NAME?</v>
      </c>
      <c r="F179" s="577" t="str">
        <f t="shared" si="52"/>
        <v>Valuation Metric Adjustment Type II - Amount 4</v>
      </c>
      <c r="G179" s="577" t="s">
        <v>1622</v>
      </c>
      <c r="H179" s="510">
        <v>0</v>
      </c>
      <c r="I179" s="3278">
        <v>1</v>
      </c>
      <c r="J179" s="30"/>
      <c r="K179" s="30"/>
      <c r="L179" s="579" t="b">
        <v>0</v>
      </c>
      <c r="N179" s="158"/>
      <c r="O179" s="101"/>
      <c r="P179" s="52"/>
      <c r="Q179" s="101"/>
      <c r="R179" s="101"/>
      <c r="S179" s="101"/>
      <c r="T179" s="101"/>
      <c r="U179" s="39"/>
      <c r="W179" s="91" t="str">
        <f>W175</f>
        <v>Actual</v>
      </c>
      <c r="X179" s="884" t="s">
        <v>62</v>
      </c>
      <c r="Y179" s="1555" t="e">
        <f t="shared" ca="1" si="53"/>
        <v>#NAME?</v>
      </c>
      <c r="Z179" s="198" cm="1">
        <f t="array" ref="Z179">_xlfn.SWITCH(TRUE,ISBLANK(_PL!$L179),"",_PL!$L179=TRUE,1,_PL!$L179=FALSE,-1,_PL!$L179=-1,0,"n/a")</f>
        <v>-1</v>
      </c>
      <c r="AA179" s="905"/>
      <c r="AB179" s="1131"/>
      <c r="AC179" s="914" t="str" cm="1">
        <f t="array" ref="AC179">_xlfn.LET(_xlpm.Def,IF(_xlfn.XMATCH(AB179,tbl_acctDef[Term],0)&gt;0,fx_getIcon("find"),""),_xlpm.Adj,IF(_xlfn.XMATCH(AB179,tbl_adjExample[Items],0)&gt;0,fx_getIcon("find"),""),IFERROR(IFBLANK(_xlpm.Def,_xlpm.Adj),""))</f>
        <v/>
      </c>
      <c r="AD179" s="1986" t="e" cm="1">
        <f t="array" ca="1" aca="1" ref="AD179">_xlfn.LET(_xlpm.val,IF($F179="",val_blankRefText,_xldudf_CX_GET(CX_ENTITY,$F179,AD$11,AD$14,,(AD$146))),_xlpm.Res,IF(OR(_xlpm.val="",_xlpm.val="Error"),"",_xlpm.val),_xlpm.Res)</f>
        <v>#NAME?</v>
      </c>
      <c r="AE179" s="1986" t="e" cm="1">
        <f t="array" ca="1" aca="1" ref="AE179">_xlfn.LET(_xlpm.val,IF($F179="",val_blankRefText,_xldudf_CX_GET(CX_ENTITY,$F179,AE$11,AE$14,,(AE$146))),_xlpm.Res,IF(OR(_xlpm.val="",_xlpm.val="Error"),"",_xlpm.val),_xlpm.Res)</f>
        <v>#NAME?</v>
      </c>
      <c r="AF179" s="1986" t="e" cm="1">
        <f t="array" ca="1" aca="1" ref="AF179">_xlfn.LET(_xlpm.val,IF($F179="",val_blankRefText,_xldudf_CX_GET(CX_ENTITY,$F179,AF$11,AF$14,,(AF$146))),_xlpm.Res,IF(OR(_xlpm.val="",_xlpm.val="Error"),"",_xlpm.val),_xlpm.Res)</f>
        <v>#NAME?</v>
      </c>
      <c r="AG179" s="1986" t="e" cm="1">
        <f t="array" ca="1" aca="1" ref="AG179">_xlfn.LET(_xlpm.val,IF($F179="",val_blankRefText,_xldudf_CX_GET(CX_ENTITY,$F179,AG$11,AG$14,,(AG$146))),_xlpm.Res,IF(OR(_xlpm.val="",_xlpm.val="Error"),"",_xlpm.val),_xlpm.Res)</f>
        <v>#NAME?</v>
      </c>
      <c r="AH179" s="1986" t="e" cm="1">
        <f t="array" ca="1" aca="1" ref="AH179">_xlfn.LET(_xlpm.val,IF($F179="",val_blankRefText,_xldudf_CX_GET(CX_ENTITY,$F179,AH$11,AH$14,,(AH$146))),_xlpm.Res,IF(OR(_xlpm.val="",_xlpm.val="Error"),"",_xlpm.val),_xlpm.Res)</f>
        <v>#NAME?</v>
      </c>
      <c r="AI179" s="1986" t="e" cm="1">
        <f t="array" ca="1" aca="1" ref="AI179">_xlfn.LET(_xlpm.val,IF($F179="",val_blankRefText,_xldudf_CX_GET(CX_ENTITY,$F179,AI$11,AI$14,,(AI$146))),_xlpm.Res,IF(OR(_xlpm.val="",_xlpm.val="Error"),"",_xlpm.val),_xlpm.Res)</f>
        <v>#NAME?</v>
      </c>
      <c r="AJ179" s="1986" t="e" cm="1">
        <f t="array" ca="1" aca="1" ref="AJ179">_xlfn.LET(_xlpm.val,IF($F179="",val_blankRefText,_xldudf_CX_GET(CX_ENTITY,$F179,AJ$11,AJ$14,,(AJ$146))),_xlpm.Res,IF(OR(_xlpm.val="",_xlpm.val="Error"),"",_xlpm.val),_xlpm.Res)</f>
        <v>#NAME?</v>
      </c>
      <c r="AK179" s="1986" t="e" cm="1">
        <f t="array" ca="1" aca="1" ref="AK179">_xlfn.LET(_xlpm.val,IF($F179="",val_blankRefText,_xldudf_CX_GET(CX_ENTITY,$F179,AK$11,AK$14,,(AK$146))),_xlpm.Res,IF(OR(_xlpm.val="",_xlpm.val="Error"),"",_xlpm.val),_xlpm.Res)</f>
        <v>#NAME?</v>
      </c>
      <c r="AL179" s="1986" t="e" cm="1">
        <f t="array" ca="1" aca="1" ref="AL179">_xlfn.LET(_xlpm.val,IF($F179="",val_blankRefText,_xldudf_CX_GET(CX_ENTITY,$F179,AL$11,AL$14,,(AL$146))),_xlpm.Res,IF(OR(_xlpm.val="",_xlpm.val="Error"),"",_xlpm.val),_xlpm.Res)</f>
        <v>#NAME?</v>
      </c>
      <c r="AM179" s="1986" t="e" cm="1">
        <f t="array" ca="1" aca="1" ref="AM179">_xlfn.LET(_xlpm.val,IF($F179="",val_blankRefText,_xldudf_CX_GET(CX_ENTITY,$F179,AM$11,AM$14,,(AM$146))),_xlpm.Res,IF(OR(_xlpm.val="",_xlpm.val="Error"),"",_xlpm.val),_xlpm.Res)</f>
        <v>#NAME?</v>
      </c>
      <c r="AN179" s="1986" t="e" cm="1">
        <f t="array" ca="1" aca="1" ref="AN179">_xlfn.LET(_xlpm.val,IF($F179="",val_blankRefText,_xldudf_CX_GET(CX_ENTITY,$F179,AN$11,AN$14,,(AN$146))),_xlpm.Res,IF(OR(_xlpm.val="",_xlpm.val="Error"),"",_xlpm.val),_xlpm.Res)</f>
        <v>#NAME?</v>
      </c>
      <c r="AO179" s="1986" t="e" cm="1">
        <f t="array" ca="1" aca="1" ref="AO179">_xlfn.LET(_xlpm.val,IF($F179="",val_blankRefText,_xldudf_CX_GET(CX_ENTITY,$F179,AO$11,AO$14,,(AO$146))),_xlpm.Res,IF(OR(_xlpm.val="",_xlpm.val="Error"),"",_xlpm.val),_xlpm.Res)</f>
        <v>#NAME?</v>
      </c>
      <c r="AP179" s="1986" t="e" cm="1">
        <f t="array" ca="1" aca="1" ref="AP179">_xlfn.LET(_xlpm.val,IF($F179="",val_blankRefText,_xldudf_CX_GET(CX_ENTITY,$F179,AP$11,AP$14,,(AP$146))),_xlpm.Res,IF(OR(_xlpm.val="",_xlpm.val="Error"),"",_xlpm.val),_xlpm.Res)</f>
        <v>#NAME?</v>
      </c>
      <c r="AQ179" s="1986" t="e" cm="1">
        <f t="array" ca="1" aca="1" ref="AQ179">_xlfn.LET(_xlpm.val,IF($F179="",val_blankRefText,_xldudf_CX_GET(CX_ENTITY,$F179,AQ$11,AQ$14,,(AQ$146))),_xlpm.Res,IF(OR(_xlpm.val="",_xlpm.val="Error"),"",_xlpm.val),_xlpm.Res)</f>
        <v>#NAME?</v>
      </c>
      <c r="AR179" s="1986" t="e" cm="1">
        <f t="array" ca="1" aca="1" ref="AR179">_xlfn.LET(_xlpm.val,IF($F179="",val_blankRefText,_xldudf_CX_GET(CX_ENTITY,$F179,AR$11,AR$14,,(AR$146))),_xlpm.Res,IF(OR(_xlpm.val="",_xlpm.val="Error"),"",_xlpm.val),_xlpm.Res)</f>
        <v>#NAME?</v>
      </c>
      <c r="AS179" s="1986" t="e" cm="1">
        <f t="array" ca="1" aca="1" ref="AS179">_xlfn.LET(_xlpm.val,IF($F179="",val_blankRefText,_xldudf_CX_GET(CX_ENTITY,$F179,AS$11,AS$14,,(AS$146))),_xlpm.Res,IF(OR(_xlpm.val="",_xlpm.val="Error"),"",_xlpm.val),_xlpm.Res)</f>
        <v>#NAME?</v>
      </c>
      <c r="AT179" s="1986" t="e" cm="1">
        <f t="array" ca="1" aca="1" ref="AT179">_xlfn.LET(_xlpm.val,IF($F179="",val_blankRefText,_xldudf_CX_GET(CX_ENTITY,$F179,AT$11,AT$14,,(AT$146))),_xlpm.Res,IF(OR(_xlpm.val="",_xlpm.val="Error"),"",_xlpm.val),_xlpm.Res)</f>
        <v>#NAME?</v>
      </c>
      <c r="AU179" s="1986" t="e" cm="1">
        <f t="array" ca="1" aca="1" ref="AU179">_xlfn.LET(_xlpm.val,IF($F179="",val_blankRefText,_xldudf_CX_GET(CX_ENTITY,$F179,AU$11,AU$14,,(AU$146))),_xlpm.Res,IF(OR(_xlpm.val="",_xlpm.val="Error"),"",_xlpm.val),_xlpm.Res)</f>
        <v>#NAME?</v>
      </c>
      <c r="AV179" s="1986" t="e" cm="1">
        <f t="array" ca="1" aca="1" ref="AV179">_xlfn.LET(_xlpm.val,IF($F179="",val_blankRefText,_xldudf_CX_GET(CX_ENTITY,$F179,AV$11,AV$14,,(AV$146))),_xlpm.Res,IF(OR(_xlpm.val="",_xlpm.val="Error"),"",_xlpm.val),_xlpm.Res)</f>
        <v>#NAME?</v>
      </c>
      <c r="AW179" s="1986" t="e" cm="1">
        <f t="array" ca="1" aca="1" ref="AW179">_xlfn.LET(_xlpm.val,IF($F179="",val_blankRefText,_xldudf_CX_GET(CX_ENTITY,$F179,AW$11,AW$14,,(AW$146))),_xlpm.Res,IF(OR(_xlpm.val="",_xlpm.val="Error"),"",_xlpm.val),_xlpm.Res)</f>
        <v>#NAME?</v>
      </c>
      <c r="AX179" s="1986" t="e" cm="1">
        <f t="array" ca="1" aca="1" ref="AX179">_xlfn.LET(_xlpm.val,IF($F179="",val_blankRefText,_xldudf_CX_GET(CX_ENTITY,$F179,AX$11,AX$14,,(AX$146))),_xlpm.Res,IF(OR(_xlpm.val="",_xlpm.val="Error"),"",_xlpm.val),_xlpm.Res)</f>
        <v>#NAME?</v>
      </c>
      <c r="AY179" s="1986" t="e" cm="1">
        <f t="array" ca="1" aca="1" ref="AY179">_xlfn.LET(_xlpm.val,IF($F179="",val_blankRefText,_xldudf_CX_GET(CX_ENTITY,$F179,AY$11,AY$14,,(AY$146))),_xlpm.Res,IF(OR(_xlpm.val="",_xlpm.val="Error"),"",_xlpm.val),_xlpm.Res)</f>
        <v>#NAME?</v>
      </c>
      <c r="AZ179" s="1986" t="e" cm="1">
        <f t="array" ca="1" aca="1" ref="AZ179">_xlfn.LET(_xlpm.val,IF($F179="",val_blankRefText,_xldudf_CX_GET(CX_ENTITY,$F179,AZ$11,AZ$14,,(AZ$146))),_xlpm.Res,IF(OR(_xlpm.val="",_xlpm.val="Error"),"",_xlpm.val),_xlpm.Res)</f>
        <v>#NAME?</v>
      </c>
      <c r="BA179" s="1986" t="e" cm="1">
        <f t="array" ca="1" aca="1" ref="BA179">_xlfn.LET(_xlpm.val,IF($F179="",val_blankRefText,_xldudf_CX_GET(CX_ENTITY,$F179,BA$11,BA$14,,(BA$146))),_xlpm.Res,IF(OR(_xlpm.val="",_xlpm.val="Error"),"",_xlpm.val),_xlpm.Res)</f>
        <v>#NAME?</v>
      </c>
      <c r="BB179" s="1986" t="e" cm="1">
        <f t="array" ca="1" aca="1" ref="BB179">_xlfn.LET(_xlpm.val,IF($F179="",val_blankRefText,_xldudf_CX_GET(CX_ENTITY,$F179,BB$11,BB$14,,(BB$146))),_xlpm.Res,IF(OR(_xlpm.val="",_xlpm.val="Error"),"",_xlpm.val),_xlpm.Res)</f>
        <v>#NAME?</v>
      </c>
      <c r="BC179" s="1986" t="e" cm="1">
        <f t="array" ca="1" aca="1" ref="BC179">_xlfn.LET(_xlpm.val,IF($F179="",val_blankRefText,_xldudf_CX_GET(CX_ENTITY,$F179,BC$11,BC$14,,(BC$146))),_xlpm.Res,IF(OR(_xlpm.val="",_xlpm.val="Error"),"",_xlpm.val),_xlpm.Res)</f>
        <v>#NAME?</v>
      </c>
      <c r="BD179" s="1986" t="e" cm="1">
        <f t="array" ca="1" aca="1" ref="BD179">_xlfn.LET(_xlpm.val,IF($F179="",val_blankRefText,_xldudf_CX_GET(CX_ENTITY,$F179,BD$11,BD$14,,(BD$146))),_xlpm.Res,IF(OR(_xlpm.val="",_xlpm.val="Error"),"",_xlpm.val),_xlpm.Res)</f>
        <v>#NAME?</v>
      </c>
      <c r="BE179" s="1986" t="e" cm="1">
        <f t="array" ca="1" aca="1" ref="BE179">_xlfn.LET(_xlpm.val,IF($F179="",val_blankRefText,_xldudf_CX_GET(CX_ENTITY,$F179,BE$11,BE$14,,(BE$146))),_xlpm.Res,IF(OR(_xlpm.val="",_xlpm.val="Error"),"",_xlpm.val),_xlpm.Res)</f>
        <v>#NAME?</v>
      </c>
      <c r="BF179" s="1986" t="e" cm="1">
        <f t="array" ca="1" aca="1" ref="BF179">_xlfn.LET(_xlpm.val,IF($F179="",val_blankRefText,_xldudf_CX_GET(CX_ENTITY,$F179,BF$11,BF$14,,(BF$146))),_xlpm.Res,IF(OR(_xlpm.val="",_xlpm.val="Error"),"",_xlpm.val),_xlpm.Res)</f>
        <v>#NAME?</v>
      </c>
      <c r="BG179" s="1986" t="e" cm="1">
        <f t="array" ca="1" aca="1" ref="BG179">_xlfn.LET(_xlpm.val,IF($F179="",val_blankRefText,_xldudf_CX_GET(CX_ENTITY,$F179,BG$11,BG$14,,(BG$146))),_xlpm.Res,IF(OR(_xlpm.val="",_xlpm.val="Error"),"",_xlpm.val),_xlpm.Res)</f>
        <v>#NAME?</v>
      </c>
      <c r="BH179" s="1986" t="e" cm="1">
        <f t="array" ca="1" aca="1" ref="BH179">_xlfn.LET(_xlpm.val,IF($F179="",val_blankRefText,_xldudf_CX_GET(CX_ENTITY,$F179,BH$11,BH$14,,(BH$146))),_xlpm.Res,IF(OR(_xlpm.val="",_xlpm.val="Error"),"",_xlpm.val),_xlpm.Res)</f>
        <v>#NAME?</v>
      </c>
      <c r="BI179" s="1986" t="e" cm="1">
        <f t="array" ca="1" aca="1" ref="BI179">_xlfn.LET(_xlpm.val,IF($F179="",val_blankRefText,_xldudf_CX_GET(CX_ENTITY,$F179,BI$11,BI$14,,(BI$146))),_xlpm.Res,IF(OR(_xlpm.val="",_xlpm.val="Error"),"",_xlpm.val),_xlpm.Res)</f>
        <v>#NAME?</v>
      </c>
      <c r="BJ179" s="1986" t="e" cm="1">
        <f t="array" ca="1" aca="1" ref="BJ179">_xlfn.LET(_xlpm.val,IF($F179="",val_blankRefText,_xldudf_CX_GET(CX_ENTITY,$F179,BJ$11,BJ$14,,(BJ$146))),_xlpm.Res,IF(OR(_xlpm.val="",_xlpm.val="Error"),"",_xlpm.val),_xlpm.Res)</f>
        <v>#NAME?</v>
      </c>
      <c r="BK179" s="1986" t="e" cm="1">
        <f t="array" ca="1" aca="1" ref="BK179">_xlfn.LET(_xlpm.val,IF($F179="",val_blankRefText,_xldudf_CX_GET(CX_ENTITY,$F179,BK$11,BK$14,,(BK$146))),_xlpm.Res,IF(OR(_xlpm.val="",_xlpm.val="Error"),"",_xlpm.val),_xlpm.Res)</f>
        <v>#NAME?</v>
      </c>
      <c r="BL179" s="1986" t="e" cm="1">
        <f t="array" ca="1" aca="1" ref="BL179">_xlfn.LET(_xlpm.val,IF($F179="",val_blankRefText,_xldudf_CX_GET(CX_ENTITY,$F179,BL$11,BL$14,,(BL$146))),_xlpm.Res,IF(OR(_xlpm.val="",_xlpm.val="Error"),"",_xlpm.val),_xlpm.Res)</f>
        <v>#NAME?</v>
      </c>
      <c r="BM179" s="1986" t="e" cm="1">
        <f t="array" ca="1" aca="1" ref="BM179">_xlfn.LET(_xlpm.val,IF($F179="",val_blankRefText,_xldudf_CX_GET(CX_ENTITY,$F179,BM$11,BM$14,,(BM$146))),_xlpm.Res,IF(OR(_xlpm.val="",_xlpm.val="Error"),"",_xlpm.val),_xlpm.Res)</f>
        <v>#NAME?</v>
      </c>
      <c r="BN179" s="1986" t="e" cm="1">
        <f t="array" ca="1" aca="1" ref="BN179">_xlfn.LET(_xlpm.val,IF($F179="",val_blankRefText,_xldudf_CX_GET(CX_ENTITY,$F179,BN$11,BN$14,,(BN$146))),_xlpm.Res,IF(OR(_xlpm.val="",_xlpm.val="Error"),"",_xlpm.val),_xlpm.Res)</f>
        <v>#NAME?</v>
      </c>
      <c r="BO179" s="2103"/>
      <c r="BP179" s="2103"/>
      <c r="BQ179" s="2103"/>
      <c r="BR179" s="2103"/>
      <c r="BS179" s="2103"/>
      <c r="BT179" s="2103"/>
      <c r="BU179" s="2103"/>
      <c r="BV179" s="2103"/>
      <c r="BW179" s="2103"/>
      <c r="BX179" s="2103"/>
      <c r="BY179" s="2103"/>
      <c r="BZ179" s="2103"/>
      <c r="CA179" s="34"/>
      <c r="CC179" s="299"/>
      <c r="CD179" s="1461" t="e" cm="1">
        <f t="array" ca="1" aca="1" ref="CD179">_xlfn.LET(_xlpm.CheckBlank,SUM(PL!$AD179:$BN179)=0,IF(_xlpm.CheckBlank,"",SUM(_xlfn._xlws.FILTER(PL!$AD179:$BN179,(YEAR(PL!$AD$12:$BN$12)=PL!CD$12)*(array_timeline&lt;=PL!CD$11)))))</f>
        <v>#NAME?</v>
      </c>
      <c r="CE179" s="1461" t="e" cm="1">
        <f t="array" ca="1" aca="1" ref="CE179">_xlfn.LET(_xlpm.CheckBlank,SUM(PL!$AD179:$BN179)=0,IF(_xlpm.CheckBlank,"",SUM(_xlfn._xlws.FILTER(PL!$AD179:$BN179,(YEAR(PL!$AD$12:$BN$12)=PL!CE$12)*(array_timeline&lt;=PL!CE$11)))))</f>
        <v>#NAME?</v>
      </c>
      <c r="CF179" s="88"/>
      <c r="CG179" s="1461" t="e" cm="1">
        <f t="array" ca="1" aca="1" ref="CG179">_xlfn.LET(_xlpm.CheckBlank,SUM(PL!$AD179:$BN179)=0,IF(_xlpm.CheckBlank,"",SUM(_xlfn._xlws.FILTER(PL!$AD179:$BN179,(YEAR(PL!$AD$12:$BN$12)=PL!CG$12)*(array_timeline&lt;=PL!CG$11)))))</f>
        <v>#NAME?</v>
      </c>
      <c r="CH179" s="1461" t="e" cm="1">
        <f t="array" ca="1" aca="1" ref="CH179">_xlfn.LET(_xlpm.CheckBlank,SUM(PL!$AD179:$BN179)=0,IF(_xlpm.CheckBlank,"",SUM(_xlfn._xlws.FILTER(PL!$AD179:$BN179,(YEAR(PL!$AD$12:$BN$12)=PL!CH$12)*(array_timeline&lt;=PL!CH$11)))))</f>
        <v>#NAME?</v>
      </c>
      <c r="CI179" s="88"/>
      <c r="CJ179" s="1461" cm="1">
        <f t="array" ref="CJ179">_xlfn.LET(_xlpm.CheckBlank,SUM(PL!$AD179:$BN179)=0,IF(_xlpm.CheckBlank,"",SUM(_xlfn.TAKE(_xlfn.DROP(PL!$AD179:$BN179,,-DATEDIFF(PL!CJ$11,val_asOfDate,"M")),1,-12))))</f>
        <v>12</v>
      </c>
      <c r="CK179" s="1461" cm="1">
        <f t="array" ref="CK179">_xlfn.LET(_xlpm.CheckBlank,SUM(PL!$AD179:$BN179)=0,IF(_xlpm.CheckBlank,"",SUM(_xlfn.TAKE(_xlfn.DROP(PL!$AD179:$BN179,,-DATEDIFF(PL!CK$11,val_asOfDate,"M")),1,-12))))</f>
        <v>12</v>
      </c>
      <c r="CL179" s="88"/>
      <c r="CM179" s="1986" t="e" cm="1">
        <f t="array" ca="1" aca="1" ref="CM179">_xlfn.LET(_xlpm.val,IF($F179="",val_blankRefText,_xldudf_CX_GET(CX_ENTITY,$F179,CM$11,CM$14,,(CM$174))),_xlpm.Res,IF(OR(_xlpm.val="",_xlpm.val="Error"),"",_xlpm.val),_xlpm.Res)</f>
        <v>#NAME?</v>
      </c>
      <c r="CN179" s="1986" t="e" cm="1">
        <f t="array" ca="1" aca="1" ref="CN179">_xlfn.LET(_xlpm.val,IF($F179="",val_blankRefText,_xldudf_CX_GET(CX_ENTITY,$F179,CN$11,CN$14,,(CN$174))),_xlpm.Res,IF(OR(_xlpm.val="",_xlpm.val="Error"),"",_xlpm.val),_xlpm.Res)</f>
        <v>#NAME?</v>
      </c>
      <c r="CO179" s="1169"/>
      <c r="CP179" s="1986" t="e" cm="1">
        <f t="array" ca="1" aca="1" ref="CP179">_xlfn.LET(_xlpm.val,IF($F179="",val_blankRefText,_xldudf_CX_GET(CX_ENTITY,$F179,CP$11,CP$14,,(CP$174))),_xlpm.Res,IF(OR(_xlpm.val="",_xlpm.val="Error"),"",_xlpm.val),_xlpm.Res)</f>
        <v>#NAME?</v>
      </c>
      <c r="CQ179" s="1986" t="e" cm="1">
        <f t="array" ca="1" aca="1" ref="CQ179">_xlfn.LET(_xlpm.val,IF($F179="",val_blankRefText,_xldudf_CX_GET(CX_ENTITY,$F179,CQ$11,CQ$14,,(CQ$174))),_xlpm.Res,IF(OR(_xlpm.val="",_xlpm.val="Error"),"",_xlpm.val),_xlpm.Res)</f>
        <v>#NAME?</v>
      </c>
      <c r="CR179" s="34"/>
    </row>
    <row r="180" spans="1:96" ht="21" customHeight="1" outlineLevel="1">
      <c r="A180" s="1322"/>
      <c r="B180" s="577" t="s">
        <v>150</v>
      </c>
      <c r="C180" s="577" t="s">
        <v>1626</v>
      </c>
      <c r="D180" s="577"/>
      <c r="E180" s="577" t="e" cm="1">
        <f t="array" ca="1" aca="1" ref="E180">_xlfn.LET(_xlpm.Attr,$C180,_xlpm.Lookback,$E$16,_xlpm.QueryDate,EOMONTH(val_asOfDate,_xlpm.Lookback),_xlpm.ReadField,_xldudf_CX_GET(CX_ENTITY,fx_attrConverter($C180),_xlpm.QueryDate),_xlpm.AttrBlank,_xlpm.Attr="",_xlpm.RESULT,IF(_xlpm.AttrBlank,val_blankRefText,fx_attrConverter(_xlpm.ReadField,0)),IF(_xlpm.RESULT="Error","",_xlpm.RESULT))</f>
        <v>#NAME?</v>
      </c>
      <c r="F180" s="577" t="str">
        <f t="shared" si="52"/>
        <v>Valuation Metric Adjustment Type II - Amount 5</v>
      </c>
      <c r="G180" s="577" t="s">
        <v>1622</v>
      </c>
      <c r="H180" s="510">
        <v>0</v>
      </c>
      <c r="I180" s="3278">
        <v>1</v>
      </c>
      <c r="J180" s="30"/>
      <c r="K180" s="30"/>
      <c r="L180" s="579" t="b">
        <v>0</v>
      </c>
      <c r="N180" s="158"/>
      <c r="O180" s="101"/>
      <c r="P180" s="52"/>
      <c r="Q180" s="101"/>
      <c r="R180" s="101"/>
      <c r="S180" s="101"/>
      <c r="T180" s="101"/>
      <c r="U180" s="39"/>
      <c r="W180" s="91" t="str">
        <f>W176</f>
        <v>Actual</v>
      </c>
      <c r="X180" s="884" t="s">
        <v>62</v>
      </c>
      <c r="Y180" s="1555" t="e">
        <f t="shared" ca="1" si="53"/>
        <v>#NAME?</v>
      </c>
      <c r="Z180" s="198" cm="1">
        <f t="array" ref="Z180">_xlfn.SWITCH(TRUE,ISBLANK(_PL!$L180),"",_PL!$L180=TRUE,1,_PL!$L180=FALSE,-1,_PL!$L180=-1,0,"n/a")</f>
        <v>-1</v>
      </c>
      <c r="AA180" s="905"/>
      <c r="AB180" s="1128"/>
      <c r="AC180" s="914" t="str" cm="1">
        <f t="array" ref="AC180">_xlfn.LET(_xlpm.Def,IF(_xlfn.XMATCH(AB180,tbl_acctDef[Term],0)&gt;0,fx_getIcon("find"),""),_xlpm.Adj,IF(_xlfn.XMATCH(AB180,tbl_adjExample[Items],0)&gt;0,fx_getIcon("find"),""),IFERROR(IFBLANK(_xlpm.Def,_xlpm.Adj),""))</f>
        <v/>
      </c>
      <c r="AD180" s="1986" t="e" cm="1">
        <f t="array" ca="1" aca="1" ref="AD180">_xlfn.LET(_xlpm.val,IF($F180="",val_blankRefText,_xldudf_CX_GET(CX_ENTITY,$F180,AD$11,AD$14,,(AD$146))),_xlpm.Res,IF(OR(_xlpm.val="",_xlpm.val="Error"),"",_xlpm.val),_xlpm.Res)</f>
        <v>#NAME?</v>
      </c>
      <c r="AE180" s="1986" t="e" cm="1">
        <f t="array" ca="1" aca="1" ref="AE180">_xlfn.LET(_xlpm.val,IF($F180="",val_blankRefText,_xldudf_CX_GET(CX_ENTITY,$F180,AE$11,AE$14,,(AE$146))),_xlpm.Res,IF(OR(_xlpm.val="",_xlpm.val="Error"),"",_xlpm.val),_xlpm.Res)</f>
        <v>#NAME?</v>
      </c>
      <c r="AF180" s="1986" t="e" cm="1">
        <f t="array" ca="1" aca="1" ref="AF180">_xlfn.LET(_xlpm.val,IF($F180="",val_blankRefText,_xldudf_CX_GET(CX_ENTITY,$F180,AF$11,AF$14,,(AF$146))),_xlpm.Res,IF(OR(_xlpm.val="",_xlpm.val="Error"),"",_xlpm.val),_xlpm.Res)</f>
        <v>#NAME?</v>
      </c>
      <c r="AG180" s="1986" t="e" cm="1">
        <f t="array" ca="1" aca="1" ref="AG180">_xlfn.LET(_xlpm.val,IF($F180="",val_blankRefText,_xldudf_CX_GET(CX_ENTITY,$F180,AG$11,AG$14,,(AG$146))),_xlpm.Res,IF(OR(_xlpm.val="",_xlpm.val="Error"),"",_xlpm.val),_xlpm.Res)</f>
        <v>#NAME?</v>
      </c>
      <c r="AH180" s="1986" t="e" cm="1">
        <f t="array" ca="1" aca="1" ref="AH180">_xlfn.LET(_xlpm.val,IF($F180="",val_blankRefText,_xldudf_CX_GET(CX_ENTITY,$F180,AH$11,AH$14,,(AH$146))),_xlpm.Res,IF(OR(_xlpm.val="",_xlpm.val="Error"),"",_xlpm.val),_xlpm.Res)</f>
        <v>#NAME?</v>
      </c>
      <c r="AI180" s="1986" t="e" cm="1">
        <f t="array" ca="1" aca="1" ref="AI180">_xlfn.LET(_xlpm.val,IF($F180="",val_blankRefText,_xldudf_CX_GET(CX_ENTITY,$F180,AI$11,AI$14,,(AI$146))),_xlpm.Res,IF(OR(_xlpm.val="",_xlpm.val="Error"),"",_xlpm.val),_xlpm.Res)</f>
        <v>#NAME?</v>
      </c>
      <c r="AJ180" s="1986" t="e" cm="1">
        <f t="array" ca="1" aca="1" ref="AJ180">_xlfn.LET(_xlpm.val,IF($F180="",val_blankRefText,_xldudf_CX_GET(CX_ENTITY,$F180,AJ$11,AJ$14,,(AJ$146))),_xlpm.Res,IF(OR(_xlpm.val="",_xlpm.val="Error"),"",_xlpm.val),_xlpm.Res)</f>
        <v>#NAME?</v>
      </c>
      <c r="AK180" s="1986" t="e" cm="1">
        <f t="array" ca="1" aca="1" ref="AK180">_xlfn.LET(_xlpm.val,IF($F180="",val_blankRefText,_xldudf_CX_GET(CX_ENTITY,$F180,AK$11,AK$14,,(AK$146))),_xlpm.Res,IF(OR(_xlpm.val="",_xlpm.val="Error"),"",_xlpm.val),_xlpm.Res)</f>
        <v>#NAME?</v>
      </c>
      <c r="AL180" s="1986" t="e" cm="1">
        <f t="array" ca="1" aca="1" ref="AL180">_xlfn.LET(_xlpm.val,IF($F180="",val_blankRefText,_xldudf_CX_GET(CX_ENTITY,$F180,AL$11,AL$14,,(AL$146))),_xlpm.Res,IF(OR(_xlpm.val="",_xlpm.val="Error"),"",_xlpm.val),_xlpm.Res)</f>
        <v>#NAME?</v>
      </c>
      <c r="AM180" s="1986" t="e" cm="1">
        <f t="array" ca="1" aca="1" ref="AM180">_xlfn.LET(_xlpm.val,IF($F180="",val_blankRefText,_xldudf_CX_GET(CX_ENTITY,$F180,AM$11,AM$14,,(AM$146))),_xlpm.Res,IF(OR(_xlpm.val="",_xlpm.val="Error"),"",_xlpm.val),_xlpm.Res)</f>
        <v>#NAME?</v>
      </c>
      <c r="AN180" s="1986" t="e" cm="1">
        <f t="array" ca="1" aca="1" ref="AN180">_xlfn.LET(_xlpm.val,IF($F180="",val_blankRefText,_xldudf_CX_GET(CX_ENTITY,$F180,AN$11,AN$14,,(AN$146))),_xlpm.Res,IF(OR(_xlpm.val="",_xlpm.val="Error"),"",_xlpm.val),_xlpm.Res)</f>
        <v>#NAME?</v>
      </c>
      <c r="AO180" s="1986" t="e" cm="1">
        <f t="array" ca="1" aca="1" ref="AO180">_xlfn.LET(_xlpm.val,IF($F180="",val_blankRefText,_xldudf_CX_GET(CX_ENTITY,$F180,AO$11,AO$14,,(AO$146))),_xlpm.Res,IF(OR(_xlpm.val="",_xlpm.val="Error"),"",_xlpm.val),_xlpm.Res)</f>
        <v>#NAME?</v>
      </c>
      <c r="AP180" s="1986" t="e" cm="1">
        <f t="array" ca="1" aca="1" ref="AP180">_xlfn.LET(_xlpm.val,IF($F180="",val_blankRefText,_xldudf_CX_GET(CX_ENTITY,$F180,AP$11,AP$14,,(AP$146))),_xlpm.Res,IF(OR(_xlpm.val="",_xlpm.val="Error"),"",_xlpm.val),_xlpm.Res)</f>
        <v>#NAME?</v>
      </c>
      <c r="AQ180" s="1986" t="e" cm="1">
        <f t="array" ca="1" aca="1" ref="AQ180">_xlfn.LET(_xlpm.val,IF($F180="",val_blankRefText,_xldudf_CX_GET(CX_ENTITY,$F180,AQ$11,AQ$14,,(AQ$146))),_xlpm.Res,IF(OR(_xlpm.val="",_xlpm.val="Error"),"",_xlpm.val),_xlpm.Res)</f>
        <v>#NAME?</v>
      </c>
      <c r="AR180" s="1986" t="e" cm="1">
        <f t="array" ca="1" aca="1" ref="AR180">_xlfn.LET(_xlpm.val,IF($F180="",val_blankRefText,_xldudf_CX_GET(CX_ENTITY,$F180,AR$11,AR$14,,(AR$146))),_xlpm.Res,IF(OR(_xlpm.val="",_xlpm.val="Error"),"",_xlpm.val),_xlpm.Res)</f>
        <v>#NAME?</v>
      </c>
      <c r="AS180" s="1986" t="e" cm="1">
        <f t="array" ca="1" aca="1" ref="AS180">_xlfn.LET(_xlpm.val,IF($F180="",val_blankRefText,_xldudf_CX_GET(CX_ENTITY,$F180,AS$11,AS$14,,(AS$146))),_xlpm.Res,IF(OR(_xlpm.val="",_xlpm.val="Error"),"",_xlpm.val),_xlpm.Res)</f>
        <v>#NAME?</v>
      </c>
      <c r="AT180" s="1986" t="e" cm="1">
        <f t="array" ca="1" aca="1" ref="AT180">_xlfn.LET(_xlpm.val,IF($F180="",val_blankRefText,_xldudf_CX_GET(CX_ENTITY,$F180,AT$11,AT$14,,(AT$146))),_xlpm.Res,IF(OR(_xlpm.val="",_xlpm.val="Error"),"",_xlpm.val),_xlpm.Res)</f>
        <v>#NAME?</v>
      </c>
      <c r="AU180" s="1986" t="e" cm="1">
        <f t="array" ca="1" aca="1" ref="AU180">_xlfn.LET(_xlpm.val,IF($F180="",val_blankRefText,_xldudf_CX_GET(CX_ENTITY,$F180,AU$11,AU$14,,(AU$146))),_xlpm.Res,IF(OR(_xlpm.val="",_xlpm.val="Error"),"",_xlpm.val),_xlpm.Res)</f>
        <v>#NAME?</v>
      </c>
      <c r="AV180" s="1986" t="e" cm="1">
        <f t="array" ca="1" aca="1" ref="AV180">_xlfn.LET(_xlpm.val,IF($F180="",val_blankRefText,_xldudf_CX_GET(CX_ENTITY,$F180,AV$11,AV$14,,(AV$146))),_xlpm.Res,IF(OR(_xlpm.val="",_xlpm.val="Error"),"",_xlpm.val),_xlpm.Res)</f>
        <v>#NAME?</v>
      </c>
      <c r="AW180" s="1986" t="e" cm="1">
        <f t="array" ca="1" aca="1" ref="AW180">_xlfn.LET(_xlpm.val,IF($F180="",val_blankRefText,_xldudf_CX_GET(CX_ENTITY,$F180,AW$11,AW$14,,(AW$146))),_xlpm.Res,IF(OR(_xlpm.val="",_xlpm.val="Error"),"",_xlpm.val),_xlpm.Res)</f>
        <v>#NAME?</v>
      </c>
      <c r="AX180" s="1986" t="e" cm="1">
        <f t="array" ca="1" aca="1" ref="AX180">_xlfn.LET(_xlpm.val,IF($F180="",val_blankRefText,_xldudf_CX_GET(CX_ENTITY,$F180,AX$11,AX$14,,(AX$146))),_xlpm.Res,IF(OR(_xlpm.val="",_xlpm.val="Error"),"",_xlpm.val),_xlpm.Res)</f>
        <v>#NAME?</v>
      </c>
      <c r="AY180" s="1986" t="e" cm="1">
        <f t="array" ca="1" aca="1" ref="AY180">_xlfn.LET(_xlpm.val,IF($F180="",val_blankRefText,_xldudf_CX_GET(CX_ENTITY,$F180,AY$11,AY$14,,(AY$146))),_xlpm.Res,IF(OR(_xlpm.val="",_xlpm.val="Error"),"",_xlpm.val),_xlpm.Res)</f>
        <v>#NAME?</v>
      </c>
      <c r="AZ180" s="1986" t="e" cm="1">
        <f t="array" ca="1" aca="1" ref="AZ180">_xlfn.LET(_xlpm.val,IF($F180="",val_blankRefText,_xldudf_CX_GET(CX_ENTITY,$F180,AZ$11,AZ$14,,(AZ$146))),_xlpm.Res,IF(OR(_xlpm.val="",_xlpm.val="Error"),"",_xlpm.val),_xlpm.Res)</f>
        <v>#NAME?</v>
      </c>
      <c r="BA180" s="1986" t="e" cm="1">
        <f t="array" ca="1" aca="1" ref="BA180">_xlfn.LET(_xlpm.val,IF($F180="",val_blankRefText,_xldudf_CX_GET(CX_ENTITY,$F180,BA$11,BA$14,,(BA$146))),_xlpm.Res,IF(OR(_xlpm.val="",_xlpm.val="Error"),"",_xlpm.val),_xlpm.Res)</f>
        <v>#NAME?</v>
      </c>
      <c r="BB180" s="1986" t="e" cm="1">
        <f t="array" ca="1" aca="1" ref="BB180">_xlfn.LET(_xlpm.val,IF($F180="",val_blankRefText,_xldudf_CX_GET(CX_ENTITY,$F180,BB$11,BB$14,,(BB$146))),_xlpm.Res,IF(OR(_xlpm.val="",_xlpm.val="Error"),"",_xlpm.val),_xlpm.Res)</f>
        <v>#NAME?</v>
      </c>
      <c r="BC180" s="1986" t="e" cm="1">
        <f t="array" ca="1" aca="1" ref="BC180">_xlfn.LET(_xlpm.val,IF($F180="",val_blankRefText,_xldudf_CX_GET(CX_ENTITY,$F180,BC$11,BC$14,,(BC$146))),_xlpm.Res,IF(OR(_xlpm.val="",_xlpm.val="Error"),"",_xlpm.val),_xlpm.Res)</f>
        <v>#NAME?</v>
      </c>
      <c r="BD180" s="1986" t="e" cm="1">
        <f t="array" ca="1" aca="1" ref="BD180">_xlfn.LET(_xlpm.val,IF($F180="",val_blankRefText,_xldudf_CX_GET(CX_ENTITY,$F180,BD$11,BD$14,,(BD$146))),_xlpm.Res,IF(OR(_xlpm.val="",_xlpm.val="Error"),"",_xlpm.val),_xlpm.Res)</f>
        <v>#NAME?</v>
      </c>
      <c r="BE180" s="1986" t="e" cm="1">
        <f t="array" ca="1" aca="1" ref="BE180">_xlfn.LET(_xlpm.val,IF($F180="",val_blankRefText,_xldudf_CX_GET(CX_ENTITY,$F180,BE$11,BE$14,,(BE$146))),_xlpm.Res,IF(OR(_xlpm.val="",_xlpm.val="Error"),"",_xlpm.val),_xlpm.Res)</f>
        <v>#NAME?</v>
      </c>
      <c r="BF180" s="1986" t="e" cm="1">
        <f t="array" ca="1" aca="1" ref="BF180">_xlfn.LET(_xlpm.val,IF($F180="",val_blankRefText,_xldudf_CX_GET(CX_ENTITY,$F180,BF$11,BF$14,,(BF$146))),_xlpm.Res,IF(OR(_xlpm.val="",_xlpm.val="Error"),"",_xlpm.val),_xlpm.Res)</f>
        <v>#NAME?</v>
      </c>
      <c r="BG180" s="1986" t="e" cm="1">
        <f t="array" ca="1" aca="1" ref="BG180">_xlfn.LET(_xlpm.val,IF($F180="",val_blankRefText,_xldudf_CX_GET(CX_ENTITY,$F180,BG$11,BG$14,,(BG$146))),_xlpm.Res,IF(OR(_xlpm.val="",_xlpm.val="Error"),"",_xlpm.val),_xlpm.Res)</f>
        <v>#NAME?</v>
      </c>
      <c r="BH180" s="1986" t="e" cm="1">
        <f t="array" ca="1" aca="1" ref="BH180">_xlfn.LET(_xlpm.val,IF($F180="",val_blankRefText,_xldudf_CX_GET(CX_ENTITY,$F180,BH$11,BH$14,,(BH$146))),_xlpm.Res,IF(OR(_xlpm.val="",_xlpm.val="Error"),"",_xlpm.val),_xlpm.Res)</f>
        <v>#NAME?</v>
      </c>
      <c r="BI180" s="1986" t="e" cm="1">
        <f t="array" ca="1" aca="1" ref="BI180">_xlfn.LET(_xlpm.val,IF($F180="",val_blankRefText,_xldudf_CX_GET(CX_ENTITY,$F180,BI$11,BI$14,,(BI$146))),_xlpm.Res,IF(OR(_xlpm.val="",_xlpm.val="Error"),"",_xlpm.val),_xlpm.Res)</f>
        <v>#NAME?</v>
      </c>
      <c r="BJ180" s="1986" t="e" cm="1">
        <f t="array" ca="1" aca="1" ref="BJ180">_xlfn.LET(_xlpm.val,IF($F180="",val_blankRefText,_xldudf_CX_GET(CX_ENTITY,$F180,BJ$11,BJ$14,,(BJ$146))),_xlpm.Res,IF(OR(_xlpm.val="",_xlpm.val="Error"),"",_xlpm.val),_xlpm.Res)</f>
        <v>#NAME?</v>
      </c>
      <c r="BK180" s="1986" t="e" cm="1">
        <f t="array" ca="1" aca="1" ref="BK180">_xlfn.LET(_xlpm.val,IF($F180="",val_blankRefText,_xldudf_CX_GET(CX_ENTITY,$F180,BK$11,BK$14,,(BK$146))),_xlpm.Res,IF(OR(_xlpm.val="",_xlpm.val="Error"),"",_xlpm.val),_xlpm.Res)</f>
        <v>#NAME?</v>
      </c>
      <c r="BL180" s="1986" t="e" cm="1">
        <f t="array" ca="1" aca="1" ref="BL180">_xlfn.LET(_xlpm.val,IF($F180="",val_blankRefText,_xldudf_CX_GET(CX_ENTITY,$F180,BL$11,BL$14,,(BL$146))),_xlpm.Res,IF(OR(_xlpm.val="",_xlpm.val="Error"),"",_xlpm.val),_xlpm.Res)</f>
        <v>#NAME?</v>
      </c>
      <c r="BM180" s="1986" t="e" cm="1">
        <f t="array" ca="1" aca="1" ref="BM180">_xlfn.LET(_xlpm.val,IF($F180="",val_blankRefText,_xldudf_CX_GET(CX_ENTITY,$F180,BM$11,BM$14,,(BM$146))),_xlpm.Res,IF(OR(_xlpm.val="",_xlpm.val="Error"),"",_xlpm.val),_xlpm.Res)</f>
        <v>#NAME?</v>
      </c>
      <c r="BN180" s="1986" t="e" cm="1">
        <f t="array" ca="1" aca="1" ref="BN180">_xlfn.LET(_xlpm.val,IF($F180="",val_blankRefText,_xldudf_CX_GET(CX_ENTITY,$F180,BN$11,BN$14,,(BN$146))),_xlpm.Res,IF(OR(_xlpm.val="",_xlpm.val="Error"),"",_xlpm.val),_xlpm.Res)</f>
        <v>#NAME?</v>
      </c>
      <c r="BO180" s="2103"/>
      <c r="BP180" s="2103"/>
      <c r="BQ180" s="2103"/>
      <c r="BR180" s="2103"/>
      <c r="BS180" s="2103"/>
      <c r="BT180" s="2103"/>
      <c r="BU180" s="2103"/>
      <c r="BV180" s="2103"/>
      <c r="BW180" s="2103"/>
      <c r="BX180" s="2103"/>
      <c r="BY180" s="2103"/>
      <c r="BZ180" s="2103"/>
      <c r="CA180" s="34"/>
      <c r="CC180" s="299"/>
      <c r="CD180" s="1461" t="e" cm="1">
        <f t="array" ca="1" aca="1" ref="CD180">_xlfn.LET(_xlpm.CheckBlank,SUM(PL!$AD180:$BN180)=0,IF(_xlpm.CheckBlank,"",SUM(_xlfn._xlws.FILTER(PL!$AD180:$BN180,(YEAR(PL!$AD$12:$BN$12)=PL!CD$12)*(array_timeline&lt;=PL!CD$11)))))</f>
        <v>#NAME?</v>
      </c>
      <c r="CE180" s="1461" t="e" cm="1">
        <f t="array" ca="1" aca="1" ref="CE180">_xlfn.LET(_xlpm.CheckBlank,SUM(PL!$AD180:$BN180)=0,IF(_xlpm.CheckBlank,"",SUM(_xlfn._xlws.FILTER(PL!$AD180:$BN180,(YEAR(PL!$AD$12:$BN$12)=PL!CE$12)*(array_timeline&lt;=PL!CE$11)))))</f>
        <v>#NAME?</v>
      </c>
      <c r="CF180" s="88"/>
      <c r="CG180" s="1461" t="e" cm="1">
        <f t="array" ca="1" aca="1" ref="CG180">_xlfn.LET(_xlpm.CheckBlank,SUM(PL!$AD180:$BN180)=0,IF(_xlpm.CheckBlank,"",SUM(_xlfn._xlws.FILTER(PL!$AD180:$BN180,(YEAR(PL!$AD$12:$BN$12)=PL!CG$12)*(array_timeline&lt;=PL!CG$11)))))</f>
        <v>#NAME?</v>
      </c>
      <c r="CH180" s="1461" t="e" cm="1">
        <f t="array" ca="1" aca="1" ref="CH180">_xlfn.LET(_xlpm.CheckBlank,SUM(PL!$AD180:$BN180)=0,IF(_xlpm.CheckBlank,"",SUM(_xlfn._xlws.FILTER(PL!$AD180:$BN180,(YEAR(PL!$AD$12:$BN$12)=PL!CH$12)*(array_timeline&lt;=PL!CH$11)))))</f>
        <v>#NAME?</v>
      </c>
      <c r="CI180" s="88"/>
      <c r="CJ180" s="1461" cm="1">
        <f t="array" ref="CJ180">_xlfn.LET(_xlpm.CheckBlank,SUM(PL!$AD180:$BN180)=0,IF(_xlpm.CheckBlank,"",SUM(_xlfn.TAKE(_xlfn.DROP(PL!$AD180:$BN180,,-DATEDIFF(PL!CJ$11,val_asOfDate,"M")),1,-12))))</f>
        <v>12</v>
      </c>
      <c r="CK180" s="1461" cm="1">
        <f t="array" ref="CK180">_xlfn.LET(_xlpm.CheckBlank,SUM(PL!$AD180:$BN180)=0,IF(_xlpm.CheckBlank,"",SUM(_xlfn.TAKE(_xlfn.DROP(PL!$AD180:$BN180,,-DATEDIFF(PL!CK$11,val_asOfDate,"M")),1,-12))))</f>
        <v>12</v>
      </c>
      <c r="CL180" s="88"/>
      <c r="CM180" s="1986" t="e" cm="1">
        <f t="array" ca="1" aca="1" ref="CM180">_xlfn.LET(_xlpm.val,IF($F180="",val_blankRefText,_xldudf_CX_GET(CX_ENTITY,$F180,CM$11,CM$14,,(CM$174))),_xlpm.Res,IF(OR(_xlpm.val="",_xlpm.val="Error"),"",_xlpm.val),_xlpm.Res)</f>
        <v>#NAME?</v>
      </c>
      <c r="CN180" s="1986" t="e" cm="1">
        <f t="array" ca="1" aca="1" ref="CN180">_xlfn.LET(_xlpm.val,IF($F180="",val_blankRefText,_xldudf_CX_GET(CX_ENTITY,$F180,CN$11,CN$14,,(CN$174))),_xlpm.Res,IF(OR(_xlpm.val="",_xlpm.val="Error"),"",_xlpm.val),_xlpm.Res)</f>
        <v>#NAME?</v>
      </c>
      <c r="CO180" s="1169"/>
      <c r="CP180" s="1986" t="e" cm="1">
        <f t="array" ca="1" aca="1" ref="CP180">_xlfn.LET(_xlpm.val,IF($F180="",val_blankRefText,_xldudf_CX_GET(CX_ENTITY,$F180,CP$11,CP$14,,(CP$174))),_xlpm.Res,IF(OR(_xlpm.val="",_xlpm.val="Error"),"",_xlpm.val),_xlpm.Res)</f>
        <v>#NAME?</v>
      </c>
      <c r="CQ180" s="1986" t="e" cm="1">
        <f t="array" ca="1" aca="1" ref="CQ180">_xlfn.LET(_xlpm.val,IF($F180="",val_blankRefText,_xldudf_CX_GET(CX_ENTITY,$F180,CQ$11,CQ$14,,(CQ$174))),_xlpm.Res,IF(OR(_xlpm.val="",_xlpm.val="Error"),"",_xlpm.val),_xlpm.Res)</f>
        <v>#NAME?</v>
      </c>
      <c r="CR180" s="34"/>
    </row>
    <row r="181" spans="1:96" ht="21" customHeight="1" outlineLevel="1">
      <c r="A181" s="1322"/>
      <c r="B181" s="577" t="s">
        <v>151</v>
      </c>
      <c r="C181" s="577" t="s">
        <v>1627</v>
      </c>
      <c r="D181" s="577"/>
      <c r="E181" s="577" t="e" cm="1">
        <f t="array" ca="1" aca="1" ref="E181">_xlfn.LET(_xlpm.Attr,$C181,_xlpm.Lookback,$E$16,_xlpm.QueryDate,EOMONTH(val_asOfDate,_xlpm.Lookback),_xlpm.ReadField,_xldudf_CX_GET(CX_ENTITY,fx_attrConverter($C181),_xlpm.QueryDate),_xlpm.AttrBlank,_xlpm.Attr="",_xlpm.RESULT,IF(_xlpm.AttrBlank,val_blankRefText,fx_attrConverter(_xlpm.ReadField,0)),IF(_xlpm.RESULT="Error","",_xlpm.RESULT))</f>
        <v>#NAME?</v>
      </c>
      <c r="F181" s="577" t="str">
        <f t="shared" si="52"/>
        <v>Valuation Metric Adjustment Type II - Amount 6</v>
      </c>
      <c r="G181" s="577" t="s">
        <v>1622</v>
      </c>
      <c r="H181" s="510">
        <v>0</v>
      </c>
      <c r="I181" s="3278">
        <v>1</v>
      </c>
      <c r="J181" s="30"/>
      <c r="K181" s="30"/>
      <c r="L181" s="579" t="b">
        <v>0</v>
      </c>
      <c r="N181" s="158"/>
      <c r="O181" s="101"/>
      <c r="P181" s="52"/>
      <c r="Q181" s="101"/>
      <c r="R181" s="101"/>
      <c r="S181" s="101"/>
      <c r="T181" s="101"/>
      <c r="U181" s="39"/>
      <c r="W181" s="91" t="str">
        <f>W177</f>
        <v>Actual</v>
      </c>
      <c r="X181" s="884" t="s">
        <v>62</v>
      </c>
      <c r="Y181" s="1555" t="e">
        <f t="shared" ca="1" si="53"/>
        <v>#NAME?</v>
      </c>
      <c r="Z181" s="198" cm="1">
        <f t="array" ref="Z181">_xlfn.SWITCH(TRUE,ISBLANK(_PL!$L181),"",_PL!$L181=TRUE,1,_PL!$L181=FALSE,-1,_PL!$L181=-1,0,"n/a")</f>
        <v>-1</v>
      </c>
      <c r="AA181" s="905"/>
      <c r="AB181" s="1128"/>
      <c r="AC181" s="914" t="str" cm="1">
        <f t="array" ref="AC181">_xlfn.LET(_xlpm.Def,IF(_xlfn.XMATCH(AB181,tbl_acctDef[Term],0)&gt;0,fx_getIcon("find"),""),_xlpm.Adj,IF(_xlfn.XMATCH(AB181,tbl_adjExample[Items],0)&gt;0,fx_getIcon("find"),""),IFERROR(IFBLANK(_xlpm.Def,_xlpm.Adj),""))</f>
        <v/>
      </c>
      <c r="AD181" s="1986" t="e" cm="1">
        <f t="array" ca="1" aca="1" ref="AD181">_xlfn.LET(_xlpm.val,IF($F181="",val_blankRefText,_xldudf_CX_GET(CX_ENTITY,$F181,AD$11,AD$14,,(AD$146))),_xlpm.Res,IF(OR(_xlpm.val="",_xlpm.val="Error"),"",_xlpm.val),_xlpm.Res)</f>
        <v>#NAME?</v>
      </c>
      <c r="AE181" s="1986" t="e" cm="1">
        <f t="array" ca="1" aca="1" ref="AE181">_xlfn.LET(_xlpm.val,IF($F181="",val_blankRefText,_xldudf_CX_GET(CX_ENTITY,$F181,AE$11,AE$14,,(AE$146))),_xlpm.Res,IF(OR(_xlpm.val="",_xlpm.val="Error"),"",_xlpm.val),_xlpm.Res)</f>
        <v>#NAME?</v>
      </c>
      <c r="AF181" s="1986" t="e" cm="1">
        <f t="array" ca="1" aca="1" ref="AF181">_xlfn.LET(_xlpm.val,IF($F181="",val_blankRefText,_xldudf_CX_GET(CX_ENTITY,$F181,AF$11,AF$14,,(AF$146))),_xlpm.Res,IF(OR(_xlpm.val="",_xlpm.val="Error"),"",_xlpm.val),_xlpm.Res)</f>
        <v>#NAME?</v>
      </c>
      <c r="AG181" s="1986" t="e" cm="1">
        <f t="array" ca="1" aca="1" ref="AG181">_xlfn.LET(_xlpm.val,IF($F181="",val_blankRefText,_xldudf_CX_GET(CX_ENTITY,$F181,AG$11,AG$14,,(AG$146))),_xlpm.Res,IF(OR(_xlpm.val="",_xlpm.val="Error"),"",_xlpm.val),_xlpm.Res)</f>
        <v>#NAME?</v>
      </c>
      <c r="AH181" s="1986" t="e" cm="1">
        <f t="array" ca="1" aca="1" ref="AH181">_xlfn.LET(_xlpm.val,IF($F181="",val_blankRefText,_xldudf_CX_GET(CX_ENTITY,$F181,AH$11,AH$14,,(AH$146))),_xlpm.Res,IF(OR(_xlpm.val="",_xlpm.val="Error"),"",_xlpm.val),_xlpm.Res)</f>
        <v>#NAME?</v>
      </c>
      <c r="AI181" s="1986" t="e" cm="1">
        <f t="array" ca="1" aca="1" ref="AI181">_xlfn.LET(_xlpm.val,IF($F181="",val_blankRefText,_xldudf_CX_GET(CX_ENTITY,$F181,AI$11,AI$14,,(AI$146))),_xlpm.Res,IF(OR(_xlpm.val="",_xlpm.val="Error"),"",_xlpm.val),_xlpm.Res)</f>
        <v>#NAME?</v>
      </c>
      <c r="AJ181" s="1986" t="e" cm="1">
        <f t="array" ca="1" aca="1" ref="AJ181">_xlfn.LET(_xlpm.val,IF($F181="",val_blankRefText,_xldudf_CX_GET(CX_ENTITY,$F181,AJ$11,AJ$14,,(AJ$146))),_xlpm.Res,IF(OR(_xlpm.val="",_xlpm.val="Error"),"",_xlpm.val),_xlpm.Res)</f>
        <v>#NAME?</v>
      </c>
      <c r="AK181" s="1986" t="e" cm="1">
        <f t="array" ca="1" aca="1" ref="AK181">_xlfn.LET(_xlpm.val,IF($F181="",val_blankRefText,_xldudf_CX_GET(CX_ENTITY,$F181,AK$11,AK$14,,(AK$146))),_xlpm.Res,IF(OR(_xlpm.val="",_xlpm.val="Error"),"",_xlpm.val),_xlpm.Res)</f>
        <v>#NAME?</v>
      </c>
      <c r="AL181" s="1986" t="e" cm="1">
        <f t="array" ca="1" aca="1" ref="AL181">_xlfn.LET(_xlpm.val,IF($F181="",val_blankRefText,_xldudf_CX_GET(CX_ENTITY,$F181,AL$11,AL$14,,(AL$146))),_xlpm.Res,IF(OR(_xlpm.val="",_xlpm.val="Error"),"",_xlpm.val),_xlpm.Res)</f>
        <v>#NAME?</v>
      </c>
      <c r="AM181" s="1986" t="e" cm="1">
        <f t="array" ca="1" aca="1" ref="AM181">_xlfn.LET(_xlpm.val,IF($F181="",val_blankRefText,_xldudf_CX_GET(CX_ENTITY,$F181,AM$11,AM$14,,(AM$146))),_xlpm.Res,IF(OR(_xlpm.val="",_xlpm.val="Error"),"",_xlpm.val),_xlpm.Res)</f>
        <v>#NAME?</v>
      </c>
      <c r="AN181" s="1986" t="e" cm="1">
        <f t="array" ca="1" aca="1" ref="AN181">_xlfn.LET(_xlpm.val,IF($F181="",val_blankRefText,_xldudf_CX_GET(CX_ENTITY,$F181,AN$11,AN$14,,(AN$146))),_xlpm.Res,IF(OR(_xlpm.val="",_xlpm.val="Error"),"",_xlpm.val),_xlpm.Res)</f>
        <v>#NAME?</v>
      </c>
      <c r="AO181" s="1986" t="e" cm="1">
        <f t="array" ca="1" aca="1" ref="AO181">_xlfn.LET(_xlpm.val,IF($F181="",val_blankRefText,_xldudf_CX_GET(CX_ENTITY,$F181,AO$11,AO$14,,(AO$146))),_xlpm.Res,IF(OR(_xlpm.val="",_xlpm.val="Error"),"",_xlpm.val),_xlpm.Res)</f>
        <v>#NAME?</v>
      </c>
      <c r="AP181" s="1986" t="e" cm="1">
        <f t="array" ca="1" aca="1" ref="AP181">_xlfn.LET(_xlpm.val,IF($F181="",val_blankRefText,_xldudf_CX_GET(CX_ENTITY,$F181,AP$11,AP$14,,(AP$146))),_xlpm.Res,IF(OR(_xlpm.val="",_xlpm.val="Error"),"",_xlpm.val),_xlpm.Res)</f>
        <v>#NAME?</v>
      </c>
      <c r="AQ181" s="1986" t="e" cm="1">
        <f t="array" ca="1" aca="1" ref="AQ181">_xlfn.LET(_xlpm.val,IF($F181="",val_blankRefText,_xldudf_CX_GET(CX_ENTITY,$F181,AQ$11,AQ$14,,(AQ$146))),_xlpm.Res,IF(OR(_xlpm.val="",_xlpm.val="Error"),"",_xlpm.val),_xlpm.Res)</f>
        <v>#NAME?</v>
      </c>
      <c r="AR181" s="1986" t="e" cm="1">
        <f t="array" ca="1" aca="1" ref="AR181">_xlfn.LET(_xlpm.val,IF($F181="",val_blankRefText,_xldudf_CX_GET(CX_ENTITY,$F181,AR$11,AR$14,,(AR$146))),_xlpm.Res,IF(OR(_xlpm.val="",_xlpm.val="Error"),"",_xlpm.val),_xlpm.Res)</f>
        <v>#NAME?</v>
      </c>
      <c r="AS181" s="1986" t="e" cm="1">
        <f t="array" ca="1" aca="1" ref="AS181">_xlfn.LET(_xlpm.val,IF($F181="",val_blankRefText,_xldudf_CX_GET(CX_ENTITY,$F181,AS$11,AS$14,,(AS$146))),_xlpm.Res,IF(OR(_xlpm.val="",_xlpm.val="Error"),"",_xlpm.val),_xlpm.Res)</f>
        <v>#NAME?</v>
      </c>
      <c r="AT181" s="1986" t="e" cm="1">
        <f t="array" ca="1" aca="1" ref="AT181">_xlfn.LET(_xlpm.val,IF($F181="",val_blankRefText,_xldudf_CX_GET(CX_ENTITY,$F181,AT$11,AT$14,,(AT$146))),_xlpm.Res,IF(OR(_xlpm.val="",_xlpm.val="Error"),"",_xlpm.val),_xlpm.Res)</f>
        <v>#NAME?</v>
      </c>
      <c r="AU181" s="1986" t="e" cm="1">
        <f t="array" ca="1" aca="1" ref="AU181">_xlfn.LET(_xlpm.val,IF($F181="",val_blankRefText,_xldudf_CX_GET(CX_ENTITY,$F181,AU$11,AU$14,,(AU$146))),_xlpm.Res,IF(OR(_xlpm.val="",_xlpm.val="Error"),"",_xlpm.val),_xlpm.Res)</f>
        <v>#NAME?</v>
      </c>
      <c r="AV181" s="1986" t="e" cm="1">
        <f t="array" ca="1" aca="1" ref="AV181">_xlfn.LET(_xlpm.val,IF($F181="",val_blankRefText,_xldudf_CX_GET(CX_ENTITY,$F181,AV$11,AV$14,,(AV$146))),_xlpm.Res,IF(OR(_xlpm.val="",_xlpm.val="Error"),"",_xlpm.val),_xlpm.Res)</f>
        <v>#NAME?</v>
      </c>
      <c r="AW181" s="1986" t="e" cm="1">
        <f t="array" ca="1" aca="1" ref="AW181">_xlfn.LET(_xlpm.val,IF($F181="",val_blankRefText,_xldudf_CX_GET(CX_ENTITY,$F181,AW$11,AW$14,,(AW$146))),_xlpm.Res,IF(OR(_xlpm.val="",_xlpm.val="Error"),"",_xlpm.val),_xlpm.Res)</f>
        <v>#NAME?</v>
      </c>
      <c r="AX181" s="1986" t="e" cm="1">
        <f t="array" ca="1" aca="1" ref="AX181">_xlfn.LET(_xlpm.val,IF($F181="",val_blankRefText,_xldudf_CX_GET(CX_ENTITY,$F181,AX$11,AX$14,,(AX$146))),_xlpm.Res,IF(OR(_xlpm.val="",_xlpm.val="Error"),"",_xlpm.val),_xlpm.Res)</f>
        <v>#NAME?</v>
      </c>
      <c r="AY181" s="1986" t="e" cm="1">
        <f t="array" ca="1" aca="1" ref="AY181">_xlfn.LET(_xlpm.val,IF($F181="",val_blankRefText,_xldudf_CX_GET(CX_ENTITY,$F181,AY$11,AY$14,,(AY$146))),_xlpm.Res,IF(OR(_xlpm.val="",_xlpm.val="Error"),"",_xlpm.val),_xlpm.Res)</f>
        <v>#NAME?</v>
      </c>
      <c r="AZ181" s="1986" t="e" cm="1">
        <f t="array" ca="1" aca="1" ref="AZ181">_xlfn.LET(_xlpm.val,IF($F181="",val_blankRefText,_xldudf_CX_GET(CX_ENTITY,$F181,AZ$11,AZ$14,,(AZ$146))),_xlpm.Res,IF(OR(_xlpm.val="",_xlpm.val="Error"),"",_xlpm.val),_xlpm.Res)</f>
        <v>#NAME?</v>
      </c>
      <c r="BA181" s="1986" t="e" cm="1">
        <f t="array" ca="1" aca="1" ref="BA181">_xlfn.LET(_xlpm.val,IF($F181="",val_blankRefText,_xldudf_CX_GET(CX_ENTITY,$F181,BA$11,BA$14,,(BA$146))),_xlpm.Res,IF(OR(_xlpm.val="",_xlpm.val="Error"),"",_xlpm.val),_xlpm.Res)</f>
        <v>#NAME?</v>
      </c>
      <c r="BB181" s="1986" t="e" cm="1">
        <f t="array" ca="1" aca="1" ref="BB181">_xlfn.LET(_xlpm.val,IF($F181="",val_blankRefText,_xldudf_CX_GET(CX_ENTITY,$F181,BB$11,BB$14,,(BB$146))),_xlpm.Res,IF(OR(_xlpm.val="",_xlpm.val="Error"),"",_xlpm.val),_xlpm.Res)</f>
        <v>#NAME?</v>
      </c>
      <c r="BC181" s="1986" t="e" cm="1">
        <f t="array" ca="1" aca="1" ref="BC181">_xlfn.LET(_xlpm.val,IF($F181="",val_blankRefText,_xldudf_CX_GET(CX_ENTITY,$F181,BC$11,BC$14,,(BC$146))),_xlpm.Res,IF(OR(_xlpm.val="",_xlpm.val="Error"),"",_xlpm.val),_xlpm.Res)</f>
        <v>#NAME?</v>
      </c>
      <c r="BD181" s="1986" t="e" cm="1">
        <f t="array" ca="1" aca="1" ref="BD181">_xlfn.LET(_xlpm.val,IF($F181="",val_blankRefText,_xldudf_CX_GET(CX_ENTITY,$F181,BD$11,BD$14,,(BD$146))),_xlpm.Res,IF(OR(_xlpm.val="",_xlpm.val="Error"),"",_xlpm.val),_xlpm.Res)</f>
        <v>#NAME?</v>
      </c>
      <c r="BE181" s="1986" t="e" cm="1">
        <f t="array" ca="1" aca="1" ref="BE181">_xlfn.LET(_xlpm.val,IF($F181="",val_blankRefText,_xldudf_CX_GET(CX_ENTITY,$F181,BE$11,BE$14,,(BE$146))),_xlpm.Res,IF(OR(_xlpm.val="",_xlpm.val="Error"),"",_xlpm.val),_xlpm.Res)</f>
        <v>#NAME?</v>
      </c>
      <c r="BF181" s="1986" t="e" cm="1">
        <f t="array" ca="1" aca="1" ref="BF181">_xlfn.LET(_xlpm.val,IF($F181="",val_blankRefText,_xldudf_CX_GET(CX_ENTITY,$F181,BF$11,BF$14,,(BF$146))),_xlpm.Res,IF(OR(_xlpm.val="",_xlpm.val="Error"),"",_xlpm.val),_xlpm.Res)</f>
        <v>#NAME?</v>
      </c>
      <c r="BG181" s="1986" t="e" cm="1">
        <f t="array" ca="1" aca="1" ref="BG181">_xlfn.LET(_xlpm.val,IF($F181="",val_blankRefText,_xldudf_CX_GET(CX_ENTITY,$F181,BG$11,BG$14,,(BG$146))),_xlpm.Res,IF(OR(_xlpm.val="",_xlpm.val="Error"),"",_xlpm.val),_xlpm.Res)</f>
        <v>#NAME?</v>
      </c>
      <c r="BH181" s="1986" t="e" cm="1">
        <f t="array" ca="1" aca="1" ref="BH181">_xlfn.LET(_xlpm.val,IF($F181="",val_blankRefText,_xldudf_CX_GET(CX_ENTITY,$F181,BH$11,BH$14,,(BH$146))),_xlpm.Res,IF(OR(_xlpm.val="",_xlpm.val="Error"),"",_xlpm.val),_xlpm.Res)</f>
        <v>#NAME?</v>
      </c>
      <c r="BI181" s="1986" t="e" cm="1">
        <f t="array" ca="1" aca="1" ref="BI181">_xlfn.LET(_xlpm.val,IF($F181="",val_blankRefText,_xldudf_CX_GET(CX_ENTITY,$F181,BI$11,BI$14,,(BI$146))),_xlpm.Res,IF(OR(_xlpm.val="",_xlpm.val="Error"),"",_xlpm.val),_xlpm.Res)</f>
        <v>#NAME?</v>
      </c>
      <c r="BJ181" s="1986" t="e" cm="1">
        <f t="array" ca="1" aca="1" ref="BJ181">_xlfn.LET(_xlpm.val,IF($F181="",val_blankRefText,_xldudf_CX_GET(CX_ENTITY,$F181,BJ$11,BJ$14,,(BJ$146))),_xlpm.Res,IF(OR(_xlpm.val="",_xlpm.val="Error"),"",_xlpm.val),_xlpm.Res)</f>
        <v>#NAME?</v>
      </c>
      <c r="BK181" s="1986" t="e" cm="1">
        <f t="array" ca="1" aca="1" ref="BK181">_xlfn.LET(_xlpm.val,IF($F181="",val_blankRefText,_xldudf_CX_GET(CX_ENTITY,$F181,BK$11,BK$14,,(BK$146))),_xlpm.Res,IF(OR(_xlpm.val="",_xlpm.val="Error"),"",_xlpm.val),_xlpm.Res)</f>
        <v>#NAME?</v>
      </c>
      <c r="BL181" s="1986" t="e" cm="1">
        <f t="array" ca="1" aca="1" ref="BL181">_xlfn.LET(_xlpm.val,IF($F181="",val_blankRefText,_xldudf_CX_GET(CX_ENTITY,$F181,BL$11,BL$14,,(BL$146))),_xlpm.Res,IF(OR(_xlpm.val="",_xlpm.val="Error"),"",_xlpm.val),_xlpm.Res)</f>
        <v>#NAME?</v>
      </c>
      <c r="BM181" s="1986" t="e" cm="1">
        <f t="array" ca="1" aca="1" ref="BM181">_xlfn.LET(_xlpm.val,IF($F181="",val_blankRefText,_xldudf_CX_GET(CX_ENTITY,$F181,BM$11,BM$14,,(BM$146))),_xlpm.Res,IF(OR(_xlpm.val="",_xlpm.val="Error"),"",_xlpm.val),_xlpm.Res)</f>
        <v>#NAME?</v>
      </c>
      <c r="BN181" s="1986" t="e" cm="1">
        <f t="array" ca="1" aca="1" ref="BN181">_xlfn.LET(_xlpm.val,IF($F181="",val_blankRefText,_xldudf_CX_GET(CX_ENTITY,$F181,BN$11,BN$14,,(BN$146))),_xlpm.Res,IF(OR(_xlpm.val="",_xlpm.val="Error"),"",_xlpm.val),_xlpm.Res)</f>
        <v>#NAME?</v>
      </c>
      <c r="BO181" s="2103"/>
      <c r="BP181" s="2103"/>
      <c r="BQ181" s="2103"/>
      <c r="BR181" s="2103"/>
      <c r="BS181" s="2103"/>
      <c r="BT181" s="2103"/>
      <c r="BU181" s="2103"/>
      <c r="BV181" s="2103"/>
      <c r="BW181" s="2103"/>
      <c r="BX181" s="2103"/>
      <c r="BY181" s="2103"/>
      <c r="BZ181" s="2103"/>
      <c r="CA181" s="34"/>
      <c r="CC181" s="299"/>
      <c r="CD181" s="1461" t="e" cm="1">
        <f t="array" ca="1" aca="1" ref="CD181">_xlfn.LET(_xlpm.CheckBlank,SUM(PL!$AD181:$BN181)=0,IF(_xlpm.CheckBlank,"",SUM(_xlfn._xlws.FILTER(PL!$AD181:$BN181,(YEAR(PL!$AD$12:$BN$12)=PL!CD$12)*(array_timeline&lt;=PL!CD$11)))))</f>
        <v>#NAME?</v>
      </c>
      <c r="CE181" s="1461" t="e" cm="1">
        <f t="array" ca="1" aca="1" ref="CE181">_xlfn.LET(_xlpm.CheckBlank,SUM(PL!$AD181:$BN181)=0,IF(_xlpm.CheckBlank,"",SUM(_xlfn._xlws.FILTER(PL!$AD181:$BN181,(YEAR(PL!$AD$12:$BN$12)=PL!CE$12)*(array_timeline&lt;=PL!CE$11)))))</f>
        <v>#NAME?</v>
      </c>
      <c r="CF181" s="88"/>
      <c r="CG181" s="1461" t="e" cm="1">
        <f t="array" ca="1" aca="1" ref="CG181">_xlfn.LET(_xlpm.CheckBlank,SUM(PL!$AD181:$BN181)=0,IF(_xlpm.CheckBlank,"",SUM(_xlfn._xlws.FILTER(PL!$AD181:$BN181,(YEAR(PL!$AD$12:$BN$12)=PL!CG$12)*(array_timeline&lt;=PL!CG$11)))))</f>
        <v>#NAME?</v>
      </c>
      <c r="CH181" s="1461" t="e" cm="1">
        <f t="array" ca="1" aca="1" ref="CH181">_xlfn.LET(_xlpm.CheckBlank,SUM(PL!$AD181:$BN181)=0,IF(_xlpm.CheckBlank,"",SUM(_xlfn._xlws.FILTER(PL!$AD181:$BN181,(YEAR(PL!$AD$12:$BN$12)=PL!CH$12)*(array_timeline&lt;=PL!CH$11)))))</f>
        <v>#NAME?</v>
      </c>
      <c r="CI181" s="88"/>
      <c r="CJ181" s="1461" cm="1">
        <f t="array" ref="CJ181">_xlfn.LET(_xlpm.CheckBlank,SUM(PL!$AD181:$BN181)=0,IF(_xlpm.CheckBlank,"",SUM(_xlfn.TAKE(_xlfn.DROP(PL!$AD181:$BN181,,-DATEDIFF(PL!CJ$11,val_asOfDate,"M")),1,-12))))</f>
        <v>12</v>
      </c>
      <c r="CK181" s="1461" cm="1">
        <f t="array" ref="CK181">_xlfn.LET(_xlpm.CheckBlank,SUM(PL!$AD181:$BN181)=0,IF(_xlpm.CheckBlank,"",SUM(_xlfn.TAKE(_xlfn.DROP(PL!$AD181:$BN181,,-DATEDIFF(PL!CK$11,val_asOfDate,"M")),1,-12))))</f>
        <v>12</v>
      </c>
      <c r="CL181" s="88"/>
      <c r="CM181" s="1986" t="e" cm="1">
        <f t="array" ca="1" aca="1" ref="CM181">_xlfn.LET(_xlpm.val,IF($F181="",val_blankRefText,_xldudf_CX_GET(CX_ENTITY,$F181,CM$11,CM$14,,(CM$174))),_xlpm.Res,IF(OR(_xlpm.val="",_xlpm.val="Error"),"",_xlpm.val),_xlpm.Res)</f>
        <v>#NAME?</v>
      </c>
      <c r="CN181" s="1986" t="e" cm="1">
        <f t="array" ca="1" aca="1" ref="CN181">_xlfn.LET(_xlpm.val,IF($F181="",val_blankRefText,_xldudf_CX_GET(CX_ENTITY,$F181,CN$11,CN$14,,(CN$174))),_xlpm.Res,IF(OR(_xlpm.val="",_xlpm.val="Error"),"",_xlpm.val),_xlpm.Res)</f>
        <v>#NAME?</v>
      </c>
      <c r="CO181" s="1169"/>
      <c r="CP181" s="1986" t="e" cm="1">
        <f t="array" ca="1" aca="1" ref="CP181">_xlfn.LET(_xlpm.val,IF($F181="",val_blankRefText,_xldudf_CX_GET(CX_ENTITY,$F181,CP$11,CP$14,,(CP$174))),_xlpm.Res,IF(OR(_xlpm.val="",_xlpm.val="Error"),"",_xlpm.val),_xlpm.Res)</f>
        <v>#NAME?</v>
      </c>
      <c r="CQ181" s="1986" t="e" cm="1">
        <f t="array" ca="1" aca="1" ref="CQ181">_xlfn.LET(_xlpm.val,IF($F181="",val_blankRefText,_xldudf_CX_GET(CX_ENTITY,$F181,CQ$11,CQ$14,,(CQ$174))),_xlpm.Res,IF(OR(_xlpm.val="",_xlpm.val="Error"),"",_xlpm.val),_xlpm.Res)</f>
        <v>#NAME?</v>
      </c>
      <c r="CR181" s="34"/>
    </row>
    <row r="182" spans="1:96" ht="21" customHeight="1" outlineLevel="1">
      <c r="A182" s="1322"/>
      <c r="B182" s="1328" t="s">
        <v>152</v>
      </c>
      <c r="C182" s="1328" t="s">
        <v>1628</v>
      </c>
      <c r="D182" s="1328"/>
      <c r="E182" s="1328"/>
      <c r="F182" s="1328" t="str">
        <f t="shared" si="52"/>
        <v>Adjusted Valuation Amount</v>
      </c>
      <c r="G182" s="1328" t="s">
        <v>1622</v>
      </c>
      <c r="H182" s="3281">
        <v>2</v>
      </c>
      <c r="I182" s="3281">
        <v>1</v>
      </c>
      <c r="J182" s="1334"/>
      <c r="K182" s="1334"/>
      <c r="L182" s="589">
        <v>-1</v>
      </c>
      <c r="N182" s="158"/>
      <c r="O182" s="101"/>
      <c r="P182" s="52"/>
      <c r="Q182" s="101"/>
      <c r="R182" s="101"/>
      <c r="S182" s="101"/>
      <c r="T182" s="101"/>
      <c r="U182" s="39"/>
      <c r="W182" s="268" t="str">
        <f>W175</f>
        <v>Actual</v>
      </c>
      <c r="X182" s="893">
        <v>0</v>
      </c>
      <c r="Y182" s="1127" t="e" cm="1">
        <f t="array" ca="1" aca="1" ref="Y182">IFBLANK(_xldudf_CX_GET(CX_ENTITY,fx_attrConverter(C182),val_asOfDate),"Please name your Like-for-like Valuation Metric")</f>
        <v>#NAME?</v>
      </c>
      <c r="Z182" s="538" cm="1">
        <f t="array" ref="Z182">_xlfn.SWITCH(TRUE,ISBLANK(_PL!$L182),"",_PL!$L182=TRUE,1,_PL!$L182=FALSE,-1,_PL!$L182=-1,0,"n/a")</f>
        <v>0</v>
      </c>
      <c r="AA182" s="787"/>
      <c r="AB182" s="1133" t="s">
        <v>143</v>
      </c>
      <c r="AC182" s="1163" t="str" cm="1">
        <f t="array" ref="AC182">_xlfn.LET(_xlpm.Def,IF(_xlfn.XMATCH(AB182,tbl_acctDef[Term],0)&gt;0,fx_getIcon("find"),""),_xlpm.Adj,IF(_xlfn.XMATCH(AB182,tbl_adjExample[Items],0)&gt;0,fx_getIcon("find"),""),IFERROR(IFBLANK(_xlpm.Def,_xlpm.Adj),""))</f>
        <v/>
      </c>
      <c r="AD182" s="1132" t="e" cm="1">
        <f t="array" ca="1" aca="1" ref="AD182">_xlfn.LET(_xlpm.val,IF($F182="",val_blankRefText,_xldudf_CX_GET(CX_ENTITY,$F182,AD$11,AD$14,,(AD$146))),_xlpm.Res,IF(OR(_xlpm.val="",_xlpm.val="Error"),"",_xlpm.val),_xlpm.Res)</f>
        <v>#NAME?</v>
      </c>
      <c r="AE182" s="1132" t="e" cm="1">
        <f t="array" ca="1" aca="1" ref="AE182">_xlfn.LET(_xlpm.val,IF($F182="",val_blankRefText,_xldudf_CX_GET(CX_ENTITY,$F182,AE$11,AE$14,,(AE$146))),_xlpm.Res,IF(OR(_xlpm.val="",_xlpm.val="Error"),"",_xlpm.val),_xlpm.Res)</f>
        <v>#NAME?</v>
      </c>
      <c r="AF182" s="910" t="e" cm="1">
        <f t="array" ca="1" aca="1" ref="AF182">_xlfn.LET(_xlpm.val,IF($F182="",val_blankRefText,_xldudf_CX_GET(CX_ENTITY,$F182,AF$11,AF$14,,(AF$146))),_xlpm.Res,IF(OR(_xlpm.val="",_xlpm.val="Error"),"",_xlpm.val),_xlpm.Res)</f>
        <v>#NAME?</v>
      </c>
      <c r="AG182" s="910" t="e" cm="1">
        <f t="array" ca="1" aca="1" ref="AG182">_xlfn.LET(_xlpm.val,IF($F182="",val_blankRefText,_xldudf_CX_GET(CX_ENTITY,$F182,AG$11,AG$14,,(AG$146))),_xlpm.Res,IF(OR(_xlpm.val="",_xlpm.val="Error"),"",_xlpm.val),_xlpm.Res)</f>
        <v>#NAME?</v>
      </c>
      <c r="AH182" s="910" t="e" cm="1">
        <f t="array" ca="1" aca="1" ref="AH182">_xlfn.LET(_xlpm.val,IF($F182="",val_blankRefText,_xldudf_CX_GET(CX_ENTITY,$F182,AH$11,AH$14,,(AH$146))),_xlpm.Res,IF(OR(_xlpm.val="",_xlpm.val="Error"),"",_xlpm.val),_xlpm.Res)</f>
        <v>#NAME?</v>
      </c>
      <c r="AI182" s="910" t="e" cm="1">
        <f t="array" ca="1" aca="1" ref="AI182">_xlfn.LET(_xlpm.val,IF($F182="",val_blankRefText,_xldudf_CX_GET(CX_ENTITY,$F182,AI$11,AI$14,,(AI$146))),_xlpm.Res,IF(OR(_xlpm.val="",_xlpm.val="Error"),"",_xlpm.val),_xlpm.Res)</f>
        <v>#NAME?</v>
      </c>
      <c r="AJ182" s="910" t="e" cm="1">
        <f t="array" ca="1" aca="1" ref="AJ182">_xlfn.LET(_xlpm.val,IF($F182="",val_blankRefText,_xldudf_CX_GET(CX_ENTITY,$F182,AJ$11,AJ$14,,(AJ$146))),_xlpm.Res,IF(OR(_xlpm.val="",_xlpm.val="Error"),"",_xlpm.val),_xlpm.Res)</f>
        <v>#NAME?</v>
      </c>
      <c r="AK182" s="910" t="e" cm="1">
        <f t="array" ca="1" aca="1" ref="AK182">_xlfn.LET(_xlpm.val,IF($F182="",val_blankRefText,_xldudf_CX_GET(CX_ENTITY,$F182,AK$11,AK$14,,(AK$146))),_xlpm.Res,IF(OR(_xlpm.val="",_xlpm.val="Error"),"",_xlpm.val),_xlpm.Res)</f>
        <v>#NAME?</v>
      </c>
      <c r="AL182" s="910" t="e" cm="1">
        <f t="array" ca="1" aca="1" ref="AL182">_xlfn.LET(_xlpm.val,IF($F182="",val_blankRefText,_xldudf_CX_GET(CX_ENTITY,$F182,AL$11,AL$14,,(AL$146))),_xlpm.Res,IF(OR(_xlpm.val="",_xlpm.val="Error"),"",_xlpm.val),_xlpm.Res)</f>
        <v>#NAME?</v>
      </c>
      <c r="AM182" s="910" t="e" cm="1">
        <f t="array" ca="1" aca="1" ref="AM182">_xlfn.LET(_xlpm.val,IF($F182="",val_blankRefText,_xldudf_CX_GET(CX_ENTITY,$F182,AM$11,AM$14,,(AM$146))),_xlpm.Res,IF(OR(_xlpm.val="",_xlpm.val="Error"),"",_xlpm.val),_xlpm.Res)</f>
        <v>#NAME?</v>
      </c>
      <c r="AN182" s="910" t="e" cm="1">
        <f t="array" ca="1" aca="1" ref="AN182">_xlfn.LET(_xlpm.val,IF($F182="",val_blankRefText,_xldudf_CX_GET(CX_ENTITY,$F182,AN$11,AN$14,,(AN$146))),_xlpm.Res,IF(OR(_xlpm.val="",_xlpm.val="Error"),"",_xlpm.val),_xlpm.Res)</f>
        <v>#NAME?</v>
      </c>
      <c r="AO182" s="910" t="e" cm="1">
        <f t="array" ca="1" aca="1" ref="AO182">_xlfn.LET(_xlpm.val,IF($F182="",val_blankRefText,_xldudf_CX_GET(CX_ENTITY,$F182,AO$11,AO$14,,(AO$146))),_xlpm.Res,IF(OR(_xlpm.val="",_xlpm.val="Error"),"",_xlpm.val),_xlpm.Res)</f>
        <v>#NAME?</v>
      </c>
      <c r="AP182" s="910" t="e" cm="1">
        <f t="array" ca="1" aca="1" ref="AP182">_xlfn.LET(_xlpm.val,IF($F182="",val_blankRefText,_xldudf_CX_GET(CX_ENTITY,$F182,AP$11,AP$14,,(AP$146))),_xlpm.Res,IF(OR(_xlpm.val="",_xlpm.val="Error"),"",_xlpm.val),_xlpm.Res)</f>
        <v>#NAME?</v>
      </c>
      <c r="AQ182" s="910" t="e" cm="1">
        <f t="array" ca="1" aca="1" ref="AQ182">_xlfn.LET(_xlpm.val,IF($F182="",val_blankRefText,_xldudf_CX_GET(CX_ENTITY,$F182,AQ$11,AQ$14,,(AQ$146))),_xlpm.Res,IF(OR(_xlpm.val="",_xlpm.val="Error"),"",_xlpm.val),_xlpm.Res)</f>
        <v>#NAME?</v>
      </c>
      <c r="AR182" s="910" t="e" cm="1">
        <f t="array" ca="1" aca="1" ref="AR182">_xlfn.LET(_xlpm.val,IF($F182="",val_blankRefText,_xldudf_CX_GET(CX_ENTITY,$F182,AR$11,AR$14,,(AR$146))),_xlpm.Res,IF(OR(_xlpm.val="",_xlpm.val="Error"),"",_xlpm.val),_xlpm.Res)</f>
        <v>#NAME?</v>
      </c>
      <c r="AS182" s="910" t="e" cm="1">
        <f t="array" ca="1" aca="1" ref="AS182">_xlfn.LET(_xlpm.val,IF($F182="",val_blankRefText,_xldudf_CX_GET(CX_ENTITY,$F182,AS$11,AS$14,,(AS$146))),_xlpm.Res,IF(OR(_xlpm.val="",_xlpm.val="Error"),"",_xlpm.val),_xlpm.Res)</f>
        <v>#NAME?</v>
      </c>
      <c r="AT182" s="910" t="e" cm="1">
        <f t="array" ca="1" aca="1" ref="AT182">_xlfn.LET(_xlpm.val,IF($F182="",val_blankRefText,_xldudf_CX_GET(CX_ENTITY,$F182,AT$11,AT$14,,(AT$146))),_xlpm.Res,IF(OR(_xlpm.val="",_xlpm.val="Error"),"",_xlpm.val),_xlpm.Res)</f>
        <v>#NAME?</v>
      </c>
      <c r="AU182" s="910" t="e" cm="1">
        <f t="array" ca="1" aca="1" ref="AU182">_xlfn.LET(_xlpm.val,IF($F182="",val_blankRefText,_xldudf_CX_GET(CX_ENTITY,$F182,AU$11,AU$14,,(AU$146))),_xlpm.Res,IF(OR(_xlpm.val="",_xlpm.val="Error"),"",_xlpm.val),_xlpm.Res)</f>
        <v>#NAME?</v>
      </c>
      <c r="AV182" s="910" t="e" cm="1">
        <f t="array" ca="1" aca="1" ref="AV182">_xlfn.LET(_xlpm.val,IF($F182="",val_blankRefText,_xldudf_CX_GET(CX_ENTITY,$F182,AV$11,AV$14,,(AV$146))),_xlpm.Res,IF(OR(_xlpm.val="",_xlpm.val="Error"),"",_xlpm.val),_xlpm.Res)</f>
        <v>#NAME?</v>
      </c>
      <c r="AW182" s="910" t="e" cm="1">
        <f t="array" ca="1" aca="1" ref="AW182">_xlfn.LET(_xlpm.val,IF($F182="",val_blankRefText,_xldudf_CX_GET(CX_ENTITY,$F182,AW$11,AW$14,,(AW$146))),_xlpm.Res,IF(OR(_xlpm.val="",_xlpm.val="Error"),"",_xlpm.val),_xlpm.Res)</f>
        <v>#NAME?</v>
      </c>
      <c r="AX182" s="910" t="e" cm="1">
        <f t="array" ca="1" aca="1" ref="AX182">_xlfn.LET(_xlpm.val,IF($F182="",val_blankRefText,_xldudf_CX_GET(CX_ENTITY,$F182,AX$11,AX$14,,(AX$146))),_xlpm.Res,IF(OR(_xlpm.val="",_xlpm.val="Error"),"",_xlpm.val),_xlpm.Res)</f>
        <v>#NAME?</v>
      </c>
      <c r="AY182" s="910" t="e" cm="1">
        <f t="array" ca="1" aca="1" ref="AY182">_xlfn.LET(_xlpm.val,IF($F182="",val_blankRefText,_xldudf_CX_GET(CX_ENTITY,$F182,AY$11,AY$14,,(AY$146))),_xlpm.Res,IF(OR(_xlpm.val="",_xlpm.val="Error"),"",_xlpm.val),_xlpm.Res)</f>
        <v>#NAME?</v>
      </c>
      <c r="AZ182" s="910" t="e" cm="1">
        <f t="array" ca="1" aca="1" ref="AZ182">_xlfn.LET(_xlpm.val,IF($F182="",val_blankRefText,_xldudf_CX_GET(CX_ENTITY,$F182,AZ$11,AZ$14,,(AZ$146))),_xlpm.Res,IF(OR(_xlpm.val="",_xlpm.val="Error"),"",_xlpm.val),_xlpm.Res)</f>
        <v>#NAME?</v>
      </c>
      <c r="BA182" s="910" t="e" cm="1">
        <f t="array" ca="1" aca="1" ref="BA182">_xlfn.LET(_xlpm.val,IF($F182="",val_blankRefText,_xldudf_CX_GET(CX_ENTITY,$F182,BA$11,BA$14,,(BA$146))),_xlpm.Res,IF(OR(_xlpm.val="",_xlpm.val="Error"),"",_xlpm.val),_xlpm.Res)</f>
        <v>#NAME?</v>
      </c>
      <c r="BB182" s="910" t="e" cm="1">
        <f t="array" ca="1" aca="1" ref="BB182">_xlfn.LET(_xlpm.val,IF($F182="",val_blankRefText,_xldudf_CX_GET(CX_ENTITY,$F182,BB$11,BB$14,,(BB$146))),_xlpm.Res,IF(OR(_xlpm.val="",_xlpm.val="Error"),"",_xlpm.val),_xlpm.Res)</f>
        <v>#NAME?</v>
      </c>
      <c r="BC182" s="910" t="e" cm="1">
        <f t="array" ca="1" aca="1" ref="BC182">_xlfn.LET(_xlpm.val,IF($F182="",val_blankRefText,_xldudf_CX_GET(CX_ENTITY,$F182,BC$11,BC$14,,(BC$146))),_xlpm.Res,IF(OR(_xlpm.val="",_xlpm.val="Error"),"",_xlpm.val),_xlpm.Res)</f>
        <v>#NAME?</v>
      </c>
      <c r="BD182" s="910" t="e" cm="1">
        <f t="array" ca="1" aca="1" ref="BD182">_xlfn.LET(_xlpm.val,IF($F182="",val_blankRefText,_xldudf_CX_GET(CX_ENTITY,$F182,BD$11,BD$14,,(BD$146))),_xlpm.Res,IF(OR(_xlpm.val="",_xlpm.val="Error"),"",_xlpm.val),_xlpm.Res)</f>
        <v>#NAME?</v>
      </c>
      <c r="BE182" s="910" t="e" cm="1">
        <f t="array" ca="1" aca="1" ref="BE182">_xlfn.LET(_xlpm.val,IF($F182="",val_blankRefText,_xldudf_CX_GET(CX_ENTITY,$F182,BE$11,BE$14,,(BE$146))),_xlpm.Res,IF(OR(_xlpm.val="",_xlpm.val="Error"),"",_xlpm.val),_xlpm.Res)</f>
        <v>#NAME?</v>
      </c>
      <c r="BF182" s="910" t="e" cm="1">
        <f t="array" ca="1" aca="1" ref="BF182">_xlfn.LET(_xlpm.val,IF($F182="",val_blankRefText,_xldudf_CX_GET(CX_ENTITY,$F182,BF$11,BF$14,,(BF$146))),_xlpm.Res,IF(OR(_xlpm.val="",_xlpm.val="Error"),"",_xlpm.val),_xlpm.Res)</f>
        <v>#NAME?</v>
      </c>
      <c r="BG182" s="910" t="e" cm="1">
        <f t="array" ca="1" aca="1" ref="BG182">_xlfn.LET(_xlpm.val,IF($F182="",val_blankRefText,_xldudf_CX_GET(CX_ENTITY,$F182,BG$11,BG$14,,(BG$146))),_xlpm.Res,IF(OR(_xlpm.val="",_xlpm.val="Error"),"",_xlpm.val),_xlpm.Res)</f>
        <v>#NAME?</v>
      </c>
      <c r="BH182" s="910" t="e" cm="1">
        <f t="array" ca="1" aca="1" ref="BH182">_xlfn.LET(_xlpm.val,IF($F182="",val_blankRefText,_xldudf_CX_GET(CX_ENTITY,$F182,BH$11,BH$14,,(BH$146))),_xlpm.Res,IF(OR(_xlpm.val="",_xlpm.val="Error"),"",_xlpm.val),_xlpm.Res)</f>
        <v>#NAME?</v>
      </c>
      <c r="BI182" s="910" t="e" cm="1">
        <f t="array" ca="1" aca="1" ref="BI182">_xlfn.LET(_xlpm.val,IF($F182="",val_blankRefText,_xldudf_CX_GET(CX_ENTITY,$F182,BI$11,BI$14,,(BI$146))),_xlpm.Res,IF(OR(_xlpm.val="",_xlpm.val="Error"),"",_xlpm.val),_xlpm.Res)</f>
        <v>#NAME?</v>
      </c>
      <c r="BJ182" s="910" t="e" cm="1">
        <f t="array" ca="1" aca="1" ref="BJ182">_xlfn.LET(_xlpm.val,IF($F182="",val_blankRefText,_xldudf_CX_GET(CX_ENTITY,$F182,BJ$11,BJ$14,,(BJ$146))),_xlpm.Res,IF(OR(_xlpm.val="",_xlpm.val="Error"),"",_xlpm.val),_xlpm.Res)</f>
        <v>#NAME?</v>
      </c>
      <c r="BK182" s="910" t="e" cm="1">
        <f t="array" ca="1" aca="1" ref="BK182">_xlfn.LET(_xlpm.val,IF($F182="",val_blankRefText,_xldudf_CX_GET(CX_ENTITY,$F182,BK$11,BK$14,,(BK$146))),_xlpm.Res,IF(OR(_xlpm.val="",_xlpm.val="Error"),"",_xlpm.val),_xlpm.Res)</f>
        <v>#NAME?</v>
      </c>
      <c r="BL182" s="910" t="e" cm="1">
        <f t="array" ca="1" aca="1" ref="BL182">_xlfn.LET(_xlpm.val,IF($F182="",val_blankRefText,_xldudf_CX_GET(CX_ENTITY,$F182,BL$11,BL$14,,(BL$146))),_xlpm.Res,IF(OR(_xlpm.val="",_xlpm.val="Error"),"",_xlpm.val),_xlpm.Res)</f>
        <v>#NAME?</v>
      </c>
      <c r="BM182" s="910" t="e" cm="1">
        <f t="array" ca="1" aca="1" ref="BM182">_xlfn.LET(_xlpm.val,IF($F182="",val_blankRefText,_xldudf_CX_GET(CX_ENTITY,$F182,BM$11,BM$14,,(BM$146))),_xlpm.Res,IF(OR(_xlpm.val="",_xlpm.val="Error"),"",_xlpm.val),_xlpm.Res)</f>
        <v>#NAME?</v>
      </c>
      <c r="BN182" s="910" t="e" cm="1">
        <f t="array" ca="1" aca="1" ref="BN182">_xlfn.LET(_xlpm.val,IF($F182="",val_blankRefText,_xldudf_CX_GET(CX_ENTITY,$F182,BN$11,BN$14,,(BN$146))),_xlpm.Res,IF(OR(_xlpm.val="",_xlpm.val="Error"),"",_xlpm.val),_xlpm.Res)</f>
        <v>#NAME?</v>
      </c>
      <c r="BO182" s="2107"/>
      <c r="BP182" s="2107"/>
      <c r="BQ182" s="2107"/>
      <c r="BR182" s="2107"/>
      <c r="BS182" s="2107"/>
      <c r="BT182" s="2107"/>
      <c r="BU182" s="2107"/>
      <c r="BV182" s="2107"/>
      <c r="BW182" s="2107"/>
      <c r="BX182" s="2107"/>
      <c r="BY182" s="2107"/>
      <c r="BZ182" s="2107"/>
      <c r="CA182" s="34"/>
      <c r="CC182" s="33"/>
      <c r="CD182" s="1461" t="str" cm="1">
        <f t="array" ca="1" aca="1" ref="CD182:CE182">IF(ISNUMBER(CD175:CE175),_xlfn.BYCOL(_xlfn.VSTACK(CD175:CE175,CD176:CE181),_xleta.SUM),"")</f>
        <v/>
      </c>
      <c r="CE182" s="1461" t="str">
        <f ca="1"/>
        <v/>
      </c>
      <c r="CF182" s="88"/>
      <c r="CG182" s="1461" t="str" cm="1">
        <f t="array" ca="1" aca="1" ref="CG182:CH182">IF(ISNUMBER(CG175:CH175),_xlfn.BYCOL(_xlfn.VSTACK(CG175:CH175,CG176:CH181),_xleta.SUM),"")</f>
        <v/>
      </c>
      <c r="CH182" s="1461" t="str">
        <f ca="1"/>
        <v/>
      </c>
      <c r="CI182" s="88"/>
      <c r="CJ182" s="1461" cm="1">
        <f t="array" ref="CJ182:CK182">IF(ISNUMBER(CJ175:CK175),_xlfn.BYCOL(_xlfn.VSTACK(CJ175:CK175,CJ176:CK181),_xleta.SUM),"")</f>
        <v>60</v>
      </c>
      <c r="CK182" s="1461">
        <v>60</v>
      </c>
      <c r="CL182" s="88"/>
      <c r="CM182" s="1201" t="str" cm="1">
        <f t="array" ca="1" aca="1" ref="CM182:CN182">IF(ISNUMBER(CM175:CN175),_xlfn.BYCOL(_xlfn.VSTACK(CM175:CN175,CM176:CN181),_xleta.SUM),"")</f>
        <v/>
      </c>
      <c r="CN182" s="1202" t="str">
        <f ca="1"/>
        <v/>
      </c>
      <c r="CO182" s="88"/>
      <c r="CP182" s="1194" t="str" cm="1">
        <f t="array" ca="1" aca="1" ref="CP182:CQ182">IF(ISNUMBER(CP175:CQ175),_xlfn.BYCOL(_xlfn.VSTACK(CP175:CQ175,CP176:CQ181),_xleta.SUM),"")</f>
        <v/>
      </c>
      <c r="CQ182" s="1203" t="str">
        <f ca="1"/>
        <v/>
      </c>
      <c r="CR182" s="34"/>
    </row>
    <row r="183" spans="1:96" ht="18" outlineLevel="2">
      <c r="A183" s="1322"/>
      <c r="B183" s="577"/>
      <c r="C183" s="577"/>
      <c r="D183" s="574"/>
      <c r="E183" s="574"/>
      <c r="F183" s="577"/>
      <c r="G183" s="577"/>
      <c r="H183" s="510"/>
      <c r="I183" s="510"/>
      <c r="J183" s="30"/>
      <c r="K183" s="30"/>
      <c r="L183" s="30"/>
      <c r="N183" s="158"/>
      <c r="O183" s="101"/>
      <c r="P183" s="52"/>
      <c r="Q183" s="101"/>
      <c r="R183" s="101"/>
      <c r="S183" s="101"/>
      <c r="T183" s="101"/>
      <c r="U183" s="39"/>
      <c r="W183" s="794"/>
      <c r="X183" s="887"/>
      <c r="Y183" s="324"/>
      <c r="Z183" s="795"/>
      <c r="AA183" s="97"/>
      <c r="AB183" s="97"/>
      <c r="AC183" s="128"/>
      <c r="AD183" s="796"/>
      <c r="AE183" s="796"/>
      <c r="AF183" s="796"/>
      <c r="AG183" s="796"/>
      <c r="AH183" s="796"/>
      <c r="AI183" s="796"/>
      <c r="AJ183" s="796"/>
      <c r="AK183" s="796"/>
      <c r="AL183" s="796"/>
      <c r="AM183" s="796"/>
      <c r="AN183" s="796"/>
      <c r="AO183" s="796"/>
      <c r="AP183" s="796"/>
      <c r="AQ183" s="796"/>
      <c r="AR183" s="796"/>
      <c r="AS183" s="796"/>
      <c r="AT183" s="796"/>
      <c r="AU183" s="796"/>
      <c r="AV183" s="796"/>
      <c r="AW183" s="796"/>
      <c r="AX183" s="796"/>
      <c r="AY183" s="796"/>
      <c r="AZ183" s="796"/>
      <c r="BA183" s="796"/>
      <c r="BB183" s="796"/>
      <c r="BC183" s="796"/>
      <c r="BD183" s="796"/>
      <c r="BE183" s="796"/>
      <c r="BF183" s="796"/>
      <c r="BG183" s="796"/>
      <c r="BH183" s="796"/>
      <c r="BI183" s="796"/>
      <c r="BJ183" s="796"/>
      <c r="BK183" s="796"/>
      <c r="BL183" s="796"/>
      <c r="BM183" s="796"/>
      <c r="BN183" s="796"/>
      <c r="BO183" s="796"/>
      <c r="BP183" s="796"/>
      <c r="BQ183" s="796"/>
      <c r="BR183" s="796"/>
      <c r="BS183" s="796"/>
      <c r="BT183" s="796"/>
      <c r="BU183" s="796"/>
      <c r="BV183" s="796"/>
      <c r="BW183" s="796"/>
      <c r="BX183" s="796"/>
      <c r="BY183" s="796"/>
      <c r="BZ183" s="796"/>
      <c r="CA183" s="34"/>
      <c r="CC183" s="797"/>
      <c r="CD183" s="184"/>
      <c r="CE183" s="184"/>
      <c r="CF183" s="184"/>
      <c r="CG183" s="184"/>
      <c r="CH183" s="184"/>
      <c r="CI183" s="88"/>
      <c r="CJ183" s="796"/>
      <c r="CK183" s="796"/>
      <c r="CL183" s="88"/>
      <c r="CM183" s="88"/>
      <c r="CN183" s="88"/>
      <c r="CO183" s="88"/>
      <c r="CP183" s="88"/>
      <c r="CQ183" s="88"/>
      <c r="CR183" s="34"/>
    </row>
    <row r="184" spans="1:96" ht="15.5" outlineLevel="1">
      <c r="A184" s="1322"/>
      <c r="B184" s="577"/>
      <c r="C184" s="577"/>
      <c r="D184" s="574"/>
      <c r="E184" s="574"/>
      <c r="F184" s="577"/>
      <c r="G184" s="577"/>
      <c r="H184" s="578"/>
      <c r="I184" s="578"/>
      <c r="J184" s="578"/>
      <c r="K184" s="578"/>
      <c r="L184" s="578"/>
      <c r="N184" s="158"/>
      <c r="O184" s="101"/>
      <c r="P184" s="52"/>
      <c r="Q184" s="101"/>
      <c r="R184" s="101"/>
      <c r="S184" s="101"/>
      <c r="T184" s="101"/>
      <c r="U184" s="39"/>
      <c r="W184" s="91"/>
      <c r="X184" s="887"/>
      <c r="Y184" s="136"/>
      <c r="Z184" s="792"/>
      <c r="AA184" s="97"/>
      <c r="AB184" s="97"/>
      <c r="AC184" s="128"/>
      <c r="AD184" s="88"/>
      <c r="AE184" s="88"/>
      <c r="AF184" s="88"/>
      <c r="AG184" s="88"/>
      <c r="AH184" s="88"/>
      <c r="AI184" s="88"/>
      <c r="AJ184" s="88"/>
      <c r="AK184" s="88"/>
      <c r="AL184" s="88"/>
      <c r="AM184" s="88"/>
      <c r="AN184" s="88"/>
      <c r="AO184" s="88"/>
      <c r="AP184" s="88"/>
      <c r="AQ184" s="88"/>
      <c r="AR184" s="88"/>
      <c r="AS184" s="88"/>
      <c r="AT184" s="88"/>
      <c r="AU184" s="783"/>
      <c r="AV184" s="783"/>
      <c r="AW184" s="783"/>
      <c r="AX184" s="783"/>
      <c r="AY184" s="783"/>
      <c r="AZ184" s="783"/>
      <c r="BA184" s="783"/>
      <c r="BB184" s="783"/>
      <c r="BC184" s="783"/>
      <c r="BD184" s="783"/>
      <c r="BE184" s="783"/>
      <c r="BF184" s="783"/>
      <c r="BG184" s="783"/>
      <c r="BH184" s="783"/>
      <c r="BI184" s="783"/>
      <c r="BJ184" s="783"/>
      <c r="BK184" s="783"/>
      <c r="BL184" s="783"/>
      <c r="BM184" s="783"/>
      <c r="BN184" s="783"/>
      <c r="BO184" s="783"/>
      <c r="BP184" s="783"/>
      <c r="BQ184" s="783"/>
      <c r="BR184" s="783"/>
      <c r="BS184" s="783"/>
      <c r="BT184" s="783"/>
      <c r="BU184" s="783"/>
      <c r="BV184" s="783"/>
      <c r="BW184" s="783"/>
      <c r="BX184" s="783"/>
      <c r="BY184" s="783"/>
      <c r="BZ184" s="783"/>
      <c r="CA184" s="34"/>
      <c r="CC184" s="50"/>
      <c r="CD184" s="182"/>
      <c r="CE184" s="182"/>
      <c r="CF184" s="182"/>
      <c r="CG184" s="182"/>
      <c r="CH184" s="182"/>
      <c r="CI184" s="88"/>
      <c r="CJ184" s="172"/>
      <c r="CK184" s="172"/>
      <c r="CL184" s="88"/>
      <c r="CM184" s="88"/>
      <c r="CN184" s="88"/>
      <c r="CO184" s="88"/>
      <c r="CP184" s="88"/>
      <c r="CQ184" s="88"/>
      <c r="CR184" s="34"/>
    </row>
    <row r="185" spans="1:96" ht="32.5">
      <c r="A185" s="1322"/>
      <c r="B185" s="577"/>
      <c r="C185" s="577"/>
      <c r="D185" s="574"/>
      <c r="E185" s="574"/>
      <c r="F185" s="577"/>
      <c r="G185" s="577"/>
      <c r="H185" s="578"/>
      <c r="I185" s="578"/>
      <c r="J185" s="578"/>
      <c r="K185" s="578"/>
      <c r="L185" s="578"/>
      <c r="N185" s="158"/>
      <c r="O185" s="101"/>
      <c r="P185" s="52"/>
      <c r="Q185" s="101"/>
      <c r="R185" s="101"/>
      <c r="S185" s="101"/>
      <c r="T185" s="101"/>
      <c r="U185" s="39"/>
      <c r="W185" s="33"/>
      <c r="X185" s="887"/>
      <c r="Y185" s="23" t="s">
        <v>154</v>
      </c>
      <c r="Z185" s="788"/>
      <c r="AA185" s="97"/>
      <c r="AB185" s="97"/>
      <c r="AC185" s="128"/>
      <c r="AD185" s="88"/>
      <c r="AE185" s="88"/>
      <c r="AF185" s="88"/>
      <c r="AG185" s="88"/>
      <c r="AH185" s="88"/>
      <c r="AI185" s="88"/>
      <c r="AJ185" s="88"/>
      <c r="AK185" s="88"/>
      <c r="AL185" s="88"/>
      <c r="AM185" s="88"/>
      <c r="AN185" s="88"/>
      <c r="AO185" s="88"/>
      <c r="AP185" s="88"/>
      <c r="AQ185" s="88"/>
      <c r="AR185" s="88"/>
      <c r="AS185" s="88"/>
      <c r="AT185" s="88"/>
      <c r="AU185" s="783"/>
      <c r="AV185" s="783"/>
      <c r="AW185" s="783"/>
      <c r="AX185" s="783"/>
      <c r="AY185" s="783"/>
      <c r="AZ185" s="783"/>
      <c r="BA185" s="783"/>
      <c r="BB185" s="783"/>
      <c r="BC185" s="783"/>
      <c r="BD185" s="783"/>
      <c r="BE185" s="783"/>
      <c r="BF185" s="783"/>
      <c r="BG185" s="783"/>
      <c r="BH185" s="783"/>
      <c r="BI185" s="783"/>
      <c r="BJ185" s="783"/>
      <c r="BK185" s="783"/>
      <c r="BL185" s="783"/>
      <c r="BM185" s="783"/>
      <c r="BN185" s="783"/>
      <c r="BO185" s="783"/>
      <c r="BP185" s="783"/>
      <c r="BQ185" s="783"/>
      <c r="BR185" s="783"/>
      <c r="BS185" s="783"/>
      <c r="BT185" s="783"/>
      <c r="BU185" s="783"/>
      <c r="BV185" s="783"/>
      <c r="BW185" s="783"/>
      <c r="BX185" s="783"/>
      <c r="BY185" s="783"/>
      <c r="BZ185" s="783"/>
      <c r="CA185" s="34"/>
      <c r="CC185" s="50"/>
      <c r="CD185" s="1357"/>
      <c r="CE185" s="1357"/>
      <c r="CF185" s="1357"/>
      <c r="CG185" s="1357"/>
      <c r="CH185" s="1357"/>
      <c r="CI185" s="88"/>
      <c r="CJ185" s="383"/>
      <c r="CK185" s="383"/>
      <c r="CL185" s="88"/>
      <c r="CM185" s="88"/>
      <c r="CN185" s="88"/>
      <c r="CO185" s="88"/>
      <c r="CP185" s="88"/>
      <c r="CQ185" s="88"/>
      <c r="CR185" s="34"/>
    </row>
    <row r="186" spans="1:96" ht="32.5">
      <c r="A186" s="1322"/>
      <c r="B186" s="577"/>
      <c r="C186" s="577"/>
      <c r="D186" s="577"/>
      <c r="E186" s="577"/>
      <c r="F186" s="577"/>
      <c r="G186" s="577"/>
      <c r="H186" s="578"/>
      <c r="I186" s="578"/>
      <c r="J186" s="578"/>
      <c r="K186" s="578"/>
      <c r="L186" s="578"/>
      <c r="N186" s="158"/>
      <c r="O186" s="101"/>
      <c r="P186" s="101"/>
      <c r="Q186" s="101"/>
      <c r="R186" s="101"/>
      <c r="S186" s="101"/>
      <c r="T186" s="101"/>
      <c r="U186" s="39"/>
      <c r="W186" s="33"/>
      <c r="X186" s="887"/>
      <c r="Y186" s="23"/>
      <c r="Z186" s="788"/>
      <c r="AA186" s="97"/>
      <c r="AB186" s="97"/>
      <c r="AC186" s="128"/>
      <c r="AD186" s="88"/>
      <c r="AE186" s="88"/>
      <c r="AF186" s="88"/>
      <c r="AG186" s="88"/>
      <c r="AH186" s="88"/>
      <c r="AI186" s="88"/>
      <c r="AJ186" s="88"/>
      <c r="AK186" s="88"/>
      <c r="AL186" s="88"/>
      <c r="AM186" s="88"/>
      <c r="AN186" s="88"/>
      <c r="AO186" s="88"/>
      <c r="AP186" s="88"/>
      <c r="AQ186" s="88"/>
      <c r="AR186" s="88"/>
      <c r="AS186" s="88"/>
      <c r="AT186" s="88"/>
      <c r="AU186" s="783"/>
      <c r="AV186" s="783"/>
      <c r="AW186" s="783"/>
      <c r="AX186" s="783"/>
      <c r="AY186" s="783"/>
      <c r="AZ186" s="783"/>
      <c r="BA186" s="783"/>
      <c r="BB186" s="783"/>
      <c r="BC186" s="783"/>
      <c r="BD186" s="783"/>
      <c r="BE186" s="783"/>
      <c r="BF186" s="783"/>
      <c r="BG186" s="783"/>
      <c r="BH186" s="783"/>
      <c r="BI186" s="783"/>
      <c r="BJ186" s="783"/>
      <c r="BK186" s="783"/>
      <c r="BL186" s="783"/>
      <c r="BM186" s="783"/>
      <c r="BN186" s="783"/>
      <c r="BO186" s="783"/>
      <c r="BP186" s="783"/>
      <c r="BQ186" s="783"/>
      <c r="BR186" s="783"/>
      <c r="BS186" s="783"/>
      <c r="BT186" s="783"/>
      <c r="BU186" s="783"/>
      <c r="BV186" s="783"/>
      <c r="BW186" s="783"/>
      <c r="BX186" s="783"/>
      <c r="BY186" s="783"/>
      <c r="BZ186" s="783"/>
      <c r="CA186" s="34"/>
      <c r="CC186" s="50"/>
      <c r="CD186" s="3018" t="s">
        <v>41</v>
      </c>
      <c r="CE186" s="3019"/>
      <c r="CF186" s="1472"/>
      <c r="CG186" s="3020" t="s">
        <v>109</v>
      </c>
      <c r="CH186" s="3021"/>
      <c r="CI186" s="1473"/>
      <c r="CJ186" s="3022" t="s">
        <v>43</v>
      </c>
      <c r="CK186" s="3023"/>
      <c r="CL186" s="1473"/>
      <c r="CM186" s="3015" t="s">
        <v>44</v>
      </c>
      <c r="CN186" s="3016"/>
      <c r="CO186" s="1470"/>
      <c r="CP186" s="3015" t="s">
        <v>45</v>
      </c>
      <c r="CQ186" s="3016"/>
      <c r="CR186" s="34"/>
    </row>
    <row r="187" spans="1:96" ht="18" customHeight="1">
      <c r="A187" s="1322"/>
      <c r="B187" s="583"/>
      <c r="C187" s="577" t="s">
        <v>1629</v>
      </c>
      <c r="D187" s="583"/>
      <c r="E187" s="577" t="e" cm="1">
        <f t="array" ca="1" aca="1" ref="E187">IFBLANK(_xldudf_CX_GET(CX_ENTITY,fx_attrConverter(C187),val_asOfDate),PL!D187)</f>
        <v>#NAME?</v>
      </c>
      <c r="F187" s="577"/>
      <c r="G187" s="3153" t="s">
        <v>154</v>
      </c>
      <c r="H187" s="572"/>
      <c r="I187" s="572"/>
      <c r="J187" s="572"/>
      <c r="K187" s="572"/>
      <c r="L187" s="578"/>
      <c r="N187" s="158"/>
      <c r="O187" s="101"/>
      <c r="P187" s="151"/>
      <c r="Q187" s="151"/>
      <c r="R187" s="101"/>
      <c r="S187" s="291"/>
      <c r="T187" s="291"/>
      <c r="U187" s="39"/>
      <c r="W187" s="3045" t="e" cm="1">
        <f t="array" ca="1" aca="1" ref="W187">fx_scenarioConverter(E188)</f>
        <v>#NAME?</v>
      </c>
      <c r="X187" s="1247"/>
      <c r="Y187" s="3040" t="e">
        <f ca="1">E187</f>
        <v>#NAME?</v>
      </c>
      <c r="Z187" s="1248" t="s">
        <v>82</v>
      </c>
      <c r="AA187" s="1249"/>
      <c r="AB187" s="1630"/>
      <c r="AC187" s="1273"/>
      <c r="AD187" s="859"/>
      <c r="AE187" s="859"/>
      <c r="AF187" s="859"/>
      <c r="AG187" s="859"/>
      <c r="AH187" s="859"/>
      <c r="AI187" s="859"/>
      <c r="AJ187" s="859"/>
      <c r="AK187" s="859"/>
      <c r="AL187" s="859"/>
      <c r="AM187" s="859"/>
      <c r="AN187" s="859"/>
      <c r="AO187" s="859"/>
      <c r="AP187" s="859"/>
      <c r="AQ187" s="859"/>
      <c r="AR187" s="859"/>
      <c r="AS187" s="859"/>
      <c r="AT187" s="859"/>
      <c r="AU187" s="859"/>
      <c r="AV187" s="859"/>
      <c r="AW187" s="859"/>
      <c r="AX187" s="859"/>
      <c r="AY187" s="859"/>
      <c r="AZ187" s="859"/>
      <c r="BA187" s="859"/>
      <c r="BB187" s="859"/>
      <c r="BC187" s="859"/>
      <c r="BD187" s="859"/>
      <c r="BE187" s="859"/>
      <c r="BF187" s="859"/>
      <c r="BG187" s="859"/>
      <c r="BH187" s="859"/>
      <c r="BI187" s="859"/>
      <c r="BJ187" s="859"/>
      <c r="BK187" s="859"/>
      <c r="BL187" s="859"/>
      <c r="BM187" s="859"/>
      <c r="BN187" s="859"/>
      <c r="BO187" s="542"/>
      <c r="BP187" s="542"/>
      <c r="BQ187" s="542"/>
      <c r="BR187" s="542"/>
      <c r="BS187" s="542"/>
      <c r="BT187" s="542"/>
      <c r="BU187" s="542"/>
      <c r="BV187" s="542"/>
      <c r="BW187" s="542"/>
      <c r="BX187" s="542"/>
      <c r="BY187" s="542"/>
      <c r="BZ187" s="542"/>
      <c r="CA187" s="34"/>
      <c r="CC187" s="33"/>
      <c r="CD187" s="1343" t="e" cm="1">
        <f t="array" ca="1" aca="1" ref="CD187">YEAR(val_currentFYE)-2</f>
        <v>#NAME?</v>
      </c>
      <c r="CE187" s="1344" t="e" cm="1">
        <f t="array" ca="1" aca="1" ref="CE187">YEAR(val_currentFYE)-1</f>
        <v>#NAME?</v>
      </c>
      <c r="CF187" s="88"/>
      <c r="CG187" s="1350" t="e" cm="1">
        <f t="array" ca="1" aca="1" ref="CG187">YEAR(val_currentFYE)</f>
        <v>#NAME?</v>
      </c>
      <c r="CH187" s="1351" t="e" cm="1">
        <f t="array" ca="1" aca="1" ref="CH187">YEAR(val_currentFYE)</f>
        <v>#NAME?</v>
      </c>
      <c r="CI187" s="170"/>
      <c r="CJ187" s="208" t="s">
        <v>54</v>
      </c>
      <c r="CK187" s="209" t="s">
        <v>54</v>
      </c>
      <c r="CL187" s="88"/>
      <c r="CM187" s="1664"/>
      <c r="CN187" s="1665"/>
      <c r="CO187" s="88"/>
      <c r="CP187" s="1664"/>
      <c r="CQ187" s="1665"/>
      <c r="CR187" s="34"/>
    </row>
    <row r="188" spans="1:96" ht="18" customHeight="1">
      <c r="A188" s="1322"/>
      <c r="B188" s="583"/>
      <c r="C188" s="577" t="s">
        <v>158</v>
      </c>
      <c r="D188" s="583"/>
      <c r="E188" s="577" t="e" cm="1">
        <f t="array" ca="1" aca="1" ref="E188">IFBLANK(_xldudf_CX_GET(CX_ENTITY,fx_attrConverter(C188),val_asOfDate),PL!D188)</f>
        <v>#NAME?</v>
      </c>
      <c r="F188" s="577"/>
      <c r="G188" s="3153"/>
      <c r="H188" s="572"/>
      <c r="I188" s="572"/>
      <c r="J188" s="572"/>
      <c r="K188" s="572"/>
      <c r="L188" s="578"/>
      <c r="N188" s="158"/>
      <c r="O188" s="101"/>
      <c r="P188" s="151"/>
      <c r="Q188" s="151"/>
      <c r="R188" s="101"/>
      <c r="S188" s="289"/>
      <c r="T188" s="289"/>
      <c r="U188" s="39"/>
      <c r="W188" s="3046"/>
      <c r="X188" s="1250"/>
      <c r="Y188" s="3041"/>
      <c r="Z188" s="1251"/>
      <c r="AA188" s="1252"/>
      <c r="AB188" s="1631"/>
      <c r="AC188" s="1162"/>
      <c r="AD188" s="1253"/>
      <c r="AE188" s="1253"/>
      <c r="AF188" s="1253"/>
      <c r="AG188" s="1253"/>
      <c r="AH188" s="1253"/>
      <c r="AI188" s="1253"/>
      <c r="AJ188" s="1253"/>
      <c r="AK188" s="1253"/>
      <c r="AL188" s="1253"/>
      <c r="AM188" s="1253"/>
      <c r="AN188" s="1253"/>
      <c r="AO188" s="1253"/>
      <c r="AP188" s="1253"/>
      <c r="AQ188" s="1253"/>
      <c r="AR188" s="1253"/>
      <c r="AS188" s="1253"/>
      <c r="AT188" s="1253"/>
      <c r="AU188" s="1253"/>
      <c r="AV188" s="1253"/>
      <c r="AW188" s="1253"/>
      <c r="AX188" s="1253"/>
      <c r="AY188" s="1253"/>
      <c r="AZ188" s="1253"/>
      <c r="BA188" s="1253"/>
      <c r="BB188" s="1253"/>
      <c r="BC188" s="1253"/>
      <c r="BD188" s="1253"/>
      <c r="BE188" s="1253"/>
      <c r="BF188" s="1253"/>
      <c r="BG188" s="1253"/>
      <c r="BH188" s="1253"/>
      <c r="BI188" s="1253"/>
      <c r="BJ188" s="1253"/>
      <c r="BK188" s="1253"/>
      <c r="BL188" s="1253"/>
      <c r="BM188" s="1253"/>
      <c r="BN188" s="1253"/>
      <c r="BO188" s="2099"/>
      <c r="BP188" s="2099"/>
      <c r="BQ188" s="2099"/>
      <c r="BR188" s="2099"/>
      <c r="BS188" s="2099"/>
      <c r="BT188" s="2099"/>
      <c r="BU188" s="2099"/>
      <c r="BV188" s="2099"/>
      <c r="BW188" s="2099"/>
      <c r="BX188" s="2099"/>
      <c r="BY188" s="2099"/>
      <c r="BZ188" s="2099"/>
      <c r="CA188" s="34"/>
      <c r="CC188" s="33"/>
      <c r="CD188" s="1341"/>
      <c r="CE188" s="1342"/>
      <c r="CF188" s="88"/>
      <c r="CG188" s="1350"/>
      <c r="CH188" s="1351"/>
      <c r="CI188" s="170"/>
      <c r="CJ188" s="1348"/>
      <c r="CK188" s="1349"/>
      <c r="CL188" s="88"/>
      <c r="CM188" s="1660"/>
      <c r="CN188" s="1660"/>
      <c r="CO188" s="88"/>
      <c r="CP188" s="1660"/>
      <c r="CQ188" s="1660"/>
      <c r="CR188" s="34"/>
    </row>
    <row r="189" spans="1:96" ht="30.75" customHeight="1" outlineLevel="1">
      <c r="A189" s="1322"/>
      <c r="B189" s="583"/>
      <c r="C189" s="583"/>
      <c r="D189" s="583"/>
      <c r="E189" s="583"/>
      <c r="F189" s="577"/>
      <c r="G189" s="577"/>
      <c r="H189" s="1333"/>
      <c r="I189" s="1333">
        <v>3</v>
      </c>
      <c r="J189" s="572"/>
      <c r="K189" s="572"/>
      <c r="L189" s="572"/>
      <c r="N189" s="158"/>
      <c r="O189" s="101"/>
      <c r="P189" s="101"/>
      <c r="Q189" s="101"/>
      <c r="R189" s="101"/>
      <c r="S189" s="101"/>
      <c r="T189" s="101"/>
      <c r="U189" s="39"/>
      <c r="W189" s="161"/>
      <c r="X189" s="887"/>
      <c r="Y189" s="1129"/>
      <c r="Z189" s="789"/>
      <c r="AA189" s="163"/>
      <c r="AB189" s="162" t="s">
        <v>47</v>
      </c>
      <c r="AC189" s="1164"/>
      <c r="AD189" s="977" cm="1">
        <f t="array" ref="AD189:BN189">EOMONTH(val_asOfDate,_xlfn.SEQUENCE(1,37,-36,1))</f>
        <v>44926</v>
      </c>
      <c r="AE189" s="977">
        <v>44957</v>
      </c>
      <c r="AF189" s="977">
        <v>44985</v>
      </c>
      <c r="AG189" s="977">
        <v>45016</v>
      </c>
      <c r="AH189" s="977">
        <v>45046</v>
      </c>
      <c r="AI189" s="977">
        <v>45077</v>
      </c>
      <c r="AJ189" s="977">
        <v>45107</v>
      </c>
      <c r="AK189" s="977">
        <v>45138</v>
      </c>
      <c r="AL189" s="977">
        <v>45169</v>
      </c>
      <c r="AM189" s="977">
        <v>45199</v>
      </c>
      <c r="AN189" s="977">
        <v>45230</v>
      </c>
      <c r="AO189" s="977">
        <v>45260</v>
      </c>
      <c r="AP189" s="977">
        <v>45291</v>
      </c>
      <c r="AQ189" s="977">
        <v>45322</v>
      </c>
      <c r="AR189" s="977">
        <v>45351</v>
      </c>
      <c r="AS189" s="977">
        <v>45382</v>
      </c>
      <c r="AT189" s="977">
        <v>45412</v>
      </c>
      <c r="AU189" s="977">
        <v>45443</v>
      </c>
      <c r="AV189" s="977">
        <v>45473</v>
      </c>
      <c r="AW189" s="977">
        <v>45504</v>
      </c>
      <c r="AX189" s="977">
        <v>45535</v>
      </c>
      <c r="AY189" s="977">
        <v>45565</v>
      </c>
      <c r="AZ189" s="977">
        <v>45596</v>
      </c>
      <c r="BA189" s="977">
        <v>45626</v>
      </c>
      <c r="BB189" s="977">
        <v>45657</v>
      </c>
      <c r="BC189" s="977">
        <v>45688</v>
      </c>
      <c r="BD189" s="977">
        <v>45716</v>
      </c>
      <c r="BE189" s="977">
        <v>45747</v>
      </c>
      <c r="BF189" s="977">
        <v>45777</v>
      </c>
      <c r="BG189" s="977">
        <v>45808</v>
      </c>
      <c r="BH189" s="977">
        <v>45838</v>
      </c>
      <c r="BI189" s="977">
        <v>45869</v>
      </c>
      <c r="BJ189" s="977">
        <v>45900</v>
      </c>
      <c r="BK189" s="977">
        <v>45930</v>
      </c>
      <c r="BL189" s="977">
        <v>45961</v>
      </c>
      <c r="BM189" s="977">
        <v>45991</v>
      </c>
      <c r="BN189" s="978">
        <v>46022</v>
      </c>
      <c r="BO189" s="2090"/>
      <c r="BP189" s="2090"/>
      <c r="BQ189" s="2090"/>
      <c r="BR189" s="2090"/>
      <c r="BS189" s="2090"/>
      <c r="BT189" s="2090"/>
      <c r="BU189" s="2090"/>
      <c r="BV189" s="2090"/>
      <c r="BW189" s="2090"/>
      <c r="BX189" s="2090"/>
      <c r="BY189" s="2090"/>
      <c r="BZ189" s="2090"/>
      <c r="CA189" s="34"/>
      <c r="CC189" s="183"/>
      <c r="CD189" s="1716" t="e" cm="1">
        <f t="array" ca="1" aca="1" ref="CD189">EOMONTH(val_currentFYE,-24)</f>
        <v>#NAME?</v>
      </c>
      <c r="CE189" s="1717" t="e" cm="1">
        <f t="array" ca="1" aca="1" ref="CE189">EOMONTH(val_currentFYE,-12)</f>
        <v>#NAME?</v>
      </c>
      <c r="CF189" s="277"/>
      <c r="CG189" s="1715">
        <f>EOMONTH(val_asOfDate,-1)</f>
        <v>45991</v>
      </c>
      <c r="CH189" s="1715">
        <f>EOMONTH(val_asOfDate,0)</f>
        <v>46022</v>
      </c>
      <c r="CI189" s="276"/>
      <c r="CJ189" s="1709">
        <f>EOMONTH(val_asOfDate,-1)</f>
        <v>45991</v>
      </c>
      <c r="CK189" s="1710">
        <f>EOMONTH(val_asOfDate,0)</f>
        <v>46022</v>
      </c>
      <c r="CL189" s="88"/>
      <c r="CM189" s="1718" t="e" cm="1">
        <f t="array" ca="1" aca="1" ref="CM189">val_currentFYE</f>
        <v>#NAME?</v>
      </c>
      <c r="CN189" s="1719" t="e" cm="1">
        <f t="array" ca="1" aca="1" ref="CN189">val_currentFYE</f>
        <v>#NAME?</v>
      </c>
      <c r="CO189" s="88"/>
      <c r="CP189" s="1728" t="e" cm="1">
        <f t="array" ca="1" aca="1" ref="CP189">EOMONTH(val_currentFYE,12)</f>
        <v>#NAME?</v>
      </c>
      <c r="CQ189" s="1728" t="e" cm="1">
        <f t="array" ca="1" aca="1" ref="CQ189">EOMONTH(val_currentFYE,12)</f>
        <v>#NAME?</v>
      </c>
      <c r="CR189" s="34"/>
    </row>
    <row r="190" spans="1:96" ht="30.75" customHeight="1" outlineLevel="1">
      <c r="A190" s="1322"/>
      <c r="B190" s="1328"/>
      <c r="C190" s="1328"/>
      <c r="D190" s="1328"/>
      <c r="E190" s="1328"/>
      <c r="F190" s="1329"/>
      <c r="G190" s="1328"/>
      <c r="H190" s="588"/>
      <c r="I190" s="588"/>
      <c r="J190" s="1334"/>
      <c r="K190" s="1334"/>
      <c r="L190" s="1334"/>
      <c r="N190" s="158"/>
      <c r="O190" s="101"/>
      <c r="P190" s="52"/>
      <c r="Q190" s="101"/>
      <c r="R190" s="101"/>
      <c r="S190" s="101"/>
      <c r="T190" s="101"/>
      <c r="U190" s="39"/>
      <c r="W190" s="272" t="s">
        <v>94</v>
      </c>
      <c r="X190" s="889"/>
      <c r="Y190" s="279" t="s">
        <v>159</v>
      </c>
      <c r="Z190" s="790"/>
      <c r="AA190" s="193"/>
      <c r="AB190" s="193"/>
      <c r="AC190" s="125"/>
      <c r="AD190" s="167" t="e">
        <f ca="1">$W$187</f>
        <v>#NAME?</v>
      </c>
      <c r="AE190" s="167" t="e">
        <f ca="1" t="shared" si="54" ref="AE190:BN190">$W$187</f>
        <v>#NAME?</v>
      </c>
      <c r="AF190" s="167" t="e">
        <f t="shared" ca="1" si="54"/>
        <v>#NAME?</v>
      </c>
      <c r="AG190" s="167" t="e">
        <f t="shared" ca="1" si="54"/>
        <v>#NAME?</v>
      </c>
      <c r="AH190" s="167" t="e">
        <f t="shared" ca="1" si="54"/>
        <v>#NAME?</v>
      </c>
      <c r="AI190" s="167" t="e">
        <f t="shared" ca="1" si="54"/>
        <v>#NAME?</v>
      </c>
      <c r="AJ190" s="167" t="e">
        <f t="shared" ca="1" si="54"/>
        <v>#NAME?</v>
      </c>
      <c r="AK190" s="167" t="e">
        <f t="shared" ca="1" si="54"/>
        <v>#NAME?</v>
      </c>
      <c r="AL190" s="167" t="e">
        <f t="shared" ca="1" si="54"/>
        <v>#NAME?</v>
      </c>
      <c r="AM190" s="167" t="e">
        <f t="shared" ca="1" si="54"/>
        <v>#NAME?</v>
      </c>
      <c r="AN190" s="167" t="e">
        <f t="shared" ca="1" si="54"/>
        <v>#NAME?</v>
      </c>
      <c r="AO190" s="167" t="e">
        <f t="shared" ca="1" si="54"/>
        <v>#NAME?</v>
      </c>
      <c r="AP190" s="167" t="e">
        <f t="shared" ca="1" si="54"/>
        <v>#NAME?</v>
      </c>
      <c r="AQ190" s="167" t="e">
        <f t="shared" ca="1" si="54"/>
        <v>#NAME?</v>
      </c>
      <c r="AR190" s="167" t="e">
        <f t="shared" ca="1" si="54"/>
        <v>#NAME?</v>
      </c>
      <c r="AS190" s="167" t="e">
        <f t="shared" ca="1" si="54"/>
        <v>#NAME?</v>
      </c>
      <c r="AT190" s="167" t="e">
        <f t="shared" ca="1" si="54"/>
        <v>#NAME?</v>
      </c>
      <c r="AU190" s="167" t="e">
        <f t="shared" ca="1" si="54"/>
        <v>#NAME?</v>
      </c>
      <c r="AV190" s="167" t="e">
        <f t="shared" ca="1" si="54"/>
        <v>#NAME?</v>
      </c>
      <c r="AW190" s="167" t="e">
        <f t="shared" ca="1" si="54"/>
        <v>#NAME?</v>
      </c>
      <c r="AX190" s="167" t="e">
        <f t="shared" ca="1" si="54"/>
        <v>#NAME?</v>
      </c>
      <c r="AY190" s="167" t="e">
        <f t="shared" ca="1" si="54"/>
        <v>#NAME?</v>
      </c>
      <c r="AZ190" s="167" t="e">
        <f t="shared" ca="1" si="54"/>
        <v>#NAME?</v>
      </c>
      <c r="BA190" s="167" t="e">
        <f t="shared" ca="1" si="54"/>
        <v>#NAME?</v>
      </c>
      <c r="BB190" s="167" t="e">
        <f t="shared" ca="1" si="54"/>
        <v>#NAME?</v>
      </c>
      <c r="BC190" s="167" t="e">
        <f t="shared" ca="1" si="54"/>
        <v>#NAME?</v>
      </c>
      <c r="BD190" s="167" t="e">
        <f t="shared" ca="1" si="54"/>
        <v>#NAME?</v>
      </c>
      <c r="BE190" s="167" t="e">
        <f t="shared" ca="1" si="54"/>
        <v>#NAME?</v>
      </c>
      <c r="BF190" s="167" t="e">
        <f t="shared" ca="1" si="54"/>
        <v>#NAME?</v>
      </c>
      <c r="BG190" s="167" t="e">
        <f t="shared" ca="1" si="54"/>
        <v>#NAME?</v>
      </c>
      <c r="BH190" s="167" t="e">
        <f t="shared" ca="1" si="54"/>
        <v>#NAME?</v>
      </c>
      <c r="BI190" s="167" t="e">
        <f t="shared" ca="1" si="54"/>
        <v>#NAME?</v>
      </c>
      <c r="BJ190" s="167" t="e">
        <f t="shared" ca="1" si="54"/>
        <v>#NAME?</v>
      </c>
      <c r="BK190" s="167" t="e">
        <f t="shared" ca="1" si="54"/>
        <v>#NAME?</v>
      </c>
      <c r="BL190" s="167" t="e">
        <f t="shared" ca="1" si="54"/>
        <v>#NAME?</v>
      </c>
      <c r="BM190" s="167" t="e">
        <f t="shared" ca="1" si="54"/>
        <v>#NAME?</v>
      </c>
      <c r="BN190" s="167" t="e">
        <f t="shared" ca="1" si="54"/>
        <v>#NAME?</v>
      </c>
      <c r="BO190" s="2070"/>
      <c r="BP190" s="2070"/>
      <c r="BQ190" s="2070"/>
      <c r="BR190" s="2070"/>
      <c r="BS190" s="2070"/>
      <c r="BT190" s="2070"/>
      <c r="BU190" s="2070"/>
      <c r="BV190" s="2070"/>
      <c r="BW190" s="2070"/>
      <c r="BX190" s="2070"/>
      <c r="BY190" s="2070"/>
      <c r="BZ190" s="2070"/>
      <c r="CA190" s="34"/>
      <c r="CC190" s="58"/>
      <c r="CD190" s="167" t="e">
        <f ca="1" t="shared" si="55" ref="CD190:CK190">$W$187</f>
        <v>#NAME?</v>
      </c>
      <c r="CE190" s="167" t="e">
        <f t="shared" ca="1" si="55"/>
        <v>#NAME?</v>
      </c>
      <c r="CF190" s="278"/>
      <c r="CG190" s="167" t="e">
        <f t="shared" ca="1" si="55"/>
        <v>#NAME?</v>
      </c>
      <c r="CH190" s="167" t="e">
        <f t="shared" ca="1" si="55"/>
        <v>#NAME?</v>
      </c>
      <c r="CI190" s="278"/>
      <c r="CJ190" s="167" t="e">
        <f t="shared" ca="1" si="55"/>
        <v>#NAME?</v>
      </c>
      <c r="CK190" s="167" t="e">
        <f t="shared" ca="1" si="55"/>
        <v>#NAME?</v>
      </c>
      <c r="CL190" s="88"/>
      <c r="CM190" s="1819" t="str">
        <f>$CM$19</f>
        <v>Original Budget</v>
      </c>
      <c r="CN190" s="1819" t="str">
        <f>$CN$19</f>
        <v>LE</v>
      </c>
      <c r="CO190" s="1205"/>
      <c r="CP190" s="1819" t="str">
        <f>$CP$19</f>
        <v>Original Budget</v>
      </c>
      <c r="CQ190" s="1819" t="str">
        <f>$CQ$19</f>
        <v>LE</v>
      </c>
      <c r="CR190" s="34"/>
    </row>
    <row r="191" spans="1:96" ht="21" customHeight="1" outlineLevel="1">
      <c r="A191" s="1322"/>
      <c r="B191" s="577"/>
      <c r="C191" s="577" t="s">
        <v>1630</v>
      </c>
      <c r="D191" s="577"/>
      <c r="E191" s="577" t="e" cm="1">
        <f t="array" ca="1" aca="1" ref="E191">IFBLANK(_xldudf_CX_GET(CX_ENTITY,fx_attrConverter(C191),val_asOfDate),PL!D191)</f>
        <v>#NAME?</v>
      </c>
      <c r="F191" s="577" t="e">
        <f ca="1">IF($B191&lt;&gt;"",$B191,$E191)</f>
        <v>#NAME?</v>
      </c>
      <c r="G191" s="577" t="s">
        <v>1631</v>
      </c>
      <c r="H191" s="3287">
        <v>2</v>
      </c>
      <c r="I191" s="3287">
        <v>1</v>
      </c>
      <c r="J191" s="30"/>
      <c r="K191" s="30"/>
      <c r="L191" s="578">
        <v>-1</v>
      </c>
      <c r="N191" s="158"/>
      <c r="O191" s="101"/>
      <c r="P191" s="52"/>
      <c r="Q191" s="101"/>
      <c r="R191" s="101"/>
      <c r="S191" s="101"/>
      <c r="T191" s="160"/>
      <c r="U191" s="39"/>
      <c r="W191" s="557" t="e">
        <f ca="1">W187</f>
        <v>#NAME?</v>
      </c>
      <c r="X191" s="900" t="e" vm="4" cm="1">
        <f t="array" ref="X191">fx_getIcon("select")</f>
        <v>#VALUE!</v>
      </c>
      <c r="Y191" s="1838" t="e" cm="1">
        <f t="array" ca="1" aca="1" ref="Y191">IFBLANK(_xldudf_CX_GET(CX_ENTITY,fx_attrConverter(C191),val_asOfDate),"Please select the metric for segmentation")</f>
        <v>#NAME?</v>
      </c>
      <c r="Z191" s="198" cm="1">
        <f t="array" ref="Z191">_xlfn.SWITCH(TRUE,ISBLANK(_PL!$L191),"",_PL!$L191=TRUE,1,_PL!$L191=FALSE,-1,_PL!$L191=-1,0,"n/a")</f>
        <v>0</v>
      </c>
      <c r="AA191" s="877"/>
      <c r="AB191" s="1133" t="str" cm="1">
        <f t="array" ca="1" aca="1" ref="AB191">IFERROR(_xlfn.XLOOKUP($Y191,$Y$41:$Y52,$AB$20:$AB$41),"")</f>
        <v/>
      </c>
      <c r="AC191" s="1163" t="str" cm="1">
        <f t="array" ca="1" aca="1" ref="AC191">_xlfn.LET(_xlpm.Def,IF(_xlfn.XMATCH(AB191,tbl_acctDef[Term],0)&gt;0,fx_getIcon("find"),""),_xlpm.Adj,IF(_xlfn.XMATCH(AB191,tbl_adjExample[Items],0)&gt;0,fx_getIcon("find"),""),IFERROR(IFBLANK(_xlpm.Def,_xlpm.Adj),""))</f>
        <v/>
      </c>
      <c r="AD191" s="1140" t="e" cm="1">
        <f t="array" ca="1" aca="1" ref="AD191">_xlfn.LET(_xlpm.val,IF($F191="",val_blankRefText,_xldudf_CX_GET(CX_ENTITY,$F191,AD$11,AD$14,,(AD$190))),_xlpm.Res,IF(OR(_xlpm.val="",_xlpm.val="Error"),"",_xlpm.val),_xlpm.Res)</f>
        <v>#NAME?</v>
      </c>
      <c r="AE191" s="1132" t="e" cm="1">
        <f t="array" ca="1" aca="1" ref="AE191">_xlfn.LET(_xlpm.val,IF($F191="",val_blankRefText,_xldudf_CX_GET(CX_ENTITY,$F191,AE$11,AE$14,,(AE$190))),_xlpm.Res,IF(OR(_xlpm.val="",_xlpm.val="Error"),"",_xlpm.val),_xlpm.Res)</f>
        <v>#NAME?</v>
      </c>
      <c r="AF191" s="910" t="e" cm="1">
        <f t="array" ca="1" aca="1" ref="AF191">_xlfn.LET(_xlpm.val,IF($F191="",val_blankRefText,_xldudf_CX_GET(CX_ENTITY,$F191,AF$11,AF$14,,(AF$190))),_xlpm.Res,IF(OR(_xlpm.val="",_xlpm.val="Error"),"",_xlpm.val),_xlpm.Res)</f>
        <v>#NAME?</v>
      </c>
      <c r="AG191" s="910" t="e" cm="1">
        <f t="array" ca="1" aca="1" ref="AG191">_xlfn.LET(_xlpm.val,IF($F191="",val_blankRefText,_xldudf_CX_GET(CX_ENTITY,$F191,AG$11,AG$14,,(AG$190))),_xlpm.Res,IF(OR(_xlpm.val="",_xlpm.val="Error"),"",_xlpm.val),_xlpm.Res)</f>
        <v>#NAME?</v>
      </c>
      <c r="AH191" s="910" t="e" cm="1">
        <f t="array" ca="1" aca="1" ref="AH191">_xlfn.LET(_xlpm.val,IF($F191="",val_blankRefText,_xldudf_CX_GET(CX_ENTITY,$F191,AH$11,AH$14,,(AH$190))),_xlpm.Res,IF(OR(_xlpm.val="",_xlpm.val="Error"),"",_xlpm.val),_xlpm.Res)</f>
        <v>#NAME?</v>
      </c>
      <c r="AI191" s="910" t="e" cm="1">
        <f t="array" ca="1" aca="1" ref="AI191">_xlfn.LET(_xlpm.val,IF($F191="",val_blankRefText,_xldudf_CX_GET(CX_ENTITY,$F191,AI$11,AI$14,,(AI$190))),_xlpm.Res,IF(OR(_xlpm.val="",_xlpm.val="Error"),"",_xlpm.val),_xlpm.Res)</f>
        <v>#NAME?</v>
      </c>
      <c r="AJ191" s="910" t="e" cm="1">
        <f t="array" ca="1" aca="1" ref="AJ191">_xlfn.LET(_xlpm.val,IF($F191="",val_blankRefText,_xldudf_CX_GET(CX_ENTITY,$F191,AJ$11,AJ$14,,(AJ$190))),_xlpm.Res,IF(OR(_xlpm.val="",_xlpm.val="Error"),"",_xlpm.val),_xlpm.Res)</f>
        <v>#NAME?</v>
      </c>
      <c r="AK191" s="910" t="e" cm="1">
        <f t="array" ca="1" aca="1" ref="AK191">_xlfn.LET(_xlpm.val,IF($F191="",val_blankRefText,_xldudf_CX_GET(CX_ENTITY,$F191,AK$11,AK$14,,(AK$190))),_xlpm.Res,IF(OR(_xlpm.val="",_xlpm.val="Error"),"",_xlpm.val),_xlpm.Res)</f>
        <v>#NAME?</v>
      </c>
      <c r="AL191" s="910" t="e" cm="1">
        <f t="array" ca="1" aca="1" ref="AL191">_xlfn.LET(_xlpm.val,IF($F191="",val_blankRefText,_xldudf_CX_GET(CX_ENTITY,$F191,AL$11,AL$14,,(AL$190))),_xlpm.Res,IF(OR(_xlpm.val="",_xlpm.val="Error"),"",_xlpm.val),_xlpm.Res)</f>
        <v>#NAME?</v>
      </c>
      <c r="AM191" s="910" t="e" cm="1">
        <f t="array" ca="1" aca="1" ref="AM191">_xlfn.LET(_xlpm.val,IF($F191="",val_blankRefText,_xldudf_CX_GET(CX_ENTITY,$F191,AM$11,AM$14,,(AM$190))),_xlpm.Res,IF(OR(_xlpm.val="",_xlpm.val="Error"),"",_xlpm.val),_xlpm.Res)</f>
        <v>#NAME?</v>
      </c>
      <c r="AN191" s="910" t="e" cm="1">
        <f t="array" ca="1" aca="1" ref="AN191">_xlfn.LET(_xlpm.val,IF($F191="",val_blankRefText,_xldudf_CX_GET(CX_ENTITY,$F191,AN$11,AN$14,,(AN$190))),_xlpm.Res,IF(OR(_xlpm.val="",_xlpm.val="Error"),"",_xlpm.val),_xlpm.Res)</f>
        <v>#NAME?</v>
      </c>
      <c r="AO191" s="910" t="e" cm="1">
        <f t="array" ca="1" aca="1" ref="AO191">_xlfn.LET(_xlpm.val,IF($F191="",val_blankRefText,_xldudf_CX_GET(CX_ENTITY,$F191,AO$11,AO$14,,(AO$190))),_xlpm.Res,IF(OR(_xlpm.val="",_xlpm.val="Error"),"",_xlpm.val),_xlpm.Res)</f>
        <v>#NAME?</v>
      </c>
      <c r="AP191" s="910" t="e" cm="1">
        <f t="array" ca="1" aca="1" ref="AP191">_xlfn.LET(_xlpm.val,IF($F191="",val_blankRefText,_xldudf_CX_GET(CX_ENTITY,$F191,AP$11,AP$14,,(AP$190))),_xlpm.Res,IF(OR(_xlpm.val="",_xlpm.val="Error"),"",_xlpm.val),_xlpm.Res)</f>
        <v>#NAME?</v>
      </c>
      <c r="AQ191" s="910" t="e" cm="1">
        <f t="array" ca="1" aca="1" ref="AQ191">_xlfn.LET(_xlpm.val,IF($F191="",val_blankRefText,_xldudf_CX_GET(CX_ENTITY,$F191,AQ$11,AQ$14,,(AQ$190))),_xlpm.Res,IF(OR(_xlpm.val="",_xlpm.val="Error"),"",_xlpm.val),_xlpm.Res)</f>
        <v>#NAME?</v>
      </c>
      <c r="AR191" s="910" t="e" cm="1">
        <f t="array" ca="1" aca="1" ref="AR191">_xlfn.LET(_xlpm.val,IF($F191="",val_blankRefText,_xldudf_CX_GET(CX_ENTITY,$F191,AR$11,AR$14,,(AR$190))),_xlpm.Res,IF(OR(_xlpm.val="",_xlpm.val="Error"),"",_xlpm.val),_xlpm.Res)</f>
        <v>#NAME?</v>
      </c>
      <c r="AS191" s="910" t="e" cm="1">
        <f t="array" ca="1" aca="1" ref="AS191">_xlfn.LET(_xlpm.val,IF($F191="",val_blankRefText,_xldudf_CX_GET(CX_ENTITY,$F191,AS$11,AS$14,,(AS$190))),_xlpm.Res,IF(OR(_xlpm.val="",_xlpm.val="Error"),"",_xlpm.val),_xlpm.Res)</f>
        <v>#NAME?</v>
      </c>
      <c r="AT191" s="910" t="e" cm="1">
        <f t="array" ca="1" aca="1" ref="AT191">_xlfn.LET(_xlpm.val,IF($F191="",val_blankRefText,_xldudf_CX_GET(CX_ENTITY,$F191,AT$11,AT$14,,(AT$190))),_xlpm.Res,IF(OR(_xlpm.val="",_xlpm.val="Error"),"",_xlpm.val),_xlpm.Res)</f>
        <v>#NAME?</v>
      </c>
      <c r="AU191" s="910" t="e" cm="1">
        <f t="array" ca="1" aca="1" ref="AU191">_xlfn.LET(_xlpm.val,IF($F191="",val_blankRefText,_xldudf_CX_GET(CX_ENTITY,$F191,AU$11,AU$14,,(AU$190))),_xlpm.Res,IF(OR(_xlpm.val="",_xlpm.val="Error"),"",_xlpm.val),_xlpm.Res)</f>
        <v>#NAME?</v>
      </c>
      <c r="AV191" s="910" t="e" cm="1">
        <f t="array" ca="1" aca="1" ref="AV191">_xlfn.LET(_xlpm.val,IF($F191="",val_blankRefText,_xldudf_CX_GET(CX_ENTITY,$F191,AV$11,AV$14,,(AV$190))),_xlpm.Res,IF(OR(_xlpm.val="",_xlpm.val="Error"),"",_xlpm.val),_xlpm.Res)</f>
        <v>#NAME?</v>
      </c>
      <c r="AW191" s="910" t="e" cm="1">
        <f t="array" ca="1" aca="1" ref="AW191">_xlfn.LET(_xlpm.val,IF($F191="",val_blankRefText,_xldudf_CX_GET(CX_ENTITY,$F191,AW$11,AW$14,,(AW$190))),_xlpm.Res,IF(OR(_xlpm.val="",_xlpm.val="Error"),"",_xlpm.val),_xlpm.Res)</f>
        <v>#NAME?</v>
      </c>
      <c r="AX191" s="910" t="e" cm="1">
        <f t="array" ca="1" aca="1" ref="AX191">_xlfn.LET(_xlpm.val,IF($F191="",val_blankRefText,_xldudf_CX_GET(CX_ENTITY,$F191,AX$11,AX$14,,(AX$190))),_xlpm.Res,IF(OR(_xlpm.val="",_xlpm.val="Error"),"",_xlpm.val),_xlpm.Res)</f>
        <v>#NAME?</v>
      </c>
      <c r="AY191" s="910" t="e" cm="1">
        <f t="array" ca="1" aca="1" ref="AY191">_xlfn.LET(_xlpm.val,IF($F191="",val_blankRefText,_xldudf_CX_GET(CX_ENTITY,$F191,AY$11,AY$14,,(AY$190))),_xlpm.Res,IF(OR(_xlpm.val="",_xlpm.val="Error"),"",_xlpm.val),_xlpm.Res)</f>
        <v>#NAME?</v>
      </c>
      <c r="AZ191" s="910" t="e" cm="1">
        <f t="array" ca="1" aca="1" ref="AZ191">_xlfn.LET(_xlpm.val,IF($F191="",val_blankRefText,_xldudf_CX_GET(CX_ENTITY,$F191,AZ$11,AZ$14,,(AZ$190))),_xlpm.Res,IF(OR(_xlpm.val="",_xlpm.val="Error"),"",_xlpm.val),_xlpm.Res)</f>
        <v>#NAME?</v>
      </c>
      <c r="BA191" s="910" t="e" cm="1">
        <f t="array" ca="1" aca="1" ref="BA191">_xlfn.LET(_xlpm.val,IF($F191="",val_blankRefText,_xldudf_CX_GET(CX_ENTITY,$F191,BA$11,BA$14,,(BA$190))),_xlpm.Res,IF(OR(_xlpm.val="",_xlpm.val="Error"),"",_xlpm.val),_xlpm.Res)</f>
        <v>#NAME?</v>
      </c>
      <c r="BB191" s="910" t="e" cm="1">
        <f t="array" ca="1" aca="1" ref="BB191">_xlfn.LET(_xlpm.val,IF($F191="",val_blankRefText,_xldudf_CX_GET(CX_ENTITY,$F191,BB$11,BB$14,,(BB$190))),_xlpm.Res,IF(OR(_xlpm.val="",_xlpm.val="Error"),"",_xlpm.val),_xlpm.Res)</f>
        <v>#NAME?</v>
      </c>
      <c r="BC191" s="910" t="e" cm="1">
        <f t="array" ca="1" aca="1" ref="BC191">_xlfn.LET(_xlpm.val,IF($F191="",val_blankRefText,_xldudf_CX_GET(CX_ENTITY,$F191,BC$11,BC$14,,(BC$190))),_xlpm.Res,IF(OR(_xlpm.val="",_xlpm.val="Error"),"",_xlpm.val),_xlpm.Res)</f>
        <v>#NAME?</v>
      </c>
      <c r="BD191" s="910" t="e" cm="1">
        <f t="array" ca="1" aca="1" ref="BD191">_xlfn.LET(_xlpm.val,IF($F191="",val_blankRefText,_xldudf_CX_GET(CX_ENTITY,$F191,BD$11,BD$14,,(BD$190))),_xlpm.Res,IF(OR(_xlpm.val="",_xlpm.val="Error"),"",_xlpm.val),_xlpm.Res)</f>
        <v>#NAME?</v>
      </c>
      <c r="BE191" s="910" t="e" cm="1">
        <f t="array" ca="1" aca="1" ref="BE191">_xlfn.LET(_xlpm.val,IF($F191="",val_blankRefText,_xldudf_CX_GET(CX_ENTITY,$F191,BE$11,BE$14,,(BE$190))),_xlpm.Res,IF(OR(_xlpm.val="",_xlpm.val="Error"),"",_xlpm.val),_xlpm.Res)</f>
        <v>#NAME?</v>
      </c>
      <c r="BF191" s="910" t="e" cm="1">
        <f t="array" ca="1" aca="1" ref="BF191">_xlfn.LET(_xlpm.val,IF($F191="",val_blankRefText,_xldudf_CX_GET(CX_ENTITY,$F191,BF$11,BF$14,,(BF$190))),_xlpm.Res,IF(OR(_xlpm.val="",_xlpm.val="Error"),"",_xlpm.val),_xlpm.Res)</f>
        <v>#NAME?</v>
      </c>
      <c r="BG191" s="910" t="e" cm="1">
        <f t="array" ca="1" aca="1" ref="BG191">_xlfn.LET(_xlpm.val,IF($F191="",val_blankRefText,_xldudf_CX_GET(CX_ENTITY,$F191,BG$11,BG$14,,(BG$190))),_xlpm.Res,IF(OR(_xlpm.val="",_xlpm.val="Error"),"",_xlpm.val),_xlpm.Res)</f>
        <v>#NAME?</v>
      </c>
      <c r="BH191" s="910" t="e" cm="1">
        <f t="array" ca="1" aca="1" ref="BH191">_xlfn.LET(_xlpm.val,IF($F191="",val_blankRefText,_xldudf_CX_GET(CX_ENTITY,$F191,BH$11,BH$14,,(BH$190))),_xlpm.Res,IF(OR(_xlpm.val="",_xlpm.val="Error"),"",_xlpm.val),_xlpm.Res)</f>
        <v>#NAME?</v>
      </c>
      <c r="BI191" s="910" t="e" cm="1">
        <f t="array" ca="1" aca="1" ref="BI191">_xlfn.LET(_xlpm.val,IF($F191="",val_blankRefText,_xldudf_CX_GET(CX_ENTITY,$F191,BI$11,BI$14,,(BI$190))),_xlpm.Res,IF(OR(_xlpm.val="",_xlpm.val="Error"),"",_xlpm.val),_xlpm.Res)</f>
        <v>#NAME?</v>
      </c>
      <c r="BJ191" s="910" t="e" cm="1">
        <f t="array" ca="1" aca="1" ref="BJ191">_xlfn.LET(_xlpm.val,IF($F191="",val_blankRefText,_xldudf_CX_GET(CX_ENTITY,$F191,BJ$11,BJ$14,,(BJ$190))),_xlpm.Res,IF(OR(_xlpm.val="",_xlpm.val="Error"),"",_xlpm.val),_xlpm.Res)</f>
        <v>#NAME?</v>
      </c>
      <c r="BK191" s="910" t="e" cm="1">
        <f t="array" ca="1" aca="1" ref="BK191">_xlfn.LET(_xlpm.val,IF($F191="",val_blankRefText,_xldudf_CX_GET(CX_ENTITY,$F191,BK$11,BK$14,,(BK$190))),_xlpm.Res,IF(OR(_xlpm.val="",_xlpm.val="Error"),"",_xlpm.val),_xlpm.Res)</f>
        <v>#NAME?</v>
      </c>
      <c r="BL191" s="910" t="e" cm="1">
        <f t="array" ca="1" aca="1" ref="BL191">_xlfn.LET(_xlpm.val,IF($F191="",val_blankRefText,_xldudf_CX_GET(CX_ENTITY,$F191,BL$11,BL$14,,(BL$190))),_xlpm.Res,IF(OR(_xlpm.val="",_xlpm.val="Error"),"",_xlpm.val),_xlpm.Res)</f>
        <v>#NAME?</v>
      </c>
      <c r="BM191" s="910" t="e" cm="1">
        <f t="array" ca="1" aca="1" ref="BM191">_xlfn.LET(_xlpm.val,IF($F191="",val_blankRefText,_xldudf_CX_GET(CX_ENTITY,$F191,BM$11,BM$14,,(BM$190))),_xlpm.Res,IF(OR(_xlpm.val="",_xlpm.val="Error"),"",_xlpm.val),_xlpm.Res)</f>
        <v>#NAME?</v>
      </c>
      <c r="BN191" s="910" t="e" cm="1">
        <f t="array" ca="1" aca="1" ref="BN191">_xlfn.LET(_xlpm.val,IF($F191="",val_blankRefText,_xldudf_CX_GET(CX_ENTITY,$F191,BN$11,BN$14,,(BN$190))),_xlpm.Res,IF(OR(_xlpm.val="",_xlpm.val="Error"),"",_xlpm.val),_xlpm.Res)</f>
        <v>#NAME?</v>
      </c>
      <c r="BO191" s="2107"/>
      <c r="BP191" s="2107"/>
      <c r="BQ191" s="2107"/>
      <c r="BR191" s="2107"/>
      <c r="BS191" s="2107"/>
      <c r="BT191" s="2107"/>
      <c r="BU191" s="2107"/>
      <c r="BV191" s="2107"/>
      <c r="BW191" s="2107"/>
      <c r="BX191" s="2107"/>
      <c r="BY191" s="2107"/>
      <c r="BZ191" s="2107"/>
      <c r="CA191" s="34"/>
      <c r="CC191" s="33"/>
      <c r="CD191" s="1461" t="e" cm="1">
        <f t="array" ca="1" aca="1" ref="CD191">_xlfn.LET(_xlpm.CheckBlank,SUM(PL!$AD191:$BN191)=0,IF(_xlpm.CheckBlank,"",SUM(_xlfn._xlws.FILTER(PL!$AD191:$BN191,(YEAR(PL!$AD$12:$BN$12)=PL!CD$12)*(array_timeline&lt;=PL!CD$11)))))</f>
        <v>#NAME?</v>
      </c>
      <c r="CE191" s="1461" t="e" cm="1">
        <f t="array" ca="1" aca="1" ref="CE191">_xlfn.LET(_xlpm.CheckBlank,SUM(PL!$AD191:$BN191)=0,IF(_xlpm.CheckBlank,"",SUM(_xlfn._xlws.FILTER(PL!$AD191:$BN191,(YEAR(PL!$AD$12:$BN$12)=PL!CE$12)*(array_timeline&lt;=PL!CE$11)))))</f>
        <v>#NAME?</v>
      </c>
      <c r="CF191" s="88"/>
      <c r="CG191" s="1461" t="e" cm="1">
        <f t="array" ca="1" aca="1" ref="CG191">_xlfn.LET(_xlpm.CheckBlank,SUM(PL!$AD191:$BN191)=0,IF(_xlpm.CheckBlank,"",SUM(_xlfn._xlws.FILTER(PL!$AD191:$BN191,(YEAR(PL!$AD$12:$BN$12)=PL!CG$12)*(array_timeline&lt;=PL!CG$11)))))</f>
        <v>#NAME?</v>
      </c>
      <c r="CH191" s="1461" t="e" cm="1">
        <f t="array" ca="1" aca="1" ref="CH191">_xlfn.LET(_xlpm.CheckBlank,SUM(PL!$AD191:$BN191)=0,IF(_xlpm.CheckBlank,"",SUM(_xlfn._xlws.FILTER(PL!$AD191:$BN191,(YEAR(PL!$AD$12:$BN$12)=PL!CH$12)*(array_timeline&lt;=PL!CH$11)))))</f>
        <v>#NAME?</v>
      </c>
      <c r="CI191" s="88"/>
      <c r="CJ191" s="1461" t="e" cm="1">
        <f t="array" ca="1" aca="1" ref="CJ191">_xlfn.LET(_xlpm.CheckBlank,SUM(PL!$AD191:$BN191)=0,IF(_xlpm.CheckBlank,"",SUM(_xlfn.TAKE(_xlfn.DROP(PL!$AD191:$BN191,,-DATEDIFF(PL!CJ$11,val_asOfDate,"M")),1,-12))))</f>
        <v>#NAME?</v>
      </c>
      <c r="CK191" s="1461" t="e" cm="1">
        <f t="array" ca="1" aca="1" ref="CK191">_xlfn.LET(_xlpm.CheckBlank,SUM(PL!$AD191:$BN191)=0,IF(_xlpm.CheckBlank,"",SUM(_xlfn.TAKE(_xlfn.DROP(PL!$AD191:$BN191,,-DATEDIFF(PL!CK$11,val_asOfDate,"M")),1,-12))))</f>
        <v>#NAME?</v>
      </c>
      <c r="CL191" s="88"/>
      <c r="CM191" s="1142" t="str" cm="1">
        <f t="array" ca="1" aca="1" ref="CM191">_xlfn.LET(_xlpm.findRow,_xlfn.XMATCH($W191&amp;$Y191,$W$20:$W$118&amp;$AB$20:$AB$118,0),_xlpm.Choose,_xlfn.CHOOSEROWS($CM$20:$CN$118,_xlpm.findRow),_xlpm.RESULT,IF(ISERROR(_xlpm.findRow),"",_xlpm.Choose),_xlpm.RESULT)</f>
        <v/>
      </c>
      <c r="CN191" s="1142"/>
      <c r="CO191" s="88"/>
      <c r="CP191" s="1142" t="str" cm="1">
        <f t="array" ca="1" aca="1" ref="CP191">_xlfn.LET(_xlpm.findRow,_xlfn.XMATCH($W191&amp;$Y191,$W$20:$W$118&amp;$AB$20:$AB$118,0),_xlpm.Choose,_xlfn.CHOOSEROWS($CP$20:$CQ$118,_xlpm.findRow),_xlpm.RESULT,IF(ISERROR(_xlpm.findRow),"",_xlpm.Choose),_xlpm.RESULT)</f>
        <v/>
      </c>
      <c r="CQ191" s="1142"/>
      <c r="CR191" s="34"/>
    </row>
    <row r="192" spans="1:96" ht="21" customHeight="1" outlineLevel="1">
      <c r="A192" s="1322"/>
      <c r="B192" s="577" t="s">
        <v>161</v>
      </c>
      <c r="C192" s="577" t="s">
        <v>1632</v>
      </c>
      <c r="D192" s="577"/>
      <c r="E192" s="577" t="e" cm="1">
        <f t="array" ca="1" aca="1" ref="E192">_xlfn.LET(_xlpm.Attr,$C192,_xlpm.Lookback,$E$16,_xlpm.QueryDate,EOMONTH(val_asOfDate,_xlpm.Lookback),_xlpm.ReadField,_xldudf_CX_GET(CX_ENTITY,fx_attrConverter($C192),_xlpm.QueryDate),_xlpm.AttrBlank,_xlpm.Attr="",_xlpm.RESULT,IF(_xlpm.AttrBlank,val_blankRefText,fx_attrConverter(_xlpm.ReadField,0)),IF(_xlpm.RESULT="Error","",_xlpm.RESULT))</f>
        <v>#NAME?</v>
      </c>
      <c r="F192" s="577" t="str">
        <f t="shared" si="56" ref="F192:F198">IF($B192&lt;&gt;"",$B192,$E192)</f>
        <v>Segment I Breakdown - Amount 1</v>
      </c>
      <c r="G192" s="577" t="s">
        <v>1631</v>
      </c>
      <c r="H192" s="510">
        <v>0</v>
      </c>
      <c r="I192" s="3278">
        <v>1</v>
      </c>
      <c r="J192" s="30"/>
      <c r="K192" s="30"/>
      <c r="L192" s="579" t="b">
        <v>0</v>
      </c>
      <c r="N192" s="158"/>
      <c r="O192" s="101"/>
      <c r="P192" s="52"/>
      <c r="Q192" s="101"/>
      <c r="R192" s="101"/>
      <c r="S192" s="101"/>
      <c r="T192" s="101"/>
      <c r="U192" s="39"/>
      <c r="W192" s="554" t="e">
        <f ca="1">W187</f>
        <v>#NAME?</v>
      </c>
      <c r="X192" s="884" t="s">
        <v>62</v>
      </c>
      <c r="Y192" s="1554" t="e" cm="1">
        <f t="array" ca="1" aca="1" ref="Y192">IF($B192="",IFBLANK($E192,"Please select or type in or leave as blank"),IFBLANK($E192,$B192))</f>
        <v>#NAME?</v>
      </c>
      <c r="Z192" s="198" cm="1">
        <f t="array" ref="Z192">_xlfn.SWITCH(TRUE,ISBLANK(_PL!$L192),"",_PL!$L192=TRUE,1,_PL!$L192=FALSE,-1,_PL!$L192=-1,0,"n/a")</f>
        <v>-1</v>
      </c>
      <c r="AA192" s="905"/>
      <c r="AB192" s="591"/>
      <c r="AC192" s="914" t="str" cm="1">
        <f t="array" ref="AC192">_xlfn.LET(_xlpm.Def,IF(_xlfn.XMATCH(AB192,tbl_acctDef[Term],0)&gt;0,fx_getIcon("find"),""),_xlpm.Adj,IF(_xlfn.XMATCH(AB192,tbl_adjExample[Items],0)&gt;0,fx_getIcon("find"),""),IFERROR(IFBLANK(_xlpm.Def,_xlpm.Adj),""))</f>
        <v/>
      </c>
      <c r="AD192" s="1986" t="e" cm="1">
        <f t="array" ca="1" aca="1" ref="AD192">_xlfn.LET(_xlpm.val,IF($F192="",val_blankRefText,_xldudf_CX_GET(CX_ENTITY,$F192,AD$11,AD$14,,(AD$190))),_xlpm.Res,IF(OR(_xlpm.val="",_xlpm.val="Error"),"",_xlpm.val),_xlpm.Res)</f>
        <v>#NAME?</v>
      </c>
      <c r="AE192" s="1986" t="e" cm="1">
        <f t="array" ca="1" aca="1" ref="AE192">_xlfn.LET(_xlpm.val,IF($F192="",val_blankRefText,_xldudf_CX_GET(CX_ENTITY,$F192,AE$11,AE$14,,(AE$190))),_xlpm.Res,IF(OR(_xlpm.val="",_xlpm.val="Error"),"",_xlpm.val),_xlpm.Res)</f>
        <v>#NAME?</v>
      </c>
      <c r="AF192" s="1986" t="e" cm="1">
        <f t="array" ca="1" aca="1" ref="AF192">_xlfn.LET(_xlpm.val,IF($F192="",val_blankRefText,_xldudf_CX_GET(CX_ENTITY,$F192,AF$11,AF$14,,(AF$190))),_xlpm.Res,IF(OR(_xlpm.val="",_xlpm.val="Error"),"",_xlpm.val),_xlpm.Res)</f>
        <v>#NAME?</v>
      </c>
      <c r="AG192" s="1986" t="e" cm="1">
        <f t="array" ca="1" aca="1" ref="AG192">_xlfn.LET(_xlpm.val,IF($F192="",val_blankRefText,_xldudf_CX_GET(CX_ENTITY,$F192,AG$11,AG$14,,(AG$190))),_xlpm.Res,IF(OR(_xlpm.val="",_xlpm.val="Error"),"",_xlpm.val),_xlpm.Res)</f>
        <v>#NAME?</v>
      </c>
      <c r="AH192" s="1986" t="e" cm="1">
        <f t="array" ca="1" aca="1" ref="AH192">_xlfn.LET(_xlpm.val,IF($F192="",val_blankRefText,_xldudf_CX_GET(CX_ENTITY,$F192,AH$11,AH$14,,(AH$190))),_xlpm.Res,IF(OR(_xlpm.val="",_xlpm.val="Error"),"",_xlpm.val),_xlpm.Res)</f>
        <v>#NAME?</v>
      </c>
      <c r="AI192" s="1986" t="e" cm="1">
        <f t="array" ca="1" aca="1" ref="AI192">_xlfn.LET(_xlpm.val,IF($F192="",val_blankRefText,_xldudf_CX_GET(CX_ENTITY,$F192,AI$11,AI$14,,(AI$190))),_xlpm.Res,IF(OR(_xlpm.val="",_xlpm.val="Error"),"",_xlpm.val),_xlpm.Res)</f>
        <v>#NAME?</v>
      </c>
      <c r="AJ192" s="1986" t="e" cm="1">
        <f t="array" ca="1" aca="1" ref="AJ192">_xlfn.LET(_xlpm.val,IF($F192="",val_blankRefText,_xldudf_CX_GET(CX_ENTITY,$F192,AJ$11,AJ$14,,(AJ$190))),_xlpm.Res,IF(OR(_xlpm.val="",_xlpm.val="Error"),"",_xlpm.val),_xlpm.Res)</f>
        <v>#NAME?</v>
      </c>
      <c r="AK192" s="1986" t="e" cm="1">
        <f t="array" ca="1" aca="1" ref="AK192">_xlfn.LET(_xlpm.val,IF($F192="",val_blankRefText,_xldudf_CX_GET(CX_ENTITY,$F192,AK$11,AK$14,,(AK$190))),_xlpm.Res,IF(OR(_xlpm.val="",_xlpm.val="Error"),"",_xlpm.val),_xlpm.Res)</f>
        <v>#NAME?</v>
      </c>
      <c r="AL192" s="1986" t="e" cm="1">
        <f t="array" ca="1" aca="1" ref="AL192">_xlfn.LET(_xlpm.val,IF($F192="",val_blankRefText,_xldudf_CX_GET(CX_ENTITY,$F192,AL$11,AL$14,,(AL$190))),_xlpm.Res,IF(OR(_xlpm.val="",_xlpm.val="Error"),"",_xlpm.val),_xlpm.Res)</f>
        <v>#NAME?</v>
      </c>
      <c r="AM192" s="1986" t="e" cm="1">
        <f t="array" ca="1" aca="1" ref="AM192">_xlfn.LET(_xlpm.val,IF($F192="",val_blankRefText,_xldudf_CX_GET(CX_ENTITY,$F192,AM$11,AM$14,,(AM$190))),_xlpm.Res,IF(OR(_xlpm.val="",_xlpm.val="Error"),"",_xlpm.val),_xlpm.Res)</f>
        <v>#NAME?</v>
      </c>
      <c r="AN192" s="1986" t="e" cm="1">
        <f t="array" ca="1" aca="1" ref="AN192">_xlfn.LET(_xlpm.val,IF($F192="",val_blankRefText,_xldudf_CX_GET(CX_ENTITY,$F192,AN$11,AN$14,,(AN$190))),_xlpm.Res,IF(OR(_xlpm.val="",_xlpm.val="Error"),"",_xlpm.val),_xlpm.Res)</f>
        <v>#NAME?</v>
      </c>
      <c r="AO192" s="1986" t="e" cm="1">
        <f t="array" ca="1" aca="1" ref="AO192">_xlfn.LET(_xlpm.val,IF($F192="",val_blankRefText,_xldudf_CX_GET(CX_ENTITY,$F192,AO$11,AO$14,,(AO$190))),_xlpm.Res,IF(OR(_xlpm.val="",_xlpm.val="Error"),"",_xlpm.val),_xlpm.Res)</f>
        <v>#NAME?</v>
      </c>
      <c r="AP192" s="1986" t="e" cm="1">
        <f t="array" ca="1" aca="1" ref="AP192">_xlfn.LET(_xlpm.val,IF($F192="",val_blankRefText,_xldudf_CX_GET(CX_ENTITY,$F192,AP$11,AP$14,,(AP$190))),_xlpm.Res,IF(OR(_xlpm.val="",_xlpm.val="Error"),"",_xlpm.val),_xlpm.Res)</f>
        <v>#NAME?</v>
      </c>
      <c r="AQ192" s="1986" t="e" cm="1">
        <f t="array" ca="1" aca="1" ref="AQ192">_xlfn.LET(_xlpm.val,IF($F192="",val_blankRefText,_xldudf_CX_GET(CX_ENTITY,$F192,AQ$11,AQ$14,,(AQ$190))),_xlpm.Res,IF(OR(_xlpm.val="",_xlpm.val="Error"),"",_xlpm.val),_xlpm.Res)</f>
        <v>#NAME?</v>
      </c>
      <c r="AR192" s="1986" t="e" cm="1">
        <f t="array" ca="1" aca="1" ref="AR192">_xlfn.LET(_xlpm.val,IF($F192="",val_blankRefText,_xldudf_CX_GET(CX_ENTITY,$F192,AR$11,AR$14,,(AR$190))),_xlpm.Res,IF(OR(_xlpm.val="",_xlpm.val="Error"),"",_xlpm.val),_xlpm.Res)</f>
        <v>#NAME?</v>
      </c>
      <c r="AS192" s="1986" t="e" cm="1">
        <f t="array" ca="1" aca="1" ref="AS192">_xlfn.LET(_xlpm.val,IF($F192="",val_blankRefText,_xldudf_CX_GET(CX_ENTITY,$F192,AS$11,AS$14,,(AS$190))),_xlpm.Res,IF(OR(_xlpm.val="",_xlpm.val="Error"),"",_xlpm.val),_xlpm.Res)</f>
        <v>#NAME?</v>
      </c>
      <c r="AT192" s="1986" t="e" cm="1">
        <f t="array" ca="1" aca="1" ref="AT192">_xlfn.LET(_xlpm.val,IF($F192="",val_blankRefText,_xldudf_CX_GET(CX_ENTITY,$F192,AT$11,AT$14,,(AT$190))),_xlpm.Res,IF(OR(_xlpm.val="",_xlpm.val="Error"),"",_xlpm.val),_xlpm.Res)</f>
        <v>#NAME?</v>
      </c>
      <c r="AU192" s="1986" t="e" cm="1">
        <f t="array" ca="1" aca="1" ref="AU192">_xlfn.LET(_xlpm.val,IF($F192="",val_blankRefText,_xldudf_CX_GET(CX_ENTITY,$F192,AU$11,AU$14,,(AU$190))),_xlpm.Res,IF(OR(_xlpm.val="",_xlpm.val="Error"),"",_xlpm.val),_xlpm.Res)</f>
        <v>#NAME?</v>
      </c>
      <c r="AV192" s="1986" t="e" cm="1">
        <f t="array" ca="1" aca="1" ref="AV192">_xlfn.LET(_xlpm.val,IF($F192="",val_blankRefText,_xldudf_CX_GET(CX_ENTITY,$F192,AV$11,AV$14,,(AV$190))),_xlpm.Res,IF(OR(_xlpm.val="",_xlpm.val="Error"),"",_xlpm.val),_xlpm.Res)</f>
        <v>#NAME?</v>
      </c>
      <c r="AW192" s="1986" t="e" cm="1">
        <f t="array" ca="1" aca="1" ref="AW192">_xlfn.LET(_xlpm.val,IF($F192="",val_blankRefText,_xldudf_CX_GET(CX_ENTITY,$F192,AW$11,AW$14,,(AW$190))),_xlpm.Res,IF(OR(_xlpm.val="",_xlpm.val="Error"),"",_xlpm.val),_xlpm.Res)</f>
        <v>#NAME?</v>
      </c>
      <c r="AX192" s="1986" t="e" cm="1">
        <f t="array" ca="1" aca="1" ref="AX192">_xlfn.LET(_xlpm.val,IF($F192="",val_blankRefText,_xldudf_CX_GET(CX_ENTITY,$F192,AX$11,AX$14,,(AX$190))),_xlpm.Res,IF(OR(_xlpm.val="",_xlpm.val="Error"),"",_xlpm.val),_xlpm.Res)</f>
        <v>#NAME?</v>
      </c>
      <c r="AY192" s="1986" t="e" cm="1">
        <f t="array" ca="1" aca="1" ref="AY192">_xlfn.LET(_xlpm.val,IF($F192="",val_blankRefText,_xldudf_CX_GET(CX_ENTITY,$F192,AY$11,AY$14,,(AY$190))),_xlpm.Res,IF(OR(_xlpm.val="",_xlpm.val="Error"),"",_xlpm.val),_xlpm.Res)</f>
        <v>#NAME?</v>
      </c>
      <c r="AZ192" s="1986" t="e" cm="1">
        <f t="array" ca="1" aca="1" ref="AZ192">_xlfn.LET(_xlpm.val,IF($F192="",val_blankRefText,_xldudf_CX_GET(CX_ENTITY,$F192,AZ$11,AZ$14,,(AZ$190))),_xlpm.Res,IF(OR(_xlpm.val="",_xlpm.val="Error"),"",_xlpm.val),_xlpm.Res)</f>
        <v>#NAME?</v>
      </c>
      <c r="BA192" s="1986" t="e" cm="1">
        <f t="array" ca="1" aca="1" ref="BA192">_xlfn.LET(_xlpm.val,IF($F192="",val_blankRefText,_xldudf_CX_GET(CX_ENTITY,$F192,BA$11,BA$14,,(BA$190))),_xlpm.Res,IF(OR(_xlpm.val="",_xlpm.val="Error"),"",_xlpm.val),_xlpm.Res)</f>
        <v>#NAME?</v>
      </c>
      <c r="BB192" s="1986" t="e" cm="1">
        <f t="array" ca="1" aca="1" ref="BB192">_xlfn.LET(_xlpm.val,IF($F192="",val_blankRefText,_xldudf_CX_GET(CX_ENTITY,$F192,BB$11,BB$14,,(BB$190))),_xlpm.Res,IF(OR(_xlpm.val="",_xlpm.val="Error"),"",_xlpm.val),_xlpm.Res)</f>
        <v>#NAME?</v>
      </c>
      <c r="BC192" s="1986" t="e" cm="1">
        <f t="array" ca="1" aca="1" ref="BC192">_xlfn.LET(_xlpm.val,IF($F192="",val_blankRefText,_xldudf_CX_GET(CX_ENTITY,$F192,BC$11,BC$14,,(BC$190))),_xlpm.Res,IF(OR(_xlpm.val="",_xlpm.val="Error"),"",_xlpm.val),_xlpm.Res)</f>
        <v>#NAME?</v>
      </c>
      <c r="BD192" s="1986" t="e" cm="1">
        <f t="array" ca="1" aca="1" ref="BD192">_xlfn.LET(_xlpm.val,IF($F192="",val_blankRefText,_xldudf_CX_GET(CX_ENTITY,$F192,BD$11,BD$14,,(BD$190))),_xlpm.Res,IF(OR(_xlpm.val="",_xlpm.val="Error"),"",_xlpm.val),_xlpm.Res)</f>
        <v>#NAME?</v>
      </c>
      <c r="BE192" s="1986" t="e" cm="1">
        <f t="array" ca="1" aca="1" ref="BE192">_xlfn.LET(_xlpm.val,IF($F192="",val_blankRefText,_xldudf_CX_GET(CX_ENTITY,$F192,BE$11,BE$14,,(BE$190))),_xlpm.Res,IF(OR(_xlpm.val="",_xlpm.val="Error"),"",_xlpm.val),_xlpm.Res)</f>
        <v>#NAME?</v>
      </c>
      <c r="BF192" s="1986" t="e" cm="1">
        <f t="array" ca="1" aca="1" ref="BF192">_xlfn.LET(_xlpm.val,IF($F192="",val_blankRefText,_xldudf_CX_GET(CX_ENTITY,$F192,BF$11,BF$14,,(BF$190))),_xlpm.Res,IF(OR(_xlpm.val="",_xlpm.val="Error"),"",_xlpm.val),_xlpm.Res)</f>
        <v>#NAME?</v>
      </c>
      <c r="BG192" s="1986" t="e" cm="1">
        <f t="array" ca="1" aca="1" ref="BG192">_xlfn.LET(_xlpm.val,IF($F192="",val_blankRefText,_xldudf_CX_GET(CX_ENTITY,$F192,BG$11,BG$14,,(BG$190))),_xlpm.Res,IF(OR(_xlpm.val="",_xlpm.val="Error"),"",_xlpm.val),_xlpm.Res)</f>
        <v>#NAME?</v>
      </c>
      <c r="BH192" s="1986" t="e" cm="1">
        <f t="array" ca="1" aca="1" ref="BH192">_xlfn.LET(_xlpm.val,IF($F192="",val_blankRefText,_xldudf_CX_GET(CX_ENTITY,$F192,BH$11,BH$14,,(BH$190))),_xlpm.Res,IF(OR(_xlpm.val="",_xlpm.val="Error"),"",_xlpm.val),_xlpm.Res)</f>
        <v>#NAME?</v>
      </c>
      <c r="BI192" s="1986" t="e" cm="1">
        <f t="array" ca="1" aca="1" ref="BI192">_xlfn.LET(_xlpm.val,IF($F192="",val_blankRefText,_xldudf_CX_GET(CX_ENTITY,$F192,BI$11,BI$14,,(BI$190))),_xlpm.Res,IF(OR(_xlpm.val="",_xlpm.val="Error"),"",_xlpm.val),_xlpm.Res)</f>
        <v>#NAME?</v>
      </c>
      <c r="BJ192" s="1986" t="e" cm="1">
        <f t="array" ca="1" aca="1" ref="BJ192">_xlfn.LET(_xlpm.val,IF($F192="",val_blankRefText,_xldudf_CX_GET(CX_ENTITY,$F192,BJ$11,BJ$14,,(BJ$190))),_xlpm.Res,IF(OR(_xlpm.val="",_xlpm.val="Error"),"",_xlpm.val),_xlpm.Res)</f>
        <v>#NAME?</v>
      </c>
      <c r="BK192" s="1986" t="e" cm="1">
        <f t="array" ca="1" aca="1" ref="BK192">_xlfn.LET(_xlpm.val,IF($F192="",val_blankRefText,_xldudf_CX_GET(CX_ENTITY,$F192,BK$11,BK$14,,(BK$190))),_xlpm.Res,IF(OR(_xlpm.val="",_xlpm.val="Error"),"",_xlpm.val),_xlpm.Res)</f>
        <v>#NAME?</v>
      </c>
      <c r="BL192" s="1986" t="e" cm="1">
        <f t="array" ca="1" aca="1" ref="BL192">_xlfn.LET(_xlpm.val,IF($F192="",val_blankRefText,_xldudf_CX_GET(CX_ENTITY,$F192,BL$11,BL$14,,(BL$190))),_xlpm.Res,IF(OR(_xlpm.val="",_xlpm.val="Error"),"",_xlpm.val),_xlpm.Res)</f>
        <v>#NAME?</v>
      </c>
      <c r="BM192" s="1986" t="e" cm="1">
        <f t="array" ca="1" aca="1" ref="BM192">_xlfn.LET(_xlpm.val,IF($F192="",val_blankRefText,_xldudf_CX_GET(CX_ENTITY,$F192,BM$11,BM$14,,(BM$190))),_xlpm.Res,IF(OR(_xlpm.val="",_xlpm.val="Error"),"",_xlpm.val),_xlpm.Res)</f>
        <v>#NAME?</v>
      </c>
      <c r="BN192" s="1986" t="e" cm="1">
        <f t="array" ca="1" aca="1" ref="BN192">_xlfn.LET(_xlpm.val,IF($F192="",val_blankRefText,_xldudf_CX_GET(CX_ENTITY,$F192,BN$11,BN$14,,(BN$190))),_xlpm.Res,IF(OR(_xlpm.val="",_xlpm.val="Error"),"",_xlpm.val),_xlpm.Res)</f>
        <v>#NAME?</v>
      </c>
      <c r="BO192" s="2103"/>
      <c r="BP192" s="2103"/>
      <c r="BQ192" s="2103"/>
      <c r="BR192" s="2103"/>
      <c r="BS192" s="2103"/>
      <c r="BT192" s="2103"/>
      <c r="BU192" s="2103"/>
      <c r="BV192" s="2103"/>
      <c r="BW192" s="2103"/>
      <c r="BX192" s="2103"/>
      <c r="BY192" s="2103"/>
      <c r="BZ192" s="2103"/>
      <c r="CA192" s="34"/>
      <c r="CC192" s="58"/>
      <c r="CD192" s="1461" t="e" cm="1">
        <f t="array" ca="1" aca="1" ref="CD192">_xlfn.LET(_xlpm.CheckBlank,SUM(PL!$AD192:$BN192)=0,IF(_xlpm.CheckBlank,"",SUM(_xlfn._xlws.FILTER(PL!$AD192:$BN192,(YEAR(PL!$AD$12:$BN$12)=PL!CD$12)*(array_timeline&lt;=PL!CD$11)))))</f>
        <v>#NAME?</v>
      </c>
      <c r="CE192" s="1461" t="e" cm="1">
        <f t="array" ca="1" aca="1" ref="CE192">_xlfn.LET(_xlpm.CheckBlank,SUM(PL!$AD192:$BN192)=0,IF(_xlpm.CheckBlank,"",SUM(_xlfn._xlws.FILTER(PL!$AD192:$BN192,(YEAR(PL!$AD$12:$BN$12)=PL!CE$12)*(array_timeline&lt;=PL!CE$11)))))</f>
        <v>#NAME?</v>
      </c>
      <c r="CF192" s="88"/>
      <c r="CG192" s="1461" t="e" cm="1">
        <f t="array" ca="1" aca="1" ref="CG192">_xlfn.LET(_xlpm.CheckBlank,SUM(PL!$AD192:$BN192)=0,IF(_xlpm.CheckBlank,"",SUM(_xlfn._xlws.FILTER(PL!$AD192:$BN192,(YEAR(PL!$AD$12:$BN$12)=PL!CG$12)*(array_timeline&lt;=PL!CG$11)))))</f>
        <v>#NAME?</v>
      </c>
      <c r="CH192" s="1461" t="e" cm="1">
        <f t="array" ca="1" aca="1" ref="CH192">_xlfn.LET(_xlpm.CheckBlank,SUM(PL!$AD192:$BN192)=0,IF(_xlpm.CheckBlank,"",SUM(_xlfn._xlws.FILTER(PL!$AD192:$BN192,(YEAR(PL!$AD$12:$BN$12)=PL!CH$12)*(array_timeline&lt;=PL!CH$11)))))</f>
        <v>#NAME?</v>
      </c>
      <c r="CI192" s="88"/>
      <c r="CJ192" s="1461" cm="1">
        <f t="array" ref="CJ192">_xlfn.LET(_xlpm.CheckBlank,SUM(PL!$AD192:$BN192)=0,IF(_xlpm.CheckBlank,"",SUM(_xlfn.TAKE(_xlfn.DROP(PL!$AD192:$BN192,,-DATEDIFF(PL!CJ$11,val_asOfDate,"M")),1,-12))))</f>
        <v>12</v>
      </c>
      <c r="CK192" s="1461" cm="1">
        <f t="array" ref="CK192">_xlfn.LET(_xlpm.CheckBlank,SUM(PL!$AD192:$BN192)=0,IF(_xlpm.CheckBlank,"",SUM(_xlfn.TAKE(_xlfn.DROP(PL!$AD192:$BN192,,-DATEDIFF(PL!CK$11,val_asOfDate,"M")),1,-12))))</f>
        <v>12</v>
      </c>
      <c r="CL192" s="88"/>
      <c r="CM192" s="1986" t="e" cm="1">
        <f t="array" ca="1" aca="1" ref="CM192">_xlfn.LET(_xlpm.val,IF($F192="",val_blankRefText,_xldudf_CX_GET(CX_ENTITY,$F192,CM$11,CM$14,,(CM$190))),_xlpm.Res,IF(OR(_xlpm.val="",_xlpm.val="Error"),"",_xlpm.val),_xlpm.Res)</f>
        <v>#NAME?</v>
      </c>
      <c r="CN192" s="1986" t="e" cm="1">
        <f t="array" ca="1" aca="1" ref="CN192">_xlfn.LET(_xlpm.val,IF($F192="",val_blankRefText,_xldudf_CX_GET(CX_ENTITY,$F192,CN$11,CN$14,,(CN$190))),_xlpm.Res,IF(OR(_xlpm.val="",_xlpm.val="Error"),"",_xlpm.val),_xlpm.Res)</f>
        <v>#NAME?</v>
      </c>
      <c r="CO192" s="1169"/>
      <c r="CP192" s="1986" t="e" cm="1">
        <f t="array" ca="1" aca="1" ref="CP192">_xlfn.LET(_xlpm.val,IF($F192="",val_blankRefText,_xldudf_CX_GET(CX_ENTITY,$F192,CP$11,CP$14,,(CP$190))),_xlpm.Res,IF(OR(_xlpm.val="",_xlpm.val="Error"),"",_xlpm.val),_xlpm.Res)</f>
        <v>#NAME?</v>
      </c>
      <c r="CQ192" s="1986" t="e" cm="1">
        <f t="array" ca="1" aca="1" ref="CQ192">_xlfn.LET(_xlpm.val,IF($F192="",val_blankRefText,_xldudf_CX_GET(CX_ENTITY,$F192,CQ$11,CQ$14,,(CQ$190))),_xlpm.Res,IF(OR(_xlpm.val="",_xlpm.val="Error"),"",_xlpm.val),_xlpm.Res)</f>
        <v>#NAME?</v>
      </c>
      <c r="CR192" s="34"/>
    </row>
    <row r="193" spans="1:96" ht="21" customHeight="1" outlineLevel="1">
      <c r="A193" s="1322"/>
      <c r="B193" s="577" t="s">
        <v>162</v>
      </c>
      <c r="C193" s="577" t="s">
        <v>1633</v>
      </c>
      <c r="D193" s="577"/>
      <c r="E193" s="577" t="e" cm="1">
        <f t="array" ca="1" aca="1" ref="E193">_xlfn.LET(_xlpm.Attr,$C193,_xlpm.Lookback,$E$16,_xlpm.QueryDate,EOMONTH(val_asOfDate,_xlpm.Lookback),_xlpm.ReadField,_xldudf_CX_GET(CX_ENTITY,fx_attrConverter($C193),_xlpm.QueryDate),_xlpm.AttrBlank,_xlpm.Attr="",_xlpm.RESULT,IF(_xlpm.AttrBlank,val_blankRefText,fx_attrConverter(_xlpm.ReadField,0)),IF(_xlpm.RESULT="Error","",_xlpm.RESULT))</f>
        <v>#NAME?</v>
      </c>
      <c r="F193" s="577" t="str">
        <f t="shared" si="56"/>
        <v>Segment I Breakdown - Amount 2</v>
      </c>
      <c r="G193" s="577" t="s">
        <v>1631</v>
      </c>
      <c r="H193" s="510">
        <v>0</v>
      </c>
      <c r="I193" s="3278">
        <v>1</v>
      </c>
      <c r="J193" s="30"/>
      <c r="K193" s="30"/>
      <c r="L193" s="579" t="b">
        <v>0</v>
      </c>
      <c r="N193" s="158"/>
      <c r="O193" s="101"/>
      <c r="P193" s="52"/>
      <c r="Q193" s="101"/>
      <c r="R193" s="101"/>
      <c r="S193" s="101"/>
      <c r="T193" s="101"/>
      <c r="U193" s="39"/>
      <c r="W193" s="554" t="e">
        <f ca="1">W187</f>
        <v>#NAME?</v>
      </c>
      <c r="X193" s="884" t="s">
        <v>62</v>
      </c>
      <c r="Y193" s="1554" t="e" cm="1">
        <f t="array" ca="1" aca="1" ref="Y193">IF($B193="",IFBLANK($E193,"Please select or type in or leave as blank"),IFBLANK($E193,$B193))</f>
        <v>#NAME?</v>
      </c>
      <c r="Z193" s="198" cm="1">
        <f t="array" ref="Z193">_xlfn.SWITCH(TRUE,ISBLANK(_PL!$L193),"",_PL!$L193=TRUE,1,_PL!$L193=FALSE,-1,_PL!$L193=-1,0,"n/a")</f>
        <v>-1</v>
      </c>
      <c r="AA193" s="905"/>
      <c r="AB193" s="3017"/>
      <c r="AC193" s="914" t="str" cm="1">
        <f t="array" ref="AC193">_xlfn.LET(_xlpm.Def,IF(_xlfn.XMATCH(AB193,tbl_acctDef[Term],0)&gt;0,fx_getIcon("find"),""),_xlpm.Adj,IF(_xlfn.XMATCH(AB193,tbl_adjExample[Items],0)&gt;0,fx_getIcon("find"),""),IFERROR(IFBLANK(_xlpm.Def,_xlpm.Adj),""))</f>
        <v/>
      </c>
      <c r="AD193" s="1986" t="e" cm="1">
        <f t="array" ca="1" aca="1" ref="AD193">_xlfn.LET(_xlpm.val,IF($F193="",val_blankRefText,_xldudf_CX_GET(CX_ENTITY,$F193,AD$11,AD$14,,(AD$190))),_xlpm.Res,IF(OR(_xlpm.val="",_xlpm.val="Error"),"",_xlpm.val),_xlpm.Res)</f>
        <v>#NAME?</v>
      </c>
      <c r="AE193" s="1986" t="e" cm="1">
        <f t="array" ca="1" aca="1" ref="AE193">_xlfn.LET(_xlpm.val,IF($F193="",val_blankRefText,_xldudf_CX_GET(CX_ENTITY,$F193,AE$11,AE$14,,(AE$190))),_xlpm.Res,IF(OR(_xlpm.val="",_xlpm.val="Error"),"",_xlpm.val),_xlpm.Res)</f>
        <v>#NAME?</v>
      </c>
      <c r="AF193" s="1986" t="e" cm="1">
        <f t="array" ca="1" aca="1" ref="AF193">_xlfn.LET(_xlpm.val,IF($F193="",val_blankRefText,_xldudf_CX_GET(CX_ENTITY,$F193,AF$11,AF$14,,(AF$190))),_xlpm.Res,IF(OR(_xlpm.val="",_xlpm.val="Error"),"",_xlpm.val),_xlpm.Res)</f>
        <v>#NAME?</v>
      </c>
      <c r="AG193" s="1986" t="e" cm="1">
        <f t="array" ca="1" aca="1" ref="AG193">_xlfn.LET(_xlpm.val,IF($F193="",val_blankRefText,_xldudf_CX_GET(CX_ENTITY,$F193,AG$11,AG$14,,(AG$190))),_xlpm.Res,IF(OR(_xlpm.val="",_xlpm.val="Error"),"",_xlpm.val),_xlpm.Res)</f>
        <v>#NAME?</v>
      </c>
      <c r="AH193" s="1986" t="e" cm="1">
        <f t="array" ca="1" aca="1" ref="AH193">_xlfn.LET(_xlpm.val,IF($F193="",val_blankRefText,_xldudf_CX_GET(CX_ENTITY,$F193,AH$11,AH$14,,(AH$190))),_xlpm.Res,IF(OR(_xlpm.val="",_xlpm.val="Error"),"",_xlpm.val),_xlpm.Res)</f>
        <v>#NAME?</v>
      </c>
      <c r="AI193" s="1986" t="e" cm="1">
        <f t="array" ca="1" aca="1" ref="AI193">_xlfn.LET(_xlpm.val,IF($F193="",val_blankRefText,_xldudf_CX_GET(CX_ENTITY,$F193,AI$11,AI$14,,(AI$190))),_xlpm.Res,IF(OR(_xlpm.val="",_xlpm.val="Error"),"",_xlpm.val),_xlpm.Res)</f>
        <v>#NAME?</v>
      </c>
      <c r="AJ193" s="1986" t="e" cm="1">
        <f t="array" ca="1" aca="1" ref="AJ193">_xlfn.LET(_xlpm.val,IF($F193="",val_blankRefText,_xldudf_CX_GET(CX_ENTITY,$F193,AJ$11,AJ$14,,(AJ$190))),_xlpm.Res,IF(OR(_xlpm.val="",_xlpm.val="Error"),"",_xlpm.val),_xlpm.Res)</f>
        <v>#NAME?</v>
      </c>
      <c r="AK193" s="1986" t="e" cm="1">
        <f t="array" ca="1" aca="1" ref="AK193">_xlfn.LET(_xlpm.val,IF($F193="",val_blankRefText,_xldudf_CX_GET(CX_ENTITY,$F193,AK$11,AK$14,,(AK$190))),_xlpm.Res,IF(OR(_xlpm.val="",_xlpm.val="Error"),"",_xlpm.val),_xlpm.Res)</f>
        <v>#NAME?</v>
      </c>
      <c r="AL193" s="1986" t="e" cm="1">
        <f t="array" ca="1" aca="1" ref="AL193">_xlfn.LET(_xlpm.val,IF($F193="",val_blankRefText,_xldudf_CX_GET(CX_ENTITY,$F193,AL$11,AL$14,,(AL$190))),_xlpm.Res,IF(OR(_xlpm.val="",_xlpm.val="Error"),"",_xlpm.val),_xlpm.Res)</f>
        <v>#NAME?</v>
      </c>
      <c r="AM193" s="1986" t="e" cm="1">
        <f t="array" ca="1" aca="1" ref="AM193">_xlfn.LET(_xlpm.val,IF($F193="",val_blankRefText,_xldudf_CX_GET(CX_ENTITY,$F193,AM$11,AM$14,,(AM$190))),_xlpm.Res,IF(OR(_xlpm.val="",_xlpm.val="Error"),"",_xlpm.val),_xlpm.Res)</f>
        <v>#NAME?</v>
      </c>
      <c r="AN193" s="1986" t="e" cm="1">
        <f t="array" ca="1" aca="1" ref="AN193">_xlfn.LET(_xlpm.val,IF($F193="",val_blankRefText,_xldudf_CX_GET(CX_ENTITY,$F193,AN$11,AN$14,,(AN$190))),_xlpm.Res,IF(OR(_xlpm.val="",_xlpm.val="Error"),"",_xlpm.val),_xlpm.Res)</f>
        <v>#NAME?</v>
      </c>
      <c r="AO193" s="1986" t="e" cm="1">
        <f t="array" ca="1" aca="1" ref="AO193">_xlfn.LET(_xlpm.val,IF($F193="",val_blankRefText,_xldudf_CX_GET(CX_ENTITY,$F193,AO$11,AO$14,,(AO$190))),_xlpm.Res,IF(OR(_xlpm.val="",_xlpm.val="Error"),"",_xlpm.val),_xlpm.Res)</f>
        <v>#NAME?</v>
      </c>
      <c r="AP193" s="1986" t="e" cm="1">
        <f t="array" ca="1" aca="1" ref="AP193">_xlfn.LET(_xlpm.val,IF($F193="",val_blankRefText,_xldudf_CX_GET(CX_ENTITY,$F193,AP$11,AP$14,,(AP$190))),_xlpm.Res,IF(OR(_xlpm.val="",_xlpm.val="Error"),"",_xlpm.val),_xlpm.Res)</f>
        <v>#NAME?</v>
      </c>
      <c r="AQ193" s="1986" t="e" cm="1">
        <f t="array" ca="1" aca="1" ref="AQ193">_xlfn.LET(_xlpm.val,IF($F193="",val_blankRefText,_xldudf_CX_GET(CX_ENTITY,$F193,AQ$11,AQ$14,,(AQ$190))),_xlpm.Res,IF(OR(_xlpm.val="",_xlpm.val="Error"),"",_xlpm.val),_xlpm.Res)</f>
        <v>#NAME?</v>
      </c>
      <c r="AR193" s="1986" t="e" cm="1">
        <f t="array" ca="1" aca="1" ref="AR193">_xlfn.LET(_xlpm.val,IF($F193="",val_blankRefText,_xldudf_CX_GET(CX_ENTITY,$F193,AR$11,AR$14,,(AR$190))),_xlpm.Res,IF(OR(_xlpm.val="",_xlpm.val="Error"),"",_xlpm.val),_xlpm.Res)</f>
        <v>#NAME?</v>
      </c>
      <c r="AS193" s="1986" t="e" cm="1">
        <f t="array" ca="1" aca="1" ref="AS193">_xlfn.LET(_xlpm.val,IF($F193="",val_blankRefText,_xldudf_CX_GET(CX_ENTITY,$F193,AS$11,AS$14,,(AS$190))),_xlpm.Res,IF(OR(_xlpm.val="",_xlpm.val="Error"),"",_xlpm.val),_xlpm.Res)</f>
        <v>#NAME?</v>
      </c>
      <c r="AT193" s="1986" t="e" cm="1">
        <f t="array" ca="1" aca="1" ref="AT193">_xlfn.LET(_xlpm.val,IF($F193="",val_blankRefText,_xldudf_CX_GET(CX_ENTITY,$F193,AT$11,AT$14,,(AT$190))),_xlpm.Res,IF(OR(_xlpm.val="",_xlpm.val="Error"),"",_xlpm.val),_xlpm.Res)</f>
        <v>#NAME?</v>
      </c>
      <c r="AU193" s="1986" t="e" cm="1">
        <f t="array" ca="1" aca="1" ref="AU193">_xlfn.LET(_xlpm.val,IF($F193="",val_blankRefText,_xldudf_CX_GET(CX_ENTITY,$F193,AU$11,AU$14,,(AU$190))),_xlpm.Res,IF(OR(_xlpm.val="",_xlpm.val="Error"),"",_xlpm.val),_xlpm.Res)</f>
        <v>#NAME?</v>
      </c>
      <c r="AV193" s="1986" t="e" cm="1">
        <f t="array" ca="1" aca="1" ref="AV193">_xlfn.LET(_xlpm.val,IF($F193="",val_blankRefText,_xldudf_CX_GET(CX_ENTITY,$F193,AV$11,AV$14,,(AV$190))),_xlpm.Res,IF(OR(_xlpm.val="",_xlpm.val="Error"),"",_xlpm.val),_xlpm.Res)</f>
        <v>#NAME?</v>
      </c>
      <c r="AW193" s="1986" t="e" cm="1">
        <f t="array" ca="1" aca="1" ref="AW193">_xlfn.LET(_xlpm.val,IF($F193="",val_blankRefText,_xldudf_CX_GET(CX_ENTITY,$F193,AW$11,AW$14,,(AW$190))),_xlpm.Res,IF(OR(_xlpm.val="",_xlpm.val="Error"),"",_xlpm.val),_xlpm.Res)</f>
        <v>#NAME?</v>
      </c>
      <c r="AX193" s="1986" t="e" cm="1">
        <f t="array" ca="1" aca="1" ref="AX193">_xlfn.LET(_xlpm.val,IF($F193="",val_blankRefText,_xldudf_CX_GET(CX_ENTITY,$F193,AX$11,AX$14,,(AX$190))),_xlpm.Res,IF(OR(_xlpm.val="",_xlpm.val="Error"),"",_xlpm.val),_xlpm.Res)</f>
        <v>#NAME?</v>
      </c>
      <c r="AY193" s="1986" t="e" cm="1">
        <f t="array" ca="1" aca="1" ref="AY193">_xlfn.LET(_xlpm.val,IF($F193="",val_blankRefText,_xldudf_CX_GET(CX_ENTITY,$F193,AY$11,AY$14,,(AY$190))),_xlpm.Res,IF(OR(_xlpm.val="",_xlpm.val="Error"),"",_xlpm.val),_xlpm.Res)</f>
        <v>#NAME?</v>
      </c>
      <c r="AZ193" s="1986" t="e" cm="1">
        <f t="array" ca="1" aca="1" ref="AZ193">_xlfn.LET(_xlpm.val,IF($F193="",val_blankRefText,_xldudf_CX_GET(CX_ENTITY,$F193,AZ$11,AZ$14,,(AZ$190))),_xlpm.Res,IF(OR(_xlpm.val="",_xlpm.val="Error"),"",_xlpm.val),_xlpm.Res)</f>
        <v>#NAME?</v>
      </c>
      <c r="BA193" s="1986" t="e" cm="1">
        <f t="array" ca="1" aca="1" ref="BA193">_xlfn.LET(_xlpm.val,IF($F193="",val_blankRefText,_xldudf_CX_GET(CX_ENTITY,$F193,BA$11,BA$14,,(BA$190))),_xlpm.Res,IF(OR(_xlpm.val="",_xlpm.val="Error"),"",_xlpm.val),_xlpm.Res)</f>
        <v>#NAME?</v>
      </c>
      <c r="BB193" s="1986" t="e" cm="1">
        <f t="array" ca="1" aca="1" ref="BB193">_xlfn.LET(_xlpm.val,IF($F193="",val_blankRefText,_xldudf_CX_GET(CX_ENTITY,$F193,BB$11,BB$14,,(BB$190))),_xlpm.Res,IF(OR(_xlpm.val="",_xlpm.val="Error"),"",_xlpm.val),_xlpm.Res)</f>
        <v>#NAME?</v>
      </c>
      <c r="BC193" s="1986" t="e" cm="1">
        <f t="array" ca="1" aca="1" ref="BC193">_xlfn.LET(_xlpm.val,IF($F193="",val_blankRefText,_xldudf_CX_GET(CX_ENTITY,$F193,BC$11,BC$14,,(BC$190))),_xlpm.Res,IF(OR(_xlpm.val="",_xlpm.val="Error"),"",_xlpm.val),_xlpm.Res)</f>
        <v>#NAME?</v>
      </c>
      <c r="BD193" s="1986" t="e" cm="1">
        <f t="array" ca="1" aca="1" ref="BD193">_xlfn.LET(_xlpm.val,IF($F193="",val_blankRefText,_xldudf_CX_GET(CX_ENTITY,$F193,BD$11,BD$14,,(BD$190))),_xlpm.Res,IF(OR(_xlpm.val="",_xlpm.val="Error"),"",_xlpm.val),_xlpm.Res)</f>
        <v>#NAME?</v>
      </c>
      <c r="BE193" s="1986" t="e" cm="1">
        <f t="array" ca="1" aca="1" ref="BE193">_xlfn.LET(_xlpm.val,IF($F193="",val_blankRefText,_xldudf_CX_GET(CX_ENTITY,$F193,BE$11,BE$14,,(BE$190))),_xlpm.Res,IF(OR(_xlpm.val="",_xlpm.val="Error"),"",_xlpm.val),_xlpm.Res)</f>
        <v>#NAME?</v>
      </c>
      <c r="BF193" s="1986" t="e" cm="1">
        <f t="array" ca="1" aca="1" ref="BF193">_xlfn.LET(_xlpm.val,IF($F193="",val_blankRefText,_xldudf_CX_GET(CX_ENTITY,$F193,BF$11,BF$14,,(BF$190))),_xlpm.Res,IF(OR(_xlpm.val="",_xlpm.val="Error"),"",_xlpm.val),_xlpm.Res)</f>
        <v>#NAME?</v>
      </c>
      <c r="BG193" s="1986" t="e" cm="1">
        <f t="array" ca="1" aca="1" ref="BG193">_xlfn.LET(_xlpm.val,IF($F193="",val_blankRefText,_xldudf_CX_GET(CX_ENTITY,$F193,BG$11,BG$14,,(BG$190))),_xlpm.Res,IF(OR(_xlpm.val="",_xlpm.val="Error"),"",_xlpm.val),_xlpm.Res)</f>
        <v>#NAME?</v>
      </c>
      <c r="BH193" s="1986" t="e" cm="1">
        <f t="array" ca="1" aca="1" ref="BH193">_xlfn.LET(_xlpm.val,IF($F193="",val_blankRefText,_xldudf_CX_GET(CX_ENTITY,$F193,BH$11,BH$14,,(BH$190))),_xlpm.Res,IF(OR(_xlpm.val="",_xlpm.val="Error"),"",_xlpm.val),_xlpm.Res)</f>
        <v>#NAME?</v>
      </c>
      <c r="BI193" s="1986" t="e" cm="1">
        <f t="array" ca="1" aca="1" ref="BI193">_xlfn.LET(_xlpm.val,IF($F193="",val_blankRefText,_xldudf_CX_GET(CX_ENTITY,$F193,BI$11,BI$14,,(BI$190))),_xlpm.Res,IF(OR(_xlpm.val="",_xlpm.val="Error"),"",_xlpm.val),_xlpm.Res)</f>
        <v>#NAME?</v>
      </c>
      <c r="BJ193" s="1986" t="e" cm="1">
        <f t="array" ca="1" aca="1" ref="BJ193">_xlfn.LET(_xlpm.val,IF($F193="",val_blankRefText,_xldudf_CX_GET(CX_ENTITY,$F193,BJ$11,BJ$14,,(BJ$190))),_xlpm.Res,IF(OR(_xlpm.val="",_xlpm.val="Error"),"",_xlpm.val),_xlpm.Res)</f>
        <v>#NAME?</v>
      </c>
      <c r="BK193" s="1986" t="e" cm="1">
        <f t="array" ca="1" aca="1" ref="BK193">_xlfn.LET(_xlpm.val,IF($F193="",val_blankRefText,_xldudf_CX_GET(CX_ENTITY,$F193,BK$11,BK$14,,(BK$190))),_xlpm.Res,IF(OR(_xlpm.val="",_xlpm.val="Error"),"",_xlpm.val),_xlpm.Res)</f>
        <v>#NAME?</v>
      </c>
      <c r="BL193" s="1986" t="e" cm="1">
        <f t="array" ca="1" aca="1" ref="BL193">_xlfn.LET(_xlpm.val,IF($F193="",val_blankRefText,_xldudf_CX_GET(CX_ENTITY,$F193,BL$11,BL$14,,(BL$190))),_xlpm.Res,IF(OR(_xlpm.val="",_xlpm.val="Error"),"",_xlpm.val),_xlpm.Res)</f>
        <v>#NAME?</v>
      </c>
      <c r="BM193" s="1986" t="e" cm="1">
        <f t="array" ca="1" aca="1" ref="BM193">_xlfn.LET(_xlpm.val,IF($F193="",val_blankRefText,_xldudf_CX_GET(CX_ENTITY,$F193,BM$11,BM$14,,(BM$190))),_xlpm.Res,IF(OR(_xlpm.val="",_xlpm.val="Error"),"",_xlpm.val),_xlpm.Res)</f>
        <v>#NAME?</v>
      </c>
      <c r="BN193" s="1986" t="e" cm="1">
        <f t="array" ca="1" aca="1" ref="BN193">_xlfn.LET(_xlpm.val,IF($F193="",val_blankRefText,_xldudf_CX_GET(CX_ENTITY,$F193,BN$11,BN$14,,(BN$190))),_xlpm.Res,IF(OR(_xlpm.val="",_xlpm.val="Error"),"",_xlpm.val),_xlpm.Res)</f>
        <v>#NAME?</v>
      </c>
      <c r="BO193" s="2103"/>
      <c r="BP193" s="2103"/>
      <c r="BQ193" s="2103"/>
      <c r="BR193" s="2103"/>
      <c r="BS193" s="2103"/>
      <c r="BT193" s="2103"/>
      <c r="BU193" s="2103"/>
      <c r="BV193" s="2103"/>
      <c r="BW193" s="2103"/>
      <c r="BX193" s="2103"/>
      <c r="BY193" s="2103"/>
      <c r="BZ193" s="2103"/>
      <c r="CA193" s="34"/>
      <c r="CC193" s="58"/>
      <c r="CD193" s="1461" t="e" cm="1">
        <f t="array" ca="1" aca="1" ref="CD193">_xlfn.LET(_xlpm.CheckBlank,SUM(PL!$AD193:$BN193)=0,IF(_xlpm.CheckBlank,"",SUM(_xlfn._xlws.FILTER(PL!$AD193:$BN193,(YEAR(PL!$AD$12:$BN$12)=PL!CD$12)*(array_timeline&lt;=PL!CD$11)))))</f>
        <v>#NAME?</v>
      </c>
      <c r="CE193" s="1461" t="e" cm="1">
        <f t="array" ca="1" aca="1" ref="CE193">_xlfn.LET(_xlpm.CheckBlank,SUM(PL!$AD193:$BN193)=0,IF(_xlpm.CheckBlank,"",SUM(_xlfn._xlws.FILTER(PL!$AD193:$BN193,(YEAR(PL!$AD$12:$BN$12)=PL!CE$12)*(array_timeline&lt;=PL!CE$11)))))</f>
        <v>#NAME?</v>
      </c>
      <c r="CF193" s="88"/>
      <c r="CG193" s="1461" t="e" cm="1">
        <f t="array" ca="1" aca="1" ref="CG193">_xlfn.LET(_xlpm.CheckBlank,SUM(PL!$AD193:$BN193)=0,IF(_xlpm.CheckBlank,"",SUM(_xlfn._xlws.FILTER(PL!$AD193:$BN193,(YEAR(PL!$AD$12:$BN$12)=PL!CG$12)*(array_timeline&lt;=PL!CG$11)))))</f>
        <v>#NAME?</v>
      </c>
      <c r="CH193" s="1461" t="e" cm="1">
        <f t="array" ca="1" aca="1" ref="CH193">_xlfn.LET(_xlpm.CheckBlank,SUM(PL!$AD193:$BN193)=0,IF(_xlpm.CheckBlank,"",SUM(_xlfn._xlws.FILTER(PL!$AD193:$BN193,(YEAR(PL!$AD$12:$BN$12)=PL!CH$12)*(array_timeline&lt;=PL!CH$11)))))</f>
        <v>#NAME?</v>
      </c>
      <c r="CI193" s="88"/>
      <c r="CJ193" s="1461" cm="1">
        <f t="array" ref="CJ193">_xlfn.LET(_xlpm.CheckBlank,SUM(PL!$AD193:$BN193)=0,IF(_xlpm.CheckBlank,"",SUM(_xlfn.TAKE(_xlfn.DROP(PL!$AD193:$BN193,,-DATEDIFF(PL!CJ$11,val_asOfDate,"M")),1,-12))))</f>
        <v>12</v>
      </c>
      <c r="CK193" s="1461" cm="1">
        <f t="array" ref="CK193">_xlfn.LET(_xlpm.CheckBlank,SUM(PL!$AD193:$BN193)=0,IF(_xlpm.CheckBlank,"",SUM(_xlfn.TAKE(_xlfn.DROP(PL!$AD193:$BN193,,-DATEDIFF(PL!CK$11,val_asOfDate,"M")),1,-12))))</f>
        <v>12</v>
      </c>
      <c r="CL193" s="88"/>
      <c r="CM193" s="1986" t="e" cm="1">
        <f t="array" ca="1" aca="1" ref="CM193">_xlfn.LET(_xlpm.val,IF($F193="",val_blankRefText,_xldudf_CX_GET(CX_ENTITY,$F193,CM$11,CM$14,,(CM$190))),_xlpm.Res,IF(OR(_xlpm.val="",_xlpm.val="Error"),"",_xlpm.val),_xlpm.Res)</f>
        <v>#NAME?</v>
      </c>
      <c r="CN193" s="1986" t="e" cm="1">
        <f t="array" ca="1" aca="1" ref="CN193">_xlfn.LET(_xlpm.val,IF($F193="",val_blankRefText,_xldudf_CX_GET(CX_ENTITY,$F193,CN$11,CN$14,,(CN$190))),_xlpm.Res,IF(OR(_xlpm.val="",_xlpm.val="Error"),"",_xlpm.val),_xlpm.Res)</f>
        <v>#NAME?</v>
      </c>
      <c r="CO193" s="1169"/>
      <c r="CP193" s="1986" t="e" cm="1">
        <f t="array" ca="1" aca="1" ref="CP193">_xlfn.LET(_xlpm.val,IF($F193="",val_blankRefText,_xldudf_CX_GET(CX_ENTITY,$F193,CP$11,CP$14,,(CP$190))),_xlpm.Res,IF(OR(_xlpm.val="",_xlpm.val="Error"),"",_xlpm.val),_xlpm.Res)</f>
        <v>#NAME?</v>
      </c>
      <c r="CQ193" s="1986" t="e" cm="1">
        <f t="array" ca="1" aca="1" ref="CQ193">_xlfn.LET(_xlpm.val,IF($F193="",val_blankRefText,_xldudf_CX_GET(CX_ENTITY,$F193,CQ$11,CQ$14,,(CQ$190))),_xlpm.Res,IF(OR(_xlpm.val="",_xlpm.val="Error"),"",_xlpm.val),_xlpm.Res)</f>
        <v>#NAME?</v>
      </c>
      <c r="CR193" s="34"/>
    </row>
    <row r="194" spans="1:96" ht="21" customHeight="1" outlineLevel="1">
      <c r="A194" s="1322"/>
      <c r="B194" s="577" t="s">
        <v>163</v>
      </c>
      <c r="C194" s="577" t="s">
        <v>1634</v>
      </c>
      <c r="D194" s="577"/>
      <c r="E194" s="577" t="e" cm="1">
        <f t="array" ca="1" aca="1" ref="E194">_xlfn.LET(_xlpm.Attr,$C194,_xlpm.Lookback,$E$16,_xlpm.QueryDate,EOMONTH(val_asOfDate,_xlpm.Lookback),_xlpm.ReadField,_xldudf_CX_GET(CX_ENTITY,fx_attrConverter($C194),_xlpm.QueryDate),_xlpm.AttrBlank,_xlpm.Attr="",_xlpm.RESULT,IF(_xlpm.AttrBlank,val_blankRefText,fx_attrConverter(_xlpm.ReadField,0)),IF(_xlpm.RESULT="Error","",_xlpm.RESULT))</f>
        <v>#NAME?</v>
      </c>
      <c r="F194" s="577" t="str">
        <f t="shared" si="56"/>
        <v>Segment I Breakdown - Amount 3</v>
      </c>
      <c r="G194" s="577" t="s">
        <v>1631</v>
      </c>
      <c r="H194" s="510">
        <v>0</v>
      </c>
      <c r="I194" s="3278">
        <v>1</v>
      </c>
      <c r="J194" s="30"/>
      <c r="K194" s="30"/>
      <c r="L194" s="579" t="b">
        <v>0</v>
      </c>
      <c r="N194" s="158"/>
      <c r="O194" s="101"/>
      <c r="P194" s="52"/>
      <c r="Q194" s="101"/>
      <c r="R194" s="101"/>
      <c r="S194" s="101"/>
      <c r="T194" s="101"/>
      <c r="U194" s="39"/>
      <c r="W194" s="554" t="e">
        <f ca="1">W187</f>
        <v>#NAME?</v>
      </c>
      <c r="X194" s="884" t="s">
        <v>62</v>
      </c>
      <c r="Y194" s="1554" t="e" cm="1">
        <f t="array" ca="1" aca="1" ref="Y194">IF($B194="",IFBLANK($E194,"Please select or type in or leave as blank"),IFBLANK($E194,$B194))</f>
        <v>#NAME?</v>
      </c>
      <c r="Z194" s="198" cm="1">
        <f t="array" ref="Z194">_xlfn.SWITCH(TRUE,ISBLANK(_PL!$L194),"",_PL!$L194=TRUE,1,_PL!$L194=FALSE,-1,_PL!$L194=-1,0,"n/a")</f>
        <v>-1</v>
      </c>
      <c r="AA194" s="905"/>
      <c r="AB194" s="3017"/>
      <c r="AC194" s="914" t="str" cm="1">
        <f t="array" ref="AC194">_xlfn.LET(_xlpm.Def,IF(_xlfn.XMATCH(AB194,tbl_acctDef[Term],0)&gt;0,fx_getIcon("find"),""),_xlpm.Adj,IF(_xlfn.XMATCH(AB194,tbl_adjExample[Items],0)&gt;0,fx_getIcon("find"),""),IFERROR(IFBLANK(_xlpm.Def,_xlpm.Adj),""))</f>
        <v/>
      </c>
      <c r="AD194" s="1986" t="e" cm="1">
        <f t="array" ca="1" aca="1" ref="AD194">_xlfn.LET(_xlpm.val,IF($F194="",val_blankRefText,_xldudf_CX_GET(CX_ENTITY,$F194,AD$11,AD$14,,(AD$190))),_xlpm.Res,IF(OR(_xlpm.val="",_xlpm.val="Error"),"",_xlpm.val),_xlpm.Res)</f>
        <v>#NAME?</v>
      </c>
      <c r="AE194" s="1986" t="e" cm="1">
        <f t="array" ca="1" aca="1" ref="AE194">_xlfn.LET(_xlpm.val,IF($F194="",val_blankRefText,_xldudf_CX_GET(CX_ENTITY,$F194,AE$11,AE$14,,(AE$190))),_xlpm.Res,IF(OR(_xlpm.val="",_xlpm.val="Error"),"",_xlpm.val),_xlpm.Res)</f>
        <v>#NAME?</v>
      </c>
      <c r="AF194" s="1986" t="e" cm="1">
        <f t="array" ca="1" aca="1" ref="AF194">_xlfn.LET(_xlpm.val,IF($F194="",val_blankRefText,_xldudf_CX_GET(CX_ENTITY,$F194,AF$11,AF$14,,(AF$190))),_xlpm.Res,IF(OR(_xlpm.val="",_xlpm.val="Error"),"",_xlpm.val),_xlpm.Res)</f>
        <v>#NAME?</v>
      </c>
      <c r="AG194" s="1986" t="e" cm="1">
        <f t="array" ca="1" aca="1" ref="AG194">_xlfn.LET(_xlpm.val,IF($F194="",val_blankRefText,_xldudf_CX_GET(CX_ENTITY,$F194,AG$11,AG$14,,(AG$190))),_xlpm.Res,IF(OR(_xlpm.val="",_xlpm.val="Error"),"",_xlpm.val),_xlpm.Res)</f>
        <v>#NAME?</v>
      </c>
      <c r="AH194" s="1986" t="e" cm="1">
        <f t="array" ca="1" aca="1" ref="AH194">_xlfn.LET(_xlpm.val,IF($F194="",val_blankRefText,_xldudf_CX_GET(CX_ENTITY,$F194,AH$11,AH$14,,(AH$190))),_xlpm.Res,IF(OR(_xlpm.val="",_xlpm.val="Error"),"",_xlpm.val),_xlpm.Res)</f>
        <v>#NAME?</v>
      </c>
      <c r="AI194" s="1986" t="e" cm="1">
        <f t="array" ca="1" aca="1" ref="AI194">_xlfn.LET(_xlpm.val,IF($F194="",val_blankRefText,_xldudf_CX_GET(CX_ENTITY,$F194,AI$11,AI$14,,(AI$190))),_xlpm.Res,IF(OR(_xlpm.val="",_xlpm.val="Error"),"",_xlpm.val),_xlpm.Res)</f>
        <v>#NAME?</v>
      </c>
      <c r="AJ194" s="1986" t="e" cm="1">
        <f t="array" ca="1" aca="1" ref="AJ194">_xlfn.LET(_xlpm.val,IF($F194="",val_blankRefText,_xldudf_CX_GET(CX_ENTITY,$F194,AJ$11,AJ$14,,(AJ$190))),_xlpm.Res,IF(OR(_xlpm.val="",_xlpm.val="Error"),"",_xlpm.val),_xlpm.Res)</f>
        <v>#NAME?</v>
      </c>
      <c r="AK194" s="1986" t="e" cm="1">
        <f t="array" ca="1" aca="1" ref="AK194">_xlfn.LET(_xlpm.val,IF($F194="",val_blankRefText,_xldudf_CX_GET(CX_ENTITY,$F194,AK$11,AK$14,,(AK$190))),_xlpm.Res,IF(OR(_xlpm.val="",_xlpm.val="Error"),"",_xlpm.val),_xlpm.Res)</f>
        <v>#NAME?</v>
      </c>
      <c r="AL194" s="1986" t="e" cm="1">
        <f t="array" ca="1" aca="1" ref="AL194">_xlfn.LET(_xlpm.val,IF($F194="",val_blankRefText,_xldudf_CX_GET(CX_ENTITY,$F194,AL$11,AL$14,,(AL$190))),_xlpm.Res,IF(OR(_xlpm.val="",_xlpm.val="Error"),"",_xlpm.val),_xlpm.Res)</f>
        <v>#NAME?</v>
      </c>
      <c r="AM194" s="1986" t="e" cm="1">
        <f t="array" ca="1" aca="1" ref="AM194">_xlfn.LET(_xlpm.val,IF($F194="",val_blankRefText,_xldudf_CX_GET(CX_ENTITY,$F194,AM$11,AM$14,,(AM$190))),_xlpm.Res,IF(OR(_xlpm.val="",_xlpm.val="Error"),"",_xlpm.val),_xlpm.Res)</f>
        <v>#NAME?</v>
      </c>
      <c r="AN194" s="1986" t="e" cm="1">
        <f t="array" ca="1" aca="1" ref="AN194">_xlfn.LET(_xlpm.val,IF($F194="",val_blankRefText,_xldudf_CX_GET(CX_ENTITY,$F194,AN$11,AN$14,,(AN$190))),_xlpm.Res,IF(OR(_xlpm.val="",_xlpm.val="Error"),"",_xlpm.val),_xlpm.Res)</f>
        <v>#NAME?</v>
      </c>
      <c r="AO194" s="1986" t="e" cm="1">
        <f t="array" ca="1" aca="1" ref="AO194">_xlfn.LET(_xlpm.val,IF($F194="",val_blankRefText,_xldudf_CX_GET(CX_ENTITY,$F194,AO$11,AO$14,,(AO$190))),_xlpm.Res,IF(OR(_xlpm.val="",_xlpm.val="Error"),"",_xlpm.val),_xlpm.Res)</f>
        <v>#NAME?</v>
      </c>
      <c r="AP194" s="1986" t="e" cm="1">
        <f t="array" ca="1" aca="1" ref="AP194">_xlfn.LET(_xlpm.val,IF($F194="",val_blankRefText,_xldudf_CX_GET(CX_ENTITY,$F194,AP$11,AP$14,,(AP$190))),_xlpm.Res,IF(OR(_xlpm.val="",_xlpm.val="Error"),"",_xlpm.val),_xlpm.Res)</f>
        <v>#NAME?</v>
      </c>
      <c r="AQ194" s="1986" t="e" cm="1">
        <f t="array" ca="1" aca="1" ref="AQ194">_xlfn.LET(_xlpm.val,IF($F194="",val_blankRefText,_xldudf_CX_GET(CX_ENTITY,$F194,AQ$11,AQ$14,,(AQ$190))),_xlpm.Res,IF(OR(_xlpm.val="",_xlpm.val="Error"),"",_xlpm.val),_xlpm.Res)</f>
        <v>#NAME?</v>
      </c>
      <c r="AR194" s="1986" t="e" cm="1">
        <f t="array" ca="1" aca="1" ref="AR194">_xlfn.LET(_xlpm.val,IF($F194="",val_blankRefText,_xldudf_CX_GET(CX_ENTITY,$F194,AR$11,AR$14,,(AR$190))),_xlpm.Res,IF(OR(_xlpm.val="",_xlpm.val="Error"),"",_xlpm.val),_xlpm.Res)</f>
        <v>#NAME?</v>
      </c>
      <c r="AS194" s="1986" t="e" cm="1">
        <f t="array" ca="1" aca="1" ref="AS194">_xlfn.LET(_xlpm.val,IF($F194="",val_blankRefText,_xldudf_CX_GET(CX_ENTITY,$F194,AS$11,AS$14,,(AS$190))),_xlpm.Res,IF(OR(_xlpm.val="",_xlpm.val="Error"),"",_xlpm.val),_xlpm.Res)</f>
        <v>#NAME?</v>
      </c>
      <c r="AT194" s="1986" t="e" cm="1">
        <f t="array" ca="1" aca="1" ref="AT194">_xlfn.LET(_xlpm.val,IF($F194="",val_blankRefText,_xldudf_CX_GET(CX_ENTITY,$F194,AT$11,AT$14,,(AT$190))),_xlpm.Res,IF(OR(_xlpm.val="",_xlpm.val="Error"),"",_xlpm.val),_xlpm.Res)</f>
        <v>#NAME?</v>
      </c>
      <c r="AU194" s="1986" t="e" cm="1">
        <f t="array" ca="1" aca="1" ref="AU194">_xlfn.LET(_xlpm.val,IF($F194="",val_blankRefText,_xldudf_CX_GET(CX_ENTITY,$F194,AU$11,AU$14,,(AU$190))),_xlpm.Res,IF(OR(_xlpm.val="",_xlpm.val="Error"),"",_xlpm.val),_xlpm.Res)</f>
        <v>#NAME?</v>
      </c>
      <c r="AV194" s="1986" t="e" cm="1">
        <f t="array" ca="1" aca="1" ref="AV194">_xlfn.LET(_xlpm.val,IF($F194="",val_blankRefText,_xldudf_CX_GET(CX_ENTITY,$F194,AV$11,AV$14,,(AV$190))),_xlpm.Res,IF(OR(_xlpm.val="",_xlpm.val="Error"),"",_xlpm.val),_xlpm.Res)</f>
        <v>#NAME?</v>
      </c>
      <c r="AW194" s="1986" t="e" cm="1">
        <f t="array" ca="1" aca="1" ref="AW194">_xlfn.LET(_xlpm.val,IF($F194="",val_blankRefText,_xldudf_CX_GET(CX_ENTITY,$F194,AW$11,AW$14,,(AW$190))),_xlpm.Res,IF(OR(_xlpm.val="",_xlpm.val="Error"),"",_xlpm.val),_xlpm.Res)</f>
        <v>#NAME?</v>
      </c>
      <c r="AX194" s="1986" t="e" cm="1">
        <f t="array" ca="1" aca="1" ref="AX194">_xlfn.LET(_xlpm.val,IF($F194="",val_blankRefText,_xldudf_CX_GET(CX_ENTITY,$F194,AX$11,AX$14,,(AX$190))),_xlpm.Res,IF(OR(_xlpm.val="",_xlpm.val="Error"),"",_xlpm.val),_xlpm.Res)</f>
        <v>#NAME?</v>
      </c>
      <c r="AY194" s="1986" t="e" cm="1">
        <f t="array" ca="1" aca="1" ref="AY194">_xlfn.LET(_xlpm.val,IF($F194="",val_blankRefText,_xldudf_CX_GET(CX_ENTITY,$F194,AY$11,AY$14,,(AY$190))),_xlpm.Res,IF(OR(_xlpm.val="",_xlpm.val="Error"),"",_xlpm.val),_xlpm.Res)</f>
        <v>#NAME?</v>
      </c>
      <c r="AZ194" s="1986" t="e" cm="1">
        <f t="array" ca="1" aca="1" ref="AZ194">_xlfn.LET(_xlpm.val,IF($F194="",val_blankRefText,_xldudf_CX_GET(CX_ENTITY,$F194,AZ$11,AZ$14,,(AZ$190))),_xlpm.Res,IF(OR(_xlpm.val="",_xlpm.val="Error"),"",_xlpm.val),_xlpm.Res)</f>
        <v>#NAME?</v>
      </c>
      <c r="BA194" s="1986" t="e" cm="1">
        <f t="array" ca="1" aca="1" ref="BA194">_xlfn.LET(_xlpm.val,IF($F194="",val_blankRefText,_xldudf_CX_GET(CX_ENTITY,$F194,BA$11,BA$14,,(BA$190))),_xlpm.Res,IF(OR(_xlpm.val="",_xlpm.val="Error"),"",_xlpm.val),_xlpm.Res)</f>
        <v>#NAME?</v>
      </c>
      <c r="BB194" s="1986" t="e" cm="1">
        <f t="array" ca="1" aca="1" ref="BB194">_xlfn.LET(_xlpm.val,IF($F194="",val_blankRefText,_xldudf_CX_GET(CX_ENTITY,$F194,BB$11,BB$14,,(BB$190))),_xlpm.Res,IF(OR(_xlpm.val="",_xlpm.val="Error"),"",_xlpm.val),_xlpm.Res)</f>
        <v>#NAME?</v>
      </c>
      <c r="BC194" s="1986" t="e" cm="1">
        <f t="array" ca="1" aca="1" ref="BC194">_xlfn.LET(_xlpm.val,IF($F194="",val_blankRefText,_xldudf_CX_GET(CX_ENTITY,$F194,BC$11,BC$14,,(BC$190))),_xlpm.Res,IF(OR(_xlpm.val="",_xlpm.val="Error"),"",_xlpm.val),_xlpm.Res)</f>
        <v>#NAME?</v>
      </c>
      <c r="BD194" s="1986" t="e" cm="1">
        <f t="array" ca="1" aca="1" ref="BD194">_xlfn.LET(_xlpm.val,IF($F194="",val_blankRefText,_xldudf_CX_GET(CX_ENTITY,$F194,BD$11,BD$14,,(BD$190))),_xlpm.Res,IF(OR(_xlpm.val="",_xlpm.val="Error"),"",_xlpm.val),_xlpm.Res)</f>
        <v>#NAME?</v>
      </c>
      <c r="BE194" s="1986" t="e" cm="1">
        <f t="array" ca="1" aca="1" ref="BE194">_xlfn.LET(_xlpm.val,IF($F194="",val_blankRefText,_xldudf_CX_GET(CX_ENTITY,$F194,BE$11,BE$14,,(BE$190))),_xlpm.Res,IF(OR(_xlpm.val="",_xlpm.val="Error"),"",_xlpm.val),_xlpm.Res)</f>
        <v>#NAME?</v>
      </c>
      <c r="BF194" s="1986" t="e" cm="1">
        <f t="array" ca="1" aca="1" ref="BF194">_xlfn.LET(_xlpm.val,IF($F194="",val_blankRefText,_xldudf_CX_GET(CX_ENTITY,$F194,BF$11,BF$14,,(BF$190))),_xlpm.Res,IF(OR(_xlpm.val="",_xlpm.val="Error"),"",_xlpm.val),_xlpm.Res)</f>
        <v>#NAME?</v>
      </c>
      <c r="BG194" s="1986" t="e" cm="1">
        <f t="array" ca="1" aca="1" ref="BG194">_xlfn.LET(_xlpm.val,IF($F194="",val_blankRefText,_xldudf_CX_GET(CX_ENTITY,$F194,BG$11,BG$14,,(BG$190))),_xlpm.Res,IF(OR(_xlpm.val="",_xlpm.val="Error"),"",_xlpm.val),_xlpm.Res)</f>
        <v>#NAME?</v>
      </c>
      <c r="BH194" s="1986" t="e" cm="1">
        <f t="array" ca="1" aca="1" ref="BH194">_xlfn.LET(_xlpm.val,IF($F194="",val_blankRefText,_xldudf_CX_GET(CX_ENTITY,$F194,BH$11,BH$14,,(BH$190))),_xlpm.Res,IF(OR(_xlpm.val="",_xlpm.val="Error"),"",_xlpm.val),_xlpm.Res)</f>
        <v>#NAME?</v>
      </c>
      <c r="BI194" s="1986" t="e" cm="1">
        <f t="array" ca="1" aca="1" ref="BI194">_xlfn.LET(_xlpm.val,IF($F194="",val_blankRefText,_xldudf_CX_GET(CX_ENTITY,$F194,BI$11,BI$14,,(BI$190))),_xlpm.Res,IF(OR(_xlpm.val="",_xlpm.val="Error"),"",_xlpm.val),_xlpm.Res)</f>
        <v>#NAME?</v>
      </c>
      <c r="BJ194" s="1986" t="e" cm="1">
        <f t="array" ca="1" aca="1" ref="BJ194">_xlfn.LET(_xlpm.val,IF($F194="",val_blankRefText,_xldudf_CX_GET(CX_ENTITY,$F194,BJ$11,BJ$14,,(BJ$190))),_xlpm.Res,IF(OR(_xlpm.val="",_xlpm.val="Error"),"",_xlpm.val),_xlpm.Res)</f>
        <v>#NAME?</v>
      </c>
      <c r="BK194" s="1986" t="e" cm="1">
        <f t="array" ca="1" aca="1" ref="BK194">_xlfn.LET(_xlpm.val,IF($F194="",val_blankRefText,_xldudf_CX_GET(CX_ENTITY,$F194,BK$11,BK$14,,(BK$190))),_xlpm.Res,IF(OR(_xlpm.val="",_xlpm.val="Error"),"",_xlpm.val),_xlpm.Res)</f>
        <v>#NAME?</v>
      </c>
      <c r="BL194" s="1986" t="e" cm="1">
        <f t="array" ca="1" aca="1" ref="BL194">_xlfn.LET(_xlpm.val,IF($F194="",val_blankRefText,_xldudf_CX_GET(CX_ENTITY,$F194,BL$11,BL$14,,(BL$190))),_xlpm.Res,IF(OR(_xlpm.val="",_xlpm.val="Error"),"",_xlpm.val),_xlpm.Res)</f>
        <v>#NAME?</v>
      </c>
      <c r="BM194" s="1986" t="e" cm="1">
        <f t="array" ca="1" aca="1" ref="BM194">_xlfn.LET(_xlpm.val,IF($F194="",val_blankRefText,_xldudf_CX_GET(CX_ENTITY,$F194,BM$11,BM$14,,(BM$190))),_xlpm.Res,IF(OR(_xlpm.val="",_xlpm.val="Error"),"",_xlpm.val),_xlpm.Res)</f>
        <v>#NAME?</v>
      </c>
      <c r="BN194" s="1986" t="e" cm="1">
        <f t="array" ca="1" aca="1" ref="BN194">_xlfn.LET(_xlpm.val,IF($F194="",val_blankRefText,_xldudf_CX_GET(CX_ENTITY,$F194,BN$11,BN$14,,(BN$190))),_xlpm.Res,IF(OR(_xlpm.val="",_xlpm.val="Error"),"",_xlpm.val),_xlpm.Res)</f>
        <v>#NAME?</v>
      </c>
      <c r="BO194" s="2103"/>
      <c r="BP194" s="2103"/>
      <c r="BQ194" s="2103"/>
      <c r="BR194" s="2103"/>
      <c r="BS194" s="2103"/>
      <c r="BT194" s="2103"/>
      <c r="BU194" s="2103"/>
      <c r="BV194" s="2103"/>
      <c r="BW194" s="2103"/>
      <c r="BX194" s="2103"/>
      <c r="BY194" s="2103"/>
      <c r="BZ194" s="2103"/>
      <c r="CA194" s="34"/>
      <c r="CC194" s="58"/>
      <c r="CD194" s="1461" t="e" cm="1">
        <f t="array" ca="1" aca="1" ref="CD194">_xlfn.LET(_xlpm.CheckBlank,SUM(PL!$AD194:$BN194)=0,IF(_xlpm.CheckBlank,"",SUM(_xlfn._xlws.FILTER(PL!$AD194:$BN194,(YEAR(PL!$AD$12:$BN$12)=PL!CD$12)*(array_timeline&lt;=PL!CD$11)))))</f>
        <v>#NAME?</v>
      </c>
      <c r="CE194" s="1461" t="e" cm="1">
        <f t="array" ca="1" aca="1" ref="CE194">_xlfn.LET(_xlpm.CheckBlank,SUM(PL!$AD194:$BN194)=0,IF(_xlpm.CheckBlank,"",SUM(_xlfn._xlws.FILTER(PL!$AD194:$BN194,(YEAR(PL!$AD$12:$BN$12)=PL!CE$12)*(array_timeline&lt;=PL!CE$11)))))</f>
        <v>#NAME?</v>
      </c>
      <c r="CF194" s="88"/>
      <c r="CG194" s="1461" t="e" cm="1">
        <f t="array" ca="1" aca="1" ref="CG194">_xlfn.LET(_xlpm.CheckBlank,SUM(PL!$AD194:$BN194)=0,IF(_xlpm.CheckBlank,"",SUM(_xlfn._xlws.FILTER(PL!$AD194:$BN194,(YEAR(PL!$AD$12:$BN$12)=PL!CG$12)*(array_timeline&lt;=PL!CG$11)))))</f>
        <v>#NAME?</v>
      </c>
      <c r="CH194" s="1461" t="e" cm="1">
        <f t="array" ca="1" aca="1" ref="CH194">_xlfn.LET(_xlpm.CheckBlank,SUM(PL!$AD194:$BN194)=0,IF(_xlpm.CheckBlank,"",SUM(_xlfn._xlws.FILTER(PL!$AD194:$BN194,(YEAR(PL!$AD$12:$BN$12)=PL!CH$12)*(array_timeline&lt;=PL!CH$11)))))</f>
        <v>#NAME?</v>
      </c>
      <c r="CI194" s="88"/>
      <c r="CJ194" s="1461" cm="1">
        <f t="array" ref="CJ194">_xlfn.LET(_xlpm.CheckBlank,SUM(PL!$AD194:$BN194)=0,IF(_xlpm.CheckBlank,"",SUM(_xlfn.TAKE(_xlfn.DROP(PL!$AD194:$BN194,,-DATEDIFF(PL!CJ$11,val_asOfDate,"M")),1,-12))))</f>
        <v>12</v>
      </c>
      <c r="CK194" s="1461" cm="1">
        <f t="array" ref="CK194">_xlfn.LET(_xlpm.CheckBlank,SUM(PL!$AD194:$BN194)=0,IF(_xlpm.CheckBlank,"",SUM(_xlfn.TAKE(_xlfn.DROP(PL!$AD194:$BN194,,-DATEDIFF(PL!CK$11,val_asOfDate,"M")),1,-12))))</f>
        <v>12</v>
      </c>
      <c r="CL194" s="88"/>
      <c r="CM194" s="1986" t="e" cm="1">
        <f t="array" ca="1" aca="1" ref="CM194">_xlfn.LET(_xlpm.val,IF($F194="",val_blankRefText,_xldudf_CX_GET(CX_ENTITY,$F194,CM$11,CM$14,,(CM$190))),_xlpm.Res,IF(OR(_xlpm.val="",_xlpm.val="Error"),"",_xlpm.val),_xlpm.Res)</f>
        <v>#NAME?</v>
      </c>
      <c r="CN194" s="1986" t="e" cm="1">
        <f t="array" ca="1" aca="1" ref="CN194">_xlfn.LET(_xlpm.val,IF($F194="",val_blankRefText,_xldudf_CX_GET(CX_ENTITY,$F194,CN$11,CN$14,,(CN$190))),_xlpm.Res,IF(OR(_xlpm.val="",_xlpm.val="Error"),"",_xlpm.val),_xlpm.Res)</f>
        <v>#NAME?</v>
      </c>
      <c r="CO194" s="1169"/>
      <c r="CP194" s="1986" t="e" cm="1">
        <f t="array" ca="1" aca="1" ref="CP194">_xlfn.LET(_xlpm.val,IF($F194="",val_blankRefText,_xldudf_CX_GET(CX_ENTITY,$F194,CP$11,CP$14,,(CP$190))),_xlpm.Res,IF(OR(_xlpm.val="",_xlpm.val="Error"),"",_xlpm.val),_xlpm.Res)</f>
        <v>#NAME?</v>
      </c>
      <c r="CQ194" s="1986" t="e" cm="1">
        <f t="array" ca="1" aca="1" ref="CQ194">_xlfn.LET(_xlpm.val,IF($F194="",val_blankRefText,_xldudf_CX_GET(CX_ENTITY,$F194,CQ$11,CQ$14,,(CQ$190))),_xlpm.Res,IF(OR(_xlpm.val="",_xlpm.val="Error"),"",_xlpm.val),_xlpm.Res)</f>
        <v>#NAME?</v>
      </c>
      <c r="CR194" s="34"/>
    </row>
    <row r="195" spans="1:96" ht="21" customHeight="1" outlineLevel="1">
      <c r="A195" s="1322"/>
      <c r="B195" s="577" t="s">
        <v>164</v>
      </c>
      <c r="C195" s="577" t="s">
        <v>1635</v>
      </c>
      <c r="D195" s="577"/>
      <c r="E195" s="577" t="e" cm="1">
        <f t="array" ca="1" aca="1" ref="E195">_xlfn.LET(_xlpm.Attr,$C195,_xlpm.Lookback,$E$16,_xlpm.QueryDate,EOMONTH(val_asOfDate,_xlpm.Lookback),_xlpm.ReadField,_xldudf_CX_GET(CX_ENTITY,fx_attrConverter($C195),_xlpm.QueryDate),_xlpm.AttrBlank,_xlpm.Attr="",_xlpm.RESULT,IF(_xlpm.AttrBlank,val_blankRefText,fx_attrConverter(_xlpm.ReadField,0)),IF(_xlpm.RESULT="Error","",_xlpm.RESULT))</f>
        <v>#NAME?</v>
      </c>
      <c r="F195" s="577" t="str">
        <f t="shared" si="56"/>
        <v>Segment I Breakdown - Amount 4</v>
      </c>
      <c r="G195" s="577" t="s">
        <v>1631</v>
      </c>
      <c r="H195" s="510">
        <v>0</v>
      </c>
      <c r="I195" s="3278">
        <v>1</v>
      </c>
      <c r="J195" s="30"/>
      <c r="K195" s="30"/>
      <c r="L195" s="579" t="b">
        <v>0</v>
      </c>
      <c r="N195" s="158"/>
      <c r="O195" s="101"/>
      <c r="P195" s="52"/>
      <c r="Q195" s="101"/>
      <c r="R195" s="101"/>
      <c r="S195" s="101"/>
      <c r="T195" s="101"/>
      <c r="U195" s="39"/>
      <c r="W195" s="554" t="e">
        <f ca="1">W187</f>
        <v>#NAME?</v>
      </c>
      <c r="X195" s="884" t="s">
        <v>62</v>
      </c>
      <c r="Y195" s="1554" t="e" cm="1">
        <f t="array" ca="1" aca="1" ref="Y195">IF($B195="",IFBLANK($E195,"Please select or type in or leave as blank"),IFBLANK($E195,$B195))</f>
        <v>#NAME?</v>
      </c>
      <c r="Z195" s="198" cm="1">
        <f t="array" ref="Z195">_xlfn.SWITCH(TRUE,ISBLANK(_PL!$L195),"",_PL!$L195=TRUE,1,_PL!$L195=FALSE,-1,_PL!$L195=-1,0,"n/a")</f>
        <v>-1</v>
      </c>
      <c r="AA195" s="905"/>
      <c r="AB195" s="1130"/>
      <c r="AC195" s="914" t="str" cm="1">
        <f t="array" ref="AC195">_xlfn.LET(_xlpm.Def,IF(_xlfn.XMATCH(AB195,tbl_acctDef[Term],0)&gt;0,fx_getIcon("find"),""),_xlpm.Adj,IF(_xlfn.XMATCH(AB195,tbl_adjExample[Items],0)&gt;0,fx_getIcon("find"),""),IFERROR(IFBLANK(_xlpm.Def,_xlpm.Adj),""))</f>
        <v/>
      </c>
      <c r="AD195" s="1986" t="e" cm="1">
        <f t="array" ca="1" aca="1" ref="AD195">_xlfn.LET(_xlpm.val,IF($F195="",val_blankRefText,_xldudf_CX_GET(CX_ENTITY,$F195,AD$11,AD$14,,(AD$190))),_xlpm.Res,IF(OR(_xlpm.val="",_xlpm.val="Error"),"",_xlpm.val),_xlpm.Res)</f>
        <v>#NAME?</v>
      </c>
      <c r="AE195" s="1986" t="e" cm="1">
        <f t="array" ca="1" aca="1" ref="AE195">_xlfn.LET(_xlpm.val,IF($F195="",val_blankRefText,_xldudf_CX_GET(CX_ENTITY,$F195,AE$11,AE$14,,(AE$190))),_xlpm.Res,IF(OR(_xlpm.val="",_xlpm.val="Error"),"",_xlpm.val),_xlpm.Res)</f>
        <v>#NAME?</v>
      </c>
      <c r="AF195" s="1986" t="e" cm="1">
        <f t="array" ca="1" aca="1" ref="AF195">_xlfn.LET(_xlpm.val,IF($F195="",val_blankRefText,_xldudf_CX_GET(CX_ENTITY,$F195,AF$11,AF$14,,(AF$190))),_xlpm.Res,IF(OR(_xlpm.val="",_xlpm.val="Error"),"",_xlpm.val),_xlpm.Res)</f>
        <v>#NAME?</v>
      </c>
      <c r="AG195" s="1986" t="e" cm="1">
        <f t="array" ca="1" aca="1" ref="AG195">_xlfn.LET(_xlpm.val,IF($F195="",val_blankRefText,_xldudf_CX_GET(CX_ENTITY,$F195,AG$11,AG$14,,(AG$190))),_xlpm.Res,IF(OR(_xlpm.val="",_xlpm.val="Error"),"",_xlpm.val),_xlpm.Res)</f>
        <v>#NAME?</v>
      </c>
      <c r="AH195" s="1986" t="e" cm="1">
        <f t="array" ca="1" aca="1" ref="AH195">_xlfn.LET(_xlpm.val,IF($F195="",val_blankRefText,_xldudf_CX_GET(CX_ENTITY,$F195,AH$11,AH$14,,(AH$190))),_xlpm.Res,IF(OR(_xlpm.val="",_xlpm.val="Error"),"",_xlpm.val),_xlpm.Res)</f>
        <v>#NAME?</v>
      </c>
      <c r="AI195" s="1986" t="e" cm="1">
        <f t="array" ca="1" aca="1" ref="AI195">_xlfn.LET(_xlpm.val,IF($F195="",val_blankRefText,_xldudf_CX_GET(CX_ENTITY,$F195,AI$11,AI$14,,(AI$190))),_xlpm.Res,IF(OR(_xlpm.val="",_xlpm.val="Error"),"",_xlpm.val),_xlpm.Res)</f>
        <v>#NAME?</v>
      </c>
      <c r="AJ195" s="1986" t="e" cm="1">
        <f t="array" ca="1" aca="1" ref="AJ195">_xlfn.LET(_xlpm.val,IF($F195="",val_blankRefText,_xldudf_CX_GET(CX_ENTITY,$F195,AJ$11,AJ$14,,(AJ$190))),_xlpm.Res,IF(OR(_xlpm.val="",_xlpm.val="Error"),"",_xlpm.val),_xlpm.Res)</f>
        <v>#NAME?</v>
      </c>
      <c r="AK195" s="1986" t="e" cm="1">
        <f t="array" ca="1" aca="1" ref="AK195">_xlfn.LET(_xlpm.val,IF($F195="",val_blankRefText,_xldudf_CX_GET(CX_ENTITY,$F195,AK$11,AK$14,,(AK$190))),_xlpm.Res,IF(OR(_xlpm.val="",_xlpm.val="Error"),"",_xlpm.val),_xlpm.Res)</f>
        <v>#NAME?</v>
      </c>
      <c r="AL195" s="1986" t="e" cm="1">
        <f t="array" ca="1" aca="1" ref="AL195">_xlfn.LET(_xlpm.val,IF($F195="",val_blankRefText,_xldudf_CX_GET(CX_ENTITY,$F195,AL$11,AL$14,,(AL$190))),_xlpm.Res,IF(OR(_xlpm.val="",_xlpm.val="Error"),"",_xlpm.val),_xlpm.Res)</f>
        <v>#NAME?</v>
      </c>
      <c r="AM195" s="1986" t="e" cm="1">
        <f t="array" ca="1" aca="1" ref="AM195">_xlfn.LET(_xlpm.val,IF($F195="",val_blankRefText,_xldudf_CX_GET(CX_ENTITY,$F195,AM$11,AM$14,,(AM$190))),_xlpm.Res,IF(OR(_xlpm.val="",_xlpm.val="Error"),"",_xlpm.val),_xlpm.Res)</f>
        <v>#NAME?</v>
      </c>
      <c r="AN195" s="1986" t="e" cm="1">
        <f t="array" ca="1" aca="1" ref="AN195">_xlfn.LET(_xlpm.val,IF($F195="",val_blankRefText,_xldudf_CX_GET(CX_ENTITY,$F195,AN$11,AN$14,,(AN$190))),_xlpm.Res,IF(OR(_xlpm.val="",_xlpm.val="Error"),"",_xlpm.val),_xlpm.Res)</f>
        <v>#NAME?</v>
      </c>
      <c r="AO195" s="1986" t="e" cm="1">
        <f t="array" ca="1" aca="1" ref="AO195">_xlfn.LET(_xlpm.val,IF($F195="",val_blankRefText,_xldudf_CX_GET(CX_ENTITY,$F195,AO$11,AO$14,,(AO$190))),_xlpm.Res,IF(OR(_xlpm.val="",_xlpm.val="Error"),"",_xlpm.val),_xlpm.Res)</f>
        <v>#NAME?</v>
      </c>
      <c r="AP195" s="1986" t="e" cm="1">
        <f t="array" ca="1" aca="1" ref="AP195">_xlfn.LET(_xlpm.val,IF($F195="",val_blankRefText,_xldudf_CX_GET(CX_ENTITY,$F195,AP$11,AP$14,,(AP$190))),_xlpm.Res,IF(OR(_xlpm.val="",_xlpm.val="Error"),"",_xlpm.val),_xlpm.Res)</f>
        <v>#NAME?</v>
      </c>
      <c r="AQ195" s="1986" t="e" cm="1">
        <f t="array" ca="1" aca="1" ref="AQ195">_xlfn.LET(_xlpm.val,IF($F195="",val_blankRefText,_xldudf_CX_GET(CX_ENTITY,$F195,AQ$11,AQ$14,,(AQ$190))),_xlpm.Res,IF(OR(_xlpm.val="",_xlpm.val="Error"),"",_xlpm.val),_xlpm.Res)</f>
        <v>#NAME?</v>
      </c>
      <c r="AR195" s="1986" t="e" cm="1">
        <f t="array" ca="1" aca="1" ref="AR195">_xlfn.LET(_xlpm.val,IF($F195="",val_blankRefText,_xldudf_CX_GET(CX_ENTITY,$F195,AR$11,AR$14,,(AR$190))),_xlpm.Res,IF(OR(_xlpm.val="",_xlpm.val="Error"),"",_xlpm.val),_xlpm.Res)</f>
        <v>#NAME?</v>
      </c>
      <c r="AS195" s="1986" t="e" cm="1">
        <f t="array" ca="1" aca="1" ref="AS195">_xlfn.LET(_xlpm.val,IF($F195="",val_blankRefText,_xldudf_CX_GET(CX_ENTITY,$F195,AS$11,AS$14,,(AS$190))),_xlpm.Res,IF(OR(_xlpm.val="",_xlpm.val="Error"),"",_xlpm.val),_xlpm.Res)</f>
        <v>#NAME?</v>
      </c>
      <c r="AT195" s="1986" t="e" cm="1">
        <f t="array" ca="1" aca="1" ref="AT195">_xlfn.LET(_xlpm.val,IF($F195="",val_blankRefText,_xldudf_CX_GET(CX_ENTITY,$F195,AT$11,AT$14,,(AT$190))),_xlpm.Res,IF(OR(_xlpm.val="",_xlpm.val="Error"),"",_xlpm.val),_xlpm.Res)</f>
        <v>#NAME?</v>
      </c>
      <c r="AU195" s="1986" t="e" cm="1">
        <f t="array" ca="1" aca="1" ref="AU195">_xlfn.LET(_xlpm.val,IF($F195="",val_blankRefText,_xldudf_CX_GET(CX_ENTITY,$F195,AU$11,AU$14,,(AU$190))),_xlpm.Res,IF(OR(_xlpm.val="",_xlpm.val="Error"),"",_xlpm.val),_xlpm.Res)</f>
        <v>#NAME?</v>
      </c>
      <c r="AV195" s="1986" t="e" cm="1">
        <f t="array" ca="1" aca="1" ref="AV195">_xlfn.LET(_xlpm.val,IF($F195="",val_blankRefText,_xldudf_CX_GET(CX_ENTITY,$F195,AV$11,AV$14,,(AV$190))),_xlpm.Res,IF(OR(_xlpm.val="",_xlpm.val="Error"),"",_xlpm.val),_xlpm.Res)</f>
        <v>#NAME?</v>
      </c>
      <c r="AW195" s="1986" t="e" cm="1">
        <f t="array" ca="1" aca="1" ref="AW195">_xlfn.LET(_xlpm.val,IF($F195="",val_blankRefText,_xldudf_CX_GET(CX_ENTITY,$F195,AW$11,AW$14,,(AW$190))),_xlpm.Res,IF(OR(_xlpm.val="",_xlpm.val="Error"),"",_xlpm.val),_xlpm.Res)</f>
        <v>#NAME?</v>
      </c>
      <c r="AX195" s="1986" t="e" cm="1">
        <f t="array" ca="1" aca="1" ref="AX195">_xlfn.LET(_xlpm.val,IF($F195="",val_blankRefText,_xldudf_CX_GET(CX_ENTITY,$F195,AX$11,AX$14,,(AX$190))),_xlpm.Res,IF(OR(_xlpm.val="",_xlpm.val="Error"),"",_xlpm.val),_xlpm.Res)</f>
        <v>#NAME?</v>
      </c>
      <c r="AY195" s="1986" t="e" cm="1">
        <f t="array" ca="1" aca="1" ref="AY195">_xlfn.LET(_xlpm.val,IF($F195="",val_blankRefText,_xldudf_CX_GET(CX_ENTITY,$F195,AY$11,AY$14,,(AY$190))),_xlpm.Res,IF(OR(_xlpm.val="",_xlpm.val="Error"),"",_xlpm.val),_xlpm.Res)</f>
        <v>#NAME?</v>
      </c>
      <c r="AZ195" s="1986" t="e" cm="1">
        <f t="array" ca="1" aca="1" ref="AZ195">_xlfn.LET(_xlpm.val,IF($F195="",val_blankRefText,_xldudf_CX_GET(CX_ENTITY,$F195,AZ$11,AZ$14,,(AZ$190))),_xlpm.Res,IF(OR(_xlpm.val="",_xlpm.val="Error"),"",_xlpm.val),_xlpm.Res)</f>
        <v>#NAME?</v>
      </c>
      <c r="BA195" s="1986" t="e" cm="1">
        <f t="array" ca="1" aca="1" ref="BA195">_xlfn.LET(_xlpm.val,IF($F195="",val_blankRefText,_xldudf_CX_GET(CX_ENTITY,$F195,BA$11,BA$14,,(BA$190))),_xlpm.Res,IF(OR(_xlpm.val="",_xlpm.val="Error"),"",_xlpm.val),_xlpm.Res)</f>
        <v>#NAME?</v>
      </c>
      <c r="BB195" s="1986" t="e" cm="1">
        <f t="array" ca="1" aca="1" ref="BB195">_xlfn.LET(_xlpm.val,IF($F195="",val_blankRefText,_xldudf_CX_GET(CX_ENTITY,$F195,BB$11,BB$14,,(BB$190))),_xlpm.Res,IF(OR(_xlpm.val="",_xlpm.val="Error"),"",_xlpm.val),_xlpm.Res)</f>
        <v>#NAME?</v>
      </c>
      <c r="BC195" s="1986" t="e" cm="1">
        <f t="array" ca="1" aca="1" ref="BC195">_xlfn.LET(_xlpm.val,IF($F195="",val_blankRefText,_xldudf_CX_GET(CX_ENTITY,$F195,BC$11,BC$14,,(BC$190))),_xlpm.Res,IF(OR(_xlpm.val="",_xlpm.val="Error"),"",_xlpm.val),_xlpm.Res)</f>
        <v>#NAME?</v>
      </c>
      <c r="BD195" s="1986" t="e" cm="1">
        <f t="array" ca="1" aca="1" ref="BD195">_xlfn.LET(_xlpm.val,IF($F195="",val_blankRefText,_xldudf_CX_GET(CX_ENTITY,$F195,BD$11,BD$14,,(BD$190))),_xlpm.Res,IF(OR(_xlpm.val="",_xlpm.val="Error"),"",_xlpm.val),_xlpm.Res)</f>
        <v>#NAME?</v>
      </c>
      <c r="BE195" s="1986" t="e" cm="1">
        <f t="array" ca="1" aca="1" ref="BE195">_xlfn.LET(_xlpm.val,IF($F195="",val_blankRefText,_xldudf_CX_GET(CX_ENTITY,$F195,BE$11,BE$14,,(BE$190))),_xlpm.Res,IF(OR(_xlpm.val="",_xlpm.val="Error"),"",_xlpm.val),_xlpm.Res)</f>
        <v>#NAME?</v>
      </c>
      <c r="BF195" s="1986" t="e" cm="1">
        <f t="array" ca="1" aca="1" ref="BF195">_xlfn.LET(_xlpm.val,IF($F195="",val_blankRefText,_xldudf_CX_GET(CX_ENTITY,$F195,BF$11,BF$14,,(BF$190))),_xlpm.Res,IF(OR(_xlpm.val="",_xlpm.val="Error"),"",_xlpm.val),_xlpm.Res)</f>
        <v>#NAME?</v>
      </c>
      <c r="BG195" s="1986" t="e" cm="1">
        <f t="array" ca="1" aca="1" ref="BG195">_xlfn.LET(_xlpm.val,IF($F195="",val_blankRefText,_xldudf_CX_GET(CX_ENTITY,$F195,BG$11,BG$14,,(BG$190))),_xlpm.Res,IF(OR(_xlpm.val="",_xlpm.val="Error"),"",_xlpm.val),_xlpm.Res)</f>
        <v>#NAME?</v>
      </c>
      <c r="BH195" s="1986" t="e" cm="1">
        <f t="array" ca="1" aca="1" ref="BH195">_xlfn.LET(_xlpm.val,IF($F195="",val_blankRefText,_xldudf_CX_GET(CX_ENTITY,$F195,BH$11,BH$14,,(BH$190))),_xlpm.Res,IF(OR(_xlpm.val="",_xlpm.val="Error"),"",_xlpm.val),_xlpm.Res)</f>
        <v>#NAME?</v>
      </c>
      <c r="BI195" s="1986" t="e" cm="1">
        <f t="array" ca="1" aca="1" ref="BI195">_xlfn.LET(_xlpm.val,IF($F195="",val_blankRefText,_xldudf_CX_GET(CX_ENTITY,$F195,BI$11,BI$14,,(BI$190))),_xlpm.Res,IF(OR(_xlpm.val="",_xlpm.val="Error"),"",_xlpm.val),_xlpm.Res)</f>
        <v>#NAME?</v>
      </c>
      <c r="BJ195" s="1986" t="e" cm="1">
        <f t="array" ca="1" aca="1" ref="BJ195">_xlfn.LET(_xlpm.val,IF($F195="",val_blankRefText,_xldudf_CX_GET(CX_ENTITY,$F195,BJ$11,BJ$14,,(BJ$190))),_xlpm.Res,IF(OR(_xlpm.val="",_xlpm.val="Error"),"",_xlpm.val),_xlpm.Res)</f>
        <v>#NAME?</v>
      </c>
      <c r="BK195" s="1986" t="e" cm="1">
        <f t="array" ca="1" aca="1" ref="BK195">_xlfn.LET(_xlpm.val,IF($F195="",val_blankRefText,_xldudf_CX_GET(CX_ENTITY,$F195,BK$11,BK$14,,(BK$190))),_xlpm.Res,IF(OR(_xlpm.val="",_xlpm.val="Error"),"",_xlpm.val),_xlpm.Res)</f>
        <v>#NAME?</v>
      </c>
      <c r="BL195" s="1986" t="e" cm="1">
        <f t="array" ca="1" aca="1" ref="BL195">_xlfn.LET(_xlpm.val,IF($F195="",val_blankRefText,_xldudf_CX_GET(CX_ENTITY,$F195,BL$11,BL$14,,(BL$190))),_xlpm.Res,IF(OR(_xlpm.val="",_xlpm.val="Error"),"",_xlpm.val),_xlpm.Res)</f>
        <v>#NAME?</v>
      </c>
      <c r="BM195" s="1986" t="e" cm="1">
        <f t="array" ca="1" aca="1" ref="BM195">_xlfn.LET(_xlpm.val,IF($F195="",val_blankRefText,_xldudf_CX_GET(CX_ENTITY,$F195,BM$11,BM$14,,(BM$190))),_xlpm.Res,IF(OR(_xlpm.val="",_xlpm.val="Error"),"",_xlpm.val),_xlpm.Res)</f>
        <v>#NAME?</v>
      </c>
      <c r="BN195" s="1986" t="e" cm="1">
        <f t="array" ca="1" aca="1" ref="BN195">_xlfn.LET(_xlpm.val,IF($F195="",val_blankRefText,_xldudf_CX_GET(CX_ENTITY,$F195,BN$11,BN$14,,(BN$190))),_xlpm.Res,IF(OR(_xlpm.val="",_xlpm.val="Error"),"",_xlpm.val),_xlpm.Res)</f>
        <v>#NAME?</v>
      </c>
      <c r="BO195" s="2103"/>
      <c r="BP195" s="2103"/>
      <c r="BQ195" s="2103"/>
      <c r="BR195" s="2103"/>
      <c r="BS195" s="2103"/>
      <c r="BT195" s="2103"/>
      <c r="BU195" s="2103"/>
      <c r="BV195" s="2103"/>
      <c r="BW195" s="2103"/>
      <c r="BX195" s="2103"/>
      <c r="BY195" s="2103"/>
      <c r="BZ195" s="2103"/>
      <c r="CA195" s="34"/>
      <c r="CC195" s="58"/>
      <c r="CD195" s="1461" t="e" cm="1">
        <f t="array" ca="1" aca="1" ref="CD195">_xlfn.LET(_xlpm.CheckBlank,SUM(PL!$AD195:$BN195)=0,IF(_xlpm.CheckBlank,"",SUM(_xlfn._xlws.FILTER(PL!$AD195:$BN195,(YEAR(PL!$AD$12:$BN$12)=PL!CD$12)*(array_timeline&lt;=PL!CD$11)))))</f>
        <v>#NAME?</v>
      </c>
      <c r="CE195" s="1461" t="e" cm="1">
        <f t="array" ca="1" aca="1" ref="CE195">_xlfn.LET(_xlpm.CheckBlank,SUM(PL!$AD195:$BN195)=0,IF(_xlpm.CheckBlank,"",SUM(_xlfn._xlws.FILTER(PL!$AD195:$BN195,(YEAR(PL!$AD$12:$BN$12)=PL!CE$12)*(array_timeline&lt;=PL!CE$11)))))</f>
        <v>#NAME?</v>
      </c>
      <c r="CF195" s="88"/>
      <c r="CG195" s="1461" t="e" cm="1">
        <f t="array" ca="1" aca="1" ref="CG195">_xlfn.LET(_xlpm.CheckBlank,SUM(PL!$AD195:$BN195)=0,IF(_xlpm.CheckBlank,"",SUM(_xlfn._xlws.FILTER(PL!$AD195:$BN195,(YEAR(PL!$AD$12:$BN$12)=PL!CG$12)*(array_timeline&lt;=PL!CG$11)))))</f>
        <v>#NAME?</v>
      </c>
      <c r="CH195" s="1461" t="e" cm="1">
        <f t="array" ca="1" aca="1" ref="CH195">_xlfn.LET(_xlpm.CheckBlank,SUM(PL!$AD195:$BN195)=0,IF(_xlpm.CheckBlank,"",SUM(_xlfn._xlws.FILTER(PL!$AD195:$BN195,(YEAR(PL!$AD$12:$BN$12)=PL!CH$12)*(array_timeline&lt;=PL!CH$11)))))</f>
        <v>#NAME?</v>
      </c>
      <c r="CI195" s="88"/>
      <c r="CJ195" s="1461" cm="1">
        <f t="array" ref="CJ195">_xlfn.LET(_xlpm.CheckBlank,SUM(PL!$AD195:$BN195)=0,IF(_xlpm.CheckBlank,"",SUM(_xlfn.TAKE(_xlfn.DROP(PL!$AD195:$BN195,,-DATEDIFF(PL!CJ$11,val_asOfDate,"M")),1,-12))))</f>
        <v>12</v>
      </c>
      <c r="CK195" s="1461" cm="1">
        <f t="array" ref="CK195">_xlfn.LET(_xlpm.CheckBlank,SUM(PL!$AD195:$BN195)=0,IF(_xlpm.CheckBlank,"",SUM(_xlfn.TAKE(_xlfn.DROP(PL!$AD195:$BN195,,-DATEDIFF(PL!CK$11,val_asOfDate,"M")),1,-12))))</f>
        <v>12</v>
      </c>
      <c r="CL195" s="88"/>
      <c r="CM195" s="1986" t="e" cm="1">
        <f t="array" ca="1" aca="1" ref="CM195">_xlfn.LET(_xlpm.val,IF($F195="",val_blankRefText,_xldudf_CX_GET(CX_ENTITY,$F195,CM$11,CM$14,,(CM$190))),_xlpm.Res,IF(OR(_xlpm.val="",_xlpm.val="Error"),"",_xlpm.val),_xlpm.Res)</f>
        <v>#NAME?</v>
      </c>
      <c r="CN195" s="1986" t="e" cm="1">
        <f t="array" ca="1" aca="1" ref="CN195">_xlfn.LET(_xlpm.val,IF($F195="",val_blankRefText,_xldudf_CX_GET(CX_ENTITY,$F195,CN$11,CN$14,,(CN$190))),_xlpm.Res,IF(OR(_xlpm.val="",_xlpm.val="Error"),"",_xlpm.val),_xlpm.Res)</f>
        <v>#NAME?</v>
      </c>
      <c r="CO195" s="1169"/>
      <c r="CP195" s="1986" t="e" cm="1">
        <f t="array" ca="1" aca="1" ref="CP195">_xlfn.LET(_xlpm.val,IF($F195="",val_blankRefText,_xldudf_CX_GET(CX_ENTITY,$F195,CP$11,CP$14,,(CP$190))),_xlpm.Res,IF(OR(_xlpm.val="",_xlpm.val="Error"),"",_xlpm.val),_xlpm.Res)</f>
        <v>#NAME?</v>
      </c>
      <c r="CQ195" s="1986" t="e" cm="1">
        <f t="array" ca="1" aca="1" ref="CQ195">_xlfn.LET(_xlpm.val,IF($F195="",val_blankRefText,_xldudf_CX_GET(CX_ENTITY,$F195,CQ$11,CQ$14,,(CQ$190))),_xlpm.Res,IF(OR(_xlpm.val="",_xlpm.val="Error"),"",_xlpm.val),_xlpm.Res)</f>
        <v>#NAME?</v>
      </c>
      <c r="CR195" s="34"/>
    </row>
    <row r="196" spans="1:96" ht="21" customHeight="1" outlineLevel="1">
      <c r="A196" s="1322"/>
      <c r="B196" s="577" t="s">
        <v>165</v>
      </c>
      <c r="C196" s="577" t="s">
        <v>1636</v>
      </c>
      <c r="D196" s="577"/>
      <c r="E196" s="577" t="e" cm="1">
        <f t="array" ca="1" aca="1" ref="E196">_xlfn.LET(_xlpm.Attr,$C196,_xlpm.Lookback,$E$16,_xlpm.QueryDate,EOMONTH(val_asOfDate,_xlpm.Lookback),_xlpm.ReadField,_xldudf_CX_GET(CX_ENTITY,fx_attrConverter($C196),_xlpm.QueryDate),_xlpm.AttrBlank,_xlpm.Attr="",_xlpm.RESULT,IF(_xlpm.AttrBlank,val_blankRefText,fx_attrConverter(_xlpm.ReadField,0)),IF(_xlpm.RESULT="Error","",_xlpm.RESULT))</f>
        <v>#NAME?</v>
      </c>
      <c r="F196" s="577" t="str">
        <f t="shared" si="56"/>
        <v>Segment I Breakdown - Amount 5</v>
      </c>
      <c r="G196" s="577" t="s">
        <v>1631</v>
      </c>
      <c r="H196" s="510">
        <v>0</v>
      </c>
      <c r="I196" s="3278">
        <v>1</v>
      </c>
      <c r="J196" s="30"/>
      <c r="K196" s="30"/>
      <c r="L196" s="579" t="b">
        <v>0</v>
      </c>
      <c r="N196" s="158"/>
      <c r="O196" s="101"/>
      <c r="P196" s="52"/>
      <c r="Q196" s="101"/>
      <c r="R196" s="101"/>
      <c r="S196" s="2"/>
      <c r="T196" s="153"/>
      <c r="U196" s="39"/>
      <c r="W196" s="554" t="e">
        <f ca="1">W187</f>
        <v>#NAME?</v>
      </c>
      <c r="X196" s="884" t="s">
        <v>62</v>
      </c>
      <c r="Y196" s="1554" t="e" cm="1">
        <f t="array" ca="1" aca="1" ref="Y196">IF($B196="",IFBLANK($E196,"Please select or type in or leave as blank"),IFBLANK($E196,$B196))</f>
        <v>#NAME?</v>
      </c>
      <c r="Z196" s="198" cm="1">
        <f t="array" ref="Z196">_xlfn.SWITCH(TRUE,ISBLANK(_PL!$L196),"",_PL!$L196=TRUE,1,_PL!$L196=FALSE,-1,_PL!$L196=-1,0,"n/a")</f>
        <v>-1</v>
      </c>
      <c r="AA196" s="905"/>
      <c r="AB196" s="591"/>
      <c r="AC196" s="914" t="str" cm="1">
        <f t="array" ref="AC196">_xlfn.LET(_xlpm.Def,IF(_xlfn.XMATCH(AB196,tbl_acctDef[Term],0)&gt;0,fx_getIcon("find"),""),_xlpm.Adj,IF(_xlfn.XMATCH(AB196,tbl_adjExample[Items],0)&gt;0,fx_getIcon("find"),""),IFERROR(IFBLANK(_xlpm.Def,_xlpm.Adj),""))</f>
        <v/>
      </c>
      <c r="AD196" s="1986" t="e" cm="1">
        <f t="array" ca="1" aca="1" ref="AD196">_xlfn.LET(_xlpm.val,IF($F196="",val_blankRefText,_xldudf_CX_GET(CX_ENTITY,$F196,AD$11,AD$14,,(AD$190))),_xlpm.Res,IF(OR(_xlpm.val="",_xlpm.val="Error"),"",_xlpm.val),_xlpm.Res)</f>
        <v>#NAME?</v>
      </c>
      <c r="AE196" s="1986" t="e" cm="1">
        <f t="array" ca="1" aca="1" ref="AE196">_xlfn.LET(_xlpm.val,IF($F196="",val_blankRefText,_xldudf_CX_GET(CX_ENTITY,$F196,AE$11,AE$14,,(AE$190))),_xlpm.Res,IF(OR(_xlpm.val="",_xlpm.val="Error"),"",_xlpm.val),_xlpm.Res)</f>
        <v>#NAME?</v>
      </c>
      <c r="AF196" s="1986" t="e" cm="1">
        <f t="array" ca="1" aca="1" ref="AF196">_xlfn.LET(_xlpm.val,IF($F196="",val_blankRefText,_xldudf_CX_GET(CX_ENTITY,$F196,AF$11,AF$14,,(AF$190))),_xlpm.Res,IF(OR(_xlpm.val="",_xlpm.val="Error"),"",_xlpm.val),_xlpm.Res)</f>
        <v>#NAME?</v>
      </c>
      <c r="AG196" s="1986" t="e" cm="1">
        <f t="array" ca="1" aca="1" ref="AG196">_xlfn.LET(_xlpm.val,IF($F196="",val_blankRefText,_xldudf_CX_GET(CX_ENTITY,$F196,AG$11,AG$14,,(AG$190))),_xlpm.Res,IF(OR(_xlpm.val="",_xlpm.val="Error"),"",_xlpm.val),_xlpm.Res)</f>
        <v>#NAME?</v>
      </c>
      <c r="AH196" s="1986" t="e" cm="1">
        <f t="array" ca="1" aca="1" ref="AH196">_xlfn.LET(_xlpm.val,IF($F196="",val_blankRefText,_xldudf_CX_GET(CX_ENTITY,$F196,AH$11,AH$14,,(AH$190))),_xlpm.Res,IF(OR(_xlpm.val="",_xlpm.val="Error"),"",_xlpm.val),_xlpm.Res)</f>
        <v>#NAME?</v>
      </c>
      <c r="AI196" s="1986" t="e" cm="1">
        <f t="array" ca="1" aca="1" ref="AI196">_xlfn.LET(_xlpm.val,IF($F196="",val_blankRefText,_xldudf_CX_GET(CX_ENTITY,$F196,AI$11,AI$14,,(AI$190))),_xlpm.Res,IF(OR(_xlpm.val="",_xlpm.val="Error"),"",_xlpm.val),_xlpm.Res)</f>
        <v>#NAME?</v>
      </c>
      <c r="AJ196" s="1986" t="e" cm="1">
        <f t="array" ca="1" aca="1" ref="AJ196">_xlfn.LET(_xlpm.val,IF($F196="",val_blankRefText,_xldudf_CX_GET(CX_ENTITY,$F196,AJ$11,AJ$14,,(AJ$190))),_xlpm.Res,IF(OR(_xlpm.val="",_xlpm.val="Error"),"",_xlpm.val),_xlpm.Res)</f>
        <v>#NAME?</v>
      </c>
      <c r="AK196" s="1986" t="e" cm="1">
        <f t="array" ca="1" aca="1" ref="AK196">_xlfn.LET(_xlpm.val,IF($F196="",val_blankRefText,_xldudf_CX_GET(CX_ENTITY,$F196,AK$11,AK$14,,(AK$190))),_xlpm.Res,IF(OR(_xlpm.val="",_xlpm.val="Error"),"",_xlpm.val),_xlpm.Res)</f>
        <v>#NAME?</v>
      </c>
      <c r="AL196" s="1986" t="e" cm="1">
        <f t="array" ca="1" aca="1" ref="AL196">_xlfn.LET(_xlpm.val,IF($F196="",val_blankRefText,_xldudf_CX_GET(CX_ENTITY,$F196,AL$11,AL$14,,(AL$190))),_xlpm.Res,IF(OR(_xlpm.val="",_xlpm.val="Error"),"",_xlpm.val),_xlpm.Res)</f>
        <v>#NAME?</v>
      </c>
      <c r="AM196" s="1986" t="e" cm="1">
        <f t="array" ca="1" aca="1" ref="AM196">_xlfn.LET(_xlpm.val,IF($F196="",val_blankRefText,_xldudf_CX_GET(CX_ENTITY,$F196,AM$11,AM$14,,(AM$190))),_xlpm.Res,IF(OR(_xlpm.val="",_xlpm.val="Error"),"",_xlpm.val),_xlpm.Res)</f>
        <v>#NAME?</v>
      </c>
      <c r="AN196" s="1986" t="e" cm="1">
        <f t="array" ca="1" aca="1" ref="AN196">_xlfn.LET(_xlpm.val,IF($F196="",val_blankRefText,_xldudf_CX_GET(CX_ENTITY,$F196,AN$11,AN$14,,(AN$190))),_xlpm.Res,IF(OR(_xlpm.val="",_xlpm.val="Error"),"",_xlpm.val),_xlpm.Res)</f>
        <v>#NAME?</v>
      </c>
      <c r="AO196" s="1986" t="e" cm="1">
        <f t="array" ca="1" aca="1" ref="AO196">_xlfn.LET(_xlpm.val,IF($F196="",val_blankRefText,_xldudf_CX_GET(CX_ENTITY,$F196,AO$11,AO$14,,(AO$190))),_xlpm.Res,IF(OR(_xlpm.val="",_xlpm.val="Error"),"",_xlpm.val),_xlpm.Res)</f>
        <v>#NAME?</v>
      </c>
      <c r="AP196" s="1986" t="e" cm="1">
        <f t="array" ca="1" aca="1" ref="AP196">_xlfn.LET(_xlpm.val,IF($F196="",val_blankRefText,_xldudf_CX_GET(CX_ENTITY,$F196,AP$11,AP$14,,(AP$190))),_xlpm.Res,IF(OR(_xlpm.val="",_xlpm.val="Error"),"",_xlpm.val),_xlpm.Res)</f>
        <v>#NAME?</v>
      </c>
      <c r="AQ196" s="1986" t="e" cm="1">
        <f t="array" ca="1" aca="1" ref="AQ196">_xlfn.LET(_xlpm.val,IF($F196="",val_blankRefText,_xldudf_CX_GET(CX_ENTITY,$F196,AQ$11,AQ$14,,(AQ$190))),_xlpm.Res,IF(OR(_xlpm.val="",_xlpm.val="Error"),"",_xlpm.val),_xlpm.Res)</f>
        <v>#NAME?</v>
      </c>
      <c r="AR196" s="1986" t="e" cm="1">
        <f t="array" ca="1" aca="1" ref="AR196">_xlfn.LET(_xlpm.val,IF($F196="",val_blankRefText,_xldudf_CX_GET(CX_ENTITY,$F196,AR$11,AR$14,,(AR$190))),_xlpm.Res,IF(OR(_xlpm.val="",_xlpm.val="Error"),"",_xlpm.val),_xlpm.Res)</f>
        <v>#NAME?</v>
      </c>
      <c r="AS196" s="1986" t="e" cm="1">
        <f t="array" ca="1" aca="1" ref="AS196">_xlfn.LET(_xlpm.val,IF($F196="",val_blankRefText,_xldudf_CX_GET(CX_ENTITY,$F196,AS$11,AS$14,,(AS$190))),_xlpm.Res,IF(OR(_xlpm.val="",_xlpm.val="Error"),"",_xlpm.val),_xlpm.Res)</f>
        <v>#NAME?</v>
      </c>
      <c r="AT196" s="1986" t="e" cm="1">
        <f t="array" ca="1" aca="1" ref="AT196">_xlfn.LET(_xlpm.val,IF($F196="",val_blankRefText,_xldudf_CX_GET(CX_ENTITY,$F196,AT$11,AT$14,,(AT$190))),_xlpm.Res,IF(OR(_xlpm.val="",_xlpm.val="Error"),"",_xlpm.val),_xlpm.Res)</f>
        <v>#NAME?</v>
      </c>
      <c r="AU196" s="1986" t="e" cm="1">
        <f t="array" ca="1" aca="1" ref="AU196">_xlfn.LET(_xlpm.val,IF($F196="",val_blankRefText,_xldudf_CX_GET(CX_ENTITY,$F196,AU$11,AU$14,,(AU$190))),_xlpm.Res,IF(OR(_xlpm.val="",_xlpm.val="Error"),"",_xlpm.val),_xlpm.Res)</f>
        <v>#NAME?</v>
      </c>
      <c r="AV196" s="1986" t="e" cm="1">
        <f t="array" ca="1" aca="1" ref="AV196">_xlfn.LET(_xlpm.val,IF($F196="",val_blankRefText,_xldudf_CX_GET(CX_ENTITY,$F196,AV$11,AV$14,,(AV$190))),_xlpm.Res,IF(OR(_xlpm.val="",_xlpm.val="Error"),"",_xlpm.val),_xlpm.Res)</f>
        <v>#NAME?</v>
      </c>
      <c r="AW196" s="1986" t="e" cm="1">
        <f t="array" ca="1" aca="1" ref="AW196">_xlfn.LET(_xlpm.val,IF($F196="",val_blankRefText,_xldudf_CX_GET(CX_ENTITY,$F196,AW$11,AW$14,,(AW$190))),_xlpm.Res,IF(OR(_xlpm.val="",_xlpm.val="Error"),"",_xlpm.val),_xlpm.Res)</f>
        <v>#NAME?</v>
      </c>
      <c r="AX196" s="1986" t="e" cm="1">
        <f t="array" ca="1" aca="1" ref="AX196">_xlfn.LET(_xlpm.val,IF($F196="",val_blankRefText,_xldudf_CX_GET(CX_ENTITY,$F196,AX$11,AX$14,,(AX$190))),_xlpm.Res,IF(OR(_xlpm.val="",_xlpm.val="Error"),"",_xlpm.val),_xlpm.Res)</f>
        <v>#NAME?</v>
      </c>
      <c r="AY196" s="1986" t="e" cm="1">
        <f t="array" ca="1" aca="1" ref="AY196">_xlfn.LET(_xlpm.val,IF($F196="",val_blankRefText,_xldudf_CX_GET(CX_ENTITY,$F196,AY$11,AY$14,,(AY$190))),_xlpm.Res,IF(OR(_xlpm.val="",_xlpm.val="Error"),"",_xlpm.val),_xlpm.Res)</f>
        <v>#NAME?</v>
      </c>
      <c r="AZ196" s="1986" t="e" cm="1">
        <f t="array" ca="1" aca="1" ref="AZ196">_xlfn.LET(_xlpm.val,IF($F196="",val_blankRefText,_xldudf_CX_GET(CX_ENTITY,$F196,AZ$11,AZ$14,,(AZ$190))),_xlpm.Res,IF(OR(_xlpm.val="",_xlpm.val="Error"),"",_xlpm.val),_xlpm.Res)</f>
        <v>#NAME?</v>
      </c>
      <c r="BA196" s="1986" t="e" cm="1">
        <f t="array" ca="1" aca="1" ref="BA196">_xlfn.LET(_xlpm.val,IF($F196="",val_blankRefText,_xldudf_CX_GET(CX_ENTITY,$F196,BA$11,BA$14,,(BA$190))),_xlpm.Res,IF(OR(_xlpm.val="",_xlpm.val="Error"),"",_xlpm.val),_xlpm.Res)</f>
        <v>#NAME?</v>
      </c>
      <c r="BB196" s="1986" t="e" cm="1">
        <f t="array" ca="1" aca="1" ref="BB196">_xlfn.LET(_xlpm.val,IF($F196="",val_blankRefText,_xldudf_CX_GET(CX_ENTITY,$F196,BB$11,BB$14,,(BB$190))),_xlpm.Res,IF(OR(_xlpm.val="",_xlpm.val="Error"),"",_xlpm.val),_xlpm.Res)</f>
        <v>#NAME?</v>
      </c>
      <c r="BC196" s="1986" t="e" cm="1">
        <f t="array" ca="1" aca="1" ref="BC196">_xlfn.LET(_xlpm.val,IF($F196="",val_blankRefText,_xldudf_CX_GET(CX_ENTITY,$F196,BC$11,BC$14,,(BC$190))),_xlpm.Res,IF(OR(_xlpm.val="",_xlpm.val="Error"),"",_xlpm.val),_xlpm.Res)</f>
        <v>#NAME?</v>
      </c>
      <c r="BD196" s="1986" t="e" cm="1">
        <f t="array" ca="1" aca="1" ref="BD196">_xlfn.LET(_xlpm.val,IF($F196="",val_blankRefText,_xldudf_CX_GET(CX_ENTITY,$F196,BD$11,BD$14,,(BD$190))),_xlpm.Res,IF(OR(_xlpm.val="",_xlpm.val="Error"),"",_xlpm.val),_xlpm.Res)</f>
        <v>#NAME?</v>
      </c>
      <c r="BE196" s="1986" t="e" cm="1">
        <f t="array" ca="1" aca="1" ref="BE196">_xlfn.LET(_xlpm.val,IF($F196="",val_blankRefText,_xldudf_CX_GET(CX_ENTITY,$F196,BE$11,BE$14,,(BE$190))),_xlpm.Res,IF(OR(_xlpm.val="",_xlpm.val="Error"),"",_xlpm.val),_xlpm.Res)</f>
        <v>#NAME?</v>
      </c>
      <c r="BF196" s="1986" t="e" cm="1">
        <f t="array" ca="1" aca="1" ref="BF196">_xlfn.LET(_xlpm.val,IF($F196="",val_blankRefText,_xldudf_CX_GET(CX_ENTITY,$F196,BF$11,BF$14,,(BF$190))),_xlpm.Res,IF(OR(_xlpm.val="",_xlpm.val="Error"),"",_xlpm.val),_xlpm.Res)</f>
        <v>#NAME?</v>
      </c>
      <c r="BG196" s="1986" t="e" cm="1">
        <f t="array" ca="1" aca="1" ref="BG196">_xlfn.LET(_xlpm.val,IF($F196="",val_blankRefText,_xldudf_CX_GET(CX_ENTITY,$F196,BG$11,BG$14,,(BG$190))),_xlpm.Res,IF(OR(_xlpm.val="",_xlpm.val="Error"),"",_xlpm.val),_xlpm.Res)</f>
        <v>#NAME?</v>
      </c>
      <c r="BH196" s="1986" t="e" cm="1">
        <f t="array" ca="1" aca="1" ref="BH196">_xlfn.LET(_xlpm.val,IF($F196="",val_blankRefText,_xldudf_CX_GET(CX_ENTITY,$F196,BH$11,BH$14,,(BH$190))),_xlpm.Res,IF(OR(_xlpm.val="",_xlpm.val="Error"),"",_xlpm.val),_xlpm.Res)</f>
        <v>#NAME?</v>
      </c>
      <c r="BI196" s="1986" t="e" cm="1">
        <f t="array" ca="1" aca="1" ref="BI196">_xlfn.LET(_xlpm.val,IF($F196="",val_blankRefText,_xldudf_CX_GET(CX_ENTITY,$F196,BI$11,BI$14,,(BI$190))),_xlpm.Res,IF(OR(_xlpm.val="",_xlpm.val="Error"),"",_xlpm.val),_xlpm.Res)</f>
        <v>#NAME?</v>
      </c>
      <c r="BJ196" s="1986" t="e" cm="1">
        <f t="array" ca="1" aca="1" ref="BJ196">_xlfn.LET(_xlpm.val,IF($F196="",val_blankRefText,_xldudf_CX_GET(CX_ENTITY,$F196,BJ$11,BJ$14,,(BJ$190))),_xlpm.Res,IF(OR(_xlpm.val="",_xlpm.val="Error"),"",_xlpm.val),_xlpm.Res)</f>
        <v>#NAME?</v>
      </c>
      <c r="BK196" s="1986" t="e" cm="1">
        <f t="array" ca="1" aca="1" ref="BK196">_xlfn.LET(_xlpm.val,IF($F196="",val_blankRefText,_xldudf_CX_GET(CX_ENTITY,$F196,BK$11,BK$14,,(BK$190))),_xlpm.Res,IF(OR(_xlpm.val="",_xlpm.val="Error"),"",_xlpm.val),_xlpm.Res)</f>
        <v>#NAME?</v>
      </c>
      <c r="BL196" s="1986" t="e" cm="1">
        <f t="array" ca="1" aca="1" ref="BL196">_xlfn.LET(_xlpm.val,IF($F196="",val_blankRefText,_xldudf_CX_GET(CX_ENTITY,$F196,BL$11,BL$14,,(BL$190))),_xlpm.Res,IF(OR(_xlpm.val="",_xlpm.val="Error"),"",_xlpm.val),_xlpm.Res)</f>
        <v>#NAME?</v>
      </c>
      <c r="BM196" s="1986" t="e" cm="1">
        <f t="array" ca="1" aca="1" ref="BM196">_xlfn.LET(_xlpm.val,IF($F196="",val_blankRefText,_xldudf_CX_GET(CX_ENTITY,$F196,BM$11,BM$14,,(BM$190))),_xlpm.Res,IF(OR(_xlpm.val="",_xlpm.val="Error"),"",_xlpm.val),_xlpm.Res)</f>
        <v>#NAME?</v>
      </c>
      <c r="BN196" s="1986" t="e" cm="1">
        <f t="array" ca="1" aca="1" ref="BN196">_xlfn.LET(_xlpm.val,IF($F196="",val_blankRefText,_xldudf_CX_GET(CX_ENTITY,$F196,BN$11,BN$14,,(BN$190))),_xlpm.Res,IF(OR(_xlpm.val="",_xlpm.val="Error"),"",_xlpm.val),_xlpm.Res)</f>
        <v>#NAME?</v>
      </c>
      <c r="BO196" s="2103"/>
      <c r="BP196" s="2103"/>
      <c r="BQ196" s="2103"/>
      <c r="BR196" s="2103"/>
      <c r="BS196" s="2103"/>
      <c r="BT196" s="2103"/>
      <c r="BU196" s="2103"/>
      <c r="BV196" s="2103"/>
      <c r="BW196" s="2103"/>
      <c r="BX196" s="2103"/>
      <c r="BY196" s="2103"/>
      <c r="BZ196" s="2103"/>
      <c r="CA196" s="34"/>
      <c r="CC196" s="58"/>
      <c r="CD196" s="1461" t="e" cm="1">
        <f t="array" ca="1" aca="1" ref="CD196">_xlfn.LET(_xlpm.CheckBlank,SUM(PL!$AD196:$BN196)=0,IF(_xlpm.CheckBlank,"",SUM(_xlfn._xlws.FILTER(PL!$AD196:$BN196,(YEAR(PL!$AD$12:$BN$12)=PL!CD$12)*(array_timeline&lt;=PL!CD$11)))))</f>
        <v>#NAME?</v>
      </c>
      <c r="CE196" s="1461" t="e" cm="1">
        <f t="array" ca="1" aca="1" ref="CE196">_xlfn.LET(_xlpm.CheckBlank,SUM(PL!$AD196:$BN196)=0,IF(_xlpm.CheckBlank,"",SUM(_xlfn._xlws.FILTER(PL!$AD196:$BN196,(YEAR(PL!$AD$12:$BN$12)=PL!CE$12)*(array_timeline&lt;=PL!CE$11)))))</f>
        <v>#NAME?</v>
      </c>
      <c r="CF196" s="88"/>
      <c r="CG196" s="1461" t="e" cm="1">
        <f t="array" ca="1" aca="1" ref="CG196">_xlfn.LET(_xlpm.CheckBlank,SUM(PL!$AD196:$BN196)=0,IF(_xlpm.CheckBlank,"",SUM(_xlfn._xlws.FILTER(PL!$AD196:$BN196,(YEAR(PL!$AD$12:$BN$12)=PL!CG$12)*(array_timeline&lt;=PL!CG$11)))))</f>
        <v>#NAME?</v>
      </c>
      <c r="CH196" s="1461" t="e" cm="1">
        <f t="array" ca="1" aca="1" ref="CH196">_xlfn.LET(_xlpm.CheckBlank,SUM(PL!$AD196:$BN196)=0,IF(_xlpm.CheckBlank,"",SUM(_xlfn._xlws.FILTER(PL!$AD196:$BN196,(YEAR(PL!$AD$12:$BN$12)=PL!CH$12)*(array_timeline&lt;=PL!CH$11)))))</f>
        <v>#NAME?</v>
      </c>
      <c r="CI196" s="88"/>
      <c r="CJ196" s="1461" cm="1">
        <f t="array" ref="CJ196">_xlfn.LET(_xlpm.CheckBlank,SUM(PL!$AD196:$BN196)=0,IF(_xlpm.CheckBlank,"",SUM(_xlfn.TAKE(_xlfn.DROP(PL!$AD196:$BN196,,-DATEDIFF(PL!CJ$11,val_asOfDate,"M")),1,-12))))</f>
        <v>12</v>
      </c>
      <c r="CK196" s="1461" cm="1">
        <f t="array" ref="CK196">_xlfn.LET(_xlpm.CheckBlank,SUM(PL!$AD196:$BN196)=0,IF(_xlpm.CheckBlank,"",SUM(_xlfn.TAKE(_xlfn.DROP(PL!$AD196:$BN196,,-DATEDIFF(PL!CK$11,val_asOfDate,"M")),1,-12))))</f>
        <v>12</v>
      </c>
      <c r="CL196" s="88"/>
      <c r="CM196" s="1986" t="e" cm="1">
        <f t="array" ca="1" aca="1" ref="CM196">_xlfn.LET(_xlpm.val,IF($F196="",val_blankRefText,_xldudf_CX_GET(CX_ENTITY,$F196,CM$11,CM$14,,(CM$190))),_xlpm.Res,IF(OR(_xlpm.val="",_xlpm.val="Error"),"",_xlpm.val),_xlpm.Res)</f>
        <v>#NAME?</v>
      </c>
      <c r="CN196" s="1986" t="e" cm="1">
        <f t="array" ca="1" aca="1" ref="CN196">_xlfn.LET(_xlpm.val,IF($F196="",val_blankRefText,_xldudf_CX_GET(CX_ENTITY,$F196,CN$11,CN$14,,(CN$190))),_xlpm.Res,IF(OR(_xlpm.val="",_xlpm.val="Error"),"",_xlpm.val),_xlpm.Res)</f>
        <v>#NAME?</v>
      </c>
      <c r="CO196" s="1169"/>
      <c r="CP196" s="1986" t="e" cm="1">
        <f t="array" ca="1" aca="1" ref="CP196">_xlfn.LET(_xlpm.val,IF($F196="",val_blankRefText,_xldudf_CX_GET(CX_ENTITY,$F196,CP$11,CP$14,,(CP$190))),_xlpm.Res,IF(OR(_xlpm.val="",_xlpm.val="Error"),"",_xlpm.val),_xlpm.Res)</f>
        <v>#NAME?</v>
      </c>
      <c r="CQ196" s="1986" t="e" cm="1">
        <f t="array" ca="1" aca="1" ref="CQ196">_xlfn.LET(_xlpm.val,IF($F196="",val_blankRefText,_xldudf_CX_GET(CX_ENTITY,$F196,CQ$11,CQ$14,,(CQ$190))),_xlpm.Res,IF(OR(_xlpm.val="",_xlpm.val="Error"),"",_xlpm.val),_xlpm.Res)</f>
        <v>#NAME?</v>
      </c>
      <c r="CR196" s="34"/>
    </row>
    <row r="197" spans="1:96" ht="21" customHeight="1" outlineLevel="1">
      <c r="A197" s="1322"/>
      <c r="B197" s="577" t="s">
        <v>166</v>
      </c>
      <c r="C197" s="577" t="s">
        <v>1637</v>
      </c>
      <c r="D197" s="577"/>
      <c r="E197" s="577" t="e" cm="1">
        <f t="array" ca="1" aca="1" ref="E197">_xlfn.LET(_xlpm.Attr,$C197,_xlpm.Lookback,$E$16,_xlpm.QueryDate,EOMONTH(val_asOfDate,_xlpm.Lookback),_xlpm.ReadField,_xldudf_CX_GET(CX_ENTITY,fx_attrConverter($C197),_xlpm.QueryDate),_xlpm.AttrBlank,_xlpm.Attr="",_xlpm.RESULT,IF(_xlpm.AttrBlank,val_blankRefText,fx_attrConverter(_xlpm.ReadField,0)),IF(_xlpm.RESULT="Error","",_xlpm.RESULT))</f>
        <v>#NAME?</v>
      </c>
      <c r="F197" s="577" t="str">
        <f t="shared" si="56"/>
        <v>Segment I Breakdown - Amount 6</v>
      </c>
      <c r="G197" s="577" t="s">
        <v>1631</v>
      </c>
      <c r="H197" s="585">
        <v>0</v>
      </c>
      <c r="I197" s="3290">
        <v>1</v>
      </c>
      <c r="J197" s="586"/>
      <c r="K197" s="586"/>
      <c r="L197" s="581" t="b">
        <v>0</v>
      </c>
      <c r="N197" s="158"/>
      <c r="O197" s="101"/>
      <c r="P197" s="52"/>
      <c r="Q197" s="101"/>
      <c r="R197" s="101"/>
      <c r="S197" s="2"/>
      <c r="T197" s="153"/>
      <c r="U197" s="39"/>
      <c r="W197" s="554" t="e">
        <f ca="1">W187</f>
        <v>#NAME?</v>
      </c>
      <c r="X197" s="884" t="s">
        <v>62</v>
      </c>
      <c r="Y197" s="1554" t="e" cm="1">
        <f t="array" ca="1" aca="1" ref="Y197">IF($B197="",IFBLANK($E197,"Please select or type in or leave as blank"),IFBLANK($E197,$B197))</f>
        <v>#NAME?</v>
      </c>
      <c r="Z197" s="198" cm="1">
        <f t="array" ref="Z197">_xlfn.SWITCH(TRUE,ISBLANK(_PL!$L197),"",_PL!$L197=TRUE,1,_PL!$L197=FALSE,-1,_PL!$L197=-1,0,"n/a")</f>
        <v>-1</v>
      </c>
      <c r="AA197" s="905"/>
      <c r="AB197" s="591"/>
      <c r="AC197" s="914" t="str" cm="1">
        <f t="array" ref="AC197">_xlfn.LET(_xlpm.Def,IF(_xlfn.XMATCH(AB197,tbl_acctDef[Term],0)&gt;0,fx_getIcon("find"),""),_xlpm.Adj,IF(_xlfn.XMATCH(AB197,tbl_adjExample[Items],0)&gt;0,fx_getIcon("find"),""),IFERROR(IFBLANK(_xlpm.Def,_xlpm.Adj),""))</f>
        <v/>
      </c>
      <c r="AD197" s="1986" t="e" cm="1">
        <f t="array" ca="1" aca="1" ref="AD197">_xlfn.LET(_xlpm.val,IF($F197="",val_blankRefText,_xldudf_CX_GET(CX_ENTITY,$F197,AD$11,AD$14,,(AD$190))),_xlpm.Res,IF(OR(_xlpm.val="",_xlpm.val="Error"),"",_xlpm.val),_xlpm.Res)</f>
        <v>#NAME?</v>
      </c>
      <c r="AE197" s="1986" t="e" cm="1">
        <f t="array" ca="1" aca="1" ref="AE197">_xlfn.LET(_xlpm.val,IF($F197="",val_blankRefText,_xldudf_CX_GET(CX_ENTITY,$F197,AE$11,AE$14,,(AE$190))),_xlpm.Res,IF(OR(_xlpm.val="",_xlpm.val="Error"),"",_xlpm.val),_xlpm.Res)</f>
        <v>#NAME?</v>
      </c>
      <c r="AF197" s="1986" t="e" cm="1">
        <f t="array" ca="1" aca="1" ref="AF197">_xlfn.LET(_xlpm.val,IF($F197="",val_blankRefText,_xldudf_CX_GET(CX_ENTITY,$F197,AF$11,AF$14,,(AF$190))),_xlpm.Res,IF(OR(_xlpm.val="",_xlpm.val="Error"),"",_xlpm.val),_xlpm.Res)</f>
        <v>#NAME?</v>
      </c>
      <c r="AG197" s="1986" t="e" cm="1">
        <f t="array" ca="1" aca="1" ref="AG197">_xlfn.LET(_xlpm.val,IF($F197="",val_blankRefText,_xldudf_CX_GET(CX_ENTITY,$F197,AG$11,AG$14,,(AG$190))),_xlpm.Res,IF(OR(_xlpm.val="",_xlpm.val="Error"),"",_xlpm.val),_xlpm.Res)</f>
        <v>#NAME?</v>
      </c>
      <c r="AH197" s="1986" t="e" cm="1">
        <f t="array" ca="1" aca="1" ref="AH197">_xlfn.LET(_xlpm.val,IF($F197="",val_blankRefText,_xldudf_CX_GET(CX_ENTITY,$F197,AH$11,AH$14,,(AH$190))),_xlpm.Res,IF(OR(_xlpm.val="",_xlpm.val="Error"),"",_xlpm.val),_xlpm.Res)</f>
        <v>#NAME?</v>
      </c>
      <c r="AI197" s="1986" t="e" cm="1">
        <f t="array" ca="1" aca="1" ref="AI197">_xlfn.LET(_xlpm.val,IF($F197="",val_blankRefText,_xldudf_CX_GET(CX_ENTITY,$F197,AI$11,AI$14,,(AI$190))),_xlpm.Res,IF(OR(_xlpm.val="",_xlpm.val="Error"),"",_xlpm.val),_xlpm.Res)</f>
        <v>#NAME?</v>
      </c>
      <c r="AJ197" s="1986" t="e" cm="1">
        <f t="array" ca="1" aca="1" ref="AJ197">_xlfn.LET(_xlpm.val,IF($F197="",val_blankRefText,_xldudf_CX_GET(CX_ENTITY,$F197,AJ$11,AJ$14,,(AJ$190))),_xlpm.Res,IF(OR(_xlpm.val="",_xlpm.val="Error"),"",_xlpm.val),_xlpm.Res)</f>
        <v>#NAME?</v>
      </c>
      <c r="AK197" s="1986" t="e" cm="1">
        <f t="array" ca="1" aca="1" ref="AK197">_xlfn.LET(_xlpm.val,IF($F197="",val_blankRefText,_xldudf_CX_GET(CX_ENTITY,$F197,AK$11,AK$14,,(AK$190))),_xlpm.Res,IF(OR(_xlpm.val="",_xlpm.val="Error"),"",_xlpm.val),_xlpm.Res)</f>
        <v>#NAME?</v>
      </c>
      <c r="AL197" s="1986" t="e" cm="1">
        <f t="array" ca="1" aca="1" ref="AL197">_xlfn.LET(_xlpm.val,IF($F197="",val_blankRefText,_xldudf_CX_GET(CX_ENTITY,$F197,AL$11,AL$14,,(AL$190))),_xlpm.Res,IF(OR(_xlpm.val="",_xlpm.val="Error"),"",_xlpm.val),_xlpm.Res)</f>
        <v>#NAME?</v>
      </c>
      <c r="AM197" s="1986" t="e" cm="1">
        <f t="array" ca="1" aca="1" ref="AM197">_xlfn.LET(_xlpm.val,IF($F197="",val_blankRefText,_xldudf_CX_GET(CX_ENTITY,$F197,AM$11,AM$14,,(AM$190))),_xlpm.Res,IF(OR(_xlpm.val="",_xlpm.val="Error"),"",_xlpm.val),_xlpm.Res)</f>
        <v>#NAME?</v>
      </c>
      <c r="AN197" s="1986" t="e" cm="1">
        <f t="array" ca="1" aca="1" ref="AN197">_xlfn.LET(_xlpm.val,IF($F197="",val_blankRefText,_xldudf_CX_GET(CX_ENTITY,$F197,AN$11,AN$14,,(AN$190))),_xlpm.Res,IF(OR(_xlpm.val="",_xlpm.val="Error"),"",_xlpm.val),_xlpm.Res)</f>
        <v>#NAME?</v>
      </c>
      <c r="AO197" s="1986" t="e" cm="1">
        <f t="array" ca="1" aca="1" ref="AO197">_xlfn.LET(_xlpm.val,IF($F197="",val_blankRefText,_xldudf_CX_GET(CX_ENTITY,$F197,AO$11,AO$14,,(AO$190))),_xlpm.Res,IF(OR(_xlpm.val="",_xlpm.val="Error"),"",_xlpm.val),_xlpm.Res)</f>
        <v>#NAME?</v>
      </c>
      <c r="AP197" s="1986" t="e" cm="1">
        <f t="array" ca="1" aca="1" ref="AP197">_xlfn.LET(_xlpm.val,IF($F197="",val_blankRefText,_xldudf_CX_GET(CX_ENTITY,$F197,AP$11,AP$14,,(AP$190))),_xlpm.Res,IF(OR(_xlpm.val="",_xlpm.val="Error"),"",_xlpm.val),_xlpm.Res)</f>
        <v>#NAME?</v>
      </c>
      <c r="AQ197" s="1986" t="e" cm="1">
        <f t="array" ca="1" aca="1" ref="AQ197">_xlfn.LET(_xlpm.val,IF($F197="",val_blankRefText,_xldudf_CX_GET(CX_ENTITY,$F197,AQ$11,AQ$14,,(AQ$190))),_xlpm.Res,IF(OR(_xlpm.val="",_xlpm.val="Error"),"",_xlpm.val),_xlpm.Res)</f>
        <v>#NAME?</v>
      </c>
      <c r="AR197" s="1986" t="e" cm="1">
        <f t="array" ca="1" aca="1" ref="AR197">_xlfn.LET(_xlpm.val,IF($F197="",val_blankRefText,_xldudf_CX_GET(CX_ENTITY,$F197,AR$11,AR$14,,(AR$190))),_xlpm.Res,IF(OR(_xlpm.val="",_xlpm.val="Error"),"",_xlpm.val),_xlpm.Res)</f>
        <v>#NAME?</v>
      </c>
      <c r="AS197" s="1986" t="e" cm="1">
        <f t="array" ca="1" aca="1" ref="AS197">_xlfn.LET(_xlpm.val,IF($F197="",val_blankRefText,_xldudf_CX_GET(CX_ENTITY,$F197,AS$11,AS$14,,(AS$190))),_xlpm.Res,IF(OR(_xlpm.val="",_xlpm.val="Error"),"",_xlpm.val),_xlpm.Res)</f>
        <v>#NAME?</v>
      </c>
      <c r="AT197" s="1986" t="e" cm="1">
        <f t="array" ca="1" aca="1" ref="AT197">_xlfn.LET(_xlpm.val,IF($F197="",val_blankRefText,_xldudf_CX_GET(CX_ENTITY,$F197,AT$11,AT$14,,(AT$190))),_xlpm.Res,IF(OR(_xlpm.val="",_xlpm.val="Error"),"",_xlpm.val),_xlpm.Res)</f>
        <v>#NAME?</v>
      </c>
      <c r="AU197" s="1986" t="e" cm="1">
        <f t="array" ca="1" aca="1" ref="AU197">_xlfn.LET(_xlpm.val,IF($F197="",val_blankRefText,_xldudf_CX_GET(CX_ENTITY,$F197,AU$11,AU$14,,(AU$190))),_xlpm.Res,IF(OR(_xlpm.val="",_xlpm.val="Error"),"",_xlpm.val),_xlpm.Res)</f>
        <v>#NAME?</v>
      </c>
      <c r="AV197" s="1986" t="e" cm="1">
        <f t="array" ca="1" aca="1" ref="AV197">_xlfn.LET(_xlpm.val,IF($F197="",val_blankRefText,_xldudf_CX_GET(CX_ENTITY,$F197,AV$11,AV$14,,(AV$190))),_xlpm.Res,IF(OR(_xlpm.val="",_xlpm.val="Error"),"",_xlpm.val),_xlpm.Res)</f>
        <v>#NAME?</v>
      </c>
      <c r="AW197" s="1986" t="e" cm="1">
        <f t="array" ca="1" aca="1" ref="AW197">_xlfn.LET(_xlpm.val,IF($F197="",val_blankRefText,_xldudf_CX_GET(CX_ENTITY,$F197,AW$11,AW$14,,(AW$190))),_xlpm.Res,IF(OR(_xlpm.val="",_xlpm.val="Error"),"",_xlpm.val),_xlpm.Res)</f>
        <v>#NAME?</v>
      </c>
      <c r="AX197" s="1986" t="e" cm="1">
        <f t="array" ca="1" aca="1" ref="AX197">_xlfn.LET(_xlpm.val,IF($F197="",val_blankRefText,_xldudf_CX_GET(CX_ENTITY,$F197,AX$11,AX$14,,(AX$190))),_xlpm.Res,IF(OR(_xlpm.val="",_xlpm.val="Error"),"",_xlpm.val),_xlpm.Res)</f>
        <v>#NAME?</v>
      </c>
      <c r="AY197" s="1986" t="e" cm="1">
        <f t="array" ca="1" aca="1" ref="AY197">_xlfn.LET(_xlpm.val,IF($F197="",val_blankRefText,_xldudf_CX_GET(CX_ENTITY,$F197,AY$11,AY$14,,(AY$190))),_xlpm.Res,IF(OR(_xlpm.val="",_xlpm.val="Error"),"",_xlpm.val),_xlpm.Res)</f>
        <v>#NAME?</v>
      </c>
      <c r="AZ197" s="1986" t="e" cm="1">
        <f t="array" ca="1" aca="1" ref="AZ197">_xlfn.LET(_xlpm.val,IF($F197="",val_blankRefText,_xldudf_CX_GET(CX_ENTITY,$F197,AZ$11,AZ$14,,(AZ$190))),_xlpm.Res,IF(OR(_xlpm.val="",_xlpm.val="Error"),"",_xlpm.val),_xlpm.Res)</f>
        <v>#NAME?</v>
      </c>
      <c r="BA197" s="1986" t="e" cm="1">
        <f t="array" ca="1" aca="1" ref="BA197">_xlfn.LET(_xlpm.val,IF($F197="",val_blankRefText,_xldudf_CX_GET(CX_ENTITY,$F197,BA$11,BA$14,,(BA$190))),_xlpm.Res,IF(OR(_xlpm.val="",_xlpm.val="Error"),"",_xlpm.val),_xlpm.Res)</f>
        <v>#NAME?</v>
      </c>
      <c r="BB197" s="1986" t="e" cm="1">
        <f t="array" ca="1" aca="1" ref="BB197">_xlfn.LET(_xlpm.val,IF($F197="",val_blankRefText,_xldudf_CX_GET(CX_ENTITY,$F197,BB$11,BB$14,,(BB$190))),_xlpm.Res,IF(OR(_xlpm.val="",_xlpm.val="Error"),"",_xlpm.val),_xlpm.Res)</f>
        <v>#NAME?</v>
      </c>
      <c r="BC197" s="1986" t="e" cm="1">
        <f t="array" ca="1" aca="1" ref="BC197">_xlfn.LET(_xlpm.val,IF($F197="",val_blankRefText,_xldudf_CX_GET(CX_ENTITY,$F197,BC$11,BC$14,,(BC$190))),_xlpm.Res,IF(OR(_xlpm.val="",_xlpm.val="Error"),"",_xlpm.val),_xlpm.Res)</f>
        <v>#NAME?</v>
      </c>
      <c r="BD197" s="1986" t="e" cm="1">
        <f t="array" ca="1" aca="1" ref="BD197">_xlfn.LET(_xlpm.val,IF($F197="",val_blankRefText,_xldudf_CX_GET(CX_ENTITY,$F197,BD$11,BD$14,,(BD$190))),_xlpm.Res,IF(OR(_xlpm.val="",_xlpm.val="Error"),"",_xlpm.val),_xlpm.Res)</f>
        <v>#NAME?</v>
      </c>
      <c r="BE197" s="1986" t="e" cm="1">
        <f t="array" ca="1" aca="1" ref="BE197">_xlfn.LET(_xlpm.val,IF($F197="",val_blankRefText,_xldudf_CX_GET(CX_ENTITY,$F197,BE$11,BE$14,,(BE$190))),_xlpm.Res,IF(OR(_xlpm.val="",_xlpm.val="Error"),"",_xlpm.val),_xlpm.Res)</f>
        <v>#NAME?</v>
      </c>
      <c r="BF197" s="1986" t="e" cm="1">
        <f t="array" ca="1" aca="1" ref="BF197">_xlfn.LET(_xlpm.val,IF($F197="",val_blankRefText,_xldudf_CX_GET(CX_ENTITY,$F197,BF$11,BF$14,,(BF$190))),_xlpm.Res,IF(OR(_xlpm.val="",_xlpm.val="Error"),"",_xlpm.val),_xlpm.Res)</f>
        <v>#NAME?</v>
      </c>
      <c r="BG197" s="1986" t="e" cm="1">
        <f t="array" ca="1" aca="1" ref="BG197">_xlfn.LET(_xlpm.val,IF($F197="",val_blankRefText,_xldudf_CX_GET(CX_ENTITY,$F197,BG$11,BG$14,,(BG$190))),_xlpm.Res,IF(OR(_xlpm.val="",_xlpm.val="Error"),"",_xlpm.val),_xlpm.Res)</f>
        <v>#NAME?</v>
      </c>
      <c r="BH197" s="1986" t="e" cm="1">
        <f t="array" ca="1" aca="1" ref="BH197">_xlfn.LET(_xlpm.val,IF($F197="",val_blankRefText,_xldudf_CX_GET(CX_ENTITY,$F197,BH$11,BH$14,,(BH$190))),_xlpm.Res,IF(OR(_xlpm.val="",_xlpm.val="Error"),"",_xlpm.val),_xlpm.Res)</f>
        <v>#NAME?</v>
      </c>
      <c r="BI197" s="1986" t="e" cm="1">
        <f t="array" ca="1" aca="1" ref="BI197">_xlfn.LET(_xlpm.val,IF($F197="",val_blankRefText,_xldudf_CX_GET(CX_ENTITY,$F197,BI$11,BI$14,,(BI$190))),_xlpm.Res,IF(OR(_xlpm.val="",_xlpm.val="Error"),"",_xlpm.val),_xlpm.Res)</f>
        <v>#NAME?</v>
      </c>
      <c r="BJ197" s="1986" t="e" cm="1">
        <f t="array" ca="1" aca="1" ref="BJ197">_xlfn.LET(_xlpm.val,IF($F197="",val_blankRefText,_xldudf_CX_GET(CX_ENTITY,$F197,BJ$11,BJ$14,,(BJ$190))),_xlpm.Res,IF(OR(_xlpm.val="",_xlpm.val="Error"),"",_xlpm.val),_xlpm.Res)</f>
        <v>#NAME?</v>
      </c>
      <c r="BK197" s="1986" t="e" cm="1">
        <f t="array" ca="1" aca="1" ref="BK197">_xlfn.LET(_xlpm.val,IF($F197="",val_blankRefText,_xldudf_CX_GET(CX_ENTITY,$F197,BK$11,BK$14,,(BK$190))),_xlpm.Res,IF(OR(_xlpm.val="",_xlpm.val="Error"),"",_xlpm.val),_xlpm.Res)</f>
        <v>#NAME?</v>
      </c>
      <c r="BL197" s="1986" t="e" cm="1">
        <f t="array" ca="1" aca="1" ref="BL197">_xlfn.LET(_xlpm.val,IF($F197="",val_blankRefText,_xldudf_CX_GET(CX_ENTITY,$F197,BL$11,BL$14,,(BL$190))),_xlpm.Res,IF(OR(_xlpm.val="",_xlpm.val="Error"),"",_xlpm.val),_xlpm.Res)</f>
        <v>#NAME?</v>
      </c>
      <c r="BM197" s="1986" t="e" cm="1">
        <f t="array" ca="1" aca="1" ref="BM197">_xlfn.LET(_xlpm.val,IF($F197="",val_blankRefText,_xldudf_CX_GET(CX_ENTITY,$F197,BM$11,BM$14,,(BM$190))),_xlpm.Res,IF(OR(_xlpm.val="",_xlpm.val="Error"),"",_xlpm.val),_xlpm.Res)</f>
        <v>#NAME?</v>
      </c>
      <c r="BN197" s="1986" t="e" cm="1">
        <f t="array" ca="1" aca="1" ref="BN197">_xlfn.LET(_xlpm.val,IF($F197="",val_blankRefText,_xldudf_CX_GET(CX_ENTITY,$F197,BN$11,BN$14,,(BN$190))),_xlpm.Res,IF(OR(_xlpm.val="",_xlpm.val="Error"),"",_xlpm.val),_xlpm.Res)</f>
        <v>#NAME?</v>
      </c>
      <c r="BO197" s="2103"/>
      <c r="BP197" s="2103"/>
      <c r="BQ197" s="2103"/>
      <c r="BR197" s="2103"/>
      <c r="BS197" s="2103"/>
      <c r="BT197" s="2103"/>
      <c r="BU197" s="2103"/>
      <c r="BV197" s="2103"/>
      <c r="BW197" s="2103"/>
      <c r="BX197" s="2103"/>
      <c r="BY197" s="2103"/>
      <c r="BZ197" s="2103"/>
      <c r="CA197" s="34"/>
      <c r="CC197" s="58"/>
      <c r="CD197" s="1461" t="e" cm="1">
        <f t="array" ca="1" aca="1" ref="CD197">_xlfn.LET(_xlpm.CheckBlank,SUM(PL!$AD197:$BN197)=0,IF(_xlpm.CheckBlank,"",SUM(_xlfn._xlws.FILTER(PL!$AD197:$BN197,(YEAR(PL!$AD$12:$BN$12)=PL!CD$12)*(array_timeline&lt;=PL!CD$11)))))</f>
        <v>#NAME?</v>
      </c>
      <c r="CE197" s="1461" t="e" cm="1">
        <f t="array" ca="1" aca="1" ref="CE197">_xlfn.LET(_xlpm.CheckBlank,SUM(PL!$AD197:$BN197)=0,IF(_xlpm.CheckBlank,"",SUM(_xlfn._xlws.FILTER(PL!$AD197:$BN197,(YEAR(PL!$AD$12:$BN$12)=PL!CE$12)*(array_timeline&lt;=PL!CE$11)))))</f>
        <v>#NAME?</v>
      </c>
      <c r="CF197" s="88"/>
      <c r="CG197" s="1461" t="e" cm="1">
        <f t="array" ca="1" aca="1" ref="CG197">_xlfn.LET(_xlpm.CheckBlank,SUM(PL!$AD197:$BN197)=0,IF(_xlpm.CheckBlank,"",SUM(_xlfn._xlws.FILTER(PL!$AD197:$BN197,(YEAR(PL!$AD$12:$BN$12)=PL!CG$12)*(array_timeline&lt;=PL!CG$11)))))</f>
        <v>#NAME?</v>
      </c>
      <c r="CH197" s="1461" t="e" cm="1">
        <f t="array" ca="1" aca="1" ref="CH197">_xlfn.LET(_xlpm.CheckBlank,SUM(PL!$AD197:$BN197)=0,IF(_xlpm.CheckBlank,"",SUM(_xlfn._xlws.FILTER(PL!$AD197:$BN197,(YEAR(PL!$AD$12:$BN$12)=PL!CH$12)*(array_timeline&lt;=PL!CH$11)))))</f>
        <v>#NAME?</v>
      </c>
      <c r="CI197" s="88"/>
      <c r="CJ197" s="1461" cm="1">
        <f t="array" ref="CJ197">_xlfn.LET(_xlpm.CheckBlank,SUM(PL!$AD197:$BN197)=0,IF(_xlpm.CheckBlank,"",SUM(_xlfn.TAKE(_xlfn.DROP(PL!$AD197:$BN197,,-DATEDIFF(PL!CJ$11,val_asOfDate,"M")),1,-12))))</f>
        <v>12</v>
      </c>
      <c r="CK197" s="1461" cm="1">
        <f t="array" ref="CK197">_xlfn.LET(_xlpm.CheckBlank,SUM(PL!$AD197:$BN197)=0,IF(_xlpm.CheckBlank,"",SUM(_xlfn.TAKE(_xlfn.DROP(PL!$AD197:$BN197,,-DATEDIFF(PL!CK$11,val_asOfDate,"M")),1,-12))))</f>
        <v>12</v>
      </c>
      <c r="CL197" s="88"/>
      <c r="CM197" s="1986" t="e" cm="1">
        <f t="array" ca="1" aca="1" ref="CM197">_xlfn.LET(_xlpm.val,IF($F197="",val_blankRefText,_xldudf_CX_GET(CX_ENTITY,$F197,CM$11,CM$14,,(CM$190))),_xlpm.Res,IF(OR(_xlpm.val="",_xlpm.val="Error"),"",_xlpm.val),_xlpm.Res)</f>
        <v>#NAME?</v>
      </c>
      <c r="CN197" s="1986" t="e" cm="1">
        <f t="array" ca="1" aca="1" ref="CN197">_xlfn.LET(_xlpm.val,IF($F197="",val_blankRefText,_xldudf_CX_GET(CX_ENTITY,$F197,CN$11,CN$14,,(CN$190))),_xlpm.Res,IF(OR(_xlpm.val="",_xlpm.val="Error"),"",_xlpm.val),_xlpm.Res)</f>
        <v>#NAME?</v>
      </c>
      <c r="CO197" s="1169"/>
      <c r="CP197" s="1986" t="e" cm="1">
        <f t="array" ca="1" aca="1" ref="CP197">_xlfn.LET(_xlpm.val,IF($F197="",val_blankRefText,_xldudf_CX_GET(CX_ENTITY,$F197,CP$11,CP$14,,(CP$190))),_xlpm.Res,IF(OR(_xlpm.val="",_xlpm.val="Error"),"",_xlpm.val),_xlpm.Res)</f>
        <v>#NAME?</v>
      </c>
      <c r="CQ197" s="1986" t="e" cm="1">
        <f t="array" ca="1" aca="1" ref="CQ197">_xlfn.LET(_xlpm.val,IF($F197="",val_blankRefText,_xldudf_CX_GET(CX_ENTITY,$F197,CQ$11,CQ$14,,(CQ$190))),_xlpm.Res,IF(OR(_xlpm.val="",_xlpm.val="Error"),"",_xlpm.val),_xlpm.Res)</f>
        <v>#NAME?</v>
      </c>
      <c r="CR197" s="34"/>
    </row>
    <row r="198" spans="1:96" ht="21" customHeight="1" outlineLevel="1">
      <c r="A198" s="1322"/>
      <c r="B198" s="1328"/>
      <c r="C198" s="1328"/>
      <c r="D198" s="1328"/>
      <c r="E198" s="1328"/>
      <c r="F198" s="1328">
        <f t="shared" si="56"/>
        <v>0</v>
      </c>
      <c r="G198" s="1328" t="s">
        <v>1631</v>
      </c>
      <c r="H198" s="3281">
        <v>2</v>
      </c>
      <c r="I198" s="3281">
        <v>1</v>
      </c>
      <c r="J198" s="1334"/>
      <c r="K198" s="1334"/>
      <c r="L198" s="589">
        <v>-1</v>
      </c>
      <c r="N198" s="158"/>
      <c r="O198" s="101"/>
      <c r="P198" s="52"/>
      <c r="Q198" s="101"/>
      <c r="R198" s="101"/>
      <c r="S198" s="153"/>
      <c r="T198" s="153"/>
      <c r="U198" s="39"/>
      <c r="W198" s="555" t="e">
        <f ca="1">W187</f>
        <v>#NAME?</v>
      </c>
      <c r="X198" s="893">
        <v>0</v>
      </c>
      <c r="Y198" s="971" t="s">
        <v>167</v>
      </c>
      <c r="Z198" s="538" cm="1">
        <f t="array" ref="Z198">_xlfn.SWITCH(TRUE,ISBLANK(_PL!$L198),"",_PL!$L198=TRUE,1,_PL!$L198=FALSE,-1,_PL!$L198=-1,0,"n/a")</f>
        <v>0</v>
      </c>
      <c r="AA198" s="787"/>
      <c r="AB198" s="1133" t="s">
        <v>1638</v>
      </c>
      <c r="AC198" s="1163" t="str" cm="1">
        <f t="array" ref="AC198">_xlfn.LET(_xlpm.Def,IF(_xlfn.XMATCH(AB198,tbl_acctDef[Term],0)&gt;0,fx_getIcon("find"),""),_xlpm.Adj,IF(_xlfn.XMATCH(AB198,tbl_adjExample[Items],0)&gt;0,fx_getIcon("find"),""),IFERROR(IFBLANK(_xlpm.Def,_xlpm.Adj),""))</f>
        <v/>
      </c>
      <c r="AD198" s="1140" t="str" cm="1">
        <f t="array" ca="1" aca="1" ref="AD198:BN198">IFERROR(_xlfn.BYCOL(_xlfn.VSTACK(_xlfn.ANCHORARRAY(AD191),AD192:BN197),_xleta.SUM),"")</f>
        <v/>
      </c>
      <c r="AE198" s="1140" t="str">
        <f ca="1"/>
        <v/>
      </c>
      <c r="AF198" s="1140" t="str">
        <f ca="1"/>
        <v/>
      </c>
      <c r="AG198" s="1140" t="str">
        <f ca="1"/>
        <v/>
      </c>
      <c r="AH198" s="1140" t="str">
        <f ca="1"/>
        <v/>
      </c>
      <c r="AI198" s="1140" t="str">
        <f ca="1"/>
        <v/>
      </c>
      <c r="AJ198" s="1140" t="str">
        <f ca="1"/>
        <v/>
      </c>
      <c r="AK198" s="1140" t="str">
        <f ca="1"/>
        <v/>
      </c>
      <c r="AL198" s="1140" t="str">
        <f ca="1"/>
        <v/>
      </c>
      <c r="AM198" s="1140" t="str">
        <f ca="1"/>
        <v/>
      </c>
      <c r="AN198" s="1140" t="str">
        <f ca="1"/>
        <v/>
      </c>
      <c r="AO198" s="1140" t="str">
        <f ca="1"/>
        <v/>
      </c>
      <c r="AP198" s="1140" t="str">
        <f ca="1"/>
        <v/>
      </c>
      <c r="AQ198" s="1140" t="str">
        <f ca="1"/>
        <v/>
      </c>
      <c r="AR198" s="1140" t="str">
        <f ca="1"/>
        <v/>
      </c>
      <c r="AS198" s="1140" t="str">
        <f ca="1"/>
        <v/>
      </c>
      <c r="AT198" s="1140" t="str">
        <f ca="1"/>
        <v/>
      </c>
      <c r="AU198" s="1140" t="str">
        <f ca="1"/>
        <v/>
      </c>
      <c r="AV198" s="1140" t="str">
        <f ca="1"/>
        <v/>
      </c>
      <c r="AW198" s="1140" t="str">
        <f ca="1"/>
        <v/>
      </c>
      <c r="AX198" s="1140" t="str">
        <f ca="1"/>
        <v/>
      </c>
      <c r="AY198" s="1140" t="str">
        <f ca="1"/>
        <v/>
      </c>
      <c r="AZ198" s="1140" t="str">
        <f ca="1"/>
        <v/>
      </c>
      <c r="BA198" s="1140" t="str">
        <f ca="1"/>
        <v/>
      </c>
      <c r="BB198" s="1140" t="str">
        <f ca="1"/>
        <v/>
      </c>
      <c r="BC198" s="1140" t="str">
        <f ca="1"/>
        <v/>
      </c>
      <c r="BD198" s="1140" t="str">
        <f ca="1"/>
        <v/>
      </c>
      <c r="BE198" s="1140" t="str">
        <f ca="1"/>
        <v/>
      </c>
      <c r="BF198" s="1140" t="str">
        <f ca="1"/>
        <v/>
      </c>
      <c r="BG198" s="1140" t="str">
        <f ca="1"/>
        <v/>
      </c>
      <c r="BH198" s="1140" t="str">
        <f ca="1"/>
        <v/>
      </c>
      <c r="BI198" s="1140" t="str">
        <f ca="1"/>
        <v/>
      </c>
      <c r="BJ198" s="1140" t="str">
        <f ca="1"/>
        <v/>
      </c>
      <c r="BK198" s="1140" t="str">
        <f ca="1"/>
        <v/>
      </c>
      <c r="BL198" s="1140" t="str">
        <f ca="1"/>
        <v/>
      </c>
      <c r="BM198" s="1140" t="str">
        <f ca="1"/>
        <v/>
      </c>
      <c r="BN198" s="1140" t="str">
        <f ca="1"/>
        <v/>
      </c>
      <c r="BO198" s="2108"/>
      <c r="BP198" s="2108"/>
      <c r="BQ198" s="2108"/>
      <c r="BR198" s="2108"/>
      <c r="BS198" s="2108"/>
      <c r="BT198" s="2108"/>
      <c r="BU198" s="2108"/>
      <c r="BV198" s="2108"/>
      <c r="BW198" s="2108"/>
      <c r="BX198" s="2108"/>
      <c r="BY198" s="2108"/>
      <c r="BZ198" s="2108"/>
      <c r="CA198" s="34"/>
      <c r="CC198" s="33"/>
      <c r="CD198" s="1461" t="str">
        <f ca="1" t="shared" si="57" ref="CD198:CE198">IF(ISNUMBER(CD191),IF(ABS(SUM(CD192:CD197)-CD191)&lt;0.2,0,1),"")</f>
        <v/>
      </c>
      <c r="CE198" s="1461" t="str">
        <f t="shared" ca="1" si="57"/>
        <v/>
      </c>
      <c r="CF198" s="88"/>
      <c r="CG198" s="1461" t="str">
        <f ca="1" t="shared" si="58" ref="CG198:CH198">IF(ISNUMBER(CG191),IF(ABS(SUM(CG192:CG197)-CG191)&lt;0.2,0,1),"")</f>
        <v/>
      </c>
      <c r="CH198" s="1461" t="str">
        <f t="shared" ca="1" si="58"/>
        <v/>
      </c>
      <c r="CI198" s="88"/>
      <c r="CJ198" s="1461" t="str">
        <f ca="1">IF(ISNUMBER(CJ191),IF(ABS(SUM(CJ192:CJ197)-CJ191)&lt;0.2,0,1),"")</f>
        <v/>
      </c>
      <c r="CK198" s="1461" t="str">
        <f ca="1">IF(ISNUMBER(CK191),IF(ABS(SUM(CK192:CK197)-CK191)&lt;0.2,0,1),"")</f>
        <v/>
      </c>
      <c r="CL198" s="88"/>
      <c r="CM198" s="1142" t="str">
        <f ca="1">IF(ISNUMBER(CM191),IF(ABS(SUM(CM192:CM197)-CM191)&lt;0.2,0,1),"")</f>
        <v/>
      </c>
      <c r="CN198" s="1142" t="str">
        <f>IF(ISNUMBER(CN191),IF(ABS(SUM(CN192:CN197)-CN191)&lt;0.2,0,1),"")</f>
        <v/>
      </c>
      <c r="CO198" s="88"/>
      <c r="CP198" s="1142" t="str">
        <f ca="1">IF(ISNUMBER(CP191),IF(ABS(SUM(CP192:CP197)-CP191)&lt;0.2,0,1),"")</f>
        <v/>
      </c>
      <c r="CQ198" s="1142" t="str">
        <f>IF(ISNUMBER(CQ191),IF(ABS(SUM(CQ192:CQ197)-CQ191)&lt;0.2,0,1),"")</f>
        <v/>
      </c>
      <c r="CR198" s="34"/>
    </row>
    <row r="199" spans="1:96" ht="15.5" outlineLevel="1">
      <c r="A199" s="1322"/>
      <c r="B199" s="577"/>
      <c r="C199" s="577"/>
      <c r="D199" s="574"/>
      <c r="E199" s="574"/>
      <c r="F199" s="577"/>
      <c r="G199" s="577"/>
      <c r="H199" s="578"/>
      <c r="I199" s="578"/>
      <c r="J199" s="578"/>
      <c r="K199" s="578"/>
      <c r="L199" s="578"/>
      <c r="N199" s="158"/>
      <c r="O199" s="101"/>
      <c r="P199" s="52"/>
      <c r="Q199" s="101"/>
      <c r="R199" s="101"/>
      <c r="S199" s="153"/>
      <c r="T199" s="153"/>
      <c r="U199" s="39"/>
      <c r="W199" s="91"/>
      <c r="X199" s="901"/>
      <c r="Y199" s="136"/>
      <c r="Z199" s="792"/>
      <c r="AA199" s="284"/>
      <c r="AB199" s="284"/>
      <c r="AC199" s="128"/>
      <c r="AD199" s="88" t="str">
        <f ca="1">IF(ISNUMBER(AD191),IF(ABS(AD191-AD198)&lt;1,1,0),"")</f>
        <v/>
      </c>
      <c r="AE199" s="88" t="str">
        <f ca="1" t="shared" si="59" ref="AE199:BN199">IF(ISNUMBER(AE147),IF(ABS(AE147-AE154)&lt;1,1,0),"")</f>
        <v/>
      </c>
      <c r="AF199" s="88" t="str">
        <f t="shared" ca="1" si="59"/>
        <v/>
      </c>
      <c r="AG199" s="88" t="str">
        <f t="shared" ca="1" si="59"/>
        <v/>
      </c>
      <c r="AH199" s="88" t="str">
        <f t="shared" ca="1" si="59"/>
        <v/>
      </c>
      <c r="AI199" s="88" t="str">
        <f t="shared" ca="1" si="59"/>
        <v/>
      </c>
      <c r="AJ199" s="88" t="str">
        <f t="shared" ca="1" si="59"/>
        <v/>
      </c>
      <c r="AK199" s="88" t="str">
        <f t="shared" ca="1" si="59"/>
        <v/>
      </c>
      <c r="AL199" s="88" t="str">
        <f t="shared" ca="1" si="59"/>
        <v/>
      </c>
      <c r="AM199" s="88" t="str">
        <f t="shared" ca="1" si="59"/>
        <v/>
      </c>
      <c r="AN199" s="88" t="str">
        <f t="shared" ca="1" si="59"/>
        <v/>
      </c>
      <c r="AO199" s="88" t="str">
        <f t="shared" ca="1" si="59"/>
        <v/>
      </c>
      <c r="AP199" s="88" t="str">
        <f t="shared" ca="1" si="59"/>
        <v/>
      </c>
      <c r="AQ199" s="88" t="str">
        <f t="shared" ca="1" si="59"/>
        <v/>
      </c>
      <c r="AR199" s="88" t="str">
        <f t="shared" ca="1" si="59"/>
        <v/>
      </c>
      <c r="AS199" s="88" t="str">
        <f t="shared" ca="1" si="59"/>
        <v/>
      </c>
      <c r="AT199" s="88" t="str">
        <f t="shared" ca="1" si="59"/>
        <v/>
      </c>
      <c r="AU199" s="783" t="str">
        <f t="shared" ca="1" si="59"/>
        <v/>
      </c>
      <c r="AV199" s="783" t="str">
        <f t="shared" ca="1" si="59"/>
        <v/>
      </c>
      <c r="AW199" s="783" t="str">
        <f t="shared" ca="1" si="59"/>
        <v/>
      </c>
      <c r="AX199" s="783" t="str">
        <f t="shared" ca="1" si="59"/>
        <v/>
      </c>
      <c r="AY199" s="783" t="str">
        <f t="shared" ca="1" si="59"/>
        <v/>
      </c>
      <c r="AZ199" s="783" t="str">
        <f t="shared" ca="1" si="59"/>
        <v/>
      </c>
      <c r="BA199" s="783" t="str">
        <f t="shared" ca="1" si="59"/>
        <v/>
      </c>
      <c r="BB199" s="783" t="str">
        <f t="shared" ca="1" si="59"/>
        <v/>
      </c>
      <c r="BC199" s="783" t="str">
        <f t="shared" ca="1" si="59"/>
        <v/>
      </c>
      <c r="BD199" s="783" t="str">
        <f t="shared" ca="1" si="59"/>
        <v/>
      </c>
      <c r="BE199" s="783" t="str">
        <f t="shared" ca="1" si="59"/>
        <v/>
      </c>
      <c r="BF199" s="783" t="str">
        <f t="shared" ca="1" si="59"/>
        <v/>
      </c>
      <c r="BG199" s="783" t="str">
        <f t="shared" ca="1" si="59"/>
        <v/>
      </c>
      <c r="BH199" s="783" t="str">
        <f t="shared" ca="1" si="59"/>
        <v/>
      </c>
      <c r="BI199" s="783" t="str">
        <f t="shared" ca="1" si="59"/>
        <v/>
      </c>
      <c r="BJ199" s="783" t="str">
        <f t="shared" ca="1" si="59"/>
        <v/>
      </c>
      <c r="BK199" s="783" t="str">
        <f t="shared" ca="1" si="59"/>
        <v/>
      </c>
      <c r="BL199" s="783" t="str">
        <f t="shared" ca="1" si="59"/>
        <v/>
      </c>
      <c r="BM199" s="783" t="str">
        <f t="shared" ca="1" si="59"/>
        <v/>
      </c>
      <c r="BN199" s="783" t="str">
        <f t="shared" ca="1" si="59"/>
        <v/>
      </c>
      <c r="BO199" s="783"/>
      <c r="BP199" s="783"/>
      <c r="BQ199" s="783"/>
      <c r="BR199" s="783"/>
      <c r="BS199" s="783"/>
      <c r="BT199" s="783"/>
      <c r="BU199" s="783"/>
      <c r="BV199" s="783"/>
      <c r="BW199" s="783"/>
      <c r="BX199" s="783"/>
      <c r="BY199" s="783"/>
      <c r="BZ199" s="783"/>
      <c r="CA199" s="34"/>
      <c r="CC199" s="58"/>
      <c r="CD199" s="182"/>
      <c r="CE199" s="182"/>
      <c r="CF199" s="182"/>
      <c r="CG199" s="182"/>
      <c r="CH199" s="182"/>
      <c r="CI199" s="88"/>
      <c r="CJ199" s="172"/>
      <c r="CK199" s="172"/>
      <c r="CL199" s="88"/>
      <c r="CM199" s="88"/>
      <c r="CN199" s="88"/>
      <c r="CO199" s="88"/>
      <c r="CP199" s="88"/>
      <c r="CQ199" s="88"/>
      <c r="CR199" s="34"/>
    </row>
    <row r="200" spans="1:96" ht="22.5" outlineLevel="1">
      <c r="A200" s="1322"/>
      <c r="B200" s="577"/>
      <c r="C200" s="577"/>
      <c r="D200" s="574"/>
      <c r="E200" s="574"/>
      <c r="F200" s="577"/>
      <c r="G200" s="577"/>
      <c r="H200" s="510"/>
      <c r="I200" s="510"/>
      <c r="J200" s="30"/>
      <c r="K200" s="30"/>
      <c r="L200" s="30"/>
      <c r="N200" s="158"/>
      <c r="O200" s="101"/>
      <c r="P200" s="52"/>
      <c r="Q200" s="101"/>
      <c r="R200" s="101"/>
      <c r="S200" s="153"/>
      <c r="T200" s="153"/>
      <c r="U200" s="39"/>
      <c r="W200" s="91"/>
      <c r="X200" s="898"/>
      <c r="Y200" s="127"/>
      <c r="Z200" s="791"/>
      <c r="AA200" s="127"/>
      <c r="AB200" s="127"/>
      <c r="AC200" s="127"/>
      <c r="AD200" s="127"/>
      <c r="AE200" s="127"/>
      <c r="AF200" s="127"/>
      <c r="AG200" s="127"/>
      <c r="AH200" s="127"/>
      <c r="AI200" s="127"/>
      <c r="AJ200" s="127"/>
      <c r="AK200" s="127"/>
      <c r="AL200" s="127"/>
      <c r="AM200" s="297"/>
      <c r="AN200" s="297"/>
      <c r="AO200" s="297"/>
      <c r="AP200" s="297"/>
      <c r="AQ200" s="297"/>
      <c r="AR200" s="297"/>
      <c r="AS200" s="297"/>
      <c r="AT200" s="297"/>
      <c r="AU200" s="297"/>
      <c r="AV200" s="297"/>
      <c r="AW200" s="297"/>
      <c r="AX200" s="297"/>
      <c r="AY200" s="297"/>
      <c r="AZ200" s="297"/>
      <c r="BA200" s="297"/>
      <c r="BB200" s="297"/>
      <c r="BC200" s="297"/>
      <c r="BD200" s="297"/>
      <c r="BE200" s="297"/>
      <c r="BF200" s="297"/>
      <c r="BG200" s="297"/>
      <c r="BH200" s="297"/>
      <c r="BI200" s="297"/>
      <c r="BJ200" s="297"/>
      <c r="BK200" s="297"/>
      <c r="BL200" s="297"/>
      <c r="BM200" s="297"/>
      <c r="BN200" s="297"/>
      <c r="BO200" s="297"/>
      <c r="BP200" s="297"/>
      <c r="BQ200" s="297"/>
      <c r="BR200" s="297"/>
      <c r="BS200" s="297"/>
      <c r="BT200" s="297"/>
      <c r="BU200" s="297"/>
      <c r="BV200" s="297"/>
      <c r="BW200" s="297"/>
      <c r="BX200" s="297"/>
      <c r="BY200" s="297"/>
      <c r="BZ200" s="297"/>
      <c r="CA200" s="34"/>
      <c r="CC200" s="58"/>
      <c r="CD200" s="3018" t="s">
        <v>41</v>
      </c>
      <c r="CE200" s="3019"/>
      <c r="CF200" s="1472"/>
      <c r="CG200" s="3020" t="s">
        <v>109</v>
      </c>
      <c r="CH200" s="3021"/>
      <c r="CI200" s="1473"/>
      <c r="CJ200" s="3022" t="s">
        <v>43</v>
      </c>
      <c r="CK200" s="3023"/>
      <c r="CL200" s="1473"/>
      <c r="CM200" s="3015" t="s">
        <v>44</v>
      </c>
      <c r="CN200" s="3016"/>
      <c r="CO200" s="1470"/>
      <c r="CP200" s="3015" t="s">
        <v>45</v>
      </c>
      <c r="CQ200" s="3016"/>
      <c r="CR200" s="34"/>
    </row>
    <row r="201" spans="1:96" ht="18" customHeight="1">
      <c r="A201" s="1322"/>
      <c r="B201" s="583"/>
      <c r="C201" s="577" t="s">
        <v>1639</v>
      </c>
      <c r="D201" s="583"/>
      <c r="E201" s="577" t="e" cm="1">
        <f t="array" ca="1" aca="1" ref="E201">IFBLANK(_xldudf_CX_GET(CX_ENTITY,fx_attrConverter(C201),val_asOfDate),PL!D201)</f>
        <v>#NAME?</v>
      </c>
      <c r="F201" s="577"/>
      <c r="G201" s="577"/>
      <c r="H201" s="572"/>
      <c r="I201" s="572"/>
      <c r="J201" s="572"/>
      <c r="K201" s="572"/>
      <c r="L201" s="578"/>
      <c r="N201" s="158"/>
      <c r="O201" s="101"/>
      <c r="P201" s="52"/>
      <c r="Q201" s="2"/>
      <c r="R201" s="101"/>
      <c r="S201" s="153"/>
      <c r="T201" s="153"/>
      <c r="U201" s="39"/>
      <c r="W201" s="3045" t="e" cm="1">
        <f t="array" ca="1" aca="1" ref="W201">fx_scenarioConverter(E202)</f>
        <v>#NAME?</v>
      </c>
      <c r="X201" s="1247"/>
      <c r="Y201" s="3040" t="e">
        <f ca="1">E201</f>
        <v>#NAME?</v>
      </c>
      <c r="Z201" s="1632" t="s">
        <v>157</v>
      </c>
      <c r="AA201" s="1249"/>
      <c r="AB201" s="1630"/>
      <c r="AC201" s="1273"/>
      <c r="AD201" s="859"/>
      <c r="AE201" s="859"/>
      <c r="AF201" s="859"/>
      <c r="AG201" s="859"/>
      <c r="AH201" s="859"/>
      <c r="AI201" s="859"/>
      <c r="AJ201" s="859"/>
      <c r="AK201" s="859"/>
      <c r="AL201" s="859"/>
      <c r="AM201" s="859"/>
      <c r="AN201" s="859"/>
      <c r="AO201" s="859"/>
      <c r="AP201" s="859"/>
      <c r="AQ201" s="859"/>
      <c r="AR201" s="859"/>
      <c r="AS201" s="859"/>
      <c r="AT201" s="859"/>
      <c r="AU201" s="859"/>
      <c r="AV201" s="859"/>
      <c r="AW201" s="859"/>
      <c r="AX201" s="859"/>
      <c r="AY201" s="859"/>
      <c r="AZ201" s="859"/>
      <c r="BA201" s="859"/>
      <c r="BB201" s="859"/>
      <c r="BC201" s="859"/>
      <c r="BD201" s="859"/>
      <c r="BE201" s="859"/>
      <c r="BF201" s="859"/>
      <c r="BG201" s="859"/>
      <c r="BH201" s="859"/>
      <c r="BI201" s="859"/>
      <c r="BJ201" s="859"/>
      <c r="BK201" s="859"/>
      <c r="BL201" s="859"/>
      <c r="BM201" s="859"/>
      <c r="BN201" s="859"/>
      <c r="BO201" s="542"/>
      <c r="BP201" s="542"/>
      <c r="BQ201" s="542"/>
      <c r="BR201" s="542"/>
      <c r="BS201" s="542"/>
      <c r="BT201" s="542"/>
      <c r="BU201" s="542"/>
      <c r="BV201" s="542"/>
      <c r="BW201" s="542"/>
      <c r="BX201" s="542"/>
      <c r="BY201" s="542"/>
      <c r="BZ201" s="542"/>
      <c r="CA201" s="34"/>
      <c r="CB201" s="108"/>
      <c r="CC201" s="58"/>
      <c r="CD201" s="1343" t="e" cm="1">
        <f t="array" ca="1" aca="1" ref="CD201">YEAR(val_currentFYE)-2</f>
        <v>#NAME?</v>
      </c>
      <c r="CE201" s="1344" t="e" cm="1">
        <f t="array" ca="1" aca="1" ref="CE201">YEAR(val_currentFYE)-1</f>
        <v>#NAME?</v>
      </c>
      <c r="CF201" s="128"/>
      <c r="CG201" s="205" t="e" cm="1">
        <f t="array" ca="1" aca="1" ref="CG201">YEAR(val_currentFYE)</f>
        <v>#NAME?</v>
      </c>
      <c r="CH201" s="206" t="e" cm="1">
        <f t="array" ca="1" aca="1" ref="CH201">YEAR(val_currentFYE)</f>
        <v>#NAME?</v>
      </c>
      <c r="CI201" s="207"/>
      <c r="CJ201" s="208" t="s">
        <v>54</v>
      </c>
      <c r="CK201" s="209" t="s">
        <v>54</v>
      </c>
      <c r="CL201" s="88"/>
      <c r="CM201" s="1200" t="e" cm="1">
        <f t="array" ca="1" aca="1" ref="CM201">YEAR(val_currentFYE)</f>
        <v>#NAME?</v>
      </c>
      <c r="CN201" s="1340" t="e" cm="1">
        <f t="array" ca="1" aca="1" ref="CN201">YEAR(val_currentFYE)</f>
        <v>#NAME?</v>
      </c>
      <c r="CO201" s="88"/>
      <c r="CP201" s="1200" t="e" cm="1">
        <f t="array" ca="1" aca="1" ref="CP201">YEAR(val_currentFYE)</f>
        <v>#NAME?</v>
      </c>
      <c r="CQ201" s="1340" t="e" cm="1">
        <f t="array" ca="1" aca="1" ref="CQ201">YEAR(val_currentFYE)</f>
        <v>#NAME?</v>
      </c>
      <c r="CR201" s="34"/>
    </row>
    <row r="202" spans="1:96" ht="18" customHeight="1">
      <c r="A202" s="1322"/>
      <c r="B202" s="583"/>
      <c r="C202" s="577" t="s">
        <v>170</v>
      </c>
      <c r="D202" s="583"/>
      <c r="E202" s="577" t="e" cm="1">
        <f t="array" ca="1" aca="1" ref="E202">IFBLANK(_xldudf_CX_GET(CX_ENTITY,fx_attrConverter(C202),val_asOfDate),PL!D202)</f>
        <v>#NAME?</v>
      </c>
      <c r="F202" s="577"/>
      <c r="G202" s="577"/>
      <c r="H202" s="572"/>
      <c r="I202" s="572"/>
      <c r="J202" s="572"/>
      <c r="K202" s="572"/>
      <c r="L202" s="578"/>
      <c r="N202" s="158"/>
      <c r="O202" s="101"/>
      <c r="P202" s="52"/>
      <c r="Q202" s="2"/>
      <c r="R202" s="101"/>
      <c r="S202" s="153"/>
      <c r="T202" s="153"/>
      <c r="U202" s="39"/>
      <c r="W202" s="3046"/>
      <c r="X202" s="1250"/>
      <c r="Y202" s="3041"/>
      <c r="Z202" s="1252"/>
      <c r="AA202" s="1252"/>
      <c r="AB202" s="1631"/>
      <c r="AC202" s="1162"/>
      <c r="AD202" s="1253"/>
      <c r="AE202" s="1253"/>
      <c r="AF202" s="1253"/>
      <c r="AG202" s="1253"/>
      <c r="AH202" s="1253"/>
      <c r="AI202" s="1253"/>
      <c r="AJ202" s="1253"/>
      <c r="AK202" s="1253"/>
      <c r="AL202" s="1253"/>
      <c r="AM202" s="1253"/>
      <c r="AN202" s="1253"/>
      <c r="AO202" s="1253"/>
      <c r="AP202" s="1253"/>
      <c r="AQ202" s="1253"/>
      <c r="AR202" s="1253"/>
      <c r="AS202" s="1253"/>
      <c r="AT202" s="1253"/>
      <c r="AU202" s="1253"/>
      <c r="AV202" s="1253"/>
      <c r="AW202" s="1253"/>
      <c r="AX202" s="1253"/>
      <c r="AY202" s="1253"/>
      <c r="AZ202" s="1253"/>
      <c r="BA202" s="1253"/>
      <c r="BB202" s="1253"/>
      <c r="BC202" s="1253"/>
      <c r="BD202" s="1253"/>
      <c r="BE202" s="1253"/>
      <c r="BF202" s="1253"/>
      <c r="BG202" s="1253"/>
      <c r="BH202" s="1253"/>
      <c r="BI202" s="1253"/>
      <c r="BJ202" s="1253"/>
      <c r="BK202" s="1253"/>
      <c r="BL202" s="1253"/>
      <c r="BM202" s="1253"/>
      <c r="BN202" s="1253"/>
      <c r="BO202" s="2099"/>
      <c r="BP202" s="2099"/>
      <c r="BQ202" s="2099"/>
      <c r="BR202" s="2099"/>
      <c r="BS202" s="2099"/>
      <c r="BT202" s="2099"/>
      <c r="BU202" s="2099"/>
      <c r="BV202" s="2099"/>
      <c r="BW202" s="2099"/>
      <c r="BX202" s="2099"/>
      <c r="BY202" s="2099"/>
      <c r="BZ202" s="2099"/>
      <c r="CA202" s="34"/>
      <c r="CC202" s="58"/>
      <c r="CD202" s="1343"/>
      <c r="CE202" s="1344"/>
      <c r="CF202" s="128"/>
      <c r="CG202" s="205"/>
      <c r="CH202" s="206"/>
      <c r="CI202" s="207"/>
      <c r="CJ202" s="208"/>
      <c r="CK202" s="209"/>
      <c r="CL202" s="88"/>
      <c r="CM202" s="1200"/>
      <c r="CN202" s="1340"/>
      <c r="CO202" s="88"/>
      <c r="CP202" s="1200"/>
      <c r="CQ202" s="1340"/>
      <c r="CR202" s="34"/>
    </row>
    <row r="203" spans="1:96" ht="30.75" customHeight="1" outlineLevel="1">
      <c r="A203" s="1322"/>
      <c r="B203" s="583"/>
      <c r="C203" s="583"/>
      <c r="D203" s="583"/>
      <c r="E203" s="577"/>
      <c r="F203" s="577"/>
      <c r="G203" s="577" t="s">
        <v>1640</v>
      </c>
      <c r="H203" s="1333"/>
      <c r="I203" s="1333">
        <v>3</v>
      </c>
      <c r="J203" s="572"/>
      <c r="K203" s="572"/>
      <c r="L203" s="572"/>
      <c r="N203" s="158"/>
      <c r="O203" s="101"/>
      <c r="P203" s="52"/>
      <c r="Q203" s="101"/>
      <c r="R203" s="101"/>
      <c r="S203" s="153"/>
      <c r="T203" s="153"/>
      <c r="U203" s="39"/>
      <c r="W203" s="161"/>
      <c r="X203" s="887"/>
      <c r="Y203" s="1129"/>
      <c r="Z203" s="789"/>
      <c r="AA203" s="163"/>
      <c r="AB203" s="162" t="s">
        <v>47</v>
      </c>
      <c r="AC203" s="1164"/>
      <c r="AD203" s="977" cm="1">
        <f t="array" ref="AD203:BN203">EOMONTH(val_asOfDate,_xlfn.SEQUENCE(1,37,-36,1))</f>
        <v>44926</v>
      </c>
      <c r="AE203" s="977">
        <v>44957</v>
      </c>
      <c r="AF203" s="977">
        <v>44985</v>
      </c>
      <c r="AG203" s="977">
        <v>45016</v>
      </c>
      <c r="AH203" s="977">
        <v>45046</v>
      </c>
      <c r="AI203" s="977">
        <v>45077</v>
      </c>
      <c r="AJ203" s="977">
        <v>45107</v>
      </c>
      <c r="AK203" s="977">
        <v>45138</v>
      </c>
      <c r="AL203" s="977">
        <v>45169</v>
      </c>
      <c r="AM203" s="977">
        <v>45199</v>
      </c>
      <c r="AN203" s="977">
        <v>45230</v>
      </c>
      <c r="AO203" s="977">
        <v>45260</v>
      </c>
      <c r="AP203" s="977">
        <v>45291</v>
      </c>
      <c r="AQ203" s="977">
        <v>45322</v>
      </c>
      <c r="AR203" s="977">
        <v>45351</v>
      </c>
      <c r="AS203" s="977">
        <v>45382</v>
      </c>
      <c r="AT203" s="977">
        <v>45412</v>
      </c>
      <c r="AU203" s="977">
        <v>45443</v>
      </c>
      <c r="AV203" s="977">
        <v>45473</v>
      </c>
      <c r="AW203" s="977">
        <v>45504</v>
      </c>
      <c r="AX203" s="977">
        <v>45535</v>
      </c>
      <c r="AY203" s="977">
        <v>45565</v>
      </c>
      <c r="AZ203" s="977">
        <v>45596</v>
      </c>
      <c r="BA203" s="977">
        <v>45626</v>
      </c>
      <c r="BB203" s="977">
        <v>45657</v>
      </c>
      <c r="BC203" s="977">
        <v>45688</v>
      </c>
      <c r="BD203" s="977">
        <v>45716</v>
      </c>
      <c r="BE203" s="977">
        <v>45747</v>
      </c>
      <c r="BF203" s="977">
        <v>45777</v>
      </c>
      <c r="BG203" s="977">
        <v>45808</v>
      </c>
      <c r="BH203" s="977">
        <v>45838</v>
      </c>
      <c r="BI203" s="977">
        <v>45869</v>
      </c>
      <c r="BJ203" s="977">
        <v>45900</v>
      </c>
      <c r="BK203" s="977">
        <v>45930</v>
      </c>
      <c r="BL203" s="977">
        <v>45961</v>
      </c>
      <c r="BM203" s="977">
        <v>45991</v>
      </c>
      <c r="BN203" s="978">
        <v>46022</v>
      </c>
      <c r="BO203" s="2090"/>
      <c r="BP203" s="2090"/>
      <c r="BQ203" s="2090"/>
      <c r="BR203" s="2090"/>
      <c r="BS203" s="2090"/>
      <c r="BT203" s="2090"/>
      <c r="BU203" s="2090"/>
      <c r="BV203" s="2090"/>
      <c r="BW203" s="2090"/>
      <c r="BX203" s="2090"/>
      <c r="BY203" s="2090"/>
      <c r="BZ203" s="2090"/>
      <c r="CA203" s="34"/>
      <c r="CC203" s="298"/>
      <c r="CD203" s="1716" t="e" cm="1">
        <f t="array" ca="1" aca="1" ref="CD203">EOMONTH(val_currentFYE,-24)</f>
        <v>#NAME?</v>
      </c>
      <c r="CE203" s="1717" t="e" cm="1">
        <f t="array" ca="1" aca="1" ref="CE203">EOMONTH(val_currentFYE,-12)</f>
        <v>#NAME?</v>
      </c>
      <c r="CF203" s="277"/>
      <c r="CG203" s="1715">
        <f>EOMONTH(val_asOfDate,-1)</f>
        <v>45991</v>
      </c>
      <c r="CH203" s="1715">
        <f>EOMONTH(val_asOfDate,0)</f>
        <v>46022</v>
      </c>
      <c r="CI203" s="276"/>
      <c r="CJ203" s="1709">
        <f>EOMONTH(val_asOfDate,-1)</f>
        <v>45991</v>
      </c>
      <c r="CK203" s="1710">
        <f>EOMONTH(val_asOfDate,0)</f>
        <v>46022</v>
      </c>
      <c r="CL203" s="88"/>
      <c r="CM203" s="1718" t="e" cm="1">
        <f t="array" ca="1" aca="1" ref="CM203">val_currentFYE</f>
        <v>#NAME?</v>
      </c>
      <c r="CN203" s="1719" t="e" cm="1">
        <f t="array" ca="1" aca="1" ref="CN203">val_currentFYE</f>
        <v>#NAME?</v>
      </c>
      <c r="CO203" s="88"/>
      <c r="CP203" s="1728" t="e" cm="1">
        <f t="array" ca="1" aca="1" ref="CP203">EOMONTH(val_currentFYE,12)</f>
        <v>#NAME?</v>
      </c>
      <c r="CQ203" s="1728" t="e" cm="1">
        <f t="array" ca="1" aca="1" ref="CQ203">EOMONTH(val_currentFYE,12)</f>
        <v>#NAME?</v>
      </c>
      <c r="CR203" s="34"/>
    </row>
    <row r="204" spans="1:96" ht="30.75" customHeight="1" outlineLevel="1">
      <c r="A204" s="1322"/>
      <c r="B204" s="1328"/>
      <c r="C204" s="1328"/>
      <c r="D204" s="1328"/>
      <c r="E204" s="1328"/>
      <c r="F204" s="575"/>
      <c r="G204" s="1328"/>
      <c r="H204" s="588"/>
      <c r="I204" s="588"/>
      <c r="J204" s="1334"/>
      <c r="K204" s="1334"/>
      <c r="L204" s="1334"/>
      <c r="N204" s="158"/>
      <c r="O204" s="101"/>
      <c r="P204" s="52"/>
      <c r="Q204" s="101"/>
      <c r="R204" s="101"/>
      <c r="S204" s="3008" t="e" vm="7">
        <v>#VALUE!</v>
      </c>
      <c r="T204" s="3008"/>
      <c r="U204" s="39"/>
      <c r="W204" s="272" t="s">
        <v>94</v>
      </c>
      <c r="X204" s="889"/>
      <c r="Y204" s="279" t="s">
        <v>159</v>
      </c>
      <c r="Z204" s="798"/>
      <c r="AA204" s="193"/>
      <c r="AB204" s="193"/>
      <c r="AC204" s="125"/>
      <c r="AD204" s="167" t="e">
        <f ca="1">$W$201</f>
        <v>#NAME?</v>
      </c>
      <c r="AE204" s="167" t="e">
        <f ca="1" t="shared" si="60" ref="AE204:BN204">$W$201</f>
        <v>#NAME?</v>
      </c>
      <c r="AF204" s="167" t="e">
        <f t="shared" ca="1" si="60"/>
        <v>#NAME?</v>
      </c>
      <c r="AG204" s="167" t="e">
        <f t="shared" ca="1" si="60"/>
        <v>#NAME?</v>
      </c>
      <c r="AH204" s="167" t="e">
        <f t="shared" ca="1" si="60"/>
        <v>#NAME?</v>
      </c>
      <c r="AI204" s="167" t="e">
        <f t="shared" ca="1" si="60"/>
        <v>#NAME?</v>
      </c>
      <c r="AJ204" s="167" t="e">
        <f t="shared" ca="1" si="60"/>
        <v>#NAME?</v>
      </c>
      <c r="AK204" s="167" t="e">
        <f t="shared" ca="1" si="60"/>
        <v>#NAME?</v>
      </c>
      <c r="AL204" s="167" t="e">
        <f t="shared" ca="1" si="60"/>
        <v>#NAME?</v>
      </c>
      <c r="AM204" s="167" t="e">
        <f t="shared" ca="1" si="60"/>
        <v>#NAME?</v>
      </c>
      <c r="AN204" s="167" t="e">
        <f t="shared" ca="1" si="60"/>
        <v>#NAME?</v>
      </c>
      <c r="AO204" s="167" t="e">
        <f t="shared" ca="1" si="60"/>
        <v>#NAME?</v>
      </c>
      <c r="AP204" s="167" t="e">
        <f t="shared" ca="1" si="60"/>
        <v>#NAME?</v>
      </c>
      <c r="AQ204" s="167" t="e">
        <f t="shared" ca="1" si="60"/>
        <v>#NAME?</v>
      </c>
      <c r="AR204" s="167" t="e">
        <f t="shared" ca="1" si="60"/>
        <v>#NAME?</v>
      </c>
      <c r="AS204" s="167" t="e">
        <f t="shared" ca="1" si="60"/>
        <v>#NAME?</v>
      </c>
      <c r="AT204" s="167" t="e">
        <f t="shared" ca="1" si="60"/>
        <v>#NAME?</v>
      </c>
      <c r="AU204" s="167" t="e">
        <f t="shared" ca="1" si="60"/>
        <v>#NAME?</v>
      </c>
      <c r="AV204" s="167" t="e">
        <f t="shared" ca="1" si="60"/>
        <v>#NAME?</v>
      </c>
      <c r="AW204" s="167" t="e">
        <f t="shared" ca="1" si="60"/>
        <v>#NAME?</v>
      </c>
      <c r="AX204" s="167" t="e">
        <f t="shared" ca="1" si="60"/>
        <v>#NAME?</v>
      </c>
      <c r="AY204" s="167" t="e">
        <f t="shared" ca="1" si="60"/>
        <v>#NAME?</v>
      </c>
      <c r="AZ204" s="167" t="e">
        <f t="shared" ca="1" si="60"/>
        <v>#NAME?</v>
      </c>
      <c r="BA204" s="167" t="e">
        <f t="shared" ca="1" si="60"/>
        <v>#NAME?</v>
      </c>
      <c r="BB204" s="167" t="e">
        <f t="shared" ca="1" si="60"/>
        <v>#NAME?</v>
      </c>
      <c r="BC204" s="167" t="e">
        <f t="shared" ca="1" si="60"/>
        <v>#NAME?</v>
      </c>
      <c r="BD204" s="167" t="e">
        <f t="shared" ca="1" si="60"/>
        <v>#NAME?</v>
      </c>
      <c r="BE204" s="167" t="e">
        <f t="shared" ca="1" si="60"/>
        <v>#NAME?</v>
      </c>
      <c r="BF204" s="167" t="e">
        <f t="shared" ca="1" si="60"/>
        <v>#NAME?</v>
      </c>
      <c r="BG204" s="167" t="e">
        <f t="shared" ca="1" si="60"/>
        <v>#NAME?</v>
      </c>
      <c r="BH204" s="167" t="e">
        <f t="shared" ca="1" si="60"/>
        <v>#NAME?</v>
      </c>
      <c r="BI204" s="167" t="e">
        <f t="shared" ca="1" si="60"/>
        <v>#NAME?</v>
      </c>
      <c r="BJ204" s="167" t="e">
        <f t="shared" ca="1" si="60"/>
        <v>#NAME?</v>
      </c>
      <c r="BK204" s="167" t="e">
        <f t="shared" ca="1" si="60"/>
        <v>#NAME?</v>
      </c>
      <c r="BL204" s="167" t="e">
        <f t="shared" ca="1" si="60"/>
        <v>#NAME?</v>
      </c>
      <c r="BM204" s="167" t="e">
        <f t="shared" ca="1" si="60"/>
        <v>#NAME?</v>
      </c>
      <c r="BN204" s="167" t="e">
        <f t="shared" ca="1" si="60"/>
        <v>#NAME?</v>
      </c>
      <c r="BO204" s="2070"/>
      <c r="BP204" s="2070"/>
      <c r="BQ204" s="2070"/>
      <c r="BR204" s="2070"/>
      <c r="BS204" s="2070"/>
      <c r="BT204" s="2070"/>
      <c r="BU204" s="2070"/>
      <c r="BV204" s="2070"/>
      <c r="BW204" s="2070"/>
      <c r="BX204" s="2070"/>
      <c r="BY204" s="2070"/>
      <c r="BZ204" s="2070"/>
      <c r="CA204" s="34"/>
      <c r="CC204" s="58"/>
      <c r="CD204" s="167" t="e">
        <f ca="1" t="shared" si="61" ref="CD204:CK204">$W$201</f>
        <v>#NAME?</v>
      </c>
      <c r="CE204" s="167" t="e">
        <f t="shared" ca="1" si="61"/>
        <v>#NAME?</v>
      </c>
      <c r="CF204" s="278"/>
      <c r="CG204" s="167" t="e">
        <f t="shared" ca="1" si="61"/>
        <v>#NAME?</v>
      </c>
      <c r="CH204" s="167" t="e">
        <f t="shared" ca="1" si="61"/>
        <v>#NAME?</v>
      </c>
      <c r="CI204" s="278"/>
      <c r="CJ204" s="167" t="e">
        <f t="shared" ca="1" si="61"/>
        <v>#NAME?</v>
      </c>
      <c r="CK204" s="167" t="e">
        <f t="shared" ca="1" si="61"/>
        <v>#NAME?</v>
      </c>
      <c r="CL204" s="88"/>
      <c r="CM204" s="1819" t="str">
        <f>$CM$19</f>
        <v>Original Budget</v>
      </c>
      <c r="CN204" s="1819" t="str">
        <f>$CN$19</f>
        <v>LE</v>
      </c>
      <c r="CO204" s="1205"/>
      <c r="CP204" s="1819" t="str">
        <f>$CP$19</f>
        <v>Original Budget</v>
      </c>
      <c r="CQ204" s="1819" t="str">
        <f>$CQ$19</f>
        <v>LE</v>
      </c>
      <c r="CR204" s="34"/>
    </row>
    <row r="205" spans="1:96" ht="21" customHeight="1" outlineLevel="1">
      <c r="A205" s="1322"/>
      <c r="B205" s="577"/>
      <c r="C205" s="577" t="s">
        <v>1641</v>
      </c>
      <c r="D205" s="577"/>
      <c r="E205" s="577" t="e" cm="1">
        <f t="array" ca="1" aca="1" ref="E205">_xlfn.LET(_xlpm.Attr,$C205,_xlpm.Lookback,$E$16,_xlpm.QueryDate,EOMONTH(val_asOfDate,_xlpm.Lookback),_xlpm.ReadField,_xldudf_CX_GET(CX_ENTITY,fx_attrConverter($C205),_xlpm.QueryDate),_xlpm.AttrBlank,_xlpm.Attr="",_xlpm.RESULT,IF(_xlpm.AttrBlank,val_blankRefText,fx_attrConverter(_xlpm.ReadField,0)),IF(_xlpm.RESULT="Error","",_xlpm.RESULT))</f>
        <v>#NAME?</v>
      </c>
      <c r="F205" s="577" t="e">
        <f ca="1">IF($B205&lt;&gt;"",$B205,$E205)</f>
        <v>#NAME?</v>
      </c>
      <c r="G205" s="577" t="s">
        <v>1640</v>
      </c>
      <c r="H205" s="3287">
        <v>2</v>
      </c>
      <c r="I205" s="3287">
        <v>1</v>
      </c>
      <c r="J205" s="30"/>
      <c r="K205" s="30"/>
      <c r="L205" s="578">
        <v>-1</v>
      </c>
      <c r="N205" s="158"/>
      <c r="O205" s="101"/>
      <c r="P205" s="52"/>
      <c r="Q205" s="101"/>
      <c r="R205" s="101"/>
      <c r="S205" s="3008"/>
      <c r="T205" s="3008"/>
      <c r="U205" s="39"/>
      <c r="W205" s="557" t="e">
        <f ca="1">W201</f>
        <v>#NAME?</v>
      </c>
      <c r="X205" s="897" t="e" vm="4" cm="1">
        <f t="array" ref="X205">fx_getIcon("select")</f>
        <v>#VALUE!</v>
      </c>
      <c r="Y205" s="1838" t="e" cm="1">
        <f t="array" ca="1" aca="1" ref="Y205">IFBLANK(_xldudf_CX_GET(CX_ENTITY,fx_attrConverter(C205),val_asOfDate),"Please select the metric for segmentation")</f>
        <v>#NAME?</v>
      </c>
      <c r="Z205" s="878"/>
      <c r="AA205" s="877"/>
      <c r="AB205" s="1133" t="str">
        <f ca="1">IFERROR(_xlfn.XLOOKUP($Y205,_PL!$Y$20:$Y$41,_PL!$AB$20:$AB$41),"")</f>
        <v/>
      </c>
      <c r="AC205" s="1163" t="str" cm="1">
        <f t="array" ca="1" aca="1" ref="AC205">_xlfn.LET(_xlpm.Def,IF(_xlfn.XMATCH(AB205,tbl_acctDef[Term],0)&gt;0,fx_getIcon("find"),""),_xlpm.Adj,IF(_xlfn.XMATCH(AB205,tbl_adjExample[Items],0)&gt;0,fx_getIcon("find"),""),IFERROR(IFBLANK(_xlpm.Def,_xlpm.Adj),""))</f>
        <v/>
      </c>
      <c r="AD205" s="1140" t="e" cm="1">
        <f t="array" ca="1" aca="1" ref="AD205">_xlfn.LET(_xlpm.val,IF($F205="",val_blankRefText,_xldudf_CX_GET(CX_ENTITY,$F205,AD$11,AD$14,,(AD$204))),_xlpm.Res,IF(OR(_xlpm.val="",_xlpm.val="Error"),"",_xlpm.val),_xlpm.Res)</f>
        <v>#NAME?</v>
      </c>
      <c r="AE205" s="1132" t="e" cm="1">
        <f t="array" ca="1" aca="1" ref="AE205">_xlfn.LET(_xlpm.val,IF($F205="",val_blankRefText,_xldudf_CX_GET(CX_ENTITY,$F205,AE$11,AE$14,,(AE$204))),_xlpm.Res,IF(OR(_xlpm.val="",_xlpm.val="Error"),"",_xlpm.val),_xlpm.Res)</f>
        <v>#NAME?</v>
      </c>
      <c r="AF205" s="910" t="e" cm="1">
        <f t="array" ca="1" aca="1" ref="AF205">_xlfn.LET(_xlpm.val,IF($F205="",val_blankRefText,_xldudf_CX_GET(CX_ENTITY,$F205,AF$11,AF$14,,(AF$204))),_xlpm.Res,IF(OR(_xlpm.val="",_xlpm.val="Error"),"",_xlpm.val),_xlpm.Res)</f>
        <v>#NAME?</v>
      </c>
      <c r="AG205" s="910" t="e" cm="1">
        <f t="array" ca="1" aca="1" ref="AG205">_xlfn.LET(_xlpm.val,IF($F205="",val_blankRefText,_xldudf_CX_GET(CX_ENTITY,$F205,AG$11,AG$14,,(AG$204))),_xlpm.Res,IF(OR(_xlpm.val="",_xlpm.val="Error"),"",_xlpm.val),_xlpm.Res)</f>
        <v>#NAME?</v>
      </c>
      <c r="AH205" s="910" t="e" cm="1">
        <f t="array" ca="1" aca="1" ref="AH205">_xlfn.LET(_xlpm.val,IF($F205="",val_blankRefText,_xldudf_CX_GET(CX_ENTITY,$F205,AH$11,AH$14,,(AH$204))),_xlpm.Res,IF(OR(_xlpm.val="",_xlpm.val="Error"),"",_xlpm.val),_xlpm.Res)</f>
        <v>#NAME?</v>
      </c>
      <c r="AI205" s="910" t="e" cm="1">
        <f t="array" ca="1" aca="1" ref="AI205">_xlfn.LET(_xlpm.val,IF($F205="",val_blankRefText,_xldudf_CX_GET(CX_ENTITY,$F205,AI$11,AI$14,,(AI$204))),_xlpm.Res,IF(OR(_xlpm.val="",_xlpm.val="Error"),"",_xlpm.val),_xlpm.Res)</f>
        <v>#NAME?</v>
      </c>
      <c r="AJ205" s="910" t="e" cm="1">
        <f t="array" ca="1" aca="1" ref="AJ205">_xlfn.LET(_xlpm.val,IF($F205="",val_blankRefText,_xldudf_CX_GET(CX_ENTITY,$F205,AJ$11,AJ$14,,(AJ$204))),_xlpm.Res,IF(OR(_xlpm.val="",_xlpm.val="Error"),"",_xlpm.val),_xlpm.Res)</f>
        <v>#NAME?</v>
      </c>
      <c r="AK205" s="910" t="e" cm="1">
        <f t="array" ca="1" aca="1" ref="AK205">_xlfn.LET(_xlpm.val,IF($F205="",val_blankRefText,_xldudf_CX_GET(CX_ENTITY,$F205,AK$11,AK$14,,(AK$204))),_xlpm.Res,IF(OR(_xlpm.val="",_xlpm.val="Error"),"",_xlpm.val),_xlpm.Res)</f>
        <v>#NAME?</v>
      </c>
      <c r="AL205" s="910" t="e" cm="1">
        <f t="array" ca="1" aca="1" ref="AL205">_xlfn.LET(_xlpm.val,IF($F205="",val_blankRefText,_xldudf_CX_GET(CX_ENTITY,$F205,AL$11,AL$14,,(AL$204))),_xlpm.Res,IF(OR(_xlpm.val="",_xlpm.val="Error"),"",_xlpm.val),_xlpm.Res)</f>
        <v>#NAME?</v>
      </c>
      <c r="AM205" s="910" t="e" cm="1">
        <f t="array" ca="1" aca="1" ref="AM205">_xlfn.LET(_xlpm.val,IF($F205="",val_blankRefText,_xldudf_CX_GET(CX_ENTITY,$F205,AM$11,AM$14,,(AM$204))),_xlpm.Res,IF(OR(_xlpm.val="",_xlpm.val="Error"),"",_xlpm.val),_xlpm.Res)</f>
        <v>#NAME?</v>
      </c>
      <c r="AN205" s="910" t="e" cm="1">
        <f t="array" ca="1" aca="1" ref="AN205">_xlfn.LET(_xlpm.val,IF($F205="",val_blankRefText,_xldudf_CX_GET(CX_ENTITY,$F205,AN$11,AN$14,,(AN$204))),_xlpm.Res,IF(OR(_xlpm.val="",_xlpm.val="Error"),"",_xlpm.val),_xlpm.Res)</f>
        <v>#NAME?</v>
      </c>
      <c r="AO205" s="910" t="e" cm="1">
        <f t="array" ca="1" aca="1" ref="AO205">_xlfn.LET(_xlpm.val,IF($F205="",val_blankRefText,_xldudf_CX_GET(CX_ENTITY,$F205,AO$11,AO$14,,(AO$204))),_xlpm.Res,IF(OR(_xlpm.val="",_xlpm.val="Error"),"",_xlpm.val),_xlpm.Res)</f>
        <v>#NAME?</v>
      </c>
      <c r="AP205" s="910" t="e" cm="1">
        <f t="array" ca="1" aca="1" ref="AP205">_xlfn.LET(_xlpm.val,IF($F205="",val_blankRefText,_xldudf_CX_GET(CX_ENTITY,$F205,AP$11,AP$14,,(AP$204))),_xlpm.Res,IF(OR(_xlpm.val="",_xlpm.val="Error"),"",_xlpm.val),_xlpm.Res)</f>
        <v>#NAME?</v>
      </c>
      <c r="AQ205" s="910" t="e" cm="1">
        <f t="array" ca="1" aca="1" ref="AQ205">_xlfn.LET(_xlpm.val,IF($F205="",val_blankRefText,_xldudf_CX_GET(CX_ENTITY,$F205,AQ$11,AQ$14,,(AQ$204))),_xlpm.Res,IF(OR(_xlpm.val="",_xlpm.val="Error"),"",_xlpm.val),_xlpm.Res)</f>
        <v>#NAME?</v>
      </c>
      <c r="AR205" s="910" t="e" cm="1">
        <f t="array" ca="1" aca="1" ref="AR205">_xlfn.LET(_xlpm.val,IF($F205="",val_blankRefText,_xldudf_CX_GET(CX_ENTITY,$F205,AR$11,AR$14,,(AR$204))),_xlpm.Res,IF(OR(_xlpm.val="",_xlpm.val="Error"),"",_xlpm.val),_xlpm.Res)</f>
        <v>#NAME?</v>
      </c>
      <c r="AS205" s="910" t="e" cm="1">
        <f t="array" ca="1" aca="1" ref="AS205">_xlfn.LET(_xlpm.val,IF($F205="",val_blankRefText,_xldudf_CX_GET(CX_ENTITY,$F205,AS$11,AS$14,,(AS$204))),_xlpm.Res,IF(OR(_xlpm.val="",_xlpm.val="Error"),"",_xlpm.val),_xlpm.Res)</f>
        <v>#NAME?</v>
      </c>
      <c r="AT205" s="910" t="e" cm="1">
        <f t="array" ca="1" aca="1" ref="AT205">_xlfn.LET(_xlpm.val,IF($F205="",val_blankRefText,_xldudf_CX_GET(CX_ENTITY,$F205,AT$11,AT$14,,(AT$204))),_xlpm.Res,IF(OR(_xlpm.val="",_xlpm.val="Error"),"",_xlpm.val),_xlpm.Res)</f>
        <v>#NAME?</v>
      </c>
      <c r="AU205" s="910" t="e" cm="1">
        <f t="array" ca="1" aca="1" ref="AU205">_xlfn.LET(_xlpm.val,IF($F205="",val_blankRefText,_xldudf_CX_GET(CX_ENTITY,$F205,AU$11,AU$14,,(AU$204))),_xlpm.Res,IF(OR(_xlpm.val="",_xlpm.val="Error"),"",_xlpm.val),_xlpm.Res)</f>
        <v>#NAME?</v>
      </c>
      <c r="AV205" s="910" t="e" cm="1">
        <f t="array" ca="1" aca="1" ref="AV205">_xlfn.LET(_xlpm.val,IF($F205="",val_blankRefText,_xldudf_CX_GET(CX_ENTITY,$F205,AV$11,AV$14,,(AV$204))),_xlpm.Res,IF(OR(_xlpm.val="",_xlpm.val="Error"),"",_xlpm.val),_xlpm.Res)</f>
        <v>#NAME?</v>
      </c>
      <c r="AW205" s="910" t="e" cm="1">
        <f t="array" ca="1" aca="1" ref="AW205">_xlfn.LET(_xlpm.val,IF($F205="",val_blankRefText,_xldudf_CX_GET(CX_ENTITY,$F205,AW$11,AW$14,,(AW$204))),_xlpm.Res,IF(OR(_xlpm.val="",_xlpm.val="Error"),"",_xlpm.val),_xlpm.Res)</f>
        <v>#NAME?</v>
      </c>
      <c r="AX205" s="910" t="e" cm="1">
        <f t="array" ca="1" aca="1" ref="AX205">_xlfn.LET(_xlpm.val,IF($F205="",val_blankRefText,_xldudf_CX_GET(CX_ENTITY,$F205,AX$11,AX$14,,(AX$204))),_xlpm.Res,IF(OR(_xlpm.val="",_xlpm.val="Error"),"",_xlpm.val),_xlpm.Res)</f>
        <v>#NAME?</v>
      </c>
      <c r="AY205" s="910" t="e" cm="1">
        <f t="array" ca="1" aca="1" ref="AY205">_xlfn.LET(_xlpm.val,IF($F205="",val_blankRefText,_xldudf_CX_GET(CX_ENTITY,$F205,AY$11,AY$14,,(AY$204))),_xlpm.Res,IF(OR(_xlpm.val="",_xlpm.val="Error"),"",_xlpm.val),_xlpm.Res)</f>
        <v>#NAME?</v>
      </c>
      <c r="AZ205" s="910" t="e" cm="1">
        <f t="array" ca="1" aca="1" ref="AZ205">_xlfn.LET(_xlpm.val,IF($F205="",val_blankRefText,_xldudf_CX_GET(CX_ENTITY,$F205,AZ$11,AZ$14,,(AZ$204))),_xlpm.Res,IF(OR(_xlpm.val="",_xlpm.val="Error"),"",_xlpm.val),_xlpm.Res)</f>
        <v>#NAME?</v>
      </c>
      <c r="BA205" s="910" t="e" cm="1">
        <f t="array" ca="1" aca="1" ref="BA205">_xlfn.LET(_xlpm.val,IF($F205="",val_blankRefText,_xldudf_CX_GET(CX_ENTITY,$F205,BA$11,BA$14,,(BA$204))),_xlpm.Res,IF(OR(_xlpm.val="",_xlpm.val="Error"),"",_xlpm.val),_xlpm.Res)</f>
        <v>#NAME?</v>
      </c>
      <c r="BB205" s="910" t="e" cm="1">
        <f t="array" ca="1" aca="1" ref="BB205">_xlfn.LET(_xlpm.val,IF($F205="",val_blankRefText,_xldudf_CX_GET(CX_ENTITY,$F205,BB$11,BB$14,,(BB$204))),_xlpm.Res,IF(OR(_xlpm.val="",_xlpm.val="Error"),"",_xlpm.val),_xlpm.Res)</f>
        <v>#NAME?</v>
      </c>
      <c r="BC205" s="910" t="e" cm="1">
        <f t="array" ca="1" aca="1" ref="BC205">_xlfn.LET(_xlpm.val,IF($F205="",val_blankRefText,_xldudf_CX_GET(CX_ENTITY,$F205,BC$11,BC$14,,(BC$204))),_xlpm.Res,IF(OR(_xlpm.val="",_xlpm.val="Error"),"",_xlpm.val),_xlpm.Res)</f>
        <v>#NAME?</v>
      </c>
      <c r="BD205" s="910" t="e" cm="1">
        <f t="array" ca="1" aca="1" ref="BD205">_xlfn.LET(_xlpm.val,IF($F205="",val_blankRefText,_xldudf_CX_GET(CX_ENTITY,$F205,BD$11,BD$14,,(BD$204))),_xlpm.Res,IF(OR(_xlpm.val="",_xlpm.val="Error"),"",_xlpm.val),_xlpm.Res)</f>
        <v>#NAME?</v>
      </c>
      <c r="BE205" s="910" t="e" cm="1">
        <f t="array" ca="1" aca="1" ref="BE205">_xlfn.LET(_xlpm.val,IF($F205="",val_blankRefText,_xldudf_CX_GET(CX_ENTITY,$F205,BE$11,BE$14,,(BE$204))),_xlpm.Res,IF(OR(_xlpm.val="",_xlpm.val="Error"),"",_xlpm.val),_xlpm.Res)</f>
        <v>#NAME?</v>
      </c>
      <c r="BF205" s="910" t="e" cm="1">
        <f t="array" ca="1" aca="1" ref="BF205">_xlfn.LET(_xlpm.val,IF($F205="",val_blankRefText,_xldudf_CX_GET(CX_ENTITY,$F205,BF$11,BF$14,,(BF$204))),_xlpm.Res,IF(OR(_xlpm.val="",_xlpm.val="Error"),"",_xlpm.val),_xlpm.Res)</f>
        <v>#NAME?</v>
      </c>
      <c r="BG205" s="910" t="e" cm="1">
        <f t="array" ca="1" aca="1" ref="BG205">_xlfn.LET(_xlpm.val,IF($F205="",val_blankRefText,_xldudf_CX_GET(CX_ENTITY,$F205,BG$11,BG$14,,(BG$204))),_xlpm.Res,IF(OR(_xlpm.val="",_xlpm.val="Error"),"",_xlpm.val),_xlpm.Res)</f>
        <v>#NAME?</v>
      </c>
      <c r="BH205" s="910" t="e" cm="1">
        <f t="array" ca="1" aca="1" ref="BH205">_xlfn.LET(_xlpm.val,IF($F205="",val_blankRefText,_xldudf_CX_GET(CX_ENTITY,$F205,BH$11,BH$14,,(BH$204))),_xlpm.Res,IF(OR(_xlpm.val="",_xlpm.val="Error"),"",_xlpm.val),_xlpm.Res)</f>
        <v>#NAME?</v>
      </c>
      <c r="BI205" s="910" t="e" cm="1">
        <f t="array" ca="1" aca="1" ref="BI205">_xlfn.LET(_xlpm.val,IF($F205="",val_blankRefText,_xldudf_CX_GET(CX_ENTITY,$F205,BI$11,BI$14,,(BI$204))),_xlpm.Res,IF(OR(_xlpm.val="",_xlpm.val="Error"),"",_xlpm.val),_xlpm.Res)</f>
        <v>#NAME?</v>
      </c>
      <c r="BJ205" s="910" t="e" cm="1">
        <f t="array" ca="1" aca="1" ref="BJ205">_xlfn.LET(_xlpm.val,IF($F205="",val_blankRefText,_xldudf_CX_GET(CX_ENTITY,$F205,BJ$11,BJ$14,,(BJ$204))),_xlpm.Res,IF(OR(_xlpm.val="",_xlpm.val="Error"),"",_xlpm.val),_xlpm.Res)</f>
        <v>#NAME?</v>
      </c>
      <c r="BK205" s="910" t="e" cm="1">
        <f t="array" ca="1" aca="1" ref="BK205">_xlfn.LET(_xlpm.val,IF($F205="",val_blankRefText,_xldudf_CX_GET(CX_ENTITY,$F205,BK$11,BK$14,,(BK$204))),_xlpm.Res,IF(OR(_xlpm.val="",_xlpm.val="Error"),"",_xlpm.val),_xlpm.Res)</f>
        <v>#NAME?</v>
      </c>
      <c r="BL205" s="910" t="e" cm="1">
        <f t="array" ca="1" aca="1" ref="BL205">_xlfn.LET(_xlpm.val,IF($F205="",val_blankRefText,_xldudf_CX_GET(CX_ENTITY,$F205,BL$11,BL$14,,(BL$204))),_xlpm.Res,IF(OR(_xlpm.val="",_xlpm.val="Error"),"",_xlpm.val),_xlpm.Res)</f>
        <v>#NAME?</v>
      </c>
      <c r="BM205" s="910" t="e" cm="1">
        <f t="array" ca="1" aca="1" ref="BM205">_xlfn.LET(_xlpm.val,IF($F205="",val_blankRefText,_xldudf_CX_GET(CX_ENTITY,$F205,BM$11,BM$14,,(BM$204))),_xlpm.Res,IF(OR(_xlpm.val="",_xlpm.val="Error"),"",_xlpm.val),_xlpm.Res)</f>
        <v>#NAME?</v>
      </c>
      <c r="BN205" s="910" t="e" cm="1">
        <f t="array" ca="1" aca="1" ref="BN205">_xlfn.LET(_xlpm.val,IF($F205="",val_blankRefText,_xldudf_CX_GET(CX_ENTITY,$F205,BN$11,BN$14,,(BN$204))),_xlpm.Res,IF(OR(_xlpm.val="",_xlpm.val="Error"),"",_xlpm.val),_xlpm.Res)</f>
        <v>#NAME?</v>
      </c>
      <c r="BO205" s="2107"/>
      <c r="BP205" s="2107"/>
      <c r="BQ205" s="2107"/>
      <c r="BR205" s="2107"/>
      <c r="BS205" s="2107"/>
      <c r="BT205" s="2107"/>
      <c r="BU205" s="2107"/>
      <c r="BV205" s="2107"/>
      <c r="BW205" s="2107"/>
      <c r="BX205" s="2107"/>
      <c r="BY205" s="2107"/>
      <c r="BZ205" s="2107"/>
      <c r="CA205" s="34"/>
      <c r="CC205" s="33"/>
      <c r="CD205" s="1461" t="e" cm="1">
        <f t="array" ca="1" aca="1" ref="CD205">_xlfn.LET(_xlpm.CheckBlank,SUM(PL!$AD205:$BN205)=0,IF(_xlpm.CheckBlank,"",SUM(_xlfn._xlws.FILTER(PL!$AD205:$BN205,(YEAR(PL!$AD$12:$BN$12)=PL!CD$12)*(array_timeline&lt;=PL!CD$11)))))</f>
        <v>#NAME?</v>
      </c>
      <c r="CE205" s="1461" t="e" cm="1">
        <f t="array" ca="1" aca="1" ref="CE205">_xlfn.LET(_xlpm.CheckBlank,SUM(PL!$AD205:$BN205)=0,IF(_xlpm.CheckBlank,"",SUM(_xlfn._xlws.FILTER(PL!$AD205:$BN205,(YEAR(PL!$AD$12:$BN$12)=PL!CE$12)*(array_timeline&lt;=PL!CE$11)))))</f>
        <v>#NAME?</v>
      </c>
      <c r="CF205" s="88"/>
      <c r="CG205" s="1461" t="e" cm="1">
        <f t="array" ca="1" aca="1" ref="CG205">_xlfn.LET(_xlpm.CheckBlank,SUM(PL!$AD205:$BN205)=0,IF(_xlpm.CheckBlank,"",SUM(_xlfn._xlws.FILTER(PL!$AD205:$BN205,(YEAR(PL!$AD$12:$BN$12)=PL!CG$12)*(array_timeline&lt;=PL!CG$11)))))</f>
        <v>#NAME?</v>
      </c>
      <c r="CH205" s="1461" t="e" cm="1">
        <f t="array" ca="1" aca="1" ref="CH205">_xlfn.LET(_xlpm.CheckBlank,SUM(PL!$AD205:$BN205)=0,IF(_xlpm.CheckBlank,"",SUM(_xlfn._xlws.FILTER(PL!$AD205:$BN205,(YEAR(PL!$AD$12:$BN$12)=PL!CH$12)*(array_timeline&lt;=PL!CH$11)))))</f>
        <v>#NAME?</v>
      </c>
      <c r="CI205" s="88"/>
      <c r="CJ205" s="1461" t="e" cm="1">
        <f t="array" ca="1" aca="1" ref="CJ205">_xlfn.LET(_xlpm.CheckBlank,SUM(PL!$AD205:$BN205)=0,IF(_xlpm.CheckBlank,"",SUM(_xlfn.TAKE(_xlfn.DROP(PL!$AD205:$BN205,,-DATEDIFF(PL!CJ$11,val_asOfDate,"M")),1,-12))))</f>
        <v>#NAME?</v>
      </c>
      <c r="CK205" s="1461" t="e" cm="1">
        <f t="array" ca="1" aca="1" ref="CK205">_xlfn.LET(_xlpm.CheckBlank,SUM(PL!$AD205:$BN205)=0,IF(_xlpm.CheckBlank,"",SUM(_xlfn.TAKE(_xlfn.DROP(PL!$AD205:$BN205,,-DATEDIFF(PL!CK$11,val_asOfDate,"M")),1,-12))))</f>
        <v>#NAME?</v>
      </c>
      <c r="CL205" s="88"/>
      <c r="CM205" s="1142" t="str" cm="1">
        <f t="array" ca="1" aca="1" ref="CM205">_xlfn.LET(_xlpm.findRow,_xlfn.XMATCH($W205&amp;$Y205,$W$20:$W$118&amp;$AB$20:$AB$118,0),_xlpm.Choose,_xlfn.CHOOSEROWS($CM$20:$CN$118,_xlpm.findRow),_xlpm.RESULT,IF(ISERROR(_xlpm.findRow),"",_xlpm.Choose),_xlpm.RESULT)</f>
        <v/>
      </c>
      <c r="CN205" s="1142"/>
      <c r="CO205" s="88"/>
      <c r="CP205" s="1142" t="str" cm="1">
        <f t="array" ca="1" aca="1" ref="CP205">_xlfn.LET(_xlpm.findRow,_xlfn.XMATCH($W205&amp;$Y205,$W$20:$W$118&amp;$AB$20:$AB$118,0),_xlpm.Choose,_xlfn.CHOOSEROWS($CP$20:$CQ$118,_xlpm.findRow),_xlpm.RESULT,IF(ISERROR(_xlpm.findRow),"",_xlpm.Choose),_xlpm.RESULT)</f>
        <v/>
      </c>
      <c r="CQ205" s="1142"/>
      <c r="CR205" s="34"/>
    </row>
    <row r="206" spans="1:96" ht="21" customHeight="1" outlineLevel="1">
      <c r="A206" s="1322"/>
      <c r="B206" s="577" t="s">
        <v>171</v>
      </c>
      <c r="C206" s="577" t="s">
        <v>1642</v>
      </c>
      <c r="D206" s="577"/>
      <c r="E206" s="577" t="e" cm="1">
        <f t="array" ca="1" aca="1" ref="E206">_xlfn.LET(_xlpm.Attr,$C206,_xlpm.Lookback,$E$16,_xlpm.QueryDate,EOMONTH(val_asOfDate,_xlpm.Lookback),_xlpm.ReadField,_xldudf_CX_GET(CX_ENTITY,fx_attrConverter($C206),_xlpm.QueryDate),_xlpm.AttrBlank,_xlpm.Attr="",_xlpm.RESULT,IF(_xlpm.AttrBlank,val_blankRefText,fx_attrConverter(_xlpm.ReadField,0)),IF(_xlpm.RESULT="Error","",_xlpm.RESULT))</f>
        <v>#NAME?</v>
      </c>
      <c r="F206" s="577" t="str">
        <f t="shared" si="62" ref="F206:F211">IF($B206&lt;&gt;"",$B206,$E206)</f>
        <v>Segment II Breakdown - Amount 1</v>
      </c>
      <c r="G206" s="577" t="s">
        <v>1640</v>
      </c>
      <c r="H206" s="510">
        <v>0</v>
      </c>
      <c r="I206" s="3278">
        <v>1</v>
      </c>
      <c r="J206" s="30"/>
      <c r="K206" s="30"/>
      <c r="L206" s="579" t="b">
        <v>0</v>
      </c>
      <c r="N206" s="158"/>
      <c r="O206" s="101"/>
      <c r="P206" s="52"/>
      <c r="Q206" s="101"/>
      <c r="R206" s="101"/>
      <c r="S206" s="3008"/>
      <c r="T206" s="3008"/>
      <c r="U206" s="39"/>
      <c r="W206" s="554" t="e">
        <f ca="1">W201</f>
        <v>#NAME?</v>
      </c>
      <c r="X206" s="884" t="s">
        <v>62</v>
      </c>
      <c r="Y206" s="1553" t="e" cm="1">
        <f t="array" ca="1" aca="1" ref="Y206">IF($B206="",IFBLANK($E206,"Please select or type in or leave as blank"),IFBLANK($E206,$B206))</f>
        <v>#NAME?</v>
      </c>
      <c r="Z206" s="198" cm="1">
        <f t="array" ref="Z206">_xlfn.SWITCH(TRUE,ISBLANK(_PL!$L206),"",_PL!$L206=TRUE,1,_PL!$L206=FALSE,-1,_PL!$L206=-1,0,"n/a")</f>
        <v>-1</v>
      </c>
      <c r="AA206" s="905"/>
      <c r="AB206" s="591"/>
      <c r="AC206" s="914" t="str" cm="1">
        <f t="array" ref="AC206">_xlfn.LET(_xlpm.Def,IF(_xlfn.XMATCH(AB206,tbl_acctDef[Term],0)&gt;0,fx_getIcon("find"),""),_xlpm.Adj,IF(_xlfn.XMATCH(AB206,tbl_adjExample[Items],0)&gt;0,fx_getIcon("find"),""),IFERROR(IFBLANK(_xlpm.Def,_xlpm.Adj),""))</f>
        <v/>
      </c>
      <c r="AD206" s="1986" t="e" cm="1">
        <f t="array" ca="1" aca="1" ref="AD206">_xlfn.LET(_xlpm.val,IF($F206="",val_blankRefText,_xldudf_CX_GET(CX_ENTITY,$F206,AD$11,AD$14,,(AD$204))),_xlpm.Res,IF(OR(_xlpm.val="",_xlpm.val="Error"),"",_xlpm.val),_xlpm.Res)</f>
        <v>#NAME?</v>
      </c>
      <c r="AE206" s="1986" t="e" cm="1">
        <f t="array" ca="1" aca="1" ref="AE206">_xlfn.LET(_xlpm.val,IF($F206="",val_blankRefText,_xldudf_CX_GET(CX_ENTITY,$F206,AE$11,AE$14,,(AE$204))),_xlpm.Res,IF(OR(_xlpm.val="",_xlpm.val="Error"),"",_xlpm.val),_xlpm.Res)</f>
        <v>#NAME?</v>
      </c>
      <c r="AF206" s="1986" t="e" cm="1">
        <f t="array" ca="1" aca="1" ref="AF206">_xlfn.LET(_xlpm.val,IF($F206="",val_blankRefText,_xldudf_CX_GET(CX_ENTITY,$F206,AF$11,AF$14,,(AF$204))),_xlpm.Res,IF(OR(_xlpm.val="",_xlpm.val="Error"),"",_xlpm.val),_xlpm.Res)</f>
        <v>#NAME?</v>
      </c>
      <c r="AG206" s="1986" t="e" cm="1">
        <f t="array" ca="1" aca="1" ref="AG206">_xlfn.LET(_xlpm.val,IF($F206="",val_blankRefText,_xldudf_CX_GET(CX_ENTITY,$F206,AG$11,AG$14,,(AG$204))),_xlpm.Res,IF(OR(_xlpm.val="",_xlpm.val="Error"),"",_xlpm.val),_xlpm.Res)</f>
        <v>#NAME?</v>
      </c>
      <c r="AH206" s="1986" t="e" cm="1">
        <f t="array" ca="1" aca="1" ref="AH206">_xlfn.LET(_xlpm.val,IF($F206="",val_blankRefText,_xldudf_CX_GET(CX_ENTITY,$F206,AH$11,AH$14,,(AH$204))),_xlpm.Res,IF(OR(_xlpm.val="",_xlpm.val="Error"),"",_xlpm.val),_xlpm.Res)</f>
        <v>#NAME?</v>
      </c>
      <c r="AI206" s="1986" t="e" cm="1">
        <f t="array" ca="1" aca="1" ref="AI206">_xlfn.LET(_xlpm.val,IF($F206="",val_blankRefText,_xldudf_CX_GET(CX_ENTITY,$F206,AI$11,AI$14,,(AI$204))),_xlpm.Res,IF(OR(_xlpm.val="",_xlpm.val="Error"),"",_xlpm.val),_xlpm.Res)</f>
        <v>#NAME?</v>
      </c>
      <c r="AJ206" s="1986" t="e" cm="1">
        <f t="array" ca="1" aca="1" ref="AJ206">_xlfn.LET(_xlpm.val,IF($F206="",val_blankRefText,_xldudf_CX_GET(CX_ENTITY,$F206,AJ$11,AJ$14,,(AJ$204))),_xlpm.Res,IF(OR(_xlpm.val="",_xlpm.val="Error"),"",_xlpm.val),_xlpm.Res)</f>
        <v>#NAME?</v>
      </c>
      <c r="AK206" s="1986" t="e" cm="1">
        <f t="array" ca="1" aca="1" ref="AK206">_xlfn.LET(_xlpm.val,IF($F206="",val_blankRefText,_xldudf_CX_GET(CX_ENTITY,$F206,AK$11,AK$14,,(AK$204))),_xlpm.Res,IF(OR(_xlpm.val="",_xlpm.val="Error"),"",_xlpm.val),_xlpm.Res)</f>
        <v>#NAME?</v>
      </c>
      <c r="AL206" s="1986" t="e" cm="1">
        <f t="array" ca="1" aca="1" ref="AL206">_xlfn.LET(_xlpm.val,IF($F206="",val_blankRefText,_xldudf_CX_GET(CX_ENTITY,$F206,AL$11,AL$14,,(AL$204))),_xlpm.Res,IF(OR(_xlpm.val="",_xlpm.val="Error"),"",_xlpm.val),_xlpm.Res)</f>
        <v>#NAME?</v>
      </c>
      <c r="AM206" s="1986" t="e" cm="1">
        <f t="array" ca="1" aca="1" ref="AM206">_xlfn.LET(_xlpm.val,IF($F206="",val_blankRefText,_xldudf_CX_GET(CX_ENTITY,$F206,AM$11,AM$14,,(AM$204))),_xlpm.Res,IF(OR(_xlpm.val="",_xlpm.val="Error"),"",_xlpm.val),_xlpm.Res)</f>
        <v>#NAME?</v>
      </c>
      <c r="AN206" s="1986" t="e" cm="1">
        <f t="array" ca="1" aca="1" ref="AN206">_xlfn.LET(_xlpm.val,IF($F206="",val_blankRefText,_xldudf_CX_GET(CX_ENTITY,$F206,AN$11,AN$14,,(AN$204))),_xlpm.Res,IF(OR(_xlpm.val="",_xlpm.val="Error"),"",_xlpm.val),_xlpm.Res)</f>
        <v>#NAME?</v>
      </c>
      <c r="AO206" s="1986" t="e" cm="1">
        <f t="array" ca="1" aca="1" ref="AO206">_xlfn.LET(_xlpm.val,IF($F206="",val_blankRefText,_xldudf_CX_GET(CX_ENTITY,$F206,AO$11,AO$14,,(AO$204))),_xlpm.Res,IF(OR(_xlpm.val="",_xlpm.val="Error"),"",_xlpm.val),_xlpm.Res)</f>
        <v>#NAME?</v>
      </c>
      <c r="AP206" s="1986" t="e" cm="1">
        <f t="array" ca="1" aca="1" ref="AP206">_xlfn.LET(_xlpm.val,IF($F206="",val_blankRefText,_xldudf_CX_GET(CX_ENTITY,$F206,AP$11,AP$14,,(AP$204))),_xlpm.Res,IF(OR(_xlpm.val="",_xlpm.val="Error"),"",_xlpm.val),_xlpm.Res)</f>
        <v>#NAME?</v>
      </c>
      <c r="AQ206" s="1986" t="e" cm="1">
        <f t="array" ca="1" aca="1" ref="AQ206">_xlfn.LET(_xlpm.val,IF($F206="",val_blankRefText,_xldudf_CX_GET(CX_ENTITY,$F206,AQ$11,AQ$14,,(AQ$204))),_xlpm.Res,IF(OR(_xlpm.val="",_xlpm.val="Error"),"",_xlpm.val),_xlpm.Res)</f>
        <v>#NAME?</v>
      </c>
      <c r="AR206" s="1986" t="e" cm="1">
        <f t="array" ca="1" aca="1" ref="AR206">_xlfn.LET(_xlpm.val,IF($F206="",val_blankRefText,_xldudf_CX_GET(CX_ENTITY,$F206,AR$11,AR$14,,(AR$204))),_xlpm.Res,IF(OR(_xlpm.val="",_xlpm.val="Error"),"",_xlpm.val),_xlpm.Res)</f>
        <v>#NAME?</v>
      </c>
      <c r="AS206" s="1986" t="e" cm="1">
        <f t="array" ca="1" aca="1" ref="AS206">_xlfn.LET(_xlpm.val,IF($F206="",val_blankRefText,_xldudf_CX_GET(CX_ENTITY,$F206,AS$11,AS$14,,(AS$204))),_xlpm.Res,IF(OR(_xlpm.val="",_xlpm.val="Error"),"",_xlpm.val),_xlpm.Res)</f>
        <v>#NAME?</v>
      </c>
      <c r="AT206" s="1986" t="e" cm="1">
        <f t="array" ca="1" aca="1" ref="AT206">_xlfn.LET(_xlpm.val,IF($F206="",val_blankRefText,_xldudf_CX_GET(CX_ENTITY,$F206,AT$11,AT$14,,(AT$204))),_xlpm.Res,IF(OR(_xlpm.val="",_xlpm.val="Error"),"",_xlpm.val),_xlpm.Res)</f>
        <v>#NAME?</v>
      </c>
      <c r="AU206" s="1986" t="e" cm="1">
        <f t="array" ca="1" aca="1" ref="AU206">_xlfn.LET(_xlpm.val,IF($F206="",val_blankRefText,_xldudf_CX_GET(CX_ENTITY,$F206,AU$11,AU$14,,(AU$204))),_xlpm.Res,IF(OR(_xlpm.val="",_xlpm.val="Error"),"",_xlpm.val),_xlpm.Res)</f>
        <v>#NAME?</v>
      </c>
      <c r="AV206" s="1986" t="e" cm="1">
        <f t="array" ca="1" aca="1" ref="AV206">_xlfn.LET(_xlpm.val,IF($F206="",val_blankRefText,_xldudf_CX_GET(CX_ENTITY,$F206,AV$11,AV$14,,(AV$204))),_xlpm.Res,IF(OR(_xlpm.val="",_xlpm.val="Error"),"",_xlpm.val),_xlpm.Res)</f>
        <v>#NAME?</v>
      </c>
      <c r="AW206" s="1986" t="e" cm="1">
        <f t="array" ca="1" aca="1" ref="AW206">_xlfn.LET(_xlpm.val,IF($F206="",val_blankRefText,_xldudf_CX_GET(CX_ENTITY,$F206,AW$11,AW$14,,(AW$204))),_xlpm.Res,IF(OR(_xlpm.val="",_xlpm.val="Error"),"",_xlpm.val),_xlpm.Res)</f>
        <v>#NAME?</v>
      </c>
      <c r="AX206" s="1986" t="e" cm="1">
        <f t="array" ca="1" aca="1" ref="AX206">_xlfn.LET(_xlpm.val,IF($F206="",val_blankRefText,_xldudf_CX_GET(CX_ENTITY,$F206,AX$11,AX$14,,(AX$204))),_xlpm.Res,IF(OR(_xlpm.val="",_xlpm.val="Error"),"",_xlpm.val),_xlpm.Res)</f>
        <v>#NAME?</v>
      </c>
      <c r="AY206" s="1986" t="e" cm="1">
        <f t="array" ca="1" aca="1" ref="AY206">_xlfn.LET(_xlpm.val,IF($F206="",val_blankRefText,_xldudf_CX_GET(CX_ENTITY,$F206,AY$11,AY$14,,(AY$204))),_xlpm.Res,IF(OR(_xlpm.val="",_xlpm.val="Error"),"",_xlpm.val),_xlpm.Res)</f>
        <v>#NAME?</v>
      </c>
      <c r="AZ206" s="1986" t="e" cm="1">
        <f t="array" ca="1" aca="1" ref="AZ206">_xlfn.LET(_xlpm.val,IF($F206="",val_blankRefText,_xldudf_CX_GET(CX_ENTITY,$F206,AZ$11,AZ$14,,(AZ$204))),_xlpm.Res,IF(OR(_xlpm.val="",_xlpm.val="Error"),"",_xlpm.val),_xlpm.Res)</f>
        <v>#NAME?</v>
      </c>
      <c r="BA206" s="1986" t="e" cm="1">
        <f t="array" ca="1" aca="1" ref="BA206">_xlfn.LET(_xlpm.val,IF($F206="",val_blankRefText,_xldudf_CX_GET(CX_ENTITY,$F206,BA$11,BA$14,,(BA$204))),_xlpm.Res,IF(OR(_xlpm.val="",_xlpm.val="Error"),"",_xlpm.val),_xlpm.Res)</f>
        <v>#NAME?</v>
      </c>
      <c r="BB206" s="1986" t="e" cm="1">
        <f t="array" ca="1" aca="1" ref="BB206">_xlfn.LET(_xlpm.val,IF($F206="",val_blankRefText,_xldudf_CX_GET(CX_ENTITY,$F206,BB$11,BB$14,,(BB$204))),_xlpm.Res,IF(OR(_xlpm.val="",_xlpm.val="Error"),"",_xlpm.val),_xlpm.Res)</f>
        <v>#NAME?</v>
      </c>
      <c r="BC206" s="1986" t="e" cm="1">
        <f t="array" ca="1" aca="1" ref="BC206">_xlfn.LET(_xlpm.val,IF($F206="",val_blankRefText,_xldudf_CX_GET(CX_ENTITY,$F206,BC$11,BC$14,,(BC$204))),_xlpm.Res,IF(OR(_xlpm.val="",_xlpm.val="Error"),"",_xlpm.val),_xlpm.Res)</f>
        <v>#NAME?</v>
      </c>
      <c r="BD206" s="1986" t="e" cm="1">
        <f t="array" ca="1" aca="1" ref="BD206">_xlfn.LET(_xlpm.val,IF($F206="",val_blankRefText,_xldudf_CX_GET(CX_ENTITY,$F206,BD$11,BD$14,,(BD$204))),_xlpm.Res,IF(OR(_xlpm.val="",_xlpm.val="Error"),"",_xlpm.val),_xlpm.Res)</f>
        <v>#NAME?</v>
      </c>
      <c r="BE206" s="1986" t="e" cm="1">
        <f t="array" ca="1" aca="1" ref="BE206">_xlfn.LET(_xlpm.val,IF($F206="",val_blankRefText,_xldudf_CX_GET(CX_ENTITY,$F206,BE$11,BE$14,,(BE$204))),_xlpm.Res,IF(OR(_xlpm.val="",_xlpm.val="Error"),"",_xlpm.val),_xlpm.Res)</f>
        <v>#NAME?</v>
      </c>
      <c r="BF206" s="1986" t="e" cm="1">
        <f t="array" ca="1" aca="1" ref="BF206">_xlfn.LET(_xlpm.val,IF($F206="",val_blankRefText,_xldudf_CX_GET(CX_ENTITY,$F206,BF$11,BF$14,,(BF$204))),_xlpm.Res,IF(OR(_xlpm.val="",_xlpm.val="Error"),"",_xlpm.val),_xlpm.Res)</f>
        <v>#NAME?</v>
      </c>
      <c r="BG206" s="1986" t="e" cm="1">
        <f t="array" ca="1" aca="1" ref="BG206">_xlfn.LET(_xlpm.val,IF($F206="",val_blankRefText,_xldudf_CX_GET(CX_ENTITY,$F206,BG$11,BG$14,,(BG$204))),_xlpm.Res,IF(OR(_xlpm.val="",_xlpm.val="Error"),"",_xlpm.val),_xlpm.Res)</f>
        <v>#NAME?</v>
      </c>
      <c r="BH206" s="1986" t="e" cm="1">
        <f t="array" ca="1" aca="1" ref="BH206">_xlfn.LET(_xlpm.val,IF($F206="",val_blankRefText,_xldudf_CX_GET(CX_ENTITY,$F206,BH$11,BH$14,,(BH$204))),_xlpm.Res,IF(OR(_xlpm.val="",_xlpm.val="Error"),"",_xlpm.val),_xlpm.Res)</f>
        <v>#NAME?</v>
      </c>
      <c r="BI206" s="1986" t="e" cm="1">
        <f t="array" ca="1" aca="1" ref="BI206">_xlfn.LET(_xlpm.val,IF($F206="",val_blankRefText,_xldudf_CX_GET(CX_ENTITY,$F206,BI$11,BI$14,,(BI$204))),_xlpm.Res,IF(OR(_xlpm.val="",_xlpm.val="Error"),"",_xlpm.val),_xlpm.Res)</f>
        <v>#NAME?</v>
      </c>
      <c r="BJ206" s="1986" t="e" cm="1">
        <f t="array" ca="1" aca="1" ref="BJ206">_xlfn.LET(_xlpm.val,IF($F206="",val_blankRefText,_xldudf_CX_GET(CX_ENTITY,$F206,BJ$11,BJ$14,,(BJ$204))),_xlpm.Res,IF(OR(_xlpm.val="",_xlpm.val="Error"),"",_xlpm.val),_xlpm.Res)</f>
        <v>#NAME?</v>
      </c>
      <c r="BK206" s="1986" t="e" cm="1">
        <f t="array" ca="1" aca="1" ref="BK206">_xlfn.LET(_xlpm.val,IF($F206="",val_blankRefText,_xldudf_CX_GET(CX_ENTITY,$F206,BK$11,BK$14,,(BK$204))),_xlpm.Res,IF(OR(_xlpm.val="",_xlpm.val="Error"),"",_xlpm.val),_xlpm.Res)</f>
        <v>#NAME?</v>
      </c>
      <c r="BL206" s="1986" t="e" cm="1">
        <f t="array" ca="1" aca="1" ref="BL206">_xlfn.LET(_xlpm.val,IF($F206="",val_blankRefText,_xldudf_CX_GET(CX_ENTITY,$F206,BL$11,BL$14,,(BL$204))),_xlpm.Res,IF(OR(_xlpm.val="",_xlpm.val="Error"),"",_xlpm.val),_xlpm.Res)</f>
        <v>#NAME?</v>
      </c>
      <c r="BM206" s="1986" t="e" cm="1">
        <f t="array" ca="1" aca="1" ref="BM206">_xlfn.LET(_xlpm.val,IF($F206="",val_blankRefText,_xldudf_CX_GET(CX_ENTITY,$F206,BM$11,BM$14,,(BM$204))),_xlpm.Res,IF(OR(_xlpm.val="",_xlpm.val="Error"),"",_xlpm.val),_xlpm.Res)</f>
        <v>#NAME?</v>
      </c>
      <c r="BN206" s="1986" t="e" cm="1">
        <f t="array" ca="1" aca="1" ref="BN206">_xlfn.LET(_xlpm.val,IF($F206="",val_blankRefText,_xldudf_CX_GET(CX_ENTITY,$F206,BN$11,BN$14,,(BN$204))),_xlpm.Res,IF(OR(_xlpm.val="",_xlpm.val="Error"),"",_xlpm.val),_xlpm.Res)</f>
        <v>#NAME?</v>
      </c>
      <c r="BO206" s="2103"/>
      <c r="BP206" s="2103"/>
      <c r="BQ206" s="2103"/>
      <c r="BR206" s="2103"/>
      <c r="BS206" s="2103"/>
      <c r="BT206" s="2103"/>
      <c r="BU206" s="2103"/>
      <c r="BV206" s="2103"/>
      <c r="BW206" s="2103"/>
      <c r="BX206" s="2103"/>
      <c r="BY206" s="2103"/>
      <c r="BZ206" s="2103"/>
      <c r="CA206" s="34"/>
      <c r="CC206" s="299"/>
      <c r="CD206" s="1461" t="e" cm="1">
        <f t="array" ca="1" aca="1" ref="CD206">_xlfn.LET(_xlpm.CheckBlank,SUM(PL!$AD206:$BN206)=0,IF(_xlpm.CheckBlank,"",SUM(_xlfn._xlws.FILTER(PL!$AD206:$BN206,(YEAR(PL!$AD$12:$BN$12)=PL!CD$12)*(array_timeline&lt;=PL!CD$11)))))</f>
        <v>#NAME?</v>
      </c>
      <c r="CE206" s="1461" t="e" cm="1">
        <f t="array" ca="1" aca="1" ref="CE206">_xlfn.LET(_xlpm.CheckBlank,SUM(PL!$AD206:$BN206)=0,IF(_xlpm.CheckBlank,"",SUM(_xlfn._xlws.FILTER(PL!$AD206:$BN206,(YEAR(PL!$AD$12:$BN$12)=PL!CE$12)*(array_timeline&lt;=PL!CE$11)))))</f>
        <v>#NAME?</v>
      </c>
      <c r="CF206" s="88"/>
      <c r="CG206" s="1461" t="e" cm="1">
        <f t="array" ca="1" aca="1" ref="CG206">_xlfn.LET(_xlpm.CheckBlank,SUM(PL!$AD206:$BN206)=0,IF(_xlpm.CheckBlank,"",SUM(_xlfn._xlws.FILTER(PL!$AD206:$BN206,(YEAR(PL!$AD$12:$BN$12)=PL!CG$12)*(array_timeline&lt;=PL!CG$11)))))</f>
        <v>#NAME?</v>
      </c>
      <c r="CH206" s="1461" t="e" cm="1">
        <f t="array" ca="1" aca="1" ref="CH206">_xlfn.LET(_xlpm.CheckBlank,SUM(PL!$AD206:$BN206)=0,IF(_xlpm.CheckBlank,"",SUM(_xlfn._xlws.FILTER(PL!$AD206:$BN206,(YEAR(PL!$AD$12:$BN$12)=PL!CH$12)*(array_timeline&lt;=PL!CH$11)))))</f>
        <v>#NAME?</v>
      </c>
      <c r="CI206" s="88"/>
      <c r="CJ206" s="1461" cm="1">
        <f t="array" ref="CJ206">_xlfn.LET(_xlpm.CheckBlank,SUM(PL!$AD206:$BN206)=0,IF(_xlpm.CheckBlank,"",SUM(_xlfn.TAKE(_xlfn.DROP(PL!$AD206:$BN206,,-DATEDIFF(PL!CJ$11,val_asOfDate,"M")),1,-12))))</f>
        <v>12</v>
      </c>
      <c r="CK206" s="1461" cm="1">
        <f t="array" ref="CK206">_xlfn.LET(_xlpm.CheckBlank,SUM(PL!$AD206:$BN206)=0,IF(_xlpm.CheckBlank,"",SUM(_xlfn.TAKE(_xlfn.DROP(PL!$AD206:$BN206,,-DATEDIFF(PL!CK$11,val_asOfDate,"M")),1,-12))))</f>
        <v>12</v>
      </c>
      <c r="CL206" s="88"/>
      <c r="CM206" s="1986" t="e" cm="1">
        <f t="array" ca="1" aca="1" ref="CM206">_xlfn.LET(_xlpm.val,IF($F206="",val_blankRefText,_xldudf_CX_GET(CX_ENTITY,$F206,CM$11,CM$14,,(CM$204))),_xlpm.Res,IF(OR(_xlpm.val="",_xlpm.val="Error"),"",_xlpm.val),_xlpm.Res)</f>
        <v>#NAME?</v>
      </c>
      <c r="CN206" s="1986" t="e" cm="1">
        <f t="array" ca="1" aca="1" ref="CN206">_xlfn.LET(_xlpm.val,IF($F206="",val_blankRefText,_xldudf_CX_GET(CX_ENTITY,$F206,CN$11,CN$14,,(CN$204))),_xlpm.Res,IF(OR(_xlpm.val="",_xlpm.val="Error"),"",_xlpm.val),_xlpm.Res)</f>
        <v>#NAME?</v>
      </c>
      <c r="CO206" s="1169"/>
      <c r="CP206" s="1986" t="e" cm="1">
        <f t="array" ca="1" aca="1" ref="CP206">_xlfn.LET(_xlpm.val,IF($F206="",val_blankRefText,_xldudf_CX_GET(CX_ENTITY,$F206,CP$11,CP$14,,(CP$204))),_xlpm.Res,IF(OR(_xlpm.val="",_xlpm.val="Error"),"",_xlpm.val),_xlpm.Res)</f>
        <v>#NAME?</v>
      </c>
      <c r="CQ206" s="1986" t="e" cm="1">
        <f t="array" ca="1" aca="1" ref="CQ206">_xlfn.LET(_xlpm.val,IF($F206="",val_blankRefText,_xldudf_CX_GET(CX_ENTITY,$F206,CQ$11,CQ$14,,(CQ$204))),_xlpm.Res,IF(OR(_xlpm.val="",_xlpm.val="Error"),"",_xlpm.val),_xlpm.Res)</f>
        <v>#NAME?</v>
      </c>
      <c r="CR206" s="34"/>
    </row>
    <row r="207" spans="1:96" ht="21" customHeight="1" outlineLevel="1">
      <c r="A207" s="1322"/>
      <c r="B207" s="577" t="s">
        <v>172</v>
      </c>
      <c r="C207" s="577" t="s">
        <v>1643</v>
      </c>
      <c r="D207" s="577"/>
      <c r="E207" s="577" t="e" cm="1">
        <f t="array" ca="1" aca="1" ref="E207">_xlfn.LET(_xlpm.Attr,$C207,_xlpm.Lookback,$E$16,_xlpm.QueryDate,EOMONTH(val_asOfDate,_xlpm.Lookback),_xlpm.ReadField,_xldudf_CX_GET(CX_ENTITY,fx_attrConverter($C207),_xlpm.QueryDate),_xlpm.AttrBlank,_xlpm.Attr="",_xlpm.RESULT,IF(_xlpm.AttrBlank,val_blankRefText,fx_attrConverter(_xlpm.ReadField,0)),IF(_xlpm.RESULT="Error","",_xlpm.RESULT))</f>
        <v>#NAME?</v>
      </c>
      <c r="F207" s="577" t="str">
        <f t="shared" si="62"/>
        <v>Segment II Breakdown - Amount 2</v>
      </c>
      <c r="G207" s="577" t="s">
        <v>1640</v>
      </c>
      <c r="H207" s="510">
        <v>0</v>
      </c>
      <c r="I207" s="3278">
        <v>1</v>
      </c>
      <c r="J207" s="30"/>
      <c r="K207" s="30"/>
      <c r="L207" s="579" t="b">
        <v>0</v>
      </c>
      <c r="N207" s="158"/>
      <c r="O207" s="101"/>
      <c r="P207" s="52"/>
      <c r="Q207" s="101"/>
      <c r="R207" s="101"/>
      <c r="S207" s="3008"/>
      <c r="T207" s="3008"/>
      <c r="U207" s="39"/>
      <c r="W207" s="554" t="e">
        <f ca="1">W201</f>
        <v>#NAME?</v>
      </c>
      <c r="X207" s="884" t="s">
        <v>62</v>
      </c>
      <c r="Y207" s="1553" t="e" cm="1">
        <f t="array" ca="1" aca="1" ref="Y207">IF($B207="",IFBLANK($E207,"Please select or type in or leave as blank"),IFBLANK($E207,$B207))</f>
        <v>#NAME?</v>
      </c>
      <c r="Z207" s="198" cm="1">
        <f t="array" ref="Z207">_xlfn.SWITCH(TRUE,ISBLANK(_PL!$L207),"",_PL!$L207=TRUE,1,_PL!$L207=FALSE,-1,_PL!$L207=-1,0,"n/a")</f>
        <v>-1</v>
      </c>
      <c r="AA207" s="905"/>
      <c r="AB207" s="3155"/>
      <c r="AC207" s="914" t="str" cm="1">
        <f t="array" ref="AC207">_xlfn.LET(_xlpm.Def,IF(_xlfn.XMATCH(AB207,tbl_acctDef[Term],0)&gt;0,fx_getIcon("find"),""),_xlpm.Adj,IF(_xlfn.XMATCH(AB207,tbl_adjExample[Items],0)&gt;0,fx_getIcon("find"),""),IFERROR(IFBLANK(_xlpm.Def,_xlpm.Adj),""))</f>
        <v/>
      </c>
      <c r="AD207" s="1986" t="e" cm="1">
        <f t="array" ca="1" aca="1" ref="AD207">_xlfn.LET(_xlpm.val,IF($F207="",val_blankRefText,_xldudf_CX_GET(CX_ENTITY,$F207,AD$11,AD$14,,(AD$204))),_xlpm.Res,IF(OR(_xlpm.val="",_xlpm.val="Error"),"",_xlpm.val),_xlpm.Res)</f>
        <v>#NAME?</v>
      </c>
      <c r="AE207" s="1986" t="e" cm="1">
        <f t="array" ca="1" aca="1" ref="AE207">_xlfn.LET(_xlpm.val,IF($F207="",val_blankRefText,_xldudf_CX_GET(CX_ENTITY,$F207,AE$11,AE$14,,(AE$204))),_xlpm.Res,IF(OR(_xlpm.val="",_xlpm.val="Error"),"",_xlpm.val),_xlpm.Res)</f>
        <v>#NAME?</v>
      </c>
      <c r="AF207" s="1986" t="e" cm="1">
        <f t="array" ca="1" aca="1" ref="AF207">_xlfn.LET(_xlpm.val,IF($F207="",val_blankRefText,_xldudf_CX_GET(CX_ENTITY,$F207,AF$11,AF$14,,(AF$204))),_xlpm.Res,IF(OR(_xlpm.val="",_xlpm.val="Error"),"",_xlpm.val),_xlpm.Res)</f>
        <v>#NAME?</v>
      </c>
      <c r="AG207" s="1986" t="e" cm="1">
        <f t="array" ca="1" aca="1" ref="AG207">_xlfn.LET(_xlpm.val,IF($F207="",val_blankRefText,_xldudf_CX_GET(CX_ENTITY,$F207,AG$11,AG$14,,(AG$204))),_xlpm.Res,IF(OR(_xlpm.val="",_xlpm.val="Error"),"",_xlpm.val),_xlpm.Res)</f>
        <v>#NAME?</v>
      </c>
      <c r="AH207" s="1986" t="e" cm="1">
        <f t="array" ca="1" aca="1" ref="AH207">_xlfn.LET(_xlpm.val,IF($F207="",val_blankRefText,_xldudf_CX_GET(CX_ENTITY,$F207,AH$11,AH$14,,(AH$204))),_xlpm.Res,IF(OR(_xlpm.val="",_xlpm.val="Error"),"",_xlpm.val),_xlpm.Res)</f>
        <v>#NAME?</v>
      </c>
      <c r="AI207" s="1986" t="e" cm="1">
        <f t="array" ca="1" aca="1" ref="AI207">_xlfn.LET(_xlpm.val,IF($F207="",val_blankRefText,_xldudf_CX_GET(CX_ENTITY,$F207,AI$11,AI$14,,(AI$204))),_xlpm.Res,IF(OR(_xlpm.val="",_xlpm.val="Error"),"",_xlpm.val),_xlpm.Res)</f>
        <v>#NAME?</v>
      </c>
      <c r="AJ207" s="1986" t="e" cm="1">
        <f t="array" ca="1" aca="1" ref="AJ207">_xlfn.LET(_xlpm.val,IF($F207="",val_blankRefText,_xldudf_CX_GET(CX_ENTITY,$F207,AJ$11,AJ$14,,(AJ$204))),_xlpm.Res,IF(OR(_xlpm.val="",_xlpm.val="Error"),"",_xlpm.val),_xlpm.Res)</f>
        <v>#NAME?</v>
      </c>
      <c r="AK207" s="1986" t="e" cm="1">
        <f t="array" ca="1" aca="1" ref="AK207">_xlfn.LET(_xlpm.val,IF($F207="",val_blankRefText,_xldudf_CX_GET(CX_ENTITY,$F207,AK$11,AK$14,,(AK$204))),_xlpm.Res,IF(OR(_xlpm.val="",_xlpm.val="Error"),"",_xlpm.val),_xlpm.Res)</f>
        <v>#NAME?</v>
      </c>
      <c r="AL207" s="1986" t="e" cm="1">
        <f t="array" ca="1" aca="1" ref="AL207">_xlfn.LET(_xlpm.val,IF($F207="",val_blankRefText,_xldudf_CX_GET(CX_ENTITY,$F207,AL$11,AL$14,,(AL$204))),_xlpm.Res,IF(OR(_xlpm.val="",_xlpm.val="Error"),"",_xlpm.val),_xlpm.Res)</f>
        <v>#NAME?</v>
      </c>
      <c r="AM207" s="1986" t="e" cm="1">
        <f t="array" ca="1" aca="1" ref="AM207">_xlfn.LET(_xlpm.val,IF($F207="",val_blankRefText,_xldudf_CX_GET(CX_ENTITY,$F207,AM$11,AM$14,,(AM$204))),_xlpm.Res,IF(OR(_xlpm.val="",_xlpm.val="Error"),"",_xlpm.val),_xlpm.Res)</f>
        <v>#NAME?</v>
      </c>
      <c r="AN207" s="1986" t="e" cm="1">
        <f t="array" ca="1" aca="1" ref="AN207">_xlfn.LET(_xlpm.val,IF($F207="",val_blankRefText,_xldudf_CX_GET(CX_ENTITY,$F207,AN$11,AN$14,,(AN$204))),_xlpm.Res,IF(OR(_xlpm.val="",_xlpm.val="Error"),"",_xlpm.val),_xlpm.Res)</f>
        <v>#NAME?</v>
      </c>
      <c r="AO207" s="1986" t="e" cm="1">
        <f t="array" ca="1" aca="1" ref="AO207">_xlfn.LET(_xlpm.val,IF($F207="",val_blankRefText,_xldudf_CX_GET(CX_ENTITY,$F207,AO$11,AO$14,,(AO$204))),_xlpm.Res,IF(OR(_xlpm.val="",_xlpm.val="Error"),"",_xlpm.val),_xlpm.Res)</f>
        <v>#NAME?</v>
      </c>
      <c r="AP207" s="1986" t="e" cm="1">
        <f t="array" ca="1" aca="1" ref="AP207">_xlfn.LET(_xlpm.val,IF($F207="",val_blankRefText,_xldudf_CX_GET(CX_ENTITY,$F207,AP$11,AP$14,,(AP$204))),_xlpm.Res,IF(OR(_xlpm.val="",_xlpm.val="Error"),"",_xlpm.val),_xlpm.Res)</f>
        <v>#NAME?</v>
      </c>
      <c r="AQ207" s="1986" t="e" cm="1">
        <f t="array" ca="1" aca="1" ref="AQ207">_xlfn.LET(_xlpm.val,IF($F207="",val_blankRefText,_xldudf_CX_GET(CX_ENTITY,$F207,AQ$11,AQ$14,,(AQ$204))),_xlpm.Res,IF(OR(_xlpm.val="",_xlpm.val="Error"),"",_xlpm.val),_xlpm.Res)</f>
        <v>#NAME?</v>
      </c>
      <c r="AR207" s="1986" t="e" cm="1">
        <f t="array" ca="1" aca="1" ref="AR207">_xlfn.LET(_xlpm.val,IF($F207="",val_blankRefText,_xldudf_CX_GET(CX_ENTITY,$F207,AR$11,AR$14,,(AR$204))),_xlpm.Res,IF(OR(_xlpm.val="",_xlpm.val="Error"),"",_xlpm.val),_xlpm.Res)</f>
        <v>#NAME?</v>
      </c>
      <c r="AS207" s="1986" t="e" cm="1">
        <f t="array" ca="1" aca="1" ref="AS207">_xlfn.LET(_xlpm.val,IF($F207="",val_blankRefText,_xldudf_CX_GET(CX_ENTITY,$F207,AS$11,AS$14,,(AS$204))),_xlpm.Res,IF(OR(_xlpm.val="",_xlpm.val="Error"),"",_xlpm.val),_xlpm.Res)</f>
        <v>#NAME?</v>
      </c>
      <c r="AT207" s="1986" t="e" cm="1">
        <f t="array" ca="1" aca="1" ref="AT207">_xlfn.LET(_xlpm.val,IF($F207="",val_blankRefText,_xldudf_CX_GET(CX_ENTITY,$F207,AT$11,AT$14,,(AT$204))),_xlpm.Res,IF(OR(_xlpm.val="",_xlpm.val="Error"),"",_xlpm.val),_xlpm.Res)</f>
        <v>#NAME?</v>
      </c>
      <c r="AU207" s="1986" t="e" cm="1">
        <f t="array" ca="1" aca="1" ref="AU207">_xlfn.LET(_xlpm.val,IF($F207="",val_blankRefText,_xldudf_CX_GET(CX_ENTITY,$F207,AU$11,AU$14,,(AU$204))),_xlpm.Res,IF(OR(_xlpm.val="",_xlpm.val="Error"),"",_xlpm.val),_xlpm.Res)</f>
        <v>#NAME?</v>
      </c>
      <c r="AV207" s="1986" t="e" cm="1">
        <f t="array" ca="1" aca="1" ref="AV207">_xlfn.LET(_xlpm.val,IF($F207="",val_blankRefText,_xldudf_CX_GET(CX_ENTITY,$F207,AV$11,AV$14,,(AV$204))),_xlpm.Res,IF(OR(_xlpm.val="",_xlpm.val="Error"),"",_xlpm.val),_xlpm.Res)</f>
        <v>#NAME?</v>
      </c>
      <c r="AW207" s="1986" t="e" cm="1">
        <f t="array" ca="1" aca="1" ref="AW207">_xlfn.LET(_xlpm.val,IF($F207="",val_blankRefText,_xldudf_CX_GET(CX_ENTITY,$F207,AW$11,AW$14,,(AW$204))),_xlpm.Res,IF(OR(_xlpm.val="",_xlpm.val="Error"),"",_xlpm.val),_xlpm.Res)</f>
        <v>#NAME?</v>
      </c>
      <c r="AX207" s="1986" t="e" cm="1">
        <f t="array" ca="1" aca="1" ref="AX207">_xlfn.LET(_xlpm.val,IF($F207="",val_blankRefText,_xldudf_CX_GET(CX_ENTITY,$F207,AX$11,AX$14,,(AX$204))),_xlpm.Res,IF(OR(_xlpm.val="",_xlpm.val="Error"),"",_xlpm.val),_xlpm.Res)</f>
        <v>#NAME?</v>
      </c>
      <c r="AY207" s="1986" t="e" cm="1">
        <f t="array" ca="1" aca="1" ref="AY207">_xlfn.LET(_xlpm.val,IF($F207="",val_blankRefText,_xldudf_CX_GET(CX_ENTITY,$F207,AY$11,AY$14,,(AY$204))),_xlpm.Res,IF(OR(_xlpm.val="",_xlpm.val="Error"),"",_xlpm.val),_xlpm.Res)</f>
        <v>#NAME?</v>
      </c>
      <c r="AZ207" s="1986" t="e" cm="1">
        <f t="array" ca="1" aca="1" ref="AZ207">_xlfn.LET(_xlpm.val,IF($F207="",val_blankRefText,_xldudf_CX_GET(CX_ENTITY,$F207,AZ$11,AZ$14,,(AZ$204))),_xlpm.Res,IF(OR(_xlpm.val="",_xlpm.val="Error"),"",_xlpm.val),_xlpm.Res)</f>
        <v>#NAME?</v>
      </c>
      <c r="BA207" s="1986" t="e" cm="1">
        <f t="array" ca="1" aca="1" ref="BA207">_xlfn.LET(_xlpm.val,IF($F207="",val_blankRefText,_xldudf_CX_GET(CX_ENTITY,$F207,BA$11,BA$14,,(BA$204))),_xlpm.Res,IF(OR(_xlpm.val="",_xlpm.val="Error"),"",_xlpm.val),_xlpm.Res)</f>
        <v>#NAME?</v>
      </c>
      <c r="BB207" s="1986" t="e" cm="1">
        <f t="array" ca="1" aca="1" ref="BB207">_xlfn.LET(_xlpm.val,IF($F207="",val_blankRefText,_xldudf_CX_GET(CX_ENTITY,$F207,BB$11,BB$14,,(BB$204))),_xlpm.Res,IF(OR(_xlpm.val="",_xlpm.val="Error"),"",_xlpm.val),_xlpm.Res)</f>
        <v>#NAME?</v>
      </c>
      <c r="BC207" s="1986" t="e" cm="1">
        <f t="array" ca="1" aca="1" ref="BC207">_xlfn.LET(_xlpm.val,IF($F207="",val_blankRefText,_xldudf_CX_GET(CX_ENTITY,$F207,BC$11,BC$14,,(BC$204))),_xlpm.Res,IF(OR(_xlpm.val="",_xlpm.val="Error"),"",_xlpm.val),_xlpm.Res)</f>
        <v>#NAME?</v>
      </c>
      <c r="BD207" s="1986" t="e" cm="1">
        <f t="array" ca="1" aca="1" ref="BD207">_xlfn.LET(_xlpm.val,IF($F207="",val_blankRefText,_xldudf_CX_GET(CX_ENTITY,$F207,BD$11,BD$14,,(BD$204))),_xlpm.Res,IF(OR(_xlpm.val="",_xlpm.val="Error"),"",_xlpm.val),_xlpm.Res)</f>
        <v>#NAME?</v>
      </c>
      <c r="BE207" s="1986" t="e" cm="1">
        <f t="array" ca="1" aca="1" ref="BE207">_xlfn.LET(_xlpm.val,IF($F207="",val_blankRefText,_xldudf_CX_GET(CX_ENTITY,$F207,BE$11,BE$14,,(BE$204))),_xlpm.Res,IF(OR(_xlpm.val="",_xlpm.val="Error"),"",_xlpm.val),_xlpm.Res)</f>
        <v>#NAME?</v>
      </c>
      <c r="BF207" s="1986" t="e" cm="1">
        <f t="array" ca="1" aca="1" ref="BF207">_xlfn.LET(_xlpm.val,IF($F207="",val_blankRefText,_xldudf_CX_GET(CX_ENTITY,$F207,BF$11,BF$14,,(BF$204))),_xlpm.Res,IF(OR(_xlpm.val="",_xlpm.val="Error"),"",_xlpm.val),_xlpm.Res)</f>
        <v>#NAME?</v>
      </c>
      <c r="BG207" s="1986" t="e" cm="1">
        <f t="array" ca="1" aca="1" ref="BG207">_xlfn.LET(_xlpm.val,IF($F207="",val_blankRefText,_xldudf_CX_GET(CX_ENTITY,$F207,BG$11,BG$14,,(BG$204))),_xlpm.Res,IF(OR(_xlpm.val="",_xlpm.val="Error"),"",_xlpm.val),_xlpm.Res)</f>
        <v>#NAME?</v>
      </c>
      <c r="BH207" s="1986" t="e" cm="1">
        <f t="array" ca="1" aca="1" ref="BH207">_xlfn.LET(_xlpm.val,IF($F207="",val_blankRefText,_xldudf_CX_GET(CX_ENTITY,$F207,BH$11,BH$14,,(BH$204))),_xlpm.Res,IF(OR(_xlpm.val="",_xlpm.val="Error"),"",_xlpm.val),_xlpm.Res)</f>
        <v>#NAME?</v>
      </c>
      <c r="BI207" s="1986" t="e" cm="1">
        <f t="array" ca="1" aca="1" ref="BI207">_xlfn.LET(_xlpm.val,IF($F207="",val_blankRefText,_xldudf_CX_GET(CX_ENTITY,$F207,BI$11,BI$14,,(BI$204))),_xlpm.Res,IF(OR(_xlpm.val="",_xlpm.val="Error"),"",_xlpm.val),_xlpm.Res)</f>
        <v>#NAME?</v>
      </c>
      <c r="BJ207" s="1986" t="e" cm="1">
        <f t="array" ca="1" aca="1" ref="BJ207">_xlfn.LET(_xlpm.val,IF($F207="",val_blankRefText,_xldudf_CX_GET(CX_ENTITY,$F207,BJ$11,BJ$14,,(BJ$204))),_xlpm.Res,IF(OR(_xlpm.val="",_xlpm.val="Error"),"",_xlpm.val),_xlpm.Res)</f>
        <v>#NAME?</v>
      </c>
      <c r="BK207" s="1986" t="e" cm="1">
        <f t="array" ca="1" aca="1" ref="BK207">_xlfn.LET(_xlpm.val,IF($F207="",val_blankRefText,_xldudf_CX_GET(CX_ENTITY,$F207,BK$11,BK$14,,(BK$204))),_xlpm.Res,IF(OR(_xlpm.val="",_xlpm.val="Error"),"",_xlpm.val),_xlpm.Res)</f>
        <v>#NAME?</v>
      </c>
      <c r="BL207" s="1986" t="e" cm="1">
        <f t="array" ca="1" aca="1" ref="BL207">_xlfn.LET(_xlpm.val,IF($F207="",val_blankRefText,_xldudf_CX_GET(CX_ENTITY,$F207,BL$11,BL$14,,(BL$204))),_xlpm.Res,IF(OR(_xlpm.val="",_xlpm.val="Error"),"",_xlpm.val),_xlpm.Res)</f>
        <v>#NAME?</v>
      </c>
      <c r="BM207" s="1986" t="e" cm="1">
        <f t="array" ca="1" aca="1" ref="BM207">_xlfn.LET(_xlpm.val,IF($F207="",val_blankRefText,_xldudf_CX_GET(CX_ENTITY,$F207,BM$11,BM$14,,(BM$204))),_xlpm.Res,IF(OR(_xlpm.val="",_xlpm.val="Error"),"",_xlpm.val),_xlpm.Res)</f>
        <v>#NAME?</v>
      </c>
      <c r="BN207" s="1986" t="e" cm="1">
        <f t="array" ca="1" aca="1" ref="BN207">_xlfn.LET(_xlpm.val,IF($F207="",val_blankRefText,_xldudf_CX_GET(CX_ENTITY,$F207,BN$11,BN$14,,(BN$204))),_xlpm.Res,IF(OR(_xlpm.val="",_xlpm.val="Error"),"",_xlpm.val),_xlpm.Res)</f>
        <v>#NAME?</v>
      </c>
      <c r="BO207" s="2103"/>
      <c r="BP207" s="2103"/>
      <c r="BQ207" s="2103"/>
      <c r="BR207" s="2103"/>
      <c r="BS207" s="2103"/>
      <c r="BT207" s="2103"/>
      <c r="BU207" s="2103"/>
      <c r="BV207" s="2103"/>
      <c r="BW207" s="2103"/>
      <c r="BX207" s="2103"/>
      <c r="BY207" s="2103"/>
      <c r="BZ207" s="2103"/>
      <c r="CA207" s="34"/>
      <c r="CC207" s="299"/>
      <c r="CD207" s="1461" t="e" cm="1">
        <f t="array" ca="1" aca="1" ref="CD207">_xlfn.LET(_xlpm.CheckBlank,SUM(PL!$AD207:$BN207)=0,IF(_xlpm.CheckBlank,"",SUM(_xlfn._xlws.FILTER(PL!$AD207:$BN207,(YEAR(PL!$AD$12:$BN$12)=PL!CD$12)*(array_timeline&lt;=PL!CD$11)))))</f>
        <v>#NAME?</v>
      </c>
      <c r="CE207" s="1461" t="e" cm="1">
        <f t="array" ca="1" aca="1" ref="CE207">_xlfn.LET(_xlpm.CheckBlank,SUM(PL!$AD207:$BN207)=0,IF(_xlpm.CheckBlank,"",SUM(_xlfn._xlws.FILTER(PL!$AD207:$BN207,(YEAR(PL!$AD$12:$BN$12)=PL!CE$12)*(array_timeline&lt;=PL!CE$11)))))</f>
        <v>#NAME?</v>
      </c>
      <c r="CF207" s="88"/>
      <c r="CG207" s="1461" t="e" cm="1">
        <f t="array" ca="1" aca="1" ref="CG207">_xlfn.LET(_xlpm.CheckBlank,SUM(PL!$AD207:$BN207)=0,IF(_xlpm.CheckBlank,"",SUM(_xlfn._xlws.FILTER(PL!$AD207:$BN207,(YEAR(PL!$AD$12:$BN$12)=PL!CG$12)*(array_timeline&lt;=PL!CG$11)))))</f>
        <v>#NAME?</v>
      </c>
      <c r="CH207" s="1461" t="e" cm="1">
        <f t="array" ca="1" aca="1" ref="CH207">_xlfn.LET(_xlpm.CheckBlank,SUM(PL!$AD207:$BN207)=0,IF(_xlpm.CheckBlank,"",SUM(_xlfn._xlws.FILTER(PL!$AD207:$BN207,(YEAR(PL!$AD$12:$BN$12)=PL!CH$12)*(array_timeline&lt;=PL!CH$11)))))</f>
        <v>#NAME?</v>
      </c>
      <c r="CI207" s="88"/>
      <c r="CJ207" s="1461" cm="1">
        <f t="array" ref="CJ207">_xlfn.LET(_xlpm.CheckBlank,SUM(PL!$AD207:$BN207)=0,IF(_xlpm.CheckBlank,"",SUM(_xlfn.TAKE(_xlfn.DROP(PL!$AD207:$BN207,,-DATEDIFF(PL!CJ$11,val_asOfDate,"M")),1,-12))))</f>
        <v>12</v>
      </c>
      <c r="CK207" s="1461" cm="1">
        <f t="array" ref="CK207">_xlfn.LET(_xlpm.CheckBlank,SUM(PL!$AD207:$BN207)=0,IF(_xlpm.CheckBlank,"",SUM(_xlfn.TAKE(_xlfn.DROP(PL!$AD207:$BN207,,-DATEDIFF(PL!CK$11,val_asOfDate,"M")),1,-12))))</f>
        <v>12</v>
      </c>
      <c r="CL207" s="88"/>
      <c r="CM207" s="1986" t="e" cm="1">
        <f t="array" ca="1" aca="1" ref="CM207">_xlfn.LET(_xlpm.val,IF($F207="",val_blankRefText,_xldudf_CX_GET(CX_ENTITY,$F207,CM$11,CM$14,,(CM$204))),_xlpm.Res,IF(OR(_xlpm.val="",_xlpm.val="Error"),"",_xlpm.val),_xlpm.Res)</f>
        <v>#NAME?</v>
      </c>
      <c r="CN207" s="1986" t="e" cm="1">
        <f t="array" ca="1" aca="1" ref="CN207">_xlfn.LET(_xlpm.val,IF($F207="",val_blankRefText,_xldudf_CX_GET(CX_ENTITY,$F207,CN$11,CN$14,,(CN$204))),_xlpm.Res,IF(OR(_xlpm.val="",_xlpm.val="Error"),"",_xlpm.val),_xlpm.Res)</f>
        <v>#NAME?</v>
      </c>
      <c r="CO207" s="1169"/>
      <c r="CP207" s="1986" t="e" cm="1">
        <f t="array" ca="1" aca="1" ref="CP207">_xlfn.LET(_xlpm.val,IF($F207="",val_blankRefText,_xldudf_CX_GET(CX_ENTITY,$F207,CP$11,CP$14,,(CP$204))),_xlpm.Res,IF(OR(_xlpm.val="",_xlpm.val="Error"),"",_xlpm.val),_xlpm.Res)</f>
        <v>#NAME?</v>
      </c>
      <c r="CQ207" s="1986" t="e" cm="1">
        <f t="array" ca="1" aca="1" ref="CQ207">_xlfn.LET(_xlpm.val,IF($F207="",val_blankRefText,_xldudf_CX_GET(CX_ENTITY,$F207,CQ$11,CQ$14,,(CQ$204))),_xlpm.Res,IF(OR(_xlpm.val="",_xlpm.val="Error"),"",_xlpm.val),_xlpm.Res)</f>
        <v>#NAME?</v>
      </c>
      <c r="CR207" s="34"/>
    </row>
    <row r="208" spans="1:96" ht="21" customHeight="1" outlineLevel="1">
      <c r="A208" s="1322"/>
      <c r="B208" s="577" t="s">
        <v>173</v>
      </c>
      <c r="C208" s="577" t="s">
        <v>1644</v>
      </c>
      <c r="D208" s="577"/>
      <c r="E208" s="577" t="e" cm="1">
        <f t="array" ca="1" aca="1" ref="E208">_xlfn.LET(_xlpm.Attr,$C208,_xlpm.Lookback,$E$16,_xlpm.QueryDate,EOMONTH(val_asOfDate,_xlpm.Lookback),_xlpm.ReadField,_xldudf_CX_GET(CX_ENTITY,fx_attrConverter($C208),_xlpm.QueryDate),_xlpm.AttrBlank,_xlpm.Attr="",_xlpm.RESULT,IF(_xlpm.AttrBlank,val_blankRefText,fx_attrConverter(_xlpm.ReadField,0)),IF(_xlpm.RESULT="Error","",_xlpm.RESULT))</f>
        <v>#NAME?</v>
      </c>
      <c r="F208" s="577" t="str">
        <f t="shared" si="62"/>
        <v>Segment II Breakdown - Amount 3</v>
      </c>
      <c r="G208" s="577" t="s">
        <v>1640</v>
      </c>
      <c r="H208" s="510">
        <v>0</v>
      </c>
      <c r="I208" s="3278">
        <v>1</v>
      </c>
      <c r="J208" s="30"/>
      <c r="K208" s="30"/>
      <c r="L208" s="579" t="b">
        <v>0</v>
      </c>
      <c r="N208" s="158"/>
      <c r="O208" s="101"/>
      <c r="P208" s="52"/>
      <c r="Q208" s="101"/>
      <c r="R208" s="101"/>
      <c r="S208" s="3008"/>
      <c r="T208" s="3008"/>
      <c r="U208" s="39"/>
      <c r="W208" s="554" t="e">
        <f ca="1">W201</f>
        <v>#NAME?</v>
      </c>
      <c r="X208" s="884" t="s">
        <v>62</v>
      </c>
      <c r="Y208" s="1553" t="e" cm="1">
        <f t="array" ca="1" aca="1" ref="Y208">IF($B208="",IFBLANK($E208,"Please select or type in or leave as blank"),IFBLANK($E208,$B208))</f>
        <v>#NAME?</v>
      </c>
      <c r="Z208" s="198" cm="1">
        <f t="array" ref="Z208">_xlfn.SWITCH(TRUE,ISBLANK(_PL!$L208),"",_PL!$L208=TRUE,1,_PL!$L208=FALSE,-1,_PL!$L208=-1,0,"n/a")</f>
        <v>-1</v>
      </c>
      <c r="AA208" s="905"/>
      <c r="AB208" s="3155"/>
      <c r="AC208" s="914" t="str" cm="1">
        <f t="array" ref="AC208">_xlfn.LET(_xlpm.Def,IF(_xlfn.XMATCH(AB208,tbl_acctDef[Term],0)&gt;0,fx_getIcon("find"),""),_xlpm.Adj,IF(_xlfn.XMATCH(AB208,tbl_adjExample[Items],0)&gt;0,fx_getIcon("find"),""),IFERROR(IFBLANK(_xlpm.Def,_xlpm.Adj),""))</f>
        <v/>
      </c>
      <c r="AD208" s="1986" t="e" cm="1">
        <f t="array" ca="1" aca="1" ref="AD208">_xlfn.LET(_xlpm.val,IF($F208="",val_blankRefText,_xldudf_CX_GET(CX_ENTITY,$F208,AD$11,AD$14,,(AD$204))),_xlpm.Res,IF(OR(_xlpm.val="",_xlpm.val="Error"),"",_xlpm.val),_xlpm.Res)</f>
        <v>#NAME?</v>
      </c>
      <c r="AE208" s="1986" t="e" cm="1">
        <f t="array" ca="1" aca="1" ref="AE208">_xlfn.LET(_xlpm.val,IF($F208="",val_blankRefText,_xldudf_CX_GET(CX_ENTITY,$F208,AE$11,AE$14,,(AE$204))),_xlpm.Res,IF(OR(_xlpm.val="",_xlpm.val="Error"),"",_xlpm.val),_xlpm.Res)</f>
        <v>#NAME?</v>
      </c>
      <c r="AF208" s="1986" t="e" cm="1">
        <f t="array" ca="1" aca="1" ref="AF208">_xlfn.LET(_xlpm.val,IF($F208="",val_blankRefText,_xldudf_CX_GET(CX_ENTITY,$F208,AF$11,AF$14,,(AF$204))),_xlpm.Res,IF(OR(_xlpm.val="",_xlpm.val="Error"),"",_xlpm.val),_xlpm.Res)</f>
        <v>#NAME?</v>
      </c>
      <c r="AG208" s="1986" t="e" cm="1">
        <f t="array" ca="1" aca="1" ref="AG208">_xlfn.LET(_xlpm.val,IF($F208="",val_blankRefText,_xldudf_CX_GET(CX_ENTITY,$F208,AG$11,AG$14,,(AG$204))),_xlpm.Res,IF(OR(_xlpm.val="",_xlpm.val="Error"),"",_xlpm.val),_xlpm.Res)</f>
        <v>#NAME?</v>
      </c>
      <c r="AH208" s="1986" t="e" cm="1">
        <f t="array" ca="1" aca="1" ref="AH208">_xlfn.LET(_xlpm.val,IF($F208="",val_blankRefText,_xldudf_CX_GET(CX_ENTITY,$F208,AH$11,AH$14,,(AH$204))),_xlpm.Res,IF(OR(_xlpm.val="",_xlpm.val="Error"),"",_xlpm.val),_xlpm.Res)</f>
        <v>#NAME?</v>
      </c>
      <c r="AI208" s="1986" t="e" cm="1">
        <f t="array" ca="1" aca="1" ref="AI208">_xlfn.LET(_xlpm.val,IF($F208="",val_blankRefText,_xldudf_CX_GET(CX_ENTITY,$F208,AI$11,AI$14,,(AI$204))),_xlpm.Res,IF(OR(_xlpm.val="",_xlpm.val="Error"),"",_xlpm.val),_xlpm.Res)</f>
        <v>#NAME?</v>
      </c>
      <c r="AJ208" s="1986" t="e" cm="1">
        <f t="array" ca="1" aca="1" ref="AJ208">_xlfn.LET(_xlpm.val,IF($F208="",val_blankRefText,_xldudf_CX_GET(CX_ENTITY,$F208,AJ$11,AJ$14,,(AJ$204))),_xlpm.Res,IF(OR(_xlpm.val="",_xlpm.val="Error"),"",_xlpm.val),_xlpm.Res)</f>
        <v>#NAME?</v>
      </c>
      <c r="AK208" s="1986" t="e" cm="1">
        <f t="array" ca="1" aca="1" ref="AK208">_xlfn.LET(_xlpm.val,IF($F208="",val_blankRefText,_xldudf_CX_GET(CX_ENTITY,$F208,AK$11,AK$14,,(AK$204))),_xlpm.Res,IF(OR(_xlpm.val="",_xlpm.val="Error"),"",_xlpm.val),_xlpm.Res)</f>
        <v>#NAME?</v>
      </c>
      <c r="AL208" s="1986" t="e" cm="1">
        <f t="array" ca="1" aca="1" ref="AL208">_xlfn.LET(_xlpm.val,IF($F208="",val_blankRefText,_xldudf_CX_GET(CX_ENTITY,$F208,AL$11,AL$14,,(AL$204))),_xlpm.Res,IF(OR(_xlpm.val="",_xlpm.val="Error"),"",_xlpm.val),_xlpm.Res)</f>
        <v>#NAME?</v>
      </c>
      <c r="AM208" s="1986" t="e" cm="1">
        <f t="array" ca="1" aca="1" ref="AM208">_xlfn.LET(_xlpm.val,IF($F208="",val_blankRefText,_xldudf_CX_GET(CX_ENTITY,$F208,AM$11,AM$14,,(AM$204))),_xlpm.Res,IF(OR(_xlpm.val="",_xlpm.val="Error"),"",_xlpm.val),_xlpm.Res)</f>
        <v>#NAME?</v>
      </c>
      <c r="AN208" s="1986" t="e" cm="1">
        <f t="array" ca="1" aca="1" ref="AN208">_xlfn.LET(_xlpm.val,IF($F208="",val_blankRefText,_xldudf_CX_GET(CX_ENTITY,$F208,AN$11,AN$14,,(AN$204))),_xlpm.Res,IF(OR(_xlpm.val="",_xlpm.val="Error"),"",_xlpm.val),_xlpm.Res)</f>
        <v>#NAME?</v>
      </c>
      <c r="AO208" s="1986" t="e" cm="1">
        <f t="array" ca="1" aca="1" ref="AO208">_xlfn.LET(_xlpm.val,IF($F208="",val_blankRefText,_xldudf_CX_GET(CX_ENTITY,$F208,AO$11,AO$14,,(AO$204))),_xlpm.Res,IF(OR(_xlpm.val="",_xlpm.val="Error"),"",_xlpm.val),_xlpm.Res)</f>
        <v>#NAME?</v>
      </c>
      <c r="AP208" s="1986" t="e" cm="1">
        <f t="array" ca="1" aca="1" ref="AP208">_xlfn.LET(_xlpm.val,IF($F208="",val_blankRefText,_xldudf_CX_GET(CX_ENTITY,$F208,AP$11,AP$14,,(AP$204))),_xlpm.Res,IF(OR(_xlpm.val="",_xlpm.val="Error"),"",_xlpm.val),_xlpm.Res)</f>
        <v>#NAME?</v>
      </c>
      <c r="AQ208" s="1986" t="e" cm="1">
        <f t="array" ca="1" aca="1" ref="AQ208">_xlfn.LET(_xlpm.val,IF($F208="",val_blankRefText,_xldudf_CX_GET(CX_ENTITY,$F208,AQ$11,AQ$14,,(AQ$204))),_xlpm.Res,IF(OR(_xlpm.val="",_xlpm.val="Error"),"",_xlpm.val),_xlpm.Res)</f>
        <v>#NAME?</v>
      </c>
      <c r="AR208" s="1986" t="e" cm="1">
        <f t="array" ca="1" aca="1" ref="AR208">_xlfn.LET(_xlpm.val,IF($F208="",val_blankRefText,_xldudf_CX_GET(CX_ENTITY,$F208,AR$11,AR$14,,(AR$204))),_xlpm.Res,IF(OR(_xlpm.val="",_xlpm.val="Error"),"",_xlpm.val),_xlpm.Res)</f>
        <v>#NAME?</v>
      </c>
      <c r="AS208" s="1986" t="e" cm="1">
        <f t="array" ca="1" aca="1" ref="AS208">_xlfn.LET(_xlpm.val,IF($F208="",val_blankRefText,_xldudf_CX_GET(CX_ENTITY,$F208,AS$11,AS$14,,(AS$204))),_xlpm.Res,IF(OR(_xlpm.val="",_xlpm.val="Error"),"",_xlpm.val),_xlpm.Res)</f>
        <v>#NAME?</v>
      </c>
      <c r="AT208" s="1986" t="e" cm="1">
        <f t="array" ca="1" aca="1" ref="AT208">_xlfn.LET(_xlpm.val,IF($F208="",val_blankRefText,_xldudf_CX_GET(CX_ENTITY,$F208,AT$11,AT$14,,(AT$204))),_xlpm.Res,IF(OR(_xlpm.val="",_xlpm.val="Error"),"",_xlpm.val),_xlpm.Res)</f>
        <v>#NAME?</v>
      </c>
      <c r="AU208" s="1986" t="e" cm="1">
        <f t="array" ca="1" aca="1" ref="AU208">_xlfn.LET(_xlpm.val,IF($F208="",val_blankRefText,_xldudf_CX_GET(CX_ENTITY,$F208,AU$11,AU$14,,(AU$204))),_xlpm.Res,IF(OR(_xlpm.val="",_xlpm.val="Error"),"",_xlpm.val),_xlpm.Res)</f>
        <v>#NAME?</v>
      </c>
      <c r="AV208" s="1986" t="e" cm="1">
        <f t="array" ca="1" aca="1" ref="AV208">_xlfn.LET(_xlpm.val,IF($F208="",val_blankRefText,_xldudf_CX_GET(CX_ENTITY,$F208,AV$11,AV$14,,(AV$204))),_xlpm.Res,IF(OR(_xlpm.val="",_xlpm.val="Error"),"",_xlpm.val),_xlpm.Res)</f>
        <v>#NAME?</v>
      </c>
      <c r="AW208" s="1986" t="e" cm="1">
        <f t="array" ca="1" aca="1" ref="AW208">_xlfn.LET(_xlpm.val,IF($F208="",val_blankRefText,_xldudf_CX_GET(CX_ENTITY,$F208,AW$11,AW$14,,(AW$204))),_xlpm.Res,IF(OR(_xlpm.val="",_xlpm.val="Error"),"",_xlpm.val),_xlpm.Res)</f>
        <v>#NAME?</v>
      </c>
      <c r="AX208" s="1986" t="e" cm="1">
        <f t="array" ca="1" aca="1" ref="AX208">_xlfn.LET(_xlpm.val,IF($F208="",val_blankRefText,_xldudf_CX_GET(CX_ENTITY,$F208,AX$11,AX$14,,(AX$204))),_xlpm.Res,IF(OR(_xlpm.val="",_xlpm.val="Error"),"",_xlpm.val),_xlpm.Res)</f>
        <v>#NAME?</v>
      </c>
      <c r="AY208" s="1986" t="e" cm="1">
        <f t="array" ca="1" aca="1" ref="AY208">_xlfn.LET(_xlpm.val,IF($F208="",val_blankRefText,_xldudf_CX_GET(CX_ENTITY,$F208,AY$11,AY$14,,(AY$204))),_xlpm.Res,IF(OR(_xlpm.val="",_xlpm.val="Error"),"",_xlpm.val),_xlpm.Res)</f>
        <v>#NAME?</v>
      </c>
      <c r="AZ208" s="1986" t="e" cm="1">
        <f t="array" ca="1" aca="1" ref="AZ208">_xlfn.LET(_xlpm.val,IF($F208="",val_blankRefText,_xldudf_CX_GET(CX_ENTITY,$F208,AZ$11,AZ$14,,(AZ$204))),_xlpm.Res,IF(OR(_xlpm.val="",_xlpm.val="Error"),"",_xlpm.val),_xlpm.Res)</f>
        <v>#NAME?</v>
      </c>
      <c r="BA208" s="1986" t="e" cm="1">
        <f t="array" ca="1" aca="1" ref="BA208">_xlfn.LET(_xlpm.val,IF($F208="",val_blankRefText,_xldudf_CX_GET(CX_ENTITY,$F208,BA$11,BA$14,,(BA$204))),_xlpm.Res,IF(OR(_xlpm.val="",_xlpm.val="Error"),"",_xlpm.val),_xlpm.Res)</f>
        <v>#NAME?</v>
      </c>
      <c r="BB208" s="1986" t="e" cm="1">
        <f t="array" ca="1" aca="1" ref="BB208">_xlfn.LET(_xlpm.val,IF($F208="",val_blankRefText,_xldudf_CX_GET(CX_ENTITY,$F208,BB$11,BB$14,,(BB$204))),_xlpm.Res,IF(OR(_xlpm.val="",_xlpm.val="Error"),"",_xlpm.val),_xlpm.Res)</f>
        <v>#NAME?</v>
      </c>
      <c r="BC208" s="1986" t="e" cm="1">
        <f t="array" ca="1" aca="1" ref="BC208">_xlfn.LET(_xlpm.val,IF($F208="",val_blankRefText,_xldudf_CX_GET(CX_ENTITY,$F208,BC$11,BC$14,,(BC$204))),_xlpm.Res,IF(OR(_xlpm.val="",_xlpm.val="Error"),"",_xlpm.val),_xlpm.Res)</f>
        <v>#NAME?</v>
      </c>
      <c r="BD208" s="1986" t="e" cm="1">
        <f t="array" ca="1" aca="1" ref="BD208">_xlfn.LET(_xlpm.val,IF($F208="",val_blankRefText,_xldudf_CX_GET(CX_ENTITY,$F208,BD$11,BD$14,,(BD$204))),_xlpm.Res,IF(OR(_xlpm.val="",_xlpm.val="Error"),"",_xlpm.val),_xlpm.Res)</f>
        <v>#NAME?</v>
      </c>
      <c r="BE208" s="1986" t="e" cm="1">
        <f t="array" ca="1" aca="1" ref="BE208">_xlfn.LET(_xlpm.val,IF($F208="",val_blankRefText,_xldudf_CX_GET(CX_ENTITY,$F208,BE$11,BE$14,,(BE$204))),_xlpm.Res,IF(OR(_xlpm.val="",_xlpm.val="Error"),"",_xlpm.val),_xlpm.Res)</f>
        <v>#NAME?</v>
      </c>
      <c r="BF208" s="1986" t="e" cm="1">
        <f t="array" ca="1" aca="1" ref="BF208">_xlfn.LET(_xlpm.val,IF($F208="",val_blankRefText,_xldudf_CX_GET(CX_ENTITY,$F208,BF$11,BF$14,,(BF$204))),_xlpm.Res,IF(OR(_xlpm.val="",_xlpm.val="Error"),"",_xlpm.val),_xlpm.Res)</f>
        <v>#NAME?</v>
      </c>
      <c r="BG208" s="1986" t="e" cm="1">
        <f t="array" ca="1" aca="1" ref="BG208">_xlfn.LET(_xlpm.val,IF($F208="",val_blankRefText,_xldudf_CX_GET(CX_ENTITY,$F208,BG$11,BG$14,,(BG$204))),_xlpm.Res,IF(OR(_xlpm.val="",_xlpm.val="Error"),"",_xlpm.val),_xlpm.Res)</f>
        <v>#NAME?</v>
      </c>
      <c r="BH208" s="1986" t="e" cm="1">
        <f t="array" ca="1" aca="1" ref="BH208">_xlfn.LET(_xlpm.val,IF($F208="",val_blankRefText,_xldudf_CX_GET(CX_ENTITY,$F208,BH$11,BH$14,,(BH$204))),_xlpm.Res,IF(OR(_xlpm.val="",_xlpm.val="Error"),"",_xlpm.val),_xlpm.Res)</f>
        <v>#NAME?</v>
      </c>
      <c r="BI208" s="1986" t="e" cm="1">
        <f t="array" ca="1" aca="1" ref="BI208">_xlfn.LET(_xlpm.val,IF($F208="",val_blankRefText,_xldudf_CX_GET(CX_ENTITY,$F208,BI$11,BI$14,,(BI$204))),_xlpm.Res,IF(OR(_xlpm.val="",_xlpm.val="Error"),"",_xlpm.val),_xlpm.Res)</f>
        <v>#NAME?</v>
      </c>
      <c r="BJ208" s="1986" t="e" cm="1">
        <f t="array" ca="1" aca="1" ref="BJ208">_xlfn.LET(_xlpm.val,IF($F208="",val_blankRefText,_xldudf_CX_GET(CX_ENTITY,$F208,BJ$11,BJ$14,,(BJ$204))),_xlpm.Res,IF(OR(_xlpm.val="",_xlpm.val="Error"),"",_xlpm.val),_xlpm.Res)</f>
        <v>#NAME?</v>
      </c>
      <c r="BK208" s="1986" t="e" cm="1">
        <f t="array" ca="1" aca="1" ref="BK208">_xlfn.LET(_xlpm.val,IF($F208="",val_blankRefText,_xldudf_CX_GET(CX_ENTITY,$F208,BK$11,BK$14,,(BK$204))),_xlpm.Res,IF(OR(_xlpm.val="",_xlpm.val="Error"),"",_xlpm.val),_xlpm.Res)</f>
        <v>#NAME?</v>
      </c>
      <c r="BL208" s="1986" t="e" cm="1">
        <f t="array" ca="1" aca="1" ref="BL208">_xlfn.LET(_xlpm.val,IF($F208="",val_blankRefText,_xldudf_CX_GET(CX_ENTITY,$F208,BL$11,BL$14,,(BL$204))),_xlpm.Res,IF(OR(_xlpm.val="",_xlpm.val="Error"),"",_xlpm.val),_xlpm.Res)</f>
        <v>#NAME?</v>
      </c>
      <c r="BM208" s="1986" t="e" cm="1">
        <f t="array" ca="1" aca="1" ref="BM208">_xlfn.LET(_xlpm.val,IF($F208="",val_blankRefText,_xldudf_CX_GET(CX_ENTITY,$F208,BM$11,BM$14,,(BM$204))),_xlpm.Res,IF(OR(_xlpm.val="",_xlpm.val="Error"),"",_xlpm.val),_xlpm.Res)</f>
        <v>#NAME?</v>
      </c>
      <c r="BN208" s="1986" t="e" cm="1">
        <f t="array" ca="1" aca="1" ref="BN208">_xlfn.LET(_xlpm.val,IF($F208="",val_blankRefText,_xldudf_CX_GET(CX_ENTITY,$F208,BN$11,BN$14,,(BN$204))),_xlpm.Res,IF(OR(_xlpm.val="",_xlpm.val="Error"),"",_xlpm.val),_xlpm.Res)</f>
        <v>#NAME?</v>
      </c>
      <c r="BO208" s="2103"/>
      <c r="BP208" s="2103"/>
      <c r="BQ208" s="2103"/>
      <c r="BR208" s="2103"/>
      <c r="BS208" s="2103"/>
      <c r="BT208" s="2103"/>
      <c r="BU208" s="2103"/>
      <c r="BV208" s="2103"/>
      <c r="BW208" s="2103"/>
      <c r="BX208" s="2103"/>
      <c r="BY208" s="2103"/>
      <c r="BZ208" s="2103"/>
      <c r="CA208" s="34"/>
      <c r="CC208" s="299"/>
      <c r="CD208" s="1461" t="e" cm="1">
        <f t="array" ca="1" aca="1" ref="CD208">_xlfn.LET(_xlpm.CheckBlank,SUM(PL!$AD208:$BN208)=0,IF(_xlpm.CheckBlank,"",SUM(_xlfn._xlws.FILTER(PL!$AD208:$BN208,(YEAR(PL!$AD$12:$BN$12)=PL!CD$12)*(array_timeline&lt;=PL!CD$11)))))</f>
        <v>#NAME?</v>
      </c>
      <c r="CE208" s="1461" t="e" cm="1">
        <f t="array" ca="1" aca="1" ref="CE208">_xlfn.LET(_xlpm.CheckBlank,SUM(PL!$AD208:$BN208)=0,IF(_xlpm.CheckBlank,"",SUM(_xlfn._xlws.FILTER(PL!$AD208:$BN208,(YEAR(PL!$AD$12:$BN$12)=PL!CE$12)*(array_timeline&lt;=PL!CE$11)))))</f>
        <v>#NAME?</v>
      </c>
      <c r="CF208" s="88"/>
      <c r="CG208" s="1461" t="e" cm="1">
        <f t="array" ca="1" aca="1" ref="CG208">_xlfn.LET(_xlpm.CheckBlank,SUM(PL!$AD208:$BN208)=0,IF(_xlpm.CheckBlank,"",SUM(_xlfn._xlws.FILTER(PL!$AD208:$BN208,(YEAR(PL!$AD$12:$BN$12)=PL!CG$12)*(array_timeline&lt;=PL!CG$11)))))</f>
        <v>#NAME?</v>
      </c>
      <c r="CH208" s="1461" t="e" cm="1">
        <f t="array" ca="1" aca="1" ref="CH208">_xlfn.LET(_xlpm.CheckBlank,SUM(PL!$AD208:$BN208)=0,IF(_xlpm.CheckBlank,"",SUM(_xlfn._xlws.FILTER(PL!$AD208:$BN208,(YEAR(PL!$AD$12:$BN$12)=PL!CH$12)*(array_timeline&lt;=PL!CH$11)))))</f>
        <v>#NAME?</v>
      </c>
      <c r="CI208" s="88"/>
      <c r="CJ208" s="1461" cm="1">
        <f t="array" ref="CJ208">_xlfn.LET(_xlpm.CheckBlank,SUM(PL!$AD208:$BN208)=0,IF(_xlpm.CheckBlank,"",SUM(_xlfn.TAKE(_xlfn.DROP(PL!$AD208:$BN208,,-DATEDIFF(PL!CJ$11,val_asOfDate,"M")),1,-12))))</f>
        <v>12</v>
      </c>
      <c r="CK208" s="1461" cm="1">
        <f t="array" ref="CK208">_xlfn.LET(_xlpm.CheckBlank,SUM(PL!$AD208:$BN208)=0,IF(_xlpm.CheckBlank,"",SUM(_xlfn.TAKE(_xlfn.DROP(PL!$AD208:$BN208,,-DATEDIFF(PL!CK$11,val_asOfDate,"M")),1,-12))))</f>
        <v>12</v>
      </c>
      <c r="CL208" s="88"/>
      <c r="CM208" s="1986" t="e" cm="1">
        <f t="array" ca="1" aca="1" ref="CM208">_xlfn.LET(_xlpm.val,IF($F208="",val_blankRefText,_xldudf_CX_GET(CX_ENTITY,$F208,CM$11,CM$14,,(CM$204))),_xlpm.Res,IF(OR(_xlpm.val="",_xlpm.val="Error"),"",_xlpm.val),_xlpm.Res)</f>
        <v>#NAME?</v>
      </c>
      <c r="CN208" s="1986" t="e" cm="1">
        <f t="array" ca="1" aca="1" ref="CN208">_xlfn.LET(_xlpm.val,IF($F208="",val_blankRefText,_xldudf_CX_GET(CX_ENTITY,$F208,CN$11,CN$14,,(CN$204))),_xlpm.Res,IF(OR(_xlpm.val="",_xlpm.val="Error"),"",_xlpm.val),_xlpm.Res)</f>
        <v>#NAME?</v>
      </c>
      <c r="CO208" s="1169"/>
      <c r="CP208" s="1986" t="e" cm="1">
        <f t="array" ca="1" aca="1" ref="CP208">_xlfn.LET(_xlpm.val,IF($F208="",val_blankRefText,_xldudf_CX_GET(CX_ENTITY,$F208,CP$11,CP$14,,(CP$204))),_xlpm.Res,IF(OR(_xlpm.val="",_xlpm.val="Error"),"",_xlpm.val),_xlpm.Res)</f>
        <v>#NAME?</v>
      </c>
      <c r="CQ208" s="1986" t="e" cm="1">
        <f t="array" ca="1" aca="1" ref="CQ208">_xlfn.LET(_xlpm.val,IF($F208="",val_blankRefText,_xldudf_CX_GET(CX_ENTITY,$F208,CQ$11,CQ$14,,(CQ$204))),_xlpm.Res,IF(OR(_xlpm.val="",_xlpm.val="Error"),"",_xlpm.val),_xlpm.Res)</f>
        <v>#NAME?</v>
      </c>
      <c r="CR208" s="34"/>
    </row>
    <row r="209" spans="1:96" ht="21" customHeight="1" outlineLevel="1">
      <c r="A209" s="1322"/>
      <c r="B209" s="577" t="s">
        <v>174</v>
      </c>
      <c r="C209" s="577" t="s">
        <v>1645</v>
      </c>
      <c r="D209" s="577"/>
      <c r="E209" s="577" t="e" cm="1">
        <f t="array" ca="1" aca="1" ref="E209">_xlfn.LET(_xlpm.Attr,$C209,_xlpm.Lookback,$E$16,_xlpm.QueryDate,EOMONTH(val_asOfDate,_xlpm.Lookback),_xlpm.ReadField,_xldudf_CX_GET(CX_ENTITY,fx_attrConverter($C209),_xlpm.QueryDate),_xlpm.AttrBlank,_xlpm.Attr="",_xlpm.RESULT,IF(_xlpm.AttrBlank,val_blankRefText,fx_attrConverter(_xlpm.ReadField,0)),IF(_xlpm.RESULT="Error","",_xlpm.RESULT))</f>
        <v>#NAME?</v>
      </c>
      <c r="F209" s="577" t="str">
        <f t="shared" si="62"/>
        <v>Segment II Breakdown - Amount 4</v>
      </c>
      <c r="G209" s="577" t="s">
        <v>1640</v>
      </c>
      <c r="H209" s="510">
        <v>0</v>
      </c>
      <c r="I209" s="3278">
        <v>1</v>
      </c>
      <c r="J209" s="30"/>
      <c r="K209" s="30"/>
      <c r="L209" s="579" t="b">
        <v>0</v>
      </c>
      <c r="N209" s="158"/>
      <c r="O209" s="101"/>
      <c r="P209" s="52"/>
      <c r="Q209" s="101"/>
      <c r="R209" s="101"/>
      <c r="S209" s="3008"/>
      <c r="T209" s="3008"/>
      <c r="U209" s="39"/>
      <c r="W209" s="554" t="e">
        <f ca="1">W201</f>
        <v>#NAME?</v>
      </c>
      <c r="X209" s="884" t="s">
        <v>62</v>
      </c>
      <c r="Y209" s="1553" t="e" cm="1">
        <f t="array" ca="1" aca="1" ref="Y209">IF($B209="",IFBLANK($E209,"Please select or type in or leave as blank"),IFBLANK($E209,$B209))</f>
        <v>#NAME?</v>
      </c>
      <c r="Z209" s="198" cm="1">
        <f t="array" ref="Z209">_xlfn.SWITCH(TRUE,ISBLANK(_PL!$L209),"",_PL!$L209=TRUE,1,_PL!$L209=FALSE,-1,_PL!$L209=-1,0,"n/a")</f>
        <v>-1</v>
      </c>
      <c r="AA209" s="905"/>
      <c r="AB209" s="1130"/>
      <c r="AC209" s="914" t="str" cm="1">
        <f t="array" ref="AC209">_xlfn.LET(_xlpm.Def,IF(_xlfn.XMATCH(AB209,tbl_acctDef[Term],0)&gt;0,fx_getIcon("find"),""),_xlpm.Adj,IF(_xlfn.XMATCH(AB209,tbl_adjExample[Items],0)&gt;0,fx_getIcon("find"),""),IFERROR(IFBLANK(_xlpm.Def,_xlpm.Adj),""))</f>
        <v/>
      </c>
      <c r="AD209" s="1986" t="e" cm="1">
        <f t="array" ca="1" aca="1" ref="AD209">_xlfn.LET(_xlpm.val,IF($F209="",val_blankRefText,_xldudf_CX_GET(CX_ENTITY,$F209,AD$11,AD$14,,(AD$204))),_xlpm.Res,IF(OR(_xlpm.val="",_xlpm.val="Error"),"",_xlpm.val),_xlpm.Res)</f>
        <v>#NAME?</v>
      </c>
      <c r="AE209" s="1986" t="e" cm="1">
        <f t="array" ca="1" aca="1" ref="AE209">_xlfn.LET(_xlpm.val,IF($F209="",val_blankRefText,_xldudf_CX_GET(CX_ENTITY,$F209,AE$11,AE$14,,(AE$204))),_xlpm.Res,IF(OR(_xlpm.val="",_xlpm.val="Error"),"",_xlpm.val),_xlpm.Res)</f>
        <v>#NAME?</v>
      </c>
      <c r="AF209" s="1986" t="e" cm="1">
        <f t="array" ca="1" aca="1" ref="AF209">_xlfn.LET(_xlpm.val,IF($F209="",val_blankRefText,_xldudf_CX_GET(CX_ENTITY,$F209,AF$11,AF$14,,(AF$204))),_xlpm.Res,IF(OR(_xlpm.val="",_xlpm.val="Error"),"",_xlpm.val),_xlpm.Res)</f>
        <v>#NAME?</v>
      </c>
      <c r="AG209" s="1986" t="e" cm="1">
        <f t="array" ca="1" aca="1" ref="AG209">_xlfn.LET(_xlpm.val,IF($F209="",val_blankRefText,_xldudf_CX_GET(CX_ENTITY,$F209,AG$11,AG$14,,(AG$204))),_xlpm.Res,IF(OR(_xlpm.val="",_xlpm.val="Error"),"",_xlpm.val),_xlpm.Res)</f>
        <v>#NAME?</v>
      </c>
      <c r="AH209" s="1986" t="e" cm="1">
        <f t="array" ca="1" aca="1" ref="AH209">_xlfn.LET(_xlpm.val,IF($F209="",val_blankRefText,_xldudf_CX_GET(CX_ENTITY,$F209,AH$11,AH$14,,(AH$204))),_xlpm.Res,IF(OR(_xlpm.val="",_xlpm.val="Error"),"",_xlpm.val),_xlpm.Res)</f>
        <v>#NAME?</v>
      </c>
      <c r="AI209" s="1986" t="e" cm="1">
        <f t="array" ca="1" aca="1" ref="AI209">_xlfn.LET(_xlpm.val,IF($F209="",val_blankRefText,_xldudf_CX_GET(CX_ENTITY,$F209,AI$11,AI$14,,(AI$204))),_xlpm.Res,IF(OR(_xlpm.val="",_xlpm.val="Error"),"",_xlpm.val),_xlpm.Res)</f>
        <v>#NAME?</v>
      </c>
      <c r="AJ209" s="1986" t="e" cm="1">
        <f t="array" ca="1" aca="1" ref="AJ209">_xlfn.LET(_xlpm.val,IF($F209="",val_blankRefText,_xldudf_CX_GET(CX_ENTITY,$F209,AJ$11,AJ$14,,(AJ$204))),_xlpm.Res,IF(OR(_xlpm.val="",_xlpm.val="Error"),"",_xlpm.val),_xlpm.Res)</f>
        <v>#NAME?</v>
      </c>
      <c r="AK209" s="1986" t="e" cm="1">
        <f t="array" ca="1" aca="1" ref="AK209">_xlfn.LET(_xlpm.val,IF($F209="",val_blankRefText,_xldudf_CX_GET(CX_ENTITY,$F209,AK$11,AK$14,,(AK$204))),_xlpm.Res,IF(OR(_xlpm.val="",_xlpm.val="Error"),"",_xlpm.val),_xlpm.Res)</f>
        <v>#NAME?</v>
      </c>
      <c r="AL209" s="1986" t="e" cm="1">
        <f t="array" ca="1" aca="1" ref="AL209">_xlfn.LET(_xlpm.val,IF($F209="",val_blankRefText,_xldudf_CX_GET(CX_ENTITY,$F209,AL$11,AL$14,,(AL$204))),_xlpm.Res,IF(OR(_xlpm.val="",_xlpm.val="Error"),"",_xlpm.val),_xlpm.Res)</f>
        <v>#NAME?</v>
      </c>
      <c r="AM209" s="1986" t="e" cm="1">
        <f t="array" ca="1" aca="1" ref="AM209">_xlfn.LET(_xlpm.val,IF($F209="",val_blankRefText,_xldudf_CX_GET(CX_ENTITY,$F209,AM$11,AM$14,,(AM$204))),_xlpm.Res,IF(OR(_xlpm.val="",_xlpm.val="Error"),"",_xlpm.val),_xlpm.Res)</f>
        <v>#NAME?</v>
      </c>
      <c r="AN209" s="1986" t="e" cm="1">
        <f t="array" ca="1" aca="1" ref="AN209">_xlfn.LET(_xlpm.val,IF($F209="",val_blankRefText,_xldudf_CX_GET(CX_ENTITY,$F209,AN$11,AN$14,,(AN$204))),_xlpm.Res,IF(OR(_xlpm.val="",_xlpm.val="Error"),"",_xlpm.val),_xlpm.Res)</f>
        <v>#NAME?</v>
      </c>
      <c r="AO209" s="1986" t="e" cm="1">
        <f t="array" ca="1" aca="1" ref="AO209">_xlfn.LET(_xlpm.val,IF($F209="",val_blankRefText,_xldudf_CX_GET(CX_ENTITY,$F209,AO$11,AO$14,,(AO$204))),_xlpm.Res,IF(OR(_xlpm.val="",_xlpm.val="Error"),"",_xlpm.val),_xlpm.Res)</f>
        <v>#NAME?</v>
      </c>
      <c r="AP209" s="1986" t="e" cm="1">
        <f t="array" ca="1" aca="1" ref="AP209">_xlfn.LET(_xlpm.val,IF($F209="",val_blankRefText,_xldudf_CX_GET(CX_ENTITY,$F209,AP$11,AP$14,,(AP$204))),_xlpm.Res,IF(OR(_xlpm.val="",_xlpm.val="Error"),"",_xlpm.val),_xlpm.Res)</f>
        <v>#NAME?</v>
      </c>
      <c r="AQ209" s="1986" t="e" cm="1">
        <f t="array" ca="1" aca="1" ref="AQ209">_xlfn.LET(_xlpm.val,IF($F209="",val_blankRefText,_xldudf_CX_GET(CX_ENTITY,$F209,AQ$11,AQ$14,,(AQ$204))),_xlpm.Res,IF(OR(_xlpm.val="",_xlpm.val="Error"),"",_xlpm.val),_xlpm.Res)</f>
        <v>#NAME?</v>
      </c>
      <c r="AR209" s="1986" t="e" cm="1">
        <f t="array" ca="1" aca="1" ref="AR209">_xlfn.LET(_xlpm.val,IF($F209="",val_blankRefText,_xldudf_CX_GET(CX_ENTITY,$F209,AR$11,AR$14,,(AR$204))),_xlpm.Res,IF(OR(_xlpm.val="",_xlpm.val="Error"),"",_xlpm.val),_xlpm.Res)</f>
        <v>#NAME?</v>
      </c>
      <c r="AS209" s="1986" t="e" cm="1">
        <f t="array" ca="1" aca="1" ref="AS209">_xlfn.LET(_xlpm.val,IF($F209="",val_blankRefText,_xldudf_CX_GET(CX_ENTITY,$F209,AS$11,AS$14,,(AS$204))),_xlpm.Res,IF(OR(_xlpm.val="",_xlpm.val="Error"),"",_xlpm.val),_xlpm.Res)</f>
        <v>#NAME?</v>
      </c>
      <c r="AT209" s="1986" t="e" cm="1">
        <f t="array" ca="1" aca="1" ref="AT209">_xlfn.LET(_xlpm.val,IF($F209="",val_blankRefText,_xldudf_CX_GET(CX_ENTITY,$F209,AT$11,AT$14,,(AT$204))),_xlpm.Res,IF(OR(_xlpm.val="",_xlpm.val="Error"),"",_xlpm.val),_xlpm.Res)</f>
        <v>#NAME?</v>
      </c>
      <c r="AU209" s="1986" t="e" cm="1">
        <f t="array" ca="1" aca="1" ref="AU209">_xlfn.LET(_xlpm.val,IF($F209="",val_blankRefText,_xldudf_CX_GET(CX_ENTITY,$F209,AU$11,AU$14,,(AU$204))),_xlpm.Res,IF(OR(_xlpm.val="",_xlpm.val="Error"),"",_xlpm.val),_xlpm.Res)</f>
        <v>#NAME?</v>
      </c>
      <c r="AV209" s="1986" t="e" cm="1">
        <f t="array" ca="1" aca="1" ref="AV209">_xlfn.LET(_xlpm.val,IF($F209="",val_blankRefText,_xldudf_CX_GET(CX_ENTITY,$F209,AV$11,AV$14,,(AV$204))),_xlpm.Res,IF(OR(_xlpm.val="",_xlpm.val="Error"),"",_xlpm.val),_xlpm.Res)</f>
        <v>#NAME?</v>
      </c>
      <c r="AW209" s="1986" t="e" cm="1">
        <f t="array" ca="1" aca="1" ref="AW209">_xlfn.LET(_xlpm.val,IF($F209="",val_blankRefText,_xldudf_CX_GET(CX_ENTITY,$F209,AW$11,AW$14,,(AW$204))),_xlpm.Res,IF(OR(_xlpm.val="",_xlpm.val="Error"),"",_xlpm.val),_xlpm.Res)</f>
        <v>#NAME?</v>
      </c>
      <c r="AX209" s="1986" t="e" cm="1">
        <f t="array" ca="1" aca="1" ref="AX209">_xlfn.LET(_xlpm.val,IF($F209="",val_blankRefText,_xldudf_CX_GET(CX_ENTITY,$F209,AX$11,AX$14,,(AX$204))),_xlpm.Res,IF(OR(_xlpm.val="",_xlpm.val="Error"),"",_xlpm.val),_xlpm.Res)</f>
        <v>#NAME?</v>
      </c>
      <c r="AY209" s="1986" t="e" cm="1">
        <f t="array" ca="1" aca="1" ref="AY209">_xlfn.LET(_xlpm.val,IF($F209="",val_blankRefText,_xldudf_CX_GET(CX_ENTITY,$F209,AY$11,AY$14,,(AY$204))),_xlpm.Res,IF(OR(_xlpm.val="",_xlpm.val="Error"),"",_xlpm.val),_xlpm.Res)</f>
        <v>#NAME?</v>
      </c>
      <c r="AZ209" s="1986" t="e" cm="1">
        <f t="array" ca="1" aca="1" ref="AZ209">_xlfn.LET(_xlpm.val,IF($F209="",val_blankRefText,_xldudf_CX_GET(CX_ENTITY,$F209,AZ$11,AZ$14,,(AZ$204))),_xlpm.Res,IF(OR(_xlpm.val="",_xlpm.val="Error"),"",_xlpm.val),_xlpm.Res)</f>
        <v>#NAME?</v>
      </c>
      <c r="BA209" s="1986" t="e" cm="1">
        <f t="array" ca="1" aca="1" ref="BA209">_xlfn.LET(_xlpm.val,IF($F209="",val_blankRefText,_xldudf_CX_GET(CX_ENTITY,$F209,BA$11,BA$14,,(BA$204))),_xlpm.Res,IF(OR(_xlpm.val="",_xlpm.val="Error"),"",_xlpm.val),_xlpm.Res)</f>
        <v>#NAME?</v>
      </c>
      <c r="BB209" s="1986" t="e" cm="1">
        <f t="array" ca="1" aca="1" ref="BB209">_xlfn.LET(_xlpm.val,IF($F209="",val_blankRefText,_xldudf_CX_GET(CX_ENTITY,$F209,BB$11,BB$14,,(BB$204))),_xlpm.Res,IF(OR(_xlpm.val="",_xlpm.val="Error"),"",_xlpm.val),_xlpm.Res)</f>
        <v>#NAME?</v>
      </c>
      <c r="BC209" s="1986" t="e" cm="1">
        <f t="array" ca="1" aca="1" ref="BC209">_xlfn.LET(_xlpm.val,IF($F209="",val_blankRefText,_xldudf_CX_GET(CX_ENTITY,$F209,BC$11,BC$14,,(BC$204))),_xlpm.Res,IF(OR(_xlpm.val="",_xlpm.val="Error"),"",_xlpm.val),_xlpm.Res)</f>
        <v>#NAME?</v>
      </c>
      <c r="BD209" s="1986" t="e" cm="1">
        <f t="array" ca="1" aca="1" ref="BD209">_xlfn.LET(_xlpm.val,IF($F209="",val_blankRefText,_xldudf_CX_GET(CX_ENTITY,$F209,BD$11,BD$14,,(BD$204))),_xlpm.Res,IF(OR(_xlpm.val="",_xlpm.val="Error"),"",_xlpm.val),_xlpm.Res)</f>
        <v>#NAME?</v>
      </c>
      <c r="BE209" s="1986" t="e" cm="1">
        <f t="array" ca="1" aca="1" ref="BE209">_xlfn.LET(_xlpm.val,IF($F209="",val_blankRefText,_xldudf_CX_GET(CX_ENTITY,$F209,BE$11,BE$14,,(BE$204))),_xlpm.Res,IF(OR(_xlpm.val="",_xlpm.val="Error"),"",_xlpm.val),_xlpm.Res)</f>
        <v>#NAME?</v>
      </c>
      <c r="BF209" s="1986" t="e" cm="1">
        <f t="array" ca="1" aca="1" ref="BF209">_xlfn.LET(_xlpm.val,IF($F209="",val_blankRefText,_xldudf_CX_GET(CX_ENTITY,$F209,BF$11,BF$14,,(BF$204))),_xlpm.Res,IF(OR(_xlpm.val="",_xlpm.val="Error"),"",_xlpm.val),_xlpm.Res)</f>
        <v>#NAME?</v>
      </c>
      <c r="BG209" s="1986" t="e" cm="1">
        <f t="array" ca="1" aca="1" ref="BG209">_xlfn.LET(_xlpm.val,IF($F209="",val_blankRefText,_xldudf_CX_GET(CX_ENTITY,$F209,BG$11,BG$14,,(BG$204))),_xlpm.Res,IF(OR(_xlpm.val="",_xlpm.val="Error"),"",_xlpm.val),_xlpm.Res)</f>
        <v>#NAME?</v>
      </c>
      <c r="BH209" s="1986" t="e" cm="1">
        <f t="array" ca="1" aca="1" ref="BH209">_xlfn.LET(_xlpm.val,IF($F209="",val_blankRefText,_xldudf_CX_GET(CX_ENTITY,$F209,BH$11,BH$14,,(BH$204))),_xlpm.Res,IF(OR(_xlpm.val="",_xlpm.val="Error"),"",_xlpm.val),_xlpm.Res)</f>
        <v>#NAME?</v>
      </c>
      <c r="BI209" s="1986" t="e" cm="1">
        <f t="array" ca="1" aca="1" ref="BI209">_xlfn.LET(_xlpm.val,IF($F209="",val_blankRefText,_xldudf_CX_GET(CX_ENTITY,$F209,BI$11,BI$14,,(BI$204))),_xlpm.Res,IF(OR(_xlpm.val="",_xlpm.val="Error"),"",_xlpm.val),_xlpm.Res)</f>
        <v>#NAME?</v>
      </c>
      <c r="BJ209" s="1986" t="e" cm="1">
        <f t="array" ca="1" aca="1" ref="BJ209">_xlfn.LET(_xlpm.val,IF($F209="",val_blankRefText,_xldudf_CX_GET(CX_ENTITY,$F209,BJ$11,BJ$14,,(BJ$204))),_xlpm.Res,IF(OR(_xlpm.val="",_xlpm.val="Error"),"",_xlpm.val),_xlpm.Res)</f>
        <v>#NAME?</v>
      </c>
      <c r="BK209" s="1986" t="e" cm="1">
        <f t="array" ca="1" aca="1" ref="BK209">_xlfn.LET(_xlpm.val,IF($F209="",val_blankRefText,_xldudf_CX_GET(CX_ENTITY,$F209,BK$11,BK$14,,(BK$204))),_xlpm.Res,IF(OR(_xlpm.val="",_xlpm.val="Error"),"",_xlpm.val),_xlpm.Res)</f>
        <v>#NAME?</v>
      </c>
      <c r="BL209" s="1986" t="e" cm="1">
        <f t="array" ca="1" aca="1" ref="BL209">_xlfn.LET(_xlpm.val,IF($F209="",val_blankRefText,_xldudf_CX_GET(CX_ENTITY,$F209,BL$11,BL$14,,(BL$204))),_xlpm.Res,IF(OR(_xlpm.val="",_xlpm.val="Error"),"",_xlpm.val),_xlpm.Res)</f>
        <v>#NAME?</v>
      </c>
      <c r="BM209" s="1986" t="e" cm="1">
        <f t="array" ca="1" aca="1" ref="BM209">_xlfn.LET(_xlpm.val,IF($F209="",val_blankRefText,_xldudf_CX_GET(CX_ENTITY,$F209,BM$11,BM$14,,(BM$204))),_xlpm.Res,IF(OR(_xlpm.val="",_xlpm.val="Error"),"",_xlpm.val),_xlpm.Res)</f>
        <v>#NAME?</v>
      </c>
      <c r="BN209" s="1986" t="e" cm="1">
        <f t="array" ca="1" aca="1" ref="BN209">_xlfn.LET(_xlpm.val,IF($F209="",val_blankRefText,_xldudf_CX_GET(CX_ENTITY,$F209,BN$11,BN$14,,(BN$204))),_xlpm.Res,IF(OR(_xlpm.val="",_xlpm.val="Error"),"",_xlpm.val),_xlpm.Res)</f>
        <v>#NAME?</v>
      </c>
      <c r="BO209" s="2103"/>
      <c r="BP209" s="2103"/>
      <c r="BQ209" s="2103"/>
      <c r="BR209" s="2103"/>
      <c r="BS209" s="2103"/>
      <c r="BT209" s="2103"/>
      <c r="BU209" s="2103"/>
      <c r="BV209" s="2103"/>
      <c r="BW209" s="2103"/>
      <c r="BX209" s="2103"/>
      <c r="BY209" s="2103"/>
      <c r="BZ209" s="2103"/>
      <c r="CA209" s="34"/>
      <c r="CC209" s="299"/>
      <c r="CD209" s="1461" t="e" cm="1">
        <f t="array" ca="1" aca="1" ref="CD209">_xlfn.LET(_xlpm.CheckBlank,SUM(PL!$AD209:$BN209)=0,IF(_xlpm.CheckBlank,"",SUM(_xlfn._xlws.FILTER(PL!$AD209:$BN209,(YEAR(PL!$AD$12:$BN$12)=PL!CD$12)*(array_timeline&lt;=PL!CD$11)))))</f>
        <v>#NAME?</v>
      </c>
      <c r="CE209" s="1461" t="e" cm="1">
        <f t="array" ca="1" aca="1" ref="CE209">_xlfn.LET(_xlpm.CheckBlank,SUM(PL!$AD209:$BN209)=0,IF(_xlpm.CheckBlank,"",SUM(_xlfn._xlws.FILTER(PL!$AD209:$BN209,(YEAR(PL!$AD$12:$BN$12)=PL!CE$12)*(array_timeline&lt;=PL!CE$11)))))</f>
        <v>#NAME?</v>
      </c>
      <c r="CF209" s="88"/>
      <c r="CG209" s="1461" t="e" cm="1">
        <f t="array" ca="1" aca="1" ref="CG209">_xlfn.LET(_xlpm.CheckBlank,SUM(PL!$AD209:$BN209)=0,IF(_xlpm.CheckBlank,"",SUM(_xlfn._xlws.FILTER(PL!$AD209:$BN209,(YEAR(PL!$AD$12:$BN$12)=PL!CG$12)*(array_timeline&lt;=PL!CG$11)))))</f>
        <v>#NAME?</v>
      </c>
      <c r="CH209" s="1461" t="e" cm="1">
        <f t="array" ca="1" aca="1" ref="CH209">_xlfn.LET(_xlpm.CheckBlank,SUM(PL!$AD209:$BN209)=0,IF(_xlpm.CheckBlank,"",SUM(_xlfn._xlws.FILTER(PL!$AD209:$BN209,(YEAR(PL!$AD$12:$BN$12)=PL!CH$12)*(array_timeline&lt;=PL!CH$11)))))</f>
        <v>#NAME?</v>
      </c>
      <c r="CI209" s="88"/>
      <c r="CJ209" s="1461" cm="1">
        <f t="array" ref="CJ209">_xlfn.LET(_xlpm.CheckBlank,SUM(PL!$AD209:$BN209)=0,IF(_xlpm.CheckBlank,"",SUM(_xlfn.TAKE(_xlfn.DROP(PL!$AD209:$BN209,,-DATEDIFF(PL!CJ$11,val_asOfDate,"M")),1,-12))))</f>
        <v>12</v>
      </c>
      <c r="CK209" s="1461" cm="1">
        <f t="array" ref="CK209">_xlfn.LET(_xlpm.CheckBlank,SUM(PL!$AD209:$BN209)=0,IF(_xlpm.CheckBlank,"",SUM(_xlfn.TAKE(_xlfn.DROP(PL!$AD209:$BN209,,-DATEDIFF(PL!CK$11,val_asOfDate,"M")),1,-12))))</f>
        <v>12</v>
      </c>
      <c r="CL209" s="88"/>
      <c r="CM209" s="1986" t="e" cm="1">
        <f t="array" ca="1" aca="1" ref="CM209">_xlfn.LET(_xlpm.val,IF($F209="",val_blankRefText,_xldudf_CX_GET(CX_ENTITY,$F209,CM$11,CM$14,,(CM$204))),_xlpm.Res,IF(OR(_xlpm.val="",_xlpm.val="Error"),"",_xlpm.val),_xlpm.Res)</f>
        <v>#NAME?</v>
      </c>
      <c r="CN209" s="1986" t="e" cm="1">
        <f t="array" ca="1" aca="1" ref="CN209">_xlfn.LET(_xlpm.val,IF($F209="",val_blankRefText,_xldudf_CX_GET(CX_ENTITY,$F209,CN$11,CN$14,,(CN$204))),_xlpm.Res,IF(OR(_xlpm.val="",_xlpm.val="Error"),"",_xlpm.val),_xlpm.Res)</f>
        <v>#NAME?</v>
      </c>
      <c r="CO209" s="1169"/>
      <c r="CP209" s="1986" t="e" cm="1">
        <f t="array" ca="1" aca="1" ref="CP209">_xlfn.LET(_xlpm.val,IF($F209="",val_blankRefText,_xldudf_CX_GET(CX_ENTITY,$F209,CP$11,CP$14,,(CP$204))),_xlpm.Res,IF(OR(_xlpm.val="",_xlpm.val="Error"),"",_xlpm.val),_xlpm.Res)</f>
        <v>#NAME?</v>
      </c>
      <c r="CQ209" s="1986" t="e" cm="1">
        <f t="array" ca="1" aca="1" ref="CQ209">_xlfn.LET(_xlpm.val,IF($F209="",val_blankRefText,_xldudf_CX_GET(CX_ENTITY,$F209,CQ$11,CQ$14,,(CQ$204))),_xlpm.Res,IF(OR(_xlpm.val="",_xlpm.val="Error"),"",_xlpm.val),_xlpm.Res)</f>
        <v>#NAME?</v>
      </c>
      <c r="CR209" s="34"/>
    </row>
    <row r="210" spans="1:96" ht="21" customHeight="1" outlineLevel="1">
      <c r="A210" s="1322"/>
      <c r="B210" s="577" t="s">
        <v>175</v>
      </c>
      <c r="C210" s="577" t="s">
        <v>1646</v>
      </c>
      <c r="D210" s="577"/>
      <c r="E210" s="577" t="e" cm="1">
        <f t="array" ca="1" aca="1" ref="E210">_xlfn.LET(_xlpm.Attr,$C210,_xlpm.Lookback,$E$16,_xlpm.QueryDate,EOMONTH(val_asOfDate,_xlpm.Lookback),_xlpm.ReadField,_xldudf_CX_GET(CX_ENTITY,fx_attrConverter($C210),_xlpm.QueryDate),_xlpm.AttrBlank,_xlpm.Attr="",_xlpm.RESULT,IF(_xlpm.AttrBlank,val_blankRefText,fx_attrConverter(_xlpm.ReadField,0)),IF(_xlpm.RESULT="Error","",_xlpm.RESULT))</f>
        <v>#NAME?</v>
      </c>
      <c r="F210" s="577" t="str">
        <f t="shared" si="62"/>
        <v>Segment II Breakdown - Amount 5</v>
      </c>
      <c r="G210" s="577" t="s">
        <v>1640</v>
      </c>
      <c r="H210" s="510">
        <v>0</v>
      </c>
      <c r="I210" s="3278">
        <v>1</v>
      </c>
      <c r="J210" s="30"/>
      <c r="K210" s="30"/>
      <c r="L210" s="579" t="b">
        <v>0</v>
      </c>
      <c r="N210" s="158"/>
      <c r="O210" s="101"/>
      <c r="P210" s="52"/>
      <c r="Q210" s="101"/>
      <c r="R210" s="101"/>
      <c r="S210" s="3008"/>
      <c r="T210" s="3008"/>
      <c r="U210" s="39"/>
      <c r="W210" s="554" t="e">
        <f ca="1">W201</f>
        <v>#NAME?</v>
      </c>
      <c r="X210" s="884" t="s">
        <v>62</v>
      </c>
      <c r="Y210" s="1553" t="e" cm="1">
        <f t="array" ca="1" aca="1" ref="Y210">IF($B210="",IFBLANK($E210,"Please select or type in or leave as blank"),IFBLANK($E210,$B210))</f>
        <v>#NAME?</v>
      </c>
      <c r="Z210" s="198" cm="1">
        <f t="array" ref="Z210">_xlfn.SWITCH(TRUE,ISBLANK(_PL!$L210),"",_PL!$L210=TRUE,1,_PL!$L210=FALSE,-1,_PL!$L210=-1,0,"n/a")</f>
        <v>-1</v>
      </c>
      <c r="AA210" s="905"/>
      <c r="AB210" s="591"/>
      <c r="AC210" s="914" t="str" cm="1">
        <f t="array" ref="AC210">_xlfn.LET(_xlpm.Def,IF(_xlfn.XMATCH(AB210,tbl_acctDef[Term],0)&gt;0,fx_getIcon("find"),""),_xlpm.Adj,IF(_xlfn.XMATCH(AB210,tbl_adjExample[Items],0)&gt;0,fx_getIcon("find"),""),IFERROR(IFBLANK(_xlpm.Def,_xlpm.Adj),""))</f>
        <v/>
      </c>
      <c r="AD210" s="1986" t="e" cm="1">
        <f t="array" ca="1" aca="1" ref="AD210">_xlfn.LET(_xlpm.val,IF($F210="",val_blankRefText,_xldudf_CX_GET(CX_ENTITY,$F210,AD$11,AD$14,,(AD$204))),_xlpm.Res,IF(OR(_xlpm.val="",_xlpm.val="Error"),"",_xlpm.val),_xlpm.Res)</f>
        <v>#NAME?</v>
      </c>
      <c r="AE210" s="1986" t="e" cm="1">
        <f t="array" ca="1" aca="1" ref="AE210">_xlfn.LET(_xlpm.val,IF($F210="",val_blankRefText,_xldudf_CX_GET(CX_ENTITY,$F210,AE$11,AE$14,,(AE$204))),_xlpm.Res,IF(OR(_xlpm.val="",_xlpm.val="Error"),"",_xlpm.val),_xlpm.Res)</f>
        <v>#NAME?</v>
      </c>
      <c r="AF210" s="1986" t="e" cm="1">
        <f t="array" ca="1" aca="1" ref="AF210">_xlfn.LET(_xlpm.val,IF($F210="",val_blankRefText,_xldudf_CX_GET(CX_ENTITY,$F210,AF$11,AF$14,,(AF$204))),_xlpm.Res,IF(OR(_xlpm.val="",_xlpm.val="Error"),"",_xlpm.val),_xlpm.Res)</f>
        <v>#NAME?</v>
      </c>
      <c r="AG210" s="1986" t="e" cm="1">
        <f t="array" ca="1" aca="1" ref="AG210">_xlfn.LET(_xlpm.val,IF($F210="",val_blankRefText,_xldudf_CX_GET(CX_ENTITY,$F210,AG$11,AG$14,,(AG$204))),_xlpm.Res,IF(OR(_xlpm.val="",_xlpm.val="Error"),"",_xlpm.val),_xlpm.Res)</f>
        <v>#NAME?</v>
      </c>
      <c r="AH210" s="1986" t="e" cm="1">
        <f t="array" ca="1" aca="1" ref="AH210">_xlfn.LET(_xlpm.val,IF($F210="",val_blankRefText,_xldudf_CX_GET(CX_ENTITY,$F210,AH$11,AH$14,,(AH$204))),_xlpm.Res,IF(OR(_xlpm.val="",_xlpm.val="Error"),"",_xlpm.val),_xlpm.Res)</f>
        <v>#NAME?</v>
      </c>
      <c r="AI210" s="1986" t="e" cm="1">
        <f t="array" ca="1" aca="1" ref="AI210">_xlfn.LET(_xlpm.val,IF($F210="",val_blankRefText,_xldudf_CX_GET(CX_ENTITY,$F210,AI$11,AI$14,,(AI$204))),_xlpm.Res,IF(OR(_xlpm.val="",_xlpm.val="Error"),"",_xlpm.val),_xlpm.Res)</f>
        <v>#NAME?</v>
      </c>
      <c r="AJ210" s="1986" t="e" cm="1">
        <f t="array" ca="1" aca="1" ref="AJ210">_xlfn.LET(_xlpm.val,IF($F210="",val_blankRefText,_xldudf_CX_GET(CX_ENTITY,$F210,AJ$11,AJ$14,,(AJ$204))),_xlpm.Res,IF(OR(_xlpm.val="",_xlpm.val="Error"),"",_xlpm.val),_xlpm.Res)</f>
        <v>#NAME?</v>
      </c>
      <c r="AK210" s="1986" t="e" cm="1">
        <f t="array" ca="1" aca="1" ref="AK210">_xlfn.LET(_xlpm.val,IF($F210="",val_blankRefText,_xldudf_CX_GET(CX_ENTITY,$F210,AK$11,AK$14,,(AK$204))),_xlpm.Res,IF(OR(_xlpm.val="",_xlpm.val="Error"),"",_xlpm.val),_xlpm.Res)</f>
        <v>#NAME?</v>
      </c>
      <c r="AL210" s="1986" t="e" cm="1">
        <f t="array" ca="1" aca="1" ref="AL210">_xlfn.LET(_xlpm.val,IF($F210="",val_blankRefText,_xldudf_CX_GET(CX_ENTITY,$F210,AL$11,AL$14,,(AL$204))),_xlpm.Res,IF(OR(_xlpm.val="",_xlpm.val="Error"),"",_xlpm.val),_xlpm.Res)</f>
        <v>#NAME?</v>
      </c>
      <c r="AM210" s="1986" t="e" cm="1">
        <f t="array" ca="1" aca="1" ref="AM210">_xlfn.LET(_xlpm.val,IF($F210="",val_blankRefText,_xldudf_CX_GET(CX_ENTITY,$F210,AM$11,AM$14,,(AM$204))),_xlpm.Res,IF(OR(_xlpm.val="",_xlpm.val="Error"),"",_xlpm.val),_xlpm.Res)</f>
        <v>#NAME?</v>
      </c>
      <c r="AN210" s="1986" t="e" cm="1">
        <f t="array" ca="1" aca="1" ref="AN210">_xlfn.LET(_xlpm.val,IF($F210="",val_blankRefText,_xldudf_CX_GET(CX_ENTITY,$F210,AN$11,AN$14,,(AN$204))),_xlpm.Res,IF(OR(_xlpm.val="",_xlpm.val="Error"),"",_xlpm.val),_xlpm.Res)</f>
        <v>#NAME?</v>
      </c>
      <c r="AO210" s="1986" t="e" cm="1">
        <f t="array" ca="1" aca="1" ref="AO210">_xlfn.LET(_xlpm.val,IF($F210="",val_blankRefText,_xldudf_CX_GET(CX_ENTITY,$F210,AO$11,AO$14,,(AO$204))),_xlpm.Res,IF(OR(_xlpm.val="",_xlpm.val="Error"),"",_xlpm.val),_xlpm.Res)</f>
        <v>#NAME?</v>
      </c>
      <c r="AP210" s="1986" t="e" cm="1">
        <f t="array" ca="1" aca="1" ref="AP210">_xlfn.LET(_xlpm.val,IF($F210="",val_blankRefText,_xldudf_CX_GET(CX_ENTITY,$F210,AP$11,AP$14,,(AP$204))),_xlpm.Res,IF(OR(_xlpm.val="",_xlpm.val="Error"),"",_xlpm.val),_xlpm.Res)</f>
        <v>#NAME?</v>
      </c>
      <c r="AQ210" s="1986" t="e" cm="1">
        <f t="array" ca="1" aca="1" ref="AQ210">_xlfn.LET(_xlpm.val,IF($F210="",val_blankRefText,_xldudf_CX_GET(CX_ENTITY,$F210,AQ$11,AQ$14,,(AQ$204))),_xlpm.Res,IF(OR(_xlpm.val="",_xlpm.val="Error"),"",_xlpm.val),_xlpm.Res)</f>
        <v>#NAME?</v>
      </c>
      <c r="AR210" s="1986" t="e" cm="1">
        <f t="array" ca="1" aca="1" ref="AR210">_xlfn.LET(_xlpm.val,IF($F210="",val_blankRefText,_xldudf_CX_GET(CX_ENTITY,$F210,AR$11,AR$14,,(AR$204))),_xlpm.Res,IF(OR(_xlpm.val="",_xlpm.val="Error"),"",_xlpm.val),_xlpm.Res)</f>
        <v>#NAME?</v>
      </c>
      <c r="AS210" s="1986" t="e" cm="1">
        <f t="array" ca="1" aca="1" ref="AS210">_xlfn.LET(_xlpm.val,IF($F210="",val_blankRefText,_xldudf_CX_GET(CX_ENTITY,$F210,AS$11,AS$14,,(AS$204))),_xlpm.Res,IF(OR(_xlpm.val="",_xlpm.val="Error"),"",_xlpm.val),_xlpm.Res)</f>
        <v>#NAME?</v>
      </c>
      <c r="AT210" s="1986" t="e" cm="1">
        <f t="array" ca="1" aca="1" ref="AT210">_xlfn.LET(_xlpm.val,IF($F210="",val_blankRefText,_xldudf_CX_GET(CX_ENTITY,$F210,AT$11,AT$14,,(AT$204))),_xlpm.Res,IF(OR(_xlpm.val="",_xlpm.val="Error"),"",_xlpm.val),_xlpm.Res)</f>
        <v>#NAME?</v>
      </c>
      <c r="AU210" s="1986" t="e" cm="1">
        <f t="array" ca="1" aca="1" ref="AU210">_xlfn.LET(_xlpm.val,IF($F210="",val_blankRefText,_xldudf_CX_GET(CX_ENTITY,$F210,AU$11,AU$14,,(AU$204))),_xlpm.Res,IF(OR(_xlpm.val="",_xlpm.val="Error"),"",_xlpm.val),_xlpm.Res)</f>
        <v>#NAME?</v>
      </c>
      <c r="AV210" s="1986" t="e" cm="1">
        <f t="array" ca="1" aca="1" ref="AV210">_xlfn.LET(_xlpm.val,IF($F210="",val_blankRefText,_xldudf_CX_GET(CX_ENTITY,$F210,AV$11,AV$14,,(AV$204))),_xlpm.Res,IF(OR(_xlpm.val="",_xlpm.val="Error"),"",_xlpm.val),_xlpm.Res)</f>
        <v>#NAME?</v>
      </c>
      <c r="AW210" s="1986" t="e" cm="1">
        <f t="array" ca="1" aca="1" ref="AW210">_xlfn.LET(_xlpm.val,IF($F210="",val_blankRefText,_xldudf_CX_GET(CX_ENTITY,$F210,AW$11,AW$14,,(AW$204))),_xlpm.Res,IF(OR(_xlpm.val="",_xlpm.val="Error"),"",_xlpm.val),_xlpm.Res)</f>
        <v>#NAME?</v>
      </c>
      <c r="AX210" s="1986" t="e" cm="1">
        <f t="array" ca="1" aca="1" ref="AX210">_xlfn.LET(_xlpm.val,IF($F210="",val_blankRefText,_xldudf_CX_GET(CX_ENTITY,$F210,AX$11,AX$14,,(AX$204))),_xlpm.Res,IF(OR(_xlpm.val="",_xlpm.val="Error"),"",_xlpm.val),_xlpm.Res)</f>
        <v>#NAME?</v>
      </c>
      <c r="AY210" s="1986" t="e" cm="1">
        <f t="array" ca="1" aca="1" ref="AY210">_xlfn.LET(_xlpm.val,IF($F210="",val_blankRefText,_xldudf_CX_GET(CX_ENTITY,$F210,AY$11,AY$14,,(AY$204))),_xlpm.Res,IF(OR(_xlpm.val="",_xlpm.val="Error"),"",_xlpm.val),_xlpm.Res)</f>
        <v>#NAME?</v>
      </c>
      <c r="AZ210" s="1986" t="e" cm="1">
        <f t="array" ca="1" aca="1" ref="AZ210">_xlfn.LET(_xlpm.val,IF($F210="",val_blankRefText,_xldudf_CX_GET(CX_ENTITY,$F210,AZ$11,AZ$14,,(AZ$204))),_xlpm.Res,IF(OR(_xlpm.val="",_xlpm.val="Error"),"",_xlpm.val),_xlpm.Res)</f>
        <v>#NAME?</v>
      </c>
      <c r="BA210" s="1986" t="e" cm="1">
        <f t="array" ca="1" aca="1" ref="BA210">_xlfn.LET(_xlpm.val,IF($F210="",val_blankRefText,_xldudf_CX_GET(CX_ENTITY,$F210,BA$11,BA$14,,(BA$204))),_xlpm.Res,IF(OR(_xlpm.val="",_xlpm.val="Error"),"",_xlpm.val),_xlpm.Res)</f>
        <v>#NAME?</v>
      </c>
      <c r="BB210" s="1986" t="e" cm="1">
        <f t="array" ca="1" aca="1" ref="BB210">_xlfn.LET(_xlpm.val,IF($F210="",val_blankRefText,_xldudf_CX_GET(CX_ENTITY,$F210,BB$11,BB$14,,(BB$204))),_xlpm.Res,IF(OR(_xlpm.val="",_xlpm.val="Error"),"",_xlpm.val),_xlpm.Res)</f>
        <v>#NAME?</v>
      </c>
      <c r="BC210" s="1986" t="e" cm="1">
        <f t="array" ca="1" aca="1" ref="BC210">_xlfn.LET(_xlpm.val,IF($F210="",val_blankRefText,_xldudf_CX_GET(CX_ENTITY,$F210,BC$11,BC$14,,(BC$204))),_xlpm.Res,IF(OR(_xlpm.val="",_xlpm.val="Error"),"",_xlpm.val),_xlpm.Res)</f>
        <v>#NAME?</v>
      </c>
      <c r="BD210" s="1986" t="e" cm="1">
        <f t="array" ca="1" aca="1" ref="BD210">_xlfn.LET(_xlpm.val,IF($F210="",val_blankRefText,_xldudf_CX_GET(CX_ENTITY,$F210,BD$11,BD$14,,(BD$204))),_xlpm.Res,IF(OR(_xlpm.val="",_xlpm.val="Error"),"",_xlpm.val),_xlpm.Res)</f>
        <v>#NAME?</v>
      </c>
      <c r="BE210" s="1986" t="e" cm="1">
        <f t="array" ca="1" aca="1" ref="BE210">_xlfn.LET(_xlpm.val,IF($F210="",val_blankRefText,_xldudf_CX_GET(CX_ENTITY,$F210,BE$11,BE$14,,(BE$204))),_xlpm.Res,IF(OR(_xlpm.val="",_xlpm.val="Error"),"",_xlpm.val),_xlpm.Res)</f>
        <v>#NAME?</v>
      </c>
      <c r="BF210" s="1986" t="e" cm="1">
        <f t="array" ca="1" aca="1" ref="BF210">_xlfn.LET(_xlpm.val,IF($F210="",val_blankRefText,_xldudf_CX_GET(CX_ENTITY,$F210,BF$11,BF$14,,(BF$204))),_xlpm.Res,IF(OR(_xlpm.val="",_xlpm.val="Error"),"",_xlpm.val),_xlpm.Res)</f>
        <v>#NAME?</v>
      </c>
      <c r="BG210" s="1986" t="e" cm="1">
        <f t="array" ca="1" aca="1" ref="BG210">_xlfn.LET(_xlpm.val,IF($F210="",val_blankRefText,_xldudf_CX_GET(CX_ENTITY,$F210,BG$11,BG$14,,(BG$204))),_xlpm.Res,IF(OR(_xlpm.val="",_xlpm.val="Error"),"",_xlpm.val),_xlpm.Res)</f>
        <v>#NAME?</v>
      </c>
      <c r="BH210" s="1986" t="e" cm="1">
        <f t="array" ca="1" aca="1" ref="BH210">_xlfn.LET(_xlpm.val,IF($F210="",val_blankRefText,_xldudf_CX_GET(CX_ENTITY,$F210,BH$11,BH$14,,(BH$204))),_xlpm.Res,IF(OR(_xlpm.val="",_xlpm.val="Error"),"",_xlpm.val),_xlpm.Res)</f>
        <v>#NAME?</v>
      </c>
      <c r="BI210" s="1986" t="e" cm="1">
        <f t="array" ca="1" aca="1" ref="BI210">_xlfn.LET(_xlpm.val,IF($F210="",val_blankRefText,_xldudf_CX_GET(CX_ENTITY,$F210,BI$11,BI$14,,(BI$204))),_xlpm.Res,IF(OR(_xlpm.val="",_xlpm.val="Error"),"",_xlpm.val),_xlpm.Res)</f>
        <v>#NAME?</v>
      </c>
      <c r="BJ210" s="1986" t="e" cm="1">
        <f t="array" ca="1" aca="1" ref="BJ210">_xlfn.LET(_xlpm.val,IF($F210="",val_blankRefText,_xldudf_CX_GET(CX_ENTITY,$F210,BJ$11,BJ$14,,(BJ$204))),_xlpm.Res,IF(OR(_xlpm.val="",_xlpm.val="Error"),"",_xlpm.val),_xlpm.Res)</f>
        <v>#NAME?</v>
      </c>
      <c r="BK210" s="1986" t="e" cm="1">
        <f t="array" ca="1" aca="1" ref="BK210">_xlfn.LET(_xlpm.val,IF($F210="",val_blankRefText,_xldudf_CX_GET(CX_ENTITY,$F210,BK$11,BK$14,,(BK$204))),_xlpm.Res,IF(OR(_xlpm.val="",_xlpm.val="Error"),"",_xlpm.val),_xlpm.Res)</f>
        <v>#NAME?</v>
      </c>
      <c r="BL210" s="1986" t="e" cm="1">
        <f t="array" ca="1" aca="1" ref="BL210">_xlfn.LET(_xlpm.val,IF($F210="",val_blankRefText,_xldudf_CX_GET(CX_ENTITY,$F210,BL$11,BL$14,,(BL$204))),_xlpm.Res,IF(OR(_xlpm.val="",_xlpm.val="Error"),"",_xlpm.val),_xlpm.Res)</f>
        <v>#NAME?</v>
      </c>
      <c r="BM210" s="1986" t="e" cm="1">
        <f t="array" ca="1" aca="1" ref="BM210">_xlfn.LET(_xlpm.val,IF($F210="",val_blankRefText,_xldudf_CX_GET(CX_ENTITY,$F210,BM$11,BM$14,,(BM$204))),_xlpm.Res,IF(OR(_xlpm.val="",_xlpm.val="Error"),"",_xlpm.val),_xlpm.Res)</f>
        <v>#NAME?</v>
      </c>
      <c r="BN210" s="1986" t="e" cm="1">
        <f t="array" ca="1" aca="1" ref="BN210">_xlfn.LET(_xlpm.val,IF($F210="",val_blankRefText,_xldudf_CX_GET(CX_ENTITY,$F210,BN$11,BN$14,,(BN$204))),_xlpm.Res,IF(OR(_xlpm.val="",_xlpm.val="Error"),"",_xlpm.val),_xlpm.Res)</f>
        <v>#NAME?</v>
      </c>
      <c r="BO210" s="2103"/>
      <c r="BP210" s="2103"/>
      <c r="BQ210" s="2103"/>
      <c r="BR210" s="2103"/>
      <c r="BS210" s="2103"/>
      <c r="BT210" s="2103"/>
      <c r="BU210" s="2103"/>
      <c r="BV210" s="2103"/>
      <c r="BW210" s="2103"/>
      <c r="BX210" s="2103"/>
      <c r="BY210" s="2103"/>
      <c r="BZ210" s="2103"/>
      <c r="CA210" s="34"/>
      <c r="CC210" s="299"/>
      <c r="CD210" s="1461" t="e" cm="1">
        <f t="array" ca="1" aca="1" ref="CD210">_xlfn.LET(_xlpm.CheckBlank,SUM(PL!$AD210:$BN210)=0,IF(_xlpm.CheckBlank,"",SUM(_xlfn._xlws.FILTER(PL!$AD210:$BN210,(YEAR(PL!$AD$12:$BN$12)=PL!CD$12)*(array_timeline&lt;=PL!CD$11)))))</f>
        <v>#NAME?</v>
      </c>
      <c r="CE210" s="1461" t="e" cm="1">
        <f t="array" ca="1" aca="1" ref="CE210">_xlfn.LET(_xlpm.CheckBlank,SUM(PL!$AD210:$BN210)=0,IF(_xlpm.CheckBlank,"",SUM(_xlfn._xlws.FILTER(PL!$AD210:$BN210,(YEAR(PL!$AD$12:$BN$12)=PL!CE$12)*(array_timeline&lt;=PL!CE$11)))))</f>
        <v>#NAME?</v>
      </c>
      <c r="CF210" s="88"/>
      <c r="CG210" s="1461" t="e" cm="1">
        <f t="array" ca="1" aca="1" ref="CG210">_xlfn.LET(_xlpm.CheckBlank,SUM(PL!$AD210:$BN210)=0,IF(_xlpm.CheckBlank,"",SUM(_xlfn._xlws.FILTER(PL!$AD210:$BN210,(YEAR(PL!$AD$12:$BN$12)=PL!CG$12)*(array_timeline&lt;=PL!CG$11)))))</f>
        <v>#NAME?</v>
      </c>
      <c r="CH210" s="1461" t="e" cm="1">
        <f t="array" ca="1" aca="1" ref="CH210">_xlfn.LET(_xlpm.CheckBlank,SUM(PL!$AD210:$BN210)=0,IF(_xlpm.CheckBlank,"",SUM(_xlfn._xlws.FILTER(PL!$AD210:$BN210,(YEAR(PL!$AD$12:$BN$12)=PL!CH$12)*(array_timeline&lt;=PL!CH$11)))))</f>
        <v>#NAME?</v>
      </c>
      <c r="CI210" s="88"/>
      <c r="CJ210" s="1461" cm="1">
        <f t="array" ref="CJ210">_xlfn.LET(_xlpm.CheckBlank,SUM(PL!$AD210:$BN210)=0,IF(_xlpm.CheckBlank,"",SUM(_xlfn.TAKE(_xlfn.DROP(PL!$AD210:$BN210,,-DATEDIFF(PL!CJ$11,val_asOfDate,"M")),1,-12))))</f>
        <v>12</v>
      </c>
      <c r="CK210" s="1461" cm="1">
        <f t="array" ref="CK210">_xlfn.LET(_xlpm.CheckBlank,SUM(PL!$AD210:$BN210)=0,IF(_xlpm.CheckBlank,"",SUM(_xlfn.TAKE(_xlfn.DROP(PL!$AD210:$BN210,,-DATEDIFF(PL!CK$11,val_asOfDate,"M")),1,-12))))</f>
        <v>12</v>
      </c>
      <c r="CL210" s="88"/>
      <c r="CM210" s="1986" t="e" cm="1">
        <f t="array" ca="1" aca="1" ref="CM210">_xlfn.LET(_xlpm.val,IF($F210="",val_blankRefText,_xldudf_CX_GET(CX_ENTITY,$F210,CM$11,CM$14,,(CM$204))),_xlpm.Res,IF(OR(_xlpm.val="",_xlpm.val="Error"),"",_xlpm.val),_xlpm.Res)</f>
        <v>#NAME?</v>
      </c>
      <c r="CN210" s="1986" t="e" cm="1">
        <f t="array" ca="1" aca="1" ref="CN210">_xlfn.LET(_xlpm.val,IF($F210="",val_blankRefText,_xldudf_CX_GET(CX_ENTITY,$F210,CN$11,CN$14,,(CN$204))),_xlpm.Res,IF(OR(_xlpm.val="",_xlpm.val="Error"),"",_xlpm.val),_xlpm.Res)</f>
        <v>#NAME?</v>
      </c>
      <c r="CO210" s="1169"/>
      <c r="CP210" s="1986" t="e" cm="1">
        <f t="array" ca="1" aca="1" ref="CP210">_xlfn.LET(_xlpm.val,IF($F210="",val_blankRefText,_xldudf_CX_GET(CX_ENTITY,$F210,CP$11,CP$14,,(CP$204))),_xlpm.Res,IF(OR(_xlpm.val="",_xlpm.val="Error"),"",_xlpm.val),_xlpm.Res)</f>
        <v>#NAME?</v>
      </c>
      <c r="CQ210" s="1986" t="e" cm="1">
        <f t="array" ca="1" aca="1" ref="CQ210">_xlfn.LET(_xlpm.val,IF($F210="",val_blankRefText,_xldudf_CX_GET(CX_ENTITY,$F210,CQ$11,CQ$14,,(CQ$204))),_xlpm.Res,IF(OR(_xlpm.val="",_xlpm.val="Error"),"",_xlpm.val),_xlpm.Res)</f>
        <v>#NAME?</v>
      </c>
      <c r="CR210" s="34"/>
    </row>
    <row r="211" spans="1:96" ht="21" customHeight="1" outlineLevel="1">
      <c r="A211" s="1322"/>
      <c r="B211" s="577" t="s">
        <v>176</v>
      </c>
      <c r="C211" s="577" t="s">
        <v>1647</v>
      </c>
      <c r="D211" s="577"/>
      <c r="E211" s="577" t="e" cm="1">
        <f t="array" ca="1" aca="1" ref="E211">_xlfn.LET(_xlpm.Attr,$C211,_xlpm.Lookback,$E$16,_xlpm.QueryDate,EOMONTH(val_asOfDate,_xlpm.Lookback),_xlpm.ReadField,_xldudf_CX_GET(CX_ENTITY,fx_attrConverter($C211),_xlpm.QueryDate),_xlpm.AttrBlank,_xlpm.Attr="",_xlpm.RESULT,IF(_xlpm.AttrBlank,val_blankRefText,fx_attrConverter(_xlpm.ReadField,0)),IF(_xlpm.RESULT="Error","",_xlpm.RESULT))</f>
        <v>#NAME?</v>
      </c>
      <c r="F211" s="577" t="str">
        <f t="shared" si="62"/>
        <v>Segment II Breakdown - Amount 6</v>
      </c>
      <c r="G211" s="577" t="s">
        <v>1640</v>
      </c>
      <c r="H211" s="585">
        <v>0</v>
      </c>
      <c r="I211" s="3290">
        <v>1</v>
      </c>
      <c r="J211" s="586"/>
      <c r="K211" s="586"/>
      <c r="L211" s="581" t="b">
        <v>0</v>
      </c>
      <c r="N211" s="158"/>
      <c r="O211" s="101"/>
      <c r="P211" s="52"/>
      <c r="Q211" s="101"/>
      <c r="R211" s="101"/>
      <c r="S211" s="3008"/>
      <c r="T211" s="3008"/>
      <c r="U211" s="39"/>
      <c r="W211" s="554" t="e">
        <f ca="1">W201</f>
        <v>#NAME?</v>
      </c>
      <c r="X211" s="884" t="s">
        <v>62</v>
      </c>
      <c r="Y211" s="1553" t="e" cm="1">
        <f t="array" ca="1" aca="1" ref="Y211">IF($B211="",IFBLANK($E211,"Please select or type in or leave as blank"),IFBLANK($E211,$B211))</f>
        <v>#NAME?</v>
      </c>
      <c r="Z211" s="198" cm="1">
        <f t="array" ref="Z211">_xlfn.SWITCH(TRUE,ISBLANK(_PL!$L211),"",_PL!$L211=TRUE,1,_PL!$L211=FALSE,-1,_PL!$L211=-1,0,"n/a")</f>
        <v>-1</v>
      </c>
      <c r="AA211" s="905"/>
      <c r="AB211" s="591"/>
      <c r="AC211" s="914" t="str" cm="1">
        <f t="array" ref="AC211">_xlfn.LET(_xlpm.Def,IF(_xlfn.XMATCH(AB211,tbl_acctDef[Term],0)&gt;0,fx_getIcon("find"),""),_xlpm.Adj,IF(_xlfn.XMATCH(AB211,tbl_adjExample[Items],0)&gt;0,fx_getIcon("find"),""),IFERROR(IFBLANK(_xlpm.Def,_xlpm.Adj),""))</f>
        <v/>
      </c>
      <c r="AD211" s="1986" t="e" cm="1">
        <f t="array" ca="1" aca="1" ref="AD211">_xlfn.LET(_xlpm.val,IF($F211="",val_blankRefText,_xldudf_CX_GET(CX_ENTITY,$F211,AD$11,AD$14,,(AD$204))),_xlpm.Res,IF(OR(_xlpm.val="",_xlpm.val="Error"),"",_xlpm.val),_xlpm.Res)</f>
        <v>#NAME?</v>
      </c>
      <c r="AE211" s="1986" t="e" cm="1">
        <f t="array" ca="1" aca="1" ref="AE211">_xlfn.LET(_xlpm.val,IF($F211="",val_blankRefText,_xldudf_CX_GET(CX_ENTITY,$F211,AE$11,AE$14,,(AE$204))),_xlpm.Res,IF(OR(_xlpm.val="",_xlpm.val="Error"),"",_xlpm.val),_xlpm.Res)</f>
        <v>#NAME?</v>
      </c>
      <c r="AF211" s="1986" t="e" cm="1">
        <f t="array" ca="1" aca="1" ref="AF211">_xlfn.LET(_xlpm.val,IF($F211="",val_blankRefText,_xldudf_CX_GET(CX_ENTITY,$F211,AF$11,AF$14,,(AF$204))),_xlpm.Res,IF(OR(_xlpm.val="",_xlpm.val="Error"),"",_xlpm.val),_xlpm.Res)</f>
        <v>#NAME?</v>
      </c>
      <c r="AG211" s="1986" t="e" cm="1">
        <f t="array" ca="1" aca="1" ref="AG211">_xlfn.LET(_xlpm.val,IF($F211="",val_blankRefText,_xldudf_CX_GET(CX_ENTITY,$F211,AG$11,AG$14,,(AG$204))),_xlpm.Res,IF(OR(_xlpm.val="",_xlpm.val="Error"),"",_xlpm.val),_xlpm.Res)</f>
        <v>#NAME?</v>
      </c>
      <c r="AH211" s="1986" t="e" cm="1">
        <f t="array" ca="1" aca="1" ref="AH211">_xlfn.LET(_xlpm.val,IF($F211="",val_blankRefText,_xldudf_CX_GET(CX_ENTITY,$F211,AH$11,AH$14,,(AH$204))),_xlpm.Res,IF(OR(_xlpm.val="",_xlpm.val="Error"),"",_xlpm.val),_xlpm.Res)</f>
        <v>#NAME?</v>
      </c>
      <c r="AI211" s="1986" t="e" cm="1">
        <f t="array" ca="1" aca="1" ref="AI211">_xlfn.LET(_xlpm.val,IF($F211="",val_blankRefText,_xldudf_CX_GET(CX_ENTITY,$F211,AI$11,AI$14,,(AI$204))),_xlpm.Res,IF(OR(_xlpm.val="",_xlpm.val="Error"),"",_xlpm.val),_xlpm.Res)</f>
        <v>#NAME?</v>
      </c>
      <c r="AJ211" s="1986" t="e" cm="1">
        <f t="array" ca="1" aca="1" ref="AJ211">_xlfn.LET(_xlpm.val,IF($F211="",val_blankRefText,_xldudf_CX_GET(CX_ENTITY,$F211,AJ$11,AJ$14,,(AJ$204))),_xlpm.Res,IF(OR(_xlpm.val="",_xlpm.val="Error"),"",_xlpm.val),_xlpm.Res)</f>
        <v>#NAME?</v>
      </c>
      <c r="AK211" s="1986" t="e" cm="1">
        <f t="array" ca="1" aca="1" ref="AK211">_xlfn.LET(_xlpm.val,IF($F211="",val_blankRefText,_xldudf_CX_GET(CX_ENTITY,$F211,AK$11,AK$14,,(AK$204))),_xlpm.Res,IF(OR(_xlpm.val="",_xlpm.val="Error"),"",_xlpm.val),_xlpm.Res)</f>
        <v>#NAME?</v>
      </c>
      <c r="AL211" s="1986" t="e" cm="1">
        <f t="array" ca="1" aca="1" ref="AL211">_xlfn.LET(_xlpm.val,IF($F211="",val_blankRefText,_xldudf_CX_GET(CX_ENTITY,$F211,AL$11,AL$14,,(AL$204))),_xlpm.Res,IF(OR(_xlpm.val="",_xlpm.val="Error"),"",_xlpm.val),_xlpm.Res)</f>
        <v>#NAME?</v>
      </c>
      <c r="AM211" s="1986" t="e" cm="1">
        <f t="array" ca="1" aca="1" ref="AM211">_xlfn.LET(_xlpm.val,IF($F211="",val_blankRefText,_xldudf_CX_GET(CX_ENTITY,$F211,AM$11,AM$14,,(AM$204))),_xlpm.Res,IF(OR(_xlpm.val="",_xlpm.val="Error"),"",_xlpm.val),_xlpm.Res)</f>
        <v>#NAME?</v>
      </c>
      <c r="AN211" s="1986" t="e" cm="1">
        <f t="array" ca="1" aca="1" ref="AN211">_xlfn.LET(_xlpm.val,IF($F211="",val_blankRefText,_xldudf_CX_GET(CX_ENTITY,$F211,AN$11,AN$14,,(AN$204))),_xlpm.Res,IF(OR(_xlpm.val="",_xlpm.val="Error"),"",_xlpm.val),_xlpm.Res)</f>
        <v>#NAME?</v>
      </c>
      <c r="AO211" s="1986" t="e" cm="1">
        <f t="array" ca="1" aca="1" ref="AO211">_xlfn.LET(_xlpm.val,IF($F211="",val_blankRefText,_xldudf_CX_GET(CX_ENTITY,$F211,AO$11,AO$14,,(AO$204))),_xlpm.Res,IF(OR(_xlpm.val="",_xlpm.val="Error"),"",_xlpm.val),_xlpm.Res)</f>
        <v>#NAME?</v>
      </c>
      <c r="AP211" s="1986" t="e" cm="1">
        <f t="array" ca="1" aca="1" ref="AP211">_xlfn.LET(_xlpm.val,IF($F211="",val_blankRefText,_xldudf_CX_GET(CX_ENTITY,$F211,AP$11,AP$14,,(AP$204))),_xlpm.Res,IF(OR(_xlpm.val="",_xlpm.val="Error"),"",_xlpm.val),_xlpm.Res)</f>
        <v>#NAME?</v>
      </c>
      <c r="AQ211" s="1986" t="e" cm="1">
        <f t="array" ca="1" aca="1" ref="AQ211">_xlfn.LET(_xlpm.val,IF($F211="",val_blankRefText,_xldudf_CX_GET(CX_ENTITY,$F211,AQ$11,AQ$14,,(AQ$204))),_xlpm.Res,IF(OR(_xlpm.val="",_xlpm.val="Error"),"",_xlpm.val),_xlpm.Res)</f>
        <v>#NAME?</v>
      </c>
      <c r="AR211" s="1986" t="e" cm="1">
        <f t="array" ca="1" aca="1" ref="AR211">_xlfn.LET(_xlpm.val,IF($F211="",val_blankRefText,_xldudf_CX_GET(CX_ENTITY,$F211,AR$11,AR$14,,(AR$204))),_xlpm.Res,IF(OR(_xlpm.val="",_xlpm.val="Error"),"",_xlpm.val),_xlpm.Res)</f>
        <v>#NAME?</v>
      </c>
      <c r="AS211" s="1986" t="e" cm="1">
        <f t="array" ca="1" aca="1" ref="AS211">_xlfn.LET(_xlpm.val,IF($F211="",val_blankRefText,_xldudf_CX_GET(CX_ENTITY,$F211,AS$11,AS$14,,(AS$204))),_xlpm.Res,IF(OR(_xlpm.val="",_xlpm.val="Error"),"",_xlpm.val),_xlpm.Res)</f>
        <v>#NAME?</v>
      </c>
      <c r="AT211" s="1986" t="e" cm="1">
        <f t="array" ca="1" aca="1" ref="AT211">_xlfn.LET(_xlpm.val,IF($F211="",val_blankRefText,_xldudf_CX_GET(CX_ENTITY,$F211,AT$11,AT$14,,(AT$204))),_xlpm.Res,IF(OR(_xlpm.val="",_xlpm.val="Error"),"",_xlpm.val),_xlpm.Res)</f>
        <v>#NAME?</v>
      </c>
      <c r="AU211" s="1986" t="e" cm="1">
        <f t="array" ca="1" aca="1" ref="AU211">_xlfn.LET(_xlpm.val,IF($F211="",val_blankRefText,_xldudf_CX_GET(CX_ENTITY,$F211,AU$11,AU$14,,(AU$204))),_xlpm.Res,IF(OR(_xlpm.val="",_xlpm.val="Error"),"",_xlpm.val),_xlpm.Res)</f>
        <v>#NAME?</v>
      </c>
      <c r="AV211" s="1986" t="e" cm="1">
        <f t="array" ca="1" aca="1" ref="AV211">_xlfn.LET(_xlpm.val,IF($F211="",val_blankRefText,_xldudf_CX_GET(CX_ENTITY,$F211,AV$11,AV$14,,(AV$204))),_xlpm.Res,IF(OR(_xlpm.val="",_xlpm.val="Error"),"",_xlpm.val),_xlpm.Res)</f>
        <v>#NAME?</v>
      </c>
      <c r="AW211" s="1986" t="e" cm="1">
        <f t="array" ca="1" aca="1" ref="AW211">_xlfn.LET(_xlpm.val,IF($F211="",val_blankRefText,_xldudf_CX_GET(CX_ENTITY,$F211,AW$11,AW$14,,(AW$204))),_xlpm.Res,IF(OR(_xlpm.val="",_xlpm.val="Error"),"",_xlpm.val),_xlpm.Res)</f>
        <v>#NAME?</v>
      </c>
      <c r="AX211" s="1986" t="e" cm="1">
        <f t="array" ca="1" aca="1" ref="AX211">_xlfn.LET(_xlpm.val,IF($F211="",val_blankRefText,_xldudf_CX_GET(CX_ENTITY,$F211,AX$11,AX$14,,(AX$204))),_xlpm.Res,IF(OR(_xlpm.val="",_xlpm.val="Error"),"",_xlpm.val),_xlpm.Res)</f>
        <v>#NAME?</v>
      </c>
      <c r="AY211" s="1986" t="e" cm="1">
        <f t="array" ca="1" aca="1" ref="AY211">_xlfn.LET(_xlpm.val,IF($F211="",val_blankRefText,_xldudf_CX_GET(CX_ENTITY,$F211,AY$11,AY$14,,(AY$204))),_xlpm.Res,IF(OR(_xlpm.val="",_xlpm.val="Error"),"",_xlpm.val),_xlpm.Res)</f>
        <v>#NAME?</v>
      </c>
      <c r="AZ211" s="1986" t="e" cm="1">
        <f t="array" ca="1" aca="1" ref="AZ211">_xlfn.LET(_xlpm.val,IF($F211="",val_blankRefText,_xldudf_CX_GET(CX_ENTITY,$F211,AZ$11,AZ$14,,(AZ$204))),_xlpm.Res,IF(OR(_xlpm.val="",_xlpm.val="Error"),"",_xlpm.val),_xlpm.Res)</f>
        <v>#NAME?</v>
      </c>
      <c r="BA211" s="1986" t="e" cm="1">
        <f t="array" ca="1" aca="1" ref="BA211">_xlfn.LET(_xlpm.val,IF($F211="",val_blankRefText,_xldudf_CX_GET(CX_ENTITY,$F211,BA$11,BA$14,,(BA$204))),_xlpm.Res,IF(OR(_xlpm.val="",_xlpm.val="Error"),"",_xlpm.val),_xlpm.Res)</f>
        <v>#NAME?</v>
      </c>
      <c r="BB211" s="1986" t="e" cm="1">
        <f t="array" ca="1" aca="1" ref="BB211">_xlfn.LET(_xlpm.val,IF($F211="",val_blankRefText,_xldudf_CX_GET(CX_ENTITY,$F211,BB$11,BB$14,,(BB$204))),_xlpm.Res,IF(OR(_xlpm.val="",_xlpm.val="Error"),"",_xlpm.val),_xlpm.Res)</f>
        <v>#NAME?</v>
      </c>
      <c r="BC211" s="1986" t="e" cm="1">
        <f t="array" ca="1" aca="1" ref="BC211">_xlfn.LET(_xlpm.val,IF($F211="",val_blankRefText,_xldudf_CX_GET(CX_ENTITY,$F211,BC$11,BC$14,,(BC$204))),_xlpm.Res,IF(OR(_xlpm.val="",_xlpm.val="Error"),"",_xlpm.val),_xlpm.Res)</f>
        <v>#NAME?</v>
      </c>
      <c r="BD211" s="1986" t="e" cm="1">
        <f t="array" ca="1" aca="1" ref="BD211">_xlfn.LET(_xlpm.val,IF($F211="",val_blankRefText,_xldudf_CX_GET(CX_ENTITY,$F211,BD$11,BD$14,,(BD$204))),_xlpm.Res,IF(OR(_xlpm.val="",_xlpm.val="Error"),"",_xlpm.val),_xlpm.Res)</f>
        <v>#NAME?</v>
      </c>
      <c r="BE211" s="1986" t="e" cm="1">
        <f t="array" ca="1" aca="1" ref="BE211">_xlfn.LET(_xlpm.val,IF($F211="",val_blankRefText,_xldudf_CX_GET(CX_ENTITY,$F211,BE$11,BE$14,,(BE$204))),_xlpm.Res,IF(OR(_xlpm.val="",_xlpm.val="Error"),"",_xlpm.val),_xlpm.Res)</f>
        <v>#NAME?</v>
      </c>
      <c r="BF211" s="1986" t="e" cm="1">
        <f t="array" ca="1" aca="1" ref="BF211">_xlfn.LET(_xlpm.val,IF($F211="",val_blankRefText,_xldudf_CX_GET(CX_ENTITY,$F211,BF$11,BF$14,,(BF$204))),_xlpm.Res,IF(OR(_xlpm.val="",_xlpm.val="Error"),"",_xlpm.val),_xlpm.Res)</f>
        <v>#NAME?</v>
      </c>
      <c r="BG211" s="1986" t="e" cm="1">
        <f t="array" ca="1" aca="1" ref="BG211">_xlfn.LET(_xlpm.val,IF($F211="",val_blankRefText,_xldudf_CX_GET(CX_ENTITY,$F211,BG$11,BG$14,,(BG$204))),_xlpm.Res,IF(OR(_xlpm.val="",_xlpm.val="Error"),"",_xlpm.val),_xlpm.Res)</f>
        <v>#NAME?</v>
      </c>
      <c r="BH211" s="1986" t="e" cm="1">
        <f t="array" ca="1" aca="1" ref="BH211">_xlfn.LET(_xlpm.val,IF($F211="",val_blankRefText,_xldudf_CX_GET(CX_ENTITY,$F211,BH$11,BH$14,,(BH$204))),_xlpm.Res,IF(OR(_xlpm.val="",_xlpm.val="Error"),"",_xlpm.val),_xlpm.Res)</f>
        <v>#NAME?</v>
      </c>
      <c r="BI211" s="1986" t="e" cm="1">
        <f t="array" ca="1" aca="1" ref="BI211">_xlfn.LET(_xlpm.val,IF($F211="",val_blankRefText,_xldudf_CX_GET(CX_ENTITY,$F211,BI$11,BI$14,,(BI$204))),_xlpm.Res,IF(OR(_xlpm.val="",_xlpm.val="Error"),"",_xlpm.val),_xlpm.Res)</f>
        <v>#NAME?</v>
      </c>
      <c r="BJ211" s="1986" t="e" cm="1">
        <f t="array" ca="1" aca="1" ref="BJ211">_xlfn.LET(_xlpm.val,IF($F211="",val_blankRefText,_xldudf_CX_GET(CX_ENTITY,$F211,BJ$11,BJ$14,,(BJ$204))),_xlpm.Res,IF(OR(_xlpm.val="",_xlpm.val="Error"),"",_xlpm.val),_xlpm.Res)</f>
        <v>#NAME?</v>
      </c>
      <c r="BK211" s="1986" t="e" cm="1">
        <f t="array" ca="1" aca="1" ref="BK211">_xlfn.LET(_xlpm.val,IF($F211="",val_blankRefText,_xldudf_CX_GET(CX_ENTITY,$F211,BK$11,BK$14,,(BK$204))),_xlpm.Res,IF(OR(_xlpm.val="",_xlpm.val="Error"),"",_xlpm.val),_xlpm.Res)</f>
        <v>#NAME?</v>
      </c>
      <c r="BL211" s="1986" t="e" cm="1">
        <f t="array" ca="1" aca="1" ref="BL211">_xlfn.LET(_xlpm.val,IF($F211="",val_blankRefText,_xldudf_CX_GET(CX_ENTITY,$F211,BL$11,BL$14,,(BL$204))),_xlpm.Res,IF(OR(_xlpm.val="",_xlpm.val="Error"),"",_xlpm.val),_xlpm.Res)</f>
        <v>#NAME?</v>
      </c>
      <c r="BM211" s="1986" t="e" cm="1">
        <f t="array" ca="1" aca="1" ref="BM211">_xlfn.LET(_xlpm.val,IF($F211="",val_blankRefText,_xldudf_CX_GET(CX_ENTITY,$F211,BM$11,BM$14,,(BM$204))),_xlpm.Res,IF(OR(_xlpm.val="",_xlpm.val="Error"),"",_xlpm.val),_xlpm.Res)</f>
        <v>#NAME?</v>
      </c>
      <c r="BN211" s="1986" t="e" cm="1">
        <f t="array" ca="1" aca="1" ref="BN211">_xlfn.LET(_xlpm.val,IF($F211="",val_blankRefText,_xldudf_CX_GET(CX_ENTITY,$F211,BN$11,BN$14,,(BN$204))),_xlpm.Res,IF(OR(_xlpm.val="",_xlpm.val="Error"),"",_xlpm.val),_xlpm.Res)</f>
        <v>#NAME?</v>
      </c>
      <c r="BO211" s="2103"/>
      <c r="BP211" s="2103"/>
      <c r="BQ211" s="2103"/>
      <c r="BR211" s="2103"/>
      <c r="BS211" s="2103"/>
      <c r="BT211" s="2103"/>
      <c r="BU211" s="2103"/>
      <c r="BV211" s="2103"/>
      <c r="BW211" s="2103"/>
      <c r="BX211" s="2103"/>
      <c r="BY211" s="2103"/>
      <c r="BZ211" s="2103"/>
      <c r="CA211" s="34"/>
      <c r="CC211" s="299"/>
      <c r="CD211" s="1461" t="e" cm="1">
        <f t="array" ca="1" aca="1" ref="CD211">_xlfn.LET(_xlpm.CheckBlank,SUM(PL!$AD211:$BN211)=0,IF(_xlpm.CheckBlank,"",SUM(_xlfn._xlws.FILTER(PL!$AD211:$BN211,(YEAR(PL!$AD$12:$BN$12)=PL!CD$12)*(array_timeline&lt;=PL!CD$11)))))</f>
        <v>#NAME?</v>
      </c>
      <c r="CE211" s="1461" t="e" cm="1">
        <f t="array" ca="1" aca="1" ref="CE211">_xlfn.LET(_xlpm.CheckBlank,SUM(PL!$AD211:$BN211)=0,IF(_xlpm.CheckBlank,"",SUM(_xlfn._xlws.FILTER(PL!$AD211:$BN211,(YEAR(PL!$AD$12:$BN$12)=PL!CE$12)*(array_timeline&lt;=PL!CE$11)))))</f>
        <v>#NAME?</v>
      </c>
      <c r="CF211" s="88"/>
      <c r="CG211" s="1461" t="e" cm="1">
        <f t="array" ca="1" aca="1" ref="CG211">_xlfn.LET(_xlpm.CheckBlank,SUM(PL!$AD211:$BN211)=0,IF(_xlpm.CheckBlank,"",SUM(_xlfn._xlws.FILTER(PL!$AD211:$BN211,(YEAR(PL!$AD$12:$BN$12)=PL!CG$12)*(array_timeline&lt;=PL!CG$11)))))</f>
        <v>#NAME?</v>
      </c>
      <c r="CH211" s="1461" t="e" cm="1">
        <f t="array" ca="1" aca="1" ref="CH211">_xlfn.LET(_xlpm.CheckBlank,SUM(PL!$AD211:$BN211)=0,IF(_xlpm.CheckBlank,"",SUM(_xlfn._xlws.FILTER(PL!$AD211:$BN211,(YEAR(PL!$AD$12:$BN$12)=PL!CH$12)*(array_timeline&lt;=PL!CH$11)))))</f>
        <v>#NAME?</v>
      </c>
      <c r="CI211" s="88"/>
      <c r="CJ211" s="1461" cm="1">
        <f t="array" ref="CJ211">_xlfn.LET(_xlpm.CheckBlank,SUM(PL!$AD211:$BN211)=0,IF(_xlpm.CheckBlank,"",SUM(_xlfn.TAKE(_xlfn.DROP(PL!$AD211:$BN211,,-DATEDIFF(PL!CJ$11,val_asOfDate,"M")),1,-12))))</f>
        <v>12</v>
      </c>
      <c r="CK211" s="1461" cm="1">
        <f t="array" ref="CK211">_xlfn.LET(_xlpm.CheckBlank,SUM(PL!$AD211:$BN211)=0,IF(_xlpm.CheckBlank,"",SUM(_xlfn.TAKE(_xlfn.DROP(PL!$AD211:$BN211,,-DATEDIFF(PL!CK$11,val_asOfDate,"M")),1,-12))))</f>
        <v>12</v>
      </c>
      <c r="CL211" s="88"/>
      <c r="CM211" s="1986" t="e" cm="1">
        <f t="array" ca="1" aca="1" ref="CM211">_xlfn.LET(_xlpm.val,IF($F211="",val_blankRefText,_xldudf_CX_GET(CX_ENTITY,$F211,CM$11,CM$14,,(CM$204))),_xlpm.Res,IF(OR(_xlpm.val="",_xlpm.val="Error"),"",_xlpm.val),_xlpm.Res)</f>
        <v>#NAME?</v>
      </c>
      <c r="CN211" s="1986" t="e" cm="1">
        <f t="array" ca="1" aca="1" ref="CN211">_xlfn.LET(_xlpm.val,IF($F211="",val_blankRefText,_xldudf_CX_GET(CX_ENTITY,$F211,CN$11,CN$14,,(CN$204))),_xlpm.Res,IF(OR(_xlpm.val="",_xlpm.val="Error"),"",_xlpm.val),_xlpm.Res)</f>
        <v>#NAME?</v>
      </c>
      <c r="CO211" s="1169"/>
      <c r="CP211" s="1986" t="e" cm="1">
        <f t="array" ca="1" aca="1" ref="CP211">_xlfn.LET(_xlpm.val,IF($F211="",val_blankRefText,_xldudf_CX_GET(CX_ENTITY,$F211,CP$11,CP$14,,(CP$204))),_xlpm.Res,IF(OR(_xlpm.val="",_xlpm.val="Error"),"",_xlpm.val),_xlpm.Res)</f>
        <v>#NAME?</v>
      </c>
      <c r="CQ211" s="1986" t="e" cm="1">
        <f t="array" ca="1" aca="1" ref="CQ211">_xlfn.LET(_xlpm.val,IF($F211="",val_blankRefText,_xldudf_CX_GET(CX_ENTITY,$F211,CQ$11,CQ$14,,(CQ$204))),_xlpm.Res,IF(OR(_xlpm.val="",_xlpm.val="Error"),"",_xlpm.val),_xlpm.Res)</f>
        <v>#NAME?</v>
      </c>
      <c r="CR211" s="34"/>
    </row>
    <row r="212" spans="1:96" ht="21" customHeight="1" outlineLevel="1">
      <c r="A212" s="1322"/>
      <c r="B212" s="1328"/>
      <c r="C212" s="1328"/>
      <c r="D212" s="1328"/>
      <c r="E212" s="1328"/>
      <c r="F212" s="1328"/>
      <c r="G212" s="1328" t="s">
        <v>1640</v>
      </c>
      <c r="H212" s="3281">
        <v>2</v>
      </c>
      <c r="I212" s="3281">
        <v>1</v>
      </c>
      <c r="J212" s="1334"/>
      <c r="K212" s="1334"/>
      <c r="L212" s="1336">
        <v>-1</v>
      </c>
      <c r="N212" s="158"/>
      <c r="O212" s="101"/>
      <c r="P212" s="52"/>
      <c r="Q212" s="101"/>
      <c r="R212" s="101"/>
      <c r="S212" s="3008"/>
      <c r="T212" s="3008"/>
      <c r="U212" s="39"/>
      <c r="W212" s="555" t="e">
        <f ca="1">W201</f>
        <v>#NAME?</v>
      </c>
      <c r="X212" s="893">
        <v>0</v>
      </c>
      <c r="Y212" s="971" t="s">
        <v>167</v>
      </c>
      <c r="Z212" s="538"/>
      <c r="AA212" s="787"/>
      <c r="AB212" s="1133" t="s">
        <v>1638</v>
      </c>
      <c r="AC212" s="1163" t="str" cm="1">
        <f t="array" ref="AC212">_xlfn.LET(_xlpm.Def,IF(_xlfn.XMATCH(AB212,tbl_acctDef[Term],0)&gt;0,fx_getIcon("find"),""),_xlpm.Adj,IF(_xlfn.XMATCH(AB212,tbl_adjExample[Items],0)&gt;0,fx_getIcon("find"),""),IFERROR(IFBLANK(_xlpm.Def,_xlpm.Adj),""))</f>
        <v/>
      </c>
      <c r="AD212" s="1140" t="str" cm="1">
        <f t="array" ca="1" aca="1" ref="AD212:BN212">IFERROR(_xlfn.BYCOL(_xlfn.VSTACK(_xlfn.ANCHORARRAY(AD205),AD206:BN211),_xleta.SUM),"")</f>
        <v/>
      </c>
      <c r="AE212" s="1140" t="str">
        <f ca="1"/>
        <v/>
      </c>
      <c r="AF212" s="1171" t="str">
        <f ca="1"/>
        <v/>
      </c>
      <c r="AG212" s="1171" t="str">
        <f ca="1"/>
        <v/>
      </c>
      <c r="AH212" s="1171" t="str">
        <f ca="1"/>
        <v/>
      </c>
      <c r="AI212" s="1171" t="str">
        <f ca="1"/>
        <v/>
      </c>
      <c r="AJ212" s="1171" t="str">
        <f ca="1"/>
        <v/>
      </c>
      <c r="AK212" s="1171" t="str">
        <f ca="1"/>
        <v/>
      </c>
      <c r="AL212" s="1171" t="str">
        <f ca="1"/>
        <v/>
      </c>
      <c r="AM212" s="1171" t="str">
        <f ca="1"/>
        <v/>
      </c>
      <c r="AN212" s="1171" t="str">
        <f ca="1"/>
        <v/>
      </c>
      <c r="AO212" s="1171" t="str">
        <f ca="1"/>
        <v/>
      </c>
      <c r="AP212" s="1171" t="str">
        <f ca="1"/>
        <v/>
      </c>
      <c r="AQ212" s="1171" t="str">
        <f ca="1"/>
        <v/>
      </c>
      <c r="AR212" s="1171" t="str">
        <f ca="1"/>
        <v/>
      </c>
      <c r="AS212" s="1171" t="str">
        <f ca="1"/>
        <v/>
      </c>
      <c r="AT212" s="1171" t="str">
        <f ca="1"/>
        <v/>
      </c>
      <c r="AU212" s="1171" t="str">
        <f ca="1"/>
        <v/>
      </c>
      <c r="AV212" s="1171" t="str">
        <f ca="1"/>
        <v/>
      </c>
      <c r="AW212" s="1171" t="str">
        <f ca="1"/>
        <v/>
      </c>
      <c r="AX212" s="1171" t="str">
        <f ca="1"/>
        <v/>
      </c>
      <c r="AY212" s="1171" t="str">
        <f ca="1"/>
        <v/>
      </c>
      <c r="AZ212" s="1171" t="str">
        <f ca="1"/>
        <v/>
      </c>
      <c r="BA212" s="1171" t="str">
        <f ca="1"/>
        <v/>
      </c>
      <c r="BB212" s="1171" t="str">
        <f ca="1"/>
        <v/>
      </c>
      <c r="BC212" s="1171" t="str">
        <f ca="1"/>
        <v/>
      </c>
      <c r="BD212" s="1171" t="str">
        <f ca="1"/>
        <v/>
      </c>
      <c r="BE212" s="1171" t="str">
        <f ca="1"/>
        <v/>
      </c>
      <c r="BF212" s="1171" t="str">
        <f ca="1"/>
        <v/>
      </c>
      <c r="BG212" s="1171" t="str">
        <f ca="1"/>
        <v/>
      </c>
      <c r="BH212" s="1171" t="str">
        <f ca="1"/>
        <v/>
      </c>
      <c r="BI212" s="1171" t="str">
        <f ca="1"/>
        <v/>
      </c>
      <c r="BJ212" s="1171" t="str">
        <f ca="1"/>
        <v/>
      </c>
      <c r="BK212" s="1171" t="str">
        <f ca="1"/>
        <v/>
      </c>
      <c r="BL212" s="1171" t="str">
        <f ca="1"/>
        <v/>
      </c>
      <c r="BM212" s="1171" t="str">
        <f ca="1"/>
        <v/>
      </c>
      <c r="BN212" s="1171" t="str">
        <f ca="1"/>
        <v/>
      </c>
      <c r="BO212" s="2109"/>
      <c r="BP212" s="2109"/>
      <c r="BQ212" s="2109"/>
      <c r="BR212" s="2109"/>
      <c r="BS212" s="2109"/>
      <c r="BT212" s="2109"/>
      <c r="BU212" s="2109"/>
      <c r="BV212" s="2109"/>
      <c r="BW212" s="2109"/>
      <c r="BX212" s="2109"/>
      <c r="BY212" s="2109"/>
      <c r="BZ212" s="2109"/>
      <c r="CA212" s="34"/>
      <c r="CC212" s="33"/>
      <c r="CD212" s="1461" t="str">
        <f ca="1">IF(ISNUMBER(CD205),IF(ABS(SUM(CD206:CD211)-CD205)&lt;0.2,0,1),"")</f>
        <v/>
      </c>
      <c r="CE212" s="1461" t="str">
        <f ca="1">IF(ISNUMBER(CE205),IF(ABS(SUM(CE206:CE211)-CE205)&lt;0.2,0,1),"")</f>
        <v/>
      </c>
      <c r="CF212" s="88"/>
      <c r="CG212" s="1461" t="str">
        <f ca="1">IF(ISNUMBER(CG205),IF(ABS(SUM(CG206:CG211)-CG205)&lt;0.2,0,1),"")</f>
        <v/>
      </c>
      <c r="CH212" s="1461" t="str">
        <f ca="1">IF(ISNUMBER(CH205),IF(ABS(SUM(CH206:CH211)-CH205)&lt;0.2,0,1),"")</f>
        <v/>
      </c>
      <c r="CI212" s="88"/>
      <c r="CJ212" s="1461" t="str">
        <f ca="1">IF(ISNUMBER(CJ205),IF(ABS(SUM(CJ206:CJ211)-CJ205)&lt;0.2,0,1),"")</f>
        <v/>
      </c>
      <c r="CK212" s="1461" t="str">
        <f ca="1">IF(ISNUMBER(CK205),IF(ABS(SUM(CK206:CK211)-CK205)&lt;0.2,0,1),"")</f>
        <v/>
      </c>
      <c r="CL212" s="88"/>
      <c r="CM212" s="1142" t="str">
        <f ca="1">IF(ISNUMBER(CM205),IF(ABS(SUM(CM206:CM211)-CM205)&lt;0.2,0,1),"")</f>
        <v/>
      </c>
      <c r="CN212" s="1142" t="str">
        <f>IF(ISNUMBER(CN205),IF(ABS(SUM(CN206:CN211)-CN205)&lt;0.2,0,1),"")</f>
        <v/>
      </c>
      <c r="CO212" s="88"/>
      <c r="CP212" s="1142" t="str">
        <f ca="1">IF(ISNUMBER(CP205),IF(ABS(SUM(CP206:CP211)-CP205)&lt;0.2,0,1),"")</f>
        <v/>
      </c>
      <c r="CQ212" s="1142" t="str">
        <f>IF(ISNUMBER(CQ205),IF(ABS(SUM(CQ206:CQ211)-CQ205)&lt;0.2,0,1),"")</f>
        <v/>
      </c>
      <c r="CR212" s="34"/>
    </row>
    <row r="213" spans="1:96" ht="15.5">
      <c r="A213" s="1322"/>
      <c r="B213" s="577"/>
      <c r="C213" s="577"/>
      <c r="D213" s="574"/>
      <c r="E213" s="574"/>
      <c r="F213" s="577"/>
      <c r="G213" s="577"/>
      <c r="H213" s="578"/>
      <c r="I213" s="578"/>
      <c r="J213" s="578"/>
      <c r="K213" s="578"/>
      <c r="L213" s="578"/>
      <c r="N213" s="158"/>
      <c r="O213" s="101"/>
      <c r="P213" s="52"/>
      <c r="Q213" s="101"/>
      <c r="R213" s="101"/>
      <c r="S213" s="3008"/>
      <c r="T213" s="3008"/>
      <c r="U213" s="39"/>
      <c r="W213" s="285"/>
      <c r="X213" s="901"/>
      <c r="Y213" s="136"/>
      <c r="Z213" s="792"/>
      <c r="AA213" s="97"/>
      <c r="AB213" s="284"/>
      <c r="AC213" s="128"/>
      <c r="AD213" s="88" t="str">
        <f ca="1">IF(ISNUMBER(AD205),IF(ABS(AD205-AD212)&lt;1,1,0),"")</f>
        <v/>
      </c>
      <c r="AE213" s="88" t="str">
        <f ca="1" t="shared" si="63" ref="AE213:BC213">IF(ISNUMBER(AE205),IF(ABS(AE205-AE212)&lt;1,1,0),"")</f>
        <v/>
      </c>
      <c r="AF213" s="88" t="str">
        <f t="shared" ca="1" si="63"/>
        <v/>
      </c>
      <c r="AG213" s="88" t="str">
        <f t="shared" ca="1" si="63"/>
        <v/>
      </c>
      <c r="AH213" s="88" t="str">
        <f t="shared" ca="1" si="63"/>
        <v/>
      </c>
      <c r="AI213" s="88" t="str">
        <f t="shared" ca="1" si="63"/>
        <v/>
      </c>
      <c r="AJ213" s="88" t="str">
        <f t="shared" ca="1" si="63"/>
        <v/>
      </c>
      <c r="AK213" s="88" t="str">
        <f t="shared" ca="1" si="63"/>
        <v/>
      </c>
      <c r="AL213" s="88" t="str">
        <f t="shared" ca="1" si="63"/>
        <v/>
      </c>
      <c r="AM213" s="88" t="str">
        <f t="shared" ca="1" si="63"/>
        <v/>
      </c>
      <c r="AN213" s="88" t="str">
        <f t="shared" ca="1" si="63"/>
        <v/>
      </c>
      <c r="AO213" s="88" t="str">
        <f t="shared" ca="1" si="63"/>
        <v/>
      </c>
      <c r="AP213" s="88" t="str">
        <f t="shared" ca="1" si="63"/>
        <v/>
      </c>
      <c r="AQ213" s="88" t="str">
        <f t="shared" ca="1" si="63"/>
        <v/>
      </c>
      <c r="AR213" s="88" t="str">
        <f t="shared" ca="1" si="63"/>
        <v/>
      </c>
      <c r="AS213" s="88" t="str">
        <f t="shared" ca="1" si="63"/>
        <v/>
      </c>
      <c r="AT213" s="88" t="str">
        <f t="shared" ca="1" si="63"/>
        <v/>
      </c>
      <c r="AU213" s="783" t="str">
        <f t="shared" ca="1" si="63"/>
        <v/>
      </c>
      <c r="AV213" s="783" t="str">
        <f t="shared" ca="1" si="63"/>
        <v/>
      </c>
      <c r="AW213" s="783" t="str">
        <f t="shared" ca="1" si="63"/>
        <v/>
      </c>
      <c r="AX213" s="783" t="str">
        <f t="shared" ca="1" si="63"/>
        <v/>
      </c>
      <c r="AY213" s="783" t="str">
        <f t="shared" ca="1" si="63"/>
        <v/>
      </c>
      <c r="AZ213" s="783" t="str">
        <f t="shared" ca="1" si="63"/>
        <v/>
      </c>
      <c r="BA213" s="783" t="str">
        <f t="shared" ca="1" si="63"/>
        <v/>
      </c>
      <c r="BB213" s="783" t="str">
        <f t="shared" ca="1" si="63"/>
        <v/>
      </c>
      <c r="BC213" s="783" t="str">
        <f t="shared" ca="1" si="63"/>
        <v/>
      </c>
      <c r="BD213" s="783"/>
      <c r="BE213" s="783"/>
      <c r="BF213" s="783"/>
      <c r="BG213" s="783"/>
      <c r="BH213" s="783"/>
      <c r="BI213" s="783"/>
      <c r="BJ213" s="783"/>
      <c r="BK213" s="783"/>
      <c r="BL213" s="783"/>
      <c r="BM213" s="783"/>
      <c r="BN213" s="783"/>
      <c r="BO213" s="783"/>
      <c r="BP213" s="783"/>
      <c r="BQ213" s="783"/>
      <c r="BR213" s="783"/>
      <c r="BS213" s="783"/>
      <c r="BT213" s="783"/>
      <c r="BU213" s="783"/>
      <c r="BV213" s="783"/>
      <c r="BW213" s="783"/>
      <c r="BX213" s="783"/>
      <c r="BY213" s="783"/>
      <c r="BZ213" s="783"/>
      <c r="CA213" s="34"/>
      <c r="CC213" s="50"/>
      <c r="CD213" s="182"/>
      <c r="CE213" s="182"/>
      <c r="CF213" s="182"/>
      <c r="CG213" s="182"/>
      <c r="CH213" s="182"/>
      <c r="CI213" s="88"/>
      <c r="CJ213" s="172"/>
      <c r="CK213" s="172"/>
      <c r="CL213" s="88"/>
      <c r="CM213" s="88"/>
      <c r="CN213" s="88"/>
      <c r="CO213" s="88"/>
      <c r="CP213" s="88"/>
      <c r="CQ213" s="88"/>
      <c r="CR213" s="34"/>
    </row>
    <row r="214" spans="1:96" ht="15.5">
      <c r="A214" s="1322"/>
      <c r="B214" s="577"/>
      <c r="C214" s="577"/>
      <c r="D214" s="574"/>
      <c r="E214" s="574"/>
      <c r="F214" s="577"/>
      <c r="G214" s="577"/>
      <c r="H214" s="578"/>
      <c r="I214" s="578"/>
      <c r="J214" s="578"/>
      <c r="K214" s="578"/>
      <c r="L214" s="578"/>
      <c r="N214" s="158"/>
      <c r="O214" s="101"/>
      <c r="P214" s="52"/>
      <c r="Q214" s="101"/>
      <c r="R214" s="101"/>
      <c r="S214" s="3008"/>
      <c r="T214" s="3008"/>
      <c r="U214" s="39"/>
      <c r="W214" s="285"/>
      <c r="X214" s="887"/>
      <c r="Y214" s="136"/>
      <c r="Z214" s="792"/>
      <c r="AA214" s="97"/>
      <c r="AB214" s="97"/>
      <c r="AC214" s="128"/>
      <c r="AD214" s="88"/>
      <c r="AE214" s="88"/>
      <c r="AF214" s="88"/>
      <c r="AG214" s="88"/>
      <c r="AH214" s="88"/>
      <c r="AI214" s="88"/>
      <c r="AJ214" s="88"/>
      <c r="AK214" s="88"/>
      <c r="AL214" s="88"/>
      <c r="AM214" s="88"/>
      <c r="AN214" s="88"/>
      <c r="AO214" s="88"/>
      <c r="AP214" s="88"/>
      <c r="AQ214" s="88"/>
      <c r="AR214" s="88"/>
      <c r="AS214" s="88"/>
      <c r="AT214" s="88"/>
      <c r="AU214" s="783"/>
      <c r="AV214" s="783"/>
      <c r="AW214" s="783"/>
      <c r="AX214" s="783"/>
      <c r="AY214" s="783"/>
      <c r="AZ214" s="783"/>
      <c r="BA214" s="783"/>
      <c r="BB214" s="783"/>
      <c r="BC214" s="783"/>
      <c r="BD214" s="783"/>
      <c r="BE214" s="783"/>
      <c r="BF214" s="783"/>
      <c r="BG214" s="783"/>
      <c r="BH214" s="783"/>
      <c r="BI214" s="783"/>
      <c r="BJ214" s="783"/>
      <c r="BK214" s="783"/>
      <c r="BL214" s="783"/>
      <c r="BM214" s="783"/>
      <c r="BN214" s="783"/>
      <c r="BO214" s="783"/>
      <c r="BP214" s="783"/>
      <c r="BQ214" s="783"/>
      <c r="BR214" s="783"/>
      <c r="BS214" s="783"/>
      <c r="BT214" s="783"/>
      <c r="BU214" s="783"/>
      <c r="BV214" s="783"/>
      <c r="BW214" s="783"/>
      <c r="BX214" s="783"/>
      <c r="BY214" s="783"/>
      <c r="BZ214" s="783"/>
      <c r="CA214" s="34"/>
      <c r="CC214" s="50"/>
      <c r="CD214" s="182"/>
      <c r="CE214" s="182"/>
      <c r="CF214" s="182"/>
      <c r="CG214" s="182"/>
      <c r="CH214" s="182"/>
      <c r="CI214" s="88"/>
      <c r="CJ214" s="172"/>
      <c r="CK214" s="172"/>
      <c r="CL214" s="88"/>
      <c r="CM214" s="88"/>
      <c r="CN214" s="88"/>
      <c r="CO214" s="88"/>
      <c r="CP214" s="88"/>
      <c r="CQ214" s="88"/>
      <c r="CR214" s="34"/>
    </row>
    <row r="215" spans="1:96" ht="22.5" outlineLevel="1">
      <c r="A215" s="1322"/>
      <c r="B215" s="577"/>
      <c r="C215" s="577"/>
      <c r="D215" s="574"/>
      <c r="E215" s="574"/>
      <c r="F215" s="577"/>
      <c r="G215" s="577"/>
      <c r="H215" s="510"/>
      <c r="I215" s="510"/>
      <c r="J215" s="30"/>
      <c r="K215" s="30"/>
      <c r="L215" s="30"/>
      <c r="N215" s="158"/>
      <c r="O215" s="101"/>
      <c r="P215" s="52"/>
      <c r="Q215" s="101"/>
      <c r="R215" s="101"/>
      <c r="S215" s="3008"/>
      <c r="T215" s="3008"/>
      <c r="U215" s="39"/>
      <c r="W215" s="794"/>
      <c r="X215" s="887"/>
      <c r="Y215" s="324"/>
      <c r="Z215" s="795"/>
      <c r="AA215" s="97"/>
      <c r="AB215" s="97"/>
      <c r="AC215" s="128"/>
      <c r="AD215" s="796"/>
      <c r="AE215" s="796"/>
      <c r="AF215" s="796"/>
      <c r="AG215" s="796"/>
      <c r="AH215" s="796"/>
      <c r="AI215" s="796"/>
      <c r="AJ215" s="796"/>
      <c r="AK215" s="796"/>
      <c r="AL215" s="796"/>
      <c r="AM215" s="796"/>
      <c r="AN215" s="796"/>
      <c r="AO215" s="796"/>
      <c r="AP215" s="796"/>
      <c r="AQ215" s="796"/>
      <c r="AR215" s="796"/>
      <c r="AS215" s="796"/>
      <c r="AT215" s="796"/>
      <c r="AU215" s="796"/>
      <c r="AV215" s="796"/>
      <c r="AW215" s="796"/>
      <c r="AX215" s="796"/>
      <c r="AY215" s="796"/>
      <c r="AZ215" s="796"/>
      <c r="BA215" s="796"/>
      <c r="BB215" s="796"/>
      <c r="BC215" s="796"/>
      <c r="BD215" s="796"/>
      <c r="BE215" s="796"/>
      <c r="BF215" s="796"/>
      <c r="BG215" s="796"/>
      <c r="BH215" s="796"/>
      <c r="BI215" s="796"/>
      <c r="BJ215" s="796"/>
      <c r="BK215" s="796"/>
      <c r="BL215" s="796"/>
      <c r="BM215" s="796"/>
      <c r="BN215" s="796"/>
      <c r="BO215" s="796"/>
      <c r="BP215" s="796"/>
      <c r="BQ215" s="796"/>
      <c r="BR215" s="796"/>
      <c r="BS215" s="796"/>
      <c r="BT215" s="796"/>
      <c r="BU215" s="796"/>
      <c r="BV215" s="796"/>
      <c r="BW215" s="796"/>
      <c r="BX215" s="796"/>
      <c r="BY215" s="796"/>
      <c r="BZ215" s="796"/>
      <c r="CA215" s="34"/>
      <c r="CC215" s="797"/>
      <c r="CD215" s="3018" t="s">
        <v>41</v>
      </c>
      <c r="CE215" s="3019"/>
      <c r="CF215" s="1472"/>
      <c r="CG215" s="3020" t="s">
        <v>109</v>
      </c>
      <c r="CH215" s="3021"/>
      <c r="CI215" s="1473"/>
      <c r="CJ215" s="3022" t="s">
        <v>43</v>
      </c>
      <c r="CK215" s="3023"/>
      <c r="CL215" s="1473"/>
      <c r="CM215" s="3015" t="s">
        <v>44</v>
      </c>
      <c r="CN215" s="3016"/>
      <c r="CO215" s="1470"/>
      <c r="CP215" s="3015" t="s">
        <v>45</v>
      </c>
      <c r="CQ215" s="3016"/>
      <c r="CR215" s="34"/>
    </row>
    <row r="216" spans="1:96" ht="18" outlineLevel="1">
      <c r="A216" s="1322"/>
      <c r="B216" s="583"/>
      <c r="C216" s="577" t="s">
        <v>1648</v>
      </c>
      <c r="D216" s="583"/>
      <c r="E216" s="577" t="e" cm="1">
        <f t="array" ca="1" aca="1" ref="E216">IFBLANK(_xldudf_CX_GET(CX_ENTITY,fx_attrConverter(C216),val_asOfDate),PL!D216)</f>
        <v>#NAME?</v>
      </c>
      <c r="F216" s="577"/>
      <c r="G216" s="577"/>
      <c r="H216" s="510"/>
      <c r="I216" s="510"/>
      <c r="J216" s="572"/>
      <c r="K216" s="572"/>
      <c r="L216" s="578"/>
      <c r="N216" s="158"/>
      <c r="O216" s="101"/>
      <c r="P216" s="52"/>
      <c r="Q216" s="2"/>
      <c r="R216" s="101"/>
      <c r="S216" s="3008"/>
      <c r="T216" s="3008"/>
      <c r="U216" s="39"/>
      <c r="W216" s="3045" t="e" cm="1">
        <f t="array" ca="1" aca="1" ref="W216">fx_scenarioConverter(E217)</f>
        <v>#NAME?</v>
      </c>
      <c r="X216" s="1247"/>
      <c r="Y216" s="3040" t="e">
        <f ca="1">E216</f>
        <v>#NAME?</v>
      </c>
      <c r="Z216" s="1632" t="s">
        <v>157</v>
      </c>
      <c r="AA216" s="1633"/>
      <c r="AB216" s="1630"/>
      <c r="AC216" s="876"/>
      <c r="AD216" s="859"/>
      <c r="AE216" s="859"/>
      <c r="AF216" s="859"/>
      <c r="AG216" s="859"/>
      <c r="AH216" s="859"/>
      <c r="AI216" s="859"/>
      <c r="AJ216" s="859"/>
      <c r="AK216" s="859"/>
      <c r="AL216" s="859"/>
      <c r="AM216" s="859"/>
      <c r="AN216" s="859"/>
      <c r="AO216" s="859"/>
      <c r="AP216" s="859"/>
      <c r="AQ216" s="859"/>
      <c r="AR216" s="859"/>
      <c r="AS216" s="859"/>
      <c r="AT216" s="859"/>
      <c r="AU216" s="859"/>
      <c r="AV216" s="859"/>
      <c r="AW216" s="859"/>
      <c r="AX216" s="859"/>
      <c r="AY216" s="859"/>
      <c r="AZ216" s="859"/>
      <c r="BA216" s="859"/>
      <c r="BB216" s="859"/>
      <c r="BC216" s="859"/>
      <c r="BD216" s="859"/>
      <c r="BE216" s="859"/>
      <c r="BF216" s="859"/>
      <c r="BG216" s="859"/>
      <c r="BH216" s="859"/>
      <c r="BI216" s="859"/>
      <c r="BJ216" s="859"/>
      <c r="BK216" s="859"/>
      <c r="BL216" s="859"/>
      <c r="BM216" s="859"/>
      <c r="BN216" s="859"/>
      <c r="BO216" s="542"/>
      <c r="BP216" s="542"/>
      <c r="BQ216" s="542"/>
      <c r="BR216" s="542"/>
      <c r="BS216" s="542"/>
      <c r="BT216" s="542"/>
      <c r="BU216" s="542"/>
      <c r="BV216" s="542"/>
      <c r="BW216" s="542"/>
      <c r="BX216" s="542"/>
      <c r="BY216" s="542"/>
      <c r="BZ216" s="542"/>
      <c r="CA216" s="34"/>
      <c r="CC216" s="298"/>
      <c r="CD216" s="1343" t="e" cm="1">
        <f t="array" ca="1" aca="1" ref="CD216">YEAR(val_currentFYE)-2</f>
        <v>#NAME?</v>
      </c>
      <c r="CE216" s="1344" t="e" cm="1">
        <f t="array" ca="1" aca="1" ref="CE216">YEAR(val_currentFYE)-1</f>
        <v>#NAME?</v>
      </c>
      <c r="CF216" s="128"/>
      <c r="CG216" s="205" t="e" cm="1">
        <f t="array" ca="1" aca="1" ref="CG216">YEAR(val_currentFYE)</f>
        <v>#NAME?</v>
      </c>
      <c r="CH216" s="206" t="e" cm="1">
        <f t="array" ca="1" aca="1" ref="CH216">YEAR(val_currentFYE)</f>
        <v>#NAME?</v>
      </c>
      <c r="CI216" s="207"/>
      <c r="CJ216" s="208" t="s">
        <v>54</v>
      </c>
      <c r="CK216" s="209" t="s">
        <v>54</v>
      </c>
      <c r="CL216" s="88"/>
      <c r="CM216" s="1200" t="e" cm="1">
        <f t="array" ca="1" aca="1" ref="CM216">YEAR(val_currentFYE)</f>
        <v>#NAME?</v>
      </c>
      <c r="CN216" s="1340" t="e" cm="1">
        <f t="array" ca="1" aca="1" ref="CN216">YEAR(val_currentFYE)</f>
        <v>#NAME?</v>
      </c>
      <c r="CO216" s="88"/>
      <c r="CP216" s="1200" t="e" cm="1">
        <f t="array" ca="1" aca="1" ref="CP216">YEAR(val_currentFYE)</f>
        <v>#NAME?</v>
      </c>
      <c r="CQ216" s="1340" t="e" cm="1">
        <f t="array" ca="1" aca="1" ref="CQ216">YEAR(val_currentFYE)</f>
        <v>#NAME?</v>
      </c>
      <c r="CR216" s="34"/>
    </row>
    <row r="217" spans="1:96" ht="18" outlineLevel="1">
      <c r="A217" s="1322"/>
      <c r="B217" s="583"/>
      <c r="C217" s="577" t="s">
        <v>178</v>
      </c>
      <c r="D217" s="583"/>
      <c r="E217" s="577" t="e" cm="1">
        <f t="array" ca="1" aca="1" ref="E217">IFBLANK(_xldudf_CX_GET(CX_ENTITY,fx_attrConverter(C217),val_asOfDate),PL!D217)</f>
        <v>#NAME?</v>
      </c>
      <c r="F217" s="577"/>
      <c r="G217" s="577"/>
      <c r="H217" s="510"/>
      <c r="I217" s="510"/>
      <c r="J217" s="572"/>
      <c r="K217" s="572"/>
      <c r="L217" s="578"/>
      <c r="N217" s="158"/>
      <c r="O217" s="101"/>
      <c r="P217" s="52"/>
      <c r="Q217" s="2"/>
      <c r="R217" s="101"/>
      <c r="S217" s="3008"/>
      <c r="T217" s="3008"/>
      <c r="U217" s="39"/>
      <c r="W217" s="3046"/>
      <c r="X217" s="1250"/>
      <c r="Y217" s="3041"/>
      <c r="Z217" s="1636"/>
      <c r="AA217" s="1629"/>
      <c r="AB217" s="1631"/>
      <c r="AC217" s="1637"/>
      <c r="AD217" s="1253"/>
      <c r="AE217" s="1253"/>
      <c r="AF217" s="1253"/>
      <c r="AG217" s="1253"/>
      <c r="AH217" s="1253"/>
      <c r="AI217" s="1253"/>
      <c r="AJ217" s="1253"/>
      <c r="AK217" s="1253"/>
      <c r="AL217" s="1253"/>
      <c r="AM217" s="1253"/>
      <c r="AN217" s="1253"/>
      <c r="AO217" s="1253"/>
      <c r="AP217" s="1253"/>
      <c r="AQ217" s="1253"/>
      <c r="AR217" s="1253"/>
      <c r="AS217" s="1253"/>
      <c r="AT217" s="1253"/>
      <c r="AU217" s="1253"/>
      <c r="AV217" s="1253"/>
      <c r="AW217" s="1253"/>
      <c r="AX217" s="1253"/>
      <c r="AY217" s="1253"/>
      <c r="AZ217" s="1253"/>
      <c r="BA217" s="1253"/>
      <c r="BB217" s="1253"/>
      <c r="BC217" s="1253"/>
      <c r="BD217" s="1253"/>
      <c r="BE217" s="1253"/>
      <c r="BF217" s="1253"/>
      <c r="BG217" s="1253"/>
      <c r="BH217" s="1253"/>
      <c r="BI217" s="1253"/>
      <c r="BJ217" s="1253"/>
      <c r="BK217" s="1253"/>
      <c r="BL217" s="1253"/>
      <c r="BM217" s="1253"/>
      <c r="BN217" s="1253"/>
      <c r="BO217" s="2099"/>
      <c r="BP217" s="2099"/>
      <c r="BQ217" s="2099"/>
      <c r="BR217" s="2099"/>
      <c r="BS217" s="2099"/>
      <c r="BT217" s="2099"/>
      <c r="BU217" s="2099"/>
      <c r="BV217" s="2099"/>
      <c r="BW217" s="2099"/>
      <c r="BX217" s="2099"/>
      <c r="BY217" s="2099"/>
      <c r="BZ217" s="2099"/>
      <c r="CA217" s="34"/>
      <c r="CC217" s="298"/>
      <c r="CD217" s="1343"/>
      <c r="CE217" s="1344"/>
      <c r="CF217" s="128"/>
      <c r="CG217" s="205"/>
      <c r="CH217" s="206"/>
      <c r="CI217" s="207"/>
      <c r="CJ217" s="208"/>
      <c r="CK217" s="209"/>
      <c r="CL217" s="88"/>
      <c r="CM217" s="1705"/>
      <c r="CN217" s="1706"/>
      <c r="CO217" s="88"/>
      <c r="CP217" s="1705"/>
      <c r="CQ217" s="1706"/>
      <c r="CR217" s="34"/>
    </row>
    <row r="218" spans="1:96" ht="30.75" customHeight="1" outlineLevel="2">
      <c r="A218" s="1322"/>
      <c r="B218" s="583"/>
      <c r="C218" s="583"/>
      <c r="D218" s="583"/>
      <c r="E218" s="583"/>
      <c r="F218" s="577"/>
      <c r="G218" s="577" t="s">
        <v>1649</v>
      </c>
      <c r="H218" s="572"/>
      <c r="I218" s="572">
        <v>3</v>
      </c>
      <c r="J218" s="572"/>
      <c r="K218" s="572"/>
      <c r="L218" s="572"/>
      <c r="N218" s="158"/>
      <c r="O218" s="101"/>
      <c r="P218" s="52"/>
      <c r="Q218" s="101"/>
      <c r="R218" s="101"/>
      <c r="S218" s="3008"/>
      <c r="T218" s="3008"/>
      <c r="U218" s="39"/>
      <c r="W218" s="161"/>
      <c r="X218" s="887"/>
      <c r="Y218" s="1129"/>
      <c r="Z218" s="789"/>
      <c r="AA218" s="163"/>
      <c r="AB218" s="162" t="s">
        <v>47</v>
      </c>
      <c r="AC218" s="1164"/>
      <c r="AD218" s="1634" cm="1">
        <f t="array" ref="AD218:BN218">EOMONTH(val_asOfDate,_xlfn.SEQUENCE(1,37,-36,1))</f>
        <v>44926</v>
      </c>
      <c r="AE218" s="1634">
        <v>44957</v>
      </c>
      <c r="AF218" s="1634">
        <v>44985</v>
      </c>
      <c r="AG218" s="1634">
        <v>45016</v>
      </c>
      <c r="AH218" s="1634">
        <v>45046</v>
      </c>
      <c r="AI218" s="1634">
        <v>45077</v>
      </c>
      <c r="AJ218" s="1634">
        <v>45107</v>
      </c>
      <c r="AK218" s="1634">
        <v>45138</v>
      </c>
      <c r="AL218" s="1634">
        <v>45169</v>
      </c>
      <c r="AM218" s="1634">
        <v>45199</v>
      </c>
      <c r="AN218" s="1634">
        <v>45230</v>
      </c>
      <c r="AO218" s="1634">
        <v>45260</v>
      </c>
      <c r="AP218" s="1634">
        <v>45291</v>
      </c>
      <c r="AQ218" s="1634">
        <v>45322</v>
      </c>
      <c r="AR218" s="1634">
        <v>45351</v>
      </c>
      <c r="AS218" s="1634">
        <v>45382</v>
      </c>
      <c r="AT218" s="1634">
        <v>45412</v>
      </c>
      <c r="AU218" s="1634">
        <v>45443</v>
      </c>
      <c r="AV218" s="1634">
        <v>45473</v>
      </c>
      <c r="AW218" s="1634">
        <v>45504</v>
      </c>
      <c r="AX218" s="1634">
        <v>45535</v>
      </c>
      <c r="AY218" s="1634">
        <v>45565</v>
      </c>
      <c r="AZ218" s="1634">
        <v>45596</v>
      </c>
      <c r="BA218" s="1634">
        <v>45626</v>
      </c>
      <c r="BB218" s="1634">
        <v>45657</v>
      </c>
      <c r="BC218" s="1634">
        <v>45688</v>
      </c>
      <c r="BD218" s="1634">
        <v>45716</v>
      </c>
      <c r="BE218" s="1634">
        <v>45747</v>
      </c>
      <c r="BF218" s="1634">
        <v>45777</v>
      </c>
      <c r="BG218" s="1634">
        <v>45808</v>
      </c>
      <c r="BH218" s="1634">
        <v>45838</v>
      </c>
      <c r="BI218" s="1634">
        <v>45869</v>
      </c>
      <c r="BJ218" s="1634">
        <v>45900</v>
      </c>
      <c r="BK218" s="1634">
        <v>45930</v>
      </c>
      <c r="BL218" s="1634">
        <v>45961</v>
      </c>
      <c r="BM218" s="1634">
        <v>45991</v>
      </c>
      <c r="BN218" s="1635">
        <v>46022</v>
      </c>
      <c r="BO218" s="2090"/>
      <c r="BP218" s="2090"/>
      <c r="BQ218" s="2090"/>
      <c r="BR218" s="2090"/>
      <c r="BS218" s="2090"/>
      <c r="BT218" s="2090"/>
      <c r="BU218" s="2090"/>
      <c r="BV218" s="2090"/>
      <c r="BW218" s="2090"/>
      <c r="BX218" s="2090"/>
      <c r="BY218" s="2090"/>
      <c r="BZ218" s="2090"/>
      <c r="CA218" s="34"/>
      <c r="CC218" s="298"/>
      <c r="CD218" s="1716" t="e" cm="1">
        <f t="array" ca="1" aca="1" ref="CD218">EOMONTH(val_currentFYE,-24)</f>
        <v>#NAME?</v>
      </c>
      <c r="CE218" s="1717" t="e" cm="1">
        <f t="array" ca="1" aca="1" ref="CE218">EOMONTH(val_currentFYE,-12)</f>
        <v>#NAME?</v>
      </c>
      <c r="CF218" s="277"/>
      <c r="CG218" s="1715">
        <f>EOMONTH(val_asOfDate,-1)</f>
        <v>45991</v>
      </c>
      <c r="CH218" s="1715">
        <f>EOMONTH(val_asOfDate,0)</f>
        <v>46022</v>
      </c>
      <c r="CI218" s="276"/>
      <c r="CJ218" s="1709">
        <f>EOMONTH(val_asOfDate,-1)</f>
        <v>45991</v>
      </c>
      <c r="CK218" s="1710">
        <f>EOMONTH(val_asOfDate,0)</f>
        <v>46022</v>
      </c>
      <c r="CL218" s="88"/>
      <c r="CM218" s="1718" t="e" cm="1">
        <f t="array" ca="1" aca="1" ref="CM218">val_currentFYE</f>
        <v>#NAME?</v>
      </c>
      <c r="CN218" s="1719" t="e" cm="1">
        <f t="array" ca="1" aca="1" ref="CN218">val_currentFYE</f>
        <v>#NAME?</v>
      </c>
      <c r="CO218" s="88"/>
      <c r="CP218" s="1728" t="e" cm="1">
        <f t="array" ca="1" aca="1" ref="CP218">EOMONTH(val_currentFYE,12)</f>
        <v>#NAME?</v>
      </c>
      <c r="CQ218" s="1728" t="e" cm="1">
        <f t="array" ca="1" aca="1" ref="CQ218">EOMONTH(val_currentFYE,12)</f>
        <v>#NAME?</v>
      </c>
      <c r="CR218" s="34"/>
    </row>
    <row r="219" spans="1:96" ht="30.75" customHeight="1" outlineLevel="2">
      <c r="A219" s="1322"/>
      <c r="B219" s="1328"/>
      <c r="C219" s="1328"/>
      <c r="D219" s="1328"/>
      <c r="E219" s="1328"/>
      <c r="F219" s="575"/>
      <c r="G219" s="1328"/>
      <c r="H219" s="588"/>
      <c r="I219" s="588"/>
      <c r="J219" s="1334"/>
      <c r="K219" s="1334"/>
      <c r="L219" s="1334"/>
      <c r="N219" s="158"/>
      <c r="O219" s="101"/>
      <c r="P219" s="52"/>
      <c r="Q219" s="101"/>
      <c r="R219" s="101"/>
      <c r="S219" s="3008"/>
      <c r="T219" s="3008"/>
      <c r="U219" s="39"/>
      <c r="W219" s="272" t="s">
        <v>94</v>
      </c>
      <c r="X219" s="889"/>
      <c r="Y219" s="762" t="s">
        <v>159</v>
      </c>
      <c r="Z219" s="798"/>
      <c r="AA219" s="193"/>
      <c r="AB219" s="193"/>
      <c r="AC219" s="125"/>
      <c r="AD219" s="167" t="e">
        <f ca="1">$W$216</f>
        <v>#NAME?</v>
      </c>
      <c r="AE219" s="167" t="e">
        <f ca="1" t="shared" si="64" ref="AE219:BN219">$W$216</f>
        <v>#NAME?</v>
      </c>
      <c r="AF219" s="167" t="e">
        <f t="shared" ca="1" si="64"/>
        <v>#NAME?</v>
      </c>
      <c r="AG219" s="167" t="e">
        <f t="shared" ca="1" si="64"/>
        <v>#NAME?</v>
      </c>
      <c r="AH219" s="167" t="e">
        <f t="shared" ca="1" si="64"/>
        <v>#NAME?</v>
      </c>
      <c r="AI219" s="167" t="e">
        <f t="shared" ca="1" si="64"/>
        <v>#NAME?</v>
      </c>
      <c r="AJ219" s="167" t="e">
        <f t="shared" ca="1" si="64"/>
        <v>#NAME?</v>
      </c>
      <c r="AK219" s="167" t="e">
        <f t="shared" ca="1" si="64"/>
        <v>#NAME?</v>
      </c>
      <c r="AL219" s="167" t="e">
        <f t="shared" ca="1" si="64"/>
        <v>#NAME?</v>
      </c>
      <c r="AM219" s="167" t="e">
        <f t="shared" ca="1" si="64"/>
        <v>#NAME?</v>
      </c>
      <c r="AN219" s="167" t="e">
        <f t="shared" ca="1" si="64"/>
        <v>#NAME?</v>
      </c>
      <c r="AO219" s="167" t="e">
        <f t="shared" ca="1" si="64"/>
        <v>#NAME?</v>
      </c>
      <c r="AP219" s="167" t="e">
        <f t="shared" ca="1" si="64"/>
        <v>#NAME?</v>
      </c>
      <c r="AQ219" s="167" t="e">
        <f t="shared" ca="1" si="64"/>
        <v>#NAME?</v>
      </c>
      <c r="AR219" s="167" t="e">
        <f t="shared" ca="1" si="64"/>
        <v>#NAME?</v>
      </c>
      <c r="AS219" s="167" t="e">
        <f t="shared" ca="1" si="64"/>
        <v>#NAME?</v>
      </c>
      <c r="AT219" s="167" t="e">
        <f t="shared" ca="1" si="64"/>
        <v>#NAME?</v>
      </c>
      <c r="AU219" s="167" t="e">
        <f t="shared" ca="1" si="64"/>
        <v>#NAME?</v>
      </c>
      <c r="AV219" s="167" t="e">
        <f t="shared" ca="1" si="64"/>
        <v>#NAME?</v>
      </c>
      <c r="AW219" s="167" t="e">
        <f t="shared" ca="1" si="64"/>
        <v>#NAME?</v>
      </c>
      <c r="AX219" s="167" t="e">
        <f t="shared" ca="1" si="64"/>
        <v>#NAME?</v>
      </c>
      <c r="AY219" s="167" t="e">
        <f t="shared" ca="1" si="64"/>
        <v>#NAME?</v>
      </c>
      <c r="AZ219" s="167" t="e">
        <f t="shared" ca="1" si="64"/>
        <v>#NAME?</v>
      </c>
      <c r="BA219" s="167" t="e">
        <f t="shared" ca="1" si="64"/>
        <v>#NAME?</v>
      </c>
      <c r="BB219" s="167" t="e">
        <f t="shared" ca="1" si="64"/>
        <v>#NAME?</v>
      </c>
      <c r="BC219" s="167" t="e">
        <f t="shared" ca="1" si="64"/>
        <v>#NAME?</v>
      </c>
      <c r="BD219" s="167" t="e">
        <f t="shared" ca="1" si="64"/>
        <v>#NAME?</v>
      </c>
      <c r="BE219" s="167" t="e">
        <f t="shared" ca="1" si="64"/>
        <v>#NAME?</v>
      </c>
      <c r="BF219" s="167" t="e">
        <f t="shared" ca="1" si="64"/>
        <v>#NAME?</v>
      </c>
      <c r="BG219" s="167" t="e">
        <f t="shared" ca="1" si="64"/>
        <v>#NAME?</v>
      </c>
      <c r="BH219" s="167" t="e">
        <f t="shared" ca="1" si="64"/>
        <v>#NAME?</v>
      </c>
      <c r="BI219" s="167" t="e">
        <f t="shared" ca="1" si="64"/>
        <v>#NAME?</v>
      </c>
      <c r="BJ219" s="167" t="e">
        <f t="shared" ca="1" si="64"/>
        <v>#NAME?</v>
      </c>
      <c r="BK219" s="167" t="e">
        <f t="shared" ca="1" si="64"/>
        <v>#NAME?</v>
      </c>
      <c r="BL219" s="167" t="e">
        <f t="shared" ca="1" si="64"/>
        <v>#NAME?</v>
      </c>
      <c r="BM219" s="167" t="e">
        <f t="shared" ca="1" si="64"/>
        <v>#NAME?</v>
      </c>
      <c r="BN219" s="167" t="e">
        <f t="shared" ca="1" si="64"/>
        <v>#NAME?</v>
      </c>
      <c r="BO219" s="2070"/>
      <c r="BP219" s="2070"/>
      <c r="BQ219" s="2070"/>
      <c r="BR219" s="2070"/>
      <c r="BS219" s="2070"/>
      <c r="BT219" s="2070"/>
      <c r="BU219" s="2070"/>
      <c r="BV219" s="2070"/>
      <c r="BW219" s="2070"/>
      <c r="BX219" s="2070"/>
      <c r="BY219" s="2070"/>
      <c r="BZ219" s="2070"/>
      <c r="CA219" s="34"/>
      <c r="CC219" s="58"/>
      <c r="CD219" s="167" t="e">
        <f ca="1" t="shared" si="65" ref="CD219:CK219">$W$216</f>
        <v>#NAME?</v>
      </c>
      <c r="CE219" s="167" t="e">
        <f t="shared" ca="1" si="65"/>
        <v>#NAME?</v>
      </c>
      <c r="CF219" s="278"/>
      <c r="CG219" s="167" t="e">
        <f t="shared" ca="1" si="65"/>
        <v>#NAME?</v>
      </c>
      <c r="CH219" s="167" t="e">
        <f t="shared" ca="1" si="65"/>
        <v>#NAME?</v>
      </c>
      <c r="CI219" s="278"/>
      <c r="CJ219" s="167" t="e">
        <f t="shared" ca="1" si="65"/>
        <v>#NAME?</v>
      </c>
      <c r="CK219" s="167" t="e">
        <f t="shared" ca="1" si="65"/>
        <v>#NAME?</v>
      </c>
      <c r="CL219" s="88"/>
      <c r="CM219" s="1819" t="str">
        <f>$CM$19</f>
        <v>Original Budget</v>
      </c>
      <c r="CN219" s="1819" t="str">
        <f>$CN$19</f>
        <v>LE</v>
      </c>
      <c r="CO219" s="1205"/>
      <c r="CP219" s="1819" t="str">
        <f>$CP$19</f>
        <v>Original Budget</v>
      </c>
      <c r="CQ219" s="1819" t="str">
        <f>$CQ$19</f>
        <v>LE</v>
      </c>
      <c r="CR219" s="34"/>
    </row>
    <row r="220" spans="1:96" ht="21" customHeight="1" outlineLevel="2">
      <c r="A220" s="1322"/>
      <c r="B220" s="577"/>
      <c r="C220" s="577" t="s">
        <v>1650</v>
      </c>
      <c r="D220" s="577"/>
      <c r="E220" s="577" t="e" cm="1">
        <f t="array" ca="1" aca="1" ref="E220">_xlfn.LET(_xlpm.Attr,$C220,_xlpm.Lookback,$E$16,_xlpm.QueryDate,EOMONTH(val_asOfDate,_xlpm.Lookback),_xlpm.ReadField,_xldudf_CX_GET(CX_ENTITY,fx_attrConverter($C220),_xlpm.QueryDate),_xlpm.AttrBlank,_xlpm.Attr="",_xlpm.RESULT,IF(_xlpm.AttrBlank,val_blankRefText,fx_attrConverter(_xlpm.ReadField,0)),IF(_xlpm.RESULT="Error","",_xlpm.RESULT))</f>
        <v>#NAME?</v>
      </c>
      <c r="F220" s="577" t="e">
        <f ca="1">IF($B220&lt;&gt;"",$B220,$E220)</f>
        <v>#NAME?</v>
      </c>
      <c r="G220" s="1328" t="s">
        <v>1649</v>
      </c>
      <c r="H220" s="3287">
        <v>2</v>
      </c>
      <c r="I220" s="3287">
        <v>1</v>
      </c>
      <c r="J220" s="30"/>
      <c r="K220" s="30"/>
      <c r="L220" s="578">
        <v>-1</v>
      </c>
      <c r="N220" s="158"/>
      <c r="O220" s="101"/>
      <c r="P220" s="52"/>
      <c r="Q220" s="101"/>
      <c r="R220" s="101"/>
      <c r="S220" s="3008"/>
      <c r="T220" s="3008"/>
      <c r="U220" s="39"/>
      <c r="W220" s="91" t="e">
        <f ca="1">W216</f>
        <v>#NAME?</v>
      </c>
      <c r="X220" s="897" t="e" vm="4" cm="1">
        <f t="array" ref="X220">fx_getIcon("select")</f>
        <v>#VALUE!</v>
      </c>
      <c r="Y220" s="1838" t="e" cm="1">
        <f t="array" ca="1" aca="1" ref="Y220">IFBLANK(_xldudf_CX_GET(CX_ENTITY,fx_attrConverter(C220),val_asOfDate),"Please select the metric for segmentation")</f>
        <v>#NAME?</v>
      </c>
      <c r="Z220" s="878"/>
      <c r="AA220" s="877"/>
      <c r="AB220" s="1133" t="str">
        <f ca="1">IFERROR(_xlfn.XLOOKUP($Y220,_PL!$Y$20:$Y$41,_PL!$AB$20:$AB$41),"")</f>
        <v/>
      </c>
      <c r="AC220" s="1163" t="str" cm="1">
        <f t="array" ca="1" aca="1" ref="AC220">_xlfn.LET(_xlpm.Def,IF(_xlfn.XMATCH(AB220,tbl_acctDef[Term],0)&gt;0,fx_getIcon("find"),""),_xlpm.Adj,IF(_xlfn.XMATCH(AB220,tbl_adjExample[Items],0)&gt;0,fx_getIcon("find"),""),IFERROR(IFBLANK(_xlpm.Def,_xlpm.Adj),""))</f>
        <v/>
      </c>
      <c r="AD220" s="1962" t="e" cm="1">
        <f t="array" ca="1" aca="1" ref="AD220">_xlfn.LET(_xlpm.val,IF($F220="",val_blankRefText,_xldudf_CX_GET(CX_ENTITY,$F220,AD$11,AD$14,,(AD$219))),_xlpm.Res,IF(OR(_xlpm.val="",_xlpm.val="Error"),"",_xlpm.val),_xlpm.Res)</f>
        <v>#NAME?</v>
      </c>
      <c r="AE220" s="1993" t="e" cm="1">
        <f t="array" ca="1" aca="1" ref="AE220">_xlfn.LET(_xlpm.val,IF($F220="",val_blankRefText,_xldudf_CX_GET(CX_ENTITY,$F220,AE$11,AE$14,,(AE$219))),_xlpm.Res,IF(OR(_xlpm.val="",_xlpm.val="Error"),"",_xlpm.val),_xlpm.Res)</f>
        <v>#NAME?</v>
      </c>
      <c r="AF220" s="1993" t="e" cm="1">
        <f t="array" ca="1" aca="1" ref="AF220">_xlfn.LET(_xlpm.val,IF($F220="",val_blankRefText,_xldudf_CX_GET(CX_ENTITY,$F220,AF$11,AF$14,,(AF$219))),_xlpm.Res,IF(OR(_xlpm.val="",_xlpm.val="Error"),"",_xlpm.val),_xlpm.Res)</f>
        <v>#NAME?</v>
      </c>
      <c r="AG220" s="1993" t="e" cm="1">
        <f t="array" ca="1" aca="1" ref="AG220">_xlfn.LET(_xlpm.val,IF($F220="",val_blankRefText,_xldudf_CX_GET(CX_ENTITY,$F220,AG$11,AG$14,,(AG$219))),_xlpm.Res,IF(OR(_xlpm.val="",_xlpm.val="Error"),"",_xlpm.val),_xlpm.Res)</f>
        <v>#NAME?</v>
      </c>
      <c r="AH220" s="1993" t="e" cm="1">
        <f t="array" ca="1" aca="1" ref="AH220">_xlfn.LET(_xlpm.val,IF($F220="",val_blankRefText,_xldudf_CX_GET(CX_ENTITY,$F220,AH$11,AH$14,,(AH$219))),_xlpm.Res,IF(OR(_xlpm.val="",_xlpm.val="Error"),"",_xlpm.val),_xlpm.Res)</f>
        <v>#NAME?</v>
      </c>
      <c r="AI220" s="1993" t="e" cm="1">
        <f t="array" ca="1" aca="1" ref="AI220">_xlfn.LET(_xlpm.val,IF($F220="",val_blankRefText,_xldudf_CX_GET(CX_ENTITY,$F220,AI$11,AI$14,,(AI$219))),_xlpm.Res,IF(OR(_xlpm.val="",_xlpm.val="Error"),"",_xlpm.val),_xlpm.Res)</f>
        <v>#NAME?</v>
      </c>
      <c r="AJ220" s="1993" t="e" cm="1">
        <f t="array" ca="1" aca="1" ref="AJ220">_xlfn.LET(_xlpm.val,IF($F220="",val_blankRefText,_xldudf_CX_GET(CX_ENTITY,$F220,AJ$11,AJ$14,,(AJ$219))),_xlpm.Res,IF(OR(_xlpm.val="",_xlpm.val="Error"),"",_xlpm.val),_xlpm.Res)</f>
        <v>#NAME?</v>
      </c>
      <c r="AK220" s="1993" t="e" cm="1">
        <f t="array" ca="1" aca="1" ref="AK220">_xlfn.LET(_xlpm.val,IF($F220="",val_blankRefText,_xldudf_CX_GET(CX_ENTITY,$F220,AK$11,AK$14,,(AK$219))),_xlpm.Res,IF(OR(_xlpm.val="",_xlpm.val="Error"),"",_xlpm.val),_xlpm.Res)</f>
        <v>#NAME?</v>
      </c>
      <c r="AL220" s="1993" t="e" cm="1">
        <f t="array" ca="1" aca="1" ref="AL220">_xlfn.LET(_xlpm.val,IF($F220="",val_blankRefText,_xldudf_CX_GET(CX_ENTITY,$F220,AL$11,AL$14,,(AL$219))),_xlpm.Res,IF(OR(_xlpm.val="",_xlpm.val="Error"),"",_xlpm.val),_xlpm.Res)</f>
        <v>#NAME?</v>
      </c>
      <c r="AM220" s="1993" t="e" cm="1">
        <f t="array" ca="1" aca="1" ref="AM220">_xlfn.LET(_xlpm.val,IF($F220="",val_blankRefText,_xldudf_CX_GET(CX_ENTITY,$F220,AM$11,AM$14,,(AM$219))),_xlpm.Res,IF(OR(_xlpm.val="",_xlpm.val="Error"),"",_xlpm.val),_xlpm.Res)</f>
        <v>#NAME?</v>
      </c>
      <c r="AN220" s="1993" t="e" cm="1">
        <f t="array" ca="1" aca="1" ref="AN220">_xlfn.LET(_xlpm.val,IF($F220="",val_blankRefText,_xldudf_CX_GET(CX_ENTITY,$F220,AN$11,AN$14,,(AN$219))),_xlpm.Res,IF(OR(_xlpm.val="",_xlpm.val="Error"),"",_xlpm.val),_xlpm.Res)</f>
        <v>#NAME?</v>
      </c>
      <c r="AO220" s="1993" t="e" cm="1">
        <f t="array" ca="1" aca="1" ref="AO220">_xlfn.LET(_xlpm.val,IF($F220="",val_blankRefText,_xldudf_CX_GET(CX_ENTITY,$F220,AO$11,AO$14,,(AO$219))),_xlpm.Res,IF(OR(_xlpm.val="",_xlpm.val="Error"),"",_xlpm.val),_xlpm.Res)</f>
        <v>#NAME?</v>
      </c>
      <c r="AP220" s="1993" t="e" cm="1">
        <f t="array" ca="1" aca="1" ref="AP220">_xlfn.LET(_xlpm.val,IF($F220="",val_blankRefText,_xldudf_CX_GET(CX_ENTITY,$F220,AP$11,AP$14,,(AP$219))),_xlpm.Res,IF(OR(_xlpm.val="",_xlpm.val="Error"),"",_xlpm.val),_xlpm.Res)</f>
        <v>#NAME?</v>
      </c>
      <c r="AQ220" s="1993" t="e" cm="1">
        <f t="array" ca="1" aca="1" ref="AQ220">_xlfn.LET(_xlpm.val,IF($F220="",val_blankRefText,_xldudf_CX_GET(CX_ENTITY,$F220,AQ$11,AQ$14,,(AQ$219))),_xlpm.Res,IF(OR(_xlpm.val="",_xlpm.val="Error"),"",_xlpm.val),_xlpm.Res)</f>
        <v>#NAME?</v>
      </c>
      <c r="AR220" s="1993" t="e" cm="1">
        <f t="array" ca="1" aca="1" ref="AR220">_xlfn.LET(_xlpm.val,IF($F220="",val_blankRefText,_xldudf_CX_GET(CX_ENTITY,$F220,AR$11,AR$14,,(AR$219))),_xlpm.Res,IF(OR(_xlpm.val="",_xlpm.val="Error"),"",_xlpm.val),_xlpm.Res)</f>
        <v>#NAME?</v>
      </c>
      <c r="AS220" s="1993" t="e" cm="1">
        <f t="array" ca="1" aca="1" ref="AS220">_xlfn.LET(_xlpm.val,IF($F220="",val_blankRefText,_xldudf_CX_GET(CX_ENTITY,$F220,AS$11,AS$14,,(AS$219))),_xlpm.Res,IF(OR(_xlpm.val="",_xlpm.val="Error"),"",_xlpm.val),_xlpm.Res)</f>
        <v>#NAME?</v>
      </c>
      <c r="AT220" s="1993" t="e" cm="1">
        <f t="array" ca="1" aca="1" ref="AT220">_xlfn.LET(_xlpm.val,IF($F220="",val_blankRefText,_xldudf_CX_GET(CX_ENTITY,$F220,AT$11,AT$14,,(AT$219))),_xlpm.Res,IF(OR(_xlpm.val="",_xlpm.val="Error"),"",_xlpm.val),_xlpm.Res)</f>
        <v>#NAME?</v>
      </c>
      <c r="AU220" s="1993" t="e" cm="1">
        <f t="array" ca="1" aca="1" ref="AU220">_xlfn.LET(_xlpm.val,IF($F220="",val_blankRefText,_xldudf_CX_GET(CX_ENTITY,$F220,AU$11,AU$14,,(AU$219))),_xlpm.Res,IF(OR(_xlpm.val="",_xlpm.val="Error"),"",_xlpm.val),_xlpm.Res)</f>
        <v>#NAME?</v>
      </c>
      <c r="AV220" s="1993" t="e" cm="1">
        <f t="array" ca="1" aca="1" ref="AV220">_xlfn.LET(_xlpm.val,IF($F220="",val_blankRefText,_xldudf_CX_GET(CX_ENTITY,$F220,AV$11,AV$14,,(AV$219))),_xlpm.Res,IF(OR(_xlpm.val="",_xlpm.val="Error"),"",_xlpm.val),_xlpm.Res)</f>
        <v>#NAME?</v>
      </c>
      <c r="AW220" s="1993" t="e" cm="1">
        <f t="array" ca="1" aca="1" ref="AW220">_xlfn.LET(_xlpm.val,IF($F220="",val_blankRefText,_xldudf_CX_GET(CX_ENTITY,$F220,AW$11,AW$14,,(AW$219))),_xlpm.Res,IF(OR(_xlpm.val="",_xlpm.val="Error"),"",_xlpm.val),_xlpm.Res)</f>
        <v>#NAME?</v>
      </c>
      <c r="AX220" s="1993" t="e" cm="1">
        <f t="array" ca="1" aca="1" ref="AX220">_xlfn.LET(_xlpm.val,IF($F220="",val_blankRefText,_xldudf_CX_GET(CX_ENTITY,$F220,AX$11,AX$14,,(AX$219))),_xlpm.Res,IF(OR(_xlpm.val="",_xlpm.val="Error"),"",_xlpm.val),_xlpm.Res)</f>
        <v>#NAME?</v>
      </c>
      <c r="AY220" s="1993" t="e" cm="1">
        <f t="array" ca="1" aca="1" ref="AY220">_xlfn.LET(_xlpm.val,IF($F220="",val_blankRefText,_xldudf_CX_GET(CX_ENTITY,$F220,AY$11,AY$14,,(AY$219))),_xlpm.Res,IF(OR(_xlpm.val="",_xlpm.val="Error"),"",_xlpm.val),_xlpm.Res)</f>
        <v>#NAME?</v>
      </c>
      <c r="AZ220" s="1993" t="e" cm="1">
        <f t="array" ca="1" aca="1" ref="AZ220">_xlfn.LET(_xlpm.val,IF($F220="",val_blankRefText,_xldudf_CX_GET(CX_ENTITY,$F220,AZ$11,AZ$14,,(AZ$219))),_xlpm.Res,IF(OR(_xlpm.val="",_xlpm.val="Error"),"",_xlpm.val),_xlpm.Res)</f>
        <v>#NAME?</v>
      </c>
      <c r="BA220" s="1993" t="e" cm="1">
        <f t="array" ca="1" aca="1" ref="BA220">_xlfn.LET(_xlpm.val,IF($F220="",val_blankRefText,_xldudf_CX_GET(CX_ENTITY,$F220,BA$11,BA$14,,(BA$219))),_xlpm.Res,IF(OR(_xlpm.val="",_xlpm.val="Error"),"",_xlpm.val),_xlpm.Res)</f>
        <v>#NAME?</v>
      </c>
      <c r="BB220" s="1993" t="e" cm="1">
        <f t="array" ca="1" aca="1" ref="BB220">_xlfn.LET(_xlpm.val,IF($F220="",val_blankRefText,_xldudf_CX_GET(CX_ENTITY,$F220,BB$11,BB$14,,(BB$219))),_xlpm.Res,IF(OR(_xlpm.val="",_xlpm.val="Error"),"",_xlpm.val),_xlpm.Res)</f>
        <v>#NAME?</v>
      </c>
      <c r="BC220" s="1993" t="e" cm="1">
        <f t="array" ca="1" aca="1" ref="BC220">_xlfn.LET(_xlpm.val,IF($F220="",val_blankRefText,_xldudf_CX_GET(CX_ENTITY,$F220,BC$11,BC$14,,(BC$219))),_xlpm.Res,IF(OR(_xlpm.val="",_xlpm.val="Error"),"",_xlpm.val),_xlpm.Res)</f>
        <v>#NAME?</v>
      </c>
      <c r="BD220" s="1993" t="e" cm="1">
        <f t="array" ca="1" aca="1" ref="BD220">_xlfn.LET(_xlpm.val,IF($F220="",val_blankRefText,_xldudf_CX_GET(CX_ENTITY,$F220,BD$11,BD$14,,(BD$219))),_xlpm.Res,IF(OR(_xlpm.val="",_xlpm.val="Error"),"",_xlpm.val),_xlpm.Res)</f>
        <v>#NAME?</v>
      </c>
      <c r="BE220" s="1993" t="e" cm="1">
        <f t="array" ca="1" aca="1" ref="BE220">_xlfn.LET(_xlpm.val,IF($F220="",val_blankRefText,_xldudf_CX_GET(CX_ENTITY,$F220,BE$11,BE$14,,(BE$219))),_xlpm.Res,IF(OR(_xlpm.val="",_xlpm.val="Error"),"",_xlpm.val),_xlpm.Res)</f>
        <v>#NAME?</v>
      </c>
      <c r="BF220" s="1993" t="e" cm="1">
        <f t="array" ca="1" aca="1" ref="BF220">_xlfn.LET(_xlpm.val,IF($F220="",val_blankRefText,_xldudf_CX_GET(CX_ENTITY,$F220,BF$11,BF$14,,(BF$219))),_xlpm.Res,IF(OR(_xlpm.val="",_xlpm.val="Error"),"",_xlpm.val),_xlpm.Res)</f>
        <v>#NAME?</v>
      </c>
      <c r="BG220" s="1993" t="e" cm="1">
        <f t="array" ca="1" aca="1" ref="BG220">_xlfn.LET(_xlpm.val,IF($F220="",val_blankRefText,_xldudf_CX_GET(CX_ENTITY,$F220,BG$11,BG$14,,(BG$219))),_xlpm.Res,IF(OR(_xlpm.val="",_xlpm.val="Error"),"",_xlpm.val),_xlpm.Res)</f>
        <v>#NAME?</v>
      </c>
      <c r="BH220" s="1993" t="e" cm="1">
        <f t="array" ca="1" aca="1" ref="BH220">_xlfn.LET(_xlpm.val,IF($F220="",val_blankRefText,_xldudf_CX_GET(CX_ENTITY,$F220,BH$11,BH$14,,(BH$219))),_xlpm.Res,IF(OR(_xlpm.val="",_xlpm.val="Error"),"",_xlpm.val),_xlpm.Res)</f>
        <v>#NAME?</v>
      </c>
      <c r="BI220" s="1993" t="e" cm="1">
        <f t="array" ca="1" aca="1" ref="BI220">_xlfn.LET(_xlpm.val,IF($F220="",val_blankRefText,_xldudf_CX_GET(CX_ENTITY,$F220,BI$11,BI$14,,(BI$219))),_xlpm.Res,IF(OR(_xlpm.val="",_xlpm.val="Error"),"",_xlpm.val),_xlpm.Res)</f>
        <v>#NAME?</v>
      </c>
      <c r="BJ220" s="1993" t="e" cm="1">
        <f t="array" ca="1" aca="1" ref="BJ220">_xlfn.LET(_xlpm.val,IF($F220="",val_blankRefText,_xldudf_CX_GET(CX_ENTITY,$F220,BJ$11,BJ$14,,(BJ$219))),_xlpm.Res,IF(OR(_xlpm.val="",_xlpm.val="Error"),"",_xlpm.val),_xlpm.Res)</f>
        <v>#NAME?</v>
      </c>
      <c r="BK220" s="1993" t="e" cm="1">
        <f t="array" ca="1" aca="1" ref="BK220">_xlfn.LET(_xlpm.val,IF($F220="",val_blankRefText,_xldudf_CX_GET(CX_ENTITY,$F220,BK$11,BK$14,,(BK$219))),_xlpm.Res,IF(OR(_xlpm.val="",_xlpm.val="Error"),"",_xlpm.val),_xlpm.Res)</f>
        <v>#NAME?</v>
      </c>
      <c r="BL220" s="1993" t="e" cm="1">
        <f t="array" ca="1" aca="1" ref="BL220">_xlfn.LET(_xlpm.val,IF($F220="",val_blankRefText,_xldudf_CX_GET(CX_ENTITY,$F220,BL$11,BL$14,,(BL$219))),_xlpm.Res,IF(OR(_xlpm.val="",_xlpm.val="Error"),"",_xlpm.val),_xlpm.Res)</f>
        <v>#NAME?</v>
      </c>
      <c r="BM220" s="1993" t="e" cm="1">
        <f t="array" ca="1" aca="1" ref="BM220">_xlfn.LET(_xlpm.val,IF($F220="",val_blankRefText,_xldudf_CX_GET(CX_ENTITY,$F220,BM$11,BM$14,,(BM$219))),_xlpm.Res,IF(OR(_xlpm.val="",_xlpm.val="Error"),"",_xlpm.val),_xlpm.Res)</f>
        <v>#NAME?</v>
      </c>
      <c r="BN220" s="1993" t="e" cm="1">
        <f t="array" ca="1" aca="1" ref="BN220">_xlfn.LET(_xlpm.val,IF($F220="",val_blankRefText,_xldudf_CX_GET(CX_ENTITY,$F220,BN$11,BN$14,,(BN$219))),_xlpm.Res,IF(OR(_xlpm.val="",_xlpm.val="Error"),"",_xlpm.val),_xlpm.Res)</f>
        <v>#NAME?</v>
      </c>
      <c r="BO220" s="2110"/>
      <c r="BP220" s="2110"/>
      <c r="BQ220" s="2110"/>
      <c r="BR220" s="2110"/>
      <c r="BS220" s="2110"/>
      <c r="BT220" s="2110"/>
      <c r="BU220" s="2110"/>
      <c r="BV220" s="2110"/>
      <c r="BW220" s="2110"/>
      <c r="BX220" s="2110"/>
      <c r="BY220" s="2110"/>
      <c r="BZ220" s="2110"/>
      <c r="CA220" s="34"/>
      <c r="CC220" s="58"/>
      <c r="CD220" s="1461" t="e" cm="1">
        <f t="array" ca="1" aca="1" ref="CD220">_xlfn.LET(_xlpm.CheckBlank,SUM(PL!$AD220:$BN220)=0,IF(_xlpm.CheckBlank,"",SUM(_xlfn._xlws.FILTER(PL!$AD220:$BN220,(YEAR(PL!$AD$12:$BN$12)=PL!CD$12)*(array_timeline&lt;=PL!CD$11)))))</f>
        <v>#NAME?</v>
      </c>
      <c r="CE220" s="1461" t="e" cm="1">
        <f t="array" ca="1" aca="1" ref="CE220">_xlfn.LET(_xlpm.CheckBlank,SUM(PL!$AD220:$BN220)=0,IF(_xlpm.CheckBlank,"",SUM(_xlfn._xlws.FILTER(PL!$AD220:$BN220,(YEAR(PL!$AD$12:$BN$12)=PL!CE$12)*(array_timeline&lt;=PL!CE$11)))))</f>
        <v>#NAME?</v>
      </c>
      <c r="CF220" s="88"/>
      <c r="CG220" s="1461" t="e" cm="1">
        <f t="array" ca="1" aca="1" ref="CG220">_xlfn.LET(_xlpm.CheckBlank,SUM(PL!$AD220:$BN220)=0,IF(_xlpm.CheckBlank,"",SUM(_xlfn._xlws.FILTER(PL!$AD220:$BN220,(YEAR(PL!$AD$12:$BN$12)=PL!CG$12)*(array_timeline&lt;=PL!CG$11)))))</f>
        <v>#NAME?</v>
      </c>
      <c r="CH220" s="1461" t="e" cm="1">
        <f t="array" ca="1" aca="1" ref="CH220">_xlfn.LET(_xlpm.CheckBlank,SUM(PL!$AD220:$BN220)=0,IF(_xlpm.CheckBlank,"",SUM(_xlfn._xlws.FILTER(PL!$AD220:$BN220,(YEAR(PL!$AD$12:$BN$12)=PL!CH$12)*(array_timeline&lt;=PL!CH$11)))))</f>
        <v>#NAME?</v>
      </c>
      <c r="CI220" s="88"/>
      <c r="CJ220" s="1461" t="e" cm="1">
        <f t="array" ca="1" aca="1" ref="CJ220">_xlfn.LET(_xlpm.CheckBlank,SUM(PL!$AD220:$BN220)=0,IF(_xlpm.CheckBlank,"",SUM(_xlfn.TAKE(_xlfn.DROP(PL!$AD220:$BN220,,-DATEDIFF(PL!CJ$11,val_asOfDate,"M")),1,-12))))</f>
        <v>#NAME?</v>
      </c>
      <c r="CK220" s="1461" t="e" cm="1">
        <f t="array" ca="1" aca="1" ref="CK220">_xlfn.LET(_xlpm.CheckBlank,SUM(PL!$AD220:$BN220)=0,IF(_xlpm.CheckBlank,"",SUM(_xlfn.TAKE(_xlfn.DROP(PL!$AD220:$BN220,,-DATEDIFF(PL!CK$11,val_asOfDate,"M")),1,-12))))</f>
        <v>#NAME?</v>
      </c>
      <c r="CL220" s="88"/>
      <c r="CM220" s="1142" t="str" cm="1">
        <f t="array" ca="1" aca="1" ref="CM220">_xlfn.LET(_xlpm.findRow,_xlfn.XMATCH($W220&amp;$Y220,$W$20:$W$118&amp;$AB$20:$AB$118,0),_xlpm.Choose,_xlfn.CHOOSEROWS($CM$20:$CN$118,_xlpm.findRow),_xlpm.RESULT,IF(ISERROR(_xlpm.findRow),"",_xlpm.Choose),_xlpm.RESULT)</f>
        <v/>
      </c>
      <c r="CN220" s="1142"/>
      <c r="CO220" s="88"/>
      <c r="CP220" s="1142" t="str" cm="1">
        <f t="array" ca="1" aca="1" ref="CP220">_xlfn.LET(_xlpm.findRow,_xlfn.XMATCH($W220&amp;$Y220,$W$20:$W$118&amp;$AB$20:$AB$118,0),_xlpm.Choose,_xlfn.CHOOSEROWS($CP$20:$CQ$118,_xlpm.findRow),_xlpm.RESULT,IF(ISERROR(_xlpm.findRow),"",_xlpm.Choose),_xlpm.RESULT)</f>
        <v/>
      </c>
      <c r="CQ220" s="1142"/>
      <c r="CR220" s="34"/>
    </row>
    <row r="221" spans="1:96" ht="21" customHeight="1" outlineLevel="2">
      <c r="A221" s="1322"/>
      <c r="B221" s="577" t="s">
        <v>179</v>
      </c>
      <c r="C221" s="577" t="s">
        <v>1651</v>
      </c>
      <c r="D221" s="577"/>
      <c r="E221" s="577" t="e" cm="1">
        <f t="array" ca="1" aca="1" ref="E221">_xlfn.LET(_xlpm.Attr,$C221,_xlpm.Lookback,$E$16,_xlpm.QueryDate,EOMONTH(val_asOfDate,_xlpm.Lookback),_xlpm.ReadField,_xldudf_CX_GET(CX_ENTITY,fx_attrConverter($C221),_xlpm.QueryDate),_xlpm.AttrBlank,_xlpm.Attr="",_xlpm.RESULT,IF(_xlpm.AttrBlank,val_blankRefText,fx_attrConverter(_xlpm.ReadField,0)),IF(_xlpm.RESULT="Error","",_xlpm.RESULT))</f>
        <v>#NAME?</v>
      </c>
      <c r="F221" s="577" t="str">
        <f t="shared" si="66" ref="F221:F227">IF($B221&lt;&gt;"",$B221,$E221)</f>
        <v>Segment III Breakdown - Amount 1</v>
      </c>
      <c r="G221" s="577" t="s">
        <v>1649</v>
      </c>
      <c r="H221" s="510">
        <v>0</v>
      </c>
      <c r="I221" s="3278">
        <v>1</v>
      </c>
      <c r="J221" s="30"/>
      <c r="K221" s="30"/>
      <c r="L221" s="579" t="b">
        <v>0</v>
      </c>
      <c r="N221" s="158"/>
      <c r="O221" s="101"/>
      <c r="P221" s="52"/>
      <c r="Q221" s="101"/>
      <c r="R221" s="101"/>
      <c r="S221" s="3008"/>
      <c r="T221" s="3008"/>
      <c r="U221" s="39"/>
      <c r="W221" s="91" t="e">
        <f ca="1">W220</f>
        <v>#NAME?</v>
      </c>
      <c r="X221" s="884" t="s">
        <v>62</v>
      </c>
      <c r="Y221" s="1553" t="e" cm="1">
        <f t="array" ca="1" aca="1" ref="Y221">IF($B221="",IFBLANK($E221,"Please select or type in or leave as blank"),IFBLANK($E221,$B221))</f>
        <v>#NAME?</v>
      </c>
      <c r="Z221" s="198" cm="1">
        <f t="array" ref="Z221">_xlfn.SWITCH(TRUE,ISBLANK(_PL!$L221),"",_PL!$L221=TRUE,1,_PL!$L221=FALSE,-1,_PL!$L221=-1,0,"n/a")</f>
        <v>-1</v>
      </c>
      <c r="AA221" s="905"/>
      <c r="AB221" s="591"/>
      <c r="AC221" s="914" t="str" cm="1">
        <f t="array" ref="AC221">_xlfn.LET(_xlpm.Def,IF(_xlfn.XMATCH(AB221,tbl_acctDef[Term],0)&gt;0,fx_getIcon("find"),""),_xlpm.Adj,IF(_xlfn.XMATCH(AB221,tbl_adjExample[Items],0)&gt;0,fx_getIcon("find"),""),IFERROR(IFBLANK(_xlpm.Def,_xlpm.Adj),""))</f>
        <v/>
      </c>
      <c r="AD221" s="1992" t="e" cm="1">
        <f t="array" ca="1" aca="1" ref="AD221">_xlfn.LET(_xlpm.val,IF($F221="",val_blankRefText,_xldudf_CX_GET(CX_ENTITY,$F221,AD$11,AD$14,,(AD$219))),_xlpm.Res,IF(OR(_xlpm.val="",_xlpm.val="Error"),"",_xlpm.val),_xlpm.Res)</f>
        <v>#NAME?</v>
      </c>
      <c r="AE221" s="1992" t="e" cm="1">
        <f t="array" ca="1" aca="1" ref="AE221">_xlfn.LET(_xlpm.val,IF($F221="",val_blankRefText,_xldudf_CX_GET(CX_ENTITY,$F221,AE$11,AE$14,,(AE$219))),_xlpm.Res,IF(OR(_xlpm.val="",_xlpm.val="Error"),"",_xlpm.val),_xlpm.Res)</f>
        <v>#NAME?</v>
      </c>
      <c r="AF221" s="1992" t="e" cm="1">
        <f t="array" ca="1" aca="1" ref="AF221">_xlfn.LET(_xlpm.val,IF($F221="",val_blankRefText,_xldudf_CX_GET(CX_ENTITY,$F221,AF$11,AF$14,,(AF$219))),_xlpm.Res,IF(OR(_xlpm.val="",_xlpm.val="Error"),"",_xlpm.val),_xlpm.Res)</f>
        <v>#NAME?</v>
      </c>
      <c r="AG221" s="1992" t="e" cm="1">
        <f t="array" ca="1" aca="1" ref="AG221">_xlfn.LET(_xlpm.val,IF($F221="",val_blankRefText,_xldudf_CX_GET(CX_ENTITY,$F221,AG$11,AG$14,,(AG$219))),_xlpm.Res,IF(OR(_xlpm.val="",_xlpm.val="Error"),"",_xlpm.val),_xlpm.Res)</f>
        <v>#NAME?</v>
      </c>
      <c r="AH221" s="1992" t="e" cm="1">
        <f t="array" ca="1" aca="1" ref="AH221">_xlfn.LET(_xlpm.val,IF($F221="",val_blankRefText,_xldudf_CX_GET(CX_ENTITY,$F221,AH$11,AH$14,,(AH$219))),_xlpm.Res,IF(OR(_xlpm.val="",_xlpm.val="Error"),"",_xlpm.val),_xlpm.Res)</f>
        <v>#NAME?</v>
      </c>
      <c r="AI221" s="1992" t="e" cm="1">
        <f t="array" ca="1" aca="1" ref="AI221">_xlfn.LET(_xlpm.val,IF($F221="",val_blankRefText,_xldudf_CX_GET(CX_ENTITY,$F221,AI$11,AI$14,,(AI$219))),_xlpm.Res,IF(OR(_xlpm.val="",_xlpm.val="Error"),"",_xlpm.val),_xlpm.Res)</f>
        <v>#NAME?</v>
      </c>
      <c r="AJ221" s="1992" t="e" cm="1">
        <f t="array" ca="1" aca="1" ref="AJ221">_xlfn.LET(_xlpm.val,IF($F221="",val_blankRefText,_xldudf_CX_GET(CX_ENTITY,$F221,AJ$11,AJ$14,,(AJ$219))),_xlpm.Res,IF(OR(_xlpm.val="",_xlpm.val="Error"),"",_xlpm.val),_xlpm.Res)</f>
        <v>#NAME?</v>
      </c>
      <c r="AK221" s="1992" t="e" cm="1">
        <f t="array" ca="1" aca="1" ref="AK221">_xlfn.LET(_xlpm.val,IF($F221="",val_blankRefText,_xldudf_CX_GET(CX_ENTITY,$F221,AK$11,AK$14,,(AK$219))),_xlpm.Res,IF(OR(_xlpm.val="",_xlpm.val="Error"),"",_xlpm.val),_xlpm.Res)</f>
        <v>#NAME?</v>
      </c>
      <c r="AL221" s="1992" t="e" cm="1">
        <f t="array" ca="1" aca="1" ref="AL221">_xlfn.LET(_xlpm.val,IF($F221="",val_blankRefText,_xldudf_CX_GET(CX_ENTITY,$F221,AL$11,AL$14,,(AL$219))),_xlpm.Res,IF(OR(_xlpm.val="",_xlpm.val="Error"),"",_xlpm.val),_xlpm.Res)</f>
        <v>#NAME?</v>
      </c>
      <c r="AM221" s="1992" t="e" cm="1">
        <f t="array" ca="1" aca="1" ref="AM221">_xlfn.LET(_xlpm.val,IF($F221="",val_blankRefText,_xldudf_CX_GET(CX_ENTITY,$F221,AM$11,AM$14,,(AM$219))),_xlpm.Res,IF(OR(_xlpm.val="",_xlpm.val="Error"),"",_xlpm.val),_xlpm.Res)</f>
        <v>#NAME?</v>
      </c>
      <c r="AN221" s="1992" t="e" cm="1">
        <f t="array" ca="1" aca="1" ref="AN221">_xlfn.LET(_xlpm.val,IF($F221="",val_blankRefText,_xldudf_CX_GET(CX_ENTITY,$F221,AN$11,AN$14,,(AN$219))),_xlpm.Res,IF(OR(_xlpm.val="",_xlpm.val="Error"),"",_xlpm.val),_xlpm.Res)</f>
        <v>#NAME?</v>
      </c>
      <c r="AO221" s="1992" t="e" cm="1">
        <f t="array" ca="1" aca="1" ref="AO221">_xlfn.LET(_xlpm.val,IF($F221="",val_blankRefText,_xldudf_CX_GET(CX_ENTITY,$F221,AO$11,AO$14,,(AO$219))),_xlpm.Res,IF(OR(_xlpm.val="",_xlpm.val="Error"),"",_xlpm.val),_xlpm.Res)</f>
        <v>#NAME?</v>
      </c>
      <c r="AP221" s="1992" t="e" cm="1">
        <f t="array" ca="1" aca="1" ref="AP221">_xlfn.LET(_xlpm.val,IF($F221="",val_blankRefText,_xldudf_CX_GET(CX_ENTITY,$F221,AP$11,AP$14,,(AP$219))),_xlpm.Res,IF(OR(_xlpm.val="",_xlpm.val="Error"),"",_xlpm.val),_xlpm.Res)</f>
        <v>#NAME?</v>
      </c>
      <c r="AQ221" s="1992" t="e" cm="1">
        <f t="array" ca="1" aca="1" ref="AQ221">_xlfn.LET(_xlpm.val,IF($F221="",val_blankRefText,_xldudf_CX_GET(CX_ENTITY,$F221,AQ$11,AQ$14,,(AQ$219))),_xlpm.Res,IF(OR(_xlpm.val="",_xlpm.val="Error"),"",_xlpm.val),_xlpm.Res)</f>
        <v>#NAME?</v>
      </c>
      <c r="AR221" s="1992" t="e" cm="1">
        <f t="array" ca="1" aca="1" ref="AR221">_xlfn.LET(_xlpm.val,IF($F221="",val_blankRefText,_xldudf_CX_GET(CX_ENTITY,$F221,AR$11,AR$14,,(AR$219))),_xlpm.Res,IF(OR(_xlpm.val="",_xlpm.val="Error"),"",_xlpm.val),_xlpm.Res)</f>
        <v>#NAME?</v>
      </c>
      <c r="AS221" s="1992" t="e" cm="1">
        <f t="array" ca="1" aca="1" ref="AS221">_xlfn.LET(_xlpm.val,IF($F221="",val_blankRefText,_xldudf_CX_GET(CX_ENTITY,$F221,AS$11,AS$14,,(AS$219))),_xlpm.Res,IF(OR(_xlpm.val="",_xlpm.val="Error"),"",_xlpm.val),_xlpm.Res)</f>
        <v>#NAME?</v>
      </c>
      <c r="AT221" s="1992" t="e" cm="1">
        <f t="array" ca="1" aca="1" ref="AT221">_xlfn.LET(_xlpm.val,IF($F221="",val_blankRefText,_xldudf_CX_GET(CX_ENTITY,$F221,AT$11,AT$14,,(AT$219))),_xlpm.Res,IF(OR(_xlpm.val="",_xlpm.val="Error"),"",_xlpm.val),_xlpm.Res)</f>
        <v>#NAME?</v>
      </c>
      <c r="AU221" s="1992" t="e" cm="1">
        <f t="array" ca="1" aca="1" ref="AU221">_xlfn.LET(_xlpm.val,IF($F221="",val_blankRefText,_xldudf_CX_GET(CX_ENTITY,$F221,AU$11,AU$14,,(AU$219))),_xlpm.Res,IF(OR(_xlpm.val="",_xlpm.val="Error"),"",_xlpm.val),_xlpm.Res)</f>
        <v>#NAME?</v>
      </c>
      <c r="AV221" s="1992" t="e" cm="1">
        <f t="array" ca="1" aca="1" ref="AV221">_xlfn.LET(_xlpm.val,IF($F221="",val_blankRefText,_xldudf_CX_GET(CX_ENTITY,$F221,AV$11,AV$14,,(AV$219))),_xlpm.Res,IF(OR(_xlpm.val="",_xlpm.val="Error"),"",_xlpm.val),_xlpm.Res)</f>
        <v>#NAME?</v>
      </c>
      <c r="AW221" s="1992" t="e" cm="1">
        <f t="array" ca="1" aca="1" ref="AW221">_xlfn.LET(_xlpm.val,IF($F221="",val_blankRefText,_xldudf_CX_GET(CX_ENTITY,$F221,AW$11,AW$14,,(AW$219))),_xlpm.Res,IF(OR(_xlpm.val="",_xlpm.val="Error"),"",_xlpm.val),_xlpm.Res)</f>
        <v>#NAME?</v>
      </c>
      <c r="AX221" s="1992" t="e" cm="1">
        <f t="array" ca="1" aca="1" ref="AX221">_xlfn.LET(_xlpm.val,IF($F221="",val_blankRefText,_xldudf_CX_GET(CX_ENTITY,$F221,AX$11,AX$14,,(AX$219))),_xlpm.Res,IF(OR(_xlpm.val="",_xlpm.val="Error"),"",_xlpm.val),_xlpm.Res)</f>
        <v>#NAME?</v>
      </c>
      <c r="AY221" s="1992" t="e" cm="1">
        <f t="array" ca="1" aca="1" ref="AY221">_xlfn.LET(_xlpm.val,IF($F221="",val_blankRefText,_xldudf_CX_GET(CX_ENTITY,$F221,AY$11,AY$14,,(AY$219))),_xlpm.Res,IF(OR(_xlpm.val="",_xlpm.val="Error"),"",_xlpm.val),_xlpm.Res)</f>
        <v>#NAME?</v>
      </c>
      <c r="AZ221" s="1992" t="e" cm="1">
        <f t="array" ca="1" aca="1" ref="AZ221">_xlfn.LET(_xlpm.val,IF($F221="",val_blankRefText,_xldudf_CX_GET(CX_ENTITY,$F221,AZ$11,AZ$14,,(AZ$219))),_xlpm.Res,IF(OR(_xlpm.val="",_xlpm.val="Error"),"",_xlpm.val),_xlpm.Res)</f>
        <v>#NAME?</v>
      </c>
      <c r="BA221" s="1992" t="e" cm="1">
        <f t="array" ca="1" aca="1" ref="BA221">_xlfn.LET(_xlpm.val,IF($F221="",val_blankRefText,_xldudf_CX_GET(CX_ENTITY,$F221,BA$11,BA$14,,(BA$219))),_xlpm.Res,IF(OR(_xlpm.val="",_xlpm.val="Error"),"",_xlpm.val),_xlpm.Res)</f>
        <v>#NAME?</v>
      </c>
      <c r="BB221" s="1992" t="e" cm="1">
        <f t="array" ca="1" aca="1" ref="BB221">_xlfn.LET(_xlpm.val,IF($F221="",val_blankRefText,_xldudf_CX_GET(CX_ENTITY,$F221,BB$11,BB$14,,(BB$219))),_xlpm.Res,IF(OR(_xlpm.val="",_xlpm.val="Error"),"",_xlpm.val),_xlpm.Res)</f>
        <v>#NAME?</v>
      </c>
      <c r="BC221" s="1992" t="e" cm="1">
        <f t="array" ca="1" aca="1" ref="BC221">_xlfn.LET(_xlpm.val,IF($F221="",val_blankRefText,_xldudf_CX_GET(CX_ENTITY,$F221,BC$11,BC$14,,(BC$219))),_xlpm.Res,IF(OR(_xlpm.val="",_xlpm.val="Error"),"",_xlpm.val),_xlpm.Res)</f>
        <v>#NAME?</v>
      </c>
      <c r="BD221" s="1992" t="e" cm="1">
        <f t="array" ca="1" aca="1" ref="BD221">_xlfn.LET(_xlpm.val,IF($F221="",val_blankRefText,_xldudf_CX_GET(CX_ENTITY,$F221,BD$11,BD$14,,(BD$219))),_xlpm.Res,IF(OR(_xlpm.val="",_xlpm.val="Error"),"",_xlpm.val),_xlpm.Res)</f>
        <v>#NAME?</v>
      </c>
      <c r="BE221" s="1992" t="e" cm="1">
        <f t="array" ca="1" aca="1" ref="BE221">_xlfn.LET(_xlpm.val,IF($F221="",val_blankRefText,_xldudf_CX_GET(CX_ENTITY,$F221,BE$11,BE$14,,(BE$219))),_xlpm.Res,IF(OR(_xlpm.val="",_xlpm.val="Error"),"",_xlpm.val),_xlpm.Res)</f>
        <v>#NAME?</v>
      </c>
      <c r="BF221" s="1992" t="e" cm="1">
        <f t="array" ca="1" aca="1" ref="BF221">_xlfn.LET(_xlpm.val,IF($F221="",val_blankRefText,_xldudf_CX_GET(CX_ENTITY,$F221,BF$11,BF$14,,(BF$219))),_xlpm.Res,IF(OR(_xlpm.val="",_xlpm.val="Error"),"",_xlpm.val),_xlpm.Res)</f>
        <v>#NAME?</v>
      </c>
      <c r="BG221" s="1992" t="e" cm="1">
        <f t="array" ca="1" aca="1" ref="BG221">_xlfn.LET(_xlpm.val,IF($F221="",val_blankRefText,_xldudf_CX_GET(CX_ENTITY,$F221,BG$11,BG$14,,(BG$219))),_xlpm.Res,IF(OR(_xlpm.val="",_xlpm.val="Error"),"",_xlpm.val),_xlpm.Res)</f>
        <v>#NAME?</v>
      </c>
      <c r="BH221" s="1992" t="e" cm="1">
        <f t="array" ca="1" aca="1" ref="BH221">_xlfn.LET(_xlpm.val,IF($F221="",val_blankRefText,_xldudf_CX_GET(CX_ENTITY,$F221,BH$11,BH$14,,(BH$219))),_xlpm.Res,IF(OR(_xlpm.val="",_xlpm.val="Error"),"",_xlpm.val),_xlpm.Res)</f>
        <v>#NAME?</v>
      </c>
      <c r="BI221" s="1992" t="e" cm="1">
        <f t="array" ca="1" aca="1" ref="BI221">_xlfn.LET(_xlpm.val,IF($F221="",val_blankRefText,_xldudf_CX_GET(CX_ENTITY,$F221,BI$11,BI$14,,(BI$219))),_xlpm.Res,IF(OR(_xlpm.val="",_xlpm.val="Error"),"",_xlpm.val),_xlpm.Res)</f>
        <v>#NAME?</v>
      </c>
      <c r="BJ221" s="1992" t="e" cm="1">
        <f t="array" ca="1" aca="1" ref="BJ221">_xlfn.LET(_xlpm.val,IF($F221="",val_blankRefText,_xldudf_CX_GET(CX_ENTITY,$F221,BJ$11,BJ$14,,(BJ$219))),_xlpm.Res,IF(OR(_xlpm.val="",_xlpm.val="Error"),"",_xlpm.val),_xlpm.Res)</f>
        <v>#NAME?</v>
      </c>
      <c r="BK221" s="1992" t="e" cm="1">
        <f t="array" ca="1" aca="1" ref="BK221">_xlfn.LET(_xlpm.val,IF($F221="",val_blankRefText,_xldudf_CX_GET(CX_ENTITY,$F221,BK$11,BK$14,,(BK$219))),_xlpm.Res,IF(OR(_xlpm.val="",_xlpm.val="Error"),"",_xlpm.val),_xlpm.Res)</f>
        <v>#NAME?</v>
      </c>
      <c r="BL221" s="1992" t="e" cm="1">
        <f t="array" ca="1" aca="1" ref="BL221">_xlfn.LET(_xlpm.val,IF($F221="",val_blankRefText,_xldudf_CX_GET(CX_ENTITY,$F221,BL$11,BL$14,,(BL$219))),_xlpm.Res,IF(OR(_xlpm.val="",_xlpm.val="Error"),"",_xlpm.val),_xlpm.Res)</f>
        <v>#NAME?</v>
      </c>
      <c r="BM221" s="1992" t="e" cm="1">
        <f t="array" ca="1" aca="1" ref="BM221">_xlfn.LET(_xlpm.val,IF($F221="",val_blankRefText,_xldudf_CX_GET(CX_ENTITY,$F221,BM$11,BM$14,,(BM$219))),_xlpm.Res,IF(OR(_xlpm.val="",_xlpm.val="Error"),"",_xlpm.val),_xlpm.Res)</f>
        <v>#NAME?</v>
      </c>
      <c r="BN221" s="1992" t="e" cm="1">
        <f t="array" ca="1" aca="1" ref="BN221">_xlfn.LET(_xlpm.val,IF($F221="",val_blankRefText,_xldudf_CX_GET(CX_ENTITY,$F221,BN$11,BN$14,,(BN$219))),_xlpm.Res,IF(OR(_xlpm.val="",_xlpm.val="Error"),"",_xlpm.val),_xlpm.Res)</f>
        <v>#NAME?</v>
      </c>
      <c r="BO221" s="2103"/>
      <c r="BP221" s="2103"/>
      <c r="BQ221" s="2103"/>
      <c r="BR221" s="2103"/>
      <c r="BS221" s="2103"/>
      <c r="BT221" s="2103"/>
      <c r="BU221" s="2103"/>
      <c r="BV221" s="2103"/>
      <c r="BW221" s="2103"/>
      <c r="BX221" s="2103"/>
      <c r="BY221" s="2103"/>
      <c r="BZ221" s="2103"/>
      <c r="CA221" s="34"/>
      <c r="CC221" s="58"/>
      <c r="CD221" s="1461" t="e" cm="1">
        <f t="array" ca="1" aca="1" ref="CD221">_xlfn.LET(_xlpm.CheckBlank,SUM(PL!$AD221:$BN221)=0,IF(_xlpm.CheckBlank,"",SUM(_xlfn._xlws.FILTER(PL!$AD221:$BN221,(YEAR(PL!$AD$12:$BN$12)=PL!CD$12)*(array_timeline&lt;=PL!CD$11)))))</f>
        <v>#NAME?</v>
      </c>
      <c r="CE221" s="1461" t="e" cm="1">
        <f t="array" ca="1" aca="1" ref="CE221">_xlfn.LET(_xlpm.CheckBlank,SUM(PL!$AD221:$BN221)=0,IF(_xlpm.CheckBlank,"",SUM(_xlfn._xlws.FILTER(PL!$AD221:$BN221,(YEAR(PL!$AD$12:$BN$12)=PL!CE$12)*(array_timeline&lt;=PL!CE$11)))))</f>
        <v>#NAME?</v>
      </c>
      <c r="CF221" s="88"/>
      <c r="CG221" s="1461" t="e" cm="1">
        <f t="array" ca="1" aca="1" ref="CG221">_xlfn.LET(_xlpm.CheckBlank,SUM(PL!$AD221:$BN221)=0,IF(_xlpm.CheckBlank,"",SUM(_xlfn._xlws.FILTER(PL!$AD221:$BN221,(YEAR(PL!$AD$12:$BN$12)=PL!CG$12)*(array_timeline&lt;=PL!CG$11)))))</f>
        <v>#NAME?</v>
      </c>
      <c r="CH221" s="1461" t="e" cm="1">
        <f t="array" ca="1" aca="1" ref="CH221">_xlfn.LET(_xlpm.CheckBlank,SUM(PL!$AD221:$BN221)=0,IF(_xlpm.CheckBlank,"",SUM(_xlfn._xlws.FILTER(PL!$AD221:$BN221,(YEAR(PL!$AD$12:$BN$12)=PL!CH$12)*(array_timeline&lt;=PL!CH$11)))))</f>
        <v>#NAME?</v>
      </c>
      <c r="CI221" s="88"/>
      <c r="CJ221" s="1461" cm="1">
        <f t="array" ref="CJ221">_xlfn.LET(_xlpm.CheckBlank,SUM(PL!$AD221:$BN221)=0,IF(_xlpm.CheckBlank,"",SUM(_xlfn.TAKE(_xlfn.DROP(PL!$AD221:$BN221,,-DATEDIFF(PL!CJ$11,val_asOfDate,"M")),1,-12))))</f>
        <v>12</v>
      </c>
      <c r="CK221" s="1461" cm="1">
        <f t="array" ref="CK221">_xlfn.LET(_xlpm.CheckBlank,SUM(PL!$AD221:$BN221)=0,IF(_xlpm.CheckBlank,"",SUM(_xlfn.TAKE(_xlfn.DROP(PL!$AD221:$BN221,,-DATEDIFF(PL!CK$11,val_asOfDate,"M")),1,-12))))</f>
        <v>12</v>
      </c>
      <c r="CL221" s="88"/>
      <c r="CM221" s="1986" t="e" cm="1">
        <f t="array" ca="1" aca="1" ref="CM221">_xlfn.LET(_xlpm.val,IF($F221="",val_blankRefText,_xldudf_CX_GET(CX_ENTITY,$F221,CM$11,CM$14,,(CM$219))),_xlpm.Res,IF(OR(_xlpm.val="",_xlpm.val="Error"),"",_xlpm.val),_xlpm.Res)</f>
        <v>#NAME?</v>
      </c>
      <c r="CN221" s="1986" t="e" cm="1">
        <f t="array" ca="1" aca="1" ref="CN221">_xlfn.LET(_xlpm.val,IF($F221="",val_blankRefText,_xldudf_CX_GET(CX_ENTITY,$F221,CN$11,CN$14,,(CN$219))),_xlpm.Res,IF(OR(_xlpm.val="",_xlpm.val="Error"),"",_xlpm.val),_xlpm.Res)</f>
        <v>#NAME?</v>
      </c>
      <c r="CO221" s="1169"/>
      <c r="CP221" s="1986" t="e" cm="1">
        <f t="array" ca="1" aca="1" ref="CP221">_xlfn.LET(_xlpm.val,IF($F221="",val_blankRefText,_xldudf_CX_GET(CX_ENTITY,$F221,CP$11,CP$14,,(CP$219))),_xlpm.Res,IF(OR(_xlpm.val="",_xlpm.val="Error"),"",_xlpm.val),_xlpm.Res)</f>
        <v>#NAME?</v>
      </c>
      <c r="CQ221" s="1986" t="e" cm="1">
        <f t="array" ca="1" aca="1" ref="CQ221">_xlfn.LET(_xlpm.val,IF($F221="",val_blankRefText,_xldudf_CX_GET(CX_ENTITY,$F221,CQ$11,CQ$14,,(CQ$219))),_xlpm.Res,IF(OR(_xlpm.val="",_xlpm.val="Error"),"",_xlpm.val),_xlpm.Res)</f>
        <v>#NAME?</v>
      </c>
      <c r="CR221" s="34"/>
    </row>
    <row r="222" spans="1:96" ht="21" customHeight="1" outlineLevel="2">
      <c r="A222" s="1322"/>
      <c r="B222" s="577" t="s">
        <v>180</v>
      </c>
      <c r="C222" s="577" t="s">
        <v>1652</v>
      </c>
      <c r="D222" s="577"/>
      <c r="E222" s="577" t="e" cm="1">
        <f t="array" ca="1" aca="1" ref="E222">_xlfn.LET(_xlpm.Attr,$C222,_xlpm.Lookback,$E$16,_xlpm.QueryDate,EOMONTH(val_asOfDate,_xlpm.Lookback),_xlpm.ReadField,_xldudf_CX_GET(CX_ENTITY,fx_attrConverter($C222),_xlpm.QueryDate),_xlpm.AttrBlank,_xlpm.Attr="",_xlpm.RESULT,IF(_xlpm.AttrBlank,val_blankRefText,fx_attrConverter(_xlpm.ReadField,0)),IF(_xlpm.RESULT="Error","",_xlpm.RESULT))</f>
        <v>#NAME?</v>
      </c>
      <c r="F222" s="577" t="str">
        <f t="shared" si="66"/>
        <v>Segment III Breakdown - Amount 2</v>
      </c>
      <c r="G222" s="577" t="s">
        <v>1649</v>
      </c>
      <c r="H222" s="510">
        <v>0</v>
      </c>
      <c r="I222" s="3278">
        <v>1</v>
      </c>
      <c r="J222" s="30"/>
      <c r="K222" s="30"/>
      <c r="L222" s="579" t="b">
        <v>0</v>
      </c>
      <c r="N222" s="158"/>
      <c r="O222" s="101"/>
      <c r="P222" s="52"/>
      <c r="Q222" s="101"/>
      <c r="R222" s="101"/>
      <c r="S222" s="3008"/>
      <c r="T222" s="3008"/>
      <c r="U222" s="39"/>
      <c r="W222" s="91" t="e">
        <f ca="1">W220</f>
        <v>#NAME?</v>
      </c>
      <c r="X222" s="884" t="s">
        <v>62</v>
      </c>
      <c r="Y222" s="1553" t="e" cm="1">
        <f t="array" ca="1" aca="1" ref="Y222">IF($B222="",IFBLANK($E222,"Please select or type in or leave as blank"),IFBLANK($E222,$B222))</f>
        <v>#NAME?</v>
      </c>
      <c r="Z222" s="198" cm="1">
        <f t="array" ref="Z222">_xlfn.SWITCH(TRUE,ISBLANK(_PL!$L222),"",_PL!$L222=TRUE,1,_PL!$L222=FALSE,-1,_PL!$L222=-1,0,"n/a")</f>
        <v>-1</v>
      </c>
      <c r="AA222" s="905"/>
      <c r="AB222" s="3017"/>
      <c r="AC222" s="914" t="str" cm="1">
        <f t="array" ref="AC222">_xlfn.LET(_xlpm.Def,IF(_xlfn.XMATCH(AB222,tbl_acctDef[Term],0)&gt;0,fx_getIcon("find"),""),_xlpm.Adj,IF(_xlfn.XMATCH(AB222,tbl_adjExample[Items],0)&gt;0,fx_getIcon("find"),""),IFERROR(IFBLANK(_xlpm.Def,_xlpm.Adj),""))</f>
        <v/>
      </c>
      <c r="AD222" s="1986" t="e" cm="1">
        <f t="array" ca="1" aca="1" ref="AD222">_xlfn.LET(_xlpm.val,IF($F222="",val_blankRefText,_xldudf_CX_GET(CX_ENTITY,$F222,AD$11,AD$14,,(AD$219))),_xlpm.Res,IF(OR(_xlpm.val="",_xlpm.val="Error"),"",_xlpm.val),_xlpm.Res)</f>
        <v>#NAME?</v>
      </c>
      <c r="AE222" s="1986" t="e" cm="1">
        <f t="array" ca="1" aca="1" ref="AE222">_xlfn.LET(_xlpm.val,IF($F222="",val_blankRefText,_xldudf_CX_GET(CX_ENTITY,$F222,AE$11,AE$14,,(AE$219))),_xlpm.Res,IF(OR(_xlpm.val="",_xlpm.val="Error"),"",_xlpm.val),_xlpm.Res)</f>
        <v>#NAME?</v>
      </c>
      <c r="AF222" s="1986" t="e" cm="1">
        <f t="array" ca="1" aca="1" ref="AF222">_xlfn.LET(_xlpm.val,IF($F222="",val_blankRefText,_xldudf_CX_GET(CX_ENTITY,$F222,AF$11,AF$14,,(AF$219))),_xlpm.Res,IF(OR(_xlpm.val="",_xlpm.val="Error"),"",_xlpm.val),_xlpm.Res)</f>
        <v>#NAME?</v>
      </c>
      <c r="AG222" s="1986" t="e" cm="1">
        <f t="array" ca="1" aca="1" ref="AG222">_xlfn.LET(_xlpm.val,IF($F222="",val_blankRefText,_xldudf_CX_GET(CX_ENTITY,$F222,AG$11,AG$14,,(AG$219))),_xlpm.Res,IF(OR(_xlpm.val="",_xlpm.val="Error"),"",_xlpm.val),_xlpm.Res)</f>
        <v>#NAME?</v>
      </c>
      <c r="AH222" s="1986" t="e" cm="1">
        <f t="array" ca="1" aca="1" ref="AH222">_xlfn.LET(_xlpm.val,IF($F222="",val_blankRefText,_xldudf_CX_GET(CX_ENTITY,$F222,AH$11,AH$14,,(AH$219))),_xlpm.Res,IF(OR(_xlpm.val="",_xlpm.val="Error"),"",_xlpm.val),_xlpm.Res)</f>
        <v>#NAME?</v>
      </c>
      <c r="AI222" s="1986" t="e" cm="1">
        <f t="array" ca="1" aca="1" ref="AI222">_xlfn.LET(_xlpm.val,IF($F222="",val_blankRefText,_xldudf_CX_GET(CX_ENTITY,$F222,AI$11,AI$14,,(AI$219))),_xlpm.Res,IF(OR(_xlpm.val="",_xlpm.val="Error"),"",_xlpm.val),_xlpm.Res)</f>
        <v>#NAME?</v>
      </c>
      <c r="AJ222" s="1986" t="e" cm="1">
        <f t="array" ca="1" aca="1" ref="AJ222">_xlfn.LET(_xlpm.val,IF($F222="",val_blankRefText,_xldudf_CX_GET(CX_ENTITY,$F222,AJ$11,AJ$14,,(AJ$219))),_xlpm.Res,IF(OR(_xlpm.val="",_xlpm.val="Error"),"",_xlpm.val),_xlpm.Res)</f>
        <v>#NAME?</v>
      </c>
      <c r="AK222" s="1986" t="e" cm="1">
        <f t="array" ca="1" aca="1" ref="AK222">_xlfn.LET(_xlpm.val,IF($F222="",val_blankRefText,_xldudf_CX_GET(CX_ENTITY,$F222,AK$11,AK$14,,(AK$219))),_xlpm.Res,IF(OR(_xlpm.val="",_xlpm.val="Error"),"",_xlpm.val),_xlpm.Res)</f>
        <v>#NAME?</v>
      </c>
      <c r="AL222" s="1986" t="e" cm="1">
        <f t="array" ca="1" aca="1" ref="AL222">_xlfn.LET(_xlpm.val,IF($F222="",val_blankRefText,_xldudf_CX_GET(CX_ENTITY,$F222,AL$11,AL$14,,(AL$219))),_xlpm.Res,IF(OR(_xlpm.val="",_xlpm.val="Error"),"",_xlpm.val),_xlpm.Res)</f>
        <v>#NAME?</v>
      </c>
      <c r="AM222" s="1986" t="e" cm="1">
        <f t="array" ca="1" aca="1" ref="AM222">_xlfn.LET(_xlpm.val,IF($F222="",val_blankRefText,_xldudf_CX_GET(CX_ENTITY,$F222,AM$11,AM$14,,(AM$219))),_xlpm.Res,IF(OR(_xlpm.val="",_xlpm.val="Error"),"",_xlpm.val),_xlpm.Res)</f>
        <v>#NAME?</v>
      </c>
      <c r="AN222" s="1986" t="e" cm="1">
        <f t="array" ca="1" aca="1" ref="AN222">_xlfn.LET(_xlpm.val,IF($F222="",val_blankRefText,_xldudf_CX_GET(CX_ENTITY,$F222,AN$11,AN$14,,(AN$219))),_xlpm.Res,IF(OR(_xlpm.val="",_xlpm.val="Error"),"",_xlpm.val),_xlpm.Res)</f>
        <v>#NAME?</v>
      </c>
      <c r="AO222" s="1986" t="e" cm="1">
        <f t="array" ca="1" aca="1" ref="AO222">_xlfn.LET(_xlpm.val,IF($F222="",val_blankRefText,_xldudf_CX_GET(CX_ENTITY,$F222,AO$11,AO$14,,(AO$219))),_xlpm.Res,IF(OR(_xlpm.val="",_xlpm.val="Error"),"",_xlpm.val),_xlpm.Res)</f>
        <v>#NAME?</v>
      </c>
      <c r="AP222" s="1986" t="e" cm="1">
        <f t="array" ca="1" aca="1" ref="AP222">_xlfn.LET(_xlpm.val,IF($F222="",val_blankRefText,_xldudf_CX_GET(CX_ENTITY,$F222,AP$11,AP$14,,(AP$219))),_xlpm.Res,IF(OR(_xlpm.val="",_xlpm.val="Error"),"",_xlpm.val),_xlpm.Res)</f>
        <v>#NAME?</v>
      </c>
      <c r="AQ222" s="1986" t="e" cm="1">
        <f t="array" ca="1" aca="1" ref="AQ222">_xlfn.LET(_xlpm.val,IF($F222="",val_blankRefText,_xldudf_CX_GET(CX_ENTITY,$F222,AQ$11,AQ$14,,(AQ$219))),_xlpm.Res,IF(OR(_xlpm.val="",_xlpm.val="Error"),"",_xlpm.val),_xlpm.Res)</f>
        <v>#NAME?</v>
      </c>
      <c r="AR222" s="1986" t="e" cm="1">
        <f t="array" ca="1" aca="1" ref="AR222">_xlfn.LET(_xlpm.val,IF($F222="",val_blankRefText,_xldudf_CX_GET(CX_ENTITY,$F222,AR$11,AR$14,,(AR$219))),_xlpm.Res,IF(OR(_xlpm.val="",_xlpm.val="Error"),"",_xlpm.val),_xlpm.Res)</f>
        <v>#NAME?</v>
      </c>
      <c r="AS222" s="1986" t="e" cm="1">
        <f t="array" ca="1" aca="1" ref="AS222">_xlfn.LET(_xlpm.val,IF($F222="",val_blankRefText,_xldudf_CX_GET(CX_ENTITY,$F222,AS$11,AS$14,,(AS$219))),_xlpm.Res,IF(OR(_xlpm.val="",_xlpm.val="Error"),"",_xlpm.val),_xlpm.Res)</f>
        <v>#NAME?</v>
      </c>
      <c r="AT222" s="1986" t="e" cm="1">
        <f t="array" ca="1" aca="1" ref="AT222">_xlfn.LET(_xlpm.val,IF($F222="",val_blankRefText,_xldudf_CX_GET(CX_ENTITY,$F222,AT$11,AT$14,,(AT$219))),_xlpm.Res,IF(OR(_xlpm.val="",_xlpm.val="Error"),"",_xlpm.val),_xlpm.Res)</f>
        <v>#NAME?</v>
      </c>
      <c r="AU222" s="1986" t="e" cm="1">
        <f t="array" ca="1" aca="1" ref="AU222">_xlfn.LET(_xlpm.val,IF($F222="",val_blankRefText,_xldudf_CX_GET(CX_ENTITY,$F222,AU$11,AU$14,,(AU$219))),_xlpm.Res,IF(OR(_xlpm.val="",_xlpm.val="Error"),"",_xlpm.val),_xlpm.Res)</f>
        <v>#NAME?</v>
      </c>
      <c r="AV222" s="1986" t="e" cm="1">
        <f t="array" ca="1" aca="1" ref="AV222">_xlfn.LET(_xlpm.val,IF($F222="",val_blankRefText,_xldudf_CX_GET(CX_ENTITY,$F222,AV$11,AV$14,,(AV$219))),_xlpm.Res,IF(OR(_xlpm.val="",_xlpm.val="Error"),"",_xlpm.val),_xlpm.Res)</f>
        <v>#NAME?</v>
      </c>
      <c r="AW222" s="1986" t="e" cm="1">
        <f t="array" ca="1" aca="1" ref="AW222">_xlfn.LET(_xlpm.val,IF($F222="",val_blankRefText,_xldudf_CX_GET(CX_ENTITY,$F222,AW$11,AW$14,,(AW$219))),_xlpm.Res,IF(OR(_xlpm.val="",_xlpm.val="Error"),"",_xlpm.val),_xlpm.Res)</f>
        <v>#NAME?</v>
      </c>
      <c r="AX222" s="1986" t="e" cm="1">
        <f t="array" ca="1" aca="1" ref="AX222">_xlfn.LET(_xlpm.val,IF($F222="",val_blankRefText,_xldudf_CX_GET(CX_ENTITY,$F222,AX$11,AX$14,,(AX$219))),_xlpm.Res,IF(OR(_xlpm.val="",_xlpm.val="Error"),"",_xlpm.val),_xlpm.Res)</f>
        <v>#NAME?</v>
      </c>
      <c r="AY222" s="1986" t="e" cm="1">
        <f t="array" ca="1" aca="1" ref="AY222">_xlfn.LET(_xlpm.val,IF($F222="",val_blankRefText,_xldudf_CX_GET(CX_ENTITY,$F222,AY$11,AY$14,,(AY$219))),_xlpm.Res,IF(OR(_xlpm.val="",_xlpm.val="Error"),"",_xlpm.val),_xlpm.Res)</f>
        <v>#NAME?</v>
      </c>
      <c r="AZ222" s="1986" t="e" cm="1">
        <f t="array" ca="1" aca="1" ref="AZ222">_xlfn.LET(_xlpm.val,IF($F222="",val_blankRefText,_xldudf_CX_GET(CX_ENTITY,$F222,AZ$11,AZ$14,,(AZ$219))),_xlpm.Res,IF(OR(_xlpm.val="",_xlpm.val="Error"),"",_xlpm.val),_xlpm.Res)</f>
        <v>#NAME?</v>
      </c>
      <c r="BA222" s="1986" t="e" cm="1">
        <f t="array" ca="1" aca="1" ref="BA222">_xlfn.LET(_xlpm.val,IF($F222="",val_blankRefText,_xldudf_CX_GET(CX_ENTITY,$F222,BA$11,BA$14,,(BA$219))),_xlpm.Res,IF(OR(_xlpm.val="",_xlpm.val="Error"),"",_xlpm.val),_xlpm.Res)</f>
        <v>#NAME?</v>
      </c>
      <c r="BB222" s="1986" t="e" cm="1">
        <f t="array" ca="1" aca="1" ref="BB222">_xlfn.LET(_xlpm.val,IF($F222="",val_blankRefText,_xldudf_CX_GET(CX_ENTITY,$F222,BB$11,BB$14,,(BB$219))),_xlpm.Res,IF(OR(_xlpm.val="",_xlpm.val="Error"),"",_xlpm.val),_xlpm.Res)</f>
        <v>#NAME?</v>
      </c>
      <c r="BC222" s="1986" t="e" cm="1">
        <f t="array" ca="1" aca="1" ref="BC222">_xlfn.LET(_xlpm.val,IF($F222="",val_blankRefText,_xldudf_CX_GET(CX_ENTITY,$F222,BC$11,BC$14,,(BC$219))),_xlpm.Res,IF(OR(_xlpm.val="",_xlpm.val="Error"),"",_xlpm.val),_xlpm.Res)</f>
        <v>#NAME?</v>
      </c>
      <c r="BD222" s="1986" t="e" cm="1">
        <f t="array" ca="1" aca="1" ref="BD222">_xlfn.LET(_xlpm.val,IF($F222="",val_blankRefText,_xldudf_CX_GET(CX_ENTITY,$F222,BD$11,BD$14,,(BD$219))),_xlpm.Res,IF(OR(_xlpm.val="",_xlpm.val="Error"),"",_xlpm.val),_xlpm.Res)</f>
        <v>#NAME?</v>
      </c>
      <c r="BE222" s="1986" t="e" cm="1">
        <f t="array" ca="1" aca="1" ref="BE222">_xlfn.LET(_xlpm.val,IF($F222="",val_blankRefText,_xldudf_CX_GET(CX_ENTITY,$F222,BE$11,BE$14,,(BE$219))),_xlpm.Res,IF(OR(_xlpm.val="",_xlpm.val="Error"),"",_xlpm.val),_xlpm.Res)</f>
        <v>#NAME?</v>
      </c>
      <c r="BF222" s="1986" t="e" cm="1">
        <f t="array" ca="1" aca="1" ref="BF222">_xlfn.LET(_xlpm.val,IF($F222="",val_blankRefText,_xldudf_CX_GET(CX_ENTITY,$F222,BF$11,BF$14,,(BF$219))),_xlpm.Res,IF(OR(_xlpm.val="",_xlpm.val="Error"),"",_xlpm.val),_xlpm.Res)</f>
        <v>#NAME?</v>
      </c>
      <c r="BG222" s="1986" t="e" cm="1">
        <f t="array" ca="1" aca="1" ref="BG222">_xlfn.LET(_xlpm.val,IF($F222="",val_blankRefText,_xldudf_CX_GET(CX_ENTITY,$F222,BG$11,BG$14,,(BG$219))),_xlpm.Res,IF(OR(_xlpm.val="",_xlpm.val="Error"),"",_xlpm.val),_xlpm.Res)</f>
        <v>#NAME?</v>
      </c>
      <c r="BH222" s="1986" t="e" cm="1">
        <f t="array" ca="1" aca="1" ref="BH222">_xlfn.LET(_xlpm.val,IF($F222="",val_blankRefText,_xldudf_CX_GET(CX_ENTITY,$F222,BH$11,BH$14,,(BH$219))),_xlpm.Res,IF(OR(_xlpm.val="",_xlpm.val="Error"),"",_xlpm.val),_xlpm.Res)</f>
        <v>#NAME?</v>
      </c>
      <c r="BI222" s="1986" t="e" cm="1">
        <f t="array" ca="1" aca="1" ref="BI222">_xlfn.LET(_xlpm.val,IF($F222="",val_blankRefText,_xldudf_CX_GET(CX_ENTITY,$F222,BI$11,BI$14,,(BI$219))),_xlpm.Res,IF(OR(_xlpm.val="",_xlpm.val="Error"),"",_xlpm.val),_xlpm.Res)</f>
        <v>#NAME?</v>
      </c>
      <c r="BJ222" s="1986" t="e" cm="1">
        <f t="array" ca="1" aca="1" ref="BJ222">_xlfn.LET(_xlpm.val,IF($F222="",val_blankRefText,_xldudf_CX_GET(CX_ENTITY,$F222,BJ$11,BJ$14,,(BJ$219))),_xlpm.Res,IF(OR(_xlpm.val="",_xlpm.val="Error"),"",_xlpm.val),_xlpm.Res)</f>
        <v>#NAME?</v>
      </c>
      <c r="BK222" s="1986" t="e" cm="1">
        <f t="array" ca="1" aca="1" ref="BK222">_xlfn.LET(_xlpm.val,IF($F222="",val_blankRefText,_xldudf_CX_GET(CX_ENTITY,$F222,BK$11,BK$14,,(BK$219))),_xlpm.Res,IF(OR(_xlpm.val="",_xlpm.val="Error"),"",_xlpm.val),_xlpm.Res)</f>
        <v>#NAME?</v>
      </c>
      <c r="BL222" s="1986" t="e" cm="1">
        <f t="array" ca="1" aca="1" ref="BL222">_xlfn.LET(_xlpm.val,IF($F222="",val_blankRefText,_xldudf_CX_GET(CX_ENTITY,$F222,BL$11,BL$14,,(BL$219))),_xlpm.Res,IF(OR(_xlpm.val="",_xlpm.val="Error"),"",_xlpm.val),_xlpm.Res)</f>
        <v>#NAME?</v>
      </c>
      <c r="BM222" s="1986" t="e" cm="1">
        <f t="array" ca="1" aca="1" ref="BM222">_xlfn.LET(_xlpm.val,IF($F222="",val_blankRefText,_xldudf_CX_GET(CX_ENTITY,$F222,BM$11,BM$14,,(BM$219))),_xlpm.Res,IF(OR(_xlpm.val="",_xlpm.val="Error"),"",_xlpm.val),_xlpm.Res)</f>
        <v>#NAME?</v>
      </c>
      <c r="BN222" s="1986" t="e" cm="1">
        <f t="array" ca="1" aca="1" ref="BN222">_xlfn.LET(_xlpm.val,IF($F222="",val_blankRefText,_xldudf_CX_GET(CX_ENTITY,$F222,BN$11,BN$14,,(BN$219))),_xlpm.Res,IF(OR(_xlpm.val="",_xlpm.val="Error"),"",_xlpm.val),_xlpm.Res)</f>
        <v>#NAME?</v>
      </c>
      <c r="BO222" s="2103"/>
      <c r="BP222" s="2103"/>
      <c r="BQ222" s="2103"/>
      <c r="BR222" s="2103"/>
      <c r="BS222" s="2103"/>
      <c r="BT222" s="2103"/>
      <c r="BU222" s="2103"/>
      <c r="BV222" s="2103"/>
      <c r="BW222" s="2103"/>
      <c r="BX222" s="2103"/>
      <c r="BY222" s="2103"/>
      <c r="BZ222" s="2103"/>
      <c r="CA222" s="34"/>
      <c r="CC222" s="58"/>
      <c r="CD222" s="1461" t="e" cm="1">
        <f t="array" ca="1" aca="1" ref="CD222">_xlfn.LET(_xlpm.CheckBlank,SUM(PL!$AD222:$BN222)=0,IF(_xlpm.CheckBlank,"",SUM(_xlfn._xlws.FILTER(PL!$AD222:$BN222,(YEAR(PL!$AD$12:$BN$12)=PL!CD$12)*(array_timeline&lt;=PL!CD$11)))))</f>
        <v>#NAME?</v>
      </c>
      <c r="CE222" s="1461" t="e" cm="1">
        <f t="array" ca="1" aca="1" ref="CE222">_xlfn.LET(_xlpm.CheckBlank,SUM(PL!$AD222:$BN222)=0,IF(_xlpm.CheckBlank,"",SUM(_xlfn._xlws.FILTER(PL!$AD222:$BN222,(YEAR(PL!$AD$12:$BN$12)=PL!CE$12)*(array_timeline&lt;=PL!CE$11)))))</f>
        <v>#NAME?</v>
      </c>
      <c r="CF222" s="88"/>
      <c r="CG222" s="1461" t="e" cm="1">
        <f t="array" ca="1" aca="1" ref="CG222">_xlfn.LET(_xlpm.CheckBlank,SUM(PL!$AD222:$BN222)=0,IF(_xlpm.CheckBlank,"",SUM(_xlfn._xlws.FILTER(PL!$AD222:$BN222,(YEAR(PL!$AD$12:$BN$12)=PL!CG$12)*(array_timeline&lt;=PL!CG$11)))))</f>
        <v>#NAME?</v>
      </c>
      <c r="CH222" s="1461" t="e" cm="1">
        <f t="array" ca="1" aca="1" ref="CH222">_xlfn.LET(_xlpm.CheckBlank,SUM(PL!$AD222:$BN222)=0,IF(_xlpm.CheckBlank,"",SUM(_xlfn._xlws.FILTER(PL!$AD222:$BN222,(YEAR(PL!$AD$12:$BN$12)=PL!CH$12)*(array_timeline&lt;=PL!CH$11)))))</f>
        <v>#NAME?</v>
      </c>
      <c r="CI222" s="88"/>
      <c r="CJ222" s="1461" cm="1">
        <f t="array" ref="CJ222">_xlfn.LET(_xlpm.CheckBlank,SUM(PL!$AD222:$BN222)=0,IF(_xlpm.CheckBlank,"",SUM(_xlfn.TAKE(_xlfn.DROP(PL!$AD222:$BN222,,-DATEDIFF(PL!CJ$11,val_asOfDate,"M")),1,-12))))</f>
        <v>12</v>
      </c>
      <c r="CK222" s="1461" cm="1">
        <f t="array" ref="CK222">_xlfn.LET(_xlpm.CheckBlank,SUM(PL!$AD222:$BN222)=0,IF(_xlpm.CheckBlank,"",SUM(_xlfn.TAKE(_xlfn.DROP(PL!$AD222:$BN222,,-DATEDIFF(PL!CK$11,val_asOfDate,"M")),1,-12))))</f>
        <v>12</v>
      </c>
      <c r="CL222" s="88"/>
      <c r="CM222" s="1986" t="e" cm="1">
        <f t="array" ca="1" aca="1" ref="CM222">_xlfn.LET(_xlpm.val,IF($F222="",val_blankRefText,_xldudf_CX_GET(CX_ENTITY,$F222,CM$11,CM$14,,(CM$219))),_xlpm.Res,IF(OR(_xlpm.val="",_xlpm.val="Error"),"",_xlpm.val),_xlpm.Res)</f>
        <v>#NAME?</v>
      </c>
      <c r="CN222" s="1986" t="e" cm="1">
        <f t="array" ca="1" aca="1" ref="CN222">_xlfn.LET(_xlpm.val,IF($F222="",val_blankRefText,_xldudf_CX_GET(CX_ENTITY,$F222,CN$11,CN$14,,(CN$219))),_xlpm.Res,IF(OR(_xlpm.val="",_xlpm.val="Error"),"",_xlpm.val),_xlpm.Res)</f>
        <v>#NAME?</v>
      </c>
      <c r="CO222" s="1169"/>
      <c r="CP222" s="1986" t="e" cm="1">
        <f t="array" ca="1" aca="1" ref="CP222">_xlfn.LET(_xlpm.val,IF($F222="",val_blankRefText,_xldudf_CX_GET(CX_ENTITY,$F222,CP$11,CP$14,,(CP$219))),_xlpm.Res,IF(OR(_xlpm.val="",_xlpm.val="Error"),"",_xlpm.val),_xlpm.Res)</f>
        <v>#NAME?</v>
      </c>
      <c r="CQ222" s="1986" t="e" cm="1">
        <f t="array" ca="1" aca="1" ref="CQ222">_xlfn.LET(_xlpm.val,IF($F222="",val_blankRefText,_xldudf_CX_GET(CX_ENTITY,$F222,CQ$11,CQ$14,,(CQ$219))),_xlpm.Res,IF(OR(_xlpm.val="",_xlpm.val="Error"),"",_xlpm.val),_xlpm.Res)</f>
        <v>#NAME?</v>
      </c>
      <c r="CR222" s="34"/>
    </row>
    <row r="223" spans="1:96" ht="21" customHeight="1" outlineLevel="2">
      <c r="A223" s="1322"/>
      <c r="B223" s="577" t="s">
        <v>181</v>
      </c>
      <c r="C223" s="577" t="s">
        <v>1653</v>
      </c>
      <c r="D223" s="577"/>
      <c r="E223" s="577" t="e" cm="1">
        <f t="array" ca="1" aca="1" ref="E223">_xlfn.LET(_xlpm.Attr,$C223,_xlpm.Lookback,$E$16,_xlpm.QueryDate,EOMONTH(val_asOfDate,_xlpm.Lookback),_xlpm.ReadField,_xldudf_CX_GET(CX_ENTITY,fx_attrConverter($C223),_xlpm.QueryDate),_xlpm.AttrBlank,_xlpm.Attr="",_xlpm.RESULT,IF(_xlpm.AttrBlank,val_blankRefText,fx_attrConverter(_xlpm.ReadField,0)),IF(_xlpm.RESULT="Error","",_xlpm.RESULT))</f>
        <v>#NAME?</v>
      </c>
      <c r="F223" s="577" t="str">
        <f t="shared" si="66"/>
        <v>Segment III Breakdown - Amount 3</v>
      </c>
      <c r="G223" s="577" t="s">
        <v>1649</v>
      </c>
      <c r="H223" s="510">
        <v>0</v>
      </c>
      <c r="I223" s="3278">
        <v>1</v>
      </c>
      <c r="J223" s="30"/>
      <c r="K223" s="30"/>
      <c r="L223" s="579" t="b">
        <v>0</v>
      </c>
      <c r="N223" s="158"/>
      <c r="O223" s="101"/>
      <c r="P223" s="52"/>
      <c r="Q223" s="101"/>
      <c r="R223" s="101"/>
      <c r="S223" s="3008"/>
      <c r="T223" s="3008"/>
      <c r="U223" s="39"/>
      <c r="W223" s="91" t="e">
        <f ca="1">W220</f>
        <v>#NAME?</v>
      </c>
      <c r="X223" s="884" t="s">
        <v>62</v>
      </c>
      <c r="Y223" s="1553" t="e" cm="1">
        <f t="array" ca="1" aca="1" ref="Y223">IF($B223="",IFBLANK($E223,"Please select or type in or leave as blank"),IFBLANK($E223,$B223))</f>
        <v>#NAME?</v>
      </c>
      <c r="Z223" s="198" cm="1">
        <f t="array" ref="Z223">_xlfn.SWITCH(TRUE,ISBLANK(_PL!$L223),"",_PL!$L223=TRUE,1,_PL!$L223=FALSE,-1,_PL!$L223=-1,0,"n/a")</f>
        <v>-1</v>
      </c>
      <c r="AA223" s="905"/>
      <c r="AB223" s="3017"/>
      <c r="AC223" s="914" t="str" cm="1">
        <f t="array" ref="AC223">_xlfn.LET(_xlpm.Def,IF(_xlfn.XMATCH(AB223,tbl_acctDef[Term],0)&gt;0,fx_getIcon("find"),""),_xlpm.Adj,IF(_xlfn.XMATCH(AB223,tbl_adjExample[Items],0)&gt;0,fx_getIcon("find"),""),IFERROR(IFBLANK(_xlpm.Def,_xlpm.Adj),""))</f>
        <v/>
      </c>
      <c r="AD223" s="1986" t="e" cm="1">
        <f t="array" ca="1" aca="1" ref="AD223">_xlfn.LET(_xlpm.val,IF($F223="",val_blankRefText,_xldudf_CX_GET(CX_ENTITY,$F223,AD$11,AD$14,,(AD$219))),_xlpm.Res,IF(OR(_xlpm.val="",_xlpm.val="Error"),"",_xlpm.val),_xlpm.Res)</f>
        <v>#NAME?</v>
      </c>
      <c r="AE223" s="1986" t="e" cm="1">
        <f t="array" ca="1" aca="1" ref="AE223">_xlfn.LET(_xlpm.val,IF($F223="",val_blankRefText,_xldudf_CX_GET(CX_ENTITY,$F223,AE$11,AE$14,,(AE$219))),_xlpm.Res,IF(OR(_xlpm.val="",_xlpm.val="Error"),"",_xlpm.val),_xlpm.Res)</f>
        <v>#NAME?</v>
      </c>
      <c r="AF223" s="1986" t="e" cm="1">
        <f t="array" ca="1" aca="1" ref="AF223">_xlfn.LET(_xlpm.val,IF($F223="",val_blankRefText,_xldudf_CX_GET(CX_ENTITY,$F223,AF$11,AF$14,,(AF$219))),_xlpm.Res,IF(OR(_xlpm.val="",_xlpm.val="Error"),"",_xlpm.val),_xlpm.Res)</f>
        <v>#NAME?</v>
      </c>
      <c r="AG223" s="1986" t="e" cm="1">
        <f t="array" ca="1" aca="1" ref="AG223">_xlfn.LET(_xlpm.val,IF($F223="",val_blankRefText,_xldudf_CX_GET(CX_ENTITY,$F223,AG$11,AG$14,,(AG$219))),_xlpm.Res,IF(OR(_xlpm.val="",_xlpm.val="Error"),"",_xlpm.val),_xlpm.Res)</f>
        <v>#NAME?</v>
      </c>
      <c r="AH223" s="1986" t="e" cm="1">
        <f t="array" ca="1" aca="1" ref="AH223">_xlfn.LET(_xlpm.val,IF($F223="",val_blankRefText,_xldudf_CX_GET(CX_ENTITY,$F223,AH$11,AH$14,,(AH$219))),_xlpm.Res,IF(OR(_xlpm.val="",_xlpm.val="Error"),"",_xlpm.val),_xlpm.Res)</f>
        <v>#NAME?</v>
      </c>
      <c r="AI223" s="1986" t="e" cm="1">
        <f t="array" ca="1" aca="1" ref="AI223">_xlfn.LET(_xlpm.val,IF($F223="",val_blankRefText,_xldudf_CX_GET(CX_ENTITY,$F223,AI$11,AI$14,,(AI$219))),_xlpm.Res,IF(OR(_xlpm.val="",_xlpm.val="Error"),"",_xlpm.val),_xlpm.Res)</f>
        <v>#NAME?</v>
      </c>
      <c r="AJ223" s="1986" t="e" cm="1">
        <f t="array" ca="1" aca="1" ref="AJ223">_xlfn.LET(_xlpm.val,IF($F223="",val_blankRefText,_xldudf_CX_GET(CX_ENTITY,$F223,AJ$11,AJ$14,,(AJ$219))),_xlpm.Res,IF(OR(_xlpm.val="",_xlpm.val="Error"),"",_xlpm.val),_xlpm.Res)</f>
        <v>#NAME?</v>
      </c>
      <c r="AK223" s="1986" t="e" cm="1">
        <f t="array" ca="1" aca="1" ref="AK223">_xlfn.LET(_xlpm.val,IF($F223="",val_blankRefText,_xldudf_CX_GET(CX_ENTITY,$F223,AK$11,AK$14,,(AK$219))),_xlpm.Res,IF(OR(_xlpm.val="",_xlpm.val="Error"),"",_xlpm.val),_xlpm.Res)</f>
        <v>#NAME?</v>
      </c>
      <c r="AL223" s="1986" t="e" cm="1">
        <f t="array" ca="1" aca="1" ref="AL223">_xlfn.LET(_xlpm.val,IF($F223="",val_blankRefText,_xldudf_CX_GET(CX_ENTITY,$F223,AL$11,AL$14,,(AL$219))),_xlpm.Res,IF(OR(_xlpm.val="",_xlpm.val="Error"),"",_xlpm.val),_xlpm.Res)</f>
        <v>#NAME?</v>
      </c>
      <c r="AM223" s="1986" t="e" cm="1">
        <f t="array" ca="1" aca="1" ref="AM223">_xlfn.LET(_xlpm.val,IF($F223="",val_blankRefText,_xldudf_CX_GET(CX_ENTITY,$F223,AM$11,AM$14,,(AM$219))),_xlpm.Res,IF(OR(_xlpm.val="",_xlpm.val="Error"),"",_xlpm.val),_xlpm.Res)</f>
        <v>#NAME?</v>
      </c>
      <c r="AN223" s="1986" t="e" cm="1">
        <f t="array" ca="1" aca="1" ref="AN223">_xlfn.LET(_xlpm.val,IF($F223="",val_blankRefText,_xldudf_CX_GET(CX_ENTITY,$F223,AN$11,AN$14,,(AN$219))),_xlpm.Res,IF(OR(_xlpm.val="",_xlpm.val="Error"),"",_xlpm.val),_xlpm.Res)</f>
        <v>#NAME?</v>
      </c>
      <c r="AO223" s="1986" t="e" cm="1">
        <f t="array" ca="1" aca="1" ref="AO223">_xlfn.LET(_xlpm.val,IF($F223="",val_blankRefText,_xldudf_CX_GET(CX_ENTITY,$F223,AO$11,AO$14,,(AO$219))),_xlpm.Res,IF(OR(_xlpm.val="",_xlpm.val="Error"),"",_xlpm.val),_xlpm.Res)</f>
        <v>#NAME?</v>
      </c>
      <c r="AP223" s="1986" t="e" cm="1">
        <f t="array" ca="1" aca="1" ref="AP223">_xlfn.LET(_xlpm.val,IF($F223="",val_blankRefText,_xldudf_CX_GET(CX_ENTITY,$F223,AP$11,AP$14,,(AP$219))),_xlpm.Res,IF(OR(_xlpm.val="",_xlpm.val="Error"),"",_xlpm.val),_xlpm.Res)</f>
        <v>#NAME?</v>
      </c>
      <c r="AQ223" s="1986" t="e" cm="1">
        <f t="array" ca="1" aca="1" ref="AQ223">_xlfn.LET(_xlpm.val,IF($F223="",val_blankRefText,_xldudf_CX_GET(CX_ENTITY,$F223,AQ$11,AQ$14,,(AQ$219))),_xlpm.Res,IF(OR(_xlpm.val="",_xlpm.val="Error"),"",_xlpm.val),_xlpm.Res)</f>
        <v>#NAME?</v>
      </c>
      <c r="AR223" s="1986" t="e" cm="1">
        <f t="array" ca="1" aca="1" ref="AR223">_xlfn.LET(_xlpm.val,IF($F223="",val_blankRefText,_xldudf_CX_GET(CX_ENTITY,$F223,AR$11,AR$14,,(AR$219))),_xlpm.Res,IF(OR(_xlpm.val="",_xlpm.val="Error"),"",_xlpm.val),_xlpm.Res)</f>
        <v>#NAME?</v>
      </c>
      <c r="AS223" s="1986" t="e" cm="1">
        <f t="array" ca="1" aca="1" ref="AS223">_xlfn.LET(_xlpm.val,IF($F223="",val_blankRefText,_xldudf_CX_GET(CX_ENTITY,$F223,AS$11,AS$14,,(AS$219))),_xlpm.Res,IF(OR(_xlpm.val="",_xlpm.val="Error"),"",_xlpm.val),_xlpm.Res)</f>
        <v>#NAME?</v>
      </c>
      <c r="AT223" s="1986" t="e" cm="1">
        <f t="array" ca="1" aca="1" ref="AT223">_xlfn.LET(_xlpm.val,IF($F223="",val_blankRefText,_xldudf_CX_GET(CX_ENTITY,$F223,AT$11,AT$14,,(AT$219))),_xlpm.Res,IF(OR(_xlpm.val="",_xlpm.val="Error"),"",_xlpm.val),_xlpm.Res)</f>
        <v>#NAME?</v>
      </c>
      <c r="AU223" s="1986" t="e" cm="1">
        <f t="array" ca="1" aca="1" ref="AU223">_xlfn.LET(_xlpm.val,IF($F223="",val_blankRefText,_xldudf_CX_GET(CX_ENTITY,$F223,AU$11,AU$14,,(AU$219))),_xlpm.Res,IF(OR(_xlpm.val="",_xlpm.val="Error"),"",_xlpm.val),_xlpm.Res)</f>
        <v>#NAME?</v>
      </c>
      <c r="AV223" s="1986" t="e" cm="1">
        <f t="array" ca="1" aca="1" ref="AV223">_xlfn.LET(_xlpm.val,IF($F223="",val_blankRefText,_xldudf_CX_GET(CX_ENTITY,$F223,AV$11,AV$14,,(AV$219))),_xlpm.Res,IF(OR(_xlpm.val="",_xlpm.val="Error"),"",_xlpm.val),_xlpm.Res)</f>
        <v>#NAME?</v>
      </c>
      <c r="AW223" s="1986" t="e" cm="1">
        <f t="array" ca="1" aca="1" ref="AW223">_xlfn.LET(_xlpm.val,IF($F223="",val_blankRefText,_xldudf_CX_GET(CX_ENTITY,$F223,AW$11,AW$14,,(AW$219))),_xlpm.Res,IF(OR(_xlpm.val="",_xlpm.val="Error"),"",_xlpm.val),_xlpm.Res)</f>
        <v>#NAME?</v>
      </c>
      <c r="AX223" s="1986" t="e" cm="1">
        <f t="array" ca="1" aca="1" ref="AX223">_xlfn.LET(_xlpm.val,IF($F223="",val_blankRefText,_xldudf_CX_GET(CX_ENTITY,$F223,AX$11,AX$14,,(AX$219))),_xlpm.Res,IF(OR(_xlpm.val="",_xlpm.val="Error"),"",_xlpm.val),_xlpm.Res)</f>
        <v>#NAME?</v>
      </c>
      <c r="AY223" s="1986" t="e" cm="1">
        <f t="array" ca="1" aca="1" ref="AY223">_xlfn.LET(_xlpm.val,IF($F223="",val_blankRefText,_xldudf_CX_GET(CX_ENTITY,$F223,AY$11,AY$14,,(AY$219))),_xlpm.Res,IF(OR(_xlpm.val="",_xlpm.val="Error"),"",_xlpm.val),_xlpm.Res)</f>
        <v>#NAME?</v>
      </c>
      <c r="AZ223" s="1986" t="e" cm="1">
        <f t="array" ca="1" aca="1" ref="AZ223">_xlfn.LET(_xlpm.val,IF($F223="",val_blankRefText,_xldudf_CX_GET(CX_ENTITY,$F223,AZ$11,AZ$14,,(AZ$219))),_xlpm.Res,IF(OR(_xlpm.val="",_xlpm.val="Error"),"",_xlpm.val),_xlpm.Res)</f>
        <v>#NAME?</v>
      </c>
      <c r="BA223" s="1986" t="e" cm="1">
        <f t="array" ca="1" aca="1" ref="BA223">_xlfn.LET(_xlpm.val,IF($F223="",val_blankRefText,_xldudf_CX_GET(CX_ENTITY,$F223,BA$11,BA$14,,(BA$219))),_xlpm.Res,IF(OR(_xlpm.val="",_xlpm.val="Error"),"",_xlpm.val),_xlpm.Res)</f>
        <v>#NAME?</v>
      </c>
      <c r="BB223" s="1986" t="e" cm="1">
        <f t="array" ca="1" aca="1" ref="BB223">_xlfn.LET(_xlpm.val,IF($F223="",val_blankRefText,_xldudf_CX_GET(CX_ENTITY,$F223,BB$11,BB$14,,(BB$219))),_xlpm.Res,IF(OR(_xlpm.val="",_xlpm.val="Error"),"",_xlpm.val),_xlpm.Res)</f>
        <v>#NAME?</v>
      </c>
      <c r="BC223" s="1986" t="e" cm="1">
        <f t="array" ca="1" aca="1" ref="BC223">_xlfn.LET(_xlpm.val,IF($F223="",val_blankRefText,_xldudf_CX_GET(CX_ENTITY,$F223,BC$11,BC$14,,(BC$219))),_xlpm.Res,IF(OR(_xlpm.val="",_xlpm.val="Error"),"",_xlpm.val),_xlpm.Res)</f>
        <v>#NAME?</v>
      </c>
      <c r="BD223" s="1986" t="e" cm="1">
        <f t="array" ca="1" aca="1" ref="BD223">_xlfn.LET(_xlpm.val,IF($F223="",val_blankRefText,_xldudf_CX_GET(CX_ENTITY,$F223,BD$11,BD$14,,(BD$219))),_xlpm.Res,IF(OR(_xlpm.val="",_xlpm.val="Error"),"",_xlpm.val),_xlpm.Res)</f>
        <v>#NAME?</v>
      </c>
      <c r="BE223" s="1986" t="e" cm="1">
        <f t="array" ca="1" aca="1" ref="BE223">_xlfn.LET(_xlpm.val,IF($F223="",val_blankRefText,_xldudf_CX_GET(CX_ENTITY,$F223,BE$11,BE$14,,(BE$219))),_xlpm.Res,IF(OR(_xlpm.val="",_xlpm.val="Error"),"",_xlpm.val),_xlpm.Res)</f>
        <v>#NAME?</v>
      </c>
      <c r="BF223" s="1986" t="e" cm="1">
        <f t="array" ca="1" aca="1" ref="BF223">_xlfn.LET(_xlpm.val,IF($F223="",val_blankRefText,_xldudf_CX_GET(CX_ENTITY,$F223,BF$11,BF$14,,(BF$219))),_xlpm.Res,IF(OR(_xlpm.val="",_xlpm.val="Error"),"",_xlpm.val),_xlpm.Res)</f>
        <v>#NAME?</v>
      </c>
      <c r="BG223" s="1986" t="e" cm="1">
        <f t="array" ca="1" aca="1" ref="BG223">_xlfn.LET(_xlpm.val,IF($F223="",val_blankRefText,_xldudf_CX_GET(CX_ENTITY,$F223,BG$11,BG$14,,(BG$219))),_xlpm.Res,IF(OR(_xlpm.val="",_xlpm.val="Error"),"",_xlpm.val),_xlpm.Res)</f>
        <v>#NAME?</v>
      </c>
      <c r="BH223" s="1986" t="e" cm="1">
        <f t="array" ca="1" aca="1" ref="BH223">_xlfn.LET(_xlpm.val,IF($F223="",val_blankRefText,_xldudf_CX_GET(CX_ENTITY,$F223,BH$11,BH$14,,(BH$219))),_xlpm.Res,IF(OR(_xlpm.val="",_xlpm.val="Error"),"",_xlpm.val),_xlpm.Res)</f>
        <v>#NAME?</v>
      </c>
      <c r="BI223" s="1986" t="e" cm="1">
        <f t="array" ca="1" aca="1" ref="BI223">_xlfn.LET(_xlpm.val,IF($F223="",val_blankRefText,_xldudf_CX_GET(CX_ENTITY,$F223,BI$11,BI$14,,(BI$219))),_xlpm.Res,IF(OR(_xlpm.val="",_xlpm.val="Error"),"",_xlpm.val),_xlpm.Res)</f>
        <v>#NAME?</v>
      </c>
      <c r="BJ223" s="1986" t="e" cm="1">
        <f t="array" ca="1" aca="1" ref="BJ223">_xlfn.LET(_xlpm.val,IF($F223="",val_blankRefText,_xldudf_CX_GET(CX_ENTITY,$F223,BJ$11,BJ$14,,(BJ$219))),_xlpm.Res,IF(OR(_xlpm.val="",_xlpm.val="Error"),"",_xlpm.val),_xlpm.Res)</f>
        <v>#NAME?</v>
      </c>
      <c r="BK223" s="1986" t="e" cm="1">
        <f t="array" ca="1" aca="1" ref="BK223">_xlfn.LET(_xlpm.val,IF($F223="",val_blankRefText,_xldudf_CX_GET(CX_ENTITY,$F223,BK$11,BK$14,,(BK$219))),_xlpm.Res,IF(OR(_xlpm.val="",_xlpm.val="Error"),"",_xlpm.val),_xlpm.Res)</f>
        <v>#NAME?</v>
      </c>
      <c r="BL223" s="1986" t="e" cm="1">
        <f t="array" ca="1" aca="1" ref="BL223">_xlfn.LET(_xlpm.val,IF($F223="",val_blankRefText,_xldudf_CX_GET(CX_ENTITY,$F223,BL$11,BL$14,,(BL$219))),_xlpm.Res,IF(OR(_xlpm.val="",_xlpm.val="Error"),"",_xlpm.val),_xlpm.Res)</f>
        <v>#NAME?</v>
      </c>
      <c r="BM223" s="1986" t="e" cm="1">
        <f t="array" ca="1" aca="1" ref="BM223">_xlfn.LET(_xlpm.val,IF($F223="",val_blankRefText,_xldudf_CX_GET(CX_ENTITY,$F223,BM$11,BM$14,,(BM$219))),_xlpm.Res,IF(OR(_xlpm.val="",_xlpm.val="Error"),"",_xlpm.val),_xlpm.Res)</f>
        <v>#NAME?</v>
      </c>
      <c r="BN223" s="1986" t="e" cm="1">
        <f t="array" ca="1" aca="1" ref="BN223">_xlfn.LET(_xlpm.val,IF($F223="",val_blankRefText,_xldudf_CX_GET(CX_ENTITY,$F223,BN$11,BN$14,,(BN$219))),_xlpm.Res,IF(OR(_xlpm.val="",_xlpm.val="Error"),"",_xlpm.val),_xlpm.Res)</f>
        <v>#NAME?</v>
      </c>
      <c r="BO223" s="2103"/>
      <c r="BP223" s="2103"/>
      <c r="BQ223" s="2103"/>
      <c r="BR223" s="2103"/>
      <c r="BS223" s="2103"/>
      <c r="BT223" s="2103"/>
      <c r="BU223" s="2103"/>
      <c r="BV223" s="2103"/>
      <c r="BW223" s="2103"/>
      <c r="BX223" s="2103"/>
      <c r="BY223" s="2103"/>
      <c r="BZ223" s="2103"/>
      <c r="CA223" s="34"/>
      <c r="CC223" s="58"/>
      <c r="CD223" s="1461" t="e" cm="1">
        <f t="array" ca="1" aca="1" ref="CD223">_xlfn.LET(_xlpm.CheckBlank,SUM(PL!$AD223:$BN223)=0,IF(_xlpm.CheckBlank,"",SUM(_xlfn._xlws.FILTER(PL!$AD223:$BN223,(YEAR(PL!$AD$12:$BN$12)=PL!CD$12)*(array_timeline&lt;=PL!CD$11)))))</f>
        <v>#NAME?</v>
      </c>
      <c r="CE223" s="1461" t="e" cm="1">
        <f t="array" ca="1" aca="1" ref="CE223">_xlfn.LET(_xlpm.CheckBlank,SUM(PL!$AD223:$BN223)=0,IF(_xlpm.CheckBlank,"",SUM(_xlfn._xlws.FILTER(PL!$AD223:$BN223,(YEAR(PL!$AD$12:$BN$12)=PL!CE$12)*(array_timeline&lt;=PL!CE$11)))))</f>
        <v>#NAME?</v>
      </c>
      <c r="CF223" s="88"/>
      <c r="CG223" s="1461" t="e" cm="1">
        <f t="array" ca="1" aca="1" ref="CG223">_xlfn.LET(_xlpm.CheckBlank,SUM(PL!$AD223:$BN223)=0,IF(_xlpm.CheckBlank,"",SUM(_xlfn._xlws.FILTER(PL!$AD223:$BN223,(YEAR(PL!$AD$12:$BN$12)=PL!CG$12)*(array_timeline&lt;=PL!CG$11)))))</f>
        <v>#NAME?</v>
      </c>
      <c r="CH223" s="1461" t="e" cm="1">
        <f t="array" ca="1" aca="1" ref="CH223">_xlfn.LET(_xlpm.CheckBlank,SUM(PL!$AD223:$BN223)=0,IF(_xlpm.CheckBlank,"",SUM(_xlfn._xlws.FILTER(PL!$AD223:$BN223,(YEAR(PL!$AD$12:$BN$12)=PL!CH$12)*(array_timeline&lt;=PL!CH$11)))))</f>
        <v>#NAME?</v>
      </c>
      <c r="CI223" s="88"/>
      <c r="CJ223" s="1461" cm="1">
        <f t="array" ref="CJ223">_xlfn.LET(_xlpm.CheckBlank,SUM(PL!$AD223:$BN223)=0,IF(_xlpm.CheckBlank,"",SUM(_xlfn.TAKE(_xlfn.DROP(PL!$AD223:$BN223,,-DATEDIFF(PL!CJ$11,val_asOfDate,"M")),1,-12))))</f>
        <v>12</v>
      </c>
      <c r="CK223" s="1461" cm="1">
        <f t="array" ref="CK223">_xlfn.LET(_xlpm.CheckBlank,SUM(PL!$AD223:$BN223)=0,IF(_xlpm.CheckBlank,"",SUM(_xlfn.TAKE(_xlfn.DROP(PL!$AD223:$BN223,,-DATEDIFF(PL!CK$11,val_asOfDate,"M")),1,-12))))</f>
        <v>12</v>
      </c>
      <c r="CL223" s="88"/>
      <c r="CM223" s="1986" t="e" cm="1">
        <f t="array" ca="1" aca="1" ref="CM223">_xlfn.LET(_xlpm.val,IF($F223="",val_blankRefText,_xldudf_CX_GET(CX_ENTITY,$F223,CM$11,CM$14,,(CM$219))),_xlpm.Res,IF(OR(_xlpm.val="",_xlpm.val="Error"),"",_xlpm.val),_xlpm.Res)</f>
        <v>#NAME?</v>
      </c>
      <c r="CN223" s="1986" t="e" cm="1">
        <f t="array" ca="1" aca="1" ref="CN223">_xlfn.LET(_xlpm.val,IF($F223="",val_blankRefText,_xldudf_CX_GET(CX_ENTITY,$F223,CN$11,CN$14,,(CN$219))),_xlpm.Res,IF(OR(_xlpm.val="",_xlpm.val="Error"),"",_xlpm.val),_xlpm.Res)</f>
        <v>#NAME?</v>
      </c>
      <c r="CO223" s="1169"/>
      <c r="CP223" s="1986" t="e" cm="1">
        <f t="array" ca="1" aca="1" ref="CP223">_xlfn.LET(_xlpm.val,IF($F223="",val_blankRefText,_xldudf_CX_GET(CX_ENTITY,$F223,CP$11,CP$14,,(CP$219))),_xlpm.Res,IF(OR(_xlpm.val="",_xlpm.val="Error"),"",_xlpm.val),_xlpm.Res)</f>
        <v>#NAME?</v>
      </c>
      <c r="CQ223" s="1986" t="e" cm="1">
        <f t="array" ca="1" aca="1" ref="CQ223">_xlfn.LET(_xlpm.val,IF($F223="",val_blankRefText,_xldudf_CX_GET(CX_ENTITY,$F223,CQ$11,CQ$14,,(CQ$219))),_xlpm.Res,IF(OR(_xlpm.val="",_xlpm.val="Error"),"",_xlpm.val),_xlpm.Res)</f>
        <v>#NAME?</v>
      </c>
      <c r="CR223" s="34"/>
    </row>
    <row r="224" spans="1:96" ht="21" customHeight="1" outlineLevel="2">
      <c r="A224" s="1322"/>
      <c r="B224" s="577" t="s">
        <v>182</v>
      </c>
      <c r="C224" s="577" t="s">
        <v>1654</v>
      </c>
      <c r="D224" s="577"/>
      <c r="E224" s="577" t="e" cm="1">
        <f t="array" ca="1" aca="1" ref="E224">_xlfn.LET(_xlpm.Attr,$C224,_xlpm.Lookback,$E$16,_xlpm.QueryDate,EOMONTH(val_asOfDate,_xlpm.Lookback),_xlpm.ReadField,_xldudf_CX_GET(CX_ENTITY,fx_attrConverter($C224),_xlpm.QueryDate),_xlpm.AttrBlank,_xlpm.Attr="",_xlpm.RESULT,IF(_xlpm.AttrBlank,val_blankRefText,fx_attrConverter(_xlpm.ReadField,0)),IF(_xlpm.RESULT="Error","",_xlpm.RESULT))</f>
        <v>#NAME?</v>
      </c>
      <c r="F224" s="577" t="str">
        <f t="shared" si="66"/>
        <v>Segment III Breakdown - Amount 4</v>
      </c>
      <c r="G224" s="577" t="s">
        <v>1649</v>
      </c>
      <c r="H224" s="510">
        <v>0</v>
      </c>
      <c r="I224" s="3278">
        <v>1</v>
      </c>
      <c r="J224" s="30"/>
      <c r="K224" s="30"/>
      <c r="L224" s="579" t="b">
        <v>0</v>
      </c>
      <c r="N224" s="158"/>
      <c r="O224" s="101"/>
      <c r="P224" s="52"/>
      <c r="Q224" s="101"/>
      <c r="R224" s="101"/>
      <c r="S224" s="3008"/>
      <c r="T224" s="3008"/>
      <c r="U224" s="39"/>
      <c r="W224" s="91" t="e">
        <f ca="1">W220</f>
        <v>#NAME?</v>
      </c>
      <c r="X224" s="884" t="s">
        <v>62</v>
      </c>
      <c r="Y224" s="1553" t="e" cm="1">
        <f t="array" ca="1" aca="1" ref="Y224">IF($B224="",IFBLANK($E224,"Please select or type in or leave as blank"),IFBLANK($E224,$B224))</f>
        <v>#NAME?</v>
      </c>
      <c r="Z224" s="198" cm="1">
        <f t="array" ref="Z224">_xlfn.SWITCH(TRUE,ISBLANK(_PL!$L224),"",_PL!$L224=TRUE,1,_PL!$L224=FALSE,-1,_PL!$L224=-1,0,"n/a")</f>
        <v>-1</v>
      </c>
      <c r="AA224" s="905"/>
      <c r="AB224" s="1130"/>
      <c r="AC224" s="914" t="str" cm="1">
        <f t="array" ref="AC224">_xlfn.LET(_xlpm.Def,IF(_xlfn.XMATCH(AB224,tbl_acctDef[Term],0)&gt;0,fx_getIcon("find"),""),_xlpm.Adj,IF(_xlfn.XMATCH(AB224,tbl_adjExample[Items],0)&gt;0,fx_getIcon("find"),""),IFERROR(IFBLANK(_xlpm.Def,_xlpm.Adj),""))</f>
        <v/>
      </c>
      <c r="AD224" s="1986" t="e" cm="1">
        <f t="array" ca="1" aca="1" ref="AD224">_xlfn.LET(_xlpm.val,IF($F224="",val_blankRefText,_xldudf_CX_GET(CX_ENTITY,$F224,AD$11,AD$14,,(AD$219))),_xlpm.Res,IF(OR(_xlpm.val="",_xlpm.val="Error"),"",_xlpm.val),_xlpm.Res)</f>
        <v>#NAME?</v>
      </c>
      <c r="AE224" s="1986" t="e" cm="1">
        <f t="array" ca="1" aca="1" ref="AE224">_xlfn.LET(_xlpm.val,IF($F224="",val_blankRefText,_xldudf_CX_GET(CX_ENTITY,$F224,AE$11,AE$14,,(AE$219))),_xlpm.Res,IF(OR(_xlpm.val="",_xlpm.val="Error"),"",_xlpm.val),_xlpm.Res)</f>
        <v>#NAME?</v>
      </c>
      <c r="AF224" s="1986" t="e" cm="1">
        <f t="array" ca="1" aca="1" ref="AF224">_xlfn.LET(_xlpm.val,IF($F224="",val_blankRefText,_xldudf_CX_GET(CX_ENTITY,$F224,AF$11,AF$14,,(AF$219))),_xlpm.Res,IF(OR(_xlpm.val="",_xlpm.val="Error"),"",_xlpm.val),_xlpm.Res)</f>
        <v>#NAME?</v>
      </c>
      <c r="AG224" s="1986" t="e" cm="1">
        <f t="array" ca="1" aca="1" ref="AG224">_xlfn.LET(_xlpm.val,IF($F224="",val_blankRefText,_xldudf_CX_GET(CX_ENTITY,$F224,AG$11,AG$14,,(AG$219))),_xlpm.Res,IF(OR(_xlpm.val="",_xlpm.val="Error"),"",_xlpm.val),_xlpm.Res)</f>
        <v>#NAME?</v>
      </c>
      <c r="AH224" s="1986" t="e" cm="1">
        <f t="array" ca="1" aca="1" ref="AH224">_xlfn.LET(_xlpm.val,IF($F224="",val_blankRefText,_xldudf_CX_GET(CX_ENTITY,$F224,AH$11,AH$14,,(AH$219))),_xlpm.Res,IF(OR(_xlpm.val="",_xlpm.val="Error"),"",_xlpm.val),_xlpm.Res)</f>
        <v>#NAME?</v>
      </c>
      <c r="AI224" s="1986" t="e" cm="1">
        <f t="array" ca="1" aca="1" ref="AI224">_xlfn.LET(_xlpm.val,IF($F224="",val_blankRefText,_xldudf_CX_GET(CX_ENTITY,$F224,AI$11,AI$14,,(AI$219))),_xlpm.Res,IF(OR(_xlpm.val="",_xlpm.val="Error"),"",_xlpm.val),_xlpm.Res)</f>
        <v>#NAME?</v>
      </c>
      <c r="AJ224" s="1986" t="e" cm="1">
        <f t="array" ca="1" aca="1" ref="AJ224">_xlfn.LET(_xlpm.val,IF($F224="",val_blankRefText,_xldudf_CX_GET(CX_ENTITY,$F224,AJ$11,AJ$14,,(AJ$219))),_xlpm.Res,IF(OR(_xlpm.val="",_xlpm.val="Error"),"",_xlpm.val),_xlpm.Res)</f>
        <v>#NAME?</v>
      </c>
      <c r="AK224" s="1986" t="e" cm="1">
        <f t="array" ca="1" aca="1" ref="AK224">_xlfn.LET(_xlpm.val,IF($F224="",val_blankRefText,_xldudf_CX_GET(CX_ENTITY,$F224,AK$11,AK$14,,(AK$219))),_xlpm.Res,IF(OR(_xlpm.val="",_xlpm.val="Error"),"",_xlpm.val),_xlpm.Res)</f>
        <v>#NAME?</v>
      </c>
      <c r="AL224" s="1986" t="e" cm="1">
        <f t="array" ca="1" aca="1" ref="AL224">_xlfn.LET(_xlpm.val,IF($F224="",val_blankRefText,_xldudf_CX_GET(CX_ENTITY,$F224,AL$11,AL$14,,(AL$219))),_xlpm.Res,IF(OR(_xlpm.val="",_xlpm.val="Error"),"",_xlpm.val),_xlpm.Res)</f>
        <v>#NAME?</v>
      </c>
      <c r="AM224" s="1986" t="e" cm="1">
        <f t="array" ca="1" aca="1" ref="AM224">_xlfn.LET(_xlpm.val,IF($F224="",val_blankRefText,_xldudf_CX_GET(CX_ENTITY,$F224,AM$11,AM$14,,(AM$219))),_xlpm.Res,IF(OR(_xlpm.val="",_xlpm.val="Error"),"",_xlpm.val),_xlpm.Res)</f>
        <v>#NAME?</v>
      </c>
      <c r="AN224" s="1986" t="e" cm="1">
        <f t="array" ca="1" aca="1" ref="AN224">_xlfn.LET(_xlpm.val,IF($F224="",val_blankRefText,_xldudf_CX_GET(CX_ENTITY,$F224,AN$11,AN$14,,(AN$219))),_xlpm.Res,IF(OR(_xlpm.val="",_xlpm.val="Error"),"",_xlpm.val),_xlpm.Res)</f>
        <v>#NAME?</v>
      </c>
      <c r="AO224" s="1986" t="e" cm="1">
        <f t="array" ca="1" aca="1" ref="AO224">_xlfn.LET(_xlpm.val,IF($F224="",val_blankRefText,_xldudf_CX_GET(CX_ENTITY,$F224,AO$11,AO$14,,(AO$219))),_xlpm.Res,IF(OR(_xlpm.val="",_xlpm.val="Error"),"",_xlpm.val),_xlpm.Res)</f>
        <v>#NAME?</v>
      </c>
      <c r="AP224" s="1986" t="e" cm="1">
        <f t="array" ca="1" aca="1" ref="AP224">_xlfn.LET(_xlpm.val,IF($F224="",val_blankRefText,_xldudf_CX_GET(CX_ENTITY,$F224,AP$11,AP$14,,(AP$219))),_xlpm.Res,IF(OR(_xlpm.val="",_xlpm.val="Error"),"",_xlpm.val),_xlpm.Res)</f>
        <v>#NAME?</v>
      </c>
      <c r="AQ224" s="1986" t="e" cm="1">
        <f t="array" ca="1" aca="1" ref="AQ224">_xlfn.LET(_xlpm.val,IF($F224="",val_blankRefText,_xldudf_CX_GET(CX_ENTITY,$F224,AQ$11,AQ$14,,(AQ$219))),_xlpm.Res,IF(OR(_xlpm.val="",_xlpm.val="Error"),"",_xlpm.val),_xlpm.Res)</f>
        <v>#NAME?</v>
      </c>
      <c r="AR224" s="1986" t="e" cm="1">
        <f t="array" ca="1" aca="1" ref="AR224">_xlfn.LET(_xlpm.val,IF($F224="",val_blankRefText,_xldudf_CX_GET(CX_ENTITY,$F224,AR$11,AR$14,,(AR$219))),_xlpm.Res,IF(OR(_xlpm.val="",_xlpm.val="Error"),"",_xlpm.val),_xlpm.Res)</f>
        <v>#NAME?</v>
      </c>
      <c r="AS224" s="1986" t="e" cm="1">
        <f t="array" ca="1" aca="1" ref="AS224">_xlfn.LET(_xlpm.val,IF($F224="",val_blankRefText,_xldudf_CX_GET(CX_ENTITY,$F224,AS$11,AS$14,,(AS$219))),_xlpm.Res,IF(OR(_xlpm.val="",_xlpm.val="Error"),"",_xlpm.val),_xlpm.Res)</f>
        <v>#NAME?</v>
      </c>
      <c r="AT224" s="1986" t="e" cm="1">
        <f t="array" ca="1" aca="1" ref="AT224">_xlfn.LET(_xlpm.val,IF($F224="",val_blankRefText,_xldudf_CX_GET(CX_ENTITY,$F224,AT$11,AT$14,,(AT$219))),_xlpm.Res,IF(OR(_xlpm.val="",_xlpm.val="Error"),"",_xlpm.val),_xlpm.Res)</f>
        <v>#NAME?</v>
      </c>
      <c r="AU224" s="1986" t="e" cm="1">
        <f t="array" ca="1" aca="1" ref="AU224">_xlfn.LET(_xlpm.val,IF($F224="",val_blankRefText,_xldudf_CX_GET(CX_ENTITY,$F224,AU$11,AU$14,,(AU$219))),_xlpm.Res,IF(OR(_xlpm.val="",_xlpm.val="Error"),"",_xlpm.val),_xlpm.Res)</f>
        <v>#NAME?</v>
      </c>
      <c r="AV224" s="1986" t="e" cm="1">
        <f t="array" ca="1" aca="1" ref="AV224">_xlfn.LET(_xlpm.val,IF($F224="",val_blankRefText,_xldudf_CX_GET(CX_ENTITY,$F224,AV$11,AV$14,,(AV$219))),_xlpm.Res,IF(OR(_xlpm.val="",_xlpm.val="Error"),"",_xlpm.val),_xlpm.Res)</f>
        <v>#NAME?</v>
      </c>
      <c r="AW224" s="1986" t="e" cm="1">
        <f t="array" ca="1" aca="1" ref="AW224">_xlfn.LET(_xlpm.val,IF($F224="",val_blankRefText,_xldudf_CX_GET(CX_ENTITY,$F224,AW$11,AW$14,,(AW$219))),_xlpm.Res,IF(OR(_xlpm.val="",_xlpm.val="Error"),"",_xlpm.val),_xlpm.Res)</f>
        <v>#NAME?</v>
      </c>
      <c r="AX224" s="1986" t="e" cm="1">
        <f t="array" ca="1" aca="1" ref="AX224">_xlfn.LET(_xlpm.val,IF($F224="",val_blankRefText,_xldudf_CX_GET(CX_ENTITY,$F224,AX$11,AX$14,,(AX$219))),_xlpm.Res,IF(OR(_xlpm.val="",_xlpm.val="Error"),"",_xlpm.val),_xlpm.Res)</f>
        <v>#NAME?</v>
      </c>
      <c r="AY224" s="1986" t="e" cm="1">
        <f t="array" ca="1" aca="1" ref="AY224">_xlfn.LET(_xlpm.val,IF($F224="",val_blankRefText,_xldudf_CX_GET(CX_ENTITY,$F224,AY$11,AY$14,,(AY$219))),_xlpm.Res,IF(OR(_xlpm.val="",_xlpm.val="Error"),"",_xlpm.val),_xlpm.Res)</f>
        <v>#NAME?</v>
      </c>
      <c r="AZ224" s="1986" t="e" cm="1">
        <f t="array" ca="1" aca="1" ref="AZ224">_xlfn.LET(_xlpm.val,IF($F224="",val_blankRefText,_xldudf_CX_GET(CX_ENTITY,$F224,AZ$11,AZ$14,,(AZ$219))),_xlpm.Res,IF(OR(_xlpm.val="",_xlpm.val="Error"),"",_xlpm.val),_xlpm.Res)</f>
        <v>#NAME?</v>
      </c>
      <c r="BA224" s="1986" t="e" cm="1">
        <f t="array" ca="1" aca="1" ref="BA224">_xlfn.LET(_xlpm.val,IF($F224="",val_blankRefText,_xldudf_CX_GET(CX_ENTITY,$F224,BA$11,BA$14,,(BA$219))),_xlpm.Res,IF(OR(_xlpm.val="",_xlpm.val="Error"),"",_xlpm.val),_xlpm.Res)</f>
        <v>#NAME?</v>
      </c>
      <c r="BB224" s="1986" t="e" cm="1">
        <f t="array" ca="1" aca="1" ref="BB224">_xlfn.LET(_xlpm.val,IF($F224="",val_blankRefText,_xldudf_CX_GET(CX_ENTITY,$F224,BB$11,BB$14,,(BB$219))),_xlpm.Res,IF(OR(_xlpm.val="",_xlpm.val="Error"),"",_xlpm.val),_xlpm.Res)</f>
        <v>#NAME?</v>
      </c>
      <c r="BC224" s="1986" t="e" cm="1">
        <f t="array" ca="1" aca="1" ref="BC224">_xlfn.LET(_xlpm.val,IF($F224="",val_blankRefText,_xldudf_CX_GET(CX_ENTITY,$F224,BC$11,BC$14,,(BC$219))),_xlpm.Res,IF(OR(_xlpm.val="",_xlpm.val="Error"),"",_xlpm.val),_xlpm.Res)</f>
        <v>#NAME?</v>
      </c>
      <c r="BD224" s="1986" t="e" cm="1">
        <f t="array" ca="1" aca="1" ref="BD224">_xlfn.LET(_xlpm.val,IF($F224="",val_blankRefText,_xldudf_CX_GET(CX_ENTITY,$F224,BD$11,BD$14,,(BD$219))),_xlpm.Res,IF(OR(_xlpm.val="",_xlpm.val="Error"),"",_xlpm.val),_xlpm.Res)</f>
        <v>#NAME?</v>
      </c>
      <c r="BE224" s="1986" t="e" cm="1">
        <f t="array" ca="1" aca="1" ref="BE224">_xlfn.LET(_xlpm.val,IF($F224="",val_blankRefText,_xldudf_CX_GET(CX_ENTITY,$F224,BE$11,BE$14,,(BE$219))),_xlpm.Res,IF(OR(_xlpm.val="",_xlpm.val="Error"),"",_xlpm.val),_xlpm.Res)</f>
        <v>#NAME?</v>
      </c>
      <c r="BF224" s="1986" t="e" cm="1">
        <f t="array" ca="1" aca="1" ref="BF224">_xlfn.LET(_xlpm.val,IF($F224="",val_blankRefText,_xldudf_CX_GET(CX_ENTITY,$F224,BF$11,BF$14,,(BF$219))),_xlpm.Res,IF(OR(_xlpm.val="",_xlpm.val="Error"),"",_xlpm.val),_xlpm.Res)</f>
        <v>#NAME?</v>
      </c>
      <c r="BG224" s="1986" t="e" cm="1">
        <f t="array" ca="1" aca="1" ref="BG224">_xlfn.LET(_xlpm.val,IF($F224="",val_blankRefText,_xldudf_CX_GET(CX_ENTITY,$F224,BG$11,BG$14,,(BG$219))),_xlpm.Res,IF(OR(_xlpm.val="",_xlpm.val="Error"),"",_xlpm.val),_xlpm.Res)</f>
        <v>#NAME?</v>
      </c>
      <c r="BH224" s="1986" t="e" cm="1">
        <f t="array" ca="1" aca="1" ref="BH224">_xlfn.LET(_xlpm.val,IF($F224="",val_blankRefText,_xldudf_CX_GET(CX_ENTITY,$F224,BH$11,BH$14,,(BH$219))),_xlpm.Res,IF(OR(_xlpm.val="",_xlpm.val="Error"),"",_xlpm.val),_xlpm.Res)</f>
        <v>#NAME?</v>
      </c>
      <c r="BI224" s="1986" t="e" cm="1">
        <f t="array" ca="1" aca="1" ref="BI224">_xlfn.LET(_xlpm.val,IF($F224="",val_blankRefText,_xldudf_CX_GET(CX_ENTITY,$F224,BI$11,BI$14,,(BI$219))),_xlpm.Res,IF(OR(_xlpm.val="",_xlpm.val="Error"),"",_xlpm.val),_xlpm.Res)</f>
        <v>#NAME?</v>
      </c>
      <c r="BJ224" s="1986" t="e" cm="1">
        <f t="array" ca="1" aca="1" ref="BJ224">_xlfn.LET(_xlpm.val,IF($F224="",val_blankRefText,_xldudf_CX_GET(CX_ENTITY,$F224,BJ$11,BJ$14,,(BJ$219))),_xlpm.Res,IF(OR(_xlpm.val="",_xlpm.val="Error"),"",_xlpm.val),_xlpm.Res)</f>
        <v>#NAME?</v>
      </c>
      <c r="BK224" s="1986" t="e" cm="1">
        <f t="array" ca="1" aca="1" ref="BK224">_xlfn.LET(_xlpm.val,IF($F224="",val_blankRefText,_xldudf_CX_GET(CX_ENTITY,$F224,BK$11,BK$14,,(BK$219))),_xlpm.Res,IF(OR(_xlpm.val="",_xlpm.val="Error"),"",_xlpm.val),_xlpm.Res)</f>
        <v>#NAME?</v>
      </c>
      <c r="BL224" s="1986" t="e" cm="1">
        <f t="array" ca="1" aca="1" ref="BL224">_xlfn.LET(_xlpm.val,IF($F224="",val_blankRefText,_xldudf_CX_GET(CX_ENTITY,$F224,BL$11,BL$14,,(BL$219))),_xlpm.Res,IF(OR(_xlpm.val="",_xlpm.val="Error"),"",_xlpm.val),_xlpm.Res)</f>
        <v>#NAME?</v>
      </c>
      <c r="BM224" s="1986" t="e" cm="1">
        <f t="array" ca="1" aca="1" ref="BM224">_xlfn.LET(_xlpm.val,IF($F224="",val_blankRefText,_xldudf_CX_GET(CX_ENTITY,$F224,BM$11,BM$14,,(BM$219))),_xlpm.Res,IF(OR(_xlpm.val="",_xlpm.val="Error"),"",_xlpm.val),_xlpm.Res)</f>
        <v>#NAME?</v>
      </c>
      <c r="BN224" s="1986" t="e" cm="1">
        <f t="array" ca="1" aca="1" ref="BN224">_xlfn.LET(_xlpm.val,IF($F224="",val_blankRefText,_xldudf_CX_GET(CX_ENTITY,$F224,BN$11,BN$14,,(BN$219))),_xlpm.Res,IF(OR(_xlpm.val="",_xlpm.val="Error"),"",_xlpm.val),_xlpm.Res)</f>
        <v>#NAME?</v>
      </c>
      <c r="BO224" s="2103"/>
      <c r="BP224" s="2103"/>
      <c r="BQ224" s="2103"/>
      <c r="BR224" s="2103"/>
      <c r="BS224" s="2103"/>
      <c r="BT224" s="2103"/>
      <c r="BU224" s="2103"/>
      <c r="BV224" s="2103"/>
      <c r="BW224" s="2103"/>
      <c r="BX224" s="2103"/>
      <c r="BY224" s="2103"/>
      <c r="BZ224" s="2103"/>
      <c r="CA224" s="34"/>
      <c r="CC224" s="58"/>
      <c r="CD224" s="1461" t="e" cm="1">
        <f t="array" ca="1" aca="1" ref="CD224">_xlfn.LET(_xlpm.CheckBlank,SUM(PL!$AD224:$BN224)=0,IF(_xlpm.CheckBlank,"",SUM(_xlfn._xlws.FILTER(PL!$AD224:$BN224,(YEAR(PL!$AD$12:$BN$12)=PL!CD$12)*(array_timeline&lt;=PL!CD$11)))))</f>
        <v>#NAME?</v>
      </c>
      <c r="CE224" s="1461" t="e" cm="1">
        <f t="array" ca="1" aca="1" ref="CE224">_xlfn.LET(_xlpm.CheckBlank,SUM(PL!$AD224:$BN224)=0,IF(_xlpm.CheckBlank,"",SUM(_xlfn._xlws.FILTER(PL!$AD224:$BN224,(YEAR(PL!$AD$12:$BN$12)=PL!CE$12)*(array_timeline&lt;=PL!CE$11)))))</f>
        <v>#NAME?</v>
      </c>
      <c r="CF224" s="88"/>
      <c r="CG224" s="1461" t="e" cm="1">
        <f t="array" ca="1" aca="1" ref="CG224">_xlfn.LET(_xlpm.CheckBlank,SUM(PL!$AD224:$BN224)=0,IF(_xlpm.CheckBlank,"",SUM(_xlfn._xlws.FILTER(PL!$AD224:$BN224,(YEAR(PL!$AD$12:$BN$12)=PL!CG$12)*(array_timeline&lt;=PL!CG$11)))))</f>
        <v>#NAME?</v>
      </c>
      <c r="CH224" s="1461" t="e" cm="1">
        <f t="array" ca="1" aca="1" ref="CH224">_xlfn.LET(_xlpm.CheckBlank,SUM(PL!$AD224:$BN224)=0,IF(_xlpm.CheckBlank,"",SUM(_xlfn._xlws.FILTER(PL!$AD224:$BN224,(YEAR(PL!$AD$12:$BN$12)=PL!CH$12)*(array_timeline&lt;=PL!CH$11)))))</f>
        <v>#NAME?</v>
      </c>
      <c r="CI224" s="88"/>
      <c r="CJ224" s="1461" cm="1">
        <f t="array" ref="CJ224">_xlfn.LET(_xlpm.CheckBlank,SUM(PL!$AD224:$BN224)=0,IF(_xlpm.CheckBlank,"",SUM(_xlfn.TAKE(_xlfn.DROP(PL!$AD224:$BN224,,-DATEDIFF(PL!CJ$11,val_asOfDate,"M")),1,-12))))</f>
        <v>12</v>
      </c>
      <c r="CK224" s="1461" cm="1">
        <f t="array" ref="CK224">_xlfn.LET(_xlpm.CheckBlank,SUM(PL!$AD224:$BN224)=0,IF(_xlpm.CheckBlank,"",SUM(_xlfn.TAKE(_xlfn.DROP(PL!$AD224:$BN224,,-DATEDIFF(PL!CK$11,val_asOfDate,"M")),1,-12))))</f>
        <v>12</v>
      </c>
      <c r="CL224" s="88"/>
      <c r="CM224" s="1986" t="e" cm="1">
        <f t="array" ca="1" aca="1" ref="CM224">_xlfn.LET(_xlpm.val,IF($F224="",val_blankRefText,_xldudf_CX_GET(CX_ENTITY,$F224,CM$11,CM$14,,(CM$219))),_xlpm.Res,IF(OR(_xlpm.val="",_xlpm.val="Error"),"",_xlpm.val),_xlpm.Res)</f>
        <v>#NAME?</v>
      </c>
      <c r="CN224" s="1986" t="e" cm="1">
        <f t="array" ca="1" aca="1" ref="CN224">_xlfn.LET(_xlpm.val,IF($F224="",val_blankRefText,_xldudf_CX_GET(CX_ENTITY,$F224,CN$11,CN$14,,(CN$219))),_xlpm.Res,IF(OR(_xlpm.val="",_xlpm.val="Error"),"",_xlpm.val),_xlpm.Res)</f>
        <v>#NAME?</v>
      </c>
      <c r="CO224" s="1169"/>
      <c r="CP224" s="1986" t="e" cm="1">
        <f t="array" ca="1" aca="1" ref="CP224">_xlfn.LET(_xlpm.val,IF($F224="",val_blankRefText,_xldudf_CX_GET(CX_ENTITY,$F224,CP$11,CP$14,,(CP$219))),_xlpm.Res,IF(OR(_xlpm.val="",_xlpm.val="Error"),"",_xlpm.val),_xlpm.Res)</f>
        <v>#NAME?</v>
      </c>
      <c r="CQ224" s="1986" t="e" cm="1">
        <f t="array" ca="1" aca="1" ref="CQ224">_xlfn.LET(_xlpm.val,IF($F224="",val_blankRefText,_xldudf_CX_GET(CX_ENTITY,$F224,CQ$11,CQ$14,,(CQ$219))),_xlpm.Res,IF(OR(_xlpm.val="",_xlpm.val="Error"),"",_xlpm.val),_xlpm.Res)</f>
        <v>#NAME?</v>
      </c>
      <c r="CR224" s="34"/>
    </row>
    <row r="225" spans="1:96" ht="21" customHeight="1" outlineLevel="2">
      <c r="A225" s="1322"/>
      <c r="B225" s="577" t="s">
        <v>183</v>
      </c>
      <c r="C225" s="577" t="s">
        <v>1655</v>
      </c>
      <c r="D225" s="577"/>
      <c r="E225" s="577" t="e" cm="1">
        <f t="array" ca="1" aca="1" ref="E225">_xlfn.LET(_xlpm.Attr,$C225,_xlpm.Lookback,$E$16,_xlpm.QueryDate,EOMONTH(val_asOfDate,_xlpm.Lookback),_xlpm.ReadField,_xldudf_CX_GET(CX_ENTITY,fx_attrConverter($C225),_xlpm.QueryDate),_xlpm.AttrBlank,_xlpm.Attr="",_xlpm.RESULT,IF(_xlpm.AttrBlank,val_blankRefText,fx_attrConverter(_xlpm.ReadField,0)),IF(_xlpm.RESULT="Error","",_xlpm.RESULT))</f>
        <v>#NAME?</v>
      </c>
      <c r="F225" s="577" t="str">
        <f t="shared" si="66"/>
        <v>Segment III Breakdown - Amount 5</v>
      </c>
      <c r="G225" s="577" t="s">
        <v>1649</v>
      </c>
      <c r="H225" s="510">
        <v>0</v>
      </c>
      <c r="I225" s="3278">
        <v>1</v>
      </c>
      <c r="J225" s="30"/>
      <c r="K225" s="30"/>
      <c r="L225" s="579" t="b">
        <v>0</v>
      </c>
      <c r="N225" s="158"/>
      <c r="O225" s="101"/>
      <c r="P225" s="52"/>
      <c r="Q225" s="101"/>
      <c r="R225" s="101"/>
      <c r="S225" s="3008"/>
      <c r="T225" s="3008"/>
      <c r="U225" s="39"/>
      <c r="W225" s="91" t="e">
        <f ca="1">W221</f>
        <v>#NAME?</v>
      </c>
      <c r="X225" s="884" t="s">
        <v>62</v>
      </c>
      <c r="Y225" s="1553" t="e" cm="1">
        <f t="array" ca="1" aca="1" ref="Y225">IF($B225="",IFBLANK($E225,"Please select or type in or leave as blank"),IFBLANK($E225,$B225))</f>
        <v>#NAME?</v>
      </c>
      <c r="Z225" s="198" cm="1">
        <f t="array" ref="Z225">_xlfn.SWITCH(TRUE,ISBLANK(_PL!$L225),"",_PL!$L225=TRUE,1,_PL!$L225=FALSE,-1,_PL!$L225=-1,0,"n/a")</f>
        <v>-1</v>
      </c>
      <c r="AA225" s="905"/>
      <c r="AB225" s="591"/>
      <c r="AC225" s="914" t="str" cm="1">
        <f t="array" ref="AC225">_xlfn.LET(_xlpm.Def,IF(_xlfn.XMATCH(AB225,tbl_acctDef[Term],0)&gt;0,fx_getIcon("find"),""),_xlpm.Adj,IF(_xlfn.XMATCH(AB225,tbl_adjExample[Items],0)&gt;0,fx_getIcon("find"),""),IFERROR(IFBLANK(_xlpm.Def,_xlpm.Adj),""))</f>
        <v/>
      </c>
      <c r="AD225" s="1986" t="e" cm="1">
        <f t="array" ca="1" aca="1" ref="AD225">_xlfn.LET(_xlpm.val,IF($F225="",val_blankRefText,_xldudf_CX_GET(CX_ENTITY,$F225,AD$11,AD$14,,(AD$219))),_xlpm.Res,IF(OR(_xlpm.val="",_xlpm.val="Error"),"",_xlpm.val),_xlpm.Res)</f>
        <v>#NAME?</v>
      </c>
      <c r="AE225" s="1986" t="e" cm="1">
        <f t="array" ca="1" aca="1" ref="AE225">_xlfn.LET(_xlpm.val,IF($F225="",val_blankRefText,_xldudf_CX_GET(CX_ENTITY,$F225,AE$11,AE$14,,(AE$219))),_xlpm.Res,IF(OR(_xlpm.val="",_xlpm.val="Error"),"",_xlpm.val),_xlpm.Res)</f>
        <v>#NAME?</v>
      </c>
      <c r="AF225" s="1986" t="e" cm="1">
        <f t="array" ca="1" aca="1" ref="AF225">_xlfn.LET(_xlpm.val,IF($F225="",val_blankRefText,_xldudf_CX_GET(CX_ENTITY,$F225,AF$11,AF$14,,(AF$219))),_xlpm.Res,IF(OR(_xlpm.val="",_xlpm.val="Error"),"",_xlpm.val),_xlpm.Res)</f>
        <v>#NAME?</v>
      </c>
      <c r="AG225" s="1986" t="e" cm="1">
        <f t="array" ca="1" aca="1" ref="AG225">_xlfn.LET(_xlpm.val,IF($F225="",val_blankRefText,_xldudf_CX_GET(CX_ENTITY,$F225,AG$11,AG$14,,(AG$219))),_xlpm.Res,IF(OR(_xlpm.val="",_xlpm.val="Error"),"",_xlpm.val),_xlpm.Res)</f>
        <v>#NAME?</v>
      </c>
      <c r="AH225" s="1986" t="e" cm="1">
        <f t="array" ca="1" aca="1" ref="AH225">_xlfn.LET(_xlpm.val,IF($F225="",val_blankRefText,_xldudf_CX_GET(CX_ENTITY,$F225,AH$11,AH$14,,(AH$219))),_xlpm.Res,IF(OR(_xlpm.val="",_xlpm.val="Error"),"",_xlpm.val),_xlpm.Res)</f>
        <v>#NAME?</v>
      </c>
      <c r="AI225" s="1986" t="e" cm="1">
        <f t="array" ca="1" aca="1" ref="AI225">_xlfn.LET(_xlpm.val,IF($F225="",val_blankRefText,_xldudf_CX_GET(CX_ENTITY,$F225,AI$11,AI$14,,(AI$219))),_xlpm.Res,IF(OR(_xlpm.val="",_xlpm.val="Error"),"",_xlpm.val),_xlpm.Res)</f>
        <v>#NAME?</v>
      </c>
      <c r="AJ225" s="1986" t="e" cm="1">
        <f t="array" ca="1" aca="1" ref="AJ225">_xlfn.LET(_xlpm.val,IF($F225="",val_blankRefText,_xldudf_CX_GET(CX_ENTITY,$F225,AJ$11,AJ$14,,(AJ$219))),_xlpm.Res,IF(OR(_xlpm.val="",_xlpm.val="Error"),"",_xlpm.val),_xlpm.Res)</f>
        <v>#NAME?</v>
      </c>
      <c r="AK225" s="1986" t="e" cm="1">
        <f t="array" ca="1" aca="1" ref="AK225">_xlfn.LET(_xlpm.val,IF($F225="",val_blankRefText,_xldudf_CX_GET(CX_ENTITY,$F225,AK$11,AK$14,,(AK$219))),_xlpm.Res,IF(OR(_xlpm.val="",_xlpm.val="Error"),"",_xlpm.val),_xlpm.Res)</f>
        <v>#NAME?</v>
      </c>
      <c r="AL225" s="1986" t="e" cm="1">
        <f t="array" ca="1" aca="1" ref="AL225">_xlfn.LET(_xlpm.val,IF($F225="",val_blankRefText,_xldudf_CX_GET(CX_ENTITY,$F225,AL$11,AL$14,,(AL$219))),_xlpm.Res,IF(OR(_xlpm.val="",_xlpm.val="Error"),"",_xlpm.val),_xlpm.Res)</f>
        <v>#NAME?</v>
      </c>
      <c r="AM225" s="1986" t="e" cm="1">
        <f t="array" ca="1" aca="1" ref="AM225">_xlfn.LET(_xlpm.val,IF($F225="",val_blankRefText,_xldudf_CX_GET(CX_ENTITY,$F225,AM$11,AM$14,,(AM$219))),_xlpm.Res,IF(OR(_xlpm.val="",_xlpm.val="Error"),"",_xlpm.val),_xlpm.Res)</f>
        <v>#NAME?</v>
      </c>
      <c r="AN225" s="1986" t="e" cm="1">
        <f t="array" ca="1" aca="1" ref="AN225">_xlfn.LET(_xlpm.val,IF($F225="",val_blankRefText,_xldudf_CX_GET(CX_ENTITY,$F225,AN$11,AN$14,,(AN$219))),_xlpm.Res,IF(OR(_xlpm.val="",_xlpm.val="Error"),"",_xlpm.val),_xlpm.Res)</f>
        <v>#NAME?</v>
      </c>
      <c r="AO225" s="1986" t="e" cm="1">
        <f t="array" ca="1" aca="1" ref="AO225">_xlfn.LET(_xlpm.val,IF($F225="",val_blankRefText,_xldudf_CX_GET(CX_ENTITY,$F225,AO$11,AO$14,,(AO$219))),_xlpm.Res,IF(OR(_xlpm.val="",_xlpm.val="Error"),"",_xlpm.val),_xlpm.Res)</f>
        <v>#NAME?</v>
      </c>
      <c r="AP225" s="1986" t="e" cm="1">
        <f t="array" ca="1" aca="1" ref="AP225">_xlfn.LET(_xlpm.val,IF($F225="",val_blankRefText,_xldudf_CX_GET(CX_ENTITY,$F225,AP$11,AP$14,,(AP$219))),_xlpm.Res,IF(OR(_xlpm.val="",_xlpm.val="Error"),"",_xlpm.val),_xlpm.Res)</f>
        <v>#NAME?</v>
      </c>
      <c r="AQ225" s="1986" t="e" cm="1">
        <f t="array" ca="1" aca="1" ref="AQ225">_xlfn.LET(_xlpm.val,IF($F225="",val_blankRefText,_xldudf_CX_GET(CX_ENTITY,$F225,AQ$11,AQ$14,,(AQ$219))),_xlpm.Res,IF(OR(_xlpm.val="",_xlpm.val="Error"),"",_xlpm.val),_xlpm.Res)</f>
        <v>#NAME?</v>
      </c>
      <c r="AR225" s="1986" t="e" cm="1">
        <f t="array" ca="1" aca="1" ref="AR225">_xlfn.LET(_xlpm.val,IF($F225="",val_blankRefText,_xldudf_CX_GET(CX_ENTITY,$F225,AR$11,AR$14,,(AR$219))),_xlpm.Res,IF(OR(_xlpm.val="",_xlpm.val="Error"),"",_xlpm.val),_xlpm.Res)</f>
        <v>#NAME?</v>
      </c>
      <c r="AS225" s="1986" t="e" cm="1">
        <f t="array" ca="1" aca="1" ref="AS225">_xlfn.LET(_xlpm.val,IF($F225="",val_blankRefText,_xldudf_CX_GET(CX_ENTITY,$F225,AS$11,AS$14,,(AS$219))),_xlpm.Res,IF(OR(_xlpm.val="",_xlpm.val="Error"),"",_xlpm.val),_xlpm.Res)</f>
        <v>#NAME?</v>
      </c>
      <c r="AT225" s="1986" t="e" cm="1">
        <f t="array" ca="1" aca="1" ref="AT225">_xlfn.LET(_xlpm.val,IF($F225="",val_blankRefText,_xldudf_CX_GET(CX_ENTITY,$F225,AT$11,AT$14,,(AT$219))),_xlpm.Res,IF(OR(_xlpm.val="",_xlpm.val="Error"),"",_xlpm.val),_xlpm.Res)</f>
        <v>#NAME?</v>
      </c>
      <c r="AU225" s="1986" t="e" cm="1">
        <f t="array" ca="1" aca="1" ref="AU225">_xlfn.LET(_xlpm.val,IF($F225="",val_blankRefText,_xldudf_CX_GET(CX_ENTITY,$F225,AU$11,AU$14,,(AU$219))),_xlpm.Res,IF(OR(_xlpm.val="",_xlpm.val="Error"),"",_xlpm.val),_xlpm.Res)</f>
        <v>#NAME?</v>
      </c>
      <c r="AV225" s="1986" t="e" cm="1">
        <f t="array" ca="1" aca="1" ref="AV225">_xlfn.LET(_xlpm.val,IF($F225="",val_blankRefText,_xldudf_CX_GET(CX_ENTITY,$F225,AV$11,AV$14,,(AV$219))),_xlpm.Res,IF(OR(_xlpm.val="",_xlpm.val="Error"),"",_xlpm.val),_xlpm.Res)</f>
        <v>#NAME?</v>
      </c>
      <c r="AW225" s="1986" t="e" cm="1">
        <f t="array" ca="1" aca="1" ref="AW225">_xlfn.LET(_xlpm.val,IF($F225="",val_blankRefText,_xldudf_CX_GET(CX_ENTITY,$F225,AW$11,AW$14,,(AW$219))),_xlpm.Res,IF(OR(_xlpm.val="",_xlpm.val="Error"),"",_xlpm.val),_xlpm.Res)</f>
        <v>#NAME?</v>
      </c>
      <c r="AX225" s="1986" t="e" cm="1">
        <f t="array" ca="1" aca="1" ref="AX225">_xlfn.LET(_xlpm.val,IF($F225="",val_blankRefText,_xldudf_CX_GET(CX_ENTITY,$F225,AX$11,AX$14,,(AX$219))),_xlpm.Res,IF(OR(_xlpm.val="",_xlpm.val="Error"),"",_xlpm.val),_xlpm.Res)</f>
        <v>#NAME?</v>
      </c>
      <c r="AY225" s="1986" t="e" cm="1">
        <f t="array" ca="1" aca="1" ref="AY225">_xlfn.LET(_xlpm.val,IF($F225="",val_blankRefText,_xldudf_CX_GET(CX_ENTITY,$F225,AY$11,AY$14,,(AY$219))),_xlpm.Res,IF(OR(_xlpm.val="",_xlpm.val="Error"),"",_xlpm.val),_xlpm.Res)</f>
        <v>#NAME?</v>
      </c>
      <c r="AZ225" s="1986" t="e" cm="1">
        <f t="array" ca="1" aca="1" ref="AZ225">_xlfn.LET(_xlpm.val,IF($F225="",val_blankRefText,_xldudf_CX_GET(CX_ENTITY,$F225,AZ$11,AZ$14,,(AZ$219))),_xlpm.Res,IF(OR(_xlpm.val="",_xlpm.val="Error"),"",_xlpm.val),_xlpm.Res)</f>
        <v>#NAME?</v>
      </c>
      <c r="BA225" s="1986" t="e" cm="1">
        <f t="array" ca="1" aca="1" ref="BA225">_xlfn.LET(_xlpm.val,IF($F225="",val_blankRefText,_xldudf_CX_GET(CX_ENTITY,$F225,BA$11,BA$14,,(BA$219))),_xlpm.Res,IF(OR(_xlpm.val="",_xlpm.val="Error"),"",_xlpm.val),_xlpm.Res)</f>
        <v>#NAME?</v>
      </c>
      <c r="BB225" s="1986" t="e" cm="1">
        <f t="array" ca="1" aca="1" ref="BB225">_xlfn.LET(_xlpm.val,IF($F225="",val_blankRefText,_xldudf_CX_GET(CX_ENTITY,$F225,BB$11,BB$14,,(BB$219))),_xlpm.Res,IF(OR(_xlpm.val="",_xlpm.val="Error"),"",_xlpm.val),_xlpm.Res)</f>
        <v>#NAME?</v>
      </c>
      <c r="BC225" s="1986" t="e" cm="1">
        <f t="array" ca="1" aca="1" ref="BC225">_xlfn.LET(_xlpm.val,IF($F225="",val_blankRefText,_xldudf_CX_GET(CX_ENTITY,$F225,BC$11,BC$14,,(BC$219))),_xlpm.Res,IF(OR(_xlpm.val="",_xlpm.val="Error"),"",_xlpm.val),_xlpm.Res)</f>
        <v>#NAME?</v>
      </c>
      <c r="BD225" s="1986" t="e" cm="1">
        <f t="array" ca="1" aca="1" ref="BD225">_xlfn.LET(_xlpm.val,IF($F225="",val_blankRefText,_xldudf_CX_GET(CX_ENTITY,$F225,BD$11,BD$14,,(BD$219))),_xlpm.Res,IF(OR(_xlpm.val="",_xlpm.val="Error"),"",_xlpm.val),_xlpm.Res)</f>
        <v>#NAME?</v>
      </c>
      <c r="BE225" s="1986" t="e" cm="1">
        <f t="array" ca="1" aca="1" ref="BE225">_xlfn.LET(_xlpm.val,IF($F225="",val_blankRefText,_xldudf_CX_GET(CX_ENTITY,$F225,BE$11,BE$14,,(BE$219))),_xlpm.Res,IF(OR(_xlpm.val="",_xlpm.val="Error"),"",_xlpm.val),_xlpm.Res)</f>
        <v>#NAME?</v>
      </c>
      <c r="BF225" s="1986" t="e" cm="1">
        <f t="array" ca="1" aca="1" ref="BF225">_xlfn.LET(_xlpm.val,IF($F225="",val_blankRefText,_xldudf_CX_GET(CX_ENTITY,$F225,BF$11,BF$14,,(BF$219))),_xlpm.Res,IF(OR(_xlpm.val="",_xlpm.val="Error"),"",_xlpm.val),_xlpm.Res)</f>
        <v>#NAME?</v>
      </c>
      <c r="BG225" s="1986" t="e" cm="1">
        <f t="array" ca="1" aca="1" ref="BG225">_xlfn.LET(_xlpm.val,IF($F225="",val_blankRefText,_xldudf_CX_GET(CX_ENTITY,$F225,BG$11,BG$14,,(BG$219))),_xlpm.Res,IF(OR(_xlpm.val="",_xlpm.val="Error"),"",_xlpm.val),_xlpm.Res)</f>
        <v>#NAME?</v>
      </c>
      <c r="BH225" s="1986" t="e" cm="1">
        <f t="array" ca="1" aca="1" ref="BH225">_xlfn.LET(_xlpm.val,IF($F225="",val_blankRefText,_xldudf_CX_GET(CX_ENTITY,$F225,BH$11,BH$14,,(BH$219))),_xlpm.Res,IF(OR(_xlpm.val="",_xlpm.val="Error"),"",_xlpm.val),_xlpm.Res)</f>
        <v>#NAME?</v>
      </c>
      <c r="BI225" s="1986" t="e" cm="1">
        <f t="array" ca="1" aca="1" ref="BI225">_xlfn.LET(_xlpm.val,IF($F225="",val_blankRefText,_xldudf_CX_GET(CX_ENTITY,$F225,BI$11,BI$14,,(BI$219))),_xlpm.Res,IF(OR(_xlpm.val="",_xlpm.val="Error"),"",_xlpm.val),_xlpm.Res)</f>
        <v>#NAME?</v>
      </c>
      <c r="BJ225" s="1986" t="e" cm="1">
        <f t="array" ca="1" aca="1" ref="BJ225">_xlfn.LET(_xlpm.val,IF($F225="",val_blankRefText,_xldudf_CX_GET(CX_ENTITY,$F225,BJ$11,BJ$14,,(BJ$219))),_xlpm.Res,IF(OR(_xlpm.val="",_xlpm.val="Error"),"",_xlpm.val),_xlpm.Res)</f>
        <v>#NAME?</v>
      </c>
      <c r="BK225" s="1986" t="e" cm="1">
        <f t="array" ca="1" aca="1" ref="BK225">_xlfn.LET(_xlpm.val,IF($F225="",val_blankRefText,_xldudf_CX_GET(CX_ENTITY,$F225,BK$11,BK$14,,(BK$219))),_xlpm.Res,IF(OR(_xlpm.val="",_xlpm.val="Error"),"",_xlpm.val),_xlpm.Res)</f>
        <v>#NAME?</v>
      </c>
      <c r="BL225" s="1986" t="e" cm="1">
        <f t="array" ca="1" aca="1" ref="BL225">_xlfn.LET(_xlpm.val,IF($F225="",val_blankRefText,_xldudf_CX_GET(CX_ENTITY,$F225,BL$11,BL$14,,(BL$219))),_xlpm.Res,IF(OR(_xlpm.val="",_xlpm.val="Error"),"",_xlpm.val),_xlpm.Res)</f>
        <v>#NAME?</v>
      </c>
      <c r="BM225" s="1986" t="e" cm="1">
        <f t="array" ca="1" aca="1" ref="BM225">_xlfn.LET(_xlpm.val,IF($F225="",val_blankRefText,_xldudf_CX_GET(CX_ENTITY,$F225,BM$11,BM$14,,(BM$219))),_xlpm.Res,IF(OR(_xlpm.val="",_xlpm.val="Error"),"",_xlpm.val),_xlpm.Res)</f>
        <v>#NAME?</v>
      </c>
      <c r="BN225" s="1986" t="e" cm="1">
        <f t="array" ca="1" aca="1" ref="BN225">_xlfn.LET(_xlpm.val,IF($F225="",val_blankRefText,_xldudf_CX_GET(CX_ENTITY,$F225,BN$11,BN$14,,(BN$219))),_xlpm.Res,IF(OR(_xlpm.val="",_xlpm.val="Error"),"",_xlpm.val),_xlpm.Res)</f>
        <v>#NAME?</v>
      </c>
      <c r="BO225" s="2103"/>
      <c r="BP225" s="2103"/>
      <c r="BQ225" s="2103"/>
      <c r="BR225" s="2103"/>
      <c r="BS225" s="2103"/>
      <c r="BT225" s="2103"/>
      <c r="BU225" s="2103"/>
      <c r="BV225" s="2103"/>
      <c r="BW225" s="2103"/>
      <c r="BX225" s="2103"/>
      <c r="BY225" s="2103"/>
      <c r="BZ225" s="2103"/>
      <c r="CA225" s="34"/>
      <c r="CC225" s="58"/>
      <c r="CD225" s="1461" t="e" cm="1">
        <f t="array" ca="1" aca="1" ref="CD225">_xlfn.LET(_xlpm.CheckBlank,SUM(PL!$AD225:$BN225)=0,IF(_xlpm.CheckBlank,"",SUM(_xlfn._xlws.FILTER(PL!$AD225:$BN225,(YEAR(PL!$AD$12:$BN$12)=PL!CD$12)*(array_timeline&lt;=PL!CD$11)))))</f>
        <v>#NAME?</v>
      </c>
      <c r="CE225" s="1461" t="e" cm="1">
        <f t="array" ca="1" aca="1" ref="CE225">_xlfn.LET(_xlpm.CheckBlank,SUM(PL!$AD225:$BN225)=0,IF(_xlpm.CheckBlank,"",SUM(_xlfn._xlws.FILTER(PL!$AD225:$BN225,(YEAR(PL!$AD$12:$BN$12)=PL!CE$12)*(array_timeline&lt;=PL!CE$11)))))</f>
        <v>#NAME?</v>
      </c>
      <c r="CF225" s="88"/>
      <c r="CG225" s="1461" t="e" cm="1">
        <f t="array" ca="1" aca="1" ref="CG225">_xlfn.LET(_xlpm.CheckBlank,SUM(PL!$AD225:$BN225)=0,IF(_xlpm.CheckBlank,"",SUM(_xlfn._xlws.FILTER(PL!$AD225:$BN225,(YEAR(PL!$AD$12:$BN$12)=PL!CG$12)*(array_timeline&lt;=PL!CG$11)))))</f>
        <v>#NAME?</v>
      </c>
      <c r="CH225" s="1461" t="e" cm="1">
        <f t="array" ca="1" aca="1" ref="CH225">_xlfn.LET(_xlpm.CheckBlank,SUM(PL!$AD225:$BN225)=0,IF(_xlpm.CheckBlank,"",SUM(_xlfn._xlws.FILTER(PL!$AD225:$BN225,(YEAR(PL!$AD$12:$BN$12)=PL!CH$12)*(array_timeline&lt;=PL!CH$11)))))</f>
        <v>#NAME?</v>
      </c>
      <c r="CI225" s="88"/>
      <c r="CJ225" s="1461" cm="1">
        <f t="array" ref="CJ225">_xlfn.LET(_xlpm.CheckBlank,SUM(PL!$AD225:$BN225)=0,IF(_xlpm.CheckBlank,"",SUM(_xlfn.TAKE(_xlfn.DROP(PL!$AD225:$BN225,,-DATEDIFF(PL!CJ$11,val_asOfDate,"M")),1,-12))))</f>
        <v>12</v>
      </c>
      <c r="CK225" s="1461" cm="1">
        <f t="array" ref="CK225">_xlfn.LET(_xlpm.CheckBlank,SUM(PL!$AD225:$BN225)=0,IF(_xlpm.CheckBlank,"",SUM(_xlfn.TAKE(_xlfn.DROP(PL!$AD225:$BN225,,-DATEDIFF(PL!CK$11,val_asOfDate,"M")),1,-12))))</f>
        <v>12</v>
      </c>
      <c r="CL225" s="88"/>
      <c r="CM225" s="1986" t="e" cm="1">
        <f t="array" ca="1" aca="1" ref="CM225">_xlfn.LET(_xlpm.val,IF($F225="",val_blankRefText,_xldudf_CX_GET(CX_ENTITY,$F225,CM$11,CM$14,,(CM$219))),_xlpm.Res,IF(OR(_xlpm.val="",_xlpm.val="Error"),"",_xlpm.val),_xlpm.Res)</f>
        <v>#NAME?</v>
      </c>
      <c r="CN225" s="1986" t="e" cm="1">
        <f t="array" ca="1" aca="1" ref="CN225">_xlfn.LET(_xlpm.val,IF($F225="",val_blankRefText,_xldudf_CX_GET(CX_ENTITY,$F225,CN$11,CN$14,,(CN$219))),_xlpm.Res,IF(OR(_xlpm.val="",_xlpm.val="Error"),"",_xlpm.val),_xlpm.Res)</f>
        <v>#NAME?</v>
      </c>
      <c r="CO225" s="1169"/>
      <c r="CP225" s="1986" t="e" cm="1">
        <f t="array" ca="1" aca="1" ref="CP225">_xlfn.LET(_xlpm.val,IF($F225="",val_blankRefText,_xldudf_CX_GET(CX_ENTITY,$F225,CP$11,CP$14,,(CP$219))),_xlpm.Res,IF(OR(_xlpm.val="",_xlpm.val="Error"),"",_xlpm.val),_xlpm.Res)</f>
        <v>#NAME?</v>
      </c>
      <c r="CQ225" s="1986" t="e" cm="1">
        <f t="array" ca="1" aca="1" ref="CQ225">_xlfn.LET(_xlpm.val,IF($F225="",val_blankRefText,_xldudf_CX_GET(CX_ENTITY,$F225,CQ$11,CQ$14,,(CQ$219))),_xlpm.Res,IF(OR(_xlpm.val="",_xlpm.val="Error"),"",_xlpm.val),_xlpm.Res)</f>
        <v>#NAME?</v>
      </c>
      <c r="CR225" s="34"/>
    </row>
    <row r="226" spans="1:96" ht="21" customHeight="1" outlineLevel="2">
      <c r="A226" s="1322"/>
      <c r="B226" s="577" t="s">
        <v>184</v>
      </c>
      <c r="C226" s="577" t="s">
        <v>1656</v>
      </c>
      <c r="D226" s="577"/>
      <c r="E226" s="577" t="e" cm="1">
        <f t="array" ca="1" aca="1" ref="E226">_xlfn.LET(_xlpm.Attr,$C226,_xlpm.Lookback,$E$16,_xlpm.QueryDate,EOMONTH(val_asOfDate,_xlpm.Lookback),_xlpm.ReadField,_xldudf_CX_GET(CX_ENTITY,fx_attrConverter($C226),_xlpm.QueryDate),_xlpm.AttrBlank,_xlpm.Attr="",_xlpm.RESULT,IF(_xlpm.AttrBlank,val_blankRefText,fx_attrConverter(_xlpm.ReadField,0)),IF(_xlpm.RESULT="Error","",_xlpm.RESULT))</f>
        <v>#NAME?</v>
      </c>
      <c r="F226" s="577" t="str">
        <f t="shared" si="66"/>
        <v>Segment III Breakdown - Amount 6</v>
      </c>
      <c r="G226" s="577" t="s">
        <v>1649</v>
      </c>
      <c r="H226" s="585">
        <v>0</v>
      </c>
      <c r="I226" s="3290">
        <v>1</v>
      </c>
      <c r="J226" s="586"/>
      <c r="K226" s="586"/>
      <c r="L226" s="579" t="b">
        <v>0</v>
      </c>
      <c r="N226" s="158"/>
      <c r="O226" s="101"/>
      <c r="P226" s="52"/>
      <c r="Q226" s="101"/>
      <c r="R226" s="101"/>
      <c r="S226" s="3008"/>
      <c r="T226" s="3008"/>
      <c r="U226" s="39"/>
      <c r="W226" s="91" t="e">
        <f ca="1">W222</f>
        <v>#NAME?</v>
      </c>
      <c r="X226" s="884" t="s">
        <v>62</v>
      </c>
      <c r="Y226" s="1553" t="e" cm="1">
        <f t="array" ca="1" aca="1" ref="Y226">IF($B226="",IFBLANK($E226,"Please select or type in or leave as blank"),IFBLANK($E226,$B226))</f>
        <v>#NAME?</v>
      </c>
      <c r="Z226" s="198" cm="1">
        <f t="array" ref="Z226">_xlfn.SWITCH(TRUE,ISBLANK(_PL!$L226),"",_PL!$L226=TRUE,1,_PL!$L226=FALSE,-1,_PL!$L226=-1,0,"n/a")</f>
        <v>-1</v>
      </c>
      <c r="AA226" s="905"/>
      <c r="AB226" s="591"/>
      <c r="AC226" s="914" t="str" cm="1">
        <f t="array" ref="AC226">_xlfn.LET(_xlpm.Def,IF(_xlfn.XMATCH(AB226,tbl_acctDef[Term],0)&gt;0,fx_getIcon("find"),""),_xlpm.Adj,IF(_xlfn.XMATCH(AB226,tbl_adjExample[Items],0)&gt;0,fx_getIcon("find"),""),IFERROR(IFBLANK(_xlpm.Def,_xlpm.Adj),""))</f>
        <v/>
      </c>
      <c r="AD226" s="1986" t="e" cm="1">
        <f t="array" ca="1" aca="1" ref="AD226">_xlfn.LET(_xlpm.val,IF($F226="",val_blankRefText,_xldudf_CX_GET(CX_ENTITY,$F226,AD$11,AD$14,,(AD$219))),_xlpm.Res,IF(OR(_xlpm.val="",_xlpm.val="Error"),"",_xlpm.val),_xlpm.Res)</f>
        <v>#NAME?</v>
      </c>
      <c r="AE226" s="1986" t="e" cm="1">
        <f t="array" ca="1" aca="1" ref="AE226">_xlfn.LET(_xlpm.val,IF($F226="",val_blankRefText,_xldudf_CX_GET(CX_ENTITY,$F226,AE$11,AE$14,,(AE$219))),_xlpm.Res,IF(OR(_xlpm.val="",_xlpm.val="Error"),"",_xlpm.val),_xlpm.Res)</f>
        <v>#NAME?</v>
      </c>
      <c r="AF226" s="1986" t="e" cm="1">
        <f t="array" ca="1" aca="1" ref="AF226">_xlfn.LET(_xlpm.val,IF($F226="",val_blankRefText,_xldudf_CX_GET(CX_ENTITY,$F226,AF$11,AF$14,,(AF$219))),_xlpm.Res,IF(OR(_xlpm.val="",_xlpm.val="Error"),"",_xlpm.val),_xlpm.Res)</f>
        <v>#NAME?</v>
      </c>
      <c r="AG226" s="1986" t="e" cm="1">
        <f t="array" ca="1" aca="1" ref="AG226">_xlfn.LET(_xlpm.val,IF($F226="",val_blankRefText,_xldudf_CX_GET(CX_ENTITY,$F226,AG$11,AG$14,,(AG$219))),_xlpm.Res,IF(OR(_xlpm.val="",_xlpm.val="Error"),"",_xlpm.val),_xlpm.Res)</f>
        <v>#NAME?</v>
      </c>
      <c r="AH226" s="1986" t="e" cm="1">
        <f t="array" ca="1" aca="1" ref="AH226">_xlfn.LET(_xlpm.val,IF($F226="",val_blankRefText,_xldudf_CX_GET(CX_ENTITY,$F226,AH$11,AH$14,,(AH$219))),_xlpm.Res,IF(OR(_xlpm.val="",_xlpm.val="Error"),"",_xlpm.val),_xlpm.Res)</f>
        <v>#NAME?</v>
      </c>
      <c r="AI226" s="1986" t="e" cm="1">
        <f t="array" ca="1" aca="1" ref="AI226">_xlfn.LET(_xlpm.val,IF($F226="",val_blankRefText,_xldudf_CX_GET(CX_ENTITY,$F226,AI$11,AI$14,,(AI$219))),_xlpm.Res,IF(OR(_xlpm.val="",_xlpm.val="Error"),"",_xlpm.val),_xlpm.Res)</f>
        <v>#NAME?</v>
      </c>
      <c r="AJ226" s="1986" t="e" cm="1">
        <f t="array" ca="1" aca="1" ref="AJ226">_xlfn.LET(_xlpm.val,IF($F226="",val_blankRefText,_xldudf_CX_GET(CX_ENTITY,$F226,AJ$11,AJ$14,,(AJ$219))),_xlpm.Res,IF(OR(_xlpm.val="",_xlpm.val="Error"),"",_xlpm.val),_xlpm.Res)</f>
        <v>#NAME?</v>
      </c>
      <c r="AK226" s="1986" t="e" cm="1">
        <f t="array" ca="1" aca="1" ref="AK226">_xlfn.LET(_xlpm.val,IF($F226="",val_blankRefText,_xldudf_CX_GET(CX_ENTITY,$F226,AK$11,AK$14,,(AK$219))),_xlpm.Res,IF(OR(_xlpm.val="",_xlpm.val="Error"),"",_xlpm.val),_xlpm.Res)</f>
        <v>#NAME?</v>
      </c>
      <c r="AL226" s="1986" t="e" cm="1">
        <f t="array" ca="1" aca="1" ref="AL226">_xlfn.LET(_xlpm.val,IF($F226="",val_blankRefText,_xldudf_CX_GET(CX_ENTITY,$F226,AL$11,AL$14,,(AL$219))),_xlpm.Res,IF(OR(_xlpm.val="",_xlpm.val="Error"),"",_xlpm.val),_xlpm.Res)</f>
        <v>#NAME?</v>
      </c>
      <c r="AM226" s="1986" t="e" cm="1">
        <f t="array" ca="1" aca="1" ref="AM226">_xlfn.LET(_xlpm.val,IF($F226="",val_blankRefText,_xldudf_CX_GET(CX_ENTITY,$F226,AM$11,AM$14,,(AM$219))),_xlpm.Res,IF(OR(_xlpm.val="",_xlpm.val="Error"),"",_xlpm.val),_xlpm.Res)</f>
        <v>#NAME?</v>
      </c>
      <c r="AN226" s="1986" t="e" cm="1">
        <f t="array" ca="1" aca="1" ref="AN226">_xlfn.LET(_xlpm.val,IF($F226="",val_blankRefText,_xldudf_CX_GET(CX_ENTITY,$F226,AN$11,AN$14,,(AN$219))),_xlpm.Res,IF(OR(_xlpm.val="",_xlpm.val="Error"),"",_xlpm.val),_xlpm.Res)</f>
        <v>#NAME?</v>
      </c>
      <c r="AO226" s="1986" t="e" cm="1">
        <f t="array" ca="1" aca="1" ref="AO226">_xlfn.LET(_xlpm.val,IF($F226="",val_blankRefText,_xldudf_CX_GET(CX_ENTITY,$F226,AO$11,AO$14,,(AO$219))),_xlpm.Res,IF(OR(_xlpm.val="",_xlpm.val="Error"),"",_xlpm.val),_xlpm.Res)</f>
        <v>#NAME?</v>
      </c>
      <c r="AP226" s="1986" t="e" cm="1">
        <f t="array" ca="1" aca="1" ref="AP226">_xlfn.LET(_xlpm.val,IF($F226="",val_blankRefText,_xldudf_CX_GET(CX_ENTITY,$F226,AP$11,AP$14,,(AP$219))),_xlpm.Res,IF(OR(_xlpm.val="",_xlpm.val="Error"),"",_xlpm.val),_xlpm.Res)</f>
        <v>#NAME?</v>
      </c>
      <c r="AQ226" s="1986" t="e" cm="1">
        <f t="array" ca="1" aca="1" ref="AQ226">_xlfn.LET(_xlpm.val,IF($F226="",val_blankRefText,_xldudf_CX_GET(CX_ENTITY,$F226,AQ$11,AQ$14,,(AQ$219))),_xlpm.Res,IF(OR(_xlpm.val="",_xlpm.val="Error"),"",_xlpm.val),_xlpm.Res)</f>
        <v>#NAME?</v>
      </c>
      <c r="AR226" s="1986" t="e" cm="1">
        <f t="array" ca="1" aca="1" ref="AR226">_xlfn.LET(_xlpm.val,IF($F226="",val_blankRefText,_xldudf_CX_GET(CX_ENTITY,$F226,AR$11,AR$14,,(AR$219))),_xlpm.Res,IF(OR(_xlpm.val="",_xlpm.val="Error"),"",_xlpm.val),_xlpm.Res)</f>
        <v>#NAME?</v>
      </c>
      <c r="AS226" s="1986" t="e" cm="1">
        <f t="array" ca="1" aca="1" ref="AS226">_xlfn.LET(_xlpm.val,IF($F226="",val_blankRefText,_xldudf_CX_GET(CX_ENTITY,$F226,AS$11,AS$14,,(AS$219))),_xlpm.Res,IF(OR(_xlpm.val="",_xlpm.val="Error"),"",_xlpm.val),_xlpm.Res)</f>
        <v>#NAME?</v>
      </c>
      <c r="AT226" s="1986" t="e" cm="1">
        <f t="array" ca="1" aca="1" ref="AT226">_xlfn.LET(_xlpm.val,IF($F226="",val_blankRefText,_xldudf_CX_GET(CX_ENTITY,$F226,AT$11,AT$14,,(AT$219))),_xlpm.Res,IF(OR(_xlpm.val="",_xlpm.val="Error"),"",_xlpm.val),_xlpm.Res)</f>
        <v>#NAME?</v>
      </c>
      <c r="AU226" s="1986" t="e" cm="1">
        <f t="array" ca="1" aca="1" ref="AU226">_xlfn.LET(_xlpm.val,IF($F226="",val_blankRefText,_xldudf_CX_GET(CX_ENTITY,$F226,AU$11,AU$14,,(AU$219))),_xlpm.Res,IF(OR(_xlpm.val="",_xlpm.val="Error"),"",_xlpm.val),_xlpm.Res)</f>
        <v>#NAME?</v>
      </c>
      <c r="AV226" s="1986" t="e" cm="1">
        <f t="array" ca="1" aca="1" ref="AV226">_xlfn.LET(_xlpm.val,IF($F226="",val_blankRefText,_xldudf_CX_GET(CX_ENTITY,$F226,AV$11,AV$14,,(AV$219))),_xlpm.Res,IF(OR(_xlpm.val="",_xlpm.val="Error"),"",_xlpm.val),_xlpm.Res)</f>
        <v>#NAME?</v>
      </c>
      <c r="AW226" s="1986" t="e" cm="1">
        <f t="array" ca="1" aca="1" ref="AW226">_xlfn.LET(_xlpm.val,IF($F226="",val_blankRefText,_xldudf_CX_GET(CX_ENTITY,$F226,AW$11,AW$14,,(AW$219))),_xlpm.Res,IF(OR(_xlpm.val="",_xlpm.val="Error"),"",_xlpm.val),_xlpm.Res)</f>
        <v>#NAME?</v>
      </c>
      <c r="AX226" s="1986" t="e" cm="1">
        <f t="array" ca="1" aca="1" ref="AX226">_xlfn.LET(_xlpm.val,IF($F226="",val_blankRefText,_xldudf_CX_GET(CX_ENTITY,$F226,AX$11,AX$14,,(AX$219))),_xlpm.Res,IF(OR(_xlpm.val="",_xlpm.val="Error"),"",_xlpm.val),_xlpm.Res)</f>
        <v>#NAME?</v>
      </c>
      <c r="AY226" s="1986" t="e" cm="1">
        <f t="array" ca="1" aca="1" ref="AY226">_xlfn.LET(_xlpm.val,IF($F226="",val_blankRefText,_xldudf_CX_GET(CX_ENTITY,$F226,AY$11,AY$14,,(AY$219))),_xlpm.Res,IF(OR(_xlpm.val="",_xlpm.val="Error"),"",_xlpm.val),_xlpm.Res)</f>
        <v>#NAME?</v>
      </c>
      <c r="AZ226" s="1986" t="e" cm="1">
        <f t="array" ca="1" aca="1" ref="AZ226">_xlfn.LET(_xlpm.val,IF($F226="",val_blankRefText,_xldudf_CX_GET(CX_ENTITY,$F226,AZ$11,AZ$14,,(AZ$219))),_xlpm.Res,IF(OR(_xlpm.val="",_xlpm.val="Error"),"",_xlpm.val),_xlpm.Res)</f>
        <v>#NAME?</v>
      </c>
      <c r="BA226" s="1986" t="e" cm="1">
        <f t="array" ca="1" aca="1" ref="BA226">_xlfn.LET(_xlpm.val,IF($F226="",val_blankRefText,_xldudf_CX_GET(CX_ENTITY,$F226,BA$11,BA$14,,(BA$219))),_xlpm.Res,IF(OR(_xlpm.val="",_xlpm.val="Error"),"",_xlpm.val),_xlpm.Res)</f>
        <v>#NAME?</v>
      </c>
      <c r="BB226" s="1986" t="e" cm="1">
        <f t="array" ca="1" aca="1" ref="BB226">_xlfn.LET(_xlpm.val,IF($F226="",val_blankRefText,_xldudf_CX_GET(CX_ENTITY,$F226,BB$11,BB$14,,(BB$219))),_xlpm.Res,IF(OR(_xlpm.val="",_xlpm.val="Error"),"",_xlpm.val),_xlpm.Res)</f>
        <v>#NAME?</v>
      </c>
      <c r="BC226" s="1986" t="e" cm="1">
        <f t="array" ca="1" aca="1" ref="BC226">_xlfn.LET(_xlpm.val,IF($F226="",val_blankRefText,_xldudf_CX_GET(CX_ENTITY,$F226,BC$11,BC$14,,(BC$219))),_xlpm.Res,IF(OR(_xlpm.val="",_xlpm.val="Error"),"",_xlpm.val),_xlpm.Res)</f>
        <v>#NAME?</v>
      </c>
      <c r="BD226" s="1986" t="e" cm="1">
        <f t="array" ca="1" aca="1" ref="BD226">_xlfn.LET(_xlpm.val,IF($F226="",val_blankRefText,_xldudf_CX_GET(CX_ENTITY,$F226,BD$11,BD$14,,(BD$219))),_xlpm.Res,IF(OR(_xlpm.val="",_xlpm.val="Error"),"",_xlpm.val),_xlpm.Res)</f>
        <v>#NAME?</v>
      </c>
      <c r="BE226" s="1986" t="e" cm="1">
        <f t="array" ca="1" aca="1" ref="BE226">_xlfn.LET(_xlpm.val,IF($F226="",val_blankRefText,_xldudf_CX_GET(CX_ENTITY,$F226,BE$11,BE$14,,(BE$219))),_xlpm.Res,IF(OR(_xlpm.val="",_xlpm.val="Error"),"",_xlpm.val),_xlpm.Res)</f>
        <v>#NAME?</v>
      </c>
      <c r="BF226" s="1986" t="e" cm="1">
        <f t="array" ca="1" aca="1" ref="BF226">_xlfn.LET(_xlpm.val,IF($F226="",val_blankRefText,_xldudf_CX_GET(CX_ENTITY,$F226,BF$11,BF$14,,(BF$219))),_xlpm.Res,IF(OR(_xlpm.val="",_xlpm.val="Error"),"",_xlpm.val),_xlpm.Res)</f>
        <v>#NAME?</v>
      </c>
      <c r="BG226" s="1986" t="e" cm="1">
        <f t="array" ca="1" aca="1" ref="BG226">_xlfn.LET(_xlpm.val,IF($F226="",val_blankRefText,_xldudf_CX_GET(CX_ENTITY,$F226,BG$11,BG$14,,(BG$219))),_xlpm.Res,IF(OR(_xlpm.val="",_xlpm.val="Error"),"",_xlpm.val),_xlpm.Res)</f>
        <v>#NAME?</v>
      </c>
      <c r="BH226" s="1986" t="e" cm="1">
        <f t="array" ca="1" aca="1" ref="BH226">_xlfn.LET(_xlpm.val,IF($F226="",val_blankRefText,_xldudf_CX_GET(CX_ENTITY,$F226,BH$11,BH$14,,(BH$219))),_xlpm.Res,IF(OR(_xlpm.val="",_xlpm.val="Error"),"",_xlpm.val),_xlpm.Res)</f>
        <v>#NAME?</v>
      </c>
      <c r="BI226" s="1986" t="e" cm="1">
        <f t="array" ca="1" aca="1" ref="BI226">_xlfn.LET(_xlpm.val,IF($F226="",val_blankRefText,_xldudf_CX_GET(CX_ENTITY,$F226,BI$11,BI$14,,(BI$219))),_xlpm.Res,IF(OR(_xlpm.val="",_xlpm.val="Error"),"",_xlpm.val),_xlpm.Res)</f>
        <v>#NAME?</v>
      </c>
      <c r="BJ226" s="1986" t="e" cm="1">
        <f t="array" ca="1" aca="1" ref="BJ226">_xlfn.LET(_xlpm.val,IF($F226="",val_blankRefText,_xldudf_CX_GET(CX_ENTITY,$F226,BJ$11,BJ$14,,(BJ$219))),_xlpm.Res,IF(OR(_xlpm.val="",_xlpm.val="Error"),"",_xlpm.val),_xlpm.Res)</f>
        <v>#NAME?</v>
      </c>
      <c r="BK226" s="1986" t="e" cm="1">
        <f t="array" ca="1" aca="1" ref="BK226">_xlfn.LET(_xlpm.val,IF($F226="",val_blankRefText,_xldudf_CX_GET(CX_ENTITY,$F226,BK$11,BK$14,,(BK$219))),_xlpm.Res,IF(OR(_xlpm.val="",_xlpm.val="Error"),"",_xlpm.val),_xlpm.Res)</f>
        <v>#NAME?</v>
      </c>
      <c r="BL226" s="1986" t="e" cm="1">
        <f t="array" ca="1" aca="1" ref="BL226">_xlfn.LET(_xlpm.val,IF($F226="",val_blankRefText,_xldudf_CX_GET(CX_ENTITY,$F226,BL$11,BL$14,,(BL$219))),_xlpm.Res,IF(OR(_xlpm.val="",_xlpm.val="Error"),"",_xlpm.val),_xlpm.Res)</f>
        <v>#NAME?</v>
      </c>
      <c r="BM226" s="1986" t="e" cm="1">
        <f t="array" ca="1" aca="1" ref="BM226">_xlfn.LET(_xlpm.val,IF($F226="",val_blankRefText,_xldudf_CX_GET(CX_ENTITY,$F226,BM$11,BM$14,,(BM$219))),_xlpm.Res,IF(OR(_xlpm.val="",_xlpm.val="Error"),"",_xlpm.val),_xlpm.Res)</f>
        <v>#NAME?</v>
      </c>
      <c r="BN226" s="1986" t="e" cm="1">
        <f t="array" ca="1" aca="1" ref="BN226">_xlfn.LET(_xlpm.val,IF($F226="",val_blankRefText,_xldudf_CX_GET(CX_ENTITY,$F226,BN$11,BN$14,,(BN$219))),_xlpm.Res,IF(OR(_xlpm.val="",_xlpm.val="Error"),"",_xlpm.val),_xlpm.Res)</f>
        <v>#NAME?</v>
      </c>
      <c r="BO226" s="2103"/>
      <c r="BP226" s="2103"/>
      <c r="BQ226" s="2103"/>
      <c r="BR226" s="2103"/>
      <c r="BS226" s="2103"/>
      <c r="BT226" s="2103"/>
      <c r="BU226" s="2103"/>
      <c r="BV226" s="2103"/>
      <c r="BW226" s="2103"/>
      <c r="BX226" s="2103"/>
      <c r="BY226" s="2103"/>
      <c r="BZ226" s="2103"/>
      <c r="CA226" s="34"/>
      <c r="CC226" s="58"/>
      <c r="CD226" s="1461" t="e" cm="1">
        <f t="array" ca="1" aca="1" ref="CD226">_xlfn.LET(_xlpm.CheckBlank,SUM(PL!$AD226:$BN226)=0,IF(_xlpm.CheckBlank,"",SUM(_xlfn._xlws.FILTER(PL!$AD226:$BN226,(YEAR(PL!$AD$12:$BN$12)=PL!CD$12)*(array_timeline&lt;=PL!CD$11)))))</f>
        <v>#NAME?</v>
      </c>
      <c r="CE226" s="1461" t="e" cm="1">
        <f t="array" ca="1" aca="1" ref="CE226">_xlfn.LET(_xlpm.CheckBlank,SUM(PL!$AD226:$BN226)=0,IF(_xlpm.CheckBlank,"",SUM(_xlfn._xlws.FILTER(PL!$AD226:$BN226,(YEAR(PL!$AD$12:$BN$12)=PL!CE$12)*(array_timeline&lt;=PL!CE$11)))))</f>
        <v>#NAME?</v>
      </c>
      <c r="CF226" s="88"/>
      <c r="CG226" s="1461" t="e" cm="1">
        <f t="array" ca="1" aca="1" ref="CG226">_xlfn.LET(_xlpm.CheckBlank,SUM(PL!$AD226:$BN226)=0,IF(_xlpm.CheckBlank,"",SUM(_xlfn._xlws.FILTER(PL!$AD226:$BN226,(YEAR(PL!$AD$12:$BN$12)=PL!CG$12)*(array_timeline&lt;=PL!CG$11)))))</f>
        <v>#NAME?</v>
      </c>
      <c r="CH226" s="1461" t="e" cm="1">
        <f t="array" ca="1" aca="1" ref="CH226">_xlfn.LET(_xlpm.CheckBlank,SUM(PL!$AD226:$BN226)=0,IF(_xlpm.CheckBlank,"",SUM(_xlfn._xlws.FILTER(PL!$AD226:$BN226,(YEAR(PL!$AD$12:$BN$12)=PL!CH$12)*(array_timeline&lt;=PL!CH$11)))))</f>
        <v>#NAME?</v>
      </c>
      <c r="CI226" s="88"/>
      <c r="CJ226" s="1461" cm="1">
        <f t="array" ref="CJ226">_xlfn.LET(_xlpm.CheckBlank,SUM(PL!$AD226:$BN226)=0,IF(_xlpm.CheckBlank,"",SUM(_xlfn.TAKE(_xlfn.DROP(PL!$AD226:$BN226,,-DATEDIFF(PL!CJ$11,val_asOfDate,"M")),1,-12))))</f>
        <v>12</v>
      </c>
      <c r="CK226" s="1461" cm="1">
        <f t="array" ref="CK226">_xlfn.LET(_xlpm.CheckBlank,SUM(PL!$AD226:$BN226)=0,IF(_xlpm.CheckBlank,"",SUM(_xlfn.TAKE(_xlfn.DROP(PL!$AD226:$BN226,,-DATEDIFF(PL!CK$11,val_asOfDate,"M")),1,-12))))</f>
        <v>12</v>
      </c>
      <c r="CL226" s="88"/>
      <c r="CM226" s="1986" t="e" cm="1">
        <f t="array" ca="1" aca="1" ref="CM226">_xlfn.LET(_xlpm.val,IF($F226="",val_blankRefText,_xldudf_CX_GET(CX_ENTITY,$F226,CM$11,CM$14,,(CM$219))),_xlpm.Res,IF(OR(_xlpm.val="",_xlpm.val="Error"),"",_xlpm.val),_xlpm.Res)</f>
        <v>#NAME?</v>
      </c>
      <c r="CN226" s="1986" t="e" cm="1">
        <f t="array" ca="1" aca="1" ref="CN226">_xlfn.LET(_xlpm.val,IF($F226="",val_blankRefText,_xldudf_CX_GET(CX_ENTITY,$F226,CN$11,CN$14,,(CN$219))),_xlpm.Res,IF(OR(_xlpm.val="",_xlpm.val="Error"),"",_xlpm.val),_xlpm.Res)</f>
        <v>#NAME?</v>
      </c>
      <c r="CO226" s="1169"/>
      <c r="CP226" s="1986" t="e" cm="1">
        <f t="array" ca="1" aca="1" ref="CP226">_xlfn.LET(_xlpm.val,IF($F226="",val_blankRefText,_xldudf_CX_GET(CX_ENTITY,$F226,CP$11,CP$14,,(CP$219))),_xlpm.Res,IF(OR(_xlpm.val="",_xlpm.val="Error"),"",_xlpm.val),_xlpm.Res)</f>
        <v>#NAME?</v>
      </c>
      <c r="CQ226" s="1986" t="e" cm="1">
        <f t="array" ca="1" aca="1" ref="CQ226">_xlfn.LET(_xlpm.val,IF($F226="",val_blankRefText,_xldudf_CX_GET(CX_ENTITY,$F226,CQ$11,CQ$14,,(CQ$219))),_xlpm.Res,IF(OR(_xlpm.val="",_xlpm.val="Error"),"",_xlpm.val),_xlpm.Res)</f>
        <v>#NAME?</v>
      </c>
      <c r="CR226" s="34"/>
    </row>
    <row r="227" spans="1:96" ht="21" customHeight="1" outlineLevel="2">
      <c r="A227" s="1322"/>
      <c r="B227" s="1328"/>
      <c r="C227" s="1328"/>
      <c r="D227" s="1328"/>
      <c r="E227" s="1328"/>
      <c r="F227" s="1328">
        <f t="shared" si="66"/>
        <v>0</v>
      </c>
      <c r="G227" s="1328" t="s">
        <v>1649</v>
      </c>
      <c r="H227" s="3281">
        <v>2</v>
      </c>
      <c r="I227" s="3281">
        <v>1</v>
      </c>
      <c r="J227" s="1334"/>
      <c r="K227" s="1334"/>
      <c r="L227" s="1336">
        <v>-1</v>
      </c>
      <c r="N227" s="158"/>
      <c r="O227" s="101"/>
      <c r="P227" s="52"/>
      <c r="Q227" s="101"/>
      <c r="R227" s="101"/>
      <c r="S227" s="3008"/>
      <c r="T227" s="3008"/>
      <c r="U227" s="39"/>
      <c r="W227" s="268" t="e">
        <f ca="1">W220</f>
        <v>#NAME?</v>
      </c>
      <c r="X227" s="893">
        <v>0</v>
      </c>
      <c r="Y227" s="270" t="s">
        <v>167</v>
      </c>
      <c r="Z227" s="538"/>
      <c r="AA227" s="906"/>
      <c r="AB227" s="280" t="s">
        <v>1638</v>
      </c>
      <c r="AC227" s="1165" t="str" cm="1">
        <f t="array" ref="AC227">_xlfn.LET(_xlpm.Def,IF(_xlfn.XMATCH(AB227,tbl_acctDef[Term],0)&gt;0,fx_getIcon("find"),""),_xlpm.Adj,IF(_xlfn.XMATCH(AB227,tbl_adjExample[Items],0)&gt;0,fx_getIcon("find"),""),IFERROR(IFBLANK(_xlpm.Def,_xlpm.Adj),""))</f>
        <v/>
      </c>
      <c r="AD227" s="1140" t="str" cm="1">
        <f t="array" ca="1" aca="1" ref="AD227:BN227">IFERROR(_xlfn.BYCOL(_xlfn.VSTACK(_xlfn.ANCHORARRAY(AD220),AD221:BN226),_xleta.SUM),"")</f>
        <v/>
      </c>
      <c r="AE227" s="1140" t="str">
        <f ca="1"/>
        <v/>
      </c>
      <c r="AF227" s="1171" t="str">
        <f ca="1"/>
        <v/>
      </c>
      <c r="AG227" s="1171" t="str">
        <f ca="1"/>
        <v/>
      </c>
      <c r="AH227" s="1171" t="str">
        <f ca="1"/>
        <v/>
      </c>
      <c r="AI227" s="1171" t="str">
        <f ca="1"/>
        <v/>
      </c>
      <c r="AJ227" s="1171" t="str">
        <f ca="1"/>
        <v/>
      </c>
      <c r="AK227" s="1171" t="str">
        <f ca="1"/>
        <v/>
      </c>
      <c r="AL227" s="1171" t="str">
        <f ca="1"/>
        <v/>
      </c>
      <c r="AM227" s="1171" t="str">
        <f ca="1"/>
        <v/>
      </c>
      <c r="AN227" s="1171" t="str">
        <f ca="1"/>
        <v/>
      </c>
      <c r="AO227" s="1171" t="str">
        <f ca="1"/>
        <v/>
      </c>
      <c r="AP227" s="1171" t="str">
        <f ca="1"/>
        <v/>
      </c>
      <c r="AQ227" s="1171" t="str">
        <f ca="1"/>
        <v/>
      </c>
      <c r="AR227" s="1171" t="str">
        <f ca="1"/>
        <v/>
      </c>
      <c r="AS227" s="1171" t="str">
        <f ca="1"/>
        <v/>
      </c>
      <c r="AT227" s="1171" t="str">
        <f ca="1"/>
        <v/>
      </c>
      <c r="AU227" s="1171" t="str">
        <f ca="1"/>
        <v/>
      </c>
      <c r="AV227" s="1171" t="str">
        <f ca="1"/>
        <v/>
      </c>
      <c r="AW227" s="1171" t="str">
        <f ca="1"/>
        <v/>
      </c>
      <c r="AX227" s="1171" t="str">
        <f ca="1"/>
        <v/>
      </c>
      <c r="AY227" s="1171" t="str">
        <f ca="1"/>
        <v/>
      </c>
      <c r="AZ227" s="1171" t="str">
        <f ca="1"/>
        <v/>
      </c>
      <c r="BA227" s="1171" t="str">
        <f ca="1"/>
        <v/>
      </c>
      <c r="BB227" s="1171" t="str">
        <f ca="1"/>
        <v/>
      </c>
      <c r="BC227" s="1171" t="str">
        <f ca="1"/>
        <v/>
      </c>
      <c r="BD227" s="1171" t="str">
        <f ca="1"/>
        <v/>
      </c>
      <c r="BE227" s="1171" t="str">
        <f ca="1"/>
        <v/>
      </c>
      <c r="BF227" s="1171" t="str">
        <f ca="1"/>
        <v/>
      </c>
      <c r="BG227" s="1171" t="str">
        <f ca="1"/>
        <v/>
      </c>
      <c r="BH227" s="1171" t="str">
        <f ca="1"/>
        <v/>
      </c>
      <c r="BI227" s="1171" t="str">
        <f ca="1"/>
        <v/>
      </c>
      <c r="BJ227" s="1171" t="str">
        <f ca="1"/>
        <v/>
      </c>
      <c r="BK227" s="1171" t="str">
        <f ca="1"/>
        <v/>
      </c>
      <c r="BL227" s="1171" t="str">
        <f ca="1"/>
        <v/>
      </c>
      <c r="BM227" s="1171" t="str">
        <f ca="1"/>
        <v/>
      </c>
      <c r="BN227" s="1171" t="str">
        <f ca="1"/>
        <v/>
      </c>
      <c r="BO227" s="2109"/>
      <c r="BP227" s="2109"/>
      <c r="BQ227" s="2109"/>
      <c r="BR227" s="2109"/>
      <c r="BS227" s="2109"/>
      <c r="BT227" s="2109"/>
      <c r="BU227" s="2109"/>
      <c r="BV227" s="2109"/>
      <c r="BW227" s="2109"/>
      <c r="BX227" s="2109"/>
      <c r="BY227" s="2109"/>
      <c r="BZ227" s="2109"/>
      <c r="CA227" s="34"/>
      <c r="CC227" s="58"/>
      <c r="CD227" s="1461" t="str">
        <f ca="1">IF(ISNUMBER(CD220),IF(ABS(SUM(CD221:CD226)-CD220)&lt;0.2,0,1),"")</f>
        <v/>
      </c>
      <c r="CE227" s="1461" t="str">
        <f ca="1">IF(ISNUMBER(CE220),IF(ABS(SUM(CE221:CE226)-CE220)&lt;0.2,0,1),"")</f>
        <v/>
      </c>
      <c r="CF227" s="88"/>
      <c r="CG227" s="1461" t="str">
        <f ca="1">IF(ISNUMBER(CG220),IF(ABS(SUM(CG221:CG226)-CG220)&lt;0.2,0,1),"")</f>
        <v/>
      </c>
      <c r="CH227" s="1461" t="str">
        <f ca="1">IF(ISNUMBER(CH220),IF(ABS(SUM(CH221:CH226)-CH220)&lt;0.2,0,1),"")</f>
        <v/>
      </c>
      <c r="CI227" s="88"/>
      <c r="CJ227" s="1461" t="str">
        <f ca="1">IF(ISNUMBER(CJ220),IF(ABS(SUM(CJ221:CJ226)-CJ220)&lt;0.2,0,1),"")</f>
        <v/>
      </c>
      <c r="CK227" s="1461" t="str">
        <f ca="1">IF(ISNUMBER(CK220),IF(ABS(SUM(CK221:CK226)-CK220)&lt;0.2,0,1),"")</f>
        <v/>
      </c>
      <c r="CL227" s="88"/>
      <c r="CM227" s="1142" t="str">
        <f ca="1">IF(ISNUMBER(CM220),IF(ABS(SUM(CM221:CM226)-CM220)&lt;0.2,0,1),"")</f>
        <v/>
      </c>
      <c r="CN227" s="1142" t="str">
        <f>IF(ISNUMBER(CN220),IF(ABS(SUM(CN221:CN226)-CN220)&lt;0.2,0,1),"")</f>
        <v/>
      </c>
      <c r="CO227" s="88"/>
      <c r="CP227" s="1142" t="str">
        <f ca="1">IF(ISNUMBER(CP220),IF(ABS(SUM(CP221:CP226)-CP220)&lt;0.2,0,1),"")</f>
        <v/>
      </c>
      <c r="CQ227" s="1142" t="str">
        <f>IF(ISNUMBER(CQ220),IF(ABS(SUM(CQ221:CQ226)-CQ220)&lt;0.2,0,1),"")</f>
        <v/>
      </c>
      <c r="CR227" s="34"/>
    </row>
    <row r="228" spans="1:96" ht="15.5" outlineLevel="2">
      <c r="A228" s="1322"/>
      <c r="B228" s="577"/>
      <c r="C228" s="577"/>
      <c r="D228" s="574"/>
      <c r="E228" s="574"/>
      <c r="F228" s="577"/>
      <c r="G228" s="577"/>
      <c r="H228" s="578"/>
      <c r="I228" s="578"/>
      <c r="J228" s="578"/>
      <c r="K228" s="578"/>
      <c r="L228" s="578"/>
      <c r="N228" s="158"/>
      <c r="O228" s="2"/>
      <c r="P228" s="52"/>
      <c r="Q228" s="2"/>
      <c r="R228" s="2"/>
      <c r="S228" s="2"/>
      <c r="T228" s="2"/>
      <c r="U228" s="39"/>
      <c r="W228" s="794"/>
      <c r="X228" s="887"/>
      <c r="Y228" s="324"/>
      <c r="Z228" s="795"/>
      <c r="AA228" s="97"/>
      <c r="AB228" s="97"/>
      <c r="AC228" s="128"/>
      <c r="AD228" s="796"/>
      <c r="AE228" s="796"/>
      <c r="AF228" s="796"/>
      <c r="AG228" s="796"/>
      <c r="AH228" s="796"/>
      <c r="AI228" s="796"/>
      <c r="AJ228" s="796"/>
      <c r="AK228" s="796"/>
      <c r="AL228" s="796"/>
      <c r="AM228" s="796"/>
      <c r="AN228" s="796"/>
      <c r="AO228" s="796"/>
      <c r="AP228" s="796"/>
      <c r="AQ228" s="796"/>
      <c r="AR228" s="796"/>
      <c r="AS228" s="796"/>
      <c r="AT228" s="796"/>
      <c r="AU228" s="796"/>
      <c r="AV228" s="796"/>
      <c r="AW228" s="796"/>
      <c r="AX228" s="796"/>
      <c r="AY228" s="796"/>
      <c r="AZ228" s="796"/>
      <c r="BA228" s="796"/>
      <c r="BB228" s="796"/>
      <c r="BC228" s="796"/>
      <c r="BD228" s="796"/>
      <c r="BE228" s="796"/>
      <c r="BF228" s="796"/>
      <c r="BG228" s="796"/>
      <c r="BH228" s="796"/>
      <c r="BI228" s="796"/>
      <c r="BJ228" s="796"/>
      <c r="BK228" s="796"/>
      <c r="BL228" s="796"/>
      <c r="BM228" s="796"/>
      <c r="BN228" s="796"/>
      <c r="BO228" s="796"/>
      <c r="BP228" s="796"/>
      <c r="BQ228" s="796"/>
      <c r="BR228" s="796"/>
      <c r="BS228" s="796"/>
      <c r="BT228" s="796"/>
      <c r="BU228" s="796"/>
      <c r="BV228" s="796"/>
      <c r="BW228" s="796"/>
      <c r="BX228" s="796"/>
      <c r="BY228" s="796"/>
      <c r="BZ228" s="796"/>
      <c r="CA228" s="34"/>
      <c r="CC228" s="797"/>
      <c r="CD228" s="3"/>
      <c r="CE228" s="3"/>
      <c r="CF228" s="3"/>
      <c r="CG228" s="3"/>
      <c r="CH228" s="3"/>
      <c r="CI228" s="3"/>
      <c r="CJ228" s="3"/>
      <c r="CK228" s="3"/>
      <c r="CL228" s="3"/>
      <c r="CM228" s="3"/>
      <c r="CN228" s="3"/>
      <c r="CO228" s="3"/>
      <c r="CP228" s="3"/>
      <c r="CQ228" s="3"/>
      <c r="CR228" s="34"/>
    </row>
    <row r="229" spans="1:96" s="108" customFormat="1" ht="15.5" outlineLevel="2">
      <c r="A229" s="1322"/>
      <c r="B229" s="577"/>
      <c r="C229" s="577"/>
      <c r="D229" s="574"/>
      <c r="E229" s="574"/>
      <c r="F229" s="577"/>
      <c r="G229" s="577"/>
      <c r="H229" s="578"/>
      <c r="I229" s="578"/>
      <c r="J229" s="578"/>
      <c r="K229" s="578"/>
      <c r="L229" s="578"/>
      <c r="M229"/>
      <c r="N229" s="158"/>
      <c r="O229" s="2"/>
      <c r="P229" s="52"/>
      <c r="Q229" s="2"/>
      <c r="R229" s="2"/>
      <c r="S229" s="2"/>
      <c r="T229" s="2"/>
      <c r="U229" s="39"/>
      <c r="V229"/>
      <c r="W229" s="2070"/>
      <c r="X229" s="887"/>
      <c r="Y229" s="324"/>
      <c r="Z229" s="795"/>
      <c r="AA229" s="97"/>
      <c r="AB229" s="97"/>
      <c r="AC229" s="128"/>
      <c r="AD229" s="796"/>
      <c r="AE229" s="796"/>
      <c r="AF229" s="796"/>
      <c r="AG229" s="796"/>
      <c r="AH229" s="796"/>
      <c r="AI229" s="796"/>
      <c r="AJ229" s="796"/>
      <c r="AK229" s="796"/>
      <c r="AL229" s="796"/>
      <c r="AM229" s="796"/>
      <c r="AN229" s="796"/>
      <c r="AO229" s="796"/>
      <c r="AP229" s="796"/>
      <c r="AQ229" s="796"/>
      <c r="AR229" s="796"/>
      <c r="AS229" s="796"/>
      <c r="AT229" s="796"/>
      <c r="AU229" s="796"/>
      <c r="AV229" s="796"/>
      <c r="AW229" s="796"/>
      <c r="AX229" s="796"/>
      <c r="AY229" s="796"/>
      <c r="AZ229" s="796"/>
      <c r="BA229" s="796"/>
      <c r="BB229" s="796"/>
      <c r="BC229" s="796"/>
      <c r="BD229" s="796"/>
      <c r="BE229" s="796"/>
      <c r="BF229" s="796"/>
      <c r="BG229" s="796"/>
      <c r="BH229" s="796"/>
      <c r="BI229" s="796"/>
      <c r="BJ229" s="796"/>
      <c r="BK229" s="796"/>
      <c r="BL229" s="796"/>
      <c r="BM229" s="796"/>
      <c r="BN229" s="796"/>
      <c r="BO229" s="796"/>
      <c r="BP229" s="796"/>
      <c r="BQ229" s="796"/>
      <c r="BR229" s="796"/>
      <c r="BS229" s="796"/>
      <c r="BT229" s="796"/>
      <c r="BU229" s="796"/>
      <c r="BV229" s="796"/>
      <c r="BW229" s="796"/>
      <c r="BX229" s="796"/>
      <c r="BY229" s="796"/>
      <c r="BZ229" s="796"/>
      <c r="CA229" s="88"/>
      <c r="CC229" s="2071"/>
      <c r="CD229" s="88"/>
      <c r="CE229" s="88"/>
      <c r="CF229" s="88"/>
      <c r="CG229" s="88"/>
      <c r="CH229" s="88"/>
      <c r="CI229" s="88"/>
      <c r="CJ229" s="88"/>
      <c r="CK229" s="88"/>
      <c r="CL229" s="88"/>
      <c r="CM229" s="88"/>
      <c r="CN229" s="88"/>
      <c r="CO229" s="88"/>
      <c r="CP229" s="88"/>
      <c r="CQ229" s="88"/>
      <c r="CR229" s="88"/>
    </row>
    <row r="230" spans="1:96" s="108" customFormat="1" ht="15.5" outlineLevel="2">
      <c r="A230" s="1322"/>
      <c r="B230" s="577"/>
      <c r="C230" s="577"/>
      <c r="D230" s="574"/>
      <c r="E230" s="574"/>
      <c r="F230" s="577"/>
      <c r="G230" s="577"/>
      <c r="H230" s="578"/>
      <c r="I230" s="578"/>
      <c r="J230" s="578"/>
      <c r="K230" s="578"/>
      <c r="L230" s="578"/>
      <c r="M230"/>
      <c r="N230" s="158"/>
      <c r="O230" s="2"/>
      <c r="P230" s="52"/>
      <c r="Q230" s="2"/>
      <c r="R230" s="2"/>
      <c r="S230" s="2"/>
      <c r="T230" s="2"/>
      <c r="U230" s="39"/>
      <c r="V230"/>
      <c r="W230" s="2070"/>
      <c r="X230" s="887"/>
      <c r="Y230" s="324"/>
      <c r="Z230" s="795"/>
      <c r="AA230" s="97"/>
      <c r="AB230" s="97"/>
      <c r="AC230" s="128"/>
      <c r="AD230" s="796"/>
      <c r="AE230" s="796"/>
      <c r="AF230" s="796"/>
      <c r="AG230" s="796"/>
      <c r="AH230" s="796"/>
      <c r="AI230" s="796"/>
      <c r="AJ230" s="796"/>
      <c r="AK230" s="796"/>
      <c r="AL230" s="796"/>
      <c r="AM230" s="796"/>
      <c r="AN230" s="796"/>
      <c r="AO230" s="796"/>
      <c r="AP230" s="796"/>
      <c r="AQ230" s="796"/>
      <c r="AR230" s="796"/>
      <c r="AS230" s="796"/>
      <c r="AT230" s="796"/>
      <c r="AU230" s="796"/>
      <c r="AV230" s="796"/>
      <c r="AW230" s="796"/>
      <c r="AX230" s="796"/>
      <c r="AY230" s="796"/>
      <c r="AZ230" s="796"/>
      <c r="BA230" s="796"/>
      <c r="BB230" s="796"/>
      <c r="BC230" s="796"/>
      <c r="BD230" s="796"/>
      <c r="BE230" s="796"/>
      <c r="BF230" s="796"/>
      <c r="BG230" s="796"/>
      <c r="BH230" s="796"/>
      <c r="BI230" s="796"/>
      <c r="BJ230" s="796"/>
      <c r="BK230" s="796"/>
      <c r="BL230" s="796"/>
      <c r="BM230" s="796"/>
      <c r="BN230" s="796"/>
      <c r="BO230" s="796"/>
      <c r="BP230" s="796"/>
      <c r="BQ230" s="796"/>
      <c r="BR230" s="796"/>
      <c r="BS230" s="796"/>
      <c r="BT230" s="796"/>
      <c r="BU230" s="796"/>
      <c r="BV230" s="796"/>
      <c r="BW230" s="796"/>
      <c r="BX230" s="796"/>
      <c r="BY230" s="796"/>
      <c r="BZ230" s="796"/>
      <c r="CA230" s="88"/>
      <c r="CC230" s="2071"/>
      <c r="CD230" s="88"/>
      <c r="CE230" s="88"/>
      <c r="CF230" s="88"/>
      <c r="CG230" s="88"/>
      <c r="CH230" s="88"/>
      <c r="CI230" s="88"/>
      <c r="CJ230" s="88"/>
      <c r="CK230" s="88"/>
      <c r="CL230" s="88"/>
      <c r="CM230" s="88"/>
      <c r="CN230" s="88"/>
      <c r="CO230" s="88"/>
      <c r="CP230" s="88"/>
      <c r="CQ230" s="88"/>
      <c r="CR230" s="88"/>
    </row>
    <row r="231" spans="1:96" ht="18" outlineLevel="1">
      <c r="A231" s="1322"/>
      <c r="B231" s="583"/>
      <c r="C231" s="577" t="s">
        <v>1657</v>
      </c>
      <c r="D231" s="583"/>
      <c r="E231" s="577" t="e" cm="1">
        <f t="array" ca="1" aca="1" ref="E231">IFBLANK(_xldudf_CX_GET(CX_ENTITY,fx_attrConverter(C231),val_asOfDate),PL!D231)</f>
        <v>#NAME?</v>
      </c>
      <c r="F231" s="577"/>
      <c r="G231" s="577"/>
      <c r="H231" s="510"/>
      <c r="I231" s="510"/>
      <c r="J231" s="572"/>
      <c r="K231" s="572"/>
      <c r="L231" s="578"/>
      <c r="N231" s="158"/>
      <c r="O231" s="101"/>
      <c r="P231" s="52"/>
      <c r="Q231" s="2"/>
      <c r="R231" s="101"/>
      <c r="S231" s="2"/>
      <c r="T231" s="2"/>
      <c r="U231" s="39"/>
      <c r="W231" s="3045" t="e" cm="1">
        <f t="array" ca="1" aca="1" ref="W231">fx_scenarioConverter(E232)</f>
        <v>#NAME?</v>
      </c>
      <c r="X231" s="1247"/>
      <c r="Y231" s="3040" t="e">
        <f ca="1">E231</f>
        <v>#NAME?</v>
      </c>
      <c r="Z231" s="1632" t="s">
        <v>157</v>
      </c>
      <c r="AA231" s="1633"/>
      <c r="AB231" s="1630"/>
      <c r="AC231" s="876"/>
      <c r="AD231" s="859"/>
      <c r="AE231" s="859"/>
      <c r="AF231" s="859"/>
      <c r="AG231" s="859"/>
      <c r="AH231" s="859"/>
      <c r="AI231" s="859"/>
      <c r="AJ231" s="859"/>
      <c r="AK231" s="859"/>
      <c r="AL231" s="859"/>
      <c r="AM231" s="859"/>
      <c r="AN231" s="859"/>
      <c r="AO231" s="859"/>
      <c r="AP231" s="859"/>
      <c r="AQ231" s="859"/>
      <c r="AR231" s="859"/>
      <c r="AS231" s="859"/>
      <c r="AT231" s="859"/>
      <c r="AU231" s="859"/>
      <c r="AV231" s="859"/>
      <c r="AW231" s="859"/>
      <c r="AX231" s="859"/>
      <c r="AY231" s="859"/>
      <c r="AZ231" s="859"/>
      <c r="BA231" s="859"/>
      <c r="BB231" s="859"/>
      <c r="BC231" s="859"/>
      <c r="BD231" s="859"/>
      <c r="BE231" s="859"/>
      <c r="BF231" s="859"/>
      <c r="BG231" s="859"/>
      <c r="BH231" s="859"/>
      <c r="BI231" s="859"/>
      <c r="BJ231" s="859"/>
      <c r="BK231" s="859"/>
      <c r="BL231" s="859"/>
      <c r="BM231" s="859"/>
      <c r="BN231" s="859"/>
      <c r="BO231" s="542"/>
      <c r="BP231" s="542"/>
      <c r="BQ231" s="542"/>
      <c r="BR231" s="542"/>
      <c r="BS231" s="542"/>
      <c r="BT231" s="542"/>
      <c r="BU231" s="542"/>
      <c r="BV231" s="542"/>
      <c r="BW231" s="542"/>
      <c r="BX231" s="542"/>
      <c r="BY231" s="542"/>
      <c r="BZ231" s="542"/>
      <c r="CA231" s="34"/>
      <c r="CC231" s="298"/>
      <c r="CD231" s="1343" t="e" cm="1">
        <f t="array" ca="1" aca="1" ref="CD231">YEAR(val_currentFYE)-2</f>
        <v>#NAME?</v>
      </c>
      <c r="CE231" s="1344" t="e" cm="1">
        <f t="array" ca="1" aca="1" ref="CE231">YEAR(val_currentFYE)-1</f>
        <v>#NAME?</v>
      </c>
      <c r="CF231" s="128"/>
      <c r="CG231" s="205" t="e" cm="1">
        <f t="array" ca="1" aca="1" ref="CG231">YEAR(val_currentFYE)</f>
        <v>#NAME?</v>
      </c>
      <c r="CH231" s="206" t="e" cm="1">
        <f t="array" ca="1" aca="1" ref="CH231">YEAR(val_currentFYE)</f>
        <v>#NAME?</v>
      </c>
      <c r="CI231" s="207"/>
      <c r="CJ231" s="208" t="s">
        <v>54</v>
      </c>
      <c r="CK231" s="209" t="s">
        <v>54</v>
      </c>
      <c r="CL231" s="88"/>
      <c r="CM231" s="1200" t="e" cm="1">
        <f t="array" ca="1" aca="1" ref="CM231">YEAR(val_currentFYE)</f>
        <v>#NAME?</v>
      </c>
      <c r="CN231" s="1340" t="e" cm="1">
        <f t="array" ca="1" aca="1" ref="CN231">YEAR(val_currentFYE)</f>
        <v>#NAME?</v>
      </c>
      <c r="CO231" s="88"/>
      <c r="CP231" s="1200" t="e" cm="1">
        <f t="array" ca="1" aca="1" ref="CP231">YEAR(val_currentFYE)</f>
        <v>#NAME?</v>
      </c>
      <c r="CQ231" s="1340" t="e" cm="1">
        <f t="array" ca="1" aca="1" ref="CQ231">YEAR(val_currentFYE)</f>
        <v>#NAME?</v>
      </c>
      <c r="CR231" s="34"/>
    </row>
    <row r="232" spans="1:96" ht="18" outlineLevel="1">
      <c r="A232" s="1322"/>
      <c r="B232" s="583"/>
      <c r="C232" s="577" t="s">
        <v>186</v>
      </c>
      <c r="D232" s="583"/>
      <c r="E232" s="577" t="e" cm="1">
        <f t="array" ca="1" aca="1" ref="E232">IFBLANK(_xldudf_CX_GET(CX_ENTITY,fx_attrConverter(C232),val_asOfDate),PL!D232)</f>
        <v>#NAME?</v>
      </c>
      <c r="F232" s="577"/>
      <c r="G232" s="577"/>
      <c r="H232" s="510"/>
      <c r="I232" s="510"/>
      <c r="J232" s="572"/>
      <c r="K232" s="572"/>
      <c r="L232" s="578"/>
      <c r="N232" s="158"/>
      <c r="O232" s="101"/>
      <c r="P232" s="52"/>
      <c r="Q232" s="2"/>
      <c r="R232" s="101"/>
      <c r="S232" s="2"/>
      <c r="T232" s="2"/>
      <c r="U232" s="39"/>
      <c r="W232" s="3046"/>
      <c r="X232" s="1250"/>
      <c r="Y232" s="3041"/>
      <c r="Z232" s="1636"/>
      <c r="AA232" s="1629"/>
      <c r="AB232" s="1631"/>
      <c r="AC232" s="1637"/>
      <c r="AD232" s="1253"/>
      <c r="AE232" s="1253"/>
      <c r="AF232" s="1253"/>
      <c r="AG232" s="1253"/>
      <c r="AH232" s="1253"/>
      <c r="AI232" s="1253"/>
      <c r="AJ232" s="1253"/>
      <c r="AK232" s="1253"/>
      <c r="AL232" s="1253"/>
      <c r="AM232" s="1253"/>
      <c r="AN232" s="1253"/>
      <c r="AO232" s="1253"/>
      <c r="AP232" s="1253"/>
      <c r="AQ232" s="1253"/>
      <c r="AR232" s="1253"/>
      <c r="AS232" s="1253"/>
      <c r="AT232" s="1253"/>
      <c r="AU232" s="1253"/>
      <c r="AV232" s="1253"/>
      <c r="AW232" s="1253"/>
      <c r="AX232" s="1253"/>
      <c r="AY232" s="1253"/>
      <c r="AZ232" s="1253"/>
      <c r="BA232" s="1253"/>
      <c r="BB232" s="1253"/>
      <c r="BC232" s="1253"/>
      <c r="BD232" s="1253"/>
      <c r="BE232" s="1253"/>
      <c r="BF232" s="1253"/>
      <c r="BG232" s="1253"/>
      <c r="BH232" s="1253"/>
      <c r="BI232" s="1253"/>
      <c r="BJ232" s="1253"/>
      <c r="BK232" s="1253"/>
      <c r="BL232" s="1253"/>
      <c r="BM232" s="1253"/>
      <c r="BN232" s="1253"/>
      <c r="BO232" s="2099"/>
      <c r="BP232" s="2099"/>
      <c r="BQ232" s="2099"/>
      <c r="BR232" s="2099"/>
      <c r="BS232" s="2099"/>
      <c r="BT232" s="2099"/>
      <c r="BU232" s="2099"/>
      <c r="BV232" s="2099"/>
      <c r="BW232" s="2099"/>
      <c r="BX232" s="2099"/>
      <c r="BY232" s="2099"/>
      <c r="BZ232" s="2099"/>
      <c r="CA232" s="34"/>
      <c r="CC232" s="298"/>
      <c r="CD232" s="1343"/>
      <c r="CE232" s="1344"/>
      <c r="CF232" s="128"/>
      <c r="CG232" s="205"/>
      <c r="CH232" s="206"/>
      <c r="CI232" s="207"/>
      <c r="CJ232" s="208"/>
      <c r="CK232" s="209"/>
      <c r="CL232" s="88"/>
      <c r="CM232" s="1705"/>
      <c r="CN232" s="1706"/>
      <c r="CO232" s="88"/>
      <c r="CP232" s="1705"/>
      <c r="CQ232" s="1706"/>
      <c r="CR232" s="34"/>
    </row>
    <row r="233" spans="1:96" ht="30.75" customHeight="1" outlineLevel="2">
      <c r="A233" s="1322"/>
      <c r="B233" s="583"/>
      <c r="C233" s="583"/>
      <c r="D233" s="583"/>
      <c r="E233" s="583"/>
      <c r="F233" s="577"/>
      <c r="G233" s="577" t="s">
        <v>1658</v>
      </c>
      <c r="H233" s="572"/>
      <c r="I233" s="572">
        <v>3</v>
      </c>
      <c r="J233" s="572"/>
      <c r="K233" s="572"/>
      <c r="L233" s="572"/>
      <c r="N233" s="158"/>
      <c r="O233" s="101"/>
      <c r="P233" s="52"/>
      <c r="Q233" s="101"/>
      <c r="R233" s="101"/>
      <c r="S233" s="2"/>
      <c r="T233" s="2"/>
      <c r="U233" s="39"/>
      <c r="W233" s="161"/>
      <c r="X233" s="887"/>
      <c r="Y233" s="1129"/>
      <c r="Z233" s="789"/>
      <c r="AA233" s="163"/>
      <c r="AB233" s="162" t="s">
        <v>47</v>
      </c>
      <c r="AC233" s="1164"/>
      <c r="AD233" s="1634" cm="1">
        <f t="array" ref="AD233:BN233">EOMONTH(val_asOfDate,_xlfn.SEQUENCE(1,37,-36,1))</f>
        <v>44926</v>
      </c>
      <c r="AE233" s="1634">
        <v>44957</v>
      </c>
      <c r="AF233" s="1634">
        <v>44985</v>
      </c>
      <c r="AG233" s="1634">
        <v>45016</v>
      </c>
      <c r="AH233" s="1634">
        <v>45046</v>
      </c>
      <c r="AI233" s="1634">
        <v>45077</v>
      </c>
      <c r="AJ233" s="1634">
        <v>45107</v>
      </c>
      <c r="AK233" s="1634">
        <v>45138</v>
      </c>
      <c r="AL233" s="1634">
        <v>45169</v>
      </c>
      <c r="AM233" s="1634">
        <v>45199</v>
      </c>
      <c r="AN233" s="1634">
        <v>45230</v>
      </c>
      <c r="AO233" s="1634">
        <v>45260</v>
      </c>
      <c r="AP233" s="1634">
        <v>45291</v>
      </c>
      <c r="AQ233" s="1634">
        <v>45322</v>
      </c>
      <c r="AR233" s="1634">
        <v>45351</v>
      </c>
      <c r="AS233" s="1634">
        <v>45382</v>
      </c>
      <c r="AT233" s="1634">
        <v>45412</v>
      </c>
      <c r="AU233" s="1634">
        <v>45443</v>
      </c>
      <c r="AV233" s="1634">
        <v>45473</v>
      </c>
      <c r="AW233" s="1634">
        <v>45504</v>
      </c>
      <c r="AX233" s="1634">
        <v>45535</v>
      </c>
      <c r="AY233" s="1634">
        <v>45565</v>
      </c>
      <c r="AZ233" s="1634">
        <v>45596</v>
      </c>
      <c r="BA233" s="1634">
        <v>45626</v>
      </c>
      <c r="BB233" s="1634">
        <v>45657</v>
      </c>
      <c r="BC233" s="1634">
        <v>45688</v>
      </c>
      <c r="BD233" s="1634">
        <v>45716</v>
      </c>
      <c r="BE233" s="1634">
        <v>45747</v>
      </c>
      <c r="BF233" s="1634">
        <v>45777</v>
      </c>
      <c r="BG233" s="1634">
        <v>45808</v>
      </c>
      <c r="BH233" s="1634">
        <v>45838</v>
      </c>
      <c r="BI233" s="1634">
        <v>45869</v>
      </c>
      <c r="BJ233" s="1634">
        <v>45900</v>
      </c>
      <c r="BK233" s="1634">
        <v>45930</v>
      </c>
      <c r="BL233" s="1634">
        <v>45961</v>
      </c>
      <c r="BM233" s="1634">
        <v>45991</v>
      </c>
      <c r="BN233" s="1635">
        <v>46022</v>
      </c>
      <c r="BO233" s="2090"/>
      <c r="BP233" s="2090"/>
      <c r="BQ233" s="2090"/>
      <c r="BR233" s="2090"/>
      <c r="BS233" s="2090"/>
      <c r="BT233" s="2090"/>
      <c r="BU233" s="2090"/>
      <c r="BV233" s="2090"/>
      <c r="BW233" s="2090"/>
      <c r="BX233" s="2090"/>
      <c r="BY233" s="2090"/>
      <c r="BZ233" s="2090"/>
      <c r="CA233" s="34"/>
      <c r="CC233" s="298"/>
      <c r="CD233" s="1716" t="e" cm="1">
        <f t="array" ca="1" aca="1" ref="CD233">EOMONTH(val_currentFYE,-24)</f>
        <v>#NAME?</v>
      </c>
      <c r="CE233" s="1717" t="e" cm="1">
        <f t="array" ca="1" aca="1" ref="CE233">EOMONTH(val_currentFYE,-12)</f>
        <v>#NAME?</v>
      </c>
      <c r="CF233" s="277"/>
      <c r="CG233" s="1715">
        <f>EOMONTH(val_asOfDate,-1)</f>
        <v>45991</v>
      </c>
      <c r="CH233" s="1715">
        <f>EOMONTH(val_asOfDate,0)</f>
        <v>46022</v>
      </c>
      <c r="CI233" s="276"/>
      <c r="CJ233" s="1709">
        <f>EOMONTH(val_asOfDate,-1)</f>
        <v>45991</v>
      </c>
      <c r="CK233" s="1710">
        <f>EOMONTH(val_asOfDate,0)</f>
        <v>46022</v>
      </c>
      <c r="CL233" s="88"/>
      <c r="CM233" s="1718" t="e" cm="1">
        <f t="array" ca="1" aca="1" ref="CM233">val_currentFYE</f>
        <v>#NAME?</v>
      </c>
      <c r="CN233" s="1719" t="e" cm="1">
        <f t="array" ca="1" aca="1" ref="CN233">val_currentFYE</f>
        <v>#NAME?</v>
      </c>
      <c r="CO233" s="88"/>
      <c r="CP233" s="1728" t="e" cm="1">
        <f t="array" ca="1" aca="1" ref="CP233">EOMONTH(val_currentFYE,12)</f>
        <v>#NAME?</v>
      </c>
      <c r="CQ233" s="1728" t="e" cm="1">
        <f t="array" ca="1" aca="1" ref="CQ233">EOMONTH(val_currentFYE,12)</f>
        <v>#NAME?</v>
      </c>
      <c r="CR233" s="34"/>
    </row>
    <row r="234" spans="1:96" ht="30.75" customHeight="1" outlineLevel="2">
      <c r="A234" s="1322"/>
      <c r="B234" s="1328"/>
      <c r="C234" s="1328"/>
      <c r="D234" s="1328"/>
      <c r="E234" s="1328"/>
      <c r="F234" s="575"/>
      <c r="G234" s="1328"/>
      <c r="H234" s="588"/>
      <c r="I234" s="588"/>
      <c r="J234" s="1334"/>
      <c r="K234" s="1334"/>
      <c r="L234" s="1334"/>
      <c r="N234" s="158"/>
      <c r="O234" s="101"/>
      <c r="P234" s="52"/>
      <c r="Q234" s="101"/>
      <c r="R234" s="101"/>
      <c r="S234" s="2"/>
      <c r="T234" s="2"/>
      <c r="U234" s="39"/>
      <c r="W234" s="272" t="s">
        <v>94</v>
      </c>
      <c r="X234" s="889"/>
      <c r="Y234" s="762" t="s">
        <v>159</v>
      </c>
      <c r="Z234" s="798"/>
      <c r="AA234" s="193"/>
      <c r="AB234" s="193"/>
      <c r="AC234" s="125"/>
      <c r="AD234" s="167" t="e">
        <f ca="1">$W$231</f>
        <v>#NAME?</v>
      </c>
      <c r="AE234" s="167" t="e">
        <f ca="1" t="shared" si="67" ref="AE234:BN234">$W$231</f>
        <v>#NAME?</v>
      </c>
      <c r="AF234" s="167" t="e">
        <f t="shared" ca="1" si="67"/>
        <v>#NAME?</v>
      </c>
      <c r="AG234" s="167" t="e">
        <f t="shared" ca="1" si="67"/>
        <v>#NAME?</v>
      </c>
      <c r="AH234" s="167" t="e">
        <f t="shared" ca="1" si="67"/>
        <v>#NAME?</v>
      </c>
      <c r="AI234" s="167" t="e">
        <f t="shared" ca="1" si="67"/>
        <v>#NAME?</v>
      </c>
      <c r="AJ234" s="167" t="e">
        <f t="shared" ca="1" si="67"/>
        <v>#NAME?</v>
      </c>
      <c r="AK234" s="167" t="e">
        <f t="shared" ca="1" si="67"/>
        <v>#NAME?</v>
      </c>
      <c r="AL234" s="167" t="e">
        <f t="shared" ca="1" si="67"/>
        <v>#NAME?</v>
      </c>
      <c r="AM234" s="167" t="e">
        <f t="shared" ca="1" si="67"/>
        <v>#NAME?</v>
      </c>
      <c r="AN234" s="167" t="e">
        <f t="shared" ca="1" si="67"/>
        <v>#NAME?</v>
      </c>
      <c r="AO234" s="167" t="e">
        <f t="shared" ca="1" si="67"/>
        <v>#NAME?</v>
      </c>
      <c r="AP234" s="167" t="e">
        <f t="shared" ca="1" si="67"/>
        <v>#NAME?</v>
      </c>
      <c r="AQ234" s="167" t="e">
        <f t="shared" ca="1" si="67"/>
        <v>#NAME?</v>
      </c>
      <c r="AR234" s="167" t="e">
        <f t="shared" ca="1" si="67"/>
        <v>#NAME?</v>
      </c>
      <c r="AS234" s="167" t="e">
        <f t="shared" ca="1" si="67"/>
        <v>#NAME?</v>
      </c>
      <c r="AT234" s="167" t="e">
        <f t="shared" ca="1" si="67"/>
        <v>#NAME?</v>
      </c>
      <c r="AU234" s="167" t="e">
        <f t="shared" ca="1" si="67"/>
        <v>#NAME?</v>
      </c>
      <c r="AV234" s="167" t="e">
        <f t="shared" ca="1" si="67"/>
        <v>#NAME?</v>
      </c>
      <c r="AW234" s="167" t="e">
        <f t="shared" ca="1" si="67"/>
        <v>#NAME?</v>
      </c>
      <c r="AX234" s="167" t="e">
        <f t="shared" ca="1" si="67"/>
        <v>#NAME?</v>
      </c>
      <c r="AY234" s="167" t="e">
        <f t="shared" ca="1" si="67"/>
        <v>#NAME?</v>
      </c>
      <c r="AZ234" s="167" t="e">
        <f t="shared" ca="1" si="67"/>
        <v>#NAME?</v>
      </c>
      <c r="BA234" s="167" t="e">
        <f t="shared" ca="1" si="67"/>
        <v>#NAME?</v>
      </c>
      <c r="BB234" s="167" t="e">
        <f t="shared" ca="1" si="67"/>
        <v>#NAME?</v>
      </c>
      <c r="BC234" s="167" t="e">
        <f t="shared" ca="1" si="67"/>
        <v>#NAME?</v>
      </c>
      <c r="BD234" s="167" t="e">
        <f t="shared" ca="1" si="67"/>
        <v>#NAME?</v>
      </c>
      <c r="BE234" s="167" t="e">
        <f t="shared" ca="1" si="67"/>
        <v>#NAME?</v>
      </c>
      <c r="BF234" s="167" t="e">
        <f t="shared" ca="1" si="67"/>
        <v>#NAME?</v>
      </c>
      <c r="BG234" s="167" t="e">
        <f t="shared" ca="1" si="67"/>
        <v>#NAME?</v>
      </c>
      <c r="BH234" s="167" t="e">
        <f t="shared" ca="1" si="67"/>
        <v>#NAME?</v>
      </c>
      <c r="BI234" s="167" t="e">
        <f t="shared" ca="1" si="67"/>
        <v>#NAME?</v>
      </c>
      <c r="BJ234" s="167" t="e">
        <f t="shared" ca="1" si="67"/>
        <v>#NAME?</v>
      </c>
      <c r="BK234" s="167" t="e">
        <f t="shared" ca="1" si="67"/>
        <v>#NAME?</v>
      </c>
      <c r="BL234" s="167" t="e">
        <f t="shared" ca="1" si="67"/>
        <v>#NAME?</v>
      </c>
      <c r="BM234" s="167" t="e">
        <f t="shared" ca="1" si="67"/>
        <v>#NAME?</v>
      </c>
      <c r="BN234" s="167" t="e">
        <f t="shared" ca="1" si="67"/>
        <v>#NAME?</v>
      </c>
      <c r="BO234" s="2070"/>
      <c r="BP234" s="2070"/>
      <c r="BQ234" s="2070"/>
      <c r="BR234" s="2070"/>
      <c r="BS234" s="2070"/>
      <c r="BT234" s="2070"/>
      <c r="BU234" s="2070"/>
      <c r="BV234" s="2070"/>
      <c r="BW234" s="2070"/>
      <c r="BX234" s="2070"/>
      <c r="BY234" s="2070"/>
      <c r="BZ234" s="2070"/>
      <c r="CA234" s="34"/>
      <c r="CC234" s="58"/>
      <c r="CD234" s="167" t="e">
        <f ca="1" t="shared" si="68" ref="CD234:CK234">$W$231</f>
        <v>#NAME?</v>
      </c>
      <c r="CE234" s="167" t="e">
        <f t="shared" ca="1" si="68"/>
        <v>#NAME?</v>
      </c>
      <c r="CF234" s="278"/>
      <c r="CG234" s="167" t="e">
        <f t="shared" ca="1" si="68"/>
        <v>#NAME?</v>
      </c>
      <c r="CH234" s="167" t="e">
        <f t="shared" ca="1" si="68"/>
        <v>#NAME?</v>
      </c>
      <c r="CI234" s="278"/>
      <c r="CJ234" s="167" t="e">
        <f t="shared" ca="1" si="68"/>
        <v>#NAME?</v>
      </c>
      <c r="CK234" s="167" t="e">
        <f t="shared" ca="1" si="68"/>
        <v>#NAME?</v>
      </c>
      <c r="CL234" s="88"/>
      <c r="CM234" s="1819" t="str">
        <f>$CM$19</f>
        <v>Original Budget</v>
      </c>
      <c r="CN234" s="1819" t="str">
        <f>$CN$19</f>
        <v>LE</v>
      </c>
      <c r="CO234" s="1205"/>
      <c r="CP234" s="1819" t="str">
        <f>$CP$19</f>
        <v>Original Budget</v>
      </c>
      <c r="CQ234" s="1819" t="str">
        <f>$CQ$19</f>
        <v>LE</v>
      </c>
      <c r="CR234" s="34"/>
    </row>
    <row r="235" spans="1:96" ht="21" customHeight="1" outlineLevel="2">
      <c r="A235" s="1322"/>
      <c r="B235" s="577"/>
      <c r="C235" s="577" t="s">
        <v>1659</v>
      </c>
      <c r="D235" s="577"/>
      <c r="E235" s="577" t="e" cm="1">
        <f t="array" ca="1" aca="1" ref="E235">_xlfn.LET(_xlpm.Attr,$C235,_xlpm.Lookback,$E$16,_xlpm.QueryDate,EOMONTH(val_asOfDate,_xlpm.Lookback),_xlpm.ReadField,_xldudf_CX_GET(CX_ENTITY,fx_attrConverter($C235),_xlpm.QueryDate),_xlpm.AttrBlank,_xlpm.Attr="",_xlpm.RESULT,IF(_xlpm.AttrBlank,val_blankRefText,fx_attrConverter(_xlpm.ReadField,0)),IF(_xlpm.RESULT="Error","",_xlpm.RESULT))</f>
        <v>#NAME?</v>
      </c>
      <c r="F235" s="577" t="e">
        <f ca="1">IF($B235&lt;&gt;"",$B235,$E235)</f>
        <v>#NAME?</v>
      </c>
      <c r="G235" s="1328" t="s">
        <v>1658</v>
      </c>
      <c r="H235" s="3287">
        <v>2</v>
      </c>
      <c r="I235" s="3287">
        <v>1</v>
      </c>
      <c r="J235" s="30"/>
      <c r="K235" s="30"/>
      <c r="L235" s="578">
        <v>-1</v>
      </c>
      <c r="N235" s="158"/>
      <c r="O235" s="101"/>
      <c r="P235" s="52"/>
      <c r="Q235" s="101"/>
      <c r="R235" s="101"/>
      <c r="S235" s="2"/>
      <c r="T235" s="2"/>
      <c r="U235" s="39"/>
      <c r="W235" s="91" t="e">
        <f ca="1">W231</f>
        <v>#NAME?</v>
      </c>
      <c r="X235" s="897" t="e" vm="4" cm="1">
        <f t="array" ref="X235">fx_getIcon("select")</f>
        <v>#VALUE!</v>
      </c>
      <c r="Y235" s="1838" t="e" cm="1">
        <f t="array" ca="1" aca="1" ref="Y235">IFBLANK(_xldudf_CX_GET(CX_ENTITY,fx_attrConverter(C235),val_asOfDate),"Please select the metric for segmentation")</f>
        <v>#NAME?</v>
      </c>
      <c r="Z235" s="878"/>
      <c r="AA235" s="877"/>
      <c r="AB235" s="1133" t="str">
        <f ca="1">IFERROR(_xlfn.XLOOKUP($Y235,_PL!$Y$20:$Y$41,_PL!$AB$20:$AB$41),"")</f>
        <v/>
      </c>
      <c r="AC235" s="1163"/>
      <c r="AD235" s="1962" t="e" cm="1">
        <f t="array" ca="1" aca="1" ref="AD235">_xlfn.LET(_xlpm.val,IF($F235="",val_blankRefText,_xldudf_CX_GET(CX_ENTITY,$F235,AD$11,AD$14,,(AD$234))),_xlpm.Res,IF(OR(_xlpm.val="",_xlpm.val="Error"),"",_xlpm.val),_xlpm.Res)</f>
        <v>#NAME?</v>
      </c>
      <c r="AE235" s="1993" t="e" cm="1">
        <f t="array" ca="1" aca="1" ref="AE235">_xlfn.LET(_xlpm.val,IF($F235="",val_blankRefText,_xldudf_CX_GET(CX_ENTITY,$F235,AE$11,AE$14,,(AE$234))),_xlpm.Res,IF(OR(_xlpm.val="",_xlpm.val="Error"),"",_xlpm.val),_xlpm.Res)</f>
        <v>#NAME?</v>
      </c>
      <c r="AF235" s="1993" t="e" cm="1">
        <f t="array" ca="1" aca="1" ref="AF235">_xlfn.LET(_xlpm.val,IF($F235="",val_blankRefText,_xldudf_CX_GET(CX_ENTITY,$F235,AF$11,AF$14,,(AF$234))),_xlpm.Res,IF(OR(_xlpm.val="",_xlpm.val="Error"),"",_xlpm.val),_xlpm.Res)</f>
        <v>#NAME?</v>
      </c>
      <c r="AG235" s="1993" t="e" cm="1">
        <f t="array" ca="1" aca="1" ref="AG235">_xlfn.LET(_xlpm.val,IF($F235="",val_blankRefText,_xldudf_CX_GET(CX_ENTITY,$F235,AG$11,AG$14,,(AG$234))),_xlpm.Res,IF(OR(_xlpm.val="",_xlpm.val="Error"),"",_xlpm.val),_xlpm.Res)</f>
        <v>#NAME?</v>
      </c>
      <c r="AH235" s="1993" t="e" cm="1">
        <f t="array" ca="1" aca="1" ref="AH235">_xlfn.LET(_xlpm.val,IF($F235="",val_blankRefText,_xldudf_CX_GET(CX_ENTITY,$F235,AH$11,AH$14,,(AH$234))),_xlpm.Res,IF(OR(_xlpm.val="",_xlpm.val="Error"),"",_xlpm.val),_xlpm.Res)</f>
        <v>#NAME?</v>
      </c>
      <c r="AI235" s="1993" t="e" cm="1">
        <f t="array" ca="1" aca="1" ref="AI235">_xlfn.LET(_xlpm.val,IF($F235="",val_blankRefText,_xldudf_CX_GET(CX_ENTITY,$F235,AI$11,AI$14,,(AI$234))),_xlpm.Res,IF(OR(_xlpm.val="",_xlpm.val="Error"),"",_xlpm.val),_xlpm.Res)</f>
        <v>#NAME?</v>
      </c>
      <c r="AJ235" s="1993" t="e" cm="1">
        <f t="array" ca="1" aca="1" ref="AJ235">_xlfn.LET(_xlpm.val,IF($F235="",val_blankRefText,_xldudf_CX_GET(CX_ENTITY,$F235,AJ$11,AJ$14,,(AJ$234))),_xlpm.Res,IF(OR(_xlpm.val="",_xlpm.val="Error"),"",_xlpm.val),_xlpm.Res)</f>
        <v>#NAME?</v>
      </c>
      <c r="AK235" s="1993" t="e" cm="1">
        <f t="array" ca="1" aca="1" ref="AK235">_xlfn.LET(_xlpm.val,IF($F235="",val_blankRefText,_xldudf_CX_GET(CX_ENTITY,$F235,AK$11,AK$14,,(AK$234))),_xlpm.Res,IF(OR(_xlpm.val="",_xlpm.val="Error"),"",_xlpm.val),_xlpm.Res)</f>
        <v>#NAME?</v>
      </c>
      <c r="AL235" s="1993" t="e" cm="1">
        <f t="array" ca="1" aca="1" ref="AL235">_xlfn.LET(_xlpm.val,IF($F235="",val_blankRefText,_xldudf_CX_GET(CX_ENTITY,$F235,AL$11,AL$14,,(AL$234))),_xlpm.Res,IF(OR(_xlpm.val="",_xlpm.val="Error"),"",_xlpm.val),_xlpm.Res)</f>
        <v>#NAME?</v>
      </c>
      <c r="AM235" s="1993" t="e" cm="1">
        <f t="array" ca="1" aca="1" ref="AM235">_xlfn.LET(_xlpm.val,IF($F235="",val_blankRefText,_xldudf_CX_GET(CX_ENTITY,$F235,AM$11,AM$14,,(AM$234))),_xlpm.Res,IF(OR(_xlpm.val="",_xlpm.val="Error"),"",_xlpm.val),_xlpm.Res)</f>
        <v>#NAME?</v>
      </c>
      <c r="AN235" s="1993" t="e" cm="1">
        <f t="array" ca="1" aca="1" ref="AN235">_xlfn.LET(_xlpm.val,IF($F235="",val_blankRefText,_xldudf_CX_GET(CX_ENTITY,$F235,AN$11,AN$14,,(AN$234))),_xlpm.Res,IF(OR(_xlpm.val="",_xlpm.val="Error"),"",_xlpm.val),_xlpm.Res)</f>
        <v>#NAME?</v>
      </c>
      <c r="AO235" s="1993" t="e" cm="1">
        <f t="array" ca="1" aca="1" ref="AO235">_xlfn.LET(_xlpm.val,IF($F235="",val_blankRefText,_xldudf_CX_GET(CX_ENTITY,$F235,AO$11,AO$14,,(AO$234))),_xlpm.Res,IF(OR(_xlpm.val="",_xlpm.val="Error"),"",_xlpm.val),_xlpm.Res)</f>
        <v>#NAME?</v>
      </c>
      <c r="AP235" s="1993" t="e" cm="1">
        <f t="array" ca="1" aca="1" ref="AP235">_xlfn.LET(_xlpm.val,IF($F235="",val_blankRefText,_xldudf_CX_GET(CX_ENTITY,$F235,AP$11,AP$14,,(AP$234))),_xlpm.Res,IF(OR(_xlpm.val="",_xlpm.val="Error"),"",_xlpm.val),_xlpm.Res)</f>
        <v>#NAME?</v>
      </c>
      <c r="AQ235" s="1993" t="e" cm="1">
        <f t="array" ca="1" aca="1" ref="AQ235">_xlfn.LET(_xlpm.val,IF($F235="",val_blankRefText,_xldudf_CX_GET(CX_ENTITY,$F235,AQ$11,AQ$14,,(AQ$234))),_xlpm.Res,IF(OR(_xlpm.val="",_xlpm.val="Error"),"",_xlpm.val),_xlpm.Res)</f>
        <v>#NAME?</v>
      </c>
      <c r="AR235" s="1993" t="e" cm="1">
        <f t="array" ca="1" aca="1" ref="AR235">_xlfn.LET(_xlpm.val,IF($F235="",val_blankRefText,_xldudf_CX_GET(CX_ENTITY,$F235,AR$11,AR$14,,(AR$234))),_xlpm.Res,IF(OR(_xlpm.val="",_xlpm.val="Error"),"",_xlpm.val),_xlpm.Res)</f>
        <v>#NAME?</v>
      </c>
      <c r="AS235" s="1993" t="e" cm="1">
        <f t="array" ca="1" aca="1" ref="AS235">_xlfn.LET(_xlpm.val,IF($F235="",val_blankRefText,_xldudf_CX_GET(CX_ENTITY,$F235,AS$11,AS$14,,(AS$234))),_xlpm.Res,IF(OR(_xlpm.val="",_xlpm.val="Error"),"",_xlpm.val),_xlpm.Res)</f>
        <v>#NAME?</v>
      </c>
      <c r="AT235" s="1993" t="e" cm="1">
        <f t="array" ca="1" aca="1" ref="AT235">_xlfn.LET(_xlpm.val,IF($F235="",val_blankRefText,_xldudf_CX_GET(CX_ENTITY,$F235,AT$11,AT$14,,(AT$234))),_xlpm.Res,IF(OR(_xlpm.val="",_xlpm.val="Error"),"",_xlpm.val),_xlpm.Res)</f>
        <v>#NAME?</v>
      </c>
      <c r="AU235" s="1993" t="e" cm="1">
        <f t="array" ca="1" aca="1" ref="AU235">_xlfn.LET(_xlpm.val,IF($F235="",val_blankRefText,_xldudf_CX_GET(CX_ENTITY,$F235,AU$11,AU$14,,(AU$234))),_xlpm.Res,IF(OR(_xlpm.val="",_xlpm.val="Error"),"",_xlpm.val),_xlpm.Res)</f>
        <v>#NAME?</v>
      </c>
      <c r="AV235" s="1993" t="e" cm="1">
        <f t="array" ca="1" aca="1" ref="AV235">_xlfn.LET(_xlpm.val,IF($F235="",val_blankRefText,_xldudf_CX_GET(CX_ENTITY,$F235,AV$11,AV$14,,(AV$234))),_xlpm.Res,IF(OR(_xlpm.val="",_xlpm.val="Error"),"",_xlpm.val),_xlpm.Res)</f>
        <v>#NAME?</v>
      </c>
      <c r="AW235" s="1993" t="e" cm="1">
        <f t="array" ca="1" aca="1" ref="AW235">_xlfn.LET(_xlpm.val,IF($F235="",val_blankRefText,_xldudf_CX_GET(CX_ENTITY,$F235,AW$11,AW$14,,(AW$234))),_xlpm.Res,IF(OR(_xlpm.val="",_xlpm.val="Error"),"",_xlpm.val),_xlpm.Res)</f>
        <v>#NAME?</v>
      </c>
      <c r="AX235" s="1993" t="e" cm="1">
        <f t="array" ca="1" aca="1" ref="AX235">_xlfn.LET(_xlpm.val,IF($F235="",val_blankRefText,_xldudf_CX_GET(CX_ENTITY,$F235,AX$11,AX$14,,(AX$234))),_xlpm.Res,IF(OR(_xlpm.val="",_xlpm.val="Error"),"",_xlpm.val),_xlpm.Res)</f>
        <v>#NAME?</v>
      </c>
      <c r="AY235" s="1993" t="e" cm="1">
        <f t="array" ca="1" aca="1" ref="AY235">_xlfn.LET(_xlpm.val,IF($F235="",val_blankRefText,_xldudf_CX_GET(CX_ENTITY,$F235,AY$11,AY$14,,(AY$234))),_xlpm.Res,IF(OR(_xlpm.val="",_xlpm.val="Error"),"",_xlpm.val),_xlpm.Res)</f>
        <v>#NAME?</v>
      </c>
      <c r="AZ235" s="1993" t="e" cm="1">
        <f t="array" ca="1" aca="1" ref="AZ235">_xlfn.LET(_xlpm.val,IF($F235="",val_blankRefText,_xldudf_CX_GET(CX_ENTITY,$F235,AZ$11,AZ$14,,(AZ$234))),_xlpm.Res,IF(OR(_xlpm.val="",_xlpm.val="Error"),"",_xlpm.val),_xlpm.Res)</f>
        <v>#NAME?</v>
      </c>
      <c r="BA235" s="1993" t="e" cm="1">
        <f t="array" ca="1" aca="1" ref="BA235">_xlfn.LET(_xlpm.val,IF($F235="",val_blankRefText,_xldudf_CX_GET(CX_ENTITY,$F235,BA$11,BA$14,,(BA$234))),_xlpm.Res,IF(OR(_xlpm.val="",_xlpm.val="Error"),"",_xlpm.val),_xlpm.Res)</f>
        <v>#NAME?</v>
      </c>
      <c r="BB235" s="1993" t="e" cm="1">
        <f t="array" ca="1" aca="1" ref="BB235">_xlfn.LET(_xlpm.val,IF($F235="",val_blankRefText,_xldudf_CX_GET(CX_ENTITY,$F235,BB$11,BB$14,,(BB$234))),_xlpm.Res,IF(OR(_xlpm.val="",_xlpm.val="Error"),"",_xlpm.val),_xlpm.Res)</f>
        <v>#NAME?</v>
      </c>
      <c r="BC235" s="1993" t="e" cm="1">
        <f t="array" ca="1" aca="1" ref="BC235">_xlfn.LET(_xlpm.val,IF($F235="",val_blankRefText,_xldudf_CX_GET(CX_ENTITY,$F235,BC$11,BC$14,,(BC$234))),_xlpm.Res,IF(OR(_xlpm.val="",_xlpm.val="Error"),"",_xlpm.val),_xlpm.Res)</f>
        <v>#NAME?</v>
      </c>
      <c r="BD235" s="1993" t="e" cm="1">
        <f t="array" ca="1" aca="1" ref="BD235">_xlfn.LET(_xlpm.val,IF($F235="",val_blankRefText,_xldudf_CX_GET(CX_ENTITY,$F235,BD$11,BD$14,,(BD$234))),_xlpm.Res,IF(OR(_xlpm.val="",_xlpm.val="Error"),"",_xlpm.val),_xlpm.Res)</f>
        <v>#NAME?</v>
      </c>
      <c r="BE235" s="1993" t="e" cm="1">
        <f t="array" ca="1" aca="1" ref="BE235">_xlfn.LET(_xlpm.val,IF($F235="",val_blankRefText,_xldudf_CX_GET(CX_ENTITY,$F235,BE$11,BE$14,,(BE$234))),_xlpm.Res,IF(OR(_xlpm.val="",_xlpm.val="Error"),"",_xlpm.val),_xlpm.Res)</f>
        <v>#NAME?</v>
      </c>
      <c r="BF235" s="1993" t="e" cm="1">
        <f t="array" ca="1" aca="1" ref="BF235">_xlfn.LET(_xlpm.val,IF($F235="",val_blankRefText,_xldudf_CX_GET(CX_ENTITY,$F235,BF$11,BF$14,,(BF$234))),_xlpm.Res,IF(OR(_xlpm.val="",_xlpm.val="Error"),"",_xlpm.val),_xlpm.Res)</f>
        <v>#NAME?</v>
      </c>
      <c r="BG235" s="1993" t="e" cm="1">
        <f t="array" ca="1" aca="1" ref="BG235">_xlfn.LET(_xlpm.val,IF($F235="",val_blankRefText,_xldudf_CX_GET(CX_ENTITY,$F235,BG$11,BG$14,,(BG$234))),_xlpm.Res,IF(OR(_xlpm.val="",_xlpm.val="Error"),"",_xlpm.val),_xlpm.Res)</f>
        <v>#NAME?</v>
      </c>
      <c r="BH235" s="1993" t="e" cm="1">
        <f t="array" ca="1" aca="1" ref="BH235">_xlfn.LET(_xlpm.val,IF($F235="",val_blankRefText,_xldudf_CX_GET(CX_ENTITY,$F235,BH$11,BH$14,,(BH$234))),_xlpm.Res,IF(OR(_xlpm.val="",_xlpm.val="Error"),"",_xlpm.val),_xlpm.Res)</f>
        <v>#NAME?</v>
      </c>
      <c r="BI235" s="1993" t="e" cm="1">
        <f t="array" ca="1" aca="1" ref="BI235">_xlfn.LET(_xlpm.val,IF($F235="",val_blankRefText,_xldudf_CX_GET(CX_ENTITY,$F235,BI$11,BI$14,,(BI$234))),_xlpm.Res,IF(OR(_xlpm.val="",_xlpm.val="Error"),"",_xlpm.val),_xlpm.Res)</f>
        <v>#NAME?</v>
      </c>
      <c r="BJ235" s="1993" t="e" cm="1">
        <f t="array" ca="1" aca="1" ref="BJ235">_xlfn.LET(_xlpm.val,IF($F235="",val_blankRefText,_xldudf_CX_GET(CX_ENTITY,$F235,BJ$11,BJ$14,,(BJ$234))),_xlpm.Res,IF(OR(_xlpm.val="",_xlpm.val="Error"),"",_xlpm.val),_xlpm.Res)</f>
        <v>#NAME?</v>
      </c>
      <c r="BK235" s="1993" t="e" cm="1">
        <f t="array" ca="1" aca="1" ref="BK235">_xlfn.LET(_xlpm.val,IF($F235="",val_blankRefText,_xldudf_CX_GET(CX_ENTITY,$F235,BK$11,BK$14,,(BK$234))),_xlpm.Res,IF(OR(_xlpm.val="",_xlpm.val="Error"),"",_xlpm.val),_xlpm.Res)</f>
        <v>#NAME?</v>
      </c>
      <c r="BL235" s="1993" t="e" cm="1">
        <f t="array" ca="1" aca="1" ref="BL235">_xlfn.LET(_xlpm.val,IF($F235="",val_blankRefText,_xldudf_CX_GET(CX_ENTITY,$F235,BL$11,BL$14,,(BL$234))),_xlpm.Res,IF(OR(_xlpm.val="",_xlpm.val="Error"),"",_xlpm.val),_xlpm.Res)</f>
        <v>#NAME?</v>
      </c>
      <c r="BM235" s="1993" t="e" cm="1">
        <f t="array" ca="1" aca="1" ref="BM235">_xlfn.LET(_xlpm.val,IF($F235="",val_blankRefText,_xldudf_CX_GET(CX_ENTITY,$F235,BM$11,BM$14,,(BM$234))),_xlpm.Res,IF(OR(_xlpm.val="",_xlpm.val="Error"),"",_xlpm.val),_xlpm.Res)</f>
        <v>#NAME?</v>
      </c>
      <c r="BN235" s="1993" t="e" cm="1">
        <f t="array" ca="1" aca="1" ref="BN235">_xlfn.LET(_xlpm.val,IF($F235="",val_blankRefText,_xldudf_CX_GET(CX_ENTITY,$F235,BN$11,BN$14,,(BN$234))),_xlpm.Res,IF(OR(_xlpm.val="",_xlpm.val="Error"),"",_xlpm.val),_xlpm.Res)</f>
        <v>#NAME?</v>
      </c>
      <c r="BO235" s="2110"/>
      <c r="BP235" s="2110"/>
      <c r="BQ235" s="2110"/>
      <c r="BR235" s="2110"/>
      <c r="BS235" s="2110"/>
      <c r="BT235" s="2110"/>
      <c r="BU235" s="2110"/>
      <c r="BV235" s="2110"/>
      <c r="BW235" s="2110"/>
      <c r="BX235" s="2110"/>
      <c r="BY235" s="2110"/>
      <c r="BZ235" s="2110"/>
      <c r="CA235" s="34"/>
      <c r="CC235" s="58"/>
      <c r="CD235" s="1461" t="e" cm="1">
        <f t="array" ca="1" aca="1" ref="CD235">_xlfn.LET(_xlpm.CheckBlank,SUM(PL!$AD235:$BN235)=0,IF(_xlpm.CheckBlank,"",SUM(_xlfn._xlws.FILTER(PL!$AD235:$BN235,(YEAR(PL!$AD$12:$BN$12)=PL!CD$12)*(array_timeline&lt;=PL!CD$11)))))</f>
        <v>#NAME?</v>
      </c>
      <c r="CE235" s="1461" t="e" cm="1">
        <f t="array" ca="1" aca="1" ref="CE235">_xlfn.LET(_xlpm.CheckBlank,SUM(PL!$AD235:$BN235)=0,IF(_xlpm.CheckBlank,"",SUM(_xlfn._xlws.FILTER(PL!$AD235:$BN235,(YEAR(PL!$AD$12:$BN$12)=PL!CE$12)*(array_timeline&lt;=PL!CE$11)))))</f>
        <v>#NAME?</v>
      </c>
      <c r="CF235" s="88"/>
      <c r="CG235" s="1461" t="e" cm="1">
        <f t="array" ca="1" aca="1" ref="CG235">_xlfn.LET(_xlpm.CheckBlank,SUM(PL!$AD235:$BN235)=0,IF(_xlpm.CheckBlank,"",SUM(_xlfn._xlws.FILTER(PL!$AD235:$BN235,(YEAR(PL!$AD$12:$BN$12)=PL!CG$12)*(array_timeline&lt;=PL!CG$11)))))</f>
        <v>#NAME?</v>
      </c>
      <c r="CH235" s="1461" t="e" cm="1">
        <f t="array" ca="1" aca="1" ref="CH235">_xlfn.LET(_xlpm.CheckBlank,SUM(PL!$AD235:$BN235)=0,IF(_xlpm.CheckBlank,"",SUM(_xlfn._xlws.FILTER(PL!$AD235:$BN235,(YEAR(PL!$AD$12:$BN$12)=PL!CH$12)*(array_timeline&lt;=PL!CH$11)))))</f>
        <v>#NAME?</v>
      </c>
      <c r="CI235" s="88"/>
      <c r="CJ235" s="1461" t="e" cm="1">
        <f t="array" ca="1" aca="1" ref="CJ235">_xlfn.LET(_xlpm.CheckBlank,SUM(PL!$AD235:$BN235)=0,IF(_xlpm.CheckBlank,"",SUM(_xlfn.TAKE(_xlfn.DROP(PL!$AD235:$BN235,,-DATEDIFF(PL!CJ$11,val_asOfDate,"M")),1,-12))))</f>
        <v>#NAME?</v>
      </c>
      <c r="CK235" s="1461" t="e" cm="1">
        <f t="array" ca="1" aca="1" ref="CK235">_xlfn.LET(_xlpm.CheckBlank,SUM(PL!$AD235:$BN235)=0,IF(_xlpm.CheckBlank,"",SUM(_xlfn.TAKE(_xlfn.DROP(PL!$AD235:$BN235,,-DATEDIFF(PL!CK$11,val_asOfDate,"M")),1,-12))))</f>
        <v>#NAME?</v>
      </c>
      <c r="CL235" s="88"/>
      <c r="CM235" s="1142" t="str" cm="1">
        <f t="array" ca="1" aca="1" ref="CM235">_xlfn.LET(_xlpm.findRow,_xlfn.XMATCH($W235&amp;$Y235,$W$20:$W$118&amp;$AB$20:$AB$118,0),_xlpm.Choose,_xlfn.CHOOSEROWS($CM$20:$CN$118,_xlpm.findRow),_xlpm.RESULT,IF(ISERROR(_xlpm.findRow),"",_xlpm.Choose),_xlpm.RESULT)</f>
        <v/>
      </c>
      <c r="CN235" s="1142"/>
      <c r="CO235" s="88"/>
      <c r="CP235" s="1142" t="str" cm="1">
        <f t="array" ca="1" aca="1" ref="CP235">_xlfn.LET(_xlpm.findRow,_xlfn.XMATCH($W235&amp;$Y235,$W$20:$W$118&amp;$AB$20:$AB$118,0),_xlpm.Choose,_xlfn.CHOOSEROWS($CP$20:$CQ$118,_xlpm.findRow),_xlpm.RESULT,IF(ISERROR(_xlpm.findRow),"",_xlpm.Choose),_xlpm.RESULT)</f>
        <v/>
      </c>
      <c r="CQ235" s="1142"/>
      <c r="CR235" s="34"/>
    </row>
    <row r="236" spans="1:96" ht="21" customHeight="1" outlineLevel="2">
      <c r="A236" s="1322"/>
      <c r="B236" s="577" t="s">
        <v>187</v>
      </c>
      <c r="C236" s="577" t="s">
        <v>1660</v>
      </c>
      <c r="D236" s="577"/>
      <c r="E236" s="577" t="e" cm="1">
        <f t="array" ca="1" aca="1" ref="E236">_xlfn.LET(_xlpm.Attr,$C236,_xlpm.Lookback,$E$16,_xlpm.QueryDate,EOMONTH(val_asOfDate,_xlpm.Lookback),_xlpm.ReadField,_xldudf_CX_GET(CX_ENTITY,fx_attrConverter($C236),_xlpm.QueryDate),_xlpm.AttrBlank,_xlpm.Attr="",_xlpm.RESULT,IF(_xlpm.AttrBlank,val_blankRefText,fx_attrConverter(_xlpm.ReadField,0)),IF(_xlpm.RESULT="Error","",_xlpm.RESULT))</f>
        <v>#NAME?</v>
      </c>
      <c r="F236" s="577" t="str">
        <f t="shared" si="69" ref="F236:F242">IF($B236&lt;&gt;"",$B236,$E236)</f>
        <v>Segment IV Breakdown - Amount 1</v>
      </c>
      <c r="G236" s="577" t="s">
        <v>1658</v>
      </c>
      <c r="H236" s="510">
        <v>0</v>
      </c>
      <c r="I236" s="3278">
        <v>1</v>
      </c>
      <c r="J236" s="30"/>
      <c r="K236" s="30"/>
      <c r="L236" s="579" t="b">
        <v>0</v>
      </c>
      <c r="N236" s="158"/>
      <c r="O236" s="101"/>
      <c r="P236" s="52"/>
      <c r="Q236" s="101"/>
      <c r="R236" s="101"/>
      <c r="S236" s="2"/>
      <c r="T236" s="2"/>
      <c r="U236" s="39"/>
      <c r="W236" s="91" t="e">
        <f ca="1">W235</f>
        <v>#NAME?</v>
      </c>
      <c r="X236" s="884" t="s">
        <v>62</v>
      </c>
      <c r="Y236" s="1553" t="e" cm="1">
        <f t="array" ca="1" aca="1" ref="Y236">IF($B236="",IFBLANK($E236,"Please select or type in or leave as blank"),IFBLANK($E236,$B236))</f>
        <v>#NAME?</v>
      </c>
      <c r="Z236" s="198" cm="1">
        <f t="array" ref="Z236">_xlfn.SWITCH(TRUE,ISBLANK(_PL!$L236),"",_PL!$L236=TRUE,1,_PL!$L236=FALSE,-1,_PL!$L236=-1,0,"n/a")</f>
        <v>-1</v>
      </c>
      <c r="AA236" s="905"/>
      <c r="AB236" s="591"/>
      <c r="AC236" s="914"/>
      <c r="AD236" s="1992" t="e" cm="1">
        <f t="array" ca="1" aca="1" ref="AD236">_xlfn.LET(_xlpm.val,IF($F236="",val_blankRefText,_xldudf_CX_GET(CX_ENTITY,$F236,AD$11,AD$14,,(AD$234))),_xlpm.Res,IF(OR(_xlpm.val="",_xlpm.val="Error"),"",_xlpm.val),_xlpm.Res)</f>
        <v>#NAME?</v>
      </c>
      <c r="AE236" s="1992" t="e" cm="1">
        <f t="array" ca="1" aca="1" ref="AE236">_xlfn.LET(_xlpm.val,IF($F236="",val_blankRefText,_xldudf_CX_GET(CX_ENTITY,$F236,AE$11,AE$14,,(AE$234))),_xlpm.Res,IF(OR(_xlpm.val="",_xlpm.val="Error"),"",_xlpm.val),_xlpm.Res)</f>
        <v>#NAME?</v>
      </c>
      <c r="AF236" s="1992" t="e" cm="1">
        <f t="array" ca="1" aca="1" ref="AF236">_xlfn.LET(_xlpm.val,IF($F236="",val_blankRefText,_xldudf_CX_GET(CX_ENTITY,$F236,AF$11,AF$14,,(AF$234))),_xlpm.Res,IF(OR(_xlpm.val="",_xlpm.val="Error"),"",_xlpm.val),_xlpm.Res)</f>
        <v>#NAME?</v>
      </c>
      <c r="AG236" s="1992" t="e" cm="1">
        <f t="array" ca="1" aca="1" ref="AG236">_xlfn.LET(_xlpm.val,IF($F236="",val_blankRefText,_xldudf_CX_GET(CX_ENTITY,$F236,AG$11,AG$14,,(AG$234))),_xlpm.Res,IF(OR(_xlpm.val="",_xlpm.val="Error"),"",_xlpm.val),_xlpm.Res)</f>
        <v>#NAME?</v>
      </c>
      <c r="AH236" s="1992" t="e" cm="1">
        <f t="array" ca="1" aca="1" ref="AH236">_xlfn.LET(_xlpm.val,IF($F236="",val_blankRefText,_xldudf_CX_GET(CX_ENTITY,$F236,AH$11,AH$14,,(AH$234))),_xlpm.Res,IF(OR(_xlpm.val="",_xlpm.val="Error"),"",_xlpm.val),_xlpm.Res)</f>
        <v>#NAME?</v>
      </c>
      <c r="AI236" s="1992" t="e" cm="1">
        <f t="array" ca="1" aca="1" ref="AI236">_xlfn.LET(_xlpm.val,IF($F236="",val_blankRefText,_xldudf_CX_GET(CX_ENTITY,$F236,AI$11,AI$14,,(AI$234))),_xlpm.Res,IF(OR(_xlpm.val="",_xlpm.val="Error"),"",_xlpm.val),_xlpm.Res)</f>
        <v>#NAME?</v>
      </c>
      <c r="AJ236" s="1992" t="e" cm="1">
        <f t="array" ca="1" aca="1" ref="AJ236">_xlfn.LET(_xlpm.val,IF($F236="",val_blankRefText,_xldudf_CX_GET(CX_ENTITY,$F236,AJ$11,AJ$14,,(AJ$234))),_xlpm.Res,IF(OR(_xlpm.val="",_xlpm.val="Error"),"",_xlpm.val),_xlpm.Res)</f>
        <v>#NAME?</v>
      </c>
      <c r="AK236" s="1992" t="e" cm="1">
        <f t="array" ca="1" aca="1" ref="AK236">_xlfn.LET(_xlpm.val,IF($F236="",val_blankRefText,_xldudf_CX_GET(CX_ENTITY,$F236,AK$11,AK$14,,(AK$234))),_xlpm.Res,IF(OR(_xlpm.val="",_xlpm.val="Error"),"",_xlpm.val),_xlpm.Res)</f>
        <v>#NAME?</v>
      </c>
      <c r="AL236" s="1992" t="e" cm="1">
        <f t="array" ca="1" aca="1" ref="AL236">_xlfn.LET(_xlpm.val,IF($F236="",val_blankRefText,_xldudf_CX_GET(CX_ENTITY,$F236,AL$11,AL$14,,(AL$234))),_xlpm.Res,IF(OR(_xlpm.val="",_xlpm.val="Error"),"",_xlpm.val),_xlpm.Res)</f>
        <v>#NAME?</v>
      </c>
      <c r="AM236" s="1992" t="e" cm="1">
        <f t="array" ca="1" aca="1" ref="AM236">_xlfn.LET(_xlpm.val,IF($F236="",val_blankRefText,_xldudf_CX_GET(CX_ENTITY,$F236,AM$11,AM$14,,(AM$234))),_xlpm.Res,IF(OR(_xlpm.val="",_xlpm.val="Error"),"",_xlpm.val),_xlpm.Res)</f>
        <v>#NAME?</v>
      </c>
      <c r="AN236" s="1992" t="e" cm="1">
        <f t="array" ca="1" aca="1" ref="AN236">_xlfn.LET(_xlpm.val,IF($F236="",val_blankRefText,_xldudf_CX_GET(CX_ENTITY,$F236,AN$11,AN$14,,(AN$234))),_xlpm.Res,IF(OR(_xlpm.val="",_xlpm.val="Error"),"",_xlpm.val),_xlpm.Res)</f>
        <v>#NAME?</v>
      </c>
      <c r="AO236" s="1992" t="e" cm="1">
        <f t="array" ca="1" aca="1" ref="AO236">_xlfn.LET(_xlpm.val,IF($F236="",val_blankRefText,_xldudf_CX_GET(CX_ENTITY,$F236,AO$11,AO$14,,(AO$234))),_xlpm.Res,IF(OR(_xlpm.val="",_xlpm.val="Error"),"",_xlpm.val),_xlpm.Res)</f>
        <v>#NAME?</v>
      </c>
      <c r="AP236" s="1992" t="e" cm="1">
        <f t="array" ca="1" aca="1" ref="AP236">_xlfn.LET(_xlpm.val,IF($F236="",val_blankRefText,_xldudf_CX_GET(CX_ENTITY,$F236,AP$11,AP$14,,(AP$234))),_xlpm.Res,IF(OR(_xlpm.val="",_xlpm.val="Error"),"",_xlpm.val),_xlpm.Res)</f>
        <v>#NAME?</v>
      </c>
      <c r="AQ236" s="1992" t="e" cm="1">
        <f t="array" ca="1" aca="1" ref="AQ236">_xlfn.LET(_xlpm.val,IF($F236="",val_blankRefText,_xldudf_CX_GET(CX_ENTITY,$F236,AQ$11,AQ$14,,(AQ$234))),_xlpm.Res,IF(OR(_xlpm.val="",_xlpm.val="Error"),"",_xlpm.val),_xlpm.Res)</f>
        <v>#NAME?</v>
      </c>
      <c r="AR236" s="1992" t="e" cm="1">
        <f t="array" ca="1" aca="1" ref="AR236">_xlfn.LET(_xlpm.val,IF($F236="",val_blankRefText,_xldudf_CX_GET(CX_ENTITY,$F236,AR$11,AR$14,,(AR$234))),_xlpm.Res,IF(OR(_xlpm.val="",_xlpm.val="Error"),"",_xlpm.val),_xlpm.Res)</f>
        <v>#NAME?</v>
      </c>
      <c r="AS236" s="1992" t="e" cm="1">
        <f t="array" ca="1" aca="1" ref="AS236">_xlfn.LET(_xlpm.val,IF($F236="",val_blankRefText,_xldudf_CX_GET(CX_ENTITY,$F236,AS$11,AS$14,,(AS$234))),_xlpm.Res,IF(OR(_xlpm.val="",_xlpm.val="Error"),"",_xlpm.val),_xlpm.Res)</f>
        <v>#NAME?</v>
      </c>
      <c r="AT236" s="1992" t="e" cm="1">
        <f t="array" ca="1" aca="1" ref="AT236">_xlfn.LET(_xlpm.val,IF($F236="",val_blankRefText,_xldudf_CX_GET(CX_ENTITY,$F236,AT$11,AT$14,,(AT$234))),_xlpm.Res,IF(OR(_xlpm.val="",_xlpm.val="Error"),"",_xlpm.val),_xlpm.Res)</f>
        <v>#NAME?</v>
      </c>
      <c r="AU236" s="1992" t="e" cm="1">
        <f t="array" ca="1" aca="1" ref="AU236">_xlfn.LET(_xlpm.val,IF($F236="",val_blankRefText,_xldudf_CX_GET(CX_ENTITY,$F236,AU$11,AU$14,,(AU$234))),_xlpm.Res,IF(OR(_xlpm.val="",_xlpm.val="Error"),"",_xlpm.val),_xlpm.Res)</f>
        <v>#NAME?</v>
      </c>
      <c r="AV236" s="1992" t="e" cm="1">
        <f t="array" ca="1" aca="1" ref="AV236">_xlfn.LET(_xlpm.val,IF($F236="",val_blankRefText,_xldudf_CX_GET(CX_ENTITY,$F236,AV$11,AV$14,,(AV$234))),_xlpm.Res,IF(OR(_xlpm.val="",_xlpm.val="Error"),"",_xlpm.val),_xlpm.Res)</f>
        <v>#NAME?</v>
      </c>
      <c r="AW236" s="1992" t="e" cm="1">
        <f t="array" ca="1" aca="1" ref="AW236">_xlfn.LET(_xlpm.val,IF($F236="",val_blankRefText,_xldudf_CX_GET(CX_ENTITY,$F236,AW$11,AW$14,,(AW$234))),_xlpm.Res,IF(OR(_xlpm.val="",_xlpm.val="Error"),"",_xlpm.val),_xlpm.Res)</f>
        <v>#NAME?</v>
      </c>
      <c r="AX236" s="1992" t="e" cm="1">
        <f t="array" ca="1" aca="1" ref="AX236">_xlfn.LET(_xlpm.val,IF($F236="",val_blankRefText,_xldudf_CX_GET(CX_ENTITY,$F236,AX$11,AX$14,,(AX$234))),_xlpm.Res,IF(OR(_xlpm.val="",_xlpm.val="Error"),"",_xlpm.val),_xlpm.Res)</f>
        <v>#NAME?</v>
      </c>
      <c r="AY236" s="1992" t="e" cm="1">
        <f t="array" ca="1" aca="1" ref="AY236">_xlfn.LET(_xlpm.val,IF($F236="",val_blankRefText,_xldudf_CX_GET(CX_ENTITY,$F236,AY$11,AY$14,,(AY$234))),_xlpm.Res,IF(OR(_xlpm.val="",_xlpm.val="Error"),"",_xlpm.val),_xlpm.Res)</f>
        <v>#NAME?</v>
      </c>
      <c r="AZ236" s="1992" t="e" cm="1">
        <f t="array" ca="1" aca="1" ref="AZ236">_xlfn.LET(_xlpm.val,IF($F236="",val_blankRefText,_xldudf_CX_GET(CX_ENTITY,$F236,AZ$11,AZ$14,,(AZ$234))),_xlpm.Res,IF(OR(_xlpm.val="",_xlpm.val="Error"),"",_xlpm.val),_xlpm.Res)</f>
        <v>#NAME?</v>
      </c>
      <c r="BA236" s="1992" t="e" cm="1">
        <f t="array" ca="1" aca="1" ref="BA236">_xlfn.LET(_xlpm.val,IF($F236="",val_blankRefText,_xldudf_CX_GET(CX_ENTITY,$F236,BA$11,BA$14,,(BA$234))),_xlpm.Res,IF(OR(_xlpm.val="",_xlpm.val="Error"),"",_xlpm.val),_xlpm.Res)</f>
        <v>#NAME?</v>
      </c>
      <c r="BB236" s="1992" t="e" cm="1">
        <f t="array" ca="1" aca="1" ref="BB236">_xlfn.LET(_xlpm.val,IF($F236="",val_blankRefText,_xldudf_CX_GET(CX_ENTITY,$F236,BB$11,BB$14,,(BB$234))),_xlpm.Res,IF(OR(_xlpm.val="",_xlpm.val="Error"),"",_xlpm.val),_xlpm.Res)</f>
        <v>#NAME?</v>
      </c>
      <c r="BC236" s="1992" t="e" cm="1">
        <f t="array" ca="1" aca="1" ref="BC236">_xlfn.LET(_xlpm.val,IF($F236="",val_blankRefText,_xldudf_CX_GET(CX_ENTITY,$F236,BC$11,BC$14,,(BC$234))),_xlpm.Res,IF(OR(_xlpm.val="",_xlpm.val="Error"),"",_xlpm.val),_xlpm.Res)</f>
        <v>#NAME?</v>
      </c>
      <c r="BD236" s="1992" t="e" cm="1">
        <f t="array" ca="1" aca="1" ref="BD236">_xlfn.LET(_xlpm.val,IF($F236="",val_blankRefText,_xldudf_CX_GET(CX_ENTITY,$F236,BD$11,BD$14,,(BD$234))),_xlpm.Res,IF(OR(_xlpm.val="",_xlpm.val="Error"),"",_xlpm.val),_xlpm.Res)</f>
        <v>#NAME?</v>
      </c>
      <c r="BE236" s="1992" t="e" cm="1">
        <f t="array" ca="1" aca="1" ref="BE236">_xlfn.LET(_xlpm.val,IF($F236="",val_blankRefText,_xldudf_CX_GET(CX_ENTITY,$F236,BE$11,BE$14,,(BE$234))),_xlpm.Res,IF(OR(_xlpm.val="",_xlpm.val="Error"),"",_xlpm.val),_xlpm.Res)</f>
        <v>#NAME?</v>
      </c>
      <c r="BF236" s="1992" t="e" cm="1">
        <f t="array" ca="1" aca="1" ref="BF236">_xlfn.LET(_xlpm.val,IF($F236="",val_blankRefText,_xldudf_CX_GET(CX_ENTITY,$F236,BF$11,BF$14,,(BF$234))),_xlpm.Res,IF(OR(_xlpm.val="",_xlpm.val="Error"),"",_xlpm.val),_xlpm.Res)</f>
        <v>#NAME?</v>
      </c>
      <c r="BG236" s="1992" t="e" cm="1">
        <f t="array" ca="1" aca="1" ref="BG236">_xlfn.LET(_xlpm.val,IF($F236="",val_blankRefText,_xldudf_CX_GET(CX_ENTITY,$F236,BG$11,BG$14,,(BG$234))),_xlpm.Res,IF(OR(_xlpm.val="",_xlpm.val="Error"),"",_xlpm.val),_xlpm.Res)</f>
        <v>#NAME?</v>
      </c>
      <c r="BH236" s="1992" t="e" cm="1">
        <f t="array" ca="1" aca="1" ref="BH236">_xlfn.LET(_xlpm.val,IF($F236="",val_blankRefText,_xldudf_CX_GET(CX_ENTITY,$F236,BH$11,BH$14,,(BH$234))),_xlpm.Res,IF(OR(_xlpm.val="",_xlpm.val="Error"),"",_xlpm.val),_xlpm.Res)</f>
        <v>#NAME?</v>
      </c>
      <c r="BI236" s="1992" t="e" cm="1">
        <f t="array" ca="1" aca="1" ref="BI236">_xlfn.LET(_xlpm.val,IF($F236="",val_blankRefText,_xldudf_CX_GET(CX_ENTITY,$F236,BI$11,BI$14,,(BI$234))),_xlpm.Res,IF(OR(_xlpm.val="",_xlpm.val="Error"),"",_xlpm.val),_xlpm.Res)</f>
        <v>#NAME?</v>
      </c>
      <c r="BJ236" s="1992" t="e" cm="1">
        <f t="array" ca="1" aca="1" ref="BJ236">_xlfn.LET(_xlpm.val,IF($F236="",val_blankRefText,_xldudf_CX_GET(CX_ENTITY,$F236,BJ$11,BJ$14,,(BJ$234))),_xlpm.Res,IF(OR(_xlpm.val="",_xlpm.val="Error"),"",_xlpm.val),_xlpm.Res)</f>
        <v>#NAME?</v>
      </c>
      <c r="BK236" s="1992" t="e" cm="1">
        <f t="array" ca="1" aca="1" ref="BK236">_xlfn.LET(_xlpm.val,IF($F236="",val_blankRefText,_xldudf_CX_GET(CX_ENTITY,$F236,BK$11,BK$14,,(BK$234))),_xlpm.Res,IF(OR(_xlpm.val="",_xlpm.val="Error"),"",_xlpm.val),_xlpm.Res)</f>
        <v>#NAME?</v>
      </c>
      <c r="BL236" s="1992" t="e" cm="1">
        <f t="array" ca="1" aca="1" ref="BL236">_xlfn.LET(_xlpm.val,IF($F236="",val_blankRefText,_xldudf_CX_GET(CX_ENTITY,$F236,BL$11,BL$14,,(BL$234))),_xlpm.Res,IF(OR(_xlpm.val="",_xlpm.val="Error"),"",_xlpm.val),_xlpm.Res)</f>
        <v>#NAME?</v>
      </c>
      <c r="BM236" s="1992" t="e" cm="1">
        <f t="array" ca="1" aca="1" ref="BM236">_xlfn.LET(_xlpm.val,IF($F236="",val_blankRefText,_xldudf_CX_GET(CX_ENTITY,$F236,BM$11,BM$14,,(BM$234))),_xlpm.Res,IF(OR(_xlpm.val="",_xlpm.val="Error"),"",_xlpm.val),_xlpm.Res)</f>
        <v>#NAME?</v>
      </c>
      <c r="BN236" s="1992" t="e" cm="1">
        <f t="array" ca="1" aca="1" ref="BN236">_xlfn.LET(_xlpm.val,IF($F236="",val_blankRefText,_xldudf_CX_GET(CX_ENTITY,$F236,BN$11,BN$14,,(BN$234))),_xlpm.Res,IF(OR(_xlpm.val="",_xlpm.val="Error"),"",_xlpm.val),_xlpm.Res)</f>
        <v>#NAME?</v>
      </c>
      <c r="BO236" s="2103"/>
      <c r="BP236" s="2103"/>
      <c r="BQ236" s="2103"/>
      <c r="BR236" s="2103"/>
      <c r="BS236" s="2103"/>
      <c r="BT236" s="2103"/>
      <c r="BU236" s="2103"/>
      <c r="BV236" s="2103"/>
      <c r="BW236" s="2103"/>
      <c r="BX236" s="2103"/>
      <c r="BY236" s="2103"/>
      <c r="BZ236" s="2103"/>
      <c r="CA236" s="34"/>
      <c r="CC236" s="58"/>
      <c r="CD236" s="1461" t="e" cm="1">
        <f t="array" ca="1" aca="1" ref="CD236">_xlfn.LET(_xlpm.CheckBlank,SUM(PL!$AD236:$BN236)=0,IF(_xlpm.CheckBlank,"",SUM(_xlfn._xlws.FILTER(PL!$AD236:$BN236,(YEAR(PL!$AD$12:$BN$12)=PL!CD$12)*(array_timeline&lt;=PL!CD$11)))))</f>
        <v>#NAME?</v>
      </c>
      <c r="CE236" s="1461" t="e" cm="1">
        <f t="array" ca="1" aca="1" ref="CE236">_xlfn.LET(_xlpm.CheckBlank,SUM(PL!$AD236:$BN236)=0,IF(_xlpm.CheckBlank,"",SUM(_xlfn._xlws.FILTER(PL!$AD236:$BN236,(YEAR(PL!$AD$12:$BN$12)=PL!CE$12)*(array_timeline&lt;=PL!CE$11)))))</f>
        <v>#NAME?</v>
      </c>
      <c r="CF236" s="88"/>
      <c r="CG236" s="1461" t="e" cm="1">
        <f t="array" ca="1" aca="1" ref="CG236">_xlfn.LET(_xlpm.CheckBlank,SUM(PL!$AD236:$BN236)=0,IF(_xlpm.CheckBlank,"",SUM(_xlfn._xlws.FILTER(PL!$AD236:$BN236,(YEAR(PL!$AD$12:$BN$12)=PL!CG$12)*(array_timeline&lt;=PL!CG$11)))))</f>
        <v>#NAME?</v>
      </c>
      <c r="CH236" s="1461" t="e" cm="1">
        <f t="array" ca="1" aca="1" ref="CH236">_xlfn.LET(_xlpm.CheckBlank,SUM(PL!$AD236:$BN236)=0,IF(_xlpm.CheckBlank,"",SUM(_xlfn._xlws.FILTER(PL!$AD236:$BN236,(YEAR(PL!$AD$12:$BN$12)=PL!CH$12)*(array_timeline&lt;=PL!CH$11)))))</f>
        <v>#NAME?</v>
      </c>
      <c r="CI236" s="88"/>
      <c r="CJ236" s="1461" cm="1">
        <f t="array" ref="CJ236">_xlfn.LET(_xlpm.CheckBlank,SUM(PL!$AD236:$BN236)=0,IF(_xlpm.CheckBlank,"",SUM(_xlfn.TAKE(_xlfn.DROP(PL!$AD236:$BN236,,-DATEDIFF(PL!CJ$11,val_asOfDate,"M")),1,-12))))</f>
        <v>12</v>
      </c>
      <c r="CK236" s="1461" cm="1">
        <f t="array" ref="CK236">_xlfn.LET(_xlpm.CheckBlank,SUM(PL!$AD236:$BN236)=0,IF(_xlpm.CheckBlank,"",SUM(_xlfn.TAKE(_xlfn.DROP(PL!$AD236:$BN236,,-DATEDIFF(PL!CK$11,val_asOfDate,"M")),1,-12))))</f>
        <v>12</v>
      </c>
      <c r="CL236" s="88"/>
      <c r="CM236" s="1986" t="e" cm="1">
        <f t="array" ca="1" aca="1" ref="CM236">_xlfn.LET(_xlpm.val,IF($F236="",val_blankRefText,_xldudf_CX_GET(CX_ENTITY,$F236,CM$11,CM$14,,(CM$234))),_xlpm.Res,IF(OR(_xlpm.val="",_xlpm.val="Error"),"",_xlpm.val),_xlpm.Res)</f>
        <v>#NAME?</v>
      </c>
      <c r="CN236" s="1986" t="e" cm="1">
        <f t="array" ca="1" aca="1" ref="CN236">_xlfn.LET(_xlpm.val,IF($F236="",val_blankRefText,_xldudf_CX_GET(CX_ENTITY,$F236,CN$11,CN$14,,(CN$234))),_xlpm.Res,IF(OR(_xlpm.val="",_xlpm.val="Error"),"",_xlpm.val),_xlpm.Res)</f>
        <v>#NAME?</v>
      </c>
      <c r="CO236" s="1169"/>
      <c r="CP236" s="1986" t="e" cm="1">
        <f t="array" ca="1" aca="1" ref="CP236">_xlfn.LET(_xlpm.val,IF($F236="",val_blankRefText,_xldudf_CX_GET(CX_ENTITY,$F236,CP$11,CP$14,,(CP$234))),_xlpm.Res,IF(OR(_xlpm.val="",_xlpm.val="Error"),"",_xlpm.val),_xlpm.Res)</f>
        <v>#NAME?</v>
      </c>
      <c r="CQ236" s="1986" t="e" cm="1">
        <f t="array" ca="1" aca="1" ref="CQ236">_xlfn.LET(_xlpm.val,IF($F236="",val_blankRefText,_xldudf_CX_GET(CX_ENTITY,$F236,CQ$11,CQ$14,,(CQ$234))),_xlpm.Res,IF(OR(_xlpm.val="",_xlpm.val="Error"),"",_xlpm.val),_xlpm.Res)</f>
        <v>#NAME?</v>
      </c>
      <c r="CR236" s="34"/>
    </row>
    <row r="237" spans="1:96" ht="21" customHeight="1" outlineLevel="2">
      <c r="A237" s="1322"/>
      <c r="B237" s="577" t="s">
        <v>188</v>
      </c>
      <c r="C237" s="577" t="s">
        <v>1661</v>
      </c>
      <c r="D237" s="577"/>
      <c r="E237" s="577" t="e" cm="1">
        <f t="array" ca="1" aca="1" ref="E237">_xlfn.LET(_xlpm.Attr,$C237,_xlpm.Lookback,$E$16,_xlpm.QueryDate,EOMONTH(val_asOfDate,_xlpm.Lookback),_xlpm.ReadField,_xldudf_CX_GET(CX_ENTITY,fx_attrConverter($C237),_xlpm.QueryDate),_xlpm.AttrBlank,_xlpm.Attr="",_xlpm.RESULT,IF(_xlpm.AttrBlank,val_blankRefText,fx_attrConverter(_xlpm.ReadField,0)),IF(_xlpm.RESULT="Error","",_xlpm.RESULT))</f>
        <v>#NAME?</v>
      </c>
      <c r="F237" s="577" t="str">
        <f t="shared" si="69"/>
        <v>Segment IV Breakdown - Amount 2</v>
      </c>
      <c r="G237" s="577" t="s">
        <v>1658</v>
      </c>
      <c r="H237" s="510">
        <v>0</v>
      </c>
      <c r="I237" s="3278">
        <v>1</v>
      </c>
      <c r="J237" s="30"/>
      <c r="K237" s="30"/>
      <c r="L237" s="579" t="b">
        <v>0</v>
      </c>
      <c r="N237" s="158"/>
      <c r="O237" s="101"/>
      <c r="P237" s="52"/>
      <c r="Q237" s="101"/>
      <c r="R237" s="101"/>
      <c r="S237" s="2"/>
      <c r="T237" s="2"/>
      <c r="U237" s="39"/>
      <c r="W237" s="91" t="e">
        <f ca="1">W235</f>
        <v>#NAME?</v>
      </c>
      <c r="X237" s="884" t="s">
        <v>62</v>
      </c>
      <c r="Y237" s="1553" t="e" cm="1">
        <f t="array" ca="1" aca="1" ref="Y237">IF($B237="",IFBLANK($E237,"Please select or type in or leave as blank"),IFBLANK($E237,$B237))</f>
        <v>#NAME?</v>
      </c>
      <c r="Z237" s="198" cm="1">
        <f t="array" ref="Z237">_xlfn.SWITCH(TRUE,ISBLANK(_PL!$L237),"",_PL!$L237=TRUE,1,_PL!$L237=FALSE,-1,_PL!$L237=-1,0,"n/a")</f>
        <v>-1</v>
      </c>
      <c r="AA237" s="905"/>
      <c r="AB237" s="3017"/>
      <c r="AC237" s="914"/>
      <c r="AD237" s="1986" t="e" cm="1">
        <f t="array" ca="1" aca="1" ref="AD237">_xlfn.LET(_xlpm.val,IF($F237="",val_blankRefText,_xldudf_CX_GET(CX_ENTITY,$F237,AD$11,AD$14,,(AD$234))),_xlpm.Res,IF(OR(_xlpm.val="",_xlpm.val="Error"),"",_xlpm.val),_xlpm.Res)</f>
        <v>#NAME?</v>
      </c>
      <c r="AE237" s="1986" t="e" cm="1">
        <f t="array" ca="1" aca="1" ref="AE237">_xlfn.LET(_xlpm.val,IF($F237="",val_blankRefText,_xldudf_CX_GET(CX_ENTITY,$F237,AE$11,AE$14,,(AE$234))),_xlpm.Res,IF(OR(_xlpm.val="",_xlpm.val="Error"),"",_xlpm.val),_xlpm.Res)</f>
        <v>#NAME?</v>
      </c>
      <c r="AF237" s="1986" t="e" cm="1">
        <f t="array" ca="1" aca="1" ref="AF237">_xlfn.LET(_xlpm.val,IF($F237="",val_blankRefText,_xldudf_CX_GET(CX_ENTITY,$F237,AF$11,AF$14,,(AF$234))),_xlpm.Res,IF(OR(_xlpm.val="",_xlpm.val="Error"),"",_xlpm.val),_xlpm.Res)</f>
        <v>#NAME?</v>
      </c>
      <c r="AG237" s="1986" t="e" cm="1">
        <f t="array" ca="1" aca="1" ref="AG237">_xlfn.LET(_xlpm.val,IF($F237="",val_blankRefText,_xldudf_CX_GET(CX_ENTITY,$F237,AG$11,AG$14,,(AG$234))),_xlpm.Res,IF(OR(_xlpm.val="",_xlpm.val="Error"),"",_xlpm.val),_xlpm.Res)</f>
        <v>#NAME?</v>
      </c>
      <c r="AH237" s="1986" t="e" cm="1">
        <f t="array" ca="1" aca="1" ref="AH237">_xlfn.LET(_xlpm.val,IF($F237="",val_blankRefText,_xldudf_CX_GET(CX_ENTITY,$F237,AH$11,AH$14,,(AH$234))),_xlpm.Res,IF(OR(_xlpm.val="",_xlpm.val="Error"),"",_xlpm.val),_xlpm.Res)</f>
        <v>#NAME?</v>
      </c>
      <c r="AI237" s="1986" t="e" cm="1">
        <f t="array" ca="1" aca="1" ref="AI237">_xlfn.LET(_xlpm.val,IF($F237="",val_blankRefText,_xldudf_CX_GET(CX_ENTITY,$F237,AI$11,AI$14,,(AI$234))),_xlpm.Res,IF(OR(_xlpm.val="",_xlpm.val="Error"),"",_xlpm.val),_xlpm.Res)</f>
        <v>#NAME?</v>
      </c>
      <c r="AJ237" s="1986" t="e" cm="1">
        <f t="array" ca="1" aca="1" ref="AJ237">_xlfn.LET(_xlpm.val,IF($F237="",val_blankRefText,_xldudf_CX_GET(CX_ENTITY,$F237,AJ$11,AJ$14,,(AJ$234))),_xlpm.Res,IF(OR(_xlpm.val="",_xlpm.val="Error"),"",_xlpm.val),_xlpm.Res)</f>
        <v>#NAME?</v>
      </c>
      <c r="AK237" s="1986" t="e" cm="1">
        <f t="array" ca="1" aca="1" ref="AK237">_xlfn.LET(_xlpm.val,IF($F237="",val_blankRefText,_xldudf_CX_GET(CX_ENTITY,$F237,AK$11,AK$14,,(AK$234))),_xlpm.Res,IF(OR(_xlpm.val="",_xlpm.val="Error"),"",_xlpm.val),_xlpm.Res)</f>
        <v>#NAME?</v>
      </c>
      <c r="AL237" s="1986" t="e" cm="1">
        <f t="array" ca="1" aca="1" ref="AL237">_xlfn.LET(_xlpm.val,IF($F237="",val_blankRefText,_xldudf_CX_GET(CX_ENTITY,$F237,AL$11,AL$14,,(AL$234))),_xlpm.Res,IF(OR(_xlpm.val="",_xlpm.val="Error"),"",_xlpm.val),_xlpm.Res)</f>
        <v>#NAME?</v>
      </c>
      <c r="AM237" s="1986" t="e" cm="1">
        <f t="array" ca="1" aca="1" ref="AM237">_xlfn.LET(_xlpm.val,IF($F237="",val_blankRefText,_xldudf_CX_GET(CX_ENTITY,$F237,AM$11,AM$14,,(AM$234))),_xlpm.Res,IF(OR(_xlpm.val="",_xlpm.val="Error"),"",_xlpm.val),_xlpm.Res)</f>
        <v>#NAME?</v>
      </c>
      <c r="AN237" s="1986" t="e" cm="1">
        <f t="array" ca="1" aca="1" ref="AN237">_xlfn.LET(_xlpm.val,IF($F237="",val_blankRefText,_xldudf_CX_GET(CX_ENTITY,$F237,AN$11,AN$14,,(AN$234))),_xlpm.Res,IF(OR(_xlpm.val="",_xlpm.val="Error"),"",_xlpm.val),_xlpm.Res)</f>
        <v>#NAME?</v>
      </c>
      <c r="AO237" s="1986" t="e" cm="1">
        <f t="array" ca="1" aca="1" ref="AO237">_xlfn.LET(_xlpm.val,IF($F237="",val_blankRefText,_xldudf_CX_GET(CX_ENTITY,$F237,AO$11,AO$14,,(AO$234))),_xlpm.Res,IF(OR(_xlpm.val="",_xlpm.val="Error"),"",_xlpm.val),_xlpm.Res)</f>
        <v>#NAME?</v>
      </c>
      <c r="AP237" s="1986" t="e" cm="1">
        <f t="array" ca="1" aca="1" ref="AP237">_xlfn.LET(_xlpm.val,IF($F237="",val_blankRefText,_xldudf_CX_GET(CX_ENTITY,$F237,AP$11,AP$14,,(AP$234))),_xlpm.Res,IF(OR(_xlpm.val="",_xlpm.val="Error"),"",_xlpm.val),_xlpm.Res)</f>
        <v>#NAME?</v>
      </c>
      <c r="AQ237" s="1986" t="e" cm="1">
        <f t="array" ca="1" aca="1" ref="AQ237">_xlfn.LET(_xlpm.val,IF($F237="",val_blankRefText,_xldudf_CX_GET(CX_ENTITY,$F237,AQ$11,AQ$14,,(AQ$234))),_xlpm.Res,IF(OR(_xlpm.val="",_xlpm.val="Error"),"",_xlpm.val),_xlpm.Res)</f>
        <v>#NAME?</v>
      </c>
      <c r="AR237" s="1986" t="e" cm="1">
        <f t="array" ca="1" aca="1" ref="AR237">_xlfn.LET(_xlpm.val,IF($F237="",val_blankRefText,_xldudf_CX_GET(CX_ENTITY,$F237,AR$11,AR$14,,(AR$234))),_xlpm.Res,IF(OR(_xlpm.val="",_xlpm.val="Error"),"",_xlpm.val),_xlpm.Res)</f>
        <v>#NAME?</v>
      </c>
      <c r="AS237" s="1986" t="e" cm="1">
        <f t="array" ca="1" aca="1" ref="AS237">_xlfn.LET(_xlpm.val,IF($F237="",val_blankRefText,_xldudf_CX_GET(CX_ENTITY,$F237,AS$11,AS$14,,(AS$234))),_xlpm.Res,IF(OR(_xlpm.val="",_xlpm.val="Error"),"",_xlpm.val),_xlpm.Res)</f>
        <v>#NAME?</v>
      </c>
      <c r="AT237" s="1986" t="e" cm="1">
        <f t="array" ca="1" aca="1" ref="AT237">_xlfn.LET(_xlpm.val,IF($F237="",val_blankRefText,_xldudf_CX_GET(CX_ENTITY,$F237,AT$11,AT$14,,(AT$234))),_xlpm.Res,IF(OR(_xlpm.val="",_xlpm.val="Error"),"",_xlpm.val),_xlpm.Res)</f>
        <v>#NAME?</v>
      </c>
      <c r="AU237" s="1986" t="e" cm="1">
        <f t="array" ca="1" aca="1" ref="AU237">_xlfn.LET(_xlpm.val,IF($F237="",val_blankRefText,_xldudf_CX_GET(CX_ENTITY,$F237,AU$11,AU$14,,(AU$234))),_xlpm.Res,IF(OR(_xlpm.val="",_xlpm.val="Error"),"",_xlpm.val),_xlpm.Res)</f>
        <v>#NAME?</v>
      </c>
      <c r="AV237" s="1986" t="e" cm="1">
        <f t="array" ca="1" aca="1" ref="AV237">_xlfn.LET(_xlpm.val,IF($F237="",val_blankRefText,_xldudf_CX_GET(CX_ENTITY,$F237,AV$11,AV$14,,(AV$234))),_xlpm.Res,IF(OR(_xlpm.val="",_xlpm.val="Error"),"",_xlpm.val),_xlpm.Res)</f>
        <v>#NAME?</v>
      </c>
      <c r="AW237" s="1986" t="e" cm="1">
        <f t="array" ca="1" aca="1" ref="AW237">_xlfn.LET(_xlpm.val,IF($F237="",val_blankRefText,_xldudf_CX_GET(CX_ENTITY,$F237,AW$11,AW$14,,(AW$234))),_xlpm.Res,IF(OR(_xlpm.val="",_xlpm.val="Error"),"",_xlpm.val),_xlpm.Res)</f>
        <v>#NAME?</v>
      </c>
      <c r="AX237" s="1986" t="e" cm="1">
        <f t="array" ca="1" aca="1" ref="AX237">_xlfn.LET(_xlpm.val,IF($F237="",val_blankRefText,_xldudf_CX_GET(CX_ENTITY,$F237,AX$11,AX$14,,(AX$234))),_xlpm.Res,IF(OR(_xlpm.val="",_xlpm.val="Error"),"",_xlpm.val),_xlpm.Res)</f>
        <v>#NAME?</v>
      </c>
      <c r="AY237" s="1986" t="e" cm="1">
        <f t="array" ca="1" aca="1" ref="AY237">_xlfn.LET(_xlpm.val,IF($F237="",val_blankRefText,_xldudf_CX_GET(CX_ENTITY,$F237,AY$11,AY$14,,(AY$234))),_xlpm.Res,IF(OR(_xlpm.val="",_xlpm.val="Error"),"",_xlpm.val),_xlpm.Res)</f>
        <v>#NAME?</v>
      </c>
      <c r="AZ237" s="1986" t="e" cm="1">
        <f t="array" ca="1" aca="1" ref="AZ237">_xlfn.LET(_xlpm.val,IF($F237="",val_blankRefText,_xldudf_CX_GET(CX_ENTITY,$F237,AZ$11,AZ$14,,(AZ$234))),_xlpm.Res,IF(OR(_xlpm.val="",_xlpm.val="Error"),"",_xlpm.val),_xlpm.Res)</f>
        <v>#NAME?</v>
      </c>
      <c r="BA237" s="1986" t="e" cm="1">
        <f t="array" ca="1" aca="1" ref="BA237">_xlfn.LET(_xlpm.val,IF($F237="",val_blankRefText,_xldudf_CX_GET(CX_ENTITY,$F237,BA$11,BA$14,,(BA$234))),_xlpm.Res,IF(OR(_xlpm.val="",_xlpm.val="Error"),"",_xlpm.val),_xlpm.Res)</f>
        <v>#NAME?</v>
      </c>
      <c r="BB237" s="1986" t="e" cm="1">
        <f t="array" ca="1" aca="1" ref="BB237">_xlfn.LET(_xlpm.val,IF($F237="",val_blankRefText,_xldudf_CX_GET(CX_ENTITY,$F237,BB$11,BB$14,,(BB$234))),_xlpm.Res,IF(OR(_xlpm.val="",_xlpm.val="Error"),"",_xlpm.val),_xlpm.Res)</f>
        <v>#NAME?</v>
      </c>
      <c r="BC237" s="1986" t="e" cm="1">
        <f t="array" ca="1" aca="1" ref="BC237">_xlfn.LET(_xlpm.val,IF($F237="",val_blankRefText,_xldudf_CX_GET(CX_ENTITY,$F237,BC$11,BC$14,,(BC$234))),_xlpm.Res,IF(OR(_xlpm.val="",_xlpm.val="Error"),"",_xlpm.val),_xlpm.Res)</f>
        <v>#NAME?</v>
      </c>
      <c r="BD237" s="1986" t="e" cm="1">
        <f t="array" ca="1" aca="1" ref="BD237">_xlfn.LET(_xlpm.val,IF($F237="",val_blankRefText,_xldudf_CX_GET(CX_ENTITY,$F237,BD$11,BD$14,,(BD$234))),_xlpm.Res,IF(OR(_xlpm.val="",_xlpm.val="Error"),"",_xlpm.val),_xlpm.Res)</f>
        <v>#NAME?</v>
      </c>
      <c r="BE237" s="1986" t="e" cm="1">
        <f t="array" ca="1" aca="1" ref="BE237">_xlfn.LET(_xlpm.val,IF($F237="",val_blankRefText,_xldudf_CX_GET(CX_ENTITY,$F237,BE$11,BE$14,,(BE$234))),_xlpm.Res,IF(OR(_xlpm.val="",_xlpm.val="Error"),"",_xlpm.val),_xlpm.Res)</f>
        <v>#NAME?</v>
      </c>
      <c r="BF237" s="1986" t="e" cm="1">
        <f t="array" ca="1" aca="1" ref="BF237">_xlfn.LET(_xlpm.val,IF($F237="",val_blankRefText,_xldudf_CX_GET(CX_ENTITY,$F237,BF$11,BF$14,,(BF$234))),_xlpm.Res,IF(OR(_xlpm.val="",_xlpm.val="Error"),"",_xlpm.val),_xlpm.Res)</f>
        <v>#NAME?</v>
      </c>
      <c r="BG237" s="1986" t="e" cm="1">
        <f t="array" ca="1" aca="1" ref="BG237">_xlfn.LET(_xlpm.val,IF($F237="",val_blankRefText,_xldudf_CX_GET(CX_ENTITY,$F237,BG$11,BG$14,,(BG$234))),_xlpm.Res,IF(OR(_xlpm.val="",_xlpm.val="Error"),"",_xlpm.val),_xlpm.Res)</f>
        <v>#NAME?</v>
      </c>
      <c r="BH237" s="1986" t="e" cm="1">
        <f t="array" ca="1" aca="1" ref="BH237">_xlfn.LET(_xlpm.val,IF($F237="",val_blankRefText,_xldudf_CX_GET(CX_ENTITY,$F237,BH$11,BH$14,,(BH$234))),_xlpm.Res,IF(OR(_xlpm.val="",_xlpm.val="Error"),"",_xlpm.val),_xlpm.Res)</f>
        <v>#NAME?</v>
      </c>
      <c r="BI237" s="1986" t="e" cm="1">
        <f t="array" ca="1" aca="1" ref="BI237">_xlfn.LET(_xlpm.val,IF($F237="",val_blankRefText,_xldudf_CX_GET(CX_ENTITY,$F237,BI$11,BI$14,,(BI$234))),_xlpm.Res,IF(OR(_xlpm.val="",_xlpm.val="Error"),"",_xlpm.val),_xlpm.Res)</f>
        <v>#NAME?</v>
      </c>
      <c r="BJ237" s="1986" t="e" cm="1">
        <f t="array" ca="1" aca="1" ref="BJ237">_xlfn.LET(_xlpm.val,IF($F237="",val_blankRefText,_xldudf_CX_GET(CX_ENTITY,$F237,BJ$11,BJ$14,,(BJ$234))),_xlpm.Res,IF(OR(_xlpm.val="",_xlpm.val="Error"),"",_xlpm.val),_xlpm.Res)</f>
        <v>#NAME?</v>
      </c>
      <c r="BK237" s="1986" t="e" cm="1">
        <f t="array" ca="1" aca="1" ref="BK237">_xlfn.LET(_xlpm.val,IF($F237="",val_blankRefText,_xldudf_CX_GET(CX_ENTITY,$F237,BK$11,BK$14,,(BK$234))),_xlpm.Res,IF(OR(_xlpm.val="",_xlpm.val="Error"),"",_xlpm.val),_xlpm.Res)</f>
        <v>#NAME?</v>
      </c>
      <c r="BL237" s="1986" t="e" cm="1">
        <f t="array" ca="1" aca="1" ref="BL237">_xlfn.LET(_xlpm.val,IF($F237="",val_blankRefText,_xldudf_CX_GET(CX_ENTITY,$F237,BL$11,BL$14,,(BL$234))),_xlpm.Res,IF(OR(_xlpm.val="",_xlpm.val="Error"),"",_xlpm.val),_xlpm.Res)</f>
        <v>#NAME?</v>
      </c>
      <c r="BM237" s="1986" t="e" cm="1">
        <f t="array" ca="1" aca="1" ref="BM237">_xlfn.LET(_xlpm.val,IF($F237="",val_blankRefText,_xldudf_CX_GET(CX_ENTITY,$F237,BM$11,BM$14,,(BM$234))),_xlpm.Res,IF(OR(_xlpm.val="",_xlpm.val="Error"),"",_xlpm.val),_xlpm.Res)</f>
        <v>#NAME?</v>
      </c>
      <c r="BN237" s="1986" t="e" cm="1">
        <f t="array" ca="1" aca="1" ref="BN237">_xlfn.LET(_xlpm.val,IF($F237="",val_blankRefText,_xldudf_CX_GET(CX_ENTITY,$F237,BN$11,BN$14,,(BN$234))),_xlpm.Res,IF(OR(_xlpm.val="",_xlpm.val="Error"),"",_xlpm.val),_xlpm.Res)</f>
        <v>#NAME?</v>
      </c>
      <c r="BO237" s="2103"/>
      <c r="BP237" s="2103"/>
      <c r="BQ237" s="2103"/>
      <c r="BR237" s="2103"/>
      <c r="BS237" s="2103"/>
      <c r="BT237" s="2103"/>
      <c r="BU237" s="2103"/>
      <c r="BV237" s="2103"/>
      <c r="BW237" s="2103"/>
      <c r="BX237" s="2103"/>
      <c r="BY237" s="2103"/>
      <c r="BZ237" s="2103"/>
      <c r="CA237" s="34"/>
      <c r="CC237" s="58"/>
      <c r="CD237" s="1461" t="e" cm="1">
        <f t="array" ca="1" aca="1" ref="CD237">_xlfn.LET(_xlpm.CheckBlank,SUM(PL!$AD237:$BN237)=0,IF(_xlpm.CheckBlank,"",SUM(_xlfn._xlws.FILTER(PL!$AD237:$BN237,(YEAR(PL!$AD$12:$BN$12)=PL!CD$12)*(array_timeline&lt;=PL!CD$11)))))</f>
        <v>#NAME?</v>
      </c>
      <c r="CE237" s="1461" t="e" cm="1">
        <f t="array" ca="1" aca="1" ref="CE237">_xlfn.LET(_xlpm.CheckBlank,SUM(PL!$AD237:$BN237)=0,IF(_xlpm.CheckBlank,"",SUM(_xlfn._xlws.FILTER(PL!$AD237:$BN237,(YEAR(PL!$AD$12:$BN$12)=PL!CE$12)*(array_timeline&lt;=PL!CE$11)))))</f>
        <v>#NAME?</v>
      </c>
      <c r="CF237" s="88"/>
      <c r="CG237" s="1461" t="e" cm="1">
        <f t="array" ca="1" aca="1" ref="CG237">_xlfn.LET(_xlpm.CheckBlank,SUM(PL!$AD237:$BN237)=0,IF(_xlpm.CheckBlank,"",SUM(_xlfn._xlws.FILTER(PL!$AD237:$BN237,(YEAR(PL!$AD$12:$BN$12)=PL!CG$12)*(array_timeline&lt;=PL!CG$11)))))</f>
        <v>#NAME?</v>
      </c>
      <c r="CH237" s="1461" t="e" cm="1">
        <f t="array" ca="1" aca="1" ref="CH237">_xlfn.LET(_xlpm.CheckBlank,SUM(PL!$AD237:$BN237)=0,IF(_xlpm.CheckBlank,"",SUM(_xlfn._xlws.FILTER(PL!$AD237:$BN237,(YEAR(PL!$AD$12:$BN$12)=PL!CH$12)*(array_timeline&lt;=PL!CH$11)))))</f>
        <v>#NAME?</v>
      </c>
      <c r="CI237" s="88"/>
      <c r="CJ237" s="1461" cm="1">
        <f t="array" ref="CJ237">_xlfn.LET(_xlpm.CheckBlank,SUM(PL!$AD237:$BN237)=0,IF(_xlpm.CheckBlank,"",SUM(_xlfn.TAKE(_xlfn.DROP(PL!$AD237:$BN237,,-DATEDIFF(PL!CJ$11,val_asOfDate,"M")),1,-12))))</f>
        <v>12</v>
      </c>
      <c r="CK237" s="1461" cm="1">
        <f t="array" ref="CK237">_xlfn.LET(_xlpm.CheckBlank,SUM(PL!$AD237:$BN237)=0,IF(_xlpm.CheckBlank,"",SUM(_xlfn.TAKE(_xlfn.DROP(PL!$AD237:$BN237,,-DATEDIFF(PL!CK$11,val_asOfDate,"M")),1,-12))))</f>
        <v>12</v>
      </c>
      <c r="CL237" s="88"/>
      <c r="CM237" s="1986" t="e" cm="1">
        <f t="array" ca="1" aca="1" ref="CM237">_xlfn.LET(_xlpm.val,IF($F237="",val_blankRefText,_xldudf_CX_GET(CX_ENTITY,$F237,CM$11,CM$14,,(CM$234))),_xlpm.Res,IF(OR(_xlpm.val="",_xlpm.val="Error"),"",_xlpm.val),_xlpm.Res)</f>
        <v>#NAME?</v>
      </c>
      <c r="CN237" s="1986" t="e" cm="1">
        <f t="array" ca="1" aca="1" ref="CN237">_xlfn.LET(_xlpm.val,IF($F237="",val_blankRefText,_xldudf_CX_GET(CX_ENTITY,$F237,CN$11,CN$14,,(CN$234))),_xlpm.Res,IF(OR(_xlpm.val="",_xlpm.val="Error"),"",_xlpm.val),_xlpm.Res)</f>
        <v>#NAME?</v>
      </c>
      <c r="CO237" s="1169"/>
      <c r="CP237" s="1986" t="e" cm="1">
        <f t="array" ca="1" aca="1" ref="CP237">_xlfn.LET(_xlpm.val,IF($F237="",val_blankRefText,_xldudf_CX_GET(CX_ENTITY,$F237,CP$11,CP$14,,(CP$234))),_xlpm.Res,IF(OR(_xlpm.val="",_xlpm.val="Error"),"",_xlpm.val),_xlpm.Res)</f>
        <v>#NAME?</v>
      </c>
      <c r="CQ237" s="1986" t="e" cm="1">
        <f t="array" ca="1" aca="1" ref="CQ237">_xlfn.LET(_xlpm.val,IF($F237="",val_blankRefText,_xldudf_CX_GET(CX_ENTITY,$F237,CQ$11,CQ$14,,(CQ$234))),_xlpm.Res,IF(OR(_xlpm.val="",_xlpm.val="Error"),"",_xlpm.val),_xlpm.Res)</f>
        <v>#NAME?</v>
      </c>
      <c r="CR237" s="34"/>
    </row>
    <row r="238" spans="1:96" ht="21" customHeight="1" outlineLevel="2">
      <c r="A238" s="1322"/>
      <c r="B238" s="577" t="s">
        <v>189</v>
      </c>
      <c r="C238" s="577" t="s">
        <v>1662</v>
      </c>
      <c r="D238" s="577"/>
      <c r="E238" s="577" t="e" cm="1">
        <f t="array" ca="1" aca="1" ref="E238">_xlfn.LET(_xlpm.Attr,$C238,_xlpm.Lookback,$E$16,_xlpm.QueryDate,EOMONTH(val_asOfDate,_xlpm.Lookback),_xlpm.ReadField,_xldudf_CX_GET(CX_ENTITY,fx_attrConverter($C238),_xlpm.QueryDate),_xlpm.AttrBlank,_xlpm.Attr="",_xlpm.RESULT,IF(_xlpm.AttrBlank,val_blankRefText,fx_attrConverter(_xlpm.ReadField,0)),IF(_xlpm.RESULT="Error","",_xlpm.RESULT))</f>
        <v>#NAME?</v>
      </c>
      <c r="F238" s="577" t="str">
        <f t="shared" si="69"/>
        <v>Segment IV Breakdown - Amount 3</v>
      </c>
      <c r="G238" s="577" t="s">
        <v>1658</v>
      </c>
      <c r="H238" s="510">
        <v>0</v>
      </c>
      <c r="I238" s="3278">
        <v>1</v>
      </c>
      <c r="J238" s="30"/>
      <c r="K238" s="30"/>
      <c r="L238" s="579" t="b">
        <v>0</v>
      </c>
      <c r="N238" s="158"/>
      <c r="O238" s="101"/>
      <c r="P238" s="52"/>
      <c r="Q238" s="101"/>
      <c r="R238" s="101"/>
      <c r="S238" s="2"/>
      <c r="T238" s="2"/>
      <c r="U238" s="39"/>
      <c r="W238" s="91" t="e">
        <f ca="1">W235</f>
        <v>#NAME?</v>
      </c>
      <c r="X238" s="884" t="s">
        <v>62</v>
      </c>
      <c r="Y238" s="1553" t="e" cm="1">
        <f t="array" ca="1" aca="1" ref="Y238">IF($B238="",IFBLANK($E238,"Please select or type in or leave as blank"),IFBLANK($E238,$B238))</f>
        <v>#NAME?</v>
      </c>
      <c r="Z238" s="198" cm="1">
        <f t="array" ref="Z238">_xlfn.SWITCH(TRUE,ISBLANK(_PL!$L238),"",_PL!$L238=TRUE,1,_PL!$L238=FALSE,-1,_PL!$L238=-1,0,"n/a")</f>
        <v>-1</v>
      </c>
      <c r="AA238" s="905"/>
      <c r="AB238" s="3017"/>
      <c r="AC238" s="914"/>
      <c r="AD238" s="1986" t="e" cm="1">
        <f t="array" ca="1" aca="1" ref="AD238">_xlfn.LET(_xlpm.val,IF($F238="",val_blankRefText,_xldudf_CX_GET(CX_ENTITY,$F238,AD$11,AD$14,,(AD$234))),_xlpm.Res,IF(OR(_xlpm.val="",_xlpm.val="Error"),"",_xlpm.val),_xlpm.Res)</f>
        <v>#NAME?</v>
      </c>
      <c r="AE238" s="1986" t="e" cm="1">
        <f t="array" ca="1" aca="1" ref="AE238">_xlfn.LET(_xlpm.val,IF($F238="",val_blankRefText,_xldudf_CX_GET(CX_ENTITY,$F238,AE$11,AE$14,,(AE$234))),_xlpm.Res,IF(OR(_xlpm.val="",_xlpm.val="Error"),"",_xlpm.val),_xlpm.Res)</f>
        <v>#NAME?</v>
      </c>
      <c r="AF238" s="1986" t="e" cm="1">
        <f t="array" ca="1" aca="1" ref="AF238">_xlfn.LET(_xlpm.val,IF($F238="",val_blankRefText,_xldudf_CX_GET(CX_ENTITY,$F238,AF$11,AF$14,,(AF$234))),_xlpm.Res,IF(OR(_xlpm.val="",_xlpm.val="Error"),"",_xlpm.val),_xlpm.Res)</f>
        <v>#NAME?</v>
      </c>
      <c r="AG238" s="1986" t="e" cm="1">
        <f t="array" ca="1" aca="1" ref="AG238">_xlfn.LET(_xlpm.val,IF($F238="",val_blankRefText,_xldudf_CX_GET(CX_ENTITY,$F238,AG$11,AG$14,,(AG$234))),_xlpm.Res,IF(OR(_xlpm.val="",_xlpm.val="Error"),"",_xlpm.val),_xlpm.Res)</f>
        <v>#NAME?</v>
      </c>
      <c r="AH238" s="1986" t="e" cm="1">
        <f t="array" ca="1" aca="1" ref="AH238">_xlfn.LET(_xlpm.val,IF($F238="",val_blankRefText,_xldudf_CX_GET(CX_ENTITY,$F238,AH$11,AH$14,,(AH$234))),_xlpm.Res,IF(OR(_xlpm.val="",_xlpm.val="Error"),"",_xlpm.val),_xlpm.Res)</f>
        <v>#NAME?</v>
      </c>
      <c r="AI238" s="1986" t="e" cm="1">
        <f t="array" ca="1" aca="1" ref="AI238">_xlfn.LET(_xlpm.val,IF($F238="",val_blankRefText,_xldudf_CX_GET(CX_ENTITY,$F238,AI$11,AI$14,,(AI$234))),_xlpm.Res,IF(OR(_xlpm.val="",_xlpm.val="Error"),"",_xlpm.val),_xlpm.Res)</f>
        <v>#NAME?</v>
      </c>
      <c r="AJ238" s="1986" t="e" cm="1">
        <f t="array" ca="1" aca="1" ref="AJ238">_xlfn.LET(_xlpm.val,IF($F238="",val_blankRefText,_xldudf_CX_GET(CX_ENTITY,$F238,AJ$11,AJ$14,,(AJ$234))),_xlpm.Res,IF(OR(_xlpm.val="",_xlpm.val="Error"),"",_xlpm.val),_xlpm.Res)</f>
        <v>#NAME?</v>
      </c>
      <c r="AK238" s="1986" t="e" cm="1">
        <f t="array" ca="1" aca="1" ref="AK238">_xlfn.LET(_xlpm.val,IF($F238="",val_blankRefText,_xldudf_CX_GET(CX_ENTITY,$F238,AK$11,AK$14,,(AK$234))),_xlpm.Res,IF(OR(_xlpm.val="",_xlpm.val="Error"),"",_xlpm.val),_xlpm.Res)</f>
        <v>#NAME?</v>
      </c>
      <c r="AL238" s="1986" t="e" cm="1">
        <f t="array" ca="1" aca="1" ref="AL238">_xlfn.LET(_xlpm.val,IF($F238="",val_blankRefText,_xldudf_CX_GET(CX_ENTITY,$F238,AL$11,AL$14,,(AL$234))),_xlpm.Res,IF(OR(_xlpm.val="",_xlpm.val="Error"),"",_xlpm.val),_xlpm.Res)</f>
        <v>#NAME?</v>
      </c>
      <c r="AM238" s="1986" t="e" cm="1">
        <f t="array" ca="1" aca="1" ref="AM238">_xlfn.LET(_xlpm.val,IF($F238="",val_blankRefText,_xldudf_CX_GET(CX_ENTITY,$F238,AM$11,AM$14,,(AM$234))),_xlpm.Res,IF(OR(_xlpm.val="",_xlpm.val="Error"),"",_xlpm.val),_xlpm.Res)</f>
        <v>#NAME?</v>
      </c>
      <c r="AN238" s="1986" t="e" cm="1">
        <f t="array" ca="1" aca="1" ref="AN238">_xlfn.LET(_xlpm.val,IF($F238="",val_blankRefText,_xldudf_CX_GET(CX_ENTITY,$F238,AN$11,AN$14,,(AN$234))),_xlpm.Res,IF(OR(_xlpm.val="",_xlpm.val="Error"),"",_xlpm.val),_xlpm.Res)</f>
        <v>#NAME?</v>
      </c>
      <c r="AO238" s="1986" t="e" cm="1">
        <f t="array" ca="1" aca="1" ref="AO238">_xlfn.LET(_xlpm.val,IF($F238="",val_blankRefText,_xldudf_CX_GET(CX_ENTITY,$F238,AO$11,AO$14,,(AO$234))),_xlpm.Res,IF(OR(_xlpm.val="",_xlpm.val="Error"),"",_xlpm.val),_xlpm.Res)</f>
        <v>#NAME?</v>
      </c>
      <c r="AP238" s="1986" t="e" cm="1">
        <f t="array" ca="1" aca="1" ref="AP238">_xlfn.LET(_xlpm.val,IF($F238="",val_blankRefText,_xldudf_CX_GET(CX_ENTITY,$F238,AP$11,AP$14,,(AP$234))),_xlpm.Res,IF(OR(_xlpm.val="",_xlpm.val="Error"),"",_xlpm.val),_xlpm.Res)</f>
        <v>#NAME?</v>
      </c>
      <c r="AQ238" s="1986" t="e" cm="1">
        <f t="array" ca="1" aca="1" ref="AQ238">_xlfn.LET(_xlpm.val,IF($F238="",val_blankRefText,_xldudf_CX_GET(CX_ENTITY,$F238,AQ$11,AQ$14,,(AQ$234))),_xlpm.Res,IF(OR(_xlpm.val="",_xlpm.val="Error"),"",_xlpm.val),_xlpm.Res)</f>
        <v>#NAME?</v>
      </c>
      <c r="AR238" s="1986" t="e" cm="1">
        <f t="array" ca="1" aca="1" ref="AR238">_xlfn.LET(_xlpm.val,IF($F238="",val_blankRefText,_xldudf_CX_GET(CX_ENTITY,$F238,AR$11,AR$14,,(AR$234))),_xlpm.Res,IF(OR(_xlpm.val="",_xlpm.val="Error"),"",_xlpm.val),_xlpm.Res)</f>
        <v>#NAME?</v>
      </c>
      <c r="AS238" s="1986" t="e" cm="1">
        <f t="array" ca="1" aca="1" ref="AS238">_xlfn.LET(_xlpm.val,IF($F238="",val_blankRefText,_xldudf_CX_GET(CX_ENTITY,$F238,AS$11,AS$14,,(AS$234))),_xlpm.Res,IF(OR(_xlpm.val="",_xlpm.val="Error"),"",_xlpm.val),_xlpm.Res)</f>
        <v>#NAME?</v>
      </c>
      <c r="AT238" s="1986" t="e" cm="1">
        <f t="array" ca="1" aca="1" ref="AT238">_xlfn.LET(_xlpm.val,IF($F238="",val_blankRefText,_xldudf_CX_GET(CX_ENTITY,$F238,AT$11,AT$14,,(AT$234))),_xlpm.Res,IF(OR(_xlpm.val="",_xlpm.val="Error"),"",_xlpm.val),_xlpm.Res)</f>
        <v>#NAME?</v>
      </c>
      <c r="AU238" s="1986" t="e" cm="1">
        <f t="array" ca="1" aca="1" ref="AU238">_xlfn.LET(_xlpm.val,IF($F238="",val_blankRefText,_xldudf_CX_GET(CX_ENTITY,$F238,AU$11,AU$14,,(AU$234))),_xlpm.Res,IF(OR(_xlpm.val="",_xlpm.val="Error"),"",_xlpm.val),_xlpm.Res)</f>
        <v>#NAME?</v>
      </c>
      <c r="AV238" s="1986" t="e" cm="1">
        <f t="array" ca="1" aca="1" ref="AV238">_xlfn.LET(_xlpm.val,IF($F238="",val_blankRefText,_xldudf_CX_GET(CX_ENTITY,$F238,AV$11,AV$14,,(AV$234))),_xlpm.Res,IF(OR(_xlpm.val="",_xlpm.val="Error"),"",_xlpm.val),_xlpm.Res)</f>
        <v>#NAME?</v>
      </c>
      <c r="AW238" s="1986" t="e" cm="1">
        <f t="array" ca="1" aca="1" ref="AW238">_xlfn.LET(_xlpm.val,IF($F238="",val_blankRefText,_xldudf_CX_GET(CX_ENTITY,$F238,AW$11,AW$14,,(AW$234))),_xlpm.Res,IF(OR(_xlpm.val="",_xlpm.val="Error"),"",_xlpm.val),_xlpm.Res)</f>
        <v>#NAME?</v>
      </c>
      <c r="AX238" s="1986" t="e" cm="1">
        <f t="array" ca="1" aca="1" ref="AX238">_xlfn.LET(_xlpm.val,IF($F238="",val_blankRefText,_xldudf_CX_GET(CX_ENTITY,$F238,AX$11,AX$14,,(AX$234))),_xlpm.Res,IF(OR(_xlpm.val="",_xlpm.val="Error"),"",_xlpm.val),_xlpm.Res)</f>
        <v>#NAME?</v>
      </c>
      <c r="AY238" s="1986" t="e" cm="1">
        <f t="array" ca="1" aca="1" ref="AY238">_xlfn.LET(_xlpm.val,IF($F238="",val_blankRefText,_xldudf_CX_GET(CX_ENTITY,$F238,AY$11,AY$14,,(AY$234))),_xlpm.Res,IF(OR(_xlpm.val="",_xlpm.val="Error"),"",_xlpm.val),_xlpm.Res)</f>
        <v>#NAME?</v>
      </c>
      <c r="AZ238" s="1986" t="e" cm="1">
        <f t="array" ca="1" aca="1" ref="AZ238">_xlfn.LET(_xlpm.val,IF($F238="",val_blankRefText,_xldudf_CX_GET(CX_ENTITY,$F238,AZ$11,AZ$14,,(AZ$234))),_xlpm.Res,IF(OR(_xlpm.val="",_xlpm.val="Error"),"",_xlpm.val),_xlpm.Res)</f>
        <v>#NAME?</v>
      </c>
      <c r="BA238" s="1986" t="e" cm="1">
        <f t="array" ca="1" aca="1" ref="BA238">_xlfn.LET(_xlpm.val,IF($F238="",val_blankRefText,_xldudf_CX_GET(CX_ENTITY,$F238,BA$11,BA$14,,(BA$234))),_xlpm.Res,IF(OR(_xlpm.val="",_xlpm.val="Error"),"",_xlpm.val),_xlpm.Res)</f>
        <v>#NAME?</v>
      </c>
      <c r="BB238" s="1986" t="e" cm="1">
        <f t="array" ca="1" aca="1" ref="BB238">_xlfn.LET(_xlpm.val,IF($F238="",val_blankRefText,_xldudf_CX_GET(CX_ENTITY,$F238,BB$11,BB$14,,(BB$234))),_xlpm.Res,IF(OR(_xlpm.val="",_xlpm.val="Error"),"",_xlpm.val),_xlpm.Res)</f>
        <v>#NAME?</v>
      </c>
      <c r="BC238" s="1986" t="e" cm="1">
        <f t="array" ca="1" aca="1" ref="BC238">_xlfn.LET(_xlpm.val,IF($F238="",val_blankRefText,_xldudf_CX_GET(CX_ENTITY,$F238,BC$11,BC$14,,(BC$234))),_xlpm.Res,IF(OR(_xlpm.val="",_xlpm.val="Error"),"",_xlpm.val),_xlpm.Res)</f>
        <v>#NAME?</v>
      </c>
      <c r="BD238" s="1986" t="e" cm="1">
        <f t="array" ca="1" aca="1" ref="BD238">_xlfn.LET(_xlpm.val,IF($F238="",val_blankRefText,_xldudf_CX_GET(CX_ENTITY,$F238,BD$11,BD$14,,(BD$234))),_xlpm.Res,IF(OR(_xlpm.val="",_xlpm.val="Error"),"",_xlpm.val),_xlpm.Res)</f>
        <v>#NAME?</v>
      </c>
      <c r="BE238" s="1986" t="e" cm="1">
        <f t="array" ca="1" aca="1" ref="BE238">_xlfn.LET(_xlpm.val,IF($F238="",val_blankRefText,_xldudf_CX_GET(CX_ENTITY,$F238,BE$11,BE$14,,(BE$234))),_xlpm.Res,IF(OR(_xlpm.val="",_xlpm.val="Error"),"",_xlpm.val),_xlpm.Res)</f>
        <v>#NAME?</v>
      </c>
      <c r="BF238" s="1986" t="e" cm="1">
        <f t="array" ca="1" aca="1" ref="BF238">_xlfn.LET(_xlpm.val,IF($F238="",val_blankRefText,_xldudf_CX_GET(CX_ENTITY,$F238,BF$11,BF$14,,(BF$234))),_xlpm.Res,IF(OR(_xlpm.val="",_xlpm.val="Error"),"",_xlpm.val),_xlpm.Res)</f>
        <v>#NAME?</v>
      </c>
      <c r="BG238" s="1986" t="e" cm="1">
        <f t="array" ca="1" aca="1" ref="BG238">_xlfn.LET(_xlpm.val,IF($F238="",val_blankRefText,_xldudf_CX_GET(CX_ENTITY,$F238,BG$11,BG$14,,(BG$234))),_xlpm.Res,IF(OR(_xlpm.val="",_xlpm.val="Error"),"",_xlpm.val),_xlpm.Res)</f>
        <v>#NAME?</v>
      </c>
      <c r="BH238" s="1986" t="e" cm="1">
        <f t="array" ca="1" aca="1" ref="BH238">_xlfn.LET(_xlpm.val,IF($F238="",val_blankRefText,_xldudf_CX_GET(CX_ENTITY,$F238,BH$11,BH$14,,(BH$234))),_xlpm.Res,IF(OR(_xlpm.val="",_xlpm.val="Error"),"",_xlpm.val),_xlpm.Res)</f>
        <v>#NAME?</v>
      </c>
      <c r="BI238" s="1986" t="e" cm="1">
        <f t="array" ca="1" aca="1" ref="BI238">_xlfn.LET(_xlpm.val,IF($F238="",val_blankRefText,_xldudf_CX_GET(CX_ENTITY,$F238,BI$11,BI$14,,(BI$234))),_xlpm.Res,IF(OR(_xlpm.val="",_xlpm.val="Error"),"",_xlpm.val),_xlpm.Res)</f>
        <v>#NAME?</v>
      </c>
      <c r="BJ238" s="1986" t="e" cm="1">
        <f t="array" ca="1" aca="1" ref="BJ238">_xlfn.LET(_xlpm.val,IF($F238="",val_blankRefText,_xldudf_CX_GET(CX_ENTITY,$F238,BJ$11,BJ$14,,(BJ$234))),_xlpm.Res,IF(OR(_xlpm.val="",_xlpm.val="Error"),"",_xlpm.val),_xlpm.Res)</f>
        <v>#NAME?</v>
      </c>
      <c r="BK238" s="1986" t="e" cm="1">
        <f t="array" ca="1" aca="1" ref="BK238">_xlfn.LET(_xlpm.val,IF($F238="",val_blankRefText,_xldudf_CX_GET(CX_ENTITY,$F238,BK$11,BK$14,,(BK$234))),_xlpm.Res,IF(OR(_xlpm.val="",_xlpm.val="Error"),"",_xlpm.val),_xlpm.Res)</f>
        <v>#NAME?</v>
      </c>
      <c r="BL238" s="1986" t="e" cm="1">
        <f t="array" ca="1" aca="1" ref="BL238">_xlfn.LET(_xlpm.val,IF($F238="",val_blankRefText,_xldudf_CX_GET(CX_ENTITY,$F238,BL$11,BL$14,,(BL$234))),_xlpm.Res,IF(OR(_xlpm.val="",_xlpm.val="Error"),"",_xlpm.val),_xlpm.Res)</f>
        <v>#NAME?</v>
      </c>
      <c r="BM238" s="1986" t="e" cm="1">
        <f t="array" ca="1" aca="1" ref="BM238">_xlfn.LET(_xlpm.val,IF($F238="",val_blankRefText,_xldudf_CX_GET(CX_ENTITY,$F238,BM$11,BM$14,,(BM$234))),_xlpm.Res,IF(OR(_xlpm.val="",_xlpm.val="Error"),"",_xlpm.val),_xlpm.Res)</f>
        <v>#NAME?</v>
      </c>
      <c r="BN238" s="1986" t="e" cm="1">
        <f t="array" ca="1" aca="1" ref="BN238">_xlfn.LET(_xlpm.val,IF($F238="",val_blankRefText,_xldudf_CX_GET(CX_ENTITY,$F238,BN$11,BN$14,,(BN$234))),_xlpm.Res,IF(OR(_xlpm.val="",_xlpm.val="Error"),"",_xlpm.val),_xlpm.Res)</f>
        <v>#NAME?</v>
      </c>
      <c r="BO238" s="2103"/>
      <c r="BP238" s="2103"/>
      <c r="BQ238" s="2103"/>
      <c r="BR238" s="2103"/>
      <c r="BS238" s="2103"/>
      <c r="BT238" s="2103"/>
      <c r="BU238" s="2103"/>
      <c r="BV238" s="2103"/>
      <c r="BW238" s="2103"/>
      <c r="BX238" s="2103"/>
      <c r="BY238" s="2103"/>
      <c r="BZ238" s="2103"/>
      <c r="CA238" s="34"/>
      <c r="CC238" s="58"/>
      <c r="CD238" s="1461" t="e" cm="1">
        <f t="array" ca="1" aca="1" ref="CD238">_xlfn.LET(_xlpm.CheckBlank,SUM(PL!$AD238:$BN238)=0,IF(_xlpm.CheckBlank,"",SUM(_xlfn._xlws.FILTER(PL!$AD238:$BN238,(YEAR(PL!$AD$12:$BN$12)=PL!CD$12)*(array_timeline&lt;=PL!CD$11)))))</f>
        <v>#NAME?</v>
      </c>
      <c r="CE238" s="1461" t="e" cm="1">
        <f t="array" ca="1" aca="1" ref="CE238">_xlfn.LET(_xlpm.CheckBlank,SUM(PL!$AD238:$BN238)=0,IF(_xlpm.CheckBlank,"",SUM(_xlfn._xlws.FILTER(PL!$AD238:$BN238,(YEAR(PL!$AD$12:$BN$12)=PL!CE$12)*(array_timeline&lt;=PL!CE$11)))))</f>
        <v>#NAME?</v>
      </c>
      <c r="CF238" s="88"/>
      <c r="CG238" s="1461" t="e" cm="1">
        <f t="array" ca="1" aca="1" ref="CG238">_xlfn.LET(_xlpm.CheckBlank,SUM(PL!$AD238:$BN238)=0,IF(_xlpm.CheckBlank,"",SUM(_xlfn._xlws.FILTER(PL!$AD238:$BN238,(YEAR(PL!$AD$12:$BN$12)=PL!CG$12)*(array_timeline&lt;=PL!CG$11)))))</f>
        <v>#NAME?</v>
      </c>
      <c r="CH238" s="1461" t="e" cm="1">
        <f t="array" ca="1" aca="1" ref="CH238">_xlfn.LET(_xlpm.CheckBlank,SUM(PL!$AD238:$BN238)=0,IF(_xlpm.CheckBlank,"",SUM(_xlfn._xlws.FILTER(PL!$AD238:$BN238,(YEAR(PL!$AD$12:$BN$12)=PL!CH$12)*(array_timeline&lt;=PL!CH$11)))))</f>
        <v>#NAME?</v>
      </c>
      <c r="CI238" s="88"/>
      <c r="CJ238" s="1461" cm="1">
        <f t="array" ref="CJ238">_xlfn.LET(_xlpm.CheckBlank,SUM(PL!$AD238:$BN238)=0,IF(_xlpm.CheckBlank,"",SUM(_xlfn.TAKE(_xlfn.DROP(PL!$AD238:$BN238,,-DATEDIFF(PL!CJ$11,val_asOfDate,"M")),1,-12))))</f>
        <v>12</v>
      </c>
      <c r="CK238" s="1461" cm="1">
        <f t="array" ref="CK238">_xlfn.LET(_xlpm.CheckBlank,SUM(PL!$AD238:$BN238)=0,IF(_xlpm.CheckBlank,"",SUM(_xlfn.TAKE(_xlfn.DROP(PL!$AD238:$BN238,,-DATEDIFF(PL!CK$11,val_asOfDate,"M")),1,-12))))</f>
        <v>12</v>
      </c>
      <c r="CL238" s="88"/>
      <c r="CM238" s="1986" t="e" cm="1">
        <f t="array" ca="1" aca="1" ref="CM238">_xlfn.LET(_xlpm.val,IF($F238="",val_blankRefText,_xldudf_CX_GET(CX_ENTITY,$F238,CM$11,CM$14,,(CM$234))),_xlpm.Res,IF(OR(_xlpm.val="",_xlpm.val="Error"),"",_xlpm.val),_xlpm.Res)</f>
        <v>#NAME?</v>
      </c>
      <c r="CN238" s="1986" t="e" cm="1">
        <f t="array" ca="1" aca="1" ref="CN238">_xlfn.LET(_xlpm.val,IF($F238="",val_blankRefText,_xldudf_CX_GET(CX_ENTITY,$F238,CN$11,CN$14,,(CN$234))),_xlpm.Res,IF(OR(_xlpm.val="",_xlpm.val="Error"),"",_xlpm.val),_xlpm.Res)</f>
        <v>#NAME?</v>
      </c>
      <c r="CO238" s="1169"/>
      <c r="CP238" s="1986" t="e" cm="1">
        <f t="array" ca="1" aca="1" ref="CP238">_xlfn.LET(_xlpm.val,IF($F238="",val_blankRefText,_xldudf_CX_GET(CX_ENTITY,$F238,CP$11,CP$14,,(CP$234))),_xlpm.Res,IF(OR(_xlpm.val="",_xlpm.val="Error"),"",_xlpm.val),_xlpm.Res)</f>
        <v>#NAME?</v>
      </c>
      <c r="CQ238" s="1986" t="e" cm="1">
        <f t="array" ca="1" aca="1" ref="CQ238">_xlfn.LET(_xlpm.val,IF($F238="",val_blankRefText,_xldudf_CX_GET(CX_ENTITY,$F238,CQ$11,CQ$14,,(CQ$234))),_xlpm.Res,IF(OR(_xlpm.val="",_xlpm.val="Error"),"",_xlpm.val),_xlpm.Res)</f>
        <v>#NAME?</v>
      </c>
      <c r="CR238" s="34"/>
    </row>
    <row r="239" spans="1:96" ht="21" customHeight="1" outlineLevel="2">
      <c r="A239" s="1322"/>
      <c r="B239" s="577" t="s">
        <v>190</v>
      </c>
      <c r="C239" s="577" t="s">
        <v>1663</v>
      </c>
      <c r="D239" s="577"/>
      <c r="E239" s="577" t="e" cm="1">
        <f t="array" ca="1" aca="1" ref="E239">_xlfn.LET(_xlpm.Attr,$C239,_xlpm.Lookback,$E$16,_xlpm.QueryDate,EOMONTH(val_asOfDate,_xlpm.Lookback),_xlpm.ReadField,_xldudf_CX_GET(CX_ENTITY,fx_attrConverter($C239),_xlpm.QueryDate),_xlpm.AttrBlank,_xlpm.Attr="",_xlpm.RESULT,IF(_xlpm.AttrBlank,val_blankRefText,fx_attrConverter(_xlpm.ReadField,0)),IF(_xlpm.RESULT="Error","",_xlpm.RESULT))</f>
        <v>#NAME?</v>
      </c>
      <c r="F239" s="577" t="str">
        <f t="shared" si="69"/>
        <v>Segment IV Breakdown - Amount 4</v>
      </c>
      <c r="G239" s="577" t="s">
        <v>1658</v>
      </c>
      <c r="H239" s="510">
        <v>0</v>
      </c>
      <c r="I239" s="3278">
        <v>1</v>
      </c>
      <c r="J239" s="30"/>
      <c r="K239" s="30"/>
      <c r="L239" s="579" t="b">
        <v>0</v>
      </c>
      <c r="N239" s="158"/>
      <c r="O239" s="101"/>
      <c r="P239" s="52"/>
      <c r="Q239" s="101"/>
      <c r="R239" s="101"/>
      <c r="S239" s="2"/>
      <c r="T239" s="2"/>
      <c r="U239" s="39"/>
      <c r="W239" s="91" t="e">
        <f ca="1">W235</f>
        <v>#NAME?</v>
      </c>
      <c r="X239" s="884" t="s">
        <v>62</v>
      </c>
      <c r="Y239" s="1553" t="e" cm="1">
        <f t="array" ca="1" aca="1" ref="Y239">IF($B239="",IFBLANK($E239,"Please select or type in or leave as blank"),IFBLANK($E239,$B239))</f>
        <v>#NAME?</v>
      </c>
      <c r="Z239" s="198" cm="1">
        <f t="array" ref="Z239">_xlfn.SWITCH(TRUE,ISBLANK(_PL!$L239),"",_PL!$L239=TRUE,1,_PL!$L239=FALSE,-1,_PL!$L239=-1,0,"n/a")</f>
        <v>-1</v>
      </c>
      <c r="AA239" s="905"/>
      <c r="AB239" s="1130"/>
      <c r="AC239" s="914"/>
      <c r="AD239" s="1986" t="e" cm="1">
        <f t="array" ca="1" aca="1" ref="AD239">_xlfn.LET(_xlpm.val,IF($F239="",val_blankRefText,_xldudf_CX_GET(CX_ENTITY,$F239,AD$11,AD$14,,(AD$234))),_xlpm.Res,IF(OR(_xlpm.val="",_xlpm.val="Error"),"",_xlpm.val),_xlpm.Res)</f>
        <v>#NAME?</v>
      </c>
      <c r="AE239" s="1986" t="e" cm="1">
        <f t="array" ca="1" aca="1" ref="AE239">_xlfn.LET(_xlpm.val,IF($F239="",val_blankRefText,_xldudf_CX_GET(CX_ENTITY,$F239,AE$11,AE$14,,(AE$234))),_xlpm.Res,IF(OR(_xlpm.val="",_xlpm.val="Error"),"",_xlpm.val),_xlpm.Res)</f>
        <v>#NAME?</v>
      </c>
      <c r="AF239" s="1986" t="e" cm="1">
        <f t="array" ca="1" aca="1" ref="AF239">_xlfn.LET(_xlpm.val,IF($F239="",val_blankRefText,_xldudf_CX_GET(CX_ENTITY,$F239,AF$11,AF$14,,(AF$234))),_xlpm.Res,IF(OR(_xlpm.val="",_xlpm.val="Error"),"",_xlpm.val),_xlpm.Res)</f>
        <v>#NAME?</v>
      </c>
      <c r="AG239" s="1986" t="e" cm="1">
        <f t="array" ca="1" aca="1" ref="AG239">_xlfn.LET(_xlpm.val,IF($F239="",val_blankRefText,_xldudf_CX_GET(CX_ENTITY,$F239,AG$11,AG$14,,(AG$234))),_xlpm.Res,IF(OR(_xlpm.val="",_xlpm.val="Error"),"",_xlpm.val),_xlpm.Res)</f>
        <v>#NAME?</v>
      </c>
      <c r="AH239" s="1986" t="e" cm="1">
        <f t="array" ca="1" aca="1" ref="AH239">_xlfn.LET(_xlpm.val,IF($F239="",val_blankRefText,_xldudf_CX_GET(CX_ENTITY,$F239,AH$11,AH$14,,(AH$234))),_xlpm.Res,IF(OR(_xlpm.val="",_xlpm.val="Error"),"",_xlpm.val),_xlpm.Res)</f>
        <v>#NAME?</v>
      </c>
      <c r="AI239" s="1986" t="e" cm="1">
        <f t="array" ca="1" aca="1" ref="AI239">_xlfn.LET(_xlpm.val,IF($F239="",val_blankRefText,_xldudf_CX_GET(CX_ENTITY,$F239,AI$11,AI$14,,(AI$234))),_xlpm.Res,IF(OR(_xlpm.val="",_xlpm.val="Error"),"",_xlpm.val),_xlpm.Res)</f>
        <v>#NAME?</v>
      </c>
      <c r="AJ239" s="1986" t="e" cm="1">
        <f t="array" ca="1" aca="1" ref="AJ239">_xlfn.LET(_xlpm.val,IF($F239="",val_blankRefText,_xldudf_CX_GET(CX_ENTITY,$F239,AJ$11,AJ$14,,(AJ$234))),_xlpm.Res,IF(OR(_xlpm.val="",_xlpm.val="Error"),"",_xlpm.val),_xlpm.Res)</f>
        <v>#NAME?</v>
      </c>
      <c r="AK239" s="1986" t="e" cm="1">
        <f t="array" ca="1" aca="1" ref="AK239">_xlfn.LET(_xlpm.val,IF($F239="",val_blankRefText,_xldudf_CX_GET(CX_ENTITY,$F239,AK$11,AK$14,,(AK$234))),_xlpm.Res,IF(OR(_xlpm.val="",_xlpm.val="Error"),"",_xlpm.val),_xlpm.Res)</f>
        <v>#NAME?</v>
      </c>
      <c r="AL239" s="1986" t="e" cm="1">
        <f t="array" ca="1" aca="1" ref="AL239">_xlfn.LET(_xlpm.val,IF($F239="",val_blankRefText,_xldudf_CX_GET(CX_ENTITY,$F239,AL$11,AL$14,,(AL$234))),_xlpm.Res,IF(OR(_xlpm.val="",_xlpm.val="Error"),"",_xlpm.val),_xlpm.Res)</f>
        <v>#NAME?</v>
      </c>
      <c r="AM239" s="1986" t="e" cm="1">
        <f t="array" ca="1" aca="1" ref="AM239">_xlfn.LET(_xlpm.val,IF($F239="",val_blankRefText,_xldudf_CX_GET(CX_ENTITY,$F239,AM$11,AM$14,,(AM$234))),_xlpm.Res,IF(OR(_xlpm.val="",_xlpm.val="Error"),"",_xlpm.val),_xlpm.Res)</f>
        <v>#NAME?</v>
      </c>
      <c r="AN239" s="1986" t="e" cm="1">
        <f t="array" ca="1" aca="1" ref="AN239">_xlfn.LET(_xlpm.val,IF($F239="",val_blankRefText,_xldudf_CX_GET(CX_ENTITY,$F239,AN$11,AN$14,,(AN$234))),_xlpm.Res,IF(OR(_xlpm.val="",_xlpm.val="Error"),"",_xlpm.val),_xlpm.Res)</f>
        <v>#NAME?</v>
      </c>
      <c r="AO239" s="1986" t="e" cm="1">
        <f t="array" ca="1" aca="1" ref="AO239">_xlfn.LET(_xlpm.val,IF($F239="",val_blankRefText,_xldudf_CX_GET(CX_ENTITY,$F239,AO$11,AO$14,,(AO$234))),_xlpm.Res,IF(OR(_xlpm.val="",_xlpm.val="Error"),"",_xlpm.val),_xlpm.Res)</f>
        <v>#NAME?</v>
      </c>
      <c r="AP239" s="1986" t="e" cm="1">
        <f t="array" ca="1" aca="1" ref="AP239">_xlfn.LET(_xlpm.val,IF($F239="",val_blankRefText,_xldudf_CX_GET(CX_ENTITY,$F239,AP$11,AP$14,,(AP$234))),_xlpm.Res,IF(OR(_xlpm.val="",_xlpm.val="Error"),"",_xlpm.val),_xlpm.Res)</f>
        <v>#NAME?</v>
      </c>
      <c r="AQ239" s="1986" t="e" cm="1">
        <f t="array" ca="1" aca="1" ref="AQ239">_xlfn.LET(_xlpm.val,IF($F239="",val_blankRefText,_xldudf_CX_GET(CX_ENTITY,$F239,AQ$11,AQ$14,,(AQ$234))),_xlpm.Res,IF(OR(_xlpm.val="",_xlpm.val="Error"),"",_xlpm.val),_xlpm.Res)</f>
        <v>#NAME?</v>
      </c>
      <c r="AR239" s="1986" t="e" cm="1">
        <f t="array" ca="1" aca="1" ref="AR239">_xlfn.LET(_xlpm.val,IF($F239="",val_blankRefText,_xldudf_CX_GET(CX_ENTITY,$F239,AR$11,AR$14,,(AR$234))),_xlpm.Res,IF(OR(_xlpm.val="",_xlpm.val="Error"),"",_xlpm.val),_xlpm.Res)</f>
        <v>#NAME?</v>
      </c>
      <c r="AS239" s="1986" t="e" cm="1">
        <f t="array" ca="1" aca="1" ref="AS239">_xlfn.LET(_xlpm.val,IF($F239="",val_blankRefText,_xldudf_CX_GET(CX_ENTITY,$F239,AS$11,AS$14,,(AS$234))),_xlpm.Res,IF(OR(_xlpm.val="",_xlpm.val="Error"),"",_xlpm.val),_xlpm.Res)</f>
        <v>#NAME?</v>
      </c>
      <c r="AT239" s="1986" t="e" cm="1">
        <f t="array" ca="1" aca="1" ref="AT239">_xlfn.LET(_xlpm.val,IF($F239="",val_blankRefText,_xldudf_CX_GET(CX_ENTITY,$F239,AT$11,AT$14,,(AT$234))),_xlpm.Res,IF(OR(_xlpm.val="",_xlpm.val="Error"),"",_xlpm.val),_xlpm.Res)</f>
        <v>#NAME?</v>
      </c>
      <c r="AU239" s="1986" t="e" cm="1">
        <f t="array" ca="1" aca="1" ref="AU239">_xlfn.LET(_xlpm.val,IF($F239="",val_blankRefText,_xldudf_CX_GET(CX_ENTITY,$F239,AU$11,AU$14,,(AU$234))),_xlpm.Res,IF(OR(_xlpm.val="",_xlpm.val="Error"),"",_xlpm.val),_xlpm.Res)</f>
        <v>#NAME?</v>
      </c>
      <c r="AV239" s="1986" t="e" cm="1">
        <f t="array" ca="1" aca="1" ref="AV239">_xlfn.LET(_xlpm.val,IF($F239="",val_blankRefText,_xldudf_CX_GET(CX_ENTITY,$F239,AV$11,AV$14,,(AV$234))),_xlpm.Res,IF(OR(_xlpm.val="",_xlpm.val="Error"),"",_xlpm.val),_xlpm.Res)</f>
        <v>#NAME?</v>
      </c>
      <c r="AW239" s="1986" t="e" cm="1">
        <f t="array" ca="1" aca="1" ref="AW239">_xlfn.LET(_xlpm.val,IF($F239="",val_blankRefText,_xldudf_CX_GET(CX_ENTITY,$F239,AW$11,AW$14,,(AW$234))),_xlpm.Res,IF(OR(_xlpm.val="",_xlpm.val="Error"),"",_xlpm.val),_xlpm.Res)</f>
        <v>#NAME?</v>
      </c>
      <c r="AX239" s="1986" t="e" cm="1">
        <f t="array" ca="1" aca="1" ref="AX239">_xlfn.LET(_xlpm.val,IF($F239="",val_blankRefText,_xldudf_CX_GET(CX_ENTITY,$F239,AX$11,AX$14,,(AX$234))),_xlpm.Res,IF(OR(_xlpm.val="",_xlpm.val="Error"),"",_xlpm.val),_xlpm.Res)</f>
        <v>#NAME?</v>
      </c>
      <c r="AY239" s="1986" t="e" cm="1">
        <f t="array" ca="1" aca="1" ref="AY239">_xlfn.LET(_xlpm.val,IF($F239="",val_blankRefText,_xldudf_CX_GET(CX_ENTITY,$F239,AY$11,AY$14,,(AY$234))),_xlpm.Res,IF(OR(_xlpm.val="",_xlpm.val="Error"),"",_xlpm.val),_xlpm.Res)</f>
        <v>#NAME?</v>
      </c>
      <c r="AZ239" s="1986" t="e" cm="1">
        <f t="array" ca="1" aca="1" ref="AZ239">_xlfn.LET(_xlpm.val,IF($F239="",val_blankRefText,_xldudf_CX_GET(CX_ENTITY,$F239,AZ$11,AZ$14,,(AZ$234))),_xlpm.Res,IF(OR(_xlpm.val="",_xlpm.val="Error"),"",_xlpm.val),_xlpm.Res)</f>
        <v>#NAME?</v>
      </c>
      <c r="BA239" s="1986" t="e" cm="1">
        <f t="array" ca="1" aca="1" ref="BA239">_xlfn.LET(_xlpm.val,IF($F239="",val_blankRefText,_xldudf_CX_GET(CX_ENTITY,$F239,BA$11,BA$14,,(BA$234))),_xlpm.Res,IF(OR(_xlpm.val="",_xlpm.val="Error"),"",_xlpm.val),_xlpm.Res)</f>
        <v>#NAME?</v>
      </c>
      <c r="BB239" s="1986" t="e" cm="1">
        <f t="array" ca="1" aca="1" ref="BB239">_xlfn.LET(_xlpm.val,IF($F239="",val_blankRefText,_xldudf_CX_GET(CX_ENTITY,$F239,BB$11,BB$14,,(BB$234))),_xlpm.Res,IF(OR(_xlpm.val="",_xlpm.val="Error"),"",_xlpm.val),_xlpm.Res)</f>
        <v>#NAME?</v>
      </c>
      <c r="BC239" s="1986" t="e" cm="1">
        <f t="array" ca="1" aca="1" ref="BC239">_xlfn.LET(_xlpm.val,IF($F239="",val_blankRefText,_xldudf_CX_GET(CX_ENTITY,$F239,BC$11,BC$14,,(BC$234))),_xlpm.Res,IF(OR(_xlpm.val="",_xlpm.val="Error"),"",_xlpm.val),_xlpm.Res)</f>
        <v>#NAME?</v>
      </c>
      <c r="BD239" s="1986" t="e" cm="1">
        <f t="array" ca="1" aca="1" ref="BD239">_xlfn.LET(_xlpm.val,IF($F239="",val_blankRefText,_xldudf_CX_GET(CX_ENTITY,$F239,BD$11,BD$14,,(BD$234))),_xlpm.Res,IF(OR(_xlpm.val="",_xlpm.val="Error"),"",_xlpm.val),_xlpm.Res)</f>
        <v>#NAME?</v>
      </c>
      <c r="BE239" s="1986" t="e" cm="1">
        <f t="array" ca="1" aca="1" ref="BE239">_xlfn.LET(_xlpm.val,IF($F239="",val_blankRefText,_xldudf_CX_GET(CX_ENTITY,$F239,BE$11,BE$14,,(BE$234))),_xlpm.Res,IF(OR(_xlpm.val="",_xlpm.val="Error"),"",_xlpm.val),_xlpm.Res)</f>
        <v>#NAME?</v>
      </c>
      <c r="BF239" s="1986" t="e" cm="1">
        <f t="array" ca="1" aca="1" ref="BF239">_xlfn.LET(_xlpm.val,IF($F239="",val_blankRefText,_xldudf_CX_GET(CX_ENTITY,$F239,BF$11,BF$14,,(BF$234))),_xlpm.Res,IF(OR(_xlpm.val="",_xlpm.val="Error"),"",_xlpm.val),_xlpm.Res)</f>
        <v>#NAME?</v>
      </c>
      <c r="BG239" s="1986" t="e" cm="1">
        <f t="array" ca="1" aca="1" ref="BG239">_xlfn.LET(_xlpm.val,IF($F239="",val_blankRefText,_xldudf_CX_GET(CX_ENTITY,$F239,BG$11,BG$14,,(BG$234))),_xlpm.Res,IF(OR(_xlpm.val="",_xlpm.val="Error"),"",_xlpm.val),_xlpm.Res)</f>
        <v>#NAME?</v>
      </c>
      <c r="BH239" s="1986" t="e" cm="1">
        <f t="array" ca="1" aca="1" ref="BH239">_xlfn.LET(_xlpm.val,IF($F239="",val_blankRefText,_xldudf_CX_GET(CX_ENTITY,$F239,BH$11,BH$14,,(BH$234))),_xlpm.Res,IF(OR(_xlpm.val="",_xlpm.val="Error"),"",_xlpm.val),_xlpm.Res)</f>
        <v>#NAME?</v>
      </c>
      <c r="BI239" s="1986" t="e" cm="1">
        <f t="array" ca="1" aca="1" ref="BI239">_xlfn.LET(_xlpm.val,IF($F239="",val_blankRefText,_xldudf_CX_GET(CX_ENTITY,$F239,BI$11,BI$14,,(BI$234))),_xlpm.Res,IF(OR(_xlpm.val="",_xlpm.val="Error"),"",_xlpm.val),_xlpm.Res)</f>
        <v>#NAME?</v>
      </c>
      <c r="BJ239" s="1986" t="e" cm="1">
        <f t="array" ca="1" aca="1" ref="BJ239">_xlfn.LET(_xlpm.val,IF($F239="",val_blankRefText,_xldudf_CX_GET(CX_ENTITY,$F239,BJ$11,BJ$14,,(BJ$234))),_xlpm.Res,IF(OR(_xlpm.val="",_xlpm.val="Error"),"",_xlpm.val),_xlpm.Res)</f>
        <v>#NAME?</v>
      </c>
      <c r="BK239" s="1986" t="e" cm="1">
        <f t="array" ca="1" aca="1" ref="BK239">_xlfn.LET(_xlpm.val,IF($F239="",val_blankRefText,_xldudf_CX_GET(CX_ENTITY,$F239,BK$11,BK$14,,(BK$234))),_xlpm.Res,IF(OR(_xlpm.val="",_xlpm.val="Error"),"",_xlpm.val),_xlpm.Res)</f>
        <v>#NAME?</v>
      </c>
      <c r="BL239" s="1986" t="e" cm="1">
        <f t="array" ca="1" aca="1" ref="BL239">_xlfn.LET(_xlpm.val,IF($F239="",val_blankRefText,_xldudf_CX_GET(CX_ENTITY,$F239,BL$11,BL$14,,(BL$234))),_xlpm.Res,IF(OR(_xlpm.val="",_xlpm.val="Error"),"",_xlpm.val),_xlpm.Res)</f>
        <v>#NAME?</v>
      </c>
      <c r="BM239" s="1986" t="e" cm="1">
        <f t="array" ca="1" aca="1" ref="BM239">_xlfn.LET(_xlpm.val,IF($F239="",val_blankRefText,_xldudf_CX_GET(CX_ENTITY,$F239,BM$11,BM$14,,(BM$234))),_xlpm.Res,IF(OR(_xlpm.val="",_xlpm.val="Error"),"",_xlpm.val),_xlpm.Res)</f>
        <v>#NAME?</v>
      </c>
      <c r="BN239" s="1986" t="e" cm="1">
        <f t="array" ca="1" aca="1" ref="BN239">_xlfn.LET(_xlpm.val,IF($F239="",val_blankRefText,_xldudf_CX_GET(CX_ENTITY,$F239,BN$11,BN$14,,(BN$234))),_xlpm.Res,IF(OR(_xlpm.val="",_xlpm.val="Error"),"",_xlpm.val),_xlpm.Res)</f>
        <v>#NAME?</v>
      </c>
      <c r="BO239" s="2103"/>
      <c r="BP239" s="2103"/>
      <c r="BQ239" s="2103"/>
      <c r="BR239" s="2103"/>
      <c r="BS239" s="2103"/>
      <c r="BT239" s="2103"/>
      <c r="BU239" s="2103"/>
      <c r="BV239" s="2103"/>
      <c r="BW239" s="2103"/>
      <c r="BX239" s="2103"/>
      <c r="BY239" s="2103"/>
      <c r="BZ239" s="2103"/>
      <c r="CA239" s="34"/>
      <c r="CC239" s="58"/>
      <c r="CD239" s="1461" t="e" cm="1">
        <f t="array" ca="1" aca="1" ref="CD239">_xlfn.LET(_xlpm.CheckBlank,SUM(PL!$AD239:$BN239)=0,IF(_xlpm.CheckBlank,"",SUM(_xlfn._xlws.FILTER(PL!$AD239:$BN239,(YEAR(PL!$AD$12:$BN$12)=PL!CD$12)*(array_timeline&lt;=PL!CD$11)))))</f>
        <v>#NAME?</v>
      </c>
      <c r="CE239" s="1461" t="e" cm="1">
        <f t="array" ca="1" aca="1" ref="CE239">_xlfn.LET(_xlpm.CheckBlank,SUM(PL!$AD239:$BN239)=0,IF(_xlpm.CheckBlank,"",SUM(_xlfn._xlws.FILTER(PL!$AD239:$BN239,(YEAR(PL!$AD$12:$BN$12)=PL!CE$12)*(array_timeline&lt;=PL!CE$11)))))</f>
        <v>#NAME?</v>
      </c>
      <c r="CF239" s="88"/>
      <c r="CG239" s="1461" t="e" cm="1">
        <f t="array" ca="1" aca="1" ref="CG239">_xlfn.LET(_xlpm.CheckBlank,SUM(PL!$AD239:$BN239)=0,IF(_xlpm.CheckBlank,"",SUM(_xlfn._xlws.FILTER(PL!$AD239:$BN239,(YEAR(PL!$AD$12:$BN$12)=PL!CG$12)*(array_timeline&lt;=PL!CG$11)))))</f>
        <v>#NAME?</v>
      </c>
      <c r="CH239" s="1461" t="e" cm="1">
        <f t="array" ca="1" aca="1" ref="CH239">_xlfn.LET(_xlpm.CheckBlank,SUM(PL!$AD239:$BN239)=0,IF(_xlpm.CheckBlank,"",SUM(_xlfn._xlws.FILTER(PL!$AD239:$BN239,(YEAR(PL!$AD$12:$BN$12)=PL!CH$12)*(array_timeline&lt;=PL!CH$11)))))</f>
        <v>#NAME?</v>
      </c>
      <c r="CI239" s="88"/>
      <c r="CJ239" s="1461" cm="1">
        <f t="array" ref="CJ239">_xlfn.LET(_xlpm.CheckBlank,SUM(PL!$AD239:$BN239)=0,IF(_xlpm.CheckBlank,"",SUM(_xlfn.TAKE(_xlfn.DROP(PL!$AD239:$BN239,,-DATEDIFF(PL!CJ$11,val_asOfDate,"M")),1,-12))))</f>
        <v>12</v>
      </c>
      <c r="CK239" s="1461" cm="1">
        <f t="array" ref="CK239">_xlfn.LET(_xlpm.CheckBlank,SUM(PL!$AD239:$BN239)=0,IF(_xlpm.CheckBlank,"",SUM(_xlfn.TAKE(_xlfn.DROP(PL!$AD239:$BN239,,-DATEDIFF(PL!CK$11,val_asOfDate,"M")),1,-12))))</f>
        <v>12</v>
      </c>
      <c r="CL239" s="88"/>
      <c r="CM239" s="1986" t="e" cm="1">
        <f t="array" ca="1" aca="1" ref="CM239">_xlfn.LET(_xlpm.val,IF($F239="",val_blankRefText,_xldudf_CX_GET(CX_ENTITY,$F239,CM$11,CM$14,,(CM$234))),_xlpm.Res,IF(OR(_xlpm.val="",_xlpm.val="Error"),"",_xlpm.val),_xlpm.Res)</f>
        <v>#NAME?</v>
      </c>
      <c r="CN239" s="1986" t="e" cm="1">
        <f t="array" ca="1" aca="1" ref="CN239">_xlfn.LET(_xlpm.val,IF($F239="",val_blankRefText,_xldudf_CX_GET(CX_ENTITY,$F239,CN$11,CN$14,,(CN$234))),_xlpm.Res,IF(OR(_xlpm.val="",_xlpm.val="Error"),"",_xlpm.val),_xlpm.Res)</f>
        <v>#NAME?</v>
      </c>
      <c r="CO239" s="1169"/>
      <c r="CP239" s="1986" t="e" cm="1">
        <f t="array" ca="1" aca="1" ref="CP239">_xlfn.LET(_xlpm.val,IF($F239="",val_blankRefText,_xldudf_CX_GET(CX_ENTITY,$F239,CP$11,CP$14,,(CP$234))),_xlpm.Res,IF(OR(_xlpm.val="",_xlpm.val="Error"),"",_xlpm.val),_xlpm.Res)</f>
        <v>#NAME?</v>
      </c>
      <c r="CQ239" s="1986" t="e" cm="1">
        <f t="array" ca="1" aca="1" ref="CQ239">_xlfn.LET(_xlpm.val,IF($F239="",val_blankRefText,_xldudf_CX_GET(CX_ENTITY,$F239,CQ$11,CQ$14,,(CQ$234))),_xlpm.Res,IF(OR(_xlpm.val="",_xlpm.val="Error"),"",_xlpm.val),_xlpm.Res)</f>
        <v>#NAME?</v>
      </c>
      <c r="CR239" s="34"/>
    </row>
    <row r="240" spans="1:96" ht="21" customHeight="1" outlineLevel="2">
      <c r="A240" s="1322"/>
      <c r="B240" s="577" t="s">
        <v>191</v>
      </c>
      <c r="C240" s="577" t="s">
        <v>1664</v>
      </c>
      <c r="D240" s="577"/>
      <c r="E240" s="577" t="e" cm="1">
        <f t="array" ca="1" aca="1" ref="E240">_xlfn.LET(_xlpm.Attr,$C240,_xlpm.Lookback,$E$16,_xlpm.QueryDate,EOMONTH(val_asOfDate,_xlpm.Lookback),_xlpm.ReadField,_xldudf_CX_GET(CX_ENTITY,fx_attrConverter($C240),_xlpm.QueryDate),_xlpm.AttrBlank,_xlpm.Attr="",_xlpm.RESULT,IF(_xlpm.AttrBlank,val_blankRefText,fx_attrConverter(_xlpm.ReadField,0)),IF(_xlpm.RESULT="Error","",_xlpm.RESULT))</f>
        <v>#NAME?</v>
      </c>
      <c r="F240" s="577" t="str">
        <f t="shared" si="69"/>
        <v>Segment IV Breakdown - Amount 5</v>
      </c>
      <c r="G240" s="577" t="s">
        <v>1658</v>
      </c>
      <c r="H240" s="510">
        <v>0</v>
      </c>
      <c r="I240" s="3278">
        <v>1</v>
      </c>
      <c r="J240" s="30"/>
      <c r="K240" s="30"/>
      <c r="L240" s="579" t="b">
        <v>0</v>
      </c>
      <c r="N240" s="158"/>
      <c r="O240" s="101"/>
      <c r="P240" s="52"/>
      <c r="Q240" s="101"/>
      <c r="R240" s="101"/>
      <c r="S240" s="2"/>
      <c r="T240" s="2"/>
      <c r="U240" s="39"/>
      <c r="W240" s="91" t="e">
        <f ca="1">W236</f>
        <v>#NAME?</v>
      </c>
      <c r="X240" s="884" t="s">
        <v>62</v>
      </c>
      <c r="Y240" s="1553" t="e" cm="1">
        <f t="array" ca="1" aca="1" ref="Y240">IF($B240="",IFBLANK($E240,"Please select or type in or leave as blank"),IFBLANK($E240,$B240))</f>
        <v>#NAME?</v>
      </c>
      <c r="Z240" s="198" cm="1">
        <f t="array" ref="Z240">_xlfn.SWITCH(TRUE,ISBLANK(_PL!$L240),"",_PL!$L240=TRUE,1,_PL!$L240=FALSE,-1,_PL!$L240=-1,0,"n/a")</f>
        <v>-1</v>
      </c>
      <c r="AA240" s="905"/>
      <c r="AB240" s="591"/>
      <c r="AC240" s="914"/>
      <c r="AD240" s="1986" t="e" cm="1">
        <f t="array" ca="1" aca="1" ref="AD240">_xlfn.LET(_xlpm.val,IF($F240="",val_blankRefText,_xldudf_CX_GET(CX_ENTITY,$F240,AD$11,AD$14,,(AD$234))),_xlpm.Res,IF(OR(_xlpm.val="",_xlpm.val="Error"),"",_xlpm.val),_xlpm.Res)</f>
        <v>#NAME?</v>
      </c>
      <c r="AE240" s="1986" t="e" cm="1">
        <f t="array" ca="1" aca="1" ref="AE240">_xlfn.LET(_xlpm.val,IF($F240="",val_blankRefText,_xldudf_CX_GET(CX_ENTITY,$F240,AE$11,AE$14,,(AE$234))),_xlpm.Res,IF(OR(_xlpm.val="",_xlpm.val="Error"),"",_xlpm.val),_xlpm.Res)</f>
        <v>#NAME?</v>
      </c>
      <c r="AF240" s="1986" t="e" cm="1">
        <f t="array" ca="1" aca="1" ref="AF240">_xlfn.LET(_xlpm.val,IF($F240="",val_blankRefText,_xldudf_CX_GET(CX_ENTITY,$F240,AF$11,AF$14,,(AF$234))),_xlpm.Res,IF(OR(_xlpm.val="",_xlpm.val="Error"),"",_xlpm.val),_xlpm.Res)</f>
        <v>#NAME?</v>
      </c>
      <c r="AG240" s="1986" t="e" cm="1">
        <f t="array" ca="1" aca="1" ref="AG240">_xlfn.LET(_xlpm.val,IF($F240="",val_blankRefText,_xldudf_CX_GET(CX_ENTITY,$F240,AG$11,AG$14,,(AG$234))),_xlpm.Res,IF(OR(_xlpm.val="",_xlpm.val="Error"),"",_xlpm.val),_xlpm.Res)</f>
        <v>#NAME?</v>
      </c>
      <c r="AH240" s="1986" t="e" cm="1">
        <f t="array" ca="1" aca="1" ref="AH240">_xlfn.LET(_xlpm.val,IF($F240="",val_blankRefText,_xldudf_CX_GET(CX_ENTITY,$F240,AH$11,AH$14,,(AH$234))),_xlpm.Res,IF(OR(_xlpm.val="",_xlpm.val="Error"),"",_xlpm.val),_xlpm.Res)</f>
        <v>#NAME?</v>
      </c>
      <c r="AI240" s="1986" t="e" cm="1">
        <f t="array" ca="1" aca="1" ref="AI240">_xlfn.LET(_xlpm.val,IF($F240="",val_blankRefText,_xldudf_CX_GET(CX_ENTITY,$F240,AI$11,AI$14,,(AI$234))),_xlpm.Res,IF(OR(_xlpm.val="",_xlpm.val="Error"),"",_xlpm.val),_xlpm.Res)</f>
        <v>#NAME?</v>
      </c>
      <c r="AJ240" s="1986" t="e" cm="1">
        <f t="array" ca="1" aca="1" ref="AJ240">_xlfn.LET(_xlpm.val,IF($F240="",val_blankRefText,_xldudf_CX_GET(CX_ENTITY,$F240,AJ$11,AJ$14,,(AJ$234))),_xlpm.Res,IF(OR(_xlpm.val="",_xlpm.val="Error"),"",_xlpm.val),_xlpm.Res)</f>
        <v>#NAME?</v>
      </c>
      <c r="AK240" s="1986" t="e" cm="1">
        <f t="array" ca="1" aca="1" ref="AK240">_xlfn.LET(_xlpm.val,IF($F240="",val_blankRefText,_xldudf_CX_GET(CX_ENTITY,$F240,AK$11,AK$14,,(AK$234))),_xlpm.Res,IF(OR(_xlpm.val="",_xlpm.val="Error"),"",_xlpm.val),_xlpm.Res)</f>
        <v>#NAME?</v>
      </c>
      <c r="AL240" s="1986" t="e" cm="1">
        <f t="array" ca="1" aca="1" ref="AL240">_xlfn.LET(_xlpm.val,IF($F240="",val_blankRefText,_xldudf_CX_GET(CX_ENTITY,$F240,AL$11,AL$14,,(AL$234))),_xlpm.Res,IF(OR(_xlpm.val="",_xlpm.val="Error"),"",_xlpm.val),_xlpm.Res)</f>
        <v>#NAME?</v>
      </c>
      <c r="AM240" s="1986" t="e" cm="1">
        <f t="array" ca="1" aca="1" ref="AM240">_xlfn.LET(_xlpm.val,IF($F240="",val_blankRefText,_xldudf_CX_GET(CX_ENTITY,$F240,AM$11,AM$14,,(AM$234))),_xlpm.Res,IF(OR(_xlpm.val="",_xlpm.val="Error"),"",_xlpm.val),_xlpm.Res)</f>
        <v>#NAME?</v>
      </c>
      <c r="AN240" s="1986" t="e" cm="1">
        <f t="array" ca="1" aca="1" ref="AN240">_xlfn.LET(_xlpm.val,IF($F240="",val_blankRefText,_xldudf_CX_GET(CX_ENTITY,$F240,AN$11,AN$14,,(AN$234))),_xlpm.Res,IF(OR(_xlpm.val="",_xlpm.val="Error"),"",_xlpm.val),_xlpm.Res)</f>
        <v>#NAME?</v>
      </c>
      <c r="AO240" s="1986" t="e" cm="1">
        <f t="array" ca="1" aca="1" ref="AO240">_xlfn.LET(_xlpm.val,IF($F240="",val_blankRefText,_xldudf_CX_GET(CX_ENTITY,$F240,AO$11,AO$14,,(AO$234))),_xlpm.Res,IF(OR(_xlpm.val="",_xlpm.val="Error"),"",_xlpm.val),_xlpm.Res)</f>
        <v>#NAME?</v>
      </c>
      <c r="AP240" s="1986" t="e" cm="1">
        <f t="array" ca="1" aca="1" ref="AP240">_xlfn.LET(_xlpm.val,IF($F240="",val_blankRefText,_xldudf_CX_GET(CX_ENTITY,$F240,AP$11,AP$14,,(AP$234))),_xlpm.Res,IF(OR(_xlpm.val="",_xlpm.val="Error"),"",_xlpm.val),_xlpm.Res)</f>
        <v>#NAME?</v>
      </c>
      <c r="AQ240" s="1986" t="e" cm="1">
        <f t="array" ca="1" aca="1" ref="AQ240">_xlfn.LET(_xlpm.val,IF($F240="",val_blankRefText,_xldudf_CX_GET(CX_ENTITY,$F240,AQ$11,AQ$14,,(AQ$234))),_xlpm.Res,IF(OR(_xlpm.val="",_xlpm.val="Error"),"",_xlpm.val),_xlpm.Res)</f>
        <v>#NAME?</v>
      </c>
      <c r="AR240" s="1986" t="e" cm="1">
        <f t="array" ca="1" aca="1" ref="AR240">_xlfn.LET(_xlpm.val,IF($F240="",val_blankRefText,_xldudf_CX_GET(CX_ENTITY,$F240,AR$11,AR$14,,(AR$234))),_xlpm.Res,IF(OR(_xlpm.val="",_xlpm.val="Error"),"",_xlpm.val),_xlpm.Res)</f>
        <v>#NAME?</v>
      </c>
      <c r="AS240" s="1986" t="e" cm="1">
        <f t="array" ca="1" aca="1" ref="AS240">_xlfn.LET(_xlpm.val,IF($F240="",val_blankRefText,_xldudf_CX_GET(CX_ENTITY,$F240,AS$11,AS$14,,(AS$234))),_xlpm.Res,IF(OR(_xlpm.val="",_xlpm.val="Error"),"",_xlpm.val),_xlpm.Res)</f>
        <v>#NAME?</v>
      </c>
      <c r="AT240" s="1986" t="e" cm="1">
        <f t="array" ca="1" aca="1" ref="AT240">_xlfn.LET(_xlpm.val,IF($F240="",val_blankRefText,_xldudf_CX_GET(CX_ENTITY,$F240,AT$11,AT$14,,(AT$234))),_xlpm.Res,IF(OR(_xlpm.val="",_xlpm.val="Error"),"",_xlpm.val),_xlpm.Res)</f>
        <v>#NAME?</v>
      </c>
      <c r="AU240" s="1986" t="e" cm="1">
        <f t="array" ca="1" aca="1" ref="AU240">_xlfn.LET(_xlpm.val,IF($F240="",val_blankRefText,_xldudf_CX_GET(CX_ENTITY,$F240,AU$11,AU$14,,(AU$234))),_xlpm.Res,IF(OR(_xlpm.val="",_xlpm.val="Error"),"",_xlpm.val),_xlpm.Res)</f>
        <v>#NAME?</v>
      </c>
      <c r="AV240" s="1986" t="e" cm="1">
        <f t="array" ca="1" aca="1" ref="AV240">_xlfn.LET(_xlpm.val,IF($F240="",val_blankRefText,_xldudf_CX_GET(CX_ENTITY,$F240,AV$11,AV$14,,(AV$234))),_xlpm.Res,IF(OR(_xlpm.val="",_xlpm.val="Error"),"",_xlpm.val),_xlpm.Res)</f>
        <v>#NAME?</v>
      </c>
      <c r="AW240" s="1986" t="e" cm="1">
        <f t="array" ca="1" aca="1" ref="AW240">_xlfn.LET(_xlpm.val,IF($F240="",val_blankRefText,_xldudf_CX_GET(CX_ENTITY,$F240,AW$11,AW$14,,(AW$234))),_xlpm.Res,IF(OR(_xlpm.val="",_xlpm.val="Error"),"",_xlpm.val),_xlpm.Res)</f>
        <v>#NAME?</v>
      </c>
      <c r="AX240" s="1986" t="e" cm="1">
        <f t="array" ca="1" aca="1" ref="AX240">_xlfn.LET(_xlpm.val,IF($F240="",val_blankRefText,_xldudf_CX_GET(CX_ENTITY,$F240,AX$11,AX$14,,(AX$234))),_xlpm.Res,IF(OR(_xlpm.val="",_xlpm.val="Error"),"",_xlpm.val),_xlpm.Res)</f>
        <v>#NAME?</v>
      </c>
      <c r="AY240" s="1986" t="e" cm="1">
        <f t="array" ca="1" aca="1" ref="AY240">_xlfn.LET(_xlpm.val,IF($F240="",val_blankRefText,_xldudf_CX_GET(CX_ENTITY,$F240,AY$11,AY$14,,(AY$234))),_xlpm.Res,IF(OR(_xlpm.val="",_xlpm.val="Error"),"",_xlpm.val),_xlpm.Res)</f>
        <v>#NAME?</v>
      </c>
      <c r="AZ240" s="1986" t="e" cm="1">
        <f t="array" ca="1" aca="1" ref="AZ240">_xlfn.LET(_xlpm.val,IF($F240="",val_blankRefText,_xldudf_CX_GET(CX_ENTITY,$F240,AZ$11,AZ$14,,(AZ$234))),_xlpm.Res,IF(OR(_xlpm.val="",_xlpm.val="Error"),"",_xlpm.val),_xlpm.Res)</f>
        <v>#NAME?</v>
      </c>
      <c r="BA240" s="1986" t="e" cm="1">
        <f t="array" ca="1" aca="1" ref="BA240">_xlfn.LET(_xlpm.val,IF($F240="",val_blankRefText,_xldudf_CX_GET(CX_ENTITY,$F240,BA$11,BA$14,,(BA$234))),_xlpm.Res,IF(OR(_xlpm.val="",_xlpm.val="Error"),"",_xlpm.val),_xlpm.Res)</f>
        <v>#NAME?</v>
      </c>
      <c r="BB240" s="1986" t="e" cm="1">
        <f t="array" ca="1" aca="1" ref="BB240">_xlfn.LET(_xlpm.val,IF($F240="",val_blankRefText,_xldudf_CX_GET(CX_ENTITY,$F240,BB$11,BB$14,,(BB$234))),_xlpm.Res,IF(OR(_xlpm.val="",_xlpm.val="Error"),"",_xlpm.val),_xlpm.Res)</f>
        <v>#NAME?</v>
      </c>
      <c r="BC240" s="1986" t="e" cm="1">
        <f t="array" ca="1" aca="1" ref="BC240">_xlfn.LET(_xlpm.val,IF($F240="",val_blankRefText,_xldudf_CX_GET(CX_ENTITY,$F240,BC$11,BC$14,,(BC$234))),_xlpm.Res,IF(OR(_xlpm.val="",_xlpm.val="Error"),"",_xlpm.val),_xlpm.Res)</f>
        <v>#NAME?</v>
      </c>
      <c r="BD240" s="1986" t="e" cm="1">
        <f t="array" ca="1" aca="1" ref="BD240">_xlfn.LET(_xlpm.val,IF($F240="",val_blankRefText,_xldudf_CX_GET(CX_ENTITY,$F240,BD$11,BD$14,,(BD$234))),_xlpm.Res,IF(OR(_xlpm.val="",_xlpm.val="Error"),"",_xlpm.val),_xlpm.Res)</f>
        <v>#NAME?</v>
      </c>
      <c r="BE240" s="1986" t="e" cm="1">
        <f t="array" ca="1" aca="1" ref="BE240">_xlfn.LET(_xlpm.val,IF($F240="",val_blankRefText,_xldudf_CX_GET(CX_ENTITY,$F240,BE$11,BE$14,,(BE$234))),_xlpm.Res,IF(OR(_xlpm.val="",_xlpm.val="Error"),"",_xlpm.val),_xlpm.Res)</f>
        <v>#NAME?</v>
      </c>
      <c r="BF240" s="1986" t="e" cm="1">
        <f t="array" ca="1" aca="1" ref="BF240">_xlfn.LET(_xlpm.val,IF($F240="",val_blankRefText,_xldudf_CX_GET(CX_ENTITY,$F240,BF$11,BF$14,,(BF$234))),_xlpm.Res,IF(OR(_xlpm.val="",_xlpm.val="Error"),"",_xlpm.val),_xlpm.Res)</f>
        <v>#NAME?</v>
      </c>
      <c r="BG240" s="1986" t="e" cm="1">
        <f t="array" ca="1" aca="1" ref="BG240">_xlfn.LET(_xlpm.val,IF($F240="",val_blankRefText,_xldudf_CX_GET(CX_ENTITY,$F240,BG$11,BG$14,,(BG$234))),_xlpm.Res,IF(OR(_xlpm.val="",_xlpm.val="Error"),"",_xlpm.val),_xlpm.Res)</f>
        <v>#NAME?</v>
      </c>
      <c r="BH240" s="1986" t="e" cm="1">
        <f t="array" ca="1" aca="1" ref="BH240">_xlfn.LET(_xlpm.val,IF($F240="",val_blankRefText,_xldudf_CX_GET(CX_ENTITY,$F240,BH$11,BH$14,,(BH$234))),_xlpm.Res,IF(OR(_xlpm.val="",_xlpm.val="Error"),"",_xlpm.val),_xlpm.Res)</f>
        <v>#NAME?</v>
      </c>
      <c r="BI240" s="1986" t="e" cm="1">
        <f t="array" ca="1" aca="1" ref="BI240">_xlfn.LET(_xlpm.val,IF($F240="",val_blankRefText,_xldudf_CX_GET(CX_ENTITY,$F240,BI$11,BI$14,,(BI$234))),_xlpm.Res,IF(OR(_xlpm.val="",_xlpm.val="Error"),"",_xlpm.val),_xlpm.Res)</f>
        <v>#NAME?</v>
      </c>
      <c r="BJ240" s="1986" t="e" cm="1">
        <f t="array" ca="1" aca="1" ref="BJ240">_xlfn.LET(_xlpm.val,IF($F240="",val_blankRefText,_xldudf_CX_GET(CX_ENTITY,$F240,BJ$11,BJ$14,,(BJ$234))),_xlpm.Res,IF(OR(_xlpm.val="",_xlpm.val="Error"),"",_xlpm.val),_xlpm.Res)</f>
        <v>#NAME?</v>
      </c>
      <c r="BK240" s="1986" t="e" cm="1">
        <f t="array" ca="1" aca="1" ref="BK240">_xlfn.LET(_xlpm.val,IF($F240="",val_blankRefText,_xldudf_CX_GET(CX_ENTITY,$F240,BK$11,BK$14,,(BK$234))),_xlpm.Res,IF(OR(_xlpm.val="",_xlpm.val="Error"),"",_xlpm.val),_xlpm.Res)</f>
        <v>#NAME?</v>
      </c>
      <c r="BL240" s="1986" t="e" cm="1">
        <f t="array" ca="1" aca="1" ref="BL240">_xlfn.LET(_xlpm.val,IF($F240="",val_blankRefText,_xldudf_CX_GET(CX_ENTITY,$F240,BL$11,BL$14,,(BL$234))),_xlpm.Res,IF(OR(_xlpm.val="",_xlpm.val="Error"),"",_xlpm.val),_xlpm.Res)</f>
        <v>#NAME?</v>
      </c>
      <c r="BM240" s="1986" t="e" cm="1">
        <f t="array" ca="1" aca="1" ref="BM240">_xlfn.LET(_xlpm.val,IF($F240="",val_blankRefText,_xldudf_CX_GET(CX_ENTITY,$F240,BM$11,BM$14,,(BM$234))),_xlpm.Res,IF(OR(_xlpm.val="",_xlpm.val="Error"),"",_xlpm.val),_xlpm.Res)</f>
        <v>#NAME?</v>
      </c>
      <c r="BN240" s="1986" t="e" cm="1">
        <f t="array" ca="1" aca="1" ref="BN240">_xlfn.LET(_xlpm.val,IF($F240="",val_blankRefText,_xldudf_CX_GET(CX_ENTITY,$F240,BN$11,BN$14,,(BN$234))),_xlpm.Res,IF(OR(_xlpm.val="",_xlpm.val="Error"),"",_xlpm.val),_xlpm.Res)</f>
        <v>#NAME?</v>
      </c>
      <c r="BO240" s="2103"/>
      <c r="BP240" s="2103"/>
      <c r="BQ240" s="2103"/>
      <c r="BR240" s="2103"/>
      <c r="BS240" s="2103"/>
      <c r="BT240" s="2103"/>
      <c r="BU240" s="2103"/>
      <c r="BV240" s="2103"/>
      <c r="BW240" s="2103"/>
      <c r="BX240" s="2103"/>
      <c r="BY240" s="2103"/>
      <c r="BZ240" s="2103"/>
      <c r="CA240" s="34"/>
      <c r="CC240" s="58"/>
      <c r="CD240" s="1461" t="e" cm="1">
        <f t="array" ca="1" aca="1" ref="CD240">_xlfn.LET(_xlpm.CheckBlank,SUM(PL!$AD240:$BN240)=0,IF(_xlpm.CheckBlank,"",SUM(_xlfn._xlws.FILTER(PL!$AD240:$BN240,(YEAR(PL!$AD$12:$BN$12)=PL!CD$12)*(array_timeline&lt;=PL!CD$11)))))</f>
        <v>#NAME?</v>
      </c>
      <c r="CE240" s="1461" t="e" cm="1">
        <f t="array" ca="1" aca="1" ref="CE240">_xlfn.LET(_xlpm.CheckBlank,SUM(PL!$AD240:$BN240)=0,IF(_xlpm.CheckBlank,"",SUM(_xlfn._xlws.FILTER(PL!$AD240:$BN240,(YEAR(PL!$AD$12:$BN$12)=PL!CE$12)*(array_timeline&lt;=PL!CE$11)))))</f>
        <v>#NAME?</v>
      </c>
      <c r="CF240" s="88"/>
      <c r="CG240" s="1461" t="e" cm="1">
        <f t="array" ca="1" aca="1" ref="CG240">_xlfn.LET(_xlpm.CheckBlank,SUM(PL!$AD240:$BN240)=0,IF(_xlpm.CheckBlank,"",SUM(_xlfn._xlws.FILTER(PL!$AD240:$BN240,(YEAR(PL!$AD$12:$BN$12)=PL!CG$12)*(array_timeline&lt;=PL!CG$11)))))</f>
        <v>#NAME?</v>
      </c>
      <c r="CH240" s="1461" t="e" cm="1">
        <f t="array" ca="1" aca="1" ref="CH240">_xlfn.LET(_xlpm.CheckBlank,SUM(PL!$AD240:$BN240)=0,IF(_xlpm.CheckBlank,"",SUM(_xlfn._xlws.FILTER(PL!$AD240:$BN240,(YEAR(PL!$AD$12:$BN$12)=PL!CH$12)*(array_timeline&lt;=PL!CH$11)))))</f>
        <v>#NAME?</v>
      </c>
      <c r="CI240" s="88"/>
      <c r="CJ240" s="1461" cm="1">
        <f t="array" ref="CJ240">_xlfn.LET(_xlpm.CheckBlank,SUM(PL!$AD240:$BN240)=0,IF(_xlpm.CheckBlank,"",SUM(_xlfn.TAKE(_xlfn.DROP(PL!$AD240:$BN240,,-DATEDIFF(PL!CJ$11,val_asOfDate,"M")),1,-12))))</f>
        <v>12</v>
      </c>
      <c r="CK240" s="1461" cm="1">
        <f t="array" ref="CK240">_xlfn.LET(_xlpm.CheckBlank,SUM(PL!$AD240:$BN240)=0,IF(_xlpm.CheckBlank,"",SUM(_xlfn.TAKE(_xlfn.DROP(PL!$AD240:$BN240,,-DATEDIFF(PL!CK$11,val_asOfDate,"M")),1,-12))))</f>
        <v>12</v>
      </c>
      <c r="CL240" s="88"/>
      <c r="CM240" s="1986" t="e" cm="1">
        <f t="array" ca="1" aca="1" ref="CM240">_xlfn.LET(_xlpm.val,IF($F240="",val_blankRefText,_xldudf_CX_GET(CX_ENTITY,$F240,CM$11,CM$14,,(CM$234))),_xlpm.Res,IF(OR(_xlpm.val="",_xlpm.val="Error"),"",_xlpm.val),_xlpm.Res)</f>
        <v>#NAME?</v>
      </c>
      <c r="CN240" s="1986" t="e" cm="1">
        <f t="array" ca="1" aca="1" ref="CN240">_xlfn.LET(_xlpm.val,IF($F240="",val_blankRefText,_xldudf_CX_GET(CX_ENTITY,$F240,CN$11,CN$14,,(CN$234))),_xlpm.Res,IF(OR(_xlpm.val="",_xlpm.val="Error"),"",_xlpm.val),_xlpm.Res)</f>
        <v>#NAME?</v>
      </c>
      <c r="CO240" s="1169"/>
      <c r="CP240" s="1986" t="e" cm="1">
        <f t="array" ca="1" aca="1" ref="CP240">_xlfn.LET(_xlpm.val,IF($F240="",val_blankRefText,_xldudf_CX_GET(CX_ENTITY,$F240,CP$11,CP$14,,(CP$234))),_xlpm.Res,IF(OR(_xlpm.val="",_xlpm.val="Error"),"",_xlpm.val),_xlpm.Res)</f>
        <v>#NAME?</v>
      </c>
      <c r="CQ240" s="1986" t="e" cm="1">
        <f t="array" ca="1" aca="1" ref="CQ240">_xlfn.LET(_xlpm.val,IF($F240="",val_blankRefText,_xldudf_CX_GET(CX_ENTITY,$F240,CQ$11,CQ$14,,(CQ$234))),_xlpm.Res,IF(OR(_xlpm.val="",_xlpm.val="Error"),"",_xlpm.val),_xlpm.Res)</f>
        <v>#NAME?</v>
      </c>
      <c r="CR240" s="34"/>
    </row>
    <row r="241" spans="1:96" ht="21" customHeight="1" outlineLevel="2">
      <c r="A241" s="1322"/>
      <c r="B241" s="577" t="s">
        <v>192</v>
      </c>
      <c r="C241" s="577" t="s">
        <v>1665</v>
      </c>
      <c r="D241" s="577"/>
      <c r="E241" s="577" t="e" cm="1">
        <f t="array" ca="1" aca="1" ref="E241">_xlfn.LET(_xlpm.Attr,$C241,_xlpm.Lookback,$E$16,_xlpm.QueryDate,EOMONTH(val_asOfDate,_xlpm.Lookback),_xlpm.ReadField,_xldudf_CX_GET(CX_ENTITY,fx_attrConverter($C241),_xlpm.QueryDate),_xlpm.AttrBlank,_xlpm.Attr="",_xlpm.RESULT,IF(_xlpm.AttrBlank,val_blankRefText,fx_attrConverter(_xlpm.ReadField,0)),IF(_xlpm.RESULT="Error","",_xlpm.RESULT))</f>
        <v>#NAME?</v>
      </c>
      <c r="F241" s="577" t="str">
        <f t="shared" si="69"/>
        <v>Segment IV Breakdown - Amount 6</v>
      </c>
      <c r="G241" s="577" t="s">
        <v>1658</v>
      </c>
      <c r="H241" s="585">
        <v>0</v>
      </c>
      <c r="I241" s="3290">
        <v>1</v>
      </c>
      <c r="J241" s="586"/>
      <c r="K241" s="586"/>
      <c r="L241" s="579" t="b">
        <v>0</v>
      </c>
      <c r="N241" s="158"/>
      <c r="O241" s="101"/>
      <c r="P241" s="52"/>
      <c r="Q241" s="101"/>
      <c r="R241" s="101"/>
      <c r="S241" s="2"/>
      <c r="T241" s="2"/>
      <c r="U241" s="39"/>
      <c r="W241" s="91" t="e">
        <f ca="1">W237</f>
        <v>#NAME?</v>
      </c>
      <c r="X241" s="884" t="s">
        <v>62</v>
      </c>
      <c r="Y241" s="1553" t="e" cm="1">
        <f t="array" ca="1" aca="1" ref="Y241">IF($B241="",IFBLANK($E241,"Please select or type in or leave as blank"),IFBLANK($E241,$B241))</f>
        <v>#NAME?</v>
      </c>
      <c r="Z241" s="198" cm="1">
        <f t="array" ref="Z241">_xlfn.SWITCH(TRUE,ISBLANK(_PL!$L241),"",_PL!$L241=TRUE,1,_PL!$L241=FALSE,-1,_PL!$L241=-1,0,"n/a")</f>
        <v>-1</v>
      </c>
      <c r="AA241" s="905"/>
      <c r="AB241" s="591"/>
      <c r="AC241" s="914"/>
      <c r="AD241" s="1986" t="e" cm="1">
        <f t="array" ca="1" aca="1" ref="AD241">_xlfn.LET(_xlpm.val,IF($F241="",val_blankRefText,_xldudf_CX_GET(CX_ENTITY,$F241,AD$11,AD$14,,(AD$234))),_xlpm.Res,IF(OR(_xlpm.val="",_xlpm.val="Error"),"",_xlpm.val),_xlpm.Res)</f>
        <v>#NAME?</v>
      </c>
      <c r="AE241" s="1986" t="e" cm="1">
        <f t="array" ca="1" aca="1" ref="AE241">_xlfn.LET(_xlpm.val,IF($F241="",val_blankRefText,_xldudf_CX_GET(CX_ENTITY,$F241,AE$11,AE$14,,(AE$234))),_xlpm.Res,IF(OR(_xlpm.val="",_xlpm.val="Error"),"",_xlpm.val),_xlpm.Res)</f>
        <v>#NAME?</v>
      </c>
      <c r="AF241" s="1986" t="e" cm="1">
        <f t="array" ca="1" aca="1" ref="AF241">_xlfn.LET(_xlpm.val,IF($F241="",val_blankRefText,_xldudf_CX_GET(CX_ENTITY,$F241,AF$11,AF$14,,(AF$234))),_xlpm.Res,IF(OR(_xlpm.val="",_xlpm.val="Error"),"",_xlpm.val),_xlpm.Res)</f>
        <v>#NAME?</v>
      </c>
      <c r="AG241" s="1986" t="e" cm="1">
        <f t="array" ca="1" aca="1" ref="AG241">_xlfn.LET(_xlpm.val,IF($F241="",val_blankRefText,_xldudf_CX_GET(CX_ENTITY,$F241,AG$11,AG$14,,(AG$234))),_xlpm.Res,IF(OR(_xlpm.val="",_xlpm.val="Error"),"",_xlpm.val),_xlpm.Res)</f>
        <v>#NAME?</v>
      </c>
      <c r="AH241" s="1986" t="e" cm="1">
        <f t="array" ca="1" aca="1" ref="AH241">_xlfn.LET(_xlpm.val,IF($F241="",val_blankRefText,_xldudf_CX_GET(CX_ENTITY,$F241,AH$11,AH$14,,(AH$234))),_xlpm.Res,IF(OR(_xlpm.val="",_xlpm.val="Error"),"",_xlpm.val),_xlpm.Res)</f>
        <v>#NAME?</v>
      </c>
      <c r="AI241" s="1986" t="e" cm="1">
        <f t="array" ca="1" aca="1" ref="AI241">_xlfn.LET(_xlpm.val,IF($F241="",val_blankRefText,_xldudf_CX_GET(CX_ENTITY,$F241,AI$11,AI$14,,(AI$234))),_xlpm.Res,IF(OR(_xlpm.val="",_xlpm.val="Error"),"",_xlpm.val),_xlpm.Res)</f>
        <v>#NAME?</v>
      </c>
      <c r="AJ241" s="1986" t="e" cm="1">
        <f t="array" ca="1" aca="1" ref="AJ241">_xlfn.LET(_xlpm.val,IF($F241="",val_blankRefText,_xldudf_CX_GET(CX_ENTITY,$F241,AJ$11,AJ$14,,(AJ$234))),_xlpm.Res,IF(OR(_xlpm.val="",_xlpm.val="Error"),"",_xlpm.val),_xlpm.Res)</f>
        <v>#NAME?</v>
      </c>
      <c r="AK241" s="1986" t="e" cm="1">
        <f t="array" ca="1" aca="1" ref="AK241">_xlfn.LET(_xlpm.val,IF($F241="",val_blankRefText,_xldudf_CX_GET(CX_ENTITY,$F241,AK$11,AK$14,,(AK$234))),_xlpm.Res,IF(OR(_xlpm.val="",_xlpm.val="Error"),"",_xlpm.val),_xlpm.Res)</f>
        <v>#NAME?</v>
      </c>
      <c r="AL241" s="1986" t="e" cm="1">
        <f t="array" ca="1" aca="1" ref="AL241">_xlfn.LET(_xlpm.val,IF($F241="",val_blankRefText,_xldudf_CX_GET(CX_ENTITY,$F241,AL$11,AL$14,,(AL$234))),_xlpm.Res,IF(OR(_xlpm.val="",_xlpm.val="Error"),"",_xlpm.val),_xlpm.Res)</f>
        <v>#NAME?</v>
      </c>
      <c r="AM241" s="1986" t="e" cm="1">
        <f t="array" ca="1" aca="1" ref="AM241">_xlfn.LET(_xlpm.val,IF($F241="",val_blankRefText,_xldudf_CX_GET(CX_ENTITY,$F241,AM$11,AM$14,,(AM$234))),_xlpm.Res,IF(OR(_xlpm.val="",_xlpm.val="Error"),"",_xlpm.val),_xlpm.Res)</f>
        <v>#NAME?</v>
      </c>
      <c r="AN241" s="1986" t="e" cm="1">
        <f t="array" ca="1" aca="1" ref="AN241">_xlfn.LET(_xlpm.val,IF($F241="",val_blankRefText,_xldudf_CX_GET(CX_ENTITY,$F241,AN$11,AN$14,,(AN$234))),_xlpm.Res,IF(OR(_xlpm.val="",_xlpm.val="Error"),"",_xlpm.val),_xlpm.Res)</f>
        <v>#NAME?</v>
      </c>
      <c r="AO241" s="1986" t="e" cm="1">
        <f t="array" ca="1" aca="1" ref="AO241">_xlfn.LET(_xlpm.val,IF($F241="",val_blankRefText,_xldudf_CX_GET(CX_ENTITY,$F241,AO$11,AO$14,,(AO$234))),_xlpm.Res,IF(OR(_xlpm.val="",_xlpm.val="Error"),"",_xlpm.val),_xlpm.Res)</f>
        <v>#NAME?</v>
      </c>
      <c r="AP241" s="1986" t="e" cm="1">
        <f t="array" ca="1" aca="1" ref="AP241">_xlfn.LET(_xlpm.val,IF($F241="",val_blankRefText,_xldudf_CX_GET(CX_ENTITY,$F241,AP$11,AP$14,,(AP$234))),_xlpm.Res,IF(OR(_xlpm.val="",_xlpm.val="Error"),"",_xlpm.val),_xlpm.Res)</f>
        <v>#NAME?</v>
      </c>
      <c r="AQ241" s="1986" t="e" cm="1">
        <f t="array" ca="1" aca="1" ref="AQ241">_xlfn.LET(_xlpm.val,IF($F241="",val_blankRefText,_xldudf_CX_GET(CX_ENTITY,$F241,AQ$11,AQ$14,,(AQ$234))),_xlpm.Res,IF(OR(_xlpm.val="",_xlpm.val="Error"),"",_xlpm.val),_xlpm.Res)</f>
        <v>#NAME?</v>
      </c>
      <c r="AR241" s="1986" t="e" cm="1">
        <f t="array" ca="1" aca="1" ref="AR241">_xlfn.LET(_xlpm.val,IF($F241="",val_blankRefText,_xldudf_CX_GET(CX_ENTITY,$F241,AR$11,AR$14,,(AR$234))),_xlpm.Res,IF(OR(_xlpm.val="",_xlpm.val="Error"),"",_xlpm.val),_xlpm.Res)</f>
        <v>#NAME?</v>
      </c>
      <c r="AS241" s="1986" t="e" cm="1">
        <f t="array" ca="1" aca="1" ref="AS241">_xlfn.LET(_xlpm.val,IF($F241="",val_blankRefText,_xldudf_CX_GET(CX_ENTITY,$F241,AS$11,AS$14,,(AS$234))),_xlpm.Res,IF(OR(_xlpm.val="",_xlpm.val="Error"),"",_xlpm.val),_xlpm.Res)</f>
        <v>#NAME?</v>
      </c>
      <c r="AT241" s="1986" t="e" cm="1">
        <f t="array" ca="1" aca="1" ref="AT241">_xlfn.LET(_xlpm.val,IF($F241="",val_blankRefText,_xldudf_CX_GET(CX_ENTITY,$F241,AT$11,AT$14,,(AT$234))),_xlpm.Res,IF(OR(_xlpm.val="",_xlpm.val="Error"),"",_xlpm.val),_xlpm.Res)</f>
        <v>#NAME?</v>
      </c>
      <c r="AU241" s="1986" t="e" cm="1">
        <f t="array" ca="1" aca="1" ref="AU241">_xlfn.LET(_xlpm.val,IF($F241="",val_blankRefText,_xldudf_CX_GET(CX_ENTITY,$F241,AU$11,AU$14,,(AU$234))),_xlpm.Res,IF(OR(_xlpm.val="",_xlpm.val="Error"),"",_xlpm.val),_xlpm.Res)</f>
        <v>#NAME?</v>
      </c>
      <c r="AV241" s="1986" t="e" cm="1">
        <f t="array" ca="1" aca="1" ref="AV241">_xlfn.LET(_xlpm.val,IF($F241="",val_blankRefText,_xldudf_CX_GET(CX_ENTITY,$F241,AV$11,AV$14,,(AV$234))),_xlpm.Res,IF(OR(_xlpm.val="",_xlpm.val="Error"),"",_xlpm.val),_xlpm.Res)</f>
        <v>#NAME?</v>
      </c>
      <c r="AW241" s="1986" t="e" cm="1">
        <f t="array" ca="1" aca="1" ref="AW241">_xlfn.LET(_xlpm.val,IF($F241="",val_blankRefText,_xldudf_CX_GET(CX_ENTITY,$F241,AW$11,AW$14,,(AW$234))),_xlpm.Res,IF(OR(_xlpm.val="",_xlpm.val="Error"),"",_xlpm.val),_xlpm.Res)</f>
        <v>#NAME?</v>
      </c>
      <c r="AX241" s="1986" t="e" cm="1">
        <f t="array" ca="1" aca="1" ref="AX241">_xlfn.LET(_xlpm.val,IF($F241="",val_blankRefText,_xldudf_CX_GET(CX_ENTITY,$F241,AX$11,AX$14,,(AX$234))),_xlpm.Res,IF(OR(_xlpm.val="",_xlpm.val="Error"),"",_xlpm.val),_xlpm.Res)</f>
        <v>#NAME?</v>
      </c>
      <c r="AY241" s="1986" t="e" cm="1">
        <f t="array" ca="1" aca="1" ref="AY241">_xlfn.LET(_xlpm.val,IF($F241="",val_blankRefText,_xldudf_CX_GET(CX_ENTITY,$F241,AY$11,AY$14,,(AY$234))),_xlpm.Res,IF(OR(_xlpm.val="",_xlpm.val="Error"),"",_xlpm.val),_xlpm.Res)</f>
        <v>#NAME?</v>
      </c>
      <c r="AZ241" s="1986" t="e" cm="1">
        <f t="array" ca="1" aca="1" ref="AZ241">_xlfn.LET(_xlpm.val,IF($F241="",val_blankRefText,_xldudf_CX_GET(CX_ENTITY,$F241,AZ$11,AZ$14,,(AZ$234))),_xlpm.Res,IF(OR(_xlpm.val="",_xlpm.val="Error"),"",_xlpm.val),_xlpm.Res)</f>
        <v>#NAME?</v>
      </c>
      <c r="BA241" s="1986" t="e" cm="1">
        <f t="array" ca="1" aca="1" ref="BA241">_xlfn.LET(_xlpm.val,IF($F241="",val_blankRefText,_xldudf_CX_GET(CX_ENTITY,$F241,BA$11,BA$14,,(BA$234))),_xlpm.Res,IF(OR(_xlpm.val="",_xlpm.val="Error"),"",_xlpm.val),_xlpm.Res)</f>
        <v>#NAME?</v>
      </c>
      <c r="BB241" s="1986" t="e" cm="1">
        <f t="array" ca="1" aca="1" ref="BB241">_xlfn.LET(_xlpm.val,IF($F241="",val_blankRefText,_xldudf_CX_GET(CX_ENTITY,$F241,BB$11,BB$14,,(BB$234))),_xlpm.Res,IF(OR(_xlpm.val="",_xlpm.val="Error"),"",_xlpm.val),_xlpm.Res)</f>
        <v>#NAME?</v>
      </c>
      <c r="BC241" s="1986" t="e" cm="1">
        <f t="array" ca="1" aca="1" ref="BC241">_xlfn.LET(_xlpm.val,IF($F241="",val_blankRefText,_xldudf_CX_GET(CX_ENTITY,$F241,BC$11,BC$14,,(BC$234))),_xlpm.Res,IF(OR(_xlpm.val="",_xlpm.val="Error"),"",_xlpm.val),_xlpm.Res)</f>
        <v>#NAME?</v>
      </c>
      <c r="BD241" s="1986" t="e" cm="1">
        <f t="array" ca="1" aca="1" ref="BD241">_xlfn.LET(_xlpm.val,IF($F241="",val_blankRefText,_xldudf_CX_GET(CX_ENTITY,$F241,BD$11,BD$14,,(BD$234))),_xlpm.Res,IF(OR(_xlpm.val="",_xlpm.val="Error"),"",_xlpm.val),_xlpm.Res)</f>
        <v>#NAME?</v>
      </c>
      <c r="BE241" s="1986" t="e" cm="1">
        <f t="array" ca="1" aca="1" ref="BE241">_xlfn.LET(_xlpm.val,IF($F241="",val_blankRefText,_xldudf_CX_GET(CX_ENTITY,$F241,BE$11,BE$14,,(BE$234))),_xlpm.Res,IF(OR(_xlpm.val="",_xlpm.val="Error"),"",_xlpm.val),_xlpm.Res)</f>
        <v>#NAME?</v>
      </c>
      <c r="BF241" s="1986" t="e" cm="1">
        <f t="array" ca="1" aca="1" ref="BF241">_xlfn.LET(_xlpm.val,IF($F241="",val_blankRefText,_xldudf_CX_GET(CX_ENTITY,$F241,BF$11,BF$14,,(BF$234))),_xlpm.Res,IF(OR(_xlpm.val="",_xlpm.val="Error"),"",_xlpm.val),_xlpm.Res)</f>
        <v>#NAME?</v>
      </c>
      <c r="BG241" s="1986" t="e" cm="1">
        <f t="array" ca="1" aca="1" ref="BG241">_xlfn.LET(_xlpm.val,IF($F241="",val_blankRefText,_xldudf_CX_GET(CX_ENTITY,$F241,BG$11,BG$14,,(BG$234))),_xlpm.Res,IF(OR(_xlpm.val="",_xlpm.val="Error"),"",_xlpm.val),_xlpm.Res)</f>
        <v>#NAME?</v>
      </c>
      <c r="BH241" s="1986" t="e" cm="1">
        <f t="array" ca="1" aca="1" ref="BH241">_xlfn.LET(_xlpm.val,IF($F241="",val_blankRefText,_xldudf_CX_GET(CX_ENTITY,$F241,BH$11,BH$14,,(BH$234))),_xlpm.Res,IF(OR(_xlpm.val="",_xlpm.val="Error"),"",_xlpm.val),_xlpm.Res)</f>
        <v>#NAME?</v>
      </c>
      <c r="BI241" s="1986" t="e" cm="1">
        <f t="array" ca="1" aca="1" ref="BI241">_xlfn.LET(_xlpm.val,IF($F241="",val_blankRefText,_xldudf_CX_GET(CX_ENTITY,$F241,BI$11,BI$14,,(BI$234))),_xlpm.Res,IF(OR(_xlpm.val="",_xlpm.val="Error"),"",_xlpm.val),_xlpm.Res)</f>
        <v>#NAME?</v>
      </c>
      <c r="BJ241" s="1986" t="e" cm="1">
        <f t="array" ca="1" aca="1" ref="BJ241">_xlfn.LET(_xlpm.val,IF($F241="",val_blankRefText,_xldudf_CX_GET(CX_ENTITY,$F241,BJ$11,BJ$14,,(BJ$234))),_xlpm.Res,IF(OR(_xlpm.val="",_xlpm.val="Error"),"",_xlpm.val),_xlpm.Res)</f>
        <v>#NAME?</v>
      </c>
      <c r="BK241" s="1986" t="e" cm="1">
        <f t="array" ca="1" aca="1" ref="BK241">_xlfn.LET(_xlpm.val,IF($F241="",val_blankRefText,_xldudf_CX_GET(CX_ENTITY,$F241,BK$11,BK$14,,(BK$234))),_xlpm.Res,IF(OR(_xlpm.val="",_xlpm.val="Error"),"",_xlpm.val),_xlpm.Res)</f>
        <v>#NAME?</v>
      </c>
      <c r="BL241" s="1986" t="e" cm="1">
        <f t="array" ca="1" aca="1" ref="BL241">_xlfn.LET(_xlpm.val,IF($F241="",val_blankRefText,_xldudf_CX_GET(CX_ENTITY,$F241,BL$11,BL$14,,(BL$234))),_xlpm.Res,IF(OR(_xlpm.val="",_xlpm.val="Error"),"",_xlpm.val),_xlpm.Res)</f>
        <v>#NAME?</v>
      </c>
      <c r="BM241" s="1986" t="e" cm="1">
        <f t="array" ca="1" aca="1" ref="BM241">_xlfn.LET(_xlpm.val,IF($F241="",val_blankRefText,_xldudf_CX_GET(CX_ENTITY,$F241,BM$11,BM$14,,(BM$234))),_xlpm.Res,IF(OR(_xlpm.val="",_xlpm.val="Error"),"",_xlpm.val),_xlpm.Res)</f>
        <v>#NAME?</v>
      </c>
      <c r="BN241" s="1986" t="e" cm="1">
        <f t="array" ca="1" aca="1" ref="BN241">_xlfn.LET(_xlpm.val,IF($F241="",val_blankRefText,_xldudf_CX_GET(CX_ENTITY,$F241,BN$11,BN$14,,(BN$234))),_xlpm.Res,IF(OR(_xlpm.val="",_xlpm.val="Error"),"",_xlpm.val),_xlpm.Res)</f>
        <v>#NAME?</v>
      </c>
      <c r="BO241" s="2103"/>
      <c r="BP241" s="2103"/>
      <c r="BQ241" s="2103"/>
      <c r="BR241" s="2103"/>
      <c r="BS241" s="2103"/>
      <c r="BT241" s="2103"/>
      <c r="BU241" s="2103"/>
      <c r="BV241" s="2103"/>
      <c r="BW241" s="2103"/>
      <c r="BX241" s="2103"/>
      <c r="BY241" s="2103"/>
      <c r="BZ241" s="2103"/>
      <c r="CA241" s="34"/>
      <c r="CC241" s="58"/>
      <c r="CD241" s="1461" t="e" cm="1">
        <f t="array" ca="1" aca="1" ref="CD241">_xlfn.LET(_xlpm.CheckBlank,SUM(PL!$AD241:$BN241)=0,IF(_xlpm.CheckBlank,"",SUM(_xlfn._xlws.FILTER(PL!$AD241:$BN241,(YEAR(PL!$AD$12:$BN$12)=PL!CD$12)*(array_timeline&lt;=PL!CD$11)))))</f>
        <v>#NAME?</v>
      </c>
      <c r="CE241" s="1461" t="e" cm="1">
        <f t="array" ca="1" aca="1" ref="CE241">_xlfn.LET(_xlpm.CheckBlank,SUM(PL!$AD241:$BN241)=0,IF(_xlpm.CheckBlank,"",SUM(_xlfn._xlws.FILTER(PL!$AD241:$BN241,(YEAR(PL!$AD$12:$BN$12)=PL!CE$12)*(array_timeline&lt;=PL!CE$11)))))</f>
        <v>#NAME?</v>
      </c>
      <c r="CF241" s="88"/>
      <c r="CG241" s="1461" t="e" cm="1">
        <f t="array" ca="1" aca="1" ref="CG241">_xlfn.LET(_xlpm.CheckBlank,SUM(PL!$AD241:$BN241)=0,IF(_xlpm.CheckBlank,"",SUM(_xlfn._xlws.FILTER(PL!$AD241:$BN241,(YEAR(PL!$AD$12:$BN$12)=PL!CG$12)*(array_timeline&lt;=PL!CG$11)))))</f>
        <v>#NAME?</v>
      </c>
      <c r="CH241" s="1461" t="e" cm="1">
        <f t="array" ca="1" aca="1" ref="CH241">_xlfn.LET(_xlpm.CheckBlank,SUM(PL!$AD241:$BN241)=0,IF(_xlpm.CheckBlank,"",SUM(_xlfn._xlws.FILTER(PL!$AD241:$BN241,(YEAR(PL!$AD$12:$BN$12)=PL!CH$12)*(array_timeline&lt;=PL!CH$11)))))</f>
        <v>#NAME?</v>
      </c>
      <c r="CI241" s="88"/>
      <c r="CJ241" s="1461" cm="1">
        <f t="array" ref="CJ241">_xlfn.LET(_xlpm.CheckBlank,SUM(PL!$AD241:$BN241)=0,IF(_xlpm.CheckBlank,"",SUM(_xlfn.TAKE(_xlfn.DROP(PL!$AD241:$BN241,,-DATEDIFF(PL!CJ$11,val_asOfDate,"M")),1,-12))))</f>
        <v>12</v>
      </c>
      <c r="CK241" s="1461" cm="1">
        <f t="array" ref="CK241">_xlfn.LET(_xlpm.CheckBlank,SUM(PL!$AD241:$BN241)=0,IF(_xlpm.CheckBlank,"",SUM(_xlfn.TAKE(_xlfn.DROP(PL!$AD241:$BN241,,-DATEDIFF(PL!CK$11,val_asOfDate,"M")),1,-12))))</f>
        <v>12</v>
      </c>
      <c r="CL241" s="88"/>
      <c r="CM241" s="1986" t="e" cm="1">
        <f t="array" ca="1" aca="1" ref="CM241">_xlfn.LET(_xlpm.val,IF($F241="",val_blankRefText,_xldudf_CX_GET(CX_ENTITY,$F241,CM$11,CM$14,,(CM$234))),_xlpm.Res,IF(OR(_xlpm.val="",_xlpm.val="Error"),"",_xlpm.val),_xlpm.Res)</f>
        <v>#NAME?</v>
      </c>
      <c r="CN241" s="1986" t="e" cm="1">
        <f t="array" ca="1" aca="1" ref="CN241">_xlfn.LET(_xlpm.val,IF($F241="",val_blankRefText,_xldudf_CX_GET(CX_ENTITY,$F241,CN$11,CN$14,,(CN$234))),_xlpm.Res,IF(OR(_xlpm.val="",_xlpm.val="Error"),"",_xlpm.val),_xlpm.Res)</f>
        <v>#NAME?</v>
      </c>
      <c r="CO241" s="1169"/>
      <c r="CP241" s="1986" t="e" cm="1">
        <f t="array" ca="1" aca="1" ref="CP241">_xlfn.LET(_xlpm.val,IF($F241="",val_blankRefText,_xldudf_CX_GET(CX_ENTITY,$F241,CP$11,CP$14,,(CP$234))),_xlpm.Res,IF(OR(_xlpm.val="",_xlpm.val="Error"),"",_xlpm.val),_xlpm.Res)</f>
        <v>#NAME?</v>
      </c>
      <c r="CQ241" s="1986" t="e" cm="1">
        <f t="array" ca="1" aca="1" ref="CQ241">_xlfn.LET(_xlpm.val,IF($F241="",val_blankRefText,_xldudf_CX_GET(CX_ENTITY,$F241,CQ$11,CQ$14,,(CQ$234))),_xlpm.Res,IF(OR(_xlpm.val="",_xlpm.val="Error"),"",_xlpm.val),_xlpm.Res)</f>
        <v>#NAME?</v>
      </c>
      <c r="CR241" s="34"/>
    </row>
    <row r="242" spans="1:96" ht="21" customHeight="1" outlineLevel="2">
      <c r="A242" s="1322"/>
      <c r="B242" s="1328"/>
      <c r="C242" s="1328"/>
      <c r="D242" s="1328"/>
      <c r="E242" s="1328"/>
      <c r="F242" s="1328">
        <f t="shared" si="69"/>
        <v>0</v>
      </c>
      <c r="G242" s="1328" t="s">
        <v>1658</v>
      </c>
      <c r="H242" s="3281">
        <v>2</v>
      </c>
      <c r="I242" s="3281">
        <v>1</v>
      </c>
      <c r="J242" s="1334"/>
      <c r="K242" s="1334"/>
      <c r="L242" s="1336">
        <v>-1</v>
      </c>
      <c r="N242" s="158"/>
      <c r="O242" s="101"/>
      <c r="P242" s="52"/>
      <c r="Q242" s="101"/>
      <c r="R242" s="101"/>
      <c r="S242" s="2"/>
      <c r="T242" s="2"/>
      <c r="U242" s="39"/>
      <c r="W242" s="268" t="e">
        <f ca="1">W235</f>
        <v>#NAME?</v>
      </c>
      <c r="X242" s="893">
        <v>0</v>
      </c>
      <c r="Y242" s="270" t="s">
        <v>167</v>
      </c>
      <c r="Z242" s="538"/>
      <c r="AA242" s="906"/>
      <c r="AB242" s="280" t="s">
        <v>1638</v>
      </c>
      <c r="AC242" s="1165"/>
      <c r="AD242" s="1140" t="str" cm="1">
        <f t="array" ca="1" aca="1" ref="AD242:BN242">IFERROR(_xlfn.BYCOL(_xlfn.VSTACK(_xlfn.ANCHORARRAY(AD235),AD236:BN241),_xleta.SUM),"")</f>
        <v/>
      </c>
      <c r="AE242" s="1140" t="str">
        <f ca="1"/>
        <v/>
      </c>
      <c r="AF242" s="1171" t="str">
        <f ca="1"/>
        <v/>
      </c>
      <c r="AG242" s="1171" t="str">
        <f ca="1"/>
        <v/>
      </c>
      <c r="AH242" s="1171" t="str">
        <f ca="1"/>
        <v/>
      </c>
      <c r="AI242" s="1171" t="str">
        <f ca="1"/>
        <v/>
      </c>
      <c r="AJ242" s="1171" t="str">
        <f ca="1"/>
        <v/>
      </c>
      <c r="AK242" s="1171" t="str">
        <f ca="1"/>
        <v/>
      </c>
      <c r="AL242" s="1171" t="str">
        <f ca="1"/>
        <v/>
      </c>
      <c r="AM242" s="1171" t="str">
        <f ca="1"/>
        <v/>
      </c>
      <c r="AN242" s="1171" t="str">
        <f ca="1"/>
        <v/>
      </c>
      <c r="AO242" s="1171" t="str">
        <f ca="1"/>
        <v/>
      </c>
      <c r="AP242" s="1171" t="str">
        <f ca="1"/>
        <v/>
      </c>
      <c r="AQ242" s="1171" t="str">
        <f ca="1"/>
        <v/>
      </c>
      <c r="AR242" s="1171" t="str">
        <f ca="1"/>
        <v/>
      </c>
      <c r="AS242" s="1171" t="str">
        <f ca="1"/>
        <v/>
      </c>
      <c r="AT242" s="1171" t="str">
        <f ca="1"/>
        <v/>
      </c>
      <c r="AU242" s="1171" t="str">
        <f ca="1"/>
        <v/>
      </c>
      <c r="AV242" s="1171" t="str">
        <f ca="1"/>
        <v/>
      </c>
      <c r="AW242" s="1171" t="str">
        <f ca="1"/>
        <v/>
      </c>
      <c r="AX242" s="1171" t="str">
        <f ca="1"/>
        <v/>
      </c>
      <c r="AY242" s="1171" t="str">
        <f ca="1"/>
        <v/>
      </c>
      <c r="AZ242" s="1171" t="str">
        <f ca="1"/>
        <v/>
      </c>
      <c r="BA242" s="1171" t="str">
        <f ca="1"/>
        <v/>
      </c>
      <c r="BB242" s="1171" t="str">
        <f ca="1"/>
        <v/>
      </c>
      <c r="BC242" s="1171" t="str">
        <f ca="1"/>
        <v/>
      </c>
      <c r="BD242" s="1171" t="str">
        <f ca="1"/>
        <v/>
      </c>
      <c r="BE242" s="1171" t="str">
        <f ca="1"/>
        <v/>
      </c>
      <c r="BF242" s="1171" t="str">
        <f ca="1"/>
        <v/>
      </c>
      <c r="BG242" s="1171" t="str">
        <f ca="1"/>
        <v/>
      </c>
      <c r="BH242" s="1171" t="str">
        <f ca="1"/>
        <v/>
      </c>
      <c r="BI242" s="1171" t="str">
        <f ca="1"/>
        <v/>
      </c>
      <c r="BJ242" s="1171" t="str">
        <f ca="1"/>
        <v/>
      </c>
      <c r="BK242" s="1171" t="str">
        <f ca="1"/>
        <v/>
      </c>
      <c r="BL242" s="1171" t="str">
        <f ca="1"/>
        <v/>
      </c>
      <c r="BM242" s="1171" t="str">
        <f ca="1"/>
        <v/>
      </c>
      <c r="BN242" s="1171" t="str">
        <f ca="1"/>
        <v/>
      </c>
      <c r="BO242" s="2109"/>
      <c r="BP242" s="2109"/>
      <c r="BQ242" s="2109"/>
      <c r="BR242" s="2109"/>
      <c r="BS242" s="2109"/>
      <c r="BT242" s="2109"/>
      <c r="BU242" s="2109"/>
      <c r="BV242" s="2109"/>
      <c r="BW242" s="2109"/>
      <c r="BX242" s="2109"/>
      <c r="BY242" s="2109"/>
      <c r="BZ242" s="2109"/>
      <c r="CA242" s="34"/>
      <c r="CC242" s="58"/>
      <c r="CD242" s="1461" t="str">
        <f ca="1">IF(ISNUMBER(CD235),IF(ABS(SUM(CD236:CD241)-CD235)&lt;0.2,0,1),"")</f>
        <v/>
      </c>
      <c r="CE242" s="1461" t="str">
        <f ca="1">IF(ISNUMBER(CE235),IF(ABS(SUM(CE236:CE241)-CE235)&lt;0.2,0,1),"")</f>
        <v/>
      </c>
      <c r="CF242" s="88"/>
      <c r="CG242" s="1461" t="str">
        <f ca="1">IF(ISNUMBER(CG235),IF(ABS(SUM(CG236:CG241)-CG235)&lt;0.2,0,1),"")</f>
        <v/>
      </c>
      <c r="CH242" s="1461" t="str">
        <f ca="1">IF(ISNUMBER(CH235),IF(ABS(SUM(CH236:CH241)-CH235)&lt;0.2,0,1),"")</f>
        <v/>
      </c>
      <c r="CI242" s="88"/>
      <c r="CJ242" s="1461" t="str">
        <f ca="1">IF(ISNUMBER(CJ235),IF(ABS(SUM(CJ236:CJ241)-CJ235)&lt;0.2,0,1),"")</f>
        <v/>
      </c>
      <c r="CK242" s="1461" t="str">
        <f ca="1">IF(ISNUMBER(CK235),IF(ABS(SUM(CK236:CK241)-CK235)&lt;0.2,0,1),"")</f>
        <v/>
      </c>
      <c r="CL242" s="88"/>
      <c r="CM242" s="1142" t="str">
        <f ca="1">IF(ISNUMBER(CM235),IF(ABS(SUM(CM236:CM241)-CM235)&lt;0.2,0,1),"")</f>
        <v/>
      </c>
      <c r="CN242" s="1142" t="str">
        <f>IF(ISNUMBER(CN235),IF(ABS(SUM(CN236:CN241)-CN235)&lt;0.2,0,1),"")</f>
        <v/>
      </c>
      <c r="CO242" s="88"/>
      <c r="CP242" s="1142" t="str">
        <f ca="1">IF(ISNUMBER(CP235),IF(ABS(SUM(CP236:CP241)-CP235)&lt;0.2,0,1),"")</f>
        <v/>
      </c>
      <c r="CQ242" s="1142" t="str">
        <f>IF(ISNUMBER(CQ235),IF(ABS(SUM(CQ236:CQ241)-CQ235)&lt;0.2,0,1),"")</f>
        <v/>
      </c>
      <c r="CR242" s="34"/>
    </row>
    <row r="243" spans="1:107" ht="21" customHeight="1" outlineLevel="1">
      <c r="A243" s="1627"/>
      <c r="B243" s="695"/>
      <c r="C243" s="695"/>
      <c r="D243" s="1548"/>
      <c r="E243" s="1902"/>
      <c r="F243" s="401"/>
      <c r="G243" s="401"/>
      <c r="H243" s="585"/>
      <c r="I243" s="585"/>
      <c r="J243" s="401"/>
      <c r="K243" s="578"/>
      <c r="N243" s="158"/>
      <c r="O243" s="101"/>
      <c r="P243" s="52"/>
      <c r="Q243" s="101"/>
      <c r="R243" s="101"/>
      <c r="S243" s="101"/>
      <c r="T243" s="101"/>
      <c r="U243" s="39"/>
      <c r="V243" s="37"/>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4"/>
      <c r="CC243" s="58"/>
      <c r="CD243" s="3"/>
      <c r="CE243" s="3"/>
      <c r="CF243" s="3"/>
      <c r="CG243" s="3"/>
      <c r="CH243" s="3"/>
      <c r="CI243" s="3"/>
      <c r="CJ243" s="3"/>
      <c r="CK243" s="3"/>
      <c r="CL243" s="3"/>
      <c r="CM243" s="3"/>
      <c r="CN243" s="3"/>
      <c r="CO243" s="3"/>
      <c r="CP243" s="3"/>
      <c r="CQ243" s="3"/>
      <c r="CR243" s="34"/>
      <c r="CX243" s="115"/>
      <c r="CY243" s="1880"/>
      <c r="CZ243" s="1880"/>
      <c r="DA243" s="1880"/>
      <c r="DB243" s="1880"/>
      <c r="DC243" s="2121"/>
    </row>
    <row r="244" spans="1:107" ht="21" customHeight="1" outlineLevel="1">
      <c r="A244" s="1627"/>
      <c r="B244" s="695"/>
      <c r="C244" s="695"/>
      <c r="D244" s="1548"/>
      <c r="E244" s="1902"/>
      <c r="F244" s="401"/>
      <c r="G244" s="401"/>
      <c r="H244" s="585"/>
      <c r="I244" s="585"/>
      <c r="J244" s="401"/>
      <c r="K244" s="578"/>
      <c r="N244" s="158"/>
      <c r="O244" s="101"/>
      <c r="P244" s="52"/>
      <c r="Q244" s="101"/>
      <c r="R244" s="101"/>
      <c r="S244" s="101"/>
      <c r="T244" s="101"/>
      <c r="U244" s="39"/>
      <c r="V244" s="37"/>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4"/>
      <c r="CC244" s="58"/>
      <c r="CD244" s="3"/>
      <c r="CE244" s="3"/>
      <c r="CF244" s="3"/>
      <c r="CG244" s="3"/>
      <c r="CH244" s="3"/>
      <c r="CI244" s="3"/>
      <c r="CJ244" s="3"/>
      <c r="CK244" s="3"/>
      <c r="CL244" s="3"/>
      <c r="CM244" s="3"/>
      <c r="CN244" s="3"/>
      <c r="CO244" s="3"/>
      <c r="CP244" s="3"/>
      <c r="CQ244" s="3"/>
      <c r="CR244" s="34"/>
      <c r="CX244" s="115"/>
      <c r="CY244" s="1880"/>
      <c r="CZ244" s="1880"/>
      <c r="DA244" s="1880"/>
      <c r="DB244" s="1880"/>
      <c r="DC244" s="2121"/>
    </row>
    <row r="245" spans="1:146" ht="25">
      <c r="A245" s="1625"/>
      <c r="B245" s="2083"/>
      <c r="C245" s="2083"/>
      <c r="D245" s="1548"/>
      <c r="E245" s="1244"/>
      <c r="F245" s="578"/>
      <c r="G245" s="578"/>
      <c r="H245" s="510"/>
      <c r="I245" s="510"/>
      <c r="J245" s="401"/>
      <c r="K245" s="578"/>
      <c r="N245" s="158" t="s">
        <v>193</v>
      </c>
      <c r="O245" s="101"/>
      <c r="P245" s="52"/>
      <c r="Q245" s="101"/>
      <c r="R245" s="101"/>
      <c r="S245" s="101"/>
      <c r="T245" s="101"/>
      <c r="U245" s="39"/>
      <c r="V245" s="37"/>
      <c r="W245" s="2133"/>
      <c r="X245" s="887"/>
      <c r="Y245" s="2172" t="s">
        <v>194</v>
      </c>
      <c r="Z245" s="795"/>
      <c r="AA245" s="97"/>
      <c r="AB245" s="97"/>
      <c r="AC245" s="128"/>
      <c r="AD245" s="796"/>
      <c r="AE245" s="796"/>
      <c r="AF245" s="796"/>
      <c r="AG245" s="796"/>
      <c r="AH245" s="796"/>
      <c r="AI245" s="796"/>
      <c r="AJ245" s="796"/>
      <c r="AK245" s="796"/>
      <c r="AL245" s="796"/>
      <c r="AM245" s="796"/>
      <c r="AN245" s="796"/>
      <c r="AO245" s="796"/>
      <c r="AP245" s="796"/>
      <c r="AQ245" s="796"/>
      <c r="AR245" s="796"/>
      <c r="AS245" s="796"/>
      <c r="AT245" s="796"/>
      <c r="AU245" s="796"/>
      <c r="AV245" s="796"/>
      <c r="AW245" s="796"/>
      <c r="AX245" s="796"/>
      <c r="AY245" s="796"/>
      <c r="AZ245" s="796"/>
      <c r="BA245" s="796"/>
      <c r="BB245" s="796"/>
      <c r="BC245" s="796"/>
      <c r="BD245" s="796"/>
      <c r="BE245" s="796"/>
      <c r="BF245" s="796"/>
      <c r="BG245" s="796"/>
      <c r="BH245" s="796"/>
      <c r="BI245" s="796"/>
      <c r="BJ245" s="796"/>
      <c r="BK245" s="796"/>
      <c r="BL245" s="796"/>
      <c r="BM245" s="796"/>
      <c r="BN245" s="796"/>
      <c r="BO245" s="796"/>
      <c r="BP245" s="796"/>
      <c r="BQ245" s="796"/>
      <c r="BR245" s="796"/>
      <c r="BS245" s="796"/>
      <c r="BT245" s="796"/>
      <c r="BU245" s="796"/>
      <c r="BV245" s="796"/>
      <c r="BW245" s="796"/>
      <c r="BX245" s="796"/>
      <c r="BY245" s="796"/>
      <c r="BZ245" s="796"/>
      <c r="CA245" s="34"/>
      <c r="CC245" s="797"/>
      <c r="CD245" s="2311" t="s">
        <v>41</v>
      </c>
      <c r="CE245" s="2312"/>
      <c r="CF245" s="1472"/>
      <c r="CG245" s="2313" t="s">
        <v>109</v>
      </c>
      <c r="CH245" s="2314"/>
      <c r="CI245" s="1473"/>
      <c r="CJ245" s="2307" t="s">
        <v>43</v>
      </c>
      <c r="CK245" s="2308"/>
      <c r="CL245" s="1473"/>
      <c r="CM245" s="2309" t="s">
        <v>44</v>
      </c>
      <c r="CN245" s="2310"/>
      <c r="CO245" s="1470"/>
      <c r="CP245" s="2309" t="s">
        <v>45</v>
      </c>
      <c r="CQ245" s="2310"/>
      <c r="CR245" s="34"/>
      <c r="CS245" s="2056"/>
      <c r="CT245" s="1880"/>
      <c r="CU245" s="1880"/>
      <c r="CV245" s="1880"/>
      <c r="CW245" s="1880"/>
      <c r="CX245" s="2121"/>
      <c r="CY245" s="1880"/>
      <c r="CZ245" s="1880"/>
      <c r="DA245" s="1880"/>
      <c r="DB245" s="1880"/>
      <c r="DC245" s="2121"/>
      <c r="DD245" s="1880"/>
      <c r="DE245" s="1880"/>
      <c r="DF245" s="1880"/>
      <c r="DG245" s="1880"/>
      <c r="DH245" s="1880"/>
      <c r="DI245" s="1880"/>
      <c r="DJ245" s="1880"/>
      <c r="DK245" s="1880"/>
      <c r="DL245" s="1880"/>
      <c r="DM245" s="1880"/>
      <c r="DN245" s="1880"/>
      <c r="DO245" s="1880"/>
      <c r="DP245" s="1880"/>
      <c r="DQ245" s="1880"/>
      <c r="DR245" s="1880"/>
      <c r="DS245" s="1880"/>
      <c r="DT245" s="1880"/>
      <c r="DU245" s="1880"/>
      <c r="DV245" s="1880"/>
      <c r="DW245" s="1880"/>
      <c r="DX245" s="1880"/>
      <c r="DY245" s="1880"/>
      <c r="DZ245" s="1880"/>
      <c r="EA245" s="1880"/>
      <c r="EB245" s="1880"/>
      <c r="EC245" s="1880"/>
      <c r="ED245" s="1880"/>
      <c r="EE245" s="1880"/>
      <c r="EF245" s="1880"/>
      <c r="EG245" s="1880"/>
      <c r="EH245" s="1880"/>
      <c r="EI245" s="1880"/>
      <c r="EJ245" s="1880"/>
      <c r="EK245" s="1880"/>
      <c r="EL245" s="1880"/>
      <c r="EM245" s="1880"/>
      <c r="EN245" s="1880"/>
      <c r="EO245" s="1880"/>
      <c r="EP245" s="1880"/>
    </row>
    <row r="246" spans="1:144" s="108" customFormat="1" ht="18">
      <c r="A246" s="1628"/>
      <c r="B246" s="811"/>
      <c r="C246" s="811"/>
      <c r="D246" s="1548"/>
      <c r="E246" s="1903"/>
      <c r="F246" s="401"/>
      <c r="G246" s="401"/>
      <c r="H246" s="585"/>
      <c r="I246" s="585"/>
      <c r="J246" s="586"/>
      <c r="K246" s="401"/>
      <c r="L246"/>
      <c r="M246"/>
      <c r="N246" s="158"/>
      <c r="O246" s="101"/>
      <c r="P246" s="101"/>
      <c r="Q246" s="101"/>
      <c r="R246" s="101"/>
      <c r="S246" s="101"/>
      <c r="T246" s="101"/>
      <c r="U246" s="101"/>
      <c r="W246" s="2070"/>
      <c r="X246" s="887"/>
      <c r="Y246" s="324"/>
      <c r="Z246" s="795"/>
      <c r="AA246" s="97"/>
      <c r="AB246" s="97"/>
      <c r="AC246" s="128"/>
      <c r="AD246" s="796"/>
      <c r="AE246" s="796"/>
      <c r="AF246" s="796"/>
      <c r="AG246" s="796"/>
      <c r="AH246" s="796"/>
      <c r="AI246" s="796"/>
      <c r="AJ246" s="796"/>
      <c r="AK246" s="796"/>
      <c r="AL246" s="796"/>
      <c r="AM246" s="796"/>
      <c r="AN246" s="796"/>
      <c r="AO246" s="796"/>
      <c r="AP246" s="796"/>
      <c r="AQ246" s="796"/>
      <c r="AR246" s="796"/>
      <c r="AS246" s="796"/>
      <c r="AT246" s="796"/>
      <c r="AU246" s="796"/>
      <c r="AV246" s="796"/>
      <c r="AW246" s="796"/>
      <c r="AX246" s="796"/>
      <c r="AY246" s="796"/>
      <c r="AZ246" s="796"/>
      <c r="BA246" s="796"/>
      <c r="BB246" s="796"/>
      <c r="BC246" s="796"/>
      <c r="BD246" s="796"/>
      <c r="BE246" s="796"/>
      <c r="BF246" s="796"/>
      <c r="BG246" s="796"/>
      <c r="BH246" s="796"/>
      <c r="BI246" s="796"/>
      <c r="BJ246" s="796"/>
      <c r="BK246" s="796"/>
      <c r="BL246" s="796"/>
      <c r="BM246" s="796"/>
      <c r="BN246" s="796"/>
      <c r="BO246" s="796"/>
      <c r="BP246" s="796"/>
      <c r="BQ246" s="796"/>
      <c r="BR246" s="796"/>
      <c r="BS246" s="796"/>
      <c r="BT246" s="796"/>
      <c r="BU246" s="796"/>
      <c r="BV246" s="796"/>
      <c r="BW246" s="796"/>
      <c r="BX246" s="796"/>
      <c r="BY246" s="796"/>
      <c r="BZ246" s="796"/>
      <c r="CA246" s="88"/>
      <c r="CC246" s="2071"/>
      <c r="CD246" s="1343" t="e" cm="1">
        <f t="array" ca="1" aca="1" ref="CD246">YEAR(val_currentFYE)-2</f>
        <v>#NAME?</v>
      </c>
      <c r="CE246" s="1344" t="e" cm="1">
        <f t="array" ca="1" aca="1" ref="CE246">YEAR(val_currentFYE)-1</f>
        <v>#NAME?</v>
      </c>
      <c r="CF246" s="128"/>
      <c r="CG246" s="205" t="e" cm="1">
        <f t="array" ca="1" aca="1" ref="CG246">YEAR(val_currentFYE)</f>
        <v>#NAME?</v>
      </c>
      <c r="CH246" s="206" t="e" cm="1">
        <f t="array" ca="1" aca="1" ref="CH246">YEAR(val_currentFYE)</f>
        <v>#NAME?</v>
      </c>
      <c r="CI246" s="207"/>
      <c r="CJ246" s="208" t="s">
        <v>54</v>
      </c>
      <c r="CK246" s="209" t="s">
        <v>54</v>
      </c>
      <c r="CL246" s="88"/>
      <c r="CM246" s="1200" t="e" cm="1">
        <f t="array" ca="1" aca="1" ref="CM246">YEAR(val_currentFYE)</f>
        <v>#NAME?</v>
      </c>
      <c r="CN246" s="1340" t="e" cm="1">
        <f t="array" ca="1" aca="1" ref="CN246">YEAR(val_currentFYE)</f>
        <v>#NAME?</v>
      </c>
      <c r="CO246" s="88"/>
      <c r="CP246" s="1200" t="e" cm="1">
        <f t="array" ca="1" aca="1" ref="CP246">YEAR(val_currentFYE)+1</f>
        <v>#NAME?</v>
      </c>
      <c r="CQ246" s="1340" t="e" cm="1">
        <f t="array" ca="1" aca="1" ref="CQ246">YEAR(val_currentFYE)+1</f>
        <v>#NAME?</v>
      </c>
      <c r="CR246" s="88"/>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row>
    <row r="247" spans="1:144" s="108" customFormat="1" ht="18">
      <c r="A247" s="1628"/>
      <c r="B247" s="811"/>
      <c r="C247" s="811"/>
      <c r="D247" s="1548"/>
      <c r="E247" s="1903"/>
      <c r="F247" s="401"/>
      <c r="G247" s="401"/>
      <c r="H247" s="585"/>
      <c r="I247" s="585"/>
      <c r="J247" s="586"/>
      <c r="K247" s="401"/>
      <c r="L247"/>
      <c r="M247"/>
      <c r="N247" s="158"/>
      <c r="O247" s="101"/>
      <c r="P247" s="101"/>
      <c r="Q247" s="101"/>
      <c r="R247" s="101"/>
      <c r="S247" s="101"/>
      <c r="T247" s="101"/>
      <c r="U247" s="101"/>
      <c r="W247" s="2070"/>
      <c r="X247" s="887"/>
      <c r="Y247" s="324"/>
      <c r="Z247" s="795"/>
      <c r="AA247" s="97"/>
      <c r="AB247" s="97"/>
      <c r="AC247" s="128"/>
      <c r="AD247" s="796"/>
      <c r="AE247" s="796"/>
      <c r="AF247" s="796"/>
      <c r="AG247" s="796"/>
      <c r="AH247" s="796"/>
      <c r="AI247" s="796"/>
      <c r="AJ247" s="796"/>
      <c r="AK247" s="796"/>
      <c r="AL247" s="796"/>
      <c r="AM247" s="796"/>
      <c r="AN247" s="796"/>
      <c r="AO247" s="796"/>
      <c r="AP247" s="796"/>
      <c r="AQ247" s="796"/>
      <c r="AR247" s="796"/>
      <c r="AS247" s="796"/>
      <c r="AT247" s="796"/>
      <c r="AU247" s="796"/>
      <c r="AV247" s="796"/>
      <c r="AW247" s="796"/>
      <c r="AX247" s="796"/>
      <c r="AY247" s="796"/>
      <c r="AZ247" s="796"/>
      <c r="BA247" s="796"/>
      <c r="BB247" s="796"/>
      <c r="BC247" s="796"/>
      <c r="BD247" s="796"/>
      <c r="BE247" s="796"/>
      <c r="BF247" s="796"/>
      <c r="BG247" s="796"/>
      <c r="BH247" s="796"/>
      <c r="BI247" s="796"/>
      <c r="BJ247" s="796"/>
      <c r="BK247" s="796"/>
      <c r="BL247" s="796"/>
      <c r="BM247" s="796"/>
      <c r="BN247" s="796"/>
      <c r="BO247" s="796"/>
      <c r="BP247" s="796"/>
      <c r="BQ247" s="796"/>
      <c r="BR247" s="796"/>
      <c r="BS247" s="796"/>
      <c r="BT247" s="796"/>
      <c r="BU247" s="796"/>
      <c r="BV247" s="796"/>
      <c r="BW247" s="796"/>
      <c r="BX247" s="796"/>
      <c r="BY247" s="796"/>
      <c r="BZ247" s="796"/>
      <c r="CA247" s="88"/>
      <c r="CC247" s="2071"/>
      <c r="CD247" s="1343"/>
      <c r="CE247" s="1344"/>
      <c r="CF247" s="128"/>
      <c r="CG247" s="205"/>
      <c r="CH247" s="206"/>
      <c r="CI247" s="207"/>
      <c r="CJ247" s="208"/>
      <c r="CK247" s="209"/>
      <c r="CL247" s="88"/>
      <c r="CM247" s="1200"/>
      <c r="CN247" s="1340"/>
      <c r="CO247" s="88"/>
      <c r="CP247" s="1200"/>
      <c r="CQ247" s="1340"/>
      <c r="CR247" s="88"/>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row>
    <row r="248" spans="1:146" s="10" customFormat="1" ht="35.25" customHeight="1">
      <c r="A248" s="1624"/>
      <c r="B248" s="1929"/>
      <c r="C248" s="2342"/>
      <c r="D248" s="1548"/>
      <c r="E248" s="1899"/>
      <c r="F248" s="1898"/>
      <c r="G248" s="1896"/>
      <c r="H248" s="849"/>
      <c r="I248" s="849"/>
      <c r="J248" s="2343"/>
      <c r="K248" s="2343"/>
      <c r="L248"/>
      <c r="M248"/>
      <c r="N248" s="158"/>
      <c r="O248" s="2345"/>
      <c r="P248" s="2346"/>
      <c r="Q248" s="2346"/>
      <c r="R248" s="2346"/>
      <c r="S248" s="2347" t="s">
        <v>195</v>
      </c>
      <c r="T248" s="2347" t="s">
        <v>196</v>
      </c>
      <c r="U248" s="2348"/>
      <c r="V248" s="2344"/>
      <c r="W248" s="1930"/>
      <c r="X248" s="1931"/>
      <c r="Y248" s="1932"/>
      <c r="Z248" s="1931"/>
      <c r="AA248" s="1932"/>
      <c r="AB248" s="1933"/>
      <c r="AC248" s="976"/>
      <c r="AD248" s="1934" cm="1">
        <f t="array" ref="AD248:BN248">array_timeline</f>
        <v>44926</v>
      </c>
      <c r="AE248" s="1934">
        <v>44957</v>
      </c>
      <c r="AF248" s="1934">
        <v>44985</v>
      </c>
      <c r="AG248" s="1934">
        <v>45016</v>
      </c>
      <c r="AH248" s="1934">
        <v>45046</v>
      </c>
      <c r="AI248" s="1934">
        <v>45077</v>
      </c>
      <c r="AJ248" s="1934">
        <v>45107</v>
      </c>
      <c r="AK248" s="1934">
        <v>45138</v>
      </c>
      <c r="AL248" s="1934">
        <v>45169</v>
      </c>
      <c r="AM248" s="1934">
        <v>45199</v>
      </c>
      <c r="AN248" s="1934">
        <v>45230</v>
      </c>
      <c r="AO248" s="1934">
        <v>45260</v>
      </c>
      <c r="AP248" s="1934">
        <v>45291</v>
      </c>
      <c r="AQ248" s="1934">
        <v>45322</v>
      </c>
      <c r="AR248" s="1934">
        <v>45351</v>
      </c>
      <c r="AS248" s="1934">
        <v>45382</v>
      </c>
      <c r="AT248" s="1934">
        <v>45412</v>
      </c>
      <c r="AU248" s="1934">
        <v>45443</v>
      </c>
      <c r="AV248" s="1934">
        <v>45473</v>
      </c>
      <c r="AW248" s="1934">
        <v>45504</v>
      </c>
      <c r="AX248" s="1934">
        <v>45535</v>
      </c>
      <c r="AY248" s="1934">
        <v>45565</v>
      </c>
      <c r="AZ248" s="1934">
        <v>45596</v>
      </c>
      <c r="BA248" s="1934">
        <v>45626</v>
      </c>
      <c r="BB248" s="1934">
        <v>45657</v>
      </c>
      <c r="BC248" s="1934">
        <v>45688</v>
      </c>
      <c r="BD248" s="1934">
        <v>45716</v>
      </c>
      <c r="BE248" s="1934">
        <v>45747</v>
      </c>
      <c r="BF248" s="1934">
        <v>45777</v>
      </c>
      <c r="BG248" s="1934">
        <v>45808</v>
      </c>
      <c r="BH248" s="1934">
        <v>45838</v>
      </c>
      <c r="BI248" s="1934">
        <v>45869</v>
      </c>
      <c r="BJ248" s="1934">
        <v>45900</v>
      </c>
      <c r="BK248" s="1934">
        <v>45930</v>
      </c>
      <c r="BL248" s="1934">
        <v>45961</v>
      </c>
      <c r="BM248" s="1934">
        <v>45991</v>
      </c>
      <c r="BN248" s="1935">
        <v>46022</v>
      </c>
      <c r="BO248" s="2119"/>
      <c r="BP248" s="2119"/>
      <c r="BQ248" s="2119"/>
      <c r="BR248" s="2119"/>
      <c r="BS248" s="2119"/>
      <c r="BT248" s="2119"/>
      <c r="BU248" s="2119"/>
      <c r="BV248" s="2119"/>
      <c r="BW248" s="2119"/>
      <c r="BX248" s="2119"/>
      <c r="BY248" s="2119"/>
      <c r="BZ248" s="2119"/>
      <c r="CA248" s="1936"/>
      <c r="CB248" s="2344"/>
      <c r="CC248" s="2349"/>
      <c r="CD248" s="1937" t="e" cm="1">
        <f t="array" ca="1" aca="1" ref="CD248">EOMONTH(val_currentFYE,-24)</f>
        <v>#NAME?</v>
      </c>
      <c r="CE248" s="1938" t="e" cm="1">
        <f t="array" ca="1" aca="1" ref="CE248">EOMONTH(val_currentFYE,-12)</f>
        <v>#NAME?</v>
      </c>
      <c r="CF248" s="1939"/>
      <c r="CG248" s="1940">
        <f>EOMONTH(val_asOfDate,0)</f>
        <v>46022</v>
      </c>
      <c r="CH248" s="1941">
        <f>EOMONTH(val_asOfDate,0)</f>
        <v>46022</v>
      </c>
      <c r="CI248" s="2350"/>
      <c r="CJ248" s="1942">
        <f>EOMONTH(val_asOfDate,-1)</f>
        <v>45991</v>
      </c>
      <c r="CK248" s="1943">
        <f>EOMONTH(val_asOfDate,0)</f>
        <v>46022</v>
      </c>
      <c r="CL248" s="2351"/>
      <c r="CM248" s="1944" t="e" cm="1">
        <f t="array" ca="1" aca="1" ref="CM248">val_currentFYE</f>
        <v>#NAME?</v>
      </c>
      <c r="CN248" s="1945" t="e" cm="1">
        <f t="array" ca="1" aca="1" ref="CN248">val_currentFYE</f>
        <v>#NAME?</v>
      </c>
      <c r="CO248" s="1470"/>
      <c r="CP248" s="1944" t="e" cm="1">
        <f t="array" ca="1" aca="1" ref="CP248">EOMONTH(val_currentFYE,12)</f>
        <v>#NAME?</v>
      </c>
      <c r="CQ248" s="1945" t="e" cm="1">
        <f t="array" ca="1" aca="1" ref="CQ248">EOMONTH(val_currentFYE,12)</f>
        <v>#NAME?</v>
      </c>
      <c r="CR248" s="2352"/>
      <c r="CS248" s="2344"/>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s="2344"/>
      <c r="EP248" s="2344"/>
    </row>
    <row r="249" spans="1:97" ht="21" customHeight="1">
      <c r="A249" s="1627"/>
      <c r="B249" s="2331"/>
      <c r="C249" s="2342"/>
      <c r="D249" s="1549"/>
      <c r="E249" s="2135"/>
      <c r="F249" s="401"/>
      <c r="G249" s="401"/>
      <c r="H249" s="585"/>
      <c r="I249" s="585"/>
      <c r="J249" s="401"/>
      <c r="K249" s="401"/>
      <c r="N249" s="158"/>
      <c r="O249" s="101"/>
      <c r="P249" s="52"/>
      <c r="Q249" s="101"/>
      <c r="R249" s="101"/>
      <c r="S249" s="18" t="str">
        <f>("Actual")</f>
        <v>Actual</v>
      </c>
      <c r="T249" s="18" t="str">
        <f>("Budget")</f>
        <v>Budget</v>
      </c>
      <c r="U249" s="39"/>
      <c r="V249" s="37"/>
      <c r="W249" s="2328" t="e" cm="1">
        <f t="array" ca="1" aca="1" ref="W249">UNPACK(C256)</f>
        <v>#NAME?</v>
      </c>
      <c r="X249" s="2137"/>
      <c r="Y249" s="2327"/>
      <c r="Z249" s="2337"/>
      <c r="AA249" s="2140"/>
      <c r="AB249" s="2141" t="s">
        <v>199</v>
      </c>
      <c r="AC249" s="2138"/>
      <c r="AD249" s="2138"/>
      <c r="AE249" s="2138"/>
      <c r="AF249" s="2138"/>
      <c r="AG249" s="2138"/>
      <c r="AH249" s="2138"/>
      <c r="AI249" s="2138"/>
      <c r="AJ249" s="2138"/>
      <c r="AK249" s="2138"/>
      <c r="AL249" s="2138"/>
      <c r="AM249" s="2138"/>
      <c r="AN249" s="2138"/>
      <c r="AO249" s="2138"/>
      <c r="AP249" s="2138"/>
      <c r="AQ249" s="2138"/>
      <c r="AR249" s="2138"/>
      <c r="AS249" s="2138"/>
      <c r="AT249" s="2138"/>
      <c r="AU249" s="2138"/>
      <c r="AV249" s="2138"/>
      <c r="AW249" s="2138"/>
      <c r="AX249" s="2138"/>
      <c r="AY249" s="2138"/>
      <c r="AZ249" s="2138"/>
      <c r="BA249" s="2138"/>
      <c r="BB249" s="2138"/>
      <c r="BC249" s="2138"/>
      <c r="BD249" s="2138"/>
      <c r="BE249" s="2138"/>
      <c r="BF249" s="2138"/>
      <c r="BG249" s="2138"/>
      <c r="BH249" s="2138"/>
      <c r="BI249" s="2138"/>
      <c r="BJ249" s="2138"/>
      <c r="BK249" s="2138"/>
      <c r="BL249" s="2138"/>
      <c r="BM249" s="2138"/>
      <c r="BN249" s="2138"/>
      <c r="BO249" s="1634"/>
      <c r="BP249" s="1634"/>
      <c r="BQ249" s="1634"/>
      <c r="BR249" s="1634"/>
      <c r="BS249" s="1634"/>
      <c r="BT249" s="1634"/>
      <c r="BU249" s="1634"/>
      <c r="BV249" s="1634"/>
      <c r="BW249" s="1634"/>
      <c r="BX249" s="1634"/>
      <c r="BY249" s="1634"/>
      <c r="BZ249" s="1634"/>
      <c r="CA249" s="34"/>
      <c r="CC249" s="58"/>
      <c r="CD249" s="1720">
        <f>($W246)</f>
        <v>0</v>
      </c>
      <c r="CE249" s="1721">
        <f>($W246)</f>
        <v>0</v>
      </c>
      <c r="CF249" s="128"/>
      <c r="CG249" s="1734">
        <f>($W246)</f>
        <v>0</v>
      </c>
      <c r="CH249" s="1735">
        <f>($W246)</f>
        <v>0</v>
      </c>
      <c r="CI249" s="207"/>
      <c r="CJ249" s="1724">
        <f>($W246)</f>
        <v>0</v>
      </c>
      <c r="CK249" s="1725">
        <f>($W246)</f>
        <v>0</v>
      </c>
      <c r="CL249" s="88"/>
      <c r="CM249" s="1819" t="str">
        <f>$CM$19</f>
        <v>Original Budget</v>
      </c>
      <c r="CN249" s="1819" t="str">
        <f>$CN$19</f>
        <v>LE</v>
      </c>
      <c r="CO249" s="1205"/>
      <c r="CP249" s="1819" t="str">
        <f>$CP$19</f>
        <v>Original Budget</v>
      </c>
      <c r="CQ249" s="1819" t="str">
        <f>$CQ$19</f>
        <v>LE</v>
      </c>
      <c r="CR249" s="34"/>
      <c r="CS249" s="2056"/>
    </row>
    <row r="250" spans="1:97" ht="21" customHeight="1">
      <c r="A250" s="1627"/>
      <c r="B250" s="2331"/>
      <c r="C250" s="2084"/>
      <c r="D250" s="1549"/>
      <c r="E250" s="1902"/>
      <c r="F250" s="401"/>
      <c r="G250" s="2335" t="s">
        <v>213</v>
      </c>
      <c r="H250" s="585">
        <v>0</v>
      </c>
      <c r="I250" s="3290">
        <v>1</v>
      </c>
      <c r="J250" s="401"/>
      <c r="K250" s="401" t="str">
        <f t="shared" si="70" ref="K250:K251">IFERROR(IF(LEN(AB250)=0,"No",IF(LEN(J250)&gt;0,"Yes","No")),"")</f>
        <v>No</v>
      </c>
      <c r="N250" s="158"/>
      <c r="O250" s="101"/>
      <c r="P250" s="52"/>
      <c r="Q250" s="101"/>
      <c r="R250" s="101"/>
      <c r="S250" s="101" t="e" cm="1">
        <f t="array" ca="1" aca="1" ref="S250:S260">_xlfn.VSTACK(_xlfn.UNIQUE(_xlfn._xlws.FILTER(Y20:Y54,((B20:B54&lt;&gt;"")+(C20:C54&lt;&gt;""))*NOT(ISNUMBER(SEARCH("please",Y20:Y54))))),_xlfn._xlws.FILTER(_xlfn.VSTACK(Y256,Y265,Y274,Y283,Y292,Y301,Y310,Y319,Y328,Y337),NOT(ISNUMBER(SEARCH("Please",_xlfn.VSTACK(Y256,Y265,Y274,Y283,Y292,Y301,Y310,Y319,Y328,Y337))))))</f>
        <v>#NAME?</v>
      </c>
      <c r="T250" s="2324" t="e" cm="1">
        <f t="array" ca="1" aca="1" ref="T250">_xlfn.UNIQUE(_xlfn._xlws.FILTER(Y76:Y106,((B76:B106&lt;&gt;"")+(C76:C106&lt;&gt;""))*NOT(ISNUMBER(SEARCH("please",Y76:Y106)))))</f>
        <v>#NAME?</v>
      </c>
      <c r="U250" s="39"/>
      <c r="V250" s="37"/>
      <c r="W250" s="2329"/>
      <c r="X250" s="2081"/>
      <c r="Y250" s="2366"/>
      <c r="Z250" s="198"/>
      <c r="AA250" s="2136"/>
      <c r="AB250" s="1134"/>
      <c r="AC250" s="125"/>
      <c r="AD250" s="2152" t="str" cm="1">
        <f t="array" ca="1" aca="1" ref="AD250">_xlfn.LET(_xlpm.search_key,$W250&amp;$Y250,_xlpm.Scenario,_xlfn.VSTACK($W$20:$W$55&amp;$Y$20:$Y$55,$W$76:$W$110&amp;$Y$76:$Y$110),_xlpm.Data,_xlfn.VSTACK($AD$20:$BN$55,$AD$76:$BN$110),IF(OR($Y250="",ISNUMBER(SEARCH("please",$Y250))),"",_xlfn.XLOOKUP(_xlpm.search_key,_xlpm.Scenario,_xlpm.Data,"▧",2)))</f>
        <v/>
      </c>
      <c r="AE250" s="2152"/>
      <c r="AF250" s="2152"/>
      <c r="AG250" s="2152"/>
      <c r="AH250" s="2152"/>
      <c r="AI250" s="2152"/>
      <c r="AJ250" s="2152"/>
      <c r="AK250" s="2152"/>
      <c r="AL250" s="2152"/>
      <c r="AM250" s="2152"/>
      <c r="AN250" s="2152"/>
      <c r="AO250" s="2152"/>
      <c r="AP250" s="2152"/>
      <c r="AQ250" s="2152"/>
      <c r="AR250" s="2152"/>
      <c r="AS250" s="2152"/>
      <c r="AT250" s="2152"/>
      <c r="AU250" s="2152"/>
      <c r="AV250" s="2152"/>
      <c r="AW250" s="2152"/>
      <c r="AX250" s="2152"/>
      <c r="AY250" s="2152"/>
      <c r="AZ250" s="2152"/>
      <c r="BA250" s="2152"/>
      <c r="BB250" s="2152"/>
      <c r="BC250" s="2152"/>
      <c r="BD250" s="2152"/>
      <c r="BE250" s="2152"/>
      <c r="BF250" s="2152"/>
      <c r="BG250" s="2152"/>
      <c r="BH250" s="2152"/>
      <c r="BI250" s="2152"/>
      <c r="BJ250" s="2152"/>
      <c r="BK250" s="2152"/>
      <c r="BL250" s="2152"/>
      <c r="BM250" s="2152"/>
      <c r="BN250" s="2152"/>
      <c r="BO250" s="2153"/>
      <c r="BP250" s="2153"/>
      <c r="BQ250" s="2153"/>
      <c r="BR250" s="2153"/>
      <c r="BS250" s="2153"/>
      <c r="BT250" s="2153"/>
      <c r="BU250" s="2153"/>
      <c r="BV250" s="2153"/>
      <c r="BW250" s="2153"/>
      <c r="BX250" s="2153"/>
      <c r="BY250" s="2153"/>
      <c r="BZ250" s="2153"/>
      <c r="CA250" s="34"/>
      <c r="CC250" s="58"/>
      <c r="CD250" s="2154" t="str" cm="1">
        <f t="array" ca="1" aca="1" ref="CD250">_xlfn.LET(_xlpm.search_key,$W250&amp;$Y250,_xlpm.Scenario,_xlfn.VSTACK($W$20:$W$55&amp;$Y$20:$Y$55,$W$76:$W$110&amp;$Y$76:$Y$110),_xlpm.Data,_xlfn.VSTACK(CD$20:CE$55,CD$76:CE$110),IF(OR($Y250="",ISNUMBER(SEARCH("please",$Y250))),"",_xlfn.XLOOKUP(_xlpm.search_key,_xlpm.Scenario,_xlpm.Data,"▧")))</f>
        <v/>
      </c>
      <c r="CE250" s="2154"/>
      <c r="CF250" s="88"/>
      <c r="CG250" s="2154" t="str" cm="1">
        <f t="array" ca="1" aca="1" ref="CG250">_xlfn.LET(_xlpm.search_key,$W250&amp;$Y250,_xlpm.Scenario,_xlfn.VSTACK($W$20:$W$55&amp;$Y$20:$Y$55,$W$76:$W$110&amp;$Y$76:$Y$110),_xlpm.Data,_xlfn.VSTACK(CG$20:CH$55,CG$76:CH$110),IF(OR($Y250="",ISNUMBER(SEARCH("please",$Y250))),"",_xlfn.XLOOKUP(_xlpm.search_key,_xlpm.Scenario,_xlpm.Data,"▧")))</f>
        <v/>
      </c>
      <c r="CH250" s="2154"/>
      <c r="CI250" s="88"/>
      <c r="CJ250" s="2154" t="str" cm="1">
        <f t="array" ref="CJ250">_xlfn.LET(_xlpm.search_key,$W250&amp;$Y250,_xlpm.Scenario,_xlfn.VSTACK($W$20:$W$55&amp;$Y$20:$Y$55,$W$76:$W$110&amp;$Y$76:$Y$110),_xlpm.Data,_xlfn.VSTACK(CJ$20:CK$55,CJ$76:CK$110),IF(OR($Y250="",ISNUMBER(SEARCH("please",$Y250))),"",_xlfn.XLOOKUP(_xlpm.search_key,_xlpm.Scenario,_xlpm.Data,"▧")))</f>
        <v/>
      </c>
      <c r="CK250" s="2154"/>
      <c r="CL250" s="88"/>
      <c r="CM250" s="2154" t="str" cm="1">
        <f t="array" ca="1" aca="1" ref="CM250">_xlfn.LET(_xlpm.search_key,$W250&amp;$Y250,_xlpm.Scenario,_xlfn.VSTACK($W$20:$W$55&amp;$Y$20:$Y$55,$W$76:$W$110&amp;$Y$76:$Y$110),_xlpm.Data,_xlfn.VSTACK(CM$20:CN$55,CM$76:CN$110),IF(OR($Y250="",ISNUMBER(SEARCH("please",$Y250))),"",_xlfn.XLOOKUP(_xlpm.search_key,_xlpm.Scenario,_xlpm.Data,"▧")))</f>
        <v/>
      </c>
      <c r="CN250" s="2154"/>
      <c r="CO250" s="88"/>
      <c r="CP250" s="2154" t="str" cm="1">
        <f t="array" ca="1" aca="1" ref="CP250">_xlfn.LET(_xlpm.search_key,$W250&amp;$Y250,_xlpm.Scenario,_xlfn.VSTACK($W$20:$W$55&amp;$Y$20:$Y$55,$W$76:$W$110&amp;$Y$76:$Y$110),_xlpm.Data,_xlfn.VSTACK(CP$20:CQ$55,CP$76:CQ$110),IF(OR($Y250="",ISNUMBER(SEARCH("please",$Y250))),"",_xlfn.XLOOKUP(_xlpm.search_key,_xlpm.Scenario,_xlpm.Data,"▧")))</f>
        <v/>
      </c>
      <c r="CQ250" s="2154"/>
      <c r="CR250" s="34"/>
      <c r="CS250" s="2056"/>
    </row>
    <row r="251" spans="1:97" ht="21" customHeight="1">
      <c r="A251" s="1627"/>
      <c r="B251" s="2331"/>
      <c r="C251" s="2084"/>
      <c r="D251" s="1549"/>
      <c r="E251" s="1902"/>
      <c r="F251" s="401"/>
      <c r="G251" s="1160" t="s">
        <v>214</v>
      </c>
      <c r="H251" s="585">
        <v>0</v>
      </c>
      <c r="I251" s="3290">
        <v>1</v>
      </c>
      <c r="J251" s="401"/>
      <c r="K251" s="401" t="str">
        <f t="shared" si="70"/>
        <v>No</v>
      </c>
      <c r="N251" s="158"/>
      <c r="O251" s="101"/>
      <c r="P251" s="52"/>
      <c r="Q251" s="101"/>
      <c r="R251" s="101"/>
      <c r="S251" s="101">
        <f ca="1"/>
        <v>0</v>
      </c>
      <c r="T251" s="101"/>
      <c r="U251" s="39"/>
      <c r="V251" s="37"/>
      <c r="W251" s="2329"/>
      <c r="X251" s="2081"/>
      <c r="Y251" s="2367"/>
      <c r="Z251" s="198"/>
      <c r="AA251" s="2136"/>
      <c r="AB251" s="1134"/>
      <c r="AC251" s="125"/>
      <c r="AD251" s="2152" t="str" cm="1">
        <f t="array" ca="1" aca="1" ref="AD251">_xlfn.LET(_xlpm.search_key,$W251&amp;$Y251,_xlpm.Scenario,_xlfn.VSTACK($W$20:$W$55&amp;$Y$20:$Y$55,$W$76:$W$110&amp;$Y$76:$Y$110),_xlpm.Data,_xlfn.VSTACK($AD$20:$BN$55,$AD$76:$BN$110),IF(OR($Y251="",ISNUMBER(SEARCH("please",$Y251))),"",_xlfn.XLOOKUP(_xlpm.search_key,_xlpm.Scenario,_xlpm.Data,"▧",2)))</f>
        <v/>
      </c>
      <c r="AE251" s="2152"/>
      <c r="AF251" s="2152"/>
      <c r="AG251" s="2152"/>
      <c r="AH251" s="2152"/>
      <c r="AI251" s="2152"/>
      <c r="AJ251" s="2152"/>
      <c r="AK251" s="2152"/>
      <c r="AL251" s="2152"/>
      <c r="AM251" s="2152"/>
      <c r="AN251" s="2152"/>
      <c r="AO251" s="2152"/>
      <c r="AP251" s="2152"/>
      <c r="AQ251" s="2152"/>
      <c r="AR251" s="2152"/>
      <c r="AS251" s="2152"/>
      <c r="AT251" s="2152"/>
      <c r="AU251" s="2152"/>
      <c r="AV251" s="2152"/>
      <c r="AW251" s="2152"/>
      <c r="AX251" s="2152"/>
      <c r="AY251" s="2152"/>
      <c r="AZ251" s="2152"/>
      <c r="BA251" s="2152"/>
      <c r="BB251" s="2152"/>
      <c r="BC251" s="2152"/>
      <c r="BD251" s="2152"/>
      <c r="BE251" s="2152"/>
      <c r="BF251" s="2152"/>
      <c r="BG251" s="2152"/>
      <c r="BH251" s="2152"/>
      <c r="BI251" s="2152"/>
      <c r="BJ251" s="2152"/>
      <c r="BK251" s="2152"/>
      <c r="BL251" s="2152"/>
      <c r="BM251" s="2152"/>
      <c r="BN251" s="2152"/>
      <c r="BO251" s="2153"/>
      <c r="BP251" s="2153"/>
      <c r="BQ251" s="2153"/>
      <c r="BR251" s="2153"/>
      <c r="BS251" s="2153"/>
      <c r="BT251" s="2153"/>
      <c r="BU251" s="2153"/>
      <c r="BV251" s="2153"/>
      <c r="BW251" s="2153"/>
      <c r="BX251" s="2153"/>
      <c r="BY251" s="2153"/>
      <c r="BZ251" s="2153"/>
      <c r="CA251" s="34"/>
      <c r="CC251" s="58"/>
      <c r="CD251" s="2154" t="str" cm="1">
        <f t="array" ca="1" aca="1" ref="CD251">_xlfn.LET(_xlpm.search_key,$W251&amp;$Y251,_xlpm.Scenario,_xlfn.VSTACK($W$20:$W$55&amp;$Y$20:$Y$55,$W$76:$W$110&amp;$Y$76:$Y$110),_xlpm.Data,_xlfn.VSTACK(CD$20:CE$55,CD$76:CE$110),IF(OR($Y251="",ISNUMBER(SEARCH("please",$Y251))),"",_xlfn.XLOOKUP(_xlpm.search_key,_xlpm.Scenario,_xlpm.Data,"▧")))</f>
        <v/>
      </c>
      <c r="CE251" s="2154"/>
      <c r="CF251" s="88"/>
      <c r="CG251" s="2154" t="str" cm="1">
        <f t="array" ca="1" aca="1" ref="CG251">_xlfn.LET(_xlpm.search_key,$W251&amp;$Y251,_xlpm.Scenario,_xlfn.VSTACK($W$20:$W$55&amp;$Y$20:$Y$55,$W$76:$W$110&amp;$Y$76:$Y$110),_xlpm.Data,_xlfn.VSTACK(CG$20:CH$55,CG$76:CH$110),IF(OR($Y251="",ISNUMBER(SEARCH("please",$Y251))),"",_xlfn.XLOOKUP(_xlpm.search_key,_xlpm.Scenario,_xlpm.Data,"▧")))</f>
        <v/>
      </c>
      <c r="CH251" s="2154"/>
      <c r="CI251" s="88"/>
      <c r="CJ251" s="2154" t="str" cm="1">
        <f t="array" ref="CJ251">_xlfn.LET(_xlpm.search_key,$W251&amp;$Y251,_xlpm.Scenario,_xlfn.VSTACK($W$20:$W$55&amp;$Y$20:$Y$55,$W$76:$W$110&amp;$Y$76:$Y$110),_xlpm.Data,_xlfn.VSTACK(CJ$20:CK$55,CJ$76:CK$110),IF(OR($Y251="",ISNUMBER(SEARCH("please",$Y251))),"",_xlfn.XLOOKUP(_xlpm.search_key,_xlpm.Scenario,_xlpm.Data,"▧")))</f>
        <v/>
      </c>
      <c r="CK251" s="2154"/>
      <c r="CL251" s="88"/>
      <c r="CM251" s="2154" t="str" cm="1">
        <f t="array" ca="1" aca="1" ref="CM251">_xlfn.LET(_xlpm.search_key,$W251&amp;$Y251,_xlpm.Scenario,_xlfn.VSTACK($W$20:$W$55&amp;$Y$20:$Y$55,$W$76:$W$110&amp;$Y$76:$Y$110),_xlpm.Data,_xlfn.VSTACK(CM$20:CN$55,CM$76:CN$110),IF(OR($Y251="",ISNUMBER(SEARCH("please",$Y251))),"",_xlfn.XLOOKUP(_xlpm.search_key,_xlpm.Scenario,_xlpm.Data,"▧")))</f>
        <v/>
      </c>
      <c r="CN251" s="2154"/>
      <c r="CO251" s="88"/>
      <c r="CP251" s="2154" t="str" cm="1">
        <f t="array" ca="1" aca="1" ref="CP251">_xlfn.LET(_xlpm.search_key,$W251&amp;$Y251,_xlpm.Scenario,_xlfn.VSTACK($W$20:$W$55&amp;$Y$20:$Y$55,$W$76:$W$110&amp;$Y$76:$Y$110),_xlpm.Data,_xlfn.VSTACK(CP$20:CQ$55,CP$76:CQ$110),IF(OR($Y251="",ISNUMBER(SEARCH("please",$Y251))),"",_xlfn.XLOOKUP(_xlpm.search_key,_xlpm.Scenario,_xlpm.Data,"▧")))</f>
        <v/>
      </c>
      <c r="CQ251" s="2154"/>
      <c r="CR251" s="34"/>
      <c r="CS251" s="2056"/>
    </row>
    <row r="252" spans="1:97" ht="21" customHeight="1">
      <c r="A252" s="1627"/>
      <c r="B252" s="2331"/>
      <c r="C252" s="2084"/>
      <c r="D252" s="1549"/>
      <c r="E252" s="1902"/>
      <c r="F252" s="401"/>
      <c r="G252" s="401"/>
      <c r="H252" s="585"/>
      <c r="I252" s="585"/>
      <c r="J252" s="401"/>
      <c r="K252" s="401"/>
      <c r="N252" s="158"/>
      <c r="O252" s="101"/>
      <c r="P252" s="52"/>
      <c r="Q252" s="101"/>
      <c r="R252" s="101"/>
      <c r="S252" s="101">
        <f ca="1"/>
        <v>0</v>
      </c>
      <c r="T252" s="101"/>
      <c r="U252" s="39"/>
      <c r="V252" s="37"/>
      <c r="W252" s="2329"/>
      <c r="X252" s="2081"/>
      <c r="Y252" s="2367"/>
      <c r="Z252" s="198"/>
      <c r="AA252" s="2136"/>
      <c r="AB252" s="1134"/>
      <c r="AC252" s="125"/>
      <c r="AD252" s="2152" t="str" cm="1">
        <f t="array" ca="1" aca="1" ref="AD252">_xlfn.LET(_xlpm.search_key,$W252&amp;$Y252,_xlpm.Scenario,_xlfn.VSTACK($W$20:$W$55&amp;$Y$20:$Y$55,$W$76:$W$110&amp;$Y$76:$Y$110),_xlpm.Data,_xlfn.VSTACK($AD$20:$BN$55,$AD$76:$BN$110),IF(OR($Y252="",ISNUMBER(SEARCH("please",$Y252))),"",_xlfn.XLOOKUP(_xlpm.search_key,_xlpm.Scenario,_xlpm.Data,"▧",2)))</f>
        <v/>
      </c>
      <c r="AE252" s="2152"/>
      <c r="AF252" s="2152"/>
      <c r="AG252" s="2152"/>
      <c r="AH252" s="2152"/>
      <c r="AI252" s="2152"/>
      <c r="AJ252" s="2152"/>
      <c r="AK252" s="2152"/>
      <c r="AL252" s="2152"/>
      <c r="AM252" s="2152"/>
      <c r="AN252" s="2152"/>
      <c r="AO252" s="2152"/>
      <c r="AP252" s="2152"/>
      <c r="AQ252" s="2152"/>
      <c r="AR252" s="2152"/>
      <c r="AS252" s="2152"/>
      <c r="AT252" s="2152"/>
      <c r="AU252" s="2152"/>
      <c r="AV252" s="2152"/>
      <c r="AW252" s="2152"/>
      <c r="AX252" s="2152"/>
      <c r="AY252" s="2152"/>
      <c r="AZ252" s="2152"/>
      <c r="BA252" s="2152"/>
      <c r="BB252" s="2152"/>
      <c r="BC252" s="2152"/>
      <c r="BD252" s="2152"/>
      <c r="BE252" s="2152"/>
      <c r="BF252" s="2152"/>
      <c r="BG252" s="2152"/>
      <c r="BH252" s="2152"/>
      <c r="BI252" s="2152"/>
      <c r="BJ252" s="2152"/>
      <c r="BK252" s="2152"/>
      <c r="BL252" s="2152"/>
      <c r="BM252" s="2152"/>
      <c r="BN252" s="2152"/>
      <c r="BO252" s="2153"/>
      <c r="BP252" s="2153"/>
      <c r="BQ252" s="2153"/>
      <c r="BR252" s="2153"/>
      <c r="BS252" s="2153"/>
      <c r="BT252" s="2153"/>
      <c r="BU252" s="2153"/>
      <c r="BV252" s="2153"/>
      <c r="BW252" s="2153"/>
      <c r="BX252" s="2153"/>
      <c r="BY252" s="2153"/>
      <c r="BZ252" s="2153"/>
      <c r="CA252" s="34"/>
      <c r="CC252" s="58"/>
      <c r="CD252" s="2154" t="str" cm="1">
        <f t="array" ca="1" aca="1" ref="CD252">_xlfn.LET(_xlpm.search_key,$W252&amp;$Y252,_xlpm.Scenario,_xlfn.VSTACK($W$20:$W$55&amp;$Y$20:$Y$55,$W$76:$W$110&amp;$Y$76:$Y$110),_xlpm.Data,_xlfn.VSTACK(CD$20:CE$55,CD$76:CE$110),IF(OR($Y252="",ISNUMBER(SEARCH("please",$Y252))),"",_xlfn.XLOOKUP(_xlpm.search_key,_xlpm.Scenario,_xlpm.Data,"▧")))</f>
        <v/>
      </c>
      <c r="CE252" s="2154"/>
      <c r="CF252" s="88"/>
      <c r="CG252" s="2154" t="str" cm="1">
        <f t="array" ca="1" aca="1" ref="CG252">_xlfn.LET(_xlpm.search_key,$W252&amp;$Y252,_xlpm.Scenario,_xlfn.VSTACK($W$20:$W$55&amp;$Y$20:$Y$55,$W$76:$W$110&amp;$Y$76:$Y$110),_xlpm.Data,_xlfn.VSTACK(CG$20:CH$55,CG$76:CH$110),IF(OR($Y252="",ISNUMBER(SEARCH("please",$Y252))),"",_xlfn.XLOOKUP(_xlpm.search_key,_xlpm.Scenario,_xlpm.Data,"▧")))</f>
        <v/>
      </c>
      <c r="CH252" s="2154"/>
      <c r="CI252" s="88"/>
      <c r="CJ252" s="2154" t="str" cm="1">
        <f t="array" ref="CJ252">_xlfn.LET(_xlpm.search_key,$W252&amp;$Y252,_xlpm.Scenario,_xlfn.VSTACK($W$20:$W$55&amp;$Y$20:$Y$55,$W$76:$W$110&amp;$Y$76:$Y$110),_xlpm.Data,_xlfn.VSTACK(CJ$20:CK$55,CJ$76:CK$110),IF(OR($Y252="",ISNUMBER(SEARCH("please",$Y252))),"",_xlfn.XLOOKUP(_xlpm.search_key,_xlpm.Scenario,_xlpm.Data,"▧")))</f>
        <v/>
      </c>
      <c r="CK252" s="2154"/>
      <c r="CL252" s="88"/>
      <c r="CM252" s="2154" t="str" cm="1">
        <f t="array" ca="1" aca="1" ref="CM252">_xlfn.LET(_xlpm.search_key,$W252&amp;$Y252,_xlpm.Scenario,_xlfn.VSTACK($W$20:$W$55&amp;$Y$20:$Y$55,$W$76:$W$110&amp;$Y$76:$Y$110),_xlpm.Data,_xlfn.VSTACK(CM$20:CN$55,CM$76:CN$110),IF(OR($Y252="",ISNUMBER(SEARCH("please",$Y252))),"",_xlfn.XLOOKUP(_xlpm.search_key,_xlpm.Scenario,_xlpm.Data,"▧")))</f>
        <v/>
      </c>
      <c r="CN252" s="2154"/>
      <c r="CO252" s="88"/>
      <c r="CP252" s="2154" t="str" cm="1">
        <f t="array" ca="1" aca="1" ref="CP252">_xlfn.LET(_xlpm.search_key,$W252&amp;$Y252,_xlpm.Scenario,_xlfn.VSTACK($W$20:$W$55&amp;$Y$20:$Y$55,$W$76:$W$110&amp;$Y$76:$Y$110),_xlpm.Data,_xlfn.VSTACK(CP$20:CQ$55,CP$76:CQ$110),IF(OR($Y252="",ISNUMBER(SEARCH("please",$Y252))),"",_xlfn.XLOOKUP(_xlpm.search_key,_xlpm.Scenario,_xlpm.Data,"▧")))</f>
        <v/>
      </c>
      <c r="CQ252" s="2154"/>
      <c r="CR252" s="34"/>
      <c r="CS252" s="2056"/>
    </row>
    <row r="253" spans="1:97" ht="21" customHeight="1">
      <c r="A253" s="1627"/>
      <c r="B253" s="2331"/>
      <c r="C253" s="2084"/>
      <c r="D253" s="1549"/>
      <c r="E253" s="1902"/>
      <c r="F253" s="401"/>
      <c r="G253" s="401"/>
      <c r="H253" s="585"/>
      <c r="I253" s="585"/>
      <c r="J253" s="401"/>
      <c r="K253" s="401"/>
      <c r="N253" s="158"/>
      <c r="O253" s="101"/>
      <c r="P253" s="52"/>
      <c r="Q253" s="101"/>
      <c r="R253" s="101"/>
      <c r="S253" s="101">
        <f ca="1"/>
        <v>0</v>
      </c>
      <c r="T253" s="101"/>
      <c r="U253" s="39"/>
      <c r="V253" s="37"/>
      <c r="W253" s="2329"/>
      <c r="X253" s="2081"/>
      <c r="Y253" s="2367"/>
      <c r="Z253" s="198"/>
      <c r="AA253" s="2136"/>
      <c r="AB253" s="1134"/>
      <c r="AC253" s="125"/>
      <c r="AD253" s="2152" t="str" cm="1">
        <f t="array" ca="1" aca="1" ref="AD253">_xlfn.LET(_xlpm.search_key,$W253&amp;$Y253,_xlpm.Scenario,_xlfn.VSTACK($W$20:$W$55&amp;$Y$20:$Y$55,$W$76:$W$110&amp;$Y$76:$Y$110),_xlpm.Data,_xlfn.VSTACK($AD$20:$BN$55,$AD$76:$BN$110),IF(OR($Y253="",ISNUMBER(SEARCH("please",$Y253))),"",_xlfn.XLOOKUP(_xlpm.search_key,_xlpm.Scenario,_xlpm.Data,"▧",2)))</f>
        <v/>
      </c>
      <c r="AE253" s="2152"/>
      <c r="AF253" s="2152"/>
      <c r="AG253" s="2152"/>
      <c r="AH253" s="2152"/>
      <c r="AI253" s="2152"/>
      <c r="AJ253" s="2152"/>
      <c r="AK253" s="2152"/>
      <c r="AL253" s="2152"/>
      <c r="AM253" s="2152"/>
      <c r="AN253" s="2152"/>
      <c r="AO253" s="2152"/>
      <c r="AP253" s="2152"/>
      <c r="AQ253" s="2152"/>
      <c r="AR253" s="2152"/>
      <c r="AS253" s="2152"/>
      <c r="AT253" s="2152"/>
      <c r="AU253" s="2152"/>
      <c r="AV253" s="2152"/>
      <c r="AW253" s="2152"/>
      <c r="AX253" s="2152"/>
      <c r="AY253" s="2152"/>
      <c r="AZ253" s="2152"/>
      <c r="BA253" s="2152"/>
      <c r="BB253" s="2152"/>
      <c r="BC253" s="2152"/>
      <c r="BD253" s="2152"/>
      <c r="BE253" s="2152"/>
      <c r="BF253" s="2152"/>
      <c r="BG253" s="2152"/>
      <c r="BH253" s="2152"/>
      <c r="BI253" s="2152"/>
      <c r="BJ253" s="2152"/>
      <c r="BK253" s="2152"/>
      <c r="BL253" s="2152"/>
      <c r="BM253" s="2152"/>
      <c r="BN253" s="2152"/>
      <c r="BO253" s="2153"/>
      <c r="BP253" s="2153"/>
      <c r="BQ253" s="2153"/>
      <c r="BR253" s="2153"/>
      <c r="BS253" s="2153"/>
      <c r="BT253" s="2153"/>
      <c r="BU253" s="2153"/>
      <c r="BV253" s="2153"/>
      <c r="BW253" s="2153"/>
      <c r="BX253" s="2153"/>
      <c r="BY253" s="2153"/>
      <c r="BZ253" s="2153"/>
      <c r="CA253" s="34"/>
      <c r="CC253" s="58"/>
      <c r="CD253" s="2154" t="str" cm="1">
        <f t="array" ca="1" aca="1" ref="CD253">_xlfn.LET(_xlpm.search_key,$W253&amp;$Y253,_xlpm.Scenario,_xlfn.VSTACK($W$20:$W$55&amp;$Y$20:$Y$55,$W$76:$W$110&amp;$Y$76:$Y$110),_xlpm.Data,_xlfn.VSTACK(CD$20:CE$55,CD$76:CE$110),IF(OR($Y253="",ISNUMBER(SEARCH("please",$Y253))),"",_xlfn.XLOOKUP(_xlpm.search_key,_xlpm.Scenario,_xlpm.Data,"▧")))</f>
        <v/>
      </c>
      <c r="CE253" s="2154"/>
      <c r="CF253" s="88"/>
      <c r="CG253" s="2154" t="str" cm="1">
        <f t="array" ca="1" aca="1" ref="CG253">_xlfn.LET(_xlpm.search_key,$W253&amp;$Y253,_xlpm.Scenario,_xlfn.VSTACK($W$20:$W$55&amp;$Y$20:$Y$55,$W$76:$W$110&amp;$Y$76:$Y$110),_xlpm.Data,_xlfn.VSTACK(CG$20:CH$55,CG$76:CH$110),IF(OR($Y253="",ISNUMBER(SEARCH("please",$Y253))),"",_xlfn.XLOOKUP(_xlpm.search_key,_xlpm.Scenario,_xlpm.Data,"▧")))</f>
        <v/>
      </c>
      <c r="CH253" s="2154"/>
      <c r="CI253" s="88"/>
      <c r="CJ253" s="2154" t="str" cm="1">
        <f t="array" ref="CJ253">_xlfn.LET(_xlpm.search_key,$W253&amp;$Y253,_xlpm.Scenario,_xlfn.VSTACK($W$20:$W$55&amp;$Y$20:$Y$55,$W$76:$W$110&amp;$Y$76:$Y$110),_xlpm.Data,_xlfn.VSTACK(CJ$20:CK$55,CJ$76:CK$110),IF(OR($Y253="",ISNUMBER(SEARCH("please",$Y253))),"",_xlfn.XLOOKUP(_xlpm.search_key,_xlpm.Scenario,_xlpm.Data,"▧")))</f>
        <v/>
      </c>
      <c r="CK253" s="2154"/>
      <c r="CL253" s="88"/>
      <c r="CM253" s="2154" t="str" cm="1">
        <f t="array" ca="1" aca="1" ref="CM253">_xlfn.LET(_xlpm.search_key,$W253&amp;$Y253,_xlpm.Scenario,_xlfn.VSTACK($W$20:$W$55&amp;$Y$20:$Y$55,$W$76:$W$110&amp;$Y$76:$Y$110),_xlpm.Data,_xlfn.VSTACK(CM$20:CN$55,CM$76:CN$110),IF(OR($Y253="",ISNUMBER(SEARCH("please",$Y253))),"",_xlfn.XLOOKUP(_xlpm.search_key,_xlpm.Scenario,_xlpm.Data,"▧")))</f>
        <v/>
      </c>
      <c r="CN253" s="2154"/>
      <c r="CO253" s="88"/>
      <c r="CP253" s="2154" t="str" cm="1">
        <f t="array" ca="1" aca="1" ref="CP253">_xlfn.LET(_xlpm.search_key,$W253&amp;$Y253,_xlpm.Scenario,_xlfn.VSTACK($W$20:$W$55&amp;$Y$20:$Y$55,$W$76:$W$110&amp;$Y$76:$Y$110),_xlpm.Data,_xlfn.VSTACK(CP$20:CQ$55,CP$76:CQ$110),IF(OR($Y253="",ISNUMBER(SEARCH("please",$Y253))),"",_xlfn.XLOOKUP(_xlpm.search_key,_xlpm.Scenario,_xlpm.Data,"▧")))</f>
        <v/>
      </c>
      <c r="CQ253" s="2154"/>
      <c r="CR253" s="34"/>
      <c r="CS253" s="2056"/>
    </row>
    <row r="254" spans="1:97" ht="21" customHeight="1">
      <c r="A254" s="1627"/>
      <c r="B254" s="2331"/>
      <c r="C254" s="2084"/>
      <c r="D254" s="1549"/>
      <c r="E254" s="1902"/>
      <c r="F254" s="401"/>
      <c r="G254" s="401"/>
      <c r="H254" s="585"/>
      <c r="I254" s="585"/>
      <c r="J254" s="401"/>
      <c r="K254" s="401"/>
      <c r="N254" s="158"/>
      <c r="O254" s="101"/>
      <c r="P254" s="52"/>
      <c r="Q254" s="101"/>
      <c r="R254" s="101"/>
      <c r="S254" s="101">
        <f ca="1"/>
        <v>0</v>
      </c>
      <c r="T254" s="101"/>
      <c r="U254" s="39"/>
      <c r="V254" s="37"/>
      <c r="W254" s="2329"/>
      <c r="X254" s="2081"/>
      <c r="Y254" s="2367"/>
      <c r="Z254" s="198"/>
      <c r="AA254" s="2136"/>
      <c r="AB254" s="1134"/>
      <c r="AC254" s="125"/>
      <c r="AD254" s="2152" t="str" cm="1">
        <f t="array" ca="1" aca="1" ref="AD254">_xlfn.LET(_xlpm.search_key,$W254&amp;$Y254,_xlpm.Scenario,_xlfn.VSTACK($W$20:$W$55&amp;$Y$20:$Y$55,$W$76:$W$110&amp;$Y$76:$Y$110),_xlpm.Data,_xlfn.VSTACK($AD$20:$BN$55,$AD$76:$BN$110),IF(OR($Y254="",ISNUMBER(SEARCH("please",$Y254))),"",_xlfn.XLOOKUP(_xlpm.search_key,_xlpm.Scenario,_xlpm.Data,"▧",2)))</f>
        <v/>
      </c>
      <c r="AE254" s="2152"/>
      <c r="AF254" s="2152"/>
      <c r="AG254" s="2152"/>
      <c r="AH254" s="2152"/>
      <c r="AI254" s="2152"/>
      <c r="AJ254" s="2152"/>
      <c r="AK254" s="2152"/>
      <c r="AL254" s="2152"/>
      <c r="AM254" s="2152"/>
      <c r="AN254" s="2152"/>
      <c r="AO254" s="2152"/>
      <c r="AP254" s="2152"/>
      <c r="AQ254" s="2152"/>
      <c r="AR254" s="2152"/>
      <c r="AS254" s="2152"/>
      <c r="AT254" s="2152"/>
      <c r="AU254" s="2152"/>
      <c r="AV254" s="2152"/>
      <c r="AW254" s="2152"/>
      <c r="AX254" s="2152"/>
      <c r="AY254" s="2152"/>
      <c r="AZ254" s="2152"/>
      <c r="BA254" s="2152"/>
      <c r="BB254" s="2152"/>
      <c r="BC254" s="2152"/>
      <c r="BD254" s="2152"/>
      <c r="BE254" s="2152"/>
      <c r="BF254" s="2152"/>
      <c r="BG254" s="2152"/>
      <c r="BH254" s="2152"/>
      <c r="BI254" s="2152"/>
      <c r="BJ254" s="2152"/>
      <c r="BK254" s="2152"/>
      <c r="BL254" s="2152"/>
      <c r="BM254" s="2152"/>
      <c r="BN254" s="2152"/>
      <c r="BO254" s="2153"/>
      <c r="BP254" s="2153"/>
      <c r="BQ254" s="2153"/>
      <c r="BR254" s="2153"/>
      <c r="BS254" s="2153"/>
      <c r="BT254" s="2153"/>
      <c r="BU254" s="2153"/>
      <c r="BV254" s="2153"/>
      <c r="BW254" s="2153"/>
      <c r="BX254" s="2153"/>
      <c r="BY254" s="2153"/>
      <c r="BZ254" s="2153"/>
      <c r="CA254" s="34"/>
      <c r="CC254" s="58"/>
      <c r="CD254" s="2154" t="str" cm="1">
        <f t="array" ca="1" aca="1" ref="CD254">_xlfn.LET(_xlpm.search_key,$W254&amp;$Y254,_xlpm.Scenario,_xlfn.VSTACK($W$20:$W$55&amp;$Y$20:$Y$55,$W$76:$W$110&amp;$Y$76:$Y$110),_xlpm.Data,_xlfn.VSTACK(CD$20:CE$55,CD$76:CE$110),IF(OR($Y254="",ISNUMBER(SEARCH("please",$Y254))),"",_xlfn.XLOOKUP(_xlpm.search_key,_xlpm.Scenario,_xlpm.Data,"▧")))</f>
        <v/>
      </c>
      <c r="CE254" s="2154"/>
      <c r="CF254" s="88"/>
      <c r="CG254" s="2154" t="str" cm="1">
        <f t="array" ca="1" aca="1" ref="CG254">_xlfn.LET(_xlpm.search_key,$W254&amp;$Y254,_xlpm.Scenario,_xlfn.VSTACK($W$20:$W$55&amp;$Y$20:$Y$55,$W$76:$W$110&amp;$Y$76:$Y$110),_xlpm.Data,_xlfn.VSTACK(CG$20:CH$55,CG$76:CH$110),IF(OR($Y254="",ISNUMBER(SEARCH("please",$Y254))),"",_xlfn.XLOOKUP(_xlpm.search_key,_xlpm.Scenario,_xlpm.Data,"▧")))</f>
        <v/>
      </c>
      <c r="CH254" s="2154"/>
      <c r="CI254" s="88"/>
      <c r="CJ254" s="2154" t="str" cm="1">
        <f t="array" ref="CJ254">_xlfn.LET(_xlpm.search_key,$W254&amp;$Y254,_xlpm.Scenario,_xlfn.VSTACK($W$20:$W$55&amp;$Y$20:$Y$55,$W$76:$W$110&amp;$Y$76:$Y$110),_xlpm.Data,_xlfn.VSTACK(CJ$20:CK$55,CJ$76:CK$110),IF(OR($Y254="",ISNUMBER(SEARCH("please",$Y254))),"",_xlfn.XLOOKUP(_xlpm.search_key,_xlpm.Scenario,_xlpm.Data,"▧")))</f>
        <v/>
      </c>
      <c r="CK254" s="2154"/>
      <c r="CL254" s="88"/>
      <c r="CM254" s="2154" t="str" cm="1">
        <f t="array" ca="1" aca="1" ref="CM254">_xlfn.LET(_xlpm.search_key,$W254&amp;$Y254,_xlpm.Scenario,_xlfn.VSTACK($W$20:$W$55&amp;$Y$20:$Y$55,$W$76:$W$110&amp;$Y$76:$Y$110),_xlpm.Data,_xlfn.VSTACK(CM$20:CN$55,CM$76:CN$110),IF(OR($Y254="",ISNUMBER(SEARCH("please",$Y254))),"",_xlfn.XLOOKUP(_xlpm.search_key,_xlpm.Scenario,_xlpm.Data,"▧")))</f>
        <v/>
      </c>
      <c r="CN254" s="2154"/>
      <c r="CO254" s="88"/>
      <c r="CP254" s="2154" t="str" cm="1">
        <f t="array" ca="1" aca="1" ref="CP254">_xlfn.LET(_xlpm.search_key,$W254&amp;$Y254,_xlpm.Scenario,_xlfn.VSTACK($W$20:$W$55&amp;$Y$20:$Y$55,$W$76:$W$110&amp;$Y$76:$Y$110),_xlpm.Data,_xlfn.VSTACK(CP$20:CQ$55,CP$76:CQ$110),IF(OR($Y254="",ISNUMBER(SEARCH("please",$Y254))),"",_xlfn.XLOOKUP(_xlpm.search_key,_xlpm.Scenario,_xlpm.Data,"▧")))</f>
        <v/>
      </c>
      <c r="CQ254" s="2154"/>
      <c r="CR254" s="34"/>
      <c r="CS254" s="2056"/>
    </row>
    <row r="255" spans="1:97" ht="21" customHeight="1">
      <c r="A255" s="1627"/>
      <c r="B255" s="2331"/>
      <c r="C255" s="2084"/>
      <c r="D255" s="1549"/>
      <c r="E255" s="1902"/>
      <c r="F255" s="401"/>
      <c r="G255" s="401"/>
      <c r="H255" s="585"/>
      <c r="I255" s="585"/>
      <c r="J255" s="401"/>
      <c r="K255" s="401"/>
      <c r="N255" s="158"/>
      <c r="O255" s="101"/>
      <c r="P255" s="52"/>
      <c r="Q255" s="101"/>
      <c r="R255" s="101"/>
      <c r="S255" s="101">
        <f ca="1"/>
        <v>0</v>
      </c>
      <c r="T255" s="101"/>
      <c r="U255" s="39"/>
      <c r="V255" s="37"/>
      <c r="W255" s="2329"/>
      <c r="X255" s="2081"/>
      <c r="Y255" s="2367"/>
      <c r="Z255" s="198"/>
      <c r="AA255" s="2136"/>
      <c r="AB255" s="1134"/>
      <c r="AC255" s="125"/>
      <c r="AD255" s="2152" t="str" cm="1">
        <f t="array" ca="1" aca="1" ref="AD255">_xlfn.LET(_xlpm.search_key,$W255&amp;$Y255,_xlpm.Scenario,_xlfn.VSTACK($W$20:$W$55&amp;$Y$20:$Y$55,$W$76:$W$110&amp;$Y$76:$Y$110),_xlpm.Data,_xlfn.VSTACK($AD$20:$BN$55,$AD$76:$BN$110),IF(OR($Y255="",ISNUMBER(SEARCH("please",$Y255))),"",_xlfn.XLOOKUP(_xlpm.search_key,_xlpm.Scenario,_xlpm.Data,"▧",2)))</f>
        <v/>
      </c>
      <c r="AE255" s="2152"/>
      <c r="AF255" s="2152"/>
      <c r="AG255" s="2152"/>
      <c r="AH255" s="2152"/>
      <c r="AI255" s="2152"/>
      <c r="AJ255" s="2152"/>
      <c r="AK255" s="2152"/>
      <c r="AL255" s="2152"/>
      <c r="AM255" s="2152"/>
      <c r="AN255" s="2152"/>
      <c r="AO255" s="2152"/>
      <c r="AP255" s="2152"/>
      <c r="AQ255" s="2152"/>
      <c r="AR255" s="2152"/>
      <c r="AS255" s="2152"/>
      <c r="AT255" s="2152"/>
      <c r="AU255" s="2152"/>
      <c r="AV255" s="2152"/>
      <c r="AW255" s="2152"/>
      <c r="AX255" s="2152"/>
      <c r="AY255" s="2152"/>
      <c r="AZ255" s="2152"/>
      <c r="BA255" s="2152"/>
      <c r="BB255" s="2152"/>
      <c r="BC255" s="2152"/>
      <c r="BD255" s="2152"/>
      <c r="BE255" s="2152"/>
      <c r="BF255" s="2152"/>
      <c r="BG255" s="2152"/>
      <c r="BH255" s="2152"/>
      <c r="BI255" s="2152"/>
      <c r="BJ255" s="2152"/>
      <c r="BK255" s="2152"/>
      <c r="BL255" s="2152"/>
      <c r="BM255" s="2152"/>
      <c r="BN255" s="2152"/>
      <c r="BO255" s="2153"/>
      <c r="BP255" s="2153"/>
      <c r="BQ255" s="2153"/>
      <c r="BR255" s="2153"/>
      <c r="BS255" s="2153"/>
      <c r="BT255" s="2153"/>
      <c r="BU255" s="2153"/>
      <c r="BV255" s="2153"/>
      <c r="BW255" s="2153"/>
      <c r="BX255" s="2153"/>
      <c r="BY255" s="2153"/>
      <c r="BZ255" s="2153"/>
      <c r="CA255" s="34"/>
      <c r="CC255" s="58"/>
      <c r="CD255" s="2154" t="str" cm="1">
        <f t="array" ca="1" aca="1" ref="CD255">_xlfn.LET(_xlpm.search_key,$W255&amp;$Y255,_xlpm.Scenario,_xlfn.VSTACK($W$20:$W$55&amp;$Y$20:$Y$55,$W$76:$W$110&amp;$Y$76:$Y$110),_xlpm.Data,_xlfn.VSTACK(CD$20:CE$55,CD$76:CE$110),IF(OR($Y255="",ISNUMBER(SEARCH("please",$Y255))),"",_xlfn.XLOOKUP(_xlpm.search_key,_xlpm.Scenario,_xlpm.Data,"▧")))</f>
        <v/>
      </c>
      <c r="CE255" s="2154"/>
      <c r="CF255" s="88"/>
      <c r="CG255" s="2154" t="str" cm="1">
        <f t="array" ca="1" aca="1" ref="CG255">_xlfn.LET(_xlpm.search_key,$W255&amp;$Y255,_xlpm.Scenario,_xlfn.VSTACK($W$20:$W$55&amp;$Y$20:$Y$55,$W$76:$W$110&amp;$Y$76:$Y$110),_xlpm.Data,_xlfn.VSTACK(CG$20:CH$55,CG$76:CH$110),IF(OR($Y255="",ISNUMBER(SEARCH("please",$Y255))),"",_xlfn.XLOOKUP(_xlpm.search_key,_xlpm.Scenario,_xlpm.Data,"▧")))</f>
        <v/>
      </c>
      <c r="CH255" s="2154"/>
      <c r="CI255" s="88"/>
      <c r="CJ255" s="2154" t="str" cm="1">
        <f t="array" ref="CJ255">_xlfn.LET(_xlpm.search_key,$W255&amp;$Y255,_xlpm.Scenario,_xlfn.VSTACK($W$20:$W$55&amp;$Y$20:$Y$55,$W$76:$W$110&amp;$Y$76:$Y$110),_xlpm.Data,_xlfn.VSTACK(CJ$20:CK$55,CJ$76:CK$110),IF(OR($Y255="",ISNUMBER(SEARCH("please",$Y255))),"",_xlfn.XLOOKUP(_xlpm.search_key,_xlpm.Scenario,_xlpm.Data,"▧")))</f>
        <v/>
      </c>
      <c r="CK255" s="2154"/>
      <c r="CL255" s="88"/>
      <c r="CM255" s="2154" t="str" cm="1">
        <f t="array" ca="1" aca="1" ref="CM255">_xlfn.LET(_xlpm.search_key,$W255&amp;$Y255,_xlpm.Scenario,_xlfn.VSTACK($W$20:$W$55&amp;$Y$20:$Y$55,$W$76:$W$110&amp;$Y$76:$Y$110),_xlpm.Data,_xlfn.VSTACK(CM$20:CN$55,CM$76:CN$110),IF(OR($Y255="",ISNUMBER(SEARCH("please",$Y255))),"",_xlfn.XLOOKUP(_xlpm.search_key,_xlpm.Scenario,_xlpm.Data,"▧")))</f>
        <v/>
      </c>
      <c r="CN255" s="2154"/>
      <c r="CO255" s="88"/>
      <c r="CP255" s="2154" t="str" cm="1">
        <f t="array" ca="1" aca="1" ref="CP255">_xlfn.LET(_xlpm.search_key,$W255&amp;$Y255,_xlpm.Scenario,_xlfn.VSTACK($W$20:$W$55&amp;$Y$20:$Y$55,$W$76:$W$110&amp;$Y$76:$Y$110),_xlpm.Data,_xlfn.VSTACK(CP$20:CQ$55,CP$76:CQ$110),IF(OR($Y255="",ISNUMBER(SEARCH("please",$Y255))),"",_xlfn.XLOOKUP(_xlpm.search_key,_xlpm.Scenario,_xlpm.Data,"▧")))</f>
        <v/>
      </c>
      <c r="CQ255" s="2154"/>
      <c r="CR255" s="34"/>
      <c r="CS255" s="2056"/>
    </row>
    <row r="256" spans="1:96" ht="21" customHeight="1" outlineLevel="2">
      <c r="A256" s="1322"/>
      <c r="B256" s="577" t="s">
        <v>198</v>
      </c>
      <c r="C256" s="577" t="e" cm="1">
        <f t="array" ca="1" aca="1" ref="C256">IFBLANK(_xldudf_CX_GET(CX_ENTITY,B256,val_asOfDate),D256)</f>
        <v>#NAME?</v>
      </c>
      <c r="D256" s="577" t="s">
        <v>1847</v>
      </c>
      <c r="E256" s="577"/>
      <c r="F256" s="577"/>
      <c r="G256" s="1328" t="s">
        <v>215</v>
      </c>
      <c r="H256" s="510"/>
      <c r="I256" s="510"/>
      <c r="J256" s="30"/>
      <c r="K256" s="30"/>
      <c r="N256" s="158"/>
      <c r="O256" s="101"/>
      <c r="P256" s="52"/>
      <c r="Q256" s="101"/>
      <c r="R256" s="101"/>
      <c r="S256" s="2">
        <f ca="1"/>
        <v>0</v>
      </c>
      <c r="T256" s="2"/>
      <c r="U256" s="39"/>
      <c r="W256" s="2330"/>
      <c r="X256" s="2325"/>
      <c r="Y256" s="2326"/>
      <c r="Z256" s="878"/>
      <c r="AA256" s="877"/>
      <c r="AB256" s="1133"/>
      <c r="AC256" s="1163"/>
      <c r="AD256" s="1962">
        <f ca="1">SUMPRODUCT($X250:$X255,AD250:AD255)</f>
        <v>0</v>
      </c>
      <c r="AE256" s="1993">
        <f t="shared" si="71" ref="AE256:BN256">SUMPRODUCT($X250:$X255,AE250:AE255)</f>
        <v>0</v>
      </c>
      <c r="AF256" s="1993">
        <f t="shared" si="71"/>
        <v>0</v>
      </c>
      <c r="AG256" s="1993">
        <f t="shared" si="71"/>
        <v>0</v>
      </c>
      <c r="AH256" s="1993">
        <f t="shared" si="71"/>
        <v>0</v>
      </c>
      <c r="AI256" s="1993">
        <f t="shared" si="71"/>
        <v>0</v>
      </c>
      <c r="AJ256" s="1993">
        <f t="shared" si="71"/>
        <v>0</v>
      </c>
      <c r="AK256" s="1993">
        <f t="shared" si="71"/>
        <v>0</v>
      </c>
      <c r="AL256" s="1993">
        <f t="shared" si="71"/>
        <v>0</v>
      </c>
      <c r="AM256" s="1993">
        <f t="shared" si="71"/>
        <v>0</v>
      </c>
      <c r="AN256" s="1993">
        <f t="shared" si="71"/>
        <v>0</v>
      </c>
      <c r="AO256" s="1993">
        <f t="shared" si="71"/>
        <v>0</v>
      </c>
      <c r="AP256" s="1993">
        <f t="shared" si="71"/>
        <v>0</v>
      </c>
      <c r="AQ256" s="1993">
        <f t="shared" si="71"/>
        <v>0</v>
      </c>
      <c r="AR256" s="1993">
        <f t="shared" si="71"/>
        <v>0</v>
      </c>
      <c r="AS256" s="1993">
        <f t="shared" si="71"/>
        <v>0</v>
      </c>
      <c r="AT256" s="1993">
        <f t="shared" si="71"/>
        <v>0</v>
      </c>
      <c r="AU256" s="1993">
        <f t="shared" si="71"/>
        <v>0</v>
      </c>
      <c r="AV256" s="1993">
        <f t="shared" si="71"/>
        <v>0</v>
      </c>
      <c r="AW256" s="1993">
        <f t="shared" si="71"/>
        <v>0</v>
      </c>
      <c r="AX256" s="1993">
        <f t="shared" si="71"/>
        <v>0</v>
      </c>
      <c r="AY256" s="1993">
        <f t="shared" si="71"/>
        <v>0</v>
      </c>
      <c r="AZ256" s="1993">
        <f t="shared" si="71"/>
        <v>0</v>
      </c>
      <c r="BA256" s="1993">
        <f t="shared" si="71"/>
        <v>0</v>
      </c>
      <c r="BB256" s="1993">
        <f t="shared" si="71"/>
        <v>0</v>
      </c>
      <c r="BC256" s="1993">
        <f t="shared" si="71"/>
        <v>0</v>
      </c>
      <c r="BD256" s="1993">
        <f t="shared" si="71"/>
        <v>0</v>
      </c>
      <c r="BE256" s="1993">
        <f t="shared" si="71"/>
        <v>0</v>
      </c>
      <c r="BF256" s="1993">
        <f t="shared" si="71"/>
        <v>0</v>
      </c>
      <c r="BG256" s="1993">
        <f t="shared" si="71"/>
        <v>0</v>
      </c>
      <c r="BH256" s="1993">
        <f t="shared" si="71"/>
        <v>0</v>
      </c>
      <c r="BI256" s="1993">
        <f t="shared" si="71"/>
        <v>0</v>
      </c>
      <c r="BJ256" s="1993">
        <f t="shared" si="71"/>
        <v>0</v>
      </c>
      <c r="BK256" s="1993">
        <f t="shared" si="71"/>
        <v>0</v>
      </c>
      <c r="BL256" s="1993">
        <f t="shared" si="71"/>
        <v>0</v>
      </c>
      <c r="BM256" s="1993">
        <f t="shared" si="71"/>
        <v>0</v>
      </c>
      <c r="BN256" s="1993">
        <f t="shared" si="71"/>
        <v>0</v>
      </c>
      <c r="BO256" s="2110"/>
      <c r="BP256" s="2110"/>
      <c r="BQ256" s="2110"/>
      <c r="BR256" s="2110"/>
      <c r="BS256" s="2110"/>
      <c r="BT256" s="2110"/>
      <c r="BU256" s="2110"/>
      <c r="BV256" s="2110"/>
      <c r="BW256" s="2110"/>
      <c r="BX256" s="2110"/>
      <c r="BY256" s="2110"/>
      <c r="BZ256" s="2110"/>
      <c r="CA256" s="34"/>
      <c r="CC256" s="58"/>
      <c r="CD256" s="1461">
        <f ca="1">SUMPRODUCT($X250:$X255,CD250:CD255)</f>
        <v>0</v>
      </c>
      <c r="CE256" s="1461">
        <f t="shared" si="72" ref="CE256">SUMPRODUCT($X250:$X253,CE250:CE253)</f>
        <v>0</v>
      </c>
      <c r="CF256" s="88"/>
      <c r="CG256" s="1461">
        <f ca="1">SUMPRODUCT($X250:$X255,CG250:CG255)</f>
        <v>0</v>
      </c>
      <c r="CH256" s="1461">
        <f t="shared" si="73" ref="CH256">SUMPRODUCT($X250:$X253,CH250:CH253)</f>
        <v>0</v>
      </c>
      <c r="CI256" s="88"/>
      <c r="CJ256" s="1461">
        <f>SUMPRODUCT($X250:$X255,CJ250:CJ255)</f>
        <v>0</v>
      </c>
      <c r="CK256" s="1461">
        <f t="shared" si="74" ref="CK256">SUMPRODUCT($X250:$X253,CK250:CK253)</f>
        <v>0</v>
      </c>
      <c r="CL256" s="88"/>
      <c r="CM256" s="1142">
        <f ca="1">SUMPRODUCT($X250:$X255,CM250:CM255)</f>
        <v>0</v>
      </c>
      <c r="CN256" s="1142">
        <f t="shared" si="75" ref="CN256">SUMPRODUCT($X250:$X253,CN250:CN253)</f>
        <v>0</v>
      </c>
      <c r="CO256" s="88"/>
      <c r="CP256" s="1142">
        <f ca="1">SUMPRODUCT($X250:$X255,CP250:CP255)</f>
        <v>0</v>
      </c>
      <c r="CQ256" s="1142">
        <f t="shared" si="76" ref="CQ256">SUMPRODUCT($X250:$X253,CQ250:CQ253)</f>
        <v>0</v>
      </c>
      <c r="CR256" s="34"/>
    </row>
    <row r="257" spans="1:144" s="108" customFormat="1" ht="21" customHeight="1">
      <c r="A257" s="1628"/>
      <c r="B257" s="2331"/>
      <c r="C257" s="2084"/>
      <c r="D257" s="1549"/>
      <c r="E257" s="2135"/>
      <c r="F257" s="401"/>
      <c r="G257" s="401"/>
      <c r="H257" s="585"/>
      <c r="I257" s="585"/>
      <c r="J257" s="401"/>
      <c r="K257" s="401"/>
      <c r="L257"/>
      <c r="N257" s="2134"/>
      <c r="O257" s="101"/>
      <c r="P257" s="101"/>
      <c r="Q257" s="101"/>
      <c r="R257" s="101"/>
      <c r="S257" s="101">
        <f ca="1"/>
        <v>0</v>
      </c>
      <c r="T257" s="101"/>
      <c r="U257" s="101"/>
      <c r="V257" s="822"/>
      <c r="W257" s="2332"/>
      <c r="X257" s="2333"/>
      <c r="Y257" s="2334"/>
      <c r="Z257" s="2316"/>
      <c r="AA257" s="2316"/>
      <c r="AB257" s="88"/>
      <c r="AC257" s="128"/>
      <c r="AD257" s="2317"/>
      <c r="AE257" s="2317"/>
      <c r="AF257" s="2317"/>
      <c r="AG257" s="2317"/>
      <c r="AH257" s="2317"/>
      <c r="AI257" s="2317"/>
      <c r="AJ257" s="2317"/>
      <c r="AK257" s="2317"/>
      <c r="AL257" s="2317"/>
      <c r="AM257" s="2317"/>
      <c r="AN257" s="2317"/>
      <c r="AO257" s="2317"/>
      <c r="AP257" s="2317"/>
      <c r="AQ257" s="2317"/>
      <c r="AR257" s="2317"/>
      <c r="AS257" s="2317"/>
      <c r="AT257" s="2317"/>
      <c r="AU257" s="2317"/>
      <c r="AV257" s="2317"/>
      <c r="AW257" s="2317"/>
      <c r="AX257" s="2317"/>
      <c r="AY257" s="2317"/>
      <c r="AZ257" s="2317"/>
      <c r="BA257" s="2317"/>
      <c r="BB257" s="2317"/>
      <c r="BC257" s="2317"/>
      <c r="BD257" s="2317"/>
      <c r="BE257" s="2317"/>
      <c r="BF257" s="2317"/>
      <c r="BG257" s="2317"/>
      <c r="BH257" s="2317"/>
      <c r="BI257" s="2317"/>
      <c r="BJ257" s="2317"/>
      <c r="BK257" s="2317"/>
      <c r="BL257" s="2317"/>
      <c r="BM257" s="2317"/>
      <c r="BN257" s="2317"/>
      <c r="BO257" s="2318"/>
      <c r="BP257" s="2318"/>
      <c r="BQ257" s="2318"/>
      <c r="BR257" s="2318"/>
      <c r="BS257" s="2318"/>
      <c r="BT257" s="2318"/>
      <c r="BU257" s="2318"/>
      <c r="BV257" s="2318"/>
      <c r="BW257" s="2318"/>
      <c r="BX257" s="2318"/>
      <c r="BY257" s="2318"/>
      <c r="BZ257" s="2318"/>
      <c r="CA257" s="88"/>
      <c r="CC257" s="383"/>
      <c r="CD257" s="2319"/>
      <c r="CE257" s="2319"/>
      <c r="CF257" s="88"/>
      <c r="CG257" s="2319"/>
      <c r="CH257" s="2319"/>
      <c r="CI257" s="88"/>
      <c r="CJ257" s="2319"/>
      <c r="CK257" s="2319"/>
      <c r="CL257" s="88"/>
      <c r="CM257" s="2320"/>
      <c r="CN257" s="2320"/>
      <c r="CO257" s="88"/>
      <c r="CP257" s="2320"/>
      <c r="CQ257" s="2320"/>
      <c r="CR257" s="88"/>
      <c r="CS257" s="2321"/>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row>
    <row r="258" spans="1:97" ht="21" customHeight="1">
      <c r="A258" s="1627"/>
      <c r="B258" s="2331"/>
      <c r="C258" s="2084"/>
      <c r="D258" s="1549"/>
      <c r="E258" s="2135"/>
      <c r="F258" s="401"/>
      <c r="G258" s="401"/>
      <c r="H258" s="585"/>
      <c r="I258" s="585"/>
      <c r="J258" s="401"/>
      <c r="K258" s="401"/>
      <c r="N258" s="158"/>
      <c r="O258" s="101"/>
      <c r="P258" s="52"/>
      <c r="Q258" s="101"/>
      <c r="R258" s="101"/>
      <c r="S258" s="18">
        <f ca="1"/>
        <v>0</v>
      </c>
      <c r="T258" s="18"/>
      <c r="U258" s="39"/>
      <c r="V258" s="37"/>
      <c r="W258" s="2328" t="e" cm="1">
        <f t="array" ca="1" aca="1" ref="W258">UNPACK(C265)</f>
        <v>#NAME?</v>
      </c>
      <c r="X258" s="2137"/>
      <c r="Y258" s="2327"/>
      <c r="Z258" s="2139"/>
      <c r="AA258" s="2140"/>
      <c r="AB258" s="2141" t="s">
        <v>199</v>
      </c>
      <c r="AC258" s="2138"/>
      <c r="AD258" s="2138"/>
      <c r="AE258" s="2138"/>
      <c r="AF258" s="2138"/>
      <c r="AG258" s="2138"/>
      <c r="AH258" s="2138"/>
      <c r="AI258" s="2138"/>
      <c r="AJ258" s="2138"/>
      <c r="AK258" s="2138"/>
      <c r="AL258" s="2138"/>
      <c r="AM258" s="2138"/>
      <c r="AN258" s="2138"/>
      <c r="AO258" s="2138"/>
      <c r="AP258" s="2138"/>
      <c r="AQ258" s="2138"/>
      <c r="AR258" s="2138"/>
      <c r="AS258" s="2138"/>
      <c r="AT258" s="2138"/>
      <c r="AU258" s="2138"/>
      <c r="AV258" s="2138"/>
      <c r="AW258" s="2138"/>
      <c r="AX258" s="2138"/>
      <c r="AY258" s="2138"/>
      <c r="AZ258" s="2138"/>
      <c r="BA258" s="2138"/>
      <c r="BB258" s="2138"/>
      <c r="BC258" s="2138"/>
      <c r="BD258" s="2138"/>
      <c r="BE258" s="2138"/>
      <c r="BF258" s="2138"/>
      <c r="BG258" s="2138"/>
      <c r="BH258" s="2138"/>
      <c r="BI258" s="2138"/>
      <c r="BJ258" s="2138"/>
      <c r="BK258" s="2138"/>
      <c r="BL258" s="2138"/>
      <c r="BM258" s="2138"/>
      <c r="BN258" s="2138"/>
      <c r="BO258" s="1634"/>
      <c r="BP258" s="1634"/>
      <c r="BQ258" s="1634"/>
      <c r="BR258" s="1634"/>
      <c r="BS258" s="1634"/>
      <c r="BT258" s="1634"/>
      <c r="BU258" s="1634"/>
      <c r="BV258" s="1634"/>
      <c r="BW258" s="1634"/>
      <c r="BX258" s="1634"/>
      <c r="BY258" s="1634"/>
      <c r="BZ258" s="1634"/>
      <c r="CA258" s="34"/>
      <c r="CC258" s="58"/>
      <c r="CD258" s="1720">
        <f>($W253)</f>
        <v>0</v>
      </c>
      <c r="CE258" s="1721">
        <f>($W253)</f>
        <v>0</v>
      </c>
      <c r="CF258" s="128"/>
      <c r="CG258" s="1734">
        <f>($W253)</f>
        <v>0</v>
      </c>
      <c r="CH258" s="1735">
        <f>($W253)</f>
        <v>0</v>
      </c>
      <c r="CI258" s="207"/>
      <c r="CJ258" s="1724">
        <f>($W253)</f>
        <v>0</v>
      </c>
      <c r="CK258" s="1725">
        <f>($W253)</f>
        <v>0</v>
      </c>
      <c r="CL258" s="88"/>
      <c r="CM258" s="1198" t="str">
        <f>CM$19</f>
        <v>Original Budget</v>
      </c>
      <c r="CN258" s="1198" t="str">
        <f>CN$19</f>
        <v>LE</v>
      </c>
      <c r="CO258" s="88"/>
      <c r="CP258" s="1819" t="str">
        <f>$CP$19</f>
        <v>Original Budget</v>
      </c>
      <c r="CQ258" s="1819" t="str">
        <f>$CQ$19</f>
        <v>LE</v>
      </c>
      <c r="CR258" s="34"/>
      <c r="CS258" s="2056"/>
    </row>
    <row r="259" spans="1:97" ht="21" customHeight="1">
      <c r="A259" s="1627"/>
      <c r="B259" s="2331"/>
      <c r="C259" s="2084"/>
      <c r="D259" s="1549"/>
      <c r="E259" s="1902" cm="1">
        <f t="array" ca="1" aca="1" ref="E259:G25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259:$CQ259,Z259)</f>
        <v>0</v>
      </c>
      <c r="F259" s="401">
        <f ca="1"/>
        <v>0</v>
      </c>
      <c r="G259" s="401" t="str">
        <f ca="1"/>
        <v>A</v>
      </c>
      <c r="H259" s="585">
        <v>0</v>
      </c>
      <c r="I259" s="3290">
        <v>1</v>
      </c>
      <c r="J259" s="401"/>
      <c r="K259" s="401" t="str">
        <f t="shared" si="77" ref="K259:K260">IFERROR(IF(LEN(AB259)=0,"No",IF(LEN(J259)&gt;0,"Yes","No")),"")</f>
        <v>No</v>
      </c>
      <c r="N259" s="158"/>
      <c r="O259" s="101"/>
      <c r="P259" s="52"/>
      <c r="Q259" s="101"/>
      <c r="R259" s="101"/>
      <c r="S259" s="101">
        <f ca="1"/>
        <v>0</v>
      </c>
      <c r="T259" s="2324"/>
      <c r="U259" s="39"/>
      <c r="V259" s="37"/>
      <c r="W259" s="2329"/>
      <c r="X259" s="2081"/>
      <c r="Y259" s="2366"/>
      <c r="Z259" s="198"/>
      <c r="AA259" s="2136"/>
      <c r="AB259" s="1134"/>
      <c r="AC259" s="125"/>
      <c r="AD259" s="2152" t="str" cm="1">
        <f t="array" ca="1" aca="1" ref="AD259">_xlfn.LET(_xlpm.search_key,$W259&amp;$Y259,_xlpm.Scenario,_xlfn.VSTACK($W$20:$W$55&amp;$Y$20:$Y$55,$W$76:$W$110&amp;$Y$76:$Y$110),_xlpm.Data,_xlfn.VSTACK($AD$20:$BN$55,$AD$76:$BN$110),IF(OR($Y259="",ISNUMBER(SEARCH("please",$Y259))),"",_xlfn.XLOOKUP(_xlpm.search_key,_xlpm.Scenario,_xlpm.Data,"▧",2)))</f>
        <v/>
      </c>
      <c r="AE259" s="2152"/>
      <c r="AF259" s="2152"/>
      <c r="AG259" s="2152"/>
      <c r="AH259" s="2152"/>
      <c r="AI259" s="2152"/>
      <c r="AJ259" s="2152"/>
      <c r="AK259" s="2152"/>
      <c r="AL259" s="2152"/>
      <c r="AM259" s="2152"/>
      <c r="AN259" s="2152"/>
      <c r="AO259" s="2152"/>
      <c r="AP259" s="2152"/>
      <c r="AQ259" s="2152"/>
      <c r="AR259" s="2152"/>
      <c r="AS259" s="2152"/>
      <c r="AT259" s="2152"/>
      <c r="AU259" s="2152"/>
      <c r="AV259" s="2152"/>
      <c r="AW259" s="2152"/>
      <c r="AX259" s="2152"/>
      <c r="AY259" s="2152"/>
      <c r="AZ259" s="2152"/>
      <c r="BA259" s="2152"/>
      <c r="BB259" s="2152"/>
      <c r="BC259" s="2152"/>
      <c r="BD259" s="2152"/>
      <c r="BE259" s="2152"/>
      <c r="BF259" s="2152"/>
      <c r="BG259" s="2152"/>
      <c r="BH259" s="2152"/>
      <c r="BI259" s="2152"/>
      <c r="BJ259" s="2152"/>
      <c r="BK259" s="2152"/>
      <c r="BL259" s="2152"/>
      <c r="BM259" s="2152"/>
      <c r="BN259" s="2152"/>
      <c r="BO259" s="2153"/>
      <c r="BP259" s="2153"/>
      <c r="BQ259" s="2153"/>
      <c r="BR259" s="2153"/>
      <c r="BS259" s="2153"/>
      <c r="BT259" s="2153"/>
      <c r="BU259" s="2153"/>
      <c r="BV259" s="2153"/>
      <c r="BW259" s="2153"/>
      <c r="BX259" s="2153"/>
      <c r="BY259" s="2153"/>
      <c r="BZ259" s="2153"/>
      <c r="CA259" s="34"/>
      <c r="CC259" s="58"/>
      <c r="CD259" s="2154" t="str" cm="1">
        <f t="array" ca="1" aca="1" ref="CD259">_xlfn.LET(_xlpm.search_key,$W259&amp;$Y259,_xlpm.Scenario,_xlfn.VSTACK($W$20:$W$55&amp;$Y$20:$Y$55,$W$76:$W$110&amp;$Y$76:$Y$110),_xlpm.Data,_xlfn.VSTACK(CD$20:CE$55,CD$76:CE$110),IF(OR($Y259="",ISNUMBER(SEARCH("please",$Y259))),"",_xlfn.XLOOKUP(_xlpm.search_key,_xlpm.Scenario,_xlpm.Data,"▧")))</f>
        <v/>
      </c>
      <c r="CE259" s="2154"/>
      <c r="CF259" s="88"/>
      <c r="CG259" s="2154" t="str" cm="1">
        <f t="array" ca="1" aca="1" ref="CG259">_xlfn.LET(_xlpm.search_key,$W259&amp;$Y259,_xlpm.Scenario,_xlfn.VSTACK($W$20:$W$55&amp;$Y$20:$Y$55,$W$76:$W$110&amp;$Y$76:$Y$110),_xlpm.Data,_xlfn.VSTACK(CG$20:CH$55,CG$76:CH$110),IF(OR($Y259="",ISNUMBER(SEARCH("please",$Y259))),"",_xlfn.XLOOKUP(_xlpm.search_key,_xlpm.Scenario,_xlpm.Data,"▧")))</f>
        <v/>
      </c>
      <c r="CH259" s="2154"/>
      <c r="CI259" s="88"/>
      <c r="CJ259" s="2154" t="str" cm="1">
        <f t="array" ref="CJ259">_xlfn.LET(_xlpm.search_key,$W259&amp;$Y259,_xlpm.Scenario,_xlfn.VSTACK($W$20:$W$55&amp;$Y$20:$Y$55,$W$76:$W$110&amp;$Y$76:$Y$110),_xlpm.Data,_xlfn.VSTACK(CJ$20:CK$55,CJ$76:CK$110),IF(OR($Y259="",ISNUMBER(SEARCH("please",$Y259))),"",_xlfn.XLOOKUP(_xlpm.search_key,_xlpm.Scenario,_xlpm.Data,"▧")))</f>
        <v/>
      </c>
      <c r="CK259" s="2154"/>
      <c r="CL259" s="88"/>
      <c r="CM259" s="2154" t="str" cm="1">
        <f t="array" ca="1" aca="1" ref="CM259">_xlfn.LET(_xlpm.search_key,$W259&amp;$Y259,_xlpm.Scenario,_xlfn.VSTACK($W$20:$W$55&amp;$Y$20:$Y$55,$W$76:$W$110&amp;$Y$76:$Y$110),_xlpm.Data,_xlfn.VSTACK(CM$20:CN$55,CM$76:CN$110),IF(OR($Y259="",ISNUMBER(SEARCH("please",$Y259))),"",_xlfn.XLOOKUP(_xlpm.search_key,_xlpm.Scenario,_xlpm.Data,"▧")))</f>
        <v/>
      </c>
      <c r="CN259" s="2154"/>
      <c r="CO259" s="88"/>
      <c r="CP259" s="2154" t="str" cm="1">
        <f t="array" ca="1" aca="1" ref="CP259">_xlfn.LET(_xlpm.search_key,$W259&amp;$Y259,_xlpm.Scenario,_xlfn.VSTACK($W$20:$W$55&amp;$Y$20:$Y$55,$W$76:$W$110&amp;$Y$76:$Y$110),_xlpm.Data,_xlfn.VSTACK(CP$20:CQ$55,CP$76:CQ$110),IF(OR($Y259="",ISNUMBER(SEARCH("please",$Y259))),"",_xlfn.XLOOKUP(_xlpm.search_key,_xlpm.Scenario,_xlpm.Data,"▧")))</f>
        <v/>
      </c>
      <c r="CQ259" s="2154"/>
      <c r="CR259" s="34"/>
      <c r="CS259" s="2056"/>
    </row>
    <row r="260" spans="1:97" ht="21" customHeight="1">
      <c r="A260" s="1627"/>
      <c r="B260" s="2331"/>
      <c r="C260" s="2084"/>
      <c r="D260" s="1549"/>
      <c r="E260" s="1902" cm="1">
        <f t="array" ca="1" aca="1" ref="E260:G26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260:$CQ260,Z260)</f>
        <v>0</v>
      </c>
      <c r="F260" s="401">
        <f ca="1"/>
        <v>0</v>
      </c>
      <c r="G260" s="401" t="str">
        <f ca="1"/>
        <v>A</v>
      </c>
      <c r="H260" s="585">
        <v>0</v>
      </c>
      <c r="I260" s="3290">
        <v>1</v>
      </c>
      <c r="J260" s="401"/>
      <c r="K260" s="401" t="str">
        <f t="shared" si="77"/>
        <v>No</v>
      </c>
      <c r="N260" s="158"/>
      <c r="O260" s="101"/>
      <c r="P260" s="52"/>
      <c r="Q260" s="101"/>
      <c r="R260" s="101"/>
      <c r="S260" s="101">
        <f ca="1"/>
        <v>0</v>
      </c>
      <c r="T260" s="101"/>
      <c r="U260" s="39"/>
      <c r="V260" s="37"/>
      <c r="W260" s="2329"/>
      <c r="X260" s="2081"/>
      <c r="Y260" s="2367"/>
      <c r="Z260" s="198"/>
      <c r="AA260" s="2136"/>
      <c r="AB260" s="1134"/>
      <c r="AC260" s="125"/>
      <c r="AD260" s="2152" t="str" cm="1">
        <f t="array" ca="1" aca="1" ref="AD260">_xlfn.LET(_xlpm.search_key,$W260&amp;$Y260,_xlpm.Scenario,_xlfn.VSTACK($W$20:$W$55&amp;$Y$20:$Y$55,$W$76:$W$110&amp;$Y$76:$Y$110),_xlpm.Data,_xlfn.VSTACK($AD$20:$BN$55,$AD$76:$BN$110),IF(OR($Y260="",ISNUMBER(SEARCH("please",$Y260))),"",_xlfn.XLOOKUP(_xlpm.search_key,_xlpm.Scenario,_xlpm.Data,"▧",2)))</f>
        <v/>
      </c>
      <c r="AE260" s="2152"/>
      <c r="AF260" s="2152"/>
      <c r="AG260" s="2152"/>
      <c r="AH260" s="2152"/>
      <c r="AI260" s="2152"/>
      <c r="AJ260" s="2152"/>
      <c r="AK260" s="2152"/>
      <c r="AL260" s="2152"/>
      <c r="AM260" s="2152"/>
      <c r="AN260" s="2152"/>
      <c r="AO260" s="2152"/>
      <c r="AP260" s="2152"/>
      <c r="AQ260" s="2152"/>
      <c r="AR260" s="2152"/>
      <c r="AS260" s="2152"/>
      <c r="AT260" s="2152"/>
      <c r="AU260" s="2152"/>
      <c r="AV260" s="2152"/>
      <c r="AW260" s="2152"/>
      <c r="AX260" s="2152"/>
      <c r="AY260" s="2152"/>
      <c r="AZ260" s="2152"/>
      <c r="BA260" s="2152"/>
      <c r="BB260" s="2152"/>
      <c r="BC260" s="2152"/>
      <c r="BD260" s="2152"/>
      <c r="BE260" s="2152"/>
      <c r="BF260" s="2152"/>
      <c r="BG260" s="2152"/>
      <c r="BH260" s="2152"/>
      <c r="BI260" s="2152"/>
      <c r="BJ260" s="2152"/>
      <c r="BK260" s="2152"/>
      <c r="BL260" s="2152"/>
      <c r="BM260" s="2152"/>
      <c r="BN260" s="2152"/>
      <c r="BO260" s="2153"/>
      <c r="BP260" s="2153"/>
      <c r="BQ260" s="2153"/>
      <c r="BR260" s="2153"/>
      <c r="BS260" s="2153"/>
      <c r="BT260" s="2153"/>
      <c r="BU260" s="2153"/>
      <c r="BV260" s="2153"/>
      <c r="BW260" s="2153"/>
      <c r="BX260" s="2153"/>
      <c r="BY260" s="2153"/>
      <c r="BZ260" s="2153"/>
      <c r="CA260" s="34"/>
      <c r="CC260" s="58"/>
      <c r="CD260" s="2154" t="str" cm="1">
        <f t="array" ca="1" aca="1" ref="CD260">_xlfn.LET(_xlpm.search_key,$W260&amp;$Y260,_xlpm.Scenario,_xlfn.VSTACK($W$20:$W$55&amp;$Y$20:$Y$55,$W$76:$W$110&amp;$Y$76:$Y$110),_xlpm.Data,_xlfn.VSTACK(CD$20:CE$55,CD$76:CE$110),IF(OR($Y260="",ISNUMBER(SEARCH("please",$Y260))),"",_xlfn.XLOOKUP(_xlpm.search_key,_xlpm.Scenario,_xlpm.Data,"▧")))</f>
        <v/>
      </c>
      <c r="CE260" s="2154"/>
      <c r="CF260" s="88"/>
      <c r="CG260" s="2154" t="str" cm="1">
        <f t="array" ca="1" aca="1" ref="CG260">_xlfn.LET(_xlpm.search_key,$W260&amp;$Y260,_xlpm.Scenario,_xlfn.VSTACK($W$20:$W$55&amp;$Y$20:$Y$55,$W$76:$W$110&amp;$Y$76:$Y$110),_xlpm.Data,_xlfn.VSTACK(CG$20:CH$55,CG$76:CH$110),IF(OR($Y260="",ISNUMBER(SEARCH("please",$Y260))),"",_xlfn.XLOOKUP(_xlpm.search_key,_xlpm.Scenario,_xlpm.Data,"▧")))</f>
        <v/>
      </c>
      <c r="CH260" s="2154"/>
      <c r="CI260" s="88"/>
      <c r="CJ260" s="2154" t="str" cm="1">
        <f t="array" ref="CJ260">_xlfn.LET(_xlpm.search_key,$W260&amp;$Y260,_xlpm.Scenario,_xlfn.VSTACK($W$20:$W$55&amp;$Y$20:$Y$55,$W$76:$W$110&amp;$Y$76:$Y$110),_xlpm.Data,_xlfn.VSTACK(CJ$20:CK$55,CJ$76:CK$110),IF(OR($Y260="",ISNUMBER(SEARCH("please",$Y260))),"",_xlfn.XLOOKUP(_xlpm.search_key,_xlpm.Scenario,_xlpm.Data,"▧")))</f>
        <v/>
      </c>
      <c r="CK260" s="2154"/>
      <c r="CL260" s="88"/>
      <c r="CM260" s="2154" t="str" cm="1">
        <f t="array" ca="1" aca="1" ref="CM260">_xlfn.LET(_xlpm.search_key,$W260&amp;$Y260,_xlpm.Scenario,_xlfn.VSTACK($W$20:$W$55&amp;$Y$20:$Y$55,$W$76:$W$110&amp;$Y$76:$Y$110),_xlpm.Data,_xlfn.VSTACK(CM$20:CN$55,CM$76:CN$110),IF(OR($Y260="",ISNUMBER(SEARCH("please",$Y260))),"",_xlfn.XLOOKUP(_xlpm.search_key,_xlpm.Scenario,_xlpm.Data,"▧")))</f>
        <v/>
      </c>
      <c r="CN260" s="2154"/>
      <c r="CO260" s="88"/>
      <c r="CP260" s="2154" t="str" cm="1">
        <f t="array" ca="1" aca="1" ref="CP260">_xlfn.LET(_xlpm.search_key,$W260&amp;$Y260,_xlpm.Scenario,_xlfn.VSTACK($W$20:$W$55&amp;$Y$20:$Y$55,$W$76:$W$110&amp;$Y$76:$Y$110),_xlpm.Data,_xlfn.VSTACK(CP$20:CQ$55,CP$76:CQ$110),IF(OR($Y260="",ISNUMBER(SEARCH("please",$Y260))),"",_xlfn.XLOOKUP(_xlpm.search_key,_xlpm.Scenario,_xlpm.Data,"▧")))</f>
        <v/>
      </c>
      <c r="CQ260" s="2154"/>
      <c r="CR260" s="34"/>
      <c r="CS260" s="2056"/>
    </row>
    <row r="261" spans="1:97" ht="21" customHeight="1">
      <c r="A261" s="1627"/>
      <c r="B261" s="2331"/>
      <c r="C261" s="2084"/>
      <c r="D261" s="1549"/>
      <c r="E261" s="1902"/>
      <c r="F261" s="401"/>
      <c r="G261" s="401"/>
      <c r="H261" s="585"/>
      <c r="I261" s="585"/>
      <c r="J261" s="401"/>
      <c r="K261" s="401"/>
      <c r="N261" s="158"/>
      <c r="O261" s="101"/>
      <c r="P261" s="52"/>
      <c r="Q261" s="101"/>
      <c r="R261" s="101"/>
      <c r="S261" s="101"/>
      <c r="T261" s="101"/>
      <c r="U261" s="39"/>
      <c r="V261" s="37"/>
      <c r="W261" s="2329"/>
      <c r="X261" s="2081"/>
      <c r="Y261" s="2367"/>
      <c r="Z261" s="198"/>
      <c r="AA261" s="2136"/>
      <c r="AB261" s="1134"/>
      <c r="AC261" s="125"/>
      <c r="AD261" s="2152" t="str" cm="1">
        <f t="array" ca="1" aca="1" ref="AD261">_xlfn.LET(_xlpm.search_key,$W261&amp;$Y261,_xlpm.Scenario,_xlfn.VSTACK($W$20:$W$55&amp;$Y$20:$Y$55,$W$76:$W$110&amp;$Y$76:$Y$110),_xlpm.Data,_xlfn.VSTACK($AD$20:$BN$55,$AD$76:$BN$110),IF(OR($Y261="",ISNUMBER(SEARCH("please",$Y261))),"",_xlfn.XLOOKUP(_xlpm.search_key,_xlpm.Scenario,_xlpm.Data,"▧",2)))</f>
        <v/>
      </c>
      <c r="AE261" s="2152"/>
      <c r="AF261" s="2152"/>
      <c r="AG261" s="2152"/>
      <c r="AH261" s="2152"/>
      <c r="AI261" s="2152"/>
      <c r="AJ261" s="2152"/>
      <c r="AK261" s="2152"/>
      <c r="AL261" s="2152"/>
      <c r="AM261" s="2152"/>
      <c r="AN261" s="2152"/>
      <c r="AO261" s="2152"/>
      <c r="AP261" s="2152"/>
      <c r="AQ261" s="2152"/>
      <c r="AR261" s="2152"/>
      <c r="AS261" s="2152"/>
      <c r="AT261" s="2152"/>
      <c r="AU261" s="2152"/>
      <c r="AV261" s="2152"/>
      <c r="AW261" s="2152"/>
      <c r="AX261" s="2152"/>
      <c r="AY261" s="2152"/>
      <c r="AZ261" s="2152"/>
      <c r="BA261" s="2152"/>
      <c r="BB261" s="2152"/>
      <c r="BC261" s="2152"/>
      <c r="BD261" s="2152"/>
      <c r="BE261" s="2152"/>
      <c r="BF261" s="2152"/>
      <c r="BG261" s="2152"/>
      <c r="BH261" s="2152"/>
      <c r="BI261" s="2152"/>
      <c r="BJ261" s="2152"/>
      <c r="BK261" s="2152"/>
      <c r="BL261" s="2152"/>
      <c r="BM261" s="2152"/>
      <c r="BN261" s="2152"/>
      <c r="BO261" s="2153"/>
      <c r="BP261" s="2153"/>
      <c r="BQ261" s="2153"/>
      <c r="BR261" s="2153"/>
      <c r="BS261" s="2153"/>
      <c r="BT261" s="2153"/>
      <c r="BU261" s="2153"/>
      <c r="BV261" s="2153"/>
      <c r="BW261" s="2153"/>
      <c r="BX261" s="2153"/>
      <c r="BY261" s="2153"/>
      <c r="BZ261" s="2153"/>
      <c r="CA261" s="34"/>
      <c r="CC261" s="58"/>
      <c r="CD261" s="2154" t="str" cm="1">
        <f t="array" ca="1" aca="1" ref="CD261">_xlfn.LET(_xlpm.search_key,$W261&amp;$Y261,_xlpm.Scenario,_xlfn.VSTACK($W$20:$W$55&amp;$Y$20:$Y$55,$W$76:$W$110&amp;$Y$76:$Y$110),_xlpm.Data,_xlfn.VSTACK(CD$20:CE$55,CD$76:CE$110),IF(OR($Y261="",ISNUMBER(SEARCH("please",$Y261))),"",_xlfn.XLOOKUP(_xlpm.search_key,_xlpm.Scenario,_xlpm.Data,"▧")))</f>
        <v/>
      </c>
      <c r="CE261" s="2154"/>
      <c r="CF261" s="88"/>
      <c r="CG261" s="2154" t="str" cm="1">
        <f t="array" ca="1" aca="1" ref="CG261">_xlfn.LET(_xlpm.search_key,$W261&amp;$Y261,_xlpm.Scenario,_xlfn.VSTACK($W$20:$W$55&amp;$Y$20:$Y$55,$W$76:$W$110&amp;$Y$76:$Y$110),_xlpm.Data,_xlfn.VSTACK(CG$20:CH$55,CG$76:CH$110),IF(OR($Y261="",ISNUMBER(SEARCH("please",$Y261))),"",_xlfn.XLOOKUP(_xlpm.search_key,_xlpm.Scenario,_xlpm.Data,"▧")))</f>
        <v/>
      </c>
      <c r="CH261" s="2154"/>
      <c r="CI261" s="88"/>
      <c r="CJ261" s="2154" t="str" cm="1">
        <f t="array" ref="CJ261">_xlfn.LET(_xlpm.search_key,$W261&amp;$Y261,_xlpm.Scenario,_xlfn.VSTACK($W$20:$W$55&amp;$Y$20:$Y$55,$W$76:$W$110&amp;$Y$76:$Y$110),_xlpm.Data,_xlfn.VSTACK(CJ$20:CK$55,CJ$76:CK$110),IF(OR($Y261="",ISNUMBER(SEARCH("please",$Y261))),"",_xlfn.XLOOKUP(_xlpm.search_key,_xlpm.Scenario,_xlpm.Data,"▧")))</f>
        <v/>
      </c>
      <c r="CK261" s="2154"/>
      <c r="CL261" s="88"/>
      <c r="CM261" s="2154" t="str" cm="1">
        <f t="array" ca="1" aca="1" ref="CM261">_xlfn.LET(_xlpm.search_key,$W261&amp;$Y261,_xlpm.Scenario,_xlfn.VSTACK($W$20:$W$55&amp;$Y$20:$Y$55,$W$76:$W$110&amp;$Y$76:$Y$110),_xlpm.Data,_xlfn.VSTACK(CM$20:CN$55,CM$76:CN$110),IF(OR($Y261="",ISNUMBER(SEARCH("please",$Y261))),"",_xlfn.XLOOKUP(_xlpm.search_key,_xlpm.Scenario,_xlpm.Data,"▧")))</f>
        <v/>
      </c>
      <c r="CN261" s="2154"/>
      <c r="CO261" s="88"/>
      <c r="CP261" s="2154" t="str" cm="1">
        <f t="array" ca="1" aca="1" ref="CP261">_xlfn.LET(_xlpm.search_key,$W261&amp;$Y261,_xlpm.Scenario,_xlfn.VSTACK($W$20:$W$55&amp;$Y$20:$Y$55,$W$76:$W$110&amp;$Y$76:$Y$110),_xlpm.Data,_xlfn.VSTACK(CP$20:CQ$55,CP$76:CQ$110),IF(OR($Y261="",ISNUMBER(SEARCH("please",$Y261))),"",_xlfn.XLOOKUP(_xlpm.search_key,_xlpm.Scenario,_xlpm.Data,"▧")))</f>
        <v/>
      </c>
      <c r="CQ261" s="2154"/>
      <c r="CR261" s="34"/>
      <c r="CS261" s="2056"/>
    </row>
    <row r="262" spans="1:97" ht="21" customHeight="1">
      <c r="A262" s="1627"/>
      <c r="B262" s="2331"/>
      <c r="C262" s="2084"/>
      <c r="D262" s="1549"/>
      <c r="E262" s="1902"/>
      <c r="F262" s="401"/>
      <c r="G262" s="401"/>
      <c r="H262" s="585"/>
      <c r="I262" s="585"/>
      <c r="J262" s="401"/>
      <c r="K262" s="401"/>
      <c r="N262" s="158"/>
      <c r="O262" s="101"/>
      <c r="P262" s="52"/>
      <c r="Q262" s="101"/>
      <c r="R262" s="101"/>
      <c r="S262" s="101"/>
      <c r="T262" s="101"/>
      <c r="U262" s="39"/>
      <c r="V262" s="37"/>
      <c r="W262" s="2329"/>
      <c r="X262" s="2081"/>
      <c r="Y262" s="2367"/>
      <c r="Z262" s="198"/>
      <c r="AA262" s="2136"/>
      <c r="AB262" s="1134"/>
      <c r="AC262" s="125"/>
      <c r="AD262" s="2152" t="str" cm="1">
        <f t="array" ca="1" aca="1" ref="AD262">_xlfn.LET(_xlpm.search_key,$W262&amp;$Y262,_xlpm.Scenario,_xlfn.VSTACK($W$20:$W$55&amp;$Y$20:$Y$55,$W$76:$W$110&amp;$Y$76:$Y$110),_xlpm.Data,_xlfn.VSTACK($AD$20:$BN$55,$AD$76:$BN$110),IF(OR($Y262="",ISNUMBER(SEARCH("please",$Y262))),"",_xlfn.XLOOKUP(_xlpm.search_key,_xlpm.Scenario,_xlpm.Data,"▧",2)))</f>
        <v/>
      </c>
      <c r="AE262" s="2152"/>
      <c r="AF262" s="2152"/>
      <c r="AG262" s="2152"/>
      <c r="AH262" s="2152"/>
      <c r="AI262" s="2152"/>
      <c r="AJ262" s="2152"/>
      <c r="AK262" s="2152"/>
      <c r="AL262" s="2152"/>
      <c r="AM262" s="2152"/>
      <c r="AN262" s="2152"/>
      <c r="AO262" s="2152"/>
      <c r="AP262" s="2152"/>
      <c r="AQ262" s="2152"/>
      <c r="AR262" s="2152"/>
      <c r="AS262" s="2152"/>
      <c r="AT262" s="2152"/>
      <c r="AU262" s="2152"/>
      <c r="AV262" s="2152"/>
      <c r="AW262" s="2152"/>
      <c r="AX262" s="2152"/>
      <c r="AY262" s="2152"/>
      <c r="AZ262" s="2152"/>
      <c r="BA262" s="2152"/>
      <c r="BB262" s="2152"/>
      <c r="BC262" s="2152"/>
      <c r="BD262" s="2152"/>
      <c r="BE262" s="2152"/>
      <c r="BF262" s="2152"/>
      <c r="BG262" s="2152"/>
      <c r="BH262" s="2152"/>
      <c r="BI262" s="2152"/>
      <c r="BJ262" s="2152"/>
      <c r="BK262" s="2152"/>
      <c r="BL262" s="2152"/>
      <c r="BM262" s="2152"/>
      <c r="BN262" s="2152"/>
      <c r="BO262" s="2153"/>
      <c r="BP262" s="2153"/>
      <c r="BQ262" s="2153"/>
      <c r="BR262" s="2153"/>
      <c r="BS262" s="2153"/>
      <c r="BT262" s="2153"/>
      <c r="BU262" s="2153"/>
      <c r="BV262" s="2153"/>
      <c r="BW262" s="2153"/>
      <c r="BX262" s="2153"/>
      <c r="BY262" s="2153"/>
      <c r="BZ262" s="2153"/>
      <c r="CA262" s="34"/>
      <c r="CC262" s="58"/>
      <c r="CD262" s="2154" t="str" cm="1">
        <f t="array" ca="1" aca="1" ref="CD262">_xlfn.LET(_xlpm.search_key,$W262&amp;$Y262,_xlpm.Scenario,_xlfn.VSTACK($W$20:$W$55&amp;$Y$20:$Y$55,$W$76:$W$110&amp;$Y$76:$Y$110),_xlpm.Data,_xlfn.VSTACK(CD$20:CE$55,CD$76:CE$110),IF(OR($Y262="",ISNUMBER(SEARCH("please",$Y262))),"",_xlfn.XLOOKUP(_xlpm.search_key,_xlpm.Scenario,_xlpm.Data,"▧")))</f>
        <v/>
      </c>
      <c r="CE262" s="2154"/>
      <c r="CF262" s="88"/>
      <c r="CG262" s="2154" t="str" cm="1">
        <f t="array" ca="1" aca="1" ref="CG262">_xlfn.LET(_xlpm.search_key,$W262&amp;$Y262,_xlpm.Scenario,_xlfn.VSTACK($W$20:$W$55&amp;$Y$20:$Y$55,$W$76:$W$110&amp;$Y$76:$Y$110),_xlpm.Data,_xlfn.VSTACK(CG$20:CH$55,CG$76:CH$110),IF(OR($Y262="",ISNUMBER(SEARCH("please",$Y262))),"",_xlfn.XLOOKUP(_xlpm.search_key,_xlpm.Scenario,_xlpm.Data,"▧")))</f>
        <v/>
      </c>
      <c r="CH262" s="2154"/>
      <c r="CI262" s="88"/>
      <c r="CJ262" s="2154" t="str" cm="1">
        <f t="array" ref="CJ262">_xlfn.LET(_xlpm.search_key,$W262&amp;$Y262,_xlpm.Scenario,_xlfn.VSTACK($W$20:$W$55&amp;$Y$20:$Y$55,$W$76:$W$110&amp;$Y$76:$Y$110),_xlpm.Data,_xlfn.VSTACK(CJ$20:CK$55,CJ$76:CK$110),IF(OR($Y262="",ISNUMBER(SEARCH("please",$Y262))),"",_xlfn.XLOOKUP(_xlpm.search_key,_xlpm.Scenario,_xlpm.Data,"▧")))</f>
        <v/>
      </c>
      <c r="CK262" s="2154"/>
      <c r="CL262" s="88"/>
      <c r="CM262" s="2154" t="str" cm="1">
        <f t="array" ca="1" aca="1" ref="CM262">_xlfn.LET(_xlpm.search_key,$W262&amp;$Y262,_xlpm.Scenario,_xlfn.VSTACK($W$20:$W$55&amp;$Y$20:$Y$55,$W$76:$W$110&amp;$Y$76:$Y$110),_xlpm.Data,_xlfn.VSTACK(CM$20:CN$55,CM$76:CN$110),IF(OR($Y262="",ISNUMBER(SEARCH("please",$Y262))),"",_xlfn.XLOOKUP(_xlpm.search_key,_xlpm.Scenario,_xlpm.Data,"▧")))</f>
        <v/>
      </c>
      <c r="CN262" s="2154"/>
      <c r="CO262" s="88"/>
      <c r="CP262" s="2154" t="str" cm="1">
        <f t="array" ca="1" aca="1" ref="CP262">_xlfn.LET(_xlpm.search_key,$W262&amp;$Y262,_xlpm.Scenario,_xlfn.VSTACK($W$20:$W$55&amp;$Y$20:$Y$55,$W$76:$W$110&amp;$Y$76:$Y$110),_xlpm.Data,_xlfn.VSTACK(CP$20:CQ$55,CP$76:CQ$110),IF(OR($Y262="",ISNUMBER(SEARCH("please",$Y262))),"",_xlfn.XLOOKUP(_xlpm.search_key,_xlpm.Scenario,_xlpm.Data,"▧")))</f>
        <v/>
      </c>
      <c r="CQ262" s="2154"/>
      <c r="CR262" s="34"/>
      <c r="CS262" s="2056"/>
    </row>
    <row r="263" spans="1:97" ht="21" customHeight="1">
      <c r="A263" s="1627"/>
      <c r="B263" s="2331"/>
      <c r="C263" s="2084"/>
      <c r="D263" s="1549"/>
      <c r="E263" s="1902"/>
      <c r="F263" s="401"/>
      <c r="G263" s="401"/>
      <c r="H263" s="585"/>
      <c r="I263" s="585"/>
      <c r="J263" s="401"/>
      <c r="K263" s="401"/>
      <c r="N263" s="158"/>
      <c r="O263" s="101"/>
      <c r="P263" s="52"/>
      <c r="Q263" s="101"/>
      <c r="R263" s="101"/>
      <c r="S263" s="101"/>
      <c r="T263" s="101"/>
      <c r="U263" s="39"/>
      <c r="V263" s="37"/>
      <c r="W263" s="2329"/>
      <c r="X263" s="2081"/>
      <c r="Y263" s="2367"/>
      <c r="Z263" s="198"/>
      <c r="AA263" s="2136"/>
      <c r="AB263" s="1134"/>
      <c r="AC263" s="125"/>
      <c r="AD263" s="2152" t="str" cm="1">
        <f t="array" ca="1" aca="1" ref="AD263">_xlfn.LET(_xlpm.search_key,$W263&amp;$Y263,_xlpm.Scenario,_xlfn.VSTACK($W$20:$W$55&amp;$Y$20:$Y$55,$W$76:$W$110&amp;$Y$76:$Y$110),_xlpm.Data,_xlfn.VSTACK($AD$20:$BN$55,$AD$76:$BN$110),IF(OR($Y263="",ISNUMBER(SEARCH("please",$Y263))),"",_xlfn.XLOOKUP(_xlpm.search_key,_xlpm.Scenario,_xlpm.Data,"▧",2)))</f>
        <v/>
      </c>
      <c r="AE263" s="2152"/>
      <c r="AF263" s="2152"/>
      <c r="AG263" s="2152"/>
      <c r="AH263" s="2152"/>
      <c r="AI263" s="2152"/>
      <c r="AJ263" s="2152"/>
      <c r="AK263" s="2152"/>
      <c r="AL263" s="2152"/>
      <c r="AM263" s="2152"/>
      <c r="AN263" s="2152"/>
      <c r="AO263" s="2152"/>
      <c r="AP263" s="2152"/>
      <c r="AQ263" s="2152"/>
      <c r="AR263" s="2152"/>
      <c r="AS263" s="2152"/>
      <c r="AT263" s="2152"/>
      <c r="AU263" s="2152"/>
      <c r="AV263" s="2152"/>
      <c r="AW263" s="2152"/>
      <c r="AX263" s="2152"/>
      <c r="AY263" s="2152"/>
      <c r="AZ263" s="2152"/>
      <c r="BA263" s="2152"/>
      <c r="BB263" s="2152"/>
      <c r="BC263" s="2152"/>
      <c r="BD263" s="2152"/>
      <c r="BE263" s="2152"/>
      <c r="BF263" s="2152"/>
      <c r="BG263" s="2152"/>
      <c r="BH263" s="2152"/>
      <c r="BI263" s="2152"/>
      <c r="BJ263" s="2152"/>
      <c r="BK263" s="2152"/>
      <c r="BL263" s="2152"/>
      <c r="BM263" s="2152"/>
      <c r="BN263" s="2152"/>
      <c r="BO263" s="2153"/>
      <c r="BP263" s="2153"/>
      <c r="BQ263" s="2153"/>
      <c r="BR263" s="2153"/>
      <c r="BS263" s="2153"/>
      <c r="BT263" s="2153"/>
      <c r="BU263" s="2153"/>
      <c r="BV263" s="2153"/>
      <c r="BW263" s="2153"/>
      <c r="BX263" s="2153"/>
      <c r="BY263" s="2153"/>
      <c r="BZ263" s="2153"/>
      <c r="CA263" s="34"/>
      <c r="CC263" s="58"/>
      <c r="CD263" s="2154" t="str" cm="1">
        <f t="array" ca="1" aca="1" ref="CD263">_xlfn.LET(_xlpm.search_key,$W263&amp;$Y263,_xlpm.Scenario,_xlfn.VSTACK($W$20:$W$55&amp;$Y$20:$Y$55,$W$76:$W$110&amp;$Y$76:$Y$110),_xlpm.Data,_xlfn.VSTACK(CD$20:CE$55,CD$76:CE$110),IF(OR($Y263="",ISNUMBER(SEARCH("please",$Y263))),"",_xlfn.XLOOKUP(_xlpm.search_key,_xlpm.Scenario,_xlpm.Data,"▧")))</f>
        <v/>
      </c>
      <c r="CE263" s="2154"/>
      <c r="CF263" s="88"/>
      <c r="CG263" s="2154" t="str" cm="1">
        <f t="array" ca="1" aca="1" ref="CG263">_xlfn.LET(_xlpm.search_key,$W263&amp;$Y263,_xlpm.Scenario,_xlfn.VSTACK($W$20:$W$55&amp;$Y$20:$Y$55,$W$76:$W$110&amp;$Y$76:$Y$110),_xlpm.Data,_xlfn.VSTACK(CG$20:CH$55,CG$76:CH$110),IF(OR($Y263="",ISNUMBER(SEARCH("please",$Y263))),"",_xlfn.XLOOKUP(_xlpm.search_key,_xlpm.Scenario,_xlpm.Data,"▧")))</f>
        <v/>
      </c>
      <c r="CH263" s="2154"/>
      <c r="CI263" s="88"/>
      <c r="CJ263" s="2154" t="str" cm="1">
        <f t="array" ref="CJ263">_xlfn.LET(_xlpm.search_key,$W263&amp;$Y263,_xlpm.Scenario,_xlfn.VSTACK($W$20:$W$55&amp;$Y$20:$Y$55,$W$76:$W$110&amp;$Y$76:$Y$110),_xlpm.Data,_xlfn.VSTACK(CJ$20:CK$55,CJ$76:CK$110),IF(OR($Y263="",ISNUMBER(SEARCH("please",$Y263))),"",_xlfn.XLOOKUP(_xlpm.search_key,_xlpm.Scenario,_xlpm.Data,"▧")))</f>
        <v/>
      </c>
      <c r="CK263" s="2154"/>
      <c r="CL263" s="88"/>
      <c r="CM263" s="2154" t="str" cm="1">
        <f t="array" ca="1" aca="1" ref="CM263">_xlfn.LET(_xlpm.search_key,$W263&amp;$Y263,_xlpm.Scenario,_xlfn.VSTACK($W$20:$W$55&amp;$Y$20:$Y$55,$W$76:$W$110&amp;$Y$76:$Y$110),_xlpm.Data,_xlfn.VSTACK(CM$20:CN$55,CM$76:CN$110),IF(OR($Y263="",ISNUMBER(SEARCH("please",$Y263))),"",_xlfn.XLOOKUP(_xlpm.search_key,_xlpm.Scenario,_xlpm.Data,"▧")))</f>
        <v/>
      </c>
      <c r="CN263" s="2154"/>
      <c r="CO263" s="88"/>
      <c r="CP263" s="2154" t="str" cm="1">
        <f t="array" ca="1" aca="1" ref="CP263">_xlfn.LET(_xlpm.search_key,$W263&amp;$Y263,_xlpm.Scenario,_xlfn.VSTACK($W$20:$W$55&amp;$Y$20:$Y$55,$W$76:$W$110&amp;$Y$76:$Y$110),_xlpm.Data,_xlfn.VSTACK(CP$20:CQ$55,CP$76:CQ$110),IF(OR($Y263="",ISNUMBER(SEARCH("please",$Y263))),"",_xlfn.XLOOKUP(_xlpm.search_key,_xlpm.Scenario,_xlpm.Data,"▧")))</f>
        <v/>
      </c>
      <c r="CQ263" s="2154"/>
      <c r="CR263" s="34"/>
      <c r="CS263" s="2056"/>
    </row>
    <row r="264" spans="1:97" ht="21" customHeight="1">
      <c r="A264" s="1627"/>
      <c r="B264" s="2331"/>
      <c r="C264" s="2084"/>
      <c r="D264" s="1549"/>
      <c r="E264" s="1902"/>
      <c r="F264" s="401"/>
      <c r="G264" s="401"/>
      <c r="H264" s="585"/>
      <c r="I264" s="585"/>
      <c r="J264" s="401"/>
      <c r="K264" s="401"/>
      <c r="N264" s="158"/>
      <c r="O264" s="101"/>
      <c r="P264" s="52"/>
      <c r="Q264" s="101"/>
      <c r="R264" s="101"/>
      <c r="S264" s="101"/>
      <c r="T264" s="101"/>
      <c r="U264" s="39"/>
      <c r="V264" s="37"/>
      <c r="W264" s="2329"/>
      <c r="X264" s="2081"/>
      <c r="Y264" s="2367"/>
      <c r="Z264" s="198"/>
      <c r="AA264" s="2136"/>
      <c r="AB264" s="1134"/>
      <c r="AC264" s="125"/>
      <c r="AD264" s="2152" t="str" cm="1">
        <f t="array" ca="1" aca="1" ref="AD264">_xlfn.LET(_xlpm.search_key,$W264&amp;$Y264,_xlpm.Scenario,_xlfn.VSTACK($W$20:$W$55&amp;$Y$20:$Y$55,$W$76:$W$110&amp;$Y$76:$Y$110),_xlpm.Data,_xlfn.VSTACK($AD$20:$BN$55,$AD$76:$BN$110),IF(OR($Y264="",ISNUMBER(SEARCH("please",$Y264))),"",_xlfn.XLOOKUP(_xlpm.search_key,_xlpm.Scenario,_xlpm.Data,"▧",2)))</f>
        <v/>
      </c>
      <c r="AE264" s="2152"/>
      <c r="AF264" s="2152"/>
      <c r="AG264" s="2152"/>
      <c r="AH264" s="2152"/>
      <c r="AI264" s="2152"/>
      <c r="AJ264" s="2152"/>
      <c r="AK264" s="2152"/>
      <c r="AL264" s="2152"/>
      <c r="AM264" s="2152"/>
      <c r="AN264" s="2152"/>
      <c r="AO264" s="2152"/>
      <c r="AP264" s="2152"/>
      <c r="AQ264" s="2152"/>
      <c r="AR264" s="2152"/>
      <c r="AS264" s="2152"/>
      <c r="AT264" s="2152"/>
      <c r="AU264" s="2152"/>
      <c r="AV264" s="2152"/>
      <c r="AW264" s="2152"/>
      <c r="AX264" s="2152"/>
      <c r="AY264" s="2152"/>
      <c r="AZ264" s="2152"/>
      <c r="BA264" s="2152"/>
      <c r="BB264" s="2152"/>
      <c r="BC264" s="2152"/>
      <c r="BD264" s="2152"/>
      <c r="BE264" s="2152"/>
      <c r="BF264" s="2152"/>
      <c r="BG264" s="2152"/>
      <c r="BH264" s="2152"/>
      <c r="BI264" s="2152"/>
      <c r="BJ264" s="2152"/>
      <c r="BK264" s="2152"/>
      <c r="BL264" s="2152"/>
      <c r="BM264" s="2152"/>
      <c r="BN264" s="2152"/>
      <c r="BO264" s="2153"/>
      <c r="BP264" s="2153"/>
      <c r="BQ264" s="2153"/>
      <c r="BR264" s="2153"/>
      <c r="BS264" s="2153"/>
      <c r="BT264" s="2153"/>
      <c r="BU264" s="2153"/>
      <c r="BV264" s="2153"/>
      <c r="BW264" s="2153"/>
      <c r="BX264" s="2153"/>
      <c r="BY264" s="2153"/>
      <c r="BZ264" s="2153"/>
      <c r="CA264" s="34"/>
      <c r="CC264" s="58"/>
      <c r="CD264" s="2154" t="str" cm="1">
        <f t="array" ca="1" aca="1" ref="CD264">_xlfn.LET(_xlpm.search_key,$W264&amp;$Y264,_xlpm.Scenario,_xlfn.VSTACK($W$20:$W$55&amp;$Y$20:$Y$55,$W$76:$W$110&amp;$Y$76:$Y$110),_xlpm.Data,_xlfn.VSTACK(CD$20:CE$55,CD$76:CE$110),IF(OR($Y264="",ISNUMBER(SEARCH("please",$Y264))),"",_xlfn.XLOOKUP(_xlpm.search_key,_xlpm.Scenario,_xlpm.Data,"▧")))</f>
        <v/>
      </c>
      <c r="CE264" s="2154"/>
      <c r="CF264" s="88"/>
      <c r="CG264" s="2154" t="str" cm="1">
        <f t="array" ca="1" aca="1" ref="CG264">_xlfn.LET(_xlpm.search_key,$W264&amp;$Y264,_xlpm.Scenario,_xlfn.VSTACK($W$20:$W$55&amp;$Y$20:$Y$55,$W$76:$W$110&amp;$Y$76:$Y$110),_xlpm.Data,_xlfn.VSTACK(CG$20:CH$55,CG$76:CH$110),IF(OR($Y264="",ISNUMBER(SEARCH("please",$Y264))),"",_xlfn.XLOOKUP(_xlpm.search_key,_xlpm.Scenario,_xlpm.Data,"▧")))</f>
        <v/>
      </c>
      <c r="CH264" s="2154"/>
      <c r="CI264" s="88"/>
      <c r="CJ264" s="2154" t="str" cm="1">
        <f t="array" ref="CJ264">_xlfn.LET(_xlpm.search_key,$W264&amp;$Y264,_xlpm.Scenario,_xlfn.VSTACK($W$20:$W$55&amp;$Y$20:$Y$55,$W$76:$W$110&amp;$Y$76:$Y$110),_xlpm.Data,_xlfn.VSTACK(CJ$20:CK$55,CJ$76:CK$110),IF(OR($Y264="",ISNUMBER(SEARCH("please",$Y264))),"",_xlfn.XLOOKUP(_xlpm.search_key,_xlpm.Scenario,_xlpm.Data,"▧")))</f>
        <v/>
      </c>
      <c r="CK264" s="2154"/>
      <c r="CL264" s="88"/>
      <c r="CM264" s="2154" t="str" cm="1">
        <f t="array" ca="1" aca="1" ref="CM264">_xlfn.LET(_xlpm.search_key,$W264&amp;$Y264,_xlpm.Scenario,_xlfn.VSTACK($W$20:$W$55&amp;$Y$20:$Y$55,$W$76:$W$110&amp;$Y$76:$Y$110),_xlpm.Data,_xlfn.VSTACK(CM$20:CN$55,CM$76:CN$110),IF(OR($Y264="",ISNUMBER(SEARCH("please",$Y264))),"",_xlfn.XLOOKUP(_xlpm.search_key,_xlpm.Scenario,_xlpm.Data,"▧")))</f>
        <v/>
      </c>
      <c r="CN264" s="2154"/>
      <c r="CO264" s="88"/>
      <c r="CP264" s="2154" t="str" cm="1">
        <f t="array" ca="1" aca="1" ref="CP264">_xlfn.LET(_xlpm.search_key,$W264&amp;$Y264,_xlpm.Scenario,_xlfn.VSTACK($W$20:$W$55&amp;$Y$20:$Y$55,$W$76:$W$110&amp;$Y$76:$Y$110),_xlpm.Data,_xlfn.VSTACK(CP$20:CQ$55,CP$76:CQ$110),IF(OR($Y264="",ISNUMBER(SEARCH("please",$Y264))),"",_xlfn.XLOOKUP(_xlpm.search_key,_xlpm.Scenario,_xlpm.Data,"▧")))</f>
        <v/>
      </c>
      <c r="CQ264" s="2154"/>
      <c r="CR264" s="34"/>
      <c r="CS264" s="2056"/>
    </row>
    <row r="265" spans="1:97" ht="21" customHeight="1">
      <c r="A265" s="1627"/>
      <c r="B265" s="2331" t="s">
        <v>203</v>
      </c>
      <c r="C265" s="577" t="e" cm="1">
        <f t="array" ca="1" aca="1" ref="C265">IFBLANK(_xldudf_CX_GET(CX_ENTITY,B265,val_asOfDate),D265)</f>
        <v>#NAME?</v>
      </c>
      <c r="D265" s="1549" t="s">
        <v>1846</v>
      </c>
      <c r="E265" s="2135"/>
      <c r="F265" s="401"/>
      <c r="G265" s="401"/>
      <c r="H265" s="585"/>
      <c r="I265" s="585"/>
      <c r="J265" s="401"/>
      <c r="K265" s="401" t="s">
        <v>561</v>
      </c>
      <c r="N265" s="158"/>
      <c r="O265" s="101"/>
      <c r="P265" s="52"/>
      <c r="Q265" s="101"/>
      <c r="R265" s="101"/>
      <c r="S265" s="101"/>
      <c r="T265" s="101"/>
      <c r="U265" s="39"/>
      <c r="V265" s="37"/>
      <c r="W265" s="2330"/>
      <c r="X265" s="2325"/>
      <c r="Y265" s="2326"/>
      <c r="Z265" s="2322"/>
      <c r="AA265" s="2323"/>
      <c r="AB265" s="1134"/>
      <c r="AC265" s="125"/>
      <c r="AD265" s="2152">
        <f ca="1">SUMPRODUCT($X259:$X264,AD259:AD264)</f>
        <v>0</v>
      </c>
      <c r="AE265" s="2152">
        <f t="shared" si="78" ref="AE265:BN265">SUMPRODUCT($X259:$X264,AE259:AE264)</f>
        <v>0</v>
      </c>
      <c r="AF265" s="2152">
        <f t="shared" si="78"/>
        <v>0</v>
      </c>
      <c r="AG265" s="2152">
        <f t="shared" si="78"/>
        <v>0</v>
      </c>
      <c r="AH265" s="2152">
        <f t="shared" si="78"/>
        <v>0</v>
      </c>
      <c r="AI265" s="2152">
        <f t="shared" si="78"/>
        <v>0</v>
      </c>
      <c r="AJ265" s="2152">
        <f t="shared" si="78"/>
        <v>0</v>
      </c>
      <c r="AK265" s="2152">
        <f t="shared" si="78"/>
        <v>0</v>
      </c>
      <c r="AL265" s="2152">
        <f t="shared" si="78"/>
        <v>0</v>
      </c>
      <c r="AM265" s="2152">
        <f t="shared" si="78"/>
        <v>0</v>
      </c>
      <c r="AN265" s="2152">
        <f t="shared" si="78"/>
        <v>0</v>
      </c>
      <c r="AO265" s="2152">
        <f t="shared" si="78"/>
        <v>0</v>
      </c>
      <c r="AP265" s="2152">
        <f t="shared" si="78"/>
        <v>0</v>
      </c>
      <c r="AQ265" s="2152">
        <f t="shared" si="78"/>
        <v>0</v>
      </c>
      <c r="AR265" s="2152">
        <f t="shared" si="78"/>
        <v>0</v>
      </c>
      <c r="AS265" s="2152">
        <f t="shared" si="78"/>
        <v>0</v>
      </c>
      <c r="AT265" s="2152">
        <f t="shared" si="78"/>
        <v>0</v>
      </c>
      <c r="AU265" s="2152">
        <f t="shared" si="78"/>
        <v>0</v>
      </c>
      <c r="AV265" s="2152">
        <f t="shared" si="78"/>
        <v>0</v>
      </c>
      <c r="AW265" s="2152">
        <f t="shared" si="78"/>
        <v>0</v>
      </c>
      <c r="AX265" s="2152">
        <f t="shared" si="78"/>
        <v>0</v>
      </c>
      <c r="AY265" s="2152">
        <f t="shared" si="78"/>
        <v>0</v>
      </c>
      <c r="AZ265" s="2152">
        <f t="shared" si="78"/>
        <v>0</v>
      </c>
      <c r="BA265" s="2152">
        <f t="shared" si="78"/>
        <v>0</v>
      </c>
      <c r="BB265" s="2152">
        <f t="shared" si="78"/>
        <v>0</v>
      </c>
      <c r="BC265" s="2152">
        <f t="shared" si="78"/>
        <v>0</v>
      </c>
      <c r="BD265" s="2152">
        <f t="shared" si="78"/>
        <v>0</v>
      </c>
      <c r="BE265" s="2152">
        <f t="shared" si="78"/>
        <v>0</v>
      </c>
      <c r="BF265" s="2152">
        <f t="shared" si="78"/>
        <v>0</v>
      </c>
      <c r="BG265" s="2152">
        <f t="shared" si="78"/>
        <v>0</v>
      </c>
      <c r="BH265" s="2152">
        <f t="shared" si="78"/>
        <v>0</v>
      </c>
      <c r="BI265" s="2152">
        <f t="shared" si="78"/>
        <v>0</v>
      </c>
      <c r="BJ265" s="2152">
        <f t="shared" si="78"/>
        <v>0</v>
      </c>
      <c r="BK265" s="2152">
        <f t="shared" si="78"/>
        <v>0</v>
      </c>
      <c r="BL265" s="2152">
        <f t="shared" si="78"/>
        <v>0</v>
      </c>
      <c r="BM265" s="2152">
        <f t="shared" si="78"/>
        <v>0</v>
      </c>
      <c r="BN265" s="2152">
        <f t="shared" si="78"/>
        <v>0</v>
      </c>
      <c r="BO265" s="2153"/>
      <c r="BP265" s="2153"/>
      <c r="BQ265" s="2153"/>
      <c r="BR265" s="2153"/>
      <c r="BS265" s="2153"/>
      <c r="BT265" s="2153"/>
      <c r="BU265" s="2153"/>
      <c r="BV265" s="2153"/>
      <c r="BW265" s="2153"/>
      <c r="BX265" s="2153"/>
      <c r="BY265" s="2153"/>
      <c r="BZ265" s="2153"/>
      <c r="CA265" s="34"/>
      <c r="CC265" s="58"/>
      <c r="CD265" s="2152">
        <f ca="1">SUMPRODUCT($X259:$X264,CD259:CD264)</f>
        <v>0</v>
      </c>
      <c r="CE265" s="2152">
        <f t="shared" si="79" ref="CE265">SUMPRODUCT($X259:$X262,CE259:CE262)</f>
        <v>0</v>
      </c>
      <c r="CF265" s="88"/>
      <c r="CG265" s="2152">
        <f ca="1">SUMPRODUCT($X259:$X264,CG259:CG264)</f>
        <v>0</v>
      </c>
      <c r="CH265" s="2152">
        <f t="shared" si="80" ref="CH265">SUMPRODUCT($X259:$X262,CH259:CH262)</f>
        <v>0</v>
      </c>
      <c r="CI265" s="88"/>
      <c r="CJ265" s="2152">
        <f>SUMPRODUCT($X259:$X264,CJ259:CJ264)</f>
        <v>0</v>
      </c>
      <c r="CK265" s="2152">
        <f t="shared" si="81" ref="CK265">SUMPRODUCT($X259:$X262,CK259:CK262)</f>
        <v>0</v>
      </c>
      <c r="CL265" s="88"/>
      <c r="CM265" s="2152">
        <f ca="1">SUMPRODUCT($X259:$X264,CM259:CM264)</f>
        <v>0</v>
      </c>
      <c r="CN265" s="2152">
        <f t="shared" si="82" ref="CN265">SUMPRODUCT($X259:$X262,CN259:CN262)</f>
        <v>0</v>
      </c>
      <c r="CO265" s="88"/>
      <c r="CP265" s="2152">
        <f ca="1">SUMPRODUCT($X259:$X264,CP259:CP264)</f>
        <v>0</v>
      </c>
      <c r="CQ265" s="2152">
        <f t="shared" si="83" ref="CQ265">SUMPRODUCT($X259:$X262,CQ259:CQ262)</f>
        <v>0</v>
      </c>
      <c r="CR265" s="34"/>
      <c r="CS265" s="2056"/>
    </row>
    <row r="266" spans="1:144" s="108" customFormat="1" ht="21" customHeight="1">
      <c r="A266" s="1628"/>
      <c r="B266" s="2084"/>
      <c r="C266" s="2084"/>
      <c r="D266" s="1549"/>
      <c r="E266" s="2135"/>
      <c r="F266" s="401"/>
      <c r="G266" s="401"/>
      <c r="H266" s="585"/>
      <c r="I266" s="585"/>
      <c r="J266" s="401"/>
      <c r="K266" s="401"/>
      <c r="N266" s="2134"/>
      <c r="O266" s="101"/>
      <c r="P266" s="101"/>
      <c r="Q266" s="101"/>
      <c r="R266" s="101"/>
      <c r="S266" s="101"/>
      <c r="T266" s="101"/>
      <c r="U266" s="101"/>
      <c r="V266" s="822"/>
      <c r="W266" s="2332"/>
      <c r="X266" s="2333"/>
      <c r="Y266" s="2334"/>
      <c r="Z266" s="2316"/>
      <c r="AA266" s="2316"/>
      <c r="AB266" s="88"/>
      <c r="AC266" s="128"/>
      <c r="AD266" s="2317"/>
      <c r="AE266" s="2317"/>
      <c r="AF266" s="2317"/>
      <c r="AG266" s="2317"/>
      <c r="AH266" s="2317"/>
      <c r="AI266" s="2317"/>
      <c r="AJ266" s="2317"/>
      <c r="AK266" s="2317"/>
      <c r="AL266" s="2317"/>
      <c r="AM266" s="2317"/>
      <c r="AN266" s="2317"/>
      <c r="AO266" s="2317"/>
      <c r="AP266" s="2317"/>
      <c r="AQ266" s="2317"/>
      <c r="AR266" s="2317"/>
      <c r="AS266" s="2317"/>
      <c r="AT266" s="2317"/>
      <c r="AU266" s="2317"/>
      <c r="AV266" s="2317"/>
      <c r="AW266" s="2317"/>
      <c r="AX266" s="2317"/>
      <c r="AY266" s="2317"/>
      <c r="AZ266" s="2317"/>
      <c r="BA266" s="2317"/>
      <c r="BB266" s="2317"/>
      <c r="BC266" s="2317"/>
      <c r="BD266" s="2317"/>
      <c r="BE266" s="2317"/>
      <c r="BF266" s="2317"/>
      <c r="BG266" s="2317"/>
      <c r="BH266" s="2317"/>
      <c r="BI266" s="2317"/>
      <c r="BJ266" s="2317"/>
      <c r="BK266" s="2317"/>
      <c r="BL266" s="2317"/>
      <c r="BM266" s="2317"/>
      <c r="BN266" s="2317"/>
      <c r="BO266" s="2318"/>
      <c r="BP266" s="2318"/>
      <c r="BQ266" s="2318"/>
      <c r="BR266" s="2318"/>
      <c r="BS266" s="2318"/>
      <c r="BT266" s="2318"/>
      <c r="BU266" s="2318"/>
      <c r="BV266" s="2318"/>
      <c r="BW266" s="2318"/>
      <c r="BX266" s="2318"/>
      <c r="BY266" s="2318"/>
      <c r="BZ266" s="2318"/>
      <c r="CA266" s="88"/>
      <c r="CC266" s="383"/>
      <c r="CD266" s="2319"/>
      <c r="CE266" s="2319"/>
      <c r="CF266" s="88"/>
      <c r="CG266" s="2319"/>
      <c r="CH266" s="2319"/>
      <c r="CI266" s="88"/>
      <c r="CJ266" s="2319"/>
      <c r="CK266" s="2319"/>
      <c r="CL266" s="88"/>
      <c r="CM266" s="2320"/>
      <c r="CN266" s="2320"/>
      <c r="CO266" s="88"/>
      <c r="CP266" s="2320"/>
      <c r="CQ266" s="2320"/>
      <c r="CR266" s="88"/>
      <c r="CS266" s="2321"/>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row>
    <row r="267" spans="1:97" ht="21" customHeight="1">
      <c r="A267" s="1627"/>
      <c r="B267" s="2084"/>
      <c r="C267" s="2084"/>
      <c r="D267" s="1549"/>
      <c r="E267" s="2135"/>
      <c r="F267" s="401"/>
      <c r="G267" s="401"/>
      <c r="H267" s="585"/>
      <c r="I267" s="585"/>
      <c r="J267" s="401"/>
      <c r="K267" s="401"/>
      <c r="N267" s="158"/>
      <c r="O267" s="101"/>
      <c r="P267" s="52"/>
      <c r="Q267" s="101"/>
      <c r="R267" s="101"/>
      <c r="S267" s="18"/>
      <c r="T267" s="18"/>
      <c r="U267" s="39"/>
      <c r="V267" s="37"/>
      <c r="W267" s="2328" t="e" cm="1">
        <f t="array" ca="1" aca="1" ref="W267">UNPACK(C274)</f>
        <v>#NAME?</v>
      </c>
      <c r="X267" s="2137"/>
      <c r="Y267" s="2327"/>
      <c r="Z267" s="2139"/>
      <c r="AA267" s="2140"/>
      <c r="AB267" s="2141" t="s">
        <v>199</v>
      </c>
      <c r="AC267" s="2138"/>
      <c r="AD267" s="2138"/>
      <c r="AE267" s="2138"/>
      <c r="AF267" s="2138"/>
      <c r="AG267" s="2138"/>
      <c r="AH267" s="2138"/>
      <c r="AI267" s="2138"/>
      <c r="AJ267" s="2138"/>
      <c r="AK267" s="2138"/>
      <c r="AL267" s="2138"/>
      <c r="AM267" s="2138"/>
      <c r="AN267" s="2138"/>
      <c r="AO267" s="2138"/>
      <c r="AP267" s="2138"/>
      <c r="AQ267" s="2138"/>
      <c r="AR267" s="2138"/>
      <c r="AS267" s="2138"/>
      <c r="AT267" s="2138"/>
      <c r="AU267" s="2138"/>
      <c r="AV267" s="2138"/>
      <c r="AW267" s="2138"/>
      <c r="AX267" s="2138"/>
      <c r="AY267" s="2138"/>
      <c r="AZ267" s="2138"/>
      <c r="BA267" s="2138"/>
      <c r="BB267" s="2138"/>
      <c r="BC267" s="2138"/>
      <c r="BD267" s="2138"/>
      <c r="BE267" s="2138"/>
      <c r="BF267" s="2138"/>
      <c r="BG267" s="2138"/>
      <c r="BH267" s="2138"/>
      <c r="BI267" s="2138"/>
      <c r="BJ267" s="2138"/>
      <c r="BK267" s="2138"/>
      <c r="BL267" s="2138"/>
      <c r="BM267" s="2138"/>
      <c r="BN267" s="2138"/>
      <c r="BO267" s="1634"/>
      <c r="BP267" s="1634"/>
      <c r="BQ267" s="1634"/>
      <c r="BR267" s="1634"/>
      <c r="BS267" s="1634"/>
      <c r="BT267" s="1634"/>
      <c r="BU267" s="1634"/>
      <c r="BV267" s="1634"/>
      <c r="BW267" s="1634"/>
      <c r="BX267" s="1634"/>
      <c r="BY267" s="1634"/>
      <c r="BZ267" s="1634"/>
      <c r="CA267" s="34"/>
      <c r="CC267" s="58"/>
      <c r="CD267" s="1720">
        <f>($W262)</f>
        <v>0</v>
      </c>
      <c r="CE267" s="1721">
        <f>($W262)</f>
        <v>0</v>
      </c>
      <c r="CF267" s="128"/>
      <c r="CG267" s="1734">
        <f>($W262)</f>
        <v>0</v>
      </c>
      <c r="CH267" s="1735">
        <f>($W262)</f>
        <v>0</v>
      </c>
      <c r="CI267" s="207"/>
      <c r="CJ267" s="1724">
        <f>($W262)</f>
        <v>0</v>
      </c>
      <c r="CK267" s="1725">
        <f>($W262)</f>
        <v>0</v>
      </c>
      <c r="CL267" s="88"/>
      <c r="CM267" s="1198" t="str">
        <f>CM$19</f>
        <v>Original Budget</v>
      </c>
      <c r="CN267" s="1198" t="str">
        <f>CN$19</f>
        <v>LE</v>
      </c>
      <c r="CO267" s="88"/>
      <c r="CP267" s="1819" t="str">
        <f>$CP$19</f>
        <v>Original Budget</v>
      </c>
      <c r="CQ267" s="1819" t="str">
        <f>$CQ$19</f>
        <v>LE</v>
      </c>
      <c r="CR267" s="34"/>
      <c r="CS267" s="2056"/>
    </row>
    <row r="268" spans="1:97" ht="21" customHeight="1">
      <c r="A268" s="1627"/>
      <c r="B268" s="2331"/>
      <c r="C268" s="2084"/>
      <c r="D268" s="1549"/>
      <c r="E268" s="1902"/>
      <c r="F268" s="401"/>
      <c r="G268" s="401"/>
      <c r="H268" s="585">
        <v>0</v>
      </c>
      <c r="I268" s="3290">
        <v>1</v>
      </c>
      <c r="J268" s="401"/>
      <c r="K268" s="401" t="str">
        <f t="shared" si="84" ref="K268:K269">IFERROR(IF(LEN(AB268)=0,"No",IF(LEN(J268)&gt;0,"Yes","No")),"")</f>
        <v>No</v>
      </c>
      <c r="N268" s="158"/>
      <c r="O268" s="101"/>
      <c r="P268" s="52"/>
      <c r="Q268" s="101"/>
      <c r="R268" s="101"/>
      <c r="S268" s="101"/>
      <c r="T268" s="2324"/>
      <c r="U268" s="39"/>
      <c r="V268" s="37"/>
      <c r="W268" s="2329"/>
      <c r="X268" s="2081"/>
      <c r="Y268" s="2366"/>
      <c r="Z268" s="198"/>
      <c r="AA268" s="2136"/>
      <c r="AB268" s="1134"/>
      <c r="AC268" s="125"/>
      <c r="AD268" s="2152" t="str" cm="1">
        <f t="array" ca="1" aca="1" ref="AD268">_xlfn.LET(_xlpm.search_key,$W268&amp;$Y268,_xlpm.Scenario,_xlfn.VSTACK($W$20:$W$55&amp;$Y$20:$Y$55,$W$76:$W$110&amp;$Y$76:$Y$110),_xlpm.Data,_xlfn.VSTACK($AD$20:$BN$55,$AD$76:$BN$110),IF(OR($Y268="",ISNUMBER(SEARCH("please",$Y268))),"",_xlfn.XLOOKUP(_xlpm.search_key,_xlpm.Scenario,_xlpm.Data,"▧",2)))</f>
        <v/>
      </c>
      <c r="AE268" s="2152"/>
      <c r="AF268" s="2152"/>
      <c r="AG268" s="2152"/>
      <c r="AH268" s="2152"/>
      <c r="AI268" s="2152"/>
      <c r="AJ268" s="2152"/>
      <c r="AK268" s="2152"/>
      <c r="AL268" s="2152"/>
      <c r="AM268" s="2152"/>
      <c r="AN268" s="2152"/>
      <c r="AO268" s="2152"/>
      <c r="AP268" s="2152"/>
      <c r="AQ268" s="2152"/>
      <c r="AR268" s="2152"/>
      <c r="AS268" s="2152"/>
      <c r="AT268" s="2152"/>
      <c r="AU268" s="2152"/>
      <c r="AV268" s="2152"/>
      <c r="AW268" s="2152"/>
      <c r="AX268" s="2152"/>
      <c r="AY268" s="2152"/>
      <c r="AZ268" s="2152"/>
      <c r="BA268" s="2152"/>
      <c r="BB268" s="2152"/>
      <c r="BC268" s="2152"/>
      <c r="BD268" s="2152"/>
      <c r="BE268" s="2152"/>
      <c r="BF268" s="2152"/>
      <c r="BG268" s="2152"/>
      <c r="BH268" s="2152"/>
      <c r="BI268" s="2152"/>
      <c r="BJ268" s="2152"/>
      <c r="BK268" s="2152"/>
      <c r="BL268" s="2152"/>
      <c r="BM268" s="2152"/>
      <c r="BN268" s="2152"/>
      <c r="BO268" s="2153"/>
      <c r="BP268" s="2153"/>
      <c r="BQ268" s="2153"/>
      <c r="BR268" s="2153"/>
      <c r="BS268" s="2153"/>
      <c r="BT268" s="2153"/>
      <c r="BU268" s="2153"/>
      <c r="BV268" s="2153"/>
      <c r="BW268" s="2153"/>
      <c r="BX268" s="2153"/>
      <c r="BY268" s="2153"/>
      <c r="BZ268" s="2153"/>
      <c r="CA268" s="34"/>
      <c r="CC268" s="58"/>
      <c r="CD268" s="2154" t="str" cm="1">
        <f t="array" ca="1" aca="1" ref="CD268">_xlfn.LET(_xlpm.search_key,$W268&amp;$Y268,_xlpm.Scenario,_xlfn.VSTACK($W$20:$W$55&amp;$Y$20:$Y$55,$W$76:$W$110&amp;$Y$76:$Y$110),_xlpm.Data,_xlfn.VSTACK(CD$20:CE$55,CD$76:CE$110),IF(OR($Y268="",ISNUMBER(SEARCH("please",$Y268))),"",_xlfn.XLOOKUP(_xlpm.search_key,_xlpm.Scenario,_xlpm.Data,"▧")))</f>
        <v/>
      </c>
      <c r="CE268" s="2154"/>
      <c r="CF268" s="88"/>
      <c r="CG268" s="2154" t="str" cm="1">
        <f t="array" ca="1" aca="1" ref="CG268">_xlfn.LET(_xlpm.search_key,$W268&amp;$Y268,_xlpm.Scenario,_xlfn.VSTACK($W$20:$W$55&amp;$Y$20:$Y$55,$W$76:$W$110&amp;$Y$76:$Y$110),_xlpm.Data,_xlfn.VSTACK(CG$20:CH$55,CG$76:CH$110),IF(OR($Y268="",ISNUMBER(SEARCH("please",$Y268))),"",_xlfn.XLOOKUP(_xlpm.search_key,_xlpm.Scenario,_xlpm.Data,"▧")))</f>
        <v/>
      </c>
      <c r="CH268" s="2154"/>
      <c r="CI268" s="88"/>
      <c r="CJ268" s="2154" t="str" cm="1">
        <f t="array" ref="CJ268">_xlfn.LET(_xlpm.search_key,$W268&amp;$Y268,_xlpm.Scenario,_xlfn.VSTACK($W$20:$W$55&amp;$Y$20:$Y$55,$W$76:$W$110&amp;$Y$76:$Y$110),_xlpm.Data,_xlfn.VSTACK(CJ$20:CK$55,CJ$76:CK$110),IF(OR($Y268="",ISNUMBER(SEARCH("please",$Y268))),"",_xlfn.XLOOKUP(_xlpm.search_key,_xlpm.Scenario,_xlpm.Data,"▧")))</f>
        <v/>
      </c>
      <c r="CK268" s="2154"/>
      <c r="CL268" s="88"/>
      <c r="CM268" s="2154" t="str" cm="1">
        <f t="array" ca="1" aca="1" ref="CM268">_xlfn.LET(_xlpm.search_key,$W268&amp;$Y268,_xlpm.Scenario,_xlfn.VSTACK($W$20:$W$55&amp;$Y$20:$Y$55,$W$76:$W$110&amp;$Y$76:$Y$110),_xlpm.Data,_xlfn.VSTACK(CM$20:CN$55,CM$76:CN$110),IF(OR($Y268="",ISNUMBER(SEARCH("please",$Y268))),"",_xlfn.XLOOKUP(_xlpm.search_key,_xlpm.Scenario,_xlpm.Data,"▧")))</f>
        <v/>
      </c>
      <c r="CN268" s="2154"/>
      <c r="CO268" s="88"/>
      <c r="CP268" s="2154" t="str" cm="1">
        <f t="array" ca="1" aca="1" ref="CP268">_xlfn.LET(_xlpm.search_key,$W268&amp;$Y268,_xlpm.Scenario,_xlfn.VSTACK($W$20:$W$55&amp;$Y$20:$Y$55,$W$76:$W$110&amp;$Y$76:$Y$110),_xlpm.Data,_xlfn.VSTACK(CP$20:CQ$55,CP$76:CQ$110),IF(OR($Y268="",ISNUMBER(SEARCH("please",$Y268))),"",_xlfn.XLOOKUP(_xlpm.search_key,_xlpm.Scenario,_xlpm.Data,"▧")))</f>
        <v/>
      </c>
      <c r="CQ268" s="2154"/>
      <c r="CR268" s="34"/>
      <c r="CS268" s="2056"/>
    </row>
    <row r="269" spans="1:97" ht="21" customHeight="1">
      <c r="A269" s="1627"/>
      <c r="B269" s="2331"/>
      <c r="C269" s="2084"/>
      <c r="D269" s="1549"/>
      <c r="E269" s="1902"/>
      <c r="F269" s="401"/>
      <c r="G269" s="401"/>
      <c r="H269" s="585">
        <v>0</v>
      </c>
      <c r="I269" s="3290">
        <v>1</v>
      </c>
      <c r="J269" s="401"/>
      <c r="K269" s="401" t="str">
        <f t="shared" si="84"/>
        <v>No</v>
      </c>
      <c r="N269" s="158"/>
      <c r="O269" s="101"/>
      <c r="P269" s="52"/>
      <c r="Q269" s="101"/>
      <c r="R269" s="101"/>
      <c r="S269" s="101"/>
      <c r="T269" s="101"/>
      <c r="U269" s="39"/>
      <c r="V269" s="37"/>
      <c r="W269" s="2329"/>
      <c r="X269" s="2081"/>
      <c r="Y269" s="2367"/>
      <c r="Z269" s="198"/>
      <c r="AA269" s="2136"/>
      <c r="AB269" s="1134"/>
      <c r="AC269" s="125"/>
      <c r="AD269" s="2152" t="str" cm="1">
        <f t="array" ca="1" aca="1" ref="AD269">_xlfn.LET(_xlpm.search_key,$W269&amp;$Y269,_xlpm.Scenario,_xlfn.VSTACK($W$20:$W$55&amp;$Y$20:$Y$55,$W$76:$W$110&amp;$Y$76:$Y$110),_xlpm.Data,_xlfn.VSTACK($AD$20:$BN$55,$AD$76:$BN$110),IF(OR($Y269="",ISNUMBER(SEARCH("please",$Y269))),"",_xlfn.XLOOKUP(_xlpm.search_key,_xlpm.Scenario,_xlpm.Data,"▧",2)))</f>
        <v/>
      </c>
      <c r="AE269" s="2152"/>
      <c r="AF269" s="2152"/>
      <c r="AG269" s="2152"/>
      <c r="AH269" s="2152"/>
      <c r="AI269" s="2152"/>
      <c r="AJ269" s="2152"/>
      <c r="AK269" s="2152"/>
      <c r="AL269" s="2152"/>
      <c r="AM269" s="2152"/>
      <c r="AN269" s="2152"/>
      <c r="AO269" s="2152"/>
      <c r="AP269" s="2152"/>
      <c r="AQ269" s="2152"/>
      <c r="AR269" s="2152"/>
      <c r="AS269" s="2152"/>
      <c r="AT269" s="2152"/>
      <c r="AU269" s="2152"/>
      <c r="AV269" s="2152"/>
      <c r="AW269" s="2152"/>
      <c r="AX269" s="2152"/>
      <c r="AY269" s="2152"/>
      <c r="AZ269" s="2152"/>
      <c r="BA269" s="2152"/>
      <c r="BB269" s="2152"/>
      <c r="BC269" s="2152"/>
      <c r="BD269" s="2152"/>
      <c r="BE269" s="2152"/>
      <c r="BF269" s="2152"/>
      <c r="BG269" s="2152"/>
      <c r="BH269" s="2152"/>
      <c r="BI269" s="2152"/>
      <c r="BJ269" s="2152"/>
      <c r="BK269" s="2152"/>
      <c r="BL269" s="2152"/>
      <c r="BM269" s="2152"/>
      <c r="BN269" s="2152"/>
      <c r="BO269" s="2153"/>
      <c r="BP269" s="2153"/>
      <c r="BQ269" s="2153"/>
      <c r="BR269" s="2153"/>
      <c r="BS269" s="2153"/>
      <c r="BT269" s="2153"/>
      <c r="BU269" s="2153"/>
      <c r="BV269" s="2153"/>
      <c r="BW269" s="2153"/>
      <c r="BX269" s="2153"/>
      <c r="BY269" s="2153"/>
      <c r="BZ269" s="2153"/>
      <c r="CA269" s="34"/>
      <c r="CC269" s="58"/>
      <c r="CD269" s="2154" t="str" cm="1">
        <f t="array" ca="1" aca="1" ref="CD269">_xlfn.LET(_xlpm.search_key,$W269&amp;$Y269,_xlpm.Scenario,_xlfn.VSTACK($W$20:$W$55&amp;$Y$20:$Y$55,$W$76:$W$110&amp;$Y$76:$Y$110),_xlpm.Data,_xlfn.VSTACK(CD$20:CE$55,CD$76:CE$110),IF(OR($Y269="",ISNUMBER(SEARCH("please",$Y269))),"",_xlfn.XLOOKUP(_xlpm.search_key,_xlpm.Scenario,_xlpm.Data,"▧")))</f>
        <v/>
      </c>
      <c r="CE269" s="2154"/>
      <c r="CF269" s="88"/>
      <c r="CG269" s="2154" t="str" cm="1">
        <f t="array" ca="1" aca="1" ref="CG269">_xlfn.LET(_xlpm.search_key,$W269&amp;$Y269,_xlpm.Scenario,_xlfn.VSTACK($W$20:$W$55&amp;$Y$20:$Y$55,$W$76:$W$110&amp;$Y$76:$Y$110),_xlpm.Data,_xlfn.VSTACK(CG$20:CH$55,CG$76:CH$110),IF(OR($Y269="",ISNUMBER(SEARCH("please",$Y269))),"",_xlfn.XLOOKUP(_xlpm.search_key,_xlpm.Scenario,_xlpm.Data,"▧")))</f>
        <v/>
      </c>
      <c r="CH269" s="2154"/>
      <c r="CI269" s="88"/>
      <c r="CJ269" s="2154" t="str" cm="1">
        <f t="array" ref="CJ269">_xlfn.LET(_xlpm.search_key,$W269&amp;$Y269,_xlpm.Scenario,_xlfn.VSTACK($W$20:$W$55&amp;$Y$20:$Y$55,$W$76:$W$110&amp;$Y$76:$Y$110),_xlpm.Data,_xlfn.VSTACK(CJ$20:CK$55,CJ$76:CK$110),IF(OR($Y269="",ISNUMBER(SEARCH("please",$Y269))),"",_xlfn.XLOOKUP(_xlpm.search_key,_xlpm.Scenario,_xlpm.Data,"▧")))</f>
        <v/>
      </c>
      <c r="CK269" s="2154"/>
      <c r="CL269" s="88"/>
      <c r="CM269" s="2154" t="str" cm="1">
        <f t="array" ca="1" aca="1" ref="CM269">_xlfn.LET(_xlpm.search_key,$W269&amp;$Y269,_xlpm.Scenario,_xlfn.VSTACK($W$20:$W$55&amp;$Y$20:$Y$55,$W$76:$W$110&amp;$Y$76:$Y$110),_xlpm.Data,_xlfn.VSTACK(CM$20:CN$55,CM$76:CN$110),IF(OR($Y269="",ISNUMBER(SEARCH("please",$Y269))),"",_xlfn.XLOOKUP(_xlpm.search_key,_xlpm.Scenario,_xlpm.Data,"▧")))</f>
        <v/>
      </c>
      <c r="CN269" s="2154"/>
      <c r="CO269" s="88"/>
      <c r="CP269" s="2154" t="str" cm="1">
        <f t="array" ca="1" aca="1" ref="CP269">_xlfn.LET(_xlpm.search_key,$W269&amp;$Y269,_xlpm.Scenario,_xlfn.VSTACK($W$20:$W$55&amp;$Y$20:$Y$55,$W$76:$W$110&amp;$Y$76:$Y$110),_xlpm.Data,_xlfn.VSTACK(CP$20:CQ$55,CP$76:CQ$110),IF(OR($Y269="",ISNUMBER(SEARCH("please",$Y269))),"",_xlfn.XLOOKUP(_xlpm.search_key,_xlpm.Scenario,_xlpm.Data,"▧")))</f>
        <v/>
      </c>
      <c r="CQ269" s="2154"/>
      <c r="CR269" s="34"/>
      <c r="CS269" s="2056"/>
    </row>
    <row r="270" spans="1:97" ht="21" customHeight="1">
      <c r="A270" s="1627"/>
      <c r="B270" s="2331"/>
      <c r="C270" s="2084"/>
      <c r="D270" s="1549"/>
      <c r="E270" s="1902"/>
      <c r="F270" s="401"/>
      <c r="G270" s="401"/>
      <c r="H270" s="585"/>
      <c r="I270" s="585"/>
      <c r="J270" s="401"/>
      <c r="K270" s="401"/>
      <c r="N270" s="158"/>
      <c r="O270" s="101"/>
      <c r="P270" s="52"/>
      <c r="Q270" s="101"/>
      <c r="R270" s="101"/>
      <c r="S270" s="101"/>
      <c r="T270" s="101"/>
      <c r="U270" s="39"/>
      <c r="V270" s="37"/>
      <c r="W270" s="2329"/>
      <c r="X270" s="2081"/>
      <c r="Y270" s="2367"/>
      <c r="Z270" s="198"/>
      <c r="AA270" s="2136"/>
      <c r="AB270" s="1134"/>
      <c r="AC270" s="125"/>
      <c r="AD270" s="2152" t="str" cm="1">
        <f t="array" ca="1" aca="1" ref="AD270">_xlfn.LET(_xlpm.search_key,$W270&amp;$Y270,_xlpm.Scenario,_xlfn.VSTACK($W$20:$W$55&amp;$Y$20:$Y$55,$W$76:$W$110&amp;$Y$76:$Y$110),_xlpm.Data,_xlfn.VSTACK($AD$20:$BN$55,$AD$76:$BN$110),IF(OR($Y270="",ISNUMBER(SEARCH("please",$Y270))),"",_xlfn.XLOOKUP(_xlpm.search_key,_xlpm.Scenario,_xlpm.Data,"▧",2)))</f>
        <v/>
      </c>
      <c r="AE270" s="2152"/>
      <c r="AF270" s="2152"/>
      <c r="AG270" s="2152"/>
      <c r="AH270" s="2152"/>
      <c r="AI270" s="2152"/>
      <c r="AJ270" s="2152"/>
      <c r="AK270" s="2152"/>
      <c r="AL270" s="2152"/>
      <c r="AM270" s="2152"/>
      <c r="AN270" s="2152"/>
      <c r="AO270" s="2152"/>
      <c r="AP270" s="2152"/>
      <c r="AQ270" s="2152"/>
      <c r="AR270" s="2152"/>
      <c r="AS270" s="2152"/>
      <c r="AT270" s="2152"/>
      <c r="AU270" s="2152"/>
      <c r="AV270" s="2152"/>
      <c r="AW270" s="2152"/>
      <c r="AX270" s="2152"/>
      <c r="AY270" s="2152"/>
      <c r="AZ270" s="2152"/>
      <c r="BA270" s="2152"/>
      <c r="BB270" s="2152"/>
      <c r="BC270" s="2152"/>
      <c r="BD270" s="2152"/>
      <c r="BE270" s="2152"/>
      <c r="BF270" s="2152"/>
      <c r="BG270" s="2152"/>
      <c r="BH270" s="2152"/>
      <c r="BI270" s="2152"/>
      <c r="BJ270" s="2152"/>
      <c r="BK270" s="2152"/>
      <c r="BL270" s="2152"/>
      <c r="BM270" s="2152"/>
      <c r="BN270" s="2152"/>
      <c r="BO270" s="2153"/>
      <c r="BP270" s="2153"/>
      <c r="BQ270" s="2153"/>
      <c r="BR270" s="2153"/>
      <c r="BS270" s="2153"/>
      <c r="BT270" s="2153"/>
      <c r="BU270" s="2153"/>
      <c r="BV270" s="2153"/>
      <c r="BW270" s="2153"/>
      <c r="BX270" s="2153"/>
      <c r="BY270" s="2153"/>
      <c r="BZ270" s="2153"/>
      <c r="CA270" s="34"/>
      <c r="CC270" s="58"/>
      <c r="CD270" s="2154" t="str" cm="1">
        <f t="array" ca="1" aca="1" ref="CD270">_xlfn.LET(_xlpm.search_key,$W270&amp;$Y270,_xlpm.Scenario,_xlfn.VSTACK($W$20:$W$55&amp;$Y$20:$Y$55,$W$76:$W$110&amp;$Y$76:$Y$110),_xlpm.Data,_xlfn.VSTACK(CD$20:CE$55,CD$76:CE$110),IF(OR($Y270="",ISNUMBER(SEARCH("please",$Y270))),"",_xlfn.XLOOKUP(_xlpm.search_key,_xlpm.Scenario,_xlpm.Data,"▧")))</f>
        <v/>
      </c>
      <c r="CE270" s="2154"/>
      <c r="CF270" s="88"/>
      <c r="CG270" s="2154" t="str" cm="1">
        <f t="array" ca="1" aca="1" ref="CG270">_xlfn.LET(_xlpm.search_key,$W270&amp;$Y270,_xlpm.Scenario,_xlfn.VSTACK($W$20:$W$55&amp;$Y$20:$Y$55,$W$76:$W$110&amp;$Y$76:$Y$110),_xlpm.Data,_xlfn.VSTACK(CG$20:CH$55,CG$76:CH$110),IF(OR($Y270="",ISNUMBER(SEARCH("please",$Y270))),"",_xlfn.XLOOKUP(_xlpm.search_key,_xlpm.Scenario,_xlpm.Data,"▧")))</f>
        <v/>
      </c>
      <c r="CH270" s="2154"/>
      <c r="CI270" s="88"/>
      <c r="CJ270" s="2154" t="str" cm="1">
        <f t="array" ref="CJ270">_xlfn.LET(_xlpm.search_key,$W270&amp;$Y270,_xlpm.Scenario,_xlfn.VSTACK($W$20:$W$55&amp;$Y$20:$Y$55,$W$76:$W$110&amp;$Y$76:$Y$110),_xlpm.Data,_xlfn.VSTACK(CJ$20:CK$55,CJ$76:CK$110),IF(OR($Y270="",ISNUMBER(SEARCH("please",$Y270))),"",_xlfn.XLOOKUP(_xlpm.search_key,_xlpm.Scenario,_xlpm.Data,"▧")))</f>
        <v/>
      </c>
      <c r="CK270" s="2154"/>
      <c r="CL270" s="88"/>
      <c r="CM270" s="2154" t="str" cm="1">
        <f t="array" ca="1" aca="1" ref="CM270">_xlfn.LET(_xlpm.search_key,$W270&amp;$Y270,_xlpm.Scenario,_xlfn.VSTACK($W$20:$W$55&amp;$Y$20:$Y$55,$W$76:$W$110&amp;$Y$76:$Y$110),_xlpm.Data,_xlfn.VSTACK(CM$20:CN$55,CM$76:CN$110),IF(OR($Y270="",ISNUMBER(SEARCH("please",$Y270))),"",_xlfn.XLOOKUP(_xlpm.search_key,_xlpm.Scenario,_xlpm.Data,"▧")))</f>
        <v/>
      </c>
      <c r="CN270" s="2154"/>
      <c r="CO270" s="88"/>
      <c r="CP270" s="2154" t="str" cm="1">
        <f t="array" ca="1" aca="1" ref="CP270">_xlfn.LET(_xlpm.search_key,$W270&amp;$Y270,_xlpm.Scenario,_xlfn.VSTACK($W$20:$W$55&amp;$Y$20:$Y$55,$W$76:$W$110&amp;$Y$76:$Y$110),_xlpm.Data,_xlfn.VSTACK(CP$20:CQ$55,CP$76:CQ$110),IF(OR($Y270="",ISNUMBER(SEARCH("please",$Y270))),"",_xlfn.XLOOKUP(_xlpm.search_key,_xlpm.Scenario,_xlpm.Data,"▧")))</f>
        <v/>
      </c>
      <c r="CQ270" s="2154"/>
      <c r="CR270" s="34"/>
      <c r="CS270" s="2056"/>
    </row>
    <row r="271" spans="1:97" ht="21" customHeight="1">
      <c r="A271" s="1627"/>
      <c r="B271" s="2331"/>
      <c r="C271" s="2084"/>
      <c r="D271" s="1549"/>
      <c r="E271" s="1902"/>
      <c r="F271" s="401"/>
      <c r="G271" s="401"/>
      <c r="H271" s="585"/>
      <c r="I271" s="585"/>
      <c r="J271" s="401"/>
      <c r="K271" s="401"/>
      <c r="N271" s="158"/>
      <c r="O271" s="101"/>
      <c r="P271" s="52"/>
      <c r="Q271" s="101"/>
      <c r="R271" s="101"/>
      <c r="S271" s="101"/>
      <c r="T271" s="101"/>
      <c r="U271" s="39"/>
      <c r="V271" s="37"/>
      <c r="W271" s="2329"/>
      <c r="X271" s="2081"/>
      <c r="Y271" s="2367"/>
      <c r="Z271" s="198"/>
      <c r="AA271" s="2136"/>
      <c r="AB271" s="1134"/>
      <c r="AC271" s="125"/>
      <c r="AD271" s="2152" t="str" cm="1">
        <f t="array" ca="1" aca="1" ref="AD271">_xlfn.LET(_xlpm.search_key,$W271&amp;$Y271,_xlpm.Scenario,_xlfn.VSTACK($W$20:$W$55&amp;$Y$20:$Y$55,$W$76:$W$110&amp;$Y$76:$Y$110),_xlpm.Data,_xlfn.VSTACK($AD$20:$BN$55,$AD$76:$BN$110),IF(OR($Y271="",ISNUMBER(SEARCH("please",$Y271))),"",_xlfn.XLOOKUP(_xlpm.search_key,_xlpm.Scenario,_xlpm.Data,"▧",2)))</f>
        <v/>
      </c>
      <c r="AE271" s="2152"/>
      <c r="AF271" s="2152"/>
      <c r="AG271" s="2152"/>
      <c r="AH271" s="2152"/>
      <c r="AI271" s="2152"/>
      <c r="AJ271" s="2152"/>
      <c r="AK271" s="2152"/>
      <c r="AL271" s="2152"/>
      <c r="AM271" s="2152"/>
      <c r="AN271" s="2152"/>
      <c r="AO271" s="2152"/>
      <c r="AP271" s="2152"/>
      <c r="AQ271" s="2152"/>
      <c r="AR271" s="2152"/>
      <c r="AS271" s="2152"/>
      <c r="AT271" s="2152"/>
      <c r="AU271" s="2152"/>
      <c r="AV271" s="2152"/>
      <c r="AW271" s="2152"/>
      <c r="AX271" s="2152"/>
      <c r="AY271" s="2152"/>
      <c r="AZ271" s="2152"/>
      <c r="BA271" s="2152"/>
      <c r="BB271" s="2152"/>
      <c r="BC271" s="2152"/>
      <c r="BD271" s="2152"/>
      <c r="BE271" s="2152"/>
      <c r="BF271" s="2152"/>
      <c r="BG271" s="2152"/>
      <c r="BH271" s="2152"/>
      <c r="BI271" s="2152"/>
      <c r="BJ271" s="2152"/>
      <c r="BK271" s="2152"/>
      <c r="BL271" s="2152"/>
      <c r="BM271" s="2152"/>
      <c r="BN271" s="2152"/>
      <c r="BO271" s="2153"/>
      <c r="BP271" s="2153"/>
      <c r="BQ271" s="2153"/>
      <c r="BR271" s="2153"/>
      <c r="BS271" s="2153"/>
      <c r="BT271" s="2153"/>
      <c r="BU271" s="2153"/>
      <c r="BV271" s="2153"/>
      <c r="BW271" s="2153"/>
      <c r="BX271" s="2153"/>
      <c r="BY271" s="2153"/>
      <c r="BZ271" s="2153"/>
      <c r="CA271" s="34"/>
      <c r="CC271" s="58"/>
      <c r="CD271" s="2154" t="str" cm="1">
        <f t="array" ca="1" aca="1" ref="CD271">_xlfn.LET(_xlpm.search_key,$W271&amp;$Y271,_xlpm.Scenario,_xlfn.VSTACK($W$20:$W$55&amp;$Y$20:$Y$55,$W$76:$W$110&amp;$Y$76:$Y$110),_xlpm.Data,_xlfn.VSTACK(CD$20:CE$55,CD$76:CE$110),IF(OR($Y271="",ISNUMBER(SEARCH("please",$Y271))),"",_xlfn.XLOOKUP(_xlpm.search_key,_xlpm.Scenario,_xlpm.Data,"▧")))</f>
        <v/>
      </c>
      <c r="CE271" s="2154"/>
      <c r="CF271" s="88"/>
      <c r="CG271" s="2154" t="str" cm="1">
        <f t="array" ca="1" aca="1" ref="CG271">_xlfn.LET(_xlpm.search_key,$W271&amp;$Y271,_xlpm.Scenario,_xlfn.VSTACK($W$20:$W$55&amp;$Y$20:$Y$55,$W$76:$W$110&amp;$Y$76:$Y$110),_xlpm.Data,_xlfn.VSTACK(CG$20:CH$55,CG$76:CH$110),IF(OR($Y271="",ISNUMBER(SEARCH("please",$Y271))),"",_xlfn.XLOOKUP(_xlpm.search_key,_xlpm.Scenario,_xlpm.Data,"▧")))</f>
        <v/>
      </c>
      <c r="CH271" s="2154"/>
      <c r="CI271" s="88"/>
      <c r="CJ271" s="2154" t="str" cm="1">
        <f t="array" ref="CJ271">_xlfn.LET(_xlpm.search_key,$W271&amp;$Y271,_xlpm.Scenario,_xlfn.VSTACK($W$20:$W$55&amp;$Y$20:$Y$55,$W$76:$W$110&amp;$Y$76:$Y$110),_xlpm.Data,_xlfn.VSTACK(CJ$20:CK$55,CJ$76:CK$110),IF(OR($Y271="",ISNUMBER(SEARCH("please",$Y271))),"",_xlfn.XLOOKUP(_xlpm.search_key,_xlpm.Scenario,_xlpm.Data,"▧")))</f>
        <v/>
      </c>
      <c r="CK271" s="2154"/>
      <c r="CL271" s="88"/>
      <c r="CM271" s="2154" t="str" cm="1">
        <f t="array" ca="1" aca="1" ref="CM271">_xlfn.LET(_xlpm.search_key,$W271&amp;$Y271,_xlpm.Scenario,_xlfn.VSTACK($W$20:$W$55&amp;$Y$20:$Y$55,$W$76:$W$110&amp;$Y$76:$Y$110),_xlpm.Data,_xlfn.VSTACK(CM$20:CN$55,CM$76:CN$110),IF(OR($Y271="",ISNUMBER(SEARCH("please",$Y271))),"",_xlfn.XLOOKUP(_xlpm.search_key,_xlpm.Scenario,_xlpm.Data,"▧")))</f>
        <v/>
      </c>
      <c r="CN271" s="2154"/>
      <c r="CO271" s="88"/>
      <c r="CP271" s="2154" t="str" cm="1">
        <f t="array" ca="1" aca="1" ref="CP271">_xlfn.LET(_xlpm.search_key,$W271&amp;$Y271,_xlpm.Scenario,_xlfn.VSTACK($W$20:$W$55&amp;$Y$20:$Y$55,$W$76:$W$110&amp;$Y$76:$Y$110),_xlpm.Data,_xlfn.VSTACK(CP$20:CQ$55,CP$76:CQ$110),IF(OR($Y271="",ISNUMBER(SEARCH("please",$Y271))),"",_xlfn.XLOOKUP(_xlpm.search_key,_xlpm.Scenario,_xlpm.Data,"▧")))</f>
        <v/>
      </c>
      <c r="CQ271" s="2154"/>
      <c r="CR271" s="34"/>
      <c r="CS271" s="2056"/>
    </row>
    <row r="272" spans="1:97" ht="21" customHeight="1">
      <c r="A272" s="1627"/>
      <c r="B272" s="2331"/>
      <c r="C272" s="2084"/>
      <c r="D272" s="1549"/>
      <c r="E272" s="1902"/>
      <c r="F272" s="401"/>
      <c r="G272" s="401"/>
      <c r="H272" s="585"/>
      <c r="I272" s="585"/>
      <c r="J272" s="401"/>
      <c r="K272" s="401"/>
      <c r="N272" s="158"/>
      <c r="O272" s="101"/>
      <c r="P272" s="52"/>
      <c r="Q272" s="101"/>
      <c r="R272" s="101"/>
      <c r="S272" s="101"/>
      <c r="T272" s="101"/>
      <c r="U272" s="39"/>
      <c r="V272" s="37"/>
      <c r="W272" s="2329"/>
      <c r="X272" s="2081"/>
      <c r="Y272" s="2367"/>
      <c r="Z272" s="198"/>
      <c r="AA272" s="2136"/>
      <c r="AB272" s="1134"/>
      <c r="AC272" s="125"/>
      <c r="AD272" s="2152" t="str" cm="1">
        <f t="array" ca="1" aca="1" ref="AD272">_xlfn.LET(_xlpm.search_key,$W272&amp;$Y272,_xlpm.Scenario,_xlfn.VSTACK($W$20:$W$55&amp;$Y$20:$Y$55,$W$76:$W$110&amp;$Y$76:$Y$110),_xlpm.Data,_xlfn.VSTACK($AD$20:$BN$55,$AD$76:$BN$110),IF(OR($Y272="",ISNUMBER(SEARCH("please",$Y272))),"",_xlfn.XLOOKUP(_xlpm.search_key,_xlpm.Scenario,_xlpm.Data,"▧",2)))</f>
        <v/>
      </c>
      <c r="AE272" s="2152"/>
      <c r="AF272" s="2152"/>
      <c r="AG272" s="2152"/>
      <c r="AH272" s="2152"/>
      <c r="AI272" s="2152"/>
      <c r="AJ272" s="2152"/>
      <c r="AK272" s="2152"/>
      <c r="AL272" s="2152"/>
      <c r="AM272" s="2152"/>
      <c r="AN272" s="2152"/>
      <c r="AO272" s="2152"/>
      <c r="AP272" s="2152"/>
      <c r="AQ272" s="2152"/>
      <c r="AR272" s="2152"/>
      <c r="AS272" s="2152"/>
      <c r="AT272" s="2152"/>
      <c r="AU272" s="2152"/>
      <c r="AV272" s="2152"/>
      <c r="AW272" s="2152"/>
      <c r="AX272" s="2152"/>
      <c r="AY272" s="2152"/>
      <c r="AZ272" s="2152"/>
      <c r="BA272" s="2152"/>
      <c r="BB272" s="2152"/>
      <c r="BC272" s="2152"/>
      <c r="BD272" s="2152"/>
      <c r="BE272" s="2152"/>
      <c r="BF272" s="2152"/>
      <c r="BG272" s="2152"/>
      <c r="BH272" s="2152"/>
      <c r="BI272" s="2152"/>
      <c r="BJ272" s="2152"/>
      <c r="BK272" s="2152"/>
      <c r="BL272" s="2152"/>
      <c r="BM272" s="2152"/>
      <c r="BN272" s="2152"/>
      <c r="BO272" s="2153"/>
      <c r="BP272" s="2153"/>
      <c r="BQ272" s="2153"/>
      <c r="BR272" s="2153"/>
      <c r="BS272" s="2153"/>
      <c r="BT272" s="2153"/>
      <c r="BU272" s="2153"/>
      <c r="BV272" s="2153"/>
      <c r="BW272" s="2153"/>
      <c r="BX272" s="2153"/>
      <c r="BY272" s="2153"/>
      <c r="BZ272" s="2153"/>
      <c r="CA272" s="34"/>
      <c r="CC272" s="58"/>
      <c r="CD272" s="2154" t="str" cm="1">
        <f t="array" ca="1" aca="1" ref="CD272">_xlfn.LET(_xlpm.search_key,$W272&amp;$Y272,_xlpm.Scenario,_xlfn.VSTACK($W$20:$W$55&amp;$Y$20:$Y$55,$W$76:$W$110&amp;$Y$76:$Y$110),_xlpm.Data,_xlfn.VSTACK(CD$20:CE$55,CD$76:CE$110),IF(OR($Y272="",ISNUMBER(SEARCH("please",$Y272))),"",_xlfn.XLOOKUP(_xlpm.search_key,_xlpm.Scenario,_xlpm.Data,"▧")))</f>
        <v/>
      </c>
      <c r="CE272" s="2154"/>
      <c r="CF272" s="88"/>
      <c r="CG272" s="2154" t="str" cm="1">
        <f t="array" ca="1" aca="1" ref="CG272">_xlfn.LET(_xlpm.search_key,$W272&amp;$Y272,_xlpm.Scenario,_xlfn.VSTACK($W$20:$W$55&amp;$Y$20:$Y$55,$W$76:$W$110&amp;$Y$76:$Y$110),_xlpm.Data,_xlfn.VSTACK(CG$20:CH$55,CG$76:CH$110),IF(OR($Y272="",ISNUMBER(SEARCH("please",$Y272))),"",_xlfn.XLOOKUP(_xlpm.search_key,_xlpm.Scenario,_xlpm.Data,"▧")))</f>
        <v/>
      </c>
      <c r="CH272" s="2154"/>
      <c r="CI272" s="88"/>
      <c r="CJ272" s="2154" t="str" cm="1">
        <f t="array" ref="CJ272">_xlfn.LET(_xlpm.search_key,$W272&amp;$Y272,_xlpm.Scenario,_xlfn.VSTACK($W$20:$W$55&amp;$Y$20:$Y$55,$W$76:$W$110&amp;$Y$76:$Y$110),_xlpm.Data,_xlfn.VSTACK(CJ$20:CK$55,CJ$76:CK$110),IF(OR($Y272="",ISNUMBER(SEARCH("please",$Y272))),"",_xlfn.XLOOKUP(_xlpm.search_key,_xlpm.Scenario,_xlpm.Data,"▧")))</f>
        <v/>
      </c>
      <c r="CK272" s="2154"/>
      <c r="CL272" s="88"/>
      <c r="CM272" s="2154" t="str" cm="1">
        <f t="array" ca="1" aca="1" ref="CM272">_xlfn.LET(_xlpm.search_key,$W272&amp;$Y272,_xlpm.Scenario,_xlfn.VSTACK($W$20:$W$55&amp;$Y$20:$Y$55,$W$76:$W$110&amp;$Y$76:$Y$110),_xlpm.Data,_xlfn.VSTACK(CM$20:CN$55,CM$76:CN$110),IF(OR($Y272="",ISNUMBER(SEARCH("please",$Y272))),"",_xlfn.XLOOKUP(_xlpm.search_key,_xlpm.Scenario,_xlpm.Data,"▧")))</f>
        <v/>
      </c>
      <c r="CN272" s="2154"/>
      <c r="CO272" s="88"/>
      <c r="CP272" s="2154" t="str" cm="1">
        <f t="array" ca="1" aca="1" ref="CP272">_xlfn.LET(_xlpm.search_key,$W272&amp;$Y272,_xlpm.Scenario,_xlfn.VSTACK($W$20:$W$55&amp;$Y$20:$Y$55,$W$76:$W$110&amp;$Y$76:$Y$110),_xlpm.Data,_xlfn.VSTACK(CP$20:CQ$55,CP$76:CQ$110),IF(OR($Y272="",ISNUMBER(SEARCH("please",$Y272))),"",_xlfn.XLOOKUP(_xlpm.search_key,_xlpm.Scenario,_xlpm.Data,"▧")))</f>
        <v/>
      </c>
      <c r="CQ272" s="2154"/>
      <c r="CR272" s="34"/>
      <c r="CS272" s="2056"/>
    </row>
    <row r="273" spans="1:97" ht="21" customHeight="1">
      <c r="A273" s="1627"/>
      <c r="B273" s="2331"/>
      <c r="C273" s="2084"/>
      <c r="D273" s="1549"/>
      <c r="E273" s="1902"/>
      <c r="F273" s="401"/>
      <c r="G273" s="401"/>
      <c r="H273" s="585"/>
      <c r="I273" s="585"/>
      <c r="J273" s="401"/>
      <c r="K273" s="401"/>
      <c r="N273" s="158"/>
      <c r="O273" s="101"/>
      <c r="P273" s="52"/>
      <c r="Q273" s="101"/>
      <c r="R273" s="101"/>
      <c r="S273" s="101"/>
      <c r="T273" s="101"/>
      <c r="U273" s="39"/>
      <c r="V273" s="37"/>
      <c r="W273" s="2329"/>
      <c r="X273" s="2081"/>
      <c r="Y273" s="2367"/>
      <c r="Z273" s="198"/>
      <c r="AA273" s="2136"/>
      <c r="AB273" s="1134"/>
      <c r="AC273" s="125"/>
      <c r="AD273" s="2152" t="str" cm="1">
        <f t="array" ca="1" aca="1" ref="AD273">_xlfn.LET(_xlpm.search_key,$W273&amp;$Y273,_xlpm.Scenario,_xlfn.VSTACK($W$20:$W$55&amp;$Y$20:$Y$55,$W$76:$W$110&amp;$Y$76:$Y$110),_xlpm.Data,_xlfn.VSTACK($AD$20:$BN$55,$AD$76:$BN$110),IF(OR($Y273="",ISNUMBER(SEARCH("please",$Y273))),"",_xlfn.XLOOKUP(_xlpm.search_key,_xlpm.Scenario,_xlpm.Data,"▧",2)))</f>
        <v/>
      </c>
      <c r="AE273" s="2152"/>
      <c r="AF273" s="2152"/>
      <c r="AG273" s="2152"/>
      <c r="AH273" s="2152"/>
      <c r="AI273" s="2152"/>
      <c r="AJ273" s="2152"/>
      <c r="AK273" s="2152"/>
      <c r="AL273" s="2152"/>
      <c r="AM273" s="2152"/>
      <c r="AN273" s="2152"/>
      <c r="AO273" s="2152"/>
      <c r="AP273" s="2152"/>
      <c r="AQ273" s="2152"/>
      <c r="AR273" s="2152"/>
      <c r="AS273" s="2152"/>
      <c r="AT273" s="2152"/>
      <c r="AU273" s="2152"/>
      <c r="AV273" s="2152"/>
      <c r="AW273" s="2152"/>
      <c r="AX273" s="2152"/>
      <c r="AY273" s="2152"/>
      <c r="AZ273" s="2152"/>
      <c r="BA273" s="2152"/>
      <c r="BB273" s="2152"/>
      <c r="BC273" s="2152"/>
      <c r="BD273" s="2152"/>
      <c r="BE273" s="2152"/>
      <c r="BF273" s="2152"/>
      <c r="BG273" s="2152"/>
      <c r="BH273" s="2152"/>
      <c r="BI273" s="2152"/>
      <c r="BJ273" s="2152"/>
      <c r="BK273" s="2152"/>
      <c r="BL273" s="2152"/>
      <c r="BM273" s="2152"/>
      <c r="BN273" s="2152"/>
      <c r="BO273" s="2153"/>
      <c r="BP273" s="2153"/>
      <c r="BQ273" s="2153"/>
      <c r="BR273" s="2153"/>
      <c r="BS273" s="2153"/>
      <c r="BT273" s="2153"/>
      <c r="BU273" s="2153"/>
      <c r="BV273" s="2153"/>
      <c r="BW273" s="2153"/>
      <c r="BX273" s="2153"/>
      <c r="BY273" s="2153"/>
      <c r="BZ273" s="2153"/>
      <c r="CA273" s="34"/>
      <c r="CC273" s="58"/>
      <c r="CD273" s="2154" t="str" cm="1">
        <f t="array" ca="1" aca="1" ref="CD273">_xlfn.LET(_xlpm.search_key,$W273&amp;$Y273,_xlpm.Scenario,_xlfn.VSTACK($W$20:$W$55&amp;$Y$20:$Y$55,$W$76:$W$110&amp;$Y$76:$Y$110),_xlpm.Data,_xlfn.VSTACK(CD$20:CE$55,CD$76:CE$110),IF(OR($Y273="",ISNUMBER(SEARCH("please",$Y273))),"",_xlfn.XLOOKUP(_xlpm.search_key,_xlpm.Scenario,_xlpm.Data,"▧")))</f>
        <v/>
      </c>
      <c r="CE273" s="2154"/>
      <c r="CF273" s="88"/>
      <c r="CG273" s="2154" t="str" cm="1">
        <f t="array" ca="1" aca="1" ref="CG273">_xlfn.LET(_xlpm.search_key,$W273&amp;$Y273,_xlpm.Scenario,_xlfn.VSTACK($W$20:$W$55&amp;$Y$20:$Y$55,$W$76:$W$110&amp;$Y$76:$Y$110),_xlpm.Data,_xlfn.VSTACK(CG$20:CH$55,CG$76:CH$110),IF(OR($Y273="",ISNUMBER(SEARCH("please",$Y273))),"",_xlfn.XLOOKUP(_xlpm.search_key,_xlpm.Scenario,_xlpm.Data,"▧")))</f>
        <v/>
      </c>
      <c r="CH273" s="2154"/>
      <c r="CI273" s="88"/>
      <c r="CJ273" s="2154" t="str" cm="1">
        <f t="array" ref="CJ273">_xlfn.LET(_xlpm.search_key,$W273&amp;$Y273,_xlpm.Scenario,_xlfn.VSTACK($W$20:$W$55&amp;$Y$20:$Y$55,$W$76:$W$110&amp;$Y$76:$Y$110),_xlpm.Data,_xlfn.VSTACK(CJ$20:CK$55,CJ$76:CK$110),IF(OR($Y273="",ISNUMBER(SEARCH("please",$Y273))),"",_xlfn.XLOOKUP(_xlpm.search_key,_xlpm.Scenario,_xlpm.Data,"▧")))</f>
        <v/>
      </c>
      <c r="CK273" s="2154"/>
      <c r="CL273" s="88"/>
      <c r="CM273" s="2154" t="str" cm="1">
        <f t="array" ca="1" aca="1" ref="CM273">_xlfn.LET(_xlpm.search_key,$W273&amp;$Y273,_xlpm.Scenario,_xlfn.VSTACK($W$20:$W$55&amp;$Y$20:$Y$55,$W$76:$W$110&amp;$Y$76:$Y$110),_xlpm.Data,_xlfn.VSTACK(CM$20:CN$55,CM$76:CN$110),IF(OR($Y273="",ISNUMBER(SEARCH("please",$Y273))),"",_xlfn.XLOOKUP(_xlpm.search_key,_xlpm.Scenario,_xlpm.Data,"▧")))</f>
        <v/>
      </c>
      <c r="CN273" s="2154"/>
      <c r="CO273" s="88"/>
      <c r="CP273" s="2154" t="str" cm="1">
        <f t="array" ca="1" aca="1" ref="CP273">_xlfn.LET(_xlpm.search_key,$W273&amp;$Y273,_xlpm.Scenario,_xlfn.VSTACK($W$20:$W$55&amp;$Y$20:$Y$55,$W$76:$W$110&amp;$Y$76:$Y$110),_xlpm.Data,_xlfn.VSTACK(CP$20:CQ$55,CP$76:CQ$110),IF(OR($Y273="",ISNUMBER(SEARCH("please",$Y273))),"",_xlfn.XLOOKUP(_xlpm.search_key,_xlpm.Scenario,_xlpm.Data,"▧")))</f>
        <v/>
      </c>
      <c r="CQ273" s="2154"/>
      <c r="CR273" s="34"/>
      <c r="CS273" s="2056"/>
    </row>
    <row r="274" spans="1:97" ht="21" customHeight="1">
      <c r="A274" s="1627"/>
      <c r="B274" s="2331" t="s">
        <v>204</v>
      </c>
      <c r="C274" s="577" t="e" cm="1">
        <f t="array" ca="1" aca="1" ref="C274">IFBLANK(_xldudf_CX_GET(CX_ENTITY,B274,val_asOfDate),D274)</f>
        <v>#NAME?</v>
      </c>
      <c r="D274" s="577" t="s">
        <v>1848</v>
      </c>
      <c r="E274" s="2135"/>
      <c r="F274" s="401"/>
      <c r="G274" s="401"/>
      <c r="H274" s="585"/>
      <c r="I274" s="585"/>
      <c r="J274" s="401"/>
      <c r="K274" s="401" t="s">
        <v>561</v>
      </c>
      <c r="N274" s="158"/>
      <c r="O274" s="101"/>
      <c r="P274" s="52"/>
      <c r="Q274" s="101"/>
      <c r="R274" s="101"/>
      <c r="S274" s="101"/>
      <c r="T274" s="101"/>
      <c r="U274" s="39"/>
      <c r="V274" s="37"/>
      <c r="W274" s="2330"/>
      <c r="X274" s="2325"/>
      <c r="Y274" s="2326"/>
      <c r="Z274" s="2322"/>
      <c r="AA274" s="2323"/>
      <c r="AB274" s="1134"/>
      <c r="AC274" s="125"/>
      <c r="AD274" s="2152">
        <f ca="1">SUMPRODUCT($X268:$X273,AD268:AD273)</f>
        <v>0</v>
      </c>
      <c r="AE274" s="2152">
        <f t="shared" si="85" ref="AE274:AG274">SUMPRODUCT($X268:$X273,AE268:AE273)</f>
        <v>0</v>
      </c>
      <c r="AF274" s="2152">
        <f t="shared" si="85"/>
        <v>0</v>
      </c>
      <c r="AG274" s="2152">
        <f t="shared" si="85"/>
        <v>0</v>
      </c>
      <c r="AH274" s="2152">
        <f t="shared" si="86" ref="AH274:BN274">SUMPRODUCT($X268:$X273,AH268:AH273)</f>
        <v>0</v>
      </c>
      <c r="AI274" s="2152">
        <f t="shared" si="86"/>
        <v>0</v>
      </c>
      <c r="AJ274" s="2152">
        <f t="shared" si="86"/>
        <v>0</v>
      </c>
      <c r="AK274" s="2152">
        <f t="shared" si="86"/>
        <v>0</v>
      </c>
      <c r="AL274" s="2152">
        <f t="shared" si="86"/>
        <v>0</v>
      </c>
      <c r="AM274" s="2152">
        <f t="shared" si="86"/>
        <v>0</v>
      </c>
      <c r="AN274" s="2152">
        <f t="shared" si="86"/>
        <v>0</v>
      </c>
      <c r="AO274" s="2152">
        <f t="shared" si="86"/>
        <v>0</v>
      </c>
      <c r="AP274" s="2152">
        <f t="shared" si="86"/>
        <v>0</v>
      </c>
      <c r="AQ274" s="2152">
        <f t="shared" si="86"/>
        <v>0</v>
      </c>
      <c r="AR274" s="2152">
        <f t="shared" si="86"/>
        <v>0</v>
      </c>
      <c r="AS274" s="2152">
        <f t="shared" si="86"/>
        <v>0</v>
      </c>
      <c r="AT274" s="2152">
        <f t="shared" si="86"/>
        <v>0</v>
      </c>
      <c r="AU274" s="2152">
        <f t="shared" si="86"/>
        <v>0</v>
      </c>
      <c r="AV274" s="2152">
        <f t="shared" si="86"/>
        <v>0</v>
      </c>
      <c r="AW274" s="2152">
        <f t="shared" si="86"/>
        <v>0</v>
      </c>
      <c r="AX274" s="2152">
        <f t="shared" si="86"/>
        <v>0</v>
      </c>
      <c r="AY274" s="2152">
        <f t="shared" si="86"/>
        <v>0</v>
      </c>
      <c r="AZ274" s="2152">
        <f t="shared" si="86"/>
        <v>0</v>
      </c>
      <c r="BA274" s="2152">
        <f t="shared" si="86"/>
        <v>0</v>
      </c>
      <c r="BB274" s="2152">
        <f t="shared" si="86"/>
        <v>0</v>
      </c>
      <c r="BC274" s="2152">
        <f t="shared" si="86"/>
        <v>0</v>
      </c>
      <c r="BD274" s="2152">
        <f t="shared" si="86"/>
        <v>0</v>
      </c>
      <c r="BE274" s="2152">
        <f t="shared" si="86"/>
        <v>0</v>
      </c>
      <c r="BF274" s="2152">
        <f t="shared" si="86"/>
        <v>0</v>
      </c>
      <c r="BG274" s="2152">
        <f t="shared" si="86"/>
        <v>0</v>
      </c>
      <c r="BH274" s="2152">
        <f t="shared" si="86"/>
        <v>0</v>
      </c>
      <c r="BI274" s="2152">
        <f t="shared" si="86"/>
        <v>0</v>
      </c>
      <c r="BJ274" s="2152">
        <f t="shared" si="86"/>
        <v>0</v>
      </c>
      <c r="BK274" s="2152">
        <f t="shared" si="86"/>
        <v>0</v>
      </c>
      <c r="BL274" s="2152">
        <f t="shared" si="86"/>
        <v>0</v>
      </c>
      <c r="BM274" s="2152">
        <f t="shared" si="86"/>
        <v>0</v>
      </c>
      <c r="BN274" s="2152">
        <f t="shared" si="86"/>
        <v>0</v>
      </c>
      <c r="BO274" s="2153"/>
      <c r="BP274" s="2153"/>
      <c r="BQ274" s="2153"/>
      <c r="BR274" s="2153"/>
      <c r="BS274" s="2153"/>
      <c r="BT274" s="2153"/>
      <c r="BU274" s="2153"/>
      <c r="BV274" s="2153"/>
      <c r="BW274" s="2153"/>
      <c r="BX274" s="2153"/>
      <c r="BY274" s="2153"/>
      <c r="BZ274" s="2153"/>
      <c r="CA274" s="34"/>
      <c r="CC274" s="58"/>
      <c r="CD274" s="2152">
        <f ca="1">SUMPRODUCT($X268:$X273,CD268:CD273)</f>
        <v>0</v>
      </c>
      <c r="CE274" s="2152">
        <f t="shared" si="87" ref="CE274">SUMPRODUCT($X268:$X271,CE268:CE271)</f>
        <v>0</v>
      </c>
      <c r="CF274" s="88"/>
      <c r="CG274" s="2152">
        <f ca="1">SUMPRODUCT($X268:$X273,CG268:CG273)</f>
        <v>0</v>
      </c>
      <c r="CH274" s="2152">
        <f t="shared" si="88" ref="CH274">SUMPRODUCT($X268:$X271,CH268:CH271)</f>
        <v>0</v>
      </c>
      <c r="CI274" s="88"/>
      <c r="CJ274" s="2152">
        <f>SUMPRODUCT($X268:$X273,CJ268:CJ273)</f>
        <v>0</v>
      </c>
      <c r="CK274" s="2152">
        <f t="shared" si="89" ref="CK274">SUMPRODUCT($X268:$X271,CK268:CK271)</f>
        <v>0</v>
      </c>
      <c r="CL274" s="88"/>
      <c r="CM274" s="2152">
        <f ca="1">SUMPRODUCT($X268:$X273,CM268:CM273)</f>
        <v>0</v>
      </c>
      <c r="CN274" s="2152">
        <f t="shared" si="90" ref="CN274">SUMPRODUCT($X268:$X271,CN268:CN271)</f>
        <v>0</v>
      </c>
      <c r="CO274" s="88"/>
      <c r="CP274" s="2152">
        <f ca="1">SUMPRODUCT($X268:$X273,CP268:CP273)</f>
        <v>0</v>
      </c>
      <c r="CQ274" s="2152">
        <f t="shared" si="91" ref="CQ274">SUMPRODUCT($X268:$X271,CQ268:CQ271)</f>
        <v>0</v>
      </c>
      <c r="CR274" s="34"/>
      <c r="CS274" s="2056"/>
    </row>
    <row r="275" spans="1:144" s="108" customFormat="1" ht="21" customHeight="1">
      <c r="A275" s="1628"/>
      <c r="B275" s="2084"/>
      <c r="C275" s="2084"/>
      <c r="D275" s="1549"/>
      <c r="E275" s="2135"/>
      <c r="F275" s="401"/>
      <c r="G275" s="401"/>
      <c r="H275" s="585"/>
      <c r="I275" s="585"/>
      <c r="J275" s="401"/>
      <c r="K275" s="401"/>
      <c r="N275" s="2134"/>
      <c r="O275" s="101"/>
      <c r="P275" s="101"/>
      <c r="Q275" s="101"/>
      <c r="R275" s="101"/>
      <c r="S275" s="101"/>
      <c r="T275" s="101"/>
      <c r="U275" s="101"/>
      <c r="V275" s="822"/>
      <c r="W275" s="2332"/>
      <c r="X275" s="2333"/>
      <c r="Y275" s="2334"/>
      <c r="Z275" s="2316"/>
      <c r="AA275" s="2316"/>
      <c r="AB275" s="88"/>
      <c r="AC275" s="128"/>
      <c r="AD275" s="2317"/>
      <c r="AE275" s="2317"/>
      <c r="AF275" s="2317"/>
      <c r="AG275" s="2317"/>
      <c r="AH275" s="2317"/>
      <c r="AI275" s="2317"/>
      <c r="AJ275" s="2317"/>
      <c r="AK275" s="2317"/>
      <c r="AL275" s="2317"/>
      <c r="AM275" s="2317"/>
      <c r="AN275" s="2317"/>
      <c r="AO275" s="2317"/>
      <c r="AP275" s="2317"/>
      <c r="AQ275" s="2317"/>
      <c r="AR275" s="2317"/>
      <c r="AS275" s="2317"/>
      <c r="AT275" s="2317"/>
      <c r="AU275" s="2317"/>
      <c r="AV275" s="2317"/>
      <c r="AW275" s="2317"/>
      <c r="AX275" s="2317"/>
      <c r="AY275" s="2317"/>
      <c r="AZ275" s="2317"/>
      <c r="BA275" s="2317"/>
      <c r="BB275" s="2317"/>
      <c r="BC275" s="2317"/>
      <c r="BD275" s="2317"/>
      <c r="BE275" s="2317"/>
      <c r="BF275" s="2317"/>
      <c r="BG275" s="2317"/>
      <c r="BH275" s="2317"/>
      <c r="BI275" s="2317"/>
      <c r="BJ275" s="2317"/>
      <c r="BK275" s="2317"/>
      <c r="BL275" s="2317"/>
      <c r="BM275" s="2317"/>
      <c r="BN275" s="2317"/>
      <c r="BO275" s="2318"/>
      <c r="BP275" s="2318"/>
      <c r="BQ275" s="2318"/>
      <c r="BR275" s="2318"/>
      <c r="BS275" s="2318"/>
      <c r="BT275" s="2318"/>
      <c r="BU275" s="2318"/>
      <c r="BV275" s="2318"/>
      <c r="BW275" s="2318"/>
      <c r="BX275" s="2318"/>
      <c r="BY275" s="2318"/>
      <c r="BZ275" s="2318"/>
      <c r="CA275" s="88"/>
      <c r="CC275" s="383"/>
      <c r="CD275" s="2319"/>
      <c r="CE275" s="2319"/>
      <c r="CF275" s="88"/>
      <c r="CG275" s="2319"/>
      <c r="CH275" s="2319"/>
      <c r="CI275" s="88"/>
      <c r="CJ275" s="2319"/>
      <c r="CK275" s="2319"/>
      <c r="CL275" s="88"/>
      <c r="CM275" s="2320"/>
      <c r="CN275" s="2320"/>
      <c r="CO275" s="88"/>
      <c r="CP275" s="2320"/>
      <c r="CQ275" s="2320"/>
      <c r="CR275" s="88"/>
      <c r="CS275" s="2321"/>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row>
    <row r="276" spans="1:97" ht="21" customHeight="1">
      <c r="A276" s="1627"/>
      <c r="B276" s="2084"/>
      <c r="C276" s="2084"/>
      <c r="D276" s="1549"/>
      <c r="E276" s="2135"/>
      <c r="F276" s="401"/>
      <c r="G276" s="401"/>
      <c r="H276" s="585"/>
      <c r="I276" s="585"/>
      <c r="J276" s="401"/>
      <c r="K276" s="401"/>
      <c r="N276" s="158"/>
      <c r="O276" s="101"/>
      <c r="P276" s="52"/>
      <c r="Q276" s="101"/>
      <c r="R276" s="101"/>
      <c r="S276" s="18"/>
      <c r="T276" s="18"/>
      <c r="U276" s="39"/>
      <c r="V276" s="37"/>
      <c r="W276" s="2328" t="e" cm="1">
        <f t="array" ca="1" aca="1" ref="W276">UNPACK(C283)</f>
        <v>#NAME?</v>
      </c>
      <c r="X276" s="2137"/>
      <c r="Y276" s="2327"/>
      <c r="Z276" s="2139"/>
      <c r="AA276" s="2140"/>
      <c r="AB276" s="2141" t="s">
        <v>199</v>
      </c>
      <c r="AC276" s="2138"/>
      <c r="AD276" s="2138"/>
      <c r="AE276" s="2138"/>
      <c r="AF276" s="2138"/>
      <c r="AG276" s="2138"/>
      <c r="AH276" s="2138"/>
      <c r="AI276" s="2138"/>
      <c r="AJ276" s="2138"/>
      <c r="AK276" s="2138"/>
      <c r="AL276" s="2138"/>
      <c r="AM276" s="2138"/>
      <c r="AN276" s="2138"/>
      <c r="AO276" s="2138"/>
      <c r="AP276" s="2138"/>
      <c r="AQ276" s="2138"/>
      <c r="AR276" s="2138"/>
      <c r="AS276" s="2138"/>
      <c r="AT276" s="2138"/>
      <c r="AU276" s="2138"/>
      <c r="AV276" s="2138"/>
      <c r="AW276" s="2138"/>
      <c r="AX276" s="2138"/>
      <c r="AY276" s="2138"/>
      <c r="AZ276" s="2138"/>
      <c r="BA276" s="2138"/>
      <c r="BB276" s="2138"/>
      <c r="BC276" s="2138"/>
      <c r="BD276" s="2138"/>
      <c r="BE276" s="2138"/>
      <c r="BF276" s="2138"/>
      <c r="BG276" s="2138"/>
      <c r="BH276" s="2138"/>
      <c r="BI276" s="2138"/>
      <c r="BJ276" s="2138"/>
      <c r="BK276" s="2138"/>
      <c r="BL276" s="2138"/>
      <c r="BM276" s="2138"/>
      <c r="BN276" s="2138"/>
      <c r="BO276" s="1634"/>
      <c r="BP276" s="1634"/>
      <c r="BQ276" s="1634"/>
      <c r="BR276" s="1634"/>
      <c r="BS276" s="1634"/>
      <c r="BT276" s="1634"/>
      <c r="BU276" s="1634"/>
      <c r="BV276" s="1634"/>
      <c r="BW276" s="1634"/>
      <c r="BX276" s="1634"/>
      <c r="BY276" s="1634"/>
      <c r="BZ276" s="1634"/>
      <c r="CA276" s="34"/>
      <c r="CC276" s="58"/>
      <c r="CD276" s="1720">
        <f>($W271)</f>
        <v>0</v>
      </c>
      <c r="CE276" s="1721">
        <f>($W271)</f>
        <v>0</v>
      </c>
      <c r="CF276" s="128"/>
      <c r="CG276" s="1734">
        <f>($W271)</f>
        <v>0</v>
      </c>
      <c r="CH276" s="1735">
        <f>($W271)</f>
        <v>0</v>
      </c>
      <c r="CI276" s="207"/>
      <c r="CJ276" s="1724">
        <f>($W271)</f>
        <v>0</v>
      </c>
      <c r="CK276" s="1725">
        <f>($W271)</f>
        <v>0</v>
      </c>
      <c r="CL276" s="88"/>
      <c r="CM276" s="1198" t="str">
        <f>CM$19</f>
        <v>Original Budget</v>
      </c>
      <c r="CN276" s="1198" t="str">
        <f>CN$19</f>
        <v>LE</v>
      </c>
      <c r="CO276" s="88"/>
      <c r="CP276" s="1819" t="str">
        <f>$CP$19</f>
        <v>Original Budget</v>
      </c>
      <c r="CQ276" s="1819" t="str">
        <f>$CQ$19</f>
        <v>LE</v>
      </c>
      <c r="CR276" s="34"/>
      <c r="CS276" s="2056"/>
    </row>
    <row r="277" spans="1:97" ht="21" customHeight="1">
      <c r="A277" s="1627"/>
      <c r="B277" s="2331"/>
      <c r="C277" s="2084"/>
      <c r="D277" s="1549"/>
      <c r="E277" s="1902"/>
      <c r="F277" s="401"/>
      <c r="G277" s="401"/>
      <c r="H277" s="585">
        <v>0</v>
      </c>
      <c r="I277" s="3290">
        <v>1</v>
      </c>
      <c r="J277" s="401"/>
      <c r="K277" s="401" t="str">
        <f t="shared" si="92" ref="K277:K278">IFERROR(IF(LEN(AB277)=0,"No",IF(LEN(J277)&gt;0,"Yes","No")),"")</f>
        <v>No</v>
      </c>
      <c r="N277" s="158"/>
      <c r="O277" s="101"/>
      <c r="P277" s="52"/>
      <c r="Q277" s="101"/>
      <c r="R277" s="101"/>
      <c r="S277" s="101"/>
      <c r="T277" s="2324"/>
      <c r="U277" s="39"/>
      <c r="V277" s="37"/>
      <c r="W277" s="2329"/>
      <c r="X277" s="2081"/>
      <c r="Y277" s="2366"/>
      <c r="Z277" s="198"/>
      <c r="AA277" s="2136"/>
      <c r="AB277" s="1134"/>
      <c r="AC277" s="125"/>
      <c r="AD277" s="2152" t="str" cm="1">
        <f t="array" ca="1" aca="1" ref="AD277">_xlfn.LET(_xlpm.search_key,$W277&amp;$Y277,_xlpm.Scenario,_xlfn.VSTACK($W$20:$W$55&amp;$Y$20:$Y$55,$W$76:$W$110&amp;$Y$76:$Y$110),_xlpm.Data,_xlfn.VSTACK($AD$20:$BN$55,$AD$76:$BN$110),IF(OR($Y277="",ISNUMBER(SEARCH("please",$Y277))),"",_xlfn.XLOOKUP(_xlpm.search_key,_xlpm.Scenario,_xlpm.Data,"▧",2)))</f>
        <v/>
      </c>
      <c r="AE277" s="2152"/>
      <c r="AF277" s="2152"/>
      <c r="AG277" s="2152"/>
      <c r="AH277" s="2152"/>
      <c r="AI277" s="2152"/>
      <c r="AJ277" s="2152"/>
      <c r="AK277" s="2152"/>
      <c r="AL277" s="2152"/>
      <c r="AM277" s="2152"/>
      <c r="AN277" s="2152"/>
      <c r="AO277" s="2152"/>
      <c r="AP277" s="2152"/>
      <c r="AQ277" s="2152"/>
      <c r="AR277" s="2152"/>
      <c r="AS277" s="2152"/>
      <c r="AT277" s="2152"/>
      <c r="AU277" s="2152"/>
      <c r="AV277" s="2152"/>
      <c r="AW277" s="2152"/>
      <c r="AX277" s="2152"/>
      <c r="AY277" s="2152"/>
      <c r="AZ277" s="2152"/>
      <c r="BA277" s="2152"/>
      <c r="BB277" s="2152"/>
      <c r="BC277" s="2152"/>
      <c r="BD277" s="2152"/>
      <c r="BE277" s="2152"/>
      <c r="BF277" s="2152"/>
      <c r="BG277" s="2152"/>
      <c r="BH277" s="2152"/>
      <c r="BI277" s="2152"/>
      <c r="BJ277" s="2152"/>
      <c r="BK277" s="2152"/>
      <c r="BL277" s="2152"/>
      <c r="BM277" s="2152"/>
      <c r="BN277" s="2152"/>
      <c r="BO277" s="2153"/>
      <c r="BP277" s="2153"/>
      <c r="BQ277" s="2153"/>
      <c r="BR277" s="2153"/>
      <c r="BS277" s="2153"/>
      <c r="BT277" s="2153"/>
      <c r="BU277" s="2153"/>
      <c r="BV277" s="2153"/>
      <c r="BW277" s="2153"/>
      <c r="BX277" s="2153"/>
      <c r="BY277" s="2153"/>
      <c r="BZ277" s="2153"/>
      <c r="CA277" s="34"/>
      <c r="CC277" s="58"/>
      <c r="CD277" s="2154" t="str" cm="1">
        <f t="array" ca="1" aca="1" ref="CD277">_xlfn.LET(_xlpm.search_key,$W277&amp;$Y277,_xlpm.Scenario,_xlfn.VSTACK($W$20:$W$55&amp;$Y$20:$Y$55,$W$76:$W$110&amp;$Y$76:$Y$110),_xlpm.Data,_xlfn.VSTACK(CD$20:CE$55,CD$76:CE$110),IF(OR($Y277="",ISNUMBER(SEARCH("please",$Y277))),"",_xlfn.XLOOKUP(_xlpm.search_key,_xlpm.Scenario,_xlpm.Data,"▧")))</f>
        <v/>
      </c>
      <c r="CE277" s="2154"/>
      <c r="CF277" s="88"/>
      <c r="CG277" s="2154" t="str" cm="1">
        <f t="array" ca="1" aca="1" ref="CG277">_xlfn.LET(_xlpm.search_key,$W277&amp;$Y277,_xlpm.Scenario,_xlfn.VSTACK($W$20:$W$55&amp;$Y$20:$Y$55,$W$76:$W$110&amp;$Y$76:$Y$110),_xlpm.Data,_xlfn.VSTACK(CG$20:CH$55,CG$76:CH$110),IF(OR($Y277="",ISNUMBER(SEARCH("please",$Y277))),"",_xlfn.XLOOKUP(_xlpm.search_key,_xlpm.Scenario,_xlpm.Data,"▧")))</f>
        <v/>
      </c>
      <c r="CH277" s="2154"/>
      <c r="CI277" s="88"/>
      <c r="CJ277" s="2154" t="str" cm="1">
        <f t="array" ref="CJ277">_xlfn.LET(_xlpm.search_key,$W277&amp;$Y277,_xlpm.Scenario,_xlfn.VSTACK($W$20:$W$55&amp;$Y$20:$Y$55,$W$76:$W$110&amp;$Y$76:$Y$110),_xlpm.Data,_xlfn.VSTACK(CJ$20:CK$55,CJ$76:CK$110),IF(OR($Y277="",ISNUMBER(SEARCH("please",$Y277))),"",_xlfn.XLOOKUP(_xlpm.search_key,_xlpm.Scenario,_xlpm.Data,"▧")))</f>
        <v/>
      </c>
      <c r="CK277" s="2154"/>
      <c r="CL277" s="88"/>
      <c r="CM277" s="2154" t="str" cm="1">
        <f t="array" ca="1" aca="1" ref="CM277">_xlfn.LET(_xlpm.search_key,$W277&amp;$Y277,_xlpm.Scenario,_xlfn.VSTACK($W$20:$W$55&amp;$Y$20:$Y$55,$W$76:$W$110&amp;$Y$76:$Y$110),_xlpm.Data,_xlfn.VSTACK(CM$20:CN$55,CM$76:CN$110),IF(OR($Y277="",ISNUMBER(SEARCH("please",$Y277))),"",_xlfn.XLOOKUP(_xlpm.search_key,_xlpm.Scenario,_xlpm.Data,"▧")))</f>
        <v/>
      </c>
      <c r="CN277" s="2154"/>
      <c r="CO277" s="88"/>
      <c r="CP277" s="2154" t="str" cm="1">
        <f t="array" ca="1" aca="1" ref="CP277">_xlfn.LET(_xlpm.search_key,$W277&amp;$Y277,_xlpm.Scenario,_xlfn.VSTACK($W$20:$W$55&amp;$Y$20:$Y$55,$W$76:$W$110&amp;$Y$76:$Y$110),_xlpm.Data,_xlfn.VSTACK(CP$20:CQ$55,CP$76:CQ$110),IF(OR($Y277="",ISNUMBER(SEARCH("please",$Y277))),"",_xlfn.XLOOKUP(_xlpm.search_key,_xlpm.Scenario,_xlpm.Data,"▧")))</f>
        <v/>
      </c>
      <c r="CQ277" s="2154"/>
      <c r="CR277" s="34"/>
      <c r="CS277" s="2056"/>
    </row>
    <row r="278" spans="1:97" ht="21" customHeight="1">
      <c r="A278" s="1627"/>
      <c r="B278" s="2331"/>
      <c r="C278" s="2084"/>
      <c r="D278" s="1549"/>
      <c r="E278" s="1902"/>
      <c r="F278" s="401"/>
      <c r="G278" s="401"/>
      <c r="H278" s="585">
        <v>0</v>
      </c>
      <c r="I278" s="3290">
        <v>1</v>
      </c>
      <c r="J278" s="401"/>
      <c r="K278" s="401" t="str">
        <f t="shared" si="92"/>
        <v>No</v>
      </c>
      <c r="N278" s="158"/>
      <c r="O278" s="101"/>
      <c r="P278" s="52"/>
      <c r="Q278" s="101"/>
      <c r="R278" s="101"/>
      <c r="S278" s="101"/>
      <c r="T278" s="101"/>
      <c r="U278" s="39"/>
      <c r="V278" s="37"/>
      <c r="W278" s="2329"/>
      <c r="X278" s="2081"/>
      <c r="Y278" s="2367"/>
      <c r="Z278" s="198"/>
      <c r="AA278" s="2136"/>
      <c r="AB278" s="1134"/>
      <c r="AC278" s="125"/>
      <c r="AD278" s="2152" t="str" cm="1">
        <f t="array" ca="1" aca="1" ref="AD278">_xlfn.LET(_xlpm.search_key,$W278&amp;$Y278,_xlpm.Scenario,_xlfn.VSTACK($W$20:$W$55&amp;$Y$20:$Y$55,$W$76:$W$110&amp;$Y$76:$Y$110),_xlpm.Data,_xlfn.VSTACK($AD$20:$BN$55,$AD$76:$BN$110),IF(OR($Y278="",ISNUMBER(SEARCH("please",$Y278))),"",_xlfn.XLOOKUP(_xlpm.search_key,_xlpm.Scenario,_xlpm.Data,"▧",2)))</f>
        <v/>
      </c>
      <c r="AE278" s="2152"/>
      <c r="AF278" s="2152"/>
      <c r="AG278" s="2152"/>
      <c r="AH278" s="2152"/>
      <c r="AI278" s="2152"/>
      <c r="AJ278" s="2152"/>
      <c r="AK278" s="2152"/>
      <c r="AL278" s="2152"/>
      <c r="AM278" s="2152"/>
      <c r="AN278" s="2152"/>
      <c r="AO278" s="2152"/>
      <c r="AP278" s="2152"/>
      <c r="AQ278" s="2152"/>
      <c r="AR278" s="2152"/>
      <c r="AS278" s="2152"/>
      <c r="AT278" s="2152"/>
      <c r="AU278" s="2152"/>
      <c r="AV278" s="2152"/>
      <c r="AW278" s="2152"/>
      <c r="AX278" s="2152"/>
      <c r="AY278" s="2152"/>
      <c r="AZ278" s="2152"/>
      <c r="BA278" s="2152"/>
      <c r="BB278" s="2152"/>
      <c r="BC278" s="2152"/>
      <c r="BD278" s="2152"/>
      <c r="BE278" s="2152"/>
      <c r="BF278" s="2152"/>
      <c r="BG278" s="2152"/>
      <c r="BH278" s="2152"/>
      <c r="BI278" s="2152"/>
      <c r="BJ278" s="2152"/>
      <c r="BK278" s="2152"/>
      <c r="BL278" s="2152"/>
      <c r="BM278" s="2152"/>
      <c r="BN278" s="2152"/>
      <c r="BO278" s="2153"/>
      <c r="BP278" s="2153"/>
      <c r="BQ278" s="2153"/>
      <c r="BR278" s="2153"/>
      <c r="BS278" s="2153"/>
      <c r="BT278" s="2153"/>
      <c r="BU278" s="2153"/>
      <c r="BV278" s="2153"/>
      <c r="BW278" s="2153"/>
      <c r="BX278" s="2153"/>
      <c r="BY278" s="2153"/>
      <c r="BZ278" s="2153"/>
      <c r="CA278" s="34"/>
      <c r="CC278" s="58"/>
      <c r="CD278" s="2154" t="str" cm="1">
        <f t="array" ca="1" aca="1" ref="CD278">_xlfn.LET(_xlpm.search_key,$W278&amp;$Y278,_xlpm.Scenario,_xlfn.VSTACK($W$20:$W$55&amp;$Y$20:$Y$55,$W$76:$W$110&amp;$Y$76:$Y$110),_xlpm.Data,_xlfn.VSTACK(CD$20:CE$55,CD$76:CE$110),IF(OR($Y278="",ISNUMBER(SEARCH("please",$Y278))),"",_xlfn.XLOOKUP(_xlpm.search_key,_xlpm.Scenario,_xlpm.Data,"▧")))</f>
        <v/>
      </c>
      <c r="CE278" s="2154"/>
      <c r="CF278" s="88"/>
      <c r="CG278" s="2154" t="str" cm="1">
        <f t="array" ca="1" aca="1" ref="CG278">_xlfn.LET(_xlpm.search_key,$W278&amp;$Y278,_xlpm.Scenario,_xlfn.VSTACK($W$20:$W$55&amp;$Y$20:$Y$55,$W$76:$W$110&amp;$Y$76:$Y$110),_xlpm.Data,_xlfn.VSTACK(CG$20:CH$55,CG$76:CH$110),IF(OR($Y278="",ISNUMBER(SEARCH("please",$Y278))),"",_xlfn.XLOOKUP(_xlpm.search_key,_xlpm.Scenario,_xlpm.Data,"▧")))</f>
        <v/>
      </c>
      <c r="CH278" s="2154"/>
      <c r="CI278" s="88"/>
      <c r="CJ278" s="2154" t="str" cm="1">
        <f t="array" ref="CJ278">_xlfn.LET(_xlpm.search_key,$W278&amp;$Y278,_xlpm.Scenario,_xlfn.VSTACK($W$20:$W$55&amp;$Y$20:$Y$55,$W$76:$W$110&amp;$Y$76:$Y$110),_xlpm.Data,_xlfn.VSTACK(CJ$20:CK$55,CJ$76:CK$110),IF(OR($Y278="",ISNUMBER(SEARCH("please",$Y278))),"",_xlfn.XLOOKUP(_xlpm.search_key,_xlpm.Scenario,_xlpm.Data,"▧")))</f>
        <v/>
      </c>
      <c r="CK278" s="2154"/>
      <c r="CL278" s="88"/>
      <c r="CM278" s="2154" t="str" cm="1">
        <f t="array" ca="1" aca="1" ref="CM278">_xlfn.LET(_xlpm.search_key,$W278&amp;$Y278,_xlpm.Scenario,_xlfn.VSTACK($W$20:$W$55&amp;$Y$20:$Y$55,$W$76:$W$110&amp;$Y$76:$Y$110),_xlpm.Data,_xlfn.VSTACK(CM$20:CN$55,CM$76:CN$110),IF(OR($Y278="",ISNUMBER(SEARCH("please",$Y278))),"",_xlfn.XLOOKUP(_xlpm.search_key,_xlpm.Scenario,_xlpm.Data,"▧")))</f>
        <v/>
      </c>
      <c r="CN278" s="2154"/>
      <c r="CO278" s="88"/>
      <c r="CP278" s="2154" t="str" cm="1">
        <f t="array" ca="1" aca="1" ref="CP278">_xlfn.LET(_xlpm.search_key,$W278&amp;$Y278,_xlpm.Scenario,_xlfn.VSTACK($W$20:$W$55&amp;$Y$20:$Y$55,$W$76:$W$110&amp;$Y$76:$Y$110),_xlpm.Data,_xlfn.VSTACK(CP$20:CQ$55,CP$76:CQ$110),IF(OR($Y278="",ISNUMBER(SEARCH("please",$Y278))),"",_xlfn.XLOOKUP(_xlpm.search_key,_xlpm.Scenario,_xlpm.Data,"▧")))</f>
        <v/>
      </c>
      <c r="CQ278" s="2154"/>
      <c r="CR278" s="34"/>
      <c r="CS278" s="2056"/>
    </row>
    <row r="279" spans="1:97" ht="21" customHeight="1">
      <c r="A279" s="1627"/>
      <c r="B279" s="2331"/>
      <c r="C279" s="2084"/>
      <c r="D279" s="1549"/>
      <c r="E279" s="1902"/>
      <c r="F279" s="401"/>
      <c r="G279" s="401"/>
      <c r="H279" s="585"/>
      <c r="I279" s="585"/>
      <c r="J279" s="401"/>
      <c r="K279" s="401"/>
      <c r="N279" s="158"/>
      <c r="O279" s="101"/>
      <c r="P279" s="52"/>
      <c r="Q279" s="101"/>
      <c r="R279" s="101"/>
      <c r="S279" s="101"/>
      <c r="T279" s="101"/>
      <c r="U279" s="39"/>
      <c r="V279" s="37"/>
      <c r="W279" s="2329"/>
      <c r="X279" s="2081"/>
      <c r="Y279" s="2367"/>
      <c r="Z279" s="198"/>
      <c r="AA279" s="2136"/>
      <c r="AB279" s="1134"/>
      <c r="AC279" s="125"/>
      <c r="AD279" s="2152" t="str" cm="1">
        <f t="array" ca="1" aca="1" ref="AD279">_xlfn.LET(_xlpm.search_key,$W279&amp;$Y279,_xlpm.Scenario,_xlfn.VSTACK($W$20:$W$55&amp;$Y$20:$Y$55,$W$76:$W$110&amp;$Y$76:$Y$110),_xlpm.Data,_xlfn.VSTACK($AD$20:$BN$55,$AD$76:$BN$110),IF(OR($Y279="",ISNUMBER(SEARCH("please",$Y279))),"",_xlfn.XLOOKUP(_xlpm.search_key,_xlpm.Scenario,_xlpm.Data,"▧",2)))</f>
        <v/>
      </c>
      <c r="AE279" s="2152"/>
      <c r="AF279" s="2152"/>
      <c r="AG279" s="2152"/>
      <c r="AH279" s="2152"/>
      <c r="AI279" s="2152"/>
      <c r="AJ279" s="2152"/>
      <c r="AK279" s="2152"/>
      <c r="AL279" s="2152"/>
      <c r="AM279" s="2152"/>
      <c r="AN279" s="2152"/>
      <c r="AO279" s="2152"/>
      <c r="AP279" s="2152"/>
      <c r="AQ279" s="2152"/>
      <c r="AR279" s="2152"/>
      <c r="AS279" s="2152"/>
      <c r="AT279" s="2152"/>
      <c r="AU279" s="2152"/>
      <c r="AV279" s="2152"/>
      <c r="AW279" s="2152"/>
      <c r="AX279" s="2152"/>
      <c r="AY279" s="2152"/>
      <c r="AZ279" s="2152"/>
      <c r="BA279" s="2152"/>
      <c r="BB279" s="2152"/>
      <c r="BC279" s="2152"/>
      <c r="BD279" s="2152"/>
      <c r="BE279" s="2152"/>
      <c r="BF279" s="2152"/>
      <c r="BG279" s="2152"/>
      <c r="BH279" s="2152"/>
      <c r="BI279" s="2152"/>
      <c r="BJ279" s="2152"/>
      <c r="BK279" s="2152"/>
      <c r="BL279" s="2152"/>
      <c r="BM279" s="2152"/>
      <c r="BN279" s="2152"/>
      <c r="BO279" s="2153"/>
      <c r="BP279" s="2153"/>
      <c r="BQ279" s="2153"/>
      <c r="BR279" s="2153"/>
      <c r="BS279" s="2153"/>
      <c r="BT279" s="2153"/>
      <c r="BU279" s="2153"/>
      <c r="BV279" s="2153"/>
      <c r="BW279" s="2153"/>
      <c r="BX279" s="2153"/>
      <c r="BY279" s="2153"/>
      <c r="BZ279" s="2153"/>
      <c r="CA279" s="34"/>
      <c r="CC279" s="58"/>
      <c r="CD279" s="2154" t="str" cm="1">
        <f t="array" ca="1" aca="1" ref="CD279">_xlfn.LET(_xlpm.search_key,$W279&amp;$Y279,_xlpm.Scenario,_xlfn.VSTACK($W$20:$W$55&amp;$Y$20:$Y$55,$W$76:$W$110&amp;$Y$76:$Y$110),_xlpm.Data,_xlfn.VSTACK(CD$20:CE$55,CD$76:CE$110),IF(OR($Y279="",ISNUMBER(SEARCH("please",$Y279))),"",_xlfn.XLOOKUP(_xlpm.search_key,_xlpm.Scenario,_xlpm.Data,"▧")))</f>
        <v/>
      </c>
      <c r="CE279" s="2154"/>
      <c r="CF279" s="88"/>
      <c r="CG279" s="2154" t="str" cm="1">
        <f t="array" ca="1" aca="1" ref="CG279">_xlfn.LET(_xlpm.search_key,$W279&amp;$Y279,_xlpm.Scenario,_xlfn.VSTACK($W$20:$W$55&amp;$Y$20:$Y$55,$W$76:$W$110&amp;$Y$76:$Y$110),_xlpm.Data,_xlfn.VSTACK(CG$20:CH$55,CG$76:CH$110),IF(OR($Y279="",ISNUMBER(SEARCH("please",$Y279))),"",_xlfn.XLOOKUP(_xlpm.search_key,_xlpm.Scenario,_xlpm.Data,"▧")))</f>
        <v/>
      </c>
      <c r="CH279" s="2154"/>
      <c r="CI279" s="88"/>
      <c r="CJ279" s="2154" t="str" cm="1">
        <f t="array" ref="CJ279">_xlfn.LET(_xlpm.search_key,$W279&amp;$Y279,_xlpm.Scenario,_xlfn.VSTACK($W$20:$W$55&amp;$Y$20:$Y$55,$W$76:$W$110&amp;$Y$76:$Y$110),_xlpm.Data,_xlfn.VSTACK(CJ$20:CK$55,CJ$76:CK$110),IF(OR($Y279="",ISNUMBER(SEARCH("please",$Y279))),"",_xlfn.XLOOKUP(_xlpm.search_key,_xlpm.Scenario,_xlpm.Data,"▧")))</f>
        <v/>
      </c>
      <c r="CK279" s="2154"/>
      <c r="CL279" s="88"/>
      <c r="CM279" s="2154" t="str" cm="1">
        <f t="array" ca="1" aca="1" ref="CM279">_xlfn.LET(_xlpm.search_key,$W279&amp;$Y279,_xlpm.Scenario,_xlfn.VSTACK($W$20:$W$55&amp;$Y$20:$Y$55,$W$76:$W$110&amp;$Y$76:$Y$110),_xlpm.Data,_xlfn.VSTACK(CM$20:CN$55,CM$76:CN$110),IF(OR($Y279="",ISNUMBER(SEARCH("please",$Y279))),"",_xlfn.XLOOKUP(_xlpm.search_key,_xlpm.Scenario,_xlpm.Data,"▧")))</f>
        <v/>
      </c>
      <c r="CN279" s="2154"/>
      <c r="CO279" s="88"/>
      <c r="CP279" s="2154" t="str" cm="1">
        <f t="array" ca="1" aca="1" ref="CP279">_xlfn.LET(_xlpm.search_key,$W279&amp;$Y279,_xlpm.Scenario,_xlfn.VSTACK($W$20:$W$55&amp;$Y$20:$Y$55,$W$76:$W$110&amp;$Y$76:$Y$110),_xlpm.Data,_xlfn.VSTACK(CP$20:CQ$55,CP$76:CQ$110),IF(OR($Y279="",ISNUMBER(SEARCH("please",$Y279))),"",_xlfn.XLOOKUP(_xlpm.search_key,_xlpm.Scenario,_xlpm.Data,"▧")))</f>
        <v/>
      </c>
      <c r="CQ279" s="2154"/>
      <c r="CR279" s="34"/>
      <c r="CS279" s="2056"/>
    </row>
    <row r="280" spans="1:97" ht="21" customHeight="1">
      <c r="A280" s="1627"/>
      <c r="B280" s="2331"/>
      <c r="C280" s="2084"/>
      <c r="D280" s="1549"/>
      <c r="E280" s="1902"/>
      <c r="F280" s="401"/>
      <c r="G280" s="401"/>
      <c r="H280" s="585"/>
      <c r="I280" s="585"/>
      <c r="J280" s="401"/>
      <c r="K280" s="401"/>
      <c r="N280" s="158"/>
      <c r="O280" s="101"/>
      <c r="P280" s="52"/>
      <c r="Q280" s="101"/>
      <c r="R280" s="101"/>
      <c r="S280" s="101"/>
      <c r="T280" s="101"/>
      <c r="U280" s="39"/>
      <c r="V280" s="37"/>
      <c r="W280" s="2329"/>
      <c r="X280" s="2081"/>
      <c r="Y280" s="2367"/>
      <c r="Z280" s="198"/>
      <c r="AA280" s="2136"/>
      <c r="AB280" s="1134"/>
      <c r="AC280" s="125"/>
      <c r="AD280" s="2152" t="str" cm="1">
        <f t="array" ca="1" aca="1" ref="AD280">_xlfn.LET(_xlpm.search_key,$W280&amp;$Y280,_xlpm.Scenario,_xlfn.VSTACK($W$20:$W$55&amp;$Y$20:$Y$55,$W$76:$W$110&amp;$Y$76:$Y$110),_xlpm.Data,_xlfn.VSTACK($AD$20:$BN$55,$AD$76:$BN$110),IF(OR($Y280="",ISNUMBER(SEARCH("please",$Y280))),"",_xlfn.XLOOKUP(_xlpm.search_key,_xlpm.Scenario,_xlpm.Data,"▧",2)))</f>
        <v/>
      </c>
      <c r="AE280" s="2152"/>
      <c r="AF280" s="2152"/>
      <c r="AG280" s="2152"/>
      <c r="AH280" s="2152"/>
      <c r="AI280" s="2152"/>
      <c r="AJ280" s="2152"/>
      <c r="AK280" s="2152"/>
      <c r="AL280" s="2152"/>
      <c r="AM280" s="2152"/>
      <c r="AN280" s="2152"/>
      <c r="AO280" s="2152"/>
      <c r="AP280" s="2152"/>
      <c r="AQ280" s="2152"/>
      <c r="AR280" s="2152"/>
      <c r="AS280" s="2152"/>
      <c r="AT280" s="2152"/>
      <c r="AU280" s="2152"/>
      <c r="AV280" s="2152"/>
      <c r="AW280" s="2152"/>
      <c r="AX280" s="2152"/>
      <c r="AY280" s="2152"/>
      <c r="AZ280" s="2152"/>
      <c r="BA280" s="2152"/>
      <c r="BB280" s="2152"/>
      <c r="BC280" s="2152"/>
      <c r="BD280" s="2152"/>
      <c r="BE280" s="2152"/>
      <c r="BF280" s="2152"/>
      <c r="BG280" s="2152"/>
      <c r="BH280" s="2152"/>
      <c r="BI280" s="2152"/>
      <c r="BJ280" s="2152"/>
      <c r="BK280" s="2152"/>
      <c r="BL280" s="2152"/>
      <c r="BM280" s="2152"/>
      <c r="BN280" s="2152"/>
      <c r="BO280" s="2153"/>
      <c r="BP280" s="2153"/>
      <c r="BQ280" s="2153"/>
      <c r="BR280" s="2153"/>
      <c r="BS280" s="2153"/>
      <c r="BT280" s="2153"/>
      <c r="BU280" s="2153"/>
      <c r="BV280" s="2153"/>
      <c r="BW280" s="2153"/>
      <c r="BX280" s="2153"/>
      <c r="BY280" s="2153"/>
      <c r="BZ280" s="2153"/>
      <c r="CA280" s="34"/>
      <c r="CC280" s="58"/>
      <c r="CD280" s="2154" t="str" cm="1">
        <f t="array" ca="1" aca="1" ref="CD280">_xlfn.LET(_xlpm.search_key,$W280&amp;$Y280,_xlpm.Scenario,_xlfn.VSTACK($W$20:$W$55&amp;$Y$20:$Y$55,$W$76:$W$110&amp;$Y$76:$Y$110),_xlpm.Data,_xlfn.VSTACK(CD$20:CE$55,CD$76:CE$110),IF(OR($Y280="",ISNUMBER(SEARCH("please",$Y280))),"",_xlfn.XLOOKUP(_xlpm.search_key,_xlpm.Scenario,_xlpm.Data,"▧")))</f>
        <v/>
      </c>
      <c r="CE280" s="2154"/>
      <c r="CF280" s="88"/>
      <c r="CG280" s="2154" t="str" cm="1">
        <f t="array" ca="1" aca="1" ref="CG280">_xlfn.LET(_xlpm.search_key,$W280&amp;$Y280,_xlpm.Scenario,_xlfn.VSTACK($W$20:$W$55&amp;$Y$20:$Y$55,$W$76:$W$110&amp;$Y$76:$Y$110),_xlpm.Data,_xlfn.VSTACK(CG$20:CH$55,CG$76:CH$110),IF(OR($Y280="",ISNUMBER(SEARCH("please",$Y280))),"",_xlfn.XLOOKUP(_xlpm.search_key,_xlpm.Scenario,_xlpm.Data,"▧")))</f>
        <v/>
      </c>
      <c r="CH280" s="2154"/>
      <c r="CI280" s="88"/>
      <c r="CJ280" s="2154" t="str" cm="1">
        <f t="array" ref="CJ280">_xlfn.LET(_xlpm.search_key,$W280&amp;$Y280,_xlpm.Scenario,_xlfn.VSTACK($W$20:$W$55&amp;$Y$20:$Y$55,$W$76:$W$110&amp;$Y$76:$Y$110),_xlpm.Data,_xlfn.VSTACK(CJ$20:CK$55,CJ$76:CK$110),IF(OR($Y280="",ISNUMBER(SEARCH("please",$Y280))),"",_xlfn.XLOOKUP(_xlpm.search_key,_xlpm.Scenario,_xlpm.Data,"▧")))</f>
        <v/>
      </c>
      <c r="CK280" s="2154"/>
      <c r="CL280" s="88"/>
      <c r="CM280" s="2154" t="str" cm="1">
        <f t="array" ca="1" aca="1" ref="CM280">_xlfn.LET(_xlpm.search_key,$W280&amp;$Y280,_xlpm.Scenario,_xlfn.VSTACK($W$20:$W$55&amp;$Y$20:$Y$55,$W$76:$W$110&amp;$Y$76:$Y$110),_xlpm.Data,_xlfn.VSTACK(CM$20:CN$55,CM$76:CN$110),IF(OR($Y280="",ISNUMBER(SEARCH("please",$Y280))),"",_xlfn.XLOOKUP(_xlpm.search_key,_xlpm.Scenario,_xlpm.Data,"▧")))</f>
        <v/>
      </c>
      <c r="CN280" s="2154"/>
      <c r="CO280" s="88"/>
      <c r="CP280" s="2154" t="str" cm="1">
        <f t="array" ca="1" aca="1" ref="CP280">_xlfn.LET(_xlpm.search_key,$W280&amp;$Y280,_xlpm.Scenario,_xlfn.VSTACK($W$20:$W$55&amp;$Y$20:$Y$55,$W$76:$W$110&amp;$Y$76:$Y$110),_xlpm.Data,_xlfn.VSTACK(CP$20:CQ$55,CP$76:CQ$110),IF(OR($Y280="",ISNUMBER(SEARCH("please",$Y280))),"",_xlfn.XLOOKUP(_xlpm.search_key,_xlpm.Scenario,_xlpm.Data,"▧")))</f>
        <v/>
      </c>
      <c r="CQ280" s="2154"/>
      <c r="CR280" s="34"/>
      <c r="CS280" s="2056"/>
    </row>
    <row r="281" spans="1:97" ht="21" customHeight="1">
      <c r="A281" s="1627"/>
      <c r="B281" s="2331"/>
      <c r="C281" s="2084"/>
      <c r="D281" s="1549"/>
      <c r="E281" s="1902"/>
      <c r="F281" s="401"/>
      <c r="G281" s="401"/>
      <c r="H281" s="585"/>
      <c r="I281" s="585"/>
      <c r="J281" s="401"/>
      <c r="K281" s="401"/>
      <c r="N281" s="158"/>
      <c r="O281" s="101"/>
      <c r="P281" s="52"/>
      <c r="Q281" s="101"/>
      <c r="R281" s="101"/>
      <c r="S281" s="101"/>
      <c r="T281" s="101"/>
      <c r="U281" s="39"/>
      <c r="V281" s="37"/>
      <c r="W281" s="2329"/>
      <c r="X281" s="2081"/>
      <c r="Y281" s="2367"/>
      <c r="Z281" s="198"/>
      <c r="AA281" s="2136"/>
      <c r="AB281" s="1134"/>
      <c r="AC281" s="125"/>
      <c r="AD281" s="2152" t="str" cm="1">
        <f t="array" ca="1" aca="1" ref="AD281">_xlfn.LET(_xlpm.search_key,$W281&amp;$Y281,_xlpm.Scenario,_xlfn.VSTACK($W$20:$W$55&amp;$Y$20:$Y$55,$W$76:$W$110&amp;$Y$76:$Y$110),_xlpm.Data,_xlfn.VSTACK($AD$20:$BN$55,$AD$76:$BN$110),IF(OR($Y281="",ISNUMBER(SEARCH("please",$Y281))),"",_xlfn.XLOOKUP(_xlpm.search_key,_xlpm.Scenario,_xlpm.Data,"▧",2)))</f>
        <v/>
      </c>
      <c r="AE281" s="2152"/>
      <c r="AF281" s="2152"/>
      <c r="AG281" s="2152"/>
      <c r="AH281" s="2152"/>
      <c r="AI281" s="2152"/>
      <c r="AJ281" s="2152"/>
      <c r="AK281" s="2152"/>
      <c r="AL281" s="2152"/>
      <c r="AM281" s="2152"/>
      <c r="AN281" s="2152"/>
      <c r="AO281" s="2152"/>
      <c r="AP281" s="2152"/>
      <c r="AQ281" s="2152"/>
      <c r="AR281" s="2152"/>
      <c r="AS281" s="2152"/>
      <c r="AT281" s="2152"/>
      <c r="AU281" s="2152"/>
      <c r="AV281" s="2152"/>
      <c r="AW281" s="2152"/>
      <c r="AX281" s="2152"/>
      <c r="AY281" s="2152"/>
      <c r="AZ281" s="2152"/>
      <c r="BA281" s="2152"/>
      <c r="BB281" s="2152"/>
      <c r="BC281" s="2152"/>
      <c r="BD281" s="2152"/>
      <c r="BE281" s="2152"/>
      <c r="BF281" s="2152"/>
      <c r="BG281" s="2152"/>
      <c r="BH281" s="2152"/>
      <c r="BI281" s="2152"/>
      <c r="BJ281" s="2152"/>
      <c r="BK281" s="2152"/>
      <c r="BL281" s="2152"/>
      <c r="BM281" s="2152"/>
      <c r="BN281" s="2152"/>
      <c r="BO281" s="2153"/>
      <c r="BP281" s="2153"/>
      <c r="BQ281" s="2153"/>
      <c r="BR281" s="2153"/>
      <c r="BS281" s="2153"/>
      <c r="BT281" s="2153"/>
      <c r="BU281" s="2153"/>
      <c r="BV281" s="2153"/>
      <c r="BW281" s="2153"/>
      <c r="BX281" s="2153"/>
      <c r="BY281" s="2153"/>
      <c r="BZ281" s="2153"/>
      <c r="CA281" s="34"/>
      <c r="CC281" s="58"/>
      <c r="CD281" s="2154" t="str" cm="1">
        <f t="array" ca="1" aca="1" ref="CD281">_xlfn.LET(_xlpm.search_key,$W281&amp;$Y281,_xlpm.Scenario,_xlfn.VSTACK($W$20:$W$55&amp;$Y$20:$Y$55,$W$76:$W$110&amp;$Y$76:$Y$110),_xlpm.Data,_xlfn.VSTACK(CD$20:CE$55,CD$76:CE$110),IF(OR($Y281="",ISNUMBER(SEARCH("please",$Y281))),"",_xlfn.XLOOKUP(_xlpm.search_key,_xlpm.Scenario,_xlpm.Data,"▧")))</f>
        <v/>
      </c>
      <c r="CE281" s="2154"/>
      <c r="CF281" s="88"/>
      <c r="CG281" s="2154" t="str" cm="1">
        <f t="array" ca="1" aca="1" ref="CG281">_xlfn.LET(_xlpm.search_key,$W281&amp;$Y281,_xlpm.Scenario,_xlfn.VSTACK($W$20:$W$55&amp;$Y$20:$Y$55,$W$76:$W$110&amp;$Y$76:$Y$110),_xlpm.Data,_xlfn.VSTACK(CG$20:CH$55,CG$76:CH$110),IF(OR($Y281="",ISNUMBER(SEARCH("please",$Y281))),"",_xlfn.XLOOKUP(_xlpm.search_key,_xlpm.Scenario,_xlpm.Data,"▧")))</f>
        <v/>
      </c>
      <c r="CH281" s="2154"/>
      <c r="CI281" s="88"/>
      <c r="CJ281" s="2154" t="str" cm="1">
        <f t="array" ref="CJ281">_xlfn.LET(_xlpm.search_key,$W281&amp;$Y281,_xlpm.Scenario,_xlfn.VSTACK($W$20:$W$55&amp;$Y$20:$Y$55,$W$76:$W$110&amp;$Y$76:$Y$110),_xlpm.Data,_xlfn.VSTACK(CJ$20:CK$55,CJ$76:CK$110),IF(OR($Y281="",ISNUMBER(SEARCH("please",$Y281))),"",_xlfn.XLOOKUP(_xlpm.search_key,_xlpm.Scenario,_xlpm.Data,"▧")))</f>
        <v/>
      </c>
      <c r="CK281" s="2154"/>
      <c r="CL281" s="88"/>
      <c r="CM281" s="2154" t="str" cm="1">
        <f t="array" ca="1" aca="1" ref="CM281">_xlfn.LET(_xlpm.search_key,$W281&amp;$Y281,_xlpm.Scenario,_xlfn.VSTACK($W$20:$W$55&amp;$Y$20:$Y$55,$W$76:$W$110&amp;$Y$76:$Y$110),_xlpm.Data,_xlfn.VSTACK(CM$20:CN$55,CM$76:CN$110),IF(OR($Y281="",ISNUMBER(SEARCH("please",$Y281))),"",_xlfn.XLOOKUP(_xlpm.search_key,_xlpm.Scenario,_xlpm.Data,"▧")))</f>
        <v/>
      </c>
      <c r="CN281" s="2154"/>
      <c r="CO281" s="88"/>
      <c r="CP281" s="2154" t="str" cm="1">
        <f t="array" ca="1" aca="1" ref="CP281">_xlfn.LET(_xlpm.search_key,$W281&amp;$Y281,_xlpm.Scenario,_xlfn.VSTACK($W$20:$W$55&amp;$Y$20:$Y$55,$W$76:$W$110&amp;$Y$76:$Y$110),_xlpm.Data,_xlfn.VSTACK(CP$20:CQ$55,CP$76:CQ$110),IF(OR($Y281="",ISNUMBER(SEARCH("please",$Y281))),"",_xlfn.XLOOKUP(_xlpm.search_key,_xlpm.Scenario,_xlpm.Data,"▧")))</f>
        <v/>
      </c>
      <c r="CQ281" s="2154"/>
      <c r="CR281" s="34"/>
      <c r="CS281" s="2056"/>
    </row>
    <row r="282" spans="1:97" ht="21" customHeight="1">
      <c r="A282" s="1627"/>
      <c r="B282" s="2331"/>
      <c r="C282" s="2084"/>
      <c r="D282" s="1549"/>
      <c r="E282" s="1902"/>
      <c r="F282" s="401"/>
      <c r="G282" s="401"/>
      <c r="H282" s="585"/>
      <c r="I282" s="585"/>
      <c r="J282" s="401"/>
      <c r="K282" s="401"/>
      <c r="N282" s="158"/>
      <c r="O282" s="101"/>
      <c r="P282" s="52"/>
      <c r="Q282" s="101"/>
      <c r="R282" s="101"/>
      <c r="S282" s="101"/>
      <c r="T282" s="101"/>
      <c r="U282" s="39"/>
      <c r="V282" s="37"/>
      <c r="W282" s="2329"/>
      <c r="X282" s="2081"/>
      <c r="Y282" s="2367"/>
      <c r="Z282" s="198"/>
      <c r="AA282" s="2136"/>
      <c r="AB282" s="1134"/>
      <c r="AC282" s="125"/>
      <c r="AD282" s="2152" t="str" cm="1">
        <f t="array" ca="1" aca="1" ref="AD282">_xlfn.LET(_xlpm.search_key,$W282&amp;$Y282,_xlpm.Scenario,_xlfn.VSTACK($W$20:$W$55&amp;$Y$20:$Y$55,$W$76:$W$110&amp;$Y$76:$Y$110),_xlpm.Data,_xlfn.VSTACK($AD$20:$BN$55,$AD$76:$BN$110),IF(OR($Y282="",ISNUMBER(SEARCH("please",$Y282))),"",_xlfn.XLOOKUP(_xlpm.search_key,_xlpm.Scenario,_xlpm.Data,"▧",2)))</f>
        <v/>
      </c>
      <c r="AE282" s="2152"/>
      <c r="AF282" s="2152"/>
      <c r="AG282" s="2152"/>
      <c r="AH282" s="2152"/>
      <c r="AI282" s="2152"/>
      <c r="AJ282" s="2152"/>
      <c r="AK282" s="2152"/>
      <c r="AL282" s="2152"/>
      <c r="AM282" s="2152"/>
      <c r="AN282" s="2152"/>
      <c r="AO282" s="2152"/>
      <c r="AP282" s="2152"/>
      <c r="AQ282" s="2152"/>
      <c r="AR282" s="2152"/>
      <c r="AS282" s="2152"/>
      <c r="AT282" s="2152"/>
      <c r="AU282" s="2152"/>
      <c r="AV282" s="2152"/>
      <c r="AW282" s="2152"/>
      <c r="AX282" s="2152"/>
      <c r="AY282" s="2152"/>
      <c r="AZ282" s="2152"/>
      <c r="BA282" s="2152"/>
      <c r="BB282" s="2152"/>
      <c r="BC282" s="2152"/>
      <c r="BD282" s="2152"/>
      <c r="BE282" s="2152"/>
      <c r="BF282" s="2152"/>
      <c r="BG282" s="2152"/>
      <c r="BH282" s="2152"/>
      <c r="BI282" s="2152"/>
      <c r="BJ282" s="2152"/>
      <c r="BK282" s="2152"/>
      <c r="BL282" s="2152"/>
      <c r="BM282" s="2152"/>
      <c r="BN282" s="2152"/>
      <c r="BO282" s="2153"/>
      <c r="BP282" s="2153"/>
      <c r="BQ282" s="2153"/>
      <c r="BR282" s="2153"/>
      <c r="BS282" s="2153"/>
      <c r="BT282" s="2153"/>
      <c r="BU282" s="2153"/>
      <c r="BV282" s="2153"/>
      <c r="BW282" s="2153"/>
      <c r="BX282" s="2153"/>
      <c r="BY282" s="2153"/>
      <c r="BZ282" s="2153"/>
      <c r="CA282" s="34"/>
      <c r="CC282" s="58"/>
      <c r="CD282" s="2154" t="str" cm="1">
        <f t="array" ca="1" aca="1" ref="CD282">_xlfn.LET(_xlpm.search_key,$W282&amp;$Y282,_xlpm.Scenario,_xlfn.VSTACK($W$20:$W$55&amp;$Y$20:$Y$55,$W$76:$W$110&amp;$Y$76:$Y$110),_xlpm.Data,_xlfn.VSTACK(CD$20:CE$55,CD$76:CE$110),IF(OR($Y282="",ISNUMBER(SEARCH("please",$Y282))),"",_xlfn.XLOOKUP(_xlpm.search_key,_xlpm.Scenario,_xlpm.Data,"▧")))</f>
        <v/>
      </c>
      <c r="CE282" s="2154"/>
      <c r="CF282" s="88"/>
      <c r="CG282" s="2154" t="str" cm="1">
        <f t="array" ca="1" aca="1" ref="CG282">_xlfn.LET(_xlpm.search_key,$W282&amp;$Y282,_xlpm.Scenario,_xlfn.VSTACK($W$20:$W$55&amp;$Y$20:$Y$55,$W$76:$W$110&amp;$Y$76:$Y$110),_xlpm.Data,_xlfn.VSTACK(CG$20:CH$55,CG$76:CH$110),IF(OR($Y282="",ISNUMBER(SEARCH("please",$Y282))),"",_xlfn.XLOOKUP(_xlpm.search_key,_xlpm.Scenario,_xlpm.Data,"▧")))</f>
        <v/>
      </c>
      <c r="CH282" s="2154"/>
      <c r="CI282" s="88"/>
      <c r="CJ282" s="2154" t="str" cm="1">
        <f t="array" ref="CJ282">_xlfn.LET(_xlpm.search_key,$W282&amp;$Y282,_xlpm.Scenario,_xlfn.VSTACK($W$20:$W$55&amp;$Y$20:$Y$55,$W$76:$W$110&amp;$Y$76:$Y$110),_xlpm.Data,_xlfn.VSTACK(CJ$20:CK$55,CJ$76:CK$110),IF(OR($Y282="",ISNUMBER(SEARCH("please",$Y282))),"",_xlfn.XLOOKUP(_xlpm.search_key,_xlpm.Scenario,_xlpm.Data,"▧")))</f>
        <v/>
      </c>
      <c r="CK282" s="2154"/>
      <c r="CL282" s="88"/>
      <c r="CM282" s="2154" t="str" cm="1">
        <f t="array" ca="1" aca="1" ref="CM282">_xlfn.LET(_xlpm.search_key,$W282&amp;$Y282,_xlpm.Scenario,_xlfn.VSTACK($W$20:$W$55&amp;$Y$20:$Y$55,$W$76:$W$110&amp;$Y$76:$Y$110),_xlpm.Data,_xlfn.VSTACK(CM$20:CN$55,CM$76:CN$110),IF(OR($Y282="",ISNUMBER(SEARCH("please",$Y282))),"",_xlfn.XLOOKUP(_xlpm.search_key,_xlpm.Scenario,_xlpm.Data,"▧")))</f>
        <v/>
      </c>
      <c r="CN282" s="2154"/>
      <c r="CO282" s="88"/>
      <c r="CP282" s="2154" t="str" cm="1">
        <f t="array" ca="1" aca="1" ref="CP282">_xlfn.LET(_xlpm.search_key,$W282&amp;$Y282,_xlpm.Scenario,_xlfn.VSTACK($W$20:$W$55&amp;$Y$20:$Y$55,$W$76:$W$110&amp;$Y$76:$Y$110),_xlpm.Data,_xlfn.VSTACK(CP$20:CQ$55,CP$76:CQ$110),IF(OR($Y282="",ISNUMBER(SEARCH("please",$Y282))),"",_xlfn.XLOOKUP(_xlpm.search_key,_xlpm.Scenario,_xlpm.Data,"▧")))</f>
        <v/>
      </c>
      <c r="CQ282" s="2154"/>
      <c r="CR282" s="34"/>
      <c r="CS282" s="2056"/>
    </row>
    <row r="283" spans="1:97" ht="21" customHeight="1">
      <c r="A283" s="1627"/>
      <c r="B283" s="2331" t="s">
        <v>206</v>
      </c>
      <c r="C283" s="577" t="e" cm="1">
        <f t="array" ca="1" aca="1" ref="C283">IFBLANK(_xldudf_CX_GET(CX_ENTITY,B283,val_asOfDate),D283)</f>
        <v>#NAME?</v>
      </c>
      <c r="D283" s="1549" t="s">
        <v>1849</v>
      </c>
      <c r="E283" s="2135"/>
      <c r="F283" s="401"/>
      <c r="G283" s="401"/>
      <c r="H283" s="585"/>
      <c r="I283" s="585"/>
      <c r="J283" s="401"/>
      <c r="K283" s="401" t="s">
        <v>561</v>
      </c>
      <c r="N283" s="158"/>
      <c r="O283" s="101"/>
      <c r="P283" s="52"/>
      <c r="Q283" s="101"/>
      <c r="R283" s="101"/>
      <c r="S283" s="101"/>
      <c r="T283" s="101"/>
      <c r="U283" s="39"/>
      <c r="V283" s="37"/>
      <c r="W283" s="2330"/>
      <c r="X283" s="2325"/>
      <c r="Y283" s="2326"/>
      <c r="Z283" s="2322"/>
      <c r="AA283" s="2323"/>
      <c r="AC283" s="125"/>
      <c r="AD283" s="2152">
        <f ca="1">SUMPRODUCT($X277:$X282,AD277:AD282)</f>
        <v>0</v>
      </c>
      <c r="AE283" s="2152"/>
      <c r="AF283" s="2152"/>
      <c r="AG283" s="2152"/>
      <c r="AH283" s="2152"/>
      <c r="AI283" s="2152"/>
      <c r="AJ283" s="2152"/>
      <c r="AK283" s="2152"/>
      <c r="AL283" s="2152"/>
      <c r="AM283" s="2152"/>
      <c r="AN283" s="2152"/>
      <c r="AO283" s="2152"/>
      <c r="AP283" s="2152"/>
      <c r="AQ283" s="2152"/>
      <c r="AR283" s="2152"/>
      <c r="AS283" s="2152"/>
      <c r="AT283" s="2152"/>
      <c r="AU283" s="2152"/>
      <c r="AV283" s="2152"/>
      <c r="AW283" s="2152"/>
      <c r="AX283" s="2152"/>
      <c r="AY283" s="2152"/>
      <c r="AZ283" s="2152"/>
      <c r="BA283" s="2152"/>
      <c r="BB283" s="2152"/>
      <c r="BC283" s="2152"/>
      <c r="BD283" s="2152"/>
      <c r="BE283" s="2152"/>
      <c r="BF283" s="2152"/>
      <c r="BG283" s="2152"/>
      <c r="BH283" s="2152"/>
      <c r="BI283" s="2152"/>
      <c r="BJ283" s="2152"/>
      <c r="BK283" s="2152"/>
      <c r="BL283" s="2152"/>
      <c r="BM283" s="2152"/>
      <c r="BN283" s="2152"/>
      <c r="BO283" s="2153"/>
      <c r="BP283" s="2153"/>
      <c r="BQ283" s="2153"/>
      <c r="BR283" s="2153"/>
      <c r="BS283" s="2153"/>
      <c r="BT283" s="2153"/>
      <c r="BU283" s="2153"/>
      <c r="BV283" s="2153"/>
      <c r="BW283" s="2153"/>
      <c r="BX283" s="2153"/>
      <c r="BY283" s="2153"/>
      <c r="BZ283" s="2153"/>
      <c r="CA283" s="34"/>
      <c r="CC283" s="58"/>
      <c r="CD283" s="2152">
        <f ca="1">SUMPRODUCT($X277:$X282,CD277:CD282)</f>
        <v>0</v>
      </c>
      <c r="CE283" s="2152">
        <f t="shared" si="93" ref="CE283">SUMPRODUCT($X277:$X280,CE277:CE280)</f>
        <v>0</v>
      </c>
      <c r="CF283" s="88"/>
      <c r="CG283" s="2152">
        <f ca="1">SUMPRODUCT($X277:$X282,CG277:CG282)</f>
        <v>0</v>
      </c>
      <c r="CH283" s="2152">
        <f t="shared" si="94" ref="CH283">SUMPRODUCT($X277:$X280,CH277:CH280)</f>
        <v>0</v>
      </c>
      <c r="CI283" s="88"/>
      <c r="CJ283" s="2152">
        <f>SUMPRODUCT($X277:$X282,CJ277:CJ282)</f>
        <v>0</v>
      </c>
      <c r="CK283" s="2152">
        <f t="shared" si="95" ref="CK283">SUMPRODUCT($X277:$X280,CK277:CK280)</f>
        <v>0</v>
      </c>
      <c r="CL283" s="88"/>
      <c r="CM283" s="2152">
        <f ca="1">SUMPRODUCT($X277:$X282,CM277:CM282)</f>
        <v>0</v>
      </c>
      <c r="CN283" s="2152">
        <f t="shared" si="96" ref="CN283">SUMPRODUCT($X277:$X280,CN277:CN280)</f>
        <v>0</v>
      </c>
      <c r="CO283" s="88"/>
      <c r="CP283" s="2152">
        <f ca="1">SUMPRODUCT($X277:$X282,CP277:CP282)</f>
        <v>0</v>
      </c>
      <c r="CQ283" s="2152">
        <f t="shared" si="97" ref="CQ283">SUMPRODUCT($X277:$X280,CQ277:CQ280)</f>
        <v>0</v>
      </c>
      <c r="CR283" s="34"/>
      <c r="CS283" s="2056"/>
    </row>
    <row r="284" spans="1:144" s="108" customFormat="1" ht="21" customHeight="1">
      <c r="A284" s="1628"/>
      <c r="B284" s="2084"/>
      <c r="C284" s="2084"/>
      <c r="D284" s="1549"/>
      <c r="E284" s="2135"/>
      <c r="F284" s="401"/>
      <c r="G284" s="401"/>
      <c r="H284" s="585"/>
      <c r="I284" s="585"/>
      <c r="J284" s="401"/>
      <c r="K284" s="401"/>
      <c r="N284" s="2134"/>
      <c r="O284" s="101"/>
      <c r="P284" s="101"/>
      <c r="Q284" s="101"/>
      <c r="R284" s="101"/>
      <c r="S284" s="101"/>
      <c r="T284" s="101"/>
      <c r="U284" s="101"/>
      <c r="V284" s="822"/>
      <c r="W284" s="2332"/>
      <c r="X284" s="2333"/>
      <c r="Y284" s="2334"/>
      <c r="Z284" s="2316"/>
      <c r="AA284" s="2316"/>
      <c r="AB284" s="88"/>
      <c r="AC284" s="128"/>
      <c r="AD284" s="2317"/>
      <c r="AE284" s="2317"/>
      <c r="AF284" s="2317"/>
      <c r="AG284" s="2317"/>
      <c r="AH284" s="2317"/>
      <c r="AI284" s="2317"/>
      <c r="AJ284" s="2317"/>
      <c r="AK284" s="2317"/>
      <c r="AL284" s="2317"/>
      <c r="AM284" s="2317"/>
      <c r="AN284" s="2317"/>
      <c r="AO284" s="2317"/>
      <c r="AP284" s="2317"/>
      <c r="AQ284" s="2317"/>
      <c r="AR284" s="2317"/>
      <c r="AS284" s="2317"/>
      <c r="AT284" s="2317"/>
      <c r="AU284" s="2317"/>
      <c r="AV284" s="2317"/>
      <c r="AW284" s="2317"/>
      <c r="AX284" s="2317"/>
      <c r="AY284" s="2317"/>
      <c r="AZ284" s="2317"/>
      <c r="BA284" s="2317"/>
      <c r="BB284" s="2317"/>
      <c r="BC284" s="2317"/>
      <c r="BD284" s="2317"/>
      <c r="BE284" s="2317"/>
      <c r="BF284" s="2317"/>
      <c r="BG284" s="2317"/>
      <c r="BH284" s="2317"/>
      <c r="BI284" s="2317"/>
      <c r="BJ284" s="2317"/>
      <c r="BK284" s="2317"/>
      <c r="BL284" s="2317"/>
      <c r="BM284" s="2317"/>
      <c r="BN284" s="2317"/>
      <c r="BO284" s="2318"/>
      <c r="BP284" s="2318"/>
      <c r="BQ284" s="2318"/>
      <c r="BR284" s="2318"/>
      <c r="BS284" s="2318"/>
      <c r="BT284" s="2318"/>
      <c r="BU284" s="2318"/>
      <c r="BV284" s="2318"/>
      <c r="BW284" s="2318"/>
      <c r="BX284" s="2318"/>
      <c r="BY284" s="2318"/>
      <c r="BZ284" s="2318"/>
      <c r="CA284" s="88"/>
      <c r="CC284" s="383"/>
      <c r="CD284" s="2319"/>
      <c r="CE284" s="2319"/>
      <c r="CF284" s="88"/>
      <c r="CG284" s="2319"/>
      <c r="CH284" s="2319"/>
      <c r="CI284" s="88"/>
      <c r="CJ284" s="2319"/>
      <c r="CK284" s="2319"/>
      <c r="CL284" s="88"/>
      <c r="CM284" s="2320"/>
      <c r="CN284" s="2320"/>
      <c r="CO284" s="88"/>
      <c r="CP284" s="2320"/>
      <c r="CQ284" s="2320"/>
      <c r="CR284" s="88"/>
      <c r="CS284" s="2321"/>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row>
    <row r="285" spans="1:97" ht="21" customHeight="1">
      <c r="A285" s="1627"/>
      <c r="B285" s="2084"/>
      <c r="C285" s="2084"/>
      <c r="D285" s="1549"/>
      <c r="E285" s="2135"/>
      <c r="F285" s="401"/>
      <c r="G285" s="401"/>
      <c r="H285" s="585"/>
      <c r="I285" s="585"/>
      <c r="J285" s="401"/>
      <c r="K285" s="401"/>
      <c r="N285" s="158"/>
      <c r="O285" s="101"/>
      <c r="P285" s="52"/>
      <c r="Q285" s="101"/>
      <c r="R285" s="101"/>
      <c r="S285" s="18"/>
      <c r="T285" s="18"/>
      <c r="U285" s="39"/>
      <c r="V285" s="37"/>
      <c r="W285" s="2328" t="e" cm="1">
        <f t="array" ca="1" aca="1" ref="W285">UNPACK(C292)</f>
        <v>#NAME?</v>
      </c>
      <c r="X285" s="2137"/>
      <c r="Y285" s="2327"/>
      <c r="Z285" s="2139"/>
      <c r="AA285" s="2140"/>
      <c r="AB285" s="2141" t="s">
        <v>199</v>
      </c>
      <c r="AC285" s="2138"/>
      <c r="AD285" s="2138"/>
      <c r="AE285" s="2138"/>
      <c r="AF285" s="2138"/>
      <c r="AG285" s="2138"/>
      <c r="AH285" s="2138"/>
      <c r="AI285" s="2138"/>
      <c r="AJ285" s="2138"/>
      <c r="AK285" s="2138"/>
      <c r="AL285" s="2138"/>
      <c r="AM285" s="2138"/>
      <c r="AN285" s="2138"/>
      <c r="AO285" s="2138"/>
      <c r="AP285" s="2138"/>
      <c r="AQ285" s="2138"/>
      <c r="AR285" s="2138"/>
      <c r="AS285" s="2138"/>
      <c r="AT285" s="2138"/>
      <c r="AU285" s="2138"/>
      <c r="AV285" s="2138"/>
      <c r="AW285" s="2138"/>
      <c r="AX285" s="2138"/>
      <c r="AY285" s="2138"/>
      <c r="AZ285" s="2138"/>
      <c r="BA285" s="2138"/>
      <c r="BB285" s="2138"/>
      <c r="BC285" s="2138"/>
      <c r="BD285" s="2138"/>
      <c r="BE285" s="2138"/>
      <c r="BF285" s="2138"/>
      <c r="BG285" s="2138"/>
      <c r="BH285" s="2138"/>
      <c r="BI285" s="2138"/>
      <c r="BJ285" s="2138"/>
      <c r="BK285" s="2138"/>
      <c r="BL285" s="2138"/>
      <c r="BM285" s="2138"/>
      <c r="BN285" s="2138"/>
      <c r="BO285" s="1634"/>
      <c r="BP285" s="1634"/>
      <c r="BQ285" s="1634"/>
      <c r="BR285" s="1634"/>
      <c r="BS285" s="1634"/>
      <c r="BT285" s="1634"/>
      <c r="BU285" s="1634"/>
      <c r="BV285" s="1634"/>
      <c r="BW285" s="1634"/>
      <c r="BX285" s="1634"/>
      <c r="BY285" s="1634"/>
      <c r="BZ285" s="1634"/>
      <c r="CA285" s="34"/>
      <c r="CC285" s="58"/>
      <c r="CD285" s="1720">
        <f>($W280)</f>
        <v>0</v>
      </c>
      <c r="CE285" s="1721">
        <f>($W280)</f>
        <v>0</v>
      </c>
      <c r="CF285" s="128"/>
      <c r="CG285" s="1734">
        <f>($W280)</f>
        <v>0</v>
      </c>
      <c r="CH285" s="1735">
        <f>($W280)</f>
        <v>0</v>
      </c>
      <c r="CI285" s="207"/>
      <c r="CJ285" s="1724">
        <f>($W280)</f>
        <v>0</v>
      </c>
      <c r="CK285" s="1725">
        <f>($W280)</f>
        <v>0</v>
      </c>
      <c r="CL285" s="88"/>
      <c r="CM285" s="1198" t="str">
        <f>CM$19</f>
        <v>Original Budget</v>
      </c>
      <c r="CN285" s="1198" t="str">
        <f>CN$19</f>
        <v>LE</v>
      </c>
      <c r="CO285" s="88"/>
      <c r="CP285" s="1819" t="str">
        <f>$CP$19</f>
        <v>Original Budget</v>
      </c>
      <c r="CQ285" s="1819" t="str">
        <f>$CQ$19</f>
        <v>LE</v>
      </c>
      <c r="CR285" s="34"/>
      <c r="CS285" s="2056"/>
    </row>
    <row r="286" spans="1:97" ht="21" customHeight="1">
      <c r="A286" s="1627"/>
      <c r="B286" s="2331"/>
      <c r="C286" s="2084"/>
      <c r="D286" s="1549"/>
      <c r="E286" s="1902"/>
      <c r="F286" s="401"/>
      <c r="G286" s="401"/>
      <c r="H286" s="585">
        <v>0</v>
      </c>
      <c r="I286" s="3290">
        <v>1</v>
      </c>
      <c r="J286" s="401"/>
      <c r="K286" s="401" t="str">
        <f t="shared" si="98" ref="K286:K287">IFERROR(IF(LEN(AB286)=0,"No",IF(LEN(J286)&gt;0,"Yes","No")),"")</f>
        <v>No</v>
      </c>
      <c r="N286" s="158"/>
      <c r="O286" s="101"/>
      <c r="P286" s="52"/>
      <c r="Q286" s="101"/>
      <c r="R286" s="101"/>
      <c r="S286" s="101"/>
      <c r="T286" s="2324"/>
      <c r="U286" s="39"/>
      <c r="V286" s="37"/>
      <c r="W286" s="2329"/>
      <c r="X286" s="2081"/>
      <c r="Y286" s="2366"/>
      <c r="Z286" s="198"/>
      <c r="AA286" s="2136"/>
      <c r="AB286" s="1134"/>
      <c r="AC286" s="125"/>
      <c r="AD286" s="2152" t="str" cm="1">
        <f t="array" ca="1" aca="1" ref="AD286">_xlfn.LET(_xlpm.search_key,$W286&amp;$Y286,_xlpm.Scenario,_xlfn.VSTACK($W$20:$W$55&amp;$Y$20:$Y$55,$W$76:$W$110&amp;$Y$76:$Y$110),_xlpm.Data,_xlfn.VSTACK($AD$20:$BN$55,$AD$76:$BN$110),IF(OR($Y286="",ISNUMBER(SEARCH("please",$Y286))),"",_xlfn.XLOOKUP(_xlpm.search_key,_xlpm.Scenario,_xlpm.Data,"▧",2)))</f>
        <v/>
      </c>
      <c r="AE286" s="2152"/>
      <c r="AF286" s="2152"/>
      <c r="AG286" s="2152"/>
      <c r="AH286" s="2152"/>
      <c r="AI286" s="2152"/>
      <c r="AJ286" s="2152"/>
      <c r="AK286" s="2152"/>
      <c r="AL286" s="2152"/>
      <c r="AM286" s="2152"/>
      <c r="AN286" s="2152"/>
      <c r="AO286" s="2152"/>
      <c r="AP286" s="2152"/>
      <c r="AQ286" s="2152"/>
      <c r="AR286" s="2152"/>
      <c r="AS286" s="2152"/>
      <c r="AT286" s="2152"/>
      <c r="AU286" s="2152"/>
      <c r="AV286" s="2152"/>
      <c r="AW286" s="2152"/>
      <c r="AX286" s="2152"/>
      <c r="AY286" s="2152"/>
      <c r="AZ286" s="2152"/>
      <c r="BA286" s="2152"/>
      <c r="BB286" s="2152"/>
      <c r="BC286" s="2152"/>
      <c r="BD286" s="2152"/>
      <c r="BE286" s="2152"/>
      <c r="BF286" s="2152"/>
      <c r="BG286" s="2152"/>
      <c r="BH286" s="2152"/>
      <c r="BI286" s="2152"/>
      <c r="BJ286" s="2152"/>
      <c r="BK286" s="2152"/>
      <c r="BL286" s="2152"/>
      <c r="BM286" s="2152"/>
      <c r="BN286" s="2152"/>
      <c r="BO286" s="2153"/>
      <c r="BP286" s="2153"/>
      <c r="BQ286" s="2153"/>
      <c r="BR286" s="2153"/>
      <c r="BS286" s="2153"/>
      <c r="BT286" s="2153"/>
      <c r="BU286" s="2153"/>
      <c r="BV286" s="2153"/>
      <c r="BW286" s="2153"/>
      <c r="BX286" s="2153"/>
      <c r="BY286" s="2153"/>
      <c r="BZ286" s="2153"/>
      <c r="CA286" s="34"/>
      <c r="CC286" s="58"/>
      <c r="CD286" s="2154" t="str" cm="1">
        <f t="array" ca="1" aca="1" ref="CD286">_xlfn.LET(_xlpm.search_key,$W286&amp;$Y286,_xlpm.Scenario,_xlfn.VSTACK($W$20:$W$55&amp;$Y$20:$Y$55,$W$76:$W$110&amp;$Y$76:$Y$110),_xlpm.Data,_xlfn.VSTACK(CD$20:CE$55,CD$76:CE$110),IF(OR($Y286="",ISNUMBER(SEARCH("please",$Y286))),"",_xlfn.XLOOKUP(_xlpm.search_key,_xlpm.Scenario,_xlpm.Data,"▧")))</f>
        <v/>
      </c>
      <c r="CE286" s="2154"/>
      <c r="CF286" s="88"/>
      <c r="CG286" s="2154" t="str" cm="1">
        <f t="array" ca="1" aca="1" ref="CG286">_xlfn.LET(_xlpm.search_key,$W286&amp;$Y286,_xlpm.Scenario,_xlfn.VSTACK($W$20:$W$55&amp;$Y$20:$Y$55,$W$76:$W$110&amp;$Y$76:$Y$110),_xlpm.Data,_xlfn.VSTACK(CG$20:CH$55,CG$76:CH$110),IF(OR($Y286="",ISNUMBER(SEARCH("please",$Y286))),"",_xlfn.XLOOKUP(_xlpm.search_key,_xlpm.Scenario,_xlpm.Data,"▧")))</f>
        <v/>
      </c>
      <c r="CH286" s="2154"/>
      <c r="CI286" s="88"/>
      <c r="CJ286" s="2154" t="str" cm="1">
        <f t="array" ref="CJ286">_xlfn.LET(_xlpm.search_key,$W286&amp;$Y286,_xlpm.Scenario,_xlfn.VSTACK($W$20:$W$55&amp;$Y$20:$Y$55,$W$76:$W$110&amp;$Y$76:$Y$110),_xlpm.Data,_xlfn.VSTACK(CJ$20:CK$55,CJ$76:CK$110),IF(OR($Y286="",ISNUMBER(SEARCH("please",$Y286))),"",_xlfn.XLOOKUP(_xlpm.search_key,_xlpm.Scenario,_xlpm.Data,"▧")))</f>
        <v/>
      </c>
      <c r="CK286" s="2154"/>
      <c r="CL286" s="88"/>
      <c r="CM286" s="2154" t="str" cm="1">
        <f t="array" ca="1" aca="1" ref="CM286">_xlfn.LET(_xlpm.search_key,$W286&amp;$Y286,_xlpm.Scenario,_xlfn.VSTACK($W$20:$W$55&amp;$Y$20:$Y$55,$W$76:$W$110&amp;$Y$76:$Y$110),_xlpm.Data,_xlfn.VSTACK(CM$20:CN$55,CM$76:CN$110),IF(OR($Y286="",ISNUMBER(SEARCH("please",$Y286))),"",_xlfn.XLOOKUP(_xlpm.search_key,_xlpm.Scenario,_xlpm.Data,"▧")))</f>
        <v/>
      </c>
      <c r="CN286" s="2154"/>
      <c r="CO286" s="88"/>
      <c r="CP286" s="2154" t="str" cm="1">
        <f t="array" ca="1" aca="1" ref="CP286">_xlfn.LET(_xlpm.search_key,$W286&amp;$Y286,_xlpm.Scenario,_xlfn.VSTACK($W$20:$W$55&amp;$Y$20:$Y$55,$W$76:$W$110&amp;$Y$76:$Y$110),_xlpm.Data,_xlfn.VSTACK(CP$20:CQ$55,CP$76:CQ$110),IF(OR($Y286="",ISNUMBER(SEARCH("please",$Y286))),"",_xlfn.XLOOKUP(_xlpm.search_key,_xlpm.Scenario,_xlpm.Data,"▧")))</f>
        <v/>
      </c>
      <c r="CQ286" s="2154"/>
      <c r="CR286" s="34"/>
      <c r="CS286" s="2056"/>
    </row>
    <row r="287" spans="1:97" ht="21" customHeight="1">
      <c r="A287" s="1627"/>
      <c r="B287" s="2331"/>
      <c r="C287" s="2084"/>
      <c r="D287" s="1549"/>
      <c r="E287" s="1902"/>
      <c r="F287" s="401"/>
      <c r="G287" s="401"/>
      <c r="H287" s="585">
        <v>0</v>
      </c>
      <c r="I287" s="3290">
        <v>1</v>
      </c>
      <c r="J287" s="401"/>
      <c r="K287" s="401" t="str">
        <f t="shared" si="98"/>
        <v>No</v>
      </c>
      <c r="N287" s="158"/>
      <c r="O287" s="101"/>
      <c r="P287" s="52"/>
      <c r="Q287" s="101"/>
      <c r="R287" s="101"/>
      <c r="S287" s="101"/>
      <c r="T287" s="101"/>
      <c r="U287" s="39"/>
      <c r="V287" s="37"/>
      <c r="W287" s="2329"/>
      <c r="X287" s="2081"/>
      <c r="Y287" s="2367"/>
      <c r="Z287" s="198"/>
      <c r="AA287" s="2136"/>
      <c r="AB287" s="1134"/>
      <c r="AC287" s="125"/>
      <c r="AD287" s="2152" t="str" cm="1">
        <f t="array" ca="1" aca="1" ref="AD287">_xlfn.LET(_xlpm.search_key,$W287&amp;$Y287,_xlpm.Scenario,_xlfn.VSTACK($W$20:$W$55&amp;$Y$20:$Y$55,$W$76:$W$110&amp;$Y$76:$Y$110),_xlpm.Data,_xlfn.VSTACK($AD$20:$BN$55,$AD$76:$BN$110),IF(OR($Y287="",ISNUMBER(SEARCH("please",$Y287))),"",_xlfn.XLOOKUP(_xlpm.search_key,_xlpm.Scenario,_xlpm.Data,"▧",2)))</f>
        <v/>
      </c>
      <c r="AE287" s="2152"/>
      <c r="AF287" s="2152"/>
      <c r="AG287" s="2152"/>
      <c r="AH287" s="2152"/>
      <c r="AI287" s="2152"/>
      <c r="AJ287" s="2152"/>
      <c r="AK287" s="2152"/>
      <c r="AL287" s="2152"/>
      <c r="AM287" s="2152"/>
      <c r="AN287" s="2152"/>
      <c r="AO287" s="2152"/>
      <c r="AP287" s="2152"/>
      <c r="AQ287" s="2152"/>
      <c r="AR287" s="2152"/>
      <c r="AS287" s="2152"/>
      <c r="AT287" s="2152"/>
      <c r="AU287" s="2152"/>
      <c r="AV287" s="2152"/>
      <c r="AW287" s="2152"/>
      <c r="AX287" s="2152"/>
      <c r="AY287" s="2152"/>
      <c r="AZ287" s="2152"/>
      <c r="BA287" s="2152"/>
      <c r="BB287" s="2152"/>
      <c r="BC287" s="2152"/>
      <c r="BD287" s="2152"/>
      <c r="BE287" s="2152"/>
      <c r="BF287" s="2152"/>
      <c r="BG287" s="2152"/>
      <c r="BH287" s="2152"/>
      <c r="BI287" s="2152"/>
      <c r="BJ287" s="2152"/>
      <c r="BK287" s="2152"/>
      <c r="BL287" s="2152"/>
      <c r="BM287" s="2152"/>
      <c r="BN287" s="2152"/>
      <c r="BO287" s="2153"/>
      <c r="BP287" s="2153"/>
      <c r="BQ287" s="2153"/>
      <c r="BR287" s="2153"/>
      <c r="BS287" s="2153"/>
      <c r="BT287" s="2153"/>
      <c r="BU287" s="2153"/>
      <c r="BV287" s="2153"/>
      <c r="BW287" s="2153"/>
      <c r="BX287" s="2153"/>
      <c r="BY287" s="2153"/>
      <c r="BZ287" s="2153"/>
      <c r="CA287" s="34"/>
      <c r="CC287" s="58"/>
      <c r="CD287" s="2154" t="str" cm="1">
        <f t="array" ca="1" aca="1" ref="CD287">_xlfn.LET(_xlpm.search_key,$W287&amp;$Y287,_xlpm.Scenario,_xlfn.VSTACK($W$20:$W$55&amp;$Y$20:$Y$55,$W$76:$W$110&amp;$Y$76:$Y$110),_xlpm.Data,_xlfn.VSTACK(CD$20:CE$55,CD$76:CE$110),IF(OR($Y287="",ISNUMBER(SEARCH("please",$Y287))),"",_xlfn.XLOOKUP(_xlpm.search_key,_xlpm.Scenario,_xlpm.Data,"▧")))</f>
        <v/>
      </c>
      <c r="CE287" s="2154"/>
      <c r="CF287" s="88"/>
      <c r="CG287" s="2154" t="str" cm="1">
        <f t="array" ca="1" aca="1" ref="CG287">_xlfn.LET(_xlpm.search_key,$W287&amp;$Y287,_xlpm.Scenario,_xlfn.VSTACK($W$20:$W$55&amp;$Y$20:$Y$55,$W$76:$W$110&amp;$Y$76:$Y$110),_xlpm.Data,_xlfn.VSTACK(CG$20:CH$55,CG$76:CH$110),IF(OR($Y287="",ISNUMBER(SEARCH("please",$Y287))),"",_xlfn.XLOOKUP(_xlpm.search_key,_xlpm.Scenario,_xlpm.Data,"▧")))</f>
        <v/>
      </c>
      <c r="CH287" s="2154"/>
      <c r="CI287" s="88"/>
      <c r="CJ287" s="2154" t="str" cm="1">
        <f t="array" ref="CJ287">_xlfn.LET(_xlpm.search_key,$W287&amp;$Y287,_xlpm.Scenario,_xlfn.VSTACK($W$20:$W$55&amp;$Y$20:$Y$55,$W$76:$W$110&amp;$Y$76:$Y$110),_xlpm.Data,_xlfn.VSTACK(CJ$20:CK$55,CJ$76:CK$110),IF(OR($Y287="",ISNUMBER(SEARCH("please",$Y287))),"",_xlfn.XLOOKUP(_xlpm.search_key,_xlpm.Scenario,_xlpm.Data,"▧")))</f>
        <v/>
      </c>
      <c r="CK287" s="2154"/>
      <c r="CL287" s="88"/>
      <c r="CM287" s="2154" t="str" cm="1">
        <f t="array" ca="1" aca="1" ref="CM287">_xlfn.LET(_xlpm.search_key,$W287&amp;$Y287,_xlpm.Scenario,_xlfn.VSTACK($W$20:$W$55&amp;$Y$20:$Y$55,$W$76:$W$110&amp;$Y$76:$Y$110),_xlpm.Data,_xlfn.VSTACK(CM$20:CN$55,CM$76:CN$110),IF(OR($Y287="",ISNUMBER(SEARCH("please",$Y287))),"",_xlfn.XLOOKUP(_xlpm.search_key,_xlpm.Scenario,_xlpm.Data,"▧")))</f>
        <v/>
      </c>
      <c r="CN287" s="2154"/>
      <c r="CO287" s="88"/>
      <c r="CP287" s="2154" t="str" cm="1">
        <f t="array" ca="1" aca="1" ref="CP287">_xlfn.LET(_xlpm.search_key,$W287&amp;$Y287,_xlpm.Scenario,_xlfn.VSTACK($W$20:$W$55&amp;$Y$20:$Y$55,$W$76:$W$110&amp;$Y$76:$Y$110),_xlpm.Data,_xlfn.VSTACK(CP$20:CQ$55,CP$76:CQ$110),IF(OR($Y287="",ISNUMBER(SEARCH("please",$Y287))),"",_xlfn.XLOOKUP(_xlpm.search_key,_xlpm.Scenario,_xlpm.Data,"▧")))</f>
        <v/>
      </c>
      <c r="CQ287" s="2154"/>
      <c r="CR287" s="34"/>
      <c r="CS287" s="2056"/>
    </row>
    <row r="288" spans="1:97" ht="21" customHeight="1">
      <c r="A288" s="1627"/>
      <c r="B288" s="2331"/>
      <c r="C288" s="2084"/>
      <c r="D288" s="1549"/>
      <c r="E288" s="1902"/>
      <c r="F288" s="401"/>
      <c r="G288" s="401"/>
      <c r="H288" s="585"/>
      <c r="I288" s="585"/>
      <c r="J288" s="401"/>
      <c r="K288" s="401"/>
      <c r="N288" s="158"/>
      <c r="O288" s="101"/>
      <c r="P288" s="52"/>
      <c r="Q288" s="101"/>
      <c r="R288" s="101"/>
      <c r="S288" s="101"/>
      <c r="T288" s="101"/>
      <c r="U288" s="39"/>
      <c r="V288" s="37"/>
      <c r="W288" s="2329"/>
      <c r="X288" s="2081"/>
      <c r="Y288" s="2367"/>
      <c r="Z288" s="198"/>
      <c r="AA288" s="2136"/>
      <c r="AB288" s="1134"/>
      <c r="AC288" s="125"/>
      <c r="AD288" s="2152" t="str" cm="1">
        <f t="array" ca="1" aca="1" ref="AD288">_xlfn.LET(_xlpm.search_key,$W288&amp;$Y288,_xlpm.Scenario,_xlfn.VSTACK($W$20:$W$55&amp;$Y$20:$Y$55,$W$76:$W$110&amp;$Y$76:$Y$110),_xlpm.Data,_xlfn.VSTACK($AD$20:$BN$55,$AD$76:$BN$110),IF(OR($Y288="",ISNUMBER(SEARCH("please",$Y288))),"",_xlfn.XLOOKUP(_xlpm.search_key,_xlpm.Scenario,_xlpm.Data,"▧",2)))</f>
        <v/>
      </c>
      <c r="AE288" s="2152"/>
      <c r="AF288" s="2152"/>
      <c r="AG288" s="2152"/>
      <c r="AH288" s="2152"/>
      <c r="AI288" s="2152"/>
      <c r="AJ288" s="2152"/>
      <c r="AK288" s="2152"/>
      <c r="AL288" s="2152"/>
      <c r="AM288" s="2152"/>
      <c r="AN288" s="2152"/>
      <c r="AO288" s="2152"/>
      <c r="AP288" s="2152"/>
      <c r="AQ288" s="2152"/>
      <c r="AR288" s="2152"/>
      <c r="AS288" s="2152"/>
      <c r="AT288" s="2152"/>
      <c r="AU288" s="2152"/>
      <c r="AV288" s="2152"/>
      <c r="AW288" s="2152"/>
      <c r="AX288" s="2152"/>
      <c r="AY288" s="2152"/>
      <c r="AZ288" s="2152"/>
      <c r="BA288" s="2152"/>
      <c r="BB288" s="2152"/>
      <c r="BC288" s="2152"/>
      <c r="BD288" s="2152"/>
      <c r="BE288" s="2152"/>
      <c r="BF288" s="2152"/>
      <c r="BG288" s="2152"/>
      <c r="BH288" s="2152"/>
      <c r="BI288" s="2152"/>
      <c r="BJ288" s="2152"/>
      <c r="BK288" s="2152"/>
      <c r="BL288" s="2152"/>
      <c r="BM288" s="2152"/>
      <c r="BN288" s="2152"/>
      <c r="BO288" s="2153"/>
      <c r="BP288" s="2153"/>
      <c r="BQ288" s="2153"/>
      <c r="BR288" s="2153"/>
      <c r="BS288" s="2153"/>
      <c r="BT288" s="2153"/>
      <c r="BU288" s="2153"/>
      <c r="BV288" s="2153"/>
      <c r="BW288" s="2153"/>
      <c r="BX288" s="2153"/>
      <c r="BY288" s="2153"/>
      <c r="BZ288" s="2153"/>
      <c r="CA288" s="34"/>
      <c r="CC288" s="58"/>
      <c r="CD288" s="2154" t="str" cm="1">
        <f t="array" ca="1" aca="1" ref="CD288">_xlfn.LET(_xlpm.search_key,$W288&amp;$Y288,_xlpm.Scenario,_xlfn.VSTACK($W$20:$W$55&amp;$Y$20:$Y$55,$W$76:$W$110&amp;$Y$76:$Y$110),_xlpm.Data,_xlfn.VSTACK(CD$20:CE$55,CD$76:CE$110),IF(OR($Y288="",ISNUMBER(SEARCH("please",$Y288))),"",_xlfn.XLOOKUP(_xlpm.search_key,_xlpm.Scenario,_xlpm.Data,"▧")))</f>
        <v/>
      </c>
      <c r="CE288" s="2154"/>
      <c r="CF288" s="88"/>
      <c r="CG288" s="2154" t="str" cm="1">
        <f t="array" ca="1" aca="1" ref="CG288">_xlfn.LET(_xlpm.search_key,$W288&amp;$Y288,_xlpm.Scenario,_xlfn.VSTACK($W$20:$W$55&amp;$Y$20:$Y$55,$W$76:$W$110&amp;$Y$76:$Y$110),_xlpm.Data,_xlfn.VSTACK(CG$20:CH$55,CG$76:CH$110),IF(OR($Y288="",ISNUMBER(SEARCH("please",$Y288))),"",_xlfn.XLOOKUP(_xlpm.search_key,_xlpm.Scenario,_xlpm.Data,"▧")))</f>
        <v/>
      </c>
      <c r="CH288" s="2154"/>
      <c r="CI288" s="88"/>
      <c r="CJ288" s="2154" t="str" cm="1">
        <f t="array" ref="CJ288">_xlfn.LET(_xlpm.search_key,$W288&amp;$Y288,_xlpm.Scenario,_xlfn.VSTACK($W$20:$W$55&amp;$Y$20:$Y$55,$W$76:$W$110&amp;$Y$76:$Y$110),_xlpm.Data,_xlfn.VSTACK(CJ$20:CK$55,CJ$76:CK$110),IF(OR($Y288="",ISNUMBER(SEARCH("please",$Y288))),"",_xlfn.XLOOKUP(_xlpm.search_key,_xlpm.Scenario,_xlpm.Data,"▧")))</f>
        <v/>
      </c>
      <c r="CK288" s="2154"/>
      <c r="CL288" s="88"/>
      <c r="CM288" s="2154" t="str" cm="1">
        <f t="array" ca="1" aca="1" ref="CM288">_xlfn.LET(_xlpm.search_key,$W288&amp;$Y288,_xlpm.Scenario,_xlfn.VSTACK($W$20:$W$55&amp;$Y$20:$Y$55,$W$76:$W$110&amp;$Y$76:$Y$110),_xlpm.Data,_xlfn.VSTACK(CM$20:CN$55,CM$76:CN$110),IF(OR($Y288="",ISNUMBER(SEARCH("please",$Y288))),"",_xlfn.XLOOKUP(_xlpm.search_key,_xlpm.Scenario,_xlpm.Data,"▧")))</f>
        <v/>
      </c>
      <c r="CN288" s="2154"/>
      <c r="CO288" s="88"/>
      <c r="CP288" s="2154" t="str" cm="1">
        <f t="array" ca="1" aca="1" ref="CP288">_xlfn.LET(_xlpm.search_key,$W288&amp;$Y288,_xlpm.Scenario,_xlfn.VSTACK($W$20:$W$55&amp;$Y$20:$Y$55,$W$76:$W$110&amp;$Y$76:$Y$110),_xlpm.Data,_xlfn.VSTACK(CP$20:CQ$55,CP$76:CQ$110),IF(OR($Y288="",ISNUMBER(SEARCH("please",$Y288))),"",_xlfn.XLOOKUP(_xlpm.search_key,_xlpm.Scenario,_xlpm.Data,"▧")))</f>
        <v/>
      </c>
      <c r="CQ288" s="2154"/>
      <c r="CR288" s="34"/>
      <c r="CS288" s="2056"/>
    </row>
    <row r="289" spans="1:97" ht="21" customHeight="1">
      <c r="A289" s="1627"/>
      <c r="B289" s="2331"/>
      <c r="C289" s="2084"/>
      <c r="D289" s="1549"/>
      <c r="E289" s="1902"/>
      <c r="F289" s="401"/>
      <c r="G289" s="401"/>
      <c r="H289" s="585"/>
      <c r="I289" s="585"/>
      <c r="J289" s="401"/>
      <c r="K289" s="401"/>
      <c r="N289" s="158"/>
      <c r="O289" s="101"/>
      <c r="P289" s="52"/>
      <c r="Q289" s="101"/>
      <c r="R289" s="101"/>
      <c r="S289" s="101"/>
      <c r="T289" s="101"/>
      <c r="U289" s="39"/>
      <c r="V289" s="37"/>
      <c r="W289" s="2329"/>
      <c r="X289" s="2081"/>
      <c r="Y289" s="2367"/>
      <c r="Z289" s="198"/>
      <c r="AA289" s="2136"/>
      <c r="AB289" s="1134"/>
      <c r="AC289" s="125"/>
      <c r="AD289" s="2152" t="str" cm="1">
        <f t="array" ca="1" aca="1" ref="AD289">_xlfn.LET(_xlpm.search_key,$W289&amp;$Y289,_xlpm.Scenario,_xlfn.VSTACK($W$20:$W$55&amp;$Y$20:$Y$55,$W$76:$W$110&amp;$Y$76:$Y$110),_xlpm.Data,_xlfn.VSTACK($AD$20:$BN$55,$AD$76:$BN$110),IF(OR($Y289="",ISNUMBER(SEARCH("please",$Y289))),"",_xlfn.XLOOKUP(_xlpm.search_key,_xlpm.Scenario,_xlpm.Data,"▧",2)))</f>
        <v/>
      </c>
      <c r="AE289" s="2152"/>
      <c r="AF289" s="2152"/>
      <c r="AG289" s="2152"/>
      <c r="AH289" s="2152"/>
      <c r="AI289" s="2152"/>
      <c r="AJ289" s="2152"/>
      <c r="AK289" s="2152"/>
      <c r="AL289" s="2152"/>
      <c r="AM289" s="2152"/>
      <c r="AN289" s="2152"/>
      <c r="AO289" s="2152"/>
      <c r="AP289" s="2152"/>
      <c r="AQ289" s="2152"/>
      <c r="AR289" s="2152"/>
      <c r="AS289" s="2152"/>
      <c r="AT289" s="2152"/>
      <c r="AU289" s="2152"/>
      <c r="AV289" s="2152"/>
      <c r="AW289" s="2152"/>
      <c r="AX289" s="2152"/>
      <c r="AY289" s="2152"/>
      <c r="AZ289" s="2152"/>
      <c r="BA289" s="2152"/>
      <c r="BB289" s="2152"/>
      <c r="BC289" s="2152"/>
      <c r="BD289" s="2152"/>
      <c r="BE289" s="2152"/>
      <c r="BF289" s="2152"/>
      <c r="BG289" s="2152"/>
      <c r="BH289" s="2152"/>
      <c r="BI289" s="2152"/>
      <c r="BJ289" s="2152"/>
      <c r="BK289" s="2152"/>
      <c r="BL289" s="2152"/>
      <c r="BM289" s="2152"/>
      <c r="BN289" s="2152"/>
      <c r="BO289" s="2153"/>
      <c r="BP289" s="2153"/>
      <c r="BQ289" s="2153"/>
      <c r="BR289" s="2153"/>
      <c r="BS289" s="2153"/>
      <c r="BT289" s="2153"/>
      <c r="BU289" s="2153"/>
      <c r="BV289" s="2153"/>
      <c r="BW289" s="2153"/>
      <c r="BX289" s="2153"/>
      <c r="BY289" s="2153"/>
      <c r="BZ289" s="2153"/>
      <c r="CA289" s="34"/>
      <c r="CC289" s="58"/>
      <c r="CD289" s="2154" t="str" cm="1">
        <f t="array" ca="1" aca="1" ref="CD289">_xlfn.LET(_xlpm.search_key,$W289&amp;$Y289,_xlpm.Scenario,_xlfn.VSTACK($W$20:$W$55&amp;$Y$20:$Y$55,$W$76:$W$110&amp;$Y$76:$Y$110),_xlpm.Data,_xlfn.VSTACK(CD$20:CE$55,CD$76:CE$110),IF(OR($Y289="",ISNUMBER(SEARCH("please",$Y289))),"",_xlfn.XLOOKUP(_xlpm.search_key,_xlpm.Scenario,_xlpm.Data,"▧")))</f>
        <v/>
      </c>
      <c r="CE289" s="2154"/>
      <c r="CF289" s="88"/>
      <c r="CG289" s="2154" t="str" cm="1">
        <f t="array" ca="1" aca="1" ref="CG289">_xlfn.LET(_xlpm.search_key,$W289&amp;$Y289,_xlpm.Scenario,_xlfn.VSTACK($W$20:$W$55&amp;$Y$20:$Y$55,$W$76:$W$110&amp;$Y$76:$Y$110),_xlpm.Data,_xlfn.VSTACK(CG$20:CH$55,CG$76:CH$110),IF(OR($Y289="",ISNUMBER(SEARCH("please",$Y289))),"",_xlfn.XLOOKUP(_xlpm.search_key,_xlpm.Scenario,_xlpm.Data,"▧")))</f>
        <v/>
      </c>
      <c r="CH289" s="2154"/>
      <c r="CI289" s="88"/>
      <c r="CJ289" s="2154" t="str" cm="1">
        <f t="array" ref="CJ289">_xlfn.LET(_xlpm.search_key,$W289&amp;$Y289,_xlpm.Scenario,_xlfn.VSTACK($W$20:$W$55&amp;$Y$20:$Y$55,$W$76:$W$110&amp;$Y$76:$Y$110),_xlpm.Data,_xlfn.VSTACK(CJ$20:CK$55,CJ$76:CK$110),IF(OR($Y289="",ISNUMBER(SEARCH("please",$Y289))),"",_xlfn.XLOOKUP(_xlpm.search_key,_xlpm.Scenario,_xlpm.Data,"▧")))</f>
        <v/>
      </c>
      <c r="CK289" s="2154"/>
      <c r="CL289" s="88"/>
      <c r="CM289" s="2154" t="str" cm="1">
        <f t="array" ca="1" aca="1" ref="CM289">_xlfn.LET(_xlpm.search_key,$W289&amp;$Y289,_xlpm.Scenario,_xlfn.VSTACK($W$20:$W$55&amp;$Y$20:$Y$55,$W$76:$W$110&amp;$Y$76:$Y$110),_xlpm.Data,_xlfn.VSTACK(CM$20:CN$55,CM$76:CN$110),IF(OR($Y289="",ISNUMBER(SEARCH("please",$Y289))),"",_xlfn.XLOOKUP(_xlpm.search_key,_xlpm.Scenario,_xlpm.Data,"▧")))</f>
        <v/>
      </c>
      <c r="CN289" s="2154"/>
      <c r="CO289" s="88"/>
      <c r="CP289" s="2154" t="str" cm="1">
        <f t="array" ca="1" aca="1" ref="CP289">_xlfn.LET(_xlpm.search_key,$W289&amp;$Y289,_xlpm.Scenario,_xlfn.VSTACK($W$20:$W$55&amp;$Y$20:$Y$55,$W$76:$W$110&amp;$Y$76:$Y$110),_xlpm.Data,_xlfn.VSTACK(CP$20:CQ$55,CP$76:CQ$110),IF(OR($Y289="",ISNUMBER(SEARCH("please",$Y289))),"",_xlfn.XLOOKUP(_xlpm.search_key,_xlpm.Scenario,_xlpm.Data,"▧")))</f>
        <v/>
      </c>
      <c r="CQ289" s="2154"/>
      <c r="CR289" s="34"/>
      <c r="CS289" s="2056"/>
    </row>
    <row r="290" spans="1:97" ht="21" customHeight="1">
      <c r="A290" s="1627"/>
      <c r="B290" s="2331"/>
      <c r="C290" s="2084"/>
      <c r="D290" s="1549"/>
      <c r="E290" s="1902"/>
      <c r="F290" s="401"/>
      <c r="G290" s="401"/>
      <c r="H290" s="585"/>
      <c r="I290" s="585"/>
      <c r="J290" s="401"/>
      <c r="K290" s="401"/>
      <c r="N290" s="158"/>
      <c r="O290" s="101"/>
      <c r="P290" s="52"/>
      <c r="Q290" s="101"/>
      <c r="R290" s="101"/>
      <c r="S290" s="101"/>
      <c r="T290" s="101"/>
      <c r="U290" s="39"/>
      <c r="V290" s="37"/>
      <c r="W290" s="2329"/>
      <c r="X290" s="2081"/>
      <c r="Y290" s="2367"/>
      <c r="Z290" s="198"/>
      <c r="AA290" s="2136"/>
      <c r="AB290" s="1134"/>
      <c r="AC290" s="125"/>
      <c r="AD290" s="2152" t="str" cm="1">
        <f t="array" ca="1" aca="1" ref="AD290">_xlfn.LET(_xlpm.search_key,$W290&amp;$Y290,_xlpm.Scenario,_xlfn.VSTACK($W$20:$W$55&amp;$Y$20:$Y$55,$W$76:$W$110&amp;$Y$76:$Y$110),_xlpm.Data,_xlfn.VSTACK($AD$20:$BN$55,$AD$76:$BN$110),IF(OR($Y290="",ISNUMBER(SEARCH("please",$Y290))),"",_xlfn.XLOOKUP(_xlpm.search_key,_xlpm.Scenario,_xlpm.Data,"▧",2)))</f>
        <v/>
      </c>
      <c r="AE290" s="2152"/>
      <c r="AF290" s="2152"/>
      <c r="AG290" s="2152"/>
      <c r="AH290" s="2152"/>
      <c r="AI290" s="2152"/>
      <c r="AJ290" s="2152"/>
      <c r="AK290" s="2152"/>
      <c r="AL290" s="2152"/>
      <c r="AM290" s="2152"/>
      <c r="AN290" s="2152"/>
      <c r="AO290" s="2152"/>
      <c r="AP290" s="2152"/>
      <c r="AQ290" s="2152"/>
      <c r="AR290" s="2152"/>
      <c r="AS290" s="2152"/>
      <c r="AT290" s="2152"/>
      <c r="AU290" s="2152"/>
      <c r="AV290" s="2152"/>
      <c r="AW290" s="2152"/>
      <c r="AX290" s="2152"/>
      <c r="AY290" s="2152"/>
      <c r="AZ290" s="2152"/>
      <c r="BA290" s="2152"/>
      <c r="BB290" s="2152"/>
      <c r="BC290" s="2152"/>
      <c r="BD290" s="2152"/>
      <c r="BE290" s="2152"/>
      <c r="BF290" s="2152"/>
      <c r="BG290" s="2152"/>
      <c r="BH290" s="2152"/>
      <c r="BI290" s="2152"/>
      <c r="BJ290" s="2152"/>
      <c r="BK290" s="2152"/>
      <c r="BL290" s="2152"/>
      <c r="BM290" s="2152"/>
      <c r="BN290" s="2152"/>
      <c r="BO290" s="2153"/>
      <c r="BP290" s="2153"/>
      <c r="BQ290" s="2153"/>
      <c r="BR290" s="2153"/>
      <c r="BS290" s="2153"/>
      <c r="BT290" s="2153"/>
      <c r="BU290" s="2153"/>
      <c r="BV290" s="2153"/>
      <c r="BW290" s="2153"/>
      <c r="BX290" s="2153"/>
      <c r="BY290" s="2153"/>
      <c r="BZ290" s="2153"/>
      <c r="CA290" s="34"/>
      <c r="CC290" s="58"/>
      <c r="CD290" s="2154" t="str" cm="1">
        <f t="array" ca="1" aca="1" ref="CD290">_xlfn.LET(_xlpm.search_key,$W290&amp;$Y290,_xlpm.Scenario,_xlfn.VSTACK($W$20:$W$55&amp;$Y$20:$Y$55,$W$76:$W$110&amp;$Y$76:$Y$110),_xlpm.Data,_xlfn.VSTACK(CD$20:CE$55,CD$76:CE$110),IF(OR($Y290="",ISNUMBER(SEARCH("please",$Y290))),"",_xlfn.XLOOKUP(_xlpm.search_key,_xlpm.Scenario,_xlpm.Data,"▧")))</f>
        <v/>
      </c>
      <c r="CE290" s="2154"/>
      <c r="CF290" s="88"/>
      <c r="CG290" s="2154" t="str" cm="1">
        <f t="array" ca="1" aca="1" ref="CG290">_xlfn.LET(_xlpm.search_key,$W290&amp;$Y290,_xlpm.Scenario,_xlfn.VSTACK($W$20:$W$55&amp;$Y$20:$Y$55,$W$76:$W$110&amp;$Y$76:$Y$110),_xlpm.Data,_xlfn.VSTACK(CG$20:CH$55,CG$76:CH$110),IF(OR($Y290="",ISNUMBER(SEARCH("please",$Y290))),"",_xlfn.XLOOKUP(_xlpm.search_key,_xlpm.Scenario,_xlpm.Data,"▧")))</f>
        <v/>
      </c>
      <c r="CH290" s="2154"/>
      <c r="CI290" s="88"/>
      <c r="CJ290" s="2154" t="str" cm="1">
        <f t="array" ref="CJ290">_xlfn.LET(_xlpm.search_key,$W290&amp;$Y290,_xlpm.Scenario,_xlfn.VSTACK($W$20:$W$55&amp;$Y$20:$Y$55,$W$76:$W$110&amp;$Y$76:$Y$110),_xlpm.Data,_xlfn.VSTACK(CJ$20:CK$55,CJ$76:CK$110),IF(OR($Y290="",ISNUMBER(SEARCH("please",$Y290))),"",_xlfn.XLOOKUP(_xlpm.search_key,_xlpm.Scenario,_xlpm.Data,"▧")))</f>
        <v/>
      </c>
      <c r="CK290" s="2154"/>
      <c r="CL290" s="88"/>
      <c r="CM290" s="2154" t="str" cm="1">
        <f t="array" ca="1" aca="1" ref="CM290">_xlfn.LET(_xlpm.search_key,$W290&amp;$Y290,_xlpm.Scenario,_xlfn.VSTACK($W$20:$W$55&amp;$Y$20:$Y$55,$W$76:$W$110&amp;$Y$76:$Y$110),_xlpm.Data,_xlfn.VSTACK(CM$20:CN$55,CM$76:CN$110),IF(OR($Y290="",ISNUMBER(SEARCH("please",$Y290))),"",_xlfn.XLOOKUP(_xlpm.search_key,_xlpm.Scenario,_xlpm.Data,"▧")))</f>
        <v/>
      </c>
      <c r="CN290" s="2154"/>
      <c r="CO290" s="88"/>
      <c r="CP290" s="2154" t="str" cm="1">
        <f t="array" ca="1" aca="1" ref="CP290">_xlfn.LET(_xlpm.search_key,$W290&amp;$Y290,_xlpm.Scenario,_xlfn.VSTACK($W$20:$W$55&amp;$Y$20:$Y$55,$W$76:$W$110&amp;$Y$76:$Y$110),_xlpm.Data,_xlfn.VSTACK(CP$20:CQ$55,CP$76:CQ$110),IF(OR($Y290="",ISNUMBER(SEARCH("please",$Y290))),"",_xlfn.XLOOKUP(_xlpm.search_key,_xlpm.Scenario,_xlpm.Data,"▧")))</f>
        <v/>
      </c>
      <c r="CQ290" s="2154"/>
      <c r="CR290" s="34"/>
      <c r="CS290" s="2056"/>
    </row>
    <row r="291" spans="1:97" ht="21" customHeight="1">
      <c r="A291" s="1627"/>
      <c r="B291" s="2331"/>
      <c r="C291" s="2084"/>
      <c r="D291" s="1549"/>
      <c r="E291" s="1902"/>
      <c r="F291" s="401"/>
      <c r="G291" s="401"/>
      <c r="H291" s="585"/>
      <c r="I291" s="585"/>
      <c r="J291" s="401"/>
      <c r="K291" s="401"/>
      <c r="N291" s="158"/>
      <c r="O291" s="101"/>
      <c r="P291" s="52"/>
      <c r="Q291" s="101"/>
      <c r="R291" s="101"/>
      <c r="S291" s="101"/>
      <c r="T291" s="101"/>
      <c r="U291" s="39"/>
      <c r="V291" s="37"/>
      <c r="W291" s="2329"/>
      <c r="X291" s="2081"/>
      <c r="Y291" s="2367"/>
      <c r="Z291" s="198"/>
      <c r="AA291" s="2136"/>
      <c r="AB291" s="1134"/>
      <c r="AC291" s="125"/>
      <c r="AD291" s="2152" t="str" cm="1">
        <f t="array" ca="1" aca="1" ref="AD291">_xlfn.LET(_xlpm.search_key,$W291&amp;$Y291,_xlpm.Scenario,_xlfn.VSTACK($W$20:$W$55&amp;$Y$20:$Y$55,$W$76:$W$110&amp;$Y$76:$Y$110),_xlpm.Data,_xlfn.VSTACK($AD$20:$BN$55,$AD$76:$BN$110),IF(OR($Y291="",ISNUMBER(SEARCH("please",$Y291))),"",_xlfn.XLOOKUP(_xlpm.search_key,_xlpm.Scenario,_xlpm.Data,"▧",2)))</f>
        <v/>
      </c>
      <c r="AE291" s="2152"/>
      <c r="AF291" s="2152"/>
      <c r="AG291" s="2152"/>
      <c r="AH291" s="2152"/>
      <c r="AI291" s="2152"/>
      <c r="AJ291" s="2152"/>
      <c r="AK291" s="2152"/>
      <c r="AL291" s="2152"/>
      <c r="AM291" s="2152"/>
      <c r="AN291" s="2152"/>
      <c r="AO291" s="2152"/>
      <c r="AP291" s="2152"/>
      <c r="AQ291" s="2152"/>
      <c r="AR291" s="2152"/>
      <c r="AS291" s="2152"/>
      <c r="AT291" s="2152"/>
      <c r="AU291" s="2152"/>
      <c r="AV291" s="2152"/>
      <c r="AW291" s="2152"/>
      <c r="AX291" s="2152"/>
      <c r="AY291" s="2152"/>
      <c r="AZ291" s="2152"/>
      <c r="BA291" s="2152"/>
      <c r="BB291" s="2152"/>
      <c r="BC291" s="2152"/>
      <c r="BD291" s="2152"/>
      <c r="BE291" s="2152"/>
      <c r="BF291" s="2152"/>
      <c r="BG291" s="2152"/>
      <c r="BH291" s="2152"/>
      <c r="BI291" s="2152"/>
      <c r="BJ291" s="2152"/>
      <c r="BK291" s="2152"/>
      <c r="BL291" s="2152"/>
      <c r="BM291" s="2152"/>
      <c r="BN291" s="2152"/>
      <c r="BO291" s="2153"/>
      <c r="BP291" s="2153"/>
      <c r="BQ291" s="2153"/>
      <c r="BR291" s="2153"/>
      <c r="BS291" s="2153"/>
      <c r="BT291" s="2153"/>
      <c r="BU291" s="2153"/>
      <c r="BV291" s="2153"/>
      <c r="BW291" s="2153"/>
      <c r="BX291" s="2153"/>
      <c r="BY291" s="2153"/>
      <c r="BZ291" s="2153"/>
      <c r="CA291" s="34"/>
      <c r="CC291" s="58"/>
      <c r="CD291" s="2154" t="str" cm="1">
        <f t="array" ca="1" aca="1" ref="CD291">_xlfn.LET(_xlpm.search_key,$W291&amp;$Y291,_xlpm.Scenario,_xlfn.VSTACK($W$20:$W$55&amp;$Y$20:$Y$55,$W$76:$W$110&amp;$Y$76:$Y$110),_xlpm.Data,_xlfn.VSTACK(CD$20:CE$55,CD$76:CE$110),IF(OR($Y291="",ISNUMBER(SEARCH("please",$Y291))),"",_xlfn.XLOOKUP(_xlpm.search_key,_xlpm.Scenario,_xlpm.Data,"▧")))</f>
        <v/>
      </c>
      <c r="CE291" s="2154"/>
      <c r="CF291" s="88"/>
      <c r="CG291" s="2154" t="str" cm="1">
        <f t="array" ca="1" aca="1" ref="CG291">_xlfn.LET(_xlpm.search_key,$W291&amp;$Y291,_xlpm.Scenario,_xlfn.VSTACK($W$20:$W$55&amp;$Y$20:$Y$55,$W$76:$W$110&amp;$Y$76:$Y$110),_xlpm.Data,_xlfn.VSTACK(CG$20:CH$55,CG$76:CH$110),IF(OR($Y291="",ISNUMBER(SEARCH("please",$Y291))),"",_xlfn.XLOOKUP(_xlpm.search_key,_xlpm.Scenario,_xlpm.Data,"▧")))</f>
        <v/>
      </c>
      <c r="CH291" s="2154"/>
      <c r="CI291" s="88"/>
      <c r="CJ291" s="2154" t="str" cm="1">
        <f t="array" ref="CJ291">_xlfn.LET(_xlpm.search_key,$W291&amp;$Y291,_xlpm.Scenario,_xlfn.VSTACK($W$20:$W$55&amp;$Y$20:$Y$55,$W$76:$W$110&amp;$Y$76:$Y$110),_xlpm.Data,_xlfn.VSTACK(CJ$20:CK$55,CJ$76:CK$110),IF(OR($Y291="",ISNUMBER(SEARCH("please",$Y291))),"",_xlfn.XLOOKUP(_xlpm.search_key,_xlpm.Scenario,_xlpm.Data,"▧")))</f>
        <v/>
      </c>
      <c r="CK291" s="2154"/>
      <c r="CL291" s="88"/>
      <c r="CM291" s="2154" t="str" cm="1">
        <f t="array" ca="1" aca="1" ref="CM291">_xlfn.LET(_xlpm.search_key,$W291&amp;$Y291,_xlpm.Scenario,_xlfn.VSTACK($W$20:$W$55&amp;$Y$20:$Y$55,$W$76:$W$110&amp;$Y$76:$Y$110),_xlpm.Data,_xlfn.VSTACK(CM$20:CN$55,CM$76:CN$110),IF(OR($Y291="",ISNUMBER(SEARCH("please",$Y291))),"",_xlfn.XLOOKUP(_xlpm.search_key,_xlpm.Scenario,_xlpm.Data,"▧")))</f>
        <v/>
      </c>
      <c r="CN291" s="2154"/>
      <c r="CO291" s="88"/>
      <c r="CP291" s="2154" t="str" cm="1">
        <f t="array" ca="1" aca="1" ref="CP291">_xlfn.LET(_xlpm.search_key,$W291&amp;$Y291,_xlpm.Scenario,_xlfn.VSTACK($W$20:$W$55&amp;$Y$20:$Y$55,$W$76:$W$110&amp;$Y$76:$Y$110),_xlpm.Data,_xlfn.VSTACK(CP$20:CQ$55,CP$76:CQ$110),IF(OR($Y291="",ISNUMBER(SEARCH("please",$Y291))),"",_xlfn.XLOOKUP(_xlpm.search_key,_xlpm.Scenario,_xlpm.Data,"▧")))</f>
        <v/>
      </c>
      <c r="CQ291" s="2154"/>
      <c r="CR291" s="34"/>
      <c r="CS291" s="2056"/>
    </row>
    <row r="292" spans="1:97" ht="21" customHeight="1">
      <c r="A292" s="1627"/>
      <c r="B292" s="2331" t="s">
        <v>207</v>
      </c>
      <c r="C292" s="577" t="e" cm="1">
        <f t="array" ca="1" aca="1" ref="C292">IFBLANK(_xldudf_CX_GET(CX_ENTITY,B292,val_asOfDate),D292)</f>
        <v>#NAME?</v>
      </c>
      <c r="D292" s="577" t="s">
        <v>1850</v>
      </c>
      <c r="E292" s="2135"/>
      <c r="F292" s="401"/>
      <c r="G292" s="401"/>
      <c r="H292" s="585"/>
      <c r="I292" s="585"/>
      <c r="J292" s="401"/>
      <c r="K292" s="401" t="s">
        <v>561</v>
      </c>
      <c r="N292" s="158"/>
      <c r="O292" s="101"/>
      <c r="P292" s="52"/>
      <c r="Q292" s="101"/>
      <c r="R292" s="101"/>
      <c r="S292" s="101"/>
      <c r="T292" s="101"/>
      <c r="U292" s="39"/>
      <c r="V292" s="37"/>
      <c r="W292" s="2330"/>
      <c r="X292" s="2325"/>
      <c r="Y292" s="2326"/>
      <c r="Z292" s="2322"/>
      <c r="AA292" s="2323"/>
      <c r="AB292" s="1134"/>
      <c r="AC292" s="125"/>
      <c r="AD292" s="2152">
        <f ca="1">SUMPRODUCT($X286:$X291,AD286:AD291)</f>
        <v>0</v>
      </c>
      <c r="AE292" s="2152">
        <f t="shared" si="99" ref="AE292:BN292">SUMPRODUCT($X286:$X291,AE286:AE291)</f>
        <v>0</v>
      </c>
      <c r="AF292" s="2152">
        <f t="shared" si="99"/>
        <v>0</v>
      </c>
      <c r="AG292" s="2152">
        <f t="shared" si="99"/>
        <v>0</v>
      </c>
      <c r="AH292" s="2152">
        <f t="shared" si="99"/>
        <v>0</v>
      </c>
      <c r="AI292" s="2152">
        <f t="shared" si="99"/>
        <v>0</v>
      </c>
      <c r="AJ292" s="2152">
        <f t="shared" si="99"/>
        <v>0</v>
      </c>
      <c r="AK292" s="2152">
        <f t="shared" si="99"/>
        <v>0</v>
      </c>
      <c r="AL292" s="2152">
        <f t="shared" si="99"/>
        <v>0</v>
      </c>
      <c r="AM292" s="2152">
        <f t="shared" si="99"/>
        <v>0</v>
      </c>
      <c r="AN292" s="2152">
        <f t="shared" si="99"/>
        <v>0</v>
      </c>
      <c r="AO292" s="2152">
        <f t="shared" si="99"/>
        <v>0</v>
      </c>
      <c r="AP292" s="2152">
        <f t="shared" si="99"/>
        <v>0</v>
      </c>
      <c r="AQ292" s="2152">
        <f t="shared" si="99"/>
        <v>0</v>
      </c>
      <c r="AR292" s="2152">
        <f t="shared" si="99"/>
        <v>0</v>
      </c>
      <c r="AS292" s="2152">
        <f t="shared" si="99"/>
        <v>0</v>
      </c>
      <c r="AT292" s="2152">
        <f t="shared" si="99"/>
        <v>0</v>
      </c>
      <c r="AU292" s="2152">
        <f t="shared" si="99"/>
        <v>0</v>
      </c>
      <c r="AV292" s="2152">
        <f t="shared" si="99"/>
        <v>0</v>
      </c>
      <c r="AW292" s="2152">
        <f t="shared" si="99"/>
        <v>0</v>
      </c>
      <c r="AX292" s="2152">
        <f t="shared" si="99"/>
        <v>0</v>
      </c>
      <c r="AY292" s="2152">
        <f t="shared" si="99"/>
        <v>0</v>
      </c>
      <c r="AZ292" s="2152">
        <f t="shared" si="99"/>
        <v>0</v>
      </c>
      <c r="BA292" s="2152">
        <f t="shared" si="99"/>
        <v>0</v>
      </c>
      <c r="BB292" s="2152">
        <f t="shared" si="99"/>
        <v>0</v>
      </c>
      <c r="BC292" s="2152">
        <f t="shared" si="99"/>
        <v>0</v>
      </c>
      <c r="BD292" s="2152">
        <f t="shared" si="99"/>
        <v>0</v>
      </c>
      <c r="BE292" s="2152">
        <f t="shared" si="99"/>
        <v>0</v>
      </c>
      <c r="BF292" s="2152">
        <f t="shared" si="99"/>
        <v>0</v>
      </c>
      <c r="BG292" s="2152">
        <f t="shared" si="99"/>
        <v>0</v>
      </c>
      <c r="BH292" s="2152">
        <f t="shared" si="99"/>
        <v>0</v>
      </c>
      <c r="BI292" s="2152">
        <f t="shared" si="99"/>
        <v>0</v>
      </c>
      <c r="BJ292" s="2152">
        <f t="shared" si="99"/>
        <v>0</v>
      </c>
      <c r="BK292" s="2152">
        <f t="shared" si="99"/>
        <v>0</v>
      </c>
      <c r="BL292" s="2152">
        <f t="shared" si="99"/>
        <v>0</v>
      </c>
      <c r="BM292" s="2152">
        <f t="shared" si="99"/>
        <v>0</v>
      </c>
      <c r="BN292" s="2152">
        <f t="shared" si="99"/>
        <v>0</v>
      </c>
      <c r="BO292" s="2153"/>
      <c r="BP292" s="2153"/>
      <c r="BQ292" s="2153"/>
      <c r="BR292" s="2153"/>
      <c r="BS292" s="2153"/>
      <c r="BT292" s="2153"/>
      <c r="BU292" s="2153"/>
      <c r="BV292" s="2153"/>
      <c r="BW292" s="2153"/>
      <c r="BX292" s="2153"/>
      <c r="BY292" s="2153"/>
      <c r="BZ292" s="2153"/>
      <c r="CA292" s="34"/>
      <c r="CC292" s="58"/>
      <c r="CD292" s="2152">
        <f ca="1">SUMPRODUCT($X286:$X291,CD286:CD291)</f>
        <v>0</v>
      </c>
      <c r="CE292" s="2152">
        <f t="shared" si="100" ref="CE292">SUMPRODUCT($X286:$X289,CE286:CE289)</f>
        <v>0</v>
      </c>
      <c r="CF292" s="88"/>
      <c r="CG292" s="2152">
        <f ca="1">SUMPRODUCT($X286:$X291,CG286:CG291)</f>
        <v>0</v>
      </c>
      <c r="CH292" s="2152">
        <f t="shared" si="101" ref="CH292">SUMPRODUCT($X286:$X289,CH286:CH289)</f>
        <v>0</v>
      </c>
      <c r="CI292" s="88"/>
      <c r="CJ292" s="2152">
        <f>SUMPRODUCT($X286:$X291,CJ286:CJ291)</f>
        <v>0</v>
      </c>
      <c r="CK292" s="2152">
        <f t="shared" si="102" ref="CK292">SUMPRODUCT($X286:$X289,CK286:CK289)</f>
        <v>0</v>
      </c>
      <c r="CL292" s="88"/>
      <c r="CM292" s="2152">
        <f ca="1">SUMPRODUCT($X286:$X291,CM286:CM291)</f>
        <v>0</v>
      </c>
      <c r="CN292" s="2152">
        <f t="shared" si="103" ref="CN292">SUMPRODUCT($X286:$X289,CN286:CN289)</f>
        <v>0</v>
      </c>
      <c r="CO292" s="88"/>
      <c r="CP292" s="2152">
        <f ca="1">SUMPRODUCT($X286:$X291,CP286:CP291)</f>
        <v>0</v>
      </c>
      <c r="CQ292" s="2152">
        <f t="shared" si="104" ref="CQ292">SUMPRODUCT($X286:$X289,CQ286:CQ289)</f>
        <v>0</v>
      </c>
      <c r="CR292" s="34"/>
      <c r="CS292" s="2056"/>
    </row>
    <row r="293" spans="1:144" s="108" customFormat="1" ht="21" customHeight="1">
      <c r="A293" s="1628"/>
      <c r="B293" s="2084"/>
      <c r="C293" s="2084"/>
      <c r="D293" s="1549"/>
      <c r="E293" s="2135"/>
      <c r="F293" s="401"/>
      <c r="G293" s="401"/>
      <c r="H293" s="585"/>
      <c r="I293" s="585"/>
      <c r="J293" s="401"/>
      <c r="K293" s="401"/>
      <c r="N293" s="2134"/>
      <c r="O293" s="101"/>
      <c r="P293" s="101"/>
      <c r="Q293" s="101"/>
      <c r="R293" s="101"/>
      <c r="S293" s="101"/>
      <c r="T293" s="101"/>
      <c r="U293" s="101"/>
      <c r="V293" s="822"/>
      <c r="W293" s="2332"/>
      <c r="X293" s="2333"/>
      <c r="Y293" s="2334"/>
      <c r="Z293" s="2316"/>
      <c r="AA293" s="2316"/>
      <c r="AB293" s="88"/>
      <c r="AC293" s="128"/>
      <c r="AD293" s="2317"/>
      <c r="AE293" s="2317"/>
      <c r="AF293" s="2317"/>
      <c r="AG293" s="2317"/>
      <c r="AH293" s="2317"/>
      <c r="AI293" s="2317"/>
      <c r="AJ293" s="2317"/>
      <c r="AK293" s="2317"/>
      <c r="AL293" s="2317"/>
      <c r="AM293" s="2317"/>
      <c r="AN293" s="2317"/>
      <c r="AO293" s="2317"/>
      <c r="AP293" s="2317"/>
      <c r="AQ293" s="2317"/>
      <c r="AR293" s="2317"/>
      <c r="AS293" s="2317"/>
      <c r="AT293" s="2317"/>
      <c r="AU293" s="2317"/>
      <c r="AV293" s="2317"/>
      <c r="AW293" s="2317"/>
      <c r="AX293" s="2317"/>
      <c r="AY293" s="2317"/>
      <c r="AZ293" s="2317"/>
      <c r="BA293" s="2317"/>
      <c r="BB293" s="2317"/>
      <c r="BC293" s="2317"/>
      <c r="BD293" s="2317"/>
      <c r="BE293" s="2317"/>
      <c r="BF293" s="2317"/>
      <c r="BG293" s="2317"/>
      <c r="BH293" s="2317"/>
      <c r="BI293" s="2317"/>
      <c r="BJ293" s="2317"/>
      <c r="BK293" s="2317"/>
      <c r="BL293" s="2317"/>
      <c r="BM293" s="2317"/>
      <c r="BN293" s="2317"/>
      <c r="BO293" s="2318"/>
      <c r="BP293" s="2318"/>
      <c r="BQ293" s="2318"/>
      <c r="BR293" s="2318"/>
      <c r="BS293" s="2318"/>
      <c r="BT293" s="2318"/>
      <c r="BU293" s="2318"/>
      <c r="BV293" s="2318"/>
      <c r="BW293" s="2318"/>
      <c r="BX293" s="2318"/>
      <c r="BY293" s="2318"/>
      <c r="BZ293" s="2318"/>
      <c r="CA293" s="88"/>
      <c r="CC293" s="383"/>
      <c r="CD293" s="2319"/>
      <c r="CE293" s="2319"/>
      <c r="CF293" s="88"/>
      <c r="CG293" s="2319"/>
      <c r="CH293" s="2319"/>
      <c r="CI293" s="88"/>
      <c r="CJ293" s="2319"/>
      <c r="CK293" s="2319"/>
      <c r="CL293" s="88"/>
      <c r="CM293" s="2320"/>
      <c r="CN293" s="2320"/>
      <c r="CO293" s="88"/>
      <c r="CP293" s="2320"/>
      <c r="CQ293" s="2320"/>
      <c r="CR293" s="88"/>
      <c r="CS293" s="2321"/>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row>
    <row r="294" spans="1:97" ht="21" customHeight="1">
      <c r="A294" s="1627"/>
      <c r="B294" s="2084"/>
      <c r="C294" s="2084"/>
      <c r="D294" s="1549"/>
      <c r="E294" s="2135"/>
      <c r="F294" s="401"/>
      <c r="G294" s="401"/>
      <c r="H294" s="585"/>
      <c r="I294" s="585"/>
      <c r="J294" s="401"/>
      <c r="K294" s="401"/>
      <c r="N294" s="158"/>
      <c r="O294" s="101"/>
      <c r="P294" s="52"/>
      <c r="Q294" s="101"/>
      <c r="R294" s="101"/>
      <c r="S294" s="18"/>
      <c r="T294" s="18"/>
      <c r="U294" s="39"/>
      <c r="V294" s="37"/>
      <c r="W294" s="2328" t="e" cm="1">
        <f t="array" ca="1" aca="1" ref="W294">UNPACK(C301)</f>
        <v>#NAME?</v>
      </c>
      <c r="X294" s="2137"/>
      <c r="Y294" s="2327"/>
      <c r="Z294" s="2139"/>
      <c r="AA294" s="2140"/>
      <c r="AB294" s="2141" t="s">
        <v>199</v>
      </c>
      <c r="AC294" s="2138"/>
      <c r="AD294" s="2138"/>
      <c r="AE294" s="2138"/>
      <c r="AF294" s="2138"/>
      <c r="AG294" s="2138"/>
      <c r="AH294" s="2138"/>
      <c r="AI294" s="2138"/>
      <c r="AJ294" s="2138"/>
      <c r="AK294" s="2138"/>
      <c r="AL294" s="2138"/>
      <c r="AM294" s="2138"/>
      <c r="AN294" s="2138"/>
      <c r="AO294" s="2138"/>
      <c r="AP294" s="2138"/>
      <c r="AQ294" s="2138"/>
      <c r="AR294" s="2138"/>
      <c r="AS294" s="2138"/>
      <c r="AT294" s="2138"/>
      <c r="AU294" s="2138"/>
      <c r="AV294" s="2138"/>
      <c r="AW294" s="2138"/>
      <c r="AX294" s="2138"/>
      <c r="AY294" s="2138"/>
      <c r="AZ294" s="2138"/>
      <c r="BA294" s="2138"/>
      <c r="BB294" s="2138"/>
      <c r="BC294" s="2138"/>
      <c r="BD294" s="2138"/>
      <c r="BE294" s="2138"/>
      <c r="BF294" s="2138"/>
      <c r="BG294" s="2138"/>
      <c r="BH294" s="2138"/>
      <c r="BI294" s="2138"/>
      <c r="BJ294" s="2138"/>
      <c r="BK294" s="2138"/>
      <c r="BL294" s="2138"/>
      <c r="BM294" s="2138"/>
      <c r="BN294" s="2138"/>
      <c r="BO294" s="1634"/>
      <c r="BP294" s="1634"/>
      <c r="BQ294" s="1634"/>
      <c r="BR294" s="1634"/>
      <c r="BS294" s="1634"/>
      <c r="BT294" s="1634"/>
      <c r="BU294" s="1634"/>
      <c r="BV294" s="1634"/>
      <c r="BW294" s="1634"/>
      <c r="BX294" s="1634"/>
      <c r="BY294" s="1634"/>
      <c r="BZ294" s="1634"/>
      <c r="CA294" s="34"/>
      <c r="CC294" s="58"/>
      <c r="CD294" s="1720">
        <f>($W289)</f>
        <v>0</v>
      </c>
      <c r="CE294" s="1721">
        <f>($W289)</f>
        <v>0</v>
      </c>
      <c r="CF294" s="128"/>
      <c r="CG294" s="1734">
        <f>($W289)</f>
        <v>0</v>
      </c>
      <c r="CH294" s="1735">
        <f>($W289)</f>
        <v>0</v>
      </c>
      <c r="CI294" s="207"/>
      <c r="CJ294" s="1724">
        <f>($W289)</f>
        <v>0</v>
      </c>
      <c r="CK294" s="1725">
        <f>($W289)</f>
        <v>0</v>
      </c>
      <c r="CL294" s="88"/>
      <c r="CM294" s="1198" t="str">
        <f>CM$19</f>
        <v>Original Budget</v>
      </c>
      <c r="CN294" s="1198" t="str">
        <f>CN$19</f>
        <v>LE</v>
      </c>
      <c r="CO294" s="88"/>
      <c r="CP294" s="1819" t="str">
        <f>$CP$19</f>
        <v>Original Budget</v>
      </c>
      <c r="CQ294" s="1819" t="str">
        <f>$CQ$19</f>
        <v>LE</v>
      </c>
      <c r="CR294" s="34"/>
      <c r="CS294" s="2056"/>
    </row>
    <row r="295" spans="1:97" ht="21" customHeight="1">
      <c r="A295" s="1627"/>
      <c r="B295" s="2331"/>
      <c r="C295" s="2084"/>
      <c r="D295" s="1549"/>
      <c r="E295" s="1902"/>
      <c r="F295" s="401"/>
      <c r="G295" s="401"/>
      <c r="H295" s="585">
        <v>0</v>
      </c>
      <c r="I295" s="3290">
        <v>1</v>
      </c>
      <c r="J295" s="401"/>
      <c r="K295" s="401" t="str">
        <f t="shared" si="105" ref="K295:K296">IFERROR(IF(LEN(AB295)=0,"No",IF(LEN(J295)&gt;0,"Yes","No")),"")</f>
        <v>No</v>
      </c>
      <c r="N295" s="158"/>
      <c r="O295" s="101"/>
      <c r="P295" s="52"/>
      <c r="Q295" s="101"/>
      <c r="R295" s="101"/>
      <c r="S295" s="101"/>
      <c r="T295" s="2324"/>
      <c r="U295" s="39"/>
      <c r="V295" s="37"/>
      <c r="W295" s="2329"/>
      <c r="X295" s="2081"/>
      <c r="Y295" s="2366"/>
      <c r="Z295" s="198"/>
      <c r="AA295" s="2136"/>
      <c r="AB295" s="1134"/>
      <c r="AC295" s="125"/>
      <c r="AD295" s="2152" t="str" cm="1">
        <f t="array" ca="1" aca="1" ref="AD295">_xlfn.LET(_xlpm.search_key,$W295&amp;$Y295,_xlpm.Scenario,_xlfn.VSTACK($W$20:$W$55&amp;$Y$20:$Y$55,$W$76:$W$110&amp;$Y$76:$Y$110),_xlpm.Data,_xlfn.VSTACK($AD$20:$BN$55,$AD$76:$BN$110),IF(OR($Y295="",ISNUMBER(SEARCH("please",$Y295))),"",_xlfn.XLOOKUP(_xlpm.search_key,_xlpm.Scenario,_xlpm.Data,"▧",2)))</f>
        <v/>
      </c>
      <c r="AE295" s="2152"/>
      <c r="AF295" s="2152"/>
      <c r="AG295" s="2152"/>
      <c r="AH295" s="2152"/>
      <c r="AI295" s="2152"/>
      <c r="AJ295" s="2152"/>
      <c r="AK295" s="2152"/>
      <c r="AL295" s="2152"/>
      <c r="AM295" s="2152"/>
      <c r="AN295" s="2152"/>
      <c r="AO295" s="2152"/>
      <c r="AP295" s="2152"/>
      <c r="AQ295" s="2152"/>
      <c r="AR295" s="2152"/>
      <c r="AS295" s="2152"/>
      <c r="AT295" s="2152"/>
      <c r="AU295" s="2152"/>
      <c r="AV295" s="2152"/>
      <c r="AW295" s="2152"/>
      <c r="AX295" s="2152"/>
      <c r="AY295" s="2152"/>
      <c r="AZ295" s="2152"/>
      <c r="BA295" s="2152"/>
      <c r="BB295" s="2152"/>
      <c r="BC295" s="2152"/>
      <c r="BD295" s="2152"/>
      <c r="BE295" s="2152"/>
      <c r="BF295" s="2152"/>
      <c r="BG295" s="2152"/>
      <c r="BH295" s="2152"/>
      <c r="BI295" s="2152"/>
      <c r="BJ295" s="2152"/>
      <c r="BK295" s="2152"/>
      <c r="BL295" s="2152"/>
      <c r="BM295" s="2152"/>
      <c r="BN295" s="2152"/>
      <c r="BO295" s="2153"/>
      <c r="BP295" s="2153"/>
      <c r="BQ295" s="2153"/>
      <c r="BR295" s="2153"/>
      <c r="BS295" s="2153"/>
      <c r="BT295" s="2153"/>
      <c r="BU295" s="2153"/>
      <c r="BV295" s="2153"/>
      <c r="BW295" s="2153"/>
      <c r="BX295" s="2153"/>
      <c r="BY295" s="2153"/>
      <c r="BZ295" s="2153"/>
      <c r="CA295" s="34"/>
      <c r="CC295" s="58"/>
      <c r="CD295" s="2154" t="str" cm="1">
        <f t="array" ca="1" aca="1" ref="CD295">_xlfn.LET(_xlpm.search_key,$W295&amp;$Y295,_xlpm.Scenario,_xlfn.VSTACK($W$20:$W$55&amp;$Y$20:$Y$55,$W$76:$W$110&amp;$Y$76:$Y$110),_xlpm.Data,_xlfn.VSTACK(CD$20:CE$55,CD$76:CE$110),IF(OR($Y295="",ISNUMBER(SEARCH("please",$Y295))),"",_xlfn.XLOOKUP(_xlpm.search_key,_xlpm.Scenario,_xlpm.Data,"▧")))</f>
        <v/>
      </c>
      <c r="CE295" s="2154"/>
      <c r="CF295" s="88"/>
      <c r="CG295" s="2154" t="str" cm="1">
        <f t="array" ca="1" aca="1" ref="CG295">_xlfn.LET(_xlpm.search_key,$W295&amp;$Y295,_xlpm.Scenario,_xlfn.VSTACK($W$20:$W$55&amp;$Y$20:$Y$55,$W$76:$W$110&amp;$Y$76:$Y$110),_xlpm.Data,_xlfn.VSTACK(CG$20:CH$55,CG$76:CH$110),IF(OR($Y295="",ISNUMBER(SEARCH("please",$Y295))),"",_xlfn.XLOOKUP(_xlpm.search_key,_xlpm.Scenario,_xlpm.Data,"▧")))</f>
        <v/>
      </c>
      <c r="CH295" s="2154"/>
      <c r="CI295" s="88"/>
      <c r="CJ295" s="2154" t="str" cm="1">
        <f t="array" ref="CJ295">_xlfn.LET(_xlpm.search_key,$W295&amp;$Y295,_xlpm.Scenario,_xlfn.VSTACK($W$20:$W$55&amp;$Y$20:$Y$55,$W$76:$W$110&amp;$Y$76:$Y$110),_xlpm.Data,_xlfn.VSTACK(CJ$20:CK$55,CJ$76:CK$110),IF(OR($Y295="",ISNUMBER(SEARCH("please",$Y295))),"",_xlfn.XLOOKUP(_xlpm.search_key,_xlpm.Scenario,_xlpm.Data,"▧")))</f>
        <v/>
      </c>
      <c r="CK295" s="2154"/>
      <c r="CL295" s="88"/>
      <c r="CM295" s="2154" t="str" cm="1">
        <f t="array" ca="1" aca="1" ref="CM295">_xlfn.LET(_xlpm.search_key,$W295&amp;$Y295,_xlpm.Scenario,_xlfn.VSTACK($W$20:$W$55&amp;$Y$20:$Y$55,$W$76:$W$110&amp;$Y$76:$Y$110),_xlpm.Data,_xlfn.VSTACK(CM$20:CN$55,CM$76:CN$110),IF(OR($Y295="",ISNUMBER(SEARCH("please",$Y295))),"",_xlfn.XLOOKUP(_xlpm.search_key,_xlpm.Scenario,_xlpm.Data,"▧")))</f>
        <v/>
      </c>
      <c r="CN295" s="2154"/>
      <c r="CO295" s="88"/>
      <c r="CP295" s="2154" t="str" cm="1">
        <f t="array" ca="1" aca="1" ref="CP295">_xlfn.LET(_xlpm.search_key,$W295&amp;$Y295,_xlpm.Scenario,_xlfn.VSTACK($W$20:$W$55&amp;$Y$20:$Y$55,$W$76:$W$110&amp;$Y$76:$Y$110),_xlpm.Data,_xlfn.VSTACK(CP$20:CQ$55,CP$76:CQ$110),IF(OR($Y295="",ISNUMBER(SEARCH("please",$Y295))),"",_xlfn.XLOOKUP(_xlpm.search_key,_xlpm.Scenario,_xlpm.Data,"▧")))</f>
        <v/>
      </c>
      <c r="CQ295" s="2154"/>
      <c r="CR295" s="34"/>
      <c r="CS295" s="2056"/>
    </row>
    <row r="296" spans="1:97" ht="21" customHeight="1">
      <c r="A296" s="1627"/>
      <c r="B296" s="2331"/>
      <c r="C296" s="2084"/>
      <c r="D296" s="1549"/>
      <c r="E296" s="1902"/>
      <c r="F296" s="401"/>
      <c r="G296" s="401"/>
      <c r="H296" s="585">
        <v>0</v>
      </c>
      <c r="I296" s="3290">
        <v>1</v>
      </c>
      <c r="J296" s="401"/>
      <c r="K296" s="401" t="str">
        <f t="shared" si="105"/>
        <v>No</v>
      </c>
      <c r="N296" s="158"/>
      <c r="O296" s="101"/>
      <c r="P296" s="52"/>
      <c r="Q296" s="101"/>
      <c r="R296" s="101"/>
      <c r="S296" s="101"/>
      <c r="T296" s="101"/>
      <c r="U296" s="39"/>
      <c r="V296" s="37"/>
      <c r="W296" s="2329"/>
      <c r="X296" s="2081"/>
      <c r="Y296" s="2367"/>
      <c r="Z296" s="198"/>
      <c r="AA296" s="2136"/>
      <c r="AB296" s="1134"/>
      <c r="AC296" s="125"/>
      <c r="AD296" s="2152" t="str" cm="1">
        <f t="array" ca="1" aca="1" ref="AD296">_xlfn.LET(_xlpm.search_key,$W296&amp;$Y296,_xlpm.Scenario,_xlfn.VSTACK($W$20:$W$55&amp;$Y$20:$Y$55,$W$76:$W$110&amp;$Y$76:$Y$110),_xlpm.Data,_xlfn.VSTACK($AD$20:$BN$55,$AD$76:$BN$110),IF(OR($Y296="",ISNUMBER(SEARCH("please",$Y296))),"",_xlfn.XLOOKUP(_xlpm.search_key,_xlpm.Scenario,_xlpm.Data,"▧",2)))</f>
        <v/>
      </c>
      <c r="AE296" s="2152"/>
      <c r="AF296" s="2152"/>
      <c r="AG296" s="2152"/>
      <c r="AH296" s="2152"/>
      <c r="AI296" s="2152"/>
      <c r="AJ296" s="2152"/>
      <c r="AK296" s="2152"/>
      <c r="AL296" s="2152"/>
      <c r="AM296" s="2152"/>
      <c r="AN296" s="2152"/>
      <c r="AO296" s="2152"/>
      <c r="AP296" s="2152"/>
      <c r="AQ296" s="2152"/>
      <c r="AR296" s="2152"/>
      <c r="AS296" s="2152"/>
      <c r="AT296" s="2152"/>
      <c r="AU296" s="2152"/>
      <c r="AV296" s="2152"/>
      <c r="AW296" s="2152"/>
      <c r="AX296" s="2152"/>
      <c r="AY296" s="2152"/>
      <c r="AZ296" s="2152"/>
      <c r="BA296" s="2152"/>
      <c r="BB296" s="2152"/>
      <c r="BC296" s="2152"/>
      <c r="BD296" s="2152"/>
      <c r="BE296" s="2152"/>
      <c r="BF296" s="2152"/>
      <c r="BG296" s="2152"/>
      <c r="BH296" s="2152"/>
      <c r="BI296" s="2152"/>
      <c r="BJ296" s="2152"/>
      <c r="BK296" s="2152"/>
      <c r="BL296" s="2152"/>
      <c r="BM296" s="2152"/>
      <c r="BN296" s="2152"/>
      <c r="BO296" s="2153"/>
      <c r="BP296" s="2153"/>
      <c r="BQ296" s="2153"/>
      <c r="BR296" s="2153"/>
      <c r="BS296" s="2153"/>
      <c r="BT296" s="2153"/>
      <c r="BU296" s="2153"/>
      <c r="BV296" s="2153"/>
      <c r="BW296" s="2153"/>
      <c r="BX296" s="2153"/>
      <c r="BY296" s="2153"/>
      <c r="BZ296" s="2153"/>
      <c r="CA296" s="34"/>
      <c r="CC296" s="58"/>
      <c r="CD296" s="2154" t="str" cm="1">
        <f t="array" ca="1" aca="1" ref="CD296">_xlfn.LET(_xlpm.search_key,$W296&amp;$Y296,_xlpm.Scenario,_xlfn.VSTACK($W$20:$W$55&amp;$Y$20:$Y$55,$W$76:$W$110&amp;$Y$76:$Y$110),_xlpm.Data,_xlfn.VSTACK(CD$20:CE$55,CD$76:CE$110),IF(OR($Y296="",ISNUMBER(SEARCH("please",$Y296))),"",_xlfn.XLOOKUP(_xlpm.search_key,_xlpm.Scenario,_xlpm.Data,"▧")))</f>
        <v/>
      </c>
      <c r="CE296" s="2154"/>
      <c r="CF296" s="88"/>
      <c r="CG296" s="2154" t="str" cm="1">
        <f t="array" ca="1" aca="1" ref="CG296">_xlfn.LET(_xlpm.search_key,$W296&amp;$Y296,_xlpm.Scenario,_xlfn.VSTACK($W$20:$W$55&amp;$Y$20:$Y$55,$W$76:$W$110&amp;$Y$76:$Y$110),_xlpm.Data,_xlfn.VSTACK(CG$20:CH$55,CG$76:CH$110),IF(OR($Y296="",ISNUMBER(SEARCH("please",$Y296))),"",_xlfn.XLOOKUP(_xlpm.search_key,_xlpm.Scenario,_xlpm.Data,"▧")))</f>
        <v/>
      </c>
      <c r="CH296" s="2154"/>
      <c r="CI296" s="88"/>
      <c r="CJ296" s="2154" t="str" cm="1">
        <f t="array" ref="CJ296">_xlfn.LET(_xlpm.search_key,$W296&amp;$Y296,_xlpm.Scenario,_xlfn.VSTACK($W$20:$W$55&amp;$Y$20:$Y$55,$W$76:$W$110&amp;$Y$76:$Y$110),_xlpm.Data,_xlfn.VSTACK(CJ$20:CK$55,CJ$76:CK$110),IF(OR($Y296="",ISNUMBER(SEARCH("please",$Y296))),"",_xlfn.XLOOKUP(_xlpm.search_key,_xlpm.Scenario,_xlpm.Data,"▧")))</f>
        <v/>
      </c>
      <c r="CK296" s="2154"/>
      <c r="CL296" s="88"/>
      <c r="CM296" s="2154" t="str" cm="1">
        <f t="array" ca="1" aca="1" ref="CM296">_xlfn.LET(_xlpm.search_key,$W296&amp;$Y296,_xlpm.Scenario,_xlfn.VSTACK($W$20:$W$55&amp;$Y$20:$Y$55,$W$76:$W$110&amp;$Y$76:$Y$110),_xlpm.Data,_xlfn.VSTACK(CM$20:CN$55,CM$76:CN$110),IF(OR($Y296="",ISNUMBER(SEARCH("please",$Y296))),"",_xlfn.XLOOKUP(_xlpm.search_key,_xlpm.Scenario,_xlpm.Data,"▧")))</f>
        <v/>
      </c>
      <c r="CN296" s="2154"/>
      <c r="CO296" s="88"/>
      <c r="CP296" s="2154" t="str" cm="1">
        <f t="array" ca="1" aca="1" ref="CP296">_xlfn.LET(_xlpm.search_key,$W296&amp;$Y296,_xlpm.Scenario,_xlfn.VSTACK($W$20:$W$55&amp;$Y$20:$Y$55,$W$76:$W$110&amp;$Y$76:$Y$110),_xlpm.Data,_xlfn.VSTACK(CP$20:CQ$55,CP$76:CQ$110),IF(OR($Y296="",ISNUMBER(SEARCH("please",$Y296))),"",_xlfn.XLOOKUP(_xlpm.search_key,_xlpm.Scenario,_xlpm.Data,"▧")))</f>
        <v/>
      </c>
      <c r="CQ296" s="2154"/>
      <c r="CR296" s="34"/>
      <c r="CS296" s="2056"/>
    </row>
    <row r="297" spans="1:97" ht="21" customHeight="1">
      <c r="A297" s="1627"/>
      <c r="B297" s="2331"/>
      <c r="C297" s="2084"/>
      <c r="D297" s="1549"/>
      <c r="E297" s="1902"/>
      <c r="F297" s="401"/>
      <c r="G297" s="401"/>
      <c r="H297" s="585"/>
      <c r="I297" s="585"/>
      <c r="J297" s="401"/>
      <c r="K297" s="401"/>
      <c r="N297" s="158"/>
      <c r="O297" s="101"/>
      <c r="P297" s="52"/>
      <c r="Q297" s="101"/>
      <c r="R297" s="101"/>
      <c r="S297" s="101"/>
      <c r="T297" s="101"/>
      <c r="U297" s="39"/>
      <c r="V297" s="37"/>
      <c r="W297" s="2329"/>
      <c r="X297" s="2081"/>
      <c r="Y297" s="2367"/>
      <c r="Z297" s="198"/>
      <c r="AA297" s="2136"/>
      <c r="AB297" s="1134"/>
      <c r="AC297" s="125"/>
      <c r="AD297" s="2152" t="str" cm="1">
        <f t="array" ca="1" aca="1" ref="AD297">_xlfn.LET(_xlpm.search_key,$W297&amp;$Y297,_xlpm.Scenario,_xlfn.VSTACK($W$20:$W$55&amp;$Y$20:$Y$55,$W$76:$W$110&amp;$Y$76:$Y$110),_xlpm.Data,_xlfn.VSTACK($AD$20:$BN$55,$AD$76:$BN$110),IF(OR($Y297="",ISNUMBER(SEARCH("please",$Y297))),"",_xlfn.XLOOKUP(_xlpm.search_key,_xlpm.Scenario,_xlpm.Data,"▧",2)))</f>
        <v/>
      </c>
      <c r="AE297" s="2152"/>
      <c r="AF297" s="2152"/>
      <c r="AG297" s="2152"/>
      <c r="AH297" s="2152"/>
      <c r="AI297" s="2152"/>
      <c r="AJ297" s="2152"/>
      <c r="AK297" s="2152"/>
      <c r="AL297" s="2152"/>
      <c r="AM297" s="2152"/>
      <c r="AN297" s="2152"/>
      <c r="AO297" s="2152"/>
      <c r="AP297" s="2152"/>
      <c r="AQ297" s="2152"/>
      <c r="AR297" s="2152"/>
      <c r="AS297" s="2152"/>
      <c r="AT297" s="2152"/>
      <c r="AU297" s="2152"/>
      <c r="AV297" s="2152"/>
      <c r="AW297" s="2152"/>
      <c r="AX297" s="2152"/>
      <c r="AY297" s="2152"/>
      <c r="AZ297" s="2152"/>
      <c r="BA297" s="2152"/>
      <c r="BB297" s="2152"/>
      <c r="BC297" s="2152"/>
      <c r="BD297" s="2152"/>
      <c r="BE297" s="2152"/>
      <c r="BF297" s="2152"/>
      <c r="BG297" s="2152"/>
      <c r="BH297" s="2152"/>
      <c r="BI297" s="2152"/>
      <c r="BJ297" s="2152"/>
      <c r="BK297" s="2152"/>
      <c r="BL297" s="2152"/>
      <c r="BM297" s="2152"/>
      <c r="BN297" s="2152"/>
      <c r="BO297" s="2153"/>
      <c r="BP297" s="2153"/>
      <c r="BQ297" s="2153"/>
      <c r="BR297" s="2153"/>
      <c r="BS297" s="2153"/>
      <c r="BT297" s="2153"/>
      <c r="BU297" s="2153"/>
      <c r="BV297" s="2153"/>
      <c r="BW297" s="2153"/>
      <c r="BX297" s="2153"/>
      <c r="BY297" s="2153"/>
      <c r="BZ297" s="2153"/>
      <c r="CA297" s="34"/>
      <c r="CC297" s="58"/>
      <c r="CD297" s="2154" t="str" cm="1">
        <f t="array" ca="1" aca="1" ref="CD297">_xlfn.LET(_xlpm.search_key,$W297&amp;$Y297,_xlpm.Scenario,_xlfn.VSTACK($W$20:$W$55&amp;$Y$20:$Y$55,$W$76:$W$110&amp;$Y$76:$Y$110),_xlpm.Data,_xlfn.VSTACK(CD$20:CE$55,CD$76:CE$110),IF(OR($Y297="",ISNUMBER(SEARCH("please",$Y297))),"",_xlfn.XLOOKUP(_xlpm.search_key,_xlpm.Scenario,_xlpm.Data,"▧")))</f>
        <v/>
      </c>
      <c r="CE297" s="2154"/>
      <c r="CF297" s="88"/>
      <c r="CG297" s="2154" t="str" cm="1">
        <f t="array" ca="1" aca="1" ref="CG297">_xlfn.LET(_xlpm.search_key,$W297&amp;$Y297,_xlpm.Scenario,_xlfn.VSTACK($W$20:$W$55&amp;$Y$20:$Y$55,$W$76:$W$110&amp;$Y$76:$Y$110),_xlpm.Data,_xlfn.VSTACK(CG$20:CH$55,CG$76:CH$110),IF(OR($Y297="",ISNUMBER(SEARCH("please",$Y297))),"",_xlfn.XLOOKUP(_xlpm.search_key,_xlpm.Scenario,_xlpm.Data,"▧")))</f>
        <v/>
      </c>
      <c r="CH297" s="2154"/>
      <c r="CI297" s="88"/>
      <c r="CJ297" s="2154" t="str" cm="1">
        <f t="array" ref="CJ297">_xlfn.LET(_xlpm.search_key,$W297&amp;$Y297,_xlpm.Scenario,_xlfn.VSTACK($W$20:$W$55&amp;$Y$20:$Y$55,$W$76:$W$110&amp;$Y$76:$Y$110),_xlpm.Data,_xlfn.VSTACK(CJ$20:CK$55,CJ$76:CK$110),IF(OR($Y297="",ISNUMBER(SEARCH("please",$Y297))),"",_xlfn.XLOOKUP(_xlpm.search_key,_xlpm.Scenario,_xlpm.Data,"▧")))</f>
        <v/>
      </c>
      <c r="CK297" s="2154"/>
      <c r="CL297" s="88"/>
      <c r="CM297" s="2154" t="str" cm="1">
        <f t="array" ca="1" aca="1" ref="CM297">_xlfn.LET(_xlpm.search_key,$W297&amp;$Y297,_xlpm.Scenario,_xlfn.VSTACK($W$20:$W$55&amp;$Y$20:$Y$55,$W$76:$W$110&amp;$Y$76:$Y$110),_xlpm.Data,_xlfn.VSTACK(CM$20:CN$55,CM$76:CN$110),IF(OR($Y297="",ISNUMBER(SEARCH("please",$Y297))),"",_xlfn.XLOOKUP(_xlpm.search_key,_xlpm.Scenario,_xlpm.Data,"▧")))</f>
        <v/>
      </c>
      <c r="CN297" s="2154"/>
      <c r="CO297" s="88"/>
      <c r="CP297" s="2154" t="str" cm="1">
        <f t="array" ca="1" aca="1" ref="CP297">_xlfn.LET(_xlpm.search_key,$W297&amp;$Y297,_xlpm.Scenario,_xlfn.VSTACK($W$20:$W$55&amp;$Y$20:$Y$55,$W$76:$W$110&amp;$Y$76:$Y$110),_xlpm.Data,_xlfn.VSTACK(CP$20:CQ$55,CP$76:CQ$110),IF(OR($Y297="",ISNUMBER(SEARCH("please",$Y297))),"",_xlfn.XLOOKUP(_xlpm.search_key,_xlpm.Scenario,_xlpm.Data,"▧")))</f>
        <v/>
      </c>
      <c r="CQ297" s="2154"/>
      <c r="CR297" s="34"/>
      <c r="CS297" s="2056"/>
    </row>
    <row r="298" spans="1:97" ht="21" customHeight="1">
      <c r="A298" s="1627"/>
      <c r="B298" s="2331"/>
      <c r="C298" s="2084"/>
      <c r="D298" s="1549"/>
      <c r="E298" s="1902"/>
      <c r="F298" s="401"/>
      <c r="G298" s="401"/>
      <c r="H298" s="585"/>
      <c r="I298" s="585"/>
      <c r="J298" s="401"/>
      <c r="K298" s="401"/>
      <c r="N298" s="158"/>
      <c r="O298" s="101"/>
      <c r="P298" s="52"/>
      <c r="Q298" s="101"/>
      <c r="R298" s="101"/>
      <c r="S298" s="101"/>
      <c r="T298" s="101"/>
      <c r="U298" s="39"/>
      <c r="V298" s="37"/>
      <c r="W298" s="2329"/>
      <c r="X298" s="2081"/>
      <c r="Y298" s="2367"/>
      <c r="Z298" s="198"/>
      <c r="AA298" s="2136"/>
      <c r="AB298" s="1134"/>
      <c r="AC298" s="125"/>
      <c r="AD298" s="2152" t="str" cm="1">
        <f t="array" ca="1" aca="1" ref="AD298">_xlfn.LET(_xlpm.search_key,$W298&amp;$Y298,_xlpm.Scenario,_xlfn.VSTACK($W$20:$W$55&amp;$Y$20:$Y$55,$W$76:$W$110&amp;$Y$76:$Y$110),_xlpm.Data,_xlfn.VSTACK($AD$20:$BN$55,$AD$76:$BN$110),IF(OR($Y298="",ISNUMBER(SEARCH("please",$Y298))),"",_xlfn.XLOOKUP(_xlpm.search_key,_xlpm.Scenario,_xlpm.Data,"▧",2)))</f>
        <v/>
      </c>
      <c r="AE298" s="2152"/>
      <c r="AF298" s="2152"/>
      <c r="AG298" s="2152"/>
      <c r="AH298" s="2152"/>
      <c r="AI298" s="2152"/>
      <c r="AJ298" s="2152"/>
      <c r="AK298" s="2152"/>
      <c r="AL298" s="2152"/>
      <c r="AM298" s="2152"/>
      <c r="AN298" s="2152"/>
      <c r="AO298" s="2152"/>
      <c r="AP298" s="2152"/>
      <c r="AQ298" s="2152"/>
      <c r="AR298" s="2152"/>
      <c r="AS298" s="2152"/>
      <c r="AT298" s="2152"/>
      <c r="AU298" s="2152"/>
      <c r="AV298" s="2152"/>
      <c r="AW298" s="2152"/>
      <c r="AX298" s="2152"/>
      <c r="AY298" s="2152"/>
      <c r="AZ298" s="2152"/>
      <c r="BA298" s="2152"/>
      <c r="BB298" s="2152"/>
      <c r="BC298" s="2152"/>
      <c r="BD298" s="2152"/>
      <c r="BE298" s="2152"/>
      <c r="BF298" s="2152"/>
      <c r="BG298" s="2152"/>
      <c r="BH298" s="2152"/>
      <c r="BI298" s="2152"/>
      <c r="BJ298" s="2152"/>
      <c r="BK298" s="2152"/>
      <c r="BL298" s="2152"/>
      <c r="BM298" s="2152"/>
      <c r="BN298" s="2152"/>
      <c r="BO298" s="2153"/>
      <c r="BP298" s="2153"/>
      <c r="BQ298" s="2153"/>
      <c r="BR298" s="2153"/>
      <c r="BS298" s="2153"/>
      <c r="BT298" s="2153"/>
      <c r="BU298" s="2153"/>
      <c r="BV298" s="2153"/>
      <c r="BW298" s="2153"/>
      <c r="BX298" s="2153"/>
      <c r="BY298" s="2153"/>
      <c r="BZ298" s="2153"/>
      <c r="CA298" s="34"/>
      <c r="CC298" s="58"/>
      <c r="CD298" s="2154" t="str" cm="1">
        <f t="array" ca="1" aca="1" ref="CD298">_xlfn.LET(_xlpm.search_key,$W298&amp;$Y298,_xlpm.Scenario,_xlfn.VSTACK($W$20:$W$55&amp;$Y$20:$Y$55,$W$76:$W$110&amp;$Y$76:$Y$110),_xlpm.Data,_xlfn.VSTACK(CD$20:CE$55,CD$76:CE$110),IF(OR($Y298="",ISNUMBER(SEARCH("please",$Y298))),"",_xlfn.XLOOKUP(_xlpm.search_key,_xlpm.Scenario,_xlpm.Data,"▧")))</f>
        <v/>
      </c>
      <c r="CE298" s="2154"/>
      <c r="CF298" s="88"/>
      <c r="CG298" s="2154" t="str" cm="1">
        <f t="array" ca="1" aca="1" ref="CG298">_xlfn.LET(_xlpm.search_key,$W298&amp;$Y298,_xlpm.Scenario,_xlfn.VSTACK($W$20:$W$55&amp;$Y$20:$Y$55,$W$76:$W$110&amp;$Y$76:$Y$110),_xlpm.Data,_xlfn.VSTACK(CG$20:CH$55,CG$76:CH$110),IF(OR($Y298="",ISNUMBER(SEARCH("please",$Y298))),"",_xlfn.XLOOKUP(_xlpm.search_key,_xlpm.Scenario,_xlpm.Data,"▧")))</f>
        <v/>
      </c>
      <c r="CH298" s="2154"/>
      <c r="CI298" s="88"/>
      <c r="CJ298" s="2154" t="str" cm="1">
        <f t="array" ref="CJ298">_xlfn.LET(_xlpm.search_key,$W298&amp;$Y298,_xlpm.Scenario,_xlfn.VSTACK($W$20:$W$55&amp;$Y$20:$Y$55,$W$76:$W$110&amp;$Y$76:$Y$110),_xlpm.Data,_xlfn.VSTACK(CJ$20:CK$55,CJ$76:CK$110),IF(OR($Y298="",ISNUMBER(SEARCH("please",$Y298))),"",_xlfn.XLOOKUP(_xlpm.search_key,_xlpm.Scenario,_xlpm.Data,"▧")))</f>
        <v/>
      </c>
      <c r="CK298" s="2154"/>
      <c r="CL298" s="88"/>
      <c r="CM298" s="2154" t="str" cm="1">
        <f t="array" ca="1" aca="1" ref="CM298">_xlfn.LET(_xlpm.search_key,$W298&amp;$Y298,_xlpm.Scenario,_xlfn.VSTACK($W$20:$W$55&amp;$Y$20:$Y$55,$W$76:$W$110&amp;$Y$76:$Y$110),_xlpm.Data,_xlfn.VSTACK(CM$20:CN$55,CM$76:CN$110),IF(OR($Y298="",ISNUMBER(SEARCH("please",$Y298))),"",_xlfn.XLOOKUP(_xlpm.search_key,_xlpm.Scenario,_xlpm.Data,"▧")))</f>
        <v/>
      </c>
      <c r="CN298" s="2154"/>
      <c r="CO298" s="88"/>
      <c r="CP298" s="2154" t="str" cm="1">
        <f t="array" ca="1" aca="1" ref="CP298">_xlfn.LET(_xlpm.search_key,$W298&amp;$Y298,_xlpm.Scenario,_xlfn.VSTACK($W$20:$W$55&amp;$Y$20:$Y$55,$W$76:$W$110&amp;$Y$76:$Y$110),_xlpm.Data,_xlfn.VSTACK(CP$20:CQ$55,CP$76:CQ$110),IF(OR($Y298="",ISNUMBER(SEARCH("please",$Y298))),"",_xlfn.XLOOKUP(_xlpm.search_key,_xlpm.Scenario,_xlpm.Data,"▧")))</f>
        <v/>
      </c>
      <c r="CQ298" s="2154"/>
      <c r="CR298" s="34"/>
      <c r="CS298" s="2056"/>
    </row>
    <row r="299" spans="1:97" ht="21" customHeight="1">
      <c r="A299" s="1627"/>
      <c r="B299" s="2331"/>
      <c r="C299" s="2084"/>
      <c r="D299" s="1549"/>
      <c r="E299" s="1902"/>
      <c r="F299" s="401"/>
      <c r="G299" s="401"/>
      <c r="H299" s="585"/>
      <c r="I299" s="585"/>
      <c r="J299" s="401"/>
      <c r="K299" s="401"/>
      <c r="N299" s="158"/>
      <c r="O299" s="101"/>
      <c r="P299" s="52"/>
      <c r="Q299" s="101"/>
      <c r="R299" s="101"/>
      <c r="S299" s="101"/>
      <c r="T299" s="101"/>
      <c r="U299" s="39"/>
      <c r="V299" s="37"/>
      <c r="W299" s="2329"/>
      <c r="X299" s="2081"/>
      <c r="Y299" s="2367"/>
      <c r="Z299" s="198"/>
      <c r="AA299" s="2136"/>
      <c r="AB299" s="1134"/>
      <c r="AC299" s="125"/>
      <c r="AD299" s="2152" t="str" cm="1">
        <f t="array" ca="1" aca="1" ref="AD299">_xlfn.LET(_xlpm.search_key,$W299&amp;$Y299,_xlpm.Scenario,_xlfn.VSTACK($W$20:$W$55&amp;$Y$20:$Y$55,$W$76:$W$110&amp;$Y$76:$Y$110),_xlpm.Data,_xlfn.VSTACK($AD$20:$BN$55,$AD$76:$BN$110),IF(OR($Y299="",ISNUMBER(SEARCH("please",$Y299))),"",_xlfn.XLOOKUP(_xlpm.search_key,_xlpm.Scenario,_xlpm.Data,"▧",2)))</f>
        <v/>
      </c>
      <c r="AE299" s="2152"/>
      <c r="AF299" s="2152"/>
      <c r="AG299" s="2152"/>
      <c r="AH299" s="2152"/>
      <c r="AI299" s="2152"/>
      <c r="AJ299" s="2152"/>
      <c r="AK299" s="2152"/>
      <c r="AL299" s="2152"/>
      <c r="AM299" s="2152"/>
      <c r="AN299" s="2152"/>
      <c r="AO299" s="2152"/>
      <c r="AP299" s="2152"/>
      <c r="AQ299" s="2152"/>
      <c r="AR299" s="2152"/>
      <c r="AS299" s="2152"/>
      <c r="AT299" s="2152"/>
      <c r="AU299" s="2152"/>
      <c r="AV299" s="2152"/>
      <c r="AW299" s="2152"/>
      <c r="AX299" s="2152"/>
      <c r="AY299" s="2152"/>
      <c r="AZ299" s="2152"/>
      <c r="BA299" s="2152"/>
      <c r="BB299" s="2152"/>
      <c r="BC299" s="2152"/>
      <c r="BD299" s="2152"/>
      <c r="BE299" s="2152"/>
      <c r="BF299" s="2152"/>
      <c r="BG299" s="2152"/>
      <c r="BH299" s="2152"/>
      <c r="BI299" s="2152"/>
      <c r="BJ299" s="2152"/>
      <c r="BK299" s="2152"/>
      <c r="BL299" s="2152"/>
      <c r="BM299" s="2152"/>
      <c r="BN299" s="2152"/>
      <c r="BO299" s="2153"/>
      <c r="BP299" s="2153"/>
      <c r="BQ299" s="2153"/>
      <c r="BR299" s="2153"/>
      <c r="BS299" s="2153"/>
      <c r="BT299" s="2153"/>
      <c r="BU299" s="2153"/>
      <c r="BV299" s="2153"/>
      <c r="BW299" s="2153"/>
      <c r="BX299" s="2153"/>
      <c r="BY299" s="2153"/>
      <c r="BZ299" s="2153"/>
      <c r="CA299" s="34"/>
      <c r="CC299" s="58"/>
      <c r="CD299" s="2154" t="str" cm="1">
        <f t="array" ca="1" aca="1" ref="CD299">_xlfn.LET(_xlpm.search_key,$W299&amp;$Y299,_xlpm.Scenario,_xlfn.VSTACK($W$20:$W$55&amp;$Y$20:$Y$55,$W$76:$W$110&amp;$Y$76:$Y$110),_xlpm.Data,_xlfn.VSTACK(CD$20:CE$55,CD$76:CE$110),IF(OR($Y299="",ISNUMBER(SEARCH("please",$Y299))),"",_xlfn.XLOOKUP(_xlpm.search_key,_xlpm.Scenario,_xlpm.Data,"▧")))</f>
        <v/>
      </c>
      <c r="CE299" s="2154"/>
      <c r="CF299" s="88"/>
      <c r="CG299" s="2154" t="str" cm="1">
        <f t="array" ca="1" aca="1" ref="CG299">_xlfn.LET(_xlpm.search_key,$W299&amp;$Y299,_xlpm.Scenario,_xlfn.VSTACK($W$20:$W$55&amp;$Y$20:$Y$55,$W$76:$W$110&amp;$Y$76:$Y$110),_xlpm.Data,_xlfn.VSTACK(CG$20:CH$55,CG$76:CH$110),IF(OR($Y299="",ISNUMBER(SEARCH("please",$Y299))),"",_xlfn.XLOOKUP(_xlpm.search_key,_xlpm.Scenario,_xlpm.Data,"▧")))</f>
        <v/>
      </c>
      <c r="CH299" s="2154"/>
      <c r="CI299" s="88"/>
      <c r="CJ299" s="2154" t="str" cm="1">
        <f t="array" ref="CJ299">_xlfn.LET(_xlpm.search_key,$W299&amp;$Y299,_xlpm.Scenario,_xlfn.VSTACK($W$20:$W$55&amp;$Y$20:$Y$55,$W$76:$W$110&amp;$Y$76:$Y$110),_xlpm.Data,_xlfn.VSTACK(CJ$20:CK$55,CJ$76:CK$110),IF(OR($Y299="",ISNUMBER(SEARCH("please",$Y299))),"",_xlfn.XLOOKUP(_xlpm.search_key,_xlpm.Scenario,_xlpm.Data,"▧")))</f>
        <v/>
      </c>
      <c r="CK299" s="2154"/>
      <c r="CL299" s="88"/>
      <c r="CM299" s="2154" t="str" cm="1">
        <f t="array" ca="1" aca="1" ref="CM299">_xlfn.LET(_xlpm.search_key,$W299&amp;$Y299,_xlpm.Scenario,_xlfn.VSTACK($W$20:$W$55&amp;$Y$20:$Y$55,$W$76:$W$110&amp;$Y$76:$Y$110),_xlpm.Data,_xlfn.VSTACK(CM$20:CN$55,CM$76:CN$110),IF(OR($Y299="",ISNUMBER(SEARCH("please",$Y299))),"",_xlfn.XLOOKUP(_xlpm.search_key,_xlpm.Scenario,_xlpm.Data,"▧")))</f>
        <v/>
      </c>
      <c r="CN299" s="2154"/>
      <c r="CO299" s="88"/>
      <c r="CP299" s="2154" t="str" cm="1">
        <f t="array" ca="1" aca="1" ref="CP299">_xlfn.LET(_xlpm.search_key,$W299&amp;$Y299,_xlpm.Scenario,_xlfn.VSTACK($W$20:$W$55&amp;$Y$20:$Y$55,$W$76:$W$110&amp;$Y$76:$Y$110),_xlpm.Data,_xlfn.VSTACK(CP$20:CQ$55,CP$76:CQ$110),IF(OR($Y299="",ISNUMBER(SEARCH("please",$Y299))),"",_xlfn.XLOOKUP(_xlpm.search_key,_xlpm.Scenario,_xlpm.Data,"▧")))</f>
        <v/>
      </c>
      <c r="CQ299" s="2154"/>
      <c r="CR299" s="34"/>
      <c r="CS299" s="2056"/>
    </row>
    <row r="300" spans="1:97" ht="21" customHeight="1">
      <c r="A300" s="1627"/>
      <c r="B300" s="2331"/>
      <c r="C300" s="2084"/>
      <c r="D300" s="1549"/>
      <c r="E300" s="1902"/>
      <c r="F300" s="401"/>
      <c r="G300" s="401"/>
      <c r="H300" s="585"/>
      <c r="I300" s="585"/>
      <c r="J300" s="401"/>
      <c r="K300" s="401"/>
      <c r="N300" s="158"/>
      <c r="O300" s="101"/>
      <c r="P300" s="52"/>
      <c r="Q300" s="101"/>
      <c r="R300" s="101"/>
      <c r="S300" s="101"/>
      <c r="T300" s="101"/>
      <c r="U300" s="39"/>
      <c r="V300" s="37"/>
      <c r="W300" s="2329"/>
      <c r="X300" s="2081"/>
      <c r="Y300" s="2367"/>
      <c r="Z300" s="198"/>
      <c r="AA300" s="2136"/>
      <c r="AB300" s="1134"/>
      <c r="AC300" s="125"/>
      <c r="AD300" s="2152" t="str" cm="1">
        <f t="array" ca="1" aca="1" ref="AD300">_xlfn.LET(_xlpm.search_key,$W300&amp;$Y300,_xlpm.Scenario,_xlfn.VSTACK($W$20:$W$55&amp;$Y$20:$Y$55,$W$76:$W$110&amp;$Y$76:$Y$110),_xlpm.Data,_xlfn.VSTACK($AD$20:$BN$55,$AD$76:$BN$110),IF(OR($Y300="",ISNUMBER(SEARCH("please",$Y300))),"",_xlfn.XLOOKUP(_xlpm.search_key,_xlpm.Scenario,_xlpm.Data,"▧",2)))</f>
        <v/>
      </c>
      <c r="AE300" s="2152"/>
      <c r="AF300" s="2152"/>
      <c r="AG300" s="2152"/>
      <c r="AH300" s="2152"/>
      <c r="AI300" s="2152"/>
      <c r="AJ300" s="2152"/>
      <c r="AK300" s="2152"/>
      <c r="AL300" s="2152"/>
      <c r="AM300" s="2152"/>
      <c r="AN300" s="2152"/>
      <c r="AO300" s="2152"/>
      <c r="AP300" s="2152"/>
      <c r="AQ300" s="2152"/>
      <c r="AR300" s="2152"/>
      <c r="AS300" s="2152"/>
      <c r="AT300" s="2152"/>
      <c r="AU300" s="2152"/>
      <c r="AV300" s="2152"/>
      <c r="AW300" s="2152"/>
      <c r="AX300" s="2152"/>
      <c r="AY300" s="2152"/>
      <c r="AZ300" s="2152"/>
      <c r="BA300" s="2152"/>
      <c r="BB300" s="2152"/>
      <c r="BC300" s="2152"/>
      <c r="BD300" s="2152"/>
      <c r="BE300" s="2152"/>
      <c r="BF300" s="2152"/>
      <c r="BG300" s="2152"/>
      <c r="BH300" s="2152"/>
      <c r="BI300" s="2152"/>
      <c r="BJ300" s="2152"/>
      <c r="BK300" s="2152"/>
      <c r="BL300" s="2152"/>
      <c r="BM300" s="2152"/>
      <c r="BN300" s="2152"/>
      <c r="BO300" s="2153"/>
      <c r="BP300" s="2153"/>
      <c r="BQ300" s="2153"/>
      <c r="BR300" s="2153"/>
      <c r="BS300" s="2153"/>
      <c r="BT300" s="2153"/>
      <c r="BU300" s="2153"/>
      <c r="BV300" s="2153"/>
      <c r="BW300" s="2153"/>
      <c r="BX300" s="2153"/>
      <c r="BY300" s="2153"/>
      <c r="BZ300" s="2153"/>
      <c r="CA300" s="34"/>
      <c r="CC300" s="58"/>
      <c r="CD300" s="2154" t="str" cm="1">
        <f t="array" ca="1" aca="1" ref="CD300">_xlfn.LET(_xlpm.search_key,$W300&amp;$Y300,_xlpm.Scenario,_xlfn.VSTACK($W$20:$W$55&amp;$Y$20:$Y$55,$W$76:$W$110&amp;$Y$76:$Y$110),_xlpm.Data,_xlfn.VSTACK(CD$20:CE$55,CD$76:CE$110),IF(OR($Y300="",ISNUMBER(SEARCH("please",$Y300))),"",_xlfn.XLOOKUP(_xlpm.search_key,_xlpm.Scenario,_xlpm.Data,"▧")))</f>
        <v/>
      </c>
      <c r="CE300" s="2154"/>
      <c r="CF300" s="88"/>
      <c r="CG300" s="2154" t="str" cm="1">
        <f t="array" ca="1" aca="1" ref="CG300">_xlfn.LET(_xlpm.search_key,$W300&amp;$Y300,_xlpm.Scenario,_xlfn.VSTACK($W$20:$W$55&amp;$Y$20:$Y$55,$W$76:$W$110&amp;$Y$76:$Y$110),_xlpm.Data,_xlfn.VSTACK(CG$20:CH$55,CG$76:CH$110),IF(OR($Y300="",ISNUMBER(SEARCH("please",$Y300))),"",_xlfn.XLOOKUP(_xlpm.search_key,_xlpm.Scenario,_xlpm.Data,"▧")))</f>
        <v/>
      </c>
      <c r="CH300" s="2154"/>
      <c r="CI300" s="88"/>
      <c r="CJ300" s="2154" t="str" cm="1">
        <f t="array" ref="CJ300">_xlfn.LET(_xlpm.search_key,$W300&amp;$Y300,_xlpm.Scenario,_xlfn.VSTACK($W$20:$W$55&amp;$Y$20:$Y$55,$W$76:$W$110&amp;$Y$76:$Y$110),_xlpm.Data,_xlfn.VSTACK(CJ$20:CK$55,CJ$76:CK$110),IF(OR($Y300="",ISNUMBER(SEARCH("please",$Y300))),"",_xlfn.XLOOKUP(_xlpm.search_key,_xlpm.Scenario,_xlpm.Data,"▧")))</f>
        <v/>
      </c>
      <c r="CK300" s="2154"/>
      <c r="CL300" s="88"/>
      <c r="CM300" s="2154" t="str" cm="1">
        <f t="array" ca="1" aca="1" ref="CM300">_xlfn.LET(_xlpm.search_key,$W300&amp;$Y300,_xlpm.Scenario,_xlfn.VSTACK($W$20:$W$55&amp;$Y$20:$Y$55,$W$76:$W$110&amp;$Y$76:$Y$110),_xlpm.Data,_xlfn.VSTACK(CM$20:CN$55,CM$76:CN$110),IF(OR($Y300="",ISNUMBER(SEARCH("please",$Y300))),"",_xlfn.XLOOKUP(_xlpm.search_key,_xlpm.Scenario,_xlpm.Data,"▧")))</f>
        <v/>
      </c>
      <c r="CN300" s="2154"/>
      <c r="CO300" s="88"/>
      <c r="CP300" s="2154" t="str" cm="1">
        <f t="array" ca="1" aca="1" ref="CP300">_xlfn.LET(_xlpm.search_key,$W300&amp;$Y300,_xlpm.Scenario,_xlfn.VSTACK($W$20:$W$55&amp;$Y$20:$Y$55,$W$76:$W$110&amp;$Y$76:$Y$110),_xlpm.Data,_xlfn.VSTACK(CP$20:CQ$55,CP$76:CQ$110),IF(OR($Y300="",ISNUMBER(SEARCH("please",$Y300))),"",_xlfn.XLOOKUP(_xlpm.search_key,_xlpm.Scenario,_xlpm.Data,"▧")))</f>
        <v/>
      </c>
      <c r="CQ300" s="2154"/>
      <c r="CR300" s="34"/>
      <c r="CS300" s="2056"/>
    </row>
    <row r="301" spans="1:97" ht="21" customHeight="1">
      <c r="A301" s="1627"/>
      <c r="B301" s="2331" t="s">
        <v>211</v>
      </c>
      <c r="C301" s="577" t="e" cm="1">
        <f t="array" ca="1" aca="1" ref="C301">IFBLANK(_xldudf_CX_GET(CX_ENTITY,B301,val_asOfDate),D301)</f>
        <v>#NAME?</v>
      </c>
      <c r="D301" s="1549" t="s">
        <v>1851</v>
      </c>
      <c r="E301" s="2135"/>
      <c r="F301" s="401"/>
      <c r="G301" s="401"/>
      <c r="H301" s="585"/>
      <c r="I301" s="585"/>
      <c r="J301" s="401"/>
      <c r="K301" s="401" t="s">
        <v>561</v>
      </c>
      <c r="N301" s="158"/>
      <c r="O301" s="101"/>
      <c r="P301" s="52"/>
      <c r="Q301" s="101"/>
      <c r="R301" s="101"/>
      <c r="S301" s="101"/>
      <c r="T301" s="101"/>
      <c r="U301" s="39"/>
      <c r="V301" s="37"/>
      <c r="W301" s="2330"/>
      <c r="X301" s="2325"/>
      <c r="Y301" s="2326"/>
      <c r="Z301" s="2322"/>
      <c r="AA301" s="2323"/>
      <c r="AB301" s="1134"/>
      <c r="AC301" s="125"/>
      <c r="AD301" s="2152">
        <f ca="1">SUMPRODUCT($X295:$X300,AD295:AD300)</f>
        <v>0</v>
      </c>
      <c r="AE301" s="2152">
        <f t="shared" si="106" ref="AE301:BN301">SUMPRODUCT($X295:$X300,AE295:AE300)</f>
        <v>0</v>
      </c>
      <c r="AF301" s="2152">
        <f t="shared" si="106"/>
        <v>0</v>
      </c>
      <c r="AG301" s="2152">
        <f t="shared" si="106"/>
        <v>0</v>
      </c>
      <c r="AH301" s="2152">
        <f t="shared" si="106"/>
        <v>0</v>
      </c>
      <c r="AI301" s="2152">
        <f t="shared" si="106"/>
        <v>0</v>
      </c>
      <c r="AJ301" s="2152">
        <f t="shared" si="106"/>
        <v>0</v>
      </c>
      <c r="AK301" s="2152">
        <f t="shared" si="106"/>
        <v>0</v>
      </c>
      <c r="AL301" s="2152">
        <f t="shared" si="106"/>
        <v>0</v>
      </c>
      <c r="AM301" s="2152">
        <f t="shared" si="106"/>
        <v>0</v>
      </c>
      <c r="AN301" s="2152">
        <f t="shared" si="106"/>
        <v>0</v>
      </c>
      <c r="AO301" s="2152">
        <f t="shared" si="106"/>
        <v>0</v>
      </c>
      <c r="AP301" s="2152">
        <f t="shared" si="106"/>
        <v>0</v>
      </c>
      <c r="AQ301" s="2152">
        <f t="shared" si="106"/>
        <v>0</v>
      </c>
      <c r="AR301" s="2152">
        <f t="shared" si="106"/>
        <v>0</v>
      </c>
      <c r="AS301" s="2152">
        <f t="shared" si="106"/>
        <v>0</v>
      </c>
      <c r="AT301" s="2152">
        <f t="shared" si="106"/>
        <v>0</v>
      </c>
      <c r="AU301" s="2152">
        <f t="shared" si="106"/>
        <v>0</v>
      </c>
      <c r="AV301" s="2152">
        <f t="shared" si="106"/>
        <v>0</v>
      </c>
      <c r="AW301" s="2152">
        <f t="shared" si="106"/>
        <v>0</v>
      </c>
      <c r="AX301" s="2152">
        <f t="shared" si="106"/>
        <v>0</v>
      </c>
      <c r="AY301" s="2152">
        <f t="shared" si="106"/>
        <v>0</v>
      </c>
      <c r="AZ301" s="2152">
        <f t="shared" si="106"/>
        <v>0</v>
      </c>
      <c r="BA301" s="2152">
        <f t="shared" si="106"/>
        <v>0</v>
      </c>
      <c r="BB301" s="2152">
        <f t="shared" si="106"/>
        <v>0</v>
      </c>
      <c r="BC301" s="2152">
        <f t="shared" si="106"/>
        <v>0</v>
      </c>
      <c r="BD301" s="2152">
        <f t="shared" si="106"/>
        <v>0</v>
      </c>
      <c r="BE301" s="2152">
        <f t="shared" si="106"/>
        <v>0</v>
      </c>
      <c r="BF301" s="2152">
        <f t="shared" si="106"/>
        <v>0</v>
      </c>
      <c r="BG301" s="2152">
        <f t="shared" si="106"/>
        <v>0</v>
      </c>
      <c r="BH301" s="2152">
        <f t="shared" si="106"/>
        <v>0</v>
      </c>
      <c r="BI301" s="2152">
        <f t="shared" si="106"/>
        <v>0</v>
      </c>
      <c r="BJ301" s="2152">
        <f t="shared" si="106"/>
        <v>0</v>
      </c>
      <c r="BK301" s="2152">
        <f t="shared" si="106"/>
        <v>0</v>
      </c>
      <c r="BL301" s="2152">
        <f t="shared" si="106"/>
        <v>0</v>
      </c>
      <c r="BM301" s="2152">
        <f t="shared" si="106"/>
        <v>0</v>
      </c>
      <c r="BN301" s="2152">
        <f t="shared" si="106"/>
        <v>0</v>
      </c>
      <c r="BO301" s="2153"/>
      <c r="BP301" s="2153"/>
      <c r="BQ301" s="2153"/>
      <c r="BR301" s="2153"/>
      <c r="BS301" s="2153"/>
      <c r="BT301" s="2153"/>
      <c r="BU301" s="2153"/>
      <c r="BV301" s="2153"/>
      <c r="BW301" s="2153"/>
      <c r="BX301" s="2153"/>
      <c r="BY301" s="2153"/>
      <c r="BZ301" s="2153"/>
      <c r="CA301" s="34"/>
      <c r="CC301" s="58"/>
      <c r="CD301" s="2152">
        <f ca="1">SUMPRODUCT($X295:$X300,CD295:CD300)</f>
        <v>0</v>
      </c>
      <c r="CE301" s="2152">
        <f t="shared" si="107" ref="CE301">SUMPRODUCT($X295:$X298,CE295:CE298)</f>
        <v>0</v>
      </c>
      <c r="CF301" s="88"/>
      <c r="CG301" s="2152">
        <f ca="1">SUMPRODUCT($X295:$X300,CG295:CG300)</f>
        <v>0</v>
      </c>
      <c r="CH301" s="2152">
        <f t="shared" si="108" ref="CH301">SUMPRODUCT($X295:$X298,CH295:CH298)</f>
        <v>0</v>
      </c>
      <c r="CI301" s="88"/>
      <c r="CJ301" s="2152">
        <f>SUMPRODUCT($X295:$X300,CJ295:CJ300)</f>
        <v>0</v>
      </c>
      <c r="CK301" s="2152">
        <f t="shared" si="109" ref="CK301">SUMPRODUCT($X295:$X298,CK295:CK298)</f>
        <v>0</v>
      </c>
      <c r="CL301" s="88"/>
      <c r="CM301" s="2152">
        <f ca="1">SUMPRODUCT($X295:$X300,CM295:CM300)</f>
        <v>0</v>
      </c>
      <c r="CN301" s="2152">
        <f t="shared" si="110" ref="CN301">SUMPRODUCT($X295:$X298,CN295:CN298)</f>
        <v>0</v>
      </c>
      <c r="CO301" s="88"/>
      <c r="CP301" s="2152">
        <f ca="1">SUMPRODUCT($X295:$X300,CP295:CP300)</f>
        <v>0</v>
      </c>
      <c r="CQ301" s="2152">
        <f t="shared" si="111" ref="CQ301">SUMPRODUCT($X295:$X298,CQ295:CQ298)</f>
        <v>0</v>
      </c>
      <c r="CR301" s="34"/>
      <c r="CS301" s="2056"/>
    </row>
    <row r="302" spans="1:144" s="108" customFormat="1" ht="21" customHeight="1">
      <c r="A302" s="1628"/>
      <c r="B302" s="2084"/>
      <c r="C302" s="2084"/>
      <c r="D302" s="1549"/>
      <c r="E302" s="2135"/>
      <c r="F302" s="401"/>
      <c r="G302" s="401"/>
      <c r="H302" s="585"/>
      <c r="I302" s="585"/>
      <c r="J302" s="401"/>
      <c r="K302" s="401"/>
      <c r="N302" s="2134"/>
      <c r="O302" s="101"/>
      <c r="P302" s="101"/>
      <c r="Q302" s="101"/>
      <c r="R302" s="101"/>
      <c r="S302" s="101"/>
      <c r="T302" s="101"/>
      <c r="U302" s="101"/>
      <c r="V302" s="822"/>
      <c r="W302" s="2332"/>
      <c r="X302" s="2333"/>
      <c r="Y302" s="2334"/>
      <c r="Z302" s="2316"/>
      <c r="AA302" s="2316"/>
      <c r="AB302" s="88"/>
      <c r="AC302" s="128"/>
      <c r="AD302" s="2317"/>
      <c r="AE302" s="2317"/>
      <c r="AF302" s="2317"/>
      <c r="AG302" s="2317"/>
      <c r="AH302" s="2317"/>
      <c r="AI302" s="2317"/>
      <c r="AJ302" s="2317"/>
      <c r="AK302" s="2317"/>
      <c r="AL302" s="2317"/>
      <c r="AM302" s="2317"/>
      <c r="AN302" s="2317"/>
      <c r="AO302" s="2317"/>
      <c r="AP302" s="2317"/>
      <c r="AQ302" s="2317"/>
      <c r="AR302" s="2317"/>
      <c r="AS302" s="2317"/>
      <c r="AT302" s="2317"/>
      <c r="AU302" s="2317"/>
      <c r="AV302" s="2317"/>
      <c r="AW302" s="2317"/>
      <c r="AX302" s="2317"/>
      <c r="AY302" s="2317"/>
      <c r="AZ302" s="2317"/>
      <c r="BA302" s="2317"/>
      <c r="BB302" s="2317"/>
      <c r="BC302" s="2317"/>
      <c r="BD302" s="2317"/>
      <c r="BE302" s="2317"/>
      <c r="BF302" s="2317"/>
      <c r="BG302" s="2317"/>
      <c r="BH302" s="2317"/>
      <c r="BI302" s="2317"/>
      <c r="BJ302" s="2317"/>
      <c r="BK302" s="2317"/>
      <c r="BL302" s="2317"/>
      <c r="BM302" s="2317"/>
      <c r="BN302" s="2317"/>
      <c r="BO302" s="2318"/>
      <c r="BP302" s="2318"/>
      <c r="BQ302" s="2318"/>
      <c r="BR302" s="2318"/>
      <c r="BS302" s="2318"/>
      <c r="BT302" s="2318"/>
      <c r="BU302" s="2318"/>
      <c r="BV302" s="2318"/>
      <c r="BW302" s="2318"/>
      <c r="BX302" s="2318"/>
      <c r="BY302" s="2318"/>
      <c r="BZ302" s="2318"/>
      <c r="CA302" s="88"/>
      <c r="CC302" s="383"/>
      <c r="CD302" s="2319"/>
      <c r="CE302" s="2319"/>
      <c r="CF302" s="88"/>
      <c r="CG302" s="2319"/>
      <c r="CH302" s="2319"/>
      <c r="CI302" s="88"/>
      <c r="CJ302" s="2319"/>
      <c r="CK302" s="2319"/>
      <c r="CL302" s="88"/>
      <c r="CM302" s="2320"/>
      <c r="CN302" s="2320"/>
      <c r="CO302" s="88"/>
      <c r="CP302" s="2320"/>
      <c r="CQ302" s="2320"/>
      <c r="CR302" s="88"/>
      <c r="CS302" s="2321"/>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row>
    <row r="303" spans="1:97" ht="21" customHeight="1" outlineLevel="1">
      <c r="A303" s="1627"/>
      <c r="B303" s="2084"/>
      <c r="C303" s="2084"/>
      <c r="D303" s="1549"/>
      <c r="E303" s="2135"/>
      <c r="F303" s="401"/>
      <c r="G303" s="401"/>
      <c r="H303" s="585"/>
      <c r="I303" s="585"/>
      <c r="J303" s="401"/>
      <c r="K303" s="401"/>
      <c r="N303" s="158"/>
      <c r="O303" s="101"/>
      <c r="P303" s="52"/>
      <c r="Q303" s="101"/>
      <c r="R303" s="101"/>
      <c r="S303" s="18"/>
      <c r="T303" s="18"/>
      <c r="U303" s="39"/>
      <c r="V303" s="37"/>
      <c r="W303" s="2328" t="e" cm="1">
        <f t="array" ca="1" aca="1" ref="W303">UNPACK(C310)</f>
        <v>#NAME?</v>
      </c>
      <c r="X303" s="2137"/>
      <c r="Y303" s="2327"/>
      <c r="Z303" s="2139"/>
      <c r="AA303" s="2140"/>
      <c r="AB303" s="2141" t="s">
        <v>199</v>
      </c>
      <c r="AC303" s="2138"/>
      <c r="AD303" s="2138"/>
      <c r="AE303" s="2138"/>
      <c r="AF303" s="2138"/>
      <c r="AG303" s="2138"/>
      <c r="AH303" s="2138"/>
      <c r="AI303" s="2138"/>
      <c r="AJ303" s="2138"/>
      <c r="AK303" s="2138"/>
      <c r="AL303" s="2138"/>
      <c r="AM303" s="2138"/>
      <c r="AN303" s="2138"/>
      <c r="AO303" s="2138"/>
      <c r="AP303" s="2138"/>
      <c r="AQ303" s="2138"/>
      <c r="AR303" s="2138"/>
      <c r="AS303" s="2138"/>
      <c r="AT303" s="2138"/>
      <c r="AU303" s="2138"/>
      <c r="AV303" s="2138"/>
      <c r="AW303" s="2138"/>
      <c r="AX303" s="2138"/>
      <c r="AY303" s="2138"/>
      <c r="AZ303" s="2138"/>
      <c r="BA303" s="2138"/>
      <c r="BB303" s="2138"/>
      <c r="BC303" s="2138"/>
      <c r="BD303" s="2138"/>
      <c r="BE303" s="2138"/>
      <c r="BF303" s="2138"/>
      <c r="BG303" s="2138"/>
      <c r="BH303" s="2138"/>
      <c r="BI303" s="2138"/>
      <c r="BJ303" s="2138"/>
      <c r="BK303" s="2138"/>
      <c r="BL303" s="2138"/>
      <c r="BM303" s="2138"/>
      <c r="BN303" s="2138"/>
      <c r="BO303" s="1634"/>
      <c r="BP303" s="1634"/>
      <c r="BQ303" s="1634"/>
      <c r="BR303" s="1634"/>
      <c r="BS303" s="1634"/>
      <c r="BT303" s="1634"/>
      <c r="BU303" s="1634"/>
      <c r="BV303" s="1634"/>
      <c r="BW303" s="1634"/>
      <c r="BX303" s="1634"/>
      <c r="BY303" s="1634"/>
      <c r="BZ303" s="1634"/>
      <c r="CA303" s="34"/>
      <c r="CC303" s="58"/>
      <c r="CD303" s="1720">
        <f>($W298)</f>
        <v>0</v>
      </c>
      <c r="CE303" s="1721">
        <f>($W298)</f>
        <v>0</v>
      </c>
      <c r="CF303" s="128"/>
      <c r="CG303" s="1734">
        <f>($W298)</f>
        <v>0</v>
      </c>
      <c r="CH303" s="1735">
        <f>($W298)</f>
        <v>0</v>
      </c>
      <c r="CI303" s="207"/>
      <c r="CJ303" s="1724">
        <f>($W298)</f>
        <v>0</v>
      </c>
      <c r="CK303" s="1725">
        <f>($W298)</f>
        <v>0</v>
      </c>
      <c r="CL303" s="88"/>
      <c r="CM303" s="1198" t="str">
        <f>CM$19</f>
        <v>Original Budget</v>
      </c>
      <c r="CN303" s="1198" t="str">
        <f>CN$19</f>
        <v>LE</v>
      </c>
      <c r="CO303" s="88"/>
      <c r="CP303" s="1819" t="str">
        <f>$CP$19</f>
        <v>Original Budget</v>
      </c>
      <c r="CQ303" s="1819" t="str">
        <f>$CQ$19</f>
        <v>LE</v>
      </c>
      <c r="CR303" s="34"/>
      <c r="CS303" s="2056"/>
    </row>
    <row r="304" spans="1:97" ht="21" customHeight="1">
      <c r="A304" s="1627"/>
      <c r="B304" s="2331"/>
      <c r="C304" s="2084"/>
      <c r="D304" s="1549"/>
      <c r="E304" s="1902" cm="1">
        <f t="array" ca="1" aca="1" ref="E304:G30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304:$CQ304,Z304)</f>
        <v>0</v>
      </c>
      <c r="F304" s="401">
        <f ca="1"/>
        <v>0</v>
      </c>
      <c r="G304" s="401" t="str">
        <f ca="1"/>
        <v>A</v>
      </c>
      <c r="H304" s="585">
        <v>0</v>
      </c>
      <c r="I304" s="3290">
        <v>1</v>
      </c>
      <c r="J304" s="401"/>
      <c r="K304" s="401" t="str">
        <f t="shared" si="112" ref="K304:K305">IFERROR(IF(LEN(AB304)=0,"No",IF(LEN(J304)&gt;0,"Yes","No")),"")</f>
        <v>No</v>
      </c>
      <c r="N304" s="158"/>
      <c r="O304" s="101"/>
      <c r="P304" s="52"/>
      <c r="Q304" s="101"/>
      <c r="R304" s="101"/>
      <c r="S304" s="101"/>
      <c r="T304" s="2324"/>
      <c r="U304" s="39"/>
      <c r="V304" s="37"/>
      <c r="W304" s="2329"/>
      <c r="X304" s="2081"/>
      <c r="Y304" s="2366"/>
      <c r="Z304" s="198"/>
      <c r="AA304" s="2136"/>
      <c r="AB304" s="1134"/>
      <c r="AC304" s="125"/>
      <c r="AD304" s="2152" t="str" cm="1">
        <f t="array" ca="1" aca="1" ref="AD304">_xlfn.LET(_xlpm.search_key,$W304&amp;$Y304,_xlpm.Scenario,_xlfn.VSTACK($W$20:$W$55&amp;$Y$20:$Y$55,$W$76:$W$110&amp;$Y$76:$Y$110),_xlpm.Data,_xlfn.VSTACK($AD$20:$BN$55,$AD$76:$BN$110),IF(OR($Y304="",ISNUMBER(SEARCH("please",$Y304))),"",_xlfn.XLOOKUP(_xlpm.search_key,_xlpm.Scenario,_xlpm.Data,"▧",2)))</f>
        <v/>
      </c>
      <c r="AE304" s="2152"/>
      <c r="AF304" s="2152"/>
      <c r="AG304" s="2152"/>
      <c r="AH304" s="2152"/>
      <c r="AI304" s="2152"/>
      <c r="AJ304" s="2152"/>
      <c r="AK304" s="2152"/>
      <c r="AL304" s="2152"/>
      <c r="AM304" s="2152"/>
      <c r="AN304" s="2152"/>
      <c r="AO304" s="2152"/>
      <c r="AP304" s="2152"/>
      <c r="AQ304" s="2152"/>
      <c r="AR304" s="2152"/>
      <c r="AS304" s="2152"/>
      <c r="AT304" s="2152"/>
      <c r="AU304" s="2152"/>
      <c r="AV304" s="2152"/>
      <c r="AW304" s="2152"/>
      <c r="AX304" s="2152"/>
      <c r="AY304" s="2152"/>
      <c r="AZ304" s="2152"/>
      <c r="BA304" s="2152"/>
      <c r="BB304" s="2152"/>
      <c r="BC304" s="2152"/>
      <c r="BD304" s="2152"/>
      <c r="BE304" s="2152"/>
      <c r="BF304" s="2152"/>
      <c r="BG304" s="2152"/>
      <c r="BH304" s="2152"/>
      <c r="BI304" s="2152"/>
      <c r="BJ304" s="2152"/>
      <c r="BK304" s="2152"/>
      <c r="BL304" s="2152"/>
      <c r="BM304" s="2152"/>
      <c r="BN304" s="2152"/>
      <c r="BO304" s="2153"/>
      <c r="BP304" s="2153"/>
      <c r="BQ304" s="2153"/>
      <c r="BR304" s="2153"/>
      <c r="BS304" s="2153"/>
      <c r="BT304" s="2153"/>
      <c r="BU304" s="2153"/>
      <c r="BV304" s="2153"/>
      <c r="BW304" s="2153"/>
      <c r="BX304" s="2153"/>
      <c r="BY304" s="2153"/>
      <c r="BZ304" s="2153"/>
      <c r="CA304" s="34"/>
      <c r="CC304" s="58"/>
      <c r="CD304" s="2154" t="str" cm="1">
        <f t="array" ca="1" aca="1" ref="CD304">_xlfn.LET(_xlpm.search_key,$W304&amp;$Y304,_xlpm.Scenario,_xlfn.VSTACK($W$20:$W$55&amp;$Y$20:$Y$55,$W$76:$W$110&amp;$Y$76:$Y$110),_xlpm.Data,_xlfn.VSTACK(CD$20:CE$55,CD$76:CE$110),IF(OR($Y304="",ISNUMBER(SEARCH("please",$Y304))),"",_xlfn.XLOOKUP(_xlpm.search_key,_xlpm.Scenario,_xlpm.Data,"▧")))</f>
        <v/>
      </c>
      <c r="CE304" s="2154"/>
      <c r="CF304" s="88"/>
      <c r="CG304" s="2154" t="str" cm="1">
        <f t="array" ca="1" aca="1" ref="CG304">_xlfn.LET(_xlpm.search_key,$W304&amp;$Y304,_xlpm.Scenario,_xlfn.VSTACK($W$20:$W$55&amp;$Y$20:$Y$55,$W$76:$W$110&amp;$Y$76:$Y$110),_xlpm.Data,_xlfn.VSTACK(CG$20:CH$55,CG$76:CH$110),IF(OR($Y304="",ISNUMBER(SEARCH("please",$Y304))),"",_xlfn.XLOOKUP(_xlpm.search_key,_xlpm.Scenario,_xlpm.Data,"▧")))</f>
        <v/>
      </c>
      <c r="CH304" s="2154"/>
      <c r="CI304" s="88"/>
      <c r="CJ304" s="2154" t="str" cm="1">
        <f t="array" ref="CJ304">_xlfn.LET(_xlpm.search_key,$W304&amp;$Y304,_xlpm.Scenario,_xlfn.VSTACK($W$20:$W$55&amp;$Y$20:$Y$55,$W$76:$W$110&amp;$Y$76:$Y$110),_xlpm.Data,_xlfn.VSTACK(CJ$20:CK$55,CJ$76:CK$110),IF(OR($Y304="",ISNUMBER(SEARCH("please",$Y304))),"",_xlfn.XLOOKUP(_xlpm.search_key,_xlpm.Scenario,_xlpm.Data,"▧")))</f>
        <v/>
      </c>
      <c r="CK304" s="2154"/>
      <c r="CL304" s="88"/>
      <c r="CM304" s="2154" t="str" cm="1">
        <f t="array" ca="1" aca="1" ref="CM304">_xlfn.LET(_xlpm.search_key,$W304&amp;$Y304,_xlpm.Scenario,_xlfn.VSTACK($W$20:$W$55&amp;$Y$20:$Y$55,$W$76:$W$110&amp;$Y$76:$Y$110),_xlpm.Data,_xlfn.VSTACK(CM$20:CN$55,CM$76:CN$110),IF(OR($Y304="",ISNUMBER(SEARCH("please",$Y304))),"",_xlfn.XLOOKUP(_xlpm.search_key,_xlpm.Scenario,_xlpm.Data,"▧")))</f>
        <v/>
      </c>
      <c r="CN304" s="2154"/>
      <c r="CO304" s="88"/>
      <c r="CP304" s="2154" t="str" cm="1">
        <f t="array" ca="1" aca="1" ref="CP304">_xlfn.LET(_xlpm.search_key,$W304&amp;$Y304,_xlpm.Scenario,_xlfn.VSTACK($W$20:$W$55&amp;$Y$20:$Y$55,$W$76:$W$110&amp;$Y$76:$Y$110),_xlpm.Data,_xlfn.VSTACK(CP$20:CQ$55,CP$76:CQ$110),IF(OR($Y304="",ISNUMBER(SEARCH("please",$Y304))),"",_xlfn.XLOOKUP(_xlpm.search_key,_xlpm.Scenario,_xlpm.Data,"▧")))</f>
        <v/>
      </c>
      <c r="CQ304" s="2154"/>
      <c r="CR304" s="34"/>
      <c r="CS304" s="2056"/>
    </row>
    <row r="305" spans="1:97" ht="21" customHeight="1">
      <c r="A305" s="1627"/>
      <c r="B305" s="2331"/>
      <c r="C305" s="2084"/>
      <c r="D305" s="1549"/>
      <c r="E305" s="1902" cm="1">
        <f t="array" ca="1" aca="1" ref="E305:G30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305:$CQ305,Z305)</f>
        <v>0</v>
      </c>
      <c r="F305" s="401">
        <f ca="1"/>
        <v>0</v>
      </c>
      <c r="G305" s="401" t="str">
        <f ca="1"/>
        <v>A</v>
      </c>
      <c r="H305" s="585">
        <v>0</v>
      </c>
      <c r="I305" s="3290">
        <v>1</v>
      </c>
      <c r="J305" s="401"/>
      <c r="K305" s="401" t="str">
        <f t="shared" si="112"/>
        <v>No</v>
      </c>
      <c r="N305" s="158"/>
      <c r="O305" s="101"/>
      <c r="P305" s="52"/>
      <c r="Q305" s="101"/>
      <c r="R305" s="101"/>
      <c r="S305" s="101"/>
      <c r="T305" s="101"/>
      <c r="U305" s="39"/>
      <c r="V305" s="37"/>
      <c r="W305" s="2329"/>
      <c r="X305" s="2081"/>
      <c r="Y305" s="2367"/>
      <c r="Z305" s="198"/>
      <c r="AA305" s="2136"/>
      <c r="AB305" s="1134"/>
      <c r="AC305" s="125"/>
      <c r="AD305" s="2152" t="str" cm="1">
        <f t="array" ca="1" aca="1" ref="AD305">_xlfn.LET(_xlpm.search_key,$W305&amp;$Y305,_xlpm.Scenario,_xlfn.VSTACK($W$20:$W$55&amp;$Y$20:$Y$55,$W$76:$W$110&amp;$Y$76:$Y$110),_xlpm.Data,_xlfn.VSTACK($AD$20:$BN$55,$AD$76:$BN$110),IF(OR($Y305="",ISNUMBER(SEARCH("please",$Y305))),"",_xlfn.XLOOKUP(_xlpm.search_key,_xlpm.Scenario,_xlpm.Data,"▧",2)))</f>
        <v/>
      </c>
      <c r="AE305" s="2152"/>
      <c r="AF305" s="2152"/>
      <c r="AG305" s="2152"/>
      <c r="AH305" s="2152"/>
      <c r="AI305" s="2152"/>
      <c r="AJ305" s="2152"/>
      <c r="AK305" s="2152"/>
      <c r="AL305" s="2152"/>
      <c r="AM305" s="2152"/>
      <c r="AN305" s="2152"/>
      <c r="AO305" s="2152"/>
      <c r="AP305" s="2152"/>
      <c r="AQ305" s="2152"/>
      <c r="AR305" s="2152"/>
      <c r="AS305" s="2152"/>
      <c r="AT305" s="2152"/>
      <c r="AU305" s="2152"/>
      <c r="AV305" s="2152"/>
      <c r="AW305" s="2152"/>
      <c r="AX305" s="2152"/>
      <c r="AY305" s="2152"/>
      <c r="AZ305" s="2152"/>
      <c r="BA305" s="2152"/>
      <c r="BB305" s="2152"/>
      <c r="BC305" s="2152"/>
      <c r="BD305" s="2152"/>
      <c r="BE305" s="2152"/>
      <c r="BF305" s="2152"/>
      <c r="BG305" s="2152"/>
      <c r="BH305" s="2152"/>
      <c r="BI305" s="2152"/>
      <c r="BJ305" s="2152"/>
      <c r="BK305" s="2152"/>
      <c r="BL305" s="2152"/>
      <c r="BM305" s="2152"/>
      <c r="BN305" s="2152"/>
      <c r="BO305" s="2153"/>
      <c r="BP305" s="2153"/>
      <c r="BQ305" s="2153"/>
      <c r="BR305" s="2153"/>
      <c r="BS305" s="2153"/>
      <c r="BT305" s="2153"/>
      <c r="BU305" s="2153"/>
      <c r="BV305" s="2153"/>
      <c r="BW305" s="2153"/>
      <c r="BX305" s="2153"/>
      <c r="BY305" s="2153"/>
      <c r="BZ305" s="2153"/>
      <c r="CA305" s="34"/>
      <c r="CC305" s="58"/>
      <c r="CD305" s="2154" t="str" cm="1">
        <f t="array" ca="1" aca="1" ref="CD305">_xlfn.LET(_xlpm.search_key,$W305&amp;$Y305,_xlpm.Scenario,_xlfn.VSTACK($W$20:$W$55&amp;$Y$20:$Y$55,$W$76:$W$110&amp;$Y$76:$Y$110),_xlpm.Data,_xlfn.VSTACK(CD$20:CE$55,CD$76:CE$110),IF(OR($Y305="",ISNUMBER(SEARCH("please",$Y305))),"",_xlfn.XLOOKUP(_xlpm.search_key,_xlpm.Scenario,_xlpm.Data,"▧")))</f>
        <v/>
      </c>
      <c r="CE305" s="2154"/>
      <c r="CF305" s="88"/>
      <c r="CG305" s="2154" t="str" cm="1">
        <f t="array" ca="1" aca="1" ref="CG305">_xlfn.LET(_xlpm.search_key,$W305&amp;$Y305,_xlpm.Scenario,_xlfn.VSTACK($W$20:$W$55&amp;$Y$20:$Y$55,$W$76:$W$110&amp;$Y$76:$Y$110),_xlpm.Data,_xlfn.VSTACK(CG$20:CH$55,CG$76:CH$110),IF(OR($Y305="",ISNUMBER(SEARCH("please",$Y305))),"",_xlfn.XLOOKUP(_xlpm.search_key,_xlpm.Scenario,_xlpm.Data,"▧")))</f>
        <v/>
      </c>
      <c r="CH305" s="2154"/>
      <c r="CI305" s="88"/>
      <c r="CJ305" s="2154" t="str" cm="1">
        <f t="array" ref="CJ305">_xlfn.LET(_xlpm.search_key,$W305&amp;$Y305,_xlpm.Scenario,_xlfn.VSTACK($W$20:$W$55&amp;$Y$20:$Y$55,$W$76:$W$110&amp;$Y$76:$Y$110),_xlpm.Data,_xlfn.VSTACK(CJ$20:CK$55,CJ$76:CK$110),IF(OR($Y305="",ISNUMBER(SEARCH("please",$Y305))),"",_xlfn.XLOOKUP(_xlpm.search_key,_xlpm.Scenario,_xlpm.Data,"▧")))</f>
        <v/>
      </c>
      <c r="CK305" s="2154"/>
      <c r="CL305" s="88"/>
      <c r="CM305" s="2154" t="str" cm="1">
        <f t="array" ca="1" aca="1" ref="CM305">_xlfn.LET(_xlpm.search_key,$W305&amp;$Y305,_xlpm.Scenario,_xlfn.VSTACK($W$20:$W$55&amp;$Y$20:$Y$55,$W$76:$W$110&amp;$Y$76:$Y$110),_xlpm.Data,_xlfn.VSTACK(CM$20:CN$55,CM$76:CN$110),IF(OR($Y305="",ISNUMBER(SEARCH("please",$Y305))),"",_xlfn.XLOOKUP(_xlpm.search_key,_xlpm.Scenario,_xlpm.Data,"▧")))</f>
        <v/>
      </c>
      <c r="CN305" s="2154"/>
      <c r="CO305" s="88"/>
      <c r="CP305" s="2154" t="str" cm="1">
        <f t="array" ca="1" aca="1" ref="CP305">_xlfn.LET(_xlpm.search_key,$W305&amp;$Y305,_xlpm.Scenario,_xlfn.VSTACK($W$20:$W$55&amp;$Y$20:$Y$55,$W$76:$W$110&amp;$Y$76:$Y$110),_xlpm.Data,_xlfn.VSTACK(CP$20:CQ$55,CP$76:CQ$110),IF(OR($Y305="",ISNUMBER(SEARCH("please",$Y305))),"",_xlfn.XLOOKUP(_xlpm.search_key,_xlpm.Scenario,_xlpm.Data,"▧")))</f>
        <v/>
      </c>
      <c r="CQ305" s="2154"/>
      <c r="CR305" s="34"/>
      <c r="CS305" s="2056"/>
    </row>
    <row r="306" spans="1:97" ht="21" customHeight="1">
      <c r="A306" s="1627"/>
      <c r="B306" s="2331"/>
      <c r="C306" s="2084"/>
      <c r="D306" s="1549"/>
      <c r="E306" s="1902"/>
      <c r="F306" s="401"/>
      <c r="G306" s="401"/>
      <c r="H306" s="585"/>
      <c r="I306" s="585"/>
      <c r="J306" s="401"/>
      <c r="K306" s="401"/>
      <c r="N306" s="158"/>
      <c r="O306" s="101"/>
      <c r="P306" s="52"/>
      <c r="Q306" s="101"/>
      <c r="R306" s="101"/>
      <c r="S306" s="101"/>
      <c r="T306" s="101"/>
      <c r="U306" s="39"/>
      <c r="V306" s="37"/>
      <c r="W306" s="2329"/>
      <c r="X306" s="2081"/>
      <c r="Y306" s="2367"/>
      <c r="Z306" s="198"/>
      <c r="AA306" s="2136"/>
      <c r="AB306" s="1134"/>
      <c r="AC306" s="125"/>
      <c r="AD306" s="2152" t="str" cm="1">
        <f t="array" ca="1" aca="1" ref="AD306">_xlfn.LET(_xlpm.search_key,$W306&amp;$Y306,_xlpm.Scenario,_xlfn.VSTACK($W$20:$W$55&amp;$Y$20:$Y$55,$W$76:$W$110&amp;$Y$76:$Y$110),_xlpm.Data,_xlfn.VSTACK($AD$20:$BN$55,$AD$76:$BN$110),IF(OR($Y306="",ISNUMBER(SEARCH("please",$Y306))),"",_xlfn.XLOOKUP(_xlpm.search_key,_xlpm.Scenario,_xlpm.Data,"▧",2)))</f>
        <v/>
      </c>
      <c r="AE306" s="2152"/>
      <c r="AF306" s="2152"/>
      <c r="AG306" s="2152"/>
      <c r="AH306" s="2152"/>
      <c r="AI306" s="2152"/>
      <c r="AJ306" s="2152"/>
      <c r="AK306" s="2152"/>
      <c r="AL306" s="2152"/>
      <c r="AM306" s="2152"/>
      <c r="AN306" s="2152"/>
      <c r="AO306" s="2152"/>
      <c r="AP306" s="2152"/>
      <c r="AQ306" s="2152"/>
      <c r="AR306" s="2152"/>
      <c r="AS306" s="2152"/>
      <c r="AT306" s="2152"/>
      <c r="AU306" s="2152"/>
      <c r="AV306" s="2152"/>
      <c r="AW306" s="2152"/>
      <c r="AX306" s="2152"/>
      <c r="AY306" s="2152"/>
      <c r="AZ306" s="2152"/>
      <c r="BA306" s="2152"/>
      <c r="BB306" s="2152"/>
      <c r="BC306" s="2152"/>
      <c r="BD306" s="2152"/>
      <c r="BE306" s="2152"/>
      <c r="BF306" s="2152"/>
      <c r="BG306" s="2152"/>
      <c r="BH306" s="2152"/>
      <c r="BI306" s="2152"/>
      <c r="BJ306" s="2152"/>
      <c r="BK306" s="2152"/>
      <c r="BL306" s="2152"/>
      <c r="BM306" s="2152"/>
      <c r="BN306" s="2152"/>
      <c r="BO306" s="2153"/>
      <c r="BP306" s="2153"/>
      <c r="BQ306" s="2153"/>
      <c r="BR306" s="2153"/>
      <c r="BS306" s="2153"/>
      <c r="BT306" s="2153"/>
      <c r="BU306" s="2153"/>
      <c r="BV306" s="2153"/>
      <c r="BW306" s="2153"/>
      <c r="BX306" s="2153"/>
      <c r="BY306" s="2153"/>
      <c r="BZ306" s="2153"/>
      <c r="CA306" s="34"/>
      <c r="CC306" s="58"/>
      <c r="CD306" s="2154" t="str" cm="1">
        <f t="array" ca="1" aca="1" ref="CD306">_xlfn.LET(_xlpm.search_key,$W306&amp;$Y306,_xlpm.Scenario,_xlfn.VSTACK($W$20:$W$55&amp;$Y$20:$Y$55,$W$76:$W$110&amp;$Y$76:$Y$110),_xlpm.Data,_xlfn.VSTACK(CD$20:CE$55,CD$76:CE$110),IF(OR($Y306="",ISNUMBER(SEARCH("please",$Y306))),"",_xlfn.XLOOKUP(_xlpm.search_key,_xlpm.Scenario,_xlpm.Data,"▧")))</f>
        <v/>
      </c>
      <c r="CE306" s="2154"/>
      <c r="CF306" s="88"/>
      <c r="CG306" s="2154" t="str" cm="1">
        <f t="array" ca="1" aca="1" ref="CG306">_xlfn.LET(_xlpm.search_key,$W306&amp;$Y306,_xlpm.Scenario,_xlfn.VSTACK($W$20:$W$55&amp;$Y$20:$Y$55,$W$76:$W$110&amp;$Y$76:$Y$110),_xlpm.Data,_xlfn.VSTACK(CG$20:CH$55,CG$76:CH$110),IF(OR($Y306="",ISNUMBER(SEARCH("please",$Y306))),"",_xlfn.XLOOKUP(_xlpm.search_key,_xlpm.Scenario,_xlpm.Data,"▧")))</f>
        <v/>
      </c>
      <c r="CH306" s="2154"/>
      <c r="CI306" s="88"/>
      <c r="CJ306" s="2154" t="str" cm="1">
        <f t="array" ref="CJ306">_xlfn.LET(_xlpm.search_key,$W306&amp;$Y306,_xlpm.Scenario,_xlfn.VSTACK($W$20:$W$55&amp;$Y$20:$Y$55,$W$76:$W$110&amp;$Y$76:$Y$110),_xlpm.Data,_xlfn.VSTACK(CJ$20:CK$55,CJ$76:CK$110),IF(OR($Y306="",ISNUMBER(SEARCH("please",$Y306))),"",_xlfn.XLOOKUP(_xlpm.search_key,_xlpm.Scenario,_xlpm.Data,"▧")))</f>
        <v/>
      </c>
      <c r="CK306" s="2154"/>
      <c r="CL306" s="88"/>
      <c r="CM306" s="2154" t="str" cm="1">
        <f t="array" ca="1" aca="1" ref="CM306">_xlfn.LET(_xlpm.search_key,$W306&amp;$Y306,_xlpm.Scenario,_xlfn.VSTACK($W$20:$W$55&amp;$Y$20:$Y$55,$W$76:$W$110&amp;$Y$76:$Y$110),_xlpm.Data,_xlfn.VSTACK(CM$20:CN$55,CM$76:CN$110),IF(OR($Y306="",ISNUMBER(SEARCH("please",$Y306))),"",_xlfn.XLOOKUP(_xlpm.search_key,_xlpm.Scenario,_xlpm.Data,"▧")))</f>
        <v/>
      </c>
      <c r="CN306" s="2154"/>
      <c r="CO306" s="88"/>
      <c r="CP306" s="2154" t="str" cm="1">
        <f t="array" ca="1" aca="1" ref="CP306">_xlfn.LET(_xlpm.search_key,$W306&amp;$Y306,_xlpm.Scenario,_xlfn.VSTACK($W$20:$W$55&amp;$Y$20:$Y$55,$W$76:$W$110&amp;$Y$76:$Y$110),_xlpm.Data,_xlfn.VSTACK(CP$20:CQ$55,CP$76:CQ$110),IF(OR($Y306="",ISNUMBER(SEARCH("please",$Y306))),"",_xlfn.XLOOKUP(_xlpm.search_key,_xlpm.Scenario,_xlpm.Data,"▧")))</f>
        <v/>
      </c>
      <c r="CQ306" s="2154"/>
      <c r="CR306" s="34"/>
      <c r="CS306" s="2056"/>
    </row>
    <row r="307" spans="1:97" ht="21" customHeight="1">
      <c r="A307" s="1627"/>
      <c r="B307" s="2331"/>
      <c r="C307" s="2084"/>
      <c r="D307" s="1549"/>
      <c r="E307" s="1902"/>
      <c r="F307" s="401"/>
      <c r="G307" s="401"/>
      <c r="H307" s="585"/>
      <c r="I307" s="585"/>
      <c r="J307" s="401"/>
      <c r="K307" s="401"/>
      <c r="N307" s="158"/>
      <c r="O307" s="101"/>
      <c r="P307" s="52"/>
      <c r="Q307" s="101"/>
      <c r="R307" s="101"/>
      <c r="S307" s="101"/>
      <c r="T307" s="101"/>
      <c r="U307" s="39"/>
      <c r="V307" s="37"/>
      <c r="W307" s="2329"/>
      <c r="X307" s="2081"/>
      <c r="Y307" s="2367"/>
      <c r="Z307" s="198"/>
      <c r="AA307" s="2136"/>
      <c r="AB307" s="1134"/>
      <c r="AC307" s="125"/>
      <c r="AD307" s="2152" t="str" cm="1">
        <f t="array" ca="1" aca="1" ref="AD307">_xlfn.LET(_xlpm.search_key,$W307&amp;$Y307,_xlpm.Scenario,_xlfn.VSTACK($W$20:$W$55&amp;$Y$20:$Y$55,$W$76:$W$110&amp;$Y$76:$Y$110),_xlpm.Data,_xlfn.VSTACK($AD$20:$BN$55,$AD$76:$BN$110),IF(OR($Y307="",ISNUMBER(SEARCH("please",$Y307))),"",_xlfn.XLOOKUP(_xlpm.search_key,_xlpm.Scenario,_xlpm.Data,"▧",2)))</f>
        <v/>
      </c>
      <c r="AE307" s="2152"/>
      <c r="AF307" s="2152"/>
      <c r="AG307" s="2152"/>
      <c r="AH307" s="2152"/>
      <c r="AI307" s="2152"/>
      <c r="AJ307" s="2152"/>
      <c r="AK307" s="2152"/>
      <c r="AL307" s="2152"/>
      <c r="AM307" s="2152"/>
      <c r="AN307" s="2152"/>
      <c r="AO307" s="2152"/>
      <c r="AP307" s="2152"/>
      <c r="AQ307" s="2152"/>
      <c r="AR307" s="2152"/>
      <c r="AS307" s="2152"/>
      <c r="AT307" s="2152"/>
      <c r="AU307" s="2152"/>
      <c r="AV307" s="2152"/>
      <c r="AW307" s="2152"/>
      <c r="AX307" s="2152"/>
      <c r="AY307" s="2152"/>
      <c r="AZ307" s="2152"/>
      <c r="BA307" s="2152"/>
      <c r="BB307" s="2152"/>
      <c r="BC307" s="2152"/>
      <c r="BD307" s="2152"/>
      <c r="BE307" s="2152"/>
      <c r="BF307" s="2152"/>
      <c r="BG307" s="2152"/>
      <c r="BH307" s="2152"/>
      <c r="BI307" s="2152"/>
      <c r="BJ307" s="2152"/>
      <c r="BK307" s="2152"/>
      <c r="BL307" s="2152"/>
      <c r="BM307" s="2152"/>
      <c r="BN307" s="2152"/>
      <c r="BO307" s="2153"/>
      <c r="BP307" s="2153"/>
      <c r="BQ307" s="2153"/>
      <c r="BR307" s="2153"/>
      <c r="BS307" s="2153"/>
      <c r="BT307" s="2153"/>
      <c r="BU307" s="2153"/>
      <c r="BV307" s="2153"/>
      <c r="BW307" s="2153"/>
      <c r="BX307" s="2153"/>
      <c r="BY307" s="2153"/>
      <c r="BZ307" s="2153"/>
      <c r="CA307" s="34"/>
      <c r="CC307" s="58"/>
      <c r="CD307" s="2154" t="str" cm="1">
        <f t="array" ca="1" aca="1" ref="CD307">_xlfn.LET(_xlpm.search_key,$W307&amp;$Y307,_xlpm.Scenario,_xlfn.VSTACK($W$20:$W$55&amp;$Y$20:$Y$55,$W$76:$W$110&amp;$Y$76:$Y$110),_xlpm.Data,_xlfn.VSTACK(CD$20:CE$55,CD$76:CE$110),IF(OR($Y307="",ISNUMBER(SEARCH("please",$Y307))),"",_xlfn.XLOOKUP(_xlpm.search_key,_xlpm.Scenario,_xlpm.Data,"▧")))</f>
        <v/>
      </c>
      <c r="CE307" s="2154"/>
      <c r="CF307" s="88"/>
      <c r="CG307" s="2154" t="str" cm="1">
        <f t="array" ca="1" aca="1" ref="CG307">_xlfn.LET(_xlpm.search_key,$W307&amp;$Y307,_xlpm.Scenario,_xlfn.VSTACK($W$20:$W$55&amp;$Y$20:$Y$55,$W$76:$W$110&amp;$Y$76:$Y$110),_xlpm.Data,_xlfn.VSTACK(CG$20:CH$55,CG$76:CH$110),IF(OR($Y307="",ISNUMBER(SEARCH("please",$Y307))),"",_xlfn.XLOOKUP(_xlpm.search_key,_xlpm.Scenario,_xlpm.Data,"▧")))</f>
        <v/>
      </c>
      <c r="CH307" s="2154"/>
      <c r="CI307" s="88"/>
      <c r="CJ307" s="2154" t="str" cm="1">
        <f t="array" ref="CJ307">_xlfn.LET(_xlpm.search_key,$W307&amp;$Y307,_xlpm.Scenario,_xlfn.VSTACK($W$20:$W$55&amp;$Y$20:$Y$55,$W$76:$W$110&amp;$Y$76:$Y$110),_xlpm.Data,_xlfn.VSTACK(CJ$20:CK$55,CJ$76:CK$110),IF(OR($Y307="",ISNUMBER(SEARCH("please",$Y307))),"",_xlfn.XLOOKUP(_xlpm.search_key,_xlpm.Scenario,_xlpm.Data,"▧")))</f>
        <v/>
      </c>
      <c r="CK307" s="2154"/>
      <c r="CL307" s="88"/>
      <c r="CM307" s="2154" t="str" cm="1">
        <f t="array" ca="1" aca="1" ref="CM307">_xlfn.LET(_xlpm.search_key,$W307&amp;$Y307,_xlpm.Scenario,_xlfn.VSTACK($W$20:$W$55&amp;$Y$20:$Y$55,$W$76:$W$110&amp;$Y$76:$Y$110),_xlpm.Data,_xlfn.VSTACK(CM$20:CN$55,CM$76:CN$110),IF(OR($Y307="",ISNUMBER(SEARCH("please",$Y307))),"",_xlfn.XLOOKUP(_xlpm.search_key,_xlpm.Scenario,_xlpm.Data,"▧")))</f>
        <v/>
      </c>
      <c r="CN307" s="2154"/>
      <c r="CO307" s="88"/>
      <c r="CP307" s="2154" t="str" cm="1">
        <f t="array" ca="1" aca="1" ref="CP307">_xlfn.LET(_xlpm.search_key,$W307&amp;$Y307,_xlpm.Scenario,_xlfn.VSTACK($W$20:$W$55&amp;$Y$20:$Y$55,$W$76:$W$110&amp;$Y$76:$Y$110),_xlpm.Data,_xlfn.VSTACK(CP$20:CQ$55,CP$76:CQ$110),IF(OR($Y307="",ISNUMBER(SEARCH("please",$Y307))),"",_xlfn.XLOOKUP(_xlpm.search_key,_xlpm.Scenario,_xlpm.Data,"▧")))</f>
        <v/>
      </c>
      <c r="CQ307" s="2154"/>
      <c r="CR307" s="34"/>
      <c r="CS307" s="2056"/>
    </row>
    <row r="308" spans="1:97" ht="21" customHeight="1">
      <c r="A308" s="1627"/>
      <c r="B308" s="2331"/>
      <c r="C308" s="2084"/>
      <c r="D308" s="1549"/>
      <c r="E308" s="1902"/>
      <c r="F308" s="401"/>
      <c r="G308" s="401"/>
      <c r="H308" s="585"/>
      <c r="I308" s="585"/>
      <c r="J308" s="401"/>
      <c r="K308" s="401"/>
      <c r="N308" s="158"/>
      <c r="O308" s="101"/>
      <c r="P308" s="52"/>
      <c r="Q308" s="101"/>
      <c r="R308" s="101"/>
      <c r="S308" s="101"/>
      <c r="T308" s="101"/>
      <c r="U308" s="39"/>
      <c r="V308" s="37"/>
      <c r="W308" s="2329"/>
      <c r="X308" s="2081"/>
      <c r="Y308" s="2367"/>
      <c r="Z308" s="198"/>
      <c r="AA308" s="2136"/>
      <c r="AB308" s="1134"/>
      <c r="AC308" s="125"/>
      <c r="AD308" s="2152" t="str" cm="1">
        <f t="array" ca="1" aca="1" ref="AD308">_xlfn.LET(_xlpm.search_key,$W308&amp;$Y308,_xlpm.Scenario,_xlfn.VSTACK($W$20:$W$55&amp;$Y$20:$Y$55,$W$76:$W$110&amp;$Y$76:$Y$110),_xlpm.Data,_xlfn.VSTACK($AD$20:$BN$55,$AD$76:$BN$110),IF(OR($Y308="",ISNUMBER(SEARCH("please",$Y308))),"",_xlfn.XLOOKUP(_xlpm.search_key,_xlpm.Scenario,_xlpm.Data,"▧",2)))</f>
        <v/>
      </c>
      <c r="AE308" s="2152"/>
      <c r="AF308" s="2152"/>
      <c r="AG308" s="2152"/>
      <c r="AH308" s="2152"/>
      <c r="AI308" s="2152"/>
      <c r="AJ308" s="2152"/>
      <c r="AK308" s="2152"/>
      <c r="AL308" s="2152"/>
      <c r="AM308" s="2152"/>
      <c r="AN308" s="2152"/>
      <c r="AO308" s="2152"/>
      <c r="AP308" s="2152"/>
      <c r="AQ308" s="2152"/>
      <c r="AR308" s="2152"/>
      <c r="AS308" s="2152"/>
      <c r="AT308" s="2152"/>
      <c r="AU308" s="2152"/>
      <c r="AV308" s="2152"/>
      <c r="AW308" s="2152"/>
      <c r="AX308" s="2152"/>
      <c r="AY308" s="2152"/>
      <c r="AZ308" s="2152"/>
      <c r="BA308" s="2152"/>
      <c r="BB308" s="2152"/>
      <c r="BC308" s="2152"/>
      <c r="BD308" s="2152"/>
      <c r="BE308" s="2152"/>
      <c r="BF308" s="2152"/>
      <c r="BG308" s="2152"/>
      <c r="BH308" s="2152"/>
      <c r="BI308" s="2152"/>
      <c r="BJ308" s="2152"/>
      <c r="BK308" s="2152"/>
      <c r="BL308" s="2152"/>
      <c r="BM308" s="2152"/>
      <c r="BN308" s="2152"/>
      <c r="BO308" s="2153"/>
      <c r="BP308" s="2153"/>
      <c r="BQ308" s="2153"/>
      <c r="BR308" s="2153"/>
      <c r="BS308" s="2153"/>
      <c r="BT308" s="2153"/>
      <c r="BU308" s="2153"/>
      <c r="BV308" s="2153"/>
      <c r="BW308" s="2153"/>
      <c r="BX308" s="2153"/>
      <c r="BY308" s="2153"/>
      <c r="BZ308" s="2153"/>
      <c r="CA308" s="34"/>
      <c r="CC308" s="58"/>
      <c r="CD308" s="2154" t="str" cm="1">
        <f t="array" ca="1" aca="1" ref="CD308">_xlfn.LET(_xlpm.search_key,$W308&amp;$Y308,_xlpm.Scenario,_xlfn.VSTACK($W$20:$W$55&amp;$Y$20:$Y$55,$W$76:$W$110&amp;$Y$76:$Y$110),_xlpm.Data,_xlfn.VSTACK(CD$20:CE$55,CD$76:CE$110),IF(OR($Y308="",ISNUMBER(SEARCH("please",$Y308))),"",_xlfn.XLOOKUP(_xlpm.search_key,_xlpm.Scenario,_xlpm.Data,"▧")))</f>
        <v/>
      </c>
      <c r="CE308" s="2154"/>
      <c r="CF308" s="88"/>
      <c r="CG308" s="2154" t="str" cm="1">
        <f t="array" ca="1" aca="1" ref="CG308">_xlfn.LET(_xlpm.search_key,$W308&amp;$Y308,_xlpm.Scenario,_xlfn.VSTACK($W$20:$W$55&amp;$Y$20:$Y$55,$W$76:$W$110&amp;$Y$76:$Y$110),_xlpm.Data,_xlfn.VSTACK(CG$20:CH$55,CG$76:CH$110),IF(OR($Y308="",ISNUMBER(SEARCH("please",$Y308))),"",_xlfn.XLOOKUP(_xlpm.search_key,_xlpm.Scenario,_xlpm.Data,"▧")))</f>
        <v/>
      </c>
      <c r="CH308" s="2154"/>
      <c r="CI308" s="88"/>
      <c r="CJ308" s="2154" t="str" cm="1">
        <f t="array" ref="CJ308">_xlfn.LET(_xlpm.search_key,$W308&amp;$Y308,_xlpm.Scenario,_xlfn.VSTACK($W$20:$W$55&amp;$Y$20:$Y$55,$W$76:$W$110&amp;$Y$76:$Y$110),_xlpm.Data,_xlfn.VSTACK(CJ$20:CK$55,CJ$76:CK$110),IF(OR($Y308="",ISNUMBER(SEARCH("please",$Y308))),"",_xlfn.XLOOKUP(_xlpm.search_key,_xlpm.Scenario,_xlpm.Data,"▧")))</f>
        <v/>
      </c>
      <c r="CK308" s="2154"/>
      <c r="CL308" s="88"/>
      <c r="CM308" s="2154" t="str" cm="1">
        <f t="array" ca="1" aca="1" ref="CM308">_xlfn.LET(_xlpm.search_key,$W308&amp;$Y308,_xlpm.Scenario,_xlfn.VSTACK($W$20:$W$55&amp;$Y$20:$Y$55,$W$76:$W$110&amp;$Y$76:$Y$110),_xlpm.Data,_xlfn.VSTACK(CM$20:CN$55,CM$76:CN$110),IF(OR($Y308="",ISNUMBER(SEARCH("please",$Y308))),"",_xlfn.XLOOKUP(_xlpm.search_key,_xlpm.Scenario,_xlpm.Data,"▧")))</f>
        <v/>
      </c>
      <c r="CN308" s="2154"/>
      <c r="CO308" s="88"/>
      <c r="CP308" s="2154" t="str" cm="1">
        <f t="array" ca="1" aca="1" ref="CP308">_xlfn.LET(_xlpm.search_key,$W308&amp;$Y308,_xlpm.Scenario,_xlfn.VSTACK($W$20:$W$55&amp;$Y$20:$Y$55,$W$76:$W$110&amp;$Y$76:$Y$110),_xlpm.Data,_xlfn.VSTACK(CP$20:CQ$55,CP$76:CQ$110),IF(OR($Y308="",ISNUMBER(SEARCH("please",$Y308))),"",_xlfn.XLOOKUP(_xlpm.search_key,_xlpm.Scenario,_xlpm.Data,"▧")))</f>
        <v/>
      </c>
      <c r="CQ308" s="2154"/>
      <c r="CR308" s="34"/>
      <c r="CS308" s="2056"/>
    </row>
    <row r="309" spans="1:97" ht="21" customHeight="1">
      <c r="A309" s="1627"/>
      <c r="B309" s="2331"/>
      <c r="C309" s="2084"/>
      <c r="D309" s="1549"/>
      <c r="E309" s="1902"/>
      <c r="F309" s="401"/>
      <c r="G309" s="401"/>
      <c r="H309" s="585"/>
      <c r="I309" s="585"/>
      <c r="J309" s="401"/>
      <c r="K309" s="401"/>
      <c r="N309" s="158"/>
      <c r="O309" s="101"/>
      <c r="P309" s="52"/>
      <c r="Q309" s="101"/>
      <c r="R309" s="101"/>
      <c r="S309" s="101"/>
      <c r="T309" s="101"/>
      <c r="U309" s="39"/>
      <c r="V309" s="37"/>
      <c r="W309" s="2329"/>
      <c r="X309" s="2081"/>
      <c r="Y309" s="2367"/>
      <c r="Z309" s="198"/>
      <c r="AA309" s="2136"/>
      <c r="AB309" s="1134"/>
      <c r="AC309" s="125"/>
      <c r="AD309" s="2152" t="str" cm="1">
        <f t="array" ca="1" aca="1" ref="AD309">_xlfn.LET(_xlpm.search_key,$W309&amp;$Y309,_xlpm.Scenario,_xlfn.VSTACK($W$20:$W$55&amp;$Y$20:$Y$55,$W$76:$W$110&amp;$Y$76:$Y$110),_xlpm.Data,_xlfn.VSTACK($AD$20:$BN$55,$AD$76:$BN$110),IF(OR($Y309="",ISNUMBER(SEARCH("please",$Y309))),"",_xlfn.XLOOKUP(_xlpm.search_key,_xlpm.Scenario,_xlpm.Data,"▧",2)))</f>
        <v/>
      </c>
      <c r="AE309" s="2152"/>
      <c r="AF309" s="2152"/>
      <c r="AG309" s="2152"/>
      <c r="AH309" s="2152"/>
      <c r="AI309" s="2152"/>
      <c r="AJ309" s="2152"/>
      <c r="AK309" s="2152"/>
      <c r="AL309" s="2152"/>
      <c r="AM309" s="2152"/>
      <c r="AN309" s="2152"/>
      <c r="AO309" s="2152"/>
      <c r="AP309" s="2152"/>
      <c r="AQ309" s="2152"/>
      <c r="AR309" s="2152"/>
      <c r="AS309" s="2152"/>
      <c r="AT309" s="2152"/>
      <c r="AU309" s="2152"/>
      <c r="AV309" s="2152"/>
      <c r="AW309" s="2152"/>
      <c r="AX309" s="2152"/>
      <c r="AY309" s="2152"/>
      <c r="AZ309" s="2152"/>
      <c r="BA309" s="2152"/>
      <c r="BB309" s="2152"/>
      <c r="BC309" s="2152"/>
      <c r="BD309" s="2152"/>
      <c r="BE309" s="2152"/>
      <c r="BF309" s="2152"/>
      <c r="BG309" s="2152"/>
      <c r="BH309" s="2152"/>
      <c r="BI309" s="2152"/>
      <c r="BJ309" s="2152"/>
      <c r="BK309" s="2152"/>
      <c r="BL309" s="2152"/>
      <c r="BM309" s="2152"/>
      <c r="BN309" s="2152"/>
      <c r="BO309" s="2153"/>
      <c r="BP309" s="2153"/>
      <c r="BQ309" s="2153"/>
      <c r="BR309" s="2153"/>
      <c r="BS309" s="2153"/>
      <c r="BT309" s="2153"/>
      <c r="BU309" s="2153"/>
      <c r="BV309" s="2153"/>
      <c r="BW309" s="2153"/>
      <c r="BX309" s="2153"/>
      <c r="BY309" s="2153"/>
      <c r="BZ309" s="2153"/>
      <c r="CA309" s="34"/>
      <c r="CC309" s="58"/>
      <c r="CD309" s="2154" t="str" cm="1">
        <f t="array" ca="1" aca="1" ref="CD309">_xlfn.LET(_xlpm.search_key,$W309&amp;$Y309,_xlpm.Scenario,_xlfn.VSTACK($W$20:$W$55&amp;$Y$20:$Y$55,$W$76:$W$110&amp;$Y$76:$Y$110),_xlpm.Data,_xlfn.VSTACK(CD$20:CE$55,CD$76:CE$110),IF(OR($Y309="",ISNUMBER(SEARCH("please",$Y309))),"",_xlfn.XLOOKUP(_xlpm.search_key,_xlpm.Scenario,_xlpm.Data,"▧")))</f>
        <v/>
      </c>
      <c r="CE309" s="2154"/>
      <c r="CF309" s="88"/>
      <c r="CG309" s="2154" t="str" cm="1">
        <f t="array" ca="1" aca="1" ref="CG309">_xlfn.LET(_xlpm.search_key,$W309&amp;$Y309,_xlpm.Scenario,_xlfn.VSTACK($W$20:$W$55&amp;$Y$20:$Y$55,$W$76:$W$110&amp;$Y$76:$Y$110),_xlpm.Data,_xlfn.VSTACK(CG$20:CH$55,CG$76:CH$110),IF(OR($Y309="",ISNUMBER(SEARCH("please",$Y309))),"",_xlfn.XLOOKUP(_xlpm.search_key,_xlpm.Scenario,_xlpm.Data,"▧")))</f>
        <v/>
      </c>
      <c r="CH309" s="2154"/>
      <c r="CI309" s="88"/>
      <c r="CJ309" s="2154" t="str" cm="1">
        <f t="array" ref="CJ309">_xlfn.LET(_xlpm.search_key,$W309&amp;$Y309,_xlpm.Scenario,_xlfn.VSTACK($W$20:$W$55&amp;$Y$20:$Y$55,$W$76:$W$110&amp;$Y$76:$Y$110),_xlpm.Data,_xlfn.VSTACK(CJ$20:CK$55,CJ$76:CK$110),IF(OR($Y309="",ISNUMBER(SEARCH("please",$Y309))),"",_xlfn.XLOOKUP(_xlpm.search_key,_xlpm.Scenario,_xlpm.Data,"▧")))</f>
        <v/>
      </c>
      <c r="CK309" s="2154"/>
      <c r="CL309" s="88"/>
      <c r="CM309" s="2154" t="str" cm="1">
        <f t="array" ca="1" aca="1" ref="CM309">_xlfn.LET(_xlpm.search_key,$W309&amp;$Y309,_xlpm.Scenario,_xlfn.VSTACK($W$20:$W$55&amp;$Y$20:$Y$55,$W$76:$W$110&amp;$Y$76:$Y$110),_xlpm.Data,_xlfn.VSTACK(CM$20:CN$55,CM$76:CN$110),IF(OR($Y309="",ISNUMBER(SEARCH("please",$Y309))),"",_xlfn.XLOOKUP(_xlpm.search_key,_xlpm.Scenario,_xlpm.Data,"▧")))</f>
        <v/>
      </c>
      <c r="CN309" s="2154"/>
      <c r="CO309" s="88"/>
      <c r="CP309" s="2154" t="str" cm="1">
        <f t="array" ca="1" aca="1" ref="CP309">_xlfn.LET(_xlpm.search_key,$W309&amp;$Y309,_xlpm.Scenario,_xlfn.VSTACK($W$20:$W$55&amp;$Y$20:$Y$55,$W$76:$W$110&amp;$Y$76:$Y$110),_xlpm.Data,_xlfn.VSTACK(CP$20:CQ$55,CP$76:CQ$110),IF(OR($Y309="",ISNUMBER(SEARCH("please",$Y309))),"",_xlfn.XLOOKUP(_xlpm.search_key,_xlpm.Scenario,_xlpm.Data,"▧")))</f>
        <v/>
      </c>
      <c r="CQ309" s="2154"/>
      <c r="CR309" s="34"/>
      <c r="CS309" s="2056"/>
    </row>
    <row r="310" spans="1:97" ht="21" customHeight="1">
      <c r="A310" s="1627"/>
      <c r="B310" s="2331" t="s">
        <v>212</v>
      </c>
      <c r="C310" s="577" t="e" cm="1">
        <f t="array" ca="1" aca="1" ref="C310">IFBLANK(_xldudf_CX_GET(CX_ENTITY,B310,val_asOfDate),D310)</f>
        <v>#NAME?</v>
      </c>
      <c r="D310" s="577" t="s">
        <v>1852</v>
      </c>
      <c r="E310" s="2135"/>
      <c r="F310" s="401"/>
      <c r="G310" s="401"/>
      <c r="H310" s="585"/>
      <c r="I310" s="585"/>
      <c r="J310" s="401"/>
      <c r="K310" s="401" t="s">
        <v>561</v>
      </c>
      <c r="N310" s="158"/>
      <c r="O310" s="101"/>
      <c r="P310" s="52"/>
      <c r="Q310" s="101"/>
      <c r="R310" s="101"/>
      <c r="S310" s="101"/>
      <c r="T310" s="101"/>
      <c r="U310" s="39"/>
      <c r="V310" s="37"/>
      <c r="W310" s="2330"/>
      <c r="X310" s="2325"/>
      <c r="Y310" s="2326"/>
      <c r="Z310" s="2322"/>
      <c r="AA310" s="2323"/>
      <c r="AB310" s="1134"/>
      <c r="AC310" s="125"/>
      <c r="AD310" s="2152">
        <f ca="1">SUMPRODUCT($X304:$X309,AD304:AD309)</f>
        <v>0</v>
      </c>
      <c r="AE310" s="2152">
        <f t="shared" si="113" ref="AE310:BN310">SUMPRODUCT($X304:$X309,AE304:AE309)</f>
        <v>0</v>
      </c>
      <c r="AF310" s="2152">
        <f t="shared" si="113"/>
        <v>0</v>
      </c>
      <c r="AG310" s="2152">
        <f t="shared" si="113"/>
        <v>0</v>
      </c>
      <c r="AH310" s="2152">
        <f t="shared" si="113"/>
        <v>0</v>
      </c>
      <c r="AI310" s="2152">
        <f t="shared" si="113"/>
        <v>0</v>
      </c>
      <c r="AJ310" s="2152">
        <f t="shared" si="113"/>
        <v>0</v>
      </c>
      <c r="AK310" s="2152">
        <f t="shared" si="113"/>
        <v>0</v>
      </c>
      <c r="AL310" s="2152">
        <f t="shared" si="113"/>
        <v>0</v>
      </c>
      <c r="AM310" s="2152">
        <f t="shared" si="113"/>
        <v>0</v>
      </c>
      <c r="AN310" s="2152">
        <f t="shared" si="113"/>
        <v>0</v>
      </c>
      <c r="AO310" s="2152">
        <f t="shared" si="113"/>
        <v>0</v>
      </c>
      <c r="AP310" s="2152">
        <f t="shared" si="113"/>
        <v>0</v>
      </c>
      <c r="AQ310" s="2152">
        <f t="shared" si="113"/>
        <v>0</v>
      </c>
      <c r="AR310" s="2152">
        <f t="shared" si="113"/>
        <v>0</v>
      </c>
      <c r="AS310" s="2152">
        <f t="shared" si="113"/>
        <v>0</v>
      </c>
      <c r="AT310" s="2152">
        <f t="shared" si="113"/>
        <v>0</v>
      </c>
      <c r="AU310" s="2152">
        <f t="shared" si="113"/>
        <v>0</v>
      </c>
      <c r="AV310" s="2152">
        <f t="shared" si="113"/>
        <v>0</v>
      </c>
      <c r="AW310" s="2152">
        <f t="shared" si="113"/>
        <v>0</v>
      </c>
      <c r="AX310" s="2152">
        <f t="shared" si="113"/>
        <v>0</v>
      </c>
      <c r="AY310" s="2152">
        <f t="shared" si="113"/>
        <v>0</v>
      </c>
      <c r="AZ310" s="2152">
        <f t="shared" si="113"/>
        <v>0</v>
      </c>
      <c r="BA310" s="2152">
        <f t="shared" si="113"/>
        <v>0</v>
      </c>
      <c r="BB310" s="2152">
        <f t="shared" si="113"/>
        <v>0</v>
      </c>
      <c r="BC310" s="2152">
        <f t="shared" si="113"/>
        <v>0</v>
      </c>
      <c r="BD310" s="2152">
        <f t="shared" si="113"/>
        <v>0</v>
      </c>
      <c r="BE310" s="2152">
        <f t="shared" si="113"/>
        <v>0</v>
      </c>
      <c r="BF310" s="2152">
        <f t="shared" si="113"/>
        <v>0</v>
      </c>
      <c r="BG310" s="2152">
        <f t="shared" si="113"/>
        <v>0</v>
      </c>
      <c r="BH310" s="2152">
        <f t="shared" si="113"/>
        <v>0</v>
      </c>
      <c r="BI310" s="2152">
        <f t="shared" si="113"/>
        <v>0</v>
      </c>
      <c r="BJ310" s="2152">
        <f t="shared" si="113"/>
        <v>0</v>
      </c>
      <c r="BK310" s="2152">
        <f t="shared" si="113"/>
        <v>0</v>
      </c>
      <c r="BL310" s="2152">
        <f t="shared" si="113"/>
        <v>0</v>
      </c>
      <c r="BM310" s="2152">
        <f t="shared" si="113"/>
        <v>0</v>
      </c>
      <c r="BN310" s="2152">
        <f t="shared" si="113"/>
        <v>0</v>
      </c>
      <c r="BO310" s="2153"/>
      <c r="BP310" s="2153"/>
      <c r="BQ310" s="2153"/>
      <c r="BR310" s="2153"/>
      <c r="BS310" s="2153"/>
      <c r="BT310" s="2153"/>
      <c r="BU310" s="2153"/>
      <c r="BV310" s="2153"/>
      <c r="BW310" s="2153"/>
      <c r="BX310" s="2153"/>
      <c r="BY310" s="2153"/>
      <c r="BZ310" s="2153"/>
      <c r="CA310" s="34"/>
      <c r="CC310" s="58"/>
      <c r="CD310" s="2152">
        <f ca="1">SUMPRODUCT($X304:$X309,CD304:CD309)</f>
        <v>0</v>
      </c>
      <c r="CE310" s="2152">
        <f t="shared" si="114" ref="CE310">SUMPRODUCT($X304:$X307,CE304:CE307)</f>
        <v>0</v>
      </c>
      <c r="CF310" s="88"/>
      <c r="CG310" s="2152">
        <f ca="1">SUMPRODUCT($X304:$X309,CG304:CG309)</f>
        <v>0</v>
      </c>
      <c r="CH310" s="2152">
        <f t="shared" si="115" ref="CH310">SUMPRODUCT($X304:$X307,CH304:CH307)</f>
        <v>0</v>
      </c>
      <c r="CI310" s="88"/>
      <c r="CJ310" s="2152">
        <f>SUMPRODUCT($X304:$X309,CJ304:CJ309)</f>
        <v>0</v>
      </c>
      <c r="CK310" s="2152">
        <f t="shared" si="116" ref="CK310">SUMPRODUCT($X304:$X307,CK304:CK307)</f>
        <v>0</v>
      </c>
      <c r="CL310" s="88"/>
      <c r="CM310" s="2152">
        <f ca="1">SUMPRODUCT($X304:$X309,CM304:CM309)</f>
        <v>0</v>
      </c>
      <c r="CN310" s="2152">
        <f t="shared" si="117" ref="CN310">SUMPRODUCT($X304:$X307,CN304:CN307)</f>
        <v>0</v>
      </c>
      <c r="CO310" s="88"/>
      <c r="CP310" s="2152">
        <f ca="1">SUMPRODUCT($X304:$X309,CP304:CP309)</f>
        <v>0</v>
      </c>
      <c r="CQ310" s="2152">
        <f t="shared" si="118" ref="CQ310">SUMPRODUCT($X304:$X307,CQ304:CQ307)</f>
        <v>0</v>
      </c>
      <c r="CR310" s="34"/>
      <c r="CS310" s="2056"/>
    </row>
    <row r="311" spans="1:144" s="108" customFormat="1" ht="21" customHeight="1">
      <c r="A311" s="1628"/>
      <c r="B311" s="2084"/>
      <c r="C311" s="2084"/>
      <c r="D311" s="1549"/>
      <c r="E311" s="2135"/>
      <c r="F311" s="401"/>
      <c r="G311" s="401"/>
      <c r="H311" s="585"/>
      <c r="I311" s="585"/>
      <c r="J311" s="401"/>
      <c r="K311" s="401"/>
      <c r="N311" s="2134"/>
      <c r="O311" s="101"/>
      <c r="P311" s="101"/>
      <c r="Q311" s="101"/>
      <c r="R311" s="101"/>
      <c r="S311" s="101"/>
      <c r="T311" s="101"/>
      <c r="U311" s="101"/>
      <c r="V311" s="822"/>
      <c r="W311" s="2332"/>
      <c r="X311" s="2080"/>
      <c r="Y311" s="2315"/>
      <c r="Z311" s="2316"/>
      <c r="AA311" s="2316"/>
      <c r="AB311" s="88"/>
      <c r="AC311" s="128"/>
      <c r="AD311" s="2317"/>
      <c r="AE311" s="2317"/>
      <c r="AF311" s="2317"/>
      <c r="AG311" s="2317"/>
      <c r="AH311" s="2317"/>
      <c r="AI311" s="2317"/>
      <c r="AJ311" s="2317"/>
      <c r="AK311" s="2317"/>
      <c r="AL311" s="2317"/>
      <c r="AM311" s="2317"/>
      <c r="AN311" s="2317"/>
      <c r="AO311" s="2317"/>
      <c r="AP311" s="2317"/>
      <c r="AQ311" s="2317"/>
      <c r="AR311" s="2317"/>
      <c r="AS311" s="2317"/>
      <c r="AT311" s="2317"/>
      <c r="AU311" s="2317"/>
      <c r="AV311" s="2317"/>
      <c r="AW311" s="2317"/>
      <c r="AX311" s="2317"/>
      <c r="AY311" s="2317"/>
      <c r="AZ311" s="2317"/>
      <c r="BA311" s="2317"/>
      <c r="BB311" s="2317"/>
      <c r="BC311" s="2317"/>
      <c r="BD311" s="2317"/>
      <c r="BE311" s="2317"/>
      <c r="BF311" s="2317"/>
      <c r="BG311" s="2317"/>
      <c r="BH311" s="2317"/>
      <c r="BI311" s="2317"/>
      <c r="BJ311" s="2317"/>
      <c r="BK311" s="2317"/>
      <c r="BL311" s="2317"/>
      <c r="BM311" s="2317"/>
      <c r="BN311" s="2317"/>
      <c r="BO311" s="2318"/>
      <c r="BP311" s="2318"/>
      <c r="BQ311" s="2318"/>
      <c r="BR311" s="2318"/>
      <c r="BS311" s="2318"/>
      <c r="BT311" s="2318"/>
      <c r="BU311" s="2318"/>
      <c r="BV311" s="2318"/>
      <c r="BW311" s="2318"/>
      <c r="BX311" s="2318"/>
      <c r="BY311" s="2318"/>
      <c r="BZ311" s="2318"/>
      <c r="CA311" s="88"/>
      <c r="CC311" s="383"/>
      <c r="CD311" s="2319"/>
      <c r="CE311" s="2319"/>
      <c r="CF311" s="88"/>
      <c r="CG311" s="2319"/>
      <c r="CH311" s="2319"/>
      <c r="CI311" s="88"/>
      <c r="CJ311" s="2319"/>
      <c r="CK311" s="2319"/>
      <c r="CL311" s="88"/>
      <c r="CM311" s="2320"/>
      <c r="CN311" s="2320"/>
      <c r="CO311" s="88"/>
      <c r="CP311" s="2320"/>
      <c r="CQ311" s="2320"/>
      <c r="CR311" s="88"/>
      <c r="CS311" s="232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row>
    <row r="312" spans="1:97" ht="21" customHeight="1">
      <c r="A312" s="1627"/>
      <c r="B312" s="2084"/>
      <c r="C312" s="2084"/>
      <c r="D312" s="1549"/>
      <c r="E312" s="2135"/>
      <c r="F312" s="401"/>
      <c r="G312" s="401"/>
      <c r="H312" s="585"/>
      <c r="I312" s="585"/>
      <c r="J312" s="401"/>
      <c r="K312" s="401"/>
      <c r="N312" s="158"/>
      <c r="O312" s="101"/>
      <c r="P312" s="52"/>
      <c r="Q312" s="101"/>
      <c r="R312" s="101"/>
      <c r="S312" s="18"/>
      <c r="T312" s="18"/>
      <c r="U312" s="39"/>
      <c r="V312" s="37"/>
      <c r="W312" s="2328" t="e" cm="1">
        <f t="array" ca="1" aca="1" ref="W312">UNPACK(C319)</f>
        <v>#NAME?</v>
      </c>
      <c r="X312" s="2137"/>
      <c r="Y312" s="2327"/>
      <c r="Z312" s="2139"/>
      <c r="AA312" s="2140"/>
      <c r="AB312" s="2141" t="s">
        <v>199</v>
      </c>
      <c r="AC312" s="2138"/>
      <c r="AD312" s="2138"/>
      <c r="AE312" s="2138"/>
      <c r="AF312" s="2138"/>
      <c r="AG312" s="2138"/>
      <c r="AH312" s="2138"/>
      <c r="AI312" s="2138"/>
      <c r="AJ312" s="2138"/>
      <c r="AK312" s="2138"/>
      <c r="AL312" s="2138"/>
      <c r="AM312" s="2138"/>
      <c r="AN312" s="2138"/>
      <c r="AO312" s="2138"/>
      <c r="AP312" s="2138"/>
      <c r="AQ312" s="2138"/>
      <c r="AR312" s="2138"/>
      <c r="AS312" s="2138"/>
      <c r="AT312" s="2138"/>
      <c r="AU312" s="2138"/>
      <c r="AV312" s="2138"/>
      <c r="AW312" s="2138"/>
      <c r="AX312" s="2138"/>
      <c r="AY312" s="2138"/>
      <c r="AZ312" s="2138"/>
      <c r="BA312" s="2138"/>
      <c r="BB312" s="2138"/>
      <c r="BC312" s="2138"/>
      <c r="BD312" s="2138"/>
      <c r="BE312" s="2138"/>
      <c r="BF312" s="2138"/>
      <c r="BG312" s="2138"/>
      <c r="BH312" s="2138"/>
      <c r="BI312" s="2138"/>
      <c r="BJ312" s="2138"/>
      <c r="BK312" s="2138"/>
      <c r="BL312" s="2138"/>
      <c r="BM312" s="2138"/>
      <c r="BN312" s="2138"/>
      <c r="BO312" s="1634"/>
      <c r="BP312" s="1634"/>
      <c r="BQ312" s="1634"/>
      <c r="BR312" s="1634"/>
      <c r="BS312" s="1634"/>
      <c r="BT312" s="1634"/>
      <c r="BU312" s="1634"/>
      <c r="BV312" s="1634"/>
      <c r="BW312" s="1634"/>
      <c r="BX312" s="1634"/>
      <c r="BY312" s="1634"/>
      <c r="BZ312" s="1634"/>
      <c r="CA312" s="34"/>
      <c r="CC312" s="58"/>
      <c r="CD312" s="1720">
        <f>($W307)</f>
        <v>0</v>
      </c>
      <c r="CE312" s="1721">
        <f>($W307)</f>
        <v>0</v>
      </c>
      <c r="CF312" s="128"/>
      <c r="CG312" s="1734">
        <f>($W307)</f>
        <v>0</v>
      </c>
      <c r="CH312" s="1735">
        <f>($W307)</f>
        <v>0</v>
      </c>
      <c r="CI312" s="207"/>
      <c r="CJ312" s="1724">
        <f>($W307)</f>
        <v>0</v>
      </c>
      <c r="CK312" s="1725">
        <f>($W307)</f>
        <v>0</v>
      </c>
      <c r="CL312" s="88"/>
      <c r="CM312" s="1198" t="str">
        <f>CM$19</f>
        <v>Original Budget</v>
      </c>
      <c r="CN312" s="1198" t="str">
        <f>CN$19</f>
        <v>LE</v>
      </c>
      <c r="CO312" s="88"/>
      <c r="CP312" s="1819" t="str">
        <f>$CP$19</f>
        <v>Original Budget</v>
      </c>
      <c r="CQ312" s="1819" t="str">
        <f>$CQ$19</f>
        <v>LE</v>
      </c>
      <c r="CR312" s="34"/>
      <c r="CS312" s="2056"/>
    </row>
    <row r="313" spans="1:97" ht="21" customHeight="1">
      <c r="A313" s="1627"/>
      <c r="B313" s="2331"/>
      <c r="C313" s="2084"/>
      <c r="D313" s="1549"/>
      <c r="E313" s="1902" cm="1">
        <f t="array" ca="1" aca="1" ref="E313:G31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313:$CQ313,Z313)</f>
        <v>0</v>
      </c>
      <c r="F313" s="401">
        <f ca="1"/>
        <v>0</v>
      </c>
      <c r="G313" s="401" t="str">
        <f ca="1"/>
        <v>A</v>
      </c>
      <c r="H313" s="585">
        <v>0</v>
      </c>
      <c r="I313" s="3290">
        <v>1</v>
      </c>
      <c r="J313" s="401"/>
      <c r="K313" s="401" t="str">
        <f t="shared" si="119" ref="K313:K314">IFERROR(IF(LEN(AB313)=0,"No",IF(LEN(J313)&gt;0,"Yes","No")),"")</f>
        <v>No</v>
      </c>
      <c r="N313" s="158"/>
      <c r="O313" s="101"/>
      <c r="P313" s="52"/>
      <c r="Q313" s="101"/>
      <c r="R313" s="101"/>
      <c r="S313" s="101"/>
      <c r="T313" s="2324"/>
      <c r="U313" s="39"/>
      <c r="V313" s="37"/>
      <c r="W313" s="2329"/>
      <c r="X313" s="2081"/>
      <c r="Y313" s="2366"/>
      <c r="Z313" s="198"/>
      <c r="AA313" s="2136"/>
      <c r="AB313" s="1134"/>
      <c r="AC313" s="125"/>
      <c r="AD313" s="2152" t="str" cm="1">
        <f t="array" ca="1" aca="1" ref="AD313">_xlfn.LET(_xlpm.search_key,$W313&amp;$Y313,_xlpm.Scenario,_xlfn.VSTACK($W$20:$W$55&amp;$Y$20:$Y$55,$W$76:$W$110&amp;$Y$76:$Y$110),_xlpm.Data,_xlfn.VSTACK($AD$20:$BN$55,$AD$76:$BN$110),IF(OR($Y313="",ISNUMBER(SEARCH("please",$Y313))),"",_xlfn.XLOOKUP(_xlpm.search_key,_xlpm.Scenario,_xlpm.Data,"▧",2)))</f>
        <v/>
      </c>
      <c r="AE313" s="2152"/>
      <c r="AF313" s="2152"/>
      <c r="AG313" s="2152"/>
      <c r="AH313" s="2152"/>
      <c r="AI313" s="2152"/>
      <c r="AJ313" s="2152"/>
      <c r="AK313" s="2152"/>
      <c r="AL313" s="2152"/>
      <c r="AM313" s="2152"/>
      <c r="AN313" s="2152"/>
      <c r="AO313" s="2152"/>
      <c r="AP313" s="2152"/>
      <c r="AQ313" s="2152"/>
      <c r="AR313" s="2152"/>
      <c r="AS313" s="2152"/>
      <c r="AT313" s="2152"/>
      <c r="AU313" s="2152"/>
      <c r="AV313" s="2152"/>
      <c r="AW313" s="2152"/>
      <c r="AX313" s="2152"/>
      <c r="AY313" s="2152"/>
      <c r="AZ313" s="2152"/>
      <c r="BA313" s="2152"/>
      <c r="BB313" s="2152"/>
      <c r="BC313" s="2152"/>
      <c r="BD313" s="2152"/>
      <c r="BE313" s="2152"/>
      <c r="BF313" s="2152"/>
      <c r="BG313" s="2152"/>
      <c r="BH313" s="2152"/>
      <c r="BI313" s="2152"/>
      <c r="BJ313" s="2152"/>
      <c r="BK313" s="2152"/>
      <c r="BL313" s="2152"/>
      <c r="BM313" s="2152"/>
      <c r="BN313" s="2152"/>
      <c r="BO313" s="2153"/>
      <c r="BP313" s="2153"/>
      <c r="BQ313" s="2153"/>
      <c r="BR313" s="2153"/>
      <c r="BS313" s="2153"/>
      <c r="BT313" s="2153"/>
      <c r="BU313" s="2153"/>
      <c r="BV313" s="2153"/>
      <c r="BW313" s="2153"/>
      <c r="BX313" s="2153"/>
      <c r="BY313" s="2153"/>
      <c r="BZ313" s="2153"/>
      <c r="CA313" s="34"/>
      <c r="CC313" s="58"/>
      <c r="CD313" s="2154" t="str" cm="1">
        <f t="array" ca="1" aca="1" ref="CD313">_xlfn.LET(_xlpm.search_key,$W313&amp;$Y313,_xlpm.Scenario,_xlfn.VSTACK($W$20:$W$55&amp;$Y$20:$Y$55,$W$76:$W$110&amp;$Y$76:$Y$110),_xlpm.Data,_xlfn.VSTACK(CD$20:CE$55,CD$76:CE$110),IF(OR($Y313="",ISNUMBER(SEARCH("please",$Y313))),"",_xlfn.XLOOKUP(_xlpm.search_key,_xlpm.Scenario,_xlpm.Data,"▧")))</f>
        <v/>
      </c>
      <c r="CE313" s="2154"/>
      <c r="CF313" s="88"/>
      <c r="CG313" s="2154" t="str" cm="1">
        <f t="array" ca="1" aca="1" ref="CG313">_xlfn.LET(_xlpm.search_key,$W313&amp;$Y313,_xlpm.Scenario,_xlfn.VSTACK($W$20:$W$55&amp;$Y$20:$Y$55,$W$76:$W$110&amp;$Y$76:$Y$110),_xlpm.Data,_xlfn.VSTACK(CG$20:CH$55,CG$76:CH$110),IF(OR($Y313="",ISNUMBER(SEARCH("please",$Y313))),"",_xlfn.XLOOKUP(_xlpm.search_key,_xlpm.Scenario,_xlpm.Data,"▧")))</f>
        <v/>
      </c>
      <c r="CH313" s="2154"/>
      <c r="CI313" s="88"/>
      <c r="CJ313" s="2154" t="str" cm="1">
        <f t="array" ref="CJ313">_xlfn.LET(_xlpm.search_key,$W313&amp;$Y313,_xlpm.Scenario,_xlfn.VSTACK($W$20:$W$55&amp;$Y$20:$Y$55,$W$76:$W$110&amp;$Y$76:$Y$110),_xlpm.Data,_xlfn.VSTACK(CJ$20:CK$55,CJ$76:CK$110),IF(OR($Y313="",ISNUMBER(SEARCH("please",$Y313))),"",_xlfn.XLOOKUP(_xlpm.search_key,_xlpm.Scenario,_xlpm.Data,"▧")))</f>
        <v/>
      </c>
      <c r="CK313" s="2154"/>
      <c r="CL313" s="88"/>
      <c r="CM313" s="2154" t="str" cm="1">
        <f t="array" ca="1" aca="1" ref="CM313">_xlfn.LET(_xlpm.search_key,$W313&amp;$Y313,_xlpm.Scenario,_xlfn.VSTACK($W$20:$W$55&amp;$Y$20:$Y$55,$W$76:$W$110&amp;$Y$76:$Y$110),_xlpm.Data,_xlfn.VSTACK(CM$20:CN$55,CM$76:CN$110),IF(OR($Y313="",ISNUMBER(SEARCH("please",$Y313))),"",_xlfn.XLOOKUP(_xlpm.search_key,_xlpm.Scenario,_xlpm.Data,"▧")))</f>
        <v/>
      </c>
      <c r="CN313" s="2154"/>
      <c r="CO313" s="88"/>
      <c r="CP313" s="2154" t="str" cm="1">
        <f t="array" ca="1" aca="1" ref="CP313">_xlfn.LET(_xlpm.search_key,$W313&amp;$Y313,_xlpm.Scenario,_xlfn.VSTACK($W$20:$W$55&amp;$Y$20:$Y$55,$W$76:$W$110&amp;$Y$76:$Y$110),_xlpm.Data,_xlfn.VSTACK(CP$20:CQ$55,CP$76:CQ$110),IF(OR($Y313="",ISNUMBER(SEARCH("please",$Y313))),"",_xlfn.XLOOKUP(_xlpm.search_key,_xlpm.Scenario,_xlpm.Data,"▧")))</f>
        <v/>
      </c>
      <c r="CQ313" s="2154"/>
      <c r="CR313" s="34"/>
      <c r="CS313" s="2056"/>
    </row>
    <row r="314" spans="1:97" ht="21" customHeight="1">
      <c r="A314" s="1627"/>
      <c r="B314" s="2331"/>
      <c r="C314" s="2084"/>
      <c r="D314" s="1549"/>
      <c r="E314" s="1902" cm="1">
        <f t="array" ca="1" aca="1" ref="E314:G31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314:$CQ314,Z314)</f>
        <v>0</v>
      </c>
      <c r="F314" s="401">
        <f ca="1"/>
        <v>0</v>
      </c>
      <c r="G314" s="401" t="str">
        <f ca="1"/>
        <v>A</v>
      </c>
      <c r="H314" s="585">
        <v>0</v>
      </c>
      <c r="I314" s="3290">
        <v>1</v>
      </c>
      <c r="J314" s="401"/>
      <c r="K314" s="401" t="str">
        <f t="shared" si="119"/>
        <v>No</v>
      </c>
      <c r="N314" s="158"/>
      <c r="O314" s="101"/>
      <c r="P314" s="52"/>
      <c r="Q314" s="101"/>
      <c r="R314" s="101"/>
      <c r="S314" s="101"/>
      <c r="T314" s="101"/>
      <c r="U314" s="39"/>
      <c r="V314" s="37"/>
      <c r="W314" s="2329"/>
      <c r="X314" s="2081"/>
      <c r="Y314" s="2367"/>
      <c r="Z314" s="198"/>
      <c r="AA314" s="2136"/>
      <c r="AB314" s="1134"/>
      <c r="AC314" s="125"/>
      <c r="AD314" s="2152" t="str" cm="1">
        <f t="array" ca="1" aca="1" ref="AD314">_xlfn.LET(_xlpm.search_key,$W314&amp;$Y314,_xlpm.Scenario,_xlfn.VSTACK($W$20:$W$55&amp;$Y$20:$Y$55,$W$76:$W$110&amp;$Y$76:$Y$110),_xlpm.Data,_xlfn.VSTACK($AD$20:$BN$55,$AD$76:$BN$110),IF(OR($Y314="",ISNUMBER(SEARCH("please",$Y314))),"",_xlfn.XLOOKUP(_xlpm.search_key,_xlpm.Scenario,_xlpm.Data,"▧",2)))</f>
        <v/>
      </c>
      <c r="AE314" s="2152"/>
      <c r="AF314" s="2152"/>
      <c r="AG314" s="2152"/>
      <c r="AH314" s="2152"/>
      <c r="AI314" s="2152"/>
      <c r="AJ314" s="2152"/>
      <c r="AK314" s="2152"/>
      <c r="AL314" s="2152"/>
      <c r="AM314" s="2152"/>
      <c r="AN314" s="2152"/>
      <c r="AO314" s="2152"/>
      <c r="AP314" s="2152"/>
      <c r="AQ314" s="2152"/>
      <c r="AR314" s="2152"/>
      <c r="AS314" s="2152"/>
      <c r="AT314" s="2152"/>
      <c r="AU314" s="2152"/>
      <c r="AV314" s="2152"/>
      <c r="AW314" s="2152"/>
      <c r="AX314" s="2152"/>
      <c r="AY314" s="2152"/>
      <c r="AZ314" s="2152"/>
      <c r="BA314" s="2152"/>
      <c r="BB314" s="2152"/>
      <c r="BC314" s="2152"/>
      <c r="BD314" s="2152"/>
      <c r="BE314" s="2152"/>
      <c r="BF314" s="2152"/>
      <c r="BG314" s="2152"/>
      <c r="BH314" s="2152"/>
      <c r="BI314" s="2152"/>
      <c r="BJ314" s="2152"/>
      <c r="BK314" s="2152"/>
      <c r="BL314" s="2152"/>
      <c r="BM314" s="2152"/>
      <c r="BN314" s="2152"/>
      <c r="BO314" s="2153"/>
      <c r="BP314" s="2153"/>
      <c r="BQ314" s="2153"/>
      <c r="BR314" s="2153"/>
      <c r="BS314" s="2153"/>
      <c r="BT314" s="2153"/>
      <c r="BU314" s="2153"/>
      <c r="BV314" s="2153"/>
      <c r="BW314" s="2153"/>
      <c r="BX314" s="2153"/>
      <c r="BY314" s="2153"/>
      <c r="BZ314" s="2153"/>
      <c r="CA314" s="34"/>
      <c r="CC314" s="58"/>
      <c r="CD314" s="2154" t="str" cm="1">
        <f t="array" ca="1" aca="1" ref="CD314">_xlfn.LET(_xlpm.search_key,$W314&amp;$Y314,_xlpm.Scenario,_xlfn.VSTACK($W$20:$W$55&amp;$Y$20:$Y$55,$W$76:$W$110&amp;$Y$76:$Y$110),_xlpm.Data,_xlfn.VSTACK(CD$20:CE$55,CD$76:CE$110),IF(OR($Y314="",ISNUMBER(SEARCH("please",$Y314))),"",_xlfn.XLOOKUP(_xlpm.search_key,_xlpm.Scenario,_xlpm.Data,"▧")))</f>
        <v/>
      </c>
      <c r="CE314" s="2154"/>
      <c r="CF314" s="88"/>
      <c r="CG314" s="2154" t="str" cm="1">
        <f t="array" ca="1" aca="1" ref="CG314">_xlfn.LET(_xlpm.search_key,$W314&amp;$Y314,_xlpm.Scenario,_xlfn.VSTACK($W$20:$W$55&amp;$Y$20:$Y$55,$W$76:$W$110&amp;$Y$76:$Y$110),_xlpm.Data,_xlfn.VSTACK(CG$20:CH$55,CG$76:CH$110),IF(OR($Y314="",ISNUMBER(SEARCH("please",$Y314))),"",_xlfn.XLOOKUP(_xlpm.search_key,_xlpm.Scenario,_xlpm.Data,"▧")))</f>
        <v/>
      </c>
      <c r="CH314" s="2154"/>
      <c r="CI314" s="88"/>
      <c r="CJ314" s="2154" t="str" cm="1">
        <f t="array" ref="CJ314">_xlfn.LET(_xlpm.search_key,$W314&amp;$Y314,_xlpm.Scenario,_xlfn.VSTACK($W$20:$W$55&amp;$Y$20:$Y$55,$W$76:$W$110&amp;$Y$76:$Y$110),_xlpm.Data,_xlfn.VSTACK(CJ$20:CK$55,CJ$76:CK$110),IF(OR($Y314="",ISNUMBER(SEARCH("please",$Y314))),"",_xlfn.XLOOKUP(_xlpm.search_key,_xlpm.Scenario,_xlpm.Data,"▧")))</f>
        <v/>
      </c>
      <c r="CK314" s="2154"/>
      <c r="CL314" s="88"/>
      <c r="CM314" s="2154" t="str" cm="1">
        <f t="array" ca="1" aca="1" ref="CM314">_xlfn.LET(_xlpm.search_key,$W314&amp;$Y314,_xlpm.Scenario,_xlfn.VSTACK($W$20:$W$55&amp;$Y$20:$Y$55,$W$76:$W$110&amp;$Y$76:$Y$110),_xlpm.Data,_xlfn.VSTACK(CM$20:CN$55,CM$76:CN$110),IF(OR($Y314="",ISNUMBER(SEARCH("please",$Y314))),"",_xlfn.XLOOKUP(_xlpm.search_key,_xlpm.Scenario,_xlpm.Data,"▧")))</f>
        <v/>
      </c>
      <c r="CN314" s="2154"/>
      <c r="CO314" s="88"/>
      <c r="CP314" s="2154" t="str" cm="1">
        <f t="array" ca="1" aca="1" ref="CP314">_xlfn.LET(_xlpm.search_key,$W314&amp;$Y314,_xlpm.Scenario,_xlfn.VSTACK($W$20:$W$55&amp;$Y$20:$Y$55,$W$76:$W$110&amp;$Y$76:$Y$110),_xlpm.Data,_xlfn.VSTACK(CP$20:CQ$55,CP$76:CQ$110),IF(OR($Y314="",ISNUMBER(SEARCH("please",$Y314))),"",_xlfn.XLOOKUP(_xlpm.search_key,_xlpm.Scenario,_xlpm.Data,"▧")))</f>
        <v/>
      </c>
      <c r="CQ314" s="2154"/>
      <c r="CR314" s="34"/>
      <c r="CS314" s="2056"/>
    </row>
    <row r="315" spans="1:97" ht="21" customHeight="1">
      <c r="A315" s="1627"/>
      <c r="B315" s="2331"/>
      <c r="C315" s="2084"/>
      <c r="D315" s="1549"/>
      <c r="E315" s="1902"/>
      <c r="F315" s="401"/>
      <c r="G315" s="401"/>
      <c r="H315" s="585"/>
      <c r="I315" s="585"/>
      <c r="J315" s="401"/>
      <c r="K315" s="401"/>
      <c r="N315" s="158"/>
      <c r="O315" s="101"/>
      <c r="P315" s="52"/>
      <c r="Q315" s="101"/>
      <c r="R315" s="101"/>
      <c r="S315" s="101"/>
      <c r="T315" s="101"/>
      <c r="U315" s="39"/>
      <c r="V315" s="37"/>
      <c r="W315" s="2329"/>
      <c r="X315" s="2081"/>
      <c r="Y315" s="2367"/>
      <c r="Z315" s="198"/>
      <c r="AA315" s="2136"/>
      <c r="AB315" s="1134"/>
      <c r="AC315" s="125"/>
      <c r="AD315" s="2152" t="str" cm="1">
        <f t="array" ca="1" aca="1" ref="AD315">_xlfn.LET(_xlpm.search_key,$W315&amp;$Y315,_xlpm.Scenario,_xlfn.VSTACK($W$20:$W$55&amp;$Y$20:$Y$55,$W$76:$W$110&amp;$Y$76:$Y$110),_xlpm.Data,_xlfn.VSTACK($AD$20:$BN$55,$AD$76:$BN$110),IF(OR($Y315="",ISNUMBER(SEARCH("please",$Y315))),"",_xlfn.XLOOKUP(_xlpm.search_key,_xlpm.Scenario,_xlpm.Data,"▧",2)))</f>
        <v/>
      </c>
      <c r="AE315" s="2152"/>
      <c r="AF315" s="2152"/>
      <c r="AG315" s="2152"/>
      <c r="AH315" s="2152"/>
      <c r="AI315" s="2152"/>
      <c r="AJ315" s="2152"/>
      <c r="AK315" s="2152"/>
      <c r="AL315" s="2152"/>
      <c r="AM315" s="2152"/>
      <c r="AN315" s="2152"/>
      <c r="AO315" s="2152"/>
      <c r="AP315" s="2152"/>
      <c r="AQ315" s="2152"/>
      <c r="AR315" s="2152"/>
      <c r="AS315" s="2152"/>
      <c r="AT315" s="2152"/>
      <c r="AU315" s="2152"/>
      <c r="AV315" s="2152"/>
      <c r="AW315" s="2152"/>
      <c r="AX315" s="2152"/>
      <c r="AY315" s="2152"/>
      <c r="AZ315" s="2152"/>
      <c r="BA315" s="2152"/>
      <c r="BB315" s="2152"/>
      <c r="BC315" s="2152"/>
      <c r="BD315" s="2152"/>
      <c r="BE315" s="2152"/>
      <c r="BF315" s="2152"/>
      <c r="BG315" s="2152"/>
      <c r="BH315" s="2152"/>
      <c r="BI315" s="2152"/>
      <c r="BJ315" s="2152"/>
      <c r="BK315" s="2152"/>
      <c r="BL315" s="2152"/>
      <c r="BM315" s="2152"/>
      <c r="BN315" s="2152"/>
      <c r="BO315" s="2153"/>
      <c r="BP315" s="2153"/>
      <c r="BQ315" s="2153"/>
      <c r="BR315" s="2153"/>
      <c r="BS315" s="2153"/>
      <c r="BT315" s="2153"/>
      <c r="BU315" s="2153"/>
      <c r="BV315" s="2153"/>
      <c r="BW315" s="2153"/>
      <c r="BX315" s="2153"/>
      <c r="BY315" s="2153"/>
      <c r="BZ315" s="2153"/>
      <c r="CA315" s="34"/>
      <c r="CC315" s="58"/>
      <c r="CD315" s="2154" t="str" cm="1">
        <f t="array" ca="1" aca="1" ref="CD315">_xlfn.LET(_xlpm.search_key,$W315&amp;$Y315,_xlpm.Scenario,_xlfn.VSTACK($W$20:$W$55&amp;$Y$20:$Y$55,$W$76:$W$110&amp;$Y$76:$Y$110),_xlpm.Data,_xlfn.VSTACK(CD$20:CE$55,CD$76:CE$110),IF(OR($Y315="",ISNUMBER(SEARCH("please",$Y315))),"",_xlfn.XLOOKUP(_xlpm.search_key,_xlpm.Scenario,_xlpm.Data,"▧")))</f>
        <v/>
      </c>
      <c r="CE315" s="2154"/>
      <c r="CF315" s="88"/>
      <c r="CG315" s="2154" t="str" cm="1">
        <f t="array" ca="1" aca="1" ref="CG315">_xlfn.LET(_xlpm.search_key,$W315&amp;$Y315,_xlpm.Scenario,_xlfn.VSTACK($W$20:$W$55&amp;$Y$20:$Y$55,$W$76:$W$110&amp;$Y$76:$Y$110),_xlpm.Data,_xlfn.VSTACK(CG$20:CH$55,CG$76:CH$110),IF(OR($Y315="",ISNUMBER(SEARCH("please",$Y315))),"",_xlfn.XLOOKUP(_xlpm.search_key,_xlpm.Scenario,_xlpm.Data,"▧")))</f>
        <v/>
      </c>
      <c r="CH315" s="2154"/>
      <c r="CI315" s="88"/>
      <c r="CJ315" s="2154" t="str" cm="1">
        <f t="array" ref="CJ315">_xlfn.LET(_xlpm.search_key,$W315&amp;$Y315,_xlpm.Scenario,_xlfn.VSTACK($W$20:$W$55&amp;$Y$20:$Y$55,$W$76:$W$110&amp;$Y$76:$Y$110),_xlpm.Data,_xlfn.VSTACK(CJ$20:CK$55,CJ$76:CK$110),IF(OR($Y315="",ISNUMBER(SEARCH("please",$Y315))),"",_xlfn.XLOOKUP(_xlpm.search_key,_xlpm.Scenario,_xlpm.Data,"▧")))</f>
        <v/>
      </c>
      <c r="CK315" s="2154"/>
      <c r="CL315" s="88"/>
      <c r="CM315" s="2154" t="str" cm="1">
        <f t="array" ca="1" aca="1" ref="CM315">_xlfn.LET(_xlpm.search_key,$W315&amp;$Y315,_xlpm.Scenario,_xlfn.VSTACK($W$20:$W$55&amp;$Y$20:$Y$55,$W$76:$W$110&amp;$Y$76:$Y$110),_xlpm.Data,_xlfn.VSTACK(CM$20:CN$55,CM$76:CN$110),IF(OR($Y315="",ISNUMBER(SEARCH("please",$Y315))),"",_xlfn.XLOOKUP(_xlpm.search_key,_xlpm.Scenario,_xlpm.Data,"▧")))</f>
        <v/>
      </c>
      <c r="CN315" s="2154"/>
      <c r="CO315" s="88"/>
      <c r="CP315" s="2154" t="str" cm="1">
        <f t="array" ca="1" aca="1" ref="CP315">_xlfn.LET(_xlpm.search_key,$W315&amp;$Y315,_xlpm.Scenario,_xlfn.VSTACK($W$20:$W$55&amp;$Y$20:$Y$55,$W$76:$W$110&amp;$Y$76:$Y$110),_xlpm.Data,_xlfn.VSTACK(CP$20:CQ$55,CP$76:CQ$110),IF(OR($Y315="",ISNUMBER(SEARCH("please",$Y315))),"",_xlfn.XLOOKUP(_xlpm.search_key,_xlpm.Scenario,_xlpm.Data,"▧")))</f>
        <v/>
      </c>
      <c r="CQ315" s="2154"/>
      <c r="CR315" s="34"/>
      <c r="CS315" s="2056"/>
    </row>
    <row r="316" spans="1:97" ht="21" customHeight="1">
      <c r="A316" s="1627"/>
      <c r="B316" s="2331"/>
      <c r="C316" s="2084"/>
      <c r="D316" s="1549"/>
      <c r="E316" s="1902"/>
      <c r="F316" s="401"/>
      <c r="G316" s="401"/>
      <c r="H316" s="585"/>
      <c r="I316" s="585"/>
      <c r="J316" s="401"/>
      <c r="K316" s="401"/>
      <c r="N316" s="158"/>
      <c r="O316" s="101"/>
      <c r="P316" s="52"/>
      <c r="Q316" s="101"/>
      <c r="R316" s="101"/>
      <c r="S316" s="101"/>
      <c r="T316" s="101"/>
      <c r="U316" s="39"/>
      <c r="V316" s="37"/>
      <c r="W316" s="2329"/>
      <c r="X316" s="2081"/>
      <c r="Y316" s="2367"/>
      <c r="Z316" s="198"/>
      <c r="AA316" s="2136"/>
      <c r="AB316" s="1134"/>
      <c r="AC316" s="125"/>
      <c r="AD316" s="2152" t="str" cm="1">
        <f t="array" ca="1" aca="1" ref="AD316">_xlfn.LET(_xlpm.search_key,$W316&amp;$Y316,_xlpm.Scenario,_xlfn.VSTACK($W$20:$W$55&amp;$Y$20:$Y$55,$W$76:$W$110&amp;$Y$76:$Y$110),_xlpm.Data,_xlfn.VSTACK($AD$20:$BN$55,$AD$76:$BN$110),IF(OR($Y316="",ISNUMBER(SEARCH("please",$Y316))),"",_xlfn.XLOOKUP(_xlpm.search_key,_xlpm.Scenario,_xlpm.Data,"▧",2)))</f>
        <v/>
      </c>
      <c r="AE316" s="2152"/>
      <c r="AF316" s="2152"/>
      <c r="AG316" s="2152"/>
      <c r="AH316" s="2152"/>
      <c r="AI316" s="2152"/>
      <c r="AJ316" s="2152"/>
      <c r="AK316" s="2152"/>
      <c r="AL316" s="2152"/>
      <c r="AM316" s="2152"/>
      <c r="AN316" s="2152"/>
      <c r="AO316" s="2152"/>
      <c r="AP316" s="2152"/>
      <c r="AQ316" s="2152"/>
      <c r="AR316" s="2152"/>
      <c r="AS316" s="2152"/>
      <c r="AT316" s="2152"/>
      <c r="AU316" s="2152"/>
      <c r="AV316" s="2152"/>
      <c r="AW316" s="2152"/>
      <c r="AX316" s="2152"/>
      <c r="AY316" s="2152"/>
      <c r="AZ316" s="2152"/>
      <c r="BA316" s="2152"/>
      <c r="BB316" s="2152"/>
      <c r="BC316" s="2152"/>
      <c r="BD316" s="2152"/>
      <c r="BE316" s="2152"/>
      <c r="BF316" s="2152"/>
      <c r="BG316" s="2152"/>
      <c r="BH316" s="2152"/>
      <c r="BI316" s="2152"/>
      <c r="BJ316" s="2152"/>
      <c r="BK316" s="2152"/>
      <c r="BL316" s="2152"/>
      <c r="BM316" s="2152"/>
      <c r="BN316" s="2152"/>
      <c r="BO316" s="2153"/>
      <c r="BP316" s="2153"/>
      <c r="BQ316" s="2153"/>
      <c r="BR316" s="2153"/>
      <c r="BS316" s="2153"/>
      <c r="BT316" s="2153"/>
      <c r="BU316" s="2153"/>
      <c r="BV316" s="2153"/>
      <c r="BW316" s="2153"/>
      <c r="BX316" s="2153"/>
      <c r="BY316" s="2153"/>
      <c r="BZ316" s="2153"/>
      <c r="CA316" s="34"/>
      <c r="CC316" s="58"/>
      <c r="CD316" s="2154" t="str" cm="1">
        <f t="array" ca="1" aca="1" ref="CD316">_xlfn.LET(_xlpm.search_key,$W316&amp;$Y316,_xlpm.Scenario,_xlfn.VSTACK($W$20:$W$55&amp;$Y$20:$Y$55,$W$76:$W$110&amp;$Y$76:$Y$110),_xlpm.Data,_xlfn.VSTACK(CD$20:CE$55,CD$76:CE$110),IF(OR($Y316="",ISNUMBER(SEARCH("please",$Y316))),"",_xlfn.XLOOKUP(_xlpm.search_key,_xlpm.Scenario,_xlpm.Data,"▧")))</f>
        <v/>
      </c>
      <c r="CE316" s="2154"/>
      <c r="CF316" s="88"/>
      <c r="CG316" s="2154" t="str" cm="1">
        <f t="array" ca="1" aca="1" ref="CG316">_xlfn.LET(_xlpm.search_key,$W316&amp;$Y316,_xlpm.Scenario,_xlfn.VSTACK($W$20:$W$55&amp;$Y$20:$Y$55,$W$76:$W$110&amp;$Y$76:$Y$110),_xlpm.Data,_xlfn.VSTACK(CG$20:CH$55,CG$76:CH$110),IF(OR($Y316="",ISNUMBER(SEARCH("please",$Y316))),"",_xlfn.XLOOKUP(_xlpm.search_key,_xlpm.Scenario,_xlpm.Data,"▧")))</f>
        <v/>
      </c>
      <c r="CH316" s="2154"/>
      <c r="CI316" s="88"/>
      <c r="CJ316" s="2154" t="str" cm="1">
        <f t="array" ref="CJ316">_xlfn.LET(_xlpm.search_key,$W316&amp;$Y316,_xlpm.Scenario,_xlfn.VSTACK($W$20:$W$55&amp;$Y$20:$Y$55,$W$76:$W$110&amp;$Y$76:$Y$110),_xlpm.Data,_xlfn.VSTACK(CJ$20:CK$55,CJ$76:CK$110),IF(OR($Y316="",ISNUMBER(SEARCH("please",$Y316))),"",_xlfn.XLOOKUP(_xlpm.search_key,_xlpm.Scenario,_xlpm.Data,"▧")))</f>
        <v/>
      </c>
      <c r="CK316" s="2154"/>
      <c r="CL316" s="88"/>
      <c r="CM316" s="2154" t="str" cm="1">
        <f t="array" ca="1" aca="1" ref="CM316">_xlfn.LET(_xlpm.search_key,$W316&amp;$Y316,_xlpm.Scenario,_xlfn.VSTACK($W$20:$W$55&amp;$Y$20:$Y$55,$W$76:$W$110&amp;$Y$76:$Y$110),_xlpm.Data,_xlfn.VSTACK(CM$20:CN$55,CM$76:CN$110),IF(OR($Y316="",ISNUMBER(SEARCH("please",$Y316))),"",_xlfn.XLOOKUP(_xlpm.search_key,_xlpm.Scenario,_xlpm.Data,"▧")))</f>
        <v/>
      </c>
      <c r="CN316" s="2154"/>
      <c r="CO316" s="88"/>
      <c r="CP316" s="2154" t="str" cm="1">
        <f t="array" ca="1" aca="1" ref="CP316">_xlfn.LET(_xlpm.search_key,$W316&amp;$Y316,_xlpm.Scenario,_xlfn.VSTACK($W$20:$W$55&amp;$Y$20:$Y$55,$W$76:$W$110&amp;$Y$76:$Y$110),_xlpm.Data,_xlfn.VSTACK(CP$20:CQ$55,CP$76:CQ$110),IF(OR($Y316="",ISNUMBER(SEARCH("please",$Y316))),"",_xlfn.XLOOKUP(_xlpm.search_key,_xlpm.Scenario,_xlpm.Data,"▧")))</f>
        <v/>
      </c>
      <c r="CQ316" s="2154"/>
      <c r="CR316" s="34"/>
      <c r="CS316" s="2056"/>
    </row>
    <row r="317" spans="1:97" ht="21" customHeight="1">
      <c r="A317" s="1627"/>
      <c r="B317" s="2331"/>
      <c r="C317" s="2084"/>
      <c r="D317" s="1549"/>
      <c r="E317" s="1902"/>
      <c r="F317" s="401"/>
      <c r="G317" s="401"/>
      <c r="H317" s="585"/>
      <c r="I317" s="585"/>
      <c r="J317" s="401"/>
      <c r="K317" s="401"/>
      <c r="N317" s="158"/>
      <c r="O317" s="101"/>
      <c r="P317" s="52"/>
      <c r="Q317" s="101"/>
      <c r="R317" s="101"/>
      <c r="S317" s="101"/>
      <c r="T317" s="101"/>
      <c r="U317" s="39"/>
      <c r="V317" s="37"/>
      <c r="W317" s="2329"/>
      <c r="X317" s="2081"/>
      <c r="Y317" s="2367"/>
      <c r="Z317" s="198"/>
      <c r="AA317" s="2136"/>
      <c r="AB317" s="1134"/>
      <c r="AC317" s="125"/>
      <c r="AD317" s="2152" t="str" cm="1">
        <f t="array" ca="1" aca="1" ref="AD317">_xlfn.LET(_xlpm.search_key,$W317&amp;$Y317,_xlpm.Scenario,_xlfn.VSTACK($W$20:$W$55&amp;$Y$20:$Y$55,$W$76:$W$110&amp;$Y$76:$Y$110),_xlpm.Data,_xlfn.VSTACK($AD$20:$BN$55,$AD$76:$BN$110),IF(OR($Y317="",ISNUMBER(SEARCH("please",$Y317))),"",_xlfn.XLOOKUP(_xlpm.search_key,_xlpm.Scenario,_xlpm.Data,"▧",2)))</f>
        <v/>
      </c>
      <c r="AE317" s="2152"/>
      <c r="AF317" s="2152"/>
      <c r="AG317" s="2152"/>
      <c r="AH317" s="2152"/>
      <c r="AI317" s="2152"/>
      <c r="AJ317" s="2152"/>
      <c r="AK317" s="2152"/>
      <c r="AL317" s="2152"/>
      <c r="AM317" s="2152"/>
      <c r="AN317" s="2152"/>
      <c r="AO317" s="2152"/>
      <c r="AP317" s="2152"/>
      <c r="AQ317" s="2152"/>
      <c r="AR317" s="2152"/>
      <c r="AS317" s="2152"/>
      <c r="AT317" s="2152"/>
      <c r="AU317" s="2152"/>
      <c r="AV317" s="2152"/>
      <c r="AW317" s="2152"/>
      <c r="AX317" s="2152"/>
      <c r="AY317" s="2152"/>
      <c r="AZ317" s="2152"/>
      <c r="BA317" s="2152"/>
      <c r="BB317" s="2152"/>
      <c r="BC317" s="2152"/>
      <c r="BD317" s="2152"/>
      <c r="BE317" s="2152"/>
      <c r="BF317" s="2152"/>
      <c r="BG317" s="2152"/>
      <c r="BH317" s="2152"/>
      <c r="BI317" s="2152"/>
      <c r="BJ317" s="2152"/>
      <c r="BK317" s="2152"/>
      <c r="BL317" s="2152"/>
      <c r="BM317" s="2152"/>
      <c r="BN317" s="2152"/>
      <c r="BO317" s="2153"/>
      <c r="BP317" s="2153"/>
      <c r="BQ317" s="2153"/>
      <c r="BR317" s="2153"/>
      <c r="BS317" s="2153"/>
      <c r="BT317" s="2153"/>
      <c r="BU317" s="2153"/>
      <c r="BV317" s="2153"/>
      <c r="BW317" s="2153"/>
      <c r="BX317" s="2153"/>
      <c r="BY317" s="2153"/>
      <c r="BZ317" s="2153"/>
      <c r="CA317" s="34"/>
      <c r="CC317" s="58"/>
      <c r="CD317" s="2154" t="str" cm="1">
        <f t="array" ca="1" aca="1" ref="CD317">_xlfn.LET(_xlpm.search_key,$W317&amp;$Y317,_xlpm.Scenario,_xlfn.VSTACK($W$20:$W$55&amp;$Y$20:$Y$55,$W$76:$W$110&amp;$Y$76:$Y$110),_xlpm.Data,_xlfn.VSTACK(CD$20:CE$55,CD$76:CE$110),IF(OR($Y317="",ISNUMBER(SEARCH("please",$Y317))),"",_xlfn.XLOOKUP(_xlpm.search_key,_xlpm.Scenario,_xlpm.Data,"▧")))</f>
        <v/>
      </c>
      <c r="CE317" s="2154"/>
      <c r="CF317" s="88"/>
      <c r="CG317" s="2154" t="str" cm="1">
        <f t="array" ca="1" aca="1" ref="CG317">_xlfn.LET(_xlpm.search_key,$W317&amp;$Y317,_xlpm.Scenario,_xlfn.VSTACK($W$20:$W$55&amp;$Y$20:$Y$55,$W$76:$W$110&amp;$Y$76:$Y$110),_xlpm.Data,_xlfn.VSTACK(CG$20:CH$55,CG$76:CH$110),IF(OR($Y317="",ISNUMBER(SEARCH("please",$Y317))),"",_xlfn.XLOOKUP(_xlpm.search_key,_xlpm.Scenario,_xlpm.Data,"▧")))</f>
        <v/>
      </c>
      <c r="CH317" s="2154"/>
      <c r="CI317" s="88"/>
      <c r="CJ317" s="2154" t="str" cm="1">
        <f t="array" ref="CJ317">_xlfn.LET(_xlpm.search_key,$W317&amp;$Y317,_xlpm.Scenario,_xlfn.VSTACK($W$20:$W$55&amp;$Y$20:$Y$55,$W$76:$W$110&amp;$Y$76:$Y$110),_xlpm.Data,_xlfn.VSTACK(CJ$20:CK$55,CJ$76:CK$110),IF(OR($Y317="",ISNUMBER(SEARCH("please",$Y317))),"",_xlfn.XLOOKUP(_xlpm.search_key,_xlpm.Scenario,_xlpm.Data,"▧")))</f>
        <v/>
      </c>
      <c r="CK317" s="2154"/>
      <c r="CL317" s="88"/>
      <c r="CM317" s="2154" t="str" cm="1">
        <f t="array" ca="1" aca="1" ref="CM317">_xlfn.LET(_xlpm.search_key,$W317&amp;$Y317,_xlpm.Scenario,_xlfn.VSTACK($W$20:$W$55&amp;$Y$20:$Y$55,$W$76:$W$110&amp;$Y$76:$Y$110),_xlpm.Data,_xlfn.VSTACK(CM$20:CN$55,CM$76:CN$110),IF(OR($Y317="",ISNUMBER(SEARCH("please",$Y317))),"",_xlfn.XLOOKUP(_xlpm.search_key,_xlpm.Scenario,_xlpm.Data,"▧")))</f>
        <v/>
      </c>
      <c r="CN317" s="2154"/>
      <c r="CO317" s="88"/>
      <c r="CP317" s="2154" t="str" cm="1">
        <f t="array" ca="1" aca="1" ref="CP317">_xlfn.LET(_xlpm.search_key,$W317&amp;$Y317,_xlpm.Scenario,_xlfn.VSTACK($W$20:$W$55&amp;$Y$20:$Y$55,$W$76:$W$110&amp;$Y$76:$Y$110),_xlpm.Data,_xlfn.VSTACK(CP$20:CQ$55,CP$76:CQ$110),IF(OR($Y317="",ISNUMBER(SEARCH("please",$Y317))),"",_xlfn.XLOOKUP(_xlpm.search_key,_xlpm.Scenario,_xlpm.Data,"▧")))</f>
        <v/>
      </c>
      <c r="CQ317" s="2154"/>
      <c r="CR317" s="34"/>
      <c r="CS317" s="2056"/>
    </row>
    <row r="318" spans="1:97" ht="21" customHeight="1">
      <c r="A318" s="1627"/>
      <c r="B318" s="2331"/>
      <c r="C318" s="2084"/>
      <c r="D318" s="1549"/>
      <c r="E318" s="1902"/>
      <c r="F318" s="401"/>
      <c r="G318" s="401"/>
      <c r="H318" s="585"/>
      <c r="I318" s="585"/>
      <c r="J318" s="401"/>
      <c r="K318" s="401"/>
      <c r="N318" s="158"/>
      <c r="O318" s="101"/>
      <c r="P318" s="52"/>
      <c r="Q318" s="101"/>
      <c r="R318" s="101"/>
      <c r="S318" s="101"/>
      <c r="T318" s="101"/>
      <c r="U318" s="39"/>
      <c r="V318" s="37"/>
      <c r="W318" s="2329"/>
      <c r="X318" s="2081"/>
      <c r="Y318" s="2367"/>
      <c r="Z318" s="198"/>
      <c r="AA318" s="2136"/>
      <c r="AB318" s="1134"/>
      <c r="AC318" s="125"/>
      <c r="AD318" s="2152" t="str" cm="1">
        <f t="array" ca="1" aca="1" ref="AD318">_xlfn.LET(_xlpm.search_key,$W318&amp;$Y318,_xlpm.Scenario,_xlfn.VSTACK($W$20:$W$55&amp;$Y$20:$Y$55,$W$76:$W$110&amp;$Y$76:$Y$110),_xlpm.Data,_xlfn.VSTACK($AD$20:$BN$55,$AD$76:$BN$110),IF(OR($Y318="",ISNUMBER(SEARCH("please",$Y318))),"",_xlfn.XLOOKUP(_xlpm.search_key,_xlpm.Scenario,_xlpm.Data,"▧",2)))</f>
        <v/>
      </c>
      <c r="AE318" s="2152"/>
      <c r="AF318" s="2152"/>
      <c r="AG318" s="2152"/>
      <c r="AH318" s="2152"/>
      <c r="AI318" s="2152"/>
      <c r="AJ318" s="2152"/>
      <c r="AK318" s="2152"/>
      <c r="AL318" s="2152"/>
      <c r="AM318" s="2152"/>
      <c r="AN318" s="2152"/>
      <c r="AO318" s="2152"/>
      <c r="AP318" s="2152"/>
      <c r="AQ318" s="2152"/>
      <c r="AR318" s="2152"/>
      <c r="AS318" s="2152"/>
      <c r="AT318" s="2152"/>
      <c r="AU318" s="2152"/>
      <c r="AV318" s="2152"/>
      <c r="AW318" s="2152"/>
      <c r="AX318" s="2152"/>
      <c r="AY318" s="2152"/>
      <c r="AZ318" s="2152"/>
      <c r="BA318" s="2152"/>
      <c r="BB318" s="2152"/>
      <c r="BC318" s="2152"/>
      <c r="BD318" s="2152"/>
      <c r="BE318" s="2152"/>
      <c r="BF318" s="2152"/>
      <c r="BG318" s="2152"/>
      <c r="BH318" s="2152"/>
      <c r="BI318" s="2152"/>
      <c r="BJ318" s="2152"/>
      <c r="BK318" s="2152"/>
      <c r="BL318" s="2152"/>
      <c r="BM318" s="2152"/>
      <c r="BN318" s="2152"/>
      <c r="BO318" s="2153"/>
      <c r="BP318" s="2153"/>
      <c r="BQ318" s="2153"/>
      <c r="BR318" s="2153"/>
      <c r="BS318" s="2153"/>
      <c r="BT318" s="2153"/>
      <c r="BU318" s="2153"/>
      <c r="BV318" s="2153"/>
      <c r="BW318" s="2153"/>
      <c r="BX318" s="2153"/>
      <c r="BY318" s="2153"/>
      <c r="BZ318" s="2153"/>
      <c r="CA318" s="34"/>
      <c r="CC318" s="58"/>
      <c r="CD318" s="2154" t="str" cm="1">
        <f t="array" ca="1" aca="1" ref="CD318">_xlfn.LET(_xlpm.search_key,$W318&amp;$Y318,_xlpm.Scenario,_xlfn.VSTACK($W$20:$W$55&amp;$Y$20:$Y$55,$W$76:$W$110&amp;$Y$76:$Y$110),_xlpm.Data,_xlfn.VSTACK(CD$20:CE$55,CD$76:CE$110),IF(OR($Y318="",ISNUMBER(SEARCH("please",$Y318))),"",_xlfn.XLOOKUP(_xlpm.search_key,_xlpm.Scenario,_xlpm.Data,"▧")))</f>
        <v/>
      </c>
      <c r="CE318" s="2154"/>
      <c r="CF318" s="88"/>
      <c r="CG318" s="2154" t="str" cm="1">
        <f t="array" ca="1" aca="1" ref="CG318">_xlfn.LET(_xlpm.search_key,$W318&amp;$Y318,_xlpm.Scenario,_xlfn.VSTACK($W$20:$W$55&amp;$Y$20:$Y$55,$W$76:$W$110&amp;$Y$76:$Y$110),_xlpm.Data,_xlfn.VSTACK(CG$20:CH$55,CG$76:CH$110),IF(OR($Y318="",ISNUMBER(SEARCH("please",$Y318))),"",_xlfn.XLOOKUP(_xlpm.search_key,_xlpm.Scenario,_xlpm.Data,"▧")))</f>
        <v/>
      </c>
      <c r="CH318" s="2154"/>
      <c r="CI318" s="88"/>
      <c r="CJ318" s="2154" t="str" cm="1">
        <f t="array" ref="CJ318">_xlfn.LET(_xlpm.search_key,$W318&amp;$Y318,_xlpm.Scenario,_xlfn.VSTACK($W$20:$W$55&amp;$Y$20:$Y$55,$W$76:$W$110&amp;$Y$76:$Y$110),_xlpm.Data,_xlfn.VSTACK(CJ$20:CK$55,CJ$76:CK$110),IF(OR($Y318="",ISNUMBER(SEARCH("please",$Y318))),"",_xlfn.XLOOKUP(_xlpm.search_key,_xlpm.Scenario,_xlpm.Data,"▧")))</f>
        <v/>
      </c>
      <c r="CK318" s="2154"/>
      <c r="CL318" s="88"/>
      <c r="CM318" s="2154" t="str" cm="1">
        <f t="array" ca="1" aca="1" ref="CM318">_xlfn.LET(_xlpm.search_key,$W318&amp;$Y318,_xlpm.Scenario,_xlfn.VSTACK($W$20:$W$55&amp;$Y$20:$Y$55,$W$76:$W$110&amp;$Y$76:$Y$110),_xlpm.Data,_xlfn.VSTACK(CM$20:CN$55,CM$76:CN$110),IF(OR($Y318="",ISNUMBER(SEARCH("please",$Y318))),"",_xlfn.XLOOKUP(_xlpm.search_key,_xlpm.Scenario,_xlpm.Data,"▧")))</f>
        <v/>
      </c>
      <c r="CN318" s="2154"/>
      <c r="CO318" s="88"/>
      <c r="CP318" s="2154" t="str" cm="1">
        <f t="array" ca="1" aca="1" ref="CP318">_xlfn.LET(_xlpm.search_key,$W318&amp;$Y318,_xlpm.Scenario,_xlfn.VSTACK($W$20:$W$55&amp;$Y$20:$Y$55,$W$76:$W$110&amp;$Y$76:$Y$110),_xlpm.Data,_xlfn.VSTACK(CP$20:CQ$55,CP$76:CQ$110),IF(OR($Y318="",ISNUMBER(SEARCH("please",$Y318))),"",_xlfn.XLOOKUP(_xlpm.search_key,_xlpm.Scenario,_xlpm.Data,"▧")))</f>
        <v/>
      </c>
      <c r="CQ318" s="2154"/>
      <c r="CR318" s="34"/>
      <c r="CS318" s="2056"/>
    </row>
    <row r="319" spans="1:97" ht="21" customHeight="1">
      <c r="A319" s="1627"/>
      <c r="B319" s="2331" t="s">
        <v>216</v>
      </c>
      <c r="C319" s="577" t="e" cm="1">
        <f t="array" ca="1" aca="1" ref="C319">IFBLANK(_xldudf_CX_GET(CX_ENTITY,B319,val_asOfDate),D319)</f>
        <v>#NAME?</v>
      </c>
      <c r="D319" s="1549" t="s">
        <v>1853</v>
      </c>
      <c r="E319" s="2135"/>
      <c r="F319" s="401"/>
      <c r="G319" s="401"/>
      <c r="H319" s="585"/>
      <c r="I319" s="585"/>
      <c r="J319" s="401"/>
      <c r="K319" s="401" t="s">
        <v>561</v>
      </c>
      <c r="N319" s="158"/>
      <c r="O319" s="101"/>
      <c r="P319" s="52"/>
      <c r="Q319" s="101"/>
      <c r="R319" s="101"/>
      <c r="S319" s="101"/>
      <c r="T319" s="101"/>
      <c r="U319" s="39"/>
      <c r="V319" s="37"/>
      <c r="W319" s="2330"/>
      <c r="X319" s="2325"/>
      <c r="Y319" s="2326"/>
      <c r="Z319" s="2322"/>
      <c r="AA319" s="2323"/>
      <c r="AB319" s="1134"/>
      <c r="AC319" s="125"/>
      <c r="AD319" s="2152">
        <f ca="1">SUMPRODUCT($X313:$X318,AD313:AD318)</f>
        <v>0</v>
      </c>
      <c r="AE319" s="2152">
        <f t="shared" si="120" ref="AE319:BN319">SUMPRODUCT($X313:$X318,AE313:AE318)</f>
        <v>0</v>
      </c>
      <c r="AF319" s="2152">
        <f t="shared" si="120"/>
        <v>0</v>
      </c>
      <c r="AG319" s="2152">
        <f t="shared" si="120"/>
        <v>0</v>
      </c>
      <c r="AH319" s="2152">
        <f t="shared" si="120"/>
        <v>0</v>
      </c>
      <c r="AI319" s="2152">
        <f t="shared" si="120"/>
        <v>0</v>
      </c>
      <c r="AJ319" s="2152">
        <f t="shared" si="120"/>
        <v>0</v>
      </c>
      <c r="AK319" s="2152">
        <f t="shared" si="120"/>
        <v>0</v>
      </c>
      <c r="AL319" s="2152">
        <f t="shared" si="120"/>
        <v>0</v>
      </c>
      <c r="AM319" s="2152">
        <f t="shared" si="120"/>
        <v>0</v>
      </c>
      <c r="AN319" s="2152">
        <f t="shared" si="120"/>
        <v>0</v>
      </c>
      <c r="AO319" s="2152">
        <f t="shared" si="120"/>
        <v>0</v>
      </c>
      <c r="AP319" s="2152">
        <f t="shared" si="120"/>
        <v>0</v>
      </c>
      <c r="AQ319" s="2152">
        <f t="shared" si="120"/>
        <v>0</v>
      </c>
      <c r="AR319" s="2152">
        <f t="shared" si="120"/>
        <v>0</v>
      </c>
      <c r="AS319" s="2152">
        <f t="shared" si="120"/>
        <v>0</v>
      </c>
      <c r="AT319" s="2152">
        <f t="shared" si="120"/>
        <v>0</v>
      </c>
      <c r="AU319" s="2152">
        <f t="shared" si="120"/>
        <v>0</v>
      </c>
      <c r="AV319" s="2152">
        <f t="shared" si="120"/>
        <v>0</v>
      </c>
      <c r="AW319" s="2152">
        <f t="shared" si="120"/>
        <v>0</v>
      </c>
      <c r="AX319" s="2152">
        <f t="shared" si="120"/>
        <v>0</v>
      </c>
      <c r="AY319" s="2152">
        <f t="shared" si="120"/>
        <v>0</v>
      </c>
      <c r="AZ319" s="2152">
        <f t="shared" si="120"/>
        <v>0</v>
      </c>
      <c r="BA319" s="2152">
        <f t="shared" si="120"/>
        <v>0</v>
      </c>
      <c r="BB319" s="2152">
        <f t="shared" si="120"/>
        <v>0</v>
      </c>
      <c r="BC319" s="2152">
        <f t="shared" si="120"/>
        <v>0</v>
      </c>
      <c r="BD319" s="2152">
        <f t="shared" si="120"/>
        <v>0</v>
      </c>
      <c r="BE319" s="2152">
        <f t="shared" si="120"/>
        <v>0</v>
      </c>
      <c r="BF319" s="2152">
        <f t="shared" si="120"/>
        <v>0</v>
      </c>
      <c r="BG319" s="2152">
        <f t="shared" si="120"/>
        <v>0</v>
      </c>
      <c r="BH319" s="2152">
        <f t="shared" si="120"/>
        <v>0</v>
      </c>
      <c r="BI319" s="2152">
        <f t="shared" si="120"/>
        <v>0</v>
      </c>
      <c r="BJ319" s="2152">
        <f t="shared" si="120"/>
        <v>0</v>
      </c>
      <c r="BK319" s="2152">
        <f t="shared" si="120"/>
        <v>0</v>
      </c>
      <c r="BL319" s="2152">
        <f t="shared" si="120"/>
        <v>0</v>
      </c>
      <c r="BM319" s="2152">
        <f t="shared" si="120"/>
        <v>0</v>
      </c>
      <c r="BN319" s="2152">
        <f t="shared" si="120"/>
        <v>0</v>
      </c>
      <c r="BO319" s="2153"/>
      <c r="BP319" s="2153"/>
      <c r="BQ319" s="2153"/>
      <c r="BR319" s="2153"/>
      <c r="BS319" s="2153"/>
      <c r="BT319" s="2153"/>
      <c r="BU319" s="2153"/>
      <c r="BV319" s="2153"/>
      <c r="BW319" s="2153"/>
      <c r="BX319" s="2153"/>
      <c r="BY319" s="2153"/>
      <c r="BZ319" s="2153"/>
      <c r="CA319" s="34"/>
      <c r="CC319" s="58"/>
      <c r="CD319" s="2152">
        <f ca="1">SUMPRODUCT($X313:$X318,CD313:CD318)</f>
        <v>0</v>
      </c>
      <c r="CE319" s="2152">
        <f t="shared" si="121" ref="CE319">SUMPRODUCT($X313:$X316,CE313:CE316)</f>
        <v>0</v>
      </c>
      <c r="CF319" s="88"/>
      <c r="CG319" s="2152">
        <f ca="1">SUMPRODUCT($X313:$X318,CG313:CG318)</f>
        <v>0</v>
      </c>
      <c r="CH319" s="2152">
        <f t="shared" si="122" ref="CH319">SUMPRODUCT($X313:$X316,CH313:CH316)</f>
        <v>0</v>
      </c>
      <c r="CI319" s="88"/>
      <c r="CJ319" s="2152">
        <f>SUMPRODUCT($X313:$X318,CJ313:CJ318)</f>
        <v>0</v>
      </c>
      <c r="CK319" s="2152">
        <f t="shared" si="123" ref="CK319">SUMPRODUCT($X313:$X316,CK313:CK316)</f>
        <v>0</v>
      </c>
      <c r="CL319" s="88"/>
      <c r="CM319" s="2152">
        <f ca="1">SUMPRODUCT($X313:$X318,CM313:CM318)</f>
        <v>0</v>
      </c>
      <c r="CN319" s="2152">
        <f t="shared" si="124" ref="CN319">SUMPRODUCT($X313:$X316,CN313:CN316)</f>
        <v>0</v>
      </c>
      <c r="CO319" s="88"/>
      <c r="CP319" s="2152">
        <f ca="1">SUMPRODUCT($X313:$X318,CP313:CP318)</f>
        <v>0</v>
      </c>
      <c r="CQ319" s="2152">
        <f t="shared" si="125" ref="CQ319">SUMPRODUCT($X313:$X316,CQ313:CQ316)</f>
        <v>0</v>
      </c>
      <c r="CR319" s="34"/>
      <c r="CS319" s="2056"/>
    </row>
    <row r="320" spans="1:144" s="108" customFormat="1" ht="21" customHeight="1">
      <c r="A320" s="1628"/>
      <c r="B320" s="2084"/>
      <c r="C320" s="2084"/>
      <c r="D320" s="1549"/>
      <c r="E320" s="2135"/>
      <c r="F320" s="401"/>
      <c r="G320" s="401"/>
      <c r="H320" s="585"/>
      <c r="I320" s="585"/>
      <c r="J320" s="401"/>
      <c r="K320" s="401"/>
      <c r="N320" s="2134"/>
      <c r="O320" s="101"/>
      <c r="P320" s="101"/>
      <c r="Q320" s="101"/>
      <c r="R320" s="101"/>
      <c r="S320" s="101"/>
      <c r="T320" s="101"/>
      <c r="U320" s="101"/>
      <c r="V320" s="822"/>
      <c r="W320" s="2332"/>
      <c r="X320" s="2080"/>
      <c r="Y320" s="2315"/>
      <c r="Z320" s="2316"/>
      <c r="AA320" s="2316"/>
      <c r="AB320" s="88"/>
      <c r="AC320" s="128"/>
      <c r="AD320" s="2317"/>
      <c r="AE320" s="2317"/>
      <c r="AF320" s="2317"/>
      <c r="AG320" s="2317"/>
      <c r="AH320" s="2317"/>
      <c r="AI320" s="2317"/>
      <c r="AJ320" s="2317"/>
      <c r="AK320" s="2317"/>
      <c r="AL320" s="2317"/>
      <c r="AM320" s="2317"/>
      <c r="AN320" s="2317"/>
      <c r="AO320" s="2317"/>
      <c r="AP320" s="2317"/>
      <c r="AQ320" s="2317"/>
      <c r="AR320" s="2317"/>
      <c r="AS320" s="2317"/>
      <c r="AT320" s="2317"/>
      <c r="AU320" s="2317"/>
      <c r="AV320" s="2317"/>
      <c r="AW320" s="2317"/>
      <c r="AX320" s="2317"/>
      <c r="AY320" s="2317"/>
      <c r="AZ320" s="2317"/>
      <c r="BA320" s="2317"/>
      <c r="BB320" s="2317"/>
      <c r="BC320" s="2317"/>
      <c r="BD320" s="2317"/>
      <c r="BE320" s="2317"/>
      <c r="BF320" s="2317"/>
      <c r="BG320" s="2317"/>
      <c r="BH320" s="2317"/>
      <c r="BI320" s="2317"/>
      <c r="BJ320" s="2317"/>
      <c r="BK320" s="2317"/>
      <c r="BL320" s="2317"/>
      <c r="BM320" s="2317"/>
      <c r="BN320" s="2317"/>
      <c r="BO320" s="2318"/>
      <c r="BP320" s="2318"/>
      <c r="BQ320" s="2318"/>
      <c r="BR320" s="2318"/>
      <c r="BS320" s="2318"/>
      <c r="BT320" s="2318"/>
      <c r="BU320" s="2318"/>
      <c r="BV320" s="2318"/>
      <c r="BW320" s="2318"/>
      <c r="BX320" s="2318"/>
      <c r="BY320" s="2318"/>
      <c r="BZ320" s="2318"/>
      <c r="CA320" s="88"/>
      <c r="CC320" s="383"/>
      <c r="CD320" s="2319"/>
      <c r="CE320" s="2319"/>
      <c r="CF320" s="88"/>
      <c r="CG320" s="2319"/>
      <c r="CH320" s="2319"/>
      <c r="CI320" s="88"/>
      <c r="CJ320" s="2319"/>
      <c r="CK320" s="2319"/>
      <c r="CL320" s="88"/>
      <c r="CM320" s="2320"/>
      <c r="CN320" s="2320"/>
      <c r="CO320" s="88"/>
      <c r="CP320" s="2320"/>
      <c r="CQ320" s="2320"/>
      <c r="CR320" s="88"/>
      <c r="CS320" s="2321"/>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row>
    <row r="321" spans="1:97" ht="21" customHeight="1">
      <c r="A321" s="1627"/>
      <c r="B321" s="2084"/>
      <c r="C321" s="2084"/>
      <c r="D321" s="1549"/>
      <c r="E321" s="2135"/>
      <c r="F321" s="401"/>
      <c r="G321" s="401"/>
      <c r="H321" s="585"/>
      <c r="I321" s="585"/>
      <c r="J321" s="401"/>
      <c r="K321" s="401"/>
      <c r="N321" s="158"/>
      <c r="O321" s="101"/>
      <c r="P321" s="52"/>
      <c r="Q321" s="101"/>
      <c r="R321" s="101"/>
      <c r="S321" s="18"/>
      <c r="T321" s="18"/>
      <c r="U321" s="39"/>
      <c r="V321" s="37"/>
      <c r="W321" s="2328" t="e" cm="1">
        <f t="array" ca="1" aca="1" ref="W321">UNPACK(C328)</f>
        <v>#NAME?</v>
      </c>
      <c r="X321" s="2137"/>
      <c r="Y321" s="2327"/>
      <c r="Z321" s="2139"/>
      <c r="AA321" s="2140"/>
      <c r="AB321" s="2141" t="s">
        <v>199</v>
      </c>
      <c r="AC321" s="2138"/>
      <c r="AD321" s="2138"/>
      <c r="AE321" s="2138"/>
      <c r="AF321" s="2138"/>
      <c r="AG321" s="2138"/>
      <c r="AH321" s="2138"/>
      <c r="AI321" s="2138"/>
      <c r="AJ321" s="2138"/>
      <c r="AK321" s="2138"/>
      <c r="AL321" s="2138"/>
      <c r="AM321" s="2138"/>
      <c r="AN321" s="2138"/>
      <c r="AO321" s="2138"/>
      <c r="AP321" s="2138"/>
      <c r="AQ321" s="2138"/>
      <c r="AR321" s="2138"/>
      <c r="AS321" s="2138"/>
      <c r="AT321" s="2138"/>
      <c r="AU321" s="2138"/>
      <c r="AV321" s="2138"/>
      <c r="AW321" s="2138"/>
      <c r="AX321" s="2138"/>
      <c r="AY321" s="2138"/>
      <c r="AZ321" s="2138"/>
      <c r="BA321" s="2138"/>
      <c r="BB321" s="2138"/>
      <c r="BC321" s="2138"/>
      <c r="BD321" s="2138"/>
      <c r="BE321" s="2138"/>
      <c r="BF321" s="2138"/>
      <c r="BG321" s="2138"/>
      <c r="BH321" s="2138"/>
      <c r="BI321" s="2138"/>
      <c r="BJ321" s="2138"/>
      <c r="BK321" s="2138"/>
      <c r="BL321" s="2138"/>
      <c r="BM321" s="2138"/>
      <c r="BN321" s="2138"/>
      <c r="BO321" s="1634"/>
      <c r="BP321" s="1634"/>
      <c r="BQ321" s="1634"/>
      <c r="BR321" s="1634"/>
      <c r="BS321" s="1634"/>
      <c r="BT321" s="1634"/>
      <c r="BU321" s="1634"/>
      <c r="BV321" s="1634"/>
      <c r="BW321" s="1634"/>
      <c r="BX321" s="1634"/>
      <c r="BY321" s="1634"/>
      <c r="BZ321" s="1634"/>
      <c r="CA321" s="34"/>
      <c r="CC321" s="58"/>
      <c r="CD321" s="1720">
        <f>($W316)</f>
        <v>0</v>
      </c>
      <c r="CE321" s="1721">
        <f>($W316)</f>
        <v>0</v>
      </c>
      <c r="CF321" s="128"/>
      <c r="CG321" s="1734">
        <f>($W316)</f>
        <v>0</v>
      </c>
      <c r="CH321" s="1735">
        <f>($W316)</f>
        <v>0</v>
      </c>
      <c r="CI321" s="207"/>
      <c r="CJ321" s="1724">
        <f>($W316)</f>
        <v>0</v>
      </c>
      <c r="CK321" s="1725">
        <f>($W316)</f>
        <v>0</v>
      </c>
      <c r="CL321" s="88"/>
      <c r="CM321" s="1198" t="str">
        <f>CM$19</f>
        <v>Original Budget</v>
      </c>
      <c r="CN321" s="1198" t="str">
        <f>CN$19</f>
        <v>LE</v>
      </c>
      <c r="CO321" s="88"/>
      <c r="CP321" s="1819" t="str">
        <f>$CP$19</f>
        <v>Original Budget</v>
      </c>
      <c r="CQ321" s="1819" t="str">
        <f>$CQ$19</f>
        <v>LE</v>
      </c>
      <c r="CR321" s="34"/>
      <c r="CS321" s="2056"/>
    </row>
    <row r="322" spans="1:97" ht="21" customHeight="1">
      <c r="A322" s="1627"/>
      <c r="B322" s="2331"/>
      <c r="C322" s="2084"/>
      <c r="D322" s="1549"/>
      <c r="E322" s="1902" cm="1">
        <f t="array" ca="1" aca="1" ref="E322:G32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322:$CQ322,Z322)</f>
        <v>0</v>
      </c>
      <c r="F322" s="401">
        <f ca="1"/>
        <v>0</v>
      </c>
      <c r="G322" s="401" t="str">
        <f ca="1"/>
        <v>A</v>
      </c>
      <c r="H322" s="585">
        <v>0</v>
      </c>
      <c r="I322" s="3290">
        <v>1</v>
      </c>
      <c r="J322" s="401"/>
      <c r="K322" s="401" t="str">
        <f t="shared" si="126" ref="K322:K323">IFERROR(IF(LEN(AB322)=0,"No",IF(LEN(J322)&gt;0,"Yes","No")),"")</f>
        <v>No</v>
      </c>
      <c r="N322" s="158"/>
      <c r="O322" s="101"/>
      <c r="P322" s="52"/>
      <c r="Q322" s="101"/>
      <c r="R322" s="101"/>
      <c r="S322" s="101"/>
      <c r="T322" s="2324"/>
      <c r="U322" s="39"/>
      <c r="V322" s="37"/>
      <c r="W322" s="2329"/>
      <c r="X322" s="2081"/>
      <c r="Y322" s="2366"/>
      <c r="Z322" s="198"/>
      <c r="AA322" s="2136"/>
      <c r="AB322" s="1134"/>
      <c r="AC322" s="125"/>
      <c r="AD322" s="2152" t="str" cm="1">
        <f t="array" ca="1" aca="1" ref="AD322">_xlfn.LET(_xlpm.search_key,$W322&amp;$Y322,_xlpm.Scenario,_xlfn.VSTACK($W$20:$W$55&amp;$Y$20:$Y$55,$W$76:$W$110&amp;$Y$76:$Y$110),_xlpm.Data,_xlfn.VSTACK($AD$20:$BN$55,$AD$76:$BN$110),IF(OR($Y322="",ISNUMBER(SEARCH("please",$Y322))),"",_xlfn.XLOOKUP(_xlpm.search_key,_xlpm.Scenario,_xlpm.Data,"▧",2)))</f>
        <v/>
      </c>
      <c r="AE322" s="2152"/>
      <c r="AF322" s="2152"/>
      <c r="AG322" s="2152"/>
      <c r="AH322" s="2152"/>
      <c r="AI322" s="2152"/>
      <c r="AJ322" s="2152"/>
      <c r="AK322" s="2152"/>
      <c r="AL322" s="2152"/>
      <c r="AM322" s="2152"/>
      <c r="AN322" s="2152"/>
      <c r="AO322" s="2152"/>
      <c r="AP322" s="2152"/>
      <c r="AQ322" s="2152"/>
      <c r="AR322" s="2152"/>
      <c r="AS322" s="2152"/>
      <c r="AT322" s="2152"/>
      <c r="AU322" s="2152"/>
      <c r="AV322" s="2152"/>
      <c r="AW322" s="2152"/>
      <c r="AX322" s="2152"/>
      <c r="AY322" s="2152"/>
      <c r="AZ322" s="2152"/>
      <c r="BA322" s="2152"/>
      <c r="BB322" s="2152"/>
      <c r="BC322" s="2152"/>
      <c r="BD322" s="2152"/>
      <c r="BE322" s="2152"/>
      <c r="BF322" s="2152"/>
      <c r="BG322" s="2152"/>
      <c r="BH322" s="2152"/>
      <c r="BI322" s="2152"/>
      <c r="BJ322" s="2152"/>
      <c r="BK322" s="2152"/>
      <c r="BL322" s="2152"/>
      <c r="BM322" s="2152"/>
      <c r="BN322" s="2152"/>
      <c r="BO322" s="2153"/>
      <c r="BP322" s="2153"/>
      <c r="BQ322" s="2153"/>
      <c r="BR322" s="2153"/>
      <c r="BS322" s="2153"/>
      <c r="BT322" s="2153"/>
      <c r="BU322" s="2153"/>
      <c r="BV322" s="2153"/>
      <c r="BW322" s="2153"/>
      <c r="BX322" s="2153"/>
      <c r="BY322" s="2153"/>
      <c r="BZ322" s="2153"/>
      <c r="CA322" s="34"/>
      <c r="CC322" s="58"/>
      <c r="CD322" s="2154" t="str" cm="1">
        <f t="array" ca="1" aca="1" ref="CD322">_xlfn.LET(_xlpm.search_key,$W322&amp;$Y322,_xlpm.Scenario,_xlfn.VSTACK($W$20:$W$55&amp;$Y$20:$Y$55,$W$76:$W$110&amp;$Y$76:$Y$110),_xlpm.Data,_xlfn.VSTACK(CD$20:CE$55,CD$76:CE$110),IF(OR($Y322="",ISNUMBER(SEARCH("please",$Y322))),"",_xlfn.XLOOKUP(_xlpm.search_key,_xlpm.Scenario,_xlpm.Data,"▧")))</f>
        <v/>
      </c>
      <c r="CE322" s="2154"/>
      <c r="CF322" s="88"/>
      <c r="CG322" s="2154" t="str" cm="1">
        <f t="array" ca="1" aca="1" ref="CG322">_xlfn.LET(_xlpm.search_key,$W322&amp;$Y322,_xlpm.Scenario,_xlfn.VSTACK($W$20:$W$55&amp;$Y$20:$Y$55,$W$76:$W$110&amp;$Y$76:$Y$110),_xlpm.Data,_xlfn.VSTACK(CG$20:CH$55,CG$76:CH$110),IF(OR($Y322="",ISNUMBER(SEARCH("please",$Y322))),"",_xlfn.XLOOKUP(_xlpm.search_key,_xlpm.Scenario,_xlpm.Data,"▧")))</f>
        <v/>
      </c>
      <c r="CH322" s="2154"/>
      <c r="CI322" s="88"/>
      <c r="CJ322" s="2154" t="str" cm="1">
        <f t="array" ref="CJ322">_xlfn.LET(_xlpm.search_key,$W322&amp;$Y322,_xlpm.Scenario,_xlfn.VSTACK($W$20:$W$55&amp;$Y$20:$Y$55,$W$76:$W$110&amp;$Y$76:$Y$110),_xlpm.Data,_xlfn.VSTACK(CJ$20:CK$55,CJ$76:CK$110),IF(OR($Y322="",ISNUMBER(SEARCH("please",$Y322))),"",_xlfn.XLOOKUP(_xlpm.search_key,_xlpm.Scenario,_xlpm.Data,"▧")))</f>
        <v/>
      </c>
      <c r="CK322" s="2154"/>
      <c r="CL322" s="88"/>
      <c r="CM322" s="2154" t="str" cm="1">
        <f t="array" ca="1" aca="1" ref="CM322">_xlfn.LET(_xlpm.search_key,$W322&amp;$Y322,_xlpm.Scenario,_xlfn.VSTACK($W$20:$W$55&amp;$Y$20:$Y$55,$W$76:$W$110&amp;$Y$76:$Y$110),_xlpm.Data,_xlfn.VSTACK(CM$20:CN$55,CM$76:CN$110),IF(OR($Y322="",ISNUMBER(SEARCH("please",$Y322))),"",_xlfn.XLOOKUP(_xlpm.search_key,_xlpm.Scenario,_xlpm.Data,"▧")))</f>
        <v/>
      </c>
      <c r="CN322" s="2154"/>
      <c r="CO322" s="88"/>
      <c r="CP322" s="2154" t="str" cm="1">
        <f t="array" ca="1" aca="1" ref="CP322">_xlfn.LET(_xlpm.search_key,$W322&amp;$Y322,_xlpm.Scenario,_xlfn.VSTACK($W$20:$W$55&amp;$Y$20:$Y$55,$W$76:$W$110&amp;$Y$76:$Y$110),_xlpm.Data,_xlfn.VSTACK(CP$20:CQ$55,CP$76:CQ$110),IF(OR($Y322="",ISNUMBER(SEARCH("please",$Y322))),"",_xlfn.XLOOKUP(_xlpm.search_key,_xlpm.Scenario,_xlpm.Data,"▧")))</f>
        <v/>
      </c>
      <c r="CQ322" s="2154"/>
      <c r="CR322" s="34"/>
      <c r="CS322" s="2056"/>
    </row>
    <row r="323" spans="1:97" ht="21" customHeight="1">
      <c r="A323" s="1627"/>
      <c r="B323" s="2331"/>
      <c r="C323" s="2084"/>
      <c r="D323" s="1549"/>
      <c r="E323" s="1902" cm="1">
        <f t="array" ca="1" aca="1" ref="E323:G32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323:$CQ323,Z323)</f>
        <v>0</v>
      </c>
      <c r="F323" s="401">
        <f ca="1"/>
        <v>0</v>
      </c>
      <c r="G323" s="401" t="str">
        <f ca="1"/>
        <v>A</v>
      </c>
      <c r="H323" s="585">
        <v>0</v>
      </c>
      <c r="I323" s="3290">
        <v>1</v>
      </c>
      <c r="J323" s="401"/>
      <c r="K323" s="401" t="str">
        <f t="shared" si="126"/>
        <v>No</v>
      </c>
      <c r="N323" s="158"/>
      <c r="O323" s="101"/>
      <c r="P323" s="52"/>
      <c r="Q323" s="101"/>
      <c r="R323" s="101"/>
      <c r="S323" s="101"/>
      <c r="T323" s="101"/>
      <c r="U323" s="39"/>
      <c r="V323" s="37"/>
      <c r="W323" s="2329"/>
      <c r="X323" s="2081"/>
      <c r="Y323" s="2367"/>
      <c r="Z323" s="198"/>
      <c r="AA323" s="2136"/>
      <c r="AB323" s="1134"/>
      <c r="AC323" s="125"/>
      <c r="AD323" s="2152" t="str" cm="1">
        <f t="array" ca="1" aca="1" ref="AD323">_xlfn.LET(_xlpm.search_key,$W323&amp;$Y323,_xlpm.Scenario,_xlfn.VSTACK($W$20:$W$55&amp;$Y$20:$Y$55,$W$76:$W$110&amp;$Y$76:$Y$110),_xlpm.Data,_xlfn.VSTACK($AD$20:$BN$55,$AD$76:$BN$110),IF(OR($Y323="",ISNUMBER(SEARCH("please",$Y323))),"",_xlfn.XLOOKUP(_xlpm.search_key,_xlpm.Scenario,_xlpm.Data,"▧",2)))</f>
        <v/>
      </c>
      <c r="AE323" s="2152"/>
      <c r="AF323" s="2152"/>
      <c r="AG323" s="2152"/>
      <c r="AH323" s="2152"/>
      <c r="AI323" s="2152"/>
      <c r="AJ323" s="2152"/>
      <c r="AK323" s="2152"/>
      <c r="AL323" s="2152"/>
      <c r="AM323" s="2152"/>
      <c r="AN323" s="2152"/>
      <c r="AO323" s="2152"/>
      <c r="AP323" s="2152"/>
      <c r="AQ323" s="2152"/>
      <c r="AR323" s="2152"/>
      <c r="AS323" s="2152"/>
      <c r="AT323" s="2152"/>
      <c r="AU323" s="2152"/>
      <c r="AV323" s="2152"/>
      <c r="AW323" s="2152"/>
      <c r="AX323" s="2152"/>
      <c r="AY323" s="2152"/>
      <c r="AZ323" s="2152"/>
      <c r="BA323" s="2152"/>
      <c r="BB323" s="2152"/>
      <c r="BC323" s="2152"/>
      <c r="BD323" s="2152"/>
      <c r="BE323" s="2152"/>
      <c r="BF323" s="2152"/>
      <c r="BG323" s="2152"/>
      <c r="BH323" s="2152"/>
      <c r="BI323" s="2152"/>
      <c r="BJ323" s="2152"/>
      <c r="BK323" s="2152"/>
      <c r="BL323" s="2152"/>
      <c r="BM323" s="2152"/>
      <c r="BN323" s="2152"/>
      <c r="BO323" s="2153"/>
      <c r="BP323" s="2153"/>
      <c r="BQ323" s="2153"/>
      <c r="BR323" s="2153"/>
      <c r="BS323" s="2153"/>
      <c r="BT323" s="2153"/>
      <c r="BU323" s="2153"/>
      <c r="BV323" s="2153"/>
      <c r="BW323" s="2153"/>
      <c r="BX323" s="2153"/>
      <c r="BY323" s="2153"/>
      <c r="BZ323" s="2153"/>
      <c r="CA323" s="34"/>
      <c r="CC323" s="58"/>
      <c r="CD323" s="2154" t="str" cm="1">
        <f t="array" ca="1" aca="1" ref="CD323">_xlfn.LET(_xlpm.search_key,$W323&amp;$Y323,_xlpm.Scenario,_xlfn.VSTACK($W$20:$W$55&amp;$Y$20:$Y$55,$W$76:$W$110&amp;$Y$76:$Y$110),_xlpm.Data,_xlfn.VSTACK(CD$20:CE$55,CD$76:CE$110),IF(OR($Y323="",ISNUMBER(SEARCH("please",$Y323))),"",_xlfn.XLOOKUP(_xlpm.search_key,_xlpm.Scenario,_xlpm.Data,"▧")))</f>
        <v/>
      </c>
      <c r="CE323" s="2154"/>
      <c r="CF323" s="88"/>
      <c r="CG323" s="2154" t="str" cm="1">
        <f t="array" ca="1" aca="1" ref="CG323">_xlfn.LET(_xlpm.search_key,$W323&amp;$Y323,_xlpm.Scenario,_xlfn.VSTACK($W$20:$W$55&amp;$Y$20:$Y$55,$W$76:$W$110&amp;$Y$76:$Y$110),_xlpm.Data,_xlfn.VSTACK(CG$20:CH$55,CG$76:CH$110),IF(OR($Y323="",ISNUMBER(SEARCH("please",$Y323))),"",_xlfn.XLOOKUP(_xlpm.search_key,_xlpm.Scenario,_xlpm.Data,"▧")))</f>
        <v/>
      </c>
      <c r="CH323" s="2154"/>
      <c r="CI323" s="88"/>
      <c r="CJ323" s="2154" t="str" cm="1">
        <f t="array" ref="CJ323">_xlfn.LET(_xlpm.search_key,$W323&amp;$Y323,_xlpm.Scenario,_xlfn.VSTACK($W$20:$W$55&amp;$Y$20:$Y$55,$W$76:$W$110&amp;$Y$76:$Y$110),_xlpm.Data,_xlfn.VSTACK(CJ$20:CK$55,CJ$76:CK$110),IF(OR($Y323="",ISNUMBER(SEARCH("please",$Y323))),"",_xlfn.XLOOKUP(_xlpm.search_key,_xlpm.Scenario,_xlpm.Data,"▧")))</f>
        <v/>
      </c>
      <c r="CK323" s="2154"/>
      <c r="CL323" s="88"/>
      <c r="CM323" s="2154" t="str" cm="1">
        <f t="array" ca="1" aca="1" ref="CM323">_xlfn.LET(_xlpm.search_key,$W323&amp;$Y323,_xlpm.Scenario,_xlfn.VSTACK($W$20:$W$55&amp;$Y$20:$Y$55,$W$76:$W$110&amp;$Y$76:$Y$110),_xlpm.Data,_xlfn.VSTACK(CM$20:CN$55,CM$76:CN$110),IF(OR($Y323="",ISNUMBER(SEARCH("please",$Y323))),"",_xlfn.XLOOKUP(_xlpm.search_key,_xlpm.Scenario,_xlpm.Data,"▧")))</f>
        <v/>
      </c>
      <c r="CN323" s="2154"/>
      <c r="CO323" s="88"/>
      <c r="CP323" s="2154" t="str" cm="1">
        <f t="array" ca="1" aca="1" ref="CP323">_xlfn.LET(_xlpm.search_key,$W323&amp;$Y323,_xlpm.Scenario,_xlfn.VSTACK($W$20:$W$55&amp;$Y$20:$Y$55,$W$76:$W$110&amp;$Y$76:$Y$110),_xlpm.Data,_xlfn.VSTACK(CP$20:CQ$55,CP$76:CQ$110),IF(OR($Y323="",ISNUMBER(SEARCH("please",$Y323))),"",_xlfn.XLOOKUP(_xlpm.search_key,_xlpm.Scenario,_xlpm.Data,"▧")))</f>
        <v/>
      </c>
      <c r="CQ323" s="2154"/>
      <c r="CR323" s="34"/>
      <c r="CS323" s="2056"/>
    </row>
    <row r="324" spans="1:97" ht="21" customHeight="1">
      <c r="A324" s="1627"/>
      <c r="B324" s="2331"/>
      <c r="C324" s="2084"/>
      <c r="D324" s="1549"/>
      <c r="E324" s="1902"/>
      <c r="F324" s="401"/>
      <c r="G324" s="401"/>
      <c r="H324" s="585"/>
      <c r="I324" s="585"/>
      <c r="J324" s="401"/>
      <c r="K324" s="401"/>
      <c r="N324" s="158"/>
      <c r="O324" s="101"/>
      <c r="P324" s="52"/>
      <c r="Q324" s="101"/>
      <c r="R324" s="101"/>
      <c r="S324" s="101"/>
      <c r="T324" s="101"/>
      <c r="U324" s="39"/>
      <c r="V324" s="37"/>
      <c r="W324" s="2329"/>
      <c r="X324" s="2081"/>
      <c r="Y324" s="2367"/>
      <c r="Z324" s="198"/>
      <c r="AA324" s="2136"/>
      <c r="AB324" s="1134"/>
      <c r="AC324" s="125"/>
      <c r="AD324" s="2152" t="str" cm="1">
        <f t="array" ca="1" aca="1" ref="AD324">_xlfn.LET(_xlpm.search_key,$W324&amp;$Y324,_xlpm.Scenario,_xlfn.VSTACK($W$20:$W$55&amp;$Y$20:$Y$55,$W$76:$W$110&amp;$Y$76:$Y$110),_xlpm.Data,_xlfn.VSTACK($AD$20:$BN$55,$AD$76:$BN$110),IF(OR($Y324="",ISNUMBER(SEARCH("please",$Y324))),"",_xlfn.XLOOKUP(_xlpm.search_key,_xlpm.Scenario,_xlpm.Data,"▧",2)))</f>
        <v/>
      </c>
      <c r="AE324" s="2152"/>
      <c r="AF324" s="2152"/>
      <c r="AG324" s="2152"/>
      <c r="AH324" s="2152"/>
      <c r="AI324" s="2152"/>
      <c r="AJ324" s="2152"/>
      <c r="AK324" s="2152"/>
      <c r="AL324" s="2152"/>
      <c r="AM324" s="2152"/>
      <c r="AN324" s="2152"/>
      <c r="AO324" s="2152"/>
      <c r="AP324" s="2152"/>
      <c r="AQ324" s="2152"/>
      <c r="AR324" s="2152"/>
      <c r="AS324" s="2152"/>
      <c r="AT324" s="2152"/>
      <c r="AU324" s="2152"/>
      <c r="AV324" s="2152"/>
      <c r="AW324" s="2152"/>
      <c r="AX324" s="2152"/>
      <c r="AY324" s="2152"/>
      <c r="AZ324" s="2152"/>
      <c r="BA324" s="2152"/>
      <c r="BB324" s="2152"/>
      <c r="BC324" s="2152"/>
      <c r="BD324" s="2152"/>
      <c r="BE324" s="2152"/>
      <c r="BF324" s="2152"/>
      <c r="BG324" s="2152"/>
      <c r="BH324" s="2152"/>
      <c r="BI324" s="2152"/>
      <c r="BJ324" s="2152"/>
      <c r="BK324" s="2152"/>
      <c r="BL324" s="2152"/>
      <c r="BM324" s="2152"/>
      <c r="BN324" s="2152"/>
      <c r="BO324" s="2153"/>
      <c r="BP324" s="2153"/>
      <c r="BQ324" s="2153"/>
      <c r="BR324" s="2153"/>
      <c r="BS324" s="2153"/>
      <c r="BT324" s="2153"/>
      <c r="BU324" s="2153"/>
      <c r="BV324" s="2153"/>
      <c r="BW324" s="2153"/>
      <c r="BX324" s="2153"/>
      <c r="BY324" s="2153"/>
      <c r="BZ324" s="2153"/>
      <c r="CA324" s="34"/>
      <c r="CC324" s="58"/>
      <c r="CD324" s="2154" t="str" cm="1">
        <f t="array" ca="1" aca="1" ref="CD324">_xlfn.LET(_xlpm.search_key,$W324&amp;$Y324,_xlpm.Scenario,_xlfn.VSTACK($W$20:$W$55&amp;$Y$20:$Y$55,$W$76:$W$110&amp;$Y$76:$Y$110),_xlpm.Data,_xlfn.VSTACK(CD$20:CE$55,CD$76:CE$110),IF(OR($Y324="",ISNUMBER(SEARCH("please",$Y324))),"",_xlfn.XLOOKUP(_xlpm.search_key,_xlpm.Scenario,_xlpm.Data,"▧")))</f>
        <v/>
      </c>
      <c r="CE324" s="2154"/>
      <c r="CF324" s="88"/>
      <c r="CG324" s="2154" t="str" cm="1">
        <f t="array" ca="1" aca="1" ref="CG324">_xlfn.LET(_xlpm.search_key,$W324&amp;$Y324,_xlpm.Scenario,_xlfn.VSTACK($W$20:$W$55&amp;$Y$20:$Y$55,$W$76:$W$110&amp;$Y$76:$Y$110),_xlpm.Data,_xlfn.VSTACK(CG$20:CH$55,CG$76:CH$110),IF(OR($Y324="",ISNUMBER(SEARCH("please",$Y324))),"",_xlfn.XLOOKUP(_xlpm.search_key,_xlpm.Scenario,_xlpm.Data,"▧")))</f>
        <v/>
      </c>
      <c r="CH324" s="2154"/>
      <c r="CI324" s="88"/>
      <c r="CJ324" s="2154" t="str" cm="1">
        <f t="array" ref="CJ324">_xlfn.LET(_xlpm.search_key,$W324&amp;$Y324,_xlpm.Scenario,_xlfn.VSTACK($W$20:$W$55&amp;$Y$20:$Y$55,$W$76:$W$110&amp;$Y$76:$Y$110),_xlpm.Data,_xlfn.VSTACK(CJ$20:CK$55,CJ$76:CK$110),IF(OR($Y324="",ISNUMBER(SEARCH("please",$Y324))),"",_xlfn.XLOOKUP(_xlpm.search_key,_xlpm.Scenario,_xlpm.Data,"▧")))</f>
        <v/>
      </c>
      <c r="CK324" s="2154"/>
      <c r="CL324" s="88"/>
      <c r="CM324" s="2154" t="str" cm="1">
        <f t="array" ca="1" aca="1" ref="CM324">_xlfn.LET(_xlpm.search_key,$W324&amp;$Y324,_xlpm.Scenario,_xlfn.VSTACK($W$20:$W$55&amp;$Y$20:$Y$55,$W$76:$W$110&amp;$Y$76:$Y$110),_xlpm.Data,_xlfn.VSTACK(CM$20:CN$55,CM$76:CN$110),IF(OR($Y324="",ISNUMBER(SEARCH("please",$Y324))),"",_xlfn.XLOOKUP(_xlpm.search_key,_xlpm.Scenario,_xlpm.Data,"▧")))</f>
        <v/>
      </c>
      <c r="CN324" s="2154"/>
      <c r="CO324" s="88"/>
      <c r="CP324" s="2154" t="str" cm="1">
        <f t="array" ca="1" aca="1" ref="CP324">_xlfn.LET(_xlpm.search_key,$W324&amp;$Y324,_xlpm.Scenario,_xlfn.VSTACK($W$20:$W$55&amp;$Y$20:$Y$55,$W$76:$W$110&amp;$Y$76:$Y$110),_xlpm.Data,_xlfn.VSTACK(CP$20:CQ$55,CP$76:CQ$110),IF(OR($Y324="",ISNUMBER(SEARCH("please",$Y324))),"",_xlfn.XLOOKUP(_xlpm.search_key,_xlpm.Scenario,_xlpm.Data,"▧")))</f>
        <v/>
      </c>
      <c r="CQ324" s="2154"/>
      <c r="CR324" s="34"/>
      <c r="CS324" s="2056"/>
    </row>
    <row r="325" spans="1:97" ht="21" customHeight="1">
      <c r="A325" s="1627"/>
      <c r="B325" s="2331"/>
      <c r="C325" s="2084"/>
      <c r="D325" s="1549"/>
      <c r="E325" s="1902"/>
      <c r="F325" s="401"/>
      <c r="G325" s="401"/>
      <c r="H325" s="585"/>
      <c r="I325" s="585"/>
      <c r="J325" s="401"/>
      <c r="K325" s="401"/>
      <c r="N325" s="158"/>
      <c r="O325" s="101"/>
      <c r="P325" s="52"/>
      <c r="Q325" s="101"/>
      <c r="R325" s="101"/>
      <c r="S325" s="101"/>
      <c r="T325" s="101"/>
      <c r="U325" s="39"/>
      <c r="V325" s="37"/>
      <c r="W325" s="2329"/>
      <c r="X325" s="2081"/>
      <c r="Y325" s="2367"/>
      <c r="Z325" s="198"/>
      <c r="AA325" s="2136"/>
      <c r="AB325" s="1134"/>
      <c r="AC325" s="125"/>
      <c r="AD325" s="2152" t="str" cm="1">
        <f t="array" ca="1" aca="1" ref="AD325">_xlfn.LET(_xlpm.search_key,$W325&amp;$Y325,_xlpm.Scenario,_xlfn.VSTACK($W$20:$W$55&amp;$Y$20:$Y$55,$W$76:$W$110&amp;$Y$76:$Y$110),_xlpm.Data,_xlfn.VSTACK($AD$20:$BN$55,$AD$76:$BN$110),IF(OR($Y325="",ISNUMBER(SEARCH("please",$Y325))),"",_xlfn.XLOOKUP(_xlpm.search_key,_xlpm.Scenario,_xlpm.Data,"▧",2)))</f>
        <v/>
      </c>
      <c r="AE325" s="2152"/>
      <c r="AF325" s="2152"/>
      <c r="AG325" s="2152"/>
      <c r="AH325" s="2152"/>
      <c r="AI325" s="2152"/>
      <c r="AJ325" s="2152"/>
      <c r="AK325" s="2152"/>
      <c r="AL325" s="2152"/>
      <c r="AM325" s="2152"/>
      <c r="AN325" s="2152"/>
      <c r="AO325" s="2152"/>
      <c r="AP325" s="2152"/>
      <c r="AQ325" s="2152"/>
      <c r="AR325" s="2152"/>
      <c r="AS325" s="2152"/>
      <c r="AT325" s="2152"/>
      <c r="AU325" s="2152"/>
      <c r="AV325" s="2152"/>
      <c r="AW325" s="2152"/>
      <c r="AX325" s="2152"/>
      <c r="AY325" s="2152"/>
      <c r="AZ325" s="2152"/>
      <c r="BA325" s="2152"/>
      <c r="BB325" s="2152"/>
      <c r="BC325" s="2152"/>
      <c r="BD325" s="2152"/>
      <c r="BE325" s="2152"/>
      <c r="BF325" s="2152"/>
      <c r="BG325" s="2152"/>
      <c r="BH325" s="2152"/>
      <c r="BI325" s="2152"/>
      <c r="BJ325" s="2152"/>
      <c r="BK325" s="2152"/>
      <c r="BL325" s="2152"/>
      <c r="BM325" s="2152"/>
      <c r="BN325" s="2152"/>
      <c r="BO325" s="2153"/>
      <c r="BP325" s="2153"/>
      <c r="BQ325" s="2153"/>
      <c r="BR325" s="2153"/>
      <c r="BS325" s="2153"/>
      <c r="BT325" s="2153"/>
      <c r="BU325" s="2153"/>
      <c r="BV325" s="2153"/>
      <c r="BW325" s="2153"/>
      <c r="BX325" s="2153"/>
      <c r="BY325" s="2153"/>
      <c r="BZ325" s="2153"/>
      <c r="CA325" s="34"/>
      <c r="CC325" s="58"/>
      <c r="CD325" s="2154" t="str" cm="1">
        <f t="array" ca="1" aca="1" ref="CD325">_xlfn.LET(_xlpm.search_key,$W325&amp;$Y325,_xlpm.Scenario,_xlfn.VSTACK($W$20:$W$55&amp;$Y$20:$Y$55,$W$76:$W$110&amp;$Y$76:$Y$110),_xlpm.Data,_xlfn.VSTACK(CD$20:CE$55,CD$76:CE$110),IF(OR($Y325="",ISNUMBER(SEARCH("please",$Y325))),"",_xlfn.XLOOKUP(_xlpm.search_key,_xlpm.Scenario,_xlpm.Data,"▧")))</f>
        <v/>
      </c>
      <c r="CE325" s="2154"/>
      <c r="CF325" s="88"/>
      <c r="CG325" s="2154" t="str" cm="1">
        <f t="array" ca="1" aca="1" ref="CG325">_xlfn.LET(_xlpm.search_key,$W325&amp;$Y325,_xlpm.Scenario,_xlfn.VSTACK($W$20:$W$55&amp;$Y$20:$Y$55,$W$76:$W$110&amp;$Y$76:$Y$110),_xlpm.Data,_xlfn.VSTACK(CG$20:CH$55,CG$76:CH$110),IF(OR($Y325="",ISNUMBER(SEARCH("please",$Y325))),"",_xlfn.XLOOKUP(_xlpm.search_key,_xlpm.Scenario,_xlpm.Data,"▧")))</f>
        <v/>
      </c>
      <c r="CH325" s="2154"/>
      <c r="CI325" s="88"/>
      <c r="CJ325" s="2154" t="str" cm="1">
        <f t="array" ref="CJ325">_xlfn.LET(_xlpm.search_key,$W325&amp;$Y325,_xlpm.Scenario,_xlfn.VSTACK($W$20:$W$55&amp;$Y$20:$Y$55,$W$76:$W$110&amp;$Y$76:$Y$110),_xlpm.Data,_xlfn.VSTACK(CJ$20:CK$55,CJ$76:CK$110),IF(OR($Y325="",ISNUMBER(SEARCH("please",$Y325))),"",_xlfn.XLOOKUP(_xlpm.search_key,_xlpm.Scenario,_xlpm.Data,"▧")))</f>
        <v/>
      </c>
      <c r="CK325" s="2154"/>
      <c r="CL325" s="88"/>
      <c r="CM325" s="2154" t="str" cm="1">
        <f t="array" ca="1" aca="1" ref="CM325">_xlfn.LET(_xlpm.search_key,$W325&amp;$Y325,_xlpm.Scenario,_xlfn.VSTACK($W$20:$W$55&amp;$Y$20:$Y$55,$W$76:$W$110&amp;$Y$76:$Y$110),_xlpm.Data,_xlfn.VSTACK(CM$20:CN$55,CM$76:CN$110),IF(OR($Y325="",ISNUMBER(SEARCH("please",$Y325))),"",_xlfn.XLOOKUP(_xlpm.search_key,_xlpm.Scenario,_xlpm.Data,"▧")))</f>
        <v/>
      </c>
      <c r="CN325" s="2154"/>
      <c r="CO325" s="88"/>
      <c r="CP325" s="2154" t="str" cm="1">
        <f t="array" ca="1" aca="1" ref="CP325">_xlfn.LET(_xlpm.search_key,$W325&amp;$Y325,_xlpm.Scenario,_xlfn.VSTACK($W$20:$W$55&amp;$Y$20:$Y$55,$W$76:$W$110&amp;$Y$76:$Y$110),_xlpm.Data,_xlfn.VSTACK(CP$20:CQ$55,CP$76:CQ$110),IF(OR($Y325="",ISNUMBER(SEARCH("please",$Y325))),"",_xlfn.XLOOKUP(_xlpm.search_key,_xlpm.Scenario,_xlpm.Data,"▧")))</f>
        <v/>
      </c>
      <c r="CQ325" s="2154"/>
      <c r="CR325" s="34"/>
      <c r="CS325" s="2056"/>
    </row>
    <row r="326" spans="1:97" ht="21" customHeight="1">
      <c r="A326" s="1627"/>
      <c r="B326" s="2331"/>
      <c r="C326" s="2084"/>
      <c r="D326" s="1549"/>
      <c r="E326" s="1902"/>
      <c r="F326" s="401"/>
      <c r="G326" s="401"/>
      <c r="H326" s="585"/>
      <c r="I326" s="585"/>
      <c r="J326" s="401"/>
      <c r="K326" s="401"/>
      <c r="N326" s="158"/>
      <c r="O326" s="101"/>
      <c r="P326" s="52"/>
      <c r="Q326" s="101"/>
      <c r="R326" s="101"/>
      <c r="S326" s="101"/>
      <c r="T326" s="101"/>
      <c r="U326" s="39"/>
      <c r="V326" s="37"/>
      <c r="W326" s="2329"/>
      <c r="X326" s="2081"/>
      <c r="Y326" s="2367"/>
      <c r="Z326" s="198"/>
      <c r="AA326" s="2136"/>
      <c r="AB326" s="1134"/>
      <c r="AC326" s="125"/>
      <c r="AD326" s="2152" t="str" cm="1">
        <f t="array" ca="1" aca="1" ref="AD326">_xlfn.LET(_xlpm.search_key,$W326&amp;$Y326,_xlpm.Scenario,_xlfn.VSTACK($W$20:$W$55&amp;$Y$20:$Y$55,$W$76:$W$110&amp;$Y$76:$Y$110),_xlpm.Data,_xlfn.VSTACK($AD$20:$BN$55,$AD$76:$BN$110),IF(OR($Y326="",ISNUMBER(SEARCH("please",$Y326))),"",_xlfn.XLOOKUP(_xlpm.search_key,_xlpm.Scenario,_xlpm.Data,"▧",2)))</f>
        <v/>
      </c>
      <c r="AE326" s="2152"/>
      <c r="AF326" s="2152"/>
      <c r="AG326" s="2152"/>
      <c r="AH326" s="2152"/>
      <c r="AI326" s="2152"/>
      <c r="AJ326" s="2152"/>
      <c r="AK326" s="2152"/>
      <c r="AL326" s="2152"/>
      <c r="AM326" s="2152"/>
      <c r="AN326" s="2152"/>
      <c r="AO326" s="2152"/>
      <c r="AP326" s="2152"/>
      <c r="AQ326" s="2152"/>
      <c r="AR326" s="2152"/>
      <c r="AS326" s="2152"/>
      <c r="AT326" s="2152"/>
      <c r="AU326" s="2152"/>
      <c r="AV326" s="2152"/>
      <c r="AW326" s="2152"/>
      <c r="AX326" s="2152"/>
      <c r="AY326" s="2152"/>
      <c r="AZ326" s="2152"/>
      <c r="BA326" s="2152"/>
      <c r="BB326" s="2152"/>
      <c r="BC326" s="2152"/>
      <c r="BD326" s="2152"/>
      <c r="BE326" s="2152"/>
      <c r="BF326" s="2152"/>
      <c r="BG326" s="2152"/>
      <c r="BH326" s="2152"/>
      <c r="BI326" s="2152"/>
      <c r="BJ326" s="2152"/>
      <c r="BK326" s="2152"/>
      <c r="BL326" s="2152"/>
      <c r="BM326" s="2152"/>
      <c r="BN326" s="2152"/>
      <c r="BO326" s="2153"/>
      <c r="BP326" s="2153"/>
      <c r="BQ326" s="2153"/>
      <c r="BR326" s="2153"/>
      <c r="BS326" s="2153"/>
      <c r="BT326" s="2153"/>
      <c r="BU326" s="2153"/>
      <c r="BV326" s="2153"/>
      <c r="BW326" s="2153"/>
      <c r="BX326" s="2153"/>
      <c r="BY326" s="2153"/>
      <c r="BZ326" s="2153"/>
      <c r="CA326" s="34"/>
      <c r="CC326" s="58"/>
      <c r="CD326" s="2154" t="str" cm="1">
        <f t="array" ca="1" aca="1" ref="CD326">_xlfn.LET(_xlpm.search_key,$W326&amp;$Y326,_xlpm.Scenario,_xlfn.VSTACK($W$20:$W$55&amp;$Y$20:$Y$55,$W$76:$W$110&amp;$Y$76:$Y$110),_xlpm.Data,_xlfn.VSTACK(CD$20:CE$55,CD$76:CE$110),IF(OR($Y326="",ISNUMBER(SEARCH("please",$Y326))),"",_xlfn.XLOOKUP(_xlpm.search_key,_xlpm.Scenario,_xlpm.Data,"▧")))</f>
        <v/>
      </c>
      <c r="CE326" s="2154"/>
      <c r="CF326" s="88"/>
      <c r="CG326" s="2154" t="str" cm="1">
        <f t="array" ca="1" aca="1" ref="CG326">_xlfn.LET(_xlpm.search_key,$W326&amp;$Y326,_xlpm.Scenario,_xlfn.VSTACK($W$20:$W$55&amp;$Y$20:$Y$55,$W$76:$W$110&amp;$Y$76:$Y$110),_xlpm.Data,_xlfn.VSTACK(CG$20:CH$55,CG$76:CH$110),IF(OR($Y326="",ISNUMBER(SEARCH("please",$Y326))),"",_xlfn.XLOOKUP(_xlpm.search_key,_xlpm.Scenario,_xlpm.Data,"▧")))</f>
        <v/>
      </c>
      <c r="CH326" s="2154"/>
      <c r="CI326" s="88"/>
      <c r="CJ326" s="2154" t="str" cm="1">
        <f t="array" ref="CJ326">_xlfn.LET(_xlpm.search_key,$W326&amp;$Y326,_xlpm.Scenario,_xlfn.VSTACK($W$20:$W$55&amp;$Y$20:$Y$55,$W$76:$W$110&amp;$Y$76:$Y$110),_xlpm.Data,_xlfn.VSTACK(CJ$20:CK$55,CJ$76:CK$110),IF(OR($Y326="",ISNUMBER(SEARCH("please",$Y326))),"",_xlfn.XLOOKUP(_xlpm.search_key,_xlpm.Scenario,_xlpm.Data,"▧")))</f>
        <v/>
      </c>
      <c r="CK326" s="2154"/>
      <c r="CL326" s="88"/>
      <c r="CM326" s="2154" t="str" cm="1">
        <f t="array" ca="1" aca="1" ref="CM326">_xlfn.LET(_xlpm.search_key,$W326&amp;$Y326,_xlpm.Scenario,_xlfn.VSTACK($W$20:$W$55&amp;$Y$20:$Y$55,$W$76:$W$110&amp;$Y$76:$Y$110),_xlpm.Data,_xlfn.VSTACK(CM$20:CN$55,CM$76:CN$110),IF(OR($Y326="",ISNUMBER(SEARCH("please",$Y326))),"",_xlfn.XLOOKUP(_xlpm.search_key,_xlpm.Scenario,_xlpm.Data,"▧")))</f>
        <v/>
      </c>
      <c r="CN326" s="2154"/>
      <c r="CO326" s="88"/>
      <c r="CP326" s="2154" t="str" cm="1">
        <f t="array" ca="1" aca="1" ref="CP326">_xlfn.LET(_xlpm.search_key,$W326&amp;$Y326,_xlpm.Scenario,_xlfn.VSTACK($W$20:$W$55&amp;$Y$20:$Y$55,$W$76:$W$110&amp;$Y$76:$Y$110),_xlpm.Data,_xlfn.VSTACK(CP$20:CQ$55,CP$76:CQ$110),IF(OR($Y326="",ISNUMBER(SEARCH("please",$Y326))),"",_xlfn.XLOOKUP(_xlpm.search_key,_xlpm.Scenario,_xlpm.Data,"▧")))</f>
        <v/>
      </c>
      <c r="CQ326" s="2154"/>
      <c r="CR326" s="34"/>
      <c r="CS326" s="2056"/>
    </row>
    <row r="327" spans="1:97" ht="21" customHeight="1">
      <c r="A327" s="1627"/>
      <c r="B327" s="2331"/>
      <c r="C327" s="2084"/>
      <c r="D327" s="1549"/>
      <c r="E327" s="1902"/>
      <c r="F327" s="401"/>
      <c r="G327" s="401"/>
      <c r="H327" s="585"/>
      <c r="I327" s="585"/>
      <c r="J327" s="401"/>
      <c r="K327" s="401"/>
      <c r="N327" s="158"/>
      <c r="O327" s="101"/>
      <c r="P327" s="52"/>
      <c r="Q327" s="101"/>
      <c r="R327" s="101"/>
      <c r="S327" s="101"/>
      <c r="T327" s="101"/>
      <c r="U327" s="39"/>
      <c r="V327" s="37"/>
      <c r="W327" s="2329"/>
      <c r="X327" s="2081"/>
      <c r="Y327" s="2367"/>
      <c r="Z327" s="198"/>
      <c r="AA327" s="2136"/>
      <c r="AB327" s="1134"/>
      <c r="AC327" s="125"/>
      <c r="AD327" s="2152" t="str" cm="1">
        <f t="array" ca="1" aca="1" ref="AD327">_xlfn.LET(_xlpm.search_key,$W327&amp;$Y327,_xlpm.Scenario,_xlfn.VSTACK($W$20:$W$55&amp;$Y$20:$Y$55,$W$76:$W$110&amp;$Y$76:$Y$110),_xlpm.Data,_xlfn.VSTACK($AD$20:$BN$55,$AD$76:$BN$110),IF(OR($Y327="",ISNUMBER(SEARCH("please",$Y327))),"",_xlfn.XLOOKUP(_xlpm.search_key,_xlpm.Scenario,_xlpm.Data,"▧",2)))</f>
        <v/>
      </c>
      <c r="AE327" s="2152"/>
      <c r="AF327" s="2152"/>
      <c r="AG327" s="2152"/>
      <c r="AH327" s="2152"/>
      <c r="AI327" s="2152"/>
      <c r="AJ327" s="2152"/>
      <c r="AK327" s="2152"/>
      <c r="AL327" s="2152"/>
      <c r="AM327" s="2152"/>
      <c r="AN327" s="2152"/>
      <c r="AO327" s="2152"/>
      <c r="AP327" s="2152"/>
      <c r="AQ327" s="2152"/>
      <c r="AR327" s="2152"/>
      <c r="AS327" s="2152"/>
      <c r="AT327" s="2152"/>
      <c r="AU327" s="2152"/>
      <c r="AV327" s="2152"/>
      <c r="AW327" s="2152"/>
      <c r="AX327" s="2152"/>
      <c r="AY327" s="2152"/>
      <c r="AZ327" s="2152"/>
      <c r="BA327" s="2152"/>
      <c r="BB327" s="2152"/>
      <c r="BC327" s="2152"/>
      <c r="BD327" s="2152"/>
      <c r="BE327" s="2152"/>
      <c r="BF327" s="2152"/>
      <c r="BG327" s="2152"/>
      <c r="BH327" s="2152"/>
      <c r="BI327" s="2152"/>
      <c r="BJ327" s="2152"/>
      <c r="BK327" s="2152"/>
      <c r="BL327" s="2152"/>
      <c r="BM327" s="2152"/>
      <c r="BN327" s="2152"/>
      <c r="BO327" s="2153"/>
      <c r="BP327" s="2153"/>
      <c r="BQ327" s="2153"/>
      <c r="BR327" s="2153"/>
      <c r="BS327" s="2153"/>
      <c r="BT327" s="2153"/>
      <c r="BU327" s="2153"/>
      <c r="BV327" s="2153"/>
      <c r="BW327" s="2153"/>
      <c r="BX327" s="2153"/>
      <c r="BY327" s="2153"/>
      <c r="BZ327" s="2153"/>
      <c r="CA327" s="34"/>
      <c r="CC327" s="58"/>
      <c r="CD327" s="2154" t="str" cm="1">
        <f t="array" ca="1" aca="1" ref="CD327">_xlfn.LET(_xlpm.search_key,$W327&amp;$Y327,_xlpm.Scenario,_xlfn.VSTACK($W$20:$W$55&amp;$Y$20:$Y$55,$W$76:$W$110&amp;$Y$76:$Y$110),_xlpm.Data,_xlfn.VSTACK(CD$20:CE$55,CD$76:CE$110),IF(OR($Y327="",ISNUMBER(SEARCH("please",$Y327))),"",_xlfn.XLOOKUP(_xlpm.search_key,_xlpm.Scenario,_xlpm.Data,"▧")))</f>
        <v/>
      </c>
      <c r="CE327" s="2154"/>
      <c r="CF327" s="88"/>
      <c r="CG327" s="2154" t="str" cm="1">
        <f t="array" ca="1" aca="1" ref="CG327">_xlfn.LET(_xlpm.search_key,$W327&amp;$Y327,_xlpm.Scenario,_xlfn.VSTACK($W$20:$W$55&amp;$Y$20:$Y$55,$W$76:$W$110&amp;$Y$76:$Y$110),_xlpm.Data,_xlfn.VSTACK(CG$20:CH$55,CG$76:CH$110),IF(OR($Y327="",ISNUMBER(SEARCH("please",$Y327))),"",_xlfn.XLOOKUP(_xlpm.search_key,_xlpm.Scenario,_xlpm.Data,"▧")))</f>
        <v/>
      </c>
      <c r="CH327" s="2154"/>
      <c r="CI327" s="88"/>
      <c r="CJ327" s="2154" t="str" cm="1">
        <f t="array" ref="CJ327">_xlfn.LET(_xlpm.search_key,$W327&amp;$Y327,_xlpm.Scenario,_xlfn.VSTACK($W$20:$W$55&amp;$Y$20:$Y$55,$W$76:$W$110&amp;$Y$76:$Y$110),_xlpm.Data,_xlfn.VSTACK(CJ$20:CK$55,CJ$76:CK$110),IF(OR($Y327="",ISNUMBER(SEARCH("please",$Y327))),"",_xlfn.XLOOKUP(_xlpm.search_key,_xlpm.Scenario,_xlpm.Data,"▧")))</f>
        <v/>
      </c>
      <c r="CK327" s="2154"/>
      <c r="CL327" s="88"/>
      <c r="CM327" s="2154" t="str" cm="1">
        <f t="array" ca="1" aca="1" ref="CM327">_xlfn.LET(_xlpm.search_key,$W327&amp;$Y327,_xlpm.Scenario,_xlfn.VSTACK($W$20:$W$55&amp;$Y$20:$Y$55,$W$76:$W$110&amp;$Y$76:$Y$110),_xlpm.Data,_xlfn.VSTACK(CM$20:CN$55,CM$76:CN$110),IF(OR($Y327="",ISNUMBER(SEARCH("please",$Y327))),"",_xlfn.XLOOKUP(_xlpm.search_key,_xlpm.Scenario,_xlpm.Data,"▧")))</f>
        <v/>
      </c>
      <c r="CN327" s="2154"/>
      <c r="CO327" s="88"/>
      <c r="CP327" s="2154" t="str" cm="1">
        <f t="array" ca="1" aca="1" ref="CP327">_xlfn.LET(_xlpm.search_key,$W327&amp;$Y327,_xlpm.Scenario,_xlfn.VSTACK($W$20:$W$55&amp;$Y$20:$Y$55,$W$76:$W$110&amp;$Y$76:$Y$110),_xlpm.Data,_xlfn.VSTACK(CP$20:CQ$55,CP$76:CQ$110),IF(OR($Y327="",ISNUMBER(SEARCH("please",$Y327))),"",_xlfn.XLOOKUP(_xlpm.search_key,_xlpm.Scenario,_xlpm.Data,"▧")))</f>
        <v/>
      </c>
      <c r="CQ327" s="2154"/>
      <c r="CR327" s="34"/>
      <c r="CS327" s="2056"/>
    </row>
    <row r="328" spans="1:97" ht="21" customHeight="1">
      <c r="A328" s="1627"/>
      <c r="B328" s="2331" t="s">
        <v>217</v>
      </c>
      <c r="C328" s="577" t="e" cm="1">
        <f t="array" ca="1" aca="1" ref="C328">IFBLANK(_xldudf_CX_GET(CX_ENTITY,B328,val_asOfDate),D328)</f>
        <v>#NAME?</v>
      </c>
      <c r="D328" s="577" t="s">
        <v>1854</v>
      </c>
      <c r="E328" s="2135"/>
      <c r="F328" s="401"/>
      <c r="G328" s="401"/>
      <c r="H328" s="585"/>
      <c r="I328" s="585"/>
      <c r="J328" s="401"/>
      <c r="K328" s="401" t="s">
        <v>561</v>
      </c>
      <c r="N328" s="158"/>
      <c r="O328" s="101"/>
      <c r="P328" s="52"/>
      <c r="Q328" s="101"/>
      <c r="R328" s="101"/>
      <c r="S328" s="101"/>
      <c r="T328" s="101"/>
      <c r="U328" s="39"/>
      <c r="V328" s="37"/>
      <c r="W328" s="2330"/>
      <c r="X328" s="2325"/>
      <c r="Y328" s="2326"/>
      <c r="Z328" s="2322"/>
      <c r="AA328" s="2323"/>
      <c r="AB328" s="1134"/>
      <c r="AC328" s="125"/>
      <c r="AD328" s="2152">
        <f ca="1">SUMPRODUCT($X322:$X327,AD322:AD327)</f>
        <v>0</v>
      </c>
      <c r="AE328" s="2152">
        <f t="shared" si="127" ref="AE328:BN328">SUMPRODUCT($X322:$X327,AE322:AE327)</f>
        <v>0</v>
      </c>
      <c r="AF328" s="2152">
        <f t="shared" si="127"/>
        <v>0</v>
      </c>
      <c r="AG328" s="2152">
        <f t="shared" si="127"/>
        <v>0</v>
      </c>
      <c r="AH328" s="2152">
        <f t="shared" si="127"/>
        <v>0</v>
      </c>
      <c r="AI328" s="2152">
        <f t="shared" si="127"/>
        <v>0</v>
      </c>
      <c r="AJ328" s="2152">
        <f t="shared" si="127"/>
        <v>0</v>
      </c>
      <c r="AK328" s="2152">
        <f t="shared" si="127"/>
        <v>0</v>
      </c>
      <c r="AL328" s="2152">
        <f t="shared" si="127"/>
        <v>0</v>
      </c>
      <c r="AM328" s="2152">
        <f t="shared" si="127"/>
        <v>0</v>
      </c>
      <c r="AN328" s="2152">
        <f t="shared" si="127"/>
        <v>0</v>
      </c>
      <c r="AO328" s="2152">
        <f t="shared" si="127"/>
        <v>0</v>
      </c>
      <c r="AP328" s="2152">
        <f t="shared" si="127"/>
        <v>0</v>
      </c>
      <c r="AQ328" s="2152">
        <f t="shared" si="127"/>
        <v>0</v>
      </c>
      <c r="AR328" s="2152">
        <f t="shared" si="127"/>
        <v>0</v>
      </c>
      <c r="AS328" s="2152">
        <f t="shared" si="127"/>
        <v>0</v>
      </c>
      <c r="AT328" s="2152">
        <f t="shared" si="127"/>
        <v>0</v>
      </c>
      <c r="AU328" s="2152">
        <f t="shared" si="127"/>
        <v>0</v>
      </c>
      <c r="AV328" s="2152">
        <f t="shared" si="127"/>
        <v>0</v>
      </c>
      <c r="AW328" s="2152">
        <f t="shared" si="127"/>
        <v>0</v>
      </c>
      <c r="AX328" s="2152">
        <f t="shared" si="127"/>
        <v>0</v>
      </c>
      <c r="AY328" s="2152">
        <f t="shared" si="127"/>
        <v>0</v>
      </c>
      <c r="AZ328" s="2152">
        <f t="shared" si="127"/>
        <v>0</v>
      </c>
      <c r="BA328" s="2152">
        <f t="shared" si="127"/>
        <v>0</v>
      </c>
      <c r="BB328" s="2152">
        <f t="shared" si="127"/>
        <v>0</v>
      </c>
      <c r="BC328" s="2152">
        <f t="shared" si="127"/>
        <v>0</v>
      </c>
      <c r="BD328" s="2152">
        <f t="shared" si="127"/>
        <v>0</v>
      </c>
      <c r="BE328" s="2152">
        <f t="shared" si="127"/>
        <v>0</v>
      </c>
      <c r="BF328" s="2152">
        <f t="shared" si="127"/>
        <v>0</v>
      </c>
      <c r="BG328" s="2152">
        <f t="shared" si="127"/>
        <v>0</v>
      </c>
      <c r="BH328" s="2152">
        <f t="shared" si="127"/>
        <v>0</v>
      </c>
      <c r="BI328" s="2152">
        <f t="shared" si="127"/>
        <v>0</v>
      </c>
      <c r="BJ328" s="2152">
        <f t="shared" si="127"/>
        <v>0</v>
      </c>
      <c r="BK328" s="2152">
        <f t="shared" si="127"/>
        <v>0</v>
      </c>
      <c r="BL328" s="2152">
        <f t="shared" si="127"/>
        <v>0</v>
      </c>
      <c r="BM328" s="2152">
        <f t="shared" si="127"/>
        <v>0</v>
      </c>
      <c r="BN328" s="2152">
        <f t="shared" si="127"/>
        <v>0</v>
      </c>
      <c r="BO328" s="2153"/>
      <c r="BP328" s="2153"/>
      <c r="BQ328" s="2153"/>
      <c r="BR328" s="2153"/>
      <c r="BS328" s="2153"/>
      <c r="BT328" s="2153"/>
      <c r="BU328" s="2153"/>
      <c r="BV328" s="2153"/>
      <c r="BW328" s="2153"/>
      <c r="BX328" s="2153"/>
      <c r="BY328" s="2153"/>
      <c r="BZ328" s="2153"/>
      <c r="CA328" s="34"/>
      <c r="CC328" s="58"/>
      <c r="CD328" s="2152">
        <f ca="1">SUMPRODUCT($X322:$X327,CD322:CD327)</f>
        <v>0</v>
      </c>
      <c r="CE328" s="2152">
        <f t="shared" si="128" ref="CE328">SUMPRODUCT($X322:$X325,CE322:CE325)</f>
        <v>0</v>
      </c>
      <c r="CF328" s="88"/>
      <c r="CG328" s="2152">
        <f ca="1">SUMPRODUCT($X322:$X327,CG322:CG327)</f>
        <v>0</v>
      </c>
      <c r="CH328" s="2152">
        <f t="shared" si="129" ref="CH328">SUMPRODUCT($X322:$X325,CH322:CH325)</f>
        <v>0</v>
      </c>
      <c r="CI328" s="88"/>
      <c r="CJ328" s="2152">
        <f>SUMPRODUCT($X322:$X327,CJ322:CJ327)</f>
        <v>0</v>
      </c>
      <c r="CK328" s="2152">
        <f t="shared" si="130" ref="CK328">SUMPRODUCT($X322:$X325,CK322:CK325)</f>
        <v>0</v>
      </c>
      <c r="CL328" s="88"/>
      <c r="CM328" s="2152">
        <f ca="1">SUMPRODUCT($X322:$X327,CM322:CM327)</f>
        <v>0</v>
      </c>
      <c r="CN328" s="2152">
        <f t="shared" si="131" ref="CN328">SUMPRODUCT($X322:$X325,CN322:CN325)</f>
        <v>0</v>
      </c>
      <c r="CO328" s="88"/>
      <c r="CP328" s="2152">
        <f ca="1">SUMPRODUCT($X322:$X327,CP322:CP327)</f>
        <v>0</v>
      </c>
      <c r="CQ328" s="2152">
        <f t="shared" si="132" ref="CQ328">SUMPRODUCT($X322:$X325,CQ322:CQ325)</f>
        <v>0</v>
      </c>
      <c r="CR328" s="34"/>
      <c r="CS328" s="2056"/>
    </row>
    <row r="329" spans="1:144" s="108" customFormat="1" ht="21" customHeight="1">
      <c r="A329" s="1628"/>
      <c r="B329" s="2084"/>
      <c r="C329" s="2084"/>
      <c r="D329" s="1549"/>
      <c r="E329" s="2135"/>
      <c r="F329" s="401"/>
      <c r="G329" s="401"/>
      <c r="H329" s="585"/>
      <c r="I329" s="585"/>
      <c r="J329" s="401"/>
      <c r="K329" s="401"/>
      <c r="N329" s="2134"/>
      <c r="O329" s="101"/>
      <c r="P329" s="101"/>
      <c r="Q329" s="101"/>
      <c r="R329" s="101"/>
      <c r="S329" s="101"/>
      <c r="T329" s="101"/>
      <c r="U329" s="101"/>
      <c r="V329" s="822"/>
      <c r="W329" s="127"/>
      <c r="X329" s="2080"/>
      <c r="Y329" s="2315"/>
      <c r="Z329" s="2316"/>
      <c r="AA329" s="2316"/>
      <c r="AB329" s="88"/>
      <c r="AC329" s="128"/>
      <c r="AD329" s="2317"/>
      <c r="AE329" s="2317"/>
      <c r="AF329" s="2317"/>
      <c r="AG329" s="2317"/>
      <c r="AH329" s="2317"/>
      <c r="AI329" s="2317"/>
      <c r="AJ329" s="2317"/>
      <c r="AK329" s="2317"/>
      <c r="AL329" s="2317"/>
      <c r="AM329" s="2317"/>
      <c r="AN329" s="2317"/>
      <c r="AO329" s="2317"/>
      <c r="AP329" s="2317"/>
      <c r="AQ329" s="2317"/>
      <c r="AR329" s="2317"/>
      <c r="AS329" s="2317"/>
      <c r="AT329" s="2317"/>
      <c r="AU329" s="2317"/>
      <c r="AV329" s="2317"/>
      <c r="AW329" s="2317"/>
      <c r="AX329" s="2317"/>
      <c r="AY329" s="2317"/>
      <c r="AZ329" s="2317"/>
      <c r="BA329" s="2317"/>
      <c r="BB329" s="2317"/>
      <c r="BC329" s="2317"/>
      <c r="BD329" s="2317"/>
      <c r="BE329" s="2317"/>
      <c r="BF329" s="2317"/>
      <c r="BG329" s="2317"/>
      <c r="BH329" s="2317"/>
      <c r="BI329" s="2317"/>
      <c r="BJ329" s="2317"/>
      <c r="BK329" s="2317"/>
      <c r="BL329" s="2317"/>
      <c r="BM329" s="2317"/>
      <c r="BN329" s="2317"/>
      <c r="BO329" s="2318"/>
      <c r="BP329" s="2318"/>
      <c r="BQ329" s="2318"/>
      <c r="BR329" s="2318"/>
      <c r="BS329" s="2318"/>
      <c r="BT329" s="2318"/>
      <c r="BU329" s="2318"/>
      <c r="BV329" s="2318"/>
      <c r="BW329" s="2318"/>
      <c r="BX329" s="2318"/>
      <c r="BY329" s="2318"/>
      <c r="BZ329" s="2318"/>
      <c r="CA329" s="88"/>
      <c r="CC329" s="383"/>
      <c r="CD329" s="2319"/>
      <c r="CE329" s="2319"/>
      <c r="CF329" s="88"/>
      <c r="CG329" s="2319"/>
      <c r="CH329" s="2319"/>
      <c r="CI329" s="88"/>
      <c r="CJ329" s="2319"/>
      <c r="CK329" s="2319"/>
      <c r="CL329" s="88"/>
      <c r="CM329" s="2320"/>
      <c r="CN329" s="2320"/>
      <c r="CO329" s="88"/>
      <c r="CP329" s="2320"/>
      <c r="CQ329" s="2320"/>
      <c r="CR329" s="88"/>
      <c r="CS329" s="2321"/>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row>
    <row r="330" spans="1:97" ht="21" customHeight="1">
      <c r="A330" s="1627"/>
      <c r="B330" s="2084"/>
      <c r="C330" s="2084"/>
      <c r="D330" s="1549"/>
      <c r="E330" s="2135"/>
      <c r="F330" s="401"/>
      <c r="G330" s="401"/>
      <c r="H330" s="585"/>
      <c r="I330" s="585"/>
      <c r="J330" s="401"/>
      <c r="K330" s="401"/>
      <c r="N330" s="158"/>
      <c r="O330" s="101"/>
      <c r="P330" s="52"/>
      <c r="Q330" s="101"/>
      <c r="R330" s="101"/>
      <c r="S330" s="18"/>
      <c r="T330" s="18"/>
      <c r="U330" s="39"/>
      <c r="V330" s="37"/>
      <c r="W330" s="2328" t="e" cm="1">
        <f t="array" ca="1" aca="1" ref="W330">UNPACK(C337)</f>
        <v>#NAME?</v>
      </c>
      <c r="X330" s="2137"/>
      <c r="Y330" s="2327"/>
      <c r="Z330" s="2139"/>
      <c r="AA330" s="2140"/>
      <c r="AB330" s="2141" t="s">
        <v>199</v>
      </c>
      <c r="AC330" s="2138"/>
      <c r="AD330" s="2138"/>
      <c r="AE330" s="2138"/>
      <c r="AF330" s="2138"/>
      <c r="AG330" s="2138"/>
      <c r="AH330" s="2138"/>
      <c r="AI330" s="2138"/>
      <c r="AJ330" s="2138"/>
      <c r="AK330" s="2138"/>
      <c r="AL330" s="2138"/>
      <c r="AM330" s="2138"/>
      <c r="AN330" s="2138"/>
      <c r="AO330" s="2138"/>
      <c r="AP330" s="2138"/>
      <c r="AQ330" s="2138"/>
      <c r="AR330" s="2138"/>
      <c r="AS330" s="2138"/>
      <c r="AT330" s="2138"/>
      <c r="AU330" s="2138"/>
      <c r="AV330" s="2138"/>
      <c r="AW330" s="2138"/>
      <c r="AX330" s="2138"/>
      <c r="AY330" s="2138"/>
      <c r="AZ330" s="2138"/>
      <c r="BA330" s="2138"/>
      <c r="BB330" s="2138"/>
      <c r="BC330" s="2138"/>
      <c r="BD330" s="2138"/>
      <c r="BE330" s="2138"/>
      <c r="BF330" s="2138"/>
      <c r="BG330" s="2138"/>
      <c r="BH330" s="2138"/>
      <c r="BI330" s="2138"/>
      <c r="BJ330" s="2138"/>
      <c r="BK330" s="2138"/>
      <c r="BL330" s="2138"/>
      <c r="BM330" s="2138"/>
      <c r="BN330" s="2138"/>
      <c r="BO330" s="1634"/>
      <c r="BP330" s="1634"/>
      <c r="BQ330" s="1634"/>
      <c r="BR330" s="1634"/>
      <c r="BS330" s="1634"/>
      <c r="BT330" s="1634"/>
      <c r="BU330" s="1634"/>
      <c r="BV330" s="1634"/>
      <c r="BW330" s="1634"/>
      <c r="BX330" s="1634"/>
      <c r="BY330" s="1634"/>
      <c r="BZ330" s="1634"/>
      <c r="CA330" s="34"/>
      <c r="CC330" s="58"/>
      <c r="CD330" s="1720">
        <f>($W325)</f>
        <v>0</v>
      </c>
      <c r="CE330" s="1721">
        <f>($W325)</f>
        <v>0</v>
      </c>
      <c r="CF330" s="128"/>
      <c r="CG330" s="1734">
        <f>($W325)</f>
        <v>0</v>
      </c>
      <c r="CH330" s="1735">
        <f>($W325)</f>
        <v>0</v>
      </c>
      <c r="CI330" s="207"/>
      <c r="CJ330" s="1724">
        <f>($W325)</f>
        <v>0</v>
      </c>
      <c r="CK330" s="1725">
        <f>($W325)</f>
        <v>0</v>
      </c>
      <c r="CL330" s="88"/>
      <c r="CM330" s="1198" t="str">
        <f>CM$19</f>
        <v>Original Budget</v>
      </c>
      <c r="CN330" s="1198" t="str">
        <f>CN$19</f>
        <v>LE</v>
      </c>
      <c r="CO330" s="88"/>
      <c r="CP330" s="1819" t="str">
        <f>$CP$19</f>
        <v>Original Budget</v>
      </c>
      <c r="CQ330" s="1819" t="str">
        <f>$CQ$19</f>
        <v>LE</v>
      </c>
      <c r="CR330" s="34"/>
      <c r="CS330" s="2056"/>
    </row>
    <row r="331" spans="1:97" ht="21" customHeight="1">
      <c r="A331" s="1627"/>
      <c r="B331" s="2331"/>
      <c r="C331" s="2084"/>
      <c r="D331" s="1549"/>
      <c r="E331" s="1902" cm="1">
        <f t="array" ca="1" aca="1" ref="E331:G33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331:$CQ331,Z331)</f>
        <v>0</v>
      </c>
      <c r="F331" s="401">
        <f ca="1"/>
        <v>0</v>
      </c>
      <c r="G331" s="401" t="str">
        <f ca="1"/>
        <v>A</v>
      </c>
      <c r="H331" s="585">
        <v>0</v>
      </c>
      <c r="I331" s="3290">
        <v>1</v>
      </c>
      <c r="J331" s="401"/>
      <c r="K331" s="401" t="str">
        <f t="shared" si="133" ref="K331:K332">IFERROR(IF(LEN(AB331)=0,"No",IF(LEN(J331)&gt;0,"Yes","No")),"")</f>
        <v>No</v>
      </c>
      <c r="N331" s="158"/>
      <c r="O331" s="101"/>
      <c r="P331" s="52"/>
      <c r="Q331" s="101"/>
      <c r="R331" s="101"/>
      <c r="S331" s="101"/>
      <c r="T331" s="2324"/>
      <c r="U331" s="39"/>
      <c r="V331" s="37"/>
      <c r="W331" s="2329"/>
      <c r="X331" s="2081"/>
      <c r="Y331" s="2366"/>
      <c r="Z331" s="198"/>
      <c r="AA331" s="2136"/>
      <c r="AB331" s="1134"/>
      <c r="AC331" s="125"/>
      <c r="AD331" s="2152" t="str" cm="1">
        <f t="array" ca="1" aca="1" ref="AD331">_xlfn.LET(_xlpm.search_key,$W331&amp;$Y331,_xlpm.Scenario,_xlfn.VSTACK($W$20:$W$55&amp;$Y$20:$Y$55,$W$76:$W$110&amp;$Y$76:$Y$110),_xlpm.Data,_xlfn.VSTACK($AD$20:$BN$55,$AD$76:$BN$110),IF(OR($Y331="",ISNUMBER(SEARCH("please",$Y331))),"",_xlfn.XLOOKUP(_xlpm.search_key,_xlpm.Scenario,_xlpm.Data,"▧",2)))</f>
        <v/>
      </c>
      <c r="AE331" s="2152" t="str" cm="1">
        <f t="array" ca="1" aca="1" ref="AE331">_xlfn.LET(_xlpm.search_key,$W331&amp;$Y331,_xlpm.Scenario,_xlfn.VSTACK($W$20:$W$55&amp;$Y$20:$Y$55,$W$76:$W$110&amp;$Y$76:$Y$110),_xlpm.Data,_xlfn.VSTACK($AD$20:$BN$55,$AD$76:$BN$110),IF(OR($Y331="",ISNUMBER(SEARCH("please",$Y331))),"",_xlfn.XLOOKUP(_xlpm.search_key,_xlpm.Scenario,_xlpm.Data,"▧")))</f>
        <v/>
      </c>
      <c r="AF331" s="2152" t="str" cm="1">
        <f t="array" ca="1" aca="1" ref="AF331">_xlfn.LET(_xlpm.search_key,$W331&amp;$Y331,_xlpm.Scenario,_xlfn.VSTACK($W$20:$W$55&amp;$Y$20:$Y$55,$W$76:$W$110&amp;$Y$76:$Y$110),_xlpm.Data,_xlfn.VSTACK($AD$20:$BN$55,$AD$76:$BN$110),IF(OR($Y331="",ISNUMBER(SEARCH("please",$Y331))),"",_xlfn.XLOOKUP(_xlpm.search_key,_xlpm.Scenario,_xlpm.Data,"▧")))</f>
        <v/>
      </c>
      <c r="AG331" s="2152" t="str" cm="1">
        <f t="array" ca="1" aca="1" ref="AG331">_xlfn.LET(_xlpm.search_key,$W331&amp;$Y331,_xlpm.Scenario,_xlfn.VSTACK($W$20:$W$55&amp;$Y$20:$Y$55,$W$76:$W$110&amp;$Y$76:$Y$110),_xlpm.Data,_xlfn.VSTACK($AD$20:$BN$55,$AD$76:$BN$110),IF(OR($Y331="",ISNUMBER(SEARCH("please",$Y331))),"",_xlfn.XLOOKUP(_xlpm.search_key,_xlpm.Scenario,_xlpm.Data,"▧")))</f>
        <v/>
      </c>
      <c r="AH331" s="2152" t="str" cm="1">
        <f t="array" ca="1" aca="1" ref="AH331">_xlfn.LET(_xlpm.search_key,$W331&amp;$Y331,_xlpm.Scenario,_xlfn.VSTACK($W$20:$W$55&amp;$Y$20:$Y$55,$W$76:$W$110&amp;$Y$76:$Y$110),_xlpm.Data,_xlfn.VSTACK($AD$20:$BN$55,$AD$76:$BN$110),IF(OR($Y331="",ISNUMBER(SEARCH("please",$Y331))),"",_xlfn.XLOOKUP(_xlpm.search_key,_xlpm.Scenario,_xlpm.Data,"▧")))</f>
        <v/>
      </c>
      <c r="AI331" s="2152" t="str" cm="1">
        <f t="array" ca="1" aca="1" ref="AI331">_xlfn.LET(_xlpm.search_key,$W331&amp;$Y331,_xlpm.Scenario,_xlfn.VSTACK($W$20:$W$55&amp;$Y$20:$Y$55,$W$76:$W$110&amp;$Y$76:$Y$110),_xlpm.Data,_xlfn.VSTACK($AD$20:$BN$55,$AD$76:$BN$110),IF(OR($Y331="",ISNUMBER(SEARCH("please",$Y331))),"",_xlfn.XLOOKUP(_xlpm.search_key,_xlpm.Scenario,_xlpm.Data,"▧")))</f>
        <v/>
      </c>
      <c r="AJ331" s="2152" t="str" cm="1">
        <f t="array" ca="1" aca="1" ref="AJ331">_xlfn.LET(_xlpm.search_key,$W331&amp;$Y331,_xlpm.Scenario,_xlfn.VSTACK($W$20:$W$55&amp;$Y$20:$Y$55,$W$76:$W$110&amp;$Y$76:$Y$110),_xlpm.Data,_xlfn.VSTACK($AD$20:$BN$55,$AD$76:$BN$110),IF(OR($Y331="",ISNUMBER(SEARCH("please",$Y331))),"",_xlfn.XLOOKUP(_xlpm.search_key,_xlpm.Scenario,_xlpm.Data,"▧")))</f>
        <v/>
      </c>
      <c r="AK331" s="2152" t="str" cm="1">
        <f t="array" ca="1" aca="1" ref="AK331">_xlfn.LET(_xlpm.search_key,$W331&amp;$Y331,_xlpm.Scenario,_xlfn.VSTACK($W$20:$W$55&amp;$Y$20:$Y$55,$W$76:$W$110&amp;$Y$76:$Y$110),_xlpm.Data,_xlfn.VSTACK($AD$20:$BN$55,$AD$76:$BN$110),IF(OR($Y331="",ISNUMBER(SEARCH("please",$Y331))),"",_xlfn.XLOOKUP(_xlpm.search_key,_xlpm.Scenario,_xlpm.Data,"▧")))</f>
        <v/>
      </c>
      <c r="AL331" s="2152" t="str" cm="1">
        <f t="array" ca="1" aca="1" ref="AL331">_xlfn.LET(_xlpm.search_key,$W331&amp;$Y331,_xlpm.Scenario,_xlfn.VSTACK($W$20:$W$55&amp;$Y$20:$Y$55,$W$76:$W$110&amp;$Y$76:$Y$110),_xlpm.Data,_xlfn.VSTACK($AD$20:$BN$55,$AD$76:$BN$110),IF(OR($Y331="",ISNUMBER(SEARCH("please",$Y331))),"",_xlfn.XLOOKUP(_xlpm.search_key,_xlpm.Scenario,_xlpm.Data,"▧")))</f>
        <v/>
      </c>
      <c r="AM331" s="2152" t="str" cm="1">
        <f t="array" ca="1" aca="1" ref="AM331">_xlfn.LET(_xlpm.search_key,$W331&amp;$Y331,_xlpm.Scenario,_xlfn.VSTACK($W$20:$W$55&amp;$Y$20:$Y$55,$W$76:$W$110&amp;$Y$76:$Y$110),_xlpm.Data,_xlfn.VSTACK($AD$20:$BN$55,$AD$76:$BN$110),IF(OR($Y331="",ISNUMBER(SEARCH("please",$Y331))),"",_xlfn.XLOOKUP(_xlpm.search_key,_xlpm.Scenario,_xlpm.Data,"▧")))</f>
        <v/>
      </c>
      <c r="AN331" s="2152" t="str" cm="1">
        <f t="array" ca="1" aca="1" ref="AN331">_xlfn.LET(_xlpm.search_key,$W331&amp;$Y331,_xlpm.Scenario,_xlfn.VSTACK($W$20:$W$55&amp;$Y$20:$Y$55,$W$76:$W$110&amp;$Y$76:$Y$110),_xlpm.Data,_xlfn.VSTACK($AD$20:$BN$55,$AD$76:$BN$110),IF(OR($Y331="",ISNUMBER(SEARCH("please",$Y331))),"",_xlfn.XLOOKUP(_xlpm.search_key,_xlpm.Scenario,_xlpm.Data,"▧")))</f>
        <v/>
      </c>
      <c r="AO331" s="2152" t="str" cm="1">
        <f t="array" ca="1" aca="1" ref="AO331">_xlfn.LET(_xlpm.search_key,$W331&amp;$Y331,_xlpm.Scenario,_xlfn.VSTACK($W$20:$W$55&amp;$Y$20:$Y$55,$W$76:$W$110&amp;$Y$76:$Y$110),_xlpm.Data,_xlfn.VSTACK($AD$20:$BN$55,$AD$76:$BN$110),IF(OR($Y331="",ISNUMBER(SEARCH("please",$Y331))),"",_xlfn.XLOOKUP(_xlpm.search_key,_xlpm.Scenario,_xlpm.Data,"▧")))</f>
        <v/>
      </c>
      <c r="AP331" s="2152" t="str" cm="1">
        <f t="array" ca="1" aca="1" ref="AP331">_xlfn.LET(_xlpm.search_key,$W331&amp;$Y331,_xlpm.Scenario,_xlfn.VSTACK($W$20:$W$55&amp;$Y$20:$Y$55,$W$76:$W$110&amp;$Y$76:$Y$110),_xlpm.Data,_xlfn.VSTACK($AD$20:$BN$55,$AD$76:$BN$110),IF(OR($Y331="",ISNUMBER(SEARCH("please",$Y331))),"",_xlfn.XLOOKUP(_xlpm.search_key,_xlpm.Scenario,_xlpm.Data,"▧")))</f>
        <v/>
      </c>
      <c r="AQ331" s="2152" t="str" cm="1">
        <f t="array" ca="1" aca="1" ref="AQ331">_xlfn.LET(_xlpm.search_key,$W331&amp;$Y331,_xlpm.Scenario,_xlfn.VSTACK($W$20:$W$55&amp;$Y$20:$Y$55,$W$76:$W$110&amp;$Y$76:$Y$110),_xlpm.Data,_xlfn.VSTACK($AD$20:$BN$55,$AD$76:$BN$110),IF(OR($Y331="",ISNUMBER(SEARCH("please",$Y331))),"",_xlfn.XLOOKUP(_xlpm.search_key,_xlpm.Scenario,_xlpm.Data,"▧")))</f>
        <v/>
      </c>
      <c r="AR331" s="2152" t="str" cm="1">
        <f t="array" ca="1" aca="1" ref="AR331">_xlfn.LET(_xlpm.search_key,$W331&amp;$Y331,_xlpm.Scenario,_xlfn.VSTACK($W$20:$W$55&amp;$Y$20:$Y$55,$W$76:$W$110&amp;$Y$76:$Y$110),_xlpm.Data,_xlfn.VSTACK($AD$20:$BN$55,$AD$76:$BN$110),IF(OR($Y331="",ISNUMBER(SEARCH("please",$Y331))),"",_xlfn.XLOOKUP(_xlpm.search_key,_xlpm.Scenario,_xlpm.Data,"▧")))</f>
        <v/>
      </c>
      <c r="AS331" s="2152" t="str" cm="1">
        <f t="array" ca="1" aca="1" ref="AS331">_xlfn.LET(_xlpm.search_key,$W331&amp;$Y331,_xlpm.Scenario,_xlfn.VSTACK($W$20:$W$55&amp;$Y$20:$Y$55,$W$76:$W$110&amp;$Y$76:$Y$110),_xlpm.Data,_xlfn.VSTACK($AD$20:$BN$55,$AD$76:$BN$110),IF(OR($Y331="",ISNUMBER(SEARCH("please",$Y331))),"",_xlfn.XLOOKUP(_xlpm.search_key,_xlpm.Scenario,_xlpm.Data,"▧")))</f>
        <v/>
      </c>
      <c r="AT331" s="2152" t="str" cm="1">
        <f t="array" ca="1" aca="1" ref="AT331">_xlfn.LET(_xlpm.search_key,$W331&amp;$Y331,_xlpm.Scenario,_xlfn.VSTACK($W$20:$W$55&amp;$Y$20:$Y$55,$W$76:$W$110&amp;$Y$76:$Y$110),_xlpm.Data,_xlfn.VSTACK($AD$20:$BN$55,$AD$76:$BN$110),IF(OR($Y331="",ISNUMBER(SEARCH("please",$Y331))),"",_xlfn.XLOOKUP(_xlpm.search_key,_xlpm.Scenario,_xlpm.Data,"▧")))</f>
        <v/>
      </c>
      <c r="AU331" s="2152" t="str" cm="1">
        <f t="array" ca="1" aca="1" ref="AU331">_xlfn.LET(_xlpm.search_key,$W331&amp;$Y331,_xlpm.Scenario,_xlfn.VSTACK($W$20:$W$55&amp;$Y$20:$Y$55,$W$76:$W$110&amp;$Y$76:$Y$110),_xlpm.Data,_xlfn.VSTACK($AD$20:$BN$55,$AD$76:$BN$110),IF(OR($Y331="",ISNUMBER(SEARCH("please",$Y331))),"",_xlfn.XLOOKUP(_xlpm.search_key,_xlpm.Scenario,_xlpm.Data,"▧")))</f>
        <v/>
      </c>
      <c r="AV331" s="2152" t="str" cm="1">
        <f t="array" ca="1" aca="1" ref="AV331">_xlfn.LET(_xlpm.search_key,$W331&amp;$Y331,_xlpm.Scenario,_xlfn.VSTACK($W$20:$W$55&amp;$Y$20:$Y$55,$W$76:$W$110&amp;$Y$76:$Y$110),_xlpm.Data,_xlfn.VSTACK($AD$20:$BN$55,$AD$76:$BN$110),IF(OR($Y331="",ISNUMBER(SEARCH("please",$Y331))),"",_xlfn.XLOOKUP(_xlpm.search_key,_xlpm.Scenario,_xlpm.Data,"▧")))</f>
        <v/>
      </c>
      <c r="AW331" s="2152" t="str" cm="1">
        <f t="array" ca="1" aca="1" ref="AW331">_xlfn.LET(_xlpm.search_key,$W331&amp;$Y331,_xlpm.Scenario,_xlfn.VSTACK($W$20:$W$55&amp;$Y$20:$Y$55,$W$76:$W$110&amp;$Y$76:$Y$110),_xlpm.Data,_xlfn.VSTACK($AD$20:$BN$55,$AD$76:$BN$110),IF(OR($Y331="",ISNUMBER(SEARCH("please",$Y331))),"",_xlfn.XLOOKUP(_xlpm.search_key,_xlpm.Scenario,_xlpm.Data,"▧")))</f>
        <v/>
      </c>
      <c r="AX331" s="2152" t="str" cm="1">
        <f t="array" ca="1" aca="1" ref="AX331">_xlfn.LET(_xlpm.search_key,$W331&amp;$Y331,_xlpm.Scenario,_xlfn.VSTACK($W$20:$W$55&amp;$Y$20:$Y$55,$W$76:$W$110&amp;$Y$76:$Y$110),_xlpm.Data,_xlfn.VSTACK($AD$20:$BN$55,$AD$76:$BN$110),IF(OR($Y331="",ISNUMBER(SEARCH("please",$Y331))),"",_xlfn.XLOOKUP(_xlpm.search_key,_xlpm.Scenario,_xlpm.Data,"▧")))</f>
        <v/>
      </c>
      <c r="AY331" s="2152" t="str" cm="1">
        <f t="array" ca="1" aca="1" ref="AY331">_xlfn.LET(_xlpm.search_key,$W331&amp;$Y331,_xlpm.Scenario,_xlfn.VSTACK($W$20:$W$55&amp;$Y$20:$Y$55,$W$76:$W$110&amp;$Y$76:$Y$110),_xlpm.Data,_xlfn.VSTACK($AD$20:$BN$55,$AD$76:$BN$110),IF(OR($Y331="",ISNUMBER(SEARCH("please",$Y331))),"",_xlfn.XLOOKUP(_xlpm.search_key,_xlpm.Scenario,_xlpm.Data,"▧")))</f>
        <v/>
      </c>
      <c r="AZ331" s="2152" t="str" cm="1">
        <f t="array" ca="1" aca="1" ref="AZ331">_xlfn.LET(_xlpm.search_key,$W331&amp;$Y331,_xlpm.Scenario,_xlfn.VSTACK($W$20:$W$55&amp;$Y$20:$Y$55,$W$76:$W$110&amp;$Y$76:$Y$110),_xlpm.Data,_xlfn.VSTACK($AD$20:$BN$55,$AD$76:$BN$110),IF(OR($Y331="",ISNUMBER(SEARCH("please",$Y331))),"",_xlfn.XLOOKUP(_xlpm.search_key,_xlpm.Scenario,_xlpm.Data,"▧")))</f>
        <v/>
      </c>
      <c r="BA331" s="2152" t="str" cm="1">
        <f t="array" ca="1" aca="1" ref="BA331">_xlfn.LET(_xlpm.search_key,$W331&amp;$Y331,_xlpm.Scenario,_xlfn.VSTACK($W$20:$W$55&amp;$Y$20:$Y$55,$W$76:$W$110&amp;$Y$76:$Y$110),_xlpm.Data,_xlfn.VSTACK($AD$20:$BN$55,$AD$76:$BN$110),IF(OR($Y331="",ISNUMBER(SEARCH("please",$Y331))),"",_xlfn.XLOOKUP(_xlpm.search_key,_xlpm.Scenario,_xlpm.Data,"▧")))</f>
        <v/>
      </c>
      <c r="BB331" s="2152" t="str" cm="1">
        <f t="array" ca="1" aca="1" ref="BB331">_xlfn.LET(_xlpm.search_key,$W331&amp;$Y331,_xlpm.Scenario,_xlfn.VSTACK($W$20:$W$55&amp;$Y$20:$Y$55,$W$76:$W$110&amp;$Y$76:$Y$110),_xlpm.Data,_xlfn.VSTACK($AD$20:$BN$55,$AD$76:$BN$110),IF(OR($Y331="",ISNUMBER(SEARCH("please",$Y331))),"",_xlfn.XLOOKUP(_xlpm.search_key,_xlpm.Scenario,_xlpm.Data,"▧")))</f>
        <v/>
      </c>
      <c r="BC331" s="2152" t="str" cm="1">
        <f t="array" ca="1" aca="1" ref="BC331">_xlfn.LET(_xlpm.search_key,$W331&amp;$Y331,_xlpm.Scenario,_xlfn.VSTACK($W$20:$W$55&amp;$Y$20:$Y$55,$W$76:$W$110&amp;$Y$76:$Y$110),_xlpm.Data,_xlfn.VSTACK($AD$20:$BN$55,$AD$76:$BN$110),IF(OR($Y331="",ISNUMBER(SEARCH("please",$Y331))),"",_xlfn.XLOOKUP(_xlpm.search_key,_xlpm.Scenario,_xlpm.Data,"▧")))</f>
        <v/>
      </c>
      <c r="BD331" s="2152" t="str" cm="1">
        <f t="array" ca="1" aca="1" ref="BD331">_xlfn.LET(_xlpm.search_key,$W331&amp;$Y331,_xlpm.Scenario,_xlfn.VSTACK($W$20:$W$55&amp;$Y$20:$Y$55,$W$76:$W$110&amp;$Y$76:$Y$110),_xlpm.Data,_xlfn.VSTACK($AD$20:$BN$55,$AD$76:$BN$110),IF(OR($Y331="",ISNUMBER(SEARCH("please",$Y331))),"",_xlfn.XLOOKUP(_xlpm.search_key,_xlpm.Scenario,_xlpm.Data,"▧")))</f>
        <v/>
      </c>
      <c r="BE331" s="2152" t="str" cm="1">
        <f t="array" ca="1" aca="1" ref="BE331">_xlfn.LET(_xlpm.search_key,$W331&amp;$Y331,_xlpm.Scenario,_xlfn.VSTACK($W$20:$W$55&amp;$Y$20:$Y$55,$W$76:$W$110&amp;$Y$76:$Y$110),_xlpm.Data,_xlfn.VSTACK($AD$20:$BN$55,$AD$76:$BN$110),IF(OR($Y331="",ISNUMBER(SEARCH("please",$Y331))),"",_xlfn.XLOOKUP(_xlpm.search_key,_xlpm.Scenario,_xlpm.Data,"▧")))</f>
        <v/>
      </c>
      <c r="BF331" s="2152" t="str" cm="1">
        <f t="array" ca="1" aca="1" ref="BF331">_xlfn.LET(_xlpm.search_key,$W331&amp;$Y331,_xlpm.Scenario,_xlfn.VSTACK($W$20:$W$55&amp;$Y$20:$Y$55,$W$76:$W$110&amp;$Y$76:$Y$110),_xlpm.Data,_xlfn.VSTACK($AD$20:$BN$55,$AD$76:$BN$110),IF(OR($Y331="",ISNUMBER(SEARCH("please",$Y331))),"",_xlfn.XLOOKUP(_xlpm.search_key,_xlpm.Scenario,_xlpm.Data,"▧")))</f>
        <v/>
      </c>
      <c r="BG331" s="2152" t="str" cm="1">
        <f t="array" ca="1" aca="1" ref="BG331">_xlfn.LET(_xlpm.search_key,$W331&amp;$Y331,_xlpm.Scenario,_xlfn.VSTACK($W$20:$W$55&amp;$Y$20:$Y$55,$W$76:$W$110&amp;$Y$76:$Y$110),_xlpm.Data,_xlfn.VSTACK($AD$20:$BN$55,$AD$76:$BN$110),IF(OR($Y331="",ISNUMBER(SEARCH("please",$Y331))),"",_xlfn.XLOOKUP(_xlpm.search_key,_xlpm.Scenario,_xlpm.Data,"▧")))</f>
        <v/>
      </c>
      <c r="BH331" s="2152" t="str" cm="1">
        <f t="array" ca="1" aca="1" ref="BH331">_xlfn.LET(_xlpm.search_key,$W331&amp;$Y331,_xlpm.Scenario,_xlfn.VSTACK($W$20:$W$55&amp;$Y$20:$Y$55,$W$76:$W$110&amp;$Y$76:$Y$110),_xlpm.Data,_xlfn.VSTACK($AD$20:$BN$55,$AD$76:$BN$110),IF(OR($Y331="",ISNUMBER(SEARCH("please",$Y331))),"",_xlfn.XLOOKUP(_xlpm.search_key,_xlpm.Scenario,_xlpm.Data,"▧")))</f>
        <v/>
      </c>
      <c r="BI331" s="2152" t="str" cm="1">
        <f t="array" ca="1" aca="1" ref="BI331">_xlfn.LET(_xlpm.search_key,$W331&amp;$Y331,_xlpm.Scenario,_xlfn.VSTACK($W$20:$W$55&amp;$Y$20:$Y$55,$W$76:$W$110&amp;$Y$76:$Y$110),_xlpm.Data,_xlfn.VSTACK($AD$20:$BN$55,$AD$76:$BN$110),IF(OR($Y331="",ISNUMBER(SEARCH("please",$Y331))),"",_xlfn.XLOOKUP(_xlpm.search_key,_xlpm.Scenario,_xlpm.Data,"▧")))</f>
        <v/>
      </c>
      <c r="BJ331" s="2152" t="str" cm="1">
        <f t="array" ca="1" aca="1" ref="BJ331">_xlfn.LET(_xlpm.search_key,$W331&amp;$Y331,_xlpm.Scenario,_xlfn.VSTACK($W$20:$W$55&amp;$Y$20:$Y$55,$W$76:$W$110&amp;$Y$76:$Y$110),_xlpm.Data,_xlfn.VSTACK($AD$20:$BN$55,$AD$76:$BN$110),IF(OR($Y331="",ISNUMBER(SEARCH("please",$Y331))),"",_xlfn.XLOOKUP(_xlpm.search_key,_xlpm.Scenario,_xlpm.Data,"▧")))</f>
        <v/>
      </c>
      <c r="BK331" s="2152" t="str" cm="1">
        <f t="array" ca="1" aca="1" ref="BK331">_xlfn.LET(_xlpm.search_key,$W331&amp;$Y331,_xlpm.Scenario,_xlfn.VSTACK($W$20:$W$55&amp;$Y$20:$Y$55,$W$76:$W$110&amp;$Y$76:$Y$110),_xlpm.Data,_xlfn.VSTACK($AD$20:$BN$55,$AD$76:$BN$110),IF(OR($Y331="",ISNUMBER(SEARCH("please",$Y331))),"",_xlfn.XLOOKUP(_xlpm.search_key,_xlpm.Scenario,_xlpm.Data,"▧")))</f>
        <v/>
      </c>
      <c r="BL331" s="2152" t="str" cm="1">
        <f t="array" ca="1" aca="1" ref="BL331">_xlfn.LET(_xlpm.search_key,$W331&amp;$Y331,_xlpm.Scenario,_xlfn.VSTACK($W$20:$W$55&amp;$Y$20:$Y$55,$W$76:$W$110&amp;$Y$76:$Y$110),_xlpm.Data,_xlfn.VSTACK($AD$20:$BN$55,$AD$76:$BN$110),IF(OR($Y331="",ISNUMBER(SEARCH("please",$Y331))),"",_xlfn.XLOOKUP(_xlpm.search_key,_xlpm.Scenario,_xlpm.Data,"▧")))</f>
        <v/>
      </c>
      <c r="BM331" s="2152" t="str" cm="1">
        <f t="array" ca="1" aca="1" ref="BM331">_xlfn.LET(_xlpm.search_key,$W331&amp;$Y331,_xlpm.Scenario,_xlfn.VSTACK($W$20:$W$55&amp;$Y$20:$Y$55,$W$76:$W$110&amp;$Y$76:$Y$110),_xlpm.Data,_xlfn.VSTACK($AD$20:$BN$55,$AD$76:$BN$110),IF(OR($Y331="",ISNUMBER(SEARCH("please",$Y331))),"",_xlfn.XLOOKUP(_xlpm.search_key,_xlpm.Scenario,_xlpm.Data,"▧")))</f>
        <v/>
      </c>
      <c r="BN331" s="2152" t="str" cm="1">
        <f t="array" ca="1" aca="1" ref="BN331">_xlfn.LET(_xlpm.search_key,$W331&amp;$Y331,_xlpm.Scenario,_xlfn.VSTACK($W$20:$W$55&amp;$Y$20:$Y$55,$W$76:$W$110&amp;$Y$76:$Y$110),_xlpm.Data,_xlfn.VSTACK($AD$20:$BN$55,$AD$76:$BN$110),IF(OR($Y331="",ISNUMBER(SEARCH("please",$Y331))),"",_xlfn.XLOOKUP(_xlpm.search_key,_xlpm.Scenario,_xlpm.Data,"▧")))</f>
        <v/>
      </c>
      <c r="BO331" s="2153"/>
      <c r="BP331" s="2153"/>
      <c r="BQ331" s="2153"/>
      <c r="BR331" s="2153"/>
      <c r="BS331" s="2153"/>
      <c r="BT331" s="2153"/>
      <c r="BU331" s="2153"/>
      <c r="BV331" s="2153"/>
      <c r="BW331" s="2153"/>
      <c r="BX331" s="2153"/>
      <c r="BY331" s="2153"/>
      <c r="BZ331" s="2153"/>
      <c r="CA331" s="34"/>
      <c r="CC331" s="58"/>
      <c r="CD331" s="2154" t="str" cm="1">
        <f t="array" ca="1" aca="1" ref="CD331">_xlfn.LET(_xlpm.search_key,$W331&amp;$Y331,_xlpm.Scenario,_xlfn.VSTACK($W$20:$W$55&amp;$Y$20:$Y$55,$W$76:$W$110&amp;$Y$76:$Y$110),_xlpm.Data,_xlfn.VSTACK(CD$20:CE$55,CD$76:CE$110),IF(OR($Y331="",ISNUMBER(SEARCH("please",$Y331))),"",_xlfn.XLOOKUP(_xlpm.search_key,_xlpm.Scenario,_xlpm.Data,"▧")))</f>
        <v/>
      </c>
      <c r="CE331" s="2154"/>
      <c r="CF331" s="88"/>
      <c r="CG331" s="2154" t="str" cm="1">
        <f t="array" ca="1" aca="1" ref="CG331">_xlfn.LET(_xlpm.search_key,$W331&amp;$Y331,_xlpm.Scenario,_xlfn.VSTACK($W$20:$W$55&amp;$Y$20:$Y$55,$W$76:$W$110&amp;$Y$76:$Y$110),_xlpm.Data,_xlfn.VSTACK(CG$20:CH$55,CG$76:CH$110),IF(OR($Y331="",ISNUMBER(SEARCH("please",$Y331))),"",_xlfn.XLOOKUP(_xlpm.search_key,_xlpm.Scenario,_xlpm.Data,"▧")))</f>
        <v/>
      </c>
      <c r="CH331" s="2154"/>
      <c r="CI331" s="88"/>
      <c r="CJ331" s="2154" t="str" cm="1">
        <f t="array" ref="CJ331">_xlfn.LET(_xlpm.search_key,$W331&amp;$Y331,_xlpm.Scenario,_xlfn.VSTACK($W$20:$W$55&amp;$Y$20:$Y$55,$W$76:$W$110&amp;$Y$76:$Y$110),_xlpm.Data,_xlfn.VSTACK(CJ$20:CK$55,CJ$76:CK$110),IF(OR($Y331="",ISNUMBER(SEARCH("please",$Y331))),"",_xlfn.XLOOKUP(_xlpm.search_key,_xlpm.Scenario,_xlpm.Data,"▧")))</f>
        <v/>
      </c>
      <c r="CK331" s="2154"/>
      <c r="CL331" s="88"/>
      <c r="CM331" s="2154" t="str" cm="1">
        <f t="array" ca="1" aca="1" ref="CM331">_xlfn.LET(_xlpm.search_key,$W331&amp;$Y331,_xlpm.Scenario,_xlfn.VSTACK($W$20:$W$55&amp;$Y$20:$Y$55,$W$76:$W$110&amp;$Y$76:$Y$110),_xlpm.Data,_xlfn.VSTACK(CM$20:CN$55,CM$76:CN$110),IF(OR($Y331="",ISNUMBER(SEARCH("please",$Y331))),"",_xlfn.XLOOKUP(_xlpm.search_key,_xlpm.Scenario,_xlpm.Data,"▧")))</f>
        <v/>
      </c>
      <c r="CN331" s="2154"/>
      <c r="CO331" s="88"/>
      <c r="CP331" s="2154" t="str" cm="1">
        <f t="array" ca="1" aca="1" ref="CP331">_xlfn.LET(_xlpm.search_key,$W331&amp;$Y331,_xlpm.Scenario,_xlfn.VSTACK($W$20:$W$55&amp;$Y$20:$Y$55,$W$76:$W$110&amp;$Y$76:$Y$110),_xlpm.Data,_xlfn.VSTACK(CP$20:CQ$55,CP$76:CQ$110),IF(OR($Y331="",ISNUMBER(SEARCH("please",$Y331))),"",_xlfn.XLOOKUP(_xlpm.search_key,_xlpm.Scenario,_xlpm.Data,"▧")))</f>
        <v/>
      </c>
      <c r="CQ331" s="2154"/>
      <c r="CR331" s="34"/>
      <c r="CS331" s="2056"/>
    </row>
    <row r="332" spans="1:97" ht="21" customHeight="1">
      <c r="A332" s="1627"/>
      <c r="B332" s="2331"/>
      <c r="C332" s="2084"/>
      <c r="D332" s="1549"/>
      <c r="E332" s="1902" cm="1">
        <f t="array" ca="1" aca="1" ref="E332:G33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332:$CQ332,Z332)</f>
        <v>0</v>
      </c>
      <c r="F332" s="401">
        <f ca="1"/>
        <v>0</v>
      </c>
      <c r="G332" s="401" t="str">
        <f ca="1"/>
        <v>A</v>
      </c>
      <c r="H332" s="585">
        <v>0</v>
      </c>
      <c r="I332" s="3290">
        <v>1</v>
      </c>
      <c r="J332" s="401"/>
      <c r="K332" s="401" t="str">
        <f t="shared" si="133"/>
        <v>No</v>
      </c>
      <c r="N332" s="158"/>
      <c r="O332" s="101"/>
      <c r="P332" s="52"/>
      <c r="Q332" s="101"/>
      <c r="R332" s="101"/>
      <c r="S332" s="101"/>
      <c r="T332" s="101"/>
      <c r="U332" s="39"/>
      <c r="V332" s="37"/>
      <c r="W332" s="2329"/>
      <c r="X332" s="2081"/>
      <c r="Y332" s="2367"/>
      <c r="Z332" s="198"/>
      <c r="AA332" s="2136"/>
      <c r="AB332" s="1134"/>
      <c r="AC332" s="125"/>
      <c r="AD332" s="2152" t="str" cm="1">
        <f t="array" ca="1" aca="1" ref="AD332">_xlfn.LET(_xlpm.search_key,$W332&amp;$Y332,_xlpm.Scenario,_xlfn.VSTACK($W$20:$W$55&amp;$Y$20:$Y$55,$W$76:$W$110&amp;$Y$76:$Y$110),_xlpm.Data,_xlfn.VSTACK($AD$20:$BN$55,$AD$76:$BN$110),IF(OR($Y332="",ISNUMBER(SEARCH("please",$Y332))),"",_xlfn.XLOOKUP(_xlpm.search_key,_xlpm.Scenario,_xlpm.Data,"▧",2)))</f>
        <v/>
      </c>
      <c r="AE332" s="2152" t="str" cm="1">
        <f t="array" ca="1" aca="1" ref="AE332">_xlfn.LET(_xlpm.search_key,$W332&amp;$Y332,_xlpm.Scenario,_xlfn.VSTACK($W$20:$W$55&amp;$Y$20:$Y$55,$W$76:$W$110&amp;$Y$76:$Y$110),_xlpm.Data,_xlfn.VSTACK($AD$20:$BN$55,$AD$76:$BN$110),IF(OR($Y332="",ISNUMBER(SEARCH("please",$Y332))),"",_xlfn.XLOOKUP(_xlpm.search_key,_xlpm.Scenario,_xlpm.Data,"▧")))</f>
        <v/>
      </c>
      <c r="AF332" s="2152" t="str" cm="1">
        <f t="array" ca="1" aca="1" ref="AF332">_xlfn.LET(_xlpm.search_key,$W332&amp;$Y332,_xlpm.Scenario,_xlfn.VSTACK($W$20:$W$55&amp;$Y$20:$Y$55,$W$76:$W$110&amp;$Y$76:$Y$110),_xlpm.Data,_xlfn.VSTACK($AD$20:$BN$55,$AD$76:$BN$110),IF(OR($Y332="",ISNUMBER(SEARCH("please",$Y332))),"",_xlfn.XLOOKUP(_xlpm.search_key,_xlpm.Scenario,_xlpm.Data,"▧")))</f>
        <v/>
      </c>
      <c r="AG332" s="2152" t="str" cm="1">
        <f t="array" ca="1" aca="1" ref="AG332">_xlfn.LET(_xlpm.search_key,$W332&amp;$Y332,_xlpm.Scenario,_xlfn.VSTACK($W$20:$W$55&amp;$Y$20:$Y$55,$W$76:$W$110&amp;$Y$76:$Y$110),_xlpm.Data,_xlfn.VSTACK($AD$20:$BN$55,$AD$76:$BN$110),IF(OR($Y332="",ISNUMBER(SEARCH("please",$Y332))),"",_xlfn.XLOOKUP(_xlpm.search_key,_xlpm.Scenario,_xlpm.Data,"▧")))</f>
        <v/>
      </c>
      <c r="AH332" s="2152" t="str" cm="1">
        <f t="array" ca="1" aca="1" ref="AH332">_xlfn.LET(_xlpm.search_key,$W332&amp;$Y332,_xlpm.Scenario,_xlfn.VSTACK($W$20:$W$55&amp;$Y$20:$Y$55,$W$76:$W$110&amp;$Y$76:$Y$110),_xlpm.Data,_xlfn.VSTACK($AD$20:$BN$55,$AD$76:$BN$110),IF(OR($Y332="",ISNUMBER(SEARCH("please",$Y332))),"",_xlfn.XLOOKUP(_xlpm.search_key,_xlpm.Scenario,_xlpm.Data,"▧")))</f>
        <v/>
      </c>
      <c r="AI332" s="2152" t="str" cm="1">
        <f t="array" ca="1" aca="1" ref="AI332">_xlfn.LET(_xlpm.search_key,$W332&amp;$Y332,_xlpm.Scenario,_xlfn.VSTACK($W$20:$W$55&amp;$Y$20:$Y$55,$W$76:$W$110&amp;$Y$76:$Y$110),_xlpm.Data,_xlfn.VSTACK($AD$20:$BN$55,$AD$76:$BN$110),IF(OR($Y332="",ISNUMBER(SEARCH("please",$Y332))),"",_xlfn.XLOOKUP(_xlpm.search_key,_xlpm.Scenario,_xlpm.Data,"▧")))</f>
        <v/>
      </c>
      <c r="AJ332" s="2152" t="str" cm="1">
        <f t="array" ca="1" aca="1" ref="AJ332">_xlfn.LET(_xlpm.search_key,$W332&amp;$Y332,_xlpm.Scenario,_xlfn.VSTACK($W$20:$W$55&amp;$Y$20:$Y$55,$W$76:$W$110&amp;$Y$76:$Y$110),_xlpm.Data,_xlfn.VSTACK($AD$20:$BN$55,$AD$76:$BN$110),IF(OR($Y332="",ISNUMBER(SEARCH("please",$Y332))),"",_xlfn.XLOOKUP(_xlpm.search_key,_xlpm.Scenario,_xlpm.Data,"▧")))</f>
        <v/>
      </c>
      <c r="AK332" s="2152" t="str" cm="1">
        <f t="array" ca="1" aca="1" ref="AK332">_xlfn.LET(_xlpm.search_key,$W332&amp;$Y332,_xlpm.Scenario,_xlfn.VSTACK($W$20:$W$55&amp;$Y$20:$Y$55,$W$76:$W$110&amp;$Y$76:$Y$110),_xlpm.Data,_xlfn.VSTACK($AD$20:$BN$55,$AD$76:$BN$110),IF(OR($Y332="",ISNUMBER(SEARCH("please",$Y332))),"",_xlfn.XLOOKUP(_xlpm.search_key,_xlpm.Scenario,_xlpm.Data,"▧")))</f>
        <v/>
      </c>
      <c r="AL332" s="2152" t="str" cm="1">
        <f t="array" ca="1" aca="1" ref="AL332">_xlfn.LET(_xlpm.search_key,$W332&amp;$Y332,_xlpm.Scenario,_xlfn.VSTACK($W$20:$W$55&amp;$Y$20:$Y$55,$W$76:$W$110&amp;$Y$76:$Y$110),_xlpm.Data,_xlfn.VSTACK($AD$20:$BN$55,$AD$76:$BN$110),IF(OR($Y332="",ISNUMBER(SEARCH("please",$Y332))),"",_xlfn.XLOOKUP(_xlpm.search_key,_xlpm.Scenario,_xlpm.Data,"▧")))</f>
        <v/>
      </c>
      <c r="AM332" s="2152" t="str" cm="1">
        <f t="array" ca="1" aca="1" ref="AM332">_xlfn.LET(_xlpm.search_key,$W332&amp;$Y332,_xlpm.Scenario,_xlfn.VSTACK($W$20:$W$55&amp;$Y$20:$Y$55,$W$76:$W$110&amp;$Y$76:$Y$110),_xlpm.Data,_xlfn.VSTACK($AD$20:$BN$55,$AD$76:$BN$110),IF(OR($Y332="",ISNUMBER(SEARCH("please",$Y332))),"",_xlfn.XLOOKUP(_xlpm.search_key,_xlpm.Scenario,_xlpm.Data,"▧")))</f>
        <v/>
      </c>
      <c r="AN332" s="2152" t="str" cm="1">
        <f t="array" ca="1" aca="1" ref="AN332">_xlfn.LET(_xlpm.search_key,$W332&amp;$Y332,_xlpm.Scenario,_xlfn.VSTACK($W$20:$W$55&amp;$Y$20:$Y$55,$W$76:$W$110&amp;$Y$76:$Y$110),_xlpm.Data,_xlfn.VSTACK($AD$20:$BN$55,$AD$76:$BN$110),IF(OR($Y332="",ISNUMBER(SEARCH("please",$Y332))),"",_xlfn.XLOOKUP(_xlpm.search_key,_xlpm.Scenario,_xlpm.Data,"▧")))</f>
        <v/>
      </c>
      <c r="AO332" s="2152" t="str" cm="1">
        <f t="array" ca="1" aca="1" ref="AO332">_xlfn.LET(_xlpm.search_key,$W332&amp;$Y332,_xlpm.Scenario,_xlfn.VSTACK($W$20:$W$55&amp;$Y$20:$Y$55,$W$76:$W$110&amp;$Y$76:$Y$110),_xlpm.Data,_xlfn.VSTACK($AD$20:$BN$55,$AD$76:$BN$110),IF(OR($Y332="",ISNUMBER(SEARCH("please",$Y332))),"",_xlfn.XLOOKUP(_xlpm.search_key,_xlpm.Scenario,_xlpm.Data,"▧")))</f>
        <v/>
      </c>
      <c r="AP332" s="2152" t="str" cm="1">
        <f t="array" ca="1" aca="1" ref="AP332">_xlfn.LET(_xlpm.search_key,$W332&amp;$Y332,_xlpm.Scenario,_xlfn.VSTACK($W$20:$W$55&amp;$Y$20:$Y$55,$W$76:$W$110&amp;$Y$76:$Y$110),_xlpm.Data,_xlfn.VSTACK($AD$20:$BN$55,$AD$76:$BN$110),IF(OR($Y332="",ISNUMBER(SEARCH("please",$Y332))),"",_xlfn.XLOOKUP(_xlpm.search_key,_xlpm.Scenario,_xlpm.Data,"▧")))</f>
        <v/>
      </c>
      <c r="AQ332" s="2152" t="str" cm="1">
        <f t="array" ca="1" aca="1" ref="AQ332">_xlfn.LET(_xlpm.search_key,$W332&amp;$Y332,_xlpm.Scenario,_xlfn.VSTACK($W$20:$W$55&amp;$Y$20:$Y$55,$W$76:$W$110&amp;$Y$76:$Y$110),_xlpm.Data,_xlfn.VSTACK($AD$20:$BN$55,$AD$76:$BN$110),IF(OR($Y332="",ISNUMBER(SEARCH("please",$Y332))),"",_xlfn.XLOOKUP(_xlpm.search_key,_xlpm.Scenario,_xlpm.Data,"▧")))</f>
        <v/>
      </c>
      <c r="AR332" s="2152" t="str" cm="1">
        <f t="array" ca="1" aca="1" ref="AR332">_xlfn.LET(_xlpm.search_key,$W332&amp;$Y332,_xlpm.Scenario,_xlfn.VSTACK($W$20:$W$55&amp;$Y$20:$Y$55,$W$76:$W$110&amp;$Y$76:$Y$110),_xlpm.Data,_xlfn.VSTACK($AD$20:$BN$55,$AD$76:$BN$110),IF(OR($Y332="",ISNUMBER(SEARCH("please",$Y332))),"",_xlfn.XLOOKUP(_xlpm.search_key,_xlpm.Scenario,_xlpm.Data,"▧")))</f>
        <v/>
      </c>
      <c r="AS332" s="2152" t="str" cm="1">
        <f t="array" ca="1" aca="1" ref="AS332">_xlfn.LET(_xlpm.search_key,$W332&amp;$Y332,_xlpm.Scenario,_xlfn.VSTACK($W$20:$W$55&amp;$Y$20:$Y$55,$W$76:$W$110&amp;$Y$76:$Y$110),_xlpm.Data,_xlfn.VSTACK($AD$20:$BN$55,$AD$76:$BN$110),IF(OR($Y332="",ISNUMBER(SEARCH("please",$Y332))),"",_xlfn.XLOOKUP(_xlpm.search_key,_xlpm.Scenario,_xlpm.Data,"▧")))</f>
        <v/>
      </c>
      <c r="AT332" s="2152" t="str" cm="1">
        <f t="array" ca="1" aca="1" ref="AT332">_xlfn.LET(_xlpm.search_key,$W332&amp;$Y332,_xlpm.Scenario,_xlfn.VSTACK($W$20:$W$55&amp;$Y$20:$Y$55,$W$76:$W$110&amp;$Y$76:$Y$110),_xlpm.Data,_xlfn.VSTACK($AD$20:$BN$55,$AD$76:$BN$110),IF(OR($Y332="",ISNUMBER(SEARCH("please",$Y332))),"",_xlfn.XLOOKUP(_xlpm.search_key,_xlpm.Scenario,_xlpm.Data,"▧")))</f>
        <v/>
      </c>
      <c r="AU332" s="2152" t="str" cm="1">
        <f t="array" ca="1" aca="1" ref="AU332">_xlfn.LET(_xlpm.search_key,$W332&amp;$Y332,_xlpm.Scenario,_xlfn.VSTACK($W$20:$W$55&amp;$Y$20:$Y$55,$W$76:$W$110&amp;$Y$76:$Y$110),_xlpm.Data,_xlfn.VSTACK($AD$20:$BN$55,$AD$76:$BN$110),IF(OR($Y332="",ISNUMBER(SEARCH("please",$Y332))),"",_xlfn.XLOOKUP(_xlpm.search_key,_xlpm.Scenario,_xlpm.Data,"▧")))</f>
        <v/>
      </c>
      <c r="AV332" s="2152" t="str" cm="1">
        <f t="array" ca="1" aca="1" ref="AV332">_xlfn.LET(_xlpm.search_key,$W332&amp;$Y332,_xlpm.Scenario,_xlfn.VSTACK($W$20:$W$55&amp;$Y$20:$Y$55,$W$76:$W$110&amp;$Y$76:$Y$110),_xlpm.Data,_xlfn.VSTACK($AD$20:$BN$55,$AD$76:$BN$110),IF(OR($Y332="",ISNUMBER(SEARCH("please",$Y332))),"",_xlfn.XLOOKUP(_xlpm.search_key,_xlpm.Scenario,_xlpm.Data,"▧")))</f>
        <v/>
      </c>
      <c r="AW332" s="2152" t="str" cm="1">
        <f t="array" ca="1" aca="1" ref="AW332">_xlfn.LET(_xlpm.search_key,$W332&amp;$Y332,_xlpm.Scenario,_xlfn.VSTACK($W$20:$W$55&amp;$Y$20:$Y$55,$W$76:$W$110&amp;$Y$76:$Y$110),_xlpm.Data,_xlfn.VSTACK($AD$20:$BN$55,$AD$76:$BN$110),IF(OR($Y332="",ISNUMBER(SEARCH("please",$Y332))),"",_xlfn.XLOOKUP(_xlpm.search_key,_xlpm.Scenario,_xlpm.Data,"▧")))</f>
        <v/>
      </c>
      <c r="AX332" s="2152" t="str" cm="1">
        <f t="array" ca="1" aca="1" ref="AX332">_xlfn.LET(_xlpm.search_key,$W332&amp;$Y332,_xlpm.Scenario,_xlfn.VSTACK($W$20:$W$55&amp;$Y$20:$Y$55,$W$76:$W$110&amp;$Y$76:$Y$110),_xlpm.Data,_xlfn.VSTACK($AD$20:$BN$55,$AD$76:$BN$110),IF(OR($Y332="",ISNUMBER(SEARCH("please",$Y332))),"",_xlfn.XLOOKUP(_xlpm.search_key,_xlpm.Scenario,_xlpm.Data,"▧")))</f>
        <v/>
      </c>
      <c r="AY332" s="2152" t="str" cm="1">
        <f t="array" ca="1" aca="1" ref="AY332">_xlfn.LET(_xlpm.search_key,$W332&amp;$Y332,_xlpm.Scenario,_xlfn.VSTACK($W$20:$W$55&amp;$Y$20:$Y$55,$W$76:$W$110&amp;$Y$76:$Y$110),_xlpm.Data,_xlfn.VSTACK($AD$20:$BN$55,$AD$76:$BN$110),IF(OR($Y332="",ISNUMBER(SEARCH("please",$Y332))),"",_xlfn.XLOOKUP(_xlpm.search_key,_xlpm.Scenario,_xlpm.Data,"▧")))</f>
        <v/>
      </c>
      <c r="AZ332" s="2152" t="str" cm="1">
        <f t="array" ca="1" aca="1" ref="AZ332">_xlfn.LET(_xlpm.search_key,$W332&amp;$Y332,_xlpm.Scenario,_xlfn.VSTACK($W$20:$W$55&amp;$Y$20:$Y$55,$W$76:$W$110&amp;$Y$76:$Y$110),_xlpm.Data,_xlfn.VSTACK($AD$20:$BN$55,$AD$76:$BN$110),IF(OR($Y332="",ISNUMBER(SEARCH("please",$Y332))),"",_xlfn.XLOOKUP(_xlpm.search_key,_xlpm.Scenario,_xlpm.Data,"▧")))</f>
        <v/>
      </c>
      <c r="BA332" s="2152" t="str" cm="1">
        <f t="array" ca="1" aca="1" ref="BA332">_xlfn.LET(_xlpm.search_key,$W332&amp;$Y332,_xlpm.Scenario,_xlfn.VSTACK($W$20:$W$55&amp;$Y$20:$Y$55,$W$76:$W$110&amp;$Y$76:$Y$110),_xlpm.Data,_xlfn.VSTACK($AD$20:$BN$55,$AD$76:$BN$110),IF(OR($Y332="",ISNUMBER(SEARCH("please",$Y332))),"",_xlfn.XLOOKUP(_xlpm.search_key,_xlpm.Scenario,_xlpm.Data,"▧")))</f>
        <v/>
      </c>
      <c r="BB332" s="2152" t="str" cm="1">
        <f t="array" ca="1" aca="1" ref="BB332">_xlfn.LET(_xlpm.search_key,$W332&amp;$Y332,_xlpm.Scenario,_xlfn.VSTACK($W$20:$W$55&amp;$Y$20:$Y$55,$W$76:$W$110&amp;$Y$76:$Y$110),_xlpm.Data,_xlfn.VSTACK($AD$20:$BN$55,$AD$76:$BN$110),IF(OR($Y332="",ISNUMBER(SEARCH("please",$Y332))),"",_xlfn.XLOOKUP(_xlpm.search_key,_xlpm.Scenario,_xlpm.Data,"▧")))</f>
        <v/>
      </c>
      <c r="BC332" s="2152" t="str" cm="1">
        <f t="array" ca="1" aca="1" ref="BC332">_xlfn.LET(_xlpm.search_key,$W332&amp;$Y332,_xlpm.Scenario,_xlfn.VSTACK($W$20:$W$55&amp;$Y$20:$Y$55,$W$76:$W$110&amp;$Y$76:$Y$110),_xlpm.Data,_xlfn.VSTACK($AD$20:$BN$55,$AD$76:$BN$110),IF(OR($Y332="",ISNUMBER(SEARCH("please",$Y332))),"",_xlfn.XLOOKUP(_xlpm.search_key,_xlpm.Scenario,_xlpm.Data,"▧")))</f>
        <v/>
      </c>
      <c r="BD332" s="2152" t="str" cm="1">
        <f t="array" ca="1" aca="1" ref="BD332">_xlfn.LET(_xlpm.search_key,$W332&amp;$Y332,_xlpm.Scenario,_xlfn.VSTACK($W$20:$W$55&amp;$Y$20:$Y$55,$W$76:$W$110&amp;$Y$76:$Y$110),_xlpm.Data,_xlfn.VSTACK($AD$20:$BN$55,$AD$76:$BN$110),IF(OR($Y332="",ISNUMBER(SEARCH("please",$Y332))),"",_xlfn.XLOOKUP(_xlpm.search_key,_xlpm.Scenario,_xlpm.Data,"▧")))</f>
        <v/>
      </c>
      <c r="BE332" s="2152" t="str" cm="1">
        <f t="array" ca="1" aca="1" ref="BE332">_xlfn.LET(_xlpm.search_key,$W332&amp;$Y332,_xlpm.Scenario,_xlfn.VSTACK($W$20:$W$55&amp;$Y$20:$Y$55,$W$76:$W$110&amp;$Y$76:$Y$110),_xlpm.Data,_xlfn.VSTACK($AD$20:$BN$55,$AD$76:$BN$110),IF(OR($Y332="",ISNUMBER(SEARCH("please",$Y332))),"",_xlfn.XLOOKUP(_xlpm.search_key,_xlpm.Scenario,_xlpm.Data,"▧")))</f>
        <v/>
      </c>
      <c r="BF332" s="2152" t="str" cm="1">
        <f t="array" ca="1" aca="1" ref="BF332">_xlfn.LET(_xlpm.search_key,$W332&amp;$Y332,_xlpm.Scenario,_xlfn.VSTACK($W$20:$W$55&amp;$Y$20:$Y$55,$W$76:$W$110&amp;$Y$76:$Y$110),_xlpm.Data,_xlfn.VSTACK($AD$20:$BN$55,$AD$76:$BN$110),IF(OR($Y332="",ISNUMBER(SEARCH("please",$Y332))),"",_xlfn.XLOOKUP(_xlpm.search_key,_xlpm.Scenario,_xlpm.Data,"▧")))</f>
        <v/>
      </c>
      <c r="BG332" s="2152" t="str" cm="1">
        <f t="array" ca="1" aca="1" ref="BG332">_xlfn.LET(_xlpm.search_key,$W332&amp;$Y332,_xlpm.Scenario,_xlfn.VSTACK($W$20:$W$55&amp;$Y$20:$Y$55,$W$76:$W$110&amp;$Y$76:$Y$110),_xlpm.Data,_xlfn.VSTACK($AD$20:$BN$55,$AD$76:$BN$110),IF(OR($Y332="",ISNUMBER(SEARCH("please",$Y332))),"",_xlfn.XLOOKUP(_xlpm.search_key,_xlpm.Scenario,_xlpm.Data,"▧")))</f>
        <v/>
      </c>
      <c r="BH332" s="2152" t="str" cm="1">
        <f t="array" ca="1" aca="1" ref="BH332">_xlfn.LET(_xlpm.search_key,$W332&amp;$Y332,_xlpm.Scenario,_xlfn.VSTACK($W$20:$W$55&amp;$Y$20:$Y$55,$W$76:$W$110&amp;$Y$76:$Y$110),_xlpm.Data,_xlfn.VSTACK($AD$20:$BN$55,$AD$76:$BN$110),IF(OR($Y332="",ISNUMBER(SEARCH("please",$Y332))),"",_xlfn.XLOOKUP(_xlpm.search_key,_xlpm.Scenario,_xlpm.Data,"▧")))</f>
        <v/>
      </c>
      <c r="BI332" s="2152" t="str" cm="1">
        <f t="array" ca="1" aca="1" ref="BI332">_xlfn.LET(_xlpm.search_key,$W332&amp;$Y332,_xlpm.Scenario,_xlfn.VSTACK($W$20:$W$55&amp;$Y$20:$Y$55,$W$76:$W$110&amp;$Y$76:$Y$110),_xlpm.Data,_xlfn.VSTACK($AD$20:$BN$55,$AD$76:$BN$110),IF(OR($Y332="",ISNUMBER(SEARCH("please",$Y332))),"",_xlfn.XLOOKUP(_xlpm.search_key,_xlpm.Scenario,_xlpm.Data,"▧")))</f>
        <v/>
      </c>
      <c r="BJ332" s="2152" t="str" cm="1">
        <f t="array" ca="1" aca="1" ref="BJ332">_xlfn.LET(_xlpm.search_key,$W332&amp;$Y332,_xlpm.Scenario,_xlfn.VSTACK($W$20:$W$55&amp;$Y$20:$Y$55,$W$76:$W$110&amp;$Y$76:$Y$110),_xlpm.Data,_xlfn.VSTACK($AD$20:$BN$55,$AD$76:$BN$110),IF(OR($Y332="",ISNUMBER(SEARCH("please",$Y332))),"",_xlfn.XLOOKUP(_xlpm.search_key,_xlpm.Scenario,_xlpm.Data,"▧")))</f>
        <v/>
      </c>
      <c r="BK332" s="2152" t="str" cm="1">
        <f t="array" ca="1" aca="1" ref="BK332">_xlfn.LET(_xlpm.search_key,$W332&amp;$Y332,_xlpm.Scenario,_xlfn.VSTACK($W$20:$W$55&amp;$Y$20:$Y$55,$W$76:$W$110&amp;$Y$76:$Y$110),_xlpm.Data,_xlfn.VSTACK($AD$20:$BN$55,$AD$76:$BN$110),IF(OR($Y332="",ISNUMBER(SEARCH("please",$Y332))),"",_xlfn.XLOOKUP(_xlpm.search_key,_xlpm.Scenario,_xlpm.Data,"▧")))</f>
        <v/>
      </c>
      <c r="BL332" s="2152" t="str" cm="1">
        <f t="array" ca="1" aca="1" ref="BL332">_xlfn.LET(_xlpm.search_key,$W332&amp;$Y332,_xlpm.Scenario,_xlfn.VSTACK($W$20:$W$55&amp;$Y$20:$Y$55,$W$76:$W$110&amp;$Y$76:$Y$110),_xlpm.Data,_xlfn.VSTACK($AD$20:$BN$55,$AD$76:$BN$110),IF(OR($Y332="",ISNUMBER(SEARCH("please",$Y332))),"",_xlfn.XLOOKUP(_xlpm.search_key,_xlpm.Scenario,_xlpm.Data,"▧")))</f>
        <v/>
      </c>
      <c r="BM332" s="2152" t="str" cm="1">
        <f t="array" ca="1" aca="1" ref="BM332">_xlfn.LET(_xlpm.search_key,$W332&amp;$Y332,_xlpm.Scenario,_xlfn.VSTACK($W$20:$W$55&amp;$Y$20:$Y$55,$W$76:$W$110&amp;$Y$76:$Y$110),_xlpm.Data,_xlfn.VSTACK($AD$20:$BN$55,$AD$76:$BN$110),IF(OR($Y332="",ISNUMBER(SEARCH("please",$Y332))),"",_xlfn.XLOOKUP(_xlpm.search_key,_xlpm.Scenario,_xlpm.Data,"▧")))</f>
        <v/>
      </c>
      <c r="BN332" s="2152" t="str" cm="1">
        <f t="array" ca="1" aca="1" ref="BN332">_xlfn.LET(_xlpm.search_key,$W332&amp;$Y332,_xlpm.Scenario,_xlfn.VSTACK($W$20:$W$55&amp;$Y$20:$Y$55,$W$76:$W$110&amp;$Y$76:$Y$110),_xlpm.Data,_xlfn.VSTACK($AD$20:$BN$55,$AD$76:$BN$110),IF(OR($Y332="",ISNUMBER(SEARCH("please",$Y332))),"",_xlfn.XLOOKUP(_xlpm.search_key,_xlpm.Scenario,_xlpm.Data,"▧")))</f>
        <v/>
      </c>
      <c r="BO332" s="2153"/>
      <c r="BP332" s="2153"/>
      <c r="BQ332" s="2153"/>
      <c r="BR332" s="2153"/>
      <c r="BS332" s="2153"/>
      <c r="BT332" s="2153"/>
      <c r="BU332" s="2153"/>
      <c r="BV332" s="2153"/>
      <c r="BW332" s="2153"/>
      <c r="BX332" s="2153"/>
      <c r="BY332" s="2153"/>
      <c r="BZ332" s="2153"/>
      <c r="CA332" s="34"/>
      <c r="CC332" s="58"/>
      <c r="CD332" s="2154" t="str" cm="1">
        <f t="array" ca="1" aca="1" ref="CD332">_xlfn.LET(_xlpm.search_key,$W332&amp;$Y332,_xlpm.Scenario,_xlfn.VSTACK($W$20:$W$55&amp;$Y$20:$Y$55,$W$76:$W$110&amp;$Y$76:$Y$110),_xlpm.Data,_xlfn.VSTACK(CD$20:CE$55,CD$76:CE$110),IF(OR($Y332="",ISNUMBER(SEARCH("please",$Y332))),"",_xlfn.XLOOKUP(_xlpm.search_key,_xlpm.Scenario,_xlpm.Data,"▧")))</f>
        <v/>
      </c>
      <c r="CE332" s="2154"/>
      <c r="CF332" s="88"/>
      <c r="CG332" s="2154" t="str" cm="1">
        <f t="array" ca="1" aca="1" ref="CG332">_xlfn.LET(_xlpm.search_key,$W332&amp;$Y332,_xlpm.Scenario,_xlfn.VSTACK($W$20:$W$55&amp;$Y$20:$Y$55,$W$76:$W$110&amp;$Y$76:$Y$110),_xlpm.Data,_xlfn.VSTACK(CG$20:CH$55,CG$76:CH$110),IF(OR($Y332="",ISNUMBER(SEARCH("please",$Y332))),"",_xlfn.XLOOKUP(_xlpm.search_key,_xlpm.Scenario,_xlpm.Data,"▧")))</f>
        <v/>
      </c>
      <c r="CH332" s="2154"/>
      <c r="CI332" s="88"/>
      <c r="CJ332" s="2154" t="str" cm="1">
        <f t="array" ref="CJ332">_xlfn.LET(_xlpm.search_key,$W332&amp;$Y332,_xlpm.Scenario,_xlfn.VSTACK($W$20:$W$55&amp;$Y$20:$Y$55,$W$76:$W$110&amp;$Y$76:$Y$110),_xlpm.Data,_xlfn.VSTACK(CJ$20:CK$55,CJ$76:CK$110),IF(OR($Y332="",ISNUMBER(SEARCH("please",$Y332))),"",_xlfn.XLOOKUP(_xlpm.search_key,_xlpm.Scenario,_xlpm.Data,"▧")))</f>
        <v/>
      </c>
      <c r="CK332" s="2154"/>
      <c r="CL332" s="88"/>
      <c r="CM332" s="2154" t="str" cm="1">
        <f t="array" ca="1" aca="1" ref="CM332">_xlfn.LET(_xlpm.search_key,$W332&amp;$Y332,_xlpm.Scenario,_xlfn.VSTACK($W$20:$W$55&amp;$Y$20:$Y$55,$W$76:$W$110&amp;$Y$76:$Y$110),_xlpm.Data,_xlfn.VSTACK(CM$20:CN$55,CM$76:CN$110),IF(OR($Y332="",ISNUMBER(SEARCH("please",$Y332))),"",_xlfn.XLOOKUP(_xlpm.search_key,_xlpm.Scenario,_xlpm.Data,"▧")))</f>
        <v/>
      </c>
      <c r="CN332" s="2154"/>
      <c r="CO332" s="88"/>
      <c r="CP332" s="2154" t="str" cm="1">
        <f t="array" ca="1" aca="1" ref="CP332">_xlfn.LET(_xlpm.search_key,$W332&amp;$Y332,_xlpm.Scenario,_xlfn.VSTACK($W$20:$W$55&amp;$Y$20:$Y$55,$W$76:$W$110&amp;$Y$76:$Y$110),_xlpm.Data,_xlfn.VSTACK(CP$20:CQ$55,CP$76:CQ$110),IF(OR($Y332="",ISNUMBER(SEARCH("please",$Y332))),"",_xlfn.XLOOKUP(_xlpm.search_key,_xlpm.Scenario,_xlpm.Data,"▧")))</f>
        <v/>
      </c>
      <c r="CQ332" s="2154"/>
      <c r="CR332" s="34"/>
      <c r="CS332" s="2056"/>
    </row>
    <row r="333" spans="1:97" ht="21" customHeight="1">
      <c r="A333" s="1627"/>
      <c r="B333" s="2331"/>
      <c r="C333" s="2084"/>
      <c r="D333" s="1549"/>
      <c r="E333" s="1902"/>
      <c r="F333" s="401"/>
      <c r="G333" s="401"/>
      <c r="H333" s="585"/>
      <c r="I333" s="585"/>
      <c r="J333" s="401"/>
      <c r="K333" s="401"/>
      <c r="N333" s="158"/>
      <c r="O333" s="101"/>
      <c r="P333" s="52"/>
      <c r="Q333" s="101"/>
      <c r="R333" s="101"/>
      <c r="S333" s="101"/>
      <c r="T333" s="101"/>
      <c r="U333" s="39"/>
      <c r="V333" s="37"/>
      <c r="W333" s="2329"/>
      <c r="X333" s="2081"/>
      <c r="Y333" s="2367"/>
      <c r="Z333" s="198"/>
      <c r="AA333" s="2136"/>
      <c r="AB333" s="1134"/>
      <c r="AC333" s="125"/>
      <c r="AD333" s="2152" t="str" cm="1">
        <f t="array" ca="1" aca="1" ref="AD333">_xlfn.LET(_xlpm.search_key,$W333&amp;$Y333,_xlpm.Scenario,_xlfn.VSTACK($W$20:$W$55&amp;$Y$20:$Y$55,$W$76:$W$110&amp;$Y$76:$Y$110),_xlpm.Data,_xlfn.VSTACK($AD$20:$BN$55,$AD$76:$BN$110),IF(OR($Y333="",ISNUMBER(SEARCH("please",$Y333))),"",_xlfn.XLOOKUP(_xlpm.search_key,_xlpm.Scenario,_xlpm.Data,"▧",2)))</f>
        <v/>
      </c>
      <c r="AE333" s="2152" t="str" cm="1">
        <f t="array" ca="1" aca="1" ref="AE333">_xlfn.LET(_xlpm.search_key,$W333&amp;$Y333,_xlpm.Scenario,_xlfn.VSTACK($W$20:$W$55&amp;$Y$20:$Y$55,$W$76:$W$110&amp;$Y$76:$Y$110),_xlpm.Data,_xlfn.VSTACK($AD$20:$BN$55,$AD$76:$BN$110),IF(OR($Y333="",ISNUMBER(SEARCH("please",$Y333))),"",_xlfn.XLOOKUP(_xlpm.search_key,_xlpm.Scenario,_xlpm.Data,"▧")))</f>
        <v/>
      </c>
      <c r="AF333" s="2152" t="str" cm="1">
        <f t="array" ca="1" aca="1" ref="AF333">_xlfn.LET(_xlpm.search_key,$W333&amp;$Y333,_xlpm.Scenario,_xlfn.VSTACK($W$20:$W$55&amp;$Y$20:$Y$55,$W$76:$W$110&amp;$Y$76:$Y$110),_xlpm.Data,_xlfn.VSTACK($AD$20:$BN$55,$AD$76:$BN$110),IF(OR($Y333="",ISNUMBER(SEARCH("please",$Y333))),"",_xlfn.XLOOKUP(_xlpm.search_key,_xlpm.Scenario,_xlpm.Data,"▧")))</f>
        <v/>
      </c>
      <c r="AG333" s="2152" t="str" cm="1">
        <f t="array" ca="1" aca="1" ref="AG333">_xlfn.LET(_xlpm.search_key,$W333&amp;$Y333,_xlpm.Scenario,_xlfn.VSTACK($W$20:$W$55&amp;$Y$20:$Y$55,$W$76:$W$110&amp;$Y$76:$Y$110),_xlpm.Data,_xlfn.VSTACK($AD$20:$BN$55,$AD$76:$BN$110),IF(OR($Y333="",ISNUMBER(SEARCH("please",$Y333))),"",_xlfn.XLOOKUP(_xlpm.search_key,_xlpm.Scenario,_xlpm.Data,"▧")))</f>
        <v/>
      </c>
      <c r="AH333" s="2152" t="str" cm="1">
        <f t="array" ca="1" aca="1" ref="AH333">_xlfn.LET(_xlpm.search_key,$W333&amp;$Y333,_xlpm.Scenario,_xlfn.VSTACK($W$20:$W$55&amp;$Y$20:$Y$55,$W$76:$W$110&amp;$Y$76:$Y$110),_xlpm.Data,_xlfn.VSTACK($AD$20:$BN$55,$AD$76:$BN$110),IF(OR($Y333="",ISNUMBER(SEARCH("please",$Y333))),"",_xlfn.XLOOKUP(_xlpm.search_key,_xlpm.Scenario,_xlpm.Data,"▧")))</f>
        <v/>
      </c>
      <c r="AI333" s="2152" t="str" cm="1">
        <f t="array" ca="1" aca="1" ref="AI333">_xlfn.LET(_xlpm.search_key,$W333&amp;$Y333,_xlpm.Scenario,_xlfn.VSTACK($W$20:$W$55&amp;$Y$20:$Y$55,$W$76:$W$110&amp;$Y$76:$Y$110),_xlpm.Data,_xlfn.VSTACK($AD$20:$BN$55,$AD$76:$BN$110),IF(OR($Y333="",ISNUMBER(SEARCH("please",$Y333))),"",_xlfn.XLOOKUP(_xlpm.search_key,_xlpm.Scenario,_xlpm.Data,"▧")))</f>
        <v/>
      </c>
      <c r="AJ333" s="2152" t="str" cm="1">
        <f t="array" ca="1" aca="1" ref="AJ333">_xlfn.LET(_xlpm.search_key,$W333&amp;$Y333,_xlpm.Scenario,_xlfn.VSTACK($W$20:$W$55&amp;$Y$20:$Y$55,$W$76:$W$110&amp;$Y$76:$Y$110),_xlpm.Data,_xlfn.VSTACK($AD$20:$BN$55,$AD$76:$BN$110),IF(OR($Y333="",ISNUMBER(SEARCH("please",$Y333))),"",_xlfn.XLOOKUP(_xlpm.search_key,_xlpm.Scenario,_xlpm.Data,"▧")))</f>
        <v/>
      </c>
      <c r="AK333" s="2152" t="str" cm="1">
        <f t="array" ca="1" aca="1" ref="AK333">_xlfn.LET(_xlpm.search_key,$W333&amp;$Y333,_xlpm.Scenario,_xlfn.VSTACK($W$20:$W$55&amp;$Y$20:$Y$55,$W$76:$W$110&amp;$Y$76:$Y$110),_xlpm.Data,_xlfn.VSTACK($AD$20:$BN$55,$AD$76:$BN$110),IF(OR($Y333="",ISNUMBER(SEARCH("please",$Y333))),"",_xlfn.XLOOKUP(_xlpm.search_key,_xlpm.Scenario,_xlpm.Data,"▧")))</f>
        <v/>
      </c>
      <c r="AL333" s="2152" t="str" cm="1">
        <f t="array" ca="1" aca="1" ref="AL333">_xlfn.LET(_xlpm.search_key,$W333&amp;$Y333,_xlpm.Scenario,_xlfn.VSTACK($W$20:$W$55&amp;$Y$20:$Y$55,$W$76:$W$110&amp;$Y$76:$Y$110),_xlpm.Data,_xlfn.VSTACK($AD$20:$BN$55,$AD$76:$BN$110),IF(OR($Y333="",ISNUMBER(SEARCH("please",$Y333))),"",_xlfn.XLOOKUP(_xlpm.search_key,_xlpm.Scenario,_xlpm.Data,"▧")))</f>
        <v/>
      </c>
      <c r="AM333" s="2152" t="str" cm="1">
        <f t="array" ca="1" aca="1" ref="AM333">_xlfn.LET(_xlpm.search_key,$W333&amp;$Y333,_xlpm.Scenario,_xlfn.VSTACK($W$20:$W$55&amp;$Y$20:$Y$55,$W$76:$W$110&amp;$Y$76:$Y$110),_xlpm.Data,_xlfn.VSTACK($AD$20:$BN$55,$AD$76:$BN$110),IF(OR($Y333="",ISNUMBER(SEARCH("please",$Y333))),"",_xlfn.XLOOKUP(_xlpm.search_key,_xlpm.Scenario,_xlpm.Data,"▧")))</f>
        <v/>
      </c>
      <c r="AN333" s="2152" t="str" cm="1">
        <f t="array" ca="1" aca="1" ref="AN333">_xlfn.LET(_xlpm.search_key,$W333&amp;$Y333,_xlpm.Scenario,_xlfn.VSTACK($W$20:$W$55&amp;$Y$20:$Y$55,$W$76:$W$110&amp;$Y$76:$Y$110),_xlpm.Data,_xlfn.VSTACK($AD$20:$BN$55,$AD$76:$BN$110),IF(OR($Y333="",ISNUMBER(SEARCH("please",$Y333))),"",_xlfn.XLOOKUP(_xlpm.search_key,_xlpm.Scenario,_xlpm.Data,"▧")))</f>
        <v/>
      </c>
      <c r="AO333" s="2152" t="str" cm="1">
        <f t="array" ca="1" aca="1" ref="AO333">_xlfn.LET(_xlpm.search_key,$W333&amp;$Y333,_xlpm.Scenario,_xlfn.VSTACK($W$20:$W$55&amp;$Y$20:$Y$55,$W$76:$W$110&amp;$Y$76:$Y$110),_xlpm.Data,_xlfn.VSTACK($AD$20:$BN$55,$AD$76:$BN$110),IF(OR($Y333="",ISNUMBER(SEARCH("please",$Y333))),"",_xlfn.XLOOKUP(_xlpm.search_key,_xlpm.Scenario,_xlpm.Data,"▧")))</f>
        <v/>
      </c>
      <c r="AP333" s="2152" t="str" cm="1">
        <f t="array" ca="1" aca="1" ref="AP333">_xlfn.LET(_xlpm.search_key,$W333&amp;$Y333,_xlpm.Scenario,_xlfn.VSTACK($W$20:$W$55&amp;$Y$20:$Y$55,$W$76:$W$110&amp;$Y$76:$Y$110),_xlpm.Data,_xlfn.VSTACK($AD$20:$BN$55,$AD$76:$BN$110),IF(OR($Y333="",ISNUMBER(SEARCH("please",$Y333))),"",_xlfn.XLOOKUP(_xlpm.search_key,_xlpm.Scenario,_xlpm.Data,"▧")))</f>
        <v/>
      </c>
      <c r="AQ333" s="2152" t="str" cm="1">
        <f t="array" ca="1" aca="1" ref="AQ333">_xlfn.LET(_xlpm.search_key,$W333&amp;$Y333,_xlpm.Scenario,_xlfn.VSTACK($W$20:$W$55&amp;$Y$20:$Y$55,$W$76:$W$110&amp;$Y$76:$Y$110),_xlpm.Data,_xlfn.VSTACK($AD$20:$BN$55,$AD$76:$BN$110),IF(OR($Y333="",ISNUMBER(SEARCH("please",$Y333))),"",_xlfn.XLOOKUP(_xlpm.search_key,_xlpm.Scenario,_xlpm.Data,"▧")))</f>
        <v/>
      </c>
      <c r="AR333" s="2152" t="str" cm="1">
        <f t="array" ca="1" aca="1" ref="AR333">_xlfn.LET(_xlpm.search_key,$W333&amp;$Y333,_xlpm.Scenario,_xlfn.VSTACK($W$20:$W$55&amp;$Y$20:$Y$55,$W$76:$W$110&amp;$Y$76:$Y$110),_xlpm.Data,_xlfn.VSTACK($AD$20:$BN$55,$AD$76:$BN$110),IF(OR($Y333="",ISNUMBER(SEARCH("please",$Y333))),"",_xlfn.XLOOKUP(_xlpm.search_key,_xlpm.Scenario,_xlpm.Data,"▧")))</f>
        <v/>
      </c>
      <c r="AS333" s="2152" t="str" cm="1">
        <f t="array" ca="1" aca="1" ref="AS333">_xlfn.LET(_xlpm.search_key,$W333&amp;$Y333,_xlpm.Scenario,_xlfn.VSTACK($W$20:$W$55&amp;$Y$20:$Y$55,$W$76:$W$110&amp;$Y$76:$Y$110),_xlpm.Data,_xlfn.VSTACK($AD$20:$BN$55,$AD$76:$BN$110),IF(OR($Y333="",ISNUMBER(SEARCH("please",$Y333))),"",_xlfn.XLOOKUP(_xlpm.search_key,_xlpm.Scenario,_xlpm.Data,"▧")))</f>
        <v/>
      </c>
      <c r="AT333" s="2152" t="str" cm="1">
        <f t="array" ca="1" aca="1" ref="AT333">_xlfn.LET(_xlpm.search_key,$W333&amp;$Y333,_xlpm.Scenario,_xlfn.VSTACK($W$20:$W$55&amp;$Y$20:$Y$55,$W$76:$W$110&amp;$Y$76:$Y$110),_xlpm.Data,_xlfn.VSTACK($AD$20:$BN$55,$AD$76:$BN$110),IF(OR($Y333="",ISNUMBER(SEARCH("please",$Y333))),"",_xlfn.XLOOKUP(_xlpm.search_key,_xlpm.Scenario,_xlpm.Data,"▧")))</f>
        <v/>
      </c>
      <c r="AU333" s="2152" t="str" cm="1">
        <f t="array" ca="1" aca="1" ref="AU333">_xlfn.LET(_xlpm.search_key,$W333&amp;$Y333,_xlpm.Scenario,_xlfn.VSTACK($W$20:$W$55&amp;$Y$20:$Y$55,$W$76:$W$110&amp;$Y$76:$Y$110),_xlpm.Data,_xlfn.VSTACK($AD$20:$BN$55,$AD$76:$BN$110),IF(OR($Y333="",ISNUMBER(SEARCH("please",$Y333))),"",_xlfn.XLOOKUP(_xlpm.search_key,_xlpm.Scenario,_xlpm.Data,"▧")))</f>
        <v/>
      </c>
      <c r="AV333" s="2152" t="str" cm="1">
        <f t="array" ca="1" aca="1" ref="AV333">_xlfn.LET(_xlpm.search_key,$W333&amp;$Y333,_xlpm.Scenario,_xlfn.VSTACK($W$20:$W$55&amp;$Y$20:$Y$55,$W$76:$W$110&amp;$Y$76:$Y$110),_xlpm.Data,_xlfn.VSTACK($AD$20:$BN$55,$AD$76:$BN$110),IF(OR($Y333="",ISNUMBER(SEARCH("please",$Y333))),"",_xlfn.XLOOKUP(_xlpm.search_key,_xlpm.Scenario,_xlpm.Data,"▧")))</f>
        <v/>
      </c>
      <c r="AW333" s="2152" t="str" cm="1">
        <f t="array" ca="1" aca="1" ref="AW333">_xlfn.LET(_xlpm.search_key,$W333&amp;$Y333,_xlpm.Scenario,_xlfn.VSTACK($W$20:$W$55&amp;$Y$20:$Y$55,$W$76:$W$110&amp;$Y$76:$Y$110),_xlpm.Data,_xlfn.VSTACK($AD$20:$BN$55,$AD$76:$BN$110),IF(OR($Y333="",ISNUMBER(SEARCH("please",$Y333))),"",_xlfn.XLOOKUP(_xlpm.search_key,_xlpm.Scenario,_xlpm.Data,"▧")))</f>
        <v/>
      </c>
      <c r="AX333" s="2152" t="str" cm="1">
        <f t="array" ca="1" aca="1" ref="AX333">_xlfn.LET(_xlpm.search_key,$W333&amp;$Y333,_xlpm.Scenario,_xlfn.VSTACK($W$20:$W$55&amp;$Y$20:$Y$55,$W$76:$W$110&amp;$Y$76:$Y$110),_xlpm.Data,_xlfn.VSTACK($AD$20:$BN$55,$AD$76:$BN$110),IF(OR($Y333="",ISNUMBER(SEARCH("please",$Y333))),"",_xlfn.XLOOKUP(_xlpm.search_key,_xlpm.Scenario,_xlpm.Data,"▧")))</f>
        <v/>
      </c>
      <c r="AY333" s="2152" t="str" cm="1">
        <f t="array" ca="1" aca="1" ref="AY333">_xlfn.LET(_xlpm.search_key,$W333&amp;$Y333,_xlpm.Scenario,_xlfn.VSTACK($W$20:$W$55&amp;$Y$20:$Y$55,$W$76:$W$110&amp;$Y$76:$Y$110),_xlpm.Data,_xlfn.VSTACK($AD$20:$BN$55,$AD$76:$BN$110),IF(OR($Y333="",ISNUMBER(SEARCH("please",$Y333))),"",_xlfn.XLOOKUP(_xlpm.search_key,_xlpm.Scenario,_xlpm.Data,"▧")))</f>
        <v/>
      </c>
      <c r="AZ333" s="2152" t="str" cm="1">
        <f t="array" ca="1" aca="1" ref="AZ333">_xlfn.LET(_xlpm.search_key,$W333&amp;$Y333,_xlpm.Scenario,_xlfn.VSTACK($W$20:$W$55&amp;$Y$20:$Y$55,$W$76:$W$110&amp;$Y$76:$Y$110),_xlpm.Data,_xlfn.VSTACK($AD$20:$BN$55,$AD$76:$BN$110),IF(OR($Y333="",ISNUMBER(SEARCH("please",$Y333))),"",_xlfn.XLOOKUP(_xlpm.search_key,_xlpm.Scenario,_xlpm.Data,"▧")))</f>
        <v/>
      </c>
      <c r="BA333" s="2152" t="str" cm="1">
        <f t="array" ca="1" aca="1" ref="BA333">_xlfn.LET(_xlpm.search_key,$W333&amp;$Y333,_xlpm.Scenario,_xlfn.VSTACK($W$20:$W$55&amp;$Y$20:$Y$55,$W$76:$W$110&amp;$Y$76:$Y$110),_xlpm.Data,_xlfn.VSTACK($AD$20:$BN$55,$AD$76:$BN$110),IF(OR($Y333="",ISNUMBER(SEARCH("please",$Y333))),"",_xlfn.XLOOKUP(_xlpm.search_key,_xlpm.Scenario,_xlpm.Data,"▧")))</f>
        <v/>
      </c>
      <c r="BB333" s="2152" t="str" cm="1">
        <f t="array" ca="1" aca="1" ref="BB333">_xlfn.LET(_xlpm.search_key,$W333&amp;$Y333,_xlpm.Scenario,_xlfn.VSTACK($W$20:$W$55&amp;$Y$20:$Y$55,$W$76:$W$110&amp;$Y$76:$Y$110),_xlpm.Data,_xlfn.VSTACK($AD$20:$BN$55,$AD$76:$BN$110),IF(OR($Y333="",ISNUMBER(SEARCH("please",$Y333))),"",_xlfn.XLOOKUP(_xlpm.search_key,_xlpm.Scenario,_xlpm.Data,"▧")))</f>
        <v/>
      </c>
      <c r="BC333" s="2152" t="str" cm="1">
        <f t="array" ca="1" aca="1" ref="BC333">_xlfn.LET(_xlpm.search_key,$W333&amp;$Y333,_xlpm.Scenario,_xlfn.VSTACK($W$20:$W$55&amp;$Y$20:$Y$55,$W$76:$W$110&amp;$Y$76:$Y$110),_xlpm.Data,_xlfn.VSTACK($AD$20:$BN$55,$AD$76:$BN$110),IF(OR($Y333="",ISNUMBER(SEARCH("please",$Y333))),"",_xlfn.XLOOKUP(_xlpm.search_key,_xlpm.Scenario,_xlpm.Data,"▧")))</f>
        <v/>
      </c>
      <c r="BD333" s="2152" t="str" cm="1">
        <f t="array" ca="1" aca="1" ref="BD333">_xlfn.LET(_xlpm.search_key,$W333&amp;$Y333,_xlpm.Scenario,_xlfn.VSTACK($W$20:$W$55&amp;$Y$20:$Y$55,$W$76:$W$110&amp;$Y$76:$Y$110),_xlpm.Data,_xlfn.VSTACK($AD$20:$BN$55,$AD$76:$BN$110),IF(OR($Y333="",ISNUMBER(SEARCH("please",$Y333))),"",_xlfn.XLOOKUP(_xlpm.search_key,_xlpm.Scenario,_xlpm.Data,"▧")))</f>
        <v/>
      </c>
      <c r="BE333" s="2152" t="str" cm="1">
        <f t="array" ca="1" aca="1" ref="BE333">_xlfn.LET(_xlpm.search_key,$W333&amp;$Y333,_xlpm.Scenario,_xlfn.VSTACK($W$20:$W$55&amp;$Y$20:$Y$55,$W$76:$W$110&amp;$Y$76:$Y$110),_xlpm.Data,_xlfn.VSTACK($AD$20:$BN$55,$AD$76:$BN$110),IF(OR($Y333="",ISNUMBER(SEARCH("please",$Y333))),"",_xlfn.XLOOKUP(_xlpm.search_key,_xlpm.Scenario,_xlpm.Data,"▧")))</f>
        <v/>
      </c>
      <c r="BF333" s="2152" t="str" cm="1">
        <f t="array" ca="1" aca="1" ref="BF333">_xlfn.LET(_xlpm.search_key,$W333&amp;$Y333,_xlpm.Scenario,_xlfn.VSTACK($W$20:$W$55&amp;$Y$20:$Y$55,$W$76:$W$110&amp;$Y$76:$Y$110),_xlpm.Data,_xlfn.VSTACK($AD$20:$BN$55,$AD$76:$BN$110),IF(OR($Y333="",ISNUMBER(SEARCH("please",$Y333))),"",_xlfn.XLOOKUP(_xlpm.search_key,_xlpm.Scenario,_xlpm.Data,"▧")))</f>
        <v/>
      </c>
      <c r="BG333" s="2152" t="str" cm="1">
        <f t="array" ca="1" aca="1" ref="BG333">_xlfn.LET(_xlpm.search_key,$W333&amp;$Y333,_xlpm.Scenario,_xlfn.VSTACK($W$20:$W$55&amp;$Y$20:$Y$55,$W$76:$W$110&amp;$Y$76:$Y$110),_xlpm.Data,_xlfn.VSTACK($AD$20:$BN$55,$AD$76:$BN$110),IF(OR($Y333="",ISNUMBER(SEARCH("please",$Y333))),"",_xlfn.XLOOKUP(_xlpm.search_key,_xlpm.Scenario,_xlpm.Data,"▧")))</f>
        <v/>
      </c>
      <c r="BH333" s="2152" t="str" cm="1">
        <f t="array" ca="1" aca="1" ref="BH333">_xlfn.LET(_xlpm.search_key,$W333&amp;$Y333,_xlpm.Scenario,_xlfn.VSTACK($W$20:$W$55&amp;$Y$20:$Y$55,$W$76:$W$110&amp;$Y$76:$Y$110),_xlpm.Data,_xlfn.VSTACK($AD$20:$BN$55,$AD$76:$BN$110),IF(OR($Y333="",ISNUMBER(SEARCH("please",$Y333))),"",_xlfn.XLOOKUP(_xlpm.search_key,_xlpm.Scenario,_xlpm.Data,"▧")))</f>
        <v/>
      </c>
      <c r="BI333" s="2152" t="str" cm="1">
        <f t="array" ca="1" aca="1" ref="BI333">_xlfn.LET(_xlpm.search_key,$W333&amp;$Y333,_xlpm.Scenario,_xlfn.VSTACK($W$20:$W$55&amp;$Y$20:$Y$55,$W$76:$W$110&amp;$Y$76:$Y$110),_xlpm.Data,_xlfn.VSTACK($AD$20:$BN$55,$AD$76:$BN$110),IF(OR($Y333="",ISNUMBER(SEARCH("please",$Y333))),"",_xlfn.XLOOKUP(_xlpm.search_key,_xlpm.Scenario,_xlpm.Data,"▧")))</f>
        <v/>
      </c>
      <c r="BJ333" s="2152" t="str" cm="1">
        <f t="array" ca="1" aca="1" ref="BJ333">_xlfn.LET(_xlpm.search_key,$W333&amp;$Y333,_xlpm.Scenario,_xlfn.VSTACK($W$20:$W$55&amp;$Y$20:$Y$55,$W$76:$W$110&amp;$Y$76:$Y$110),_xlpm.Data,_xlfn.VSTACK($AD$20:$BN$55,$AD$76:$BN$110),IF(OR($Y333="",ISNUMBER(SEARCH("please",$Y333))),"",_xlfn.XLOOKUP(_xlpm.search_key,_xlpm.Scenario,_xlpm.Data,"▧")))</f>
        <v/>
      </c>
      <c r="BK333" s="2152" t="str" cm="1">
        <f t="array" ca="1" aca="1" ref="BK333">_xlfn.LET(_xlpm.search_key,$W333&amp;$Y333,_xlpm.Scenario,_xlfn.VSTACK($W$20:$W$55&amp;$Y$20:$Y$55,$W$76:$W$110&amp;$Y$76:$Y$110),_xlpm.Data,_xlfn.VSTACK($AD$20:$BN$55,$AD$76:$BN$110),IF(OR($Y333="",ISNUMBER(SEARCH("please",$Y333))),"",_xlfn.XLOOKUP(_xlpm.search_key,_xlpm.Scenario,_xlpm.Data,"▧")))</f>
        <v/>
      </c>
      <c r="BL333" s="2152" t="str" cm="1">
        <f t="array" ca="1" aca="1" ref="BL333">_xlfn.LET(_xlpm.search_key,$W333&amp;$Y333,_xlpm.Scenario,_xlfn.VSTACK($W$20:$W$55&amp;$Y$20:$Y$55,$W$76:$W$110&amp;$Y$76:$Y$110),_xlpm.Data,_xlfn.VSTACK($AD$20:$BN$55,$AD$76:$BN$110),IF(OR($Y333="",ISNUMBER(SEARCH("please",$Y333))),"",_xlfn.XLOOKUP(_xlpm.search_key,_xlpm.Scenario,_xlpm.Data,"▧")))</f>
        <v/>
      </c>
      <c r="BM333" s="2152" t="str" cm="1">
        <f t="array" ca="1" aca="1" ref="BM333">_xlfn.LET(_xlpm.search_key,$W333&amp;$Y333,_xlpm.Scenario,_xlfn.VSTACK($W$20:$W$55&amp;$Y$20:$Y$55,$W$76:$W$110&amp;$Y$76:$Y$110),_xlpm.Data,_xlfn.VSTACK($AD$20:$BN$55,$AD$76:$BN$110),IF(OR($Y333="",ISNUMBER(SEARCH("please",$Y333))),"",_xlfn.XLOOKUP(_xlpm.search_key,_xlpm.Scenario,_xlpm.Data,"▧")))</f>
        <v/>
      </c>
      <c r="BN333" s="2152" t="str" cm="1">
        <f t="array" ca="1" aca="1" ref="BN333">_xlfn.LET(_xlpm.search_key,$W333&amp;$Y333,_xlpm.Scenario,_xlfn.VSTACK($W$20:$W$55&amp;$Y$20:$Y$55,$W$76:$W$110&amp;$Y$76:$Y$110),_xlpm.Data,_xlfn.VSTACK($AD$20:$BN$55,$AD$76:$BN$110),IF(OR($Y333="",ISNUMBER(SEARCH("please",$Y333))),"",_xlfn.XLOOKUP(_xlpm.search_key,_xlpm.Scenario,_xlpm.Data,"▧")))</f>
        <v/>
      </c>
      <c r="BO333" s="2153"/>
      <c r="BP333" s="2153"/>
      <c r="BQ333" s="2153"/>
      <c r="BR333" s="2153"/>
      <c r="BS333" s="2153"/>
      <c r="BT333" s="2153"/>
      <c r="BU333" s="2153"/>
      <c r="BV333" s="2153"/>
      <c r="BW333" s="2153"/>
      <c r="BX333" s="2153"/>
      <c r="BY333" s="2153"/>
      <c r="BZ333" s="2153"/>
      <c r="CA333" s="34"/>
      <c r="CC333" s="58"/>
      <c r="CD333" s="2154" t="str" cm="1">
        <f t="array" ca="1" aca="1" ref="CD333">_xlfn.LET(_xlpm.search_key,$W333&amp;$Y333,_xlpm.Scenario,_xlfn.VSTACK($W$20:$W$55&amp;$Y$20:$Y$55,$W$76:$W$110&amp;$Y$76:$Y$110),_xlpm.Data,_xlfn.VSTACK(CD$20:CE$55,CD$76:CE$110),IF(OR($Y333="",ISNUMBER(SEARCH("please",$Y333))),"",_xlfn.XLOOKUP(_xlpm.search_key,_xlpm.Scenario,_xlpm.Data,"▧")))</f>
        <v/>
      </c>
      <c r="CE333" s="2154"/>
      <c r="CF333" s="88"/>
      <c r="CG333" s="2154" t="str" cm="1">
        <f t="array" ca="1" aca="1" ref="CG333">_xlfn.LET(_xlpm.search_key,$W333&amp;$Y333,_xlpm.Scenario,_xlfn.VSTACK($W$20:$W$55&amp;$Y$20:$Y$55,$W$76:$W$110&amp;$Y$76:$Y$110),_xlpm.Data,_xlfn.VSTACK(CG$20:CH$55,CG$76:CH$110),IF(OR($Y333="",ISNUMBER(SEARCH("please",$Y333))),"",_xlfn.XLOOKUP(_xlpm.search_key,_xlpm.Scenario,_xlpm.Data,"▧")))</f>
        <v/>
      </c>
      <c r="CH333" s="2154"/>
      <c r="CI333" s="88"/>
      <c r="CJ333" s="2154" t="str" cm="1">
        <f t="array" ref="CJ333">_xlfn.LET(_xlpm.search_key,$W333&amp;$Y333,_xlpm.Scenario,_xlfn.VSTACK($W$20:$W$55&amp;$Y$20:$Y$55,$W$76:$W$110&amp;$Y$76:$Y$110),_xlpm.Data,_xlfn.VSTACK(CJ$20:CK$55,CJ$76:CK$110),IF(OR($Y333="",ISNUMBER(SEARCH("please",$Y333))),"",_xlfn.XLOOKUP(_xlpm.search_key,_xlpm.Scenario,_xlpm.Data,"▧")))</f>
        <v/>
      </c>
      <c r="CK333" s="2154"/>
      <c r="CL333" s="88"/>
      <c r="CM333" s="2154" t="str" cm="1">
        <f t="array" ca="1" aca="1" ref="CM333">_xlfn.LET(_xlpm.search_key,$W333&amp;$Y333,_xlpm.Scenario,_xlfn.VSTACK($W$20:$W$55&amp;$Y$20:$Y$55,$W$76:$W$110&amp;$Y$76:$Y$110),_xlpm.Data,_xlfn.VSTACK(CM$20:CN$55,CM$76:CN$110),IF(OR($Y333="",ISNUMBER(SEARCH("please",$Y333))),"",_xlfn.XLOOKUP(_xlpm.search_key,_xlpm.Scenario,_xlpm.Data,"▧")))</f>
        <v/>
      </c>
      <c r="CN333" s="2154"/>
      <c r="CO333" s="88"/>
      <c r="CP333" s="2154" t="str" cm="1">
        <f t="array" ca="1" aca="1" ref="CP333">_xlfn.LET(_xlpm.search_key,$W333&amp;$Y333,_xlpm.Scenario,_xlfn.VSTACK($W$20:$W$55&amp;$Y$20:$Y$55,$W$76:$W$110&amp;$Y$76:$Y$110),_xlpm.Data,_xlfn.VSTACK(CP$20:CQ$55,CP$76:CQ$110),IF(OR($Y333="",ISNUMBER(SEARCH("please",$Y333))),"",_xlfn.XLOOKUP(_xlpm.search_key,_xlpm.Scenario,_xlpm.Data,"▧")))</f>
        <v/>
      </c>
      <c r="CQ333" s="2154"/>
      <c r="CR333" s="34"/>
      <c r="CS333" s="2056"/>
    </row>
    <row r="334" spans="1:97" ht="21" customHeight="1">
      <c r="A334" s="1627"/>
      <c r="B334" s="2331"/>
      <c r="C334" s="2084"/>
      <c r="D334" s="1549"/>
      <c r="E334" s="1902"/>
      <c r="F334" s="401"/>
      <c r="G334" s="401"/>
      <c r="H334" s="585"/>
      <c r="I334" s="585"/>
      <c r="J334" s="401"/>
      <c r="K334" s="401"/>
      <c r="N334" s="158"/>
      <c r="O334" s="101"/>
      <c r="P334" s="52"/>
      <c r="Q334" s="101"/>
      <c r="R334" s="101"/>
      <c r="S334" s="101"/>
      <c r="T334" s="101"/>
      <c r="U334" s="39"/>
      <c r="V334" s="37"/>
      <c r="W334" s="2329"/>
      <c r="X334" s="2081"/>
      <c r="Y334" s="2367"/>
      <c r="Z334" s="198"/>
      <c r="AA334" s="2136"/>
      <c r="AB334" s="1134"/>
      <c r="AC334" s="125"/>
      <c r="AD334" s="2152" t="str" cm="1">
        <f t="array" ca="1" aca="1" ref="AD334">_xlfn.LET(_xlpm.search_key,$W334&amp;$Y334,_xlpm.Scenario,_xlfn.VSTACK($W$20:$W$55&amp;$Y$20:$Y$55,$W$76:$W$110&amp;$Y$76:$Y$110),_xlpm.Data,_xlfn.VSTACK($AD$20:$BN$55,$AD$76:$BN$110),IF(OR($Y334="",ISNUMBER(SEARCH("please",$Y334))),"",_xlfn.XLOOKUP(_xlpm.search_key,_xlpm.Scenario,_xlpm.Data,"▧",2)))</f>
        <v/>
      </c>
      <c r="AE334" s="2152" t="str" cm="1">
        <f t="array" ca="1" aca="1" ref="AE334">_xlfn.LET(_xlpm.search_key,$W334&amp;$Y334,_xlpm.Scenario,_xlfn.VSTACK($W$20:$W$55&amp;$Y$20:$Y$55,$W$76:$W$110&amp;$Y$76:$Y$110),_xlpm.Data,_xlfn.VSTACK($AD$20:$BN$55,$AD$76:$BN$110),IF(OR($Y334="",ISNUMBER(SEARCH("please",$Y334))),"",_xlfn.XLOOKUP(_xlpm.search_key,_xlpm.Scenario,_xlpm.Data,"▧")))</f>
        <v/>
      </c>
      <c r="AF334" s="2152" t="str" cm="1">
        <f t="array" ca="1" aca="1" ref="AF334">_xlfn.LET(_xlpm.search_key,$W334&amp;$Y334,_xlpm.Scenario,_xlfn.VSTACK($W$20:$W$55&amp;$Y$20:$Y$55,$W$76:$W$110&amp;$Y$76:$Y$110),_xlpm.Data,_xlfn.VSTACK($AD$20:$BN$55,$AD$76:$BN$110),IF(OR($Y334="",ISNUMBER(SEARCH("please",$Y334))),"",_xlfn.XLOOKUP(_xlpm.search_key,_xlpm.Scenario,_xlpm.Data,"▧")))</f>
        <v/>
      </c>
      <c r="AG334" s="2152" t="str" cm="1">
        <f t="array" ca="1" aca="1" ref="AG334">_xlfn.LET(_xlpm.search_key,$W334&amp;$Y334,_xlpm.Scenario,_xlfn.VSTACK($W$20:$W$55&amp;$Y$20:$Y$55,$W$76:$W$110&amp;$Y$76:$Y$110),_xlpm.Data,_xlfn.VSTACK($AD$20:$BN$55,$AD$76:$BN$110),IF(OR($Y334="",ISNUMBER(SEARCH("please",$Y334))),"",_xlfn.XLOOKUP(_xlpm.search_key,_xlpm.Scenario,_xlpm.Data,"▧")))</f>
        <v/>
      </c>
      <c r="AH334" s="2152" t="str" cm="1">
        <f t="array" ca="1" aca="1" ref="AH334">_xlfn.LET(_xlpm.search_key,$W334&amp;$Y334,_xlpm.Scenario,_xlfn.VSTACK($W$20:$W$55&amp;$Y$20:$Y$55,$W$76:$W$110&amp;$Y$76:$Y$110),_xlpm.Data,_xlfn.VSTACK($AD$20:$BN$55,$AD$76:$BN$110),IF(OR($Y334="",ISNUMBER(SEARCH("please",$Y334))),"",_xlfn.XLOOKUP(_xlpm.search_key,_xlpm.Scenario,_xlpm.Data,"▧")))</f>
        <v/>
      </c>
      <c r="AI334" s="2152" t="str" cm="1">
        <f t="array" ca="1" aca="1" ref="AI334">_xlfn.LET(_xlpm.search_key,$W334&amp;$Y334,_xlpm.Scenario,_xlfn.VSTACK($W$20:$W$55&amp;$Y$20:$Y$55,$W$76:$W$110&amp;$Y$76:$Y$110),_xlpm.Data,_xlfn.VSTACK($AD$20:$BN$55,$AD$76:$BN$110),IF(OR($Y334="",ISNUMBER(SEARCH("please",$Y334))),"",_xlfn.XLOOKUP(_xlpm.search_key,_xlpm.Scenario,_xlpm.Data,"▧")))</f>
        <v/>
      </c>
      <c r="AJ334" s="2152" t="str" cm="1">
        <f t="array" ca="1" aca="1" ref="AJ334">_xlfn.LET(_xlpm.search_key,$W334&amp;$Y334,_xlpm.Scenario,_xlfn.VSTACK($W$20:$W$55&amp;$Y$20:$Y$55,$W$76:$W$110&amp;$Y$76:$Y$110),_xlpm.Data,_xlfn.VSTACK($AD$20:$BN$55,$AD$76:$BN$110),IF(OR($Y334="",ISNUMBER(SEARCH("please",$Y334))),"",_xlfn.XLOOKUP(_xlpm.search_key,_xlpm.Scenario,_xlpm.Data,"▧")))</f>
        <v/>
      </c>
      <c r="AK334" s="2152" t="str" cm="1">
        <f t="array" ca="1" aca="1" ref="AK334">_xlfn.LET(_xlpm.search_key,$W334&amp;$Y334,_xlpm.Scenario,_xlfn.VSTACK($W$20:$W$55&amp;$Y$20:$Y$55,$W$76:$W$110&amp;$Y$76:$Y$110),_xlpm.Data,_xlfn.VSTACK($AD$20:$BN$55,$AD$76:$BN$110),IF(OR($Y334="",ISNUMBER(SEARCH("please",$Y334))),"",_xlfn.XLOOKUP(_xlpm.search_key,_xlpm.Scenario,_xlpm.Data,"▧")))</f>
        <v/>
      </c>
      <c r="AL334" s="2152" t="str" cm="1">
        <f t="array" ca="1" aca="1" ref="AL334">_xlfn.LET(_xlpm.search_key,$W334&amp;$Y334,_xlpm.Scenario,_xlfn.VSTACK($W$20:$W$55&amp;$Y$20:$Y$55,$W$76:$W$110&amp;$Y$76:$Y$110),_xlpm.Data,_xlfn.VSTACK($AD$20:$BN$55,$AD$76:$BN$110),IF(OR($Y334="",ISNUMBER(SEARCH("please",$Y334))),"",_xlfn.XLOOKUP(_xlpm.search_key,_xlpm.Scenario,_xlpm.Data,"▧")))</f>
        <v/>
      </c>
      <c r="AM334" s="2152" t="str" cm="1">
        <f t="array" ca="1" aca="1" ref="AM334">_xlfn.LET(_xlpm.search_key,$W334&amp;$Y334,_xlpm.Scenario,_xlfn.VSTACK($W$20:$W$55&amp;$Y$20:$Y$55,$W$76:$W$110&amp;$Y$76:$Y$110),_xlpm.Data,_xlfn.VSTACK($AD$20:$BN$55,$AD$76:$BN$110),IF(OR($Y334="",ISNUMBER(SEARCH("please",$Y334))),"",_xlfn.XLOOKUP(_xlpm.search_key,_xlpm.Scenario,_xlpm.Data,"▧")))</f>
        <v/>
      </c>
      <c r="AN334" s="2152" t="str" cm="1">
        <f t="array" ca="1" aca="1" ref="AN334">_xlfn.LET(_xlpm.search_key,$W334&amp;$Y334,_xlpm.Scenario,_xlfn.VSTACK($W$20:$W$55&amp;$Y$20:$Y$55,$W$76:$W$110&amp;$Y$76:$Y$110),_xlpm.Data,_xlfn.VSTACK($AD$20:$BN$55,$AD$76:$BN$110),IF(OR($Y334="",ISNUMBER(SEARCH("please",$Y334))),"",_xlfn.XLOOKUP(_xlpm.search_key,_xlpm.Scenario,_xlpm.Data,"▧")))</f>
        <v/>
      </c>
      <c r="AO334" s="2152" t="str" cm="1">
        <f t="array" ca="1" aca="1" ref="AO334">_xlfn.LET(_xlpm.search_key,$W334&amp;$Y334,_xlpm.Scenario,_xlfn.VSTACK($W$20:$W$55&amp;$Y$20:$Y$55,$W$76:$W$110&amp;$Y$76:$Y$110),_xlpm.Data,_xlfn.VSTACK($AD$20:$BN$55,$AD$76:$BN$110),IF(OR($Y334="",ISNUMBER(SEARCH("please",$Y334))),"",_xlfn.XLOOKUP(_xlpm.search_key,_xlpm.Scenario,_xlpm.Data,"▧")))</f>
        <v/>
      </c>
      <c r="AP334" s="2152" t="str" cm="1">
        <f t="array" ca="1" aca="1" ref="AP334">_xlfn.LET(_xlpm.search_key,$W334&amp;$Y334,_xlpm.Scenario,_xlfn.VSTACK($W$20:$W$55&amp;$Y$20:$Y$55,$W$76:$W$110&amp;$Y$76:$Y$110),_xlpm.Data,_xlfn.VSTACK($AD$20:$BN$55,$AD$76:$BN$110),IF(OR($Y334="",ISNUMBER(SEARCH("please",$Y334))),"",_xlfn.XLOOKUP(_xlpm.search_key,_xlpm.Scenario,_xlpm.Data,"▧")))</f>
        <v/>
      </c>
      <c r="AQ334" s="2152" t="str" cm="1">
        <f t="array" ca="1" aca="1" ref="AQ334">_xlfn.LET(_xlpm.search_key,$W334&amp;$Y334,_xlpm.Scenario,_xlfn.VSTACK($W$20:$W$55&amp;$Y$20:$Y$55,$W$76:$W$110&amp;$Y$76:$Y$110),_xlpm.Data,_xlfn.VSTACK($AD$20:$BN$55,$AD$76:$BN$110),IF(OR($Y334="",ISNUMBER(SEARCH("please",$Y334))),"",_xlfn.XLOOKUP(_xlpm.search_key,_xlpm.Scenario,_xlpm.Data,"▧")))</f>
        <v/>
      </c>
      <c r="AR334" s="2152" t="str" cm="1">
        <f t="array" ca="1" aca="1" ref="AR334">_xlfn.LET(_xlpm.search_key,$W334&amp;$Y334,_xlpm.Scenario,_xlfn.VSTACK($W$20:$W$55&amp;$Y$20:$Y$55,$W$76:$W$110&amp;$Y$76:$Y$110),_xlpm.Data,_xlfn.VSTACK($AD$20:$BN$55,$AD$76:$BN$110),IF(OR($Y334="",ISNUMBER(SEARCH("please",$Y334))),"",_xlfn.XLOOKUP(_xlpm.search_key,_xlpm.Scenario,_xlpm.Data,"▧")))</f>
        <v/>
      </c>
      <c r="AS334" s="2152" t="str" cm="1">
        <f t="array" ca="1" aca="1" ref="AS334">_xlfn.LET(_xlpm.search_key,$W334&amp;$Y334,_xlpm.Scenario,_xlfn.VSTACK($W$20:$W$55&amp;$Y$20:$Y$55,$W$76:$W$110&amp;$Y$76:$Y$110),_xlpm.Data,_xlfn.VSTACK($AD$20:$BN$55,$AD$76:$BN$110),IF(OR($Y334="",ISNUMBER(SEARCH("please",$Y334))),"",_xlfn.XLOOKUP(_xlpm.search_key,_xlpm.Scenario,_xlpm.Data,"▧")))</f>
        <v/>
      </c>
      <c r="AT334" s="2152" t="str" cm="1">
        <f t="array" ca="1" aca="1" ref="AT334">_xlfn.LET(_xlpm.search_key,$W334&amp;$Y334,_xlpm.Scenario,_xlfn.VSTACK($W$20:$W$55&amp;$Y$20:$Y$55,$W$76:$W$110&amp;$Y$76:$Y$110),_xlpm.Data,_xlfn.VSTACK($AD$20:$BN$55,$AD$76:$BN$110),IF(OR($Y334="",ISNUMBER(SEARCH("please",$Y334))),"",_xlfn.XLOOKUP(_xlpm.search_key,_xlpm.Scenario,_xlpm.Data,"▧")))</f>
        <v/>
      </c>
      <c r="AU334" s="2152" t="str" cm="1">
        <f t="array" ca="1" aca="1" ref="AU334">_xlfn.LET(_xlpm.search_key,$W334&amp;$Y334,_xlpm.Scenario,_xlfn.VSTACK($W$20:$W$55&amp;$Y$20:$Y$55,$W$76:$W$110&amp;$Y$76:$Y$110),_xlpm.Data,_xlfn.VSTACK($AD$20:$BN$55,$AD$76:$BN$110),IF(OR($Y334="",ISNUMBER(SEARCH("please",$Y334))),"",_xlfn.XLOOKUP(_xlpm.search_key,_xlpm.Scenario,_xlpm.Data,"▧")))</f>
        <v/>
      </c>
      <c r="AV334" s="2152" t="str" cm="1">
        <f t="array" ca="1" aca="1" ref="AV334">_xlfn.LET(_xlpm.search_key,$W334&amp;$Y334,_xlpm.Scenario,_xlfn.VSTACK($W$20:$W$55&amp;$Y$20:$Y$55,$W$76:$W$110&amp;$Y$76:$Y$110),_xlpm.Data,_xlfn.VSTACK($AD$20:$BN$55,$AD$76:$BN$110),IF(OR($Y334="",ISNUMBER(SEARCH("please",$Y334))),"",_xlfn.XLOOKUP(_xlpm.search_key,_xlpm.Scenario,_xlpm.Data,"▧")))</f>
        <v/>
      </c>
      <c r="AW334" s="2152" t="str" cm="1">
        <f t="array" ca="1" aca="1" ref="AW334">_xlfn.LET(_xlpm.search_key,$W334&amp;$Y334,_xlpm.Scenario,_xlfn.VSTACK($W$20:$W$55&amp;$Y$20:$Y$55,$W$76:$W$110&amp;$Y$76:$Y$110),_xlpm.Data,_xlfn.VSTACK($AD$20:$BN$55,$AD$76:$BN$110),IF(OR($Y334="",ISNUMBER(SEARCH("please",$Y334))),"",_xlfn.XLOOKUP(_xlpm.search_key,_xlpm.Scenario,_xlpm.Data,"▧")))</f>
        <v/>
      </c>
      <c r="AX334" s="2152" t="str" cm="1">
        <f t="array" ca="1" aca="1" ref="AX334">_xlfn.LET(_xlpm.search_key,$W334&amp;$Y334,_xlpm.Scenario,_xlfn.VSTACK($W$20:$W$55&amp;$Y$20:$Y$55,$W$76:$W$110&amp;$Y$76:$Y$110),_xlpm.Data,_xlfn.VSTACK($AD$20:$BN$55,$AD$76:$BN$110),IF(OR($Y334="",ISNUMBER(SEARCH("please",$Y334))),"",_xlfn.XLOOKUP(_xlpm.search_key,_xlpm.Scenario,_xlpm.Data,"▧")))</f>
        <v/>
      </c>
      <c r="AY334" s="2152" t="str" cm="1">
        <f t="array" ca="1" aca="1" ref="AY334">_xlfn.LET(_xlpm.search_key,$W334&amp;$Y334,_xlpm.Scenario,_xlfn.VSTACK($W$20:$W$55&amp;$Y$20:$Y$55,$W$76:$W$110&amp;$Y$76:$Y$110),_xlpm.Data,_xlfn.VSTACK($AD$20:$BN$55,$AD$76:$BN$110),IF(OR($Y334="",ISNUMBER(SEARCH("please",$Y334))),"",_xlfn.XLOOKUP(_xlpm.search_key,_xlpm.Scenario,_xlpm.Data,"▧")))</f>
        <v/>
      </c>
      <c r="AZ334" s="2152" t="str" cm="1">
        <f t="array" ca="1" aca="1" ref="AZ334">_xlfn.LET(_xlpm.search_key,$W334&amp;$Y334,_xlpm.Scenario,_xlfn.VSTACK($W$20:$W$55&amp;$Y$20:$Y$55,$W$76:$W$110&amp;$Y$76:$Y$110),_xlpm.Data,_xlfn.VSTACK($AD$20:$BN$55,$AD$76:$BN$110),IF(OR($Y334="",ISNUMBER(SEARCH("please",$Y334))),"",_xlfn.XLOOKUP(_xlpm.search_key,_xlpm.Scenario,_xlpm.Data,"▧")))</f>
        <v/>
      </c>
      <c r="BA334" s="2152" t="str" cm="1">
        <f t="array" ca="1" aca="1" ref="BA334">_xlfn.LET(_xlpm.search_key,$W334&amp;$Y334,_xlpm.Scenario,_xlfn.VSTACK($W$20:$W$55&amp;$Y$20:$Y$55,$W$76:$W$110&amp;$Y$76:$Y$110),_xlpm.Data,_xlfn.VSTACK($AD$20:$BN$55,$AD$76:$BN$110),IF(OR($Y334="",ISNUMBER(SEARCH("please",$Y334))),"",_xlfn.XLOOKUP(_xlpm.search_key,_xlpm.Scenario,_xlpm.Data,"▧")))</f>
        <v/>
      </c>
      <c r="BB334" s="2152" t="str" cm="1">
        <f t="array" ca="1" aca="1" ref="BB334">_xlfn.LET(_xlpm.search_key,$W334&amp;$Y334,_xlpm.Scenario,_xlfn.VSTACK($W$20:$W$55&amp;$Y$20:$Y$55,$W$76:$W$110&amp;$Y$76:$Y$110),_xlpm.Data,_xlfn.VSTACK($AD$20:$BN$55,$AD$76:$BN$110),IF(OR($Y334="",ISNUMBER(SEARCH("please",$Y334))),"",_xlfn.XLOOKUP(_xlpm.search_key,_xlpm.Scenario,_xlpm.Data,"▧")))</f>
        <v/>
      </c>
      <c r="BC334" s="2152" t="str" cm="1">
        <f t="array" ca="1" aca="1" ref="BC334">_xlfn.LET(_xlpm.search_key,$W334&amp;$Y334,_xlpm.Scenario,_xlfn.VSTACK($W$20:$W$55&amp;$Y$20:$Y$55,$W$76:$W$110&amp;$Y$76:$Y$110),_xlpm.Data,_xlfn.VSTACK($AD$20:$BN$55,$AD$76:$BN$110),IF(OR($Y334="",ISNUMBER(SEARCH("please",$Y334))),"",_xlfn.XLOOKUP(_xlpm.search_key,_xlpm.Scenario,_xlpm.Data,"▧")))</f>
        <v/>
      </c>
      <c r="BD334" s="2152" t="str" cm="1">
        <f t="array" ca="1" aca="1" ref="BD334">_xlfn.LET(_xlpm.search_key,$W334&amp;$Y334,_xlpm.Scenario,_xlfn.VSTACK($W$20:$W$55&amp;$Y$20:$Y$55,$W$76:$W$110&amp;$Y$76:$Y$110),_xlpm.Data,_xlfn.VSTACK($AD$20:$BN$55,$AD$76:$BN$110),IF(OR($Y334="",ISNUMBER(SEARCH("please",$Y334))),"",_xlfn.XLOOKUP(_xlpm.search_key,_xlpm.Scenario,_xlpm.Data,"▧")))</f>
        <v/>
      </c>
      <c r="BE334" s="2152" t="str" cm="1">
        <f t="array" ca="1" aca="1" ref="BE334">_xlfn.LET(_xlpm.search_key,$W334&amp;$Y334,_xlpm.Scenario,_xlfn.VSTACK($W$20:$W$55&amp;$Y$20:$Y$55,$W$76:$W$110&amp;$Y$76:$Y$110),_xlpm.Data,_xlfn.VSTACK($AD$20:$BN$55,$AD$76:$BN$110),IF(OR($Y334="",ISNUMBER(SEARCH("please",$Y334))),"",_xlfn.XLOOKUP(_xlpm.search_key,_xlpm.Scenario,_xlpm.Data,"▧")))</f>
        <v/>
      </c>
      <c r="BF334" s="2152" t="str" cm="1">
        <f t="array" ca="1" aca="1" ref="BF334">_xlfn.LET(_xlpm.search_key,$W334&amp;$Y334,_xlpm.Scenario,_xlfn.VSTACK($W$20:$W$55&amp;$Y$20:$Y$55,$W$76:$W$110&amp;$Y$76:$Y$110),_xlpm.Data,_xlfn.VSTACK($AD$20:$BN$55,$AD$76:$BN$110),IF(OR($Y334="",ISNUMBER(SEARCH("please",$Y334))),"",_xlfn.XLOOKUP(_xlpm.search_key,_xlpm.Scenario,_xlpm.Data,"▧")))</f>
        <v/>
      </c>
      <c r="BG334" s="2152" t="str" cm="1">
        <f t="array" ca="1" aca="1" ref="BG334">_xlfn.LET(_xlpm.search_key,$W334&amp;$Y334,_xlpm.Scenario,_xlfn.VSTACK($W$20:$W$55&amp;$Y$20:$Y$55,$W$76:$W$110&amp;$Y$76:$Y$110),_xlpm.Data,_xlfn.VSTACK($AD$20:$BN$55,$AD$76:$BN$110),IF(OR($Y334="",ISNUMBER(SEARCH("please",$Y334))),"",_xlfn.XLOOKUP(_xlpm.search_key,_xlpm.Scenario,_xlpm.Data,"▧")))</f>
        <v/>
      </c>
      <c r="BH334" s="2152" t="str" cm="1">
        <f t="array" ca="1" aca="1" ref="BH334">_xlfn.LET(_xlpm.search_key,$W334&amp;$Y334,_xlpm.Scenario,_xlfn.VSTACK($W$20:$W$55&amp;$Y$20:$Y$55,$W$76:$W$110&amp;$Y$76:$Y$110),_xlpm.Data,_xlfn.VSTACK($AD$20:$BN$55,$AD$76:$BN$110),IF(OR($Y334="",ISNUMBER(SEARCH("please",$Y334))),"",_xlfn.XLOOKUP(_xlpm.search_key,_xlpm.Scenario,_xlpm.Data,"▧")))</f>
        <v/>
      </c>
      <c r="BI334" s="2152" t="str" cm="1">
        <f t="array" ca="1" aca="1" ref="BI334">_xlfn.LET(_xlpm.search_key,$W334&amp;$Y334,_xlpm.Scenario,_xlfn.VSTACK($W$20:$W$55&amp;$Y$20:$Y$55,$W$76:$W$110&amp;$Y$76:$Y$110),_xlpm.Data,_xlfn.VSTACK($AD$20:$BN$55,$AD$76:$BN$110),IF(OR($Y334="",ISNUMBER(SEARCH("please",$Y334))),"",_xlfn.XLOOKUP(_xlpm.search_key,_xlpm.Scenario,_xlpm.Data,"▧")))</f>
        <v/>
      </c>
      <c r="BJ334" s="2152" t="str" cm="1">
        <f t="array" ca="1" aca="1" ref="BJ334">_xlfn.LET(_xlpm.search_key,$W334&amp;$Y334,_xlpm.Scenario,_xlfn.VSTACK($W$20:$W$55&amp;$Y$20:$Y$55,$W$76:$W$110&amp;$Y$76:$Y$110),_xlpm.Data,_xlfn.VSTACK($AD$20:$BN$55,$AD$76:$BN$110),IF(OR($Y334="",ISNUMBER(SEARCH("please",$Y334))),"",_xlfn.XLOOKUP(_xlpm.search_key,_xlpm.Scenario,_xlpm.Data,"▧")))</f>
        <v/>
      </c>
      <c r="BK334" s="2152" t="str" cm="1">
        <f t="array" ca="1" aca="1" ref="BK334">_xlfn.LET(_xlpm.search_key,$W334&amp;$Y334,_xlpm.Scenario,_xlfn.VSTACK($W$20:$W$55&amp;$Y$20:$Y$55,$W$76:$W$110&amp;$Y$76:$Y$110),_xlpm.Data,_xlfn.VSTACK($AD$20:$BN$55,$AD$76:$BN$110),IF(OR($Y334="",ISNUMBER(SEARCH("please",$Y334))),"",_xlfn.XLOOKUP(_xlpm.search_key,_xlpm.Scenario,_xlpm.Data,"▧")))</f>
        <v/>
      </c>
      <c r="BL334" s="2152" t="str" cm="1">
        <f t="array" ca="1" aca="1" ref="BL334">_xlfn.LET(_xlpm.search_key,$W334&amp;$Y334,_xlpm.Scenario,_xlfn.VSTACK($W$20:$W$55&amp;$Y$20:$Y$55,$W$76:$W$110&amp;$Y$76:$Y$110),_xlpm.Data,_xlfn.VSTACK($AD$20:$BN$55,$AD$76:$BN$110),IF(OR($Y334="",ISNUMBER(SEARCH("please",$Y334))),"",_xlfn.XLOOKUP(_xlpm.search_key,_xlpm.Scenario,_xlpm.Data,"▧")))</f>
        <v/>
      </c>
      <c r="BM334" s="2152" t="str" cm="1">
        <f t="array" ca="1" aca="1" ref="BM334">_xlfn.LET(_xlpm.search_key,$W334&amp;$Y334,_xlpm.Scenario,_xlfn.VSTACK($W$20:$W$55&amp;$Y$20:$Y$55,$W$76:$W$110&amp;$Y$76:$Y$110),_xlpm.Data,_xlfn.VSTACK($AD$20:$BN$55,$AD$76:$BN$110),IF(OR($Y334="",ISNUMBER(SEARCH("please",$Y334))),"",_xlfn.XLOOKUP(_xlpm.search_key,_xlpm.Scenario,_xlpm.Data,"▧")))</f>
        <v/>
      </c>
      <c r="BN334" s="2152" t="str" cm="1">
        <f t="array" ca="1" aca="1" ref="BN334">_xlfn.LET(_xlpm.search_key,$W334&amp;$Y334,_xlpm.Scenario,_xlfn.VSTACK($W$20:$W$55&amp;$Y$20:$Y$55,$W$76:$W$110&amp;$Y$76:$Y$110),_xlpm.Data,_xlfn.VSTACK($AD$20:$BN$55,$AD$76:$BN$110),IF(OR($Y334="",ISNUMBER(SEARCH("please",$Y334))),"",_xlfn.XLOOKUP(_xlpm.search_key,_xlpm.Scenario,_xlpm.Data,"▧")))</f>
        <v/>
      </c>
      <c r="BO334" s="2153"/>
      <c r="BP334" s="2153"/>
      <c r="BQ334" s="2153"/>
      <c r="BR334" s="2153"/>
      <c r="BS334" s="2153"/>
      <c r="BT334" s="2153"/>
      <c r="BU334" s="2153"/>
      <c r="BV334" s="2153"/>
      <c r="BW334" s="2153"/>
      <c r="BX334" s="2153"/>
      <c r="BY334" s="2153"/>
      <c r="BZ334" s="2153"/>
      <c r="CA334" s="34"/>
      <c r="CC334" s="58"/>
      <c r="CD334" s="2154" t="str" cm="1">
        <f t="array" ca="1" aca="1" ref="CD334">_xlfn.LET(_xlpm.search_key,$W334&amp;$Y334,_xlpm.Scenario,_xlfn.VSTACK($W$20:$W$55&amp;$Y$20:$Y$55,$W$76:$W$110&amp;$Y$76:$Y$110),_xlpm.Data,_xlfn.VSTACK(CD$20:CE$55,CD$76:CE$110),IF(OR($Y334="",ISNUMBER(SEARCH("please",$Y334))),"",_xlfn.XLOOKUP(_xlpm.search_key,_xlpm.Scenario,_xlpm.Data,"▧")))</f>
        <v/>
      </c>
      <c r="CE334" s="2154"/>
      <c r="CF334" s="88"/>
      <c r="CG334" s="2154" t="str" cm="1">
        <f t="array" ca="1" aca="1" ref="CG334">_xlfn.LET(_xlpm.search_key,$W334&amp;$Y334,_xlpm.Scenario,_xlfn.VSTACK($W$20:$W$55&amp;$Y$20:$Y$55,$W$76:$W$110&amp;$Y$76:$Y$110),_xlpm.Data,_xlfn.VSTACK(CG$20:CH$55,CG$76:CH$110),IF(OR($Y334="",ISNUMBER(SEARCH("please",$Y334))),"",_xlfn.XLOOKUP(_xlpm.search_key,_xlpm.Scenario,_xlpm.Data,"▧")))</f>
        <v/>
      </c>
      <c r="CH334" s="2154"/>
      <c r="CI334" s="88"/>
      <c r="CJ334" s="2154" t="str" cm="1">
        <f t="array" ref="CJ334">_xlfn.LET(_xlpm.search_key,$W334&amp;$Y334,_xlpm.Scenario,_xlfn.VSTACK($W$20:$W$55&amp;$Y$20:$Y$55,$W$76:$W$110&amp;$Y$76:$Y$110),_xlpm.Data,_xlfn.VSTACK(CJ$20:CK$55,CJ$76:CK$110),IF(OR($Y334="",ISNUMBER(SEARCH("please",$Y334))),"",_xlfn.XLOOKUP(_xlpm.search_key,_xlpm.Scenario,_xlpm.Data,"▧")))</f>
        <v/>
      </c>
      <c r="CK334" s="2154"/>
      <c r="CL334" s="88"/>
      <c r="CM334" s="2154" t="str" cm="1">
        <f t="array" ca="1" aca="1" ref="CM334">_xlfn.LET(_xlpm.search_key,$W334&amp;$Y334,_xlpm.Scenario,_xlfn.VSTACK($W$20:$W$55&amp;$Y$20:$Y$55,$W$76:$W$110&amp;$Y$76:$Y$110),_xlpm.Data,_xlfn.VSTACK(CM$20:CN$55,CM$76:CN$110),IF(OR($Y334="",ISNUMBER(SEARCH("please",$Y334))),"",_xlfn.XLOOKUP(_xlpm.search_key,_xlpm.Scenario,_xlpm.Data,"▧")))</f>
        <v/>
      </c>
      <c r="CN334" s="2154"/>
      <c r="CO334" s="88"/>
      <c r="CP334" s="2154" t="str" cm="1">
        <f t="array" ca="1" aca="1" ref="CP334">_xlfn.LET(_xlpm.search_key,$W334&amp;$Y334,_xlpm.Scenario,_xlfn.VSTACK($W$20:$W$55&amp;$Y$20:$Y$55,$W$76:$W$110&amp;$Y$76:$Y$110),_xlpm.Data,_xlfn.VSTACK(CP$20:CQ$55,CP$76:CQ$110),IF(OR($Y334="",ISNUMBER(SEARCH("please",$Y334))),"",_xlfn.XLOOKUP(_xlpm.search_key,_xlpm.Scenario,_xlpm.Data,"▧")))</f>
        <v/>
      </c>
      <c r="CQ334" s="2154"/>
      <c r="CR334" s="34"/>
      <c r="CS334" s="2056"/>
    </row>
    <row r="335" spans="1:97" ht="21" customHeight="1">
      <c r="A335" s="1627"/>
      <c r="B335" s="2331"/>
      <c r="C335" s="2084"/>
      <c r="D335" s="1549"/>
      <c r="E335" s="1902"/>
      <c r="F335" s="401"/>
      <c r="G335" s="401"/>
      <c r="H335" s="585"/>
      <c r="I335" s="585"/>
      <c r="J335" s="401"/>
      <c r="K335" s="401"/>
      <c r="N335" s="158"/>
      <c r="O335" s="101"/>
      <c r="P335" s="52"/>
      <c r="Q335" s="101"/>
      <c r="R335" s="101"/>
      <c r="S335" s="101"/>
      <c r="T335" s="101"/>
      <c r="U335" s="39"/>
      <c r="V335" s="37"/>
      <c r="W335" s="2329"/>
      <c r="X335" s="2081"/>
      <c r="Y335" s="2367"/>
      <c r="Z335" s="198"/>
      <c r="AA335" s="2136"/>
      <c r="AB335" s="1134"/>
      <c r="AC335" s="125"/>
      <c r="AD335" s="2152" t="str" cm="1">
        <f t="array" ca="1" aca="1" ref="AD335">_xlfn.LET(_xlpm.search_key,$W335&amp;$Y335,_xlpm.Scenario,_xlfn.VSTACK($W$20:$W$55&amp;$Y$20:$Y$55,$W$76:$W$110&amp;$Y$76:$Y$110),_xlpm.Data,_xlfn.VSTACK($AD$20:$BN$55,$AD$76:$BN$110),IF(OR($Y335="",ISNUMBER(SEARCH("please",$Y335))),"",_xlfn.XLOOKUP(_xlpm.search_key,_xlpm.Scenario,_xlpm.Data,"▧",2)))</f>
        <v/>
      </c>
      <c r="AE335" s="2152" t="str" cm="1">
        <f t="array" ca="1" aca="1" ref="AE335">_xlfn.LET(_xlpm.search_key,$W335&amp;$Y335,_xlpm.Scenario,_xlfn.VSTACK($W$20:$W$55&amp;$Y$20:$Y$55,$W$76:$W$110&amp;$Y$76:$Y$110),_xlpm.Data,_xlfn.VSTACK($AD$20:$BN$55,$AD$76:$BN$110),IF(OR($Y335="",ISNUMBER(SEARCH("please",$Y335))),"",_xlfn.XLOOKUP(_xlpm.search_key,_xlpm.Scenario,_xlpm.Data,"▧")))</f>
        <v/>
      </c>
      <c r="AF335" s="2152" t="str" cm="1">
        <f t="array" ca="1" aca="1" ref="AF335">_xlfn.LET(_xlpm.search_key,$W335&amp;$Y335,_xlpm.Scenario,_xlfn.VSTACK($W$20:$W$55&amp;$Y$20:$Y$55,$W$76:$W$110&amp;$Y$76:$Y$110),_xlpm.Data,_xlfn.VSTACK($AD$20:$BN$55,$AD$76:$BN$110),IF(OR($Y335="",ISNUMBER(SEARCH("please",$Y335))),"",_xlfn.XLOOKUP(_xlpm.search_key,_xlpm.Scenario,_xlpm.Data,"▧")))</f>
        <v/>
      </c>
      <c r="AG335" s="2152" t="str" cm="1">
        <f t="array" ca="1" aca="1" ref="AG335">_xlfn.LET(_xlpm.search_key,$W335&amp;$Y335,_xlpm.Scenario,_xlfn.VSTACK($W$20:$W$55&amp;$Y$20:$Y$55,$W$76:$W$110&amp;$Y$76:$Y$110),_xlpm.Data,_xlfn.VSTACK($AD$20:$BN$55,$AD$76:$BN$110),IF(OR($Y335="",ISNUMBER(SEARCH("please",$Y335))),"",_xlfn.XLOOKUP(_xlpm.search_key,_xlpm.Scenario,_xlpm.Data,"▧")))</f>
        <v/>
      </c>
      <c r="AH335" s="2152" t="str" cm="1">
        <f t="array" ca="1" aca="1" ref="AH335">_xlfn.LET(_xlpm.search_key,$W335&amp;$Y335,_xlpm.Scenario,_xlfn.VSTACK($W$20:$W$55&amp;$Y$20:$Y$55,$W$76:$W$110&amp;$Y$76:$Y$110),_xlpm.Data,_xlfn.VSTACK($AD$20:$BN$55,$AD$76:$BN$110),IF(OR($Y335="",ISNUMBER(SEARCH("please",$Y335))),"",_xlfn.XLOOKUP(_xlpm.search_key,_xlpm.Scenario,_xlpm.Data,"▧")))</f>
        <v/>
      </c>
      <c r="AI335" s="2152" t="str" cm="1">
        <f t="array" ca="1" aca="1" ref="AI335">_xlfn.LET(_xlpm.search_key,$W335&amp;$Y335,_xlpm.Scenario,_xlfn.VSTACK($W$20:$W$55&amp;$Y$20:$Y$55,$W$76:$W$110&amp;$Y$76:$Y$110),_xlpm.Data,_xlfn.VSTACK($AD$20:$BN$55,$AD$76:$BN$110),IF(OR($Y335="",ISNUMBER(SEARCH("please",$Y335))),"",_xlfn.XLOOKUP(_xlpm.search_key,_xlpm.Scenario,_xlpm.Data,"▧")))</f>
        <v/>
      </c>
      <c r="AJ335" s="2152" t="str" cm="1">
        <f t="array" ca="1" aca="1" ref="AJ335">_xlfn.LET(_xlpm.search_key,$W335&amp;$Y335,_xlpm.Scenario,_xlfn.VSTACK($W$20:$W$55&amp;$Y$20:$Y$55,$W$76:$W$110&amp;$Y$76:$Y$110),_xlpm.Data,_xlfn.VSTACK($AD$20:$BN$55,$AD$76:$BN$110),IF(OR($Y335="",ISNUMBER(SEARCH("please",$Y335))),"",_xlfn.XLOOKUP(_xlpm.search_key,_xlpm.Scenario,_xlpm.Data,"▧")))</f>
        <v/>
      </c>
      <c r="AK335" s="2152" t="str" cm="1">
        <f t="array" ca="1" aca="1" ref="AK335">_xlfn.LET(_xlpm.search_key,$W335&amp;$Y335,_xlpm.Scenario,_xlfn.VSTACK($W$20:$W$55&amp;$Y$20:$Y$55,$W$76:$W$110&amp;$Y$76:$Y$110),_xlpm.Data,_xlfn.VSTACK($AD$20:$BN$55,$AD$76:$BN$110),IF(OR($Y335="",ISNUMBER(SEARCH("please",$Y335))),"",_xlfn.XLOOKUP(_xlpm.search_key,_xlpm.Scenario,_xlpm.Data,"▧")))</f>
        <v/>
      </c>
      <c r="AL335" s="2152" t="str" cm="1">
        <f t="array" ca="1" aca="1" ref="AL335">_xlfn.LET(_xlpm.search_key,$W335&amp;$Y335,_xlpm.Scenario,_xlfn.VSTACK($W$20:$W$55&amp;$Y$20:$Y$55,$W$76:$W$110&amp;$Y$76:$Y$110),_xlpm.Data,_xlfn.VSTACK($AD$20:$BN$55,$AD$76:$BN$110),IF(OR($Y335="",ISNUMBER(SEARCH("please",$Y335))),"",_xlfn.XLOOKUP(_xlpm.search_key,_xlpm.Scenario,_xlpm.Data,"▧")))</f>
        <v/>
      </c>
      <c r="AM335" s="2152" t="str" cm="1">
        <f t="array" ca="1" aca="1" ref="AM335">_xlfn.LET(_xlpm.search_key,$W335&amp;$Y335,_xlpm.Scenario,_xlfn.VSTACK($W$20:$W$55&amp;$Y$20:$Y$55,$W$76:$W$110&amp;$Y$76:$Y$110),_xlpm.Data,_xlfn.VSTACK($AD$20:$BN$55,$AD$76:$BN$110),IF(OR($Y335="",ISNUMBER(SEARCH("please",$Y335))),"",_xlfn.XLOOKUP(_xlpm.search_key,_xlpm.Scenario,_xlpm.Data,"▧")))</f>
        <v/>
      </c>
      <c r="AN335" s="2152" t="str" cm="1">
        <f t="array" ca="1" aca="1" ref="AN335">_xlfn.LET(_xlpm.search_key,$W335&amp;$Y335,_xlpm.Scenario,_xlfn.VSTACK($W$20:$W$55&amp;$Y$20:$Y$55,$W$76:$W$110&amp;$Y$76:$Y$110),_xlpm.Data,_xlfn.VSTACK($AD$20:$BN$55,$AD$76:$BN$110),IF(OR($Y335="",ISNUMBER(SEARCH("please",$Y335))),"",_xlfn.XLOOKUP(_xlpm.search_key,_xlpm.Scenario,_xlpm.Data,"▧")))</f>
        <v/>
      </c>
      <c r="AO335" s="2152" t="str" cm="1">
        <f t="array" ca="1" aca="1" ref="AO335">_xlfn.LET(_xlpm.search_key,$W335&amp;$Y335,_xlpm.Scenario,_xlfn.VSTACK($W$20:$W$55&amp;$Y$20:$Y$55,$W$76:$W$110&amp;$Y$76:$Y$110),_xlpm.Data,_xlfn.VSTACK($AD$20:$BN$55,$AD$76:$BN$110),IF(OR($Y335="",ISNUMBER(SEARCH("please",$Y335))),"",_xlfn.XLOOKUP(_xlpm.search_key,_xlpm.Scenario,_xlpm.Data,"▧")))</f>
        <v/>
      </c>
      <c r="AP335" s="2152" t="str" cm="1">
        <f t="array" ca="1" aca="1" ref="AP335">_xlfn.LET(_xlpm.search_key,$W335&amp;$Y335,_xlpm.Scenario,_xlfn.VSTACK($W$20:$W$55&amp;$Y$20:$Y$55,$W$76:$W$110&amp;$Y$76:$Y$110),_xlpm.Data,_xlfn.VSTACK($AD$20:$BN$55,$AD$76:$BN$110),IF(OR($Y335="",ISNUMBER(SEARCH("please",$Y335))),"",_xlfn.XLOOKUP(_xlpm.search_key,_xlpm.Scenario,_xlpm.Data,"▧")))</f>
        <v/>
      </c>
      <c r="AQ335" s="2152" t="str" cm="1">
        <f t="array" ca="1" aca="1" ref="AQ335">_xlfn.LET(_xlpm.search_key,$W335&amp;$Y335,_xlpm.Scenario,_xlfn.VSTACK($W$20:$W$55&amp;$Y$20:$Y$55,$W$76:$W$110&amp;$Y$76:$Y$110),_xlpm.Data,_xlfn.VSTACK($AD$20:$BN$55,$AD$76:$BN$110),IF(OR($Y335="",ISNUMBER(SEARCH("please",$Y335))),"",_xlfn.XLOOKUP(_xlpm.search_key,_xlpm.Scenario,_xlpm.Data,"▧")))</f>
        <v/>
      </c>
      <c r="AR335" s="2152" t="str" cm="1">
        <f t="array" ca="1" aca="1" ref="AR335">_xlfn.LET(_xlpm.search_key,$W335&amp;$Y335,_xlpm.Scenario,_xlfn.VSTACK($W$20:$W$55&amp;$Y$20:$Y$55,$W$76:$W$110&amp;$Y$76:$Y$110),_xlpm.Data,_xlfn.VSTACK($AD$20:$BN$55,$AD$76:$BN$110),IF(OR($Y335="",ISNUMBER(SEARCH("please",$Y335))),"",_xlfn.XLOOKUP(_xlpm.search_key,_xlpm.Scenario,_xlpm.Data,"▧")))</f>
        <v/>
      </c>
      <c r="AS335" s="2152" t="str" cm="1">
        <f t="array" ca="1" aca="1" ref="AS335">_xlfn.LET(_xlpm.search_key,$W335&amp;$Y335,_xlpm.Scenario,_xlfn.VSTACK($W$20:$W$55&amp;$Y$20:$Y$55,$W$76:$W$110&amp;$Y$76:$Y$110),_xlpm.Data,_xlfn.VSTACK($AD$20:$BN$55,$AD$76:$BN$110),IF(OR($Y335="",ISNUMBER(SEARCH("please",$Y335))),"",_xlfn.XLOOKUP(_xlpm.search_key,_xlpm.Scenario,_xlpm.Data,"▧")))</f>
        <v/>
      </c>
      <c r="AT335" s="2152" t="str" cm="1">
        <f t="array" ca="1" aca="1" ref="AT335">_xlfn.LET(_xlpm.search_key,$W335&amp;$Y335,_xlpm.Scenario,_xlfn.VSTACK($W$20:$W$55&amp;$Y$20:$Y$55,$W$76:$W$110&amp;$Y$76:$Y$110),_xlpm.Data,_xlfn.VSTACK($AD$20:$BN$55,$AD$76:$BN$110),IF(OR($Y335="",ISNUMBER(SEARCH("please",$Y335))),"",_xlfn.XLOOKUP(_xlpm.search_key,_xlpm.Scenario,_xlpm.Data,"▧")))</f>
        <v/>
      </c>
      <c r="AU335" s="2152" t="str" cm="1">
        <f t="array" ca="1" aca="1" ref="AU335">_xlfn.LET(_xlpm.search_key,$W335&amp;$Y335,_xlpm.Scenario,_xlfn.VSTACK($W$20:$W$55&amp;$Y$20:$Y$55,$W$76:$W$110&amp;$Y$76:$Y$110),_xlpm.Data,_xlfn.VSTACK($AD$20:$BN$55,$AD$76:$BN$110),IF(OR($Y335="",ISNUMBER(SEARCH("please",$Y335))),"",_xlfn.XLOOKUP(_xlpm.search_key,_xlpm.Scenario,_xlpm.Data,"▧")))</f>
        <v/>
      </c>
      <c r="AV335" s="2152" t="str" cm="1">
        <f t="array" ca="1" aca="1" ref="AV335">_xlfn.LET(_xlpm.search_key,$W335&amp;$Y335,_xlpm.Scenario,_xlfn.VSTACK($W$20:$W$55&amp;$Y$20:$Y$55,$W$76:$W$110&amp;$Y$76:$Y$110),_xlpm.Data,_xlfn.VSTACK($AD$20:$BN$55,$AD$76:$BN$110),IF(OR($Y335="",ISNUMBER(SEARCH("please",$Y335))),"",_xlfn.XLOOKUP(_xlpm.search_key,_xlpm.Scenario,_xlpm.Data,"▧")))</f>
        <v/>
      </c>
      <c r="AW335" s="2152" t="str" cm="1">
        <f t="array" ca="1" aca="1" ref="AW335">_xlfn.LET(_xlpm.search_key,$W335&amp;$Y335,_xlpm.Scenario,_xlfn.VSTACK($W$20:$W$55&amp;$Y$20:$Y$55,$W$76:$W$110&amp;$Y$76:$Y$110),_xlpm.Data,_xlfn.VSTACK($AD$20:$BN$55,$AD$76:$BN$110),IF(OR($Y335="",ISNUMBER(SEARCH("please",$Y335))),"",_xlfn.XLOOKUP(_xlpm.search_key,_xlpm.Scenario,_xlpm.Data,"▧")))</f>
        <v/>
      </c>
      <c r="AX335" s="2152" t="str" cm="1">
        <f t="array" ca="1" aca="1" ref="AX335">_xlfn.LET(_xlpm.search_key,$W335&amp;$Y335,_xlpm.Scenario,_xlfn.VSTACK($W$20:$W$55&amp;$Y$20:$Y$55,$W$76:$W$110&amp;$Y$76:$Y$110),_xlpm.Data,_xlfn.VSTACK($AD$20:$BN$55,$AD$76:$BN$110),IF(OR($Y335="",ISNUMBER(SEARCH("please",$Y335))),"",_xlfn.XLOOKUP(_xlpm.search_key,_xlpm.Scenario,_xlpm.Data,"▧")))</f>
        <v/>
      </c>
      <c r="AY335" s="2152" t="str" cm="1">
        <f t="array" ca="1" aca="1" ref="AY335">_xlfn.LET(_xlpm.search_key,$W335&amp;$Y335,_xlpm.Scenario,_xlfn.VSTACK($W$20:$W$55&amp;$Y$20:$Y$55,$W$76:$W$110&amp;$Y$76:$Y$110),_xlpm.Data,_xlfn.VSTACK($AD$20:$BN$55,$AD$76:$BN$110),IF(OR($Y335="",ISNUMBER(SEARCH("please",$Y335))),"",_xlfn.XLOOKUP(_xlpm.search_key,_xlpm.Scenario,_xlpm.Data,"▧")))</f>
        <v/>
      </c>
      <c r="AZ335" s="2152" t="str" cm="1">
        <f t="array" ca="1" aca="1" ref="AZ335">_xlfn.LET(_xlpm.search_key,$W335&amp;$Y335,_xlpm.Scenario,_xlfn.VSTACK($W$20:$W$55&amp;$Y$20:$Y$55,$W$76:$W$110&amp;$Y$76:$Y$110),_xlpm.Data,_xlfn.VSTACK($AD$20:$BN$55,$AD$76:$BN$110),IF(OR($Y335="",ISNUMBER(SEARCH("please",$Y335))),"",_xlfn.XLOOKUP(_xlpm.search_key,_xlpm.Scenario,_xlpm.Data,"▧")))</f>
        <v/>
      </c>
      <c r="BA335" s="2152" t="str" cm="1">
        <f t="array" ca="1" aca="1" ref="BA335">_xlfn.LET(_xlpm.search_key,$W335&amp;$Y335,_xlpm.Scenario,_xlfn.VSTACK($W$20:$W$55&amp;$Y$20:$Y$55,$W$76:$W$110&amp;$Y$76:$Y$110),_xlpm.Data,_xlfn.VSTACK($AD$20:$BN$55,$AD$76:$BN$110),IF(OR($Y335="",ISNUMBER(SEARCH("please",$Y335))),"",_xlfn.XLOOKUP(_xlpm.search_key,_xlpm.Scenario,_xlpm.Data,"▧")))</f>
        <v/>
      </c>
      <c r="BB335" s="2152" t="str" cm="1">
        <f t="array" ca="1" aca="1" ref="BB335">_xlfn.LET(_xlpm.search_key,$W335&amp;$Y335,_xlpm.Scenario,_xlfn.VSTACK($W$20:$W$55&amp;$Y$20:$Y$55,$W$76:$W$110&amp;$Y$76:$Y$110),_xlpm.Data,_xlfn.VSTACK($AD$20:$BN$55,$AD$76:$BN$110),IF(OR($Y335="",ISNUMBER(SEARCH("please",$Y335))),"",_xlfn.XLOOKUP(_xlpm.search_key,_xlpm.Scenario,_xlpm.Data,"▧")))</f>
        <v/>
      </c>
      <c r="BC335" s="2152" t="str" cm="1">
        <f t="array" ca="1" aca="1" ref="BC335">_xlfn.LET(_xlpm.search_key,$W335&amp;$Y335,_xlpm.Scenario,_xlfn.VSTACK($W$20:$W$55&amp;$Y$20:$Y$55,$W$76:$W$110&amp;$Y$76:$Y$110),_xlpm.Data,_xlfn.VSTACK($AD$20:$BN$55,$AD$76:$BN$110),IF(OR($Y335="",ISNUMBER(SEARCH("please",$Y335))),"",_xlfn.XLOOKUP(_xlpm.search_key,_xlpm.Scenario,_xlpm.Data,"▧")))</f>
        <v/>
      </c>
      <c r="BD335" s="2152" t="str" cm="1">
        <f t="array" ca="1" aca="1" ref="BD335">_xlfn.LET(_xlpm.search_key,$W335&amp;$Y335,_xlpm.Scenario,_xlfn.VSTACK($W$20:$W$55&amp;$Y$20:$Y$55,$W$76:$W$110&amp;$Y$76:$Y$110),_xlpm.Data,_xlfn.VSTACK($AD$20:$BN$55,$AD$76:$BN$110),IF(OR($Y335="",ISNUMBER(SEARCH("please",$Y335))),"",_xlfn.XLOOKUP(_xlpm.search_key,_xlpm.Scenario,_xlpm.Data,"▧")))</f>
        <v/>
      </c>
      <c r="BE335" s="2152" t="str" cm="1">
        <f t="array" ca="1" aca="1" ref="BE335">_xlfn.LET(_xlpm.search_key,$W335&amp;$Y335,_xlpm.Scenario,_xlfn.VSTACK($W$20:$W$55&amp;$Y$20:$Y$55,$W$76:$W$110&amp;$Y$76:$Y$110),_xlpm.Data,_xlfn.VSTACK($AD$20:$BN$55,$AD$76:$BN$110),IF(OR($Y335="",ISNUMBER(SEARCH("please",$Y335))),"",_xlfn.XLOOKUP(_xlpm.search_key,_xlpm.Scenario,_xlpm.Data,"▧")))</f>
        <v/>
      </c>
      <c r="BF335" s="2152" t="str" cm="1">
        <f t="array" ca="1" aca="1" ref="BF335">_xlfn.LET(_xlpm.search_key,$W335&amp;$Y335,_xlpm.Scenario,_xlfn.VSTACK($W$20:$W$55&amp;$Y$20:$Y$55,$W$76:$W$110&amp;$Y$76:$Y$110),_xlpm.Data,_xlfn.VSTACK($AD$20:$BN$55,$AD$76:$BN$110),IF(OR($Y335="",ISNUMBER(SEARCH("please",$Y335))),"",_xlfn.XLOOKUP(_xlpm.search_key,_xlpm.Scenario,_xlpm.Data,"▧")))</f>
        <v/>
      </c>
      <c r="BG335" s="2152" t="str" cm="1">
        <f t="array" ca="1" aca="1" ref="BG335">_xlfn.LET(_xlpm.search_key,$W335&amp;$Y335,_xlpm.Scenario,_xlfn.VSTACK($W$20:$W$55&amp;$Y$20:$Y$55,$W$76:$W$110&amp;$Y$76:$Y$110),_xlpm.Data,_xlfn.VSTACK($AD$20:$BN$55,$AD$76:$BN$110),IF(OR($Y335="",ISNUMBER(SEARCH("please",$Y335))),"",_xlfn.XLOOKUP(_xlpm.search_key,_xlpm.Scenario,_xlpm.Data,"▧")))</f>
        <v/>
      </c>
      <c r="BH335" s="2152" t="str" cm="1">
        <f t="array" ca="1" aca="1" ref="BH335">_xlfn.LET(_xlpm.search_key,$W335&amp;$Y335,_xlpm.Scenario,_xlfn.VSTACK($W$20:$W$55&amp;$Y$20:$Y$55,$W$76:$W$110&amp;$Y$76:$Y$110),_xlpm.Data,_xlfn.VSTACK($AD$20:$BN$55,$AD$76:$BN$110),IF(OR($Y335="",ISNUMBER(SEARCH("please",$Y335))),"",_xlfn.XLOOKUP(_xlpm.search_key,_xlpm.Scenario,_xlpm.Data,"▧")))</f>
        <v/>
      </c>
      <c r="BI335" s="2152" t="str" cm="1">
        <f t="array" ca="1" aca="1" ref="BI335">_xlfn.LET(_xlpm.search_key,$W335&amp;$Y335,_xlpm.Scenario,_xlfn.VSTACK($W$20:$W$55&amp;$Y$20:$Y$55,$W$76:$W$110&amp;$Y$76:$Y$110),_xlpm.Data,_xlfn.VSTACK($AD$20:$BN$55,$AD$76:$BN$110),IF(OR($Y335="",ISNUMBER(SEARCH("please",$Y335))),"",_xlfn.XLOOKUP(_xlpm.search_key,_xlpm.Scenario,_xlpm.Data,"▧")))</f>
        <v/>
      </c>
      <c r="BJ335" s="2152" t="str" cm="1">
        <f t="array" ca="1" aca="1" ref="BJ335">_xlfn.LET(_xlpm.search_key,$W335&amp;$Y335,_xlpm.Scenario,_xlfn.VSTACK($W$20:$W$55&amp;$Y$20:$Y$55,$W$76:$W$110&amp;$Y$76:$Y$110),_xlpm.Data,_xlfn.VSTACK($AD$20:$BN$55,$AD$76:$BN$110),IF(OR($Y335="",ISNUMBER(SEARCH("please",$Y335))),"",_xlfn.XLOOKUP(_xlpm.search_key,_xlpm.Scenario,_xlpm.Data,"▧")))</f>
        <v/>
      </c>
      <c r="BK335" s="2152" t="str" cm="1">
        <f t="array" ca="1" aca="1" ref="BK335">_xlfn.LET(_xlpm.search_key,$W335&amp;$Y335,_xlpm.Scenario,_xlfn.VSTACK($W$20:$W$55&amp;$Y$20:$Y$55,$W$76:$W$110&amp;$Y$76:$Y$110),_xlpm.Data,_xlfn.VSTACK($AD$20:$BN$55,$AD$76:$BN$110),IF(OR($Y335="",ISNUMBER(SEARCH("please",$Y335))),"",_xlfn.XLOOKUP(_xlpm.search_key,_xlpm.Scenario,_xlpm.Data,"▧")))</f>
        <v/>
      </c>
      <c r="BL335" s="2152" t="str" cm="1">
        <f t="array" ca="1" aca="1" ref="BL335">_xlfn.LET(_xlpm.search_key,$W335&amp;$Y335,_xlpm.Scenario,_xlfn.VSTACK($W$20:$W$55&amp;$Y$20:$Y$55,$W$76:$W$110&amp;$Y$76:$Y$110),_xlpm.Data,_xlfn.VSTACK($AD$20:$BN$55,$AD$76:$BN$110),IF(OR($Y335="",ISNUMBER(SEARCH("please",$Y335))),"",_xlfn.XLOOKUP(_xlpm.search_key,_xlpm.Scenario,_xlpm.Data,"▧")))</f>
        <v/>
      </c>
      <c r="BM335" s="2152" t="str" cm="1">
        <f t="array" ca="1" aca="1" ref="BM335">_xlfn.LET(_xlpm.search_key,$W335&amp;$Y335,_xlpm.Scenario,_xlfn.VSTACK($W$20:$W$55&amp;$Y$20:$Y$55,$W$76:$W$110&amp;$Y$76:$Y$110),_xlpm.Data,_xlfn.VSTACK($AD$20:$BN$55,$AD$76:$BN$110),IF(OR($Y335="",ISNUMBER(SEARCH("please",$Y335))),"",_xlfn.XLOOKUP(_xlpm.search_key,_xlpm.Scenario,_xlpm.Data,"▧")))</f>
        <v/>
      </c>
      <c r="BN335" s="2152" t="str" cm="1">
        <f t="array" ca="1" aca="1" ref="BN335">_xlfn.LET(_xlpm.search_key,$W335&amp;$Y335,_xlpm.Scenario,_xlfn.VSTACK($W$20:$W$55&amp;$Y$20:$Y$55,$W$76:$W$110&amp;$Y$76:$Y$110),_xlpm.Data,_xlfn.VSTACK($AD$20:$BN$55,$AD$76:$BN$110),IF(OR($Y335="",ISNUMBER(SEARCH("please",$Y335))),"",_xlfn.XLOOKUP(_xlpm.search_key,_xlpm.Scenario,_xlpm.Data,"▧")))</f>
        <v/>
      </c>
      <c r="BO335" s="2153"/>
      <c r="BP335" s="2153"/>
      <c r="BQ335" s="2153"/>
      <c r="BR335" s="2153"/>
      <c r="BS335" s="2153"/>
      <c r="BT335" s="2153"/>
      <c r="BU335" s="2153"/>
      <c r="BV335" s="2153"/>
      <c r="BW335" s="2153"/>
      <c r="BX335" s="2153"/>
      <c r="BY335" s="2153"/>
      <c r="BZ335" s="2153"/>
      <c r="CA335" s="34"/>
      <c r="CC335" s="58"/>
      <c r="CD335" s="2154" t="str" cm="1">
        <f t="array" ca="1" aca="1" ref="CD335">_xlfn.LET(_xlpm.search_key,$W335&amp;$Y335,_xlpm.Scenario,_xlfn.VSTACK($W$20:$W$55&amp;$Y$20:$Y$55,$W$76:$W$110&amp;$Y$76:$Y$110),_xlpm.Data,_xlfn.VSTACK(CD$20:CE$55,CD$76:CE$110),IF(OR($Y335="",ISNUMBER(SEARCH("please",$Y335))),"",_xlfn.XLOOKUP(_xlpm.search_key,_xlpm.Scenario,_xlpm.Data,"▧")))</f>
        <v/>
      </c>
      <c r="CE335" s="2154"/>
      <c r="CF335" s="88"/>
      <c r="CG335" s="2154" t="str" cm="1">
        <f t="array" ca="1" aca="1" ref="CG335">_xlfn.LET(_xlpm.search_key,$W335&amp;$Y335,_xlpm.Scenario,_xlfn.VSTACK($W$20:$W$55&amp;$Y$20:$Y$55,$W$76:$W$110&amp;$Y$76:$Y$110),_xlpm.Data,_xlfn.VSTACK(CG$20:CH$55,CG$76:CH$110),IF(OR($Y335="",ISNUMBER(SEARCH("please",$Y335))),"",_xlfn.XLOOKUP(_xlpm.search_key,_xlpm.Scenario,_xlpm.Data,"▧")))</f>
        <v/>
      </c>
      <c r="CH335" s="2154"/>
      <c r="CI335" s="88"/>
      <c r="CJ335" s="2154" t="str" cm="1">
        <f t="array" ref="CJ335">_xlfn.LET(_xlpm.search_key,$W335&amp;$Y335,_xlpm.Scenario,_xlfn.VSTACK($W$20:$W$55&amp;$Y$20:$Y$55,$W$76:$W$110&amp;$Y$76:$Y$110),_xlpm.Data,_xlfn.VSTACK(CJ$20:CK$55,CJ$76:CK$110),IF(OR($Y335="",ISNUMBER(SEARCH("please",$Y335))),"",_xlfn.XLOOKUP(_xlpm.search_key,_xlpm.Scenario,_xlpm.Data,"▧")))</f>
        <v/>
      </c>
      <c r="CK335" s="2154"/>
      <c r="CL335" s="88"/>
      <c r="CM335" s="2154" t="str" cm="1">
        <f t="array" ca="1" aca="1" ref="CM335">_xlfn.LET(_xlpm.search_key,$W335&amp;$Y335,_xlpm.Scenario,_xlfn.VSTACK($W$20:$W$55&amp;$Y$20:$Y$55,$W$76:$W$110&amp;$Y$76:$Y$110),_xlpm.Data,_xlfn.VSTACK(CM$20:CN$55,CM$76:CN$110),IF(OR($Y335="",ISNUMBER(SEARCH("please",$Y335))),"",_xlfn.XLOOKUP(_xlpm.search_key,_xlpm.Scenario,_xlpm.Data,"▧")))</f>
        <v/>
      </c>
      <c r="CN335" s="2154"/>
      <c r="CO335" s="88"/>
      <c r="CP335" s="2154" t="str" cm="1">
        <f t="array" ca="1" aca="1" ref="CP335">_xlfn.LET(_xlpm.search_key,$W335&amp;$Y335,_xlpm.Scenario,_xlfn.VSTACK($W$20:$W$55&amp;$Y$20:$Y$55,$W$76:$W$110&amp;$Y$76:$Y$110),_xlpm.Data,_xlfn.VSTACK(CP$20:CQ$55,CP$76:CQ$110),IF(OR($Y335="",ISNUMBER(SEARCH("please",$Y335))),"",_xlfn.XLOOKUP(_xlpm.search_key,_xlpm.Scenario,_xlpm.Data,"▧")))</f>
        <v/>
      </c>
      <c r="CQ335" s="2154"/>
      <c r="CR335" s="34"/>
      <c r="CS335" s="2056"/>
    </row>
    <row r="336" spans="1:97" ht="21" customHeight="1">
      <c r="A336" s="1627"/>
      <c r="B336" s="2331"/>
      <c r="C336" s="2084"/>
      <c r="D336" s="1549"/>
      <c r="E336" s="1902"/>
      <c r="F336" s="401"/>
      <c r="G336" s="401"/>
      <c r="H336" s="585"/>
      <c r="I336" s="585"/>
      <c r="J336" s="401"/>
      <c r="K336" s="401"/>
      <c r="N336" s="158"/>
      <c r="O336" s="101"/>
      <c r="P336" s="52"/>
      <c r="Q336" s="101"/>
      <c r="R336" s="101"/>
      <c r="S336" s="101"/>
      <c r="T336" s="101"/>
      <c r="U336" s="39"/>
      <c r="V336" s="37"/>
      <c r="W336" s="2329"/>
      <c r="X336" s="2081"/>
      <c r="Y336" s="2367"/>
      <c r="Z336" s="198"/>
      <c r="AA336" s="2136"/>
      <c r="AB336" s="1134"/>
      <c r="AC336" s="125"/>
      <c r="AD336" s="2152" t="str" cm="1">
        <f t="array" ca="1" aca="1" ref="AD336">_xlfn.LET(_xlpm.search_key,$W336&amp;$Y336,_xlpm.Scenario,_xlfn.VSTACK($W$20:$W$55&amp;$Y$20:$Y$55,$W$76:$W$110&amp;$Y$76:$Y$110),_xlpm.Data,_xlfn.VSTACK($AD$20:$BN$55,$AD$76:$BN$110),IF(OR($Y336="",ISNUMBER(SEARCH("please",$Y336))),"",_xlfn.XLOOKUP(_xlpm.search_key,_xlpm.Scenario,_xlpm.Data,"▧",2)))</f>
        <v/>
      </c>
      <c r="AE336" s="2152" t="str" cm="1">
        <f t="array" ca="1" aca="1" ref="AE336">_xlfn.LET(_xlpm.search_key,$W336&amp;$Y336,_xlpm.Scenario,_xlfn.VSTACK($W$20:$W$55&amp;$Y$20:$Y$55,$W$76:$W$110&amp;$Y$76:$Y$110),_xlpm.Data,_xlfn.VSTACK($AD$20:$BN$55,$AD$76:$BN$110),IF(OR($Y336="",ISNUMBER(SEARCH("please",$Y336))),"",_xlfn.XLOOKUP(_xlpm.search_key,_xlpm.Scenario,_xlpm.Data,"▧")))</f>
        <v/>
      </c>
      <c r="AF336" s="2152" t="str" cm="1">
        <f t="array" ca="1" aca="1" ref="AF336">_xlfn.LET(_xlpm.search_key,$W336&amp;$Y336,_xlpm.Scenario,_xlfn.VSTACK($W$20:$W$55&amp;$Y$20:$Y$55,$W$76:$W$110&amp;$Y$76:$Y$110),_xlpm.Data,_xlfn.VSTACK($AD$20:$BN$55,$AD$76:$BN$110),IF(OR($Y336="",ISNUMBER(SEARCH("please",$Y336))),"",_xlfn.XLOOKUP(_xlpm.search_key,_xlpm.Scenario,_xlpm.Data,"▧")))</f>
        <v/>
      </c>
      <c r="AG336" s="2152" t="str" cm="1">
        <f t="array" ca="1" aca="1" ref="AG336">_xlfn.LET(_xlpm.search_key,$W336&amp;$Y336,_xlpm.Scenario,_xlfn.VSTACK($W$20:$W$55&amp;$Y$20:$Y$55,$W$76:$W$110&amp;$Y$76:$Y$110),_xlpm.Data,_xlfn.VSTACK($AD$20:$BN$55,$AD$76:$BN$110),IF(OR($Y336="",ISNUMBER(SEARCH("please",$Y336))),"",_xlfn.XLOOKUP(_xlpm.search_key,_xlpm.Scenario,_xlpm.Data,"▧")))</f>
        <v/>
      </c>
      <c r="AH336" s="2152" t="str" cm="1">
        <f t="array" ca="1" aca="1" ref="AH336">_xlfn.LET(_xlpm.search_key,$W336&amp;$Y336,_xlpm.Scenario,_xlfn.VSTACK($W$20:$W$55&amp;$Y$20:$Y$55,$W$76:$W$110&amp;$Y$76:$Y$110),_xlpm.Data,_xlfn.VSTACK($AD$20:$BN$55,$AD$76:$BN$110),IF(OR($Y336="",ISNUMBER(SEARCH("please",$Y336))),"",_xlfn.XLOOKUP(_xlpm.search_key,_xlpm.Scenario,_xlpm.Data,"▧")))</f>
        <v/>
      </c>
      <c r="AI336" s="2152" t="str" cm="1">
        <f t="array" ca="1" aca="1" ref="AI336">_xlfn.LET(_xlpm.search_key,$W336&amp;$Y336,_xlpm.Scenario,_xlfn.VSTACK($W$20:$W$55&amp;$Y$20:$Y$55,$W$76:$W$110&amp;$Y$76:$Y$110),_xlpm.Data,_xlfn.VSTACK($AD$20:$BN$55,$AD$76:$BN$110),IF(OR($Y336="",ISNUMBER(SEARCH("please",$Y336))),"",_xlfn.XLOOKUP(_xlpm.search_key,_xlpm.Scenario,_xlpm.Data,"▧")))</f>
        <v/>
      </c>
      <c r="AJ336" s="2152" t="str" cm="1">
        <f t="array" ca="1" aca="1" ref="AJ336">_xlfn.LET(_xlpm.search_key,$W336&amp;$Y336,_xlpm.Scenario,_xlfn.VSTACK($W$20:$W$55&amp;$Y$20:$Y$55,$W$76:$W$110&amp;$Y$76:$Y$110),_xlpm.Data,_xlfn.VSTACK($AD$20:$BN$55,$AD$76:$BN$110),IF(OR($Y336="",ISNUMBER(SEARCH("please",$Y336))),"",_xlfn.XLOOKUP(_xlpm.search_key,_xlpm.Scenario,_xlpm.Data,"▧")))</f>
        <v/>
      </c>
      <c r="AK336" s="2152" t="str" cm="1">
        <f t="array" ca="1" aca="1" ref="AK336">_xlfn.LET(_xlpm.search_key,$W336&amp;$Y336,_xlpm.Scenario,_xlfn.VSTACK($W$20:$W$55&amp;$Y$20:$Y$55,$W$76:$W$110&amp;$Y$76:$Y$110),_xlpm.Data,_xlfn.VSTACK($AD$20:$BN$55,$AD$76:$BN$110),IF(OR($Y336="",ISNUMBER(SEARCH("please",$Y336))),"",_xlfn.XLOOKUP(_xlpm.search_key,_xlpm.Scenario,_xlpm.Data,"▧")))</f>
        <v/>
      </c>
      <c r="AL336" s="2152" t="str" cm="1">
        <f t="array" ca="1" aca="1" ref="AL336">_xlfn.LET(_xlpm.search_key,$W336&amp;$Y336,_xlpm.Scenario,_xlfn.VSTACK($W$20:$W$55&amp;$Y$20:$Y$55,$W$76:$W$110&amp;$Y$76:$Y$110),_xlpm.Data,_xlfn.VSTACK($AD$20:$BN$55,$AD$76:$BN$110),IF(OR($Y336="",ISNUMBER(SEARCH("please",$Y336))),"",_xlfn.XLOOKUP(_xlpm.search_key,_xlpm.Scenario,_xlpm.Data,"▧")))</f>
        <v/>
      </c>
      <c r="AM336" s="2152" t="str" cm="1">
        <f t="array" ca="1" aca="1" ref="AM336">_xlfn.LET(_xlpm.search_key,$W336&amp;$Y336,_xlpm.Scenario,_xlfn.VSTACK($W$20:$W$55&amp;$Y$20:$Y$55,$W$76:$W$110&amp;$Y$76:$Y$110),_xlpm.Data,_xlfn.VSTACK($AD$20:$BN$55,$AD$76:$BN$110),IF(OR($Y336="",ISNUMBER(SEARCH("please",$Y336))),"",_xlfn.XLOOKUP(_xlpm.search_key,_xlpm.Scenario,_xlpm.Data,"▧")))</f>
        <v/>
      </c>
      <c r="AN336" s="2152" t="str" cm="1">
        <f t="array" ca="1" aca="1" ref="AN336">_xlfn.LET(_xlpm.search_key,$W336&amp;$Y336,_xlpm.Scenario,_xlfn.VSTACK($W$20:$W$55&amp;$Y$20:$Y$55,$W$76:$W$110&amp;$Y$76:$Y$110),_xlpm.Data,_xlfn.VSTACK($AD$20:$BN$55,$AD$76:$BN$110),IF(OR($Y336="",ISNUMBER(SEARCH("please",$Y336))),"",_xlfn.XLOOKUP(_xlpm.search_key,_xlpm.Scenario,_xlpm.Data,"▧")))</f>
        <v/>
      </c>
      <c r="AO336" s="2152" t="str" cm="1">
        <f t="array" ca="1" aca="1" ref="AO336">_xlfn.LET(_xlpm.search_key,$W336&amp;$Y336,_xlpm.Scenario,_xlfn.VSTACK($W$20:$W$55&amp;$Y$20:$Y$55,$W$76:$W$110&amp;$Y$76:$Y$110),_xlpm.Data,_xlfn.VSTACK($AD$20:$BN$55,$AD$76:$BN$110),IF(OR($Y336="",ISNUMBER(SEARCH("please",$Y336))),"",_xlfn.XLOOKUP(_xlpm.search_key,_xlpm.Scenario,_xlpm.Data,"▧")))</f>
        <v/>
      </c>
      <c r="AP336" s="2152" t="str" cm="1">
        <f t="array" ca="1" aca="1" ref="AP336">_xlfn.LET(_xlpm.search_key,$W336&amp;$Y336,_xlpm.Scenario,_xlfn.VSTACK($W$20:$W$55&amp;$Y$20:$Y$55,$W$76:$W$110&amp;$Y$76:$Y$110),_xlpm.Data,_xlfn.VSTACK($AD$20:$BN$55,$AD$76:$BN$110),IF(OR($Y336="",ISNUMBER(SEARCH("please",$Y336))),"",_xlfn.XLOOKUP(_xlpm.search_key,_xlpm.Scenario,_xlpm.Data,"▧")))</f>
        <v/>
      </c>
      <c r="AQ336" s="2152" t="str" cm="1">
        <f t="array" ca="1" aca="1" ref="AQ336">_xlfn.LET(_xlpm.search_key,$W336&amp;$Y336,_xlpm.Scenario,_xlfn.VSTACK($W$20:$W$55&amp;$Y$20:$Y$55,$W$76:$W$110&amp;$Y$76:$Y$110),_xlpm.Data,_xlfn.VSTACK($AD$20:$BN$55,$AD$76:$BN$110),IF(OR($Y336="",ISNUMBER(SEARCH("please",$Y336))),"",_xlfn.XLOOKUP(_xlpm.search_key,_xlpm.Scenario,_xlpm.Data,"▧")))</f>
        <v/>
      </c>
      <c r="AR336" s="2152" t="str" cm="1">
        <f t="array" ca="1" aca="1" ref="AR336">_xlfn.LET(_xlpm.search_key,$W336&amp;$Y336,_xlpm.Scenario,_xlfn.VSTACK($W$20:$W$55&amp;$Y$20:$Y$55,$W$76:$W$110&amp;$Y$76:$Y$110),_xlpm.Data,_xlfn.VSTACK($AD$20:$BN$55,$AD$76:$BN$110),IF(OR($Y336="",ISNUMBER(SEARCH("please",$Y336))),"",_xlfn.XLOOKUP(_xlpm.search_key,_xlpm.Scenario,_xlpm.Data,"▧")))</f>
        <v/>
      </c>
      <c r="AS336" s="2152" t="str" cm="1">
        <f t="array" ca="1" aca="1" ref="AS336">_xlfn.LET(_xlpm.search_key,$W336&amp;$Y336,_xlpm.Scenario,_xlfn.VSTACK($W$20:$W$55&amp;$Y$20:$Y$55,$W$76:$W$110&amp;$Y$76:$Y$110),_xlpm.Data,_xlfn.VSTACK($AD$20:$BN$55,$AD$76:$BN$110),IF(OR($Y336="",ISNUMBER(SEARCH("please",$Y336))),"",_xlfn.XLOOKUP(_xlpm.search_key,_xlpm.Scenario,_xlpm.Data,"▧")))</f>
        <v/>
      </c>
      <c r="AT336" s="2152" t="str" cm="1">
        <f t="array" ca="1" aca="1" ref="AT336">_xlfn.LET(_xlpm.search_key,$W336&amp;$Y336,_xlpm.Scenario,_xlfn.VSTACK($W$20:$W$55&amp;$Y$20:$Y$55,$W$76:$W$110&amp;$Y$76:$Y$110),_xlpm.Data,_xlfn.VSTACK($AD$20:$BN$55,$AD$76:$BN$110),IF(OR($Y336="",ISNUMBER(SEARCH("please",$Y336))),"",_xlfn.XLOOKUP(_xlpm.search_key,_xlpm.Scenario,_xlpm.Data,"▧")))</f>
        <v/>
      </c>
      <c r="AU336" s="2152" t="str" cm="1">
        <f t="array" ca="1" aca="1" ref="AU336">_xlfn.LET(_xlpm.search_key,$W336&amp;$Y336,_xlpm.Scenario,_xlfn.VSTACK($W$20:$W$55&amp;$Y$20:$Y$55,$W$76:$W$110&amp;$Y$76:$Y$110),_xlpm.Data,_xlfn.VSTACK($AD$20:$BN$55,$AD$76:$BN$110),IF(OR($Y336="",ISNUMBER(SEARCH("please",$Y336))),"",_xlfn.XLOOKUP(_xlpm.search_key,_xlpm.Scenario,_xlpm.Data,"▧")))</f>
        <v/>
      </c>
      <c r="AV336" s="2152" t="str" cm="1">
        <f t="array" ca="1" aca="1" ref="AV336">_xlfn.LET(_xlpm.search_key,$W336&amp;$Y336,_xlpm.Scenario,_xlfn.VSTACK($W$20:$W$55&amp;$Y$20:$Y$55,$W$76:$W$110&amp;$Y$76:$Y$110),_xlpm.Data,_xlfn.VSTACK($AD$20:$BN$55,$AD$76:$BN$110),IF(OR($Y336="",ISNUMBER(SEARCH("please",$Y336))),"",_xlfn.XLOOKUP(_xlpm.search_key,_xlpm.Scenario,_xlpm.Data,"▧")))</f>
        <v/>
      </c>
      <c r="AW336" s="2152" t="str" cm="1">
        <f t="array" ca="1" aca="1" ref="AW336">_xlfn.LET(_xlpm.search_key,$W336&amp;$Y336,_xlpm.Scenario,_xlfn.VSTACK($W$20:$W$55&amp;$Y$20:$Y$55,$W$76:$W$110&amp;$Y$76:$Y$110),_xlpm.Data,_xlfn.VSTACK($AD$20:$BN$55,$AD$76:$BN$110),IF(OR($Y336="",ISNUMBER(SEARCH("please",$Y336))),"",_xlfn.XLOOKUP(_xlpm.search_key,_xlpm.Scenario,_xlpm.Data,"▧")))</f>
        <v/>
      </c>
      <c r="AX336" s="2152" t="str" cm="1">
        <f t="array" ca="1" aca="1" ref="AX336">_xlfn.LET(_xlpm.search_key,$W336&amp;$Y336,_xlpm.Scenario,_xlfn.VSTACK($W$20:$W$55&amp;$Y$20:$Y$55,$W$76:$W$110&amp;$Y$76:$Y$110),_xlpm.Data,_xlfn.VSTACK($AD$20:$BN$55,$AD$76:$BN$110),IF(OR($Y336="",ISNUMBER(SEARCH("please",$Y336))),"",_xlfn.XLOOKUP(_xlpm.search_key,_xlpm.Scenario,_xlpm.Data,"▧")))</f>
        <v/>
      </c>
      <c r="AY336" s="2152" t="str" cm="1">
        <f t="array" ca="1" aca="1" ref="AY336">_xlfn.LET(_xlpm.search_key,$W336&amp;$Y336,_xlpm.Scenario,_xlfn.VSTACK($W$20:$W$55&amp;$Y$20:$Y$55,$W$76:$W$110&amp;$Y$76:$Y$110),_xlpm.Data,_xlfn.VSTACK($AD$20:$BN$55,$AD$76:$BN$110),IF(OR($Y336="",ISNUMBER(SEARCH("please",$Y336))),"",_xlfn.XLOOKUP(_xlpm.search_key,_xlpm.Scenario,_xlpm.Data,"▧")))</f>
        <v/>
      </c>
      <c r="AZ336" s="2152" t="str" cm="1">
        <f t="array" ca="1" aca="1" ref="AZ336">_xlfn.LET(_xlpm.search_key,$W336&amp;$Y336,_xlpm.Scenario,_xlfn.VSTACK($W$20:$W$55&amp;$Y$20:$Y$55,$W$76:$W$110&amp;$Y$76:$Y$110),_xlpm.Data,_xlfn.VSTACK($AD$20:$BN$55,$AD$76:$BN$110),IF(OR($Y336="",ISNUMBER(SEARCH("please",$Y336))),"",_xlfn.XLOOKUP(_xlpm.search_key,_xlpm.Scenario,_xlpm.Data,"▧")))</f>
        <v/>
      </c>
      <c r="BA336" s="2152" t="str" cm="1">
        <f t="array" ca="1" aca="1" ref="BA336">_xlfn.LET(_xlpm.search_key,$W336&amp;$Y336,_xlpm.Scenario,_xlfn.VSTACK($W$20:$W$55&amp;$Y$20:$Y$55,$W$76:$W$110&amp;$Y$76:$Y$110),_xlpm.Data,_xlfn.VSTACK($AD$20:$BN$55,$AD$76:$BN$110),IF(OR($Y336="",ISNUMBER(SEARCH("please",$Y336))),"",_xlfn.XLOOKUP(_xlpm.search_key,_xlpm.Scenario,_xlpm.Data,"▧")))</f>
        <v/>
      </c>
      <c r="BB336" s="2152" t="str" cm="1">
        <f t="array" ca="1" aca="1" ref="BB336">_xlfn.LET(_xlpm.search_key,$W336&amp;$Y336,_xlpm.Scenario,_xlfn.VSTACK($W$20:$W$55&amp;$Y$20:$Y$55,$W$76:$W$110&amp;$Y$76:$Y$110),_xlpm.Data,_xlfn.VSTACK($AD$20:$BN$55,$AD$76:$BN$110),IF(OR($Y336="",ISNUMBER(SEARCH("please",$Y336))),"",_xlfn.XLOOKUP(_xlpm.search_key,_xlpm.Scenario,_xlpm.Data,"▧")))</f>
        <v/>
      </c>
      <c r="BC336" s="2152" t="str" cm="1">
        <f t="array" ca="1" aca="1" ref="BC336">_xlfn.LET(_xlpm.search_key,$W336&amp;$Y336,_xlpm.Scenario,_xlfn.VSTACK($W$20:$W$55&amp;$Y$20:$Y$55,$W$76:$W$110&amp;$Y$76:$Y$110),_xlpm.Data,_xlfn.VSTACK($AD$20:$BN$55,$AD$76:$BN$110),IF(OR($Y336="",ISNUMBER(SEARCH("please",$Y336))),"",_xlfn.XLOOKUP(_xlpm.search_key,_xlpm.Scenario,_xlpm.Data,"▧")))</f>
        <v/>
      </c>
      <c r="BD336" s="2152" t="str" cm="1">
        <f t="array" ca="1" aca="1" ref="BD336">_xlfn.LET(_xlpm.search_key,$W336&amp;$Y336,_xlpm.Scenario,_xlfn.VSTACK($W$20:$W$55&amp;$Y$20:$Y$55,$W$76:$W$110&amp;$Y$76:$Y$110),_xlpm.Data,_xlfn.VSTACK($AD$20:$BN$55,$AD$76:$BN$110),IF(OR($Y336="",ISNUMBER(SEARCH("please",$Y336))),"",_xlfn.XLOOKUP(_xlpm.search_key,_xlpm.Scenario,_xlpm.Data,"▧")))</f>
        <v/>
      </c>
      <c r="BE336" s="2152" t="str" cm="1">
        <f t="array" ca="1" aca="1" ref="BE336">_xlfn.LET(_xlpm.search_key,$W336&amp;$Y336,_xlpm.Scenario,_xlfn.VSTACK($W$20:$W$55&amp;$Y$20:$Y$55,$W$76:$W$110&amp;$Y$76:$Y$110),_xlpm.Data,_xlfn.VSTACK($AD$20:$BN$55,$AD$76:$BN$110),IF(OR($Y336="",ISNUMBER(SEARCH("please",$Y336))),"",_xlfn.XLOOKUP(_xlpm.search_key,_xlpm.Scenario,_xlpm.Data,"▧")))</f>
        <v/>
      </c>
      <c r="BF336" s="2152" t="str" cm="1">
        <f t="array" ca="1" aca="1" ref="BF336">_xlfn.LET(_xlpm.search_key,$W336&amp;$Y336,_xlpm.Scenario,_xlfn.VSTACK($W$20:$W$55&amp;$Y$20:$Y$55,$W$76:$W$110&amp;$Y$76:$Y$110),_xlpm.Data,_xlfn.VSTACK($AD$20:$BN$55,$AD$76:$BN$110),IF(OR($Y336="",ISNUMBER(SEARCH("please",$Y336))),"",_xlfn.XLOOKUP(_xlpm.search_key,_xlpm.Scenario,_xlpm.Data,"▧")))</f>
        <v/>
      </c>
      <c r="BG336" s="2152" t="str" cm="1">
        <f t="array" ca="1" aca="1" ref="BG336">_xlfn.LET(_xlpm.search_key,$W336&amp;$Y336,_xlpm.Scenario,_xlfn.VSTACK($W$20:$W$55&amp;$Y$20:$Y$55,$W$76:$W$110&amp;$Y$76:$Y$110),_xlpm.Data,_xlfn.VSTACK($AD$20:$BN$55,$AD$76:$BN$110),IF(OR($Y336="",ISNUMBER(SEARCH("please",$Y336))),"",_xlfn.XLOOKUP(_xlpm.search_key,_xlpm.Scenario,_xlpm.Data,"▧")))</f>
        <v/>
      </c>
      <c r="BH336" s="2152" t="str" cm="1">
        <f t="array" ca="1" aca="1" ref="BH336">_xlfn.LET(_xlpm.search_key,$W336&amp;$Y336,_xlpm.Scenario,_xlfn.VSTACK($W$20:$W$55&amp;$Y$20:$Y$55,$W$76:$W$110&amp;$Y$76:$Y$110),_xlpm.Data,_xlfn.VSTACK($AD$20:$BN$55,$AD$76:$BN$110),IF(OR($Y336="",ISNUMBER(SEARCH("please",$Y336))),"",_xlfn.XLOOKUP(_xlpm.search_key,_xlpm.Scenario,_xlpm.Data,"▧")))</f>
        <v/>
      </c>
      <c r="BI336" s="2152" t="str" cm="1">
        <f t="array" ca="1" aca="1" ref="BI336">_xlfn.LET(_xlpm.search_key,$W336&amp;$Y336,_xlpm.Scenario,_xlfn.VSTACK($W$20:$W$55&amp;$Y$20:$Y$55,$W$76:$W$110&amp;$Y$76:$Y$110),_xlpm.Data,_xlfn.VSTACK($AD$20:$BN$55,$AD$76:$BN$110),IF(OR($Y336="",ISNUMBER(SEARCH("please",$Y336))),"",_xlfn.XLOOKUP(_xlpm.search_key,_xlpm.Scenario,_xlpm.Data,"▧")))</f>
        <v/>
      </c>
      <c r="BJ336" s="2152" t="str" cm="1">
        <f t="array" ca="1" aca="1" ref="BJ336">_xlfn.LET(_xlpm.search_key,$W336&amp;$Y336,_xlpm.Scenario,_xlfn.VSTACK($W$20:$W$55&amp;$Y$20:$Y$55,$W$76:$W$110&amp;$Y$76:$Y$110),_xlpm.Data,_xlfn.VSTACK($AD$20:$BN$55,$AD$76:$BN$110),IF(OR($Y336="",ISNUMBER(SEARCH("please",$Y336))),"",_xlfn.XLOOKUP(_xlpm.search_key,_xlpm.Scenario,_xlpm.Data,"▧")))</f>
        <v/>
      </c>
      <c r="BK336" s="2152" t="str" cm="1">
        <f t="array" ca="1" aca="1" ref="BK336">_xlfn.LET(_xlpm.search_key,$W336&amp;$Y336,_xlpm.Scenario,_xlfn.VSTACK($W$20:$W$55&amp;$Y$20:$Y$55,$W$76:$W$110&amp;$Y$76:$Y$110),_xlpm.Data,_xlfn.VSTACK($AD$20:$BN$55,$AD$76:$BN$110),IF(OR($Y336="",ISNUMBER(SEARCH("please",$Y336))),"",_xlfn.XLOOKUP(_xlpm.search_key,_xlpm.Scenario,_xlpm.Data,"▧")))</f>
        <v/>
      </c>
      <c r="BL336" s="2152" t="str" cm="1">
        <f t="array" ca="1" aca="1" ref="BL336">_xlfn.LET(_xlpm.search_key,$W336&amp;$Y336,_xlpm.Scenario,_xlfn.VSTACK($W$20:$W$55&amp;$Y$20:$Y$55,$W$76:$W$110&amp;$Y$76:$Y$110),_xlpm.Data,_xlfn.VSTACK($AD$20:$BN$55,$AD$76:$BN$110),IF(OR($Y336="",ISNUMBER(SEARCH("please",$Y336))),"",_xlfn.XLOOKUP(_xlpm.search_key,_xlpm.Scenario,_xlpm.Data,"▧")))</f>
        <v/>
      </c>
      <c r="BM336" s="2152" t="str" cm="1">
        <f t="array" ca="1" aca="1" ref="BM336">_xlfn.LET(_xlpm.search_key,$W336&amp;$Y336,_xlpm.Scenario,_xlfn.VSTACK($W$20:$W$55&amp;$Y$20:$Y$55,$W$76:$W$110&amp;$Y$76:$Y$110),_xlpm.Data,_xlfn.VSTACK($AD$20:$BN$55,$AD$76:$BN$110),IF(OR($Y336="",ISNUMBER(SEARCH("please",$Y336))),"",_xlfn.XLOOKUP(_xlpm.search_key,_xlpm.Scenario,_xlpm.Data,"▧")))</f>
        <v/>
      </c>
      <c r="BN336" s="2152" t="str" cm="1">
        <f t="array" ca="1" aca="1" ref="BN336">_xlfn.LET(_xlpm.search_key,$W336&amp;$Y336,_xlpm.Scenario,_xlfn.VSTACK($W$20:$W$55&amp;$Y$20:$Y$55,$W$76:$W$110&amp;$Y$76:$Y$110),_xlpm.Data,_xlfn.VSTACK($AD$20:$BN$55,$AD$76:$BN$110),IF(OR($Y336="",ISNUMBER(SEARCH("please",$Y336))),"",_xlfn.XLOOKUP(_xlpm.search_key,_xlpm.Scenario,_xlpm.Data,"▧")))</f>
        <v/>
      </c>
      <c r="BO336" s="2153"/>
      <c r="BP336" s="2153"/>
      <c r="BQ336" s="2153"/>
      <c r="BR336" s="2153"/>
      <c r="BS336" s="2153"/>
      <c r="BT336" s="2153"/>
      <c r="BU336" s="2153"/>
      <c r="BV336" s="2153"/>
      <c r="BW336" s="2153"/>
      <c r="BX336" s="2153"/>
      <c r="BY336" s="2153"/>
      <c r="BZ336" s="2153"/>
      <c r="CA336" s="34"/>
      <c r="CC336" s="58"/>
      <c r="CD336" s="2154" t="str" cm="1">
        <f t="array" ca="1" aca="1" ref="CD336">_xlfn.LET(_xlpm.search_key,$W336&amp;$Y336,_xlpm.Scenario,_xlfn.VSTACK($W$20:$W$55&amp;$Y$20:$Y$55,$W$76:$W$110&amp;$Y$76:$Y$110),_xlpm.Data,_xlfn.VSTACK(CD$20:CE$55,CD$76:CE$110),IF(OR($Y336="",ISNUMBER(SEARCH("please",$Y336))),"",_xlfn.XLOOKUP(_xlpm.search_key,_xlpm.Scenario,_xlpm.Data,"▧")))</f>
        <v/>
      </c>
      <c r="CE336" s="2154"/>
      <c r="CF336" s="88"/>
      <c r="CG336" s="2154" t="str" cm="1">
        <f t="array" ca="1" aca="1" ref="CG336">_xlfn.LET(_xlpm.search_key,$W336&amp;$Y336,_xlpm.Scenario,_xlfn.VSTACK($W$20:$W$55&amp;$Y$20:$Y$55,$W$76:$W$110&amp;$Y$76:$Y$110),_xlpm.Data,_xlfn.VSTACK(CG$20:CH$55,CG$76:CH$110),IF(OR($Y336="",ISNUMBER(SEARCH("please",$Y336))),"",_xlfn.XLOOKUP(_xlpm.search_key,_xlpm.Scenario,_xlpm.Data,"▧")))</f>
        <v/>
      </c>
      <c r="CH336" s="2154"/>
      <c r="CI336" s="88"/>
      <c r="CJ336" s="2154" t="str" cm="1">
        <f t="array" ref="CJ336">_xlfn.LET(_xlpm.search_key,$W336&amp;$Y336,_xlpm.Scenario,_xlfn.VSTACK($W$20:$W$55&amp;$Y$20:$Y$55,$W$76:$W$110&amp;$Y$76:$Y$110),_xlpm.Data,_xlfn.VSTACK(CJ$20:CK$55,CJ$76:CK$110),IF(OR($Y336="",ISNUMBER(SEARCH("please",$Y336))),"",_xlfn.XLOOKUP(_xlpm.search_key,_xlpm.Scenario,_xlpm.Data,"▧")))</f>
        <v/>
      </c>
      <c r="CK336" s="2154"/>
      <c r="CL336" s="88"/>
      <c r="CM336" s="2154" t="str" cm="1">
        <f t="array" ca="1" aca="1" ref="CM336">_xlfn.LET(_xlpm.search_key,$W336&amp;$Y336,_xlpm.Scenario,_xlfn.VSTACK($W$20:$W$55&amp;$Y$20:$Y$55,$W$76:$W$110&amp;$Y$76:$Y$110),_xlpm.Data,_xlfn.VSTACK(CM$20:CN$55,CM$76:CN$110),IF(OR($Y336="",ISNUMBER(SEARCH("please",$Y336))),"",_xlfn.XLOOKUP(_xlpm.search_key,_xlpm.Scenario,_xlpm.Data,"▧")))</f>
        <v/>
      </c>
      <c r="CN336" s="2154"/>
      <c r="CO336" s="88"/>
      <c r="CP336" s="2154" t="str" cm="1">
        <f t="array" ca="1" aca="1" ref="CP336">_xlfn.LET(_xlpm.search_key,$W336&amp;$Y336,_xlpm.Scenario,_xlfn.VSTACK($W$20:$W$55&amp;$Y$20:$Y$55,$W$76:$W$110&amp;$Y$76:$Y$110),_xlpm.Data,_xlfn.VSTACK(CP$20:CQ$55,CP$76:CQ$110),IF(OR($Y336="",ISNUMBER(SEARCH("please",$Y336))),"",_xlfn.XLOOKUP(_xlpm.search_key,_xlpm.Scenario,_xlpm.Data,"▧")))</f>
        <v/>
      </c>
      <c r="CQ336" s="2154"/>
      <c r="CR336" s="34"/>
      <c r="CS336" s="2056"/>
    </row>
    <row r="337" spans="1:97" ht="21" customHeight="1">
      <c r="A337" s="1627"/>
      <c r="B337" s="2331" t="s">
        <v>218</v>
      </c>
      <c r="C337" s="577" t="e" cm="1">
        <f t="array" ca="1" aca="1" ref="C337">IFBLANK(_xldudf_CX_GET(CX_ENTITY,B337,val_asOfDate),D337)</f>
        <v>#NAME?</v>
      </c>
      <c r="D337" s="1549" t="s">
        <v>1855</v>
      </c>
      <c r="E337" s="2135"/>
      <c r="F337" s="401"/>
      <c r="G337" s="401"/>
      <c r="H337" s="585"/>
      <c r="I337" s="585"/>
      <c r="J337" s="401"/>
      <c r="K337" s="401" t="s">
        <v>561</v>
      </c>
      <c r="N337" s="158"/>
      <c r="O337" s="101"/>
      <c r="P337" s="52"/>
      <c r="Q337" s="101"/>
      <c r="R337" s="101"/>
      <c r="S337" s="101"/>
      <c r="T337" s="101"/>
      <c r="U337" s="39"/>
      <c r="V337" s="37"/>
      <c r="W337" s="2330"/>
      <c r="X337" s="2325"/>
      <c r="Y337" s="2326"/>
      <c r="Z337" s="2322"/>
      <c r="AA337" s="2323"/>
      <c r="AB337" s="1134"/>
      <c r="AC337" s="125"/>
      <c r="AD337" s="2152">
        <f ca="1">SUMPRODUCT($X331:$X336,AD331:AD336)</f>
        <v>0</v>
      </c>
      <c r="AE337" s="2152">
        <f ca="1">SUMPRODUCT($X331:$X336,AE331:AE336)</f>
        <v>0</v>
      </c>
      <c r="AF337" s="2152">
        <f ca="1" t="shared" si="134" ref="AF337:BN337">SUMPRODUCT($X331:$X336,AF331:AF336)</f>
        <v>0</v>
      </c>
      <c r="AG337" s="2152">
        <f t="shared" ca="1" si="134"/>
        <v>0</v>
      </c>
      <c r="AH337" s="2152">
        <f t="shared" ca="1" si="134"/>
        <v>0</v>
      </c>
      <c r="AI337" s="2152">
        <f t="shared" ca="1" si="134"/>
        <v>0</v>
      </c>
      <c r="AJ337" s="2152">
        <f t="shared" ca="1" si="134"/>
        <v>0</v>
      </c>
      <c r="AK337" s="2152">
        <f t="shared" ca="1" si="134"/>
        <v>0</v>
      </c>
      <c r="AL337" s="2152">
        <f t="shared" ca="1" si="134"/>
        <v>0</v>
      </c>
      <c r="AM337" s="2152">
        <f t="shared" ca="1" si="134"/>
        <v>0</v>
      </c>
      <c r="AN337" s="2152">
        <f t="shared" ca="1" si="134"/>
        <v>0</v>
      </c>
      <c r="AO337" s="2152">
        <f t="shared" ca="1" si="134"/>
        <v>0</v>
      </c>
      <c r="AP337" s="2152">
        <f t="shared" ca="1" si="134"/>
        <v>0</v>
      </c>
      <c r="AQ337" s="2152">
        <f t="shared" ca="1" si="134"/>
        <v>0</v>
      </c>
      <c r="AR337" s="2152">
        <f t="shared" ca="1" si="134"/>
        <v>0</v>
      </c>
      <c r="AS337" s="2152">
        <f t="shared" ca="1" si="134"/>
        <v>0</v>
      </c>
      <c r="AT337" s="2152">
        <f t="shared" ca="1" si="134"/>
        <v>0</v>
      </c>
      <c r="AU337" s="2152">
        <f t="shared" ca="1" si="134"/>
        <v>0</v>
      </c>
      <c r="AV337" s="2152">
        <f t="shared" ca="1" si="134"/>
        <v>0</v>
      </c>
      <c r="AW337" s="2152">
        <f t="shared" ca="1" si="134"/>
        <v>0</v>
      </c>
      <c r="AX337" s="2152">
        <f t="shared" ca="1" si="134"/>
        <v>0</v>
      </c>
      <c r="AY337" s="2152">
        <f t="shared" ca="1" si="134"/>
        <v>0</v>
      </c>
      <c r="AZ337" s="2152">
        <f t="shared" ca="1" si="134"/>
        <v>0</v>
      </c>
      <c r="BA337" s="2152">
        <f t="shared" ca="1" si="134"/>
        <v>0</v>
      </c>
      <c r="BB337" s="2152">
        <f t="shared" ca="1" si="134"/>
        <v>0</v>
      </c>
      <c r="BC337" s="2152">
        <f t="shared" ca="1" si="134"/>
        <v>0</v>
      </c>
      <c r="BD337" s="2152">
        <f t="shared" ca="1" si="134"/>
        <v>0</v>
      </c>
      <c r="BE337" s="2152">
        <f t="shared" ca="1" si="134"/>
        <v>0</v>
      </c>
      <c r="BF337" s="2152">
        <f t="shared" ca="1" si="134"/>
        <v>0</v>
      </c>
      <c r="BG337" s="2152">
        <f t="shared" ca="1" si="134"/>
        <v>0</v>
      </c>
      <c r="BH337" s="2152">
        <f t="shared" ca="1" si="134"/>
        <v>0</v>
      </c>
      <c r="BI337" s="2152">
        <f t="shared" ca="1" si="134"/>
        <v>0</v>
      </c>
      <c r="BJ337" s="2152">
        <f t="shared" ca="1" si="134"/>
        <v>0</v>
      </c>
      <c r="BK337" s="2152">
        <f t="shared" ca="1" si="134"/>
        <v>0</v>
      </c>
      <c r="BL337" s="2152">
        <f t="shared" ca="1" si="134"/>
        <v>0</v>
      </c>
      <c r="BM337" s="2152">
        <f t="shared" ca="1" si="134"/>
        <v>0</v>
      </c>
      <c r="BN337" s="2152">
        <f t="shared" ca="1" si="134"/>
        <v>0</v>
      </c>
      <c r="BO337" s="2153"/>
      <c r="BP337" s="2153"/>
      <c r="BQ337" s="2153"/>
      <c r="BR337" s="2153"/>
      <c r="BS337" s="2153"/>
      <c r="BT337" s="2153"/>
      <c r="BU337" s="2153"/>
      <c r="BV337" s="2153"/>
      <c r="BW337" s="2153"/>
      <c r="BX337" s="2153"/>
      <c r="BY337" s="2153"/>
      <c r="BZ337" s="2153"/>
      <c r="CA337" s="34"/>
      <c r="CC337" s="58"/>
      <c r="CD337" s="2152">
        <f ca="1">SUMPRODUCT($X331:$X336,CD331:CD336)</f>
        <v>0</v>
      </c>
      <c r="CE337" s="2152">
        <f t="shared" si="135" ref="CE337">SUMPRODUCT($X331:$X334,CE331:CE334)</f>
        <v>0</v>
      </c>
      <c r="CF337" s="88"/>
      <c r="CG337" s="2152">
        <f ca="1">SUMPRODUCT($X331:$X336,CG331:CG336)</f>
        <v>0</v>
      </c>
      <c r="CH337" s="2152">
        <f t="shared" si="136" ref="CH337">SUMPRODUCT($X331:$X334,CH331:CH334)</f>
        <v>0</v>
      </c>
      <c r="CI337" s="88"/>
      <c r="CJ337" s="2152">
        <f>SUMPRODUCT($X331:$X336,CJ331:CJ336)</f>
        <v>0</v>
      </c>
      <c r="CK337" s="2152">
        <f t="shared" si="137" ref="CK337">SUMPRODUCT($X331:$X334,CK331:CK334)</f>
        <v>0</v>
      </c>
      <c r="CL337" s="88"/>
      <c r="CM337" s="2152">
        <f ca="1">SUMPRODUCT($X331:$X336,CM331:CM336)</f>
        <v>0</v>
      </c>
      <c r="CN337" s="2152">
        <f t="shared" si="138" ref="CN337">SUMPRODUCT($X331:$X334,CN331:CN334)</f>
        <v>0</v>
      </c>
      <c r="CO337" s="88"/>
      <c r="CP337" s="2152">
        <f ca="1">SUMPRODUCT($X331:$X336,CP331:CP336)</f>
        <v>0</v>
      </c>
      <c r="CQ337" s="2152">
        <f t="shared" si="139" ref="CQ337">SUMPRODUCT($X331:$X334,CQ331:CQ334)</f>
        <v>0</v>
      </c>
      <c r="CR337" s="34"/>
      <c r="CS337" s="2056"/>
    </row>
    <row r="338" spans="1:144" s="108" customFormat="1" ht="21" customHeight="1">
      <c r="A338" s="1628"/>
      <c r="B338" s="2331"/>
      <c r="C338" s="2084"/>
      <c r="D338" s="1549"/>
      <c r="E338" s="2135"/>
      <c r="F338" s="401"/>
      <c r="G338" s="401"/>
      <c r="H338" s="585"/>
      <c r="I338" s="585"/>
      <c r="J338" s="401"/>
      <c r="K338" s="401"/>
      <c r="N338" s="2134"/>
      <c r="O338" s="101"/>
      <c r="P338" s="101"/>
      <c r="Q338" s="101"/>
      <c r="R338" s="101"/>
      <c r="S338" s="101"/>
      <c r="T338" s="101"/>
      <c r="U338" s="101"/>
      <c r="V338" s="822"/>
      <c r="W338" s="127"/>
      <c r="X338" s="2080"/>
      <c r="Y338" s="2315"/>
      <c r="Z338" s="2316"/>
      <c r="AA338" s="2316"/>
      <c r="AB338" s="88"/>
      <c r="AC338" s="128"/>
      <c r="AD338" s="2317"/>
      <c r="AE338" s="2317"/>
      <c r="AF338" s="2317"/>
      <c r="AG338" s="2317"/>
      <c r="AH338" s="2317"/>
      <c r="AI338" s="2317"/>
      <c r="AJ338" s="2317"/>
      <c r="AK338" s="2317"/>
      <c r="AL338" s="2317"/>
      <c r="AM338" s="2317"/>
      <c r="AN338" s="2317"/>
      <c r="AO338" s="2317"/>
      <c r="AP338" s="2317"/>
      <c r="AQ338" s="2317"/>
      <c r="AR338" s="2317"/>
      <c r="AS338" s="2317"/>
      <c r="AT338" s="2317"/>
      <c r="AU338" s="2317"/>
      <c r="AV338" s="2317"/>
      <c r="AW338" s="2317"/>
      <c r="AX338" s="2317"/>
      <c r="AY338" s="2317"/>
      <c r="AZ338" s="2317"/>
      <c r="BA338" s="2317"/>
      <c r="BB338" s="2317"/>
      <c r="BC338" s="2317"/>
      <c r="BD338" s="2317"/>
      <c r="BE338" s="2317"/>
      <c r="BF338" s="2317"/>
      <c r="BG338" s="2317"/>
      <c r="BH338" s="2317"/>
      <c r="BI338" s="2317"/>
      <c r="BJ338" s="2317"/>
      <c r="BK338" s="2317"/>
      <c r="BL338" s="2317"/>
      <c r="BM338" s="2317"/>
      <c r="BN338" s="2317"/>
      <c r="BO338" s="2318"/>
      <c r="BP338" s="2318"/>
      <c r="BQ338" s="2318"/>
      <c r="BR338" s="2318"/>
      <c r="BS338" s="2318"/>
      <c r="BT338" s="2318"/>
      <c r="BU338" s="2318"/>
      <c r="BV338" s="2318"/>
      <c r="BW338" s="2318"/>
      <c r="BX338" s="2318"/>
      <c r="BY338" s="2318"/>
      <c r="BZ338" s="2318"/>
      <c r="CA338" s="88"/>
      <c r="CC338" s="383"/>
      <c r="CD338" s="2319"/>
      <c r="CE338" s="2319"/>
      <c r="CF338" s="88"/>
      <c r="CG338" s="2319"/>
      <c r="CH338" s="2319"/>
      <c r="CI338" s="88"/>
      <c r="CJ338" s="2319"/>
      <c r="CK338" s="2319"/>
      <c r="CL338" s="88"/>
      <c r="CM338" s="2320"/>
      <c r="CN338" s="2320"/>
      <c r="CO338" s="88"/>
      <c r="CP338" s="2320"/>
      <c r="CQ338" s="2320"/>
      <c r="CR338" s="88"/>
      <c r="CS338" s="2321"/>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row>
  </sheetData>
  <sheetProtection formatColumns="0" formatRows="0" autoFilter="0" pivotTables="0"/>
  <mergeCells count="87">
    <mergeCell ref="W231:W232"/>
    <mergeCell ref="Y231:Y232"/>
    <mergeCell ref="AB237:AB238"/>
    <mergeCell ref="Y171:Y172"/>
    <mergeCell ref="S204:T227"/>
    <mergeCell ref="W187:W188"/>
    <mergeCell ref="Y187:Y188"/>
    <mergeCell ref="W201:W202"/>
    <mergeCell ref="Y201:Y202"/>
    <mergeCell ref="W216:W217"/>
    <mergeCell ref="Y216:Y217"/>
    <mergeCell ref="W171:W172"/>
    <mergeCell ref="O4:Q4"/>
    <mergeCell ref="CP186:CQ186"/>
    <mergeCell ref="CP200:CQ200"/>
    <mergeCell ref="CP215:CQ215"/>
    <mergeCell ref="CM186:CN186"/>
    <mergeCell ref="CM200:CN200"/>
    <mergeCell ref="CM215:CN215"/>
    <mergeCell ref="CM170:CN170"/>
    <mergeCell ref="CP10:CQ10"/>
    <mergeCell ref="CP127:CQ127"/>
    <mergeCell ref="CP142:CQ142"/>
    <mergeCell ref="CP156:CQ156"/>
    <mergeCell ref="CP170:CQ170"/>
    <mergeCell ref="CM10:CN10"/>
    <mergeCell ref="CM156:CN156"/>
    <mergeCell ref="CM71:CN71"/>
    <mergeCell ref="CP71:CQ71"/>
    <mergeCell ref="C12:C14"/>
    <mergeCell ref="E12:E14"/>
    <mergeCell ref="J11:J15"/>
    <mergeCell ref="K11:K15"/>
    <mergeCell ref="F12:F14"/>
    <mergeCell ref="CD71:CE71"/>
    <mergeCell ref="CG71:CH71"/>
    <mergeCell ref="CJ71:CK71"/>
    <mergeCell ref="W17:W18"/>
    <mergeCell ref="Y17:Y18"/>
    <mergeCell ref="W43:W44"/>
    <mergeCell ref="X43:X44"/>
    <mergeCell ref="Y43:Y44"/>
    <mergeCell ref="CM127:CN127"/>
    <mergeCell ref="CD142:CE142"/>
    <mergeCell ref="CG142:CH142"/>
    <mergeCell ref="CJ142:CK142"/>
    <mergeCell ref="CM142:CN142"/>
    <mergeCell ref="CD127:CE127"/>
    <mergeCell ref="CG127:CH127"/>
    <mergeCell ref="CJ127:CK127"/>
    <mergeCell ref="CD200:CE200"/>
    <mergeCell ref="CG200:CH200"/>
    <mergeCell ref="CJ200:CK200"/>
    <mergeCell ref="CD215:CE215"/>
    <mergeCell ref="CG215:CH215"/>
    <mergeCell ref="CJ215:CK215"/>
    <mergeCell ref="CG186:CH186"/>
    <mergeCell ref="CJ186:CK186"/>
    <mergeCell ref="CD186:CE186"/>
    <mergeCell ref="Y4:Y5"/>
    <mergeCell ref="G128:G129"/>
    <mergeCell ref="CD156:CE156"/>
    <mergeCell ref="CG156:CH156"/>
    <mergeCell ref="CJ156:CK156"/>
    <mergeCell ref="CD170:CE170"/>
    <mergeCell ref="CG170:CH170"/>
    <mergeCell ref="CJ170:CK170"/>
    <mergeCell ref="S9:T10"/>
    <mergeCell ref="CD10:CE10"/>
    <mergeCell ref="CG10:CH10"/>
    <mergeCell ref="CJ10:CK10"/>
    <mergeCell ref="W72:W73"/>
    <mergeCell ref="G187:G188"/>
    <mergeCell ref="AB222:AB223"/>
    <mergeCell ref="Y72:Y73"/>
    <mergeCell ref="Y128:Y129"/>
    <mergeCell ref="Y143:Y144"/>
    <mergeCell ref="AB149:AB150"/>
    <mergeCell ref="AB163:AB164"/>
    <mergeCell ref="AB177:AB178"/>
    <mergeCell ref="AB193:AB194"/>
    <mergeCell ref="AB207:AB208"/>
    <mergeCell ref="W128:W129"/>
    <mergeCell ref="W143:W144"/>
    <mergeCell ref="W157:W158"/>
    <mergeCell ref="Y157:Y158"/>
    <mergeCell ref="W99:W100"/>
  </mergeCells>
  <conditionalFormatting sqref="A249:B249 D249:K249 A250:D255 F250:F251 H250:K251 F252:K255 A257:K258 A259:D264 D265:K265 A266:K267 A268:D273 A275:C282 D275:D283 A284:K285 A286:D291 A293:C300 D293:D301">
    <cfRule type="expression" priority="1832" dxfId="4220">
      <formula>$A249="L"</formula>
    </cfRule>
  </conditionalFormatting>
  <conditionalFormatting sqref="A265:B265">
    <cfRule type="expression" priority="191" dxfId="4220">
      <formula>$A265="L"</formula>
    </cfRule>
    <cfRule type="expression" priority="190" dxfId="4110">
      <formula>$A265="F"</formula>
    </cfRule>
  </conditionalFormatting>
  <conditionalFormatting sqref="A274:B274">
    <cfRule type="expression" priority="193" dxfId="4220">
      <formula>$A274="L"</formula>
    </cfRule>
    <cfRule type="expression" priority="192" dxfId="4110">
      <formula>$A274="F"</formula>
    </cfRule>
  </conditionalFormatting>
  <conditionalFormatting sqref="A283:B283">
    <cfRule type="expression" priority="195" dxfId="4220">
      <formula>$A283="L"</formula>
    </cfRule>
    <cfRule type="expression" priority="194" dxfId="4110">
      <formula>$A283="F"</formula>
    </cfRule>
  </conditionalFormatting>
  <conditionalFormatting sqref="A292:B292">
    <cfRule type="expression" priority="197" dxfId="4220">
      <formula>$A292="L"</formula>
    </cfRule>
    <cfRule type="expression" priority="196" dxfId="4110">
      <formula>$A292="F"</formula>
    </cfRule>
  </conditionalFormatting>
  <conditionalFormatting sqref="A301:B301">
    <cfRule type="expression" priority="199" dxfId="4220">
      <formula>$A301="L"</formula>
    </cfRule>
    <cfRule type="expression" priority="198" dxfId="4110">
      <formula>$A301="F"</formula>
    </cfRule>
  </conditionalFormatting>
  <conditionalFormatting sqref="A310:B310">
    <cfRule type="expression" priority="201" dxfId="4220">
      <formula>$A310="L"</formula>
    </cfRule>
    <cfRule type="expression" priority="200" dxfId="4110">
      <formula>$A310="F"</formula>
    </cfRule>
  </conditionalFormatting>
  <conditionalFormatting sqref="A319:B319">
    <cfRule type="expression" priority="203" dxfId="4220">
      <formula>$A319="L"</formula>
    </cfRule>
    <cfRule type="expression" priority="202" dxfId="4110">
      <formula>$A319="F"</formula>
    </cfRule>
  </conditionalFormatting>
  <conditionalFormatting sqref="A328:B328">
    <cfRule type="expression" priority="204" dxfId="4110">
      <formula>$A328="F"</formula>
    </cfRule>
    <cfRule type="expression" priority="205" dxfId="4220">
      <formula>$A328="L"</formula>
    </cfRule>
  </conditionalFormatting>
  <conditionalFormatting sqref="A337:B338">
    <cfRule type="expression" priority="161" dxfId="4110">
      <formula>$A337="F"</formula>
    </cfRule>
    <cfRule type="expression" priority="162" dxfId="4220">
      <formula>$A337="L"</formula>
    </cfRule>
  </conditionalFormatting>
  <conditionalFormatting sqref="A311:C318">
    <cfRule type="expression" priority="665" dxfId="4220">
      <formula>$A311="L"</formula>
    </cfRule>
    <cfRule type="expression" priority="664" dxfId="4110">
      <formula>$A311="F"</formula>
    </cfRule>
  </conditionalFormatting>
  <conditionalFormatting sqref="A329:C336 F331:K336 E337:K337">
    <cfRule type="expression" priority="367" dxfId="4220">
      <formula>$A329="L"</formula>
    </cfRule>
  </conditionalFormatting>
  <conditionalFormatting sqref="A243:D244 F243:K244">
    <cfRule type="expression" priority="2014" dxfId="4220">
      <formula>$A243="L"</formula>
    </cfRule>
    <cfRule type="expression" priority="2009" dxfId="4110">
      <formula>$A243="F"</formula>
    </cfRule>
  </conditionalFormatting>
  <conditionalFormatting sqref="A302:D309">
    <cfRule type="expression" priority="813" dxfId="4110">
      <formula>$A302="F"</formula>
    </cfRule>
  </conditionalFormatting>
  <conditionalFormatting sqref="A304:D309">
    <cfRule type="expression" priority="814" dxfId="4220">
      <formula>$A304="L"</formula>
    </cfRule>
  </conditionalFormatting>
  <conditionalFormatting sqref="A320:D327">
    <cfRule type="expression" priority="515" dxfId="4110">
      <formula>$A320="F"</formula>
    </cfRule>
  </conditionalFormatting>
  <conditionalFormatting sqref="A322:D327">
    <cfRule type="expression" priority="516" dxfId="4220">
      <formula>$A322="L"</formula>
    </cfRule>
  </conditionalFormatting>
  <conditionalFormatting sqref="A245:K245 A246:A247 D246:D248 K246:K247">
    <cfRule type="expression" priority="1838" dxfId="4220">
      <formula>$A245="L"</formula>
    </cfRule>
  </conditionalFormatting>
  <conditionalFormatting sqref="A245:K245 A246:A247 K246:K247">
    <cfRule type="expression" priority="1836" dxfId="4110">
      <formula>$A245="F"</formula>
    </cfRule>
  </conditionalFormatting>
  <conditionalFormatting sqref="A302:K303 A320:K321">
    <cfRule type="expression" priority="1716" dxfId="4220">
      <formula>$A302="L"</formula>
    </cfRule>
  </conditionalFormatting>
  <conditionalFormatting sqref="C188">
    <cfRule type="expression" priority="2174" dxfId="4110">
      <formula>$A188="F"</formula>
    </cfRule>
    <cfRule type="expression" priority="2175" dxfId="4220">
      <formula>$A188="L"</formula>
    </cfRule>
  </conditionalFormatting>
  <conditionalFormatting sqref="C202">
    <cfRule type="expression" priority="2172" dxfId="4110">
      <formula>$A202="F"</formula>
    </cfRule>
    <cfRule type="expression" priority="2173" dxfId="4220">
      <formula>$A202="L"</formula>
    </cfRule>
  </conditionalFormatting>
  <conditionalFormatting sqref="C217">
    <cfRule type="expression" priority="2170" dxfId="4110">
      <formula>$A217="F"</formula>
    </cfRule>
    <cfRule type="expression" priority="2171" dxfId="4220">
      <formula>$A217="L"</formula>
    </cfRule>
  </conditionalFormatting>
  <conditionalFormatting sqref="C232">
    <cfRule type="expression" priority="2018" dxfId="4220">
      <formula>$A232="L"</formula>
    </cfRule>
    <cfRule type="expression" priority="2017" dxfId="4110">
      <formula>$A232="F"</formula>
    </cfRule>
  </conditionalFormatting>
  <conditionalFormatting sqref="C338:D338">
    <cfRule type="expression" priority="1732" dxfId="4110">
      <formula>$A338="F"</formula>
    </cfRule>
  </conditionalFormatting>
  <conditionalFormatting sqref="C338:K338">
    <cfRule type="expression" priority="1733" dxfId="4220">
      <formula>$A338="L"</formula>
    </cfRule>
  </conditionalFormatting>
  <conditionalFormatting sqref="D246:D249 A249:B249 F249:K249 A250:D255 F250:F251 H250:K251 F252:K255 A257:D264 D265 A266:D273 A275:C282 D275:D283 A284:D291 A293:C300 D293:D301">
    <cfRule type="expression" priority="1831" dxfId="4110">
      <formula>$A246="F"</formula>
    </cfRule>
  </conditionalFormatting>
  <conditionalFormatting sqref="D311:D319">
    <cfRule type="expression" priority="4" dxfId="4220">
      <formula>$A311="L"</formula>
    </cfRule>
    <cfRule type="expression" priority="3" dxfId="4110">
      <formula>$A311="F"</formula>
    </cfRule>
  </conditionalFormatting>
  <conditionalFormatting sqref="D329:D337">
    <cfRule type="expression" priority="2" dxfId="4220">
      <formula>$A329="L"</formula>
    </cfRule>
    <cfRule type="expression" priority="1" dxfId="4110">
      <formula>$A329="F"</formula>
    </cfRule>
  </conditionalFormatting>
  <conditionalFormatting sqref="E243:E244">
    <cfRule type="expression" priority="1968" dxfId="4220">
      <formula>$A243="L"</formula>
    </cfRule>
    <cfRule type="expression" priority="1969" dxfId="4217">
      <formula>$A243="F"</formula>
    </cfRule>
  </conditionalFormatting>
  <conditionalFormatting sqref="E249:E255 E257:E338">
    <cfRule type="expression" priority="1825" dxfId="4217">
      <formula>$A249="F"</formula>
    </cfRule>
  </conditionalFormatting>
  <conditionalFormatting sqref="E250:E255">
    <cfRule type="expression" priority="1826" dxfId="4220">
      <formula>$A250="L"</formula>
    </cfRule>
  </conditionalFormatting>
  <conditionalFormatting sqref="E331:E336">
    <cfRule type="expression" priority="363" dxfId="4220">
      <formula>$A331="L"</formula>
    </cfRule>
  </conditionalFormatting>
  <conditionalFormatting sqref="E259:K264">
    <cfRule type="expression" priority="1535" dxfId="4220">
      <formula>$A259="L"</formula>
    </cfRule>
  </conditionalFormatting>
  <conditionalFormatting sqref="E268:K283">
    <cfRule type="expression" priority="1247" dxfId="4220">
      <formula>$A268="L"</formula>
    </cfRule>
  </conditionalFormatting>
  <conditionalFormatting sqref="E286:K301">
    <cfRule type="expression" priority="958" dxfId="4220">
      <formula>$A286="L"</formula>
    </cfRule>
  </conditionalFormatting>
  <conditionalFormatting sqref="E304:K319">
    <cfRule type="expression" priority="661" dxfId="4220">
      <formula>$A304="L"</formula>
    </cfRule>
  </conditionalFormatting>
  <conditionalFormatting sqref="E322:K330">
    <cfRule type="expression" priority="512" dxfId="4220">
      <formula>$A322="L"</formula>
    </cfRule>
  </conditionalFormatting>
  <conditionalFormatting sqref="F20:F49">
    <cfRule type="expression" priority="27891" dxfId="4199">
      <formula>fx_hasCX(F1048454)</formula>
    </cfRule>
  </conditionalFormatting>
  <conditionalFormatting sqref="F50:F53">
    <cfRule type="expression" priority="27946" dxfId="4199">
      <formula>fx_hasCX(F1048481)</formula>
    </cfRule>
  </conditionalFormatting>
  <conditionalFormatting sqref="F54:F66">
    <cfRule type="expression" priority="-31390" dxfId="4199">
      <formula>fx_hasCX(F1048484)</formula>
    </cfRule>
  </conditionalFormatting>
  <conditionalFormatting sqref="F67:F110">
    <cfRule type="expression" priority="28334" dxfId="4199">
      <formula>fx_hasCX(F1048493)</formula>
    </cfRule>
  </conditionalFormatting>
  <conditionalFormatting sqref="F111:F122">
    <cfRule type="expression" priority="-30999" dxfId="4199">
      <formula>fx_hasCX(F1048533)</formula>
    </cfRule>
  </conditionalFormatting>
  <conditionalFormatting sqref="F123:F136">
    <cfRule type="expression" priority="26008" dxfId="4199">
      <formula>fx_hasCX(F1048541)</formula>
    </cfRule>
  </conditionalFormatting>
  <conditionalFormatting sqref="F137">
    <cfRule type="expression" priority="26052" dxfId="4199">
      <formula>fx_hasCX(F1048554)</formula>
    </cfRule>
  </conditionalFormatting>
  <conditionalFormatting sqref="F139:F188">
    <cfRule type="expression" priority="14420" dxfId="4199">
      <formula>fx_hasCX(F1048550)</formula>
    </cfRule>
  </conditionalFormatting>
  <conditionalFormatting sqref="F189:F202">
    <cfRule type="expression" priority="14058" dxfId="4199">
      <formula>fx_hasCX(F3)</formula>
    </cfRule>
  </conditionalFormatting>
  <conditionalFormatting sqref="F203:F217">
    <cfRule type="expression" priority="13586" dxfId="4199">
      <formula>fx_hasCX(F2)</formula>
    </cfRule>
  </conditionalFormatting>
  <conditionalFormatting sqref="F218:F230 F233:F242">
    <cfRule type="expression" priority="13587" dxfId="4199">
      <formula>fx_hasCX(F2)</formula>
    </cfRule>
  </conditionalFormatting>
  <conditionalFormatting sqref="F231:F232">
    <cfRule type="expression" priority="2137" dxfId="4199">
      <formula>fx_hasCX(F17)</formula>
    </cfRule>
  </conditionalFormatting>
  <conditionalFormatting sqref="F256">
    <cfRule type="expression" priority="178" dxfId="4199">
      <formula>fx_hasCX(F40)</formula>
    </cfRule>
  </conditionalFormatting>
  <conditionalFormatting sqref="F257:K338 A329:C336">
    <cfRule type="expression" priority="366" dxfId="4110">
      <formula>$A257="F"</formula>
    </cfRule>
  </conditionalFormatting>
  <conditionalFormatting sqref="G250:G251 Z276:BZ281 Z282:AA283 AC282:BZ283">
    <cfRule type="expression" priority="207" dxfId="4039">
      <formula>AND($X250=0,ISNUMBER($X250))</formula>
    </cfRule>
  </conditionalFormatting>
  <conditionalFormatting sqref="W249:W338">
    <cfRule type="expression" priority="1835" dxfId="4194">
      <formula>IF($A$14,IF(CELL("protect",W249)=0,TRUE,FALSE))</formula>
    </cfRule>
  </conditionalFormatting>
  <conditionalFormatting sqref="W45:Y54 W57:Y66 AA58:CL66">
    <cfRule type="expression" priority="2166" dxfId="4192">
      <formula>IF($A$14,IF(CELL("protect",W45)=0,TRUE,FALSE))</formula>
    </cfRule>
  </conditionalFormatting>
  <conditionalFormatting sqref="W101:AB110">
    <cfRule type="expression" priority="133" dxfId="4192">
      <formula>IF($A$14,IF(CELL("protect",W101)=0,TRUE,FALSE))</formula>
    </cfRule>
  </conditionalFormatting>
  <conditionalFormatting sqref="W113:AB122">
    <cfRule type="expression" priority="132" dxfId="4192">
      <formula>IF($A$14,IF(CELL("protect",W113)=0,TRUE,FALSE))</formula>
    </cfRule>
  </conditionalFormatting>
  <conditionalFormatting sqref="W42:CQ44 Z45:AA45">
    <cfRule type="expression" priority="3055" dxfId="4192">
      <formula>IF($A$14,IF(CELL("protect",W42)=0,TRUE,FALSE))</formula>
    </cfRule>
  </conditionalFormatting>
  <conditionalFormatting sqref="W55:CQ56 Z57:CL57 Z58 W67:CQ75">
    <cfRule type="expression" priority="2401" dxfId="4192">
      <formula>IF($A$14,IF(CELL("protect",W55)=0,TRUE,FALSE))</formula>
    </cfRule>
  </conditionalFormatting>
  <conditionalFormatting sqref="W17:CQ19 W20:AC41 CA20:CQ41 W76:AC76 AE76:CL76 CM76:CQ97 W77:CL78 W79:AC79 CA79:CL79 W80:CL97 W98:CQ99 X100:CQ100 AC101:CQ110 W111:CQ112 AC113:CQ122 W123:CQ227">
    <cfRule type="expression" priority="3248" dxfId="4192">
      <formula>IF($A$14,IF(CELL("protect",W17)=0,TRUE,FALSE))</formula>
    </cfRule>
  </conditionalFormatting>
  <conditionalFormatting sqref="W231:CQ234">
    <cfRule type="expression" priority="93" dxfId="4192">
      <formula>IF($A$14,IF(CELL("protect",W231)=0,TRUE,FALSE))</formula>
    </cfRule>
  </conditionalFormatting>
  <conditionalFormatting sqref="W235:CQ242">
    <cfRule type="expression" priority="2102" dxfId="4192">
      <formula>IF($A$14,IF(CELL("protect",W235)=0,TRUE,FALSE))</formula>
    </cfRule>
  </conditionalFormatting>
  <conditionalFormatting sqref="W245:CQ245">
    <cfRule type="expression" priority="1827" dxfId="4194">
      <formula>IF($A$14,IF(CELL("protect",W245)=0,TRUE,FALSE))</formula>
    </cfRule>
  </conditionalFormatting>
  <conditionalFormatting sqref="X63">
    <cfRule type="expression" priority="1862" dxfId="4192">
      <formula>IF($A$14,IF(CELL("protect",X63)=0,TRUE,FALSE))</formula>
    </cfRule>
  </conditionalFormatting>
  <conditionalFormatting sqref="X250:X257 X259:X266 X268:X275 X277:X284 X286:X293 X295:X302 X304:X311 X313:X320 X322:X329 X331:X338">
    <cfRule type="expression" priority="1849" dxfId="4191">
      <formula>INDEX($H$1:$H$399,ROW($X250))=2</formula>
    </cfRule>
    <cfRule type="expression" priority="1848" dxfId="4194">
      <formula>IF($A$14,IF(CELL("protect",X250)=0,TRUE,FALSE))</formula>
    </cfRule>
  </conditionalFormatting>
  <conditionalFormatting sqref="X249:Y249">
    <cfRule type="expression" priority="144" dxfId="4039">
      <formula>AND($X249=0,ISNUMBER($X249))</formula>
    </cfRule>
  </conditionalFormatting>
  <conditionalFormatting sqref="X258:Y258">
    <cfRule type="expression" priority="146" dxfId="4039">
      <formula>AND($X258=0,ISNUMBER($X258))</formula>
    </cfRule>
  </conditionalFormatting>
  <conditionalFormatting sqref="X267:Y267">
    <cfRule type="expression" priority="148" dxfId="4039">
      <formula>AND($X267=0,ISNUMBER($X267))</formula>
    </cfRule>
  </conditionalFormatting>
  <conditionalFormatting sqref="X276:Y276">
    <cfRule type="expression" priority="150" dxfId="4039">
      <formula>AND($X276=0,ISNUMBER($X276))</formula>
    </cfRule>
  </conditionalFormatting>
  <conditionalFormatting sqref="X285:Y285">
    <cfRule type="expression" priority="152" dxfId="4039">
      <formula>AND($X285=0,ISNUMBER($X285))</formula>
    </cfRule>
  </conditionalFormatting>
  <conditionalFormatting sqref="X294:Y294">
    <cfRule type="expression" priority="154" dxfId="4039">
      <formula>AND($X294=0,ISNUMBER($X294))</formula>
    </cfRule>
  </conditionalFormatting>
  <conditionalFormatting sqref="X303:Y303">
    <cfRule type="expression" priority="156" dxfId="4039">
      <formula>AND($X303=0,ISNUMBER($X303))</formula>
    </cfRule>
  </conditionalFormatting>
  <conditionalFormatting sqref="X312:Y312">
    <cfRule type="expression" priority="158" dxfId="4039">
      <formula>AND($X312=0,ISNUMBER($X312))</formula>
    </cfRule>
  </conditionalFormatting>
  <conditionalFormatting sqref="X321:Y321">
    <cfRule type="expression" priority="160" dxfId="4039">
      <formula>AND($X321=0,ISNUMBER($X321))</formula>
    </cfRule>
  </conditionalFormatting>
  <conditionalFormatting sqref="X330:Y330">
    <cfRule type="expression" priority="1652" dxfId="4039">
      <formula>AND($X330=0,ISNUMBER($X330))</formula>
    </cfRule>
  </conditionalFormatting>
  <conditionalFormatting sqref="Y132">
    <cfRule type="expression" priority="3546" dxfId="1501">
      <formula>_xlfn.ISFORMULA(Y132)</formula>
    </cfRule>
  </conditionalFormatting>
  <conditionalFormatting sqref="Y147">
    <cfRule type="expression" priority="2418" dxfId="1501">
      <formula>_xlfn.ISFORMULA(Y147)</formula>
    </cfRule>
    <cfRule type="expression" priority="3507" dxfId="1501">
      <formula>_xlfn.ISFORMULA(Y147)</formula>
    </cfRule>
  </conditionalFormatting>
  <conditionalFormatting sqref="Y154">
    <cfRule type="expression" priority="3545" dxfId="1501">
      <formula>_xlfn.ISFORMULA(Y154)</formula>
    </cfRule>
    <cfRule type="expression" priority="2406" dxfId="1501">
      <formula>_xlfn.ISFORMULA(Y154)</formula>
    </cfRule>
  </conditionalFormatting>
  <conditionalFormatting sqref="Y161">
    <cfRule type="expression" priority="3509" dxfId="1501">
      <formula>_xlfn.ISFORMULA(Y161)</formula>
    </cfRule>
    <cfRule type="expression" priority="2417" dxfId="1501">
      <formula>_xlfn.ISFORMULA(Y161)</formula>
    </cfRule>
  </conditionalFormatting>
  <conditionalFormatting sqref="Y168">
    <cfRule type="expression" priority="2414" dxfId="1501">
      <formula>_xlfn.ISFORMULA(Y168)</formula>
    </cfRule>
    <cfRule type="expression" priority="3499" dxfId="1501">
      <formula>_xlfn.ISFORMULA(Y168)</formula>
    </cfRule>
  </conditionalFormatting>
  <conditionalFormatting sqref="Y175">
    <cfRule type="expression" priority="3508" dxfId="1501">
      <formula>_xlfn.ISFORMULA(Y175)</formula>
    </cfRule>
    <cfRule type="expression" priority="2411" dxfId="1501">
      <formula>_xlfn.ISFORMULA(Y175)</formula>
    </cfRule>
  </conditionalFormatting>
  <conditionalFormatting sqref="Y182">
    <cfRule type="expression" priority="3496" dxfId="1501">
      <formula>_xlfn.ISFORMULA(Y182)</formula>
    </cfRule>
    <cfRule type="expression" priority="2408" dxfId="1501">
      <formula>_xlfn.ISFORMULA(Y182)</formula>
    </cfRule>
  </conditionalFormatting>
  <conditionalFormatting sqref="Y191">
    <cfRule type="expression" priority="3495" dxfId="1501">
      <formula>_xlfn.ISFORMULA(Y191)</formula>
    </cfRule>
    <cfRule type="expression" priority="3084" dxfId="1501">
      <formula>_xlfn.ISFORMULA(Y191)</formula>
    </cfRule>
  </conditionalFormatting>
  <conditionalFormatting sqref="Y198">
    <cfRule type="expression" priority="3548" dxfId="1486">
      <formula>_xlfn.ISFORMULA(Y198)</formula>
    </cfRule>
  </conditionalFormatting>
  <conditionalFormatting sqref="Y205">
    <cfRule type="expression" priority="3505" dxfId="1501">
      <formula>_xlfn.ISFORMULA(Y205)</formula>
    </cfRule>
    <cfRule type="expression" priority="2141" dxfId="1501">
      <formula>_xlfn.ISFORMULA(Y205)</formula>
    </cfRule>
  </conditionalFormatting>
  <conditionalFormatting sqref="Y220">
    <cfRule type="expression" priority="2139" dxfId="1501">
      <formula>_xlfn.ISFORMULA(Y220)</formula>
    </cfRule>
    <cfRule type="expression" priority="3504" dxfId="1501">
      <formula>_xlfn.ISFORMULA(Y220)</formula>
    </cfRule>
  </conditionalFormatting>
  <conditionalFormatting sqref="Y235">
    <cfRule type="expression" priority="2016" dxfId="1501">
      <formula>_xlfn.ISFORMULA(Y235)</formula>
    </cfRule>
    <cfRule type="expression" priority="2126" dxfId="1501">
      <formula>_xlfn.ISFORMULA(Y235)</formula>
    </cfRule>
  </conditionalFormatting>
  <conditionalFormatting sqref="Y250:Y256">
    <cfRule type="expression" priority="143" dxfId="4039">
      <formula>AND($X250=0,ISNUMBER($X250))</formula>
    </cfRule>
  </conditionalFormatting>
  <conditionalFormatting sqref="Y259:Y265">
    <cfRule type="expression" priority="145" dxfId="4039">
      <formula>AND($X259=0,ISNUMBER($X259))</formula>
    </cfRule>
  </conditionalFormatting>
  <conditionalFormatting sqref="Y268:Y274">
    <cfRule type="expression" priority="147" dxfId="4039">
      <formula>AND($X268=0,ISNUMBER($X268))</formula>
    </cfRule>
  </conditionalFormatting>
  <conditionalFormatting sqref="Y277:Y283">
    <cfRule type="expression" priority="149" dxfId="4039">
      <formula>AND($X277=0,ISNUMBER($X277))</formula>
    </cfRule>
  </conditionalFormatting>
  <conditionalFormatting sqref="Y286:Y292">
    <cfRule type="expression" priority="151" dxfId="4039">
      <formula>AND($X286=0,ISNUMBER($X286))</formula>
    </cfRule>
  </conditionalFormatting>
  <conditionalFormatting sqref="Y295:Y301">
    <cfRule type="expression" priority="153" dxfId="4039">
      <formula>AND($X295=0,ISNUMBER($X295))</formula>
    </cfRule>
  </conditionalFormatting>
  <conditionalFormatting sqref="Y304:Y310">
    <cfRule type="expression" priority="155" dxfId="4039">
      <formula>AND($X304=0,ISNUMBER($X304))</formula>
    </cfRule>
  </conditionalFormatting>
  <conditionalFormatting sqref="Y313:Y319">
    <cfRule type="expression" priority="157" dxfId="4039">
      <formula>AND($X313=0,ISNUMBER($X313))</formula>
    </cfRule>
  </conditionalFormatting>
  <conditionalFormatting sqref="Y322:Y328">
    <cfRule type="expression" priority="159" dxfId="4039">
      <formula>AND($X322=0,ISNUMBER($X322))</formula>
    </cfRule>
  </conditionalFormatting>
  <conditionalFormatting sqref="Y331:AC336 Y337:BZ338">
    <cfRule type="expression" priority="362" dxfId="4039">
      <formula>AND($X331=0,ISNUMBER($X331))</formula>
    </cfRule>
  </conditionalFormatting>
  <conditionalFormatting sqref="Y302:BZ302">
    <cfRule type="expression" priority="1730" dxfId="4039">
      <formula>AND($X302=0,ISNUMBER($X302))</formula>
    </cfRule>
  </conditionalFormatting>
  <conditionalFormatting sqref="Z46:Z54">
    <cfRule type="expression" priority="2366" dxfId="4194">
      <formula>IF($A$14,IF(CELL("protect",Z46)=0,TRUE,FALSE))</formula>
    </cfRule>
  </conditionalFormatting>
  <conditionalFormatting sqref="Z59:Z66">
    <cfRule type="expression" priority="1864" dxfId="4194">
      <formula>IF($A$14,IF(CELL("protect",Z59)=0,TRUE,FALSE))</formula>
    </cfRule>
  </conditionalFormatting>
  <conditionalFormatting sqref="Z101:Z110">
    <cfRule type="expression" priority="124" dxfId="4194">
      <formula>IF($A$14,IF(CELL("protect",Z101)=0,TRUE,FALSE))</formula>
    </cfRule>
  </conditionalFormatting>
  <conditionalFormatting sqref="Z113:Z123">
    <cfRule type="expression" priority="123" dxfId="4192">
      <formula>IF($A$14,IF(CELL("protect",Z113)=0,TRUE,FALSE))</formula>
    </cfRule>
    <cfRule type="expression" priority="121" dxfId="4194">
      <formula>IF($A$14,IF(CELL("protect",Z113)=0,TRUE,FALSE))</formula>
    </cfRule>
  </conditionalFormatting>
  <conditionalFormatting sqref="Z250:Z255">
    <cfRule type="expression" priority="1818" dxfId="4194">
      <formula>IF($A$14,IF(CELL("protect",Z250)=0,TRUE,FALSE))</formula>
    </cfRule>
  </conditionalFormatting>
  <conditionalFormatting sqref="Z259:Z264">
    <cfRule type="expression" priority="1533" dxfId="4194">
      <formula>IF($A$14,IF(CELL("protect",Z259)=0,TRUE,FALSE))</formula>
    </cfRule>
  </conditionalFormatting>
  <conditionalFormatting sqref="Z268:Z273">
    <cfRule type="expression" priority="1389" dxfId="4194">
      <formula>IF($A$14,IF(CELL("protect",Z268)=0,TRUE,FALSE))</formula>
    </cfRule>
  </conditionalFormatting>
  <conditionalFormatting sqref="Z277:Z282">
    <cfRule type="expression" priority="1245" dxfId="4194">
      <formula>IF($A$14,IF(CELL("protect",Z277)=0,TRUE,FALSE))</formula>
    </cfRule>
  </conditionalFormatting>
  <conditionalFormatting sqref="Z286:Z291">
    <cfRule type="expression" priority="1101" dxfId="4194">
      <formula>IF($A$14,IF(CELL("protect",Z286)=0,TRUE,FALSE))</formula>
    </cfRule>
  </conditionalFormatting>
  <conditionalFormatting sqref="Z295:Z300">
    <cfRule type="expression" priority="956" dxfId="4194">
      <formula>IF($A$14,IF(CELL("protect",Z295)=0,TRUE,FALSE))</formula>
    </cfRule>
  </conditionalFormatting>
  <conditionalFormatting sqref="Z304:Z309">
    <cfRule type="expression" priority="807" dxfId="4194">
      <formula>IF($A$14,IF(CELL("protect",Z304)=0,TRUE,FALSE))</formula>
    </cfRule>
  </conditionalFormatting>
  <conditionalFormatting sqref="Z313:Z318">
    <cfRule type="expression" priority="658" dxfId="4194">
      <formula>IF($A$14,IF(CELL("protect",Z313)=0,TRUE,FALSE))</formula>
    </cfRule>
  </conditionalFormatting>
  <conditionalFormatting sqref="Z322:Z327">
    <cfRule type="expression" priority="509" dxfId="4194">
      <formula>IF($A$14,IF(CELL("protect",Z322)=0,TRUE,FALSE))</formula>
    </cfRule>
  </conditionalFormatting>
  <conditionalFormatting sqref="Z331:Z336">
    <cfRule type="expression" priority="360" dxfId="4194">
      <formula>IF($A$14,IF(CELL("protect",Z331)=0,TRUE,FALSE))</formula>
    </cfRule>
  </conditionalFormatting>
  <conditionalFormatting sqref="Z250:AA255 Z257:AA257 Z259:AA266 Z268:AA275 Z277:AA284 Z286:AA293 Z295:AA301">
    <cfRule type="expression" priority="1830" dxfId="4194">
      <formula>IF($A$14,IF(CELL("protect",Z250)=0,TRUE,FALSE))</formula>
    </cfRule>
  </conditionalFormatting>
  <conditionalFormatting sqref="Z302:AA302">
    <cfRule type="expression" priority="1731" dxfId="4194">
      <formula>IF($A$14,IF(CELL("protect",Z302)=0,TRUE,FALSE))</formula>
    </cfRule>
  </conditionalFormatting>
  <conditionalFormatting sqref="Z304:AA311">
    <cfRule type="expression" priority="812" dxfId="4194">
      <formula>IF($A$14,IF(CELL("protect",Z304)=0,TRUE,FALSE))</formula>
    </cfRule>
  </conditionalFormatting>
  <conditionalFormatting sqref="Z313:AA320">
    <cfRule type="expression" priority="663" dxfId="4194">
      <formula>IF($A$14,IF(CELL("protect",Z313)=0,TRUE,FALSE))</formula>
    </cfRule>
  </conditionalFormatting>
  <conditionalFormatting sqref="Z322:AA329">
    <cfRule type="expression" priority="514" dxfId="4194">
      <formula>IF($A$14,IF(CELL("protect",Z322)=0,TRUE,FALSE))</formula>
    </cfRule>
  </conditionalFormatting>
  <conditionalFormatting sqref="Z331:AA338">
    <cfRule type="expression" priority="365" dxfId="4194">
      <formula>IF($A$14,IF(CELL("protect",Z331)=0,TRUE,FALSE))</formula>
    </cfRule>
  </conditionalFormatting>
  <conditionalFormatting sqref="Z304:AC309 Z310:BZ310 Y311:BZ311">
    <cfRule type="expression" priority="809" dxfId="4039">
      <formula>AND($X304=0,ISNUMBER($X304))</formula>
    </cfRule>
  </conditionalFormatting>
  <conditionalFormatting sqref="Z313:AC318 Z319:BZ319 Y320:BZ320">
    <cfRule type="expression" priority="660" dxfId="4039">
      <formula>AND($X313=0,ISNUMBER($X313))</formula>
    </cfRule>
  </conditionalFormatting>
  <conditionalFormatting sqref="Z322:AC327 Z328:BZ328 Y329:BZ329">
    <cfRule type="expression" priority="511" dxfId="4039">
      <formula>AND($X322=0,ISNUMBER($X322))</formula>
    </cfRule>
  </conditionalFormatting>
  <conditionalFormatting sqref="X245:BZ245 CD245:CE248 CG245:CH248 CJ245:CK248 Z249:BZ249 Z250:AA255 CG250:CH255 CJ250:CK255 CM250:CN255 CP250:CQ255 Z257:AA257 CG257:CH257 CJ257:CK257 Z258:BZ258 Z259:AA266 CG259:CH264 CJ259:CK264 CM259:CN264 CP259:CQ264 CG266:CH266 CJ266:CK266 Z267:BZ267 Z268:AA275 CG268:CH273 CJ268:CK273 CM268:CN273 CP268:CQ273 CG275:CH275 CJ275:CK275 Z276:BZ276 Z277:AA284 CG277:CH282 CJ277:CK282 CM277:CN282 CP277:CQ282 CG284:CH284 CJ284:CK284 Z285:BZ285 Z286:AA293 CG286:CH291 CJ286:CK291 CM286:CN291 CP286:CQ291 CG293:CH293 CJ293:CK293 Z294:BZ294 Z295:AA302 CG295:CH300 CJ295:CK300 CM295:CN300 CP295:CQ300 CG302:CH302 CJ302:CK302 Z303:BZ303 Z304:AA311 CG304:CH309 CJ304:CK309 CM304:CN309 CP304:CQ309 CG311:CH311 CJ311:CK311 Z312:BZ312 Z313:AA320 CG313:CH318 CJ313:CK318 CM313:CN318 CP313:CQ318 CG320:CH320 CJ320:CK320 Z321:BZ321 Z322:AA329 CG322:CH327 CJ322:CK327 CM322:CN327 CP322:CQ327 CG329:CH329 CJ329:CK329 Z330:BZ330 Z331:AA338 CG331:CH336 CJ331:CK336 CM331:CN336 CP331:CQ336 CG338:CH338 CJ338:CK338">
    <cfRule type="expression" priority="1854" dxfId="4191">
      <formula>INDEX($H$1:$H$399,ROW($X245))=2</formula>
    </cfRule>
  </conditionalFormatting>
  <conditionalFormatting sqref="Z249:BZ255 Y257:AC257 AD257:BZ258 Z258:AC258 Z259:BZ265 Y266:BZ266 Z267:BZ274 Y275:BZ275 Y284:BZ284 Z285:BZ292 Y293:BZ293 Z294:BZ301">
    <cfRule type="expression" priority="1824" dxfId="4039">
      <formula>AND($X249=0,ISNUMBER($X249))</formula>
    </cfRule>
  </conditionalFormatting>
  <conditionalFormatting sqref="Z256:BZ256 CD256:CE256 CG256:CH256 CJ256:CK256">
    <cfRule type="expression" priority="185" dxfId="4191">
      <formula>INDEX($H$1:$H$349,ROW($X256))=2</formula>
    </cfRule>
  </conditionalFormatting>
  <conditionalFormatting sqref="Z303:BZ303 Z312:BZ312 Z321:BZ321 Z330:BZ330">
    <cfRule type="expression" priority="1712" dxfId="4039">
      <formula>AND($X303=0,ISNUMBER($X303))</formula>
    </cfRule>
  </conditionalFormatting>
  <conditionalFormatting sqref="CD246:CQ247 Z249:CL249">
    <cfRule type="expression" priority="1833" dxfId="4194">
      <formula>IF($A$14,IF(CELL("protect",Z246)=0,TRUE,FALSE))</formula>
    </cfRule>
  </conditionalFormatting>
  <conditionalFormatting sqref="Z258:CO258">
    <cfRule type="expression" priority="1791" dxfId="4194">
      <formula>IF($A$14,IF(CELL("protect",Z258)=0,TRUE,FALSE))</formula>
    </cfRule>
  </conditionalFormatting>
  <conditionalFormatting sqref="Z267:CO267">
    <cfRule type="expression" priority="1784" dxfId="4194">
      <formula>IF($A$14,IF(CELL("protect",Z267)=0,TRUE,FALSE))</formula>
    </cfRule>
  </conditionalFormatting>
  <conditionalFormatting sqref="Z276:CO276">
    <cfRule type="expression" priority="1768" dxfId="4194">
      <formula>IF($A$14,IF(CELL("protect",Z276)=0,TRUE,FALSE))</formula>
    </cfRule>
  </conditionalFormatting>
  <conditionalFormatting sqref="Z285:CO285">
    <cfRule type="expression" priority="1752" dxfId="4194">
      <formula>IF($A$14,IF(CELL("protect",Z285)=0,TRUE,FALSE))</formula>
    </cfRule>
  </conditionalFormatting>
  <conditionalFormatting sqref="Z294:CO294">
    <cfRule type="expression" priority="1735" dxfId="4194">
      <formula>IF($A$14,IF(CELL("protect",Z294)=0,TRUE,FALSE))</formula>
    </cfRule>
  </conditionalFormatting>
  <conditionalFormatting sqref="Z303:CO303">
    <cfRule type="expression" priority="1705" dxfId="4194">
      <formula>IF($A$14,IF(CELL("protect",Z303)=0,TRUE,FALSE))</formula>
    </cfRule>
  </conditionalFormatting>
  <conditionalFormatting sqref="Z312:CO312">
    <cfRule type="expression" priority="1689" dxfId="4194">
      <formula>IF($A$14,IF(CELL("protect",Z312)=0,TRUE,FALSE))</formula>
    </cfRule>
  </conditionalFormatting>
  <conditionalFormatting sqref="Z321:CO321">
    <cfRule type="expression" priority="1673" dxfId="4194">
      <formula>IF($A$14,IF(CELL("protect",Z321)=0,TRUE,FALSE))</formula>
    </cfRule>
  </conditionalFormatting>
  <conditionalFormatting sqref="Z330:CO330">
    <cfRule type="expression" priority="1656" dxfId="4194">
      <formula>IF($A$14,IF(CELL("protect",Z330)=0,TRUE,FALSE))</formula>
    </cfRule>
  </conditionalFormatting>
  <conditionalFormatting sqref="Z256:CQ256">
    <cfRule type="expression" priority="173" dxfId="4192">
      <formula>IF($A$14,IF(CELL("protect",Z256)=0,TRUE,FALSE))</formula>
    </cfRule>
  </conditionalFormatting>
  <conditionalFormatting sqref="AA46:AA54">
    <cfRule type="expression" priority="208" dxfId="4192">
      <formula>IF($A$14,IF(CELL("protect",AA46)=0,TRUE,FALSE))</formula>
    </cfRule>
  </conditionalFormatting>
  <conditionalFormatting sqref="AB282">
    <cfRule type="expression" priority="-30554" dxfId="4039">
      <formula>AND($X283=0,ISNUMBER($X283))</formula>
    </cfRule>
  </conditionalFormatting>
  <conditionalFormatting sqref="AB45:CQ54">
    <cfRule type="expression" priority="141" dxfId="4192">
      <formula>IF($A$14,IF(CELL("protect",AB45)=0,TRUE,FALSE))</formula>
    </cfRule>
  </conditionalFormatting>
  <conditionalFormatting sqref="AD221:AD226 AD236:AD241">
    <cfRule type="expression" priority="-30609" dxfId="4191">
      <formula>INDEX($H$1:$H$349,ROW($X206))=2</formula>
    </cfRule>
  </conditionalFormatting>
  <conditionalFormatting sqref="AD331:AD336">
    <cfRule type="expression" priority="163" dxfId="1425">
      <formula>AND($X331=0,ISNUMBER($X331))</formula>
    </cfRule>
  </conditionalFormatting>
  <conditionalFormatting sqref="AD102:BN109 AD113:BZ114 AD115:BN122 AD133:BZ137 AD150:BZ153 AD164:BZ167 AD178:BZ181 AD192:BZ197">
    <cfRule type="expression" priority="1880" dxfId="4182">
      <formula>_xlfn.SWITCH(INDEX($X$1:$X$349,ROW(AD102)),-1,SIGN(AD102)&gt;0,1,SIGN(AD102)&lt;0)</formula>
    </cfRule>
    <cfRule type="expression" priority="1881" dxfId="4191">
      <formula>INDEX($H$1:$H$349,ROW(AD102))=2</formula>
    </cfRule>
    <cfRule type="expression" priority="1879" dxfId="4187">
      <formula>INDEX($I$1:$I$349,ROW(AD102))=1</formula>
    </cfRule>
    <cfRule type="expression" priority="1878" dxfId="4185">
      <formula>INDEX($I$1:$I$349,ROW(AD102))=2</formula>
    </cfRule>
  </conditionalFormatting>
  <conditionalFormatting sqref="AD102:BN109 AD113:BZ114 AD115:BN122 AD133:BZ137 AD150:BZ153 AD164:BZ167 AD178:BZ181 AD192:BZ197">
    <cfRule type="expression" priority="1877" dxfId="4186">
      <formula>INDEX($I$1:$I$349,ROW(AD102))=3</formula>
    </cfRule>
    <cfRule type="expression" priority="1876" dxfId="4192">
      <formula>IF($A$14,IF(CELL("protect",AD102)=0,TRUE,FALSE))</formula>
    </cfRule>
  </conditionalFormatting>
  <conditionalFormatting sqref="AD119:BN119">
    <cfRule type="expression" priority="1856" dxfId="4192">
      <formula>IF($A$14,IF(CELL("protect",AD119)=0,TRUE,FALSE))</formula>
    </cfRule>
    <cfRule type="expression" priority="1857" dxfId="4186">
      <formula>INDEX($I$1:$I$349,ROW(AD119))=3</formula>
    </cfRule>
    <cfRule type="expression" priority="1858" dxfId="4185">
      <formula>INDEX($I$1:$I$349,ROW(AD119))=2</formula>
    </cfRule>
    <cfRule type="expression" priority="1859" dxfId="4187">
      <formula>INDEX($I$1:$I$349,ROW(AD119))=1</formula>
    </cfRule>
    <cfRule type="expression" priority="1860" dxfId="4182">
      <formula>_xlfn.SWITCH(INDEX($X$1:$X$349,ROW(AD119)),-1,SIGN(AD119)&gt;0,1,SIGN(AD119)&lt;0)</formula>
    </cfRule>
    <cfRule type="expression" priority="1861" dxfId="4191">
      <formula>INDEX($H$1:$H$349,ROW(AD119))=2</formula>
    </cfRule>
  </conditionalFormatting>
  <conditionalFormatting sqref="AD11:BZ11 AD74:BZ74 AD130:BZ130 AD145:BZ145 AD159:BZ159 AD173:BZ173 AD189:BZ189 AD203:BZ203 AD218:BZ218">
    <cfRule type="expression" priority="3530" dxfId="4189">
      <formula>AD$15=1</formula>
    </cfRule>
  </conditionalFormatting>
  <conditionalFormatting sqref="CD10:CE11 CG10:CH11 CJ10:CN11 CP11:CQ11 AD19:BZ227 CD19:CE227 CG19:CH227 CJ19:CN227 CP19:CQ227 AD231:BZ242 CD231:CE242 CG231:CH242 CJ231:CN242 CP231:CQ242">
    <cfRule type="expression" priority="22620" dxfId="4186">
      <formula>INDEX($I$1:$I$349,ROW(AD10))=3</formula>
    </cfRule>
  </conditionalFormatting>
  <conditionalFormatting sqref="AD20:BZ22 AD24:BZ41 AD206:BZ211 CM206:CN211 CP206:CQ211 AD221:BZ226 CM221:CN226 AD236:BZ241 CM236:CN241">
    <cfRule type="expression" priority="22763" dxfId="4182">
      <formula>_xlfn.SWITCH(INDEX($X$1:$X$349,ROW(AD20)),-1,SIGN(AD20)&gt;0,1,SIGN(AD20)&lt;0)</formula>
    </cfRule>
  </conditionalFormatting>
  <conditionalFormatting sqref="AD20:BZ22 AD24:BZ41">
    <cfRule type="expression" priority="3072" dxfId="4192">
      <formula>IF($A$14,IF(CELL("protect",AD20)=0,TRUE,FALSE))</formula>
    </cfRule>
  </conditionalFormatting>
  <conditionalFormatting sqref="AD23:BZ23 AD79:BZ79">
    <cfRule type="expression" priority="31231" dxfId="4194">
      <formula>IF($A$14,IF(CELL("protect",AD23)=0,TRUE,FALSE))</formula>
    </cfRule>
    <cfRule type="expression" priority="31232" dxfId="4191">
      <formula>INDEX($H$1:$H$349,ROW($X23))=2</formula>
    </cfRule>
  </conditionalFormatting>
  <conditionalFormatting sqref="AD45:BZ54">
    <cfRule type="expression" priority="31235" dxfId="4187">
      <formula>INDEX($I$1:$I$349,ROW(AD45))=1</formula>
    </cfRule>
    <cfRule type="expression" priority="31236" dxfId="4182">
      <formula>_xlfn.SWITCH(INDEX($X$1:$X$349,ROW(AD45)),-1,SIGN(AD45)&gt;0,1,SIGN(AD45)&lt;0)</formula>
    </cfRule>
    <cfRule type="expression" priority="31237" dxfId="4191">
      <formula>INDEX($H$1:$H$349,ROW(AD45))=2</formula>
    </cfRule>
  </conditionalFormatting>
  <conditionalFormatting sqref="AD57:BZ66">
    <cfRule type="expression" priority="22691" dxfId="4192">
      <formula>IF($A$14,IF(CELL("protect",AD57)=0,TRUE,FALSE))</formula>
    </cfRule>
    <cfRule type="expression" priority="22699" dxfId="4182">
      <formula>_xlfn.SWITCH(INDEX($X$1:$X$349,ROW(AD57)),-1,SIGN(AD57)&gt;0,1,SIGN(AD57)&lt;0)</formula>
    </cfRule>
    <cfRule type="expression" priority="22693" dxfId="4187">
      <formula>INDEX($I$1:$I$349,ROW(AD57))=1</formula>
    </cfRule>
    <cfRule type="expression" priority="22694" dxfId="4182">
      <formula>_xlfn.SWITCH(INDEX($X$1:$X$349,ROW(AD57)),-1,SIGN(AD57)&gt;0,1,SIGN(AD57)&lt;0)</formula>
    </cfRule>
    <cfRule type="expression" priority="22695" dxfId="4191">
      <formula>INDEX($H$1:$H$349,ROW(AD57))=2</formula>
    </cfRule>
    <cfRule type="expression" priority="22696" dxfId="4192">
      <formula>IF($A$14,IF(CELL("protect",AD57)=0,TRUE,FALSE))</formula>
    </cfRule>
    <cfRule type="expression" priority="22697" dxfId="4185">
      <formula>INDEX($I$1:$I$349,ROW(AD57))=2</formula>
    </cfRule>
    <cfRule type="expression" priority="22698" dxfId="4187">
      <formula>INDEX($I$1:$I$349,ROW(AD57))=1</formula>
    </cfRule>
    <cfRule type="expression" priority="22700" dxfId="4191">
      <formula>INDEX($H$1:$H$349,ROW(AD57))=2</formula>
    </cfRule>
  </conditionalFormatting>
  <conditionalFormatting sqref="AD76:BZ78 AD80:BZ97">
    <cfRule type="expression" priority="22704" dxfId="4191">
      <formula>INDEX($H$1:$H$349,ROW(AD76))=2</formula>
    </cfRule>
    <cfRule type="expression" priority="22702" dxfId="4187">
      <formula>INDEX($I$1:$I$349,ROW(AD76))=1</formula>
    </cfRule>
    <cfRule type="expression" priority="22701" dxfId="4192">
      <formula>IF($A$14,IF(CELL("protect",AD76)=0,TRUE,FALSE))</formula>
    </cfRule>
    <cfRule type="expression" priority="22703" dxfId="4182">
      <formula>_xlfn.SWITCH(INDEX($X$1:$X$349,ROW(AD76)),-1,SIGN(AD76)&gt;0,1,SIGN(AD76)&lt;0)</formula>
    </cfRule>
  </conditionalFormatting>
  <conditionalFormatting sqref="CD10:CE11 CG10:CH11 CJ10:CN11 CP11:CQ11 AD19:BZ19 CD19:CE227 CG19:CH227 CJ19:CN227 CP19:CQ227 AD23:BZ23 AD42:BZ44 AD46:BZ75 AE76:BZ76 AD77:BZ227 AD231:BZ242 CD231:CE242 CG231:CH242 CJ231:CN242 CP231:CQ242">
    <cfRule type="expression" priority="22782" dxfId="4166">
      <formula>INDEX($I$1:$I$349,ROW(AD10))=1</formula>
    </cfRule>
  </conditionalFormatting>
  <conditionalFormatting sqref="CD10:CE11 CG10:CH11 CJ10:CN11 CP10:CQ11 AD19:BZ19 CD19:CE227 CG19:CH227 CJ19:CN205 CP19:CQ205 AD23:BZ23 AD42:BZ44 AD46:BZ75 AE76:BZ76 AD77:BZ227 CJ206:CL211 CJ212:CN227 CP212:CQ227 AD231:BZ242 CD231:CE242 CG231:CH242 CJ231:CN242 CP231:CQ242">
    <cfRule type="expression" priority="22644" dxfId="4165">
      <formula>_xlfn.SWITCH(INDEX($X$1:$X$349,ROW(AD10)),-1,SIGN(AD10)&gt;0,1,SIGN(AD10)&lt;0)</formula>
    </cfRule>
  </conditionalFormatting>
  <conditionalFormatting sqref="AD101:BZ101">
    <cfRule type="expression" priority="22712" dxfId="4187">
      <formula>INDEX($I$1:$I$349,ROW(AD101))=1</formula>
    </cfRule>
    <cfRule type="expression" priority="22711" dxfId="4185">
      <formula>INDEX($I$1:$I$349,ROW(AD101))=2</formula>
    </cfRule>
    <cfRule type="expression" priority="22710" dxfId="4186">
      <formula>INDEX($I$1:$I$349,ROW(AD101))=3</formula>
    </cfRule>
    <cfRule type="expression" priority="22709" dxfId="4192">
      <formula>IF($A$14,IF(CELL("protect",AD101)=0,TRUE,FALSE))</formula>
    </cfRule>
    <cfRule type="expression" priority="22714" dxfId="4191">
      <formula>INDEX($H$1:$H$349,ROW(AD101))=2</formula>
    </cfRule>
    <cfRule type="expression" priority="22713" dxfId="4182">
      <formula>_xlfn.SWITCH(INDEX($X$1:$X$349,ROW(AD101)),-1,SIGN(AD101)&gt;0,1,SIGN(AD101)&lt;0)</formula>
    </cfRule>
  </conditionalFormatting>
  <conditionalFormatting sqref="AD11:BZ11 AD74:BZ74 AD130:BZ130 AD145:BZ145 AD159:BZ159 AD173:BZ173 AD189:BZ189 AD203:BZ203 AD218:BZ218">
    <cfRule type="expression" priority="3490" dxfId="4188">
      <formula>AD$15=2</formula>
    </cfRule>
  </conditionalFormatting>
  <conditionalFormatting sqref="AD20:BZ22 AD24:BZ41 AD206:BZ211 AD221:AD226 AD236:AD241">
    <cfRule type="expression" priority="22639" dxfId="4191">
      <formula>INDEX($H$1:$H$349,ROW(AD20))=2</formula>
    </cfRule>
  </conditionalFormatting>
  <conditionalFormatting sqref="AD20:BZ22 AD24:BZ41 CM133:CN138 CP133:CQ138 CM148:CN153 CP148:CQ153 CM162:CN167 CP162:CQ167 CM176:CN181 CP176:CQ181 CM192:CN197 CP192:CQ197 AD206:BZ211 CM206:CN211 CP206:CQ211 AD221:AD226 CM221:CN226 CP221:CQ226 AD236:AD241 CM236:CN241 CP236:CQ241">
    <cfRule type="expression" priority="22922" dxfId="4187">
      <formula>INDEX($I$1:$I$349,ROW(AD20))=1</formula>
    </cfRule>
  </conditionalFormatting>
  <conditionalFormatting sqref="AD221:BZ226 AD236:BZ241">
    <cfRule type="expression" priority="22772" dxfId="4186">
      <formula>INDEX($I$1:$I$349,ROW(AD221))=3</formula>
    </cfRule>
    <cfRule type="expression" priority="22776" dxfId="4191">
      <formula>INDEX($H$1:$H$349,ROW(AD221))=2</formula>
    </cfRule>
    <cfRule type="expression" priority="22773" dxfId="4185">
      <formula>INDEX($I$1:$I$349,ROW(AD221))=2</formula>
    </cfRule>
    <cfRule type="expression" priority="22774" dxfId="4187">
      <formula>INDEX($I$1:$I$349,ROW(AD221))=1</formula>
    </cfRule>
  </conditionalFormatting>
  <conditionalFormatting sqref="AD233:BZ233">
    <cfRule type="expression" priority="2127" dxfId="4189">
      <formula>AD$15=1</formula>
    </cfRule>
    <cfRule type="expression" priority="2124" dxfId="4188">
      <formula>AD$15=2</formula>
    </cfRule>
  </conditionalFormatting>
  <conditionalFormatting sqref="AD245:BZ245 CD245:CE248 CG266:CH266 CG338:CH338">
    <cfRule type="expression" priority="1843" dxfId="4185">
      <formula>INDEX($I$1:$I$399,ROW(AD245))=2</formula>
    </cfRule>
  </conditionalFormatting>
  <conditionalFormatting sqref="AD245:BZ245 CD245:CE248 CG266:CH266 CG338:CH338">
    <cfRule type="expression" priority="1842" dxfId="4166">
      <formula>INDEX($I$1:$I$399,ROW(AD245))=1</formula>
    </cfRule>
  </conditionalFormatting>
  <conditionalFormatting sqref="AD248:BZ248 BO249:BZ249">
    <cfRule type="expression" priority="1839" dxfId="4189">
      <formula>AD$15=1</formula>
    </cfRule>
  </conditionalFormatting>
  <conditionalFormatting sqref="AD256:BZ256 CD256:CE256 CG256:CH256 CJ256:CN256 CP256:CQ256">
    <cfRule type="expression" priority="180" dxfId="4186">
      <formula>INDEX($I$1:$I$349,ROW(AD256))=3</formula>
    </cfRule>
    <cfRule type="expression" priority="182" dxfId="4185">
      <formula>INDEX($I$1:$I$349,ROW(AD256))=2</formula>
    </cfRule>
  </conditionalFormatting>
  <conditionalFormatting sqref="AD256:BZ256 CD256:CE256 CG256:CH256 CP256:CQ256">
    <cfRule type="expression" priority="183" dxfId="4166">
      <formula>INDEX($I$1:$I$349,ROW(AD256))=1</formula>
    </cfRule>
  </conditionalFormatting>
  <conditionalFormatting sqref="AD304:BZ309">
    <cfRule type="expression" priority="131" dxfId="4039">
      <formula>AND($X304=0,ISNUMBER($X304))</formula>
    </cfRule>
  </conditionalFormatting>
  <conditionalFormatting sqref="AD313:BZ318">
    <cfRule type="expression" priority="130" dxfId="4039">
      <formula>AND($X313=0,ISNUMBER($X313))</formula>
    </cfRule>
  </conditionalFormatting>
  <conditionalFormatting sqref="AD322:BZ327">
    <cfRule type="expression" priority="129" dxfId="4039">
      <formula>AND($X322=0,ISNUMBER($X322))</formula>
    </cfRule>
  </conditionalFormatting>
  <conditionalFormatting sqref="AE206:BZ206">
    <cfRule type="expression" priority="22799" dxfId="4186">
      <formula>INDEX($I$1:$I$349,ROW(AE206))=3</formula>
    </cfRule>
    <cfRule type="expression" priority="22798" dxfId="4185">
      <formula>INDEX($I$1:$I$349,ROW(AE206))=2</formula>
    </cfRule>
  </conditionalFormatting>
  <conditionalFormatting sqref="AE331:BZ336">
    <cfRule type="expression" priority="209" dxfId="4039">
      <formula>AND($X331=0,ISNUMBER($X331))</formula>
    </cfRule>
  </conditionalFormatting>
  <conditionalFormatting sqref="AD248:BZ248 BO249:BZ249">
    <cfRule type="expression" priority="1837" dxfId="4188">
      <formula>AD$15=2</formula>
    </cfRule>
  </conditionalFormatting>
  <conditionalFormatting sqref="BO258:BZ258">
    <cfRule type="expression" priority="1794" dxfId="4189">
      <formula>BO$15=1</formula>
    </cfRule>
    <cfRule type="expression" priority="1793" dxfId="4188">
      <formula>BO$15=2</formula>
    </cfRule>
  </conditionalFormatting>
  <conditionalFormatting sqref="BO267:BZ267">
    <cfRule type="expression" priority="1787" dxfId="4189">
      <formula>BO$15=1</formula>
    </cfRule>
    <cfRule type="expression" priority="1786" dxfId="4188">
      <formula>BO$15=2</formula>
    </cfRule>
  </conditionalFormatting>
  <conditionalFormatting sqref="BO276:BZ276">
    <cfRule type="expression" priority="1771" dxfId="4189">
      <formula>BO$15=1</formula>
    </cfRule>
    <cfRule type="expression" priority="1770" dxfId="4188">
      <formula>BO$15=2</formula>
    </cfRule>
  </conditionalFormatting>
  <conditionalFormatting sqref="BO285:BZ285">
    <cfRule type="expression" priority="1755" dxfId="4189">
      <formula>BO$15=1</formula>
    </cfRule>
    <cfRule type="expression" priority="1754" dxfId="4188">
      <formula>BO$15=2</formula>
    </cfRule>
  </conditionalFormatting>
  <conditionalFormatting sqref="BO294:BZ294">
    <cfRule type="expression" priority="1737" dxfId="4188">
      <formula>BO$15=2</formula>
    </cfRule>
    <cfRule type="expression" priority="1738" dxfId="4189">
      <formula>BO$15=1</formula>
    </cfRule>
  </conditionalFormatting>
  <conditionalFormatting sqref="BO303:BZ303">
    <cfRule type="expression" priority="1707" dxfId="4188">
      <formula>BO$15=2</formula>
    </cfRule>
    <cfRule type="expression" priority="1708" dxfId="4189">
      <formula>BO$15=1</formula>
    </cfRule>
    <cfRule type="expression" priority="1717" dxfId="4186">
      <formula>INDEX($I$1:$I$399,ROW(BO303))=3</formula>
    </cfRule>
    <cfRule type="expression" priority="1718" dxfId="4166">
      <formula>INDEX($I$1:$I$399,ROW(BO303))=1</formula>
    </cfRule>
    <cfRule type="expression" priority="1719" dxfId="4185">
      <formula>INDEX($I$1:$I$399,ROW(BO303))=2</formula>
    </cfRule>
  </conditionalFormatting>
  <conditionalFormatting sqref="BO312:BZ312">
    <cfRule type="expression" priority="1691" dxfId="4188">
      <formula>BO$15=2</formula>
    </cfRule>
    <cfRule type="expression" priority="1692" dxfId="4189">
      <formula>BO$15=1</formula>
    </cfRule>
  </conditionalFormatting>
  <conditionalFormatting sqref="BO321:BZ321">
    <cfRule type="expression" priority="1675" dxfId="4188">
      <formula>BO$15=2</formula>
    </cfRule>
    <cfRule type="expression" priority="1676" dxfId="4189">
      <formula>BO$15=1</formula>
    </cfRule>
  </conditionalFormatting>
  <conditionalFormatting sqref="BO330:BZ330">
    <cfRule type="expression" priority="1659" dxfId="4189">
      <formula>BO$15=1</formula>
    </cfRule>
    <cfRule type="expression" priority="1658" dxfId="4188">
      <formula>BO$15=2</formula>
    </cfRule>
  </conditionalFormatting>
  <conditionalFormatting sqref="CA243:CC244">
    <cfRule type="expression" priority="1967" dxfId="4194">
      <formula>IF($A$14,IF(CELL("protect",CA243)=0,TRUE,FALSE))</formula>
    </cfRule>
  </conditionalFormatting>
  <conditionalFormatting sqref="CA295:CC301 CO295:CO301 CF301 CI301 CL301">
    <cfRule type="expression" priority="959" dxfId="4194">
      <formula>IF($A$14,IF(CELL("protect",CA295)=0,TRUE,FALSE))</formula>
    </cfRule>
  </conditionalFormatting>
  <conditionalFormatting sqref="CA304:CC310 CO304:CO310 CF310 CI310 CL310">
    <cfRule type="expression" priority="811" dxfId="4194">
      <formula>IF($A$14,IF(CELL("protect",CA304)=0,TRUE,FALSE))</formula>
    </cfRule>
  </conditionalFormatting>
  <conditionalFormatting sqref="CA313:CC319 CO313:CO319 CF319 CI319 CL319">
    <cfRule type="expression" priority="662" dxfId="4194">
      <formula>IF($A$14,IF(CELL("protect",CA313)=0,TRUE,FALSE))</formula>
    </cfRule>
  </conditionalFormatting>
  <conditionalFormatting sqref="CA322:CC328 CO322:CO328 CF328 CI328 CL328">
    <cfRule type="expression" priority="513" dxfId="4194">
      <formula>IF($A$14,IF(CELL("protect",CA322)=0,TRUE,FALSE))</formula>
    </cfRule>
  </conditionalFormatting>
  <conditionalFormatting sqref="CA331:CC337 CO331:CO337 CF337 CI337 CL337">
    <cfRule type="expression" priority="364" dxfId="4194">
      <formula>IF($A$14,IF(CELL("protect",CA331)=0,TRUE,FALSE))</formula>
    </cfRule>
  </conditionalFormatting>
  <conditionalFormatting sqref="CA250:CQ255">
    <cfRule type="expression" priority="1536" dxfId="4194">
      <formula>IF($A$14,IF(CELL("protect",CA250)=0,TRUE,FALSE))</formula>
    </cfRule>
  </conditionalFormatting>
  <conditionalFormatting sqref="CA257:CQ257 CA259:CC265 CO259:CO265 CF265 CI265 CL265 CA266:CQ266 CA268:CC274 CO268:CO274 CF274 CI274 CL274 CA275:CQ275 CA277:CC283 CO277:CO283 CF283 CI283 CL283 CA284:CQ284 CA286:CC292 CO286:CO292 CF292 CI292 CL292">
    <cfRule type="expression" priority="1829" dxfId="4194">
      <formula>IF($A$14,IF(CELL("protect",CA257)=0,TRUE,FALSE))</formula>
    </cfRule>
  </conditionalFormatting>
  <conditionalFormatting sqref="CA293:CQ293">
    <cfRule type="expression" priority="1751" dxfId="4194">
      <formula>IF($A$14,IF(CELL("protect",CA293)=0,TRUE,FALSE))</formula>
    </cfRule>
  </conditionalFormatting>
  <conditionalFormatting sqref="CA302:CQ302 CA338:CQ338">
    <cfRule type="expression" priority="1729" dxfId="4194">
      <formula>IF($A$14,IF(CELL("protect",CA302)=0,TRUE,FALSE))</formula>
    </cfRule>
  </conditionalFormatting>
  <conditionalFormatting sqref="CA311:CQ311 CA320:CQ320">
    <cfRule type="expression" priority="1713" dxfId="4194">
      <formula>IF($A$14,IF(CELL("protect",CA311)=0,TRUE,FALSE))</formula>
    </cfRule>
  </conditionalFormatting>
  <conditionalFormatting sqref="CA329:CQ329">
    <cfRule type="expression" priority="1672" dxfId="4194">
      <formula>IF($A$14,IF(CELL("protect",CA329)=0,TRUE,FALSE))</formula>
    </cfRule>
  </conditionalFormatting>
  <conditionalFormatting sqref="CD250:CD255">
    <cfRule type="expression" priority="1586" dxfId="4166">
      <formula>INDEX($I$1:$I$399,ROW(CD250))=1</formula>
    </cfRule>
    <cfRule type="expression" priority="1599" dxfId="4185">
      <formula>INDEX($I$1:$I$399,ROW(CD250))=2</formula>
    </cfRule>
    <cfRule type="expression" priority="1598" dxfId="4166">
      <formula>INDEX($I$1:$I$399,ROW(CD250))=1</formula>
    </cfRule>
    <cfRule type="expression" priority="1597" dxfId="4186">
      <formula>INDEX($I$1:$I$399,ROW(CD250))=3</formula>
    </cfRule>
    <cfRule type="expression" priority="1595" dxfId="4185">
      <formula>INDEX($I$1:$I$399,ROW(CD250))=2</formula>
    </cfRule>
    <cfRule type="expression" priority="1594" dxfId="4166">
      <formula>INDEX($I$1:$I$399,ROW(CD250))=1</formula>
    </cfRule>
    <cfRule type="expression" priority="1593" dxfId="4186">
      <formula>INDEX($I$1:$I$399,ROW(CD250))=3</formula>
    </cfRule>
    <cfRule type="expression" priority="1591" dxfId="4185">
      <formula>INDEX($I$1:$I$399,ROW(CD250))=2</formula>
    </cfRule>
    <cfRule type="expression" priority="1589" dxfId="4186">
      <formula>INDEX($I$1:$I$399,ROW(CD250))=3</formula>
    </cfRule>
    <cfRule type="expression" priority="1587" dxfId="4185">
      <formula>INDEX($I$1:$I$399,ROW(CD250))=2</formula>
    </cfRule>
    <cfRule type="expression" priority="1585" dxfId="4186">
      <formula>INDEX($I$1:$I$399,ROW(CD250))=3</formula>
    </cfRule>
    <cfRule type="expression" priority="1805" dxfId="4186">
      <formula>INDEX($I$1:$I$399,ROW(CD250))=3</formula>
    </cfRule>
    <cfRule type="expression" priority="1590" dxfId="4166">
      <formula>INDEX($I$1:$I$399,ROW(CD250))=1</formula>
    </cfRule>
  </conditionalFormatting>
  <conditionalFormatting sqref="CD259:CD264">
    <cfRule type="expression" priority="1520" dxfId="4186">
      <formula>INDEX($I$1:$I$399,ROW(CD259))=3</formula>
    </cfRule>
    <cfRule type="expression" priority="1457" dxfId="4185">
      <formula>INDEX($I$1:$I$399,ROW(CD259))=2</formula>
    </cfRule>
    <cfRule type="expression" priority="1456" dxfId="4166">
      <formula>INDEX($I$1:$I$399,ROW(CD259))=1</formula>
    </cfRule>
    <cfRule type="expression" priority="1455" dxfId="4186">
      <formula>INDEX($I$1:$I$399,ROW(CD259))=3</formula>
    </cfRule>
    <cfRule type="expression" priority="1453" dxfId="4185">
      <formula>INDEX($I$1:$I$399,ROW(CD259))=2</formula>
    </cfRule>
    <cfRule type="expression" priority="1451" dxfId="4186">
      <formula>INDEX($I$1:$I$399,ROW(CD259))=3</formula>
    </cfRule>
    <cfRule type="expression" priority="1449" dxfId="4185">
      <formula>INDEX($I$1:$I$399,ROW(CD259))=2</formula>
    </cfRule>
    <cfRule type="expression" priority="1452" dxfId="4166">
      <formula>INDEX($I$1:$I$399,ROW(CD259))=1</formula>
    </cfRule>
    <cfRule type="expression" priority="1443" dxfId="4186">
      <formula>INDEX($I$1:$I$399,ROW(CD259))=3</formula>
    </cfRule>
    <cfRule type="expression" priority="1444" dxfId="4166">
      <formula>INDEX($I$1:$I$399,ROW(CD259))=1</formula>
    </cfRule>
    <cfRule type="expression" priority="1445" dxfId="4185">
      <formula>INDEX($I$1:$I$399,ROW(CD259))=2</formula>
    </cfRule>
    <cfRule type="expression" priority="1447" dxfId="4186">
      <formula>INDEX($I$1:$I$399,ROW(CD259))=3</formula>
    </cfRule>
    <cfRule type="expression" priority="1448" dxfId="4166">
      <formula>INDEX($I$1:$I$399,ROW(CD259))=1</formula>
    </cfRule>
  </conditionalFormatting>
  <conditionalFormatting sqref="CD268:CD273">
    <cfRule type="expression" priority="1307" dxfId="4186">
      <formula>INDEX($I$1:$I$399,ROW(CD268))=3</formula>
    </cfRule>
    <cfRule type="expression" priority="1313" dxfId="4185">
      <formula>INDEX($I$1:$I$399,ROW(CD268))=2</formula>
    </cfRule>
    <cfRule type="expression" priority="1305" dxfId="4185">
      <formula>INDEX($I$1:$I$399,ROW(CD268))=2</formula>
    </cfRule>
    <cfRule type="expression" priority="1303" dxfId="4186">
      <formula>INDEX($I$1:$I$399,ROW(CD268))=3</formula>
    </cfRule>
    <cfRule type="expression" priority="1301" dxfId="4185">
      <formula>INDEX($I$1:$I$399,ROW(CD268))=2</formula>
    </cfRule>
    <cfRule type="expression" priority="1304" dxfId="4166">
      <formula>INDEX($I$1:$I$399,ROW(CD268))=1</formula>
    </cfRule>
    <cfRule type="expression" priority="1376" dxfId="4186">
      <formula>INDEX($I$1:$I$399,ROW(CD268))=3</formula>
    </cfRule>
    <cfRule type="expression" priority="1308" dxfId="4166">
      <formula>INDEX($I$1:$I$399,ROW(CD268))=1</formula>
    </cfRule>
    <cfRule type="expression" priority="1309" dxfId="4185">
      <formula>INDEX($I$1:$I$399,ROW(CD268))=2</formula>
    </cfRule>
    <cfRule type="expression" priority="1311" dxfId="4186">
      <formula>INDEX($I$1:$I$399,ROW(CD268))=3</formula>
    </cfRule>
    <cfRule type="expression" priority="1312" dxfId="4166">
      <formula>INDEX($I$1:$I$399,ROW(CD268))=1</formula>
    </cfRule>
    <cfRule type="expression" priority="1300" dxfId="4166">
      <formula>INDEX($I$1:$I$399,ROW(CD268))=1</formula>
    </cfRule>
    <cfRule type="expression" priority="1299" dxfId="4186">
      <formula>INDEX($I$1:$I$399,ROW(CD268))=3</formula>
    </cfRule>
  </conditionalFormatting>
  <conditionalFormatting sqref="CD277:CD282">
    <cfRule type="expression" priority="1164" dxfId="4166">
      <formula>INDEX($I$1:$I$399,ROW(CD277))=1</formula>
    </cfRule>
    <cfRule type="expression" priority="1165" dxfId="4185">
      <formula>INDEX($I$1:$I$399,ROW(CD277))=2</formula>
    </cfRule>
    <cfRule type="expression" priority="1232" dxfId="4186">
      <formula>INDEX($I$1:$I$399,ROW(CD277))=3</formula>
    </cfRule>
    <cfRule type="expression" priority="1157" dxfId="4185">
      <formula>INDEX($I$1:$I$399,ROW(CD277))=2</formula>
    </cfRule>
    <cfRule type="expression" priority="1163" dxfId="4186">
      <formula>INDEX($I$1:$I$399,ROW(CD277))=3</formula>
    </cfRule>
    <cfRule type="expression" priority="1167" dxfId="4186">
      <formula>INDEX($I$1:$I$399,ROW(CD277))=3</formula>
    </cfRule>
    <cfRule type="expression" priority="1161" dxfId="4185">
      <formula>INDEX($I$1:$I$399,ROW(CD277))=2</formula>
    </cfRule>
    <cfRule type="expression" priority="1160" dxfId="4166">
      <formula>INDEX($I$1:$I$399,ROW(CD277))=1</formula>
    </cfRule>
    <cfRule type="expression" priority="1168" dxfId="4166">
      <formula>INDEX($I$1:$I$399,ROW(CD277))=1</formula>
    </cfRule>
    <cfRule type="expression" priority="1169" dxfId="4185">
      <formula>INDEX($I$1:$I$399,ROW(CD277))=2</formula>
    </cfRule>
    <cfRule type="expression" priority="1155" dxfId="4186">
      <formula>INDEX($I$1:$I$399,ROW(CD277))=3</formula>
    </cfRule>
    <cfRule type="expression" priority="1156" dxfId="4166">
      <formula>INDEX($I$1:$I$399,ROW(CD277))=1</formula>
    </cfRule>
    <cfRule type="expression" priority="1159" dxfId="4186">
      <formula>INDEX($I$1:$I$399,ROW(CD277))=3</formula>
    </cfRule>
  </conditionalFormatting>
  <conditionalFormatting sqref="CD286:CD291">
    <cfRule type="expression" priority="1012" dxfId="4166">
      <formula>INDEX($I$1:$I$399,ROW(CD286))=1</formula>
    </cfRule>
    <cfRule type="expression" priority="1013" dxfId="4185">
      <formula>INDEX($I$1:$I$399,ROW(CD286))=2</formula>
    </cfRule>
    <cfRule type="expression" priority="1015" dxfId="4186">
      <formula>INDEX($I$1:$I$399,ROW(CD286))=3</formula>
    </cfRule>
    <cfRule type="expression" priority="1016" dxfId="4166">
      <formula>INDEX($I$1:$I$399,ROW(CD286))=1</formula>
    </cfRule>
    <cfRule type="expression" priority="1019" dxfId="4186">
      <formula>INDEX($I$1:$I$399,ROW(CD286))=3</formula>
    </cfRule>
    <cfRule type="expression" priority="1020" dxfId="4166">
      <formula>INDEX($I$1:$I$399,ROW(CD286))=1</formula>
    </cfRule>
    <cfRule type="expression" priority="1021" dxfId="4185">
      <formula>INDEX($I$1:$I$399,ROW(CD286))=2</formula>
    </cfRule>
    <cfRule type="expression" priority="1023" dxfId="4186">
      <formula>INDEX($I$1:$I$399,ROW(CD286))=3</formula>
    </cfRule>
    <cfRule type="expression" priority="1024" dxfId="4166">
      <formula>INDEX($I$1:$I$399,ROW(CD286))=1</formula>
    </cfRule>
    <cfRule type="expression" priority="1025" dxfId="4185">
      <formula>INDEX($I$1:$I$399,ROW(CD286))=2</formula>
    </cfRule>
    <cfRule type="expression" priority="1017" dxfId="4185">
      <formula>INDEX($I$1:$I$399,ROW(CD286))=2</formula>
    </cfRule>
    <cfRule type="expression" priority="1088" dxfId="4186">
      <formula>INDEX($I$1:$I$399,ROW(CD286))=3</formula>
    </cfRule>
    <cfRule type="expression" priority="1011" dxfId="4186">
      <formula>INDEX($I$1:$I$399,ROW(CD286))=3</formula>
    </cfRule>
  </conditionalFormatting>
  <conditionalFormatting sqref="CD295:CD300">
    <cfRule type="expression" priority="875" dxfId="4166">
      <formula>INDEX($I$1:$I$399,ROW(CD295))=1</formula>
    </cfRule>
    <cfRule type="expression" priority="874" dxfId="4186">
      <formula>INDEX($I$1:$I$399,ROW(CD295))=3</formula>
    </cfRule>
    <cfRule type="expression" priority="872" dxfId="4185">
      <formula>INDEX($I$1:$I$399,ROW(CD295))=2</formula>
    </cfRule>
    <cfRule type="expression" priority="871" dxfId="4166">
      <formula>INDEX($I$1:$I$399,ROW(CD295))=1</formula>
    </cfRule>
    <cfRule type="expression" priority="870" dxfId="4186">
      <formula>INDEX($I$1:$I$399,ROW(CD295))=3</formula>
    </cfRule>
    <cfRule type="expression" priority="868" dxfId="4185">
      <formula>INDEX($I$1:$I$399,ROW(CD295))=2</formula>
    </cfRule>
    <cfRule type="expression" priority="867" dxfId="4166">
      <formula>INDEX($I$1:$I$399,ROW(CD295))=1</formula>
    </cfRule>
    <cfRule type="expression" priority="866" dxfId="4186">
      <formula>INDEX($I$1:$I$399,ROW(CD295))=3</formula>
    </cfRule>
    <cfRule type="expression" priority="880" dxfId="4185">
      <formula>INDEX($I$1:$I$399,ROW(CD295))=2</formula>
    </cfRule>
    <cfRule type="expression" priority="943" dxfId="4186">
      <formula>INDEX($I$1:$I$399,ROW(CD295))=3</formula>
    </cfRule>
    <cfRule type="expression" priority="876" dxfId="4185">
      <formula>INDEX($I$1:$I$399,ROW(CD295))=2</formula>
    </cfRule>
    <cfRule type="expression" priority="878" dxfId="4186">
      <formula>INDEX($I$1:$I$399,ROW(CD295))=3</formula>
    </cfRule>
    <cfRule type="expression" priority="879" dxfId="4166">
      <formula>INDEX($I$1:$I$399,ROW(CD295))=1</formula>
    </cfRule>
  </conditionalFormatting>
  <conditionalFormatting sqref="CD304:CD309">
    <cfRule type="expression" priority="725" dxfId="4186">
      <formula>INDEX($I$1:$I$399,ROW(CD304))=3</formula>
    </cfRule>
    <cfRule type="expression" priority="721" dxfId="4186">
      <formula>INDEX($I$1:$I$399,ROW(CD304))=3</formula>
    </cfRule>
    <cfRule type="expression" priority="717" dxfId="4186">
      <formula>INDEX($I$1:$I$399,ROW(CD304))=3</formula>
    </cfRule>
    <cfRule type="expression" priority="723" dxfId="4185">
      <formula>INDEX($I$1:$I$399,ROW(CD304))=2</formula>
    </cfRule>
    <cfRule type="expression" priority="718" dxfId="4166">
      <formula>INDEX($I$1:$I$399,ROW(CD304))=1</formula>
    </cfRule>
    <cfRule type="expression" priority="719" dxfId="4185">
      <formula>INDEX($I$1:$I$399,ROW(CD304))=2</formula>
    </cfRule>
    <cfRule type="expression" priority="794" dxfId="4186">
      <formula>INDEX($I$1:$I$399,ROW(CD304))=3</formula>
    </cfRule>
    <cfRule type="expression" priority="731" dxfId="4185">
      <formula>INDEX($I$1:$I$399,ROW(CD304))=2</formula>
    </cfRule>
    <cfRule type="expression" priority="730" dxfId="4166">
      <formula>INDEX($I$1:$I$399,ROW(CD304))=1</formula>
    </cfRule>
    <cfRule type="expression" priority="729" dxfId="4186">
      <formula>INDEX($I$1:$I$399,ROW(CD304))=3</formula>
    </cfRule>
    <cfRule type="expression" priority="722" dxfId="4166">
      <formula>INDEX($I$1:$I$399,ROW(CD304))=1</formula>
    </cfRule>
    <cfRule type="expression" priority="727" dxfId="4185">
      <formula>INDEX($I$1:$I$399,ROW(CD304))=2</formula>
    </cfRule>
    <cfRule type="expression" priority="726" dxfId="4166">
      <formula>INDEX($I$1:$I$399,ROW(CD304))=1</formula>
    </cfRule>
  </conditionalFormatting>
  <conditionalFormatting sqref="CD313:CD318">
    <cfRule type="expression" priority="572" dxfId="4186">
      <formula>INDEX($I$1:$I$399,ROW(CD313))=3</formula>
    </cfRule>
    <cfRule type="expression" priority="582" dxfId="4185">
      <formula>INDEX($I$1:$I$399,ROW(CD313))=2</formula>
    </cfRule>
    <cfRule type="expression" priority="645" dxfId="4186">
      <formula>INDEX($I$1:$I$399,ROW(CD313))=3</formula>
    </cfRule>
    <cfRule type="expression" priority="581" dxfId="4166">
      <formula>INDEX($I$1:$I$399,ROW(CD313))=1</formula>
    </cfRule>
    <cfRule type="expression" priority="580" dxfId="4186">
      <formula>INDEX($I$1:$I$399,ROW(CD313))=3</formula>
    </cfRule>
    <cfRule type="expression" priority="568" dxfId="4186">
      <formula>INDEX($I$1:$I$399,ROW(CD313))=3</formula>
    </cfRule>
    <cfRule type="expression" priority="569" dxfId="4166">
      <formula>INDEX($I$1:$I$399,ROW(CD313))=1</formula>
    </cfRule>
    <cfRule type="expression" priority="570" dxfId="4185">
      <formula>INDEX($I$1:$I$399,ROW(CD313))=2</formula>
    </cfRule>
    <cfRule type="expression" priority="573" dxfId="4166">
      <formula>INDEX($I$1:$I$399,ROW(CD313))=1</formula>
    </cfRule>
    <cfRule type="expression" priority="574" dxfId="4185">
      <formula>INDEX($I$1:$I$399,ROW(CD313))=2</formula>
    </cfRule>
    <cfRule type="expression" priority="576" dxfId="4186">
      <formula>INDEX($I$1:$I$399,ROW(CD313))=3</formula>
    </cfRule>
    <cfRule type="expression" priority="577" dxfId="4166">
      <formula>INDEX($I$1:$I$399,ROW(CD313))=1</formula>
    </cfRule>
    <cfRule type="expression" priority="578" dxfId="4185">
      <formula>INDEX($I$1:$I$399,ROW(CD313))=2</formula>
    </cfRule>
  </conditionalFormatting>
  <conditionalFormatting sqref="CD322:CD327">
    <cfRule type="expression" priority="420" dxfId="4166">
      <formula>INDEX($I$1:$I$399,ROW(CD322))=1</formula>
    </cfRule>
    <cfRule type="expression" priority="421" dxfId="4185">
      <formula>INDEX($I$1:$I$399,ROW(CD322))=2</formula>
    </cfRule>
    <cfRule type="expression" priority="423" dxfId="4186">
      <formula>INDEX($I$1:$I$399,ROW(CD322))=3</formula>
    </cfRule>
    <cfRule type="expression" priority="424" dxfId="4166">
      <formula>INDEX($I$1:$I$399,ROW(CD322))=1</formula>
    </cfRule>
    <cfRule type="expression" priority="419" dxfId="4186">
      <formula>INDEX($I$1:$I$399,ROW(CD322))=3</formula>
    </cfRule>
    <cfRule type="expression" priority="425" dxfId="4185">
      <formula>INDEX($I$1:$I$399,ROW(CD322))=2</formula>
    </cfRule>
    <cfRule type="expression" priority="428" dxfId="4166">
      <formula>INDEX($I$1:$I$399,ROW(CD322))=1</formula>
    </cfRule>
    <cfRule type="expression" priority="427" dxfId="4186">
      <formula>INDEX($I$1:$I$399,ROW(CD322))=3</formula>
    </cfRule>
    <cfRule type="expression" priority="429" dxfId="4185">
      <formula>INDEX($I$1:$I$399,ROW(CD322))=2</formula>
    </cfRule>
    <cfRule type="expression" priority="431" dxfId="4186">
      <formula>INDEX($I$1:$I$399,ROW(CD322))=3</formula>
    </cfRule>
    <cfRule type="expression" priority="432" dxfId="4166">
      <formula>INDEX($I$1:$I$399,ROW(CD322))=1</formula>
    </cfRule>
    <cfRule type="expression" priority="433" dxfId="4185">
      <formula>INDEX($I$1:$I$399,ROW(CD322))=2</formula>
    </cfRule>
    <cfRule type="expression" priority="496" dxfId="4186">
      <formula>INDEX($I$1:$I$399,ROW(CD322))=3</formula>
    </cfRule>
  </conditionalFormatting>
  <conditionalFormatting sqref="CD331:CD336">
    <cfRule type="expression" priority="271" dxfId="4166">
      <formula>INDEX($I$1:$I$399,ROW(CD331))=1</formula>
    </cfRule>
    <cfRule type="expression" priority="272" dxfId="4185">
      <formula>INDEX($I$1:$I$399,ROW(CD331))=2</formula>
    </cfRule>
    <cfRule type="expression" priority="274" dxfId="4186">
      <formula>INDEX($I$1:$I$399,ROW(CD331))=3</formula>
    </cfRule>
    <cfRule type="expression" priority="275" dxfId="4166">
      <formula>INDEX($I$1:$I$399,ROW(CD331))=1</formula>
    </cfRule>
    <cfRule type="expression" priority="278" dxfId="4186">
      <formula>INDEX($I$1:$I$399,ROW(CD331))=3</formula>
    </cfRule>
    <cfRule type="expression" priority="279" dxfId="4166">
      <formula>INDEX($I$1:$I$399,ROW(CD331))=1</formula>
    </cfRule>
    <cfRule type="expression" priority="280" dxfId="4185">
      <formula>INDEX($I$1:$I$399,ROW(CD331))=2</formula>
    </cfRule>
    <cfRule type="expression" priority="282" dxfId="4186">
      <formula>INDEX($I$1:$I$399,ROW(CD331))=3</formula>
    </cfRule>
    <cfRule type="expression" priority="283" dxfId="4166">
      <formula>INDEX($I$1:$I$399,ROW(CD331))=1</formula>
    </cfRule>
    <cfRule type="expression" priority="284" dxfId="4185">
      <formula>INDEX($I$1:$I$399,ROW(CD331))=2</formula>
    </cfRule>
    <cfRule type="expression" priority="276" dxfId="4185">
      <formula>INDEX($I$1:$I$399,ROW(CD331))=2</formula>
    </cfRule>
    <cfRule type="expression" priority="347" dxfId="4186">
      <formula>INDEX($I$1:$I$399,ROW(CD331))=3</formula>
    </cfRule>
    <cfRule type="expression" priority="270" dxfId="4186">
      <formula>INDEX($I$1:$I$399,ROW(CD331))=3</formula>
    </cfRule>
  </conditionalFormatting>
  <conditionalFormatting sqref="CD10:CE11 CG10:CH11 CJ10:CN11 CP11:CQ11 AD19:BZ227 CD19:CE227 CG19:CH227 CJ19:CN227 CP19:CQ227 AD231:BZ242 CD231:CE242 CG231:CH242 CJ231:CN242 CP231:CQ242">
    <cfRule type="expression" priority="22679" dxfId="4185">
      <formula>INDEX($I$1:$I$349,ROW(AD10))=2</formula>
    </cfRule>
  </conditionalFormatting>
  <conditionalFormatting sqref="CD57:CE66">
    <cfRule type="expression" priority="187" dxfId="4192">
      <formula>IF($A$14,IF(CELL("protect",CD57)=0,TRUE,FALSE))</formula>
    </cfRule>
  </conditionalFormatting>
  <conditionalFormatting sqref="CD250:CE255">
    <cfRule type="expression" priority="1807" dxfId="4185">
      <formula>INDEX($I$1:$I$399,ROW(CD250))=2</formula>
    </cfRule>
    <cfRule type="expression" priority="1806" dxfId="4166">
      <formula>INDEX($I$1:$I$399,ROW(CD250))=1</formula>
    </cfRule>
  </conditionalFormatting>
  <conditionalFormatting sqref="CE250:CE255 CD257:CE257 CE259:CE264 CD266:CE266 CE268:CE273 CD275:CE275 CE277:CE282 CD284:CE284 CE286:CE291 CD293:CE293 CE295:CE300 CD302:CE302 CE304:CE309 CD311:CE311 CE313:CE318 CD320:CE320 CE322:CE327 CD329:CE329 CE331:CE336 CD338:CE338">
    <cfRule type="expression" priority="1852" dxfId="4186">
      <formula>INDEX($I$1:$I$399,ROW(CD250))=3</formula>
    </cfRule>
  </conditionalFormatting>
  <conditionalFormatting sqref="CD257:CE257 CD266:CE266 CD275:CE275 CD284:CE284 CD293:CE293 CD302:CE302 CD311:CE311 CD320:CE320 CD329:CE329 CD338:CE338">
    <cfRule type="expression" priority="1850" dxfId="4166">
      <formula>INDEX($I$1:$I$399,ROW(CD257))=1</formula>
    </cfRule>
    <cfRule type="expression" priority="1851" dxfId="4185">
      <formula>INDEX($I$1:$I$399,ROW(CD257))=2</formula>
    </cfRule>
  </conditionalFormatting>
  <conditionalFormatting sqref="CD250:CE255 CD257:CE257 CD259:CE264 CD266:CE266 CD268:CE273 CD275:CE275 CD277:CE282 CD284:CE284 CD286:CE291 CD293:CE293 CD295:CE300 CD302:CE302 CD304:CE309 CD311:CE311 CD313:CE318 CD320:CE320 CD322:CE327 CD329:CE329 CD331:CE336 CD338:CE338">
    <cfRule type="expression" priority="1853" dxfId="4191">
      <formula>INDEX($H$1:$H$399,ROW($X250))=2</formula>
    </cfRule>
  </conditionalFormatting>
  <conditionalFormatting sqref="CD259:CE264">
    <cfRule type="expression" priority="1521" dxfId="4166">
      <formula>INDEX($I$1:$I$399,ROW(CD259))=1</formula>
    </cfRule>
    <cfRule type="expression" priority="1522" dxfId="4185">
      <formula>INDEX($I$1:$I$399,ROW(CD259))=2</formula>
    </cfRule>
  </conditionalFormatting>
  <conditionalFormatting sqref="CD265:CE265">
    <cfRule type="expression" priority="1532" dxfId="4039">
      <formula>AND($X265=0,ISNUMBER($X265))</formula>
    </cfRule>
  </conditionalFormatting>
  <conditionalFormatting sqref="CD268:CE273">
    <cfRule type="expression" priority="1377" dxfId="4166">
      <formula>INDEX($I$1:$I$399,ROW(CD268))=1</formula>
    </cfRule>
    <cfRule type="expression" priority="1378" dxfId="4185">
      <formula>INDEX($I$1:$I$399,ROW(CD268))=2</formula>
    </cfRule>
  </conditionalFormatting>
  <conditionalFormatting sqref="CD274:CE274">
    <cfRule type="expression" priority="1388" dxfId="4039">
      <formula>AND($X274=0,ISNUMBER($X274))</formula>
    </cfRule>
  </conditionalFormatting>
  <conditionalFormatting sqref="CD277:CE282">
    <cfRule type="expression" priority="1233" dxfId="4166">
      <formula>INDEX($I$1:$I$399,ROW(CD277))=1</formula>
    </cfRule>
    <cfRule type="expression" priority="1234" dxfId="4185">
      <formula>INDEX($I$1:$I$399,ROW(CD277))=2</formula>
    </cfRule>
  </conditionalFormatting>
  <conditionalFormatting sqref="CD283:CE283">
    <cfRule type="expression" priority="1244" dxfId="4039">
      <formula>AND($X283=0,ISNUMBER($X283))</formula>
    </cfRule>
  </conditionalFormatting>
  <conditionalFormatting sqref="CD286:CE291">
    <cfRule type="expression" priority="1089" dxfId="4166">
      <formula>INDEX($I$1:$I$399,ROW(CD286))=1</formula>
    </cfRule>
    <cfRule type="expression" priority="1090" dxfId="4185">
      <formula>INDEX($I$1:$I$399,ROW(CD286))=2</formula>
    </cfRule>
  </conditionalFormatting>
  <conditionalFormatting sqref="CD292:CE292">
    <cfRule type="expression" priority="1100" dxfId="4039">
      <formula>AND($X292=0,ISNUMBER($X292))</formula>
    </cfRule>
  </conditionalFormatting>
  <conditionalFormatting sqref="CD295:CE300">
    <cfRule type="expression" priority="944" dxfId="4166">
      <formula>INDEX($I$1:$I$399,ROW(CD295))=1</formula>
    </cfRule>
    <cfRule type="expression" priority="945" dxfId="4185">
      <formula>INDEX($I$1:$I$399,ROW(CD295))=2</formula>
    </cfRule>
  </conditionalFormatting>
  <conditionalFormatting sqref="CD301:CE301">
    <cfRule type="expression" priority="955" dxfId="4039">
      <formula>AND($X301=0,ISNUMBER($X301))</formula>
    </cfRule>
  </conditionalFormatting>
  <conditionalFormatting sqref="CD304:CE309">
    <cfRule type="expression" priority="796" dxfId="4185">
      <formula>INDEX($I$1:$I$399,ROW(CD304))=2</formula>
    </cfRule>
    <cfRule type="expression" priority="795" dxfId="4166">
      <formula>INDEX($I$1:$I$399,ROW(CD304))=1</formula>
    </cfRule>
  </conditionalFormatting>
  <conditionalFormatting sqref="CD310:CE310">
    <cfRule type="expression" priority="806" dxfId="4039">
      <formula>AND($X310=0,ISNUMBER($X310))</formula>
    </cfRule>
  </conditionalFormatting>
  <conditionalFormatting sqref="CD313:CE318">
    <cfRule type="expression" priority="646" dxfId="4166">
      <formula>INDEX($I$1:$I$399,ROW(CD313))=1</formula>
    </cfRule>
    <cfRule type="expression" priority="647" dxfId="4185">
      <formula>INDEX($I$1:$I$399,ROW(CD313))=2</formula>
    </cfRule>
  </conditionalFormatting>
  <conditionalFormatting sqref="CD319:CE319">
    <cfRule type="expression" priority="657" dxfId="4039">
      <formula>AND($X319=0,ISNUMBER($X319))</formula>
    </cfRule>
  </conditionalFormatting>
  <conditionalFormatting sqref="CD322:CE327">
    <cfRule type="expression" priority="497" dxfId="4166">
      <formula>INDEX($I$1:$I$399,ROW(CD322))=1</formula>
    </cfRule>
    <cfRule type="expression" priority="498" dxfId="4185">
      <formula>INDEX($I$1:$I$399,ROW(CD322))=2</formula>
    </cfRule>
  </conditionalFormatting>
  <conditionalFormatting sqref="CD328:CE328">
    <cfRule type="expression" priority="508" dxfId="4039">
      <formula>AND($X328=0,ISNUMBER($X328))</formula>
    </cfRule>
  </conditionalFormatting>
  <conditionalFormatting sqref="CD331:CE336">
    <cfRule type="expression" priority="349" dxfId="4185">
      <formula>INDEX($I$1:$I$399,ROW(CD331))=2</formula>
    </cfRule>
    <cfRule type="expression" priority="348" dxfId="4166">
      <formula>INDEX($I$1:$I$399,ROW(CD331))=1</formula>
    </cfRule>
  </conditionalFormatting>
  <conditionalFormatting sqref="CD337:CE337">
    <cfRule type="expression" priority="359" dxfId="4039">
      <formula>AND($X337=0,ISNUMBER($X337))</formula>
    </cfRule>
  </conditionalFormatting>
  <conditionalFormatting sqref="CD259:CN264">
    <cfRule type="expression" priority="1410" dxfId="4194">
      <formula>IF($A$14,IF(CELL("protect",CD259)=0,TRUE,FALSE))</formula>
    </cfRule>
  </conditionalFormatting>
  <conditionalFormatting sqref="CD268:CN273">
    <cfRule type="expression" priority="1266" dxfId="4194">
      <formula>IF($A$14,IF(CELL("protect",CD268)=0,TRUE,FALSE))</formula>
    </cfRule>
  </conditionalFormatting>
  <conditionalFormatting sqref="CD277:CN282">
    <cfRule type="expression" priority="1122" dxfId="4194">
      <formula>IF($A$14,IF(CELL("protect",CD277)=0,TRUE,FALSE))</formula>
    </cfRule>
  </conditionalFormatting>
  <conditionalFormatting sqref="CD286:CN291">
    <cfRule type="expression" priority="978" dxfId="4194">
      <formula>IF($A$14,IF(CELL("protect",CD286)=0,TRUE,FALSE))</formula>
    </cfRule>
  </conditionalFormatting>
  <conditionalFormatting sqref="CD295:CN300">
    <cfRule type="expression" priority="833" dxfId="4194">
      <formula>IF($A$14,IF(CELL("protect",CD295)=0,TRUE,FALSE))</formula>
    </cfRule>
  </conditionalFormatting>
  <conditionalFormatting sqref="CD304:CN309">
    <cfRule type="expression" priority="684" dxfId="4194">
      <formula>IF($A$14,IF(CELL("protect",CD304)=0,TRUE,FALSE))</formula>
    </cfRule>
  </conditionalFormatting>
  <conditionalFormatting sqref="CD313:CN318">
    <cfRule type="expression" priority="535" dxfId="4194">
      <formula>IF($A$14,IF(CELL("protect",CD313)=0,TRUE,FALSE))</formula>
    </cfRule>
  </conditionalFormatting>
  <conditionalFormatting sqref="CD322:CN327">
    <cfRule type="expression" priority="386" dxfId="4194">
      <formula>IF($A$14,IF(CELL("protect",CD322)=0,TRUE,FALSE))</formula>
    </cfRule>
  </conditionalFormatting>
  <conditionalFormatting sqref="CD331:CN336">
    <cfRule type="expression" priority="237" dxfId="4194">
      <formula>IF($A$14,IF(CELL("protect",CD331)=0,TRUE,FALSE))</formula>
    </cfRule>
  </conditionalFormatting>
  <conditionalFormatting sqref="CG250:CG255">
    <cfRule type="expression" priority="1647" dxfId="4185">
      <formula>INDEX($I$1:$I$399,ROW(CG250))=2</formula>
    </cfRule>
    <cfRule type="expression" priority="1631" dxfId="4185">
      <formula>INDEX($I$1:$I$399,ROW(CG250))=2</formula>
    </cfRule>
    <cfRule type="expression" priority="1614" dxfId="4166">
      <formula>INDEX($I$1:$I$399,ROW(CG250))=1</formula>
    </cfRule>
    <cfRule type="expression" priority="1613" dxfId="4186">
      <formula>INDEX($I$1:$I$399,ROW(CG250))=3</formula>
    </cfRule>
    <cfRule type="expression" priority="1630" dxfId="4166">
      <formula>INDEX($I$1:$I$399,ROW(CG250))=1</formula>
    </cfRule>
    <cfRule type="expression" priority="1646" dxfId="4166">
      <formula>INDEX($I$1:$I$399,ROW(CG250))=1</formula>
    </cfRule>
    <cfRule type="expression" priority="1629" dxfId="4186">
      <formula>INDEX($I$1:$I$399,ROW(CG250))=3</formula>
    </cfRule>
    <cfRule type="expression" priority="1615" dxfId="4185">
      <formula>INDEX($I$1:$I$399,ROW(CG250))=2</formula>
    </cfRule>
    <cfRule type="expression" priority="1645" dxfId="4186">
      <formula>INDEX($I$1:$I$399,ROW(CG250))=3</formula>
    </cfRule>
  </conditionalFormatting>
  <conditionalFormatting sqref="CG259:CG264">
    <cfRule type="expression" priority="1489" dxfId="4185">
      <formula>INDEX($I$1:$I$399,ROW(CG259))=2</formula>
    </cfRule>
    <cfRule type="expression" priority="1504" dxfId="4166">
      <formula>INDEX($I$1:$I$399,ROW(CG259))=1</formula>
    </cfRule>
    <cfRule type="expression" priority="1503" dxfId="4186">
      <formula>INDEX($I$1:$I$399,ROW(CG259))=3</formula>
    </cfRule>
    <cfRule type="expression" priority="1505" dxfId="4185">
      <formula>INDEX($I$1:$I$399,ROW(CG259))=2</formula>
    </cfRule>
    <cfRule type="expression" priority="1471" dxfId="4186">
      <formula>INDEX($I$1:$I$399,ROW(CG259))=3</formula>
    </cfRule>
    <cfRule type="expression" priority="1472" dxfId="4166">
      <formula>INDEX($I$1:$I$399,ROW(CG259))=1</formula>
    </cfRule>
    <cfRule type="expression" priority="1473" dxfId="4185">
      <formula>INDEX($I$1:$I$399,ROW(CG259))=2</formula>
    </cfRule>
    <cfRule type="expression" priority="1487" dxfId="4186">
      <formula>INDEX($I$1:$I$399,ROW(CG259))=3</formula>
    </cfRule>
    <cfRule type="expression" priority="1488" dxfId="4166">
      <formula>INDEX($I$1:$I$399,ROW(CG259))=1</formula>
    </cfRule>
  </conditionalFormatting>
  <conditionalFormatting sqref="CG268:CG273">
    <cfRule type="expression" priority="1359" dxfId="4186">
      <formula>INDEX($I$1:$I$399,ROW(CG268))=3</formula>
    </cfRule>
    <cfRule type="expression" priority="1327" dxfId="4186">
      <formula>INDEX($I$1:$I$399,ROW(CG268))=3</formula>
    </cfRule>
    <cfRule type="expression" priority="1328" dxfId="4166">
      <formula>INDEX($I$1:$I$399,ROW(CG268))=1</formula>
    </cfRule>
    <cfRule type="expression" priority="1329" dxfId="4185">
      <formula>INDEX($I$1:$I$399,ROW(CG268))=2</formula>
    </cfRule>
    <cfRule type="expression" priority="1343" dxfId="4186">
      <formula>INDEX($I$1:$I$399,ROW(CG268))=3</formula>
    </cfRule>
    <cfRule type="expression" priority="1344" dxfId="4166">
      <formula>INDEX($I$1:$I$399,ROW(CG268))=1</formula>
    </cfRule>
    <cfRule type="expression" priority="1361" dxfId="4185">
      <formula>INDEX($I$1:$I$399,ROW(CG268))=2</formula>
    </cfRule>
    <cfRule type="expression" priority="1380" dxfId="4186">
      <formula>INDEX($I$1:$I$399,ROW(CG268))=3</formula>
    </cfRule>
    <cfRule type="expression" priority="1360" dxfId="4166">
      <formula>INDEX($I$1:$I$399,ROW(CG268))=1</formula>
    </cfRule>
    <cfRule type="expression" priority="1345" dxfId="4185">
      <formula>INDEX($I$1:$I$399,ROW(CG268))=2</formula>
    </cfRule>
  </conditionalFormatting>
  <conditionalFormatting sqref="CG277:CG282">
    <cfRule type="expression" priority="1199" dxfId="4186">
      <formula>INDEX($I$1:$I$399,ROW(CG277))=3</formula>
    </cfRule>
    <cfRule type="expression" priority="1201" dxfId="4185">
      <formula>INDEX($I$1:$I$399,ROW(CG277))=2</formula>
    </cfRule>
    <cfRule type="expression" priority="1185" dxfId="4185">
      <formula>INDEX($I$1:$I$399,ROW(CG277))=2</formula>
    </cfRule>
    <cfRule type="expression" priority="1215" dxfId="4186">
      <formula>INDEX($I$1:$I$399,ROW(CG277))=3</formula>
    </cfRule>
    <cfRule type="expression" priority="1216" dxfId="4166">
      <formula>INDEX($I$1:$I$399,ROW(CG277))=1</formula>
    </cfRule>
    <cfRule type="expression" priority="1184" dxfId="4166">
      <formula>INDEX($I$1:$I$399,ROW(CG277))=1</formula>
    </cfRule>
    <cfRule type="expression" priority="1183" dxfId="4186">
      <formula>INDEX($I$1:$I$399,ROW(CG277))=3</formula>
    </cfRule>
    <cfRule type="expression" priority="1236" dxfId="4186">
      <formula>INDEX($I$1:$I$399,ROW(CG277))=3</formula>
    </cfRule>
    <cfRule type="expression" priority="1217" dxfId="4185">
      <formula>INDEX($I$1:$I$399,ROW(CG277))=2</formula>
    </cfRule>
    <cfRule type="expression" priority="1200" dxfId="4166">
      <formula>INDEX($I$1:$I$399,ROW(CG277))=1</formula>
    </cfRule>
  </conditionalFormatting>
  <conditionalFormatting sqref="CG286:CG291">
    <cfRule type="expression" priority="1092" dxfId="4186">
      <formula>INDEX($I$1:$I$399,ROW(CG286))=3</formula>
    </cfRule>
    <cfRule type="expression" priority="1056" dxfId="4166">
      <formula>INDEX($I$1:$I$399,ROW(CG286))=1</formula>
    </cfRule>
    <cfRule type="expression" priority="1073" dxfId="4185">
      <formula>INDEX($I$1:$I$399,ROW(CG286))=2</formula>
    </cfRule>
    <cfRule type="expression" priority="1072" dxfId="4166">
      <formula>INDEX($I$1:$I$399,ROW(CG286))=1</formula>
    </cfRule>
    <cfRule type="expression" priority="1071" dxfId="4186">
      <formula>INDEX($I$1:$I$399,ROW(CG286))=3</formula>
    </cfRule>
    <cfRule type="expression" priority="1055" dxfId="4186">
      <formula>INDEX($I$1:$I$399,ROW(CG286))=3</formula>
    </cfRule>
    <cfRule type="expression" priority="1057" dxfId="4185">
      <formula>INDEX($I$1:$I$399,ROW(CG286))=2</formula>
    </cfRule>
    <cfRule type="expression" priority="1040" dxfId="4166">
      <formula>INDEX($I$1:$I$399,ROW(CG286))=1</formula>
    </cfRule>
    <cfRule type="expression" priority="1041" dxfId="4185">
      <formula>INDEX($I$1:$I$399,ROW(CG286))=2</formula>
    </cfRule>
    <cfRule type="expression" priority="1039" dxfId="4186">
      <formula>INDEX($I$1:$I$399,ROW(CG286))=3</formula>
    </cfRule>
  </conditionalFormatting>
  <conditionalFormatting sqref="CG295:CG300">
    <cfRule type="expression" priority="928" dxfId="4185">
      <formula>INDEX($I$1:$I$399,ROW(CG295))=2</formula>
    </cfRule>
    <cfRule type="expression" priority="894" dxfId="4186">
      <formula>INDEX($I$1:$I$399,ROW(CG295))=3</formula>
    </cfRule>
    <cfRule type="expression" priority="895" dxfId="4166">
      <formula>INDEX($I$1:$I$399,ROW(CG295))=1</formula>
    </cfRule>
    <cfRule type="expression" priority="896" dxfId="4185">
      <formula>INDEX($I$1:$I$399,ROW(CG295))=2</formula>
    </cfRule>
    <cfRule type="expression" priority="910" dxfId="4186">
      <formula>INDEX($I$1:$I$399,ROW(CG295))=3</formula>
    </cfRule>
    <cfRule type="expression" priority="911" dxfId="4166">
      <formula>INDEX($I$1:$I$399,ROW(CG295))=1</formula>
    </cfRule>
    <cfRule type="expression" priority="912" dxfId="4185">
      <formula>INDEX($I$1:$I$399,ROW(CG295))=2</formula>
    </cfRule>
    <cfRule type="expression" priority="947" dxfId="4186">
      <formula>INDEX($I$1:$I$399,ROW(CG295))=3</formula>
    </cfRule>
    <cfRule type="expression" priority="926" dxfId="4186">
      <formula>INDEX($I$1:$I$399,ROW(CG295))=3</formula>
    </cfRule>
    <cfRule type="expression" priority="927" dxfId="4166">
      <formula>INDEX($I$1:$I$399,ROW(CG295))=1</formula>
    </cfRule>
  </conditionalFormatting>
  <conditionalFormatting sqref="CG304:CG309">
    <cfRule type="expression" priority="745" dxfId="4186">
      <formula>INDEX($I$1:$I$399,ROW(CG304))=3</formula>
    </cfRule>
    <cfRule type="expression" priority="746" dxfId="4166">
      <formula>INDEX($I$1:$I$399,ROW(CG304))=1</formula>
    </cfRule>
    <cfRule type="expression" priority="747" dxfId="4185">
      <formula>INDEX($I$1:$I$399,ROW(CG304))=2</formula>
    </cfRule>
    <cfRule type="expression" priority="761" dxfId="4186">
      <formula>INDEX($I$1:$I$399,ROW(CG304))=3</formula>
    </cfRule>
    <cfRule type="expression" priority="763" dxfId="4185">
      <formula>INDEX($I$1:$I$399,ROW(CG304))=2</formula>
    </cfRule>
    <cfRule type="expression" priority="762" dxfId="4166">
      <formula>INDEX($I$1:$I$399,ROW(CG304))=1</formula>
    </cfRule>
    <cfRule type="expression" priority="798" dxfId="4186">
      <formula>INDEX($I$1:$I$399,ROW(CG304))=3</formula>
    </cfRule>
    <cfRule type="expression" priority="777" dxfId="4186">
      <formula>INDEX($I$1:$I$399,ROW(CG304))=3</formula>
    </cfRule>
    <cfRule type="expression" priority="778" dxfId="4166">
      <formula>INDEX($I$1:$I$399,ROW(CG304))=1</formula>
    </cfRule>
    <cfRule type="expression" priority="779" dxfId="4185">
      <formula>INDEX($I$1:$I$399,ROW(CG304))=2</formula>
    </cfRule>
  </conditionalFormatting>
  <conditionalFormatting sqref="CG313:CG318">
    <cfRule type="expression" priority="596" dxfId="4186">
      <formula>INDEX($I$1:$I$399,ROW(CG313))=3</formula>
    </cfRule>
    <cfRule type="expression" priority="614" dxfId="4185">
      <formula>INDEX($I$1:$I$399,ROW(CG313))=2</formula>
    </cfRule>
    <cfRule type="expression" priority="649" dxfId="4186">
      <formula>INDEX($I$1:$I$399,ROW(CG313))=3</formula>
    </cfRule>
    <cfRule type="expression" priority="612" dxfId="4186">
      <formula>INDEX($I$1:$I$399,ROW(CG313))=3</formula>
    </cfRule>
    <cfRule type="expression" priority="613" dxfId="4166">
      <formula>INDEX($I$1:$I$399,ROW(CG313))=1</formula>
    </cfRule>
    <cfRule type="expression" priority="630" dxfId="4185">
      <formula>INDEX($I$1:$I$399,ROW(CG313))=2</formula>
    </cfRule>
    <cfRule type="expression" priority="629" dxfId="4166">
      <formula>INDEX($I$1:$I$399,ROW(CG313))=1</formula>
    </cfRule>
    <cfRule type="expression" priority="628" dxfId="4186">
      <formula>INDEX($I$1:$I$399,ROW(CG313))=3</formula>
    </cfRule>
    <cfRule type="expression" priority="598" dxfId="4185">
      <formula>INDEX($I$1:$I$399,ROW(CG313))=2</formula>
    </cfRule>
    <cfRule type="expression" priority="597" dxfId="4166">
      <formula>INDEX($I$1:$I$399,ROW(CG313))=1</formula>
    </cfRule>
  </conditionalFormatting>
  <conditionalFormatting sqref="CG322:CG327">
    <cfRule type="expression" priority="480" dxfId="4166">
      <formula>INDEX($I$1:$I$399,ROW(CG322))=1</formula>
    </cfRule>
    <cfRule type="expression" priority="479" dxfId="4186">
      <formula>INDEX($I$1:$I$399,ROW(CG322))=3</formula>
    </cfRule>
    <cfRule type="expression" priority="481" dxfId="4185">
      <formula>INDEX($I$1:$I$399,ROW(CG322))=2</formula>
    </cfRule>
    <cfRule type="expression" priority="447" dxfId="4186">
      <formula>INDEX($I$1:$I$399,ROW(CG322))=3</formula>
    </cfRule>
    <cfRule type="expression" priority="448" dxfId="4166">
      <formula>INDEX($I$1:$I$399,ROW(CG322))=1</formula>
    </cfRule>
    <cfRule type="expression" priority="465" dxfId="4185">
      <formula>INDEX($I$1:$I$399,ROW(CG322))=2</formula>
    </cfRule>
    <cfRule type="expression" priority="464" dxfId="4166">
      <formula>INDEX($I$1:$I$399,ROW(CG322))=1</formula>
    </cfRule>
    <cfRule type="expression" priority="463" dxfId="4186">
      <formula>INDEX($I$1:$I$399,ROW(CG322))=3</formula>
    </cfRule>
    <cfRule type="expression" priority="449" dxfId="4185">
      <formula>INDEX($I$1:$I$399,ROW(CG322))=2</formula>
    </cfRule>
    <cfRule type="expression" priority="500" dxfId="4186">
      <formula>INDEX($I$1:$I$399,ROW(CG322))=3</formula>
    </cfRule>
  </conditionalFormatting>
  <conditionalFormatting sqref="CG331:CG336">
    <cfRule type="expression" priority="314" dxfId="4186">
      <formula>INDEX($I$1:$I$399,ROW(CG331))=3</formula>
    </cfRule>
    <cfRule type="expression" priority="315" dxfId="4166">
      <formula>INDEX($I$1:$I$399,ROW(CG331))=1</formula>
    </cfRule>
    <cfRule type="expression" priority="316" dxfId="4185">
      <formula>INDEX($I$1:$I$399,ROW(CG331))=2</formula>
    </cfRule>
    <cfRule type="expression" priority="300" dxfId="4185">
      <formula>INDEX($I$1:$I$399,ROW(CG331))=2</formula>
    </cfRule>
    <cfRule type="expression" priority="330" dxfId="4186">
      <formula>INDEX($I$1:$I$399,ROW(CG331))=3</formula>
    </cfRule>
    <cfRule type="expression" priority="331" dxfId="4166">
      <formula>INDEX($I$1:$I$399,ROW(CG331))=1</formula>
    </cfRule>
    <cfRule type="expression" priority="332" dxfId="4185">
      <formula>INDEX($I$1:$I$399,ROW(CG331))=2</formula>
    </cfRule>
    <cfRule type="expression" priority="351" dxfId="4186">
      <formula>INDEX($I$1:$I$399,ROW(CG331))=3</formula>
    </cfRule>
    <cfRule type="expression" priority="299" dxfId="4166">
      <formula>INDEX($I$1:$I$399,ROW(CG331))=1</formula>
    </cfRule>
    <cfRule type="expression" priority="298" dxfId="4186">
      <formula>INDEX($I$1:$I$399,ROW(CG331))=3</formula>
    </cfRule>
  </conditionalFormatting>
  <conditionalFormatting sqref="CG245:CH248 CJ245:CN248 BO249:BZ249 CL249 CJ257:CN257 BO258:BZ258 CL258:CN258 CL265 BO267:BZ267 CL267:CN267 CL274 BO276:BZ276 CL276:CN276 CL283 BO285:BZ285 CL285:CN285 CL292 BO294:BZ294 CL294:CN294 CL301 CL303:CN303 CL310 BO312:BZ312 CL312:CN312 CL319 BO321:BZ321 CL321:CN321 CL328 BO330:BZ330 CL330:CN330 CL337 CJ338:CN338 CP338:CQ338">
    <cfRule type="expression" priority="1847" dxfId="4185">
      <formula>INDEX($I$1:$I$399,ROW(BO245))=2</formula>
    </cfRule>
    <cfRule type="expression" priority="1846" dxfId="4166">
      <formula>INDEX($I$1:$I$399,ROW(BO245))=1</formula>
    </cfRule>
  </conditionalFormatting>
  <conditionalFormatting sqref="CG250:CH255">
    <cfRule type="expression" priority="1809" dxfId="4186">
      <formula>INDEX($I$1:$I$399,ROW(CG250))=3</formula>
    </cfRule>
    <cfRule type="expression" priority="1810" dxfId="4166">
      <formula>INDEX($I$1:$I$399,ROW(CG250))=1</formula>
    </cfRule>
    <cfRule type="expression" priority="1811" dxfId="4185">
      <formula>INDEX($I$1:$I$399,ROW(CG250))=2</formula>
    </cfRule>
  </conditionalFormatting>
  <conditionalFormatting sqref="CG257:CH257">
    <cfRule type="expression" priority="1845" dxfId="4185">
      <formula>INDEX($I$1:$I$399,ROW(CG257))=2</formula>
    </cfRule>
    <cfRule type="expression" priority="1844" dxfId="4166">
      <formula>INDEX($I$1:$I$399,ROW(CG257))=1</formula>
    </cfRule>
  </conditionalFormatting>
  <conditionalFormatting sqref="CG259:CH264">
    <cfRule type="expression" priority="1525" dxfId="4166">
      <formula>INDEX($I$1:$I$399,ROW(CG259))=1</formula>
    </cfRule>
    <cfRule type="expression" priority="1524" dxfId="4186">
      <formula>INDEX($I$1:$I$399,ROW(CG259))=3</formula>
    </cfRule>
    <cfRule type="expression" priority="1526" dxfId="4185">
      <formula>INDEX($I$1:$I$399,ROW(CG259))=2</formula>
    </cfRule>
  </conditionalFormatting>
  <conditionalFormatting sqref="CG265:CH265">
    <cfRule type="expression" priority="1509" dxfId="4039">
      <formula>AND($X265=0,ISNUMBER($X265))</formula>
    </cfRule>
  </conditionalFormatting>
  <conditionalFormatting sqref="CG266:CH266">
    <cfRule type="expression" priority="1821" dxfId="4186">
      <formula>INDEX($I$1:$I$399,ROW(CG266))=3</formula>
    </cfRule>
  </conditionalFormatting>
  <conditionalFormatting sqref="CG268:CH273">
    <cfRule type="expression" priority="1382" dxfId="4185">
      <formula>INDEX($I$1:$I$399,ROW(CG268))=2</formula>
    </cfRule>
    <cfRule type="expression" priority="1381" dxfId="4166">
      <formula>INDEX($I$1:$I$399,ROW(CG268))=1</formula>
    </cfRule>
  </conditionalFormatting>
  <conditionalFormatting sqref="CG274:CH274">
    <cfRule type="expression" priority="1365" dxfId="4039">
      <formula>AND($X274=0,ISNUMBER($X274))</formula>
    </cfRule>
  </conditionalFormatting>
  <conditionalFormatting sqref="CG275:CH275">
    <cfRule type="expression" priority="1780" dxfId="4166">
      <formula>INDEX($I$1:$I$399,ROW(CG275))=1</formula>
    </cfRule>
    <cfRule type="expression" priority="1781" dxfId="4185">
      <formula>INDEX($I$1:$I$399,ROW(CG275))=2</formula>
    </cfRule>
    <cfRule type="expression" priority="1776" dxfId="4186">
      <formula>INDEX($I$1:$I$399,ROW(CG275))=3</formula>
    </cfRule>
  </conditionalFormatting>
  <conditionalFormatting sqref="CG277:CH282">
    <cfRule type="expression" priority="1238" dxfId="4185">
      <formula>INDEX($I$1:$I$399,ROW(CG277))=2</formula>
    </cfRule>
    <cfRule type="expression" priority="1237" dxfId="4166">
      <formula>INDEX($I$1:$I$399,ROW(CG277))=1</formula>
    </cfRule>
  </conditionalFormatting>
  <conditionalFormatting sqref="CG283:CH283">
    <cfRule type="expression" priority="1221" dxfId="4039">
      <formula>AND($X283=0,ISNUMBER($X283))</formula>
    </cfRule>
  </conditionalFormatting>
  <conditionalFormatting sqref="CG284:CH284">
    <cfRule type="expression" priority="1760" dxfId="4186">
      <formula>INDEX($I$1:$I$399,ROW(CG284))=3</formula>
    </cfRule>
    <cfRule type="expression" priority="1765" dxfId="4185">
      <formula>INDEX($I$1:$I$399,ROW(CG284))=2</formula>
    </cfRule>
    <cfRule type="expression" priority="1764" dxfId="4166">
      <formula>INDEX($I$1:$I$399,ROW(CG284))=1</formula>
    </cfRule>
  </conditionalFormatting>
  <conditionalFormatting sqref="CG286:CH291">
    <cfRule type="expression" priority="1094" dxfId="4185">
      <formula>INDEX($I$1:$I$399,ROW(CG286))=2</formula>
    </cfRule>
    <cfRule type="expression" priority="1093" dxfId="4166">
      <formula>INDEX($I$1:$I$399,ROW(CG286))=1</formula>
    </cfRule>
  </conditionalFormatting>
  <conditionalFormatting sqref="CG292:CH292">
    <cfRule type="expression" priority="1077" dxfId="4039">
      <formula>AND($X292=0,ISNUMBER($X292))</formula>
    </cfRule>
  </conditionalFormatting>
  <conditionalFormatting sqref="CG293:CH293">
    <cfRule type="expression" priority="1743" dxfId="4186">
      <formula>INDEX($I$1:$I$399,ROW(CG293))=3</formula>
    </cfRule>
    <cfRule type="expression" priority="1748" dxfId="4185">
      <formula>INDEX($I$1:$I$399,ROW(CG293))=2</formula>
    </cfRule>
    <cfRule type="expression" priority="1747" dxfId="4166">
      <formula>INDEX($I$1:$I$399,ROW(CG293))=1</formula>
    </cfRule>
  </conditionalFormatting>
  <conditionalFormatting sqref="CG295:CH300">
    <cfRule type="expression" priority="948" dxfId="4166">
      <formula>INDEX($I$1:$I$399,ROW(CG295))=1</formula>
    </cfRule>
    <cfRule type="expression" priority="949" dxfId="4185">
      <formula>INDEX($I$1:$I$399,ROW(CG295))=2</formula>
    </cfRule>
  </conditionalFormatting>
  <conditionalFormatting sqref="CG301:CH301">
    <cfRule type="expression" priority="932" dxfId="4039">
      <formula>AND($X301=0,ISNUMBER($X301))</formula>
    </cfRule>
  </conditionalFormatting>
  <conditionalFormatting sqref="CG302:CH302">
    <cfRule type="expression" priority="1721" dxfId="4186">
      <formula>INDEX($I$1:$I$399,ROW(CG302))=3</formula>
    </cfRule>
    <cfRule type="expression" priority="1725" dxfId="4166">
      <formula>INDEX($I$1:$I$399,ROW(CG302))=1</formula>
    </cfRule>
    <cfRule type="expression" priority="1726" dxfId="4185">
      <formula>INDEX($I$1:$I$399,ROW(CG302))=2</formula>
    </cfRule>
  </conditionalFormatting>
  <conditionalFormatting sqref="CG304:CH309">
    <cfRule type="expression" priority="800" dxfId="4185">
      <formula>INDEX($I$1:$I$399,ROW(CG304))=2</formula>
    </cfRule>
    <cfRule type="expression" priority="799" dxfId="4166">
      <formula>INDEX($I$1:$I$399,ROW(CG304))=1</formula>
    </cfRule>
  </conditionalFormatting>
  <conditionalFormatting sqref="CG310:CH310">
    <cfRule type="expression" priority="783" dxfId="4039">
      <formula>AND($X310=0,ISNUMBER($X310))</formula>
    </cfRule>
  </conditionalFormatting>
  <conditionalFormatting sqref="CG311:CH311">
    <cfRule type="expression" priority="1697" dxfId="4186">
      <formula>INDEX($I$1:$I$399,ROW(CG311))=3</formula>
    </cfRule>
    <cfRule type="expression" priority="1702" dxfId="4185">
      <formula>INDEX($I$1:$I$399,ROW(CG311))=2</formula>
    </cfRule>
    <cfRule type="expression" priority="1701" dxfId="4166">
      <formula>INDEX($I$1:$I$399,ROW(CG311))=1</formula>
    </cfRule>
  </conditionalFormatting>
  <conditionalFormatting sqref="CG313:CH318">
    <cfRule type="expression" priority="651" dxfId="4185">
      <formula>INDEX($I$1:$I$399,ROW(CG313))=2</formula>
    </cfRule>
    <cfRule type="expression" priority="650" dxfId="4166">
      <formula>INDEX($I$1:$I$399,ROW(CG313))=1</formula>
    </cfRule>
  </conditionalFormatting>
  <conditionalFormatting sqref="CG319:CH319">
    <cfRule type="expression" priority="634" dxfId="4039">
      <formula>AND($X319=0,ISNUMBER($X319))</formula>
    </cfRule>
  </conditionalFormatting>
  <conditionalFormatting sqref="CG320:CH320">
    <cfRule type="expression" priority="1685" dxfId="4166">
      <formula>INDEX($I$1:$I$399,ROW(CG320))=1</formula>
    </cfRule>
    <cfRule type="expression" priority="1686" dxfId="4185">
      <formula>INDEX($I$1:$I$399,ROW(CG320))=2</formula>
    </cfRule>
    <cfRule type="expression" priority="1681" dxfId="4186">
      <formula>INDEX($I$1:$I$399,ROW(CG320))=3</formula>
    </cfRule>
  </conditionalFormatting>
  <conditionalFormatting sqref="CG322:CH327">
    <cfRule type="expression" priority="502" dxfId="4185">
      <formula>INDEX($I$1:$I$399,ROW(CG322))=2</formula>
    </cfRule>
    <cfRule type="expression" priority="501" dxfId="4166">
      <formula>INDEX($I$1:$I$399,ROW(CG322))=1</formula>
    </cfRule>
  </conditionalFormatting>
  <conditionalFormatting sqref="CG328:CH328">
    <cfRule type="expression" priority="485" dxfId="4039">
      <formula>AND($X328=0,ISNUMBER($X328))</formula>
    </cfRule>
  </conditionalFormatting>
  <conditionalFormatting sqref="CG329:CH329">
    <cfRule type="expression" priority="1669" dxfId="4185">
      <formula>INDEX($I$1:$I$399,ROW(CG329))=2</formula>
    </cfRule>
    <cfRule type="expression" priority="1668" dxfId="4166">
      <formula>INDEX($I$1:$I$399,ROW(CG329))=1</formula>
    </cfRule>
    <cfRule type="expression" priority="1664" dxfId="4186">
      <formula>INDEX($I$1:$I$399,ROW(CG329))=3</formula>
    </cfRule>
  </conditionalFormatting>
  <conditionalFormatting sqref="CG331:CH336">
    <cfRule type="expression" priority="353" dxfId="4185">
      <formula>INDEX($I$1:$I$399,ROW(CG331))=2</formula>
    </cfRule>
    <cfRule type="expression" priority="352" dxfId="4166">
      <formula>INDEX($I$1:$I$399,ROW(CG331))=1</formula>
    </cfRule>
  </conditionalFormatting>
  <conditionalFormatting sqref="CG337:CH337">
    <cfRule type="expression" priority="336" dxfId="4039">
      <formula>AND($X337=0,ISNUMBER($X337))</formula>
    </cfRule>
  </conditionalFormatting>
  <conditionalFormatting sqref="CJ250:CJ255">
    <cfRule type="expression" priority="1643" dxfId="4185">
      <formula>INDEX($I$1:$I$399,ROW(CJ250))=2</formula>
    </cfRule>
    <cfRule type="expression" priority="1642" dxfId="4166">
      <formula>INDEX($I$1:$I$399,ROW(CJ250))=1</formula>
    </cfRule>
    <cfRule type="expression" priority="1641" dxfId="4186">
      <formula>INDEX($I$1:$I$399,ROW(CJ250))=3</formula>
    </cfRule>
    <cfRule type="expression" priority="1573" dxfId="4186">
      <formula>INDEX($I$1:$I$399,ROW(CJ250))=3</formula>
    </cfRule>
    <cfRule type="expression" priority="1627" dxfId="4185">
      <formula>INDEX($I$1:$I$399,ROW(CJ250))=2</formula>
    </cfRule>
    <cfRule type="expression" priority="1626" dxfId="4166">
      <formula>INDEX($I$1:$I$399,ROW(CJ250))=1</formula>
    </cfRule>
    <cfRule type="expression" priority="1625" dxfId="4186">
      <formula>INDEX($I$1:$I$399,ROW(CJ250))=3</formula>
    </cfRule>
    <cfRule type="expression" priority="1611" dxfId="4185">
      <formula>INDEX($I$1:$I$399,ROW(CJ250))=2</formula>
    </cfRule>
    <cfRule type="expression" priority="1610" dxfId="4166">
      <formula>INDEX($I$1:$I$399,ROW(CJ250))=1</formula>
    </cfRule>
    <cfRule type="expression" priority="1609" dxfId="4186">
      <formula>INDEX($I$1:$I$399,ROW(CJ250))=3</formula>
    </cfRule>
    <cfRule type="expression" priority="1583" dxfId="4185">
      <formula>INDEX($I$1:$I$399,ROW(CJ250))=2</formula>
    </cfRule>
    <cfRule type="expression" priority="1582" dxfId="4166">
      <formula>INDEX($I$1:$I$399,ROW(CJ250))=1</formula>
    </cfRule>
    <cfRule type="expression" priority="1581" dxfId="4186">
      <formula>INDEX($I$1:$I$399,ROW(CJ250))=3</formula>
    </cfRule>
    <cfRule type="expression" priority="1579" dxfId="4185">
      <formula>INDEX($I$1:$I$399,ROW(CJ250))=2</formula>
    </cfRule>
    <cfRule type="expression" priority="1578" dxfId="4166">
      <formula>INDEX($I$1:$I$399,ROW(CJ250))=1</formula>
    </cfRule>
    <cfRule type="expression" priority="1577" dxfId="4186">
      <formula>INDEX($I$1:$I$399,ROW(CJ250))=3</formula>
    </cfRule>
    <cfRule type="expression" priority="1575" dxfId="4185">
      <formula>INDEX($I$1:$I$399,ROW(CJ250))=2</formula>
    </cfRule>
    <cfRule type="expression" priority="1574" dxfId="4166">
      <formula>INDEX($I$1:$I$399,ROW(CJ250))=1</formula>
    </cfRule>
    <cfRule type="expression" priority="1571" dxfId="4185">
      <formula>INDEX($I$1:$I$399,ROW(CJ250))=2</formula>
    </cfRule>
    <cfRule type="expression" priority="1570" dxfId="4166">
      <formula>INDEX($I$1:$I$399,ROW(CJ250))=1</formula>
    </cfRule>
    <cfRule type="expression" priority="1569" dxfId="4186">
      <formula>INDEX($I$1:$I$399,ROW(CJ250))=3</formula>
    </cfRule>
  </conditionalFormatting>
  <conditionalFormatting sqref="CJ259:CJ264">
    <cfRule type="expression" priority="1437" dxfId="4185">
      <formula>INDEX($I$1:$I$399,ROW(CJ259))=2</formula>
    </cfRule>
    <cfRule type="expression" priority="1501" dxfId="4185">
      <formula>INDEX($I$1:$I$399,ROW(CJ259))=2</formula>
    </cfRule>
    <cfRule type="expression" priority="1427" dxfId="4186">
      <formula>INDEX($I$1:$I$399,ROW(CJ259))=3</formula>
    </cfRule>
    <cfRule type="expression" priority="1428" dxfId="4166">
      <formula>INDEX($I$1:$I$399,ROW(CJ259))=1</formula>
    </cfRule>
    <cfRule type="expression" priority="1429" dxfId="4185">
      <formula>INDEX($I$1:$I$399,ROW(CJ259))=2</formula>
    </cfRule>
    <cfRule type="expression" priority="1431" dxfId="4186">
      <formula>INDEX($I$1:$I$399,ROW(CJ259))=3</formula>
    </cfRule>
    <cfRule type="expression" priority="1432" dxfId="4166">
      <formula>INDEX($I$1:$I$399,ROW(CJ259))=1</formula>
    </cfRule>
    <cfRule type="expression" priority="1433" dxfId="4185">
      <formula>INDEX($I$1:$I$399,ROW(CJ259))=2</formula>
    </cfRule>
    <cfRule type="expression" priority="1435" dxfId="4186">
      <formula>INDEX($I$1:$I$399,ROW(CJ259))=3</formula>
    </cfRule>
    <cfRule type="expression" priority="1436" dxfId="4166">
      <formula>INDEX($I$1:$I$399,ROW(CJ259))=1</formula>
    </cfRule>
    <cfRule type="expression" priority="1500" dxfId="4166">
      <formula>INDEX($I$1:$I$399,ROW(CJ259))=1</formula>
    </cfRule>
    <cfRule type="expression" priority="1439" dxfId="4186">
      <formula>INDEX($I$1:$I$399,ROW(CJ259))=3</formula>
    </cfRule>
    <cfRule type="expression" priority="1440" dxfId="4166">
      <formula>INDEX($I$1:$I$399,ROW(CJ259))=1</formula>
    </cfRule>
    <cfRule type="expression" priority="1441" dxfId="4185">
      <formula>INDEX($I$1:$I$399,ROW(CJ259))=2</formula>
    </cfRule>
    <cfRule type="expression" priority="1485" dxfId="4185">
      <formula>INDEX($I$1:$I$399,ROW(CJ259))=2</formula>
    </cfRule>
    <cfRule type="expression" priority="1499" dxfId="4186">
      <formula>INDEX($I$1:$I$399,ROW(CJ259))=3</formula>
    </cfRule>
    <cfRule type="expression" priority="1484" dxfId="4166">
      <formula>INDEX($I$1:$I$399,ROW(CJ259))=1</formula>
    </cfRule>
    <cfRule type="expression" priority="1467" dxfId="4186">
      <formula>INDEX($I$1:$I$399,ROW(CJ259))=3</formula>
    </cfRule>
    <cfRule type="expression" priority="1468" dxfId="4166">
      <formula>INDEX($I$1:$I$399,ROW(CJ259))=1</formula>
    </cfRule>
    <cfRule type="expression" priority="1469" dxfId="4185">
      <formula>INDEX($I$1:$I$399,ROW(CJ259))=2</formula>
    </cfRule>
    <cfRule type="expression" priority="1483" dxfId="4186">
      <formula>INDEX($I$1:$I$399,ROW(CJ259))=3</formula>
    </cfRule>
  </conditionalFormatting>
  <conditionalFormatting sqref="CJ268:CJ273">
    <cfRule type="expression" priority="1355" dxfId="4186">
      <formula>INDEX($I$1:$I$399,ROW(CJ268))=3</formula>
    </cfRule>
    <cfRule type="expression" priority="1356" dxfId="4166">
      <formula>INDEX($I$1:$I$399,ROW(CJ268))=1</formula>
    </cfRule>
    <cfRule type="expression" priority="1284" dxfId="4166">
      <formula>INDEX($I$1:$I$399,ROW(CJ268))=1</formula>
    </cfRule>
    <cfRule type="expression" priority="1285" dxfId="4185">
      <formula>INDEX($I$1:$I$399,ROW(CJ268))=2</formula>
    </cfRule>
    <cfRule type="expression" priority="1296" dxfId="4166">
      <formula>INDEX($I$1:$I$399,ROW(CJ268))=1</formula>
    </cfRule>
    <cfRule type="expression" priority="1295" dxfId="4186">
      <formula>INDEX($I$1:$I$399,ROW(CJ268))=3</formula>
    </cfRule>
    <cfRule type="expression" priority="1293" dxfId="4185">
      <formula>INDEX($I$1:$I$399,ROW(CJ268))=2</formula>
    </cfRule>
    <cfRule type="expression" priority="1292" dxfId="4166">
      <formula>INDEX($I$1:$I$399,ROW(CJ268))=1</formula>
    </cfRule>
    <cfRule type="expression" priority="1341" dxfId="4185">
      <formula>INDEX($I$1:$I$399,ROW(CJ268))=2</formula>
    </cfRule>
    <cfRule type="expression" priority="1291" dxfId="4186">
      <formula>INDEX($I$1:$I$399,ROW(CJ268))=3</formula>
    </cfRule>
    <cfRule type="expression" priority="1340" dxfId="4166">
      <formula>INDEX($I$1:$I$399,ROW(CJ268))=1</formula>
    </cfRule>
    <cfRule type="expression" priority="1339" dxfId="4186">
      <formula>INDEX($I$1:$I$399,ROW(CJ268))=3</formula>
    </cfRule>
    <cfRule type="expression" priority="1288" dxfId="4166">
      <formula>INDEX($I$1:$I$399,ROW(CJ268))=1</formula>
    </cfRule>
    <cfRule type="expression" priority="1287" dxfId="4186">
      <formula>INDEX($I$1:$I$399,ROW(CJ268))=3</formula>
    </cfRule>
    <cfRule type="expression" priority="1289" dxfId="4185">
      <formula>INDEX($I$1:$I$399,ROW(CJ268))=2</formula>
    </cfRule>
    <cfRule type="expression" priority="1325" dxfId="4185">
      <formula>INDEX($I$1:$I$399,ROW(CJ268))=2</formula>
    </cfRule>
    <cfRule type="expression" priority="1324" dxfId="4166">
      <formula>INDEX($I$1:$I$399,ROW(CJ268))=1</formula>
    </cfRule>
    <cfRule type="expression" priority="1323" dxfId="4186">
      <formula>INDEX($I$1:$I$399,ROW(CJ268))=3</formula>
    </cfRule>
    <cfRule type="expression" priority="1357" dxfId="4185">
      <formula>INDEX($I$1:$I$399,ROW(CJ268))=2</formula>
    </cfRule>
    <cfRule type="expression" priority="1283" dxfId="4186">
      <formula>INDEX($I$1:$I$399,ROW(CJ268))=3</formula>
    </cfRule>
    <cfRule type="expression" priority="1297" dxfId="4185">
      <formula>INDEX($I$1:$I$399,ROW(CJ268))=2</formula>
    </cfRule>
  </conditionalFormatting>
  <conditionalFormatting sqref="CJ277:CJ282">
    <cfRule type="expression" priority="1145" dxfId="4185">
      <formula>INDEX($I$1:$I$399,ROW(CJ277))=2</formula>
    </cfRule>
    <cfRule type="expression" priority="1213" dxfId="4185">
      <formula>INDEX($I$1:$I$399,ROW(CJ277))=2</formula>
    </cfRule>
    <cfRule type="expression" priority="1153" dxfId="4185">
      <formula>INDEX($I$1:$I$399,ROW(CJ277))=2</formula>
    </cfRule>
    <cfRule type="expression" priority="1152" dxfId="4166">
      <formula>INDEX($I$1:$I$399,ROW(CJ277))=1</formula>
    </cfRule>
    <cfRule type="expression" priority="1151" dxfId="4186">
      <formula>INDEX($I$1:$I$399,ROW(CJ277))=3</formula>
    </cfRule>
    <cfRule type="expression" priority="1149" dxfId="4185">
      <formula>INDEX($I$1:$I$399,ROW(CJ277))=2</formula>
    </cfRule>
    <cfRule type="expression" priority="1148" dxfId="4166">
      <formula>INDEX($I$1:$I$399,ROW(CJ277))=1</formula>
    </cfRule>
    <cfRule type="expression" priority="1147" dxfId="4186">
      <formula>INDEX($I$1:$I$399,ROW(CJ277))=3</formula>
    </cfRule>
    <cfRule type="expression" priority="1144" dxfId="4166">
      <formula>INDEX($I$1:$I$399,ROW(CJ277))=1</formula>
    </cfRule>
    <cfRule type="expression" priority="1143" dxfId="4186">
      <formula>INDEX($I$1:$I$399,ROW(CJ277))=3</formula>
    </cfRule>
    <cfRule type="expression" priority="1141" dxfId="4185">
      <formula>INDEX($I$1:$I$399,ROW(CJ277))=2</formula>
    </cfRule>
    <cfRule type="expression" priority="1212" dxfId="4166">
      <formula>INDEX($I$1:$I$399,ROW(CJ277))=1</formula>
    </cfRule>
    <cfRule type="expression" priority="1139" dxfId="4186">
      <formula>INDEX($I$1:$I$399,ROW(CJ277))=3</formula>
    </cfRule>
    <cfRule type="expression" priority="1179" dxfId="4186">
      <formula>INDEX($I$1:$I$399,ROW(CJ277))=3</formula>
    </cfRule>
    <cfRule type="expression" priority="1180" dxfId="4166">
      <formula>INDEX($I$1:$I$399,ROW(CJ277))=1</formula>
    </cfRule>
    <cfRule type="expression" priority="1181" dxfId="4185">
      <formula>INDEX($I$1:$I$399,ROW(CJ277))=2</formula>
    </cfRule>
    <cfRule type="expression" priority="1195" dxfId="4186">
      <formula>INDEX($I$1:$I$399,ROW(CJ277))=3</formula>
    </cfRule>
    <cfRule type="expression" priority="1196" dxfId="4166">
      <formula>INDEX($I$1:$I$399,ROW(CJ277))=1</formula>
    </cfRule>
    <cfRule type="expression" priority="1197" dxfId="4185">
      <formula>INDEX($I$1:$I$399,ROW(CJ277))=2</formula>
    </cfRule>
    <cfRule type="expression" priority="1140" dxfId="4166">
      <formula>INDEX($I$1:$I$399,ROW(CJ277))=1</formula>
    </cfRule>
    <cfRule type="expression" priority="1211" dxfId="4186">
      <formula>INDEX($I$1:$I$399,ROW(CJ277))=3</formula>
    </cfRule>
  </conditionalFormatting>
  <conditionalFormatting sqref="CJ286:CJ291">
    <cfRule type="expression" priority="1008" dxfId="4166">
      <formula>INDEX($I$1:$I$399,ROW(CJ286))=1</formula>
    </cfRule>
    <cfRule type="expression" priority="999" dxfId="4186">
      <formula>INDEX($I$1:$I$399,ROW(CJ286))=3</formula>
    </cfRule>
    <cfRule type="expression" priority="997" dxfId="4185">
      <formula>INDEX($I$1:$I$399,ROW(CJ286))=2</formula>
    </cfRule>
    <cfRule type="expression" priority="1069" dxfId="4185">
      <formula>INDEX($I$1:$I$399,ROW(CJ286))=2</formula>
    </cfRule>
    <cfRule type="expression" priority="1068" dxfId="4166">
      <formula>INDEX($I$1:$I$399,ROW(CJ286))=1</formula>
    </cfRule>
    <cfRule type="expression" priority="1067" dxfId="4186">
      <formula>INDEX($I$1:$I$399,ROW(CJ286))=3</formula>
    </cfRule>
    <cfRule type="expression" priority="1000" dxfId="4166">
      <formula>INDEX($I$1:$I$399,ROW(CJ286))=1</formula>
    </cfRule>
    <cfRule type="expression" priority="1005" dxfId="4185">
      <formula>INDEX($I$1:$I$399,ROW(CJ286))=2</formula>
    </cfRule>
    <cfRule type="expression" priority="1001" dxfId="4185">
      <formula>INDEX($I$1:$I$399,ROW(CJ286))=2</formula>
    </cfRule>
    <cfRule type="expression" priority="996" dxfId="4166">
      <formula>INDEX($I$1:$I$399,ROW(CJ286))=1</formula>
    </cfRule>
    <cfRule type="expression" priority="1037" dxfId="4185">
      <formula>INDEX($I$1:$I$399,ROW(CJ286))=2</formula>
    </cfRule>
    <cfRule type="expression" priority="1036" dxfId="4166">
      <formula>INDEX($I$1:$I$399,ROW(CJ286))=1</formula>
    </cfRule>
    <cfRule type="expression" priority="1035" dxfId="4186">
      <formula>INDEX($I$1:$I$399,ROW(CJ286))=3</formula>
    </cfRule>
    <cfRule type="expression" priority="1009" dxfId="4185">
      <formula>INDEX($I$1:$I$399,ROW(CJ286))=2</formula>
    </cfRule>
    <cfRule type="expression" priority="1003" dxfId="4186">
      <formula>INDEX($I$1:$I$399,ROW(CJ286))=3</formula>
    </cfRule>
    <cfRule type="expression" priority="1004" dxfId="4166">
      <formula>INDEX($I$1:$I$399,ROW(CJ286))=1</formula>
    </cfRule>
    <cfRule type="expression" priority="1051" dxfId="4186">
      <formula>INDEX($I$1:$I$399,ROW(CJ286))=3</formula>
    </cfRule>
    <cfRule type="expression" priority="1052" dxfId="4166">
      <formula>INDEX($I$1:$I$399,ROW(CJ286))=1</formula>
    </cfRule>
    <cfRule type="expression" priority="1053" dxfId="4185">
      <formula>INDEX($I$1:$I$399,ROW(CJ286))=2</formula>
    </cfRule>
    <cfRule type="expression" priority="1007" dxfId="4186">
      <formula>INDEX($I$1:$I$399,ROW(CJ286))=3</formula>
    </cfRule>
    <cfRule type="expression" priority="995" dxfId="4186">
      <formula>INDEX($I$1:$I$399,ROW(CJ286))=3</formula>
    </cfRule>
  </conditionalFormatting>
  <conditionalFormatting sqref="CJ295:CJ300">
    <cfRule type="expression" priority="855" dxfId="4166">
      <formula>INDEX($I$1:$I$399,ROW(CJ295))=1</formula>
    </cfRule>
    <cfRule type="expression" priority="850" dxfId="4186">
      <formula>INDEX($I$1:$I$399,ROW(CJ295))=3</formula>
    </cfRule>
    <cfRule type="expression" priority="851" dxfId="4166">
      <formula>INDEX($I$1:$I$399,ROW(CJ295))=1</formula>
    </cfRule>
    <cfRule type="expression" priority="852" dxfId="4185">
      <formula>INDEX($I$1:$I$399,ROW(CJ295))=2</formula>
    </cfRule>
    <cfRule type="expression" priority="854" dxfId="4186">
      <formula>INDEX($I$1:$I$399,ROW(CJ295))=3</formula>
    </cfRule>
    <cfRule type="expression" priority="856" dxfId="4185">
      <formula>INDEX($I$1:$I$399,ROW(CJ295))=2</formula>
    </cfRule>
    <cfRule type="expression" priority="858" dxfId="4186">
      <formula>INDEX($I$1:$I$399,ROW(CJ295))=3</formula>
    </cfRule>
    <cfRule type="expression" priority="859" dxfId="4166">
      <formula>INDEX($I$1:$I$399,ROW(CJ295))=1</formula>
    </cfRule>
    <cfRule type="expression" priority="860" dxfId="4185">
      <formula>INDEX($I$1:$I$399,ROW(CJ295))=2</formula>
    </cfRule>
    <cfRule type="expression" priority="862" dxfId="4186">
      <formula>INDEX($I$1:$I$399,ROW(CJ295))=3</formula>
    </cfRule>
    <cfRule type="expression" priority="863" dxfId="4166">
      <formula>INDEX($I$1:$I$399,ROW(CJ295))=1</formula>
    </cfRule>
    <cfRule type="expression" priority="864" dxfId="4185">
      <formula>INDEX($I$1:$I$399,ROW(CJ295))=2</formula>
    </cfRule>
    <cfRule type="expression" priority="890" dxfId="4186">
      <formula>INDEX($I$1:$I$399,ROW(CJ295))=3</formula>
    </cfRule>
    <cfRule type="expression" priority="891" dxfId="4166">
      <formula>INDEX($I$1:$I$399,ROW(CJ295))=1</formula>
    </cfRule>
    <cfRule type="expression" priority="892" dxfId="4185">
      <formula>INDEX($I$1:$I$399,ROW(CJ295))=2</formula>
    </cfRule>
    <cfRule type="expression" priority="906" dxfId="4186">
      <formula>INDEX($I$1:$I$399,ROW(CJ295))=3</formula>
    </cfRule>
    <cfRule type="expression" priority="907" dxfId="4166">
      <formula>INDEX($I$1:$I$399,ROW(CJ295))=1</formula>
    </cfRule>
    <cfRule type="expression" priority="908" dxfId="4185">
      <formula>INDEX($I$1:$I$399,ROW(CJ295))=2</formula>
    </cfRule>
    <cfRule type="expression" priority="922" dxfId="4186">
      <formula>INDEX($I$1:$I$399,ROW(CJ295))=3</formula>
    </cfRule>
    <cfRule type="expression" priority="923" dxfId="4166">
      <formula>INDEX($I$1:$I$399,ROW(CJ295))=1</formula>
    </cfRule>
    <cfRule type="expression" priority="924" dxfId="4185">
      <formula>INDEX($I$1:$I$399,ROW(CJ295))=2</formula>
    </cfRule>
  </conditionalFormatting>
  <conditionalFormatting sqref="CJ304:CJ309">
    <cfRule type="expression" priority="757" dxfId="4186">
      <formula>INDEX($I$1:$I$399,ROW(CJ304))=3</formula>
    </cfRule>
    <cfRule type="expression" priority="706" dxfId="4166">
      <formula>INDEX($I$1:$I$399,ROW(CJ304))=1</formula>
    </cfRule>
    <cfRule type="expression" priority="707" dxfId="4185">
      <formula>INDEX($I$1:$I$399,ROW(CJ304))=2</formula>
    </cfRule>
    <cfRule type="expression" priority="743" dxfId="4185">
      <formula>INDEX($I$1:$I$399,ROW(CJ304))=2</formula>
    </cfRule>
    <cfRule type="expression" priority="702" dxfId="4166">
      <formula>INDEX($I$1:$I$399,ROW(CJ304))=1</formula>
    </cfRule>
    <cfRule type="expression" priority="742" dxfId="4166">
      <formula>INDEX($I$1:$I$399,ROW(CJ304))=1</formula>
    </cfRule>
    <cfRule type="expression" priority="711" dxfId="4185">
      <formula>INDEX($I$1:$I$399,ROW(CJ304))=2</formula>
    </cfRule>
    <cfRule type="expression" priority="710" dxfId="4166">
      <formula>INDEX($I$1:$I$399,ROW(CJ304))=1</formula>
    </cfRule>
    <cfRule type="expression" priority="713" dxfId="4186">
      <formula>INDEX($I$1:$I$399,ROW(CJ304))=3</formula>
    </cfRule>
    <cfRule type="expression" priority="758" dxfId="4166">
      <formula>INDEX($I$1:$I$399,ROW(CJ304))=1</formula>
    </cfRule>
    <cfRule type="expression" priority="775" dxfId="4185">
      <formula>INDEX($I$1:$I$399,ROW(CJ304))=2</formula>
    </cfRule>
    <cfRule type="expression" priority="774" dxfId="4166">
      <formula>INDEX($I$1:$I$399,ROW(CJ304))=1</formula>
    </cfRule>
    <cfRule type="expression" priority="773" dxfId="4186">
      <formula>INDEX($I$1:$I$399,ROW(CJ304))=3</formula>
    </cfRule>
    <cfRule type="expression" priority="741" dxfId="4186">
      <formula>INDEX($I$1:$I$399,ROW(CJ304))=3</formula>
    </cfRule>
    <cfRule type="expression" priority="714" dxfId="4166">
      <formula>INDEX($I$1:$I$399,ROW(CJ304))=1</formula>
    </cfRule>
    <cfRule type="expression" priority="759" dxfId="4185">
      <formula>INDEX($I$1:$I$399,ROW(CJ304))=2</formula>
    </cfRule>
    <cfRule type="expression" priority="709" dxfId="4186">
      <formula>INDEX($I$1:$I$399,ROW(CJ304))=3</formula>
    </cfRule>
    <cfRule type="expression" priority="715" dxfId="4185">
      <formula>INDEX($I$1:$I$399,ROW(CJ304))=2</formula>
    </cfRule>
    <cfRule type="expression" priority="705" dxfId="4186">
      <formula>INDEX($I$1:$I$399,ROW(CJ304))=3</formula>
    </cfRule>
    <cfRule type="expression" priority="703" dxfId="4185">
      <formula>INDEX($I$1:$I$399,ROW(CJ304))=2</formula>
    </cfRule>
    <cfRule type="expression" priority="701" dxfId="4186">
      <formula>INDEX($I$1:$I$399,ROW(CJ304))=3</formula>
    </cfRule>
  </conditionalFormatting>
  <conditionalFormatting sqref="CJ313:CJ318">
    <cfRule type="expression" priority="554" dxfId="4185">
      <formula>INDEX($I$1:$I$399,ROW(CJ313))=2</formula>
    </cfRule>
    <cfRule type="expression" priority="556" dxfId="4186">
      <formula>INDEX($I$1:$I$399,ROW(CJ313))=3</formula>
    </cfRule>
    <cfRule type="expression" priority="553" dxfId="4166">
      <formula>INDEX($I$1:$I$399,ROW(CJ313))=1</formula>
    </cfRule>
    <cfRule type="expression" priority="608" dxfId="4186">
      <formula>INDEX($I$1:$I$399,ROW(CJ313))=3</formula>
    </cfRule>
    <cfRule type="expression" priority="609" dxfId="4166">
      <formula>INDEX($I$1:$I$399,ROW(CJ313))=1</formula>
    </cfRule>
    <cfRule type="expression" priority="610" dxfId="4185">
      <formula>INDEX($I$1:$I$399,ROW(CJ313))=2</formula>
    </cfRule>
    <cfRule type="expression" priority="626" dxfId="4185">
      <formula>INDEX($I$1:$I$399,ROW(CJ313))=2</formula>
    </cfRule>
    <cfRule type="expression" priority="558" dxfId="4185">
      <formula>INDEX($I$1:$I$399,ROW(CJ313))=2</formula>
    </cfRule>
    <cfRule type="expression" priority="624" dxfId="4186">
      <formula>INDEX($I$1:$I$399,ROW(CJ313))=3</formula>
    </cfRule>
    <cfRule type="expression" priority="625" dxfId="4166">
      <formula>INDEX($I$1:$I$399,ROW(CJ313))=1</formula>
    </cfRule>
    <cfRule type="expression" priority="594" dxfId="4185">
      <formula>INDEX($I$1:$I$399,ROW(CJ313))=2</formula>
    </cfRule>
    <cfRule type="expression" priority="560" dxfId="4186">
      <formula>INDEX($I$1:$I$399,ROW(CJ313))=3</formula>
    </cfRule>
    <cfRule type="expression" priority="562" dxfId="4185">
      <formula>INDEX($I$1:$I$399,ROW(CJ313))=2</formula>
    </cfRule>
    <cfRule type="expression" priority="564" dxfId="4186">
      <formula>INDEX($I$1:$I$399,ROW(CJ313))=3</formula>
    </cfRule>
    <cfRule type="expression" priority="565" dxfId="4166">
      <formula>INDEX($I$1:$I$399,ROW(CJ313))=1</formula>
    </cfRule>
    <cfRule type="expression" priority="566" dxfId="4185">
      <formula>INDEX($I$1:$I$399,ROW(CJ313))=2</formula>
    </cfRule>
    <cfRule type="expression" priority="561" dxfId="4166">
      <formula>INDEX($I$1:$I$399,ROW(CJ313))=1</formula>
    </cfRule>
    <cfRule type="expression" priority="552" dxfId="4186">
      <formula>INDEX($I$1:$I$399,ROW(CJ313))=3</formula>
    </cfRule>
    <cfRule type="expression" priority="557" dxfId="4166">
      <formula>INDEX($I$1:$I$399,ROW(CJ313))=1</formula>
    </cfRule>
    <cfRule type="expression" priority="592" dxfId="4186">
      <formula>INDEX($I$1:$I$399,ROW(CJ313))=3</formula>
    </cfRule>
    <cfRule type="expression" priority="593" dxfId="4166">
      <formula>INDEX($I$1:$I$399,ROW(CJ313))=1</formula>
    </cfRule>
  </conditionalFormatting>
  <conditionalFormatting sqref="CJ322:CJ327">
    <cfRule type="expression" priority="475" dxfId="4186">
      <formula>INDEX($I$1:$I$399,ROW(CJ322))=3</formula>
    </cfRule>
    <cfRule type="expression" priority="413" dxfId="4185">
      <formula>INDEX($I$1:$I$399,ROW(CJ322))=2</formula>
    </cfRule>
    <cfRule type="expression" priority="443" dxfId="4186">
      <formula>INDEX($I$1:$I$399,ROW(CJ322))=3</formula>
    </cfRule>
    <cfRule type="expression" priority="444" dxfId="4166">
      <formula>INDEX($I$1:$I$399,ROW(CJ322))=1</formula>
    </cfRule>
    <cfRule type="expression" priority="445" dxfId="4185">
      <formula>INDEX($I$1:$I$399,ROW(CJ322))=2</formula>
    </cfRule>
    <cfRule type="expression" priority="476" dxfId="4166">
      <formula>INDEX($I$1:$I$399,ROW(CJ322))=1</formula>
    </cfRule>
    <cfRule type="expression" priority="477" dxfId="4185">
      <formula>INDEX($I$1:$I$399,ROW(CJ322))=2</formula>
    </cfRule>
    <cfRule type="expression" priority="407" dxfId="4186">
      <formula>INDEX($I$1:$I$399,ROW(CJ322))=3</formula>
    </cfRule>
    <cfRule type="expression" priority="405" dxfId="4185">
      <formula>INDEX($I$1:$I$399,ROW(CJ322))=2</formula>
    </cfRule>
    <cfRule type="expression" priority="459" dxfId="4186">
      <formula>INDEX($I$1:$I$399,ROW(CJ322))=3</formula>
    </cfRule>
    <cfRule type="expression" priority="460" dxfId="4166">
      <formula>INDEX($I$1:$I$399,ROW(CJ322))=1</formula>
    </cfRule>
    <cfRule type="expression" priority="461" dxfId="4185">
      <formula>INDEX($I$1:$I$399,ROW(CJ322))=2</formula>
    </cfRule>
    <cfRule type="expression" priority="404" dxfId="4166">
      <formula>INDEX($I$1:$I$399,ROW(CJ322))=1</formula>
    </cfRule>
    <cfRule type="expression" priority="409" dxfId="4185">
      <formula>INDEX($I$1:$I$399,ROW(CJ322))=2</formula>
    </cfRule>
    <cfRule type="expression" priority="403" dxfId="4186">
      <formula>INDEX($I$1:$I$399,ROW(CJ322))=3</formula>
    </cfRule>
    <cfRule type="expression" priority="417" dxfId="4185">
      <formula>INDEX($I$1:$I$399,ROW(CJ322))=2</formula>
    </cfRule>
    <cfRule type="expression" priority="415" dxfId="4186">
      <formula>INDEX($I$1:$I$399,ROW(CJ322))=3</formula>
    </cfRule>
    <cfRule type="expression" priority="408" dxfId="4166">
      <formula>INDEX($I$1:$I$399,ROW(CJ322))=1</formula>
    </cfRule>
    <cfRule type="expression" priority="411" dxfId="4186">
      <formula>INDEX($I$1:$I$399,ROW(CJ322))=3</formula>
    </cfRule>
    <cfRule type="expression" priority="412" dxfId="4166">
      <formula>INDEX($I$1:$I$399,ROW(CJ322))=1</formula>
    </cfRule>
    <cfRule type="expression" priority="416" dxfId="4166">
      <formula>INDEX($I$1:$I$399,ROW(CJ322))=1</formula>
    </cfRule>
  </conditionalFormatting>
  <conditionalFormatting sqref="CJ331:CJ336">
    <cfRule type="expression" priority="262" dxfId="4186">
      <formula>INDEX($I$1:$I$399,ROW(CJ331))=3</formula>
    </cfRule>
    <cfRule type="expression" priority="254" dxfId="4186">
      <formula>INDEX($I$1:$I$399,ROW(CJ331))=3</formula>
    </cfRule>
    <cfRule type="expression" priority="260" dxfId="4185">
      <formula>INDEX($I$1:$I$399,ROW(CJ331))=2</formula>
    </cfRule>
    <cfRule type="expression" priority="258" dxfId="4186">
      <formula>INDEX($I$1:$I$399,ROW(CJ331))=3</formula>
    </cfRule>
    <cfRule type="expression" priority="256" dxfId="4185">
      <formula>INDEX($I$1:$I$399,ROW(CJ331))=2</formula>
    </cfRule>
    <cfRule type="expression" priority="255" dxfId="4166">
      <formula>INDEX($I$1:$I$399,ROW(CJ331))=1</formula>
    </cfRule>
    <cfRule type="expression" priority="259" dxfId="4166">
      <formula>INDEX($I$1:$I$399,ROW(CJ331))=1</formula>
    </cfRule>
    <cfRule type="expression" priority="311" dxfId="4166">
      <formula>INDEX($I$1:$I$399,ROW(CJ331))=1</formula>
    </cfRule>
    <cfRule type="expression" priority="310" dxfId="4186">
      <formula>INDEX($I$1:$I$399,ROW(CJ331))=3</formula>
    </cfRule>
    <cfRule type="expression" priority="296" dxfId="4185">
      <formula>INDEX($I$1:$I$399,ROW(CJ331))=2</formula>
    </cfRule>
    <cfRule type="expression" priority="295" dxfId="4166">
      <formula>INDEX($I$1:$I$399,ROW(CJ331))=1</formula>
    </cfRule>
    <cfRule type="expression" priority="294" dxfId="4186">
      <formula>INDEX($I$1:$I$399,ROW(CJ331))=3</formula>
    </cfRule>
    <cfRule type="expression" priority="268" dxfId="4185">
      <formula>INDEX($I$1:$I$399,ROW(CJ331))=2</formula>
    </cfRule>
    <cfRule type="expression" priority="267" dxfId="4166">
      <formula>INDEX($I$1:$I$399,ROW(CJ331))=1</formula>
    </cfRule>
    <cfRule type="expression" priority="266" dxfId="4186">
      <formula>INDEX($I$1:$I$399,ROW(CJ331))=3</formula>
    </cfRule>
    <cfRule type="expression" priority="264" dxfId="4185">
      <formula>INDEX($I$1:$I$399,ROW(CJ331))=2</formula>
    </cfRule>
    <cfRule type="expression" priority="263" dxfId="4166">
      <formula>INDEX($I$1:$I$399,ROW(CJ331))=1</formula>
    </cfRule>
    <cfRule type="expression" priority="328" dxfId="4185">
      <formula>INDEX($I$1:$I$399,ROW(CJ331))=2</formula>
    </cfRule>
    <cfRule type="expression" priority="327" dxfId="4166">
      <formula>INDEX($I$1:$I$399,ROW(CJ331))=1</formula>
    </cfRule>
    <cfRule type="expression" priority="326" dxfId="4186">
      <formula>INDEX($I$1:$I$399,ROW(CJ331))=3</formula>
    </cfRule>
    <cfRule type="expression" priority="312" dxfId="4185">
      <formula>INDEX($I$1:$I$399,ROW(CJ331))=2</formula>
    </cfRule>
  </conditionalFormatting>
  <conditionalFormatting sqref="CJ79:CK79">
    <cfRule type="expression" priority="31370" dxfId="4165">
      <formula>_xlfn.SWITCH(INDEX($X$1:$X$349,ROW(CJ79)),-1,SIGN(CJ79)&gt;0,1,SIGN(CJ79)&lt;0)</formula>
    </cfRule>
    <cfRule type="expression" priority="31371" dxfId="4191">
      <formula>INDEX($H$1:$H$349,ROW($X79))=2</formula>
    </cfRule>
    <cfRule type="expression" priority="31372" dxfId="4186">
      <formula>INDEX($I$1:$I$349,ROW(CJ79))=3</formula>
    </cfRule>
    <cfRule type="expression" priority="31373" dxfId="4166">
      <formula>INDEX($I$1:$I$349,ROW(CJ79))=1</formula>
    </cfRule>
    <cfRule type="expression" priority="31374" dxfId="4185">
      <formula>INDEX($I$1:$I$349,ROW(CJ79))=2</formula>
    </cfRule>
    <cfRule type="expression" priority="31367" dxfId="4186">
      <formula>INDEX($I$1:$I$349,ROW(CJ79))=3</formula>
    </cfRule>
    <cfRule type="expression" priority="31368" dxfId="4166">
      <formula>INDEX($I$1:$I$349,ROW(CJ79))=1</formula>
    </cfRule>
    <cfRule type="expression" priority="31375" dxfId="4165">
      <formula>_xlfn.SWITCH(INDEX($X$1:$X$349,ROW(CJ79)),-1,SIGN(CJ79)&gt;0,1,SIGN(CJ79)&lt;0)</formula>
    </cfRule>
    <cfRule type="expression" priority="31376" dxfId="4191">
      <formula>INDEX($H$1:$H$349,ROW($X79))=2</formula>
    </cfRule>
    <cfRule type="expression" priority="31377" dxfId="4186">
      <formula>INDEX($I$1:$I$349,ROW(CJ79))=3</formula>
    </cfRule>
    <cfRule type="expression" priority="31378" dxfId="4166">
      <formula>INDEX($I$1:$I$349,ROW(CJ79))=1</formula>
    </cfRule>
    <cfRule type="expression" priority="31379" dxfId="4185">
      <formula>INDEX($I$1:$I$349,ROW(CJ79))=2</formula>
    </cfRule>
    <cfRule type="expression" priority="31380" dxfId="4165">
      <formula>_xlfn.SWITCH(INDEX($X$1:$X$349,ROW(CJ79)),-1,SIGN(CJ79)&gt;0,1,SIGN(CJ79)&lt;0)</formula>
    </cfRule>
    <cfRule type="expression" priority="31381" dxfId="4191">
      <formula>INDEX($H$1:$H$349,ROW($X79))=2</formula>
    </cfRule>
    <cfRule type="expression" priority="31369" dxfId="4185">
      <formula>INDEX($I$1:$I$349,ROW(CJ79))=2</formula>
    </cfRule>
  </conditionalFormatting>
  <conditionalFormatting sqref="CJ219:CK219 CJ234:CK234">
    <cfRule type="expression" priority="31387" dxfId="4165">
      <formula>_xlfn.SWITCH(INDEX($X$1:$X$349,ROW(CJ219)),-1,SIGN(CJ219)&gt;0,1,SIGN(CJ219)&lt;0)</formula>
    </cfRule>
    <cfRule type="expression" priority="31382" dxfId="4165">
      <formula>_xlfn.SWITCH(INDEX($X$1:$X$349,ROW(CJ219)),-1,SIGN(CJ219)&gt;0,1,SIGN(CJ219)&lt;0)</formula>
    </cfRule>
    <cfRule type="expression" priority="31383" dxfId="4191">
      <formula>INDEX($H$1:$H$349,ROW($X219))=2</formula>
    </cfRule>
    <cfRule type="expression" priority="31385" dxfId="4166">
      <formula>INDEX($I$1:$I$349,ROW(CJ219))=1</formula>
    </cfRule>
    <cfRule type="expression" priority="31386" dxfId="4185">
      <formula>INDEX($I$1:$I$349,ROW(CJ219))=2</formula>
    </cfRule>
  </conditionalFormatting>
  <conditionalFormatting sqref="CJ219:CK219 CJ234:CK234">
    <cfRule type="expression" priority="31384" dxfId="4186">
      <formula>INDEX($I$1:$I$349,ROW(CJ219))=3</formula>
    </cfRule>
  </conditionalFormatting>
  <conditionalFormatting sqref="CJ234:CK234">
    <cfRule type="expression" priority="22902" dxfId="4185">
      <formula>INDEX($I$1:$I$349,ROW(CJ234))=2</formula>
    </cfRule>
    <cfRule type="expression" priority="22901" dxfId="4166">
      <formula>INDEX($I$1:$I$349,ROW(CJ234))=1</formula>
    </cfRule>
    <cfRule type="expression" priority="22900" dxfId="4186">
      <formula>INDEX($I$1:$I$349,ROW(CJ234))=3</formula>
    </cfRule>
    <cfRule type="expression" priority="9" dxfId="4166">
      <formula>INDEX($I$1:$I$349,ROW(CJ234))=1</formula>
    </cfRule>
  </conditionalFormatting>
  <conditionalFormatting sqref="CJ265:CK265">
    <cfRule type="expression" priority="1508" dxfId="4039">
      <formula>AND($X265=0,ISNUMBER($X265))</formula>
    </cfRule>
  </conditionalFormatting>
  <conditionalFormatting sqref="CJ274:CK274">
    <cfRule type="expression" priority="1364" dxfId="4039">
      <formula>AND($X274=0,ISNUMBER($X274))</formula>
    </cfRule>
  </conditionalFormatting>
  <conditionalFormatting sqref="CJ283:CK283">
    <cfRule type="expression" priority="1220" dxfId="4039">
      <formula>AND($X283=0,ISNUMBER($X283))</formula>
    </cfRule>
  </conditionalFormatting>
  <conditionalFormatting sqref="CJ292:CK292">
    <cfRule type="expression" priority="1076" dxfId="4039">
      <formula>AND($X292=0,ISNUMBER($X292))</formula>
    </cfRule>
  </conditionalFormatting>
  <conditionalFormatting sqref="CJ301:CK301">
    <cfRule type="expression" priority="931" dxfId="4039">
      <formula>AND($X301=0,ISNUMBER($X301))</formula>
    </cfRule>
  </conditionalFormatting>
  <conditionalFormatting sqref="CJ310:CK310">
    <cfRule type="expression" priority="782" dxfId="4039">
      <formula>AND($X310=0,ISNUMBER($X310))</formula>
    </cfRule>
  </conditionalFormatting>
  <conditionalFormatting sqref="CJ319:CK319">
    <cfRule type="expression" priority="633" dxfId="4039">
      <formula>AND($X319=0,ISNUMBER($X319))</formula>
    </cfRule>
  </conditionalFormatting>
  <conditionalFormatting sqref="CJ328:CK328">
    <cfRule type="expression" priority="484" dxfId="4039">
      <formula>AND($X328=0,ISNUMBER($X328))</formula>
    </cfRule>
  </conditionalFormatting>
  <conditionalFormatting sqref="CJ337:CK337">
    <cfRule type="expression" priority="335" dxfId="4039">
      <formula>AND($X337=0,ISNUMBER($X337))</formula>
    </cfRule>
  </conditionalFormatting>
  <conditionalFormatting sqref="CJ250:CN255">
    <cfRule type="expression" priority="1801" dxfId="4186">
      <formula>INDEX($I$1:$I$399,ROW(CJ250))=3</formula>
    </cfRule>
    <cfRule type="expression" priority="1802" dxfId="4166">
      <formula>INDEX($I$1:$I$399,ROW(CJ250))=1</formula>
    </cfRule>
    <cfRule type="expression" priority="1803" dxfId="4185">
      <formula>INDEX($I$1:$I$399,ROW(CJ250))=2</formula>
    </cfRule>
  </conditionalFormatting>
  <conditionalFormatting sqref="AD256:BZ256 CD256:CE256 CG256:CH256 CJ256:CN256 CP256:CQ256">
    <cfRule type="expression" priority="181" dxfId="4165">
      <formula>_xlfn.SWITCH(INDEX($X$1:$X$349,ROW(AD256)),-1,SIGN(AD256)&gt;0,1,SIGN(AD256)&lt;0)</formula>
    </cfRule>
  </conditionalFormatting>
  <conditionalFormatting sqref="CJ256:CN256">
    <cfRule type="expression" priority="184" dxfId="4166">
      <formula>INDEX($I$1:$I$349,ROW(CJ256))=1</formula>
    </cfRule>
  </conditionalFormatting>
  <conditionalFormatting sqref="CJ259:CN264">
    <cfRule type="expression" priority="1517" dxfId="4166">
      <formula>INDEX($I$1:$I$399,ROW(CJ259))=1</formula>
    </cfRule>
    <cfRule type="expression" priority="1518" dxfId="4185">
      <formula>INDEX($I$1:$I$399,ROW(CJ259))=2</formula>
    </cfRule>
    <cfRule type="expression" priority="1516" dxfId="4186">
      <formula>INDEX($I$1:$I$399,ROW(CJ259))=3</formula>
    </cfRule>
  </conditionalFormatting>
  <conditionalFormatting sqref="AD245:BZ245 CD245:CE248 CG245:CH248 CJ245:CN248 BO249:BZ249 CL249 CG257:CH257 CJ257:CN257 BO258:BZ258 CL258:CN258 CL265 CJ266:CN266 BO267:BZ267 CL267:CN267 CH268:CH273 CL274 CP275:CQ275 BO276:BZ276 CL276:CN276 CH277:CH282 CL283 CP284:CQ284 BO285:BZ285 CL285:CN285 CH286:CH291 CL292 CP293:CQ293 BO294:BZ294 CL294:CN294 CH295:CH300 CL301 CL303:CN303 CH304:CH309 CL310 CP311:CQ311 BO312:BZ312 CL312:CN312 CH313:CH318 CL319 CP320:CQ320 BO321:BZ321 CL321:CN321 CH322:CH327 CL328 CP329:CQ329 BO330:BZ330 CL330:CN330 CH331:CH336 CL337 CG338:CH338 CJ338:CN338 CP338:CQ338">
    <cfRule type="expression" priority="1841" dxfId="4186">
      <formula>INDEX($I$1:$I$399,ROW(AD245))=3</formula>
    </cfRule>
  </conditionalFormatting>
  <conditionalFormatting sqref="CJ266:CN266">
    <cfRule type="expression" priority="1823" dxfId="4185">
      <formula>INDEX($I$1:$I$399,ROW(CJ266))=2</formula>
    </cfRule>
    <cfRule type="expression" priority="1822" dxfId="4166">
      <formula>INDEX($I$1:$I$399,ROW(CJ266))=1</formula>
    </cfRule>
  </conditionalFormatting>
  <conditionalFormatting sqref="CJ268:CN273">
    <cfRule type="expression" priority="1374" dxfId="4185">
      <formula>INDEX($I$1:$I$399,ROW(CJ268))=2</formula>
    </cfRule>
    <cfRule type="expression" priority="1372" dxfId="4186">
      <formula>INDEX($I$1:$I$399,ROW(CJ268))=3</formula>
    </cfRule>
    <cfRule type="expression" priority="1373" dxfId="4166">
      <formula>INDEX($I$1:$I$399,ROW(CJ268))=1</formula>
    </cfRule>
  </conditionalFormatting>
  <conditionalFormatting sqref="CJ275:CN275">
    <cfRule type="expression" priority="1778" dxfId="4185">
      <formula>INDEX($I$1:$I$399,ROW(CJ275))=2</formula>
    </cfRule>
    <cfRule type="expression" priority="1775" dxfId="4165">
      <formula>_xlfn.SWITCH(INDEX($X$1:$X$399,ROW(CJ275)),-1,SIGN(CJ275)&gt;0,1,SIGN(CJ275)&lt;0)</formula>
    </cfRule>
    <cfRule type="expression" priority="1779" dxfId="4186">
      <formula>INDEX($I$1:$I$399,ROW(CJ275))=3</formula>
    </cfRule>
    <cfRule type="expression" priority="1777" dxfId="4166">
      <formula>INDEX($I$1:$I$399,ROW(CJ275))=1</formula>
    </cfRule>
  </conditionalFormatting>
  <conditionalFormatting sqref="CJ277:CN282">
    <cfRule type="expression" priority="1229" dxfId="4166">
      <formula>INDEX($I$1:$I$399,ROW(CJ277))=1</formula>
    </cfRule>
    <cfRule type="expression" priority="1228" dxfId="4186">
      <formula>INDEX($I$1:$I$399,ROW(CJ277))=3</formula>
    </cfRule>
    <cfRule type="expression" priority="1230" dxfId="4185">
      <formula>INDEX($I$1:$I$399,ROW(CJ277))=2</formula>
    </cfRule>
  </conditionalFormatting>
  <conditionalFormatting sqref="CJ284:CN284">
    <cfRule type="expression" priority="1763" dxfId="4186">
      <formula>INDEX($I$1:$I$399,ROW(CJ284))=3</formula>
    </cfRule>
    <cfRule type="expression" priority="1761" dxfId="4166">
      <formula>INDEX($I$1:$I$399,ROW(CJ284))=1</formula>
    </cfRule>
    <cfRule type="expression" priority="1759" dxfId="4165">
      <formula>_xlfn.SWITCH(INDEX($X$1:$X$399,ROW(CJ284)),-1,SIGN(CJ284)&gt;0,1,SIGN(CJ284)&lt;0)</formula>
    </cfRule>
    <cfRule type="expression" priority="1762" dxfId="4185">
      <formula>INDEX($I$1:$I$399,ROW(CJ284))=2</formula>
    </cfRule>
  </conditionalFormatting>
  <conditionalFormatting sqref="CJ286:CN291">
    <cfRule type="expression" priority="1085" dxfId="4166">
      <formula>INDEX($I$1:$I$399,ROW(CJ286))=1</formula>
    </cfRule>
    <cfRule type="expression" priority="1086" dxfId="4185">
      <formula>INDEX($I$1:$I$399,ROW(CJ286))=2</formula>
    </cfRule>
    <cfRule type="expression" priority="1084" dxfId="4186">
      <formula>INDEX($I$1:$I$399,ROW(CJ286))=3</formula>
    </cfRule>
  </conditionalFormatting>
  <conditionalFormatting sqref="CJ293:CN293">
    <cfRule type="expression" priority="1746" dxfId="4186">
      <formula>INDEX($I$1:$I$399,ROW(CJ293))=3</formula>
    </cfRule>
    <cfRule type="expression" priority="1745" dxfId="4185">
      <formula>INDEX($I$1:$I$399,ROW(CJ293))=2</formula>
    </cfRule>
    <cfRule type="expression" priority="1744" dxfId="4166">
      <formula>INDEX($I$1:$I$399,ROW(CJ293))=1</formula>
    </cfRule>
    <cfRule type="expression" priority="1742" dxfId="4165">
      <formula>_xlfn.SWITCH(INDEX($X$1:$X$399,ROW(CJ293)),-1,SIGN(CJ293)&gt;0,1,SIGN(CJ293)&lt;0)</formula>
    </cfRule>
  </conditionalFormatting>
  <conditionalFormatting sqref="CJ295:CN300">
    <cfRule type="expression" priority="939" dxfId="4186">
      <formula>INDEX($I$1:$I$399,ROW(CJ295))=3</formula>
    </cfRule>
    <cfRule type="expression" priority="940" dxfId="4166">
      <formula>INDEX($I$1:$I$399,ROW(CJ295))=1</formula>
    </cfRule>
    <cfRule type="expression" priority="941" dxfId="4185">
      <formula>INDEX($I$1:$I$399,ROW(CJ295))=2</formula>
    </cfRule>
  </conditionalFormatting>
  <conditionalFormatting sqref="CJ302:CN302">
    <cfRule type="expression" priority="1720" dxfId="4165">
      <formula>_xlfn.SWITCH(INDEX($X$1:$X$399,ROW(CJ302)),-1,SIGN(CJ302)&gt;0,1,SIGN(CJ302)&lt;0)</formula>
    </cfRule>
    <cfRule type="expression" priority="1724" dxfId="4186">
      <formula>INDEX($I$1:$I$399,ROW(CJ302))=3</formula>
    </cfRule>
    <cfRule type="expression" priority="1723" dxfId="4185">
      <formula>INDEX($I$1:$I$399,ROW(CJ302))=2</formula>
    </cfRule>
    <cfRule type="expression" priority="1722" dxfId="4166">
      <formula>INDEX($I$1:$I$399,ROW(CJ302))=1</formula>
    </cfRule>
  </conditionalFormatting>
  <conditionalFormatting sqref="CJ304:CN309">
    <cfRule type="expression" priority="792" dxfId="4185">
      <formula>INDEX($I$1:$I$399,ROW(CJ304))=2</formula>
    </cfRule>
    <cfRule type="expression" priority="791" dxfId="4166">
      <formula>INDEX($I$1:$I$399,ROW(CJ304))=1</formula>
    </cfRule>
    <cfRule type="expression" priority="790" dxfId="4186">
      <formula>INDEX($I$1:$I$399,ROW(CJ304))=3</formula>
    </cfRule>
  </conditionalFormatting>
  <conditionalFormatting sqref="CJ311:CN311">
    <cfRule type="expression" priority="1699" dxfId="4185">
      <formula>INDEX($I$1:$I$399,ROW(CJ311))=2</formula>
    </cfRule>
    <cfRule type="expression" priority="1700" dxfId="4186">
      <formula>INDEX($I$1:$I$399,ROW(CJ311))=3</formula>
    </cfRule>
    <cfRule type="expression" priority="1698" dxfId="4166">
      <formula>INDEX($I$1:$I$399,ROW(CJ311))=1</formula>
    </cfRule>
    <cfRule type="expression" priority="1696" dxfId="4165">
      <formula>_xlfn.SWITCH(INDEX($X$1:$X$399,ROW(CJ311)),-1,SIGN(CJ311)&gt;0,1,SIGN(CJ311)&lt;0)</formula>
    </cfRule>
  </conditionalFormatting>
  <conditionalFormatting sqref="CJ313:CN318">
    <cfRule type="expression" priority="641" dxfId="4186">
      <formula>INDEX($I$1:$I$399,ROW(CJ313))=3</formula>
    </cfRule>
    <cfRule type="expression" priority="642" dxfId="4166">
      <formula>INDEX($I$1:$I$399,ROW(CJ313))=1</formula>
    </cfRule>
    <cfRule type="expression" priority="643" dxfId="4185">
      <formula>INDEX($I$1:$I$399,ROW(CJ313))=2</formula>
    </cfRule>
  </conditionalFormatting>
  <conditionalFormatting sqref="CJ320:CN320">
    <cfRule type="expression" priority="1680" dxfId="4165">
      <formula>_xlfn.SWITCH(INDEX($X$1:$X$399,ROW(CJ320)),-1,SIGN(CJ320)&gt;0,1,SIGN(CJ320)&lt;0)</formula>
    </cfRule>
    <cfRule type="expression" priority="1683" dxfId="4185">
      <formula>INDEX($I$1:$I$399,ROW(CJ320))=2</formula>
    </cfRule>
    <cfRule type="expression" priority="1684" dxfId="4186">
      <formula>INDEX($I$1:$I$399,ROW(CJ320))=3</formula>
    </cfRule>
    <cfRule type="expression" priority="1682" dxfId="4166">
      <formula>INDEX($I$1:$I$399,ROW(CJ320))=1</formula>
    </cfRule>
  </conditionalFormatting>
  <conditionalFormatting sqref="CJ322:CN327">
    <cfRule type="expression" priority="492" dxfId="4186">
      <formula>INDEX($I$1:$I$399,ROW(CJ322))=3</formula>
    </cfRule>
    <cfRule type="expression" priority="493" dxfId="4166">
      <formula>INDEX($I$1:$I$399,ROW(CJ322))=1</formula>
    </cfRule>
    <cfRule type="expression" priority="494" dxfId="4185">
      <formula>INDEX($I$1:$I$399,ROW(CJ322))=2</formula>
    </cfRule>
  </conditionalFormatting>
  <conditionalFormatting sqref="CJ329:CN329">
    <cfRule type="expression" priority="1663" dxfId="4165">
      <formula>_xlfn.SWITCH(INDEX($X$1:$X$399,ROW(CJ329)),-1,SIGN(CJ329)&gt;0,1,SIGN(CJ329)&lt;0)</formula>
    </cfRule>
    <cfRule type="expression" priority="1667" dxfId="4186">
      <formula>INDEX($I$1:$I$399,ROW(CJ329))=3</formula>
    </cfRule>
    <cfRule type="expression" priority="1666" dxfId="4185">
      <formula>INDEX($I$1:$I$399,ROW(CJ329))=2</formula>
    </cfRule>
    <cfRule type="expression" priority="1665" dxfId="4166">
      <formula>INDEX($I$1:$I$399,ROW(CJ329))=1</formula>
    </cfRule>
  </conditionalFormatting>
  <conditionalFormatting sqref="CJ331:CN336">
    <cfRule type="expression" priority="343" dxfId="4186">
      <formula>INDEX($I$1:$I$399,ROW(CJ331))=3</formula>
    </cfRule>
    <cfRule type="expression" priority="344" dxfId="4166">
      <formula>INDEX($I$1:$I$399,ROW(CJ331))=1</formula>
    </cfRule>
    <cfRule type="expression" priority="345" dxfId="4185">
      <formula>INDEX($I$1:$I$399,ROW(CJ331))=2</formula>
    </cfRule>
  </conditionalFormatting>
  <conditionalFormatting sqref="CJ266:CN266 CJ338:CN338">
    <cfRule type="expression" priority="1820" dxfId="4165">
      <formula>_xlfn.SWITCH(INDEX($X$1:$X$399,ROW(CJ266)),-1,SIGN(CJ266)&gt;0,1,SIGN(CJ266)&lt;0)</formula>
    </cfRule>
  </conditionalFormatting>
  <conditionalFormatting sqref="CM250:CM255">
    <cfRule type="expression" priority="1562" dxfId="4166">
      <formula>INDEX($I$1:$I$399,ROW(CM250))=1</formula>
    </cfRule>
    <cfRule type="expression" priority="1563" dxfId="4185">
      <formula>INDEX($I$1:$I$399,ROW(CM250))=2</formula>
    </cfRule>
    <cfRule type="expression" priority="1565" dxfId="4186">
      <formula>INDEX($I$1:$I$399,ROW(CM250))=3</formula>
    </cfRule>
    <cfRule type="expression" priority="1566" dxfId="4166">
      <formula>INDEX($I$1:$I$399,ROW(CM250))=1</formula>
    </cfRule>
    <cfRule type="expression" priority="1567" dxfId="4185">
      <formula>INDEX($I$1:$I$399,ROW(CM250))=2</formula>
    </cfRule>
    <cfRule type="expression" priority="1561" dxfId="4186">
      <formula>INDEX($I$1:$I$399,ROW(CM250))=3</formula>
    </cfRule>
    <cfRule type="expression" priority="1605" dxfId="4186">
      <formula>INDEX($I$1:$I$399,ROW(CM250))=3</formula>
    </cfRule>
    <cfRule type="expression" priority="1606" dxfId="4166">
      <formula>INDEX($I$1:$I$399,ROW(CM250))=1</formula>
    </cfRule>
    <cfRule type="expression" priority="1607" dxfId="4185">
      <formula>INDEX($I$1:$I$399,ROW(CM250))=2</formula>
    </cfRule>
    <cfRule type="expression" priority="1637" dxfId="4186">
      <formula>INDEX($I$1:$I$399,ROW(CM250))=3</formula>
    </cfRule>
    <cfRule type="expression" priority="1639" dxfId="4185">
      <formula>INDEX($I$1:$I$399,ROW(CM250))=2</formula>
    </cfRule>
    <cfRule type="expression" priority="1638" dxfId="4166">
      <formula>INDEX($I$1:$I$399,ROW(CM250))=1</formula>
    </cfRule>
    <cfRule type="expression" priority="1621" dxfId="4186">
      <formula>INDEX($I$1:$I$399,ROW(CM250))=3</formula>
    </cfRule>
    <cfRule type="expression" priority="1622" dxfId="4166">
      <formula>INDEX($I$1:$I$399,ROW(CM250))=1</formula>
    </cfRule>
    <cfRule type="expression" priority="1623" dxfId="4185">
      <formula>INDEX($I$1:$I$399,ROW(CM250))=2</formula>
    </cfRule>
    <cfRule type="expression" priority="1554" dxfId="4166">
      <formula>INDEX($I$1:$I$399,ROW(CM250))=1</formula>
    </cfRule>
    <cfRule type="expression" priority="1559" dxfId="4185">
      <formula>INDEX($I$1:$I$399,ROW(CM250))=2</formula>
    </cfRule>
    <cfRule type="expression" priority="1558" dxfId="4166">
      <formula>INDEX($I$1:$I$399,ROW(CM250))=1</formula>
    </cfRule>
    <cfRule type="expression" priority="1557" dxfId="4186">
      <formula>INDEX($I$1:$I$399,ROW(CM250))=3</formula>
    </cfRule>
    <cfRule type="expression" priority="1555" dxfId="4185">
      <formula>INDEX($I$1:$I$399,ROW(CM250))=2</formula>
    </cfRule>
    <cfRule type="expression" priority="1553" dxfId="4186">
      <formula>INDEX($I$1:$I$399,ROW(CM250))=3</formula>
    </cfRule>
  </conditionalFormatting>
  <conditionalFormatting sqref="CM259:CM264">
    <cfRule type="expression" priority="1496" dxfId="4166">
      <formula>INDEX($I$1:$I$399,ROW(CM259))=1</formula>
    </cfRule>
    <cfRule type="expression" priority="1497" dxfId="4185">
      <formula>INDEX($I$1:$I$399,ROW(CM259))=2</formula>
    </cfRule>
    <cfRule type="expression" priority="1412" dxfId="4166">
      <formula>INDEX($I$1:$I$399,ROW(CM259))=1</formula>
    </cfRule>
    <cfRule type="expression" priority="1423" dxfId="4186">
      <formula>INDEX($I$1:$I$399,ROW(CM259))=3</formula>
    </cfRule>
    <cfRule type="expression" priority="1421" dxfId="4185">
      <formula>INDEX($I$1:$I$399,ROW(CM259))=2</formula>
    </cfRule>
    <cfRule type="expression" priority="1411" dxfId="4186">
      <formula>INDEX($I$1:$I$399,ROW(CM259))=3</formula>
    </cfRule>
    <cfRule type="expression" priority="1479" dxfId="4186">
      <formula>INDEX($I$1:$I$399,ROW(CM259))=3</formula>
    </cfRule>
    <cfRule type="expression" priority="1424" dxfId="4166">
      <formula>INDEX($I$1:$I$399,ROW(CM259))=1</formula>
    </cfRule>
    <cfRule type="expression" priority="1415" dxfId="4186">
      <formula>INDEX($I$1:$I$399,ROW(CM259))=3</formula>
    </cfRule>
    <cfRule type="expression" priority="1464" dxfId="4166">
      <formula>INDEX($I$1:$I$399,ROW(CM259))=1</formula>
    </cfRule>
    <cfRule type="expression" priority="1463" dxfId="4186">
      <formula>INDEX($I$1:$I$399,ROW(CM259))=3</formula>
    </cfRule>
    <cfRule type="expression" priority="1413" dxfId="4185">
      <formula>INDEX($I$1:$I$399,ROW(CM259))=2</formula>
    </cfRule>
    <cfRule type="expression" priority="1420" dxfId="4166">
      <formula>INDEX($I$1:$I$399,ROW(CM259))=1</formula>
    </cfRule>
    <cfRule type="expression" priority="1419" dxfId="4186">
      <formula>INDEX($I$1:$I$399,ROW(CM259))=3</formula>
    </cfRule>
    <cfRule type="expression" priority="1417" dxfId="4185">
      <formula>INDEX($I$1:$I$399,ROW(CM259))=2</formula>
    </cfRule>
    <cfRule type="expression" priority="1480" dxfId="4166">
      <formula>INDEX($I$1:$I$399,ROW(CM259))=1</formula>
    </cfRule>
    <cfRule type="expression" priority="1481" dxfId="4185">
      <formula>INDEX($I$1:$I$399,ROW(CM259))=2</formula>
    </cfRule>
    <cfRule type="expression" priority="1465" dxfId="4185">
      <formula>INDEX($I$1:$I$399,ROW(CM259))=2</formula>
    </cfRule>
    <cfRule type="expression" priority="1425" dxfId="4185">
      <formula>INDEX($I$1:$I$399,ROW(CM259))=2</formula>
    </cfRule>
    <cfRule type="expression" priority="1495" dxfId="4186">
      <formula>INDEX($I$1:$I$399,ROW(CM259))=3</formula>
    </cfRule>
    <cfRule type="expression" priority="1416" dxfId="4166">
      <formula>INDEX($I$1:$I$399,ROW(CM259))=1</formula>
    </cfRule>
  </conditionalFormatting>
  <conditionalFormatting sqref="CM268:CM273">
    <cfRule type="expression" priority="1277" dxfId="4185">
      <formula>INDEX($I$1:$I$399,ROW(CM268))=2</formula>
    </cfRule>
    <cfRule type="expression" priority="1320" dxfId="4166">
      <formula>INDEX($I$1:$I$399,ROW(CM268))=1</formula>
    </cfRule>
    <cfRule type="expression" priority="1281" dxfId="4185">
      <formula>INDEX($I$1:$I$399,ROW(CM268))=2</formula>
    </cfRule>
    <cfRule type="expression" priority="1280" dxfId="4166">
      <formula>INDEX($I$1:$I$399,ROW(CM268))=1</formula>
    </cfRule>
    <cfRule type="expression" priority="1319" dxfId="4186">
      <formula>INDEX($I$1:$I$399,ROW(CM268))=3</formula>
    </cfRule>
    <cfRule type="expression" priority="1321" dxfId="4185">
      <formula>INDEX($I$1:$I$399,ROW(CM268))=2</formula>
    </cfRule>
    <cfRule type="expression" priority="1279" dxfId="4186">
      <formula>INDEX($I$1:$I$399,ROW(CM268))=3</formula>
    </cfRule>
    <cfRule type="expression" priority="1337" dxfId="4185">
      <formula>INDEX($I$1:$I$399,ROW(CM268))=2</formula>
    </cfRule>
    <cfRule type="expression" priority="1276" dxfId="4166">
      <formula>INDEX($I$1:$I$399,ROW(CM268))=1</formula>
    </cfRule>
    <cfRule type="expression" priority="1275" dxfId="4186">
      <formula>INDEX($I$1:$I$399,ROW(CM268))=3</formula>
    </cfRule>
    <cfRule type="expression" priority="1273" dxfId="4185">
      <formula>INDEX($I$1:$I$399,ROW(CM268))=2</formula>
    </cfRule>
    <cfRule type="expression" priority="1335" dxfId="4186">
      <formula>INDEX($I$1:$I$399,ROW(CM268))=3</formula>
    </cfRule>
    <cfRule type="expression" priority="1336" dxfId="4166">
      <formula>INDEX($I$1:$I$399,ROW(CM268))=1</formula>
    </cfRule>
    <cfRule type="expression" priority="1272" dxfId="4166">
      <formula>INDEX($I$1:$I$399,ROW(CM268))=1</formula>
    </cfRule>
    <cfRule type="expression" priority="1271" dxfId="4186">
      <formula>INDEX($I$1:$I$399,ROW(CM268))=3</formula>
    </cfRule>
    <cfRule type="expression" priority="1269" dxfId="4185">
      <formula>INDEX($I$1:$I$399,ROW(CM268))=2</formula>
    </cfRule>
    <cfRule type="expression" priority="1268" dxfId="4166">
      <formula>INDEX($I$1:$I$399,ROW(CM268))=1</formula>
    </cfRule>
    <cfRule type="expression" priority="1267" dxfId="4186">
      <formula>INDEX($I$1:$I$399,ROW(CM268))=3</formula>
    </cfRule>
    <cfRule type="expression" priority="1351" dxfId="4186">
      <formula>INDEX($I$1:$I$399,ROW(CM268))=3</formula>
    </cfRule>
    <cfRule type="expression" priority="1352" dxfId="4166">
      <formula>INDEX($I$1:$I$399,ROW(CM268))=1</formula>
    </cfRule>
    <cfRule type="expression" priority="1353" dxfId="4185">
      <formula>INDEX($I$1:$I$399,ROW(CM268))=2</formula>
    </cfRule>
  </conditionalFormatting>
  <conditionalFormatting sqref="CM277:CM282">
    <cfRule type="expression" priority="1131" dxfId="4186">
      <formula>INDEX($I$1:$I$399,ROW(CM277))=3</formula>
    </cfRule>
    <cfRule type="expression" priority="1129" dxfId="4185">
      <formula>INDEX($I$1:$I$399,ROW(CM277))=2</formula>
    </cfRule>
    <cfRule type="expression" priority="1175" dxfId="4186">
      <formula>INDEX($I$1:$I$399,ROW(CM277))=3</formula>
    </cfRule>
    <cfRule type="expression" priority="1209" dxfId="4185">
      <formula>INDEX($I$1:$I$399,ROW(CM277))=2</formula>
    </cfRule>
    <cfRule type="expression" priority="1208" dxfId="4166">
      <formula>INDEX($I$1:$I$399,ROW(CM277))=1</formula>
    </cfRule>
    <cfRule type="expression" priority="1207" dxfId="4186">
      <formula>INDEX($I$1:$I$399,ROW(CM277))=3</formula>
    </cfRule>
    <cfRule type="expression" priority="1137" dxfId="4185">
      <formula>INDEX($I$1:$I$399,ROW(CM277))=2</formula>
    </cfRule>
    <cfRule type="expression" priority="1123" dxfId="4186">
      <formula>INDEX($I$1:$I$399,ROW(CM277))=3</formula>
    </cfRule>
    <cfRule type="expression" priority="1124" dxfId="4166">
      <formula>INDEX($I$1:$I$399,ROW(CM277))=1</formula>
    </cfRule>
    <cfRule type="expression" priority="1125" dxfId="4185">
      <formula>INDEX($I$1:$I$399,ROW(CM277))=2</formula>
    </cfRule>
    <cfRule type="expression" priority="1176" dxfId="4166">
      <formula>INDEX($I$1:$I$399,ROW(CM277))=1</formula>
    </cfRule>
    <cfRule type="expression" priority="1192" dxfId="4166">
      <formula>INDEX($I$1:$I$399,ROW(CM277))=1</formula>
    </cfRule>
    <cfRule type="expression" priority="1177" dxfId="4185">
      <formula>INDEX($I$1:$I$399,ROW(CM277))=2</formula>
    </cfRule>
    <cfRule type="expression" priority="1136" dxfId="4166">
      <formula>INDEX($I$1:$I$399,ROW(CM277))=1</formula>
    </cfRule>
    <cfRule type="expression" priority="1135" dxfId="4186">
      <formula>INDEX($I$1:$I$399,ROW(CM277))=3</formula>
    </cfRule>
    <cfRule type="expression" priority="1191" dxfId="4186">
      <formula>INDEX($I$1:$I$399,ROW(CM277))=3</formula>
    </cfRule>
    <cfRule type="expression" priority="1127" dxfId="4186">
      <formula>INDEX($I$1:$I$399,ROW(CM277))=3</formula>
    </cfRule>
    <cfRule type="expression" priority="1128" dxfId="4166">
      <formula>INDEX($I$1:$I$399,ROW(CM277))=1</formula>
    </cfRule>
    <cfRule type="expression" priority="1193" dxfId="4185">
      <formula>INDEX($I$1:$I$399,ROW(CM277))=2</formula>
    </cfRule>
    <cfRule type="expression" priority="1133" dxfId="4185">
      <formula>INDEX($I$1:$I$399,ROW(CM277))=2</formula>
    </cfRule>
    <cfRule type="expression" priority="1132" dxfId="4166">
      <formula>INDEX($I$1:$I$399,ROW(CM277))=1</formula>
    </cfRule>
  </conditionalFormatting>
  <conditionalFormatting sqref="CM286:CM291">
    <cfRule type="expression" priority="1065" dxfId="4185">
      <formula>INDEX($I$1:$I$399,ROW(CM286))=2</formula>
    </cfRule>
    <cfRule type="expression" priority="1047" dxfId="4186">
      <formula>INDEX($I$1:$I$399,ROW(CM286))=3</formula>
    </cfRule>
    <cfRule type="expression" priority="1048" dxfId="4166">
      <formula>INDEX($I$1:$I$399,ROW(CM286))=1</formula>
    </cfRule>
    <cfRule type="expression" priority="988" dxfId="4166">
      <formula>INDEX($I$1:$I$399,ROW(CM286))=1</formula>
    </cfRule>
    <cfRule type="expression" priority="1032" dxfId="4166">
      <formula>INDEX($I$1:$I$399,ROW(CM286))=1</formula>
    </cfRule>
    <cfRule type="expression" priority="1063" dxfId="4186">
      <formula>INDEX($I$1:$I$399,ROW(CM286))=3</formula>
    </cfRule>
    <cfRule type="expression" priority="993" dxfId="4185">
      <formula>INDEX($I$1:$I$399,ROW(CM286))=2</formula>
    </cfRule>
    <cfRule type="expression" priority="1033" dxfId="4185">
      <formula>INDEX($I$1:$I$399,ROW(CM286))=2</formula>
    </cfRule>
    <cfRule type="expression" priority="987" dxfId="4186">
      <formula>INDEX($I$1:$I$399,ROW(CM286))=3</formula>
    </cfRule>
    <cfRule type="expression" priority="992" dxfId="4166">
      <formula>INDEX($I$1:$I$399,ROW(CM286))=1</formula>
    </cfRule>
    <cfRule type="expression" priority="1064" dxfId="4166">
      <formula>INDEX($I$1:$I$399,ROW(CM286))=1</formula>
    </cfRule>
    <cfRule type="expression" priority="991" dxfId="4186">
      <formula>INDEX($I$1:$I$399,ROW(CM286))=3</formula>
    </cfRule>
    <cfRule type="expression" priority="989" dxfId="4185">
      <formula>INDEX($I$1:$I$399,ROW(CM286))=2</formula>
    </cfRule>
    <cfRule type="expression" priority="1031" dxfId="4186">
      <formula>INDEX($I$1:$I$399,ROW(CM286))=3</formula>
    </cfRule>
    <cfRule type="expression" priority="985" dxfId="4185">
      <formula>INDEX($I$1:$I$399,ROW(CM286))=2</formula>
    </cfRule>
    <cfRule type="expression" priority="979" dxfId="4186">
      <formula>INDEX($I$1:$I$399,ROW(CM286))=3</formula>
    </cfRule>
    <cfRule type="expression" priority="980" dxfId="4166">
      <formula>INDEX($I$1:$I$399,ROW(CM286))=1</formula>
    </cfRule>
    <cfRule type="expression" priority="981" dxfId="4185">
      <formula>INDEX($I$1:$I$399,ROW(CM286))=2</formula>
    </cfRule>
    <cfRule type="expression" priority="983" dxfId="4186">
      <formula>INDEX($I$1:$I$399,ROW(CM286))=3</formula>
    </cfRule>
    <cfRule type="expression" priority="984" dxfId="4166">
      <formula>INDEX($I$1:$I$399,ROW(CM286))=1</formula>
    </cfRule>
    <cfRule type="expression" priority="1049" dxfId="4185">
      <formula>INDEX($I$1:$I$399,ROW(CM286))=2</formula>
    </cfRule>
  </conditionalFormatting>
  <conditionalFormatting sqref="CM295:CM300">
    <cfRule type="expression" priority="920" dxfId="4185">
      <formula>INDEX($I$1:$I$399,ROW(CM295))=2</formula>
    </cfRule>
    <cfRule type="expression" priority="919" dxfId="4166">
      <formula>INDEX($I$1:$I$399,ROW(CM295))=1</formula>
    </cfRule>
    <cfRule type="expression" priority="918" dxfId="4186">
      <formula>INDEX($I$1:$I$399,ROW(CM295))=3</formula>
    </cfRule>
    <cfRule type="expression" priority="904" dxfId="4185">
      <formula>INDEX($I$1:$I$399,ROW(CM295))=2</formula>
    </cfRule>
    <cfRule type="expression" priority="903" dxfId="4166">
      <formula>INDEX($I$1:$I$399,ROW(CM295))=1</formula>
    </cfRule>
    <cfRule type="expression" priority="902" dxfId="4186">
      <formula>INDEX($I$1:$I$399,ROW(CM295))=3</formula>
    </cfRule>
    <cfRule type="expression" priority="888" dxfId="4185">
      <formula>INDEX($I$1:$I$399,ROW(CM295))=2</formula>
    </cfRule>
    <cfRule type="expression" priority="887" dxfId="4166">
      <formula>INDEX($I$1:$I$399,ROW(CM295))=1</formula>
    </cfRule>
    <cfRule type="expression" priority="886" dxfId="4186">
      <formula>INDEX($I$1:$I$399,ROW(CM295))=3</formula>
    </cfRule>
    <cfRule type="expression" priority="848" dxfId="4185">
      <formula>INDEX($I$1:$I$399,ROW(CM295))=2</formula>
    </cfRule>
    <cfRule type="expression" priority="847" dxfId="4166">
      <formula>INDEX($I$1:$I$399,ROW(CM295))=1</formula>
    </cfRule>
    <cfRule type="expression" priority="846" dxfId="4186">
      <formula>INDEX($I$1:$I$399,ROW(CM295))=3</formula>
    </cfRule>
    <cfRule type="expression" priority="844" dxfId="4185">
      <formula>INDEX($I$1:$I$399,ROW(CM295))=2</formula>
    </cfRule>
    <cfRule type="expression" priority="843" dxfId="4166">
      <formula>INDEX($I$1:$I$399,ROW(CM295))=1</formula>
    </cfRule>
    <cfRule type="expression" priority="842" dxfId="4186">
      <formula>INDEX($I$1:$I$399,ROW(CM295))=3</formula>
    </cfRule>
    <cfRule type="expression" priority="840" dxfId="4185">
      <formula>INDEX($I$1:$I$399,ROW(CM295))=2</formula>
    </cfRule>
    <cfRule type="expression" priority="839" dxfId="4166">
      <formula>INDEX($I$1:$I$399,ROW(CM295))=1</formula>
    </cfRule>
    <cfRule type="expression" priority="838" dxfId="4186">
      <formula>INDEX($I$1:$I$399,ROW(CM295))=3</formula>
    </cfRule>
    <cfRule type="expression" priority="836" dxfId="4185">
      <formula>INDEX($I$1:$I$399,ROW(CM295))=2</formula>
    </cfRule>
    <cfRule type="expression" priority="835" dxfId="4166">
      <formula>INDEX($I$1:$I$399,ROW(CM295))=1</formula>
    </cfRule>
    <cfRule type="expression" priority="834" dxfId="4186">
      <formula>INDEX($I$1:$I$399,ROW(CM295))=3</formula>
    </cfRule>
  </conditionalFormatting>
  <conditionalFormatting sqref="CM304:CM309">
    <cfRule type="expression" priority="695" dxfId="4185">
      <formula>INDEX($I$1:$I$399,ROW(CM304))=2</formula>
    </cfRule>
    <cfRule type="expression" priority="698" dxfId="4166">
      <formula>INDEX($I$1:$I$399,ROW(CM304))=1</formula>
    </cfRule>
    <cfRule type="expression" priority="699" dxfId="4185">
      <formula>INDEX($I$1:$I$399,ROW(CM304))=2</formula>
    </cfRule>
    <cfRule type="expression" priority="697" dxfId="4186">
      <formula>INDEX($I$1:$I$399,ROW(CM304))=3</formula>
    </cfRule>
    <cfRule type="expression" priority="737" dxfId="4186">
      <formula>INDEX($I$1:$I$399,ROW(CM304))=3</formula>
    </cfRule>
    <cfRule type="expression" priority="738" dxfId="4166">
      <formula>INDEX($I$1:$I$399,ROW(CM304))=1</formula>
    </cfRule>
    <cfRule type="expression" priority="739" dxfId="4185">
      <formula>INDEX($I$1:$I$399,ROW(CM304))=2</formula>
    </cfRule>
    <cfRule type="expression" priority="753" dxfId="4186">
      <formula>INDEX($I$1:$I$399,ROW(CM304))=3</formula>
    </cfRule>
    <cfRule type="expression" priority="754" dxfId="4166">
      <formula>INDEX($I$1:$I$399,ROW(CM304))=1</formula>
    </cfRule>
    <cfRule type="expression" priority="755" dxfId="4185">
      <formula>INDEX($I$1:$I$399,ROW(CM304))=2</formula>
    </cfRule>
    <cfRule type="expression" priority="771" dxfId="4185">
      <formula>INDEX($I$1:$I$399,ROW(CM304))=2</formula>
    </cfRule>
    <cfRule type="expression" priority="770" dxfId="4166">
      <formula>INDEX($I$1:$I$399,ROW(CM304))=1</formula>
    </cfRule>
    <cfRule type="expression" priority="685" dxfId="4186">
      <formula>INDEX($I$1:$I$399,ROW(CM304))=3</formula>
    </cfRule>
    <cfRule type="expression" priority="686" dxfId="4166">
      <formula>INDEX($I$1:$I$399,ROW(CM304))=1</formula>
    </cfRule>
    <cfRule type="expression" priority="687" dxfId="4185">
      <formula>INDEX($I$1:$I$399,ROW(CM304))=2</formula>
    </cfRule>
    <cfRule type="expression" priority="689" dxfId="4186">
      <formula>INDEX($I$1:$I$399,ROW(CM304))=3</formula>
    </cfRule>
    <cfRule type="expression" priority="690" dxfId="4166">
      <formula>INDEX($I$1:$I$399,ROW(CM304))=1</formula>
    </cfRule>
    <cfRule type="expression" priority="691" dxfId="4185">
      <formula>INDEX($I$1:$I$399,ROW(CM304))=2</formula>
    </cfRule>
    <cfRule type="expression" priority="693" dxfId="4186">
      <formula>INDEX($I$1:$I$399,ROW(CM304))=3</formula>
    </cfRule>
    <cfRule type="expression" priority="694" dxfId="4166">
      <formula>INDEX($I$1:$I$399,ROW(CM304))=1</formula>
    </cfRule>
    <cfRule type="expression" priority="769" dxfId="4186">
      <formula>INDEX($I$1:$I$399,ROW(CM304))=3</formula>
    </cfRule>
  </conditionalFormatting>
  <conditionalFormatting sqref="CM313:CM318">
    <cfRule type="expression" priority="621" dxfId="4166">
      <formula>INDEX($I$1:$I$399,ROW(CM313))=1</formula>
    </cfRule>
    <cfRule type="expression" priority="620" dxfId="4186">
      <formula>INDEX($I$1:$I$399,ROW(CM313))=3</formula>
    </cfRule>
    <cfRule type="expression" priority="536" dxfId="4186">
      <formula>INDEX($I$1:$I$399,ROW(CM313))=3</formula>
    </cfRule>
    <cfRule type="expression" priority="537" dxfId="4166">
      <formula>INDEX($I$1:$I$399,ROW(CM313))=1</formula>
    </cfRule>
    <cfRule type="expression" priority="548" dxfId="4186">
      <formula>INDEX($I$1:$I$399,ROW(CM313))=3</formula>
    </cfRule>
    <cfRule type="expression" priority="538" dxfId="4185">
      <formula>INDEX($I$1:$I$399,ROW(CM313))=2</formula>
    </cfRule>
    <cfRule type="expression" priority="540" dxfId="4186">
      <formula>INDEX($I$1:$I$399,ROW(CM313))=3</formula>
    </cfRule>
    <cfRule type="expression" priority="541" dxfId="4166">
      <formula>INDEX($I$1:$I$399,ROW(CM313))=1</formula>
    </cfRule>
    <cfRule type="expression" priority="588" dxfId="4186">
      <formula>INDEX($I$1:$I$399,ROW(CM313))=3</formula>
    </cfRule>
    <cfRule type="expression" priority="606" dxfId="4185">
      <formula>INDEX($I$1:$I$399,ROW(CM313))=2</formula>
    </cfRule>
    <cfRule type="expression" priority="605" dxfId="4166">
      <formula>INDEX($I$1:$I$399,ROW(CM313))=1</formula>
    </cfRule>
    <cfRule type="expression" priority="604" dxfId="4186">
      <formula>INDEX($I$1:$I$399,ROW(CM313))=3</formula>
    </cfRule>
    <cfRule type="expression" priority="542" dxfId="4185">
      <formula>INDEX($I$1:$I$399,ROW(CM313))=2</formula>
    </cfRule>
    <cfRule type="expression" priority="549" dxfId="4166">
      <formula>INDEX($I$1:$I$399,ROW(CM313))=1</formula>
    </cfRule>
    <cfRule type="expression" priority="590" dxfId="4185">
      <formula>INDEX($I$1:$I$399,ROW(CM313))=2</formula>
    </cfRule>
    <cfRule type="expression" priority="589" dxfId="4166">
      <formula>INDEX($I$1:$I$399,ROW(CM313))=1</formula>
    </cfRule>
    <cfRule type="expression" priority="545" dxfId="4166">
      <formula>INDEX($I$1:$I$399,ROW(CM313))=1</formula>
    </cfRule>
    <cfRule type="expression" priority="546" dxfId="4185">
      <formula>INDEX($I$1:$I$399,ROW(CM313))=2</formula>
    </cfRule>
    <cfRule type="expression" priority="550" dxfId="4185">
      <formula>INDEX($I$1:$I$399,ROW(CM313))=2</formula>
    </cfRule>
    <cfRule type="expression" priority="622" dxfId="4185">
      <formula>INDEX($I$1:$I$399,ROW(CM313))=2</formula>
    </cfRule>
    <cfRule type="expression" priority="544" dxfId="4186">
      <formula>INDEX($I$1:$I$399,ROW(CM313))=3</formula>
    </cfRule>
  </conditionalFormatting>
  <conditionalFormatting sqref="CM322:CM327">
    <cfRule type="expression" priority="388" dxfId="4166">
      <formula>INDEX($I$1:$I$399,ROW(CM322))=1</formula>
    </cfRule>
    <cfRule type="expression" priority="472" dxfId="4166">
      <formula>INDEX($I$1:$I$399,ROW(CM322))=1</formula>
    </cfRule>
    <cfRule type="expression" priority="471" dxfId="4186">
      <formula>INDEX($I$1:$I$399,ROW(CM322))=3</formula>
    </cfRule>
    <cfRule type="expression" priority="457" dxfId="4185">
      <formula>INDEX($I$1:$I$399,ROW(CM322))=2</formula>
    </cfRule>
    <cfRule type="expression" priority="389" dxfId="4185">
      <formula>INDEX($I$1:$I$399,ROW(CM322))=2</formula>
    </cfRule>
    <cfRule type="expression" priority="391" dxfId="4186">
      <formula>INDEX($I$1:$I$399,ROW(CM322))=3</formula>
    </cfRule>
    <cfRule type="expression" priority="392" dxfId="4166">
      <formula>INDEX($I$1:$I$399,ROW(CM322))=1</formula>
    </cfRule>
    <cfRule type="expression" priority="393" dxfId="4185">
      <formula>INDEX($I$1:$I$399,ROW(CM322))=2</formula>
    </cfRule>
    <cfRule type="expression" priority="456" dxfId="4166">
      <formula>INDEX($I$1:$I$399,ROW(CM322))=1</formula>
    </cfRule>
    <cfRule type="expression" priority="396" dxfId="4166">
      <formula>INDEX($I$1:$I$399,ROW(CM322))=1</formula>
    </cfRule>
    <cfRule type="expression" priority="397" dxfId="4185">
      <formula>INDEX($I$1:$I$399,ROW(CM322))=2</formula>
    </cfRule>
    <cfRule type="expression" priority="399" dxfId="4186">
      <formula>INDEX($I$1:$I$399,ROW(CM322))=3</formula>
    </cfRule>
    <cfRule type="expression" priority="400" dxfId="4166">
      <formula>INDEX($I$1:$I$399,ROW(CM322))=1</formula>
    </cfRule>
    <cfRule type="expression" priority="401" dxfId="4185">
      <formula>INDEX($I$1:$I$399,ROW(CM322))=2</formula>
    </cfRule>
    <cfRule type="expression" priority="455" dxfId="4186">
      <formula>INDEX($I$1:$I$399,ROW(CM322))=3</formula>
    </cfRule>
    <cfRule type="expression" priority="441" dxfId="4185">
      <formula>INDEX($I$1:$I$399,ROW(CM322))=2</formula>
    </cfRule>
    <cfRule type="expression" priority="440" dxfId="4166">
      <formula>INDEX($I$1:$I$399,ROW(CM322))=1</formula>
    </cfRule>
    <cfRule type="expression" priority="439" dxfId="4186">
      <formula>INDEX($I$1:$I$399,ROW(CM322))=3</formula>
    </cfRule>
    <cfRule type="expression" priority="387" dxfId="4186">
      <formula>INDEX($I$1:$I$399,ROW(CM322))=3</formula>
    </cfRule>
    <cfRule type="expression" priority="473" dxfId="4185">
      <formula>INDEX($I$1:$I$399,ROW(CM322))=2</formula>
    </cfRule>
    <cfRule type="expression" priority="395" dxfId="4186">
      <formula>INDEX($I$1:$I$399,ROW(CM322))=3</formula>
    </cfRule>
  </conditionalFormatting>
  <conditionalFormatting sqref="CM331:CM336">
    <cfRule type="expression" priority="242" dxfId="4186">
      <formula>INDEX($I$1:$I$399,ROW(CM331))=3</formula>
    </cfRule>
    <cfRule type="expression" priority="240" dxfId="4185">
      <formula>INDEX($I$1:$I$399,ROW(CM331))=2</formula>
    </cfRule>
    <cfRule type="expression" priority="239" dxfId="4166">
      <formula>INDEX($I$1:$I$399,ROW(CM331))=1</formula>
    </cfRule>
    <cfRule type="expression" priority="246" dxfId="4186">
      <formula>INDEX($I$1:$I$399,ROW(CM331))=3</formula>
    </cfRule>
    <cfRule type="expression" priority="247" dxfId="4166">
      <formula>INDEX($I$1:$I$399,ROW(CM331))=1</formula>
    </cfRule>
    <cfRule type="expression" priority="248" dxfId="4185">
      <formula>INDEX($I$1:$I$399,ROW(CM331))=2</formula>
    </cfRule>
    <cfRule type="expression" priority="250" dxfId="4186">
      <formula>INDEX($I$1:$I$399,ROW(CM331))=3</formula>
    </cfRule>
    <cfRule type="expression" priority="251" dxfId="4166">
      <formula>INDEX($I$1:$I$399,ROW(CM331))=1</formula>
    </cfRule>
    <cfRule type="expression" priority="322" dxfId="4186">
      <formula>INDEX($I$1:$I$399,ROW(CM331))=3</formula>
    </cfRule>
    <cfRule type="expression" priority="324" dxfId="4185">
      <formula>INDEX($I$1:$I$399,ROW(CM331))=2</formula>
    </cfRule>
    <cfRule type="expression" priority="323" dxfId="4166">
      <formula>INDEX($I$1:$I$399,ROW(CM331))=1</formula>
    </cfRule>
    <cfRule type="expression" priority="291" dxfId="4166">
      <formula>INDEX($I$1:$I$399,ROW(CM331))=1</formula>
    </cfRule>
    <cfRule type="expression" priority="244" dxfId="4185">
      <formula>INDEX($I$1:$I$399,ROW(CM331))=2</formula>
    </cfRule>
    <cfRule type="expression" priority="308" dxfId="4185">
      <formula>INDEX($I$1:$I$399,ROW(CM331))=2</formula>
    </cfRule>
    <cfRule type="expression" priority="307" dxfId="4166">
      <formula>INDEX($I$1:$I$399,ROW(CM331))=1</formula>
    </cfRule>
    <cfRule type="expression" priority="243" dxfId="4166">
      <formula>INDEX($I$1:$I$399,ROW(CM331))=1</formula>
    </cfRule>
    <cfRule type="expression" priority="306" dxfId="4186">
      <formula>INDEX($I$1:$I$399,ROW(CM331))=3</formula>
    </cfRule>
    <cfRule type="expression" priority="292" dxfId="4185">
      <formula>INDEX($I$1:$I$399,ROW(CM331))=2</formula>
    </cfRule>
    <cfRule type="expression" priority="238" dxfId="4186">
      <formula>INDEX($I$1:$I$399,ROW(CM331))=3</formula>
    </cfRule>
    <cfRule type="expression" priority="290" dxfId="4186">
      <formula>INDEX($I$1:$I$399,ROW(CM331))=3</formula>
    </cfRule>
    <cfRule type="expression" priority="252" dxfId="4185">
      <formula>INDEX($I$1:$I$399,ROW(CM331))=2</formula>
    </cfRule>
  </conditionalFormatting>
  <conditionalFormatting sqref="CM20:CN20">
    <cfRule type="expression" priority="3062" dxfId="4167">
      <formula>fmt_shadeOn(CM20)</formula>
    </cfRule>
  </conditionalFormatting>
  <conditionalFormatting sqref="CM11:CN11 CP11:CQ11 CM57:CN70 CP57:CQ70">
    <cfRule type="expression" priority="3415" dxfId="4167">
      <formula>fmt_shadeOn(CM11)</formula>
    </cfRule>
  </conditionalFormatting>
  <conditionalFormatting sqref="CM76:CN97 CP76:CQ97 CP113:CQ114 CP176:CQ176">
    <cfRule type="expression" priority="22965" dxfId="4167">
      <formula>fmt_shadeOn(CM76)</formula>
    </cfRule>
  </conditionalFormatting>
  <conditionalFormatting sqref="CM76:CN97">
    <cfRule type="expression" priority="22963" dxfId="4185">
      <formula>INDEX($I$1:$I$349,ROW(CM76))=2</formula>
    </cfRule>
    <cfRule type="expression" priority="2989" dxfId="4167">
      <formula>fmt_shadeOn(CM76)</formula>
    </cfRule>
    <cfRule type="expression" priority="22964" dxfId="4165">
      <formula>_xlfn.SWITCH(INDEX($X$1:$X$349,ROW(CM76)),-1,SIGN(CM76)&gt;0,1,SIGN(CM76)&lt;0)</formula>
    </cfRule>
  </conditionalFormatting>
  <conditionalFormatting sqref="CM131:CN131">
    <cfRule type="expression" priority="120" dxfId="4192">
      <formula>IF($A$14,IF(CELL("protect",CM131)=0,TRUE,FALSE))</formula>
    </cfRule>
  </conditionalFormatting>
  <conditionalFormatting sqref="CM133:CN138 CM148:CN153 CQ148:CQ153 CM162:CN167 CQ162:CQ167">
    <cfRule type="expression" priority="31411" dxfId="4191">
      <formula>INDEX($H$1:$H$349,ROW($X133))=2</formula>
    </cfRule>
    <cfRule type="expression" priority="31410" dxfId="4191">
      <formula>INDEX($H$1:$H$349,ROW(CM133))=2</formula>
    </cfRule>
    <cfRule type="expression" priority="31409" dxfId="4182">
      <formula>_xlfn.SWITCH(INDEX($X$1:$X$349,ROW(CM133)),-1,SIGN(CM133)&gt;0,1,SIGN(CM133)&lt;0)</formula>
    </cfRule>
  </conditionalFormatting>
  <conditionalFormatting sqref="CM133:CN138">
    <cfRule type="expression" priority="22985" dxfId="4185">
      <formula>INDEX($I$1:$I$349,ROW(CM133))=2</formula>
    </cfRule>
  </conditionalFormatting>
  <conditionalFormatting sqref="CM146:CN146">
    <cfRule type="expression" priority="119" dxfId="4192">
      <formula>IF($A$14,IF(CELL("protect",CM146)=0,TRUE,FALSE))</formula>
    </cfRule>
  </conditionalFormatting>
  <conditionalFormatting sqref="CM148:CN154">
    <cfRule type="expression" priority="22984" dxfId="4166">
      <formula>INDEX($I$1:$I$349,ROW(CM148))=1</formula>
    </cfRule>
    <cfRule type="expression" priority="22945" dxfId="4186">
      <formula>INDEX($I$1:$I$349,ROW(CM148))=3</formula>
    </cfRule>
    <cfRule type="expression" priority="22946" dxfId="4185">
      <formula>INDEX($I$1:$I$349,ROW(CM148))=2</formula>
    </cfRule>
  </conditionalFormatting>
  <conditionalFormatting sqref="CM154:CN154">
    <cfRule type="expression" priority="23012" dxfId="4167">
      <formula>fmt_shadeOn(CM154)</formula>
    </cfRule>
  </conditionalFormatting>
  <conditionalFormatting sqref="CM160:CN160">
    <cfRule type="expression" priority="115" dxfId="4192">
      <formula>IF($A$14,IF(CELL("protect",CM160)=0,TRUE,FALSE))</formula>
    </cfRule>
  </conditionalFormatting>
  <conditionalFormatting sqref="CM163:CN167 CP163:CQ167 CM176:CN181 CP177:CQ181 CM192:CN197 CP192:CQ197">
    <cfRule type="expression" priority="23026" dxfId="4182">
      <formula>_xlfn.SWITCH(INDEX($X$1:$X$349,ROW(CM163)),-1,SIGN(CM163)&gt;0,1,SIGN(CM163)&lt;0)</formula>
    </cfRule>
    <cfRule type="expression" priority="23025" dxfId="4192">
      <formula>IF($A$14,IF(CELL("protect",CM163)=0,TRUE,FALSE))</formula>
    </cfRule>
    <cfRule type="expression" priority="23028" dxfId="4165">
      <formula>_xlfn.SWITCH(INDEX($X$1:$X$349,ROW(CM163)),-1,SIGN(CM163)&gt;0,1,SIGN(CM163)&lt;0)</formula>
    </cfRule>
    <cfRule type="expression" priority="23027" dxfId="4191">
      <formula>INDEX($H$1:$H$349,ROW(CM163))=2</formula>
    </cfRule>
  </conditionalFormatting>
  <conditionalFormatting sqref="CM174:CN174">
    <cfRule type="expression" priority="111" dxfId="4192">
      <formula>IF($A$14,IF(CELL("protect",CM174)=0,TRUE,FALSE))</formula>
    </cfRule>
  </conditionalFormatting>
  <conditionalFormatting sqref="CM176:CN181">
    <cfRule type="expression" priority="23013" dxfId="4185">
      <formula>INDEX($I$1:$I$349,ROW(CM176))=2</formula>
    </cfRule>
  </conditionalFormatting>
  <conditionalFormatting sqref="CM190:CN190">
    <cfRule type="expression" priority="107" dxfId="4192">
      <formula>IF($A$14,IF(CELL("protect",CM190)=0,TRUE,FALSE))</formula>
    </cfRule>
  </conditionalFormatting>
  <conditionalFormatting sqref="CM204:CN204">
    <cfRule type="expression" priority="103" dxfId="4192">
      <formula>IF($A$14,IF(CELL("protect",CM204)=0,TRUE,FALSE))</formula>
    </cfRule>
  </conditionalFormatting>
  <conditionalFormatting sqref="CM206:CN211 CP206:CQ211 CM221:CN226 CM236:CN241">
    <cfRule type="expression" priority="31447" dxfId="4165">
      <formula>_xlfn.SWITCH(INDEX($X$1:$X$349,ROW(CM206)),-1,SIGN(CM206)&gt;0,1,SIGN(CM206)&lt;0)</formula>
    </cfRule>
    <cfRule type="expression" priority="31446" dxfId="4191">
      <formula>INDEX($H$1:$H$349,ROW(CM206))=2</formula>
    </cfRule>
    <cfRule type="expression" priority="31448" dxfId="4191">
      <formula>INDEX($H$1:$H$349,ROW($X206))=2</formula>
    </cfRule>
  </conditionalFormatting>
  <conditionalFormatting sqref="CM206:CN211">
    <cfRule type="expression" priority="23050" dxfId="4185">
      <formula>INDEX($I$1:$I$349,ROW(CM206))=2</formula>
    </cfRule>
  </conditionalFormatting>
  <conditionalFormatting sqref="CM10:CN11 CP10:CQ11 CM19:CN205 CP19:CQ205 CM212:CN227 CP212:CQ227 CM231:CN242 CP231:CQ242 CM249:CN249 CP249:CQ249 CM256:CN256 CP256:CQ256">
    <cfRule type="expression" priority="31458" dxfId="4167">
      <formula>INDEX($H$1:$H$349,ROW($CM10))=2</formula>
    </cfRule>
  </conditionalFormatting>
  <conditionalFormatting sqref="CM219:CN219">
    <cfRule type="expression" priority="98" dxfId="4192">
      <formula>IF($A$14,IF(CELL("protect",CM219)=0,TRUE,FALSE))</formula>
    </cfRule>
  </conditionalFormatting>
  <conditionalFormatting sqref="CM231:CN234">
    <cfRule type="expression" priority="95" dxfId="4167">
      <formula>fmt_shadeOn(CM231)</formula>
    </cfRule>
  </conditionalFormatting>
  <conditionalFormatting sqref="CM234:CN234">
    <cfRule type="expression" priority="91" dxfId="4192">
      <formula>IF($A$14,IF(CELL("protect",CM234)=0,TRUE,FALSE))</formula>
    </cfRule>
  </conditionalFormatting>
  <conditionalFormatting sqref="CM235:CN242">
    <cfRule type="expression" priority="2129" dxfId="4167">
      <formula>fmt_shadeOn(CM235)</formula>
    </cfRule>
  </conditionalFormatting>
  <conditionalFormatting sqref="CM245:CN248 CP245:CQ248 CM257:CN258 CP257:CQ257 CM266:CN267 CP266:CQ266 CM275:CN276 CP275:CQ275 CM284:CN285 CP284:CQ284 CM293:CN294 CP293:CQ293 CM302:CN303 CP302:CQ302 CM311:CN312 CP311:CQ311 CM320:CN321 CP320:CQ320 CM329:CN330 CP329:CQ329 CM338:CN338 CP338:CQ338">
    <cfRule type="expression" priority="1855" dxfId="4167">
      <formula>INDEX($H$1:$H$399,ROW($CM245))=2</formula>
    </cfRule>
  </conditionalFormatting>
  <conditionalFormatting sqref="CM249:CN249 CP249:CQ249">
    <cfRule type="expression" priority="87" dxfId="4166">
      <formula>INDEX($I$1:$I$349,ROW(CM249))=1</formula>
    </cfRule>
    <cfRule type="expression" priority="85" dxfId="4165">
      <formula>_xlfn.SWITCH(INDEX($X$1:$X$349,ROW(CM249)),-1,SIGN(CM249)&gt;0,1,SIGN(CM249)&lt;0)</formula>
    </cfRule>
    <cfRule type="expression" priority="86" dxfId="4185">
      <formula>INDEX($I$1:$I$349,ROW(CM249))=2</formula>
    </cfRule>
  </conditionalFormatting>
  <conditionalFormatting sqref="CM249:CN249">
    <cfRule type="expression" priority="83" dxfId="4167">
      <formula>fmt_shadeOn(CM249)</formula>
    </cfRule>
  </conditionalFormatting>
  <conditionalFormatting sqref="CM256:CN256">
    <cfRule type="expression" priority="176" dxfId="4167">
      <formula>fmt_shadeOn(CM256)</formula>
    </cfRule>
  </conditionalFormatting>
  <conditionalFormatting sqref="CM265:CN265">
    <cfRule type="expression" priority="1507" dxfId="4039">
      <formula>AND($X265=0,ISNUMBER($X265))</formula>
    </cfRule>
  </conditionalFormatting>
  <conditionalFormatting sqref="CM274:CN274">
    <cfRule type="expression" priority="1363" dxfId="4039">
      <formula>AND($X274=0,ISNUMBER($X274))</formula>
    </cfRule>
  </conditionalFormatting>
  <conditionalFormatting sqref="CM283:CN283">
    <cfRule type="expression" priority="1219" dxfId="4039">
      <formula>AND($X283=0,ISNUMBER($X283))</formula>
    </cfRule>
  </conditionalFormatting>
  <conditionalFormatting sqref="CM292:CN292">
    <cfRule type="expression" priority="1075" dxfId="4039">
      <formula>AND($X292=0,ISNUMBER($X292))</formula>
    </cfRule>
  </conditionalFormatting>
  <conditionalFormatting sqref="CM301:CN301">
    <cfRule type="expression" priority="930" dxfId="4039">
      <formula>AND($X301=0,ISNUMBER($X301))</formula>
    </cfRule>
  </conditionalFormatting>
  <conditionalFormatting sqref="CM310:CN310">
    <cfRule type="expression" priority="781" dxfId="4039">
      <formula>AND($X310=0,ISNUMBER($X310))</formula>
    </cfRule>
  </conditionalFormatting>
  <conditionalFormatting sqref="CM319:CN319">
    <cfRule type="expression" priority="632" dxfId="4039">
      <formula>AND($X319=0,ISNUMBER($X319))</formula>
    </cfRule>
  </conditionalFormatting>
  <conditionalFormatting sqref="CM328:CN328">
    <cfRule type="expression" priority="483" dxfId="4039">
      <formula>AND($X328=0,ISNUMBER($X328))</formula>
    </cfRule>
  </conditionalFormatting>
  <conditionalFormatting sqref="CM337:CN337">
    <cfRule type="expression" priority="334" dxfId="4039">
      <formula>AND($X337=0,ISNUMBER($X337))</formula>
    </cfRule>
  </conditionalFormatting>
  <conditionalFormatting sqref="CM57:CQ66">
    <cfRule type="expression" priority="126" dxfId="4192">
      <formula>IF($A$14,IF(CELL("protect",CM57)=0,TRUE,FALSE))</formula>
    </cfRule>
  </conditionalFormatting>
  <conditionalFormatting sqref="CM249:CQ249">
    <cfRule type="expression" priority="79" dxfId="4192">
      <formula>IF($A$14,IF(CELL("protect",CM249)=0,TRUE,FALSE))</formula>
    </cfRule>
  </conditionalFormatting>
  <conditionalFormatting sqref="CP250:CP255">
    <cfRule type="expression" priority="1539" dxfId="4185">
      <formula>INDEX($I$1:$I$399,ROW(CP250))=2</formula>
    </cfRule>
    <cfRule type="expression" priority="1617" dxfId="4186">
      <formula>INDEX($I$1:$I$399,ROW(CP250))=3</formula>
    </cfRule>
    <cfRule type="expression" priority="1633" dxfId="4186">
      <formula>INDEX($I$1:$I$399,ROW(CP250))=3</formula>
    </cfRule>
    <cfRule type="expression" priority="1634" dxfId="4166">
      <formula>INDEX($I$1:$I$399,ROW(CP250))=1</formula>
    </cfRule>
    <cfRule type="expression" priority="1635" dxfId="4185">
      <formula>INDEX($I$1:$I$399,ROW(CP250))=2</formula>
    </cfRule>
    <cfRule type="expression" priority="1603" dxfId="4185">
      <formula>INDEX($I$1:$I$399,ROW(CP250))=2</formula>
    </cfRule>
    <cfRule type="expression" priority="1602" dxfId="4166">
      <formula>INDEX($I$1:$I$399,ROW(CP250))=1</formula>
    </cfRule>
    <cfRule type="expression" priority="1601" dxfId="4186">
      <formula>INDEX($I$1:$I$399,ROW(CP250))=3</formula>
    </cfRule>
    <cfRule type="expression" priority="1537" dxfId="4186">
      <formula>INDEX($I$1:$I$399,ROW(CP250))=3</formula>
    </cfRule>
    <cfRule type="expression" priority="1619" dxfId="4185">
      <formula>INDEX($I$1:$I$399,ROW(CP250))=2</formula>
    </cfRule>
    <cfRule type="expression" priority="1551" dxfId="4185">
      <formula>INDEX($I$1:$I$399,ROW(CP250))=2</formula>
    </cfRule>
    <cfRule type="expression" priority="1550" dxfId="4166">
      <formula>INDEX($I$1:$I$399,ROW(CP250))=1</formula>
    </cfRule>
    <cfRule type="expression" priority="1549" dxfId="4186">
      <formula>INDEX($I$1:$I$399,ROW(CP250))=3</formula>
    </cfRule>
    <cfRule type="expression" priority="1547" dxfId="4185">
      <formula>INDEX($I$1:$I$399,ROW(CP250))=2</formula>
    </cfRule>
    <cfRule type="expression" priority="1546" dxfId="4166">
      <formula>INDEX($I$1:$I$399,ROW(CP250))=1</formula>
    </cfRule>
    <cfRule type="expression" priority="1545" dxfId="4186">
      <formula>INDEX($I$1:$I$399,ROW(CP250))=3</formula>
    </cfRule>
    <cfRule type="expression" priority="1543" dxfId="4185">
      <formula>INDEX($I$1:$I$399,ROW(CP250))=2</formula>
    </cfRule>
    <cfRule type="expression" priority="1542" dxfId="4166">
      <formula>INDEX($I$1:$I$399,ROW(CP250))=1</formula>
    </cfRule>
    <cfRule type="expression" priority="1541" dxfId="4186">
      <formula>INDEX($I$1:$I$399,ROW(CP250))=3</formula>
    </cfRule>
    <cfRule type="expression" priority="1538" dxfId="4166">
      <formula>INDEX($I$1:$I$399,ROW(CP250))=1</formula>
    </cfRule>
    <cfRule type="expression" priority="1618" dxfId="4166">
      <formula>INDEX($I$1:$I$399,ROW(CP250))=1</formula>
    </cfRule>
  </conditionalFormatting>
  <conditionalFormatting sqref="CP259:CP264">
    <cfRule type="expression" priority="1491" dxfId="4186">
      <formula>INDEX($I$1:$I$399,ROW(CP259))=3</formula>
    </cfRule>
    <cfRule type="expression" priority="1403" dxfId="4186">
      <formula>INDEX($I$1:$I$399,ROW(CP259))=3</formula>
    </cfRule>
    <cfRule type="expression" priority="1459" dxfId="4186">
      <formula>INDEX($I$1:$I$399,ROW(CP259))=3</formula>
    </cfRule>
    <cfRule type="expression" priority="1460" dxfId="4166">
      <formula>INDEX($I$1:$I$399,ROW(CP259))=1</formula>
    </cfRule>
    <cfRule type="expression" priority="1461" dxfId="4185">
      <formula>INDEX($I$1:$I$399,ROW(CP259))=2</formula>
    </cfRule>
    <cfRule type="expression" priority="1397" dxfId="4185">
      <formula>INDEX($I$1:$I$399,ROW(CP259))=2</formula>
    </cfRule>
    <cfRule type="expression" priority="1404" dxfId="4166">
      <formula>INDEX($I$1:$I$399,ROW(CP259))=1</formula>
    </cfRule>
    <cfRule type="expression" priority="1401" dxfId="4185">
      <formula>INDEX($I$1:$I$399,ROW(CP259))=2</formula>
    </cfRule>
    <cfRule type="expression" priority="1407" dxfId="4186">
      <formula>INDEX($I$1:$I$399,ROW(CP259))=3</formula>
    </cfRule>
    <cfRule type="expression" priority="1409" dxfId="4185">
      <formula>INDEX($I$1:$I$399,ROW(CP259))=2</formula>
    </cfRule>
    <cfRule type="expression" priority="1408" dxfId="4166">
      <formula>INDEX($I$1:$I$399,ROW(CP259))=1</formula>
    </cfRule>
    <cfRule type="expression" priority="1396" dxfId="4166">
      <formula>INDEX($I$1:$I$399,ROW(CP259))=1</formula>
    </cfRule>
    <cfRule type="expression" priority="1395" dxfId="4186">
      <formula>INDEX($I$1:$I$399,ROW(CP259))=3</formula>
    </cfRule>
    <cfRule type="expression" priority="1475" dxfId="4186">
      <formula>INDEX($I$1:$I$399,ROW(CP259))=3</formula>
    </cfRule>
    <cfRule type="expression" priority="1476" dxfId="4166">
      <formula>INDEX($I$1:$I$399,ROW(CP259))=1</formula>
    </cfRule>
    <cfRule type="expression" priority="1477" dxfId="4185">
      <formula>INDEX($I$1:$I$399,ROW(CP259))=2</formula>
    </cfRule>
    <cfRule type="expression" priority="1400" dxfId="4166">
      <formula>INDEX($I$1:$I$399,ROW(CP259))=1</formula>
    </cfRule>
    <cfRule type="expression" priority="1493" dxfId="4185">
      <formula>INDEX($I$1:$I$399,ROW(CP259))=2</formula>
    </cfRule>
    <cfRule type="expression" priority="1492" dxfId="4166">
      <formula>INDEX($I$1:$I$399,ROW(CP259))=1</formula>
    </cfRule>
    <cfRule type="expression" priority="1399" dxfId="4186">
      <formula>INDEX($I$1:$I$399,ROW(CP259))=3</formula>
    </cfRule>
    <cfRule type="expression" priority="1405" dxfId="4185">
      <formula>INDEX($I$1:$I$399,ROW(CP259))=2</formula>
    </cfRule>
  </conditionalFormatting>
  <conditionalFormatting sqref="CP268:CP273">
    <cfRule type="expression" priority="1317" dxfId="4185">
      <formula>INDEX($I$1:$I$399,ROW(CP268))=2</formula>
    </cfRule>
    <cfRule type="expression" priority="1349" dxfId="4185">
      <formula>INDEX($I$1:$I$399,ROW(CP268))=2</formula>
    </cfRule>
    <cfRule type="expression" priority="1347" dxfId="4186">
      <formula>INDEX($I$1:$I$399,ROW(CP268))=3</formula>
    </cfRule>
    <cfRule type="expression" priority="1333" dxfId="4185">
      <formula>INDEX($I$1:$I$399,ROW(CP268))=2</formula>
    </cfRule>
    <cfRule type="expression" priority="1332" dxfId="4166">
      <formula>INDEX($I$1:$I$399,ROW(CP268))=1</formula>
    </cfRule>
    <cfRule type="expression" priority="1331" dxfId="4186">
      <formula>INDEX($I$1:$I$399,ROW(CP268))=3</formula>
    </cfRule>
    <cfRule type="expression" priority="1260" dxfId="4166">
      <formula>INDEX($I$1:$I$399,ROW(CP268))=1</formula>
    </cfRule>
    <cfRule type="expression" priority="1316" dxfId="4166">
      <formula>INDEX($I$1:$I$399,ROW(CP268))=1</formula>
    </cfRule>
    <cfRule type="expression" priority="1315" dxfId="4186">
      <formula>INDEX($I$1:$I$399,ROW(CP268))=3</formula>
    </cfRule>
    <cfRule type="expression" priority="1263" dxfId="4186">
      <formula>INDEX($I$1:$I$399,ROW(CP268))=3</formula>
    </cfRule>
    <cfRule type="expression" priority="1261" dxfId="4185">
      <formula>INDEX($I$1:$I$399,ROW(CP268))=2</formula>
    </cfRule>
    <cfRule type="expression" priority="1251" dxfId="4186">
      <formula>INDEX($I$1:$I$399,ROW(CP268))=3</formula>
    </cfRule>
    <cfRule type="expression" priority="1264" dxfId="4166">
      <formula>INDEX($I$1:$I$399,ROW(CP268))=1</formula>
    </cfRule>
    <cfRule type="expression" priority="1252" dxfId="4166">
      <formula>INDEX($I$1:$I$399,ROW(CP268))=1</formula>
    </cfRule>
    <cfRule type="expression" priority="1253" dxfId="4185">
      <formula>INDEX($I$1:$I$399,ROW(CP268))=2</formula>
    </cfRule>
    <cfRule type="expression" priority="1348" dxfId="4166">
      <formula>INDEX($I$1:$I$399,ROW(CP268))=1</formula>
    </cfRule>
    <cfRule type="expression" priority="1256" dxfId="4166">
      <formula>INDEX($I$1:$I$399,ROW(CP268))=1</formula>
    </cfRule>
    <cfRule type="expression" priority="1259" dxfId="4186">
      <formula>INDEX($I$1:$I$399,ROW(CP268))=3</formula>
    </cfRule>
    <cfRule type="expression" priority="1265" dxfId="4185">
      <formula>INDEX($I$1:$I$399,ROW(CP268))=2</formula>
    </cfRule>
    <cfRule type="expression" priority="1257" dxfId="4185">
      <formula>INDEX($I$1:$I$399,ROW(CP268))=2</formula>
    </cfRule>
    <cfRule type="expression" priority="1255" dxfId="4186">
      <formula>INDEX($I$1:$I$399,ROW(CP268))=3</formula>
    </cfRule>
  </conditionalFormatting>
  <conditionalFormatting sqref="CP277:CP282">
    <cfRule type="expression" priority="1108" dxfId="4166">
      <formula>INDEX($I$1:$I$399,ROW(CP277))=1</formula>
    </cfRule>
    <cfRule type="expression" priority="1120" dxfId="4166">
      <formula>INDEX($I$1:$I$399,ROW(CP277))=1</formula>
    </cfRule>
    <cfRule type="expression" priority="1119" dxfId="4186">
      <formula>INDEX($I$1:$I$399,ROW(CP277))=3</formula>
    </cfRule>
    <cfRule type="expression" priority="1121" dxfId="4185">
      <formula>INDEX($I$1:$I$399,ROW(CP277))=2</formula>
    </cfRule>
    <cfRule type="expression" priority="1107" dxfId="4186">
      <formula>INDEX($I$1:$I$399,ROW(CP277))=3</formula>
    </cfRule>
    <cfRule type="expression" priority="1171" dxfId="4186">
      <formula>INDEX($I$1:$I$399,ROW(CP277))=3</formula>
    </cfRule>
    <cfRule type="expression" priority="1172" dxfId="4166">
      <formula>INDEX($I$1:$I$399,ROW(CP277))=1</formula>
    </cfRule>
    <cfRule type="expression" priority="1173" dxfId="4185">
      <formula>INDEX($I$1:$I$399,ROW(CP277))=2</formula>
    </cfRule>
    <cfRule type="expression" priority="1187" dxfId="4186">
      <formula>INDEX($I$1:$I$399,ROW(CP277))=3</formula>
    </cfRule>
    <cfRule type="expression" priority="1188" dxfId="4166">
      <formula>INDEX($I$1:$I$399,ROW(CP277))=1</formula>
    </cfRule>
    <cfRule type="expression" priority="1189" dxfId="4185">
      <formula>INDEX($I$1:$I$399,ROW(CP277))=2</formula>
    </cfRule>
    <cfRule type="expression" priority="1203" dxfId="4186">
      <formula>INDEX($I$1:$I$399,ROW(CP277))=3</formula>
    </cfRule>
    <cfRule type="expression" priority="1109" dxfId="4185">
      <formula>INDEX($I$1:$I$399,ROW(CP277))=2</formula>
    </cfRule>
    <cfRule type="expression" priority="1204" dxfId="4166">
      <formula>INDEX($I$1:$I$399,ROW(CP277))=1</formula>
    </cfRule>
    <cfRule type="expression" priority="1205" dxfId="4185">
      <formula>INDEX($I$1:$I$399,ROW(CP277))=2</formula>
    </cfRule>
    <cfRule type="expression" priority="1111" dxfId="4186">
      <formula>INDEX($I$1:$I$399,ROW(CP277))=3</formula>
    </cfRule>
    <cfRule type="expression" priority="1112" dxfId="4166">
      <formula>INDEX($I$1:$I$399,ROW(CP277))=1</formula>
    </cfRule>
    <cfRule type="expression" priority="1113" dxfId="4185">
      <formula>INDEX($I$1:$I$399,ROW(CP277))=2</formula>
    </cfRule>
    <cfRule type="expression" priority="1115" dxfId="4186">
      <formula>INDEX($I$1:$I$399,ROW(CP277))=3</formula>
    </cfRule>
    <cfRule type="expression" priority="1116" dxfId="4166">
      <formula>INDEX($I$1:$I$399,ROW(CP277))=1</formula>
    </cfRule>
    <cfRule type="expression" priority="1117" dxfId="4185">
      <formula>INDEX($I$1:$I$399,ROW(CP277))=2</formula>
    </cfRule>
  </conditionalFormatting>
  <conditionalFormatting sqref="CP286:CP291">
    <cfRule type="expression" priority="973" dxfId="4185">
      <formula>INDEX($I$1:$I$399,ROW(CP286))=2</formula>
    </cfRule>
    <cfRule type="expression" priority="972" dxfId="4166">
      <formula>INDEX($I$1:$I$399,ROW(CP286))=1</formula>
    </cfRule>
    <cfRule type="expression" priority="971" dxfId="4186">
      <formula>INDEX($I$1:$I$399,ROW(CP286))=3</formula>
    </cfRule>
    <cfRule type="expression" priority="1028" dxfId="4166">
      <formula>INDEX($I$1:$I$399,ROW(CP286))=1</formula>
    </cfRule>
    <cfRule type="expression" priority="1029" dxfId="4185">
      <formula>INDEX($I$1:$I$399,ROW(CP286))=2</formula>
    </cfRule>
    <cfRule type="expression" priority="1060" dxfId="4166">
      <formula>INDEX($I$1:$I$399,ROW(CP286))=1</formula>
    </cfRule>
    <cfRule type="expression" priority="1045" dxfId="4185">
      <formula>INDEX($I$1:$I$399,ROW(CP286))=2</formula>
    </cfRule>
    <cfRule type="expression" priority="975" dxfId="4186">
      <formula>INDEX($I$1:$I$399,ROW(CP286))=3</formula>
    </cfRule>
    <cfRule type="expression" priority="1061" dxfId="4185">
      <formula>INDEX($I$1:$I$399,ROW(CP286))=2</formula>
    </cfRule>
    <cfRule type="expression" priority="1059" dxfId="4186">
      <formula>INDEX($I$1:$I$399,ROW(CP286))=3</formula>
    </cfRule>
    <cfRule type="expression" priority="976" dxfId="4166">
      <formula>INDEX($I$1:$I$399,ROW(CP286))=1</formula>
    </cfRule>
    <cfRule type="expression" priority="1043" dxfId="4186">
      <formula>INDEX($I$1:$I$399,ROW(CP286))=3</formula>
    </cfRule>
    <cfRule type="expression" priority="1044" dxfId="4166">
      <formula>INDEX($I$1:$I$399,ROW(CP286))=1</formula>
    </cfRule>
    <cfRule type="expression" priority="977" dxfId="4185">
      <formula>INDEX($I$1:$I$399,ROW(CP286))=2</formula>
    </cfRule>
    <cfRule type="expression" priority="1027" dxfId="4186">
      <formula>INDEX($I$1:$I$399,ROW(CP286))=3</formula>
    </cfRule>
    <cfRule type="expression" priority="969" dxfId="4185">
      <formula>INDEX($I$1:$I$399,ROW(CP286))=2</formula>
    </cfRule>
    <cfRule type="expression" priority="968" dxfId="4166">
      <formula>INDEX($I$1:$I$399,ROW(CP286))=1</formula>
    </cfRule>
    <cfRule type="expression" priority="967" dxfId="4186">
      <formula>INDEX($I$1:$I$399,ROW(CP286))=3</formula>
    </cfRule>
    <cfRule type="expression" priority="965" dxfId="4185">
      <formula>INDEX($I$1:$I$399,ROW(CP286))=2</formula>
    </cfRule>
    <cfRule type="expression" priority="964" dxfId="4166">
      <formula>INDEX($I$1:$I$399,ROW(CP286))=1</formula>
    </cfRule>
    <cfRule type="expression" priority="963" dxfId="4186">
      <formula>INDEX($I$1:$I$399,ROW(CP286))=3</formula>
    </cfRule>
  </conditionalFormatting>
  <conditionalFormatting sqref="CP295:CP300">
    <cfRule type="expression" priority="899" dxfId="4166">
      <formula>INDEX($I$1:$I$399,ROW(CP295))=1</formula>
    </cfRule>
    <cfRule type="expression" priority="898" dxfId="4186">
      <formula>INDEX($I$1:$I$399,ROW(CP295))=3</formula>
    </cfRule>
    <cfRule type="expression" priority="884" dxfId="4185">
      <formula>INDEX($I$1:$I$399,ROW(CP295))=2</formula>
    </cfRule>
    <cfRule type="expression" priority="883" dxfId="4166">
      <formula>INDEX($I$1:$I$399,ROW(CP295))=1</formula>
    </cfRule>
    <cfRule type="expression" priority="882" dxfId="4186">
      <formula>INDEX($I$1:$I$399,ROW(CP295))=3</formula>
    </cfRule>
    <cfRule type="expression" priority="832" dxfId="4185">
      <formula>INDEX($I$1:$I$399,ROW(CP295))=2</formula>
    </cfRule>
    <cfRule type="expression" priority="831" dxfId="4166">
      <formula>INDEX($I$1:$I$399,ROW(CP295))=1</formula>
    </cfRule>
    <cfRule type="expression" priority="830" dxfId="4186">
      <formula>INDEX($I$1:$I$399,ROW(CP295))=3</formula>
    </cfRule>
    <cfRule type="expression" priority="828" dxfId="4185">
      <formula>INDEX($I$1:$I$399,ROW(CP295))=2</formula>
    </cfRule>
    <cfRule type="expression" priority="827" dxfId="4166">
      <formula>INDEX($I$1:$I$399,ROW(CP295))=1</formula>
    </cfRule>
    <cfRule type="expression" priority="826" dxfId="4186">
      <formula>INDEX($I$1:$I$399,ROW(CP295))=3</formula>
    </cfRule>
    <cfRule type="expression" priority="823" dxfId="4166">
      <formula>INDEX($I$1:$I$399,ROW(CP295))=1</formula>
    </cfRule>
    <cfRule type="expression" priority="822" dxfId="4186">
      <formula>INDEX($I$1:$I$399,ROW(CP295))=3</formula>
    </cfRule>
    <cfRule type="expression" priority="820" dxfId="4185">
      <formula>INDEX($I$1:$I$399,ROW(CP295))=2</formula>
    </cfRule>
    <cfRule type="expression" priority="819" dxfId="4166">
      <formula>INDEX($I$1:$I$399,ROW(CP295))=1</formula>
    </cfRule>
    <cfRule type="expression" priority="818" dxfId="4186">
      <formula>INDEX($I$1:$I$399,ROW(CP295))=3</formula>
    </cfRule>
    <cfRule type="expression" priority="916" dxfId="4185">
      <formula>INDEX($I$1:$I$399,ROW(CP295))=2</formula>
    </cfRule>
    <cfRule type="expression" priority="915" dxfId="4166">
      <formula>INDEX($I$1:$I$399,ROW(CP295))=1</formula>
    </cfRule>
    <cfRule type="expression" priority="914" dxfId="4186">
      <formula>INDEX($I$1:$I$399,ROW(CP295))=3</formula>
    </cfRule>
    <cfRule type="expression" priority="824" dxfId="4185">
      <formula>INDEX($I$1:$I$399,ROW(CP295))=2</formula>
    </cfRule>
    <cfRule type="expression" priority="900" dxfId="4185">
      <formula>INDEX($I$1:$I$399,ROW(CP295))=2</formula>
    </cfRule>
  </conditionalFormatting>
  <conditionalFormatting sqref="CP304:CP309">
    <cfRule type="expression" priority="675" dxfId="4185">
      <formula>INDEX($I$1:$I$399,ROW(CP304))=2</formula>
    </cfRule>
    <cfRule type="expression" priority="750" dxfId="4166">
      <formula>INDEX($I$1:$I$399,ROW(CP304))=1</formula>
    </cfRule>
    <cfRule type="expression" priority="751" dxfId="4185">
      <formula>INDEX($I$1:$I$399,ROW(CP304))=2</formula>
    </cfRule>
    <cfRule type="expression" priority="670" dxfId="4166">
      <formula>INDEX($I$1:$I$399,ROW(CP304))=1</formula>
    </cfRule>
    <cfRule type="expression" priority="733" dxfId="4186">
      <formula>INDEX($I$1:$I$399,ROW(CP304))=3</formula>
    </cfRule>
    <cfRule type="expression" priority="683" dxfId="4185">
      <formula>INDEX($I$1:$I$399,ROW(CP304))=2</formula>
    </cfRule>
    <cfRule type="expression" priority="749" dxfId="4186">
      <formula>INDEX($I$1:$I$399,ROW(CP304))=3</formula>
    </cfRule>
    <cfRule type="expression" priority="765" dxfId="4186">
      <formula>INDEX($I$1:$I$399,ROW(CP304))=3</formula>
    </cfRule>
    <cfRule type="expression" priority="674" dxfId="4166">
      <formula>INDEX($I$1:$I$399,ROW(CP304))=1</formula>
    </cfRule>
    <cfRule type="expression" priority="766" dxfId="4166">
      <formula>INDEX($I$1:$I$399,ROW(CP304))=1</formula>
    </cfRule>
    <cfRule type="expression" priority="767" dxfId="4185">
      <formula>INDEX($I$1:$I$399,ROW(CP304))=2</formula>
    </cfRule>
    <cfRule type="expression" priority="673" dxfId="4186">
      <formula>INDEX($I$1:$I$399,ROW(CP304))=3</formula>
    </cfRule>
    <cfRule type="expression" priority="735" dxfId="4185">
      <formula>INDEX($I$1:$I$399,ROW(CP304))=2</formula>
    </cfRule>
    <cfRule type="expression" priority="671" dxfId="4185">
      <formula>INDEX($I$1:$I$399,ROW(CP304))=2</formula>
    </cfRule>
    <cfRule type="expression" priority="734" dxfId="4166">
      <formula>INDEX($I$1:$I$399,ROW(CP304))=1</formula>
    </cfRule>
    <cfRule type="expression" priority="669" dxfId="4186">
      <formula>INDEX($I$1:$I$399,ROW(CP304))=3</formula>
    </cfRule>
    <cfRule type="expression" priority="677" dxfId="4186">
      <formula>INDEX($I$1:$I$399,ROW(CP304))=3</formula>
    </cfRule>
    <cfRule type="expression" priority="682" dxfId="4166">
      <formula>INDEX($I$1:$I$399,ROW(CP304))=1</formula>
    </cfRule>
    <cfRule type="expression" priority="681" dxfId="4186">
      <formula>INDEX($I$1:$I$399,ROW(CP304))=3</formula>
    </cfRule>
    <cfRule type="expression" priority="679" dxfId="4185">
      <formula>INDEX($I$1:$I$399,ROW(CP304))=2</formula>
    </cfRule>
    <cfRule type="expression" priority="678" dxfId="4166">
      <formula>INDEX($I$1:$I$399,ROW(CP304))=1</formula>
    </cfRule>
  </conditionalFormatting>
  <conditionalFormatting sqref="CP313:CP318">
    <cfRule type="expression" priority="524" dxfId="4186">
      <formula>INDEX($I$1:$I$399,ROW(CP313))=3</formula>
    </cfRule>
    <cfRule type="expression" priority="526" dxfId="4185">
      <formula>INDEX($I$1:$I$399,ROW(CP313))=2</formula>
    </cfRule>
    <cfRule type="expression" priority="602" dxfId="4185">
      <formula>INDEX($I$1:$I$399,ROW(CP313))=2</formula>
    </cfRule>
    <cfRule type="expression" priority="525" dxfId="4166">
      <formula>INDEX($I$1:$I$399,ROW(CP313))=1</formula>
    </cfRule>
    <cfRule type="expression" priority="601" dxfId="4166">
      <formula>INDEX($I$1:$I$399,ROW(CP313))=1</formula>
    </cfRule>
    <cfRule type="expression" priority="600" dxfId="4186">
      <formula>INDEX($I$1:$I$399,ROW(CP313))=3</formula>
    </cfRule>
    <cfRule type="expression" priority="586" dxfId="4185">
      <formula>INDEX($I$1:$I$399,ROW(CP313))=2</formula>
    </cfRule>
    <cfRule type="expression" priority="585" dxfId="4166">
      <formula>INDEX($I$1:$I$399,ROW(CP313))=1</formula>
    </cfRule>
    <cfRule type="expression" priority="584" dxfId="4186">
      <formula>INDEX($I$1:$I$399,ROW(CP313))=3</formula>
    </cfRule>
    <cfRule type="expression" priority="534" dxfId="4185">
      <formula>INDEX($I$1:$I$399,ROW(CP313))=2</formula>
    </cfRule>
    <cfRule type="expression" priority="520" dxfId="4186">
      <formula>INDEX($I$1:$I$399,ROW(CP313))=3</formula>
    </cfRule>
    <cfRule type="expression" priority="533" dxfId="4166">
      <formula>INDEX($I$1:$I$399,ROW(CP313))=1</formula>
    </cfRule>
    <cfRule type="expression" priority="532" dxfId="4186">
      <formula>INDEX($I$1:$I$399,ROW(CP313))=3</formula>
    </cfRule>
    <cfRule type="expression" priority="618" dxfId="4185">
      <formula>INDEX($I$1:$I$399,ROW(CP313))=2</formula>
    </cfRule>
    <cfRule type="expression" priority="617" dxfId="4166">
      <formula>INDEX($I$1:$I$399,ROW(CP313))=1</formula>
    </cfRule>
    <cfRule type="expression" priority="616" dxfId="4186">
      <formula>INDEX($I$1:$I$399,ROW(CP313))=3</formula>
    </cfRule>
    <cfRule type="expression" priority="530" dxfId="4185">
      <formula>INDEX($I$1:$I$399,ROW(CP313))=2</formula>
    </cfRule>
    <cfRule type="expression" priority="529" dxfId="4166">
      <formula>INDEX($I$1:$I$399,ROW(CP313))=1</formula>
    </cfRule>
    <cfRule type="expression" priority="521" dxfId="4166">
      <formula>INDEX($I$1:$I$399,ROW(CP313))=1</formula>
    </cfRule>
    <cfRule type="expression" priority="522" dxfId="4185">
      <formula>INDEX($I$1:$I$399,ROW(CP313))=2</formula>
    </cfRule>
    <cfRule type="expression" priority="528" dxfId="4186">
      <formula>INDEX($I$1:$I$399,ROW(CP313))=3</formula>
    </cfRule>
  </conditionalFormatting>
  <conditionalFormatting sqref="CP322:CP327">
    <cfRule type="expression" priority="381" dxfId="4185">
      <formula>INDEX($I$1:$I$399,ROW(CP322))=2</formula>
    </cfRule>
    <cfRule type="expression" priority="379" dxfId="4186">
      <formula>INDEX($I$1:$I$399,ROW(CP322))=3</formula>
    </cfRule>
    <cfRule type="expression" priority="372" dxfId="4166">
      <formula>INDEX($I$1:$I$399,ROW(CP322))=1</formula>
    </cfRule>
    <cfRule type="expression" priority="380" dxfId="4166">
      <formula>INDEX($I$1:$I$399,ROW(CP322))=1</formula>
    </cfRule>
    <cfRule type="expression" priority="384" dxfId="4166">
      <formula>INDEX($I$1:$I$399,ROW(CP322))=1</formula>
    </cfRule>
    <cfRule type="expression" priority="451" dxfId="4186">
      <formula>INDEX($I$1:$I$399,ROW(CP322))=3</formula>
    </cfRule>
    <cfRule type="expression" priority="371" dxfId="4186">
      <formula>INDEX($I$1:$I$399,ROW(CP322))=3</formula>
    </cfRule>
    <cfRule type="expression" priority="373" dxfId="4185">
      <formula>INDEX($I$1:$I$399,ROW(CP322))=2</formula>
    </cfRule>
    <cfRule type="expression" priority="469" dxfId="4185">
      <formula>INDEX($I$1:$I$399,ROW(CP322))=2</formula>
    </cfRule>
    <cfRule type="expression" priority="468" dxfId="4166">
      <formula>INDEX($I$1:$I$399,ROW(CP322))=1</formula>
    </cfRule>
    <cfRule type="expression" priority="467" dxfId="4186">
      <formula>INDEX($I$1:$I$399,ROW(CP322))=3</formula>
    </cfRule>
    <cfRule type="expression" priority="453" dxfId="4185">
      <formula>INDEX($I$1:$I$399,ROW(CP322))=2</formula>
    </cfRule>
    <cfRule type="expression" priority="452" dxfId="4166">
      <formula>INDEX($I$1:$I$399,ROW(CP322))=1</formula>
    </cfRule>
    <cfRule type="expression" priority="437" dxfId="4185">
      <formula>INDEX($I$1:$I$399,ROW(CP322))=2</formula>
    </cfRule>
    <cfRule type="expression" priority="436" dxfId="4166">
      <formula>INDEX($I$1:$I$399,ROW(CP322))=1</formula>
    </cfRule>
    <cfRule type="expression" priority="375" dxfId="4186">
      <formula>INDEX($I$1:$I$399,ROW(CP322))=3</formula>
    </cfRule>
    <cfRule type="expression" priority="435" dxfId="4186">
      <formula>INDEX($I$1:$I$399,ROW(CP322))=3</formula>
    </cfRule>
    <cfRule type="expression" priority="385" dxfId="4185">
      <formula>INDEX($I$1:$I$399,ROW(CP322))=2</formula>
    </cfRule>
    <cfRule type="expression" priority="383" dxfId="4186">
      <formula>INDEX($I$1:$I$399,ROW(CP322))=3</formula>
    </cfRule>
    <cfRule type="expression" priority="376" dxfId="4166">
      <formula>INDEX($I$1:$I$399,ROW(CP322))=1</formula>
    </cfRule>
    <cfRule type="expression" priority="377" dxfId="4185">
      <formula>INDEX($I$1:$I$399,ROW(CP322))=2</formula>
    </cfRule>
  </conditionalFormatting>
  <conditionalFormatting sqref="CP331:CP336">
    <cfRule type="expression" priority="223" dxfId="4166">
      <formula>INDEX($I$1:$I$399,ROW(CP331))=1</formula>
    </cfRule>
    <cfRule type="expression" priority="235" dxfId="4166">
      <formula>INDEX($I$1:$I$399,ROW(CP331))=1</formula>
    </cfRule>
    <cfRule type="expression" priority="287" dxfId="4166">
      <formula>INDEX($I$1:$I$399,ROW(CP331))=1</formula>
    </cfRule>
    <cfRule type="expression" priority="288" dxfId="4185">
      <formula>INDEX($I$1:$I$399,ROW(CP331))=2</formula>
    </cfRule>
    <cfRule type="expression" priority="230" dxfId="4186">
      <formula>INDEX($I$1:$I$399,ROW(CP331))=3</formula>
    </cfRule>
    <cfRule type="expression" priority="236" dxfId="4185">
      <formula>INDEX($I$1:$I$399,ROW(CP331))=2</formula>
    </cfRule>
    <cfRule type="expression" priority="234" dxfId="4186">
      <formula>INDEX($I$1:$I$399,ROW(CP331))=3</formula>
    </cfRule>
    <cfRule type="expression" priority="320" dxfId="4185">
      <formula>INDEX($I$1:$I$399,ROW(CP331))=2</formula>
    </cfRule>
    <cfRule type="expression" priority="232" dxfId="4185">
      <formula>INDEX($I$1:$I$399,ROW(CP331))=2</formula>
    </cfRule>
    <cfRule type="expression" priority="319" dxfId="4166">
      <formula>INDEX($I$1:$I$399,ROW(CP331))=1</formula>
    </cfRule>
    <cfRule type="expression" priority="302" dxfId="4186">
      <formula>INDEX($I$1:$I$399,ROW(CP331))=3</formula>
    </cfRule>
    <cfRule type="expression" priority="231" dxfId="4166">
      <formula>INDEX($I$1:$I$399,ROW(CP331))=1</formula>
    </cfRule>
    <cfRule type="expression" priority="228" dxfId="4185">
      <formula>INDEX($I$1:$I$399,ROW(CP331))=2</formula>
    </cfRule>
    <cfRule type="expression" priority="303" dxfId="4166">
      <formula>INDEX($I$1:$I$399,ROW(CP331))=1</formula>
    </cfRule>
    <cfRule type="expression" priority="304" dxfId="4185">
      <formula>INDEX($I$1:$I$399,ROW(CP331))=2</formula>
    </cfRule>
    <cfRule type="expression" priority="286" dxfId="4186">
      <formula>INDEX($I$1:$I$399,ROW(CP331))=3</formula>
    </cfRule>
    <cfRule type="expression" priority="318" dxfId="4186">
      <formula>INDEX($I$1:$I$399,ROW(CP331))=3</formula>
    </cfRule>
    <cfRule type="expression" priority="227" dxfId="4166">
      <formula>INDEX($I$1:$I$399,ROW(CP331))=1</formula>
    </cfRule>
    <cfRule type="expression" priority="226" dxfId="4186">
      <formula>INDEX($I$1:$I$399,ROW(CP331))=3</formula>
    </cfRule>
    <cfRule type="expression" priority="224" dxfId="4185">
      <formula>INDEX($I$1:$I$399,ROW(CP331))=2</formula>
    </cfRule>
    <cfRule type="expression" priority="222" dxfId="4186">
      <formula>INDEX($I$1:$I$399,ROW(CP331))=3</formula>
    </cfRule>
  </conditionalFormatting>
  <conditionalFormatting sqref="CP10:CQ11 CJ131:CK131 CJ148:CK149">
    <cfRule type="expression" priority="23071" dxfId="4185">
      <formula>INDEX($I$1:$I$349,ROW(CJ10))=2</formula>
    </cfRule>
    <cfRule type="expression" priority="23070" dxfId="4166">
      <formula>INDEX($I$1:$I$349,ROW(CJ10))=1</formula>
    </cfRule>
    <cfRule type="expression" priority="23069" dxfId="4186">
      <formula>INDEX($I$1:$I$349,ROW(CJ10))=3</formula>
    </cfRule>
  </conditionalFormatting>
  <conditionalFormatting sqref="CP20:CQ42 CM21:CN42 CM45:CN55 CP45:CQ55 CM74:CN74 CM98:CN126 CP115:CQ126 CM130:CN141 CM145:CN155 CM159:CN169 CM173:CN185 CM189:CN199 CM201:CN205 CM212:CN214 CM216:CN227">
    <cfRule type="expression" priority="3535" dxfId="4167">
      <formula>fmt_shadeOn(CM20)</formula>
    </cfRule>
  </conditionalFormatting>
  <conditionalFormatting sqref="CP46:CQ54">
    <cfRule type="expression" priority="31509" dxfId="4191">
      <formula>INDEX($H$1:$H$349,ROW($X46))=2</formula>
    </cfRule>
    <cfRule type="expression" priority="31508" dxfId="4165">
      <formula>_xlfn.SWITCH(INDEX($X$1:$X$349,ROW(CP46)),-1,SIGN(CP46)&gt;0,1,SIGN(CP46)&lt;0)</formula>
    </cfRule>
  </conditionalFormatting>
  <conditionalFormatting sqref="CP58:CQ66">
    <cfRule type="expression" priority="127" dxfId="4165">
      <formula>_xlfn.SWITCH(INDEX($X$1:$X$349,ROW(CP58)),-1,SIGN(CP58)&gt;0,1,SIGN(CP58)&lt;0)</formula>
    </cfRule>
    <cfRule type="expression" priority="128" dxfId="4191">
      <formula>INDEX($H$1:$H$349,ROW($X58))=2</formula>
    </cfRule>
  </conditionalFormatting>
  <conditionalFormatting sqref="CP76:CQ97">
    <cfRule type="expression" priority="3001" dxfId="4167">
      <formula>fmt_shadeOn(CP76)</formula>
    </cfRule>
  </conditionalFormatting>
  <conditionalFormatting sqref="CP74:CQ74 CP76:CQ113">
    <cfRule type="expression" priority="3360" dxfId="4167">
      <formula>fmt_shadeOn(CP74)</formula>
    </cfRule>
  </conditionalFormatting>
  <conditionalFormatting sqref="CP130:CQ141">
    <cfRule type="expression" priority="3351" dxfId="4167">
      <formula>fmt_shadeOn(CP130)</formula>
    </cfRule>
  </conditionalFormatting>
  <conditionalFormatting sqref="CP131:CQ131">
    <cfRule type="expression" priority="76" dxfId="4192">
      <formula>IF($A$14,IF(CELL("protect",CP131)=0,TRUE,FALSE))</formula>
    </cfRule>
  </conditionalFormatting>
  <conditionalFormatting sqref="CP133:CQ138 CP148:CQ153 CP162:CQ167">
    <cfRule type="expression" priority="31520" dxfId="4165">
      <formula>_xlfn.SWITCH(INDEX($X$1:$X$349,ROW(CP133)),-1,SIGN(CP133)&gt;0,1,SIGN(CP133)&lt;0)</formula>
    </cfRule>
    <cfRule type="expression" priority="31514" dxfId="4185">
      <formula>INDEX($I$1:$I$349,ROW(CP133))=2</formula>
    </cfRule>
    <cfRule type="expression" priority="31513" dxfId="4166">
      <formula>INDEX($I$1:$I$349,ROW(CP133))=1</formula>
    </cfRule>
    <cfRule type="expression" priority="31511" dxfId="4191">
      <formula>INDEX($H$1:$H$349,ROW(CP133))=2</formula>
    </cfRule>
    <cfRule type="expression" priority="31523" dxfId="4186">
      <formula>INDEX($I$1:$I$349,ROW(CP133))=3</formula>
    </cfRule>
    <cfRule type="expression" priority="31522" dxfId="4192">
      <formula>IF($A$14,IF(CELL("protect",CP133)=0,TRUE,FALSE))</formula>
    </cfRule>
    <cfRule type="expression" priority="31510" dxfId="4182">
      <formula>_xlfn.SWITCH(INDEX($X$1:$X$349,ROW(CP133)),-1,SIGN(CP133)&gt;0,1,SIGN(CP133)&lt;0)</formula>
    </cfRule>
    <cfRule type="expression" priority="31518" dxfId="4166">
      <formula>INDEX($I$1:$I$349,ROW(CP133))=1</formula>
    </cfRule>
    <cfRule type="expression" priority="31521" dxfId="4167">
      <formula>fmt_shadeOn(CP133)</formula>
    </cfRule>
    <cfRule type="expression" priority="31519" dxfId="4185">
      <formula>INDEX($I$1:$I$349,ROW(CP133))=2</formula>
    </cfRule>
    <cfRule type="expression" priority="31517" dxfId="4186">
      <formula>INDEX($I$1:$I$349,ROW(CP133))=3</formula>
    </cfRule>
    <cfRule type="expression" priority="31516" dxfId="4191">
      <formula>INDEX($H$1:$H$349,ROW($X133))=2</formula>
    </cfRule>
    <cfRule type="expression" priority="31515" dxfId="4165">
      <formula>_xlfn.SWITCH(INDEX($X$1:$X$349,ROW(CP133)),-1,SIGN(CP133)&gt;0,1,SIGN(CP133)&lt;0)</formula>
    </cfRule>
  </conditionalFormatting>
  <conditionalFormatting sqref="CP145:CQ155">
    <cfRule type="expression" priority="3342" dxfId="4167">
      <formula>fmt_shadeOn(CP145)</formula>
    </cfRule>
  </conditionalFormatting>
  <conditionalFormatting sqref="CP146:CQ146">
    <cfRule type="expression" priority="118" dxfId="4167">
      <formula>fmt_shadeOn(CP146)</formula>
    </cfRule>
    <cfRule type="expression" priority="75" dxfId="4192">
      <formula>IF($A$14,IF(CELL("protect",CP146)=0,TRUE,FALSE))</formula>
    </cfRule>
  </conditionalFormatting>
  <conditionalFormatting sqref="CP159:CQ169">
    <cfRule type="expression" priority="3333" dxfId="4167">
      <formula>fmt_shadeOn(CP159)</formula>
    </cfRule>
  </conditionalFormatting>
  <conditionalFormatting sqref="CP160:CQ160">
    <cfRule type="expression" priority="114" dxfId="4167">
      <formula>fmt_shadeOn(CP160)</formula>
    </cfRule>
    <cfRule type="expression" priority="74" dxfId="4192">
      <formula>IF($A$14,IF(CELL("protect",CP160)=0,TRUE,FALSE))</formula>
    </cfRule>
  </conditionalFormatting>
  <conditionalFormatting sqref="CP133:CQ138 CP148:CQ153 CP162:CQ167">
    <cfRule type="expression" priority="31512" dxfId="4186">
      <formula>INDEX($I$1:$I$349,ROW(CP133))=3</formula>
    </cfRule>
  </conditionalFormatting>
  <conditionalFormatting sqref="CP173:CQ185">
    <cfRule type="expression" priority="3324" dxfId="4167">
      <formula>fmt_shadeOn(CP173)</formula>
    </cfRule>
  </conditionalFormatting>
  <conditionalFormatting sqref="CP174:CQ174">
    <cfRule type="expression" priority="73" dxfId="4192">
      <formula>IF($A$14,IF(CELL("protect",CP174)=0,TRUE,FALSE))</formula>
    </cfRule>
    <cfRule type="expression" priority="110" dxfId="4167">
      <formula>fmt_shadeOn(CP174)</formula>
    </cfRule>
  </conditionalFormatting>
  <conditionalFormatting sqref="CP176:CQ176">
    <cfRule type="expression" priority="22962" dxfId="4166">
      <formula>INDEX($I$1:$I$349,ROW(CP176))=1</formula>
    </cfRule>
  </conditionalFormatting>
  <conditionalFormatting sqref="CD10:CE11 CG10:CH11 CJ10:CK11 X19:BZ19 CD19:CE227 CG19:CH227 CJ19:CK227 X20:AC41 X42:BZ44 X45:AB54 AC45 AC46:BZ54 CM46:CN54 X55:BZ56 X57:Y66 Z57:AC57 AD57:BZ58 Z58:AB66 AC58 CM58:CN66 AC59:BZ66 X67:BZ75 X76:AC76 AE76:BZ76 X77:BZ78 X79:AC79 X80:BZ227 CM114:CN114 CP114:CQ114 CP163:CQ167 CM176:CN181 CP176:CQ181 CM192:CN197 CP192:CQ197 X231:BZ242 CD231:CE242 CG231:CH242 CJ231:CK242">
    <cfRule type="expression" priority="31074" dxfId="4191">
      <formula>INDEX($H$1:$H$349,ROW($X10))=2</formula>
    </cfRule>
  </conditionalFormatting>
  <conditionalFormatting sqref="CP176:CQ181">
    <cfRule type="expression" priority="31561" dxfId="4166">
      <formula>INDEX($I$1:$I$349,ROW(CP176))=1</formula>
    </cfRule>
    <cfRule type="expression" priority="31560" dxfId="4186">
      <formula>INDEX($I$1:$I$349,ROW(CP176))=3</formula>
    </cfRule>
    <cfRule type="expression" priority="31558" dxfId="4165">
      <formula>_xlfn.SWITCH(INDEX($X$1:$X$349,ROW(CP176)),-1,SIGN(CP176)&gt;0,1,SIGN(CP176)&lt;0)</formula>
    </cfRule>
    <cfRule type="expression" priority="31557" dxfId="4185">
      <formula>INDEX($I$1:$I$349,ROW(CP176))=2</formula>
    </cfRule>
    <cfRule type="expression" priority="31556" dxfId="4186">
      <formula>INDEX($I$1:$I$349,ROW(CP176))=3</formula>
    </cfRule>
    <cfRule type="expression" priority="31555" dxfId="4191">
      <formula>INDEX($H$1:$H$349,ROW(CP176))=2</formula>
    </cfRule>
    <cfRule type="expression" priority="31559" dxfId="4191">
      <formula>INDEX($H$1:$H$349,ROW($X176))=2</formula>
    </cfRule>
    <cfRule type="expression" priority="31553" dxfId="4192">
      <formula>IF($A$14,IF(CELL("protect",CP176)=0,TRUE,FALSE))</formula>
    </cfRule>
    <cfRule type="expression" priority="31568" dxfId="4165">
      <formula>_xlfn.SWITCH(INDEX($X$1:$X$349,ROW(CP176)),-1,SIGN(CP176)&gt;0,1,SIGN(CP176)&lt;0)</formula>
    </cfRule>
    <cfRule type="expression" priority="31562" dxfId="4185">
      <formula>INDEX($I$1:$I$349,ROW(CP176))=2</formula>
    </cfRule>
    <cfRule type="expression" priority="31563" dxfId="4165">
      <formula>_xlfn.SWITCH(INDEX($X$1:$X$349,ROW(CP176)),-1,SIGN(CP176)&gt;0,1,SIGN(CP176)&lt;0)</formula>
    </cfRule>
    <cfRule type="expression" priority="31564" dxfId="4167">
      <formula>fmt_shadeOn(CP176)</formula>
    </cfRule>
    <cfRule type="expression" priority="31565" dxfId="4192">
      <formula>IF($A$14,IF(CELL("protect",CP176)=0,TRUE,FALSE))</formula>
    </cfRule>
    <cfRule type="expression" priority="31566" dxfId="4182">
      <formula>_xlfn.SWITCH(INDEX($X$1:$X$349,ROW(CP176)),-1,SIGN(CP176)&gt;0,1,SIGN(CP176)&lt;0)</formula>
    </cfRule>
    <cfRule type="expression" priority="31567" dxfId="4191">
      <formula>INDEX($H$1:$H$349,ROW(CP176))=2</formula>
    </cfRule>
    <cfRule type="expression" priority="31554" dxfId="4182">
      <formula>_xlfn.SWITCH(INDEX($X$1:$X$349,ROW(CP176)),-1,SIGN(CP176)&gt;0,1,SIGN(CP176)&lt;0)</formula>
    </cfRule>
    <cfRule type="expression" priority="22961" dxfId="4186">
      <formula>INDEX($I$1:$I$349,ROW(CP176))=3</formula>
    </cfRule>
  </conditionalFormatting>
  <conditionalFormatting sqref="CP177:CQ177">
    <cfRule type="expression" priority="23160" dxfId="4167">
      <formula>fmt_shadeOn(CP177)</formula>
    </cfRule>
    <cfRule type="expression" priority="23157" dxfId="4185">
      <formula>INDEX($I$1:$I$349,ROW(CP177))=2</formula>
    </cfRule>
    <cfRule type="expression" priority="23158" dxfId="4187">
      <formula>INDEX($I$1:$I$349,ROW(CP177))=1</formula>
    </cfRule>
    <cfRule type="expression" priority="23159" dxfId="4166">
      <formula>INDEX($I$1:$I$349,ROW(CP177))=1</formula>
    </cfRule>
  </conditionalFormatting>
  <conditionalFormatting sqref="CP177:CQ181">
    <cfRule type="expression" priority="5" dxfId="4166">
      <formula>INDEX($I$1:$I$349,ROW(CP177))=1</formula>
    </cfRule>
    <cfRule type="expression" priority="31569" dxfId="4191">
      <formula>INDEX($H$1:$H$349,ROW($X177))=2</formula>
    </cfRule>
    <cfRule type="expression" priority="31570" dxfId="4186">
      <formula>INDEX($I$1:$I$349,ROW(CP177))=3</formula>
    </cfRule>
    <cfRule type="expression" priority="31571" dxfId="4185">
      <formula>INDEX($I$1:$I$349,ROW(CP177))=2</formula>
    </cfRule>
    <cfRule type="expression" priority="6" dxfId="4167">
      <formula>fmt_shadeOn(CP177)</formula>
    </cfRule>
  </conditionalFormatting>
  <conditionalFormatting sqref="CP189:CQ199">
    <cfRule type="expression" priority="3315" dxfId="4167">
      <formula>fmt_shadeOn(CP189)</formula>
    </cfRule>
  </conditionalFormatting>
  <conditionalFormatting sqref="CP190:CQ190">
    <cfRule type="expression" priority="72" dxfId="4192">
      <formula>IF($A$14,IF(CELL("protect",CP190)=0,TRUE,FALSE))</formula>
    </cfRule>
    <cfRule type="expression" priority="106" dxfId="4167">
      <formula>fmt_shadeOn(CP190)</formula>
    </cfRule>
  </conditionalFormatting>
  <conditionalFormatting sqref="CP201:CQ205 CP212:CQ214">
    <cfRule type="expression" priority="3306" dxfId="4167">
      <formula>fmt_shadeOn(CP201)</formula>
    </cfRule>
  </conditionalFormatting>
  <conditionalFormatting sqref="CP204:CQ204">
    <cfRule type="expression" priority="102" dxfId="4167">
      <formula>fmt_shadeOn(CP204)</formula>
    </cfRule>
    <cfRule type="expression" priority="71" dxfId="4192">
      <formula>IF($A$14,IF(CELL("protect",CP204)=0,TRUE,FALSE))</formula>
    </cfRule>
  </conditionalFormatting>
  <conditionalFormatting sqref="CP216:CQ227">
    <cfRule type="expression" priority="3297" dxfId="4167">
      <formula>fmt_shadeOn(CP216)</formula>
    </cfRule>
  </conditionalFormatting>
  <conditionalFormatting sqref="CP219:CQ219">
    <cfRule type="expression" priority="97" dxfId="4167">
      <formula>fmt_shadeOn(CP219)</formula>
    </cfRule>
    <cfRule type="expression" priority="70" dxfId="4192">
      <formula>IF($A$14,IF(CELL("protect",CP219)=0,TRUE,FALSE))</formula>
    </cfRule>
  </conditionalFormatting>
  <conditionalFormatting sqref="CP221:CQ226 CP236:CQ241">
    <cfRule type="expression" priority="31573" dxfId="4191">
      <formula>INDEX($H$1:$H$349,ROW(CP221))=2</formula>
    </cfRule>
    <cfRule type="expression" priority="31574" dxfId="4186">
      <formula>INDEX($I$1:$I$349,ROW(CP221))=3</formula>
    </cfRule>
    <cfRule type="expression" priority="31575" dxfId="4185">
      <formula>INDEX($I$1:$I$349,ROW(CP221))=2</formula>
    </cfRule>
    <cfRule type="expression" priority="31576" dxfId="4165">
      <formula>_xlfn.SWITCH(INDEX($X$1:$X$349,ROW(CP221)),-1,SIGN(CP221)&gt;0,1,SIGN(CP221)&lt;0)</formula>
    </cfRule>
    <cfRule type="expression" priority="31577" dxfId="4191">
      <formula>INDEX($H$1:$H$349,ROW($X221))=2</formula>
    </cfRule>
    <cfRule type="expression" priority="31578" dxfId="4186">
      <formula>INDEX($I$1:$I$349,ROW(CP221))=3</formula>
    </cfRule>
    <cfRule type="expression" priority="31579" dxfId="4166">
      <formula>INDEX($I$1:$I$349,ROW(CP221))=1</formula>
    </cfRule>
    <cfRule type="expression" priority="31580" dxfId="4185">
      <formula>INDEX($I$1:$I$349,ROW(CP221))=2</formula>
    </cfRule>
    <cfRule type="expression" priority="31581" dxfId="4165">
      <formula>_xlfn.SWITCH(INDEX($X$1:$X$349,ROW(CP221)),-1,SIGN(CP221)&gt;0,1,SIGN(CP221)&lt;0)</formula>
    </cfRule>
    <cfRule type="expression" priority="31582" dxfId="4167">
      <formula>fmt_shadeOn(CP221)</formula>
    </cfRule>
    <cfRule type="expression" priority="31572" dxfId="4182">
      <formula>_xlfn.SWITCH(INDEX($X$1:$X$349,ROW(CP221)),-1,SIGN(CP221)&gt;0,1,SIGN(CP221)&lt;0)</formula>
    </cfRule>
  </conditionalFormatting>
  <conditionalFormatting sqref="CP231:CQ234">
    <cfRule type="expression" priority="94" dxfId="4167">
      <formula>fmt_shadeOn(CP231)</formula>
    </cfRule>
  </conditionalFormatting>
  <conditionalFormatting sqref="CP234:CQ234">
    <cfRule type="expression" priority="69" dxfId="4192">
      <formula>IF($A$14,IF(CELL("protect",CP234)=0,TRUE,FALSE))</formula>
    </cfRule>
    <cfRule type="expression" priority="90" dxfId="4167">
      <formula>fmt_shadeOn(CP234)</formula>
    </cfRule>
  </conditionalFormatting>
  <conditionalFormatting sqref="CP235:CQ242">
    <cfRule type="expression" priority="2116" dxfId="4167">
      <formula>fmt_shadeOn(CP235)</formula>
    </cfRule>
  </conditionalFormatting>
  <conditionalFormatting sqref="CP245:CQ248 CP250:CQ255">
    <cfRule type="expression" priority="1798" dxfId="4166">
      <formula>INDEX($I$1:$I$399,ROW(CP245))=1</formula>
    </cfRule>
    <cfRule type="expression" priority="1799" dxfId="4185">
      <formula>INDEX($I$1:$I$399,ROW(CP245))=2</formula>
    </cfRule>
  </conditionalFormatting>
  <conditionalFormatting sqref="CM249:CN249 CP249:CQ249">
    <cfRule type="expression" priority="84" dxfId="4186">
      <formula>INDEX($I$1:$I$349,ROW(CM249))=3</formula>
    </cfRule>
  </conditionalFormatting>
  <conditionalFormatting sqref="CP249:CQ249">
    <cfRule type="expression" priority="64" dxfId="4192">
      <formula>IF($A$14,IF(CELL("protect",CP249)=0,TRUE,FALSE))</formula>
    </cfRule>
    <cfRule type="expression" priority="65" dxfId="4186">
      <formula>INDEX($I$1:$I$349,ROW(CP249))=3</formula>
    </cfRule>
    <cfRule type="expression" priority="66" dxfId="4165">
      <formula>_xlfn.SWITCH(INDEX($X$1:$X$349,ROW(CP249)),-1,SIGN(CP249)&gt;0,1,SIGN(CP249)&lt;0)</formula>
    </cfRule>
    <cfRule type="expression" priority="82" dxfId="4167">
      <formula>fmt_shadeOn(CP249)</formula>
    </cfRule>
    <cfRule type="expression" priority="68" dxfId="4166">
      <formula>INDEX($I$1:$I$349,ROW(CP249))=1</formula>
    </cfRule>
    <cfRule type="expression" priority="78" dxfId="4167">
      <formula>fmt_shadeOn(CP249)</formula>
    </cfRule>
    <cfRule type="expression" priority="77" dxfId="4192">
      <formula>IF($A$14,IF(CELL("protect",CP249)=0,TRUE,FALSE))</formula>
    </cfRule>
    <cfRule type="expression" priority="67" dxfId="4185">
      <formula>INDEX($I$1:$I$349,ROW(CP249))=2</formula>
    </cfRule>
  </conditionalFormatting>
  <conditionalFormatting sqref="CP245:CQ248 CP250:CQ255">
    <cfRule type="expression" priority="1797" dxfId="4186">
      <formula>INDEX($I$1:$I$399,ROW(CP245))=3</formula>
    </cfRule>
  </conditionalFormatting>
  <conditionalFormatting sqref="CP250:CQ255">
    <cfRule type="expression" priority="1796" dxfId="4165">
      <formula>_xlfn.SWITCH(INDEX($X$1:$X$399,ROW(CP250)),-1,SIGN(CP250)&gt;0,1,SIGN(CP250)&lt;0)</formula>
    </cfRule>
  </conditionalFormatting>
  <conditionalFormatting sqref="CP256:CQ256">
    <cfRule type="expression" priority="174" dxfId="4167">
      <formula>fmt_shadeOn(CP256)</formula>
    </cfRule>
  </conditionalFormatting>
  <conditionalFormatting sqref="CP257:CQ257 CP259:CQ264">
    <cfRule type="expression" priority="1514" dxfId="4185">
      <formula>INDEX($I$1:$I$399,ROW(CP257))=2</formula>
    </cfRule>
    <cfRule type="expression" priority="1513" dxfId="4166">
      <formula>INDEX($I$1:$I$399,ROW(CP257))=1</formula>
    </cfRule>
  </conditionalFormatting>
  <conditionalFormatting sqref="CP258:CQ258">
    <cfRule type="expression" priority="59" dxfId="4186">
      <formula>INDEX($I$1:$I$349,ROW(CP258))=3</formula>
    </cfRule>
    <cfRule type="expression" priority="62" dxfId="4166">
      <formula>INDEX($I$1:$I$349,ROW(CP258))=1</formula>
    </cfRule>
    <cfRule type="expression" priority="63" dxfId="4167">
      <formula>INDEX($H$1:$H$349,ROW($CM258))=2</formula>
    </cfRule>
    <cfRule type="expression" priority="58" dxfId="4192">
      <formula>IF($A$14,IF(CELL("protect",CP258)=0,TRUE,FALSE))</formula>
    </cfRule>
    <cfRule type="expression" priority="61" dxfId="4185">
      <formula>INDEX($I$1:$I$349,ROW(CP258))=2</formula>
    </cfRule>
    <cfRule type="expression" priority="60" dxfId="4165">
      <formula>_xlfn.SWITCH(INDEX($X$1:$X$349,ROW(CP258)),-1,SIGN(CP258)&gt;0,1,SIGN(CP258)&lt;0)</formula>
    </cfRule>
  </conditionalFormatting>
  <conditionalFormatting sqref="CP257:CQ257 CP259:CQ264">
    <cfRule type="expression" priority="1512" dxfId="4186">
      <formula>INDEX($I$1:$I$399,ROW(CP257))=3</formula>
    </cfRule>
  </conditionalFormatting>
  <conditionalFormatting sqref="CP259:CQ264">
    <cfRule type="expression" priority="1394" dxfId="4194">
      <formula>IF($A$14,IF(CELL("protect",CP259)=0,TRUE,FALSE))</formula>
    </cfRule>
    <cfRule type="expression" priority="1511" dxfId="4165">
      <formula>_xlfn.SWITCH(INDEX($X$1:$X$399,ROW(CP259)),-1,SIGN(CP259)&gt;0,1,SIGN(CP259)&lt;0)</formula>
    </cfRule>
  </conditionalFormatting>
  <conditionalFormatting sqref="CP265:CQ265">
    <cfRule type="expression" priority="1506" dxfId="4039">
      <formula>AND($X265=0,ISNUMBER($X265))</formula>
    </cfRule>
  </conditionalFormatting>
  <conditionalFormatting sqref="CP266:CQ266 CP268:CQ273">
    <cfRule type="expression" priority="1370" dxfId="4185">
      <formula>INDEX($I$1:$I$399,ROW(CP266))=2</formula>
    </cfRule>
    <cfRule type="expression" priority="1369" dxfId="4166">
      <formula>INDEX($I$1:$I$399,ROW(CP266))=1</formula>
    </cfRule>
  </conditionalFormatting>
  <conditionalFormatting sqref="CP267:CQ267">
    <cfRule type="expression" priority="55" dxfId="4185">
      <formula>INDEX($I$1:$I$349,ROW(CP267))=2</formula>
    </cfRule>
    <cfRule type="expression" priority="57" dxfId="4167">
      <formula>INDEX($H$1:$H$349,ROW($CM267))=2</formula>
    </cfRule>
    <cfRule type="expression" priority="53" dxfId="4186">
      <formula>INDEX($I$1:$I$349,ROW(CP267))=3</formula>
    </cfRule>
    <cfRule type="expression" priority="56" dxfId="4166">
      <formula>INDEX($I$1:$I$349,ROW(CP267))=1</formula>
    </cfRule>
    <cfRule type="expression" priority="52" dxfId="4192">
      <formula>IF($A$14,IF(CELL("protect",CP267)=0,TRUE,FALSE))</formula>
    </cfRule>
    <cfRule type="expression" priority="54" dxfId="4165">
      <formula>_xlfn.SWITCH(INDEX($X$1:$X$349,ROW(CP267)),-1,SIGN(CP267)&gt;0,1,SIGN(CP267)&lt;0)</formula>
    </cfRule>
  </conditionalFormatting>
  <conditionalFormatting sqref="CP266:CQ266 CP268:CQ273">
    <cfRule type="expression" priority="1368" dxfId="4186">
      <formula>INDEX($I$1:$I$399,ROW(CP266))=3</formula>
    </cfRule>
  </conditionalFormatting>
  <conditionalFormatting sqref="CP268:CQ273">
    <cfRule type="expression" priority="1250" dxfId="4194">
      <formula>IF($A$14,IF(CELL("protect",CP268)=0,TRUE,FALSE))</formula>
    </cfRule>
    <cfRule type="expression" priority="1367" dxfId="4165">
      <formula>_xlfn.SWITCH(INDEX($X$1:$X$399,ROW(CP268)),-1,SIGN(CP268)&gt;0,1,SIGN(CP268)&lt;0)</formula>
    </cfRule>
  </conditionalFormatting>
  <conditionalFormatting sqref="CP274:CQ274">
    <cfRule type="expression" priority="1362" dxfId="4039">
      <formula>AND($X274=0,ISNUMBER($X274))</formula>
    </cfRule>
  </conditionalFormatting>
  <conditionalFormatting sqref="CP275:CQ275 CP277:CQ282">
    <cfRule type="expression" priority="1226" dxfId="4185">
      <formula>INDEX($I$1:$I$399,ROW(CP275))=2</formula>
    </cfRule>
  </conditionalFormatting>
  <conditionalFormatting sqref="CP276:CQ276">
    <cfRule type="expression" priority="49" dxfId="4185">
      <formula>INDEX($I$1:$I$349,ROW(CP276))=2</formula>
    </cfRule>
    <cfRule type="expression" priority="48" dxfId="4165">
      <formula>_xlfn.SWITCH(INDEX($X$1:$X$349,ROW(CP276)),-1,SIGN(CP276)&gt;0,1,SIGN(CP276)&lt;0)</formula>
    </cfRule>
    <cfRule type="expression" priority="51" dxfId="4167">
      <formula>INDEX($H$1:$H$349,ROW($CM276))=2</formula>
    </cfRule>
    <cfRule type="expression" priority="47" dxfId="4186">
      <formula>INDEX($I$1:$I$349,ROW(CP276))=3</formula>
    </cfRule>
    <cfRule type="expression" priority="46" dxfId="4192">
      <formula>IF($A$14,IF(CELL("protect",CP276)=0,TRUE,FALSE))</formula>
    </cfRule>
    <cfRule type="expression" priority="50" dxfId="4166">
      <formula>INDEX($I$1:$I$349,ROW(CP276))=1</formula>
    </cfRule>
  </conditionalFormatting>
  <conditionalFormatting sqref="CP275:CQ275 CP277:CQ282">
    <cfRule type="expression" priority="1225" dxfId="4166">
      <formula>INDEX($I$1:$I$399,ROW(CP275))=1</formula>
    </cfRule>
  </conditionalFormatting>
  <conditionalFormatting sqref="CP277:CQ282">
    <cfRule type="expression" priority="1106" dxfId="4194">
      <formula>IF($A$14,IF(CELL("protect",CP277)=0,TRUE,FALSE))</formula>
    </cfRule>
    <cfRule type="expression" priority="1223" dxfId="4165">
      <formula>_xlfn.SWITCH(INDEX($X$1:$X$399,ROW(CP277)),-1,SIGN(CP277)&gt;0,1,SIGN(CP277)&lt;0)</formula>
    </cfRule>
    <cfRule type="expression" priority="1224" dxfId="4186">
      <formula>INDEX($I$1:$I$399,ROW(CP277))=3</formula>
    </cfRule>
  </conditionalFormatting>
  <conditionalFormatting sqref="CP283:CQ283">
    <cfRule type="expression" priority="1218" dxfId="4039">
      <formula>AND($X283=0,ISNUMBER($X283))</formula>
    </cfRule>
  </conditionalFormatting>
  <conditionalFormatting sqref="CP284:CQ284 CP286:CQ291">
    <cfRule type="expression" priority="1082" dxfId="4185">
      <formula>INDEX($I$1:$I$399,ROW(CP284))=2</formula>
    </cfRule>
  </conditionalFormatting>
  <conditionalFormatting sqref="CP285:CQ285">
    <cfRule type="expression" priority="45" dxfId="4167">
      <formula>INDEX($H$1:$H$349,ROW($CM285))=2</formula>
    </cfRule>
    <cfRule type="expression" priority="44" dxfId="4166">
      <formula>INDEX($I$1:$I$349,ROW(CP285))=1</formula>
    </cfRule>
    <cfRule type="expression" priority="43" dxfId="4185">
      <formula>INDEX($I$1:$I$349,ROW(CP285))=2</formula>
    </cfRule>
    <cfRule type="expression" priority="41" dxfId="4186">
      <formula>INDEX($I$1:$I$349,ROW(CP285))=3</formula>
    </cfRule>
    <cfRule type="expression" priority="40" dxfId="4192">
      <formula>IF($A$14,IF(CELL("protect",CP285)=0,TRUE,FALSE))</formula>
    </cfRule>
    <cfRule type="expression" priority="42" dxfId="4165">
      <formula>_xlfn.SWITCH(INDEX($X$1:$X$349,ROW(CP285)),-1,SIGN(CP285)&gt;0,1,SIGN(CP285)&lt;0)</formula>
    </cfRule>
  </conditionalFormatting>
  <conditionalFormatting sqref="CP284:CQ284 CP286:CQ291">
    <cfRule type="expression" priority="1081" dxfId="4166">
      <formula>INDEX($I$1:$I$399,ROW(CP284))=1</formula>
    </cfRule>
  </conditionalFormatting>
  <conditionalFormatting sqref="CP286:CQ291">
    <cfRule type="expression" priority="962" dxfId="4194">
      <formula>IF($A$14,IF(CELL("protect",CP286)=0,TRUE,FALSE))</formula>
    </cfRule>
    <cfRule type="expression" priority="1079" dxfId="4165">
      <formula>_xlfn.SWITCH(INDEX($X$1:$X$399,ROW(CP286)),-1,SIGN(CP286)&gt;0,1,SIGN(CP286)&lt;0)</formula>
    </cfRule>
    <cfRule type="expression" priority="1080" dxfId="4186">
      <formula>INDEX($I$1:$I$399,ROW(CP286))=3</formula>
    </cfRule>
  </conditionalFormatting>
  <conditionalFormatting sqref="CP292:CQ292">
    <cfRule type="expression" priority="1074" dxfId="4039">
      <formula>AND($X292=0,ISNUMBER($X292))</formula>
    </cfRule>
  </conditionalFormatting>
  <conditionalFormatting sqref="CP293:CQ293 CP295:CQ300">
    <cfRule type="expression" priority="937" dxfId="4185">
      <formula>INDEX($I$1:$I$399,ROW(CP293))=2</formula>
    </cfRule>
  </conditionalFormatting>
  <conditionalFormatting sqref="CP294:CQ294">
    <cfRule type="expression" priority="35" dxfId="4186">
      <formula>INDEX($I$1:$I$349,ROW(CP294))=3</formula>
    </cfRule>
    <cfRule type="expression" priority="34" dxfId="4192">
      <formula>IF($A$14,IF(CELL("protect",CP294)=0,TRUE,FALSE))</formula>
    </cfRule>
    <cfRule type="expression" priority="36" dxfId="4165">
      <formula>_xlfn.SWITCH(INDEX($X$1:$X$349,ROW(CP294)),-1,SIGN(CP294)&gt;0,1,SIGN(CP294)&lt;0)</formula>
    </cfRule>
    <cfRule type="expression" priority="37" dxfId="4185">
      <formula>INDEX($I$1:$I$349,ROW(CP294))=2</formula>
    </cfRule>
    <cfRule type="expression" priority="38" dxfId="4166">
      <formula>INDEX($I$1:$I$349,ROW(CP294))=1</formula>
    </cfRule>
    <cfRule type="expression" priority="39" dxfId="4167">
      <formula>INDEX($H$1:$H$349,ROW($CM294))=2</formula>
    </cfRule>
  </conditionalFormatting>
  <conditionalFormatting sqref="CP293:CQ293 CP295:CQ300">
    <cfRule type="expression" priority="936" dxfId="4166">
      <formula>INDEX($I$1:$I$399,ROW(CP293))=1</formula>
    </cfRule>
  </conditionalFormatting>
  <conditionalFormatting sqref="CP295:CQ300">
    <cfRule type="expression" priority="817" dxfId="4194">
      <formula>IF($A$14,IF(CELL("protect",CP295)=0,TRUE,FALSE))</formula>
    </cfRule>
    <cfRule type="expression" priority="935" dxfId="4186">
      <formula>INDEX($I$1:$I$399,ROW(CP295))=3</formula>
    </cfRule>
    <cfRule type="expression" priority="934" dxfId="4165">
      <formula>_xlfn.SWITCH(INDEX($X$1:$X$399,ROW(CP295)),-1,SIGN(CP295)&gt;0,1,SIGN(CP295)&lt;0)</formula>
    </cfRule>
  </conditionalFormatting>
  <conditionalFormatting sqref="CP301:CQ301">
    <cfRule type="expression" priority="929" dxfId="4039">
      <formula>AND($X301=0,ISNUMBER($X301))</formula>
    </cfRule>
  </conditionalFormatting>
  <conditionalFormatting sqref="CP302:CQ302 CP304:CQ309">
    <cfRule type="expression" priority="788" dxfId="4185">
      <formula>INDEX($I$1:$I$399,ROW(CP302))=2</formula>
    </cfRule>
  </conditionalFormatting>
  <conditionalFormatting sqref="CP302:CQ302">
    <cfRule type="expression" priority="1734" dxfId="4186">
      <formula>INDEX($I$1:$I$399,ROW(CP302))=3</formula>
    </cfRule>
  </conditionalFormatting>
  <conditionalFormatting sqref="CP303:CQ303">
    <cfRule type="expression" priority="30" dxfId="4165">
      <formula>_xlfn.SWITCH(INDEX($X$1:$X$349,ROW(CP303)),-1,SIGN(CP303)&gt;0,1,SIGN(CP303)&lt;0)</formula>
    </cfRule>
    <cfRule type="expression" priority="28" dxfId="4192">
      <formula>IF($A$14,IF(CELL("protect",CP303)=0,TRUE,FALSE))</formula>
    </cfRule>
    <cfRule type="expression" priority="29" dxfId="4186">
      <formula>INDEX($I$1:$I$349,ROW(CP303))=3</formula>
    </cfRule>
    <cfRule type="expression" priority="33" dxfId="4167">
      <formula>INDEX($H$1:$H$349,ROW($CM303))=2</formula>
    </cfRule>
    <cfRule type="expression" priority="32" dxfId="4166">
      <formula>INDEX($I$1:$I$349,ROW(CP303))=1</formula>
    </cfRule>
    <cfRule type="expression" priority="31" dxfId="4185">
      <formula>INDEX($I$1:$I$349,ROW(CP303))=2</formula>
    </cfRule>
  </conditionalFormatting>
  <conditionalFormatting sqref="CP302:CQ302 CP304:CQ309">
    <cfRule type="expression" priority="787" dxfId="4166">
      <formula>INDEX($I$1:$I$399,ROW(CP302))=1</formula>
    </cfRule>
  </conditionalFormatting>
  <conditionalFormatting sqref="CP304:CQ309">
    <cfRule type="expression" priority="786" dxfId="4186">
      <formula>INDEX($I$1:$I$399,ROW(CP304))=3</formula>
    </cfRule>
    <cfRule type="expression" priority="668" dxfId="4194">
      <formula>IF($A$14,IF(CELL("protect",CP304)=0,TRUE,FALSE))</formula>
    </cfRule>
    <cfRule type="expression" priority="785" dxfId="4165">
      <formula>_xlfn.SWITCH(INDEX($X$1:$X$399,ROW(CP304)),-1,SIGN(CP304)&gt;0,1,SIGN(CP304)&lt;0)</formula>
    </cfRule>
  </conditionalFormatting>
  <conditionalFormatting sqref="CP310:CQ310">
    <cfRule type="expression" priority="780" dxfId="4039">
      <formula>AND($X310=0,ISNUMBER($X310))</formula>
    </cfRule>
  </conditionalFormatting>
  <conditionalFormatting sqref="CP311:CQ311 CP313:CQ318">
    <cfRule type="expression" priority="639" dxfId="4185">
      <formula>INDEX($I$1:$I$399,ROW(CP311))=2</formula>
    </cfRule>
  </conditionalFormatting>
  <conditionalFormatting sqref="CP312:CQ312">
    <cfRule type="expression" priority="27" dxfId="4167">
      <formula>INDEX($H$1:$H$349,ROW($CM312))=2</formula>
    </cfRule>
    <cfRule type="expression" priority="25" dxfId="4185">
      <formula>INDEX($I$1:$I$349,ROW(CP312))=2</formula>
    </cfRule>
    <cfRule type="expression" priority="24" dxfId="4165">
      <formula>_xlfn.SWITCH(INDEX($X$1:$X$349,ROW(CP312)),-1,SIGN(CP312)&gt;0,1,SIGN(CP312)&lt;0)</formula>
    </cfRule>
    <cfRule type="expression" priority="23" dxfId="4186">
      <formula>INDEX($I$1:$I$349,ROW(CP312))=3</formula>
    </cfRule>
    <cfRule type="expression" priority="22" dxfId="4192">
      <formula>IF($A$14,IF(CELL("protect",CP312)=0,TRUE,FALSE))</formula>
    </cfRule>
    <cfRule type="expression" priority="26" dxfId="4166">
      <formula>INDEX($I$1:$I$349,ROW(CP312))=1</formula>
    </cfRule>
  </conditionalFormatting>
  <conditionalFormatting sqref="CP311:CQ311 CP313:CQ318">
    <cfRule type="expression" priority="638" dxfId="4166">
      <formula>INDEX($I$1:$I$399,ROW(CP311))=1</formula>
    </cfRule>
  </conditionalFormatting>
  <conditionalFormatting sqref="CP313:CQ318">
    <cfRule type="expression" priority="519" dxfId="4194">
      <formula>IF($A$14,IF(CELL("protect",CP313)=0,TRUE,FALSE))</formula>
    </cfRule>
    <cfRule type="expression" priority="637" dxfId="4186">
      <formula>INDEX($I$1:$I$399,ROW(CP313))=3</formula>
    </cfRule>
    <cfRule type="expression" priority="636" dxfId="4165">
      <formula>_xlfn.SWITCH(INDEX($X$1:$X$399,ROW(CP313)),-1,SIGN(CP313)&gt;0,1,SIGN(CP313)&lt;0)</formula>
    </cfRule>
  </conditionalFormatting>
  <conditionalFormatting sqref="CP319:CQ319">
    <cfRule type="expression" priority="631" dxfId="4039">
      <formula>AND($X319=0,ISNUMBER($X319))</formula>
    </cfRule>
  </conditionalFormatting>
  <conditionalFormatting sqref="CP320:CQ320 CP322:CQ327">
    <cfRule type="expression" priority="490" dxfId="4185">
      <formula>INDEX($I$1:$I$399,ROW(CP320))=2</formula>
    </cfRule>
  </conditionalFormatting>
  <conditionalFormatting sqref="CP321:CQ321">
    <cfRule type="expression" priority="21" dxfId="4167">
      <formula>INDEX($H$1:$H$349,ROW($CM321))=2</formula>
    </cfRule>
    <cfRule type="expression" priority="20" dxfId="4166">
      <formula>INDEX($I$1:$I$349,ROW(CP321))=1</formula>
    </cfRule>
    <cfRule type="expression" priority="19" dxfId="4185">
      <formula>INDEX($I$1:$I$349,ROW(CP321))=2</formula>
    </cfRule>
    <cfRule type="expression" priority="17" dxfId="4186">
      <formula>INDEX($I$1:$I$349,ROW(CP321))=3</formula>
    </cfRule>
    <cfRule type="expression" priority="16" dxfId="4192">
      <formula>IF($A$14,IF(CELL("protect",CP321)=0,TRUE,FALSE))</formula>
    </cfRule>
    <cfRule type="expression" priority="18" dxfId="4165">
      <formula>_xlfn.SWITCH(INDEX($X$1:$X$349,ROW(CP321)),-1,SIGN(CP321)&gt;0,1,SIGN(CP321)&lt;0)</formula>
    </cfRule>
  </conditionalFormatting>
  <conditionalFormatting sqref="CP320:CQ320 CP322:CQ327">
    <cfRule type="expression" priority="489" dxfId="4166">
      <formula>INDEX($I$1:$I$399,ROW(CP320))=1</formula>
    </cfRule>
  </conditionalFormatting>
  <conditionalFormatting sqref="CP322:CQ327">
    <cfRule type="expression" priority="487" dxfId="4165">
      <formula>_xlfn.SWITCH(INDEX($X$1:$X$399,ROW(CP322)),-1,SIGN(CP322)&gt;0,1,SIGN(CP322)&lt;0)</formula>
    </cfRule>
    <cfRule type="expression" priority="488" dxfId="4186">
      <formula>INDEX($I$1:$I$399,ROW(CP322))=3</formula>
    </cfRule>
    <cfRule type="expression" priority="370" dxfId="4194">
      <formula>IF($A$14,IF(CELL("protect",CP322)=0,TRUE,FALSE))</formula>
    </cfRule>
  </conditionalFormatting>
  <conditionalFormatting sqref="CP328:CQ328">
    <cfRule type="expression" priority="482" dxfId="4039">
      <formula>AND($X328=0,ISNUMBER($X328))</formula>
    </cfRule>
  </conditionalFormatting>
  <conditionalFormatting sqref="CP329:CQ329 CP331:CQ336">
    <cfRule type="expression" priority="341" dxfId="4185">
      <formula>INDEX($I$1:$I$399,ROW(CP329))=2</formula>
    </cfRule>
  </conditionalFormatting>
  <conditionalFormatting sqref="CP330:CQ330">
    <cfRule type="expression" priority="15" dxfId="4167">
      <formula>INDEX($H$1:$H$349,ROW($CM330))=2</formula>
    </cfRule>
    <cfRule type="expression" priority="10" dxfId="4192">
      <formula>IF($A$14,IF(CELL("protect",CP330)=0,TRUE,FALSE))</formula>
    </cfRule>
    <cfRule type="expression" priority="11" dxfId="4186">
      <formula>INDEX($I$1:$I$349,ROW(CP330))=3</formula>
    </cfRule>
    <cfRule type="expression" priority="12" dxfId="4165">
      <formula>_xlfn.SWITCH(INDEX($X$1:$X$349,ROW(CP330)),-1,SIGN(CP330)&gt;0,1,SIGN(CP330)&lt;0)</formula>
    </cfRule>
    <cfRule type="expression" priority="13" dxfId="4185">
      <formula>INDEX($I$1:$I$349,ROW(CP330))=2</formula>
    </cfRule>
    <cfRule type="expression" priority="14" dxfId="4166">
      <formula>INDEX($I$1:$I$349,ROW(CP330))=1</formula>
    </cfRule>
  </conditionalFormatting>
  <conditionalFormatting sqref="CP329:CQ329 CP331:CQ336">
    <cfRule type="expression" priority="340" dxfId="4166">
      <formula>INDEX($I$1:$I$399,ROW(CP329))=1</formula>
    </cfRule>
  </conditionalFormatting>
  <conditionalFormatting sqref="CP331:CQ336">
    <cfRule type="expression" priority="221" dxfId="4194">
      <formula>IF($A$14,IF(CELL("protect",CP331)=0,TRUE,FALSE))</formula>
    </cfRule>
    <cfRule type="expression" priority="339" dxfId="4186">
      <formula>INDEX($I$1:$I$399,ROW(CP331))=3</formula>
    </cfRule>
    <cfRule type="expression" priority="338" dxfId="4165">
      <formula>_xlfn.SWITCH(INDEX($X$1:$X$399,ROW(CP331)),-1,SIGN(CP331)&gt;0,1,SIGN(CP331)&lt;0)</formula>
    </cfRule>
  </conditionalFormatting>
  <conditionalFormatting sqref="CP337:CQ337">
    <cfRule type="expression" priority="333" dxfId="4039">
      <formula>AND($X337=0,ISNUMBER($X337))</formula>
    </cfRule>
  </conditionalFormatting>
  <conditionalFormatting sqref="CM133:CN138 CM148:CN153 CQ148:CQ153 CM162:CN167 CQ162:CQ167">
    <cfRule type="expression" priority="31408" dxfId="4192">
      <formula>IF($A$14,IF(CELL("protect",CM133)=0,TRUE,FALSE))</formula>
    </cfRule>
  </conditionalFormatting>
  <conditionalFormatting sqref="CQ163:CQ167">
    <cfRule type="expression" priority="23192" dxfId="4166">
      <formula>INDEX($I$1:$I$349,ROW(CQ163))=1</formula>
    </cfRule>
  </conditionalFormatting>
  <conditionalFormatting sqref="CQ176:CQ181">
    <cfRule type="expression" priority="23209" dxfId="4186">
      <formula>INDEX($I$1:$I$349,ROW(CQ176))=3</formula>
    </cfRule>
    <cfRule type="expression" priority="23210" dxfId="4185">
      <formula>INDEX($I$1:$I$349,ROW(CQ176))=2</formula>
    </cfRule>
    <cfRule type="expression" priority="23205" dxfId="4186">
      <formula>INDEX($I$1:$I$349,ROW(CQ176))=3</formula>
    </cfRule>
    <cfRule type="expression" priority="23206" dxfId="4185">
      <formula>INDEX($I$1:$I$349,ROW(CQ176))=2</formula>
    </cfRule>
    <cfRule type="expression" priority="23207" dxfId="4187">
      <formula>INDEX($I$1:$I$349,ROW(CQ176))=1</formula>
    </cfRule>
    <cfRule type="expression" priority="23208" dxfId="4166">
      <formula>INDEX($I$1:$I$349,ROW(CQ176))=1</formula>
    </cfRule>
  </conditionalFormatting>
  <conditionalFormatting sqref="CQ177:CQ181">
    <cfRule type="expression" priority="23191" dxfId="4185">
      <formula>INDEX($I$1:$I$349,ROW(CQ177))=2</formula>
    </cfRule>
    <cfRule type="expression" priority="23190" dxfId="4186">
      <formula>INDEX($I$1:$I$349,ROW(CQ177))=3</formula>
    </cfRule>
  </conditionalFormatting>
  <dataValidations count="14">
    <dataValidation allowBlank="1" showInputMessage="1" sqref="AD3 AF3:BZ3 AG4:AG7 AJ4:BZ4 CM4:CN4 CP4:CQ4 AJ5:AL5 AM5:BZ6 CM5 CP5 AD7:AD15 AE7:AF7 AH7:BN7 BO7:BZ15 AE8:BN15 CD10:CE10 CJ10:CK10 CM11:CN70 CP11:CQ70 CD12:CE73 CG12:CH70 CI12:CI19 CJ12:CK41 AD17:BZ44 CF42:CF45 CI42:CK42 CJ43:CK44 AC45:BZ45 AD46:BZ54 CJ46:CK73 CF55:CF66 AD56:BZ69 AC57:AC58 W67:W69 Y67:AC69 AD72:BZ110 CF72:CH73 CM72:CN126 CP72:CQ126 CC75:CC83 CD75:CE100 CF75:CK75 CG76:CH97 CJ76:CK100 CF98:CH101 CD102:CE105 CG102:CH105 CJ102:CK123 CD106:CH123 AD112:BZ122 CC123:CC130 CL123:CL124 AH124:BZ130 CD124:CK126 AD125:AD132 AE125:AG130 CD128:CE129 CG128:CK129 CM128:CN141 CP128:CQ141 AE131:BZ132 CD131:CK131 CC132:CC145 CD132:CE138 CG132:CH138 CJ132:CK141 AD133:BZ139 CD139:CH141 AF140:BZ142 AD141:AE142 AD143:BZ154 CD143:CE144 CG143:CK144 CM143:CN155 CP143:CQ155 CD146:CK146 CB147:CB156 CD147:CE155 CG147:CH154 CJ147:CK155 CF155:CH155 AD156:BZ186 CC157:CC159 CD157:CE158 CG157:CK158 CM157:CN169 CP157:CQ169 CD160:CK160 CC161:CE169 CG161:CH168 CJ161:CK169 CF169:CH169 CB170 AB171:AC172 CC171:CC173 CD171:CE172 CG171:CK172 CM171:CN185 CP171:CQ185 CD174:CK174 CC175:CC189 CD175:CE185 CG175:CH182 CJ175:CK185 CF183:CH185 CD187:CE188 CG187:CK188 CM187:CN199 CP187:CQ199 AD189:BZ199 CD190:CF190 CG190:CH198 CI190 CJ190:CK199 CC191:CC203 CD191:CE198 CD199:CH199 AM200:BZ200 CD201:CE202 CG201:CK202 CM201:CN214 CP201:CQ214 AD203:BZ215 CD204:CF204 CG204:CH212 CI204 CJ204:CK214 CC205:CC218 CD205:CE212 CD213:CH214 CD216:CE217 CG216:CK217 CM216:CN228 CP216:CQ228 AD218:BZ228 CD219:CF219 CG219:CH227 CI219 CJ219:CK228 CC220:CE228 CF228:CH228 CO228 CC231:CC233 CD231:CE232 CG231:CK232 CM231:CN244 CP231:CQ244 AD233:BZ242 CD234:CF234 CG234:CH244 CI234 CJ234:CK244 CC235:CC247 CD235:CE244 AD245:BZ247 CD246:CE247 CG246:CK247 CM246:CN249 CP246:CQ249 AD248:BN248 BO249:BZ338 CC249:CC338 CD249 CE249:CE255 CF249:CF338 CG249 CH249:CH255 CI249:CI338 CJ249 CK249:CK255 CN250:CN255 CQ250:CQ255 CD257:CE257 CG257:CH257 CJ257:CK257 CM257:CN257 CP257:CQ258 CD258 CE258:CE264 CG258 CH258:CH264 CJ258 CK258:CK264 CM258 CN258:CN264 CQ259:CQ264 CD266:CE266 CG266:CH266 CJ266:CK266 CM266:CN266 CP266:CQ267 CD267 CE267:CE273 CG267 CH267:CH273 CJ267 CK267:CK273 CM267 CN267:CN273 CQ268:CQ273 CD275:CE275 CG275:CH275 CJ275:CK275 CM275:CN275 CP275:CQ276 CD276 CE276:CE282 CG276 CH276:CH282 CJ276 CK276:CK282 CM276 CN276:CN282 CQ277:CQ282 CD284:CE284 CG284:CH284 CJ284:CK284 CM284:CN284 CP284:CQ285 CD285 CE285:CE291 CG285 CH285:CH291 CJ285 CK285:CK291 CM285 CN285:CN291 CQ286:CQ291 CD293:CE293 CG293:CH293 CJ293:CK293 CM293:CN293 CP293:CQ294 CD294 CE294:CE300 CG294 CH294:CH300 CJ294 CK294:CK300 CM294 CN294:CN300 CQ295:CQ300 CD302:CE302 CG302:CH302 CJ302:CK302 CM302:CN302 CP302:CQ303 CD303 CE303:CE309 CG303 CH303:CH309 CJ303 CK303:CK309 CM303 CN303:CN309 CQ304:CQ309 CD311:CE311 CG311:CH311 CJ311:CK311 CM311:CN311 CP311:CQ312 CD312 CE312:CE318 CG312 CH312:CH318 CJ312 CK312:CK318 CM312 CN312:CN318 CQ313:CQ318 CD320:CE320 CG320:CH320 CJ320:CK320 CM320:CN320 CP320:CQ321 CD321 CE321:CE327 CG321 CH321:CH327 CJ321 CK321:CK327 CM321 CN321:CN327 CQ322:CQ327 CD329:CE329 CG329:CH329 CJ329:CK329 CM329:CN329 CP329:CQ330 CD330 CE330:CE336 CG330 CH330:CH336 CJ330 CK330:CK336 CM330 CN330:CN336 CQ331:CQ336 CD338:CE338 CG338:CH338 CJ338:CK338 CM338:CN338 CP338:CQ338"/>
    <dataValidation allowBlank="1" showInputMessage="1" promptTitle="Company Reporting Currency" prompt="You are not supposed to change the currency display here. " sqref="AM5:AM6"/>
    <dataValidation allowBlank="1" showInputMessage="1" promptTitle="What is this for?" prompt="You can overwrite the system year end to test the model. Please remove them or switch it to the factual (provided below) to avoid confusion. " sqref="AJ6:AK6"/>
    <dataValidation type="list" allowBlank="1" showInputMessage="1" showErrorMessage="1" sqref="K3:L3 N4">
      <formula1>"POC,Live Data"</formula1>
    </dataValidation>
    <dataValidation type="list" allowBlank="1" showInputMessage="1" sqref="Y128:Y129">
      <formula1>array_typeIAdj</formula1>
    </dataValidation>
    <dataValidation type="list" allowBlank="1" showInputMessage="1" showErrorMessage="1" sqref="J10:K10">
      <formula1>"1,0"</formula1>
    </dataValidation>
    <dataValidation allowBlank="1" showInputMessage="1" showErrorMessage="1" prompt="To change the scenario, please edit the top left cell of the block." sqref="W146 W160 W174"/>
    <dataValidation errorStyle="warning" type="whole" operator="equal" allowBlank="1" showInputMessage="1" showErrorMessage="1" errorTitle="Need more rows?" error="Please use the hidden rows below for additional single line P&amp;L metrics" sqref="W46:W54 W58 W102:W110 W114">
      <formula1>0</formula1>
    </dataValidation>
    <dataValidation type="list" allowBlank="1" showInputMessage="1" showErrorMessage="1" sqref="Y132 Y147 Y154 Y161 Y168 Y175 Y182">
      <formula1>array_RevProxy</formula1>
    </dataValidation>
    <dataValidation allowBlank="1" showInputMessage="1" promptTitle="Last value during the period" sqref="CJ45:CK45 CD101:CE101 CJ101:CK101"/>
    <dataValidation errorStyle="warning" type="list" allowBlank="1" showInputMessage="1" showErrorMessage="1" prompt="Please use the dropdown to select metric as part of calculation steps. Metrics available for choose are all listed in the section guide._x000a_" sqref="G250:G251">
      <formula1>_xlfn.ANCHORARRAY(_xlfn.XLOOKUP($W250,$S$249:$T$249,$S$250:$T$250))</formula1>
    </dataValidation>
    <dataValidation type="list" allowBlank="1" showInputMessage="1" sqref="Z205:AA205">
      <formula1>_xlfn.ANCHORARRAY(_xlfn.XLOOKUP(Y205,_xlfn.TOROW(array_scnCascading),Developer!#REF!,""))</formula1>
    </dataValidation>
    <dataValidation type="list" allowBlank="1" showInputMessage="1" showErrorMessage="1" sqref="H4:I4">
      <formula1>_xlfn.ANCHORARRAY(Developer!#REF!)</formula1>
    </dataValidation>
    <dataValidation type="list" allowBlank="1" showInputMessage="1" showErrorMessage="1" sqref="Y191 Y205 Y220 Y235">
      <formula1>Developer!$B$282:$B$302</formula1>
    </dataValidation>
  </dataValidations>
  <hyperlinks>
    <hyperlink ref="AB20" location="Definitions!C43" tooltip="Go to Definitions!C43" display="Net Revenue"/>
    <hyperlink ref="AB21" location="Definitions!C49" tooltip="Go to Definitions!C49" display="Cost of Sales"/>
    <hyperlink ref="AB22" location="Definitions!C50" tooltip="Go to Definitions!C50" display="Gross Profit"/>
    <hyperlink ref="AB25" location="Definitions!C52" tooltip="Go to Definitions!C52" display="Reported EBITDA"/>
    <hyperlink ref="AB32" location="Definitions!C58" tooltip="Go to Definitions!C58" display="Adjusted EBITDA"/>
    <hyperlink ref="AB33" location="Definitions!C53" tooltip="Go to Definitions!C53" display="Depreciation"/>
    <hyperlink ref="AB34" location="Definitions!C54" tooltip="Go to Definitions!C54" display="Reported EBITA"/>
    <hyperlink ref="AB35" location="Definitions!C55" tooltip="Go to Definitions!C55" display="Amortization"/>
    <hyperlink ref="AB36" location="Definitions!C56" tooltip="Go to Definitions!C56" display="Reported EBIT"/>
    <hyperlink ref="AB77" location="Definitions!C49" tooltip="Go to Definitions!C49" display="Definitions!C49"/>
    <hyperlink ref="AB78" location="Definitions!C50" tooltip="Go to Definitions!C50" display="Definitions!C50"/>
    <hyperlink ref="AB80" location="Definitions!C51" tooltip="Go to Definitions!C51" display="Definitions!C51"/>
    <hyperlink ref="AB81" location="Definitions!C52" tooltip="Go to Definitions!C52" display="Definitions!C52"/>
    <hyperlink ref="AB92" location="Definitions!C56" tooltip="Go to Definitions!C56" display="Definitions!C56"/>
    <hyperlink ref="AE5:AE6" location="CX_ENTITY" display="CX_ENTITY"/>
    <hyperlink ref="AB82:AB87" location="Definitions!C52" tooltip="Go to Definitions!C52" display="Definitions!C52"/>
    <hyperlink ref="AC76" location="Definition!D49" tooltip="Go to Definition!D49" display="Definition!D49"/>
    <hyperlink ref="AC77" location="Definition!D58" tooltip="Go to Definition!D58" display="Definition!D58"/>
    <hyperlink ref="AC78" location="Definition!D59" tooltip="Go to Definition!D59" display="Definition!D59"/>
    <hyperlink ref="AC81" location="Definition!D61" tooltip="Go to Definition!D61" display="Definition!D61"/>
    <hyperlink ref="AC88" location="Definition!D67" tooltip="Go to Definition!D67" display="Definition!D67"/>
    <hyperlink ref="AC89" location="Definition!D62" tooltip="Go to Definition!D62" display="Definition!D62"/>
    <hyperlink ref="AC91" location="Definition!D64" tooltip="Go to Definition!D64" display="Definition!D64"/>
    <hyperlink ref="AC101" location="Definition!D123" tooltip="Go to Definition!D123" display="Definition!D123"/>
    <hyperlink ref="AC113" location="Definition!D73" tooltip="Go to Definition!D73" display="Definition!D73"/>
    <hyperlink ref="AC102:AC110" location="Definition!D123" tooltip="Go to Definition!D123" display="Definition!D123"/>
    <hyperlink ref="AC114:AC118" location="Definition!D73" tooltip="Go to Definition!D73" display="Definition!D73"/>
    <hyperlink ref="AC119:AC122" location="Definition!D73" tooltip="Go to Definition!D73" display="Definition!D73"/>
  </hyperlinks>
  <pageMargins left="0.25" right="0.25" top="0.75" bottom="0.75" header="0.3" footer="0.3"/>
  <pageSetup fitToWidth="4" orientation="landscape" paperSize="8" r:id="rId2"/>
  <picture r:id="rId1"/>
  <extLst>
    <ext xmlns:x14="http://schemas.microsoft.com/office/spreadsheetml/2009/9/main" uri="{78C0D931-6437-407d-A8EE-F0AAD7539E65}">
      <x14:conditionalFormattings>
        <x14:conditionalFormatting xmlns:xm="http://schemas.microsoft.com/office/excel/2006/main">
          <x14:cfRule type="iconSet" priority="31069" id="{2BD5699C-E229-44AA-8B79-48C82971C920}">
            <x14:iconSet iconSet="4RedToBlack" custom="1" showValue="0">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dxf/>
          </x14:cfRule>
          <xm:sqref>L20:L66</xm:sqref>
        </x14:conditionalFormatting>
        <x14:conditionalFormatting xmlns:xm="http://schemas.microsoft.com/office/excel/2006/main">
          <x14:cfRule type="iconSet" priority="3468" id="{F7189B9A-E7B4-463D-8734-90A52D1D74B1}">
            <x14:iconSet iconSet="4RedToBlack" custom="1" showValue="0">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dxf/>
          </x14:cfRule>
          <xm:sqref>L76:L137 L139:L227</xm:sqref>
        </x14:conditionalFormatting>
        <x14:conditionalFormatting xmlns:xm="http://schemas.microsoft.com/office/excel/2006/main">
          <x14:cfRule type="iconSet" priority="15497" id="{DD44A0EA-BAEC-4A12-BE5D-69E554CC9987}">
            <x14:iconSet iconSet="4RedToBlack" custom="1" showValue="0">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dxf/>
          </x14:cfRule>
          <xm:sqref>L231:L242</xm:sqref>
        </x14:conditionalFormatting>
        <x14:conditionalFormatting xmlns:xm="http://schemas.microsoft.com/office/excel/2006/main">
          <x14:cfRule type="iconSet" priority="3510" id="{F78EA23D-CC1D-433F-814F-BC2C02BEB3DE}">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Z12:Z14</xm:sqref>
        </x14:conditionalFormatting>
        <x14:conditionalFormatting xmlns:xm="http://schemas.microsoft.com/office/excel/2006/main">
          <x14:cfRule type="iconSet" priority="2368" id="{9BB1007D-DA67-4800-8DDD-865BEBD32780}">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Z46:Z54</xm:sqref>
        </x14:conditionalFormatting>
        <x14:conditionalFormatting xmlns:xm="http://schemas.microsoft.com/office/excel/2006/main">
          <x14:cfRule type="iconSet" priority="3556" id="{B78A71FB-0558-41A4-AA03-D5032ED68E79}">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Z20:Z42 Z45 Z55 Z57:Z58 Z67:Z71 Z74:Z127 Z130:Z142 Z145:Z156 Z159:Z170 Z173:Z186 Z189:Z227</xm:sqref>
        </x14:conditionalFormatting>
        <x14:conditionalFormatting xmlns:xm="http://schemas.microsoft.com/office/excel/2006/main">
          <x14:cfRule type="iconSet" priority="22606" id="{2AC8F16A-786B-4832-915A-9B5925E3AD29}">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Z59:Z66</xm:sqref>
        </x14:conditionalFormatting>
        <x14:conditionalFormatting xmlns:xm="http://schemas.microsoft.com/office/excel/2006/main">
          <x14:cfRule type="iconSet" priority="125" id="{868B64C5-E611-47D2-969E-2B4BC9730E64}">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Z101:Z110</xm:sqref>
        </x14:conditionalFormatting>
        <x14:conditionalFormatting xmlns:xm="http://schemas.microsoft.com/office/excel/2006/main">
          <x14:cfRule type="iconSet" priority="122" id="{BCE69A5E-B278-463B-BEA9-7B67A82BBAA4}">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Z113:Z123</xm:sqref>
        </x14:conditionalFormatting>
        <x14:conditionalFormatting xmlns:xm="http://schemas.microsoft.com/office/excel/2006/main">
          <x14:cfRule type="iconSet" priority="2136" id="{8B4C7139-7CDC-469E-9353-D1C9CB6911E5}">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Z231:Z242</xm:sqref>
        </x14:conditionalFormatting>
        <x14:conditionalFormatting xmlns:xm="http://schemas.microsoft.com/office/excel/2006/main">
          <x14:cfRule type="iconSet" priority="1828" id="{EB477E00-06B1-4D2E-8069-73F5451484A5}">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Z245</xm:sqref>
        </x14:conditionalFormatting>
        <x14:conditionalFormatting xmlns:xm="http://schemas.microsoft.com/office/excel/2006/main">
          <x14:cfRule type="iconSet" priority="1840" id="{C40D162D-07AC-4017-A1B7-95CA0EC942AF}">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Z249:Z255 Z257:Z338</xm:sqref>
        </x14:conditionalFormatting>
        <x14:conditionalFormatting xmlns:xm="http://schemas.microsoft.com/office/excel/2006/main">
          <x14:cfRule type="iconSet" priority="1819" id="{12FBBE91-5C57-49F2-B6B4-62090DA5142C}">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Z250:Z255</xm:sqref>
        </x14:conditionalFormatting>
        <x14:conditionalFormatting xmlns:xm="http://schemas.microsoft.com/office/excel/2006/main">
          <x14:cfRule type="iconSet" priority="177" id="{50D83387-6340-41A6-99D1-E82BFD8BE8F9}">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Z256</xm:sqref>
        </x14:conditionalFormatting>
        <x14:conditionalFormatting xmlns:xm="http://schemas.microsoft.com/office/excel/2006/main">
          <x14:cfRule type="iconSet" priority="1534" id="{0628B59E-1EF2-4C0C-80C8-84BC485FA72D}">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Z259:Z264</xm:sqref>
        </x14:conditionalFormatting>
        <x14:conditionalFormatting xmlns:xm="http://schemas.microsoft.com/office/excel/2006/main">
          <x14:cfRule type="iconSet" priority="1390" id="{807F65D3-2C30-426C-A824-2553B72D7514}">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Z268:Z273</xm:sqref>
        </x14:conditionalFormatting>
        <x14:conditionalFormatting xmlns:xm="http://schemas.microsoft.com/office/excel/2006/main">
          <x14:cfRule type="iconSet" priority="1246" id="{F20A979B-8A09-46E0-890F-EB1C37CB63B5}">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Z277:Z282</xm:sqref>
        </x14:conditionalFormatting>
        <x14:conditionalFormatting xmlns:xm="http://schemas.microsoft.com/office/excel/2006/main">
          <x14:cfRule type="iconSet" priority="1102" id="{F2133B0E-C1A1-41BC-93CB-297B70845FD7}">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Z286:Z291</xm:sqref>
        </x14:conditionalFormatting>
        <x14:conditionalFormatting xmlns:xm="http://schemas.microsoft.com/office/excel/2006/main">
          <x14:cfRule type="iconSet" priority="957" id="{FB7F76C2-1A8F-4A6D-AA4D-8A2429AA5FC7}">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Z295:Z300</xm:sqref>
        </x14:conditionalFormatting>
        <x14:conditionalFormatting xmlns:xm="http://schemas.microsoft.com/office/excel/2006/main">
          <x14:cfRule type="iconSet" priority="808" id="{EAC1FA62-FB82-4172-8AD9-D17B0EC114A7}">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Z304:Z309</xm:sqref>
        </x14:conditionalFormatting>
        <x14:conditionalFormatting xmlns:xm="http://schemas.microsoft.com/office/excel/2006/main">
          <x14:cfRule type="iconSet" priority="659" id="{983E6911-7FB1-478E-A85B-DE80A8DFB285}">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Z313:Z318</xm:sqref>
        </x14:conditionalFormatting>
        <x14:conditionalFormatting xmlns:xm="http://schemas.microsoft.com/office/excel/2006/main">
          <x14:cfRule type="iconSet" priority="510" id="{F27CF7E5-8B0D-4A8F-8BE5-F0C263A15314}">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Z322:Z327</xm:sqref>
        </x14:conditionalFormatting>
        <x14:conditionalFormatting xmlns:xm="http://schemas.microsoft.com/office/excel/2006/main">
          <x14:cfRule type="iconSet" priority="361" id="{D66275A9-EE61-4A2A-9ACF-5E9576EC6F10}">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Z331:Z336</xm:sqref>
        </x14:conditionalFormatting>
        <x14:conditionalFormatting xmlns:xm="http://schemas.microsoft.com/office/excel/2006/main">
          <x14:cfRule type="iconSet" priority="3506" id="{1F44C753-00B4-4C7A-850D-420F647B44F2}">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xm:sqref>
        </x14:conditionalFormatting>
        <x14:conditionalFormatting xmlns:xm="http://schemas.microsoft.com/office/excel/2006/main">
          <x14:cfRule type="iconSet" priority="3549" id="{B4989161-28B9-496A-B584-7730A4F32C8E}">
            <x14:iconSet iconSet="3Symbols" custom="1">
              <x14:cfvo type="percent">
                <xm:f>0</xm:f>
              </x14:cfvo>
              <x14:cfvo gte="0" type="num">
                <xm:f>0</xm:f>
              </x14:cfvo>
              <x14:cfvo type="num">
                <xm:f>1</xm:f>
              </x14:cfvo>
              <x14:cfIcon iconSet="NoIcons" iconId="0"/>
              <x14:cfIcon iconSet="3Symbols" iconId="1"/>
              <x14:cfIcon iconSet="3Symbols" iconId="0"/>
            </x14:iconSet>
            <x14:dxf/>
          </x14:cfRule>
          <x14:cfRule type="iconSet" priority="3547" id="{BB1F1AA4-DE6E-4245-A465-EAF52E4E3A3E}">
            <x14:iconSet iconSet="3Symbols" custom="1">
              <x14:cfvo type="percent">
                <xm:f>0</xm:f>
              </x14:cfvo>
              <x14:cfvo gte="0" type="num">
                <xm:f>0</xm:f>
              </x14:cfvo>
              <x14:cfvo type="num">
                <xm:f>1</xm:f>
              </x14:cfvo>
              <x14:cfIcon iconSet="NoIcons" iconId="0"/>
              <x14:cfIcon iconSet="3Symbols" iconId="1"/>
              <x14:cfIcon iconSet="3Symbols" iconId="0"/>
            </x14:iconSet>
            <x14:dxf/>
          </x14:cfRule>
          <xm:sqref>AD227</xm:sqref>
        </x14:conditionalFormatting>
        <x14:conditionalFormatting xmlns:xm="http://schemas.microsoft.com/office/excel/2006/main">
          <x14:cfRule type="iconSet" priority="2133" id="{4C652559-BE45-4193-9697-0E28F644C822}">
            <x14:iconSet iconSet="3Symbols" custom="1">
              <x14:cfvo type="percent">
                <xm:f>0</xm:f>
              </x14:cfvo>
              <x14:cfvo gte="0" type="num">
                <xm:f>0</xm:f>
              </x14:cfvo>
              <x14:cfvo type="num">
                <xm:f>1</xm:f>
              </x14:cfvo>
              <x14:cfIcon iconSet="NoIcons" iconId="0"/>
              <x14:cfIcon iconSet="3Symbols" iconId="1"/>
              <x14:cfIcon iconSet="3Symbols" iconId="0"/>
            </x14:iconSet>
            <x14:dxf/>
          </x14:cfRule>
          <x14:cfRule type="iconSet" priority="2132" id="{9F6D0599-BBD7-49AF-85DA-E3D34059EDB4}">
            <x14:iconSet iconSet="3Symbols" custom="1">
              <x14:cfvo type="percent">
                <xm:f>0</xm:f>
              </x14:cfvo>
              <x14:cfvo gte="0" type="num">
                <xm:f>0</xm:f>
              </x14:cfvo>
              <x14:cfvo type="num">
                <xm:f>1</xm:f>
              </x14:cfvo>
              <x14:cfIcon iconSet="NoIcons" iconId="0"/>
              <x14:cfIcon iconSet="3Symbols" iconId="1"/>
              <x14:cfIcon iconSet="3Symbols" iconId="0"/>
            </x14:iconSet>
            <x14:dxf/>
          </x14:cfRule>
          <xm:sqref>AD242</xm:sqref>
        </x14:conditionalFormatting>
        <x14:conditionalFormatting xmlns:xm="http://schemas.microsoft.com/office/excel/2006/main">
          <x14:cfRule type="iconSet" priority="3552" id="{2BCF4230-CFD5-4896-8200-2C7FD8C2B51F}">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AD198:AF198</xm:sqref>
        </x14:conditionalFormatting>
        <x14:conditionalFormatting xmlns:xm="http://schemas.microsoft.com/office/excel/2006/main">
          <x14:cfRule type="iconSet" priority="3553" id="{BE62C89C-56CE-448B-8AB0-971F7125D6CE}">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AD212:AF212</xm:sqref>
        </x14:conditionalFormatting>
        <x14:conditionalFormatting xmlns:xm="http://schemas.microsoft.com/office/excel/2006/main">
          <x14:cfRule type="iconSet" priority="3554" id="{E5CD044F-7FA0-4263-9BA0-E9706C057FBD}">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3555" id="{CE06F5DE-69BE-4F1B-A015-138994CA14F8}">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AD227:AF227</xm:sqref>
        </x14:conditionalFormatting>
        <x14:conditionalFormatting xmlns:xm="http://schemas.microsoft.com/office/excel/2006/main">
          <x14:cfRule type="iconSet" priority="15500" id="{D68F0B7C-03EB-4666-A137-D922B2FCCEB8}">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15499" id="{8305AEFC-2B10-467B-938E-5FDCA63935CD}">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AD242:AF242</xm:sqref>
        </x14:conditionalFormatting>
        <x14:conditionalFormatting xmlns:xm="http://schemas.microsoft.com/office/excel/2006/main">
          <x14:cfRule type="iconSet" priority="3550" id="{3E8709A5-007B-40C2-8353-37675BC2F92D}">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AD15:BZ15</xm:sqref>
        </x14:conditionalFormatting>
        <x14:conditionalFormatting xmlns:xm="http://schemas.microsoft.com/office/excel/2006/main">
          <x14:cfRule type="iconSet" priority="3551" id="{7FCA0BEB-173C-4484-A2BF-AE9777AC30AB}">
            <x14:iconSet iconSet="3Symbols" custom="1" showValue="0">
              <x14:cfvo type="percent">
                <xm:f>0</xm:f>
              </x14:cfvo>
              <x14:cfvo type="num">
                <xm:f>0</xm:f>
              </x14:cfvo>
              <x14:cfvo type="num">
                <xm:f>1</xm:f>
              </x14:cfvo>
              <x14:cfIcon iconSet="NoIcons" iconId="0"/>
              <x14:cfIcon iconSet="3Symbols" iconId="0"/>
              <x14:cfIcon iconSet="3Symbols" iconId="2"/>
            </x14:iconSet>
            <x14:dxf/>
          </x14:cfRule>
          <xm:sqref>AD139:BZ139</xm:sqref>
        </x14:conditionalFormatting>
        <x14:conditionalFormatting xmlns:xm="http://schemas.microsoft.com/office/excel/2006/main">
          <x14:cfRule type="iconSet" priority="3503" id="{A82E838C-180B-407B-B61B-EE18349D560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AD157:BZ157</xm:sqref>
        </x14:conditionalFormatting>
        <x14:conditionalFormatting xmlns:xm="http://schemas.microsoft.com/office/excel/2006/main">
          <x14:cfRule type="iconSet" priority="3501" id="{7DE5515F-CAF6-4589-ABC5-BBA5555C2CC9}">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AD171:BZ171</xm:sqref>
        </x14:conditionalFormatting>
        <x14:conditionalFormatting xmlns:xm="http://schemas.microsoft.com/office/excel/2006/main">
          <x14:cfRule type="iconSet" priority="3498" id="{21431ED1-336E-48FB-AAF4-CAF806502D7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94" id="{F86733E8-B8D7-4B36-B44E-EB7DC558D4F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AD187:BZ187</xm:sqref>
        </x14:conditionalFormatting>
        <x14:conditionalFormatting xmlns:xm="http://schemas.microsoft.com/office/excel/2006/main">
          <x14:cfRule type="iconSet" priority="3486" id="{87BBD348-C0A3-4585-95A5-A0AE89CC9C2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85" id="{339C0E74-5374-4FE0-93C1-A9645ED2CD2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AD201:BZ201</xm:sqref>
        </x14:conditionalFormatting>
        <x14:conditionalFormatting xmlns:xm="http://schemas.microsoft.com/office/excel/2006/main">
          <x14:cfRule type="iconSet" priority="3531" id="{72DD946D-C1AD-43AA-B22D-88B5E001ACD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AE17:BZ17 AD43:BZ43 AD72:BZ72 AD99:BZ99 AD128:BZ128 AD143:BZ143 AD201:BZ202 AD216:BZ217</xm:sqref>
        </x14:conditionalFormatting>
        <x14:conditionalFormatting xmlns:xm="http://schemas.microsoft.com/office/excel/2006/main">
          <x14:cfRule type="iconSet" priority="3484" id="{1631B4D4-2AB3-43E9-8205-82A78345252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83" id="{1AC345CA-A81D-42AD-86F1-6C8A79596466}">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AD216:BZ216</xm:sqref>
        </x14:conditionalFormatting>
        <x14:conditionalFormatting xmlns:xm="http://schemas.microsoft.com/office/excel/2006/main">
          <x14:cfRule type="iconSet" priority="2123" id="{63B02A50-4A3C-4E7B-BB7E-C22613B20B6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2122" id="{42899E5A-4C6C-4194-8AD9-BA0DE9879B69}">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AD231:BZ231</xm:sqref>
        </x14:conditionalFormatting>
        <x14:conditionalFormatting xmlns:xm="http://schemas.microsoft.com/office/excel/2006/main">
          <x14:cfRule type="iconSet" priority="2128" id="{A6DFF3D6-4770-4F9B-8F83-42082DB5A77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AD231:BZ232</xm:sqref>
        </x14:conditionalFormatting>
        <x14:conditionalFormatting xmlns:xm="http://schemas.microsoft.com/office/excel/2006/main">
          <x14:cfRule type="iconSet" priority="3540" id="{897C1C99-175B-4795-A0A6-E8DC2512EE9F}">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AG198:BZ198</xm:sqref>
        </x14:conditionalFormatting>
        <x14:conditionalFormatting xmlns:xm="http://schemas.microsoft.com/office/excel/2006/main">
          <x14:cfRule type="iconSet" priority="3537" id="{DCB6452C-0561-49EA-A5DF-E3AEA10B546E}">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AG212:BZ212</xm:sqref>
        </x14:conditionalFormatting>
        <x14:conditionalFormatting xmlns:xm="http://schemas.microsoft.com/office/excel/2006/main">
          <x14:cfRule type="iconSet" priority="3536" id="{F2B8DAF1-2D8F-48F4-944B-4C7B0F70F289}">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3541" id="{89F42CD3-6993-4BF0-A2EF-7D87649AC09E}">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AG227:BZ227</xm:sqref>
        </x14:conditionalFormatting>
        <x14:conditionalFormatting xmlns:xm="http://schemas.microsoft.com/office/excel/2006/main">
          <x14:cfRule type="iconSet" priority="15514" id="{86A9A508-2B7D-4C1B-B630-702F5C238B99}">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15513" id="{C2A94FDD-4978-4FF6-914F-2987712E6F2E}">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AG242:BZ242</xm:sqref>
        </x14:conditionalFormatting>
        <x14:conditionalFormatting xmlns:xm="http://schemas.microsoft.com/office/excel/2006/main">
          <x14:cfRule type="iconSet" priority="3528" id="{C2F15944-DAFC-4D3B-89D0-243020E7C14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CM43</xm:sqref>
        </x14:conditionalFormatting>
        <x14:conditionalFormatting xmlns:xm="http://schemas.microsoft.com/office/excel/2006/main">
          <x14:cfRule type="iconSet" priority="3516" id="{A8ACE5EF-1218-49B3-B21D-33A1DE3453E0}">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CM99</xm:sqref>
        </x14:conditionalFormatting>
        <x14:conditionalFormatting xmlns:xm="http://schemas.microsoft.com/office/excel/2006/main">
          <x14:cfRule type="iconSet" priority="3522" id="{29CF7AF6-EF1E-497E-9D62-C7297F0572E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524" id="{C1881809-97E9-4F9E-BA07-9D3F0A9572E7}">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CM72:CN72</xm:sqref>
        </x14:conditionalFormatting>
        <x14:conditionalFormatting xmlns:xm="http://schemas.microsoft.com/office/excel/2006/main">
          <x14:cfRule type="iconSet" priority="3529" id="{2FE9B189-1E03-4D05-83B6-3EB40F75AA50}">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CM17:CN17 CP17:CQ17 CM43:CN43 CP43:CQ43 CM72:CN72 CP72:CQ72 CM99:CN99 CP99:CQ99 CM128:CN128 CP128:CQ128 CM143:CN143 CP143:CQ143</xm:sqref>
        </x14:conditionalFormatting>
        <x14:conditionalFormatting xmlns:xm="http://schemas.microsoft.com/office/excel/2006/main">
          <x14:cfRule type="iconSet" priority="3512" id="{A05606C8-C5F3-464A-8BCD-FE103918B07E}">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CM99:CN99</xm:sqref>
        </x14:conditionalFormatting>
        <x14:conditionalFormatting xmlns:xm="http://schemas.microsoft.com/office/excel/2006/main">
          <x14:cfRule type="iconSet" priority="3502" id="{C4F35B61-4A8F-46C2-BB54-B94DBDC4BF7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CM157:CN157 CP157:CQ157</xm:sqref>
        </x14:conditionalFormatting>
        <x14:conditionalFormatting xmlns:xm="http://schemas.microsoft.com/office/excel/2006/main">
          <x14:cfRule type="iconSet" priority="3500" id="{26A30C67-BC9D-4E97-A9A8-60D9122566D4}">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CM171:CN171 CP171:CQ171</xm:sqref>
        </x14:conditionalFormatting>
        <x14:conditionalFormatting xmlns:xm="http://schemas.microsoft.com/office/excel/2006/main">
          <x14:cfRule type="iconSet" priority="3481" id="{00F93933-7BBD-4E36-8D31-1082F368C7D9}">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80" id="{BC965261-AABE-4637-A469-F2662E48C3F0}">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CM171:CN171</xm:sqref>
        </x14:conditionalFormatting>
        <x14:conditionalFormatting xmlns:xm="http://schemas.microsoft.com/office/excel/2006/main">
          <x14:cfRule type="iconSet" priority="3497" id="{0C55DD57-38EE-4EF0-BA69-7E6C68F8CD7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CM187:CN187 CP187:CQ187</xm:sqref>
        </x14:conditionalFormatting>
        <x14:conditionalFormatting xmlns:xm="http://schemas.microsoft.com/office/excel/2006/main">
          <x14:cfRule type="iconSet" priority="3477" id="{72282FE4-ADF8-4973-8D80-0EAD7A2B25D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76" id="{4E1415E5-868B-4D69-9B4B-6B78F8F82E1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CM187:CN187</xm:sqref>
        </x14:conditionalFormatting>
        <x14:conditionalFormatting xmlns:xm="http://schemas.microsoft.com/office/excel/2006/main">
          <x14:cfRule type="iconSet" priority="3525" id="{4DF7DFD0-2AEF-4113-B3D2-E3E843F677F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CN43</xm:sqref>
        </x14:conditionalFormatting>
        <x14:conditionalFormatting xmlns:xm="http://schemas.microsoft.com/office/excel/2006/main">
          <x14:cfRule type="iconSet" priority="3523" id="{0EAA868C-6E94-49BA-A52C-3B42BA7617D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521" id="{AF7282FE-D27E-4F3C-8909-83BB93F3D690}">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CN72</xm:sqref>
        </x14:conditionalFormatting>
        <x14:conditionalFormatting xmlns:xm="http://schemas.microsoft.com/office/excel/2006/main">
          <x14:cfRule type="iconSet" priority="3515" id="{E92273B1-8586-487A-8F18-095B02E4593D}">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CN99</xm:sqref>
        </x14:conditionalFormatting>
        <x14:conditionalFormatting xmlns:xm="http://schemas.microsoft.com/office/excel/2006/main">
          <x14:cfRule type="iconSet" priority="3527" id="{F4FD2093-710E-405A-94F6-CADBD35AA02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CP43</xm:sqref>
        </x14:conditionalFormatting>
        <x14:conditionalFormatting xmlns:xm="http://schemas.microsoft.com/office/excel/2006/main">
          <x14:cfRule type="iconSet" priority="3514" id="{08D77F05-818F-4DCA-83FD-9D9ABD99AFAD}">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CP99</xm:sqref>
        </x14:conditionalFormatting>
        <x14:conditionalFormatting xmlns:xm="http://schemas.microsoft.com/office/excel/2006/main">
          <x14:cfRule type="iconSet" priority="3520" id="{C93A5FF8-F1E3-4C62-ABC6-41AD9D3F351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518" id="{A7901530-30BE-4E4D-BA2C-53BE6B6C86CD}">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CP72:CQ72</xm:sqref>
        </x14:conditionalFormatting>
        <x14:conditionalFormatting xmlns:xm="http://schemas.microsoft.com/office/excel/2006/main">
          <x14:cfRule type="iconSet" priority="3511" id="{735C71B0-6C7B-497A-9F7C-72A6ECF05A2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CP99:CQ99</xm:sqref>
        </x14:conditionalFormatting>
        <x14:conditionalFormatting xmlns:xm="http://schemas.microsoft.com/office/excel/2006/main">
          <x14:cfRule type="iconSet" priority="3482" id="{AB6D0BF6-F17A-4508-8B12-DC3F55B413A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CP157:CQ157</xm:sqref>
        </x14:conditionalFormatting>
        <x14:conditionalFormatting xmlns:xm="http://schemas.microsoft.com/office/excel/2006/main">
          <x14:cfRule type="iconSet" priority="3479" id="{FF56F111-E554-4B22-BA20-D283015445E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78" id="{1C3ACECB-5356-4618-8805-827860EB546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CP171:CQ171</xm:sqref>
        </x14:conditionalFormatting>
        <x14:conditionalFormatting xmlns:xm="http://schemas.microsoft.com/office/excel/2006/main">
          <x14:cfRule type="iconSet" priority="3474" id="{82BB8C65-6FBD-4411-955A-EA582B20F7D0}">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75" id="{D8CCDA75-7F42-4734-B8C6-9BA06E259AA6}">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CP187:CQ187</xm:sqref>
        </x14:conditionalFormatting>
        <x14:conditionalFormatting xmlns:xm="http://schemas.microsoft.com/office/excel/2006/main">
          <x14:cfRule type="iconSet" priority="3526" id="{A14EFAD7-58CF-4C14-B1AB-A394D3A3B9E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CQ43</xm:sqref>
        </x14:conditionalFormatting>
        <x14:conditionalFormatting xmlns:xm="http://schemas.microsoft.com/office/excel/2006/main">
          <x14:cfRule type="iconSet" priority="3517" id="{46E1F5E6-D9E0-45D2-B7EB-1434AC488609}">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519" id="{A99F79BE-B814-4152-AD20-065A40708422}">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CQ72</xm:sqref>
        </x14:conditionalFormatting>
        <x14:conditionalFormatting xmlns:xm="http://schemas.microsoft.com/office/excel/2006/main">
          <x14:cfRule type="iconSet" priority="3513" id="{AEA3E761-9D23-472B-9922-5FFCAA543787}">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CQ99</xm:sqref>
        </x14:conditionalFormatting>
      </x14:conditionalFormatting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0BC500-C54C-4E08-9877-92644BEF4C1E}">
  <sheetPr codeName="Sheet16">
    <tabColor rgb="FF0066FF"/>
  </sheetPr>
  <dimension ref="A1:CJ92"/>
  <sheetViews>
    <sheetView zoomScale="70" zoomScaleNormal="70" workbookViewId="0" topLeftCell="M1">
      <selection pane="topLeft" activeCell="AL211" sqref="AL211"/>
    </sheetView>
  </sheetViews>
  <sheetFormatPr defaultColWidth="8.07777777777778" defaultRowHeight="15.5" outlineLevelRow="1" outlineLevelCol="2"/>
  <cols>
    <col min="1" max="1" width="8.44444444444444" hidden="1" customWidth="1" outlineLevel="2"/>
    <col min="2" max="4" width="42.3333333333333" hidden="1" customWidth="1" outlineLevel="2"/>
    <col min="5" max="5" width="31.7777777777778" hidden="1" customWidth="1" outlineLevel="2"/>
    <col min="6" max="6" width="27.1111111111111" hidden="1" customWidth="1" outlineLevel="2"/>
    <col min="7" max="7" width="30.1111111111111" hidden="1" customWidth="1" outlineLevel="2"/>
    <col min="8" max="9" width="7.11111111111111" hidden="1" customWidth="1" outlineLevel="2"/>
    <col min="10" max="10" width="14.7777777777778" hidden="1" customWidth="1" outlineLevel="2"/>
    <col min="11" max="12" width="7.11111111111111" hidden="1" customWidth="1" outlineLevel="2"/>
    <col min="13" max="13" width="2.77777777777778" customWidth="1" collapsed="1"/>
    <col min="14" max="14" width="2.66666666666667" customWidth="1"/>
    <col min="15" max="15" width="3.44444444444444" hidden="1" customWidth="1" outlineLevel="1"/>
    <col min="16" max="17" width="2.66666666666667" hidden="1" customWidth="1" outlineLevel="1"/>
    <col min="18" max="18" width="1.44444444444444" hidden="1" customWidth="1" outlineLevel="1"/>
    <col min="19" max="19" width="41.8888888888889" hidden="1" customWidth="1" outlineLevel="1"/>
    <col min="20" max="20" width="65.8888888888889" hidden="1" customWidth="1" outlineLevel="1"/>
    <col min="21" max="21" width="1.44444444444444" customWidth="1" collapsed="1"/>
    <col min="22" max="22" width="1.44444444444444" customWidth="1"/>
    <col min="23" max="23" width="11.3333333333333" customWidth="1"/>
    <col min="24" max="24" width="4.22222222222222" customWidth="1"/>
    <col min="25" max="25" width="44.6666666666667" customWidth="1"/>
    <col min="26" max="26" width="4.22222222222222" customWidth="1"/>
    <col min="27" max="27" width="1.88888888888889" customWidth="1"/>
    <col min="28" max="28" width="44.6666666666667" hidden="1" customWidth="1" outlineLevel="1"/>
    <col min="29" max="29" width="6" customWidth="1" collapsed="1"/>
    <col min="30" max="30" width="19.8888888888889" customWidth="1" outlineLevel="1"/>
    <col min="31" max="53" width="17.8888888888889" customWidth="1" outlineLevel="1"/>
    <col min="54" max="54" width="17.8888888888889" customWidth="1"/>
    <col min="55" max="63" width="17.8888888888889" customWidth="1" outlineLevel="1"/>
    <col min="64" max="66" width="17.8888888888889" customWidth="1"/>
    <col min="67" max="78" width="17.8888888888889" hidden="1" customWidth="1"/>
    <col min="79" max="79" width="1.44444444444444" customWidth="1"/>
    <col min="80" max="80" width="13" customWidth="1"/>
    <col min="81" max="81" width="1.44444444444444" customWidth="1"/>
    <col min="82" max="83" width="17.8888888888889" customWidth="1"/>
    <col min="84" max="84" width="1.44444444444444" customWidth="1"/>
    <col min="85" max="86" width="17.8888888888889" customWidth="1"/>
    <col min="87" max="87" width="1.44444444444444" customWidth="1"/>
    <col min="88" max="89" width="17.8888888888889" customWidth="1"/>
    <col min="90" max="90" width="1.44444444444444" customWidth="1"/>
    <col min="91" max="92" width="17.8888888888889" customWidth="1"/>
    <col min="93" max="93" width="1.44444444444444" customWidth="1"/>
    <col min="94" max="95" width="17.8888888888889" customWidth="1"/>
    <col min="96" max="96" width="1.44444444444444" customWidth="1"/>
  </cols>
  <sheetData>
    <row r="1" spans="1:30" ht="15.5">
      <c r="A1" s="31" t="s">
        <v>1857</v>
      </c>
      <c r="G1" s="37"/>
      <c r="H1" s="37"/>
      <c r="I1" s="587"/>
      <c r="J1" s="37"/>
      <c r="K1" s="37"/>
      <c r="L1" s="37"/>
      <c r="N1" s="115"/>
      <c r="W1" s="37"/>
      <c r="X1" s="1590"/>
      <c r="Z1" s="765"/>
      <c r="AA1" s="765"/>
      <c r="AD1" s="37"/>
    </row>
    <row r="2" spans="1:30" ht="15.5">
      <c r="A2" s="31"/>
      <c r="G2" s="37"/>
      <c r="H2" s="37"/>
      <c r="I2" s="587"/>
      <c r="J2" s="37"/>
      <c r="K2" s="37"/>
      <c r="L2" s="37"/>
      <c r="N2" s="115"/>
      <c r="W2" s="37"/>
      <c r="X2" s="37"/>
      <c r="Z2" s="765"/>
      <c r="AA2" s="765"/>
      <c r="AD2" s="37"/>
    </row>
    <row r="3" spans="1:87" ht="25">
      <c r="A3" s="31"/>
      <c r="G3" s="37"/>
      <c r="H3" s="37"/>
      <c r="I3" s="587"/>
      <c r="J3" s="37"/>
      <c r="K3" s="37"/>
      <c r="L3" s="37"/>
      <c r="N3" s="371"/>
      <c r="O3" s="101"/>
      <c r="P3" s="15"/>
      <c r="Q3" s="15"/>
      <c r="R3" s="15"/>
      <c r="S3" s="15"/>
      <c r="T3" s="152"/>
      <c r="U3" s="38"/>
      <c r="W3" s="142"/>
      <c r="X3" s="144"/>
      <c r="Y3" s="143"/>
      <c r="Z3" s="1504"/>
      <c r="AA3" s="766"/>
      <c r="AB3" s="15"/>
      <c r="AC3" s="15"/>
      <c r="AD3" s="144"/>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38"/>
    </row>
    <row r="4" spans="1:87" ht="25">
      <c r="A4" s="31"/>
      <c r="E4" s="147"/>
      <c r="G4" s="37"/>
      <c r="H4" s="37"/>
      <c r="I4" s="587"/>
      <c r="J4" s="37"/>
      <c r="K4" s="37"/>
      <c r="L4" s="37"/>
      <c r="N4" s="372"/>
      <c r="O4" s="3008" t="e" vm="2" cm="1">
        <f t="array" ref="O4">IF(LEFT($A$1,3)="unp",icon_unlock,icon_lock)</f>
        <v>#VALUE!</v>
      </c>
      <c r="P4" s="3008"/>
      <c r="Q4" s="3008"/>
      <c r="R4" s="153"/>
      <c r="S4" s="153" t="e" vm="3">
        <v>#VALUE!</v>
      </c>
      <c r="T4" s="153"/>
      <c r="U4" s="39"/>
      <c r="W4" s="767"/>
      <c r="X4" s="126"/>
      <c r="Y4" s="1358"/>
      <c r="Z4" s="1505"/>
      <c r="AA4" s="768"/>
      <c r="AB4" s="101"/>
      <c r="AC4" s="101"/>
      <c r="AD4" s="126"/>
      <c r="AE4" s="101"/>
      <c r="AF4" s="101"/>
      <c r="AG4" s="101"/>
      <c r="AH4" s="145"/>
      <c r="AI4" s="101"/>
      <c r="AJ4" s="101"/>
      <c r="AK4" s="101"/>
      <c r="AL4" s="101"/>
      <c r="AM4" s="101"/>
      <c r="AN4" s="101"/>
      <c r="AO4" s="101"/>
      <c r="AP4" s="101"/>
      <c r="AQ4" s="101"/>
      <c r="AR4" s="101"/>
      <c r="AS4" s="101"/>
      <c r="AT4" s="769"/>
      <c r="AU4" s="769"/>
      <c r="AV4" s="769"/>
      <c r="AW4" s="769"/>
      <c r="AX4" s="769"/>
      <c r="AY4" s="769"/>
      <c r="AZ4" s="769"/>
      <c r="BA4" s="769"/>
      <c r="BB4" s="769"/>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39"/>
    </row>
    <row r="5" spans="1:87" ht="44.5">
      <c r="A5" s="31"/>
      <c r="G5" s="37"/>
      <c r="H5" s="37"/>
      <c r="I5" s="587"/>
      <c r="J5" s="37"/>
      <c r="K5" s="37"/>
      <c r="L5" s="37"/>
      <c r="N5" s="372"/>
      <c r="O5" s="101"/>
      <c r="P5" s="153"/>
      <c r="Q5" s="101"/>
      <c r="R5" s="153"/>
      <c r="S5" s="3005" t="s">
        <v>25</v>
      </c>
      <c r="T5" s="3005"/>
      <c r="U5" s="39"/>
      <c r="W5" s="767"/>
      <c r="X5" s="264"/>
      <c r="Y5" s="264" t="s">
        <v>220</v>
      </c>
      <c r="Z5" s="1506"/>
      <c r="AA5" s="989"/>
      <c r="AB5" s="551"/>
      <c r="AC5" s="560"/>
      <c r="AD5" s="126"/>
      <c r="AE5" s="1125" t="str">
        <f>CX_ENTITY</f>
        <v>W06f9Irq7</v>
      </c>
      <c r="AF5" s="101"/>
      <c r="AG5" s="101"/>
      <c r="AH5" s="101"/>
      <c r="AI5" s="101"/>
      <c r="AJ5" s="101"/>
      <c r="AK5" s="35" t="s">
        <v>29</v>
      </c>
      <c r="AL5" s="35" t="s">
        <v>30</v>
      </c>
      <c r="AM5" s="35" t="s">
        <v>31</v>
      </c>
      <c r="AN5" s="101"/>
      <c r="AO5" s="101"/>
      <c r="AP5" s="770"/>
      <c r="AQ5" s="770"/>
      <c r="AR5" s="770"/>
      <c r="AS5" s="770"/>
      <c r="AT5" s="770"/>
      <c r="AU5" s="770"/>
      <c r="AV5" s="770"/>
      <c r="AW5" s="770"/>
      <c r="AX5" s="770"/>
      <c r="AY5" s="770"/>
      <c r="AZ5" s="770"/>
      <c r="BA5" s="770"/>
      <c r="BB5" s="770"/>
      <c r="BC5" s="101"/>
      <c r="BD5" s="101"/>
      <c r="BE5" s="101"/>
      <c r="BF5" s="101"/>
      <c r="BG5" s="101"/>
      <c r="BH5" s="101"/>
      <c r="BI5" s="101"/>
      <c r="BJ5" s="101"/>
      <c r="BK5" s="101"/>
      <c r="BL5" s="101"/>
      <c r="BM5" s="148"/>
      <c r="BN5" s="101"/>
      <c r="BO5" s="101"/>
      <c r="BP5" s="101"/>
      <c r="BQ5" s="101"/>
      <c r="BR5" s="101"/>
      <c r="BS5" s="101"/>
      <c r="BT5" s="101"/>
      <c r="BU5" s="101"/>
      <c r="BV5" s="101"/>
      <c r="BW5" s="101"/>
      <c r="BX5" s="101"/>
      <c r="BY5" s="101"/>
      <c r="BZ5" s="101"/>
      <c r="CA5" s="39"/>
      <c r="CC5" s="16"/>
      <c r="CD5" s="986"/>
      <c r="CE5" s="986"/>
      <c r="CF5" s="169"/>
      <c r="CG5" s="210"/>
      <c r="CH5" s="210"/>
      <c r="CI5" s="39"/>
    </row>
    <row r="6" spans="1:87" ht="44.5">
      <c r="A6" s="691"/>
      <c r="B6" s="117"/>
      <c r="C6" s="117"/>
      <c r="D6" s="117"/>
      <c r="E6" s="117"/>
      <c r="F6" s="577"/>
      <c r="G6" s="117"/>
      <c r="H6" s="1297"/>
      <c r="I6" s="1297"/>
      <c r="J6" s="1298"/>
      <c r="K6" s="30"/>
      <c r="L6" s="30"/>
      <c r="N6" s="372"/>
      <c r="O6" s="101"/>
      <c r="P6" s="153"/>
      <c r="Q6" s="153"/>
      <c r="R6" s="153"/>
      <c r="S6" s="3005"/>
      <c r="T6" s="3005"/>
      <c r="U6" s="39"/>
      <c r="W6" s="767"/>
      <c r="X6" s="264"/>
      <c r="Y6" s="264"/>
      <c r="Z6" s="1506"/>
      <c r="AA6" s="989"/>
      <c r="AB6" s="551"/>
      <c r="AC6" s="560"/>
      <c r="AD6" s="126"/>
      <c r="AE6" s="287" t="str">
        <f>val_company</f>
        <v>Therme Horizon</v>
      </c>
      <c r="AF6" s="101"/>
      <c r="AG6" s="101"/>
      <c r="AH6" s="101"/>
      <c r="AI6" s="101"/>
      <c r="AJ6" s="101"/>
      <c r="AK6" s="1084" t="e" cm="1">
        <f t="array" ca="1" aca="1" ref="AK6">val_currentFYE</f>
        <v>#NAME?</v>
      </c>
      <c r="AL6" s="1086" t="str">
        <f>[0]!val_displayUnit</f>
        <v>Millions</v>
      </c>
      <c r="AM6" s="1085" t="e">
        <f ca="1">Developer!D251</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39"/>
    </row>
    <row r="7" spans="1:87" ht="44.5">
      <c r="A7" s="848"/>
      <c r="B7" s="1299"/>
      <c r="C7" s="1299"/>
      <c r="D7" s="1299"/>
      <c r="E7" s="1299"/>
      <c r="F7" s="577"/>
      <c r="G7" s="731"/>
      <c r="H7" s="3321">
        <v>2</v>
      </c>
      <c r="I7" s="1301"/>
      <c r="J7" s="1302"/>
      <c r="K7" s="731"/>
      <c r="L7" s="824"/>
      <c r="N7" s="372"/>
      <c r="O7" s="101"/>
      <c r="P7" s="126"/>
      <c r="Q7" s="126"/>
      <c r="R7" s="126"/>
      <c r="S7" s="101"/>
      <c r="T7" s="154"/>
      <c r="U7" s="39"/>
      <c r="W7" s="94"/>
      <c r="X7" s="123"/>
      <c r="Y7" s="264"/>
      <c r="Z7" s="1506"/>
      <c r="AA7" s="989"/>
      <c r="AB7" s="264"/>
      <c r="AC7" s="264"/>
      <c r="AD7" s="123"/>
      <c r="AE7" s="264"/>
      <c r="AF7" s="264"/>
      <c r="AG7" s="101"/>
      <c r="AH7" s="101"/>
      <c r="AI7" s="101"/>
      <c r="AJ7" s="101"/>
      <c r="AK7" s="707"/>
      <c r="AL7" s="264"/>
      <c r="AM7" s="93"/>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771" t="s">
        <v>34</v>
      </c>
      <c r="CE7" s="776"/>
      <c r="CF7" s="169"/>
      <c r="CG7" s="1206" t="s">
        <v>35</v>
      </c>
      <c r="CH7" s="1208"/>
      <c r="CI7" s="39"/>
    </row>
    <row r="8" spans="1:87" ht="18">
      <c r="A8" s="848"/>
      <c r="B8" s="1303"/>
      <c r="C8" s="1303"/>
      <c r="D8" s="1303"/>
      <c r="E8" s="1303"/>
      <c r="F8" s="577"/>
      <c r="G8" s="697"/>
      <c r="H8" s="1304"/>
      <c r="I8" s="1301"/>
      <c r="J8" s="1305"/>
      <c r="K8" s="697"/>
      <c r="L8" s="697"/>
      <c r="N8" s="372"/>
      <c r="O8" s="101"/>
      <c r="P8" s="18"/>
      <c r="Q8" s="18"/>
      <c r="R8" s="101"/>
      <c r="S8" s="101"/>
      <c r="T8" s="101"/>
      <c r="U8" s="39"/>
      <c r="W8" s="149"/>
      <c r="X8" s="150"/>
      <c r="Y8" s="18"/>
      <c r="Z8" s="1505"/>
      <c r="AA8" s="777"/>
      <c r="AB8" s="18"/>
      <c r="AC8" s="18"/>
      <c r="AD8" s="150"/>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36"/>
    </row>
    <row r="9" spans="1:87" ht="18" customHeight="1">
      <c r="A9" s="848"/>
      <c r="B9" s="1303"/>
      <c r="C9" s="1303"/>
      <c r="D9" s="1303"/>
      <c r="E9" s="1303"/>
      <c r="F9" s="577"/>
      <c r="G9" s="731"/>
      <c r="H9" s="1305"/>
      <c r="I9" s="1301"/>
      <c r="J9" s="1302"/>
      <c r="K9" s="731"/>
      <c r="L9" s="731"/>
      <c r="N9" s="372"/>
      <c r="O9" s="101"/>
      <c r="P9" s="373"/>
      <c r="Q9" s="373"/>
      <c r="R9" s="101"/>
      <c r="S9" s="3047" t="s">
        <v>221</v>
      </c>
      <c r="T9" s="3047"/>
      <c r="U9" s="39"/>
      <c r="W9" s="376"/>
      <c r="X9" s="378"/>
      <c r="Y9" s="377"/>
      <c r="Z9" s="1507"/>
      <c r="AA9" s="778"/>
      <c r="AB9" s="281"/>
      <c r="AC9" s="281"/>
      <c r="AD9" s="378"/>
      <c r="AE9" s="379"/>
      <c r="AF9" s="379"/>
      <c r="AG9" s="379"/>
      <c r="AH9" s="379"/>
      <c r="AI9" s="377"/>
      <c r="AJ9" s="377"/>
      <c r="AK9" s="377"/>
      <c r="AL9" s="377"/>
      <c r="AM9" s="377"/>
      <c r="AN9" s="377"/>
      <c r="AO9" s="377"/>
      <c r="AP9" s="377"/>
      <c r="AQ9" s="377"/>
      <c r="AR9" s="377"/>
      <c r="AS9" s="377"/>
      <c r="AT9" s="377"/>
      <c r="AU9" s="377"/>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227"/>
    </row>
    <row r="10" spans="1:87" ht="32.5">
      <c r="A10" s="851" t="s">
        <v>604</v>
      </c>
      <c r="B10" s="1306" t="s">
        <v>1509</v>
      </c>
      <c r="C10" s="1306" t="s">
        <v>1510</v>
      </c>
      <c r="D10" s="1303"/>
      <c r="E10" s="1306" t="s">
        <v>1511</v>
      </c>
      <c r="F10" s="1306" t="str">
        <f>IF($B10&lt;&gt;"",$B10,$E10)</f>
        <v>CVC CX Metric Names</v>
      </c>
      <c r="G10" s="731"/>
      <c r="H10" s="1126" t="s">
        <v>37</v>
      </c>
      <c r="I10" s="1126" t="s">
        <v>38</v>
      </c>
      <c r="J10" s="1307"/>
      <c r="K10" s="1308"/>
      <c r="L10" s="1309" t="s">
        <v>1512</v>
      </c>
      <c r="N10" s="372"/>
      <c r="O10" s="101"/>
      <c r="P10" s="373"/>
      <c r="Q10" s="373"/>
      <c r="R10" s="101"/>
      <c r="S10" s="3047"/>
      <c r="T10" s="3047"/>
      <c r="U10" s="39"/>
      <c r="W10" s="808"/>
      <c r="X10" s="382"/>
      <c r="Y10" s="382" t="e" cm="1">
        <f t="array" ca="1" aca="1" ref="Y10">_xldudf_CX_GET("wldfeIdOY","Fixed Assets",44561,"Month",,("Actual*"))</f>
        <v>#NAME?</v>
      </c>
      <c r="Z10" s="1508"/>
      <c r="AA10" s="990"/>
      <c r="AB10" s="95"/>
      <c r="AC10" s="95"/>
      <c r="AD10" s="382"/>
      <c r="AE10" s="97"/>
      <c r="AF10" s="564"/>
      <c r="AG10" s="564"/>
      <c r="AH10" s="97"/>
      <c r="AI10" s="97"/>
      <c r="AJ10" s="97"/>
      <c r="AK10" s="97"/>
      <c r="AL10" s="97"/>
      <c r="AM10" s="97"/>
      <c r="AN10" s="97"/>
      <c r="AO10" s="97"/>
      <c r="AP10" s="97"/>
      <c r="AQ10" s="97"/>
      <c r="AR10" s="97"/>
      <c r="AS10" s="97"/>
      <c r="AT10" s="97"/>
      <c r="AU10" s="97"/>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151" t="s">
        <v>41</v>
      </c>
      <c r="CE10" s="3152"/>
      <c r="CF10" s="1471"/>
      <c r="CG10" s="3151" t="s">
        <v>1688</v>
      </c>
      <c r="CH10" s="3152"/>
      <c r="CI10" s="34"/>
    </row>
    <row r="11" spans="1:87" ht="27.75" customHeight="1">
      <c r="A11" s="32"/>
      <c r="B11" s="1310" t="s">
        <v>1513</v>
      </c>
      <c r="C11" s="1310" t="s">
        <v>1514</v>
      </c>
      <c r="D11" s="1303"/>
      <c r="E11" s="1310" t="s">
        <v>1667</v>
      </c>
      <c r="F11" s="1310" t="str">
        <f>IF($B11&lt;&gt;"",$B11,$E11)</f>
        <v>Static Internal CVC COA</v>
      </c>
      <c r="G11" s="850"/>
      <c r="H11" s="849"/>
      <c r="I11" s="849"/>
      <c r="J11" s="3141"/>
      <c r="K11" s="3142"/>
      <c r="L11" s="1311"/>
      <c r="N11" s="372"/>
      <c r="O11" s="101"/>
      <c r="P11" s="126"/>
      <c r="Q11" s="126"/>
      <c r="R11" s="126"/>
      <c r="S11" s="2"/>
      <c r="T11" s="2"/>
      <c r="U11" s="197"/>
      <c r="W11" s="972"/>
      <c r="X11" s="973" t="s">
        <v>223</v>
      </c>
      <c r="Y11" s="974"/>
      <c r="Z11" s="973"/>
      <c r="AA11" s="974"/>
      <c r="AB11" s="985" t="s">
        <v>47</v>
      </c>
      <c r="AC11" s="985"/>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982" t="e" cm="1">
        <f t="array" ca="1" aca="1" ref="CD11">EOMONTH(val_currentFYE,-24)</f>
        <v>#NAME?</v>
      </c>
      <c r="CE11" s="983" t="e" cm="1">
        <f t="array" ca="1" aca="1" ref="CE11">EOMONTH(val_currentFYE,-12)</f>
        <v>#NAME?</v>
      </c>
      <c r="CF11" s="128"/>
      <c r="CG11" s="984" t="e" cm="1">
        <f t="array" ca="1" aca="1" ref="CG11">val_currentFYE</f>
        <v>#NAME?</v>
      </c>
      <c r="CH11" s="978" t="e" cm="1">
        <f t="array" ca="1" aca="1" ref="CH11">val_currentFYE</f>
        <v>#NAME?</v>
      </c>
      <c r="CI11" s="200"/>
    </row>
    <row r="12" spans="1:87" ht="20.25" customHeight="1" outlineLevel="1">
      <c r="A12" s="731"/>
      <c r="B12" s="1313" t="s">
        <v>1516</v>
      </c>
      <c r="C12" s="3140" t="s">
        <v>1517</v>
      </c>
      <c r="D12" s="1303"/>
      <c r="E12" s="3140" t="s">
        <v>1668</v>
      </c>
      <c r="F12" s="3140" t="str">
        <f>IF($B12&lt;&gt;"",$B12,$E12)</f>
        <v>Static metric names as a starting point</v>
      </c>
      <c r="G12" s="850"/>
      <c r="H12" s="849"/>
      <c r="I12" s="849"/>
      <c r="J12" s="3141"/>
      <c r="K12" s="3142"/>
      <c r="L12" s="1311"/>
      <c r="N12" s="372"/>
      <c r="O12" s="101"/>
      <c r="P12" s="52"/>
      <c r="Q12" s="101"/>
      <c r="R12" s="126"/>
      <c r="S12" s="818" t="s">
        <v>49</v>
      </c>
      <c r="T12" s="818" t="s">
        <v>50</v>
      </c>
      <c r="U12" s="39"/>
      <c r="W12" s="1195" t="s">
        <v>51</v>
      </c>
      <c r="X12" s="907" t="e" vm="4" cm="1">
        <f t="array" ref="X12">fx_getIcon("select")</f>
        <v>#VALUE!</v>
      </c>
      <c r="Y12" s="860" t="s">
        <v>52</v>
      </c>
      <c r="Z12" s="3301" cm="1">
        <f t="array" ref="Z12">_xlfn.SWITCH(TRUE,_BS!$L31=TRUE,1,_BS!$L31=FALSE,-1,_BS!$L31=-1,0,"n/a")</f>
        <v>1</v>
      </c>
      <c r="AA12" s="95"/>
      <c r="AB12" s="97" t="s">
        <v>230</v>
      </c>
      <c r="AC12" s="97"/>
      <c r="AD12" s="1601" t="e" cm="1">
        <f t="array" ca="1" aca="1" ref="AD12">EOMONTH(AD11,12-MONTH(val_currentFYE))</f>
        <v>#NAME?</v>
      </c>
      <c r="AE12" s="1601" t="e" cm="1">
        <f t="array" ca="1" aca="1" ref="AE12">EOMONTH(AE11,12-MONTH(val_currentFYE))</f>
        <v>#NAME?</v>
      </c>
      <c r="AF12" s="1601" t="e" cm="1">
        <f t="array" ca="1" aca="1" ref="AF12">EOMONTH(AF11,12-MONTH(val_currentFYE))</f>
        <v>#NAME?</v>
      </c>
      <c r="AG12" s="1601" t="e" cm="1">
        <f t="array" ca="1" aca="1" ref="AG12">EOMONTH(AG11,12-MONTH(val_currentFYE))</f>
        <v>#NAME?</v>
      </c>
      <c r="AH12" s="1601" t="e" cm="1">
        <f t="array" ca="1" aca="1" ref="AH12">EOMONTH(AH11,12-MONTH(val_currentFYE))</f>
        <v>#NAME?</v>
      </c>
      <c r="AI12" s="1601" t="e" cm="1">
        <f t="array" ca="1" aca="1" ref="AI12">EOMONTH(AI11,12-MONTH(val_currentFYE))</f>
        <v>#NAME?</v>
      </c>
      <c r="AJ12" s="1601" t="e" cm="1">
        <f t="array" ca="1" aca="1" ref="AJ12">EOMONTH(AJ11,12-MONTH(val_currentFYE))</f>
        <v>#NAME?</v>
      </c>
      <c r="AK12" s="1601" t="e" cm="1">
        <f t="array" ca="1" aca="1" ref="AK12">EOMONTH(AK11,12-MONTH(val_currentFYE))</f>
        <v>#NAME?</v>
      </c>
      <c r="AL12" s="1601" t="e" cm="1">
        <f t="array" ca="1" aca="1" ref="AL12">EOMONTH(AL11,12-MONTH(val_currentFYE))</f>
        <v>#NAME?</v>
      </c>
      <c r="AM12" s="1601" t="e" cm="1">
        <f t="array" ca="1" aca="1" ref="AM12">EOMONTH(AM11,12-MONTH(val_currentFYE))</f>
        <v>#NAME?</v>
      </c>
      <c r="AN12" s="1601" t="e" cm="1">
        <f t="array" ca="1" aca="1" ref="AN12">EOMONTH(AN11,12-MONTH(val_currentFYE))</f>
        <v>#NAME?</v>
      </c>
      <c r="AO12" s="1601" t="e" cm="1">
        <f t="array" ca="1" aca="1" ref="AO12">EOMONTH(AO11,12-MONTH(val_currentFYE))</f>
        <v>#NAME?</v>
      </c>
      <c r="AP12" s="1601" t="e" cm="1">
        <f t="array" ca="1" aca="1" ref="AP12">EOMONTH(AP11,12-MONTH(val_currentFYE))</f>
        <v>#NAME?</v>
      </c>
      <c r="AQ12" s="1601" t="e" cm="1">
        <f t="array" ca="1" aca="1" ref="AQ12">EOMONTH(AQ11,12-MONTH(val_currentFYE))</f>
        <v>#NAME?</v>
      </c>
      <c r="AR12" s="1601" t="e" cm="1">
        <f t="array" ca="1" aca="1" ref="AR12">EOMONTH(AR11,12-MONTH(val_currentFYE))</f>
        <v>#NAME?</v>
      </c>
      <c r="AS12" s="1601" t="e" cm="1">
        <f t="array" ca="1" aca="1" ref="AS12">EOMONTH(AS11,12-MONTH(val_currentFYE))</f>
        <v>#NAME?</v>
      </c>
      <c r="AT12" s="1601" t="e" cm="1">
        <f t="array" ca="1" aca="1" ref="AT12">EOMONTH(AT11,12-MONTH(val_currentFYE))</f>
        <v>#NAME?</v>
      </c>
      <c r="AU12" s="1601" t="e" cm="1">
        <f t="array" ca="1" aca="1" ref="AU12">EOMONTH(AU11,12-MONTH(val_currentFYE))</f>
        <v>#NAME?</v>
      </c>
      <c r="AV12" s="1601" t="e" cm="1">
        <f t="array" ca="1" aca="1" ref="AV12">EOMONTH(AV11,12-MONTH(val_currentFYE))</f>
        <v>#NAME?</v>
      </c>
      <c r="AW12" s="1601" t="e" cm="1">
        <f t="array" ca="1" aca="1" ref="AW12">EOMONTH(AW11,12-MONTH(val_currentFYE))</f>
        <v>#NAME?</v>
      </c>
      <c r="AX12" s="1601" t="e" cm="1">
        <f t="array" ca="1" aca="1" ref="AX12">EOMONTH(AX11,12-MONTH(val_currentFYE))</f>
        <v>#NAME?</v>
      </c>
      <c r="AY12" s="1601" t="e" cm="1">
        <f t="array" ca="1" aca="1" ref="AY12">EOMONTH(AY11,12-MONTH(val_currentFYE))</f>
        <v>#NAME?</v>
      </c>
      <c r="AZ12" s="1601" t="e" cm="1">
        <f t="array" ca="1" aca="1" ref="AZ12">EOMONTH(AZ11,12-MONTH(val_currentFYE))</f>
        <v>#NAME?</v>
      </c>
      <c r="BA12" s="1601" t="e" cm="1">
        <f t="array" ca="1" aca="1" ref="BA12">EOMONTH(BA11,12-MONTH(val_currentFYE))</f>
        <v>#NAME?</v>
      </c>
      <c r="BB12" s="1601" t="e" cm="1">
        <f t="array" ca="1" aca="1" ref="BB12">EOMONTH(BB11,12-MONTH(val_currentFYE))</f>
        <v>#NAME?</v>
      </c>
      <c r="BC12" s="1601" t="e" cm="1">
        <f t="array" ca="1" aca="1" ref="BC12">EOMONTH(BC11,12-MONTH(val_currentFYE))</f>
        <v>#NAME?</v>
      </c>
      <c r="BD12" s="1601" t="e" cm="1">
        <f t="array" ca="1" aca="1" ref="BD12">EOMONTH(BD11,12-MONTH(val_currentFYE))</f>
        <v>#NAME?</v>
      </c>
      <c r="BE12" s="1601" t="e" cm="1">
        <f t="array" ca="1" aca="1" ref="BE12">EOMONTH(BE11,12-MONTH(val_currentFYE))</f>
        <v>#NAME?</v>
      </c>
      <c r="BF12" s="1601" t="e" cm="1">
        <f t="array" ca="1" aca="1" ref="BF12">EOMONTH(BF11,12-MONTH(val_currentFYE))</f>
        <v>#NAME?</v>
      </c>
      <c r="BG12" s="1601" t="e" cm="1">
        <f t="array" ca="1" aca="1" ref="BG12">EOMONTH(BG11,12-MONTH(val_currentFYE))</f>
        <v>#NAME?</v>
      </c>
      <c r="BH12" s="1601" t="e" cm="1">
        <f t="array" ca="1" aca="1" ref="BH12">EOMONTH(BH11,12-MONTH(val_currentFYE))</f>
        <v>#NAME?</v>
      </c>
      <c r="BI12" s="1601" t="e" cm="1">
        <f t="array" ca="1" aca="1" ref="BI12">EOMONTH(BI11,12-MONTH(val_currentFYE))</f>
        <v>#NAME?</v>
      </c>
      <c r="BJ12" s="1601" t="e" cm="1">
        <f t="array" ca="1" aca="1" ref="BJ12">EOMONTH(BJ11,12-MONTH(val_currentFYE))</f>
        <v>#NAME?</v>
      </c>
      <c r="BK12" s="1601" t="e" cm="1">
        <f t="array" ca="1" aca="1" ref="BK12">EOMONTH(BK11,12-MONTH(val_currentFYE))</f>
        <v>#NAME?</v>
      </c>
      <c r="BL12" s="1601" t="e" cm="1">
        <f t="array" ca="1" aca="1" ref="BL12">EOMONTH(BL11,12-MONTH(val_currentFYE))</f>
        <v>#NAME?</v>
      </c>
      <c r="BM12" s="1601" t="e" cm="1">
        <f t="array" ca="1" aca="1" ref="BM12">EOMONTH(BM11,12-MONTH(val_currentFYE))</f>
        <v>#NAME?</v>
      </c>
      <c r="BN12" s="1602" t="e" cm="1">
        <f t="array" ca="1" aca="1" ref="BN12">EOMONTH(BN11,12-MONTH(val_currentFYE))</f>
        <v>#NAME?</v>
      </c>
      <c r="BO12" s="1602"/>
      <c r="BP12" s="1602"/>
      <c r="BQ12" s="1602"/>
      <c r="BR12" s="1602"/>
      <c r="BS12" s="1602"/>
      <c r="BT12" s="1602"/>
      <c r="BU12" s="1602"/>
      <c r="BV12" s="1602"/>
      <c r="BW12" s="1602"/>
      <c r="BX12" s="1602"/>
      <c r="BY12" s="1602"/>
      <c r="BZ12" s="1602"/>
      <c r="CA12" s="384"/>
      <c r="CC12" s="33"/>
      <c r="CD12" s="841" t="e" cm="1">
        <f t="array" ca="1" aca="1" ref="CD12">YEAR(val_currentFYE)-2</f>
        <v>#NAME?</v>
      </c>
      <c r="CE12" s="842" t="e" cm="1">
        <f t="array" ca="1" aca="1" ref="CE12">YEAR(val_currentFYE)-1</f>
        <v>#NAME?</v>
      </c>
      <c r="CF12" s="128"/>
      <c r="CG12" s="1464" t="e" cm="1">
        <f t="array" ca="1" aca="1" ref="CG12">YEAR(val_currentFYE)</f>
        <v>#NAME?</v>
      </c>
      <c r="CH12" s="1465" t="e" cm="1">
        <f t="array" ca="1" aca="1" ref="CH12">YEAR(val_currentFYE)</f>
        <v>#NAME?</v>
      </c>
      <c r="CI12" s="200"/>
    </row>
    <row r="13" spans="1:87" ht="20.25" customHeight="1" outlineLevel="1">
      <c r="A13" s="731"/>
      <c r="B13" s="1313"/>
      <c r="C13" s="3140"/>
      <c r="D13" s="1303"/>
      <c r="E13" s="3140"/>
      <c r="F13" s="3140"/>
      <c r="G13" s="846"/>
      <c r="H13" s="846" t="s">
        <v>56</v>
      </c>
      <c r="I13" s="846" t="s">
        <v>57</v>
      </c>
      <c r="J13" s="3141"/>
      <c r="K13" s="3142"/>
      <c r="L13" s="3268" t="b">
        <v>1</v>
      </c>
      <c r="N13" s="372"/>
      <c r="O13" s="101"/>
      <c r="P13" s="52"/>
      <c r="Q13" s="101"/>
      <c r="R13" s="139"/>
      <c r="S13" s="819" t="s">
        <v>59</v>
      </c>
      <c r="T13" s="819" t="s">
        <v>60</v>
      </c>
      <c r="U13" s="39"/>
      <c r="W13" s="909" t="s">
        <v>61</v>
      </c>
      <c r="X13" s="908" t="s">
        <v>62</v>
      </c>
      <c r="Y13" s="861" t="s">
        <v>63</v>
      </c>
      <c r="Z13" s="128">
        <v>-1</v>
      </c>
      <c r="AA13" s="95"/>
      <c r="AB13" s="97" t="s">
        <v>64</v>
      </c>
      <c r="AC13" s="97"/>
      <c r="AD13" s="385" cm="1">
        <f t="array" ref="AD13:BN13">_xlfn.SEQUENCE(1,37,-36,1)</f>
        <v>-36</v>
      </c>
      <c r="AE13" s="385">
        <v>-35</v>
      </c>
      <c r="AF13" s="385">
        <v>-34</v>
      </c>
      <c r="AG13" s="385">
        <v>-33</v>
      </c>
      <c r="AH13" s="385">
        <v>-32</v>
      </c>
      <c r="AI13" s="385">
        <v>-31</v>
      </c>
      <c r="AJ13" s="385">
        <v>-30</v>
      </c>
      <c r="AK13" s="385">
        <v>-29</v>
      </c>
      <c r="AL13" s="385">
        <v>-28</v>
      </c>
      <c r="AM13" s="385">
        <v>-27</v>
      </c>
      <c r="AN13" s="385">
        <v>-26</v>
      </c>
      <c r="AO13" s="385">
        <v>-25</v>
      </c>
      <c r="AP13" s="385">
        <v>-24</v>
      </c>
      <c r="AQ13" s="385">
        <v>-23</v>
      </c>
      <c r="AR13" s="385">
        <v>-22</v>
      </c>
      <c r="AS13" s="385">
        <v>-21</v>
      </c>
      <c r="AT13" s="385">
        <v>-20</v>
      </c>
      <c r="AU13" s="385">
        <v>-19</v>
      </c>
      <c r="AV13" s="385">
        <v>-18</v>
      </c>
      <c r="AW13" s="385">
        <v>-17</v>
      </c>
      <c r="AX13" s="385">
        <v>-16</v>
      </c>
      <c r="AY13" s="385">
        <v>-15</v>
      </c>
      <c r="AZ13" s="385">
        <v>-14</v>
      </c>
      <c r="BA13" s="385">
        <v>-13</v>
      </c>
      <c r="BB13" s="385">
        <v>-12</v>
      </c>
      <c r="BC13" s="385">
        <v>-11</v>
      </c>
      <c r="BD13" s="385">
        <v>-10</v>
      </c>
      <c r="BE13" s="385">
        <v>-9</v>
      </c>
      <c r="BF13" s="385">
        <v>-8</v>
      </c>
      <c r="BG13" s="385">
        <v>-7</v>
      </c>
      <c r="BH13" s="385">
        <v>-6</v>
      </c>
      <c r="BI13" s="385">
        <v>-5</v>
      </c>
      <c r="BJ13" s="385">
        <v>-4</v>
      </c>
      <c r="BK13" s="385">
        <v>-3</v>
      </c>
      <c r="BL13" s="385">
        <v>-2</v>
      </c>
      <c r="BM13" s="1840">
        <v>-1</v>
      </c>
      <c r="BN13" s="386">
        <v>0</v>
      </c>
      <c r="BO13" s="386"/>
      <c r="BP13" s="386"/>
      <c r="BQ13" s="386"/>
      <c r="BR13" s="386"/>
      <c r="BS13" s="386"/>
      <c r="BT13" s="386"/>
      <c r="BU13" s="386"/>
      <c r="BV13" s="386"/>
      <c r="BW13" s="386"/>
      <c r="BX13" s="386"/>
      <c r="BY13" s="386"/>
      <c r="BZ13" s="386"/>
      <c r="CA13" s="384"/>
      <c r="CC13" s="33"/>
      <c r="CD13" s="48"/>
      <c r="CE13" s="49"/>
      <c r="CF13" s="88"/>
      <c r="CG13" s="48"/>
      <c r="CH13" s="174"/>
      <c r="CI13" s="200"/>
    </row>
    <row r="14" spans="1:87" ht="20.25" customHeight="1" outlineLevel="1">
      <c r="A14" s="1860" t="b">
        <v>0</v>
      </c>
      <c r="B14" s="811" t="s">
        <v>66</v>
      </c>
      <c r="C14" s="3140"/>
      <c r="D14" s="1303"/>
      <c r="E14" s="3140"/>
      <c r="F14" s="3140"/>
      <c r="G14" s="846"/>
      <c r="H14" s="846"/>
      <c r="I14" s="846" t="s">
        <v>68</v>
      </c>
      <c r="J14" s="3141"/>
      <c r="K14" s="3142"/>
      <c r="L14" s="1312" t="b">
        <v>0</v>
      </c>
      <c r="N14" s="372"/>
      <c r="O14" s="101"/>
      <c r="P14" s="52"/>
      <c r="Q14" s="101"/>
      <c r="R14" s="140"/>
      <c r="S14" s="590" t="s">
        <v>70</v>
      </c>
      <c r="T14" s="590" t="s">
        <v>71</v>
      </c>
      <c r="U14" s="39"/>
      <c r="W14" s="909" t="s">
        <v>72</v>
      </c>
      <c r="X14" s="908">
        <v>0</v>
      </c>
      <c r="Y14" s="863" t="s">
        <v>73</v>
      </c>
      <c r="Z14" s="128">
        <v>0</v>
      </c>
      <c r="AA14" s="95"/>
      <c r="AB14" s="97" t="s">
        <v>74</v>
      </c>
      <c r="AC14" s="97"/>
      <c r="AD14" s="943" t="s">
        <v>225</v>
      </c>
      <c r="AE14" s="943" t="str">
        <f t="shared" si="0" ref="AE14:BN14">$AD$14</f>
        <v>As of</v>
      </c>
      <c r="AF14" s="943" t="str">
        <f t="shared" si="0"/>
        <v>As of</v>
      </c>
      <c r="AG14" s="943" t="str">
        <f t="shared" si="0"/>
        <v>As of</v>
      </c>
      <c r="AH14" s="943" t="str">
        <f t="shared" si="0"/>
        <v>As of</v>
      </c>
      <c r="AI14" s="943" t="str">
        <f t="shared" si="0"/>
        <v>As of</v>
      </c>
      <c r="AJ14" s="943" t="str">
        <f t="shared" si="0"/>
        <v>As of</v>
      </c>
      <c r="AK14" s="943" t="str">
        <f t="shared" si="0"/>
        <v>As of</v>
      </c>
      <c r="AL14" s="943" t="str">
        <f t="shared" si="0"/>
        <v>As of</v>
      </c>
      <c r="AM14" s="943" t="str">
        <f t="shared" si="0"/>
        <v>As of</v>
      </c>
      <c r="AN14" s="943" t="str">
        <f t="shared" si="0"/>
        <v>As of</v>
      </c>
      <c r="AO14" s="943" t="str">
        <f t="shared" si="0"/>
        <v>As of</v>
      </c>
      <c r="AP14" s="943" t="str">
        <f t="shared" si="0"/>
        <v>As of</v>
      </c>
      <c r="AQ14" s="943" t="str">
        <f t="shared" si="0"/>
        <v>As of</v>
      </c>
      <c r="AR14" s="943" t="str">
        <f t="shared" si="0"/>
        <v>As of</v>
      </c>
      <c r="AS14" s="943" t="str">
        <f t="shared" si="0"/>
        <v>As of</v>
      </c>
      <c r="AT14" s="943" t="str">
        <f t="shared" si="0"/>
        <v>As of</v>
      </c>
      <c r="AU14" s="943" t="str">
        <f t="shared" si="0"/>
        <v>As of</v>
      </c>
      <c r="AV14" s="943" t="str">
        <f t="shared" si="0"/>
        <v>As of</v>
      </c>
      <c r="AW14" s="943" t="str">
        <f t="shared" si="0"/>
        <v>As of</v>
      </c>
      <c r="AX14" s="943" t="str">
        <f t="shared" si="0"/>
        <v>As of</v>
      </c>
      <c r="AY14" s="943" t="str">
        <f t="shared" si="0"/>
        <v>As of</v>
      </c>
      <c r="AZ14" s="943" t="str">
        <f t="shared" si="0"/>
        <v>As of</v>
      </c>
      <c r="BA14" s="943" t="str">
        <f t="shared" si="0"/>
        <v>As of</v>
      </c>
      <c r="BB14" s="943" t="str">
        <f t="shared" si="0"/>
        <v>As of</v>
      </c>
      <c r="BC14" s="943" t="str">
        <f t="shared" si="0"/>
        <v>As of</v>
      </c>
      <c r="BD14" s="943" t="str">
        <f t="shared" si="0"/>
        <v>As of</v>
      </c>
      <c r="BE14" s="943" t="str">
        <f t="shared" si="0"/>
        <v>As of</v>
      </c>
      <c r="BF14" s="943" t="str">
        <f t="shared" si="0"/>
        <v>As of</v>
      </c>
      <c r="BG14" s="943" t="str">
        <f t="shared" si="0"/>
        <v>As of</v>
      </c>
      <c r="BH14" s="943" t="str">
        <f t="shared" si="0"/>
        <v>As of</v>
      </c>
      <c r="BI14" s="943" t="str">
        <f t="shared" si="0"/>
        <v>As of</v>
      </c>
      <c r="BJ14" s="943" t="str">
        <f t="shared" si="0"/>
        <v>As of</v>
      </c>
      <c r="BK14" s="943" t="str">
        <f t="shared" si="0"/>
        <v>As of</v>
      </c>
      <c r="BL14" s="943" t="str">
        <f t="shared" si="0"/>
        <v>As of</v>
      </c>
      <c r="BM14" s="943" t="str">
        <f t="shared" si="0"/>
        <v>As of</v>
      </c>
      <c r="BN14" s="46" t="str">
        <f t="shared" si="0"/>
        <v>As of</v>
      </c>
      <c r="BO14" s="46"/>
      <c r="BP14" s="46"/>
      <c r="BQ14" s="46"/>
      <c r="BR14" s="46"/>
      <c r="BS14" s="46"/>
      <c r="BT14" s="46"/>
      <c r="BU14" s="46"/>
      <c r="BV14" s="46"/>
      <c r="BW14" s="46"/>
      <c r="BX14" s="46"/>
      <c r="BY14" s="46"/>
      <c r="BZ14" s="46"/>
      <c r="CA14" s="384"/>
      <c r="CC14" s="33"/>
      <c r="CD14" s="191" t="s">
        <v>65</v>
      </c>
      <c r="CE14" s="192" t="s">
        <v>65</v>
      </c>
      <c r="CF14" s="88"/>
      <c r="CG14" s="1239" t="s">
        <v>225</v>
      </c>
      <c r="CH14" s="1240" t="s">
        <v>225</v>
      </c>
      <c r="CI14" s="200"/>
    </row>
    <row r="15" spans="1:87" ht="18" customHeight="1" outlineLevel="1">
      <c r="A15" s="731"/>
      <c r="B15" s="1313"/>
      <c r="C15" s="847"/>
      <c r="D15" s="847"/>
      <c r="E15" s="847"/>
      <c r="F15" s="847"/>
      <c r="G15" s="846"/>
      <c r="H15" s="846"/>
      <c r="I15" s="846" t="s">
        <v>78</v>
      </c>
      <c r="J15" s="3141"/>
      <c r="K15" s="3142"/>
      <c r="L15" s="1311">
        <v>-1</v>
      </c>
      <c r="N15" s="372"/>
      <c r="O15" s="101"/>
      <c r="P15" s="52"/>
      <c r="Q15" s="101"/>
      <c r="R15" s="126"/>
      <c r="S15" s="820" t="e" vm="5" cm="1">
        <f t="array" ref="S15">fx_getIcon("find")</f>
        <v>#VALUE!</v>
      </c>
      <c r="T15" s="818" t="s">
        <v>79</v>
      </c>
      <c r="U15" s="39"/>
      <c r="W15" s="999"/>
      <c r="X15" s="1001"/>
      <c r="Y15" s="1001"/>
      <c r="Z15" s="1002"/>
      <c r="AA15" s="185"/>
      <c r="AB15" s="545" t="s">
        <v>80</v>
      </c>
      <c r="AC15" s="545"/>
      <c r="AD15" s="1003" t="e" cm="1">
        <f t="array" ca="1" aca="1" ref="AD15">IF(MONTH(AD11)=MONTH(val_currentFYE),1,IF(MOD(MONTH(AD$11)-MONTH(val_currentFYE),3)=0,2,0))</f>
        <v>#NAME?</v>
      </c>
      <c r="AE15" s="1003" t="e" cm="1">
        <f t="array" ca="1" aca="1" ref="AE15">IF(MONTH(AE11)=MONTH(val_currentFYE),1,IF(MOD(MONTH(AE$11)-MONTH(val_currentFYE),3)=0,2,0))</f>
        <v>#NAME?</v>
      </c>
      <c r="AF15" s="1003" t="e" cm="1">
        <f t="array" ca="1" aca="1" ref="AF15">IF(MONTH(AF11)=MONTH(val_currentFYE),1,IF(MOD(MONTH(AF$11)-MONTH(val_currentFYE),3)=0,2,0))</f>
        <v>#NAME?</v>
      </c>
      <c r="AG15" s="1003" t="e" cm="1">
        <f t="array" ca="1" aca="1" ref="AG15">IF(MONTH(AG11)=MONTH(val_currentFYE),1,IF(MOD(MONTH(AG$11)-MONTH(val_currentFYE),3)=0,2,0))</f>
        <v>#NAME?</v>
      </c>
      <c r="AH15" s="1003" t="e" cm="1">
        <f t="array" ca="1" aca="1" ref="AH15">IF(MONTH(AH11)=MONTH(val_currentFYE),1,IF(MOD(MONTH(AH$11)-MONTH(val_currentFYE),3)=0,2,0))</f>
        <v>#NAME?</v>
      </c>
      <c r="AI15" s="1003" t="e" cm="1">
        <f t="array" ca="1" aca="1" ref="AI15">IF(MONTH(AI11)=MONTH(val_currentFYE),1,IF(MOD(MONTH(AI$11)-MONTH(val_currentFYE),3)=0,2,0))</f>
        <v>#NAME?</v>
      </c>
      <c r="AJ15" s="1003" t="e" cm="1">
        <f t="array" ca="1" aca="1" ref="AJ15">IF(MONTH(AJ11)=MONTH(val_currentFYE),1,IF(MOD(MONTH(AJ$11)-MONTH(val_currentFYE),3)=0,2,0))</f>
        <v>#NAME?</v>
      </c>
      <c r="AK15" s="1003" t="e" cm="1">
        <f t="array" ca="1" aca="1" ref="AK15">IF(MONTH(AK11)=MONTH(val_currentFYE),1,IF(MOD(MONTH(AK$11)-MONTH(val_currentFYE),3)=0,2,0))</f>
        <v>#NAME?</v>
      </c>
      <c r="AL15" s="1003" t="e" cm="1">
        <f t="array" ca="1" aca="1" ref="AL15">IF(MONTH(AL11)=MONTH(val_currentFYE),1,IF(MOD(MONTH(AL$11)-MONTH(val_currentFYE),3)=0,2,0))</f>
        <v>#NAME?</v>
      </c>
      <c r="AM15" s="1003" t="e" cm="1">
        <f t="array" ca="1" aca="1" ref="AM15">IF(MONTH(AM11)=MONTH(val_currentFYE),1,IF(MOD(MONTH(AM$11)-MONTH(val_currentFYE),3)=0,2,0))</f>
        <v>#NAME?</v>
      </c>
      <c r="AN15" s="1003" t="e" cm="1">
        <f t="array" ca="1" aca="1" ref="AN15">IF(MONTH(AN11)=MONTH(val_currentFYE),1,IF(MOD(MONTH(AN$11)-MONTH(val_currentFYE),3)=0,2,0))</f>
        <v>#NAME?</v>
      </c>
      <c r="AO15" s="1003" t="e" cm="1">
        <f t="array" ca="1" aca="1" ref="AO15">IF(MONTH(AO11)=MONTH(val_currentFYE),1,IF(MOD(MONTH(AO$11)-MONTH(val_currentFYE),3)=0,2,0))</f>
        <v>#NAME?</v>
      </c>
      <c r="AP15" s="1003" t="e" cm="1">
        <f t="array" ca="1" aca="1" ref="AP15">IF(MONTH(AP11)=MONTH(val_currentFYE),1,IF(MOD(MONTH(AP$11)-MONTH(val_currentFYE),3)=0,2,0))</f>
        <v>#NAME?</v>
      </c>
      <c r="AQ15" s="1003" t="e" cm="1">
        <f t="array" ca="1" aca="1" ref="AQ15">IF(MONTH(AQ11)=MONTH(val_currentFYE),1,IF(MOD(MONTH(AQ$11)-MONTH(val_currentFYE),3)=0,2,0))</f>
        <v>#NAME?</v>
      </c>
      <c r="AR15" s="1003" t="e" cm="1">
        <f t="array" ca="1" aca="1" ref="AR15">IF(MONTH(AR11)=MONTH(val_currentFYE),1,IF(MOD(MONTH(AR$11)-MONTH(val_currentFYE),3)=0,2,0))</f>
        <v>#NAME?</v>
      </c>
      <c r="AS15" s="1003" t="e" cm="1">
        <f t="array" ca="1" aca="1" ref="AS15">IF(MONTH(AS11)=MONTH(val_currentFYE),1,IF(MOD(MONTH(AS$11)-MONTH(val_currentFYE),3)=0,2,0))</f>
        <v>#NAME?</v>
      </c>
      <c r="AT15" s="1003" t="e" cm="1">
        <f t="array" ca="1" aca="1" ref="AT15">IF(MONTH(AT11)=MONTH(val_currentFYE),1,IF(MOD(MONTH(AT$11)-MONTH(val_currentFYE),3)=0,2,0))</f>
        <v>#NAME?</v>
      </c>
      <c r="AU15" s="1003" t="e" cm="1">
        <f t="array" ca="1" aca="1" ref="AU15">IF(MONTH(AU11)=MONTH(val_currentFYE),1,IF(MOD(MONTH(AU$11)-MONTH(val_currentFYE),3)=0,2,0))</f>
        <v>#NAME?</v>
      </c>
      <c r="AV15" s="1003" t="e" cm="1">
        <f t="array" ca="1" aca="1" ref="AV15">IF(MONTH(AV11)=MONTH(val_currentFYE),1,IF(MOD(MONTH(AV$11)-MONTH(val_currentFYE),3)=0,2,0))</f>
        <v>#NAME?</v>
      </c>
      <c r="AW15" s="1003" t="e" cm="1">
        <f t="array" ca="1" aca="1" ref="AW15">IF(MONTH(AW11)=MONTH(val_currentFYE),1,IF(MOD(MONTH(AW$11)-MONTH(val_currentFYE),3)=0,2,0))</f>
        <v>#NAME?</v>
      </c>
      <c r="AX15" s="1003" t="e" cm="1">
        <f t="array" ca="1" aca="1" ref="AX15">IF(MONTH(AX11)=MONTH(val_currentFYE),1,IF(MOD(MONTH(AX$11)-MONTH(val_currentFYE),3)=0,2,0))</f>
        <v>#NAME?</v>
      </c>
      <c r="AY15" s="1003" t="e" cm="1">
        <f t="array" ca="1" aca="1" ref="AY15">IF(MONTH(AY11)=MONTH(val_currentFYE),1,IF(MOD(MONTH(AY$11)-MONTH(val_currentFYE),3)=0,2,0))</f>
        <v>#NAME?</v>
      </c>
      <c r="AZ15" s="1003" t="e" cm="1">
        <f t="array" ca="1" aca="1" ref="AZ15">IF(MONTH(AZ11)=MONTH(val_currentFYE),1,IF(MOD(MONTH(AZ$11)-MONTH(val_currentFYE),3)=0,2,0))</f>
        <v>#NAME?</v>
      </c>
      <c r="BA15" s="1003" t="e" cm="1">
        <f t="array" ca="1" aca="1" ref="BA15">IF(MONTH(BA11)=MONTH(val_currentFYE),1,IF(MOD(MONTH(BA$11)-MONTH(val_currentFYE),3)=0,2,0))</f>
        <v>#NAME?</v>
      </c>
      <c r="BB15" s="1003" t="e" cm="1">
        <f t="array" ca="1" aca="1" ref="BB15">IF(MONTH(BB11)=MONTH(val_currentFYE),1,IF(MOD(MONTH(BB$11)-MONTH(val_currentFYE),3)=0,2,0))</f>
        <v>#NAME?</v>
      </c>
      <c r="BC15" s="1003" t="e" cm="1">
        <f t="array" ca="1" aca="1" ref="BC15">IF(MONTH(BC11)=MONTH(val_currentFYE),1,IF(MOD(MONTH(BC$11)-MONTH(val_currentFYE),3)=0,2,0))</f>
        <v>#NAME?</v>
      </c>
      <c r="BD15" s="1003" t="e" cm="1">
        <f t="array" ca="1" aca="1" ref="BD15">IF(MONTH(BD11)=MONTH(val_currentFYE),1,IF(MOD(MONTH(BD$11)-MONTH(val_currentFYE),3)=0,2,0))</f>
        <v>#NAME?</v>
      </c>
      <c r="BE15" s="1003" t="e" cm="1">
        <f t="array" ca="1" aca="1" ref="BE15">IF(MONTH(BE11)=MONTH(val_currentFYE),1,IF(MOD(MONTH(BE$11)-MONTH(val_currentFYE),3)=0,2,0))</f>
        <v>#NAME?</v>
      </c>
      <c r="BF15" s="1003" t="e" cm="1">
        <f t="array" ca="1" aca="1" ref="BF15">IF(MONTH(BF11)=MONTH(val_currentFYE),1,IF(MOD(MONTH(BF$11)-MONTH(val_currentFYE),3)=0,2,0))</f>
        <v>#NAME?</v>
      </c>
      <c r="BG15" s="1003" t="e" cm="1">
        <f t="array" ca="1" aca="1" ref="BG15">IF(MONTH(BG11)=MONTH(val_currentFYE),1,IF(MOD(MONTH(BG$11)-MONTH(val_currentFYE),3)=0,2,0))</f>
        <v>#NAME?</v>
      </c>
      <c r="BH15" s="1003" t="e" cm="1">
        <f t="array" ca="1" aca="1" ref="BH15">IF(MONTH(BH11)=MONTH(val_currentFYE),1,IF(MOD(MONTH(BH$11)-MONTH(val_currentFYE),3)=0,2,0))</f>
        <v>#NAME?</v>
      </c>
      <c r="BI15" s="1003" t="e" cm="1">
        <f t="array" ca="1" aca="1" ref="BI15">IF(MONTH(BI11)=MONTH(val_currentFYE),1,IF(MOD(MONTH(BI$11)-MONTH(val_currentFYE),3)=0,2,0))</f>
        <v>#NAME?</v>
      </c>
      <c r="BJ15" s="1003" t="e" cm="1">
        <f t="array" ca="1" aca="1" ref="BJ15">IF(MONTH(BJ11)=MONTH(val_currentFYE),1,IF(MOD(MONTH(BJ$11)-MONTH(val_currentFYE),3)=0,2,0))</f>
        <v>#NAME?</v>
      </c>
      <c r="BK15" s="1003" t="e" cm="1">
        <f t="array" ca="1" aca="1" ref="BK15">IF(MONTH(BK11)=MONTH(val_currentFYE),1,IF(MOD(MONTH(BK$11)-MONTH(val_currentFYE),3)=0,2,0))</f>
        <v>#NAME?</v>
      </c>
      <c r="BL15" s="1003" t="e" cm="1">
        <f t="array" ca="1" aca="1" ref="BL15">IF(MONTH(BL11)=MONTH(val_currentFYE),1,IF(MOD(MONTH(BL$11)-MONTH(val_currentFYE),3)=0,2,0))</f>
        <v>#NAME?</v>
      </c>
      <c r="BM15" s="1003" t="e" cm="1">
        <f t="array" ca="1" aca="1" ref="BM15">IF(MONTH(BM11)=MONTH(val_currentFYE),1,IF(MOD(MONTH(BM$11)-MONTH(val_currentFYE),3)=0,2,0))</f>
        <v>#NAME?</v>
      </c>
      <c r="BN15" s="1004" t="e" cm="1">
        <f t="array" ca="1" aca="1" ref="BN15">IF(MONTH(BN11)=MONTH(val_currentFYE),1,IF(MOD(MONTH(BN$11)-MONTH(val_currentFYE),3)=0,2,0))</f>
        <v>#NAME?</v>
      </c>
      <c r="BO15" s="388"/>
      <c r="BP15" s="388"/>
      <c r="BQ15" s="388"/>
      <c r="BR15" s="388"/>
      <c r="BS15" s="388"/>
      <c r="BT15" s="388"/>
      <c r="BU15" s="388"/>
      <c r="BV15" s="388"/>
      <c r="BW15" s="388"/>
      <c r="BX15" s="388"/>
      <c r="BY15" s="388"/>
      <c r="BZ15" s="388"/>
      <c r="CA15" s="384"/>
      <c r="CC15" s="33"/>
      <c r="CD15" s="1235"/>
      <c r="CE15" s="1236"/>
      <c r="CF15" s="88"/>
      <c r="CG15" s="1235"/>
      <c r="CH15" s="1236"/>
      <c r="CI15" s="200"/>
    </row>
    <row r="16" spans="1:87" ht="15.5">
      <c r="A16" s="693"/>
      <c r="B16" s="577"/>
      <c r="C16" s="577"/>
      <c r="D16" s="1079"/>
      <c r="E16" s="1315">
        <v>0</v>
      </c>
      <c r="F16" s="847"/>
      <c r="G16" s="577"/>
      <c r="H16" s="578"/>
      <c r="I16" s="578"/>
      <c r="J16" s="578"/>
      <c r="K16" s="578"/>
      <c r="L16" s="578"/>
      <c r="N16" s="158"/>
      <c r="O16" s="101"/>
      <c r="P16" s="101"/>
      <c r="Q16" s="101"/>
      <c r="R16" s="101"/>
      <c r="S16" s="101"/>
      <c r="T16" s="101"/>
      <c r="U16" s="39"/>
      <c r="W16" s="198"/>
      <c r="X16" s="128"/>
      <c r="Y16" s="88"/>
      <c r="Z16" s="1144"/>
      <c r="AA16" s="543"/>
      <c r="AB16" s="97"/>
      <c r="AC16" s="97"/>
      <c r="AD16" s="128"/>
      <c r="AE16" s="88"/>
      <c r="AF16" s="88"/>
      <c r="AG16" s="88"/>
      <c r="AH16" s="88"/>
      <c r="AI16" s="88"/>
      <c r="AJ16" s="88"/>
      <c r="AK16" s="88"/>
      <c r="AL16" s="88"/>
      <c r="AM16" s="88"/>
      <c r="AN16" s="88"/>
      <c r="AO16" s="88"/>
      <c r="AP16" s="88"/>
      <c r="AQ16" s="88"/>
      <c r="AR16" s="88"/>
      <c r="AS16" s="88"/>
      <c r="AT16" s="88"/>
      <c r="AU16" s="781"/>
      <c r="AV16" s="782"/>
      <c r="AW16" s="782"/>
      <c r="AX16" s="782"/>
      <c r="AY16" s="782"/>
      <c r="AZ16" s="782"/>
      <c r="BA16" s="782"/>
      <c r="BB16" s="782"/>
      <c r="BC16" s="782"/>
      <c r="BD16" s="782"/>
      <c r="BE16" s="782"/>
      <c r="BF16" s="782"/>
      <c r="BG16" s="782"/>
      <c r="BH16" s="782"/>
      <c r="BI16" s="782"/>
      <c r="BJ16" s="782"/>
      <c r="BK16" s="783"/>
      <c r="BL16" s="783"/>
      <c r="BM16" s="783"/>
      <c r="BN16" s="1213"/>
      <c r="BO16" s="1213"/>
      <c r="BP16" s="1213"/>
      <c r="BQ16" s="1213"/>
      <c r="BR16" s="1213"/>
      <c r="BS16" s="1213"/>
      <c r="BT16" s="1213"/>
      <c r="BU16" s="1213"/>
      <c r="BV16" s="1213"/>
      <c r="BW16" s="1213"/>
      <c r="BX16" s="1213"/>
      <c r="BY16" s="1213"/>
      <c r="BZ16" s="1213"/>
      <c r="CA16" s="34"/>
      <c r="CC16" s="181"/>
      <c r="CD16" s="33"/>
      <c r="CE16" s="34"/>
      <c r="CF16" s="296"/>
      <c r="CG16" s="33"/>
      <c r="CH16" s="34"/>
      <c r="CI16" s="200"/>
    </row>
    <row r="17" spans="1:87" ht="20.25" customHeight="1">
      <c r="A17" s="693"/>
      <c r="B17" s="1316"/>
      <c r="C17" s="1316"/>
      <c r="D17" s="1079"/>
      <c r="E17" s="1316"/>
      <c r="F17" s="577"/>
      <c r="G17" s="853"/>
      <c r="H17" s="578"/>
      <c r="I17" s="578"/>
      <c r="J17" s="578"/>
      <c r="K17" s="578"/>
      <c r="L17" s="578"/>
      <c r="N17" s="158"/>
      <c r="O17" s="101"/>
      <c r="P17" s="288"/>
      <c r="Q17" s="288"/>
      <c r="R17" s="101"/>
      <c r="S17" s="101"/>
      <c r="T17" s="101"/>
      <c r="U17" s="39"/>
      <c r="W17" s="3045" t="str" cm="1">
        <f t="array" ref="W17">fx_scenarioConverter("Actual")</f>
        <v>Actual</v>
      </c>
      <c r="X17" s="1234"/>
      <c r="Y17" s="856" t="s">
        <v>226</v>
      </c>
      <c r="Z17" s="1248" t="s">
        <v>82</v>
      </c>
      <c r="AA17" s="784"/>
      <c r="AB17" s="281"/>
      <c r="AC17" s="858"/>
      <c r="AD17" s="859" t="e" cm="1">
        <f t="array" ca="1" aca="1" ref="AD17">fx_checkComp(AD20:AD50)</f>
        <v>#NAME?</v>
      </c>
      <c r="AE17" s="859" t="e" cm="1">
        <f t="array" ca="1" aca="1" ref="AE17">fx_checkComp(AE20:AE50)</f>
        <v>#NAME?</v>
      </c>
      <c r="AF17" s="859" t="e" cm="1">
        <f t="array" ca="1" aca="1" ref="AF17">fx_checkComp(AF20:AF50)</f>
        <v>#NAME?</v>
      </c>
      <c r="AG17" s="859" t="e" cm="1">
        <f t="array" ca="1" aca="1" ref="AG17">fx_checkComp(AG20:AG50)</f>
        <v>#NAME?</v>
      </c>
      <c r="AH17" s="859" t="e" cm="1">
        <f t="array" ca="1" aca="1" ref="AH17">fx_checkComp(AH20:AH50)</f>
        <v>#NAME?</v>
      </c>
      <c r="AI17" s="859" t="e" cm="1">
        <f t="array" ca="1" aca="1" ref="AI17">fx_checkComp(AI20:AI50)</f>
        <v>#NAME?</v>
      </c>
      <c r="AJ17" s="859" t="e" cm="1">
        <f t="array" ca="1" aca="1" ref="AJ17">fx_checkComp(AJ20:AJ50)</f>
        <v>#NAME?</v>
      </c>
      <c r="AK17" s="859" t="e" cm="1">
        <f t="array" ca="1" aca="1" ref="AK17">fx_checkComp(AK20:AK50)</f>
        <v>#NAME?</v>
      </c>
      <c r="AL17" s="859" t="e" cm="1">
        <f t="array" ca="1" aca="1" ref="AL17">fx_checkComp(AL20:AL50)</f>
        <v>#NAME?</v>
      </c>
      <c r="AM17" s="859" t="e" cm="1">
        <f t="array" ca="1" aca="1" ref="AM17">fx_checkComp(AM20:AM50)</f>
        <v>#NAME?</v>
      </c>
      <c r="AN17" s="859" t="e" cm="1">
        <f t="array" ca="1" aca="1" ref="AN17">fx_checkComp(AN20:AN50)</f>
        <v>#NAME?</v>
      </c>
      <c r="AO17" s="859" t="e" cm="1">
        <f t="array" ca="1" aca="1" ref="AO17">fx_checkComp(AO20:AO50)</f>
        <v>#NAME?</v>
      </c>
      <c r="AP17" s="859" t="e" cm="1">
        <f t="array" ca="1" aca="1" ref="AP17">fx_checkComp(AP20:AP50)</f>
        <v>#NAME?</v>
      </c>
      <c r="AQ17" s="859" t="e" cm="1">
        <f t="array" ca="1" aca="1" ref="AQ17">fx_checkComp(AQ20:AQ50)</f>
        <v>#NAME?</v>
      </c>
      <c r="AR17" s="859" t="e" cm="1">
        <f t="array" ca="1" aca="1" ref="AR17">fx_checkComp(AR20:AR50)</f>
        <v>#NAME?</v>
      </c>
      <c r="AS17" s="859" t="e" cm="1">
        <f t="array" ca="1" aca="1" ref="AS17">fx_checkComp(AS20:AS50)</f>
        <v>#NAME?</v>
      </c>
      <c r="AT17" s="859" t="e" cm="1">
        <f t="array" ca="1" aca="1" ref="AT17">fx_checkComp(AT20:AT50)</f>
        <v>#NAME?</v>
      </c>
      <c r="AU17" s="859" t="e" cm="1">
        <f t="array" ca="1" aca="1" ref="AU17">fx_checkComp(AU20:AU50)</f>
        <v>#NAME?</v>
      </c>
      <c r="AV17" s="859" t="e" cm="1">
        <f t="array" ca="1" aca="1" ref="AV17">fx_checkComp(AV20:AV50)</f>
        <v>#NAME?</v>
      </c>
      <c r="AW17" s="859" t="e" cm="1">
        <f t="array" ca="1" aca="1" ref="AW17">fx_checkComp(AW20:AW50)</f>
        <v>#NAME?</v>
      </c>
      <c r="AX17" s="859" t="e" cm="1">
        <f t="array" ca="1" aca="1" ref="AX17">fx_checkComp(AX20:AX50)</f>
        <v>#NAME?</v>
      </c>
      <c r="AY17" s="859" t="e" cm="1">
        <f t="array" ca="1" aca="1" ref="AY17">fx_checkComp(AY20:AY50)</f>
        <v>#NAME?</v>
      </c>
      <c r="AZ17" s="859" t="e" cm="1">
        <f t="array" ca="1" aca="1" ref="AZ17">fx_checkComp(AZ20:AZ50)</f>
        <v>#NAME?</v>
      </c>
      <c r="BA17" s="859" t="e" cm="1">
        <f t="array" ca="1" aca="1" ref="BA17">fx_checkComp(BA20:BA50)</f>
        <v>#NAME?</v>
      </c>
      <c r="BB17" s="859" t="e" cm="1">
        <f t="array" ca="1" aca="1" ref="BB17">fx_checkComp(BB20:BB50)</f>
        <v>#NAME?</v>
      </c>
      <c r="BC17" s="859" t="e" cm="1">
        <f t="array" ca="1" aca="1" ref="BC17">fx_checkComp(BC20:BC50)</f>
        <v>#NAME?</v>
      </c>
      <c r="BD17" s="859" t="e" cm="1">
        <f t="array" ca="1" aca="1" ref="BD17">fx_checkComp(BD20:BD50)</f>
        <v>#NAME?</v>
      </c>
      <c r="BE17" s="859" t="e" cm="1">
        <f t="array" ca="1" aca="1" ref="BE17">fx_checkComp(BE20:BE50)</f>
        <v>#NAME?</v>
      </c>
      <c r="BF17" s="859" t="e" cm="1">
        <f t="array" ca="1" aca="1" ref="BF17">fx_checkComp(BF20:BF50)</f>
        <v>#NAME?</v>
      </c>
      <c r="BG17" s="859" t="e" cm="1">
        <f t="array" ca="1" aca="1" ref="BG17">fx_checkComp(BG20:BG50)</f>
        <v>#NAME?</v>
      </c>
      <c r="BH17" s="859" t="e" cm="1">
        <f t="array" ca="1" aca="1" ref="BH17">fx_checkComp(BH20:BH50)</f>
        <v>#NAME?</v>
      </c>
      <c r="BI17" s="859" t="e" cm="1">
        <f t="array" ca="1" aca="1" ref="BI17">fx_checkComp(BI20:BI50)</f>
        <v>#NAME?</v>
      </c>
      <c r="BJ17" s="859" t="e" cm="1">
        <f t="array" ca="1" aca="1" ref="BJ17">fx_checkComp(BJ20:BJ50)</f>
        <v>#NAME?</v>
      </c>
      <c r="BK17" s="859" t="e" cm="1">
        <f t="array" ca="1" aca="1" ref="BK17">fx_checkComp(BK20:BK50)</f>
        <v>#NAME?</v>
      </c>
      <c r="BL17" s="859" t="e" cm="1">
        <f t="array" ca="1" aca="1" ref="BL17">fx_checkComp(BL20:BL50)</f>
        <v>#NAME?</v>
      </c>
      <c r="BM17" s="859" t="e" cm="1">
        <f t="array" ca="1" aca="1" ref="BM17">fx_checkComp(BM20:BM50)</f>
        <v>#NAME?</v>
      </c>
      <c r="BN17" s="1215" t="e" cm="1">
        <f t="array" ca="1" aca="1" ref="BN17">fx_checkComp(BN20:BN50)</f>
        <v>#NAME?</v>
      </c>
      <c r="BO17" s="1804"/>
      <c r="BP17" s="1804"/>
      <c r="BQ17" s="1804"/>
      <c r="BR17" s="1804"/>
      <c r="BS17" s="1804"/>
      <c r="BT17" s="1804"/>
      <c r="BU17" s="1804"/>
      <c r="BV17" s="1804"/>
      <c r="BW17" s="1804"/>
      <c r="BX17" s="1804"/>
      <c r="BY17" s="1804"/>
      <c r="BZ17" s="1804"/>
      <c r="CA17" s="964"/>
      <c r="CB17" s="965"/>
      <c r="CC17" s="966"/>
      <c r="CD17" s="1237"/>
      <c r="CE17" s="1238"/>
      <c r="CF17" s="967"/>
      <c r="CG17" s="859"/>
      <c r="CH17" s="859"/>
      <c r="CI17" s="200"/>
    </row>
    <row r="18" spans="1:87" ht="20.25" customHeight="1">
      <c r="A18" s="693"/>
      <c r="B18" s="1316"/>
      <c r="C18" s="1316"/>
      <c r="D18" s="1079"/>
      <c r="E18" s="1316"/>
      <c r="F18" s="577"/>
      <c r="G18" s="853"/>
      <c r="H18" s="578"/>
      <c r="I18" s="578"/>
      <c r="J18" s="578"/>
      <c r="K18" s="578"/>
      <c r="L18" s="578"/>
      <c r="N18" s="158"/>
      <c r="O18" s="101"/>
      <c r="P18" s="101"/>
      <c r="Q18" s="101"/>
      <c r="R18" s="101"/>
      <c r="S18" s="101"/>
      <c r="T18" s="101"/>
      <c r="U18" s="39"/>
      <c r="W18" s="3046"/>
      <c r="X18" s="1218"/>
      <c r="Y18" s="544"/>
      <c r="Z18" s="1502"/>
      <c r="AA18" s="1214"/>
      <c r="AB18" s="95"/>
      <c r="AC18" s="992"/>
      <c r="AD18" s="1648"/>
      <c r="AE18" s="1648"/>
      <c r="AF18" s="1648"/>
      <c r="AG18" s="1648"/>
      <c r="AH18" s="1648"/>
      <c r="AI18" s="1648"/>
      <c r="AJ18" s="1648"/>
      <c r="AK18" s="1648"/>
      <c r="AL18" s="1648"/>
      <c r="AM18" s="1648"/>
      <c r="AN18" s="1648"/>
      <c r="AO18" s="1648"/>
      <c r="AP18" s="1648"/>
      <c r="AQ18" s="1648"/>
      <c r="AR18" s="1648"/>
      <c r="AS18" s="1648"/>
      <c r="AT18" s="1648"/>
      <c r="AU18" s="1648"/>
      <c r="AV18" s="1648"/>
      <c r="AW18" s="1648"/>
      <c r="AX18" s="1648"/>
      <c r="AY18" s="1648"/>
      <c r="AZ18" s="1648"/>
      <c r="BA18" s="1648"/>
      <c r="BB18" s="1648"/>
      <c r="BC18" s="1648"/>
      <c r="BD18" s="1648"/>
      <c r="BE18" s="1648"/>
      <c r="BF18" s="1648"/>
      <c r="BG18" s="1648"/>
      <c r="BH18" s="1648"/>
      <c r="BI18" s="1648"/>
      <c r="BJ18" s="1648"/>
      <c r="BK18" s="1648"/>
      <c r="BL18" s="1648"/>
      <c r="BM18" s="1648"/>
      <c r="BN18" s="1841"/>
      <c r="BO18" s="1649"/>
      <c r="BP18" s="1649"/>
      <c r="BQ18" s="1649"/>
      <c r="BR18" s="1649"/>
      <c r="BS18" s="1649"/>
      <c r="BT18" s="1649"/>
      <c r="BU18" s="1649"/>
      <c r="BV18" s="1649"/>
      <c r="BW18" s="1649"/>
      <c r="BX18" s="1649"/>
      <c r="BY18" s="1649"/>
      <c r="BZ18" s="1649"/>
      <c r="CA18" s="964"/>
      <c r="CB18" s="965"/>
      <c r="CC18" s="966"/>
      <c r="CD18" s="1237"/>
      <c r="CE18" s="1238"/>
      <c r="CF18" s="967"/>
      <c r="CG18" s="963"/>
      <c r="CH18" s="90"/>
      <c r="CI18" s="200"/>
    </row>
    <row r="19" spans="1:87" ht="30" customHeight="1">
      <c r="A19" s="693"/>
      <c r="B19" s="1318" t="s">
        <v>1522</v>
      </c>
      <c r="C19" s="1318" t="s">
        <v>1523</v>
      </c>
      <c r="D19" s="1319"/>
      <c r="E19" s="1318" t="s">
        <v>1524</v>
      </c>
      <c r="F19" s="1318" t="str">
        <f t="shared" si="1" ref="F19:F49">IF($B19&lt;&gt;"",$B19,$E19)</f>
        <v>Global (Metric Name)</v>
      </c>
      <c r="G19" s="1318"/>
      <c r="H19" s="1320" t="s">
        <v>37</v>
      </c>
      <c r="I19" s="1320" t="s">
        <v>1525</v>
      </c>
      <c r="J19" s="1320"/>
      <c r="K19" s="1320"/>
      <c r="L19" s="1321" t="s">
        <v>1526</v>
      </c>
      <c r="N19" s="158"/>
      <c r="O19" s="101"/>
      <c r="P19" s="52"/>
      <c r="Q19" s="101"/>
      <c r="R19" s="101"/>
      <c r="S19" s="101"/>
      <c r="T19" s="101"/>
      <c r="U19" s="39"/>
      <c r="W19" s="1225" t="s">
        <v>94</v>
      </c>
      <c r="X19" s="3318">
        <v>1</v>
      </c>
      <c r="Y19" s="1233" t="str">
        <f>val_company&amp;" Internal Accounts"</f>
        <v>Therme Horizon Internal Accounts</v>
      </c>
      <c r="Z19" s="1227"/>
      <c r="AA19" s="1227"/>
      <c r="AB19" s="1226" t="s">
        <v>227</v>
      </c>
      <c r="AC19" s="1229"/>
      <c r="AD19" s="1670" t="str" cm="1">
        <f t="array" ref="AD19">fx_scenarioConverter(W17)</f>
        <v>Actual</v>
      </c>
      <c r="AE19" s="1230" t="str">
        <f>$AD19</f>
        <v>Actual</v>
      </c>
      <c r="AF19" s="1230" t="str">
        <f t="shared" si="2" ref="AF19:BN19">$AD19</f>
        <v>Actual</v>
      </c>
      <c r="AG19" s="1230" t="str">
        <f t="shared" si="2"/>
        <v>Actual</v>
      </c>
      <c r="AH19" s="1230" t="str">
        <f t="shared" si="2"/>
        <v>Actual</v>
      </c>
      <c r="AI19" s="1230" t="str">
        <f t="shared" si="2"/>
        <v>Actual</v>
      </c>
      <c r="AJ19" s="1230" t="str">
        <f t="shared" si="2"/>
        <v>Actual</v>
      </c>
      <c r="AK19" s="1230" t="str">
        <f t="shared" si="2"/>
        <v>Actual</v>
      </c>
      <c r="AL19" s="1230" t="str">
        <f t="shared" si="2"/>
        <v>Actual</v>
      </c>
      <c r="AM19" s="1230" t="str">
        <f t="shared" si="2"/>
        <v>Actual</v>
      </c>
      <c r="AN19" s="1230" t="str">
        <f t="shared" si="2"/>
        <v>Actual</v>
      </c>
      <c r="AO19" s="1230" t="str">
        <f t="shared" si="2"/>
        <v>Actual</v>
      </c>
      <c r="AP19" s="1230" t="str">
        <f t="shared" si="2"/>
        <v>Actual</v>
      </c>
      <c r="AQ19" s="1230" t="str">
        <f t="shared" si="2"/>
        <v>Actual</v>
      </c>
      <c r="AR19" s="1230" t="str">
        <f t="shared" si="2"/>
        <v>Actual</v>
      </c>
      <c r="AS19" s="1230" t="str">
        <f t="shared" si="2"/>
        <v>Actual</v>
      </c>
      <c r="AT19" s="1230" t="str">
        <f t="shared" si="2"/>
        <v>Actual</v>
      </c>
      <c r="AU19" s="1230" t="str">
        <f t="shared" si="2"/>
        <v>Actual</v>
      </c>
      <c r="AV19" s="1230" t="str">
        <f t="shared" si="2"/>
        <v>Actual</v>
      </c>
      <c r="AW19" s="1230" t="str">
        <f t="shared" si="2"/>
        <v>Actual</v>
      </c>
      <c r="AX19" s="1230" t="str">
        <f t="shared" si="2"/>
        <v>Actual</v>
      </c>
      <c r="AY19" s="1230" t="str">
        <f t="shared" si="2"/>
        <v>Actual</v>
      </c>
      <c r="AZ19" s="1230" t="str">
        <f t="shared" si="2"/>
        <v>Actual</v>
      </c>
      <c r="BA19" s="1230" t="str">
        <f t="shared" si="2"/>
        <v>Actual</v>
      </c>
      <c r="BB19" s="1230" t="str">
        <f t="shared" si="2"/>
        <v>Actual</v>
      </c>
      <c r="BC19" s="1230" t="str">
        <f t="shared" si="2"/>
        <v>Actual</v>
      </c>
      <c r="BD19" s="1230" t="str">
        <f t="shared" si="2"/>
        <v>Actual</v>
      </c>
      <c r="BE19" s="1230" t="str">
        <f t="shared" si="2"/>
        <v>Actual</v>
      </c>
      <c r="BF19" s="1230" t="str">
        <f t="shared" si="2"/>
        <v>Actual</v>
      </c>
      <c r="BG19" s="1230" t="str">
        <f t="shared" si="2"/>
        <v>Actual</v>
      </c>
      <c r="BH19" s="1230" t="str">
        <f t="shared" si="2"/>
        <v>Actual</v>
      </c>
      <c r="BI19" s="1230" t="str">
        <f t="shared" si="2"/>
        <v>Actual</v>
      </c>
      <c r="BJ19" s="1230" t="str">
        <f t="shared" si="2"/>
        <v>Actual</v>
      </c>
      <c r="BK19" s="1230" t="str">
        <f t="shared" si="2"/>
        <v>Actual</v>
      </c>
      <c r="BL19" s="1230" t="str">
        <f t="shared" si="2"/>
        <v>Actual</v>
      </c>
      <c r="BM19" s="1230" t="str">
        <f t="shared" si="2"/>
        <v>Actual</v>
      </c>
      <c r="BN19" s="1231" t="str">
        <f t="shared" si="2"/>
        <v>Actual</v>
      </c>
      <c r="BO19" s="2112"/>
      <c r="BP19" s="2112"/>
      <c r="BQ19" s="2112"/>
      <c r="BR19" s="2112"/>
      <c r="BS19" s="2112"/>
      <c r="BT19" s="2112"/>
      <c r="BU19" s="2112"/>
      <c r="BV19" s="2112"/>
      <c r="BW19" s="2112"/>
      <c r="BX19" s="2112"/>
      <c r="BY19" s="2112"/>
      <c r="BZ19" s="2112"/>
      <c r="CA19" s="34"/>
      <c r="CC19" s="33"/>
      <c r="CD19" s="1720" t="str">
        <f t="shared" si="3" ref="CD19:CE19">$AD19</f>
        <v>Actual</v>
      </c>
      <c r="CE19" s="1721" t="str">
        <f t="shared" si="3"/>
        <v>Actual</v>
      </c>
      <c r="CF19" s="88"/>
      <c r="CG19" s="1198" t="str" cm="1">
        <f t="array" ref="CG19">fx_scenarioConverter("Original Budget")</f>
        <v>Original Budget</v>
      </c>
      <c r="CH19" s="1199" t="str" cm="1">
        <f t="array" ref="CH19">fx_scenarioConverter("LE")</f>
        <v>LE</v>
      </c>
      <c r="CI19" s="200"/>
    </row>
    <row r="20" spans="1:88" ht="21" customHeight="1">
      <c r="A20" s="696" t="s">
        <v>1689</v>
      </c>
      <c r="B20" s="577" t="s">
        <v>1690</v>
      </c>
      <c r="C20" s="577" t="s">
        <v>1691</v>
      </c>
      <c r="D20" s="577"/>
      <c r="E20" s="577" t="e" cm="1">
        <f t="array" ca="1" aca="1" ref="E20">_xlfn.LET(_xlpm.Attr,$C20,_xlpm.Lookback,$E$16,_xlpm.QueryDate,EOMONTH(val_asOfDate,_xlpm.Lookback),_xlpm.ReadField,_xldudf_CX_GET(CX_ENTITY,fx_attrConverter($C20),_xlpm.QueryDate),_xlpm.AttrBlank,_xlpm.Attr="",_xlpm.RESULT,IF(_xlpm.AttrBlank,val_blankRefText,fx_attrConverter(_xlpm.ReadField,0)),IF(_xlpm.RESULT="Error","",_xlpm.RESULT))</f>
        <v>#NAME?</v>
      </c>
      <c r="F20" s="577" t="str">
        <f t="shared" si="1"/>
        <v>Fixed Assets</v>
      </c>
      <c r="G20" s="574"/>
      <c r="H20" s="3305">
        <v>1</v>
      </c>
      <c r="I20" s="3305">
        <v>1</v>
      </c>
      <c r="J20" s="401"/>
      <c r="K20" s="401"/>
      <c r="L20" s="3271" t="b">
        <v>1</v>
      </c>
      <c r="N20" s="158"/>
      <c r="O20" s="101"/>
      <c r="P20" s="52"/>
      <c r="Q20" s="101"/>
      <c r="R20" s="126"/>
      <c r="S20" s="101"/>
      <c r="T20" s="101"/>
      <c r="U20" s="39"/>
      <c r="W20" s="91" t="str" cm="1">
        <f t="array" ref="W20">fx_scenarioConverter($W$17)</f>
        <v>Actual</v>
      </c>
      <c r="X20" s="3303">
        <v>1</v>
      </c>
      <c r="Y20" s="2624" t="s">
        <v>1690</v>
      </c>
      <c r="Z20" s="3286" cm="1">
        <f t="array" ref="Z20">_xlfn.SWITCH(TRUE,$L20="",0,$L20=TRUE,1,$L20=FALSE,-1,)</f>
        <v>1</v>
      </c>
      <c r="AA20" s="2625"/>
      <c r="AB20" s="2626" t="s">
        <v>1690</v>
      </c>
      <c r="AC20" s="88" t="e" vm="5" cm="1">
        <f t="array" ref="AC20">IFERROR(IF(_xlfn.XMATCH(AB20,tbl_acctDef[Term],0)&gt;0,fx_getIcon("find"),""),"")</f>
        <v>#VALUE!</v>
      </c>
      <c r="AD20" s="1669" t="e" cm="1">
        <f t="array" ca="1" aca="1" ref="AD20">_xlfn.LET(_xlpm.val,IF($F20="",val_blankRefText,_xldudf_CX_GET(CX_ENTITY,($F20),AD$11,AD$14,,AD$19)),_xlpm.Res,IF(OR(_xlpm.val="",_xlpm.val="Error"),"",_xlpm.val),_xlpm.Res)</f>
        <v>#NAME?</v>
      </c>
      <c r="AE20" s="1669" t="e" cm="1">
        <f t="array" ca="1" aca="1" ref="AE20">_xlfn.LET(_xlpm.val,IF($F20="",val_blankRefText,_xldudf_CX_GET(CX_ENTITY,($F20),AE$11,AE$14,,AE$19)),_xlpm.Res,IF(OR(_xlpm.val="",_xlpm.val="Error"),"",_xlpm.val),_xlpm.Res)</f>
        <v>#NAME?</v>
      </c>
      <c r="AF20" s="1669" t="e" cm="1">
        <f t="array" ca="1" aca="1" ref="AF20">_xlfn.LET(_xlpm.val,IF($F20="",val_blankRefText,_xldudf_CX_GET(CX_ENTITY,($F20),AF$11,AF$14,,AF$19)),_xlpm.Res,IF(OR(_xlpm.val="",_xlpm.val="Error"),"",_xlpm.val),_xlpm.Res)</f>
        <v>#NAME?</v>
      </c>
      <c r="AG20" s="1669" t="e" cm="1">
        <f t="array" ca="1" aca="1" ref="AG20">_xlfn.LET(_xlpm.val,IF($F20="",val_blankRefText,_xldudf_CX_GET(CX_ENTITY,($F20),AG$11,AG$14,,AG$19)),_xlpm.Res,IF(OR(_xlpm.val="",_xlpm.val="Error"),"",_xlpm.val),_xlpm.Res)</f>
        <v>#NAME?</v>
      </c>
      <c r="AH20" s="1669" t="e" cm="1">
        <f t="array" ca="1" aca="1" ref="AH20">_xlfn.LET(_xlpm.val,IF($F20="",val_blankRefText,_xldudf_CX_GET(CX_ENTITY,($F20),AH$11,AH$14,,AH$19)),_xlpm.Res,IF(OR(_xlpm.val="",_xlpm.val="Error"),"",_xlpm.val),_xlpm.Res)</f>
        <v>#NAME?</v>
      </c>
      <c r="AI20" s="1669" t="e" cm="1">
        <f t="array" ca="1" aca="1" ref="AI20">_xlfn.LET(_xlpm.val,IF($F20="",val_blankRefText,_xldudf_CX_GET(CX_ENTITY,($F20),AI$11,AI$14,,AI$19)),_xlpm.Res,IF(OR(_xlpm.val="",_xlpm.val="Error"),"",_xlpm.val),_xlpm.Res)</f>
        <v>#NAME?</v>
      </c>
      <c r="AJ20" s="1669" t="e" cm="1">
        <f t="array" ca="1" aca="1" ref="AJ20">_xlfn.LET(_xlpm.val,IF($F20="",val_blankRefText,_xldudf_CX_GET(CX_ENTITY,($F20),AJ$11,AJ$14,,AJ$19)),_xlpm.Res,IF(OR(_xlpm.val="",_xlpm.val="Error"),"",_xlpm.val),_xlpm.Res)</f>
        <v>#NAME?</v>
      </c>
      <c r="AK20" s="1669" t="e" cm="1">
        <f t="array" ca="1" aca="1" ref="AK20">_xlfn.LET(_xlpm.val,IF($F20="",val_blankRefText,_xldudf_CX_GET(CX_ENTITY,($F20),AK$11,AK$14,,AK$19)),_xlpm.Res,IF(OR(_xlpm.val="",_xlpm.val="Error"),"",_xlpm.val),_xlpm.Res)</f>
        <v>#NAME?</v>
      </c>
      <c r="AL20" s="1669" t="e" cm="1">
        <f t="array" ca="1" aca="1" ref="AL20">_xlfn.LET(_xlpm.val,IF($F20="",val_blankRefText,_xldudf_CX_GET(CX_ENTITY,($F20),AL$11,AL$14,,AL$19)),_xlpm.Res,IF(OR(_xlpm.val="",_xlpm.val="Error"),"",_xlpm.val),_xlpm.Res)</f>
        <v>#NAME?</v>
      </c>
      <c r="AM20" s="1669" t="e" cm="1">
        <f t="array" ca="1" aca="1" ref="AM20">_xlfn.LET(_xlpm.val,IF($F20="",val_blankRefText,_xldudf_CX_GET(CX_ENTITY,($F20),AM$11,AM$14,,AM$19)),_xlpm.Res,IF(OR(_xlpm.val="",_xlpm.val="Error"),"",_xlpm.val),_xlpm.Res)</f>
        <v>#NAME?</v>
      </c>
      <c r="AN20" s="1669" t="e" cm="1">
        <f t="array" ca="1" aca="1" ref="AN20">_xlfn.LET(_xlpm.val,IF($F20="",val_blankRefText,_xldudf_CX_GET(CX_ENTITY,($F20),AN$11,AN$14,,AN$19)),_xlpm.Res,IF(OR(_xlpm.val="",_xlpm.val="Error"),"",_xlpm.val),_xlpm.Res)</f>
        <v>#NAME?</v>
      </c>
      <c r="AO20" s="1669" t="e" cm="1">
        <f t="array" ca="1" aca="1" ref="AO20">_xlfn.LET(_xlpm.val,IF($F20="",val_blankRefText,_xldudf_CX_GET(CX_ENTITY,($F20),AO$11,AO$14,,AO$19)),_xlpm.Res,IF(OR(_xlpm.val="",_xlpm.val="Error"),"",_xlpm.val),_xlpm.Res)</f>
        <v>#NAME?</v>
      </c>
      <c r="AP20" s="1669" t="e" cm="1">
        <f t="array" ca="1" aca="1" ref="AP20">_xlfn.LET(_xlpm.val,IF($F20="",val_blankRefText,_xldudf_CX_GET(CX_ENTITY,($F20),AP$11,AP$14,,AP$19)),_xlpm.Res,IF(OR(_xlpm.val="",_xlpm.val="Error"),"",_xlpm.val),_xlpm.Res)</f>
        <v>#NAME?</v>
      </c>
      <c r="AQ20" s="1669" t="e" cm="1">
        <f t="array" ca="1" aca="1" ref="AQ20">_xlfn.LET(_xlpm.val,IF($F20="",val_blankRefText,_xldudf_CX_GET(CX_ENTITY,($F20),AQ$11,AQ$14,,AQ$19)),_xlpm.Res,IF(OR(_xlpm.val="",_xlpm.val="Error"),"",_xlpm.val),_xlpm.Res)</f>
        <v>#NAME?</v>
      </c>
      <c r="AR20" s="1669" t="e" cm="1">
        <f t="array" ca="1" aca="1" ref="AR20">_xlfn.LET(_xlpm.val,IF($F20="",val_blankRefText,_xldudf_CX_GET(CX_ENTITY,($F20),AR$11,AR$14,,AR$19)),_xlpm.Res,IF(OR(_xlpm.val="",_xlpm.val="Error"),"",_xlpm.val),_xlpm.Res)</f>
        <v>#NAME?</v>
      </c>
      <c r="AS20" s="1669" t="e" cm="1">
        <f t="array" ca="1" aca="1" ref="AS20">_xlfn.LET(_xlpm.val,IF($F20="",val_blankRefText,_xldudf_CX_GET(CX_ENTITY,($F20),AS$11,AS$14,,AS$19)),_xlpm.Res,IF(OR(_xlpm.val="",_xlpm.val="Error"),"",_xlpm.val),_xlpm.Res)</f>
        <v>#NAME?</v>
      </c>
      <c r="AT20" s="1669" t="e" cm="1">
        <f t="array" ca="1" aca="1" ref="AT20">_xlfn.LET(_xlpm.val,IF($F20="",val_blankRefText,_xldudf_CX_GET(CX_ENTITY,($F20),AT$11,AT$14,,AT$19)),_xlpm.Res,IF(OR(_xlpm.val="",_xlpm.val="Error"),"",_xlpm.val),_xlpm.Res)</f>
        <v>#NAME?</v>
      </c>
      <c r="AU20" s="1669" t="e" cm="1">
        <f t="array" ca="1" aca="1" ref="AU20">_xlfn.LET(_xlpm.val,IF($F20="",val_blankRefText,_xldudf_CX_GET(CX_ENTITY,($F20),AU$11,AU$14,,AU$19)),_xlpm.Res,IF(OR(_xlpm.val="",_xlpm.val="Error"),"",_xlpm.val),_xlpm.Res)</f>
        <v>#NAME?</v>
      </c>
      <c r="AV20" s="1669" t="e" cm="1">
        <f t="array" ca="1" aca="1" ref="AV20">_xlfn.LET(_xlpm.val,IF($F20="",val_blankRefText,_xldudf_CX_GET(CX_ENTITY,($F20),AV$11,AV$14,,AV$19)),_xlpm.Res,IF(OR(_xlpm.val="",_xlpm.val="Error"),"",_xlpm.val),_xlpm.Res)</f>
        <v>#NAME?</v>
      </c>
      <c r="AW20" s="1669" t="e" cm="1">
        <f t="array" ca="1" aca="1" ref="AW20">_xlfn.LET(_xlpm.val,IF($F20="",val_blankRefText,_xldudf_CX_GET(CX_ENTITY,($F20),AW$11,AW$14,,AW$19)),_xlpm.Res,IF(OR(_xlpm.val="",_xlpm.val="Error"),"",_xlpm.val),_xlpm.Res)</f>
        <v>#NAME?</v>
      </c>
      <c r="AX20" s="1669" t="e" cm="1">
        <f t="array" ca="1" aca="1" ref="AX20">_xlfn.LET(_xlpm.val,IF($F20="",val_blankRefText,_xldudf_CX_GET(CX_ENTITY,($F20),AX$11,AX$14,,AX$19)),_xlpm.Res,IF(OR(_xlpm.val="",_xlpm.val="Error"),"",_xlpm.val),_xlpm.Res)</f>
        <v>#NAME?</v>
      </c>
      <c r="AY20" s="1669" t="e" cm="1">
        <f t="array" ca="1" aca="1" ref="AY20">_xlfn.LET(_xlpm.val,IF($F20="",val_blankRefText,_xldudf_CX_GET(CX_ENTITY,($F20),AY$11,AY$14,,AY$19)),_xlpm.Res,IF(OR(_xlpm.val="",_xlpm.val="Error"),"",_xlpm.val),_xlpm.Res)</f>
        <v>#NAME?</v>
      </c>
      <c r="AZ20" s="1669" t="e" cm="1">
        <f t="array" ca="1" aca="1" ref="AZ20">_xlfn.LET(_xlpm.val,IF($F20="",val_blankRefText,_xldudf_CX_GET(CX_ENTITY,($F20),AZ$11,AZ$14,,AZ$19)),_xlpm.Res,IF(OR(_xlpm.val="",_xlpm.val="Error"),"",_xlpm.val),_xlpm.Res)</f>
        <v>#NAME?</v>
      </c>
      <c r="BA20" s="1669" t="e" cm="1">
        <f t="array" ca="1" aca="1" ref="BA20">_xlfn.LET(_xlpm.val,IF($F20="",val_blankRefText,_xldudf_CX_GET(CX_ENTITY,($F20),BA$11,BA$14,,BA$19)),_xlpm.Res,IF(OR(_xlpm.val="",_xlpm.val="Error"),"",_xlpm.val),_xlpm.Res)</f>
        <v>#NAME?</v>
      </c>
      <c r="BB20" s="1669" t="e" cm="1">
        <f t="array" ca="1" aca="1" ref="BB20">_xlfn.LET(_xlpm.val,IF($F20="",val_blankRefText,_xldudf_CX_GET(CX_ENTITY,($F20),BB$11,BB$14,,BB$19)),_xlpm.Res,IF(OR(_xlpm.val="",_xlpm.val="Error"),"",_xlpm.val),_xlpm.Res)</f>
        <v>#NAME?</v>
      </c>
      <c r="BC20" s="1669" t="e" cm="1">
        <f t="array" ca="1" aca="1" ref="BC20">_xlfn.LET(_xlpm.val,IF($F20="",val_blankRefText,_xldudf_CX_GET(CX_ENTITY,($F20),BC$11,BC$14,,BC$19)),_xlpm.Res,IF(OR(_xlpm.val="",_xlpm.val="Error"),"",_xlpm.val),_xlpm.Res)</f>
        <v>#NAME?</v>
      </c>
      <c r="BD20" s="1669" t="e" cm="1">
        <f t="array" ca="1" aca="1" ref="BD20">_xlfn.LET(_xlpm.val,IF($F20="",val_blankRefText,_xldudf_CX_GET(CX_ENTITY,($F20),BD$11,BD$14,,BD$19)),_xlpm.Res,IF(OR(_xlpm.val="",_xlpm.val="Error"),"",_xlpm.val),_xlpm.Res)</f>
        <v>#NAME?</v>
      </c>
      <c r="BE20" s="1669" t="e" cm="1">
        <f t="array" ca="1" aca="1" ref="BE20">_xlfn.LET(_xlpm.val,IF($F20="",val_blankRefText,_xldudf_CX_GET(CX_ENTITY,($F20),BE$11,BE$14,,BE$19)),_xlpm.Res,IF(OR(_xlpm.val="",_xlpm.val="Error"),"",_xlpm.val),_xlpm.Res)</f>
        <v>#NAME?</v>
      </c>
      <c r="BF20" s="1669" t="e" cm="1">
        <f t="array" ca="1" aca="1" ref="BF20">_xlfn.LET(_xlpm.val,IF($F20="",val_blankRefText,_xldudf_CX_GET(CX_ENTITY,($F20),BF$11,BF$14,,BF$19)),_xlpm.Res,IF(OR(_xlpm.val="",_xlpm.val="Error"),"",_xlpm.val),_xlpm.Res)</f>
        <v>#NAME?</v>
      </c>
      <c r="BG20" s="1669" t="e" cm="1">
        <f t="array" ca="1" aca="1" ref="BG20">_xlfn.LET(_xlpm.val,IF($F20="",val_blankRefText,_xldudf_CX_GET(CX_ENTITY,($F20),BG$11,BG$14,,BG$19)),_xlpm.Res,IF(OR(_xlpm.val="",_xlpm.val="Error"),"",_xlpm.val),_xlpm.Res)</f>
        <v>#NAME?</v>
      </c>
      <c r="BH20" s="1669" t="e" cm="1">
        <f t="array" ca="1" aca="1" ref="BH20">_xlfn.LET(_xlpm.val,IF($F20="",val_blankRefText,_xldudf_CX_GET(CX_ENTITY,($F20),BH$11,BH$14,,BH$19)),_xlpm.Res,IF(OR(_xlpm.val="",_xlpm.val="Error"),"",_xlpm.val),_xlpm.Res)</f>
        <v>#NAME?</v>
      </c>
      <c r="BI20" s="1669" t="e" cm="1">
        <f t="array" ca="1" aca="1" ref="BI20">_xlfn.LET(_xlpm.val,IF($F20="",val_blankRefText,_xldudf_CX_GET(CX_ENTITY,($F20),BI$11,BI$14,,BI$19)),_xlpm.Res,IF(OR(_xlpm.val="",_xlpm.val="Error"),"",_xlpm.val),_xlpm.Res)</f>
        <v>#NAME?</v>
      </c>
      <c r="BJ20" s="1669" t="e" cm="1">
        <f t="array" ca="1" aca="1" ref="BJ20">_xlfn.LET(_xlpm.val,IF($F20="",val_blankRefText,_xldudf_CX_GET(CX_ENTITY,($F20),BJ$11,BJ$14,,BJ$19)),_xlpm.Res,IF(OR(_xlpm.val="",_xlpm.val="Error"),"",_xlpm.val),_xlpm.Res)</f>
        <v>#NAME?</v>
      </c>
      <c r="BK20" s="1669" t="e" cm="1">
        <f t="array" ca="1" aca="1" ref="BK20">_xlfn.LET(_xlpm.val,IF($F20="",val_blankRefText,_xldudf_CX_GET(CX_ENTITY,($F20),BK$11,BK$14,,BK$19)),_xlpm.Res,IF(OR(_xlpm.val="",_xlpm.val="Error"),"",_xlpm.val),_xlpm.Res)</f>
        <v>#NAME?</v>
      </c>
      <c r="BL20" s="1669" t="e" cm="1">
        <f t="array" ca="1" aca="1" ref="BL20">_xlfn.LET(_xlpm.val,IF($F20="",val_blankRefText,_xldudf_CX_GET(CX_ENTITY,($F20),BL$11,BL$14,,BL$19)),_xlpm.Res,IF(OR(_xlpm.val="",_xlpm.val="Error"),"",_xlpm.val),_xlpm.Res)</f>
        <v>#NAME?</v>
      </c>
      <c r="BM20" s="1669" t="e" cm="1">
        <f t="array" ca="1" aca="1" ref="BM20">_xlfn.LET(_xlpm.val,IF($F20="",val_blankRefText,_xldudf_CX_GET(CX_ENTITY,($F20),BM$11,BM$14,,BM$19)),_xlpm.Res,IF(OR(_xlpm.val="",_xlpm.val="Error"),"",_xlpm.val),_xlpm.Res)</f>
        <v>#NAME?</v>
      </c>
      <c r="BN20" s="1669" t="e" cm="1">
        <f t="array" ca="1" aca="1" ref="BN20">_xlfn.LET(_xlpm.val,IF($F20="",val_blankRefText,_xldudf_CX_GET(CX_ENTITY,($F20),BN$11,BN$14,,BN$19)),_xlpm.Res,IF(OR(_xlpm.val="",_xlpm.val="Error"),"",_xlpm.val),_xlpm.Res)</f>
        <v>#NAME?</v>
      </c>
      <c r="BO20" s="2095"/>
      <c r="BP20" s="2095"/>
      <c r="BQ20" s="2095"/>
      <c r="BR20" s="2095"/>
      <c r="BS20" s="2095"/>
      <c r="BT20" s="2095"/>
      <c r="BU20" s="2095"/>
      <c r="BV20" s="2095"/>
      <c r="BW20" s="2095"/>
      <c r="BX20" s="2095"/>
      <c r="BY20" s="2095"/>
      <c r="BZ20" s="2095"/>
      <c r="CA20" s="926"/>
      <c r="CB20" s="921"/>
      <c r="CC20" s="927"/>
      <c r="CD20" s="1221" t="e" cm="1">
        <f t="array" ca="1" aca="1" ref="CD20">_xlfn.XLOOKUP(BS!CD$11,array_timeline,BS!$AD20:$BN20)</f>
        <v>#NAME?</v>
      </c>
      <c r="CE20" s="1221" t="e" cm="1">
        <f t="array" ca="1" aca="1" ref="CE20">_xlfn.XLOOKUP(BS!CE$11,array_timeline,BS!$AD20:$BN20)</f>
        <v>#NAME?</v>
      </c>
      <c r="CF20" s="925"/>
      <c r="CG20" s="1221" t="e" cm="1">
        <f t="array" ca="1" aca="1" ref="CG20">_xlfn.LET(_xlpm.val,IF($F20="",val_blankRefText,_xldudf_CX_GET(CX_ENTITY,($F20),CG$11,CG$14,,(CG$19))),_xlpm.Res,IF(OR(_xlpm.val="",_xlpm.val="Error"),"",_xlpm.val),_xlpm.Res)</f>
        <v>#NAME?</v>
      </c>
      <c r="CH20" s="1221" t="e" cm="1">
        <f t="array" ca="1" aca="1" ref="CH20">_xlfn.LET(_xlpm.val,IF($F20="",val_blankRefText,_xldudf_CX_GET(CX_ENTITY,($F20),CH$11,CH$14,,(CH$19))),_xlpm.Res,IF(OR(_xlpm.val="",_xlpm.val="Error"),"",_xlpm.val),_xlpm.Res)</f>
        <v>#NAME?</v>
      </c>
      <c r="CI20" s="200"/>
      <c r="CJ20" s="2282"/>
    </row>
    <row r="21" spans="1:87" ht="21" customHeight="1">
      <c r="A21" s="693" t="s">
        <v>1692</v>
      </c>
      <c r="B21" s="577" t="s">
        <v>1693</v>
      </c>
      <c r="C21" s="577" t="s">
        <v>1694</v>
      </c>
      <c r="D21" s="577"/>
      <c r="E21" s="577" t="e" cm="1">
        <f t="array" ca="1" aca="1" ref="E21">_xlfn.LET(_xlpm.Attr,$C21,_xlpm.Lookback,$E$16,_xlpm.QueryDate,EOMONTH(val_asOfDate,_xlpm.Lookback),_xlpm.ReadField,_xldudf_CX_GET(CX_ENTITY,fx_attrConverter($C21),_xlpm.QueryDate),_xlpm.AttrBlank,_xlpm.Attr="",_xlpm.RESULT,IF(_xlpm.AttrBlank,val_blankRefText,fx_attrConverter(_xlpm.ReadField,0)),IF(_xlpm.RESULT="Error","",_xlpm.RESULT))</f>
        <v>#NAME?</v>
      </c>
      <c r="F21" s="577" t="str">
        <f t="shared" si="1"/>
        <v>Intangible Assets</v>
      </c>
      <c r="G21" s="578"/>
      <c r="H21" s="3279">
        <v>1</v>
      </c>
      <c r="I21" s="3279">
        <v>1</v>
      </c>
      <c r="J21" s="578"/>
      <c r="K21" s="578"/>
      <c r="L21" s="3269" t="b">
        <v>1</v>
      </c>
      <c r="N21" s="158"/>
      <c r="O21" s="101"/>
      <c r="P21" s="52"/>
      <c r="Q21" s="101"/>
      <c r="R21" s="101"/>
      <c r="S21" s="101"/>
      <c r="T21" s="101"/>
      <c r="U21" s="39"/>
      <c r="W21" s="91" t="str">
        <f>$W$20</f>
        <v>Actual</v>
      </c>
      <c r="X21" s="3292">
        <v>1</v>
      </c>
      <c r="Y21" s="2627" t="s">
        <v>1693</v>
      </c>
      <c r="Z21" s="3291" cm="1">
        <f t="array" ref="Z21">_xlfn.SWITCH(TRUE,$L21="",0,$L21=TRUE,1,$L21=FALSE,-1,)</f>
        <v>1</v>
      </c>
      <c r="AA21" s="2625"/>
      <c r="AB21" s="2626" t="s">
        <v>1693</v>
      </c>
      <c r="AC21" s="88" t="e" vm="5" cm="1">
        <f t="array" ref="AC21">IFERROR(IF(_xlfn.XMATCH(AB21,tbl_acctDef[Term],0)&gt;0,fx_getIcon("find"),""),"")</f>
        <v>#VALUE!</v>
      </c>
      <c r="AD21" s="1669" t="e" cm="1">
        <f t="array" ca="1" aca="1" ref="AD21">_xlfn.LET(_xlpm.val,IF($F21="",val_blankRefText,_xldudf_CX_GET(CX_ENTITY,($F21),AD$11,AD$14,,AD$19)),_xlpm.Res,IF(OR(_xlpm.val="",_xlpm.val="Error"),"",_xlpm.val),_xlpm.Res)</f>
        <v>#NAME?</v>
      </c>
      <c r="AE21" s="1669" t="e" cm="1">
        <f t="array" ca="1" aca="1" ref="AE21">_xlfn.LET(_xlpm.val,IF($F21="",val_blankRefText,_xldudf_CX_GET(CX_ENTITY,($F21),AE$11,AE$14,,AE$19)),_xlpm.Res,IF(OR(_xlpm.val="",_xlpm.val="Error"),"",_xlpm.val),_xlpm.Res)</f>
        <v>#NAME?</v>
      </c>
      <c r="AF21" s="1669" t="e" cm="1">
        <f t="array" ca="1" aca="1" ref="AF21">_xlfn.LET(_xlpm.val,IF($F21="",val_blankRefText,_xldudf_CX_GET(CX_ENTITY,($F21),AF$11,AF$14,,AF$19)),_xlpm.Res,IF(OR(_xlpm.val="",_xlpm.val="Error"),"",_xlpm.val),_xlpm.Res)</f>
        <v>#NAME?</v>
      </c>
      <c r="AG21" s="1669" t="e" cm="1">
        <f t="array" ca="1" aca="1" ref="AG21">_xlfn.LET(_xlpm.val,IF($F21="",val_blankRefText,_xldudf_CX_GET(CX_ENTITY,($F21),AG$11,AG$14,,AG$19)),_xlpm.Res,IF(OR(_xlpm.val="",_xlpm.val="Error"),"",_xlpm.val),_xlpm.Res)</f>
        <v>#NAME?</v>
      </c>
      <c r="AH21" s="1669" t="e" cm="1">
        <f t="array" ca="1" aca="1" ref="AH21">_xlfn.LET(_xlpm.val,IF($F21="",val_blankRefText,_xldudf_CX_GET(CX_ENTITY,($F21),AH$11,AH$14,,AH$19)),_xlpm.Res,IF(OR(_xlpm.val="",_xlpm.val="Error"),"",_xlpm.val),_xlpm.Res)</f>
        <v>#NAME?</v>
      </c>
      <c r="AI21" s="1669" t="e" cm="1">
        <f t="array" ca="1" aca="1" ref="AI21">_xlfn.LET(_xlpm.val,IF($F21="",val_blankRefText,_xldudf_CX_GET(CX_ENTITY,($F21),AI$11,AI$14,,AI$19)),_xlpm.Res,IF(OR(_xlpm.val="",_xlpm.val="Error"),"",_xlpm.val),_xlpm.Res)</f>
        <v>#NAME?</v>
      </c>
      <c r="AJ21" s="1669" t="e" cm="1">
        <f t="array" ca="1" aca="1" ref="AJ21">_xlfn.LET(_xlpm.val,IF($F21="",val_blankRefText,_xldudf_CX_GET(CX_ENTITY,($F21),AJ$11,AJ$14,,AJ$19)),_xlpm.Res,IF(OR(_xlpm.val="",_xlpm.val="Error"),"",_xlpm.val),_xlpm.Res)</f>
        <v>#NAME?</v>
      </c>
      <c r="AK21" s="1669" t="e" cm="1">
        <f t="array" ca="1" aca="1" ref="AK21">_xlfn.LET(_xlpm.val,IF($F21="",val_blankRefText,_xldudf_CX_GET(CX_ENTITY,($F21),AK$11,AK$14,,AK$19)),_xlpm.Res,IF(OR(_xlpm.val="",_xlpm.val="Error"),"",_xlpm.val),_xlpm.Res)</f>
        <v>#NAME?</v>
      </c>
      <c r="AL21" s="1669" t="e" cm="1">
        <f t="array" ca="1" aca="1" ref="AL21">_xlfn.LET(_xlpm.val,IF($F21="",val_blankRefText,_xldudf_CX_GET(CX_ENTITY,($F21),AL$11,AL$14,,AL$19)),_xlpm.Res,IF(OR(_xlpm.val="",_xlpm.val="Error"),"",_xlpm.val),_xlpm.Res)</f>
        <v>#NAME?</v>
      </c>
      <c r="AM21" s="1669" t="e" cm="1">
        <f t="array" ca="1" aca="1" ref="AM21">_xlfn.LET(_xlpm.val,IF($F21="",val_blankRefText,_xldudf_CX_GET(CX_ENTITY,($F21),AM$11,AM$14,,AM$19)),_xlpm.Res,IF(OR(_xlpm.val="",_xlpm.val="Error"),"",_xlpm.val),_xlpm.Res)</f>
        <v>#NAME?</v>
      </c>
      <c r="AN21" s="1669" t="e" cm="1">
        <f t="array" ca="1" aca="1" ref="AN21">_xlfn.LET(_xlpm.val,IF($F21="",val_blankRefText,_xldudf_CX_GET(CX_ENTITY,($F21),AN$11,AN$14,,AN$19)),_xlpm.Res,IF(OR(_xlpm.val="",_xlpm.val="Error"),"",_xlpm.val),_xlpm.Res)</f>
        <v>#NAME?</v>
      </c>
      <c r="AO21" s="1669" t="e" cm="1">
        <f t="array" ca="1" aca="1" ref="AO21">_xlfn.LET(_xlpm.val,IF($F21="",val_blankRefText,_xldudf_CX_GET(CX_ENTITY,($F21),AO$11,AO$14,,AO$19)),_xlpm.Res,IF(OR(_xlpm.val="",_xlpm.val="Error"),"",_xlpm.val),_xlpm.Res)</f>
        <v>#NAME?</v>
      </c>
      <c r="AP21" s="1669" t="e" cm="1">
        <f t="array" ca="1" aca="1" ref="AP21">_xlfn.LET(_xlpm.val,IF($F21="",val_blankRefText,_xldudf_CX_GET(CX_ENTITY,($F21),AP$11,AP$14,,AP$19)),_xlpm.Res,IF(OR(_xlpm.val="",_xlpm.val="Error"),"",_xlpm.val),_xlpm.Res)</f>
        <v>#NAME?</v>
      </c>
      <c r="AQ21" s="1669" t="e" cm="1">
        <f t="array" ca="1" aca="1" ref="AQ21">_xlfn.LET(_xlpm.val,IF($F21="",val_blankRefText,_xldudf_CX_GET(CX_ENTITY,($F21),AQ$11,AQ$14,,AQ$19)),_xlpm.Res,IF(OR(_xlpm.val="",_xlpm.val="Error"),"",_xlpm.val),_xlpm.Res)</f>
        <v>#NAME?</v>
      </c>
      <c r="AR21" s="1669" t="e" cm="1">
        <f t="array" ca="1" aca="1" ref="AR21">_xlfn.LET(_xlpm.val,IF($F21="",val_blankRefText,_xldudf_CX_GET(CX_ENTITY,($F21),AR$11,AR$14,,AR$19)),_xlpm.Res,IF(OR(_xlpm.val="",_xlpm.val="Error"),"",_xlpm.val),_xlpm.Res)</f>
        <v>#NAME?</v>
      </c>
      <c r="AS21" s="1669" t="e" cm="1">
        <f t="array" ca="1" aca="1" ref="AS21">_xlfn.LET(_xlpm.val,IF($F21="",val_blankRefText,_xldudf_CX_GET(CX_ENTITY,($F21),AS$11,AS$14,,AS$19)),_xlpm.Res,IF(OR(_xlpm.val="",_xlpm.val="Error"),"",_xlpm.val),_xlpm.Res)</f>
        <v>#NAME?</v>
      </c>
      <c r="AT21" s="1669" t="e" cm="1">
        <f t="array" ca="1" aca="1" ref="AT21">_xlfn.LET(_xlpm.val,IF($F21="",val_blankRefText,_xldudf_CX_GET(CX_ENTITY,($F21),AT$11,AT$14,,AT$19)),_xlpm.Res,IF(OR(_xlpm.val="",_xlpm.val="Error"),"",_xlpm.val),_xlpm.Res)</f>
        <v>#NAME?</v>
      </c>
      <c r="AU21" s="1669" t="e" cm="1">
        <f t="array" ca="1" aca="1" ref="AU21">_xlfn.LET(_xlpm.val,IF($F21="",val_blankRefText,_xldudf_CX_GET(CX_ENTITY,($F21),AU$11,AU$14,,AU$19)),_xlpm.Res,IF(OR(_xlpm.val="",_xlpm.val="Error"),"",_xlpm.val),_xlpm.Res)</f>
        <v>#NAME?</v>
      </c>
      <c r="AV21" s="1669" t="e" cm="1">
        <f t="array" ca="1" aca="1" ref="AV21">_xlfn.LET(_xlpm.val,IF($F21="",val_blankRefText,_xldudf_CX_GET(CX_ENTITY,($F21),AV$11,AV$14,,AV$19)),_xlpm.Res,IF(OR(_xlpm.val="",_xlpm.val="Error"),"",_xlpm.val),_xlpm.Res)</f>
        <v>#NAME?</v>
      </c>
      <c r="AW21" s="1669" t="e" cm="1">
        <f t="array" ca="1" aca="1" ref="AW21">_xlfn.LET(_xlpm.val,IF($F21="",val_blankRefText,_xldudf_CX_GET(CX_ENTITY,($F21),AW$11,AW$14,,AW$19)),_xlpm.Res,IF(OR(_xlpm.val="",_xlpm.val="Error"),"",_xlpm.val),_xlpm.Res)</f>
        <v>#NAME?</v>
      </c>
      <c r="AX21" s="1669" t="e" cm="1">
        <f t="array" ca="1" aca="1" ref="AX21">_xlfn.LET(_xlpm.val,IF($F21="",val_blankRefText,_xldudf_CX_GET(CX_ENTITY,($F21),AX$11,AX$14,,AX$19)),_xlpm.Res,IF(OR(_xlpm.val="",_xlpm.val="Error"),"",_xlpm.val),_xlpm.Res)</f>
        <v>#NAME?</v>
      </c>
      <c r="AY21" s="1669" t="e" cm="1">
        <f t="array" ca="1" aca="1" ref="AY21">_xlfn.LET(_xlpm.val,IF($F21="",val_blankRefText,_xldudf_CX_GET(CX_ENTITY,($F21),AY$11,AY$14,,AY$19)),_xlpm.Res,IF(OR(_xlpm.val="",_xlpm.val="Error"),"",_xlpm.val),_xlpm.Res)</f>
        <v>#NAME?</v>
      </c>
      <c r="AZ21" s="1669" t="e" cm="1">
        <f t="array" ca="1" aca="1" ref="AZ21">_xlfn.LET(_xlpm.val,IF($F21="",val_blankRefText,_xldudf_CX_GET(CX_ENTITY,($F21),AZ$11,AZ$14,,AZ$19)),_xlpm.Res,IF(OR(_xlpm.val="",_xlpm.val="Error"),"",_xlpm.val),_xlpm.Res)</f>
        <v>#NAME?</v>
      </c>
      <c r="BA21" s="1669" t="e" cm="1">
        <f t="array" ca="1" aca="1" ref="BA21">_xlfn.LET(_xlpm.val,IF($F21="",val_blankRefText,_xldudf_CX_GET(CX_ENTITY,($F21),BA$11,BA$14,,BA$19)),_xlpm.Res,IF(OR(_xlpm.val="",_xlpm.val="Error"),"",_xlpm.val),_xlpm.Res)</f>
        <v>#NAME?</v>
      </c>
      <c r="BB21" s="1669" t="e" cm="1">
        <f t="array" ca="1" aca="1" ref="BB21">_xlfn.LET(_xlpm.val,IF($F21="",val_blankRefText,_xldudf_CX_GET(CX_ENTITY,($F21),BB$11,BB$14,,BB$19)),_xlpm.Res,IF(OR(_xlpm.val="",_xlpm.val="Error"),"",_xlpm.val),_xlpm.Res)</f>
        <v>#NAME?</v>
      </c>
      <c r="BC21" s="1669" t="e" cm="1">
        <f t="array" ca="1" aca="1" ref="BC21">_xlfn.LET(_xlpm.val,IF($F21="",val_blankRefText,_xldudf_CX_GET(CX_ENTITY,($F21),BC$11,BC$14,,BC$19)),_xlpm.Res,IF(OR(_xlpm.val="",_xlpm.val="Error"),"",_xlpm.val),_xlpm.Res)</f>
        <v>#NAME?</v>
      </c>
      <c r="BD21" s="1669" t="e" cm="1">
        <f t="array" ca="1" aca="1" ref="BD21">_xlfn.LET(_xlpm.val,IF($F21="",val_blankRefText,_xldudf_CX_GET(CX_ENTITY,($F21),BD$11,BD$14,,BD$19)),_xlpm.Res,IF(OR(_xlpm.val="",_xlpm.val="Error"),"",_xlpm.val),_xlpm.Res)</f>
        <v>#NAME?</v>
      </c>
      <c r="BE21" s="1669" t="e" cm="1">
        <f t="array" ca="1" aca="1" ref="BE21">_xlfn.LET(_xlpm.val,IF($F21="",val_blankRefText,_xldudf_CX_GET(CX_ENTITY,($F21),BE$11,BE$14,,BE$19)),_xlpm.Res,IF(OR(_xlpm.val="",_xlpm.val="Error"),"",_xlpm.val),_xlpm.Res)</f>
        <v>#NAME?</v>
      </c>
      <c r="BF21" s="1669" t="e" cm="1">
        <f t="array" ca="1" aca="1" ref="BF21">_xlfn.LET(_xlpm.val,IF($F21="",val_blankRefText,_xldudf_CX_GET(CX_ENTITY,($F21),BF$11,BF$14,,BF$19)),_xlpm.Res,IF(OR(_xlpm.val="",_xlpm.val="Error"),"",_xlpm.val),_xlpm.Res)</f>
        <v>#NAME?</v>
      </c>
      <c r="BG21" s="1669" t="e" cm="1">
        <f t="array" ca="1" aca="1" ref="BG21">_xlfn.LET(_xlpm.val,IF($F21="",val_blankRefText,_xldudf_CX_GET(CX_ENTITY,($F21),BG$11,BG$14,,BG$19)),_xlpm.Res,IF(OR(_xlpm.val="",_xlpm.val="Error"),"",_xlpm.val),_xlpm.Res)</f>
        <v>#NAME?</v>
      </c>
      <c r="BH21" s="1669" t="e" cm="1">
        <f t="array" ca="1" aca="1" ref="BH21">_xlfn.LET(_xlpm.val,IF($F21="",val_blankRefText,_xldudf_CX_GET(CX_ENTITY,($F21),BH$11,BH$14,,BH$19)),_xlpm.Res,IF(OR(_xlpm.val="",_xlpm.val="Error"),"",_xlpm.val),_xlpm.Res)</f>
        <v>#NAME?</v>
      </c>
      <c r="BI21" s="1669" t="e" cm="1">
        <f t="array" ca="1" aca="1" ref="BI21">_xlfn.LET(_xlpm.val,IF($F21="",val_blankRefText,_xldudf_CX_GET(CX_ENTITY,($F21),BI$11,BI$14,,BI$19)),_xlpm.Res,IF(OR(_xlpm.val="",_xlpm.val="Error"),"",_xlpm.val),_xlpm.Res)</f>
        <v>#NAME?</v>
      </c>
      <c r="BJ21" s="1669" t="e" cm="1">
        <f t="array" ca="1" aca="1" ref="BJ21">_xlfn.LET(_xlpm.val,IF($F21="",val_blankRefText,_xldudf_CX_GET(CX_ENTITY,($F21),BJ$11,BJ$14,,BJ$19)),_xlpm.Res,IF(OR(_xlpm.val="",_xlpm.val="Error"),"",_xlpm.val),_xlpm.Res)</f>
        <v>#NAME?</v>
      </c>
      <c r="BK21" s="1669" t="e" cm="1">
        <f t="array" ca="1" aca="1" ref="BK21">_xlfn.LET(_xlpm.val,IF($F21="",val_blankRefText,_xldudf_CX_GET(CX_ENTITY,($F21),BK$11,BK$14,,BK$19)),_xlpm.Res,IF(OR(_xlpm.val="",_xlpm.val="Error"),"",_xlpm.val),_xlpm.Res)</f>
        <v>#NAME?</v>
      </c>
      <c r="BL21" s="1669" t="e" cm="1">
        <f t="array" ca="1" aca="1" ref="BL21">_xlfn.LET(_xlpm.val,IF($F21="",val_blankRefText,_xldudf_CX_GET(CX_ENTITY,($F21),BL$11,BL$14,,BL$19)),_xlpm.Res,IF(OR(_xlpm.val="",_xlpm.val="Error"),"",_xlpm.val),_xlpm.Res)</f>
        <v>#NAME?</v>
      </c>
      <c r="BM21" s="1669" t="e" cm="1">
        <f t="array" ca="1" aca="1" ref="BM21">_xlfn.LET(_xlpm.val,IF($F21="",val_blankRefText,_xldudf_CX_GET(CX_ENTITY,($F21),BM$11,BM$14,,BM$19)),_xlpm.Res,IF(OR(_xlpm.val="",_xlpm.val="Error"),"",_xlpm.val),_xlpm.Res)</f>
        <v>#NAME?</v>
      </c>
      <c r="BN21" s="1669" t="e" cm="1">
        <f t="array" ca="1" aca="1" ref="BN21">_xlfn.LET(_xlpm.val,IF($F21="",val_blankRefText,_xldudf_CX_GET(CX_ENTITY,($F21),BN$11,BN$14,,BN$19)),_xlpm.Res,IF(OR(_xlpm.val="",_xlpm.val="Error"),"",_xlpm.val),_xlpm.Res)</f>
        <v>#NAME?</v>
      </c>
      <c r="BO21" s="2095"/>
      <c r="BP21" s="2095"/>
      <c r="BQ21" s="2095"/>
      <c r="BR21" s="2095"/>
      <c r="BS21" s="2095"/>
      <c r="BT21" s="2095"/>
      <c r="BU21" s="2095"/>
      <c r="BV21" s="2095"/>
      <c r="BW21" s="2095"/>
      <c r="BX21" s="2095"/>
      <c r="BY21" s="2095"/>
      <c r="BZ21" s="2095"/>
      <c r="CA21" s="926"/>
      <c r="CB21" s="921"/>
      <c r="CC21" s="927"/>
      <c r="CD21" s="920" t="e" cm="1">
        <f t="array" ca="1" aca="1" ref="CD21">_xlfn.XLOOKUP(BS!CD$11,array_timeline,BS!$AD21:$BN21)</f>
        <v>#NAME?</v>
      </c>
      <c r="CE21" s="920" t="e" cm="1">
        <f t="array" ca="1" aca="1" ref="CE21">_xlfn.XLOOKUP(BS!CE$11,array_timeline,BS!$AD21:$BN21)</f>
        <v>#NAME?</v>
      </c>
      <c r="CF21" s="925"/>
      <c r="CG21" s="920" t="e" cm="1">
        <f t="array" ca="1" aca="1" ref="CG21">_xlfn.LET(_xlpm.val,IF($F21="",val_blankRefText,_xldudf_CX_GET(CX_ENTITY,($F21),CG$11,CG$14,,(CG$19))),_xlpm.Res,IF(OR(_xlpm.val="",_xlpm.val="Error"),"",_xlpm.val),_xlpm.Res)</f>
        <v>#NAME?</v>
      </c>
      <c r="CH21" s="920" t="e" cm="1">
        <f t="array" ca="1" aca="1" ref="CH21">_xlfn.LET(_xlpm.val,IF($F21="",val_blankRefText,_xldudf_CX_GET(CX_ENTITY,($F21),CH$11,CH$14,,(CH$19))),_xlpm.Res,IF(OR(_xlpm.val="",_xlpm.val="Error"),"",_xlpm.val),_xlpm.Res)</f>
        <v>#NAME?</v>
      </c>
      <c r="CI21" s="200"/>
    </row>
    <row r="22" spans="1:87" ht="21" customHeight="1">
      <c r="A22" s="696" t="s">
        <v>1695</v>
      </c>
      <c r="B22" s="577" t="s">
        <v>704</v>
      </c>
      <c r="C22" s="577" t="s">
        <v>1696</v>
      </c>
      <c r="D22" s="577"/>
      <c r="E22" s="577" t="e" cm="1">
        <f t="array" ca="1" aca="1" ref="E22">_xlfn.LET(_xlpm.Attr,$C22,_xlpm.Lookback,$E$16,_xlpm.QueryDate,EOMONTH(val_asOfDate,_xlpm.Lookback),_xlpm.ReadField,_xldudf_CX_GET(CX_ENTITY,fx_attrConverter($C22),_xlpm.QueryDate),_xlpm.AttrBlank,_xlpm.Attr="",_xlpm.RESULT,IF(_xlpm.AttrBlank,val_blankRefText,fx_attrConverter(_xlpm.ReadField,0)),IF(_xlpm.RESULT="Error","",_xlpm.RESULT))</f>
        <v>#NAME?</v>
      </c>
      <c r="F22" s="577" t="str">
        <f t="shared" si="1"/>
        <v>Other Non-current Assets</v>
      </c>
      <c r="G22" s="574"/>
      <c r="H22" s="3279">
        <v>1</v>
      </c>
      <c r="I22" s="3279">
        <v>1</v>
      </c>
      <c r="J22" s="401"/>
      <c r="K22" s="401"/>
      <c r="L22" s="3269" t="b">
        <v>1</v>
      </c>
      <c r="N22" s="158"/>
      <c r="O22" s="101"/>
      <c r="P22" s="52"/>
      <c r="Q22" s="101"/>
      <c r="R22" s="126"/>
      <c r="S22" s="101"/>
      <c r="T22" s="101"/>
      <c r="U22" s="39"/>
      <c r="W22" s="91" t="str">
        <f t="shared" si="4" ref="W22:W50">$W$20</f>
        <v>Actual</v>
      </c>
      <c r="X22" s="3292">
        <v>1</v>
      </c>
      <c r="Y22" s="2627" t="s">
        <v>704</v>
      </c>
      <c r="Z22" s="3291" cm="1">
        <f t="array" ref="Z22">_xlfn.SWITCH(TRUE,$L22="",0,$L22=TRUE,1,$L22=FALSE,-1,)</f>
        <v>1</v>
      </c>
      <c r="AA22" s="2625"/>
      <c r="AB22" s="2626" t="s">
        <v>704</v>
      </c>
      <c r="AC22" s="88" t="e" vm="5" cm="1">
        <f t="array" ref="AC22">IFERROR(IF(_xlfn.XMATCH(AB22,tbl_acctDef[Term],0)&gt;0,fx_getIcon("find"),""),"")</f>
        <v>#VALUE!</v>
      </c>
      <c r="AD22" s="1669" t="e" cm="1">
        <f t="array" ca="1" aca="1" ref="AD22">_xlfn.LET(_xlpm.val,IF($F22="",val_blankRefText,_xldudf_CX_GET(CX_ENTITY,($F22),AD$11,AD$14,,AD$19)),_xlpm.Res,IF(OR(_xlpm.val="",_xlpm.val="Error"),"",_xlpm.val),_xlpm.Res)</f>
        <v>#NAME?</v>
      </c>
      <c r="AE22" s="1669" t="e" cm="1">
        <f t="array" ca="1" aca="1" ref="AE22">_xlfn.LET(_xlpm.val,IF($F22="",val_blankRefText,_xldudf_CX_GET(CX_ENTITY,($F22),AE$11,AE$14,,AE$19)),_xlpm.Res,IF(OR(_xlpm.val="",_xlpm.val="Error"),"",_xlpm.val),_xlpm.Res)</f>
        <v>#NAME?</v>
      </c>
      <c r="AF22" s="1669" t="e" cm="1">
        <f t="array" ca="1" aca="1" ref="AF22">_xlfn.LET(_xlpm.val,IF($F22="",val_blankRefText,_xldudf_CX_GET(CX_ENTITY,($F22),AF$11,AF$14,,AF$19)),_xlpm.Res,IF(OR(_xlpm.val="",_xlpm.val="Error"),"",_xlpm.val),_xlpm.Res)</f>
        <v>#NAME?</v>
      </c>
      <c r="AG22" s="1669" t="e" cm="1">
        <f t="array" ca="1" aca="1" ref="AG22">_xlfn.LET(_xlpm.val,IF($F22="",val_blankRefText,_xldudf_CX_GET(CX_ENTITY,($F22),AG$11,AG$14,,AG$19)),_xlpm.Res,IF(OR(_xlpm.val="",_xlpm.val="Error"),"",_xlpm.val),_xlpm.Res)</f>
        <v>#NAME?</v>
      </c>
      <c r="AH22" s="1669" t="e" cm="1">
        <f t="array" ca="1" aca="1" ref="AH22">_xlfn.LET(_xlpm.val,IF($F22="",val_blankRefText,_xldudf_CX_GET(CX_ENTITY,($F22),AH$11,AH$14,,AH$19)),_xlpm.Res,IF(OR(_xlpm.val="",_xlpm.val="Error"),"",_xlpm.val),_xlpm.Res)</f>
        <v>#NAME?</v>
      </c>
      <c r="AI22" s="1669" t="e" cm="1">
        <f t="array" ca="1" aca="1" ref="AI22">_xlfn.LET(_xlpm.val,IF($F22="",val_blankRefText,_xldudf_CX_GET(CX_ENTITY,($F22),AI$11,AI$14,,AI$19)),_xlpm.Res,IF(OR(_xlpm.val="",_xlpm.val="Error"),"",_xlpm.val),_xlpm.Res)</f>
        <v>#NAME?</v>
      </c>
      <c r="AJ22" s="1669" t="e" cm="1">
        <f t="array" ca="1" aca="1" ref="AJ22">_xlfn.LET(_xlpm.val,IF($F22="",val_blankRefText,_xldudf_CX_GET(CX_ENTITY,($F22),AJ$11,AJ$14,,AJ$19)),_xlpm.Res,IF(OR(_xlpm.val="",_xlpm.val="Error"),"",_xlpm.val),_xlpm.Res)</f>
        <v>#NAME?</v>
      </c>
      <c r="AK22" s="1669" t="e" cm="1">
        <f t="array" ca="1" aca="1" ref="AK22">_xlfn.LET(_xlpm.val,IF($F22="",val_blankRefText,_xldudf_CX_GET(CX_ENTITY,($F22),AK$11,AK$14,,AK$19)),_xlpm.Res,IF(OR(_xlpm.val="",_xlpm.val="Error"),"",_xlpm.val),_xlpm.Res)</f>
        <v>#NAME?</v>
      </c>
      <c r="AL22" s="1669" t="e" cm="1">
        <f t="array" ca="1" aca="1" ref="AL22">_xlfn.LET(_xlpm.val,IF($F22="",val_blankRefText,_xldudf_CX_GET(CX_ENTITY,($F22),AL$11,AL$14,,AL$19)),_xlpm.Res,IF(OR(_xlpm.val="",_xlpm.val="Error"),"",_xlpm.val),_xlpm.Res)</f>
        <v>#NAME?</v>
      </c>
      <c r="AM22" s="1669" t="e" cm="1">
        <f t="array" ca="1" aca="1" ref="AM22">_xlfn.LET(_xlpm.val,IF($F22="",val_blankRefText,_xldudf_CX_GET(CX_ENTITY,($F22),AM$11,AM$14,,AM$19)),_xlpm.Res,IF(OR(_xlpm.val="",_xlpm.val="Error"),"",_xlpm.val),_xlpm.Res)</f>
        <v>#NAME?</v>
      </c>
      <c r="AN22" s="1669" t="e" cm="1">
        <f t="array" ca="1" aca="1" ref="AN22">_xlfn.LET(_xlpm.val,IF($F22="",val_blankRefText,_xldudf_CX_GET(CX_ENTITY,($F22),AN$11,AN$14,,AN$19)),_xlpm.Res,IF(OR(_xlpm.val="",_xlpm.val="Error"),"",_xlpm.val),_xlpm.Res)</f>
        <v>#NAME?</v>
      </c>
      <c r="AO22" s="1669" t="e" cm="1">
        <f t="array" ca="1" aca="1" ref="AO22">_xlfn.LET(_xlpm.val,IF($F22="",val_blankRefText,_xldudf_CX_GET(CX_ENTITY,($F22),AO$11,AO$14,,AO$19)),_xlpm.Res,IF(OR(_xlpm.val="",_xlpm.val="Error"),"",_xlpm.val),_xlpm.Res)</f>
        <v>#NAME?</v>
      </c>
      <c r="AP22" s="1669" t="e" cm="1">
        <f t="array" ca="1" aca="1" ref="AP22">_xlfn.LET(_xlpm.val,IF($F22="",val_blankRefText,_xldudf_CX_GET(CX_ENTITY,($F22),AP$11,AP$14,,AP$19)),_xlpm.Res,IF(OR(_xlpm.val="",_xlpm.val="Error"),"",_xlpm.val),_xlpm.Res)</f>
        <v>#NAME?</v>
      </c>
      <c r="AQ22" s="1669" t="e" cm="1">
        <f t="array" ca="1" aca="1" ref="AQ22">_xlfn.LET(_xlpm.val,IF($F22="",val_blankRefText,_xldudf_CX_GET(CX_ENTITY,($F22),AQ$11,AQ$14,,AQ$19)),_xlpm.Res,IF(OR(_xlpm.val="",_xlpm.val="Error"),"",_xlpm.val),_xlpm.Res)</f>
        <v>#NAME?</v>
      </c>
      <c r="AR22" s="1669" t="e" cm="1">
        <f t="array" ca="1" aca="1" ref="AR22">_xlfn.LET(_xlpm.val,IF($F22="",val_blankRefText,_xldudf_CX_GET(CX_ENTITY,($F22),AR$11,AR$14,,AR$19)),_xlpm.Res,IF(OR(_xlpm.val="",_xlpm.val="Error"),"",_xlpm.val),_xlpm.Res)</f>
        <v>#NAME?</v>
      </c>
      <c r="AS22" s="1669" t="e" cm="1">
        <f t="array" ca="1" aca="1" ref="AS22">_xlfn.LET(_xlpm.val,IF($F22="",val_blankRefText,_xldudf_CX_GET(CX_ENTITY,($F22),AS$11,AS$14,,AS$19)),_xlpm.Res,IF(OR(_xlpm.val="",_xlpm.val="Error"),"",_xlpm.val),_xlpm.Res)</f>
        <v>#NAME?</v>
      </c>
      <c r="AT22" s="1669" t="e" cm="1">
        <f t="array" ca="1" aca="1" ref="AT22">_xlfn.LET(_xlpm.val,IF($F22="",val_blankRefText,_xldudf_CX_GET(CX_ENTITY,($F22),AT$11,AT$14,,AT$19)),_xlpm.Res,IF(OR(_xlpm.val="",_xlpm.val="Error"),"",_xlpm.val),_xlpm.Res)</f>
        <v>#NAME?</v>
      </c>
      <c r="AU22" s="1669" t="e" cm="1">
        <f t="array" ca="1" aca="1" ref="AU22">_xlfn.LET(_xlpm.val,IF($F22="",val_blankRefText,_xldudf_CX_GET(CX_ENTITY,($F22),AU$11,AU$14,,AU$19)),_xlpm.Res,IF(OR(_xlpm.val="",_xlpm.val="Error"),"",_xlpm.val),_xlpm.Res)</f>
        <v>#NAME?</v>
      </c>
      <c r="AV22" s="1669" t="e" cm="1">
        <f t="array" ca="1" aca="1" ref="AV22">_xlfn.LET(_xlpm.val,IF($F22="",val_blankRefText,_xldudf_CX_GET(CX_ENTITY,($F22),AV$11,AV$14,,AV$19)),_xlpm.Res,IF(OR(_xlpm.val="",_xlpm.val="Error"),"",_xlpm.val),_xlpm.Res)</f>
        <v>#NAME?</v>
      </c>
      <c r="AW22" s="1669" t="e" cm="1">
        <f t="array" ca="1" aca="1" ref="AW22">_xlfn.LET(_xlpm.val,IF($F22="",val_blankRefText,_xldudf_CX_GET(CX_ENTITY,($F22),AW$11,AW$14,,AW$19)),_xlpm.Res,IF(OR(_xlpm.val="",_xlpm.val="Error"),"",_xlpm.val),_xlpm.Res)</f>
        <v>#NAME?</v>
      </c>
      <c r="AX22" s="1669" t="e" cm="1">
        <f t="array" ca="1" aca="1" ref="AX22">_xlfn.LET(_xlpm.val,IF($F22="",val_blankRefText,_xldudf_CX_GET(CX_ENTITY,($F22),AX$11,AX$14,,AX$19)),_xlpm.Res,IF(OR(_xlpm.val="",_xlpm.val="Error"),"",_xlpm.val),_xlpm.Res)</f>
        <v>#NAME?</v>
      </c>
      <c r="AY22" s="1669" t="e" cm="1">
        <f t="array" ca="1" aca="1" ref="AY22">_xlfn.LET(_xlpm.val,IF($F22="",val_blankRefText,_xldudf_CX_GET(CX_ENTITY,($F22),AY$11,AY$14,,AY$19)),_xlpm.Res,IF(OR(_xlpm.val="",_xlpm.val="Error"),"",_xlpm.val),_xlpm.Res)</f>
        <v>#NAME?</v>
      </c>
      <c r="AZ22" s="1669" t="e" cm="1">
        <f t="array" ca="1" aca="1" ref="AZ22">_xlfn.LET(_xlpm.val,IF($F22="",val_blankRefText,_xldudf_CX_GET(CX_ENTITY,($F22),AZ$11,AZ$14,,AZ$19)),_xlpm.Res,IF(OR(_xlpm.val="",_xlpm.val="Error"),"",_xlpm.val),_xlpm.Res)</f>
        <v>#NAME?</v>
      </c>
      <c r="BA22" s="1669" t="e" cm="1">
        <f t="array" ca="1" aca="1" ref="BA22">_xlfn.LET(_xlpm.val,IF($F22="",val_blankRefText,_xldudf_CX_GET(CX_ENTITY,($F22),BA$11,BA$14,,BA$19)),_xlpm.Res,IF(OR(_xlpm.val="",_xlpm.val="Error"),"",_xlpm.val),_xlpm.Res)</f>
        <v>#NAME?</v>
      </c>
      <c r="BB22" s="1669" t="e" cm="1">
        <f t="array" ca="1" aca="1" ref="BB22">_xlfn.LET(_xlpm.val,IF($F22="",val_blankRefText,_xldudf_CX_GET(CX_ENTITY,($F22),BB$11,BB$14,,BB$19)),_xlpm.Res,IF(OR(_xlpm.val="",_xlpm.val="Error"),"",_xlpm.val),_xlpm.Res)</f>
        <v>#NAME?</v>
      </c>
      <c r="BC22" s="1669" t="e" cm="1">
        <f t="array" ca="1" aca="1" ref="BC22">_xlfn.LET(_xlpm.val,IF($F22="",val_blankRefText,_xldudf_CX_GET(CX_ENTITY,($F22),BC$11,BC$14,,BC$19)),_xlpm.Res,IF(OR(_xlpm.val="",_xlpm.val="Error"),"",_xlpm.val),_xlpm.Res)</f>
        <v>#NAME?</v>
      </c>
      <c r="BD22" s="1669" t="e" cm="1">
        <f t="array" ca="1" aca="1" ref="BD22">_xlfn.LET(_xlpm.val,IF($F22="",val_blankRefText,_xldudf_CX_GET(CX_ENTITY,($F22),BD$11,BD$14,,BD$19)),_xlpm.Res,IF(OR(_xlpm.val="",_xlpm.val="Error"),"",_xlpm.val),_xlpm.Res)</f>
        <v>#NAME?</v>
      </c>
      <c r="BE22" s="1669" t="e" cm="1">
        <f t="array" ca="1" aca="1" ref="BE22">_xlfn.LET(_xlpm.val,IF($F22="",val_blankRefText,_xldudf_CX_GET(CX_ENTITY,($F22),BE$11,BE$14,,BE$19)),_xlpm.Res,IF(OR(_xlpm.val="",_xlpm.val="Error"),"",_xlpm.val),_xlpm.Res)</f>
        <v>#NAME?</v>
      </c>
      <c r="BF22" s="1669" t="e" cm="1">
        <f t="array" ca="1" aca="1" ref="BF22">_xlfn.LET(_xlpm.val,IF($F22="",val_blankRefText,_xldudf_CX_GET(CX_ENTITY,($F22),BF$11,BF$14,,BF$19)),_xlpm.Res,IF(OR(_xlpm.val="",_xlpm.val="Error"),"",_xlpm.val),_xlpm.Res)</f>
        <v>#NAME?</v>
      </c>
      <c r="BG22" s="1669" t="e" cm="1">
        <f t="array" ca="1" aca="1" ref="BG22">_xlfn.LET(_xlpm.val,IF($F22="",val_blankRefText,_xldudf_CX_GET(CX_ENTITY,($F22),BG$11,BG$14,,BG$19)),_xlpm.Res,IF(OR(_xlpm.val="",_xlpm.val="Error"),"",_xlpm.val),_xlpm.Res)</f>
        <v>#NAME?</v>
      </c>
      <c r="BH22" s="1669" t="e" cm="1">
        <f t="array" ca="1" aca="1" ref="BH22">_xlfn.LET(_xlpm.val,IF($F22="",val_blankRefText,_xldudf_CX_GET(CX_ENTITY,($F22),BH$11,BH$14,,BH$19)),_xlpm.Res,IF(OR(_xlpm.val="",_xlpm.val="Error"),"",_xlpm.val),_xlpm.Res)</f>
        <v>#NAME?</v>
      </c>
      <c r="BI22" s="1669" t="e" cm="1">
        <f t="array" ca="1" aca="1" ref="BI22">_xlfn.LET(_xlpm.val,IF($F22="",val_blankRefText,_xldudf_CX_GET(CX_ENTITY,($F22),BI$11,BI$14,,BI$19)),_xlpm.Res,IF(OR(_xlpm.val="",_xlpm.val="Error"),"",_xlpm.val),_xlpm.Res)</f>
        <v>#NAME?</v>
      </c>
      <c r="BJ22" s="1669" t="e" cm="1">
        <f t="array" ca="1" aca="1" ref="BJ22">_xlfn.LET(_xlpm.val,IF($F22="",val_blankRefText,_xldudf_CX_GET(CX_ENTITY,($F22),BJ$11,BJ$14,,BJ$19)),_xlpm.Res,IF(OR(_xlpm.val="",_xlpm.val="Error"),"",_xlpm.val),_xlpm.Res)</f>
        <v>#NAME?</v>
      </c>
      <c r="BK22" s="1669" t="e" cm="1">
        <f t="array" ca="1" aca="1" ref="BK22">_xlfn.LET(_xlpm.val,IF($F22="",val_blankRefText,_xldudf_CX_GET(CX_ENTITY,($F22),BK$11,BK$14,,BK$19)),_xlpm.Res,IF(OR(_xlpm.val="",_xlpm.val="Error"),"",_xlpm.val),_xlpm.Res)</f>
        <v>#NAME?</v>
      </c>
      <c r="BL22" s="1669" t="e" cm="1">
        <f t="array" ca="1" aca="1" ref="BL22">_xlfn.LET(_xlpm.val,IF($F22="",val_blankRefText,_xldudf_CX_GET(CX_ENTITY,($F22),BL$11,BL$14,,BL$19)),_xlpm.Res,IF(OR(_xlpm.val="",_xlpm.val="Error"),"",_xlpm.val),_xlpm.Res)</f>
        <v>#NAME?</v>
      </c>
      <c r="BM22" s="1669" t="e" cm="1">
        <f t="array" ca="1" aca="1" ref="BM22">_xlfn.LET(_xlpm.val,IF($F22="",val_blankRefText,_xldudf_CX_GET(CX_ENTITY,($F22),BM$11,BM$14,,BM$19)),_xlpm.Res,IF(OR(_xlpm.val="",_xlpm.val="Error"),"",_xlpm.val),_xlpm.Res)</f>
        <v>#NAME?</v>
      </c>
      <c r="BN22" s="1669" t="e" cm="1">
        <f t="array" ca="1" aca="1" ref="BN22">_xlfn.LET(_xlpm.val,IF($F22="",val_blankRefText,_xldudf_CX_GET(CX_ENTITY,($F22),BN$11,BN$14,,BN$19)),_xlpm.Res,IF(OR(_xlpm.val="",_xlpm.val="Error"),"",_xlpm.val),_xlpm.Res)</f>
        <v>#NAME?</v>
      </c>
      <c r="BO22" s="2095"/>
      <c r="BP22" s="2095"/>
      <c r="BQ22" s="2095"/>
      <c r="BR22" s="2095"/>
      <c r="BS22" s="2095"/>
      <c r="BT22" s="2095"/>
      <c r="BU22" s="2095"/>
      <c r="BV22" s="2095"/>
      <c r="BW22" s="2095"/>
      <c r="BX22" s="2095"/>
      <c r="BY22" s="2095"/>
      <c r="BZ22" s="2095"/>
      <c r="CA22" s="926"/>
      <c r="CB22" s="921"/>
      <c r="CC22" s="927"/>
      <c r="CD22" s="920" t="e" cm="1">
        <f t="array" ca="1" aca="1" ref="CD22">_xlfn.XLOOKUP(BS!CD$11,array_timeline,BS!$AD22:$BN22)</f>
        <v>#NAME?</v>
      </c>
      <c r="CE22" s="920" t="e" cm="1">
        <f t="array" ca="1" aca="1" ref="CE22">_xlfn.XLOOKUP(BS!CE$11,array_timeline,BS!$AD22:$BN22)</f>
        <v>#NAME?</v>
      </c>
      <c r="CF22" s="925"/>
      <c r="CG22" s="920" t="e" cm="1">
        <f t="array" ca="1" aca="1" ref="CG22">_xlfn.LET(_xlpm.val,IF($F22="",val_blankRefText,_xldudf_CX_GET(CX_ENTITY,($F22),CG$11,CG$14,,(CG$19))),_xlpm.Res,IF(OR(_xlpm.val="",_xlpm.val="Error"),"",_xlpm.val),_xlpm.Res)</f>
        <v>#NAME?</v>
      </c>
      <c r="CH22" s="920" t="e" cm="1">
        <f t="array" ca="1" aca="1" ref="CH22">_xlfn.LET(_xlpm.val,IF($F22="",val_blankRefText,_xldudf_CX_GET(CX_ENTITY,($F22),CH$11,CH$14,,(CH$19))),_xlpm.Res,IF(OR(_xlpm.val="",_xlpm.val="Error"),"",_xlpm.val),_xlpm.Res)</f>
        <v>#NAME?</v>
      </c>
      <c r="CI22" s="200"/>
    </row>
    <row r="23" spans="1:87" ht="21" customHeight="1">
      <c r="A23" s="696" t="s">
        <v>1697</v>
      </c>
      <c r="B23" s="577" t="s">
        <v>1698</v>
      </c>
      <c r="C23" s="577" t="s">
        <v>1699</v>
      </c>
      <c r="D23" s="577"/>
      <c r="E23" s="577" t="e" cm="1">
        <f t="array" ca="1" aca="1" ref="E23">_xlfn.LET(_xlpm.Attr,$C23,_xlpm.Lookback,$E$16,_xlpm.QueryDate,EOMONTH(val_asOfDate,_xlpm.Lookback),_xlpm.ReadField,_xldudf_CX_GET(CX_ENTITY,fx_attrConverter($C23),_xlpm.QueryDate),_xlpm.AttrBlank,_xlpm.Attr="",_xlpm.RESULT,IF(_xlpm.AttrBlank,val_blankRefText,fx_attrConverter(_xlpm.ReadField,0)),IF(_xlpm.RESULT="Error","",_xlpm.RESULT))</f>
        <v>#NAME?</v>
      </c>
      <c r="F23" s="577" t="str">
        <f t="shared" si="1"/>
        <v>Non-Current Assets</v>
      </c>
      <c r="G23" s="574"/>
      <c r="H23" s="3279">
        <v>2</v>
      </c>
      <c r="I23" s="3279">
        <v>1</v>
      </c>
      <c r="J23" s="401"/>
      <c r="K23" s="401"/>
      <c r="L23" s="579">
        <v>-1</v>
      </c>
      <c r="N23" s="158"/>
      <c r="O23" s="101"/>
      <c r="P23" s="52"/>
      <c r="Q23" s="101"/>
      <c r="R23" s="101"/>
      <c r="S23" s="101"/>
      <c r="T23" s="101"/>
      <c r="U23" s="39"/>
      <c r="W23" s="961" t="str">
        <f t="shared" si="4"/>
        <v>Actual</v>
      </c>
      <c r="X23" s="1294">
        <v>0</v>
      </c>
      <c r="Y23" s="2628" t="s">
        <v>1698</v>
      </c>
      <c r="Z23" s="198" cm="1">
        <f t="array" ref="Z23">_xlfn.SWITCH(TRUE,$L23="",0,$L23=TRUE,1,$L23=FALSE,-1,)</f>
        <v>0</v>
      </c>
      <c r="AA23" s="2629"/>
      <c r="AB23" s="2623" t="s">
        <v>1698</v>
      </c>
      <c r="AC23" s="88" t="str" cm="1">
        <f t="array" ref="AC23">IFERROR(IF(_xlfn.XMATCH(AB23,tbl_acctDef[Term],0)&gt;0,fx_getIcon("find"),""),"")</f>
        <v/>
      </c>
      <c r="AD23" s="1669" t="e" cm="1">
        <f t="array" ca="1" aca="1" ref="AD23">_xlfn.LET(_xlpm.val,IF($F23="",val_blankRefText,_xldudf_CX_GET(CX_ENTITY,($F23),AD$11,AD$14,,AD$19)),_xlpm.Res,IF(OR(_xlpm.val="",_xlpm.val="Error"),"",_xlpm.val),_xlpm.Res)</f>
        <v>#NAME?</v>
      </c>
      <c r="AE23" s="1669" t="e" cm="1">
        <f t="array" ca="1" aca="1" ref="AE23">_xlfn.LET(_xlpm.val,IF($F23="",val_blankRefText,_xldudf_CX_GET(CX_ENTITY,($F23),AE$11,AE$14,,AE$19)),_xlpm.Res,IF(OR(_xlpm.val="",_xlpm.val="Error"),"",_xlpm.val),_xlpm.Res)</f>
        <v>#NAME?</v>
      </c>
      <c r="AF23" s="1669" t="e" cm="1">
        <f t="array" ca="1" aca="1" ref="AF23">_xlfn.LET(_xlpm.val,IF($F23="",val_blankRefText,_xldudf_CX_GET(CX_ENTITY,($F23),AF$11,AF$14,,AF$19)),_xlpm.Res,IF(OR(_xlpm.val="",_xlpm.val="Error"),"",_xlpm.val),_xlpm.Res)</f>
        <v>#NAME?</v>
      </c>
      <c r="AG23" s="1669" t="e" cm="1">
        <f t="array" ca="1" aca="1" ref="AG23">_xlfn.LET(_xlpm.val,IF($F23="",val_blankRefText,_xldudf_CX_GET(CX_ENTITY,($F23),AG$11,AG$14,,AG$19)),_xlpm.Res,IF(OR(_xlpm.val="",_xlpm.val="Error"),"",_xlpm.val),_xlpm.Res)</f>
        <v>#NAME?</v>
      </c>
      <c r="AH23" s="1669" t="e" cm="1">
        <f t="array" ca="1" aca="1" ref="AH23">_xlfn.LET(_xlpm.val,IF($F23="",val_blankRefText,_xldudf_CX_GET(CX_ENTITY,($F23),AH$11,AH$14,,AH$19)),_xlpm.Res,IF(OR(_xlpm.val="",_xlpm.val="Error"),"",_xlpm.val),_xlpm.Res)</f>
        <v>#NAME?</v>
      </c>
      <c r="AI23" s="1669" t="e" cm="1">
        <f t="array" ca="1" aca="1" ref="AI23">_xlfn.LET(_xlpm.val,IF($F23="",val_blankRefText,_xldudf_CX_GET(CX_ENTITY,($F23),AI$11,AI$14,,AI$19)),_xlpm.Res,IF(OR(_xlpm.val="",_xlpm.val="Error"),"",_xlpm.val),_xlpm.Res)</f>
        <v>#NAME?</v>
      </c>
      <c r="AJ23" s="1669" t="e" cm="1">
        <f t="array" ca="1" aca="1" ref="AJ23">_xlfn.LET(_xlpm.val,IF($F23="",val_blankRefText,_xldudf_CX_GET(CX_ENTITY,($F23),AJ$11,AJ$14,,AJ$19)),_xlpm.Res,IF(OR(_xlpm.val="",_xlpm.val="Error"),"",_xlpm.val),_xlpm.Res)</f>
        <v>#NAME?</v>
      </c>
      <c r="AK23" s="1669" t="e" cm="1">
        <f t="array" ca="1" aca="1" ref="AK23">_xlfn.LET(_xlpm.val,IF($F23="",val_blankRefText,_xldudf_CX_GET(CX_ENTITY,($F23),AK$11,AK$14,,AK$19)),_xlpm.Res,IF(OR(_xlpm.val="",_xlpm.val="Error"),"",_xlpm.val),_xlpm.Res)</f>
        <v>#NAME?</v>
      </c>
      <c r="AL23" s="1669" t="e" cm="1">
        <f t="array" ca="1" aca="1" ref="AL23">_xlfn.LET(_xlpm.val,IF($F23="",val_blankRefText,_xldudf_CX_GET(CX_ENTITY,($F23),AL$11,AL$14,,AL$19)),_xlpm.Res,IF(OR(_xlpm.val="",_xlpm.val="Error"),"",_xlpm.val),_xlpm.Res)</f>
        <v>#NAME?</v>
      </c>
      <c r="AM23" s="1669" t="e" cm="1">
        <f t="array" ca="1" aca="1" ref="AM23">_xlfn.LET(_xlpm.val,IF($F23="",val_blankRefText,_xldudf_CX_GET(CX_ENTITY,($F23),AM$11,AM$14,,AM$19)),_xlpm.Res,IF(OR(_xlpm.val="",_xlpm.val="Error"),"",_xlpm.val),_xlpm.Res)</f>
        <v>#NAME?</v>
      </c>
      <c r="AN23" s="1669" t="e" cm="1">
        <f t="array" ca="1" aca="1" ref="AN23">_xlfn.LET(_xlpm.val,IF($F23="",val_blankRefText,_xldudf_CX_GET(CX_ENTITY,($F23),AN$11,AN$14,,AN$19)),_xlpm.Res,IF(OR(_xlpm.val="",_xlpm.val="Error"),"",_xlpm.val),_xlpm.Res)</f>
        <v>#NAME?</v>
      </c>
      <c r="AO23" s="1669" t="e" cm="1">
        <f t="array" ca="1" aca="1" ref="AO23">_xlfn.LET(_xlpm.val,IF($F23="",val_blankRefText,_xldudf_CX_GET(CX_ENTITY,($F23),AO$11,AO$14,,AO$19)),_xlpm.Res,IF(OR(_xlpm.val="",_xlpm.val="Error"),"",_xlpm.val),_xlpm.Res)</f>
        <v>#NAME?</v>
      </c>
      <c r="AP23" s="1669" t="e" cm="1">
        <f t="array" ca="1" aca="1" ref="AP23">_xlfn.LET(_xlpm.val,IF($F23="",val_blankRefText,_xldudf_CX_GET(CX_ENTITY,($F23),AP$11,AP$14,,AP$19)),_xlpm.Res,IF(OR(_xlpm.val="",_xlpm.val="Error"),"",_xlpm.val),_xlpm.Res)</f>
        <v>#NAME?</v>
      </c>
      <c r="AQ23" s="1669" t="e" cm="1">
        <f t="array" ca="1" aca="1" ref="AQ23">_xlfn.LET(_xlpm.val,IF($F23="",val_blankRefText,_xldudf_CX_GET(CX_ENTITY,($F23),AQ$11,AQ$14,,AQ$19)),_xlpm.Res,IF(OR(_xlpm.val="",_xlpm.val="Error"),"",_xlpm.val),_xlpm.Res)</f>
        <v>#NAME?</v>
      </c>
      <c r="AR23" s="1669" t="e" cm="1">
        <f t="array" ca="1" aca="1" ref="AR23">_xlfn.LET(_xlpm.val,IF($F23="",val_blankRefText,_xldudf_CX_GET(CX_ENTITY,($F23),AR$11,AR$14,,AR$19)),_xlpm.Res,IF(OR(_xlpm.val="",_xlpm.val="Error"),"",_xlpm.val),_xlpm.Res)</f>
        <v>#NAME?</v>
      </c>
      <c r="AS23" s="1669" t="e" cm="1">
        <f t="array" ca="1" aca="1" ref="AS23">_xlfn.LET(_xlpm.val,IF($F23="",val_blankRefText,_xldudf_CX_GET(CX_ENTITY,($F23),AS$11,AS$14,,AS$19)),_xlpm.Res,IF(OR(_xlpm.val="",_xlpm.val="Error"),"",_xlpm.val),_xlpm.Res)</f>
        <v>#NAME?</v>
      </c>
      <c r="AT23" s="1669" t="e" cm="1">
        <f t="array" ca="1" aca="1" ref="AT23">_xlfn.LET(_xlpm.val,IF($F23="",val_blankRefText,_xldudf_CX_GET(CX_ENTITY,($F23),AT$11,AT$14,,AT$19)),_xlpm.Res,IF(OR(_xlpm.val="",_xlpm.val="Error"),"",_xlpm.val),_xlpm.Res)</f>
        <v>#NAME?</v>
      </c>
      <c r="AU23" s="1669" t="e" cm="1">
        <f t="array" ca="1" aca="1" ref="AU23">_xlfn.LET(_xlpm.val,IF($F23="",val_blankRefText,_xldudf_CX_GET(CX_ENTITY,($F23),AU$11,AU$14,,AU$19)),_xlpm.Res,IF(OR(_xlpm.val="",_xlpm.val="Error"),"",_xlpm.val),_xlpm.Res)</f>
        <v>#NAME?</v>
      </c>
      <c r="AV23" s="1669" t="e" cm="1">
        <f t="array" ca="1" aca="1" ref="AV23">_xlfn.LET(_xlpm.val,IF($F23="",val_blankRefText,_xldudf_CX_GET(CX_ENTITY,($F23),AV$11,AV$14,,AV$19)),_xlpm.Res,IF(OR(_xlpm.val="",_xlpm.val="Error"),"",_xlpm.val),_xlpm.Res)</f>
        <v>#NAME?</v>
      </c>
      <c r="AW23" s="1669" t="e" cm="1">
        <f t="array" ca="1" aca="1" ref="AW23">_xlfn.LET(_xlpm.val,IF($F23="",val_blankRefText,_xldudf_CX_GET(CX_ENTITY,($F23),AW$11,AW$14,,AW$19)),_xlpm.Res,IF(OR(_xlpm.val="",_xlpm.val="Error"),"",_xlpm.val),_xlpm.Res)</f>
        <v>#NAME?</v>
      </c>
      <c r="AX23" s="1669" t="e" cm="1">
        <f t="array" ca="1" aca="1" ref="AX23">_xlfn.LET(_xlpm.val,IF($F23="",val_blankRefText,_xldudf_CX_GET(CX_ENTITY,($F23),AX$11,AX$14,,AX$19)),_xlpm.Res,IF(OR(_xlpm.val="",_xlpm.val="Error"),"",_xlpm.val),_xlpm.Res)</f>
        <v>#NAME?</v>
      </c>
      <c r="AY23" s="1669" t="e" cm="1">
        <f t="array" ca="1" aca="1" ref="AY23">_xlfn.LET(_xlpm.val,IF($F23="",val_blankRefText,_xldudf_CX_GET(CX_ENTITY,($F23),AY$11,AY$14,,AY$19)),_xlpm.Res,IF(OR(_xlpm.val="",_xlpm.val="Error"),"",_xlpm.val),_xlpm.Res)</f>
        <v>#NAME?</v>
      </c>
      <c r="AZ23" s="1669" t="e" cm="1">
        <f t="array" ca="1" aca="1" ref="AZ23">_xlfn.LET(_xlpm.val,IF($F23="",val_blankRefText,_xldudf_CX_GET(CX_ENTITY,($F23),AZ$11,AZ$14,,AZ$19)),_xlpm.Res,IF(OR(_xlpm.val="",_xlpm.val="Error"),"",_xlpm.val),_xlpm.Res)</f>
        <v>#NAME?</v>
      </c>
      <c r="BA23" s="1669" t="e" cm="1">
        <f t="array" ca="1" aca="1" ref="BA23">_xlfn.LET(_xlpm.val,IF($F23="",val_blankRefText,_xldudf_CX_GET(CX_ENTITY,($F23),BA$11,BA$14,,BA$19)),_xlpm.Res,IF(OR(_xlpm.val="",_xlpm.val="Error"),"",_xlpm.val),_xlpm.Res)</f>
        <v>#NAME?</v>
      </c>
      <c r="BB23" s="1669" t="e" cm="1">
        <f t="array" ca="1" aca="1" ref="BB23">_xlfn.LET(_xlpm.val,IF($F23="",val_blankRefText,_xldudf_CX_GET(CX_ENTITY,($F23),BB$11,BB$14,,BB$19)),_xlpm.Res,IF(OR(_xlpm.val="",_xlpm.val="Error"),"",_xlpm.val),_xlpm.Res)</f>
        <v>#NAME?</v>
      </c>
      <c r="BC23" s="1669" t="e" cm="1">
        <f t="array" ca="1" aca="1" ref="BC23">_xlfn.LET(_xlpm.val,IF($F23="",val_blankRefText,_xldudf_CX_GET(CX_ENTITY,($F23),BC$11,BC$14,,BC$19)),_xlpm.Res,IF(OR(_xlpm.val="",_xlpm.val="Error"),"",_xlpm.val),_xlpm.Res)</f>
        <v>#NAME?</v>
      </c>
      <c r="BD23" s="1669" t="e" cm="1">
        <f t="array" ca="1" aca="1" ref="BD23">_xlfn.LET(_xlpm.val,IF($F23="",val_blankRefText,_xldudf_CX_GET(CX_ENTITY,($F23),BD$11,BD$14,,BD$19)),_xlpm.Res,IF(OR(_xlpm.val="",_xlpm.val="Error"),"",_xlpm.val),_xlpm.Res)</f>
        <v>#NAME?</v>
      </c>
      <c r="BE23" s="1669" t="e" cm="1">
        <f t="array" ca="1" aca="1" ref="BE23">_xlfn.LET(_xlpm.val,IF($F23="",val_blankRefText,_xldudf_CX_GET(CX_ENTITY,($F23),BE$11,BE$14,,BE$19)),_xlpm.Res,IF(OR(_xlpm.val="",_xlpm.val="Error"),"",_xlpm.val),_xlpm.Res)</f>
        <v>#NAME?</v>
      </c>
      <c r="BF23" s="1669" t="e" cm="1">
        <f t="array" ca="1" aca="1" ref="BF23">_xlfn.LET(_xlpm.val,IF($F23="",val_blankRefText,_xldudf_CX_GET(CX_ENTITY,($F23),BF$11,BF$14,,BF$19)),_xlpm.Res,IF(OR(_xlpm.val="",_xlpm.val="Error"),"",_xlpm.val),_xlpm.Res)</f>
        <v>#NAME?</v>
      </c>
      <c r="BG23" s="1669" t="e" cm="1">
        <f t="array" ca="1" aca="1" ref="BG23">_xlfn.LET(_xlpm.val,IF($F23="",val_blankRefText,_xldudf_CX_GET(CX_ENTITY,($F23),BG$11,BG$14,,BG$19)),_xlpm.Res,IF(OR(_xlpm.val="",_xlpm.val="Error"),"",_xlpm.val),_xlpm.Res)</f>
        <v>#NAME?</v>
      </c>
      <c r="BH23" s="1669" t="e" cm="1">
        <f t="array" ca="1" aca="1" ref="BH23">_xlfn.LET(_xlpm.val,IF($F23="",val_blankRefText,_xldudf_CX_GET(CX_ENTITY,($F23),BH$11,BH$14,,BH$19)),_xlpm.Res,IF(OR(_xlpm.val="",_xlpm.val="Error"),"",_xlpm.val),_xlpm.Res)</f>
        <v>#NAME?</v>
      </c>
      <c r="BI23" s="1669" t="e" cm="1">
        <f t="array" ca="1" aca="1" ref="BI23">_xlfn.LET(_xlpm.val,IF($F23="",val_blankRefText,_xldudf_CX_GET(CX_ENTITY,($F23),BI$11,BI$14,,BI$19)),_xlpm.Res,IF(OR(_xlpm.val="",_xlpm.val="Error"),"",_xlpm.val),_xlpm.Res)</f>
        <v>#NAME?</v>
      </c>
      <c r="BJ23" s="1669" t="e" cm="1">
        <f t="array" ca="1" aca="1" ref="BJ23">_xlfn.LET(_xlpm.val,IF($F23="",val_blankRefText,_xldudf_CX_GET(CX_ENTITY,($F23),BJ$11,BJ$14,,BJ$19)),_xlpm.Res,IF(OR(_xlpm.val="",_xlpm.val="Error"),"",_xlpm.val),_xlpm.Res)</f>
        <v>#NAME?</v>
      </c>
      <c r="BK23" s="1669" t="e" cm="1">
        <f t="array" ca="1" aca="1" ref="BK23">_xlfn.LET(_xlpm.val,IF($F23="",val_blankRefText,_xldudf_CX_GET(CX_ENTITY,($F23),BK$11,BK$14,,BK$19)),_xlpm.Res,IF(OR(_xlpm.val="",_xlpm.val="Error"),"",_xlpm.val),_xlpm.Res)</f>
        <v>#NAME?</v>
      </c>
      <c r="BL23" s="1669" t="e" cm="1">
        <f t="array" ca="1" aca="1" ref="BL23">_xlfn.LET(_xlpm.val,IF($F23="",val_blankRefText,_xldudf_CX_GET(CX_ENTITY,($F23),BL$11,BL$14,,BL$19)),_xlpm.Res,IF(OR(_xlpm.val="",_xlpm.val="Error"),"",_xlpm.val),_xlpm.Res)</f>
        <v>#NAME?</v>
      </c>
      <c r="BM23" s="1669" t="e" cm="1">
        <f t="array" ca="1" aca="1" ref="BM23">_xlfn.LET(_xlpm.val,IF($F23="",val_blankRefText,_xldudf_CX_GET(CX_ENTITY,($F23),BM$11,BM$14,,BM$19)),_xlpm.Res,IF(OR(_xlpm.val="",_xlpm.val="Error"),"",_xlpm.val),_xlpm.Res)</f>
        <v>#NAME?</v>
      </c>
      <c r="BN23" s="1669" t="e" cm="1">
        <f t="array" ca="1" aca="1" ref="BN23">_xlfn.LET(_xlpm.val,IF($F23="",val_blankRefText,_xldudf_CX_GET(CX_ENTITY,($F23),BN$11,BN$14,,BN$19)),_xlpm.Res,IF(OR(_xlpm.val="",_xlpm.val="Error"),"",_xlpm.val),_xlpm.Res)</f>
        <v>#NAME?</v>
      </c>
      <c r="BO23" s="2095"/>
      <c r="BP23" s="2095"/>
      <c r="BQ23" s="2095"/>
      <c r="BR23" s="2095"/>
      <c r="BS23" s="2095"/>
      <c r="BT23" s="2095"/>
      <c r="BU23" s="2095"/>
      <c r="BV23" s="2095"/>
      <c r="BW23" s="2095"/>
      <c r="BX23" s="2095"/>
      <c r="BY23" s="2095"/>
      <c r="BZ23" s="2095"/>
      <c r="CA23" s="926"/>
      <c r="CB23" s="921"/>
      <c r="CC23" s="927"/>
      <c r="CD23" s="919" t="e" cm="1">
        <f t="array" ca="1" aca="1" ref="CD23">_xlfn.XLOOKUP(BS!CD$11,array_timeline,BS!$AD23:$BN23)</f>
        <v>#NAME?</v>
      </c>
      <c r="CE23" s="919" t="e" cm="1">
        <f t="array" ca="1" aca="1" ref="CE23">_xlfn.XLOOKUP(BS!CE$11,array_timeline,BS!$AD23:$BN23)</f>
        <v>#NAME?</v>
      </c>
      <c r="CF23" s="925"/>
      <c r="CG23" s="919" t="e" cm="1">
        <f t="array" ca="1" aca="1" ref="CG23">_xlfn.LET(_xlpm.val,IF($F23="",val_blankRefText,_xldudf_CX_GET(CX_ENTITY,($F23),CG$11,CG$14,,(CG$19))),_xlpm.Res,IF(OR(_xlpm.val="",_xlpm.val="Error"),"",_xlpm.val),_xlpm.Res)</f>
        <v>#NAME?</v>
      </c>
      <c r="CH23" s="919" t="e" cm="1">
        <f t="array" ca="1" aca="1" ref="CH23">_xlfn.LET(_xlpm.val,IF($F23="",val_blankRefText,_xldudf_CX_GET(CX_ENTITY,($F23),CH$11,CH$14,,(CH$19))),_xlpm.Res,IF(OR(_xlpm.val="",_xlpm.val="Error"),"",_xlpm.val),_xlpm.Res)</f>
        <v>#NAME?</v>
      </c>
      <c r="CI23" s="924"/>
    </row>
    <row r="24" spans="1:87" ht="21" customHeight="1">
      <c r="A24" s="696" t="s">
        <v>1700</v>
      </c>
      <c r="B24" s="577" t="s">
        <v>707</v>
      </c>
      <c r="C24" s="577" t="s">
        <v>1701</v>
      </c>
      <c r="D24" s="577"/>
      <c r="E24" s="577" t="e" cm="1">
        <f t="array" ca="1" aca="1" ref="E24">_xlfn.LET(_xlpm.Attr,$C24,_xlpm.Lookback,$E$16,_xlpm.QueryDate,EOMONTH(val_asOfDate,_xlpm.Lookback),_xlpm.ReadField,_xldudf_CX_GET(CX_ENTITY,fx_attrConverter($C24),_xlpm.QueryDate),_xlpm.AttrBlank,_xlpm.Attr="",_xlpm.RESULT,IF(_xlpm.AttrBlank,val_blankRefText,fx_attrConverter(_xlpm.ReadField,0)),IF(_xlpm.RESULT="Error","",_xlpm.RESULT))</f>
        <v>#NAME?</v>
      </c>
      <c r="F24" s="577" t="str">
        <f t="shared" si="1"/>
        <v>Trade Receivables</v>
      </c>
      <c r="G24" s="574"/>
      <c r="H24" s="3279">
        <v>1</v>
      </c>
      <c r="I24" s="3279">
        <v>1</v>
      </c>
      <c r="J24" s="401"/>
      <c r="K24" s="401"/>
      <c r="L24" s="3269" t="b">
        <v>1</v>
      </c>
      <c r="N24" s="158"/>
      <c r="O24" s="101"/>
      <c r="P24" s="52"/>
      <c r="Q24" s="101"/>
      <c r="R24" s="126"/>
      <c r="S24" s="101"/>
      <c r="T24" s="101"/>
      <c r="U24" s="39"/>
      <c r="W24" s="91" t="str">
        <f t="shared" si="4"/>
        <v>Actual</v>
      </c>
      <c r="X24" s="3292">
        <v>1</v>
      </c>
      <c r="Y24" s="2627" t="s">
        <v>707</v>
      </c>
      <c r="Z24" s="3291" cm="1">
        <f t="array" ref="Z24">_xlfn.SWITCH(TRUE,$L24="",0,$L24=TRUE,1,$L24=FALSE,-1,)</f>
        <v>1</v>
      </c>
      <c r="AA24" s="2625"/>
      <c r="AB24" s="2626" t="s">
        <v>707</v>
      </c>
      <c r="AC24" s="88" t="e" vm="5" cm="1">
        <f t="array" ref="AC24">IFERROR(IF(_xlfn.XMATCH(AB24,tbl_acctDef[Term],0)&gt;0,fx_getIcon("find"),""),"")</f>
        <v>#VALUE!</v>
      </c>
      <c r="AD24" s="1669" t="e" cm="1">
        <f t="array" ca="1" aca="1" ref="AD24">_xlfn.LET(_xlpm.val,IF($F24="",val_blankRefText,_xldudf_CX_GET(CX_ENTITY,($F24),AD$11,AD$14,,AD$19)),_xlpm.Res,IF(OR(_xlpm.val="",_xlpm.val="Error"),"",_xlpm.val),_xlpm.Res)</f>
        <v>#NAME?</v>
      </c>
      <c r="AE24" s="1669" t="e" cm="1">
        <f t="array" ca="1" aca="1" ref="AE24">_xlfn.LET(_xlpm.val,IF($F24="",val_blankRefText,_xldudf_CX_GET(CX_ENTITY,($F24),AE$11,AE$14,,AE$19)),_xlpm.Res,IF(OR(_xlpm.val="",_xlpm.val="Error"),"",_xlpm.val),_xlpm.Res)</f>
        <v>#NAME?</v>
      </c>
      <c r="AF24" s="1669" t="e" cm="1">
        <f t="array" ca="1" aca="1" ref="AF24">_xlfn.LET(_xlpm.val,IF($F24="",val_blankRefText,_xldudf_CX_GET(CX_ENTITY,($F24),AF$11,AF$14,,AF$19)),_xlpm.Res,IF(OR(_xlpm.val="",_xlpm.val="Error"),"",_xlpm.val),_xlpm.Res)</f>
        <v>#NAME?</v>
      </c>
      <c r="AG24" s="1669" t="e" cm="1">
        <f t="array" ca="1" aca="1" ref="AG24">_xlfn.LET(_xlpm.val,IF($F24="",val_blankRefText,_xldudf_CX_GET(CX_ENTITY,($F24),AG$11,AG$14,,AG$19)),_xlpm.Res,IF(OR(_xlpm.val="",_xlpm.val="Error"),"",_xlpm.val),_xlpm.Res)</f>
        <v>#NAME?</v>
      </c>
      <c r="AH24" s="1669" t="e" cm="1">
        <f t="array" ca="1" aca="1" ref="AH24">_xlfn.LET(_xlpm.val,IF($F24="",val_blankRefText,_xldudf_CX_GET(CX_ENTITY,($F24),AH$11,AH$14,,AH$19)),_xlpm.Res,IF(OR(_xlpm.val="",_xlpm.val="Error"),"",_xlpm.val),_xlpm.Res)</f>
        <v>#NAME?</v>
      </c>
      <c r="AI24" s="1669" t="e" cm="1">
        <f t="array" ca="1" aca="1" ref="AI24">_xlfn.LET(_xlpm.val,IF($F24="",val_blankRefText,_xldudf_CX_GET(CX_ENTITY,($F24),AI$11,AI$14,,AI$19)),_xlpm.Res,IF(OR(_xlpm.val="",_xlpm.val="Error"),"",_xlpm.val),_xlpm.Res)</f>
        <v>#NAME?</v>
      </c>
      <c r="AJ24" s="1669" t="e" cm="1">
        <f t="array" ca="1" aca="1" ref="AJ24">_xlfn.LET(_xlpm.val,IF($F24="",val_blankRefText,_xldudf_CX_GET(CX_ENTITY,($F24),AJ$11,AJ$14,,AJ$19)),_xlpm.Res,IF(OR(_xlpm.val="",_xlpm.val="Error"),"",_xlpm.val),_xlpm.Res)</f>
        <v>#NAME?</v>
      </c>
      <c r="AK24" s="1669" t="e" cm="1">
        <f t="array" ca="1" aca="1" ref="AK24">_xlfn.LET(_xlpm.val,IF($F24="",val_blankRefText,_xldudf_CX_GET(CX_ENTITY,($F24),AK$11,AK$14,,AK$19)),_xlpm.Res,IF(OR(_xlpm.val="",_xlpm.val="Error"),"",_xlpm.val),_xlpm.Res)</f>
        <v>#NAME?</v>
      </c>
      <c r="AL24" s="1669" t="e" cm="1">
        <f t="array" ca="1" aca="1" ref="AL24">_xlfn.LET(_xlpm.val,IF($F24="",val_blankRefText,_xldudf_CX_GET(CX_ENTITY,($F24),AL$11,AL$14,,AL$19)),_xlpm.Res,IF(OR(_xlpm.val="",_xlpm.val="Error"),"",_xlpm.val),_xlpm.Res)</f>
        <v>#NAME?</v>
      </c>
      <c r="AM24" s="1669" t="e" cm="1">
        <f t="array" ca="1" aca="1" ref="AM24">_xlfn.LET(_xlpm.val,IF($F24="",val_blankRefText,_xldudf_CX_GET(CX_ENTITY,($F24),AM$11,AM$14,,AM$19)),_xlpm.Res,IF(OR(_xlpm.val="",_xlpm.val="Error"),"",_xlpm.val),_xlpm.Res)</f>
        <v>#NAME?</v>
      </c>
      <c r="AN24" s="1669" t="e" cm="1">
        <f t="array" ca="1" aca="1" ref="AN24">_xlfn.LET(_xlpm.val,IF($F24="",val_blankRefText,_xldudf_CX_GET(CX_ENTITY,($F24),AN$11,AN$14,,AN$19)),_xlpm.Res,IF(OR(_xlpm.val="",_xlpm.val="Error"),"",_xlpm.val),_xlpm.Res)</f>
        <v>#NAME?</v>
      </c>
      <c r="AO24" s="1669" t="e" cm="1">
        <f t="array" ca="1" aca="1" ref="AO24">_xlfn.LET(_xlpm.val,IF($F24="",val_blankRefText,_xldudf_CX_GET(CX_ENTITY,($F24),AO$11,AO$14,,AO$19)),_xlpm.Res,IF(OR(_xlpm.val="",_xlpm.val="Error"),"",_xlpm.val),_xlpm.Res)</f>
        <v>#NAME?</v>
      </c>
      <c r="AP24" s="1669" t="e" cm="1">
        <f t="array" ca="1" aca="1" ref="AP24">_xlfn.LET(_xlpm.val,IF($F24="",val_blankRefText,_xldudf_CX_GET(CX_ENTITY,($F24),AP$11,AP$14,,AP$19)),_xlpm.Res,IF(OR(_xlpm.val="",_xlpm.val="Error"),"",_xlpm.val),_xlpm.Res)</f>
        <v>#NAME?</v>
      </c>
      <c r="AQ24" s="1669" t="e" cm="1">
        <f t="array" ca="1" aca="1" ref="AQ24">_xlfn.LET(_xlpm.val,IF($F24="",val_blankRefText,_xldudf_CX_GET(CX_ENTITY,($F24),AQ$11,AQ$14,,AQ$19)),_xlpm.Res,IF(OR(_xlpm.val="",_xlpm.val="Error"),"",_xlpm.val),_xlpm.Res)</f>
        <v>#NAME?</v>
      </c>
      <c r="AR24" s="1669" t="e" cm="1">
        <f t="array" ca="1" aca="1" ref="AR24">_xlfn.LET(_xlpm.val,IF($F24="",val_blankRefText,_xldudf_CX_GET(CX_ENTITY,($F24),AR$11,AR$14,,AR$19)),_xlpm.Res,IF(OR(_xlpm.val="",_xlpm.val="Error"),"",_xlpm.val),_xlpm.Res)</f>
        <v>#NAME?</v>
      </c>
      <c r="AS24" s="1669" t="e" cm="1">
        <f t="array" ca="1" aca="1" ref="AS24">_xlfn.LET(_xlpm.val,IF($F24="",val_blankRefText,_xldudf_CX_GET(CX_ENTITY,($F24),AS$11,AS$14,,AS$19)),_xlpm.Res,IF(OR(_xlpm.val="",_xlpm.val="Error"),"",_xlpm.val),_xlpm.Res)</f>
        <v>#NAME?</v>
      </c>
      <c r="AT24" s="1669" t="e" cm="1">
        <f t="array" ca="1" aca="1" ref="AT24">_xlfn.LET(_xlpm.val,IF($F24="",val_blankRefText,_xldudf_CX_GET(CX_ENTITY,($F24),AT$11,AT$14,,AT$19)),_xlpm.Res,IF(OR(_xlpm.val="",_xlpm.val="Error"),"",_xlpm.val),_xlpm.Res)</f>
        <v>#NAME?</v>
      </c>
      <c r="AU24" s="1669" t="e" cm="1">
        <f t="array" ca="1" aca="1" ref="AU24">_xlfn.LET(_xlpm.val,IF($F24="",val_blankRefText,_xldudf_CX_GET(CX_ENTITY,($F24),AU$11,AU$14,,AU$19)),_xlpm.Res,IF(OR(_xlpm.val="",_xlpm.val="Error"),"",_xlpm.val),_xlpm.Res)</f>
        <v>#NAME?</v>
      </c>
      <c r="AV24" s="1669" t="e" cm="1">
        <f t="array" ca="1" aca="1" ref="AV24">_xlfn.LET(_xlpm.val,IF($F24="",val_blankRefText,_xldudf_CX_GET(CX_ENTITY,($F24),AV$11,AV$14,,AV$19)),_xlpm.Res,IF(OR(_xlpm.val="",_xlpm.val="Error"),"",_xlpm.val),_xlpm.Res)</f>
        <v>#NAME?</v>
      </c>
      <c r="AW24" s="1669" t="e" cm="1">
        <f t="array" ca="1" aca="1" ref="AW24">_xlfn.LET(_xlpm.val,IF($F24="",val_blankRefText,_xldudf_CX_GET(CX_ENTITY,($F24),AW$11,AW$14,,AW$19)),_xlpm.Res,IF(OR(_xlpm.val="",_xlpm.val="Error"),"",_xlpm.val),_xlpm.Res)</f>
        <v>#NAME?</v>
      </c>
      <c r="AX24" s="1669" t="e" cm="1">
        <f t="array" ca="1" aca="1" ref="AX24">_xlfn.LET(_xlpm.val,IF($F24="",val_blankRefText,_xldudf_CX_GET(CX_ENTITY,($F24),AX$11,AX$14,,AX$19)),_xlpm.Res,IF(OR(_xlpm.val="",_xlpm.val="Error"),"",_xlpm.val),_xlpm.Res)</f>
        <v>#NAME?</v>
      </c>
      <c r="AY24" s="1669" t="e" cm="1">
        <f t="array" ca="1" aca="1" ref="AY24">_xlfn.LET(_xlpm.val,IF($F24="",val_blankRefText,_xldudf_CX_GET(CX_ENTITY,($F24),AY$11,AY$14,,AY$19)),_xlpm.Res,IF(OR(_xlpm.val="",_xlpm.val="Error"),"",_xlpm.val),_xlpm.Res)</f>
        <v>#NAME?</v>
      </c>
      <c r="AZ24" s="1669" t="e" cm="1">
        <f t="array" ca="1" aca="1" ref="AZ24">_xlfn.LET(_xlpm.val,IF($F24="",val_blankRefText,_xldudf_CX_GET(CX_ENTITY,($F24),AZ$11,AZ$14,,AZ$19)),_xlpm.Res,IF(OR(_xlpm.val="",_xlpm.val="Error"),"",_xlpm.val),_xlpm.Res)</f>
        <v>#NAME?</v>
      </c>
      <c r="BA24" s="1669" t="e" cm="1">
        <f t="array" ca="1" aca="1" ref="BA24">_xlfn.LET(_xlpm.val,IF($F24="",val_blankRefText,_xldudf_CX_GET(CX_ENTITY,($F24),BA$11,BA$14,,BA$19)),_xlpm.Res,IF(OR(_xlpm.val="",_xlpm.val="Error"),"",_xlpm.val),_xlpm.Res)</f>
        <v>#NAME?</v>
      </c>
      <c r="BB24" s="1669" t="e" cm="1">
        <f t="array" ca="1" aca="1" ref="BB24">_xlfn.LET(_xlpm.val,IF($F24="",val_blankRefText,_xldudf_CX_GET(CX_ENTITY,($F24),BB$11,BB$14,,BB$19)),_xlpm.Res,IF(OR(_xlpm.val="",_xlpm.val="Error"),"",_xlpm.val),_xlpm.Res)</f>
        <v>#NAME?</v>
      </c>
      <c r="BC24" s="1669" t="e" cm="1">
        <f t="array" ca="1" aca="1" ref="BC24">_xlfn.LET(_xlpm.val,IF($F24="",val_blankRefText,_xldudf_CX_GET(CX_ENTITY,($F24),BC$11,BC$14,,BC$19)),_xlpm.Res,IF(OR(_xlpm.val="",_xlpm.val="Error"),"",_xlpm.val),_xlpm.Res)</f>
        <v>#NAME?</v>
      </c>
      <c r="BD24" s="1669" t="e" cm="1">
        <f t="array" ca="1" aca="1" ref="BD24">_xlfn.LET(_xlpm.val,IF($F24="",val_blankRefText,_xldudf_CX_GET(CX_ENTITY,($F24),BD$11,BD$14,,BD$19)),_xlpm.Res,IF(OR(_xlpm.val="",_xlpm.val="Error"),"",_xlpm.val),_xlpm.Res)</f>
        <v>#NAME?</v>
      </c>
      <c r="BE24" s="1669" t="e" cm="1">
        <f t="array" ca="1" aca="1" ref="BE24">_xlfn.LET(_xlpm.val,IF($F24="",val_blankRefText,_xldudf_CX_GET(CX_ENTITY,($F24),BE$11,BE$14,,BE$19)),_xlpm.Res,IF(OR(_xlpm.val="",_xlpm.val="Error"),"",_xlpm.val),_xlpm.Res)</f>
        <v>#NAME?</v>
      </c>
      <c r="BF24" s="1669" t="e" cm="1">
        <f t="array" ca="1" aca="1" ref="BF24">_xlfn.LET(_xlpm.val,IF($F24="",val_blankRefText,_xldudf_CX_GET(CX_ENTITY,($F24),BF$11,BF$14,,BF$19)),_xlpm.Res,IF(OR(_xlpm.val="",_xlpm.val="Error"),"",_xlpm.val),_xlpm.Res)</f>
        <v>#NAME?</v>
      </c>
      <c r="BG24" s="1669" t="e" cm="1">
        <f t="array" ca="1" aca="1" ref="BG24">_xlfn.LET(_xlpm.val,IF($F24="",val_blankRefText,_xldudf_CX_GET(CX_ENTITY,($F24),BG$11,BG$14,,BG$19)),_xlpm.Res,IF(OR(_xlpm.val="",_xlpm.val="Error"),"",_xlpm.val),_xlpm.Res)</f>
        <v>#NAME?</v>
      </c>
      <c r="BH24" s="1669" t="e" cm="1">
        <f t="array" ca="1" aca="1" ref="BH24">_xlfn.LET(_xlpm.val,IF($F24="",val_blankRefText,_xldudf_CX_GET(CX_ENTITY,($F24),BH$11,BH$14,,BH$19)),_xlpm.Res,IF(OR(_xlpm.val="",_xlpm.val="Error"),"",_xlpm.val),_xlpm.Res)</f>
        <v>#NAME?</v>
      </c>
      <c r="BI24" s="1669" t="e" cm="1">
        <f t="array" ca="1" aca="1" ref="BI24">_xlfn.LET(_xlpm.val,IF($F24="",val_blankRefText,_xldudf_CX_GET(CX_ENTITY,($F24),BI$11,BI$14,,BI$19)),_xlpm.Res,IF(OR(_xlpm.val="",_xlpm.val="Error"),"",_xlpm.val),_xlpm.Res)</f>
        <v>#NAME?</v>
      </c>
      <c r="BJ24" s="1669" t="e" cm="1">
        <f t="array" ca="1" aca="1" ref="BJ24">_xlfn.LET(_xlpm.val,IF($F24="",val_blankRefText,_xldudf_CX_GET(CX_ENTITY,($F24),BJ$11,BJ$14,,BJ$19)),_xlpm.Res,IF(OR(_xlpm.val="",_xlpm.val="Error"),"",_xlpm.val),_xlpm.Res)</f>
        <v>#NAME?</v>
      </c>
      <c r="BK24" s="1669" t="e" cm="1">
        <f t="array" ca="1" aca="1" ref="BK24">_xlfn.LET(_xlpm.val,IF($F24="",val_blankRefText,_xldudf_CX_GET(CX_ENTITY,($F24),BK$11,BK$14,,BK$19)),_xlpm.Res,IF(OR(_xlpm.val="",_xlpm.val="Error"),"",_xlpm.val),_xlpm.Res)</f>
        <v>#NAME?</v>
      </c>
      <c r="BL24" s="1669" t="e" cm="1">
        <f t="array" ca="1" aca="1" ref="BL24">_xlfn.LET(_xlpm.val,IF($F24="",val_blankRefText,_xldudf_CX_GET(CX_ENTITY,($F24),BL$11,BL$14,,BL$19)),_xlpm.Res,IF(OR(_xlpm.val="",_xlpm.val="Error"),"",_xlpm.val),_xlpm.Res)</f>
        <v>#NAME?</v>
      </c>
      <c r="BM24" s="1669" t="e" cm="1">
        <f t="array" ca="1" aca="1" ref="BM24">_xlfn.LET(_xlpm.val,IF($F24="",val_blankRefText,_xldudf_CX_GET(CX_ENTITY,($F24),BM$11,BM$14,,BM$19)),_xlpm.Res,IF(OR(_xlpm.val="",_xlpm.val="Error"),"",_xlpm.val),_xlpm.Res)</f>
        <v>#NAME?</v>
      </c>
      <c r="BN24" s="1669" t="e" cm="1">
        <f t="array" ca="1" aca="1" ref="BN24">_xlfn.LET(_xlpm.val,IF($F24="",val_blankRefText,_xldudf_CX_GET(CX_ENTITY,($F24),BN$11,BN$14,,BN$19)),_xlpm.Res,IF(OR(_xlpm.val="",_xlpm.val="Error"),"",_xlpm.val),_xlpm.Res)</f>
        <v>#NAME?</v>
      </c>
      <c r="BO24" s="2095"/>
      <c r="BP24" s="2095"/>
      <c r="BQ24" s="2095"/>
      <c r="BR24" s="2095"/>
      <c r="BS24" s="2095"/>
      <c r="BT24" s="2095"/>
      <c r="BU24" s="2095"/>
      <c r="BV24" s="2095"/>
      <c r="BW24" s="2095"/>
      <c r="BX24" s="2095"/>
      <c r="BY24" s="2095"/>
      <c r="BZ24" s="2095"/>
      <c r="CA24" s="926"/>
      <c r="CB24" s="921"/>
      <c r="CC24" s="927"/>
      <c r="CD24" s="920" t="e" cm="1">
        <f t="array" ca="1" aca="1" ref="CD24">_xlfn.XLOOKUP(BS!CD$11,array_timeline,BS!$AD24:$BN24)</f>
        <v>#NAME?</v>
      </c>
      <c r="CE24" s="920" t="e" cm="1">
        <f t="array" ca="1" aca="1" ref="CE24">_xlfn.XLOOKUP(BS!CE$11,array_timeline,BS!$AD24:$BN24)</f>
        <v>#NAME?</v>
      </c>
      <c r="CF24" s="925"/>
      <c r="CG24" s="920" t="e" cm="1">
        <f t="array" ca="1" aca="1" ref="CG24">_xlfn.LET(_xlpm.val,IF($F24="",val_blankRefText,_xldudf_CX_GET(CX_ENTITY,($F24),CG$11,CG$14,,(CG$19))),_xlpm.Res,IF(OR(_xlpm.val="",_xlpm.val="Error"),"",_xlpm.val),_xlpm.Res)</f>
        <v>#NAME?</v>
      </c>
      <c r="CH24" s="920" t="e" cm="1">
        <f t="array" ca="1" aca="1" ref="CH24">_xlfn.LET(_xlpm.val,IF($F24="",val_blankRefText,_xldudf_CX_GET(CX_ENTITY,($F24),CH$11,CH$14,,(CH$19))),_xlpm.Res,IF(OR(_xlpm.val="",_xlpm.val="Error"),"",_xlpm.val),_xlpm.Res)</f>
        <v>#NAME?</v>
      </c>
      <c r="CI24" s="200"/>
    </row>
    <row r="25" spans="1:87" ht="21" customHeight="1">
      <c r="A25" s="696" t="s">
        <v>1702</v>
      </c>
      <c r="B25" s="577" t="s">
        <v>1703</v>
      </c>
      <c r="C25" s="577" t="s">
        <v>1704</v>
      </c>
      <c r="D25" s="577"/>
      <c r="E25" s="577" t="e" cm="1">
        <f t="array" ca="1" aca="1" ref="E25">_xlfn.LET(_xlpm.Attr,$C25,_xlpm.Lookback,$E$16,_xlpm.QueryDate,EOMONTH(val_asOfDate,_xlpm.Lookback),_xlpm.ReadField,_xldudf_CX_GET(CX_ENTITY,fx_attrConverter($C25),_xlpm.QueryDate),_xlpm.AttrBlank,_xlpm.Attr="",_xlpm.RESULT,IF(_xlpm.AttrBlank,val_blankRefText,fx_attrConverter(_xlpm.ReadField,0)),IF(_xlpm.RESULT="Error","",_xlpm.RESULT))</f>
        <v>#NAME?</v>
      </c>
      <c r="F25" s="577" t="str">
        <f t="shared" si="1"/>
        <v>Accounts Payable</v>
      </c>
      <c r="G25" s="574"/>
      <c r="H25" s="3279">
        <v>1</v>
      </c>
      <c r="I25" s="3279">
        <v>1</v>
      </c>
      <c r="J25" s="401"/>
      <c r="K25" s="401"/>
      <c r="L25" s="3269" t="b">
        <v>1</v>
      </c>
      <c r="N25" s="158"/>
      <c r="O25" s="101"/>
      <c r="P25" s="52"/>
      <c r="Q25" s="101"/>
      <c r="R25" s="101"/>
      <c r="S25" s="101"/>
      <c r="T25" s="101"/>
      <c r="U25" s="39"/>
      <c r="W25" s="91" t="str">
        <f t="shared" si="4"/>
        <v>Actual</v>
      </c>
      <c r="X25" s="857">
        <v>-1</v>
      </c>
      <c r="Y25" s="2627" t="s">
        <v>1703</v>
      </c>
      <c r="Z25" s="3291" cm="1">
        <f t="array" ref="Z25">_xlfn.SWITCH(TRUE,$L25="",0,$L25=TRUE,1,$L25=FALSE,-1,)</f>
        <v>1</v>
      </c>
      <c r="AA25" s="2625"/>
      <c r="AB25" s="2626" t="s">
        <v>1703</v>
      </c>
      <c r="AC25" s="88" t="str" cm="1">
        <f t="array" ref="AC25">IFERROR(IF(_xlfn.XMATCH(AB25,tbl_acctDef[Term],0)&gt;0,fx_getIcon("find"),""),"")</f>
        <v/>
      </c>
      <c r="AD25" s="1669" t="e" cm="1">
        <f t="array" ca="1" aca="1" ref="AD25">_xlfn.LET(_xlpm.val,IF($F25="",val_blankRefText,_xldudf_CX_GET(CX_ENTITY,($F25),AD$11,AD$14,,AD$19)),_xlpm.Res,IF(OR(_xlpm.val="",_xlpm.val="Error"),"",_xlpm.val),_xlpm.Res)</f>
        <v>#NAME?</v>
      </c>
      <c r="AE25" s="1669" t="e" cm="1">
        <f t="array" ca="1" aca="1" ref="AE25">_xlfn.LET(_xlpm.val,IF($F25="",val_blankRefText,_xldudf_CX_GET(CX_ENTITY,($F25),AE$11,AE$14,,AE$19)),_xlpm.Res,IF(OR(_xlpm.val="",_xlpm.val="Error"),"",_xlpm.val),_xlpm.Res)</f>
        <v>#NAME?</v>
      </c>
      <c r="AF25" s="1669" t="e" cm="1">
        <f t="array" ca="1" aca="1" ref="AF25">_xlfn.LET(_xlpm.val,IF($F25="",val_blankRefText,_xldudf_CX_GET(CX_ENTITY,($F25),AF$11,AF$14,,AF$19)),_xlpm.Res,IF(OR(_xlpm.val="",_xlpm.val="Error"),"",_xlpm.val),_xlpm.Res)</f>
        <v>#NAME?</v>
      </c>
      <c r="AG25" s="1669" t="e" cm="1">
        <f t="array" ca="1" aca="1" ref="AG25">_xlfn.LET(_xlpm.val,IF($F25="",val_blankRefText,_xldudf_CX_GET(CX_ENTITY,($F25),AG$11,AG$14,,AG$19)),_xlpm.Res,IF(OR(_xlpm.val="",_xlpm.val="Error"),"",_xlpm.val),_xlpm.Res)</f>
        <v>#NAME?</v>
      </c>
      <c r="AH25" s="1669" t="e" cm="1">
        <f t="array" ca="1" aca="1" ref="AH25">_xlfn.LET(_xlpm.val,IF($F25="",val_blankRefText,_xldudf_CX_GET(CX_ENTITY,($F25),AH$11,AH$14,,AH$19)),_xlpm.Res,IF(OR(_xlpm.val="",_xlpm.val="Error"),"",_xlpm.val),_xlpm.Res)</f>
        <v>#NAME?</v>
      </c>
      <c r="AI25" s="1669" t="e" cm="1">
        <f t="array" ca="1" aca="1" ref="AI25">_xlfn.LET(_xlpm.val,IF($F25="",val_blankRefText,_xldudf_CX_GET(CX_ENTITY,($F25),AI$11,AI$14,,AI$19)),_xlpm.Res,IF(OR(_xlpm.val="",_xlpm.val="Error"),"",_xlpm.val),_xlpm.Res)</f>
        <v>#NAME?</v>
      </c>
      <c r="AJ25" s="1669" t="e" cm="1">
        <f t="array" ca="1" aca="1" ref="AJ25">_xlfn.LET(_xlpm.val,IF($F25="",val_blankRefText,_xldudf_CX_GET(CX_ENTITY,($F25),AJ$11,AJ$14,,AJ$19)),_xlpm.Res,IF(OR(_xlpm.val="",_xlpm.val="Error"),"",_xlpm.val),_xlpm.Res)</f>
        <v>#NAME?</v>
      </c>
      <c r="AK25" s="1669" t="e" cm="1">
        <f t="array" ca="1" aca="1" ref="AK25">_xlfn.LET(_xlpm.val,IF($F25="",val_blankRefText,_xldudf_CX_GET(CX_ENTITY,($F25),AK$11,AK$14,,AK$19)),_xlpm.Res,IF(OR(_xlpm.val="",_xlpm.val="Error"),"",_xlpm.val),_xlpm.Res)</f>
        <v>#NAME?</v>
      </c>
      <c r="AL25" s="1669" t="e" cm="1">
        <f t="array" ca="1" aca="1" ref="AL25">_xlfn.LET(_xlpm.val,IF($F25="",val_blankRefText,_xldudf_CX_GET(CX_ENTITY,($F25),AL$11,AL$14,,AL$19)),_xlpm.Res,IF(OR(_xlpm.val="",_xlpm.val="Error"),"",_xlpm.val),_xlpm.Res)</f>
        <v>#NAME?</v>
      </c>
      <c r="AM25" s="1669" t="e" cm="1">
        <f t="array" ca="1" aca="1" ref="AM25">_xlfn.LET(_xlpm.val,IF($F25="",val_blankRefText,_xldudf_CX_GET(CX_ENTITY,($F25),AM$11,AM$14,,AM$19)),_xlpm.Res,IF(OR(_xlpm.val="",_xlpm.val="Error"),"",_xlpm.val),_xlpm.Res)</f>
        <v>#NAME?</v>
      </c>
      <c r="AN25" s="1669" t="e" cm="1">
        <f t="array" ca="1" aca="1" ref="AN25">_xlfn.LET(_xlpm.val,IF($F25="",val_blankRefText,_xldudf_CX_GET(CX_ENTITY,($F25),AN$11,AN$14,,AN$19)),_xlpm.Res,IF(OR(_xlpm.val="",_xlpm.val="Error"),"",_xlpm.val),_xlpm.Res)</f>
        <v>#NAME?</v>
      </c>
      <c r="AO25" s="1669" t="e" cm="1">
        <f t="array" ca="1" aca="1" ref="AO25">_xlfn.LET(_xlpm.val,IF($F25="",val_blankRefText,_xldudf_CX_GET(CX_ENTITY,($F25),AO$11,AO$14,,AO$19)),_xlpm.Res,IF(OR(_xlpm.val="",_xlpm.val="Error"),"",_xlpm.val),_xlpm.Res)</f>
        <v>#NAME?</v>
      </c>
      <c r="AP25" s="1669" t="e" cm="1">
        <f t="array" ca="1" aca="1" ref="AP25">_xlfn.LET(_xlpm.val,IF($F25="",val_blankRefText,_xldudf_CX_GET(CX_ENTITY,($F25),AP$11,AP$14,,AP$19)),_xlpm.Res,IF(OR(_xlpm.val="",_xlpm.val="Error"),"",_xlpm.val),_xlpm.Res)</f>
        <v>#NAME?</v>
      </c>
      <c r="AQ25" s="1669" t="e" cm="1">
        <f t="array" ca="1" aca="1" ref="AQ25">_xlfn.LET(_xlpm.val,IF($F25="",val_blankRefText,_xldudf_CX_GET(CX_ENTITY,($F25),AQ$11,AQ$14,,AQ$19)),_xlpm.Res,IF(OR(_xlpm.val="",_xlpm.val="Error"),"",_xlpm.val),_xlpm.Res)</f>
        <v>#NAME?</v>
      </c>
      <c r="AR25" s="1669" t="e" cm="1">
        <f t="array" ca="1" aca="1" ref="AR25">_xlfn.LET(_xlpm.val,IF($F25="",val_blankRefText,_xldudf_CX_GET(CX_ENTITY,($F25),AR$11,AR$14,,AR$19)),_xlpm.Res,IF(OR(_xlpm.val="",_xlpm.val="Error"),"",_xlpm.val),_xlpm.Res)</f>
        <v>#NAME?</v>
      </c>
      <c r="AS25" s="1669" t="e" cm="1">
        <f t="array" ca="1" aca="1" ref="AS25">_xlfn.LET(_xlpm.val,IF($F25="",val_blankRefText,_xldudf_CX_GET(CX_ENTITY,($F25),AS$11,AS$14,,AS$19)),_xlpm.Res,IF(OR(_xlpm.val="",_xlpm.val="Error"),"",_xlpm.val),_xlpm.Res)</f>
        <v>#NAME?</v>
      </c>
      <c r="AT25" s="1669" t="e" cm="1">
        <f t="array" ca="1" aca="1" ref="AT25">_xlfn.LET(_xlpm.val,IF($F25="",val_blankRefText,_xldudf_CX_GET(CX_ENTITY,($F25),AT$11,AT$14,,AT$19)),_xlpm.Res,IF(OR(_xlpm.val="",_xlpm.val="Error"),"",_xlpm.val),_xlpm.Res)</f>
        <v>#NAME?</v>
      </c>
      <c r="AU25" s="1669" t="e" cm="1">
        <f t="array" ca="1" aca="1" ref="AU25">_xlfn.LET(_xlpm.val,IF($F25="",val_blankRefText,_xldudf_CX_GET(CX_ENTITY,($F25),AU$11,AU$14,,AU$19)),_xlpm.Res,IF(OR(_xlpm.val="",_xlpm.val="Error"),"",_xlpm.val),_xlpm.Res)</f>
        <v>#NAME?</v>
      </c>
      <c r="AV25" s="1669" t="e" cm="1">
        <f t="array" ca="1" aca="1" ref="AV25">_xlfn.LET(_xlpm.val,IF($F25="",val_blankRefText,_xldudf_CX_GET(CX_ENTITY,($F25),AV$11,AV$14,,AV$19)),_xlpm.Res,IF(OR(_xlpm.val="",_xlpm.val="Error"),"",_xlpm.val),_xlpm.Res)</f>
        <v>#NAME?</v>
      </c>
      <c r="AW25" s="1669" t="e" cm="1">
        <f t="array" ca="1" aca="1" ref="AW25">_xlfn.LET(_xlpm.val,IF($F25="",val_blankRefText,_xldudf_CX_GET(CX_ENTITY,($F25),AW$11,AW$14,,AW$19)),_xlpm.Res,IF(OR(_xlpm.val="",_xlpm.val="Error"),"",_xlpm.val),_xlpm.Res)</f>
        <v>#NAME?</v>
      </c>
      <c r="AX25" s="1669" t="e" cm="1">
        <f t="array" ca="1" aca="1" ref="AX25">_xlfn.LET(_xlpm.val,IF($F25="",val_blankRefText,_xldudf_CX_GET(CX_ENTITY,($F25),AX$11,AX$14,,AX$19)),_xlpm.Res,IF(OR(_xlpm.val="",_xlpm.val="Error"),"",_xlpm.val),_xlpm.Res)</f>
        <v>#NAME?</v>
      </c>
      <c r="AY25" s="1669" t="e" cm="1">
        <f t="array" ca="1" aca="1" ref="AY25">_xlfn.LET(_xlpm.val,IF($F25="",val_blankRefText,_xldudf_CX_GET(CX_ENTITY,($F25),AY$11,AY$14,,AY$19)),_xlpm.Res,IF(OR(_xlpm.val="",_xlpm.val="Error"),"",_xlpm.val),_xlpm.Res)</f>
        <v>#NAME?</v>
      </c>
      <c r="AZ25" s="1669" t="e" cm="1">
        <f t="array" ca="1" aca="1" ref="AZ25">_xlfn.LET(_xlpm.val,IF($F25="",val_blankRefText,_xldudf_CX_GET(CX_ENTITY,($F25),AZ$11,AZ$14,,AZ$19)),_xlpm.Res,IF(OR(_xlpm.val="",_xlpm.val="Error"),"",_xlpm.val),_xlpm.Res)</f>
        <v>#NAME?</v>
      </c>
      <c r="BA25" s="1669" t="e" cm="1">
        <f t="array" ca="1" aca="1" ref="BA25">_xlfn.LET(_xlpm.val,IF($F25="",val_blankRefText,_xldudf_CX_GET(CX_ENTITY,($F25),BA$11,BA$14,,BA$19)),_xlpm.Res,IF(OR(_xlpm.val="",_xlpm.val="Error"),"",_xlpm.val),_xlpm.Res)</f>
        <v>#NAME?</v>
      </c>
      <c r="BB25" s="1669" t="e" cm="1">
        <f t="array" ca="1" aca="1" ref="BB25">_xlfn.LET(_xlpm.val,IF($F25="",val_blankRefText,_xldudf_CX_GET(CX_ENTITY,($F25),BB$11,BB$14,,BB$19)),_xlpm.Res,IF(OR(_xlpm.val="",_xlpm.val="Error"),"",_xlpm.val),_xlpm.Res)</f>
        <v>#NAME?</v>
      </c>
      <c r="BC25" s="1669" t="e" cm="1">
        <f t="array" ca="1" aca="1" ref="BC25">_xlfn.LET(_xlpm.val,IF($F25="",val_blankRefText,_xldudf_CX_GET(CX_ENTITY,($F25),BC$11,BC$14,,BC$19)),_xlpm.Res,IF(OR(_xlpm.val="",_xlpm.val="Error"),"",_xlpm.val),_xlpm.Res)</f>
        <v>#NAME?</v>
      </c>
      <c r="BD25" s="1669" t="e" cm="1">
        <f t="array" ca="1" aca="1" ref="BD25">_xlfn.LET(_xlpm.val,IF($F25="",val_blankRefText,_xldudf_CX_GET(CX_ENTITY,($F25),BD$11,BD$14,,BD$19)),_xlpm.Res,IF(OR(_xlpm.val="",_xlpm.val="Error"),"",_xlpm.val),_xlpm.Res)</f>
        <v>#NAME?</v>
      </c>
      <c r="BE25" s="1669" t="e" cm="1">
        <f t="array" ca="1" aca="1" ref="BE25">_xlfn.LET(_xlpm.val,IF($F25="",val_blankRefText,_xldudf_CX_GET(CX_ENTITY,($F25),BE$11,BE$14,,BE$19)),_xlpm.Res,IF(OR(_xlpm.val="",_xlpm.val="Error"),"",_xlpm.val),_xlpm.Res)</f>
        <v>#NAME?</v>
      </c>
      <c r="BF25" s="1669" t="e" cm="1">
        <f t="array" ca="1" aca="1" ref="BF25">_xlfn.LET(_xlpm.val,IF($F25="",val_blankRefText,_xldudf_CX_GET(CX_ENTITY,($F25),BF$11,BF$14,,BF$19)),_xlpm.Res,IF(OR(_xlpm.val="",_xlpm.val="Error"),"",_xlpm.val),_xlpm.Res)</f>
        <v>#NAME?</v>
      </c>
      <c r="BG25" s="1669" t="e" cm="1">
        <f t="array" ca="1" aca="1" ref="BG25">_xlfn.LET(_xlpm.val,IF($F25="",val_blankRefText,_xldudf_CX_GET(CX_ENTITY,($F25),BG$11,BG$14,,BG$19)),_xlpm.Res,IF(OR(_xlpm.val="",_xlpm.val="Error"),"",_xlpm.val),_xlpm.Res)</f>
        <v>#NAME?</v>
      </c>
      <c r="BH25" s="1669" t="e" cm="1">
        <f t="array" ca="1" aca="1" ref="BH25">_xlfn.LET(_xlpm.val,IF($F25="",val_blankRefText,_xldudf_CX_GET(CX_ENTITY,($F25),BH$11,BH$14,,BH$19)),_xlpm.Res,IF(OR(_xlpm.val="",_xlpm.val="Error"),"",_xlpm.val),_xlpm.Res)</f>
        <v>#NAME?</v>
      </c>
      <c r="BI25" s="1669" t="e" cm="1">
        <f t="array" ca="1" aca="1" ref="BI25">_xlfn.LET(_xlpm.val,IF($F25="",val_blankRefText,_xldudf_CX_GET(CX_ENTITY,($F25),BI$11,BI$14,,BI$19)),_xlpm.Res,IF(OR(_xlpm.val="",_xlpm.val="Error"),"",_xlpm.val),_xlpm.Res)</f>
        <v>#NAME?</v>
      </c>
      <c r="BJ25" s="1669" t="e" cm="1">
        <f t="array" ca="1" aca="1" ref="BJ25">_xlfn.LET(_xlpm.val,IF($F25="",val_blankRefText,_xldudf_CX_GET(CX_ENTITY,($F25),BJ$11,BJ$14,,BJ$19)),_xlpm.Res,IF(OR(_xlpm.val="",_xlpm.val="Error"),"",_xlpm.val),_xlpm.Res)</f>
        <v>#NAME?</v>
      </c>
      <c r="BK25" s="1669" t="e" cm="1">
        <f t="array" ca="1" aca="1" ref="BK25">_xlfn.LET(_xlpm.val,IF($F25="",val_blankRefText,_xldudf_CX_GET(CX_ENTITY,($F25),BK$11,BK$14,,BK$19)),_xlpm.Res,IF(OR(_xlpm.val="",_xlpm.val="Error"),"",_xlpm.val),_xlpm.Res)</f>
        <v>#NAME?</v>
      </c>
      <c r="BL25" s="1669" t="e" cm="1">
        <f t="array" ca="1" aca="1" ref="BL25">_xlfn.LET(_xlpm.val,IF($F25="",val_blankRefText,_xldudf_CX_GET(CX_ENTITY,($F25),BL$11,BL$14,,BL$19)),_xlpm.Res,IF(OR(_xlpm.val="",_xlpm.val="Error"),"",_xlpm.val),_xlpm.Res)</f>
        <v>#NAME?</v>
      </c>
      <c r="BM25" s="1669" t="e" cm="1">
        <f t="array" ca="1" aca="1" ref="BM25">_xlfn.LET(_xlpm.val,IF($F25="",val_blankRefText,_xldudf_CX_GET(CX_ENTITY,($F25),BM$11,BM$14,,BM$19)),_xlpm.Res,IF(OR(_xlpm.val="",_xlpm.val="Error"),"",_xlpm.val),_xlpm.Res)</f>
        <v>#NAME?</v>
      </c>
      <c r="BN25" s="1669" t="e" cm="1">
        <f t="array" ca="1" aca="1" ref="BN25">_xlfn.LET(_xlpm.val,IF($F25="",val_blankRefText,_xldudf_CX_GET(CX_ENTITY,($F25),BN$11,BN$14,,BN$19)),_xlpm.Res,IF(OR(_xlpm.val="",_xlpm.val="Error"),"",_xlpm.val),_xlpm.Res)</f>
        <v>#NAME?</v>
      </c>
      <c r="BO25" s="2095"/>
      <c r="BP25" s="2095"/>
      <c r="BQ25" s="2095"/>
      <c r="BR25" s="2095"/>
      <c r="BS25" s="2095"/>
      <c r="BT25" s="2095"/>
      <c r="BU25" s="2095"/>
      <c r="BV25" s="2095"/>
      <c r="BW25" s="2095"/>
      <c r="BX25" s="2095"/>
      <c r="BY25" s="2095"/>
      <c r="BZ25" s="2095"/>
      <c r="CA25" s="926"/>
      <c r="CB25" s="921"/>
      <c r="CC25" s="927"/>
      <c r="CD25" s="920" t="e" cm="1">
        <f t="array" ca="1" aca="1" ref="CD25">_xlfn.XLOOKUP(BS!CD$11,array_timeline,BS!$AD25:$BN25)</f>
        <v>#NAME?</v>
      </c>
      <c r="CE25" s="920" t="e" cm="1">
        <f t="array" ca="1" aca="1" ref="CE25">_xlfn.XLOOKUP(BS!CE$11,array_timeline,BS!$AD25:$BN25)</f>
        <v>#NAME?</v>
      </c>
      <c r="CF25" s="925"/>
      <c r="CG25" s="920" t="e" cm="1">
        <f t="array" ca="1" aca="1" ref="CG25">_xlfn.LET(_xlpm.val,IF($F25="",val_blankRefText,_xldudf_CX_GET(CX_ENTITY,($F25),CG$11,CG$14,,(CG$19))),_xlpm.Res,IF(OR(_xlpm.val="",_xlpm.val="Error"),"",_xlpm.val),_xlpm.Res)</f>
        <v>#NAME?</v>
      </c>
      <c r="CH25" s="920" t="e" cm="1">
        <f t="array" ca="1" aca="1" ref="CH25">_xlfn.LET(_xlpm.val,IF($F25="",val_blankRefText,_xldudf_CX_GET(CX_ENTITY,($F25),CH$11,CH$14,,(CH$19))),_xlpm.Res,IF(OR(_xlpm.val="",_xlpm.val="Error"),"",_xlpm.val),_xlpm.Res)</f>
        <v>#NAME?</v>
      </c>
      <c r="CI25" s="200"/>
    </row>
    <row r="26" spans="1:87" ht="21" customHeight="1">
      <c r="A26" s="696" t="s">
        <v>1705</v>
      </c>
      <c r="B26" s="577" t="s">
        <v>727</v>
      </c>
      <c r="C26" s="577" t="s">
        <v>1706</v>
      </c>
      <c r="D26" s="577"/>
      <c r="E26" s="577" t="e" cm="1">
        <f t="array" ca="1" aca="1" ref="E26">_xlfn.LET(_xlpm.Attr,$C26,_xlpm.Lookback,$E$16,_xlpm.QueryDate,EOMONTH(val_asOfDate,_xlpm.Lookback),_xlpm.ReadField,_xldudf_CX_GET(CX_ENTITY,fx_attrConverter($C26),_xlpm.QueryDate),_xlpm.AttrBlank,_xlpm.Attr="",_xlpm.RESULT,IF(_xlpm.AttrBlank,val_blankRefText,fx_attrConverter(_xlpm.ReadField,0)),IF(_xlpm.RESULT="Error","",_xlpm.RESULT))</f>
        <v>#NAME?</v>
      </c>
      <c r="F26" s="577" t="str">
        <f t="shared" si="1"/>
        <v>Inventory</v>
      </c>
      <c r="G26" s="574"/>
      <c r="H26" s="3279">
        <v>1</v>
      </c>
      <c r="I26" s="3279">
        <v>1</v>
      </c>
      <c r="J26" s="401"/>
      <c r="K26" s="401"/>
      <c r="L26" s="3269" t="b">
        <v>1</v>
      </c>
      <c r="N26" s="158"/>
      <c r="O26" s="101"/>
      <c r="P26" s="52"/>
      <c r="Q26" s="101"/>
      <c r="R26" s="126"/>
      <c r="S26" s="101"/>
      <c r="T26" s="101"/>
      <c r="U26" s="39"/>
      <c r="W26" s="91" t="str">
        <f t="shared" si="4"/>
        <v>Actual</v>
      </c>
      <c r="X26" s="3292">
        <v>1</v>
      </c>
      <c r="Y26" s="2627" t="s">
        <v>727</v>
      </c>
      <c r="Z26" s="3291" cm="1">
        <f t="array" ref="Z26">_xlfn.SWITCH(TRUE,$L26="",0,$L26=TRUE,1,$L26=FALSE,-1,)</f>
        <v>1</v>
      </c>
      <c r="AA26" s="2625"/>
      <c r="AB26" s="2626" t="s">
        <v>727</v>
      </c>
      <c r="AC26" s="88" t="e" vm="5" cm="1">
        <f t="array" ref="AC26">IFERROR(IF(_xlfn.XMATCH(AB26,tbl_acctDef[Term],0)&gt;0,fx_getIcon("find"),""),"")</f>
        <v>#VALUE!</v>
      </c>
      <c r="AD26" s="1669" t="e" cm="1">
        <f t="array" ca="1" aca="1" ref="AD26">_xlfn.LET(_xlpm.val,IF($F26="",val_blankRefText,_xldudf_CX_GET(CX_ENTITY,($F26),AD$11,AD$14,,AD$19)),_xlpm.Res,IF(OR(_xlpm.val="",_xlpm.val="Error"),"",_xlpm.val),_xlpm.Res)</f>
        <v>#NAME?</v>
      </c>
      <c r="AE26" s="1669" t="e" cm="1">
        <f t="array" ca="1" aca="1" ref="AE26">_xlfn.LET(_xlpm.val,IF($F26="",val_blankRefText,_xldudf_CX_GET(CX_ENTITY,($F26),AE$11,AE$14,,AE$19)),_xlpm.Res,IF(OR(_xlpm.val="",_xlpm.val="Error"),"",_xlpm.val),_xlpm.Res)</f>
        <v>#NAME?</v>
      </c>
      <c r="AF26" s="1669" t="e" cm="1">
        <f t="array" ca="1" aca="1" ref="AF26">_xlfn.LET(_xlpm.val,IF($F26="",val_blankRefText,_xldudf_CX_GET(CX_ENTITY,($F26),AF$11,AF$14,,AF$19)),_xlpm.Res,IF(OR(_xlpm.val="",_xlpm.val="Error"),"",_xlpm.val),_xlpm.Res)</f>
        <v>#NAME?</v>
      </c>
      <c r="AG26" s="1669" t="e" cm="1">
        <f t="array" ca="1" aca="1" ref="AG26">_xlfn.LET(_xlpm.val,IF($F26="",val_blankRefText,_xldudf_CX_GET(CX_ENTITY,($F26),AG$11,AG$14,,AG$19)),_xlpm.Res,IF(OR(_xlpm.val="",_xlpm.val="Error"),"",_xlpm.val),_xlpm.Res)</f>
        <v>#NAME?</v>
      </c>
      <c r="AH26" s="1669" t="e" cm="1">
        <f t="array" ca="1" aca="1" ref="AH26">_xlfn.LET(_xlpm.val,IF($F26="",val_blankRefText,_xldudf_CX_GET(CX_ENTITY,($F26),AH$11,AH$14,,AH$19)),_xlpm.Res,IF(OR(_xlpm.val="",_xlpm.val="Error"),"",_xlpm.val),_xlpm.Res)</f>
        <v>#NAME?</v>
      </c>
      <c r="AI26" s="1669" t="e" cm="1">
        <f t="array" ca="1" aca="1" ref="AI26">_xlfn.LET(_xlpm.val,IF($F26="",val_blankRefText,_xldudf_CX_GET(CX_ENTITY,($F26),AI$11,AI$14,,AI$19)),_xlpm.Res,IF(OR(_xlpm.val="",_xlpm.val="Error"),"",_xlpm.val),_xlpm.Res)</f>
        <v>#NAME?</v>
      </c>
      <c r="AJ26" s="1669" t="e" cm="1">
        <f t="array" ca="1" aca="1" ref="AJ26">_xlfn.LET(_xlpm.val,IF($F26="",val_blankRefText,_xldudf_CX_GET(CX_ENTITY,($F26),AJ$11,AJ$14,,AJ$19)),_xlpm.Res,IF(OR(_xlpm.val="",_xlpm.val="Error"),"",_xlpm.val),_xlpm.Res)</f>
        <v>#NAME?</v>
      </c>
      <c r="AK26" s="1669" t="e" cm="1">
        <f t="array" ca="1" aca="1" ref="AK26">_xlfn.LET(_xlpm.val,IF($F26="",val_blankRefText,_xldudf_CX_GET(CX_ENTITY,($F26),AK$11,AK$14,,AK$19)),_xlpm.Res,IF(OR(_xlpm.val="",_xlpm.val="Error"),"",_xlpm.val),_xlpm.Res)</f>
        <v>#NAME?</v>
      </c>
      <c r="AL26" s="1669" t="e" cm="1">
        <f t="array" ca="1" aca="1" ref="AL26">_xlfn.LET(_xlpm.val,IF($F26="",val_blankRefText,_xldudf_CX_GET(CX_ENTITY,($F26),AL$11,AL$14,,AL$19)),_xlpm.Res,IF(OR(_xlpm.val="",_xlpm.val="Error"),"",_xlpm.val),_xlpm.Res)</f>
        <v>#NAME?</v>
      </c>
      <c r="AM26" s="1669" t="e" cm="1">
        <f t="array" ca="1" aca="1" ref="AM26">_xlfn.LET(_xlpm.val,IF($F26="",val_blankRefText,_xldudf_CX_GET(CX_ENTITY,($F26),AM$11,AM$14,,AM$19)),_xlpm.Res,IF(OR(_xlpm.val="",_xlpm.val="Error"),"",_xlpm.val),_xlpm.Res)</f>
        <v>#NAME?</v>
      </c>
      <c r="AN26" s="1669" t="e" cm="1">
        <f t="array" ca="1" aca="1" ref="AN26">_xlfn.LET(_xlpm.val,IF($F26="",val_blankRefText,_xldudf_CX_GET(CX_ENTITY,($F26),AN$11,AN$14,,AN$19)),_xlpm.Res,IF(OR(_xlpm.val="",_xlpm.val="Error"),"",_xlpm.val),_xlpm.Res)</f>
        <v>#NAME?</v>
      </c>
      <c r="AO26" s="1669" t="e" cm="1">
        <f t="array" ca="1" aca="1" ref="AO26">_xlfn.LET(_xlpm.val,IF($F26="",val_blankRefText,_xldudf_CX_GET(CX_ENTITY,($F26),AO$11,AO$14,,AO$19)),_xlpm.Res,IF(OR(_xlpm.val="",_xlpm.val="Error"),"",_xlpm.val),_xlpm.Res)</f>
        <v>#NAME?</v>
      </c>
      <c r="AP26" s="1669" t="e" cm="1">
        <f t="array" ca="1" aca="1" ref="AP26">_xlfn.LET(_xlpm.val,IF($F26="",val_blankRefText,_xldudf_CX_GET(CX_ENTITY,($F26),AP$11,AP$14,,AP$19)),_xlpm.Res,IF(OR(_xlpm.val="",_xlpm.val="Error"),"",_xlpm.val),_xlpm.Res)</f>
        <v>#NAME?</v>
      </c>
      <c r="AQ26" s="1669" t="e" cm="1">
        <f t="array" ca="1" aca="1" ref="AQ26">_xlfn.LET(_xlpm.val,IF($F26="",val_blankRefText,_xldudf_CX_GET(CX_ENTITY,($F26),AQ$11,AQ$14,,AQ$19)),_xlpm.Res,IF(OR(_xlpm.val="",_xlpm.val="Error"),"",_xlpm.val),_xlpm.Res)</f>
        <v>#NAME?</v>
      </c>
      <c r="AR26" s="1669" t="e" cm="1">
        <f t="array" ca="1" aca="1" ref="AR26">_xlfn.LET(_xlpm.val,IF($F26="",val_blankRefText,_xldudf_CX_GET(CX_ENTITY,($F26),AR$11,AR$14,,AR$19)),_xlpm.Res,IF(OR(_xlpm.val="",_xlpm.val="Error"),"",_xlpm.val),_xlpm.Res)</f>
        <v>#NAME?</v>
      </c>
      <c r="AS26" s="1669" t="e" cm="1">
        <f t="array" ca="1" aca="1" ref="AS26">_xlfn.LET(_xlpm.val,IF($F26="",val_blankRefText,_xldudf_CX_GET(CX_ENTITY,($F26),AS$11,AS$14,,AS$19)),_xlpm.Res,IF(OR(_xlpm.val="",_xlpm.val="Error"),"",_xlpm.val),_xlpm.Res)</f>
        <v>#NAME?</v>
      </c>
      <c r="AT26" s="1669" t="e" cm="1">
        <f t="array" ca="1" aca="1" ref="AT26">_xlfn.LET(_xlpm.val,IF($F26="",val_blankRefText,_xldudf_CX_GET(CX_ENTITY,($F26),AT$11,AT$14,,AT$19)),_xlpm.Res,IF(OR(_xlpm.val="",_xlpm.val="Error"),"",_xlpm.val),_xlpm.Res)</f>
        <v>#NAME?</v>
      </c>
      <c r="AU26" s="1669" t="e" cm="1">
        <f t="array" ca="1" aca="1" ref="AU26">_xlfn.LET(_xlpm.val,IF($F26="",val_blankRefText,_xldudf_CX_GET(CX_ENTITY,($F26),AU$11,AU$14,,AU$19)),_xlpm.Res,IF(OR(_xlpm.val="",_xlpm.val="Error"),"",_xlpm.val),_xlpm.Res)</f>
        <v>#NAME?</v>
      </c>
      <c r="AV26" s="1669" t="e" cm="1">
        <f t="array" ca="1" aca="1" ref="AV26">_xlfn.LET(_xlpm.val,IF($F26="",val_blankRefText,_xldudf_CX_GET(CX_ENTITY,($F26),AV$11,AV$14,,AV$19)),_xlpm.Res,IF(OR(_xlpm.val="",_xlpm.val="Error"),"",_xlpm.val),_xlpm.Res)</f>
        <v>#NAME?</v>
      </c>
      <c r="AW26" s="1669" t="e" cm="1">
        <f t="array" ca="1" aca="1" ref="AW26">_xlfn.LET(_xlpm.val,IF($F26="",val_blankRefText,_xldudf_CX_GET(CX_ENTITY,($F26),AW$11,AW$14,,AW$19)),_xlpm.Res,IF(OR(_xlpm.val="",_xlpm.val="Error"),"",_xlpm.val),_xlpm.Res)</f>
        <v>#NAME?</v>
      </c>
      <c r="AX26" s="1669" t="e" cm="1">
        <f t="array" ca="1" aca="1" ref="AX26">_xlfn.LET(_xlpm.val,IF($F26="",val_blankRefText,_xldudf_CX_GET(CX_ENTITY,($F26),AX$11,AX$14,,AX$19)),_xlpm.Res,IF(OR(_xlpm.val="",_xlpm.val="Error"),"",_xlpm.val),_xlpm.Res)</f>
        <v>#NAME?</v>
      </c>
      <c r="AY26" s="1669" t="e" cm="1">
        <f t="array" ca="1" aca="1" ref="AY26">_xlfn.LET(_xlpm.val,IF($F26="",val_blankRefText,_xldudf_CX_GET(CX_ENTITY,($F26),AY$11,AY$14,,AY$19)),_xlpm.Res,IF(OR(_xlpm.val="",_xlpm.val="Error"),"",_xlpm.val),_xlpm.Res)</f>
        <v>#NAME?</v>
      </c>
      <c r="AZ26" s="1669" t="e" cm="1">
        <f t="array" ca="1" aca="1" ref="AZ26">_xlfn.LET(_xlpm.val,IF($F26="",val_blankRefText,_xldudf_CX_GET(CX_ENTITY,($F26),AZ$11,AZ$14,,AZ$19)),_xlpm.Res,IF(OR(_xlpm.val="",_xlpm.val="Error"),"",_xlpm.val),_xlpm.Res)</f>
        <v>#NAME?</v>
      </c>
      <c r="BA26" s="1669" t="e" cm="1">
        <f t="array" ca="1" aca="1" ref="BA26">_xlfn.LET(_xlpm.val,IF($F26="",val_blankRefText,_xldudf_CX_GET(CX_ENTITY,($F26),BA$11,BA$14,,BA$19)),_xlpm.Res,IF(OR(_xlpm.val="",_xlpm.val="Error"),"",_xlpm.val),_xlpm.Res)</f>
        <v>#NAME?</v>
      </c>
      <c r="BB26" s="1669" t="e" cm="1">
        <f t="array" ca="1" aca="1" ref="BB26">_xlfn.LET(_xlpm.val,IF($F26="",val_blankRefText,_xldudf_CX_GET(CX_ENTITY,($F26),BB$11,BB$14,,BB$19)),_xlpm.Res,IF(OR(_xlpm.val="",_xlpm.val="Error"),"",_xlpm.val),_xlpm.Res)</f>
        <v>#NAME?</v>
      </c>
      <c r="BC26" s="1669" t="e" cm="1">
        <f t="array" ca="1" aca="1" ref="BC26">_xlfn.LET(_xlpm.val,IF($F26="",val_blankRefText,_xldudf_CX_GET(CX_ENTITY,($F26),BC$11,BC$14,,BC$19)),_xlpm.Res,IF(OR(_xlpm.val="",_xlpm.val="Error"),"",_xlpm.val),_xlpm.Res)</f>
        <v>#NAME?</v>
      </c>
      <c r="BD26" s="1669" t="e" cm="1">
        <f t="array" ca="1" aca="1" ref="BD26">_xlfn.LET(_xlpm.val,IF($F26="",val_blankRefText,_xldudf_CX_GET(CX_ENTITY,($F26),BD$11,BD$14,,BD$19)),_xlpm.Res,IF(OR(_xlpm.val="",_xlpm.val="Error"),"",_xlpm.val),_xlpm.Res)</f>
        <v>#NAME?</v>
      </c>
      <c r="BE26" s="1669" t="e" cm="1">
        <f t="array" ca="1" aca="1" ref="BE26">_xlfn.LET(_xlpm.val,IF($F26="",val_blankRefText,_xldudf_CX_GET(CX_ENTITY,($F26),BE$11,BE$14,,BE$19)),_xlpm.Res,IF(OR(_xlpm.val="",_xlpm.val="Error"),"",_xlpm.val),_xlpm.Res)</f>
        <v>#NAME?</v>
      </c>
      <c r="BF26" s="1669" t="e" cm="1">
        <f t="array" ca="1" aca="1" ref="BF26">_xlfn.LET(_xlpm.val,IF($F26="",val_blankRefText,_xldudf_CX_GET(CX_ENTITY,($F26),BF$11,BF$14,,BF$19)),_xlpm.Res,IF(OR(_xlpm.val="",_xlpm.val="Error"),"",_xlpm.val),_xlpm.Res)</f>
        <v>#NAME?</v>
      </c>
      <c r="BG26" s="1669" t="e" cm="1">
        <f t="array" ca="1" aca="1" ref="BG26">_xlfn.LET(_xlpm.val,IF($F26="",val_blankRefText,_xldudf_CX_GET(CX_ENTITY,($F26),BG$11,BG$14,,BG$19)),_xlpm.Res,IF(OR(_xlpm.val="",_xlpm.val="Error"),"",_xlpm.val),_xlpm.Res)</f>
        <v>#NAME?</v>
      </c>
      <c r="BH26" s="1669" t="e" cm="1">
        <f t="array" ca="1" aca="1" ref="BH26">_xlfn.LET(_xlpm.val,IF($F26="",val_blankRefText,_xldudf_CX_GET(CX_ENTITY,($F26),BH$11,BH$14,,BH$19)),_xlpm.Res,IF(OR(_xlpm.val="",_xlpm.val="Error"),"",_xlpm.val),_xlpm.Res)</f>
        <v>#NAME?</v>
      </c>
      <c r="BI26" s="1669" t="e" cm="1">
        <f t="array" ca="1" aca="1" ref="BI26">_xlfn.LET(_xlpm.val,IF($F26="",val_blankRefText,_xldudf_CX_GET(CX_ENTITY,($F26),BI$11,BI$14,,BI$19)),_xlpm.Res,IF(OR(_xlpm.val="",_xlpm.val="Error"),"",_xlpm.val),_xlpm.Res)</f>
        <v>#NAME?</v>
      </c>
      <c r="BJ26" s="1669" t="e" cm="1">
        <f t="array" ca="1" aca="1" ref="BJ26">_xlfn.LET(_xlpm.val,IF($F26="",val_blankRefText,_xldudf_CX_GET(CX_ENTITY,($F26),BJ$11,BJ$14,,BJ$19)),_xlpm.Res,IF(OR(_xlpm.val="",_xlpm.val="Error"),"",_xlpm.val),_xlpm.Res)</f>
        <v>#NAME?</v>
      </c>
      <c r="BK26" s="1669" t="e" cm="1">
        <f t="array" ca="1" aca="1" ref="BK26">_xlfn.LET(_xlpm.val,IF($F26="",val_blankRefText,_xldudf_CX_GET(CX_ENTITY,($F26),BK$11,BK$14,,BK$19)),_xlpm.Res,IF(OR(_xlpm.val="",_xlpm.val="Error"),"",_xlpm.val),_xlpm.Res)</f>
        <v>#NAME?</v>
      </c>
      <c r="BL26" s="1669" t="e" cm="1">
        <f t="array" ca="1" aca="1" ref="BL26">_xlfn.LET(_xlpm.val,IF($F26="",val_blankRefText,_xldudf_CX_GET(CX_ENTITY,($F26),BL$11,BL$14,,BL$19)),_xlpm.Res,IF(OR(_xlpm.val="",_xlpm.val="Error"),"",_xlpm.val),_xlpm.Res)</f>
        <v>#NAME?</v>
      </c>
      <c r="BM26" s="1669" t="e" cm="1">
        <f t="array" ca="1" aca="1" ref="BM26">_xlfn.LET(_xlpm.val,IF($F26="",val_blankRefText,_xldudf_CX_GET(CX_ENTITY,($F26),BM$11,BM$14,,BM$19)),_xlpm.Res,IF(OR(_xlpm.val="",_xlpm.val="Error"),"",_xlpm.val),_xlpm.Res)</f>
        <v>#NAME?</v>
      </c>
      <c r="BN26" s="1669" t="e" cm="1">
        <f t="array" ca="1" aca="1" ref="BN26">_xlfn.LET(_xlpm.val,IF($F26="",val_blankRefText,_xldudf_CX_GET(CX_ENTITY,($F26),BN$11,BN$14,,BN$19)),_xlpm.Res,IF(OR(_xlpm.val="",_xlpm.val="Error"),"",_xlpm.val),_xlpm.Res)</f>
        <v>#NAME?</v>
      </c>
      <c r="BO26" s="2095"/>
      <c r="BP26" s="2095"/>
      <c r="BQ26" s="2095"/>
      <c r="BR26" s="2095"/>
      <c r="BS26" s="2095"/>
      <c r="BT26" s="2095"/>
      <c r="BU26" s="2095"/>
      <c r="BV26" s="2095"/>
      <c r="BW26" s="2095"/>
      <c r="BX26" s="2095"/>
      <c r="BY26" s="2095"/>
      <c r="BZ26" s="2095"/>
      <c r="CA26" s="926"/>
      <c r="CB26" s="921"/>
      <c r="CC26" s="927"/>
      <c r="CD26" s="920" t="e" cm="1">
        <f t="array" ca="1" aca="1" ref="CD26">_xlfn.XLOOKUP(BS!CD$11,array_timeline,BS!$AD26:$BN26)</f>
        <v>#NAME?</v>
      </c>
      <c r="CE26" s="920" t="e" cm="1">
        <f t="array" ca="1" aca="1" ref="CE26">_xlfn.XLOOKUP(BS!CE$11,array_timeline,BS!$AD26:$BN26)</f>
        <v>#NAME?</v>
      </c>
      <c r="CF26" s="925"/>
      <c r="CG26" s="920" t="e" cm="1">
        <f t="array" ca="1" aca="1" ref="CG26">_xlfn.LET(_xlpm.val,IF($F26="",val_blankRefText,_xldudf_CX_GET(CX_ENTITY,($F26),CG$11,CG$14,,(CG$19))),_xlpm.Res,IF(OR(_xlpm.val="",_xlpm.val="Error"),"",_xlpm.val),_xlpm.Res)</f>
        <v>#NAME?</v>
      </c>
      <c r="CH26" s="920" t="e" cm="1">
        <f t="array" ca="1" aca="1" ref="CH26">_xlfn.LET(_xlpm.val,IF($F26="",val_blankRefText,_xldudf_CX_GET(CX_ENTITY,($F26),CH$11,CH$14,,(CH$19))),_xlpm.Res,IF(OR(_xlpm.val="",_xlpm.val="Error"),"",_xlpm.val),_xlpm.Res)</f>
        <v>#NAME?</v>
      </c>
      <c r="CI26" s="200"/>
    </row>
    <row r="27" spans="1:87" ht="21" customHeight="1">
      <c r="A27" s="696" t="s">
        <v>1707</v>
      </c>
      <c r="B27" s="577" t="s">
        <v>730</v>
      </c>
      <c r="C27" s="577" t="s">
        <v>1708</v>
      </c>
      <c r="D27" s="577"/>
      <c r="E27" s="577" t="e" cm="1">
        <f t="array" ca="1" aca="1" ref="E27">_xlfn.LET(_xlpm.Attr,$C27,_xlpm.Lookback,$E$16,_xlpm.QueryDate,EOMONTH(val_asOfDate,_xlpm.Lookback),_xlpm.ReadField,_xldudf_CX_GET(CX_ENTITY,fx_attrConverter($C27),_xlpm.QueryDate),_xlpm.AttrBlank,_xlpm.Attr="",_xlpm.RESULT,IF(_xlpm.AttrBlank,val_blankRefText,fx_attrConverter(_xlpm.ReadField,0)),IF(_xlpm.RESULT="Error","",_xlpm.RESULT))</f>
        <v>#NAME?</v>
      </c>
      <c r="F27" s="577" t="str">
        <f t="shared" si="1"/>
        <v>Other Net Working Capital</v>
      </c>
      <c r="G27" s="574"/>
      <c r="H27" s="3279">
        <v>1</v>
      </c>
      <c r="I27" s="3279">
        <v>1</v>
      </c>
      <c r="J27" s="401"/>
      <c r="K27" s="401"/>
      <c r="L27" s="3269" t="b">
        <v>1</v>
      </c>
      <c r="N27" s="158"/>
      <c r="O27" s="101"/>
      <c r="P27" s="52"/>
      <c r="Q27" s="101"/>
      <c r="R27" s="101"/>
      <c r="S27" s="101"/>
      <c r="T27" s="101"/>
      <c r="U27" s="39"/>
      <c r="W27" s="91" t="str">
        <f t="shared" si="4"/>
        <v>Actual</v>
      </c>
      <c r="X27" s="857" t="s">
        <v>62</v>
      </c>
      <c r="Y27" s="2627" t="s">
        <v>730</v>
      </c>
      <c r="Z27" s="3291" cm="1">
        <f t="array" ref="Z27">_xlfn.SWITCH(TRUE,$L27="",0,$L27=TRUE,1,$L27=FALSE,-1,)</f>
        <v>1</v>
      </c>
      <c r="AA27" s="2625"/>
      <c r="AB27" s="2626" t="s">
        <v>730</v>
      </c>
      <c r="AC27" s="88" t="e" vm="5" cm="1">
        <f t="array" ref="AC27">IFERROR(IF(_xlfn.XMATCH(AB27,tbl_acctDef[Term],0)&gt;0,fx_getIcon("find"),""),"")</f>
        <v>#VALUE!</v>
      </c>
      <c r="AD27" s="1669" t="e" cm="1">
        <f t="array" ca="1" aca="1" ref="AD27">_xlfn.LET(_xlpm.val,IF($F27="",val_blankRefText,_xldudf_CX_GET(CX_ENTITY,($F27),AD$11,AD$14,,AD$19)),_xlpm.Res,IF(OR(_xlpm.val="",_xlpm.val="Error"),"",_xlpm.val),_xlpm.Res)</f>
        <v>#NAME?</v>
      </c>
      <c r="AE27" s="1669" t="e" cm="1">
        <f t="array" ca="1" aca="1" ref="AE27">_xlfn.LET(_xlpm.val,IF($F27="",val_blankRefText,_xldudf_CX_GET(CX_ENTITY,($F27),AE$11,AE$14,,AE$19)),_xlpm.Res,IF(OR(_xlpm.val="",_xlpm.val="Error"),"",_xlpm.val),_xlpm.Res)</f>
        <v>#NAME?</v>
      </c>
      <c r="AF27" s="1669" t="e" cm="1">
        <f t="array" ca="1" aca="1" ref="AF27">_xlfn.LET(_xlpm.val,IF($F27="",val_blankRefText,_xldudf_CX_GET(CX_ENTITY,($F27),AF$11,AF$14,,AF$19)),_xlpm.Res,IF(OR(_xlpm.val="",_xlpm.val="Error"),"",_xlpm.val),_xlpm.Res)</f>
        <v>#NAME?</v>
      </c>
      <c r="AG27" s="1669" t="e" cm="1">
        <f t="array" ca="1" aca="1" ref="AG27">_xlfn.LET(_xlpm.val,IF($F27="",val_blankRefText,_xldudf_CX_GET(CX_ENTITY,($F27),AG$11,AG$14,,AG$19)),_xlpm.Res,IF(OR(_xlpm.val="",_xlpm.val="Error"),"",_xlpm.val),_xlpm.Res)</f>
        <v>#NAME?</v>
      </c>
      <c r="AH27" s="1669" t="e" cm="1">
        <f t="array" ca="1" aca="1" ref="AH27">_xlfn.LET(_xlpm.val,IF($F27="",val_blankRefText,_xldudf_CX_GET(CX_ENTITY,($F27),AH$11,AH$14,,AH$19)),_xlpm.Res,IF(OR(_xlpm.val="",_xlpm.val="Error"),"",_xlpm.val),_xlpm.Res)</f>
        <v>#NAME?</v>
      </c>
      <c r="AI27" s="1669" t="e" cm="1">
        <f t="array" ca="1" aca="1" ref="AI27">_xlfn.LET(_xlpm.val,IF($F27="",val_blankRefText,_xldudf_CX_GET(CX_ENTITY,($F27),AI$11,AI$14,,AI$19)),_xlpm.Res,IF(OR(_xlpm.val="",_xlpm.val="Error"),"",_xlpm.val),_xlpm.Res)</f>
        <v>#NAME?</v>
      </c>
      <c r="AJ27" s="1669" t="e" cm="1">
        <f t="array" ca="1" aca="1" ref="AJ27">_xlfn.LET(_xlpm.val,IF($F27="",val_blankRefText,_xldudf_CX_GET(CX_ENTITY,($F27),AJ$11,AJ$14,,AJ$19)),_xlpm.Res,IF(OR(_xlpm.val="",_xlpm.val="Error"),"",_xlpm.val),_xlpm.Res)</f>
        <v>#NAME?</v>
      </c>
      <c r="AK27" s="1669" t="e" cm="1">
        <f t="array" ca="1" aca="1" ref="AK27">_xlfn.LET(_xlpm.val,IF($F27="",val_blankRefText,_xldudf_CX_GET(CX_ENTITY,($F27),AK$11,AK$14,,AK$19)),_xlpm.Res,IF(OR(_xlpm.val="",_xlpm.val="Error"),"",_xlpm.val),_xlpm.Res)</f>
        <v>#NAME?</v>
      </c>
      <c r="AL27" s="1669" t="e" cm="1">
        <f t="array" ca="1" aca="1" ref="AL27">_xlfn.LET(_xlpm.val,IF($F27="",val_blankRefText,_xldudf_CX_GET(CX_ENTITY,($F27),AL$11,AL$14,,AL$19)),_xlpm.Res,IF(OR(_xlpm.val="",_xlpm.val="Error"),"",_xlpm.val),_xlpm.Res)</f>
        <v>#NAME?</v>
      </c>
      <c r="AM27" s="1669" t="e" cm="1">
        <f t="array" ca="1" aca="1" ref="AM27">_xlfn.LET(_xlpm.val,IF($F27="",val_blankRefText,_xldudf_CX_GET(CX_ENTITY,($F27),AM$11,AM$14,,AM$19)),_xlpm.Res,IF(OR(_xlpm.val="",_xlpm.val="Error"),"",_xlpm.val),_xlpm.Res)</f>
        <v>#NAME?</v>
      </c>
      <c r="AN27" s="1669" t="e" cm="1">
        <f t="array" ca="1" aca="1" ref="AN27">_xlfn.LET(_xlpm.val,IF($F27="",val_blankRefText,_xldudf_CX_GET(CX_ENTITY,($F27),AN$11,AN$14,,AN$19)),_xlpm.Res,IF(OR(_xlpm.val="",_xlpm.val="Error"),"",_xlpm.val),_xlpm.Res)</f>
        <v>#NAME?</v>
      </c>
      <c r="AO27" s="1669" t="e" cm="1">
        <f t="array" ca="1" aca="1" ref="AO27">_xlfn.LET(_xlpm.val,IF($F27="",val_blankRefText,_xldudf_CX_GET(CX_ENTITY,($F27),AO$11,AO$14,,AO$19)),_xlpm.Res,IF(OR(_xlpm.val="",_xlpm.val="Error"),"",_xlpm.val),_xlpm.Res)</f>
        <v>#NAME?</v>
      </c>
      <c r="AP27" s="1669" t="e" cm="1">
        <f t="array" ca="1" aca="1" ref="AP27">_xlfn.LET(_xlpm.val,IF($F27="",val_blankRefText,_xldudf_CX_GET(CX_ENTITY,($F27),AP$11,AP$14,,AP$19)),_xlpm.Res,IF(OR(_xlpm.val="",_xlpm.val="Error"),"",_xlpm.val),_xlpm.Res)</f>
        <v>#NAME?</v>
      </c>
      <c r="AQ27" s="1669" t="e" cm="1">
        <f t="array" ca="1" aca="1" ref="AQ27">_xlfn.LET(_xlpm.val,IF($F27="",val_blankRefText,_xldudf_CX_GET(CX_ENTITY,($F27),AQ$11,AQ$14,,AQ$19)),_xlpm.Res,IF(OR(_xlpm.val="",_xlpm.val="Error"),"",_xlpm.val),_xlpm.Res)</f>
        <v>#NAME?</v>
      </c>
      <c r="AR27" s="1669" t="e" cm="1">
        <f t="array" ca="1" aca="1" ref="AR27">_xlfn.LET(_xlpm.val,IF($F27="",val_blankRefText,_xldudf_CX_GET(CX_ENTITY,($F27),AR$11,AR$14,,AR$19)),_xlpm.Res,IF(OR(_xlpm.val="",_xlpm.val="Error"),"",_xlpm.val),_xlpm.Res)</f>
        <v>#NAME?</v>
      </c>
      <c r="AS27" s="1669" t="e" cm="1">
        <f t="array" ca="1" aca="1" ref="AS27">_xlfn.LET(_xlpm.val,IF($F27="",val_blankRefText,_xldudf_CX_GET(CX_ENTITY,($F27),AS$11,AS$14,,AS$19)),_xlpm.Res,IF(OR(_xlpm.val="",_xlpm.val="Error"),"",_xlpm.val),_xlpm.Res)</f>
        <v>#NAME?</v>
      </c>
      <c r="AT27" s="1669" t="e" cm="1">
        <f t="array" ca="1" aca="1" ref="AT27">_xlfn.LET(_xlpm.val,IF($F27="",val_blankRefText,_xldudf_CX_GET(CX_ENTITY,($F27),AT$11,AT$14,,AT$19)),_xlpm.Res,IF(OR(_xlpm.val="",_xlpm.val="Error"),"",_xlpm.val),_xlpm.Res)</f>
        <v>#NAME?</v>
      </c>
      <c r="AU27" s="1669" t="e" cm="1">
        <f t="array" ca="1" aca="1" ref="AU27">_xlfn.LET(_xlpm.val,IF($F27="",val_blankRefText,_xldudf_CX_GET(CX_ENTITY,($F27),AU$11,AU$14,,AU$19)),_xlpm.Res,IF(OR(_xlpm.val="",_xlpm.val="Error"),"",_xlpm.val),_xlpm.Res)</f>
        <v>#NAME?</v>
      </c>
      <c r="AV27" s="1669" t="e" cm="1">
        <f t="array" ca="1" aca="1" ref="AV27">_xlfn.LET(_xlpm.val,IF($F27="",val_blankRefText,_xldudf_CX_GET(CX_ENTITY,($F27),AV$11,AV$14,,AV$19)),_xlpm.Res,IF(OR(_xlpm.val="",_xlpm.val="Error"),"",_xlpm.val),_xlpm.Res)</f>
        <v>#NAME?</v>
      </c>
      <c r="AW27" s="1669" t="e" cm="1">
        <f t="array" ca="1" aca="1" ref="AW27">_xlfn.LET(_xlpm.val,IF($F27="",val_blankRefText,_xldudf_CX_GET(CX_ENTITY,($F27),AW$11,AW$14,,AW$19)),_xlpm.Res,IF(OR(_xlpm.val="",_xlpm.val="Error"),"",_xlpm.val),_xlpm.Res)</f>
        <v>#NAME?</v>
      </c>
      <c r="AX27" s="1669" t="e" cm="1">
        <f t="array" ca="1" aca="1" ref="AX27">_xlfn.LET(_xlpm.val,IF($F27="",val_blankRefText,_xldudf_CX_GET(CX_ENTITY,($F27),AX$11,AX$14,,AX$19)),_xlpm.Res,IF(OR(_xlpm.val="",_xlpm.val="Error"),"",_xlpm.val),_xlpm.Res)</f>
        <v>#NAME?</v>
      </c>
      <c r="AY27" s="1669" t="e" cm="1">
        <f t="array" ca="1" aca="1" ref="AY27">_xlfn.LET(_xlpm.val,IF($F27="",val_blankRefText,_xldudf_CX_GET(CX_ENTITY,($F27),AY$11,AY$14,,AY$19)),_xlpm.Res,IF(OR(_xlpm.val="",_xlpm.val="Error"),"",_xlpm.val),_xlpm.Res)</f>
        <v>#NAME?</v>
      </c>
      <c r="AZ27" s="1669" t="e" cm="1">
        <f t="array" ca="1" aca="1" ref="AZ27">_xlfn.LET(_xlpm.val,IF($F27="",val_blankRefText,_xldudf_CX_GET(CX_ENTITY,($F27),AZ$11,AZ$14,,AZ$19)),_xlpm.Res,IF(OR(_xlpm.val="",_xlpm.val="Error"),"",_xlpm.val),_xlpm.Res)</f>
        <v>#NAME?</v>
      </c>
      <c r="BA27" s="1669" t="e" cm="1">
        <f t="array" ca="1" aca="1" ref="BA27">_xlfn.LET(_xlpm.val,IF($F27="",val_blankRefText,_xldudf_CX_GET(CX_ENTITY,($F27),BA$11,BA$14,,BA$19)),_xlpm.Res,IF(OR(_xlpm.val="",_xlpm.val="Error"),"",_xlpm.val),_xlpm.Res)</f>
        <v>#NAME?</v>
      </c>
      <c r="BB27" s="1669" t="e" cm="1">
        <f t="array" ca="1" aca="1" ref="BB27">_xlfn.LET(_xlpm.val,IF($F27="",val_blankRefText,_xldudf_CX_GET(CX_ENTITY,($F27),BB$11,BB$14,,BB$19)),_xlpm.Res,IF(OR(_xlpm.val="",_xlpm.val="Error"),"",_xlpm.val),_xlpm.Res)</f>
        <v>#NAME?</v>
      </c>
      <c r="BC27" s="1669" t="e" cm="1">
        <f t="array" ca="1" aca="1" ref="BC27">_xlfn.LET(_xlpm.val,IF($F27="",val_blankRefText,_xldudf_CX_GET(CX_ENTITY,($F27),BC$11,BC$14,,BC$19)),_xlpm.Res,IF(OR(_xlpm.val="",_xlpm.val="Error"),"",_xlpm.val),_xlpm.Res)</f>
        <v>#NAME?</v>
      </c>
      <c r="BD27" s="1669" t="e" cm="1">
        <f t="array" ca="1" aca="1" ref="BD27">_xlfn.LET(_xlpm.val,IF($F27="",val_blankRefText,_xldudf_CX_GET(CX_ENTITY,($F27),BD$11,BD$14,,BD$19)),_xlpm.Res,IF(OR(_xlpm.val="",_xlpm.val="Error"),"",_xlpm.val),_xlpm.Res)</f>
        <v>#NAME?</v>
      </c>
      <c r="BE27" s="1669" t="e" cm="1">
        <f t="array" ca="1" aca="1" ref="BE27">_xlfn.LET(_xlpm.val,IF($F27="",val_blankRefText,_xldudf_CX_GET(CX_ENTITY,($F27),BE$11,BE$14,,BE$19)),_xlpm.Res,IF(OR(_xlpm.val="",_xlpm.val="Error"),"",_xlpm.val),_xlpm.Res)</f>
        <v>#NAME?</v>
      </c>
      <c r="BF27" s="1669" t="e" cm="1">
        <f t="array" ca="1" aca="1" ref="BF27">_xlfn.LET(_xlpm.val,IF($F27="",val_blankRefText,_xldudf_CX_GET(CX_ENTITY,($F27),BF$11,BF$14,,BF$19)),_xlpm.Res,IF(OR(_xlpm.val="",_xlpm.val="Error"),"",_xlpm.val),_xlpm.Res)</f>
        <v>#NAME?</v>
      </c>
      <c r="BG27" s="1669" t="e" cm="1">
        <f t="array" ca="1" aca="1" ref="BG27">_xlfn.LET(_xlpm.val,IF($F27="",val_blankRefText,_xldudf_CX_GET(CX_ENTITY,($F27),BG$11,BG$14,,BG$19)),_xlpm.Res,IF(OR(_xlpm.val="",_xlpm.val="Error"),"",_xlpm.val),_xlpm.Res)</f>
        <v>#NAME?</v>
      </c>
      <c r="BH27" s="1669" t="e" cm="1">
        <f t="array" ca="1" aca="1" ref="BH27">_xlfn.LET(_xlpm.val,IF($F27="",val_blankRefText,_xldudf_CX_GET(CX_ENTITY,($F27),BH$11,BH$14,,BH$19)),_xlpm.Res,IF(OR(_xlpm.val="",_xlpm.val="Error"),"",_xlpm.val),_xlpm.Res)</f>
        <v>#NAME?</v>
      </c>
      <c r="BI27" s="1669" t="e" cm="1">
        <f t="array" ca="1" aca="1" ref="BI27">_xlfn.LET(_xlpm.val,IF($F27="",val_blankRefText,_xldudf_CX_GET(CX_ENTITY,($F27),BI$11,BI$14,,BI$19)),_xlpm.Res,IF(OR(_xlpm.val="",_xlpm.val="Error"),"",_xlpm.val),_xlpm.Res)</f>
        <v>#NAME?</v>
      </c>
      <c r="BJ27" s="1669" t="e" cm="1">
        <f t="array" ca="1" aca="1" ref="BJ27">_xlfn.LET(_xlpm.val,IF($F27="",val_blankRefText,_xldudf_CX_GET(CX_ENTITY,($F27),BJ$11,BJ$14,,BJ$19)),_xlpm.Res,IF(OR(_xlpm.val="",_xlpm.val="Error"),"",_xlpm.val),_xlpm.Res)</f>
        <v>#NAME?</v>
      </c>
      <c r="BK27" s="1669" t="e" cm="1">
        <f t="array" ca="1" aca="1" ref="BK27">_xlfn.LET(_xlpm.val,IF($F27="",val_blankRefText,_xldudf_CX_GET(CX_ENTITY,($F27),BK$11,BK$14,,BK$19)),_xlpm.Res,IF(OR(_xlpm.val="",_xlpm.val="Error"),"",_xlpm.val),_xlpm.Res)</f>
        <v>#NAME?</v>
      </c>
      <c r="BL27" s="1669" t="e" cm="1">
        <f t="array" ca="1" aca="1" ref="BL27">_xlfn.LET(_xlpm.val,IF($F27="",val_blankRefText,_xldudf_CX_GET(CX_ENTITY,($F27),BL$11,BL$14,,BL$19)),_xlpm.Res,IF(OR(_xlpm.val="",_xlpm.val="Error"),"",_xlpm.val),_xlpm.Res)</f>
        <v>#NAME?</v>
      </c>
      <c r="BM27" s="1669" t="e" cm="1">
        <f t="array" ca="1" aca="1" ref="BM27">_xlfn.LET(_xlpm.val,IF($F27="",val_blankRefText,_xldudf_CX_GET(CX_ENTITY,($F27),BM$11,BM$14,,BM$19)),_xlpm.Res,IF(OR(_xlpm.val="",_xlpm.val="Error"),"",_xlpm.val),_xlpm.Res)</f>
        <v>#NAME?</v>
      </c>
      <c r="BN27" s="1669" t="e" cm="1">
        <f t="array" ca="1" aca="1" ref="BN27">_xlfn.LET(_xlpm.val,IF($F27="",val_blankRefText,_xldudf_CX_GET(CX_ENTITY,($F27),BN$11,BN$14,,BN$19)),_xlpm.Res,IF(OR(_xlpm.val="",_xlpm.val="Error"),"",_xlpm.val),_xlpm.Res)</f>
        <v>#NAME?</v>
      </c>
      <c r="BO27" s="2095"/>
      <c r="BP27" s="2095"/>
      <c r="BQ27" s="2095"/>
      <c r="BR27" s="2095"/>
      <c r="BS27" s="2095"/>
      <c r="BT27" s="2095"/>
      <c r="BU27" s="2095"/>
      <c r="BV27" s="2095"/>
      <c r="BW27" s="2095"/>
      <c r="BX27" s="2095"/>
      <c r="BY27" s="2095"/>
      <c r="BZ27" s="2095"/>
      <c r="CA27" s="926"/>
      <c r="CB27" s="921"/>
      <c r="CC27" s="927"/>
      <c r="CD27" s="920" t="e" cm="1">
        <f t="array" ca="1" aca="1" ref="CD27">_xlfn.XLOOKUP(BS!CD$11,array_timeline,BS!$AD27:$BN27)</f>
        <v>#NAME?</v>
      </c>
      <c r="CE27" s="920" t="e" cm="1">
        <f t="array" ca="1" aca="1" ref="CE27">_xlfn.XLOOKUP(BS!CE$11,array_timeline,BS!$AD27:$BN27)</f>
        <v>#NAME?</v>
      </c>
      <c r="CF27" s="925"/>
      <c r="CG27" s="920" t="e" cm="1">
        <f t="array" ca="1" aca="1" ref="CG27">_xlfn.LET(_xlpm.val,IF($F27="",val_blankRefText,_xldudf_CX_GET(CX_ENTITY,($F27),CG$11,CG$14,,(CG$19))),_xlpm.Res,IF(OR(_xlpm.val="",_xlpm.val="Error"),"",_xlpm.val),_xlpm.Res)</f>
        <v>#NAME?</v>
      </c>
      <c r="CH27" s="920" t="e" cm="1">
        <f t="array" ca="1" aca="1" ref="CH27">_xlfn.LET(_xlpm.val,IF($F27="",val_blankRefText,_xldudf_CX_GET(CX_ENTITY,($F27),CH$11,CH$14,,(CH$19))),_xlpm.Res,IF(OR(_xlpm.val="",_xlpm.val="Error"),"",_xlpm.val),_xlpm.Res)</f>
        <v>#NAME?</v>
      </c>
      <c r="CI27" s="200"/>
    </row>
    <row r="28" spans="1:87" ht="21" customHeight="1">
      <c r="A28" s="696" t="s">
        <v>1709</v>
      </c>
      <c r="B28" s="577" t="s">
        <v>701</v>
      </c>
      <c r="C28" s="577" t="s">
        <v>1710</v>
      </c>
      <c r="D28" s="577"/>
      <c r="E28" s="577" t="e" cm="1">
        <f t="array" ca="1" aca="1" ref="E28">_xlfn.LET(_xlpm.Attr,$C28,_xlpm.Lookback,$E$16,_xlpm.QueryDate,EOMONTH(val_asOfDate,_xlpm.Lookback),_xlpm.ReadField,_xldudf_CX_GET(CX_ENTITY,fx_attrConverter($C28),_xlpm.QueryDate),_xlpm.AttrBlank,_xlpm.Attr="",_xlpm.RESULT,IF(_xlpm.AttrBlank,val_blankRefText,fx_attrConverter(_xlpm.ReadField,0)),IF(_xlpm.RESULT="Error","",_xlpm.RESULT))</f>
        <v>#NAME?</v>
      </c>
      <c r="F28" s="577" t="str">
        <f t="shared" si="1"/>
        <v>Net Working Capital (NWC)</v>
      </c>
      <c r="G28" s="574"/>
      <c r="H28" s="3280">
        <v>2</v>
      </c>
      <c r="I28" s="3279">
        <v>1</v>
      </c>
      <c r="J28" s="401"/>
      <c r="K28" s="401"/>
      <c r="L28" s="579">
        <v>-1</v>
      </c>
      <c r="N28" s="158"/>
      <c r="O28" s="101"/>
      <c r="P28" s="52"/>
      <c r="Q28" s="101"/>
      <c r="R28" s="126"/>
      <c r="S28" s="101"/>
      <c r="T28" s="101"/>
      <c r="U28" s="39"/>
      <c r="W28" s="922" t="str">
        <f t="shared" si="4"/>
        <v>Actual</v>
      </c>
      <c r="X28" s="1294">
        <v>0</v>
      </c>
      <c r="Y28" s="2628" t="s">
        <v>701</v>
      </c>
      <c r="Z28" s="198" cm="1">
        <f t="array" ref="Z28">_xlfn.SWITCH(TRUE,$L28="",0,$L28=TRUE,1,$L28=FALSE,-1,)</f>
        <v>0</v>
      </c>
      <c r="AA28" s="2629"/>
      <c r="AB28" s="2626" t="s">
        <v>701</v>
      </c>
      <c r="AC28" s="88" t="e" vm="5" cm="1">
        <f t="array" ref="AC28">IFERROR(IF(_xlfn.XMATCH(AB28,tbl_acctDef[Term],0)&gt;0,fx_getIcon("find"),""),"")</f>
        <v>#VALUE!</v>
      </c>
      <c r="AD28" s="1669" t="e" cm="1">
        <f t="array" ca="1" aca="1" ref="AD28">_xlfn.LET(_xlpm.val,IF($F28="",val_blankRefText,_xldudf_CX_GET(CX_ENTITY,($F28),AD$11,AD$14,,AD$19)),_xlpm.Res,IF(OR(_xlpm.val="",_xlpm.val="Error"),"",_xlpm.val),_xlpm.Res)</f>
        <v>#NAME?</v>
      </c>
      <c r="AE28" s="1669" t="e" cm="1">
        <f t="array" ca="1" aca="1" ref="AE28">_xlfn.LET(_xlpm.val,IF($F28="",val_blankRefText,_xldudf_CX_GET(CX_ENTITY,($F28),AE$11,AE$14,,AE$19)),_xlpm.Res,IF(OR(_xlpm.val="",_xlpm.val="Error"),"",_xlpm.val),_xlpm.Res)</f>
        <v>#NAME?</v>
      </c>
      <c r="AF28" s="1669" t="e" cm="1">
        <f t="array" ca="1" aca="1" ref="AF28">_xlfn.LET(_xlpm.val,IF($F28="",val_blankRefText,_xldudf_CX_GET(CX_ENTITY,($F28),AF$11,AF$14,,AF$19)),_xlpm.Res,IF(OR(_xlpm.val="",_xlpm.val="Error"),"",_xlpm.val),_xlpm.Res)</f>
        <v>#NAME?</v>
      </c>
      <c r="AG28" s="1669" t="e" cm="1">
        <f t="array" ca="1" aca="1" ref="AG28">_xlfn.LET(_xlpm.val,IF($F28="",val_blankRefText,_xldudf_CX_GET(CX_ENTITY,($F28),AG$11,AG$14,,AG$19)),_xlpm.Res,IF(OR(_xlpm.val="",_xlpm.val="Error"),"",_xlpm.val),_xlpm.Res)</f>
        <v>#NAME?</v>
      </c>
      <c r="AH28" s="1669" t="e" cm="1">
        <f t="array" ca="1" aca="1" ref="AH28">_xlfn.LET(_xlpm.val,IF($F28="",val_blankRefText,_xldudf_CX_GET(CX_ENTITY,($F28),AH$11,AH$14,,AH$19)),_xlpm.Res,IF(OR(_xlpm.val="",_xlpm.val="Error"),"",_xlpm.val),_xlpm.Res)</f>
        <v>#NAME?</v>
      </c>
      <c r="AI28" s="1669" t="e" cm="1">
        <f t="array" ca="1" aca="1" ref="AI28">_xlfn.LET(_xlpm.val,IF($F28="",val_blankRefText,_xldudf_CX_GET(CX_ENTITY,($F28),AI$11,AI$14,,AI$19)),_xlpm.Res,IF(OR(_xlpm.val="",_xlpm.val="Error"),"",_xlpm.val),_xlpm.Res)</f>
        <v>#NAME?</v>
      </c>
      <c r="AJ28" s="1669" t="e" cm="1">
        <f t="array" ca="1" aca="1" ref="AJ28">_xlfn.LET(_xlpm.val,IF($F28="",val_blankRefText,_xldudf_CX_GET(CX_ENTITY,($F28),AJ$11,AJ$14,,AJ$19)),_xlpm.Res,IF(OR(_xlpm.val="",_xlpm.val="Error"),"",_xlpm.val),_xlpm.Res)</f>
        <v>#NAME?</v>
      </c>
      <c r="AK28" s="1669" t="e" cm="1">
        <f t="array" ca="1" aca="1" ref="AK28">_xlfn.LET(_xlpm.val,IF($F28="",val_blankRefText,_xldudf_CX_GET(CX_ENTITY,($F28),AK$11,AK$14,,AK$19)),_xlpm.Res,IF(OR(_xlpm.val="",_xlpm.val="Error"),"",_xlpm.val),_xlpm.Res)</f>
        <v>#NAME?</v>
      </c>
      <c r="AL28" s="1669" t="e" cm="1">
        <f t="array" ca="1" aca="1" ref="AL28">_xlfn.LET(_xlpm.val,IF($F28="",val_blankRefText,_xldudf_CX_GET(CX_ENTITY,($F28),AL$11,AL$14,,AL$19)),_xlpm.Res,IF(OR(_xlpm.val="",_xlpm.val="Error"),"",_xlpm.val),_xlpm.Res)</f>
        <v>#NAME?</v>
      </c>
      <c r="AM28" s="1669" t="e" cm="1">
        <f t="array" ca="1" aca="1" ref="AM28">_xlfn.LET(_xlpm.val,IF($F28="",val_blankRefText,_xldudf_CX_GET(CX_ENTITY,($F28),AM$11,AM$14,,AM$19)),_xlpm.Res,IF(OR(_xlpm.val="",_xlpm.val="Error"),"",_xlpm.val),_xlpm.Res)</f>
        <v>#NAME?</v>
      </c>
      <c r="AN28" s="1669" t="e" cm="1">
        <f t="array" ca="1" aca="1" ref="AN28">_xlfn.LET(_xlpm.val,IF($F28="",val_blankRefText,_xldudf_CX_GET(CX_ENTITY,($F28),AN$11,AN$14,,AN$19)),_xlpm.Res,IF(OR(_xlpm.val="",_xlpm.val="Error"),"",_xlpm.val),_xlpm.Res)</f>
        <v>#NAME?</v>
      </c>
      <c r="AO28" s="1669" t="e" cm="1">
        <f t="array" ca="1" aca="1" ref="AO28">_xlfn.LET(_xlpm.val,IF($F28="",val_blankRefText,_xldudf_CX_GET(CX_ENTITY,($F28),AO$11,AO$14,,AO$19)),_xlpm.Res,IF(OR(_xlpm.val="",_xlpm.val="Error"),"",_xlpm.val),_xlpm.Res)</f>
        <v>#NAME?</v>
      </c>
      <c r="AP28" s="1669" t="e" cm="1">
        <f t="array" ca="1" aca="1" ref="AP28">_xlfn.LET(_xlpm.val,IF($F28="",val_blankRefText,_xldudf_CX_GET(CX_ENTITY,($F28),AP$11,AP$14,,AP$19)),_xlpm.Res,IF(OR(_xlpm.val="",_xlpm.val="Error"),"",_xlpm.val),_xlpm.Res)</f>
        <v>#NAME?</v>
      </c>
      <c r="AQ28" s="1669" t="e" cm="1">
        <f t="array" ca="1" aca="1" ref="AQ28">_xlfn.LET(_xlpm.val,IF($F28="",val_blankRefText,_xldudf_CX_GET(CX_ENTITY,($F28),AQ$11,AQ$14,,AQ$19)),_xlpm.Res,IF(OR(_xlpm.val="",_xlpm.val="Error"),"",_xlpm.val),_xlpm.Res)</f>
        <v>#NAME?</v>
      </c>
      <c r="AR28" s="1669" t="e" cm="1">
        <f t="array" ca="1" aca="1" ref="AR28">_xlfn.LET(_xlpm.val,IF($F28="",val_blankRefText,_xldudf_CX_GET(CX_ENTITY,($F28),AR$11,AR$14,,AR$19)),_xlpm.Res,IF(OR(_xlpm.val="",_xlpm.val="Error"),"",_xlpm.val),_xlpm.Res)</f>
        <v>#NAME?</v>
      </c>
      <c r="AS28" s="1669" t="e" cm="1">
        <f t="array" ca="1" aca="1" ref="AS28">_xlfn.LET(_xlpm.val,IF($F28="",val_blankRefText,_xldudf_CX_GET(CX_ENTITY,($F28),AS$11,AS$14,,AS$19)),_xlpm.Res,IF(OR(_xlpm.val="",_xlpm.val="Error"),"",_xlpm.val),_xlpm.Res)</f>
        <v>#NAME?</v>
      </c>
      <c r="AT28" s="1669" t="e" cm="1">
        <f t="array" ca="1" aca="1" ref="AT28">_xlfn.LET(_xlpm.val,IF($F28="",val_blankRefText,_xldudf_CX_GET(CX_ENTITY,($F28),AT$11,AT$14,,AT$19)),_xlpm.Res,IF(OR(_xlpm.val="",_xlpm.val="Error"),"",_xlpm.val),_xlpm.Res)</f>
        <v>#NAME?</v>
      </c>
      <c r="AU28" s="1669" t="e" cm="1">
        <f t="array" ca="1" aca="1" ref="AU28">_xlfn.LET(_xlpm.val,IF($F28="",val_blankRefText,_xldudf_CX_GET(CX_ENTITY,($F28),AU$11,AU$14,,AU$19)),_xlpm.Res,IF(OR(_xlpm.val="",_xlpm.val="Error"),"",_xlpm.val),_xlpm.Res)</f>
        <v>#NAME?</v>
      </c>
      <c r="AV28" s="1669" t="e" cm="1">
        <f t="array" ca="1" aca="1" ref="AV28">_xlfn.LET(_xlpm.val,IF($F28="",val_blankRefText,_xldudf_CX_GET(CX_ENTITY,($F28),AV$11,AV$14,,AV$19)),_xlpm.Res,IF(OR(_xlpm.val="",_xlpm.val="Error"),"",_xlpm.val),_xlpm.Res)</f>
        <v>#NAME?</v>
      </c>
      <c r="AW28" s="1669" t="e" cm="1">
        <f t="array" ca="1" aca="1" ref="AW28">_xlfn.LET(_xlpm.val,IF($F28="",val_blankRefText,_xldudf_CX_GET(CX_ENTITY,($F28),AW$11,AW$14,,AW$19)),_xlpm.Res,IF(OR(_xlpm.val="",_xlpm.val="Error"),"",_xlpm.val),_xlpm.Res)</f>
        <v>#NAME?</v>
      </c>
      <c r="AX28" s="1669" t="e" cm="1">
        <f t="array" ca="1" aca="1" ref="AX28">_xlfn.LET(_xlpm.val,IF($F28="",val_blankRefText,_xldudf_CX_GET(CX_ENTITY,($F28),AX$11,AX$14,,AX$19)),_xlpm.Res,IF(OR(_xlpm.val="",_xlpm.val="Error"),"",_xlpm.val),_xlpm.Res)</f>
        <v>#NAME?</v>
      </c>
      <c r="AY28" s="1669" t="e" cm="1">
        <f t="array" ca="1" aca="1" ref="AY28">_xlfn.LET(_xlpm.val,IF($F28="",val_blankRefText,_xldudf_CX_GET(CX_ENTITY,($F28),AY$11,AY$14,,AY$19)),_xlpm.Res,IF(OR(_xlpm.val="",_xlpm.val="Error"),"",_xlpm.val),_xlpm.Res)</f>
        <v>#NAME?</v>
      </c>
      <c r="AZ28" s="1669" t="e" cm="1">
        <f t="array" ca="1" aca="1" ref="AZ28">_xlfn.LET(_xlpm.val,IF($F28="",val_blankRefText,_xldudf_CX_GET(CX_ENTITY,($F28),AZ$11,AZ$14,,AZ$19)),_xlpm.Res,IF(OR(_xlpm.val="",_xlpm.val="Error"),"",_xlpm.val),_xlpm.Res)</f>
        <v>#NAME?</v>
      </c>
      <c r="BA28" s="1669" t="e" cm="1">
        <f t="array" ca="1" aca="1" ref="BA28">_xlfn.LET(_xlpm.val,IF($F28="",val_blankRefText,_xldudf_CX_GET(CX_ENTITY,($F28),BA$11,BA$14,,BA$19)),_xlpm.Res,IF(OR(_xlpm.val="",_xlpm.val="Error"),"",_xlpm.val),_xlpm.Res)</f>
        <v>#NAME?</v>
      </c>
      <c r="BB28" s="1669" t="e" cm="1">
        <f t="array" ca="1" aca="1" ref="BB28">_xlfn.LET(_xlpm.val,IF($F28="",val_blankRefText,_xldudf_CX_GET(CX_ENTITY,($F28),BB$11,BB$14,,BB$19)),_xlpm.Res,IF(OR(_xlpm.val="",_xlpm.val="Error"),"",_xlpm.val),_xlpm.Res)</f>
        <v>#NAME?</v>
      </c>
      <c r="BC28" s="1669" t="e" cm="1">
        <f t="array" ca="1" aca="1" ref="BC28">_xlfn.LET(_xlpm.val,IF($F28="",val_blankRefText,_xldudf_CX_GET(CX_ENTITY,($F28),BC$11,BC$14,,BC$19)),_xlpm.Res,IF(OR(_xlpm.val="",_xlpm.val="Error"),"",_xlpm.val),_xlpm.Res)</f>
        <v>#NAME?</v>
      </c>
      <c r="BD28" s="1669" t="e" cm="1">
        <f t="array" ca="1" aca="1" ref="BD28">_xlfn.LET(_xlpm.val,IF($F28="",val_blankRefText,_xldudf_CX_GET(CX_ENTITY,($F28),BD$11,BD$14,,BD$19)),_xlpm.Res,IF(OR(_xlpm.val="",_xlpm.val="Error"),"",_xlpm.val),_xlpm.Res)</f>
        <v>#NAME?</v>
      </c>
      <c r="BE28" s="1669" t="e" cm="1">
        <f t="array" ca="1" aca="1" ref="BE28">_xlfn.LET(_xlpm.val,IF($F28="",val_blankRefText,_xldudf_CX_GET(CX_ENTITY,($F28),BE$11,BE$14,,BE$19)),_xlpm.Res,IF(OR(_xlpm.val="",_xlpm.val="Error"),"",_xlpm.val),_xlpm.Res)</f>
        <v>#NAME?</v>
      </c>
      <c r="BF28" s="1669" t="e" cm="1">
        <f t="array" ca="1" aca="1" ref="BF28">_xlfn.LET(_xlpm.val,IF($F28="",val_blankRefText,_xldudf_CX_GET(CX_ENTITY,($F28),BF$11,BF$14,,BF$19)),_xlpm.Res,IF(OR(_xlpm.val="",_xlpm.val="Error"),"",_xlpm.val),_xlpm.Res)</f>
        <v>#NAME?</v>
      </c>
      <c r="BG28" s="1669" t="e" cm="1">
        <f t="array" ca="1" aca="1" ref="BG28">_xlfn.LET(_xlpm.val,IF($F28="",val_blankRefText,_xldudf_CX_GET(CX_ENTITY,($F28),BG$11,BG$14,,BG$19)),_xlpm.Res,IF(OR(_xlpm.val="",_xlpm.val="Error"),"",_xlpm.val),_xlpm.Res)</f>
        <v>#NAME?</v>
      </c>
      <c r="BH28" s="1669" t="e" cm="1">
        <f t="array" ca="1" aca="1" ref="BH28">_xlfn.LET(_xlpm.val,IF($F28="",val_blankRefText,_xldudf_CX_GET(CX_ENTITY,($F28),BH$11,BH$14,,BH$19)),_xlpm.Res,IF(OR(_xlpm.val="",_xlpm.val="Error"),"",_xlpm.val),_xlpm.Res)</f>
        <v>#NAME?</v>
      </c>
      <c r="BI28" s="1669" t="e" cm="1">
        <f t="array" ca="1" aca="1" ref="BI28">_xlfn.LET(_xlpm.val,IF($F28="",val_blankRefText,_xldudf_CX_GET(CX_ENTITY,($F28),BI$11,BI$14,,BI$19)),_xlpm.Res,IF(OR(_xlpm.val="",_xlpm.val="Error"),"",_xlpm.val),_xlpm.Res)</f>
        <v>#NAME?</v>
      </c>
      <c r="BJ28" s="1669" t="e" cm="1">
        <f t="array" ca="1" aca="1" ref="BJ28">_xlfn.LET(_xlpm.val,IF($F28="",val_blankRefText,_xldudf_CX_GET(CX_ENTITY,($F28),BJ$11,BJ$14,,BJ$19)),_xlpm.Res,IF(OR(_xlpm.val="",_xlpm.val="Error"),"",_xlpm.val),_xlpm.Res)</f>
        <v>#NAME?</v>
      </c>
      <c r="BK28" s="1669" t="e" cm="1">
        <f t="array" ca="1" aca="1" ref="BK28">_xlfn.LET(_xlpm.val,IF($F28="",val_blankRefText,_xldudf_CX_GET(CX_ENTITY,($F28),BK$11,BK$14,,BK$19)),_xlpm.Res,IF(OR(_xlpm.val="",_xlpm.val="Error"),"",_xlpm.val),_xlpm.Res)</f>
        <v>#NAME?</v>
      </c>
      <c r="BL28" s="1669" t="e" cm="1">
        <f t="array" ca="1" aca="1" ref="BL28">_xlfn.LET(_xlpm.val,IF($F28="",val_blankRefText,_xldudf_CX_GET(CX_ENTITY,($F28),BL$11,BL$14,,BL$19)),_xlpm.Res,IF(OR(_xlpm.val="",_xlpm.val="Error"),"",_xlpm.val),_xlpm.Res)</f>
        <v>#NAME?</v>
      </c>
      <c r="BM28" s="1669" t="e" cm="1">
        <f t="array" ca="1" aca="1" ref="BM28">_xlfn.LET(_xlpm.val,IF($F28="",val_blankRefText,_xldudf_CX_GET(CX_ENTITY,($F28),BM$11,BM$14,,BM$19)),_xlpm.Res,IF(OR(_xlpm.val="",_xlpm.val="Error"),"",_xlpm.val),_xlpm.Res)</f>
        <v>#NAME?</v>
      </c>
      <c r="BN28" s="1669" t="e" cm="1">
        <f t="array" ca="1" aca="1" ref="BN28">_xlfn.LET(_xlpm.val,IF($F28="",val_blankRefText,_xldudf_CX_GET(CX_ENTITY,($F28),BN$11,BN$14,,BN$19)),_xlpm.Res,IF(OR(_xlpm.val="",_xlpm.val="Error"),"",_xlpm.val),_xlpm.Res)</f>
        <v>#NAME?</v>
      </c>
      <c r="BO28" s="2095"/>
      <c r="BP28" s="2095"/>
      <c r="BQ28" s="2095"/>
      <c r="BR28" s="2095"/>
      <c r="BS28" s="2095"/>
      <c r="BT28" s="2095"/>
      <c r="BU28" s="2095"/>
      <c r="BV28" s="2095"/>
      <c r="BW28" s="2095"/>
      <c r="BX28" s="2095"/>
      <c r="BY28" s="2095"/>
      <c r="BZ28" s="2095"/>
      <c r="CA28" s="926"/>
      <c r="CB28" s="921"/>
      <c r="CC28" s="927"/>
      <c r="CD28" s="919" t="e" cm="1">
        <f t="array" ca="1" aca="1" ref="CD28">_xlfn.XLOOKUP(BS!CD$11,array_timeline,BS!$AD28:$BN28)</f>
        <v>#NAME?</v>
      </c>
      <c r="CE28" s="919" t="e" cm="1">
        <f t="array" ca="1" aca="1" ref="CE28">_xlfn.XLOOKUP(BS!CE$11,array_timeline,BS!$AD28:$BN28)</f>
        <v>#NAME?</v>
      </c>
      <c r="CF28" s="925"/>
      <c r="CG28" s="919" t="e" cm="1">
        <f t="array" ca="1" aca="1" ref="CG28">_xlfn.LET(_xlpm.val,IF($F28="",val_blankRefText,_xldudf_CX_GET(CX_ENTITY,($F28),CG$11,CG$14,,(CG$19))),_xlpm.Res,IF(OR(_xlpm.val="",_xlpm.val="Error"),"",_xlpm.val),_xlpm.Res)</f>
        <v>#NAME?</v>
      </c>
      <c r="CH28" s="919" t="e" cm="1">
        <f t="array" ca="1" aca="1" ref="CH28">_xlfn.LET(_xlpm.val,IF($F28="",val_blankRefText,_xldudf_CX_GET(CX_ENTITY,($F28),CH$11,CH$14,,(CH$19))),_xlpm.Res,IF(OR(_xlpm.val="",_xlpm.val="Error"),"",_xlpm.val),_xlpm.Res)</f>
        <v>#NAME?</v>
      </c>
      <c r="CI28" s="924"/>
    </row>
    <row r="29" spans="1:87" ht="21" customHeight="1">
      <c r="A29" s="696" t="s">
        <v>720</v>
      </c>
      <c r="B29" s="577" t="s">
        <v>1711</v>
      </c>
      <c r="C29" s="577" t="s">
        <v>1712</v>
      </c>
      <c r="D29" s="577"/>
      <c r="E29" s="577" t="e" cm="1">
        <f t="array" ca="1" aca="1" ref="E29">_xlfn.LET(_xlpm.Attr,$C29,_xlpm.Lookback,$E$16,_xlpm.QueryDate,EOMONTH(val_asOfDate,_xlpm.Lookback),_xlpm.ReadField,_xldudf_CX_GET(CX_ENTITY,fx_attrConverter($C29),_xlpm.QueryDate),_xlpm.AttrBlank,_xlpm.Attr="",_xlpm.RESULT,IF(_xlpm.AttrBlank,val_blankRefText,fx_attrConverter(_xlpm.ReadField,0)),IF(_xlpm.RESULT="Error","",_xlpm.RESULT))</f>
        <v>#NAME?</v>
      </c>
      <c r="F29" s="577" t="str">
        <f t="shared" si="1"/>
        <v>Other Assets</v>
      </c>
      <c r="G29" s="574"/>
      <c r="H29" s="3279">
        <v>1</v>
      </c>
      <c r="I29" s="3279">
        <v>1</v>
      </c>
      <c r="J29" s="401"/>
      <c r="K29" s="401"/>
      <c r="L29" s="3269" t="b">
        <v>1</v>
      </c>
      <c r="N29" s="158"/>
      <c r="O29" s="101"/>
      <c r="P29" s="52"/>
      <c r="Q29" s="101"/>
      <c r="R29" s="101"/>
      <c r="S29" s="101"/>
      <c r="T29" s="101"/>
      <c r="U29" s="39"/>
      <c r="W29" s="91" t="str">
        <f t="shared" si="4"/>
        <v>Actual</v>
      </c>
      <c r="X29" s="3292">
        <v>1</v>
      </c>
      <c r="Y29" s="2627" t="s">
        <v>1711</v>
      </c>
      <c r="Z29" s="3291" cm="1">
        <f t="array" ref="Z29">_xlfn.SWITCH(TRUE,$L29="",0,$L29=TRUE,1,$L29=FALSE,-1,)</f>
        <v>1</v>
      </c>
      <c r="AA29" s="2625"/>
      <c r="AB29" s="2626" t="s">
        <v>1711</v>
      </c>
      <c r="AC29" s="88" t="e" vm="5" cm="1">
        <f t="array" ref="AC29">IFERROR(IF(_xlfn.XMATCH(AB29,tbl_acctDef[Term],0)&gt;0,fx_getIcon("find"),""),"")</f>
        <v>#VALUE!</v>
      </c>
      <c r="AD29" s="1669" t="e" cm="1">
        <f t="array" ca="1" aca="1" ref="AD29">_xlfn.LET(_xlpm.val,IF($F29="",val_blankRefText,_xldudf_CX_GET(CX_ENTITY,($F29),AD$11,AD$14,,AD$19)),_xlpm.Res,IF(OR(_xlpm.val="",_xlpm.val="Error"),"",_xlpm.val),_xlpm.Res)</f>
        <v>#NAME?</v>
      </c>
      <c r="AE29" s="1669" t="e" cm="1">
        <f t="array" ca="1" aca="1" ref="AE29">_xlfn.LET(_xlpm.val,IF($F29="",val_blankRefText,_xldudf_CX_GET(CX_ENTITY,($F29),AE$11,AE$14,,AE$19)),_xlpm.Res,IF(OR(_xlpm.val="",_xlpm.val="Error"),"",_xlpm.val),_xlpm.Res)</f>
        <v>#NAME?</v>
      </c>
      <c r="AF29" s="1669" t="e" cm="1">
        <f t="array" ca="1" aca="1" ref="AF29">_xlfn.LET(_xlpm.val,IF($F29="",val_blankRefText,_xldudf_CX_GET(CX_ENTITY,($F29),AF$11,AF$14,,AF$19)),_xlpm.Res,IF(OR(_xlpm.val="",_xlpm.val="Error"),"",_xlpm.val),_xlpm.Res)</f>
        <v>#NAME?</v>
      </c>
      <c r="AG29" s="1669" t="e" cm="1">
        <f t="array" ca="1" aca="1" ref="AG29">_xlfn.LET(_xlpm.val,IF($F29="",val_blankRefText,_xldudf_CX_GET(CX_ENTITY,($F29),AG$11,AG$14,,AG$19)),_xlpm.Res,IF(OR(_xlpm.val="",_xlpm.val="Error"),"",_xlpm.val),_xlpm.Res)</f>
        <v>#NAME?</v>
      </c>
      <c r="AH29" s="1669" t="e" cm="1">
        <f t="array" ca="1" aca="1" ref="AH29">_xlfn.LET(_xlpm.val,IF($F29="",val_blankRefText,_xldudf_CX_GET(CX_ENTITY,($F29),AH$11,AH$14,,AH$19)),_xlpm.Res,IF(OR(_xlpm.val="",_xlpm.val="Error"),"",_xlpm.val),_xlpm.Res)</f>
        <v>#NAME?</v>
      </c>
      <c r="AI29" s="1669" t="e" cm="1">
        <f t="array" ca="1" aca="1" ref="AI29">_xlfn.LET(_xlpm.val,IF($F29="",val_blankRefText,_xldudf_CX_GET(CX_ENTITY,($F29),AI$11,AI$14,,AI$19)),_xlpm.Res,IF(OR(_xlpm.val="",_xlpm.val="Error"),"",_xlpm.val),_xlpm.Res)</f>
        <v>#NAME?</v>
      </c>
      <c r="AJ29" s="1669" t="e" cm="1">
        <f t="array" ca="1" aca="1" ref="AJ29">_xlfn.LET(_xlpm.val,IF($F29="",val_blankRefText,_xldudf_CX_GET(CX_ENTITY,($F29),AJ$11,AJ$14,,AJ$19)),_xlpm.Res,IF(OR(_xlpm.val="",_xlpm.val="Error"),"",_xlpm.val),_xlpm.Res)</f>
        <v>#NAME?</v>
      </c>
      <c r="AK29" s="1669" t="e" cm="1">
        <f t="array" ca="1" aca="1" ref="AK29">_xlfn.LET(_xlpm.val,IF($F29="",val_blankRefText,_xldudf_CX_GET(CX_ENTITY,($F29),AK$11,AK$14,,AK$19)),_xlpm.Res,IF(OR(_xlpm.val="",_xlpm.val="Error"),"",_xlpm.val),_xlpm.Res)</f>
        <v>#NAME?</v>
      </c>
      <c r="AL29" s="1669" t="e" cm="1">
        <f t="array" ca="1" aca="1" ref="AL29">_xlfn.LET(_xlpm.val,IF($F29="",val_blankRefText,_xldudf_CX_GET(CX_ENTITY,($F29),AL$11,AL$14,,AL$19)),_xlpm.Res,IF(OR(_xlpm.val="",_xlpm.val="Error"),"",_xlpm.val),_xlpm.Res)</f>
        <v>#NAME?</v>
      </c>
      <c r="AM29" s="1669" t="e" cm="1">
        <f t="array" ca="1" aca="1" ref="AM29">_xlfn.LET(_xlpm.val,IF($F29="",val_blankRefText,_xldudf_CX_GET(CX_ENTITY,($F29),AM$11,AM$14,,AM$19)),_xlpm.Res,IF(OR(_xlpm.val="",_xlpm.val="Error"),"",_xlpm.val),_xlpm.Res)</f>
        <v>#NAME?</v>
      </c>
      <c r="AN29" s="1669" t="e" cm="1">
        <f t="array" ca="1" aca="1" ref="AN29">_xlfn.LET(_xlpm.val,IF($F29="",val_blankRefText,_xldudf_CX_GET(CX_ENTITY,($F29),AN$11,AN$14,,AN$19)),_xlpm.Res,IF(OR(_xlpm.val="",_xlpm.val="Error"),"",_xlpm.val),_xlpm.Res)</f>
        <v>#NAME?</v>
      </c>
      <c r="AO29" s="1669" t="e" cm="1">
        <f t="array" ca="1" aca="1" ref="AO29">_xlfn.LET(_xlpm.val,IF($F29="",val_blankRefText,_xldudf_CX_GET(CX_ENTITY,($F29),AO$11,AO$14,,AO$19)),_xlpm.Res,IF(OR(_xlpm.val="",_xlpm.val="Error"),"",_xlpm.val),_xlpm.Res)</f>
        <v>#NAME?</v>
      </c>
      <c r="AP29" s="1669" t="e" cm="1">
        <f t="array" ca="1" aca="1" ref="AP29">_xlfn.LET(_xlpm.val,IF($F29="",val_blankRefText,_xldudf_CX_GET(CX_ENTITY,($F29),AP$11,AP$14,,AP$19)),_xlpm.Res,IF(OR(_xlpm.val="",_xlpm.val="Error"),"",_xlpm.val),_xlpm.Res)</f>
        <v>#NAME?</v>
      </c>
      <c r="AQ29" s="1669" t="e" cm="1">
        <f t="array" ca="1" aca="1" ref="AQ29">_xlfn.LET(_xlpm.val,IF($F29="",val_blankRefText,_xldudf_CX_GET(CX_ENTITY,($F29),AQ$11,AQ$14,,AQ$19)),_xlpm.Res,IF(OR(_xlpm.val="",_xlpm.val="Error"),"",_xlpm.val),_xlpm.Res)</f>
        <v>#NAME?</v>
      </c>
      <c r="AR29" s="1669" t="e" cm="1">
        <f t="array" ca="1" aca="1" ref="AR29">_xlfn.LET(_xlpm.val,IF($F29="",val_blankRefText,_xldudf_CX_GET(CX_ENTITY,($F29),AR$11,AR$14,,AR$19)),_xlpm.Res,IF(OR(_xlpm.val="",_xlpm.val="Error"),"",_xlpm.val),_xlpm.Res)</f>
        <v>#NAME?</v>
      </c>
      <c r="AS29" s="1669" t="e" cm="1">
        <f t="array" ca="1" aca="1" ref="AS29">_xlfn.LET(_xlpm.val,IF($F29="",val_blankRefText,_xldudf_CX_GET(CX_ENTITY,($F29),AS$11,AS$14,,AS$19)),_xlpm.Res,IF(OR(_xlpm.val="",_xlpm.val="Error"),"",_xlpm.val),_xlpm.Res)</f>
        <v>#NAME?</v>
      </c>
      <c r="AT29" s="1669" t="e" cm="1">
        <f t="array" ca="1" aca="1" ref="AT29">_xlfn.LET(_xlpm.val,IF($F29="",val_blankRefText,_xldudf_CX_GET(CX_ENTITY,($F29),AT$11,AT$14,,AT$19)),_xlpm.Res,IF(OR(_xlpm.val="",_xlpm.val="Error"),"",_xlpm.val),_xlpm.Res)</f>
        <v>#NAME?</v>
      </c>
      <c r="AU29" s="1669" t="e" cm="1">
        <f t="array" ca="1" aca="1" ref="AU29">_xlfn.LET(_xlpm.val,IF($F29="",val_blankRefText,_xldudf_CX_GET(CX_ENTITY,($F29),AU$11,AU$14,,AU$19)),_xlpm.Res,IF(OR(_xlpm.val="",_xlpm.val="Error"),"",_xlpm.val),_xlpm.Res)</f>
        <v>#NAME?</v>
      </c>
      <c r="AV29" s="1669" t="e" cm="1">
        <f t="array" ca="1" aca="1" ref="AV29">_xlfn.LET(_xlpm.val,IF($F29="",val_blankRefText,_xldudf_CX_GET(CX_ENTITY,($F29),AV$11,AV$14,,AV$19)),_xlpm.Res,IF(OR(_xlpm.val="",_xlpm.val="Error"),"",_xlpm.val),_xlpm.Res)</f>
        <v>#NAME?</v>
      </c>
      <c r="AW29" s="1669" t="e" cm="1">
        <f t="array" ca="1" aca="1" ref="AW29">_xlfn.LET(_xlpm.val,IF($F29="",val_blankRefText,_xldudf_CX_GET(CX_ENTITY,($F29),AW$11,AW$14,,AW$19)),_xlpm.Res,IF(OR(_xlpm.val="",_xlpm.val="Error"),"",_xlpm.val),_xlpm.Res)</f>
        <v>#NAME?</v>
      </c>
      <c r="AX29" s="1669" t="e" cm="1">
        <f t="array" ca="1" aca="1" ref="AX29">_xlfn.LET(_xlpm.val,IF($F29="",val_blankRefText,_xldudf_CX_GET(CX_ENTITY,($F29),AX$11,AX$14,,AX$19)),_xlpm.Res,IF(OR(_xlpm.val="",_xlpm.val="Error"),"",_xlpm.val),_xlpm.Res)</f>
        <v>#NAME?</v>
      </c>
      <c r="AY29" s="1669" t="e" cm="1">
        <f t="array" ca="1" aca="1" ref="AY29">_xlfn.LET(_xlpm.val,IF($F29="",val_blankRefText,_xldudf_CX_GET(CX_ENTITY,($F29),AY$11,AY$14,,AY$19)),_xlpm.Res,IF(OR(_xlpm.val="",_xlpm.val="Error"),"",_xlpm.val),_xlpm.Res)</f>
        <v>#NAME?</v>
      </c>
      <c r="AZ29" s="1669" t="e" cm="1">
        <f t="array" ca="1" aca="1" ref="AZ29">_xlfn.LET(_xlpm.val,IF($F29="",val_blankRefText,_xldudf_CX_GET(CX_ENTITY,($F29),AZ$11,AZ$14,,AZ$19)),_xlpm.Res,IF(OR(_xlpm.val="",_xlpm.val="Error"),"",_xlpm.val),_xlpm.Res)</f>
        <v>#NAME?</v>
      </c>
      <c r="BA29" s="1669" t="e" cm="1">
        <f t="array" ca="1" aca="1" ref="BA29">_xlfn.LET(_xlpm.val,IF($F29="",val_blankRefText,_xldudf_CX_GET(CX_ENTITY,($F29),BA$11,BA$14,,BA$19)),_xlpm.Res,IF(OR(_xlpm.val="",_xlpm.val="Error"),"",_xlpm.val),_xlpm.Res)</f>
        <v>#NAME?</v>
      </c>
      <c r="BB29" s="1669" t="e" cm="1">
        <f t="array" ca="1" aca="1" ref="BB29">_xlfn.LET(_xlpm.val,IF($F29="",val_blankRefText,_xldudf_CX_GET(CX_ENTITY,($F29),BB$11,BB$14,,BB$19)),_xlpm.Res,IF(OR(_xlpm.val="",_xlpm.val="Error"),"",_xlpm.val),_xlpm.Res)</f>
        <v>#NAME?</v>
      </c>
      <c r="BC29" s="1669" t="e" cm="1">
        <f t="array" ca="1" aca="1" ref="BC29">_xlfn.LET(_xlpm.val,IF($F29="",val_blankRefText,_xldudf_CX_GET(CX_ENTITY,($F29),BC$11,BC$14,,BC$19)),_xlpm.Res,IF(OR(_xlpm.val="",_xlpm.val="Error"),"",_xlpm.val),_xlpm.Res)</f>
        <v>#NAME?</v>
      </c>
      <c r="BD29" s="1669" t="e" cm="1">
        <f t="array" ca="1" aca="1" ref="BD29">_xlfn.LET(_xlpm.val,IF($F29="",val_blankRefText,_xldudf_CX_GET(CX_ENTITY,($F29),BD$11,BD$14,,BD$19)),_xlpm.Res,IF(OR(_xlpm.val="",_xlpm.val="Error"),"",_xlpm.val),_xlpm.Res)</f>
        <v>#NAME?</v>
      </c>
      <c r="BE29" s="1669" t="e" cm="1">
        <f t="array" ca="1" aca="1" ref="BE29">_xlfn.LET(_xlpm.val,IF($F29="",val_blankRefText,_xldudf_CX_GET(CX_ENTITY,($F29),BE$11,BE$14,,BE$19)),_xlpm.Res,IF(OR(_xlpm.val="",_xlpm.val="Error"),"",_xlpm.val),_xlpm.Res)</f>
        <v>#NAME?</v>
      </c>
      <c r="BF29" s="1669" t="e" cm="1">
        <f t="array" ca="1" aca="1" ref="BF29">_xlfn.LET(_xlpm.val,IF($F29="",val_blankRefText,_xldudf_CX_GET(CX_ENTITY,($F29),BF$11,BF$14,,BF$19)),_xlpm.Res,IF(OR(_xlpm.val="",_xlpm.val="Error"),"",_xlpm.val),_xlpm.Res)</f>
        <v>#NAME?</v>
      </c>
      <c r="BG29" s="1669" t="e" cm="1">
        <f t="array" ca="1" aca="1" ref="BG29">_xlfn.LET(_xlpm.val,IF($F29="",val_blankRefText,_xldudf_CX_GET(CX_ENTITY,($F29),BG$11,BG$14,,BG$19)),_xlpm.Res,IF(OR(_xlpm.val="",_xlpm.val="Error"),"",_xlpm.val),_xlpm.Res)</f>
        <v>#NAME?</v>
      </c>
      <c r="BH29" s="1669" t="e" cm="1">
        <f t="array" ca="1" aca="1" ref="BH29">_xlfn.LET(_xlpm.val,IF($F29="",val_blankRefText,_xldudf_CX_GET(CX_ENTITY,($F29),BH$11,BH$14,,BH$19)),_xlpm.Res,IF(OR(_xlpm.val="",_xlpm.val="Error"),"",_xlpm.val),_xlpm.Res)</f>
        <v>#NAME?</v>
      </c>
      <c r="BI29" s="1669" t="e" cm="1">
        <f t="array" ca="1" aca="1" ref="BI29">_xlfn.LET(_xlpm.val,IF($F29="",val_blankRefText,_xldudf_CX_GET(CX_ENTITY,($F29),BI$11,BI$14,,BI$19)),_xlpm.Res,IF(OR(_xlpm.val="",_xlpm.val="Error"),"",_xlpm.val),_xlpm.Res)</f>
        <v>#NAME?</v>
      </c>
      <c r="BJ29" s="1669" t="e" cm="1">
        <f t="array" ca="1" aca="1" ref="BJ29">_xlfn.LET(_xlpm.val,IF($F29="",val_blankRefText,_xldudf_CX_GET(CX_ENTITY,($F29),BJ$11,BJ$14,,BJ$19)),_xlpm.Res,IF(OR(_xlpm.val="",_xlpm.val="Error"),"",_xlpm.val),_xlpm.Res)</f>
        <v>#NAME?</v>
      </c>
      <c r="BK29" s="1669" t="e" cm="1">
        <f t="array" ca="1" aca="1" ref="BK29">_xlfn.LET(_xlpm.val,IF($F29="",val_blankRefText,_xldudf_CX_GET(CX_ENTITY,($F29),BK$11,BK$14,,BK$19)),_xlpm.Res,IF(OR(_xlpm.val="",_xlpm.val="Error"),"",_xlpm.val),_xlpm.Res)</f>
        <v>#NAME?</v>
      </c>
      <c r="BL29" s="1669" t="e" cm="1">
        <f t="array" ca="1" aca="1" ref="BL29">_xlfn.LET(_xlpm.val,IF($F29="",val_blankRefText,_xldudf_CX_GET(CX_ENTITY,($F29),BL$11,BL$14,,BL$19)),_xlpm.Res,IF(OR(_xlpm.val="",_xlpm.val="Error"),"",_xlpm.val),_xlpm.Res)</f>
        <v>#NAME?</v>
      </c>
      <c r="BM29" s="1669" t="e" cm="1">
        <f t="array" ca="1" aca="1" ref="BM29">_xlfn.LET(_xlpm.val,IF($F29="",val_blankRefText,_xldudf_CX_GET(CX_ENTITY,($F29),BM$11,BM$14,,BM$19)),_xlpm.Res,IF(OR(_xlpm.val="",_xlpm.val="Error"),"",_xlpm.val),_xlpm.Res)</f>
        <v>#NAME?</v>
      </c>
      <c r="BN29" s="1669" t="e" cm="1">
        <f t="array" ca="1" aca="1" ref="BN29">_xlfn.LET(_xlpm.val,IF($F29="",val_blankRefText,_xldudf_CX_GET(CX_ENTITY,($F29),BN$11,BN$14,,BN$19)),_xlpm.Res,IF(OR(_xlpm.val="",_xlpm.val="Error"),"",_xlpm.val),_xlpm.Res)</f>
        <v>#NAME?</v>
      </c>
      <c r="BO29" s="2095"/>
      <c r="BP29" s="2095"/>
      <c r="BQ29" s="2095"/>
      <c r="BR29" s="2095"/>
      <c r="BS29" s="2095"/>
      <c r="BT29" s="2095"/>
      <c r="BU29" s="2095"/>
      <c r="BV29" s="2095"/>
      <c r="BW29" s="2095"/>
      <c r="BX29" s="2095"/>
      <c r="BY29" s="2095"/>
      <c r="BZ29" s="2095"/>
      <c r="CA29" s="926"/>
      <c r="CB29" s="921"/>
      <c r="CC29" s="927"/>
      <c r="CD29" s="920" t="e" cm="1">
        <f t="array" ca="1" aca="1" ref="CD29">_xlfn.XLOOKUP(BS!CD$11,array_timeline,BS!$AD29:$BN29)</f>
        <v>#NAME?</v>
      </c>
      <c r="CE29" s="920" t="e" cm="1">
        <f t="array" ca="1" aca="1" ref="CE29">_xlfn.XLOOKUP(BS!CE$11,array_timeline,BS!$AD29:$BN29)</f>
        <v>#NAME?</v>
      </c>
      <c r="CF29" s="925"/>
      <c r="CG29" s="920" t="e" cm="1">
        <f t="array" ca="1" aca="1" ref="CG29">_xlfn.LET(_xlpm.val,IF($F29="",val_blankRefText,_xldudf_CX_GET(CX_ENTITY,($F29),CG$11,CG$14,,(CG$19))),_xlpm.Res,IF(OR(_xlpm.val="",_xlpm.val="Error"),"",_xlpm.val),_xlpm.Res)</f>
        <v>#NAME?</v>
      </c>
      <c r="CH29" s="920" t="e" cm="1">
        <f t="array" ca="1" aca="1" ref="CH29">_xlfn.LET(_xlpm.val,IF($F29="",val_blankRefText,_xldudf_CX_GET(CX_ENTITY,($F29),CH$11,CH$14,,(CH$19))),_xlpm.Res,IF(OR(_xlpm.val="",_xlpm.val="Error"),"",_xlpm.val),_xlpm.Res)</f>
        <v>#NAME?</v>
      </c>
      <c r="CI29" s="200"/>
    </row>
    <row r="30" spans="1:87" ht="21" customHeight="1">
      <c r="A30" s="696" t="s">
        <v>726</v>
      </c>
      <c r="B30" s="577" t="s">
        <v>1713</v>
      </c>
      <c r="C30" s="577" t="s">
        <v>1714</v>
      </c>
      <c r="D30" s="577"/>
      <c r="E30" s="577" t="e" cm="1">
        <f t="array" ca="1" aca="1" ref="E30">_xlfn.LET(_xlpm.Attr,$C30,_xlpm.Lookback,$E$16,_xlpm.QueryDate,EOMONTH(val_asOfDate,_xlpm.Lookback),_xlpm.ReadField,_xldudf_CX_GET(CX_ENTITY,fx_attrConverter($C30),_xlpm.QueryDate),_xlpm.AttrBlank,_xlpm.Attr="",_xlpm.RESULT,IF(_xlpm.AttrBlank,val_blankRefText,fx_attrConverter(_xlpm.ReadField,0)),IF(_xlpm.RESULT="Error","",_xlpm.RESULT))</f>
        <v>#NAME?</v>
      </c>
      <c r="F30" s="577" t="str">
        <f t="shared" si="1"/>
        <v>Net Capital Employed</v>
      </c>
      <c r="G30" s="574"/>
      <c r="H30" s="3279">
        <v>2</v>
      </c>
      <c r="I30" s="3279">
        <v>1</v>
      </c>
      <c r="J30" s="401"/>
      <c r="K30" s="401"/>
      <c r="L30" s="579">
        <v>-1</v>
      </c>
      <c r="N30" s="158"/>
      <c r="O30" s="101"/>
      <c r="P30" s="52"/>
      <c r="Q30" s="101"/>
      <c r="R30" s="126"/>
      <c r="S30" s="101"/>
      <c r="T30" s="101"/>
      <c r="U30" s="39"/>
      <c r="W30" s="922" t="str">
        <f t="shared" si="4"/>
        <v>Actual</v>
      </c>
      <c r="X30" s="1294">
        <v>0</v>
      </c>
      <c r="Y30" s="2628" t="s">
        <v>1713</v>
      </c>
      <c r="Z30" s="198" cm="1">
        <f t="array" ref="Z30">_xlfn.SWITCH(TRUE,$L30="",0,$L30=TRUE,1,$L30=FALSE,-1,)</f>
        <v>0</v>
      </c>
      <c r="AA30" s="2629"/>
      <c r="AB30" s="2623" t="s">
        <v>1713</v>
      </c>
      <c r="AC30" s="88" t="str" cm="1">
        <f t="array" ref="AC30">IFERROR(IF(_xlfn.XMATCH(AB30,tbl_acctDef[Term],0)&gt;0,fx_getIcon("find"),""),"")</f>
        <v/>
      </c>
      <c r="AD30" s="1669" t="e" cm="1">
        <f t="array" ca="1" aca="1" ref="AD30">_xlfn.LET(_xlpm.val,IF($F30="",val_blankRefText,_xldudf_CX_GET(CX_ENTITY,($F30),AD$11,AD$14,,AD$19)),_xlpm.Res,IF(OR(_xlpm.val="",_xlpm.val="Error"),"",_xlpm.val),_xlpm.Res)</f>
        <v>#NAME?</v>
      </c>
      <c r="AE30" s="1669" t="e" cm="1">
        <f t="array" ca="1" aca="1" ref="AE30">_xlfn.LET(_xlpm.val,IF($F30="",val_blankRefText,_xldudf_CX_GET(CX_ENTITY,($F30),AE$11,AE$14,,AE$19)),_xlpm.Res,IF(OR(_xlpm.val="",_xlpm.val="Error"),"",_xlpm.val),_xlpm.Res)</f>
        <v>#NAME?</v>
      </c>
      <c r="AF30" s="1669" t="e" cm="1">
        <f t="array" ca="1" aca="1" ref="AF30">_xlfn.LET(_xlpm.val,IF($F30="",val_blankRefText,_xldudf_CX_GET(CX_ENTITY,($F30),AF$11,AF$14,,AF$19)),_xlpm.Res,IF(OR(_xlpm.val="",_xlpm.val="Error"),"",_xlpm.val),_xlpm.Res)</f>
        <v>#NAME?</v>
      </c>
      <c r="AG30" s="1669" t="e" cm="1">
        <f t="array" ca="1" aca="1" ref="AG30">_xlfn.LET(_xlpm.val,IF($F30="",val_blankRefText,_xldudf_CX_GET(CX_ENTITY,($F30),AG$11,AG$14,,AG$19)),_xlpm.Res,IF(OR(_xlpm.val="",_xlpm.val="Error"),"",_xlpm.val),_xlpm.Res)</f>
        <v>#NAME?</v>
      </c>
      <c r="AH30" s="1669" t="e" cm="1">
        <f t="array" ca="1" aca="1" ref="AH30">_xlfn.LET(_xlpm.val,IF($F30="",val_blankRefText,_xldudf_CX_GET(CX_ENTITY,($F30),AH$11,AH$14,,AH$19)),_xlpm.Res,IF(OR(_xlpm.val="",_xlpm.val="Error"),"",_xlpm.val),_xlpm.Res)</f>
        <v>#NAME?</v>
      </c>
      <c r="AI30" s="1669" t="e" cm="1">
        <f t="array" ca="1" aca="1" ref="AI30">_xlfn.LET(_xlpm.val,IF($F30="",val_blankRefText,_xldudf_CX_GET(CX_ENTITY,($F30),AI$11,AI$14,,AI$19)),_xlpm.Res,IF(OR(_xlpm.val="",_xlpm.val="Error"),"",_xlpm.val),_xlpm.Res)</f>
        <v>#NAME?</v>
      </c>
      <c r="AJ30" s="1669" t="e" cm="1">
        <f t="array" ca="1" aca="1" ref="AJ30">_xlfn.LET(_xlpm.val,IF($F30="",val_blankRefText,_xldudf_CX_GET(CX_ENTITY,($F30),AJ$11,AJ$14,,AJ$19)),_xlpm.Res,IF(OR(_xlpm.val="",_xlpm.val="Error"),"",_xlpm.val),_xlpm.Res)</f>
        <v>#NAME?</v>
      </c>
      <c r="AK30" s="1669" t="e" cm="1">
        <f t="array" ca="1" aca="1" ref="AK30">_xlfn.LET(_xlpm.val,IF($F30="",val_blankRefText,_xldudf_CX_GET(CX_ENTITY,($F30),AK$11,AK$14,,AK$19)),_xlpm.Res,IF(OR(_xlpm.val="",_xlpm.val="Error"),"",_xlpm.val),_xlpm.Res)</f>
        <v>#NAME?</v>
      </c>
      <c r="AL30" s="1669" t="e" cm="1">
        <f t="array" ca="1" aca="1" ref="AL30">_xlfn.LET(_xlpm.val,IF($F30="",val_blankRefText,_xldudf_CX_GET(CX_ENTITY,($F30),AL$11,AL$14,,AL$19)),_xlpm.Res,IF(OR(_xlpm.val="",_xlpm.val="Error"),"",_xlpm.val),_xlpm.Res)</f>
        <v>#NAME?</v>
      </c>
      <c r="AM30" s="1669" t="e" cm="1">
        <f t="array" ca="1" aca="1" ref="AM30">_xlfn.LET(_xlpm.val,IF($F30="",val_blankRefText,_xldudf_CX_GET(CX_ENTITY,($F30),AM$11,AM$14,,AM$19)),_xlpm.Res,IF(OR(_xlpm.val="",_xlpm.val="Error"),"",_xlpm.val),_xlpm.Res)</f>
        <v>#NAME?</v>
      </c>
      <c r="AN30" s="1669" t="e" cm="1">
        <f t="array" ca="1" aca="1" ref="AN30">_xlfn.LET(_xlpm.val,IF($F30="",val_blankRefText,_xldudf_CX_GET(CX_ENTITY,($F30),AN$11,AN$14,,AN$19)),_xlpm.Res,IF(OR(_xlpm.val="",_xlpm.val="Error"),"",_xlpm.val),_xlpm.Res)</f>
        <v>#NAME?</v>
      </c>
      <c r="AO30" s="1669" t="e" cm="1">
        <f t="array" ca="1" aca="1" ref="AO30">_xlfn.LET(_xlpm.val,IF($F30="",val_blankRefText,_xldudf_CX_GET(CX_ENTITY,($F30),AO$11,AO$14,,AO$19)),_xlpm.Res,IF(OR(_xlpm.val="",_xlpm.val="Error"),"",_xlpm.val),_xlpm.Res)</f>
        <v>#NAME?</v>
      </c>
      <c r="AP30" s="1669" t="e" cm="1">
        <f t="array" ca="1" aca="1" ref="AP30">_xlfn.LET(_xlpm.val,IF($F30="",val_blankRefText,_xldudf_CX_GET(CX_ENTITY,($F30),AP$11,AP$14,,AP$19)),_xlpm.Res,IF(OR(_xlpm.val="",_xlpm.val="Error"),"",_xlpm.val),_xlpm.Res)</f>
        <v>#NAME?</v>
      </c>
      <c r="AQ30" s="1669" t="e" cm="1">
        <f t="array" ca="1" aca="1" ref="AQ30">_xlfn.LET(_xlpm.val,IF($F30="",val_blankRefText,_xldudf_CX_GET(CX_ENTITY,($F30),AQ$11,AQ$14,,AQ$19)),_xlpm.Res,IF(OR(_xlpm.val="",_xlpm.val="Error"),"",_xlpm.val),_xlpm.Res)</f>
        <v>#NAME?</v>
      </c>
      <c r="AR30" s="1669" t="e" cm="1">
        <f t="array" ca="1" aca="1" ref="AR30">_xlfn.LET(_xlpm.val,IF($F30="",val_blankRefText,_xldudf_CX_GET(CX_ENTITY,($F30),AR$11,AR$14,,AR$19)),_xlpm.Res,IF(OR(_xlpm.val="",_xlpm.val="Error"),"",_xlpm.val),_xlpm.Res)</f>
        <v>#NAME?</v>
      </c>
      <c r="AS30" s="1669" t="e" cm="1">
        <f t="array" ca="1" aca="1" ref="AS30">_xlfn.LET(_xlpm.val,IF($F30="",val_blankRefText,_xldudf_CX_GET(CX_ENTITY,($F30),AS$11,AS$14,,AS$19)),_xlpm.Res,IF(OR(_xlpm.val="",_xlpm.val="Error"),"",_xlpm.val),_xlpm.Res)</f>
        <v>#NAME?</v>
      </c>
      <c r="AT30" s="1669" t="e" cm="1">
        <f t="array" ca="1" aca="1" ref="AT30">_xlfn.LET(_xlpm.val,IF($F30="",val_blankRefText,_xldudf_CX_GET(CX_ENTITY,($F30),AT$11,AT$14,,AT$19)),_xlpm.Res,IF(OR(_xlpm.val="",_xlpm.val="Error"),"",_xlpm.val),_xlpm.Res)</f>
        <v>#NAME?</v>
      </c>
      <c r="AU30" s="1669" t="e" cm="1">
        <f t="array" ca="1" aca="1" ref="AU30">_xlfn.LET(_xlpm.val,IF($F30="",val_blankRefText,_xldudf_CX_GET(CX_ENTITY,($F30),AU$11,AU$14,,AU$19)),_xlpm.Res,IF(OR(_xlpm.val="",_xlpm.val="Error"),"",_xlpm.val),_xlpm.Res)</f>
        <v>#NAME?</v>
      </c>
      <c r="AV30" s="1669" t="e" cm="1">
        <f t="array" ca="1" aca="1" ref="AV30">_xlfn.LET(_xlpm.val,IF($F30="",val_blankRefText,_xldudf_CX_GET(CX_ENTITY,($F30),AV$11,AV$14,,AV$19)),_xlpm.Res,IF(OR(_xlpm.val="",_xlpm.val="Error"),"",_xlpm.val),_xlpm.Res)</f>
        <v>#NAME?</v>
      </c>
      <c r="AW30" s="1669" t="e" cm="1">
        <f t="array" ca="1" aca="1" ref="AW30">_xlfn.LET(_xlpm.val,IF($F30="",val_blankRefText,_xldudf_CX_GET(CX_ENTITY,($F30),AW$11,AW$14,,AW$19)),_xlpm.Res,IF(OR(_xlpm.val="",_xlpm.val="Error"),"",_xlpm.val),_xlpm.Res)</f>
        <v>#NAME?</v>
      </c>
      <c r="AX30" s="1669" t="e" cm="1">
        <f t="array" ca="1" aca="1" ref="AX30">_xlfn.LET(_xlpm.val,IF($F30="",val_blankRefText,_xldudf_CX_GET(CX_ENTITY,($F30),AX$11,AX$14,,AX$19)),_xlpm.Res,IF(OR(_xlpm.val="",_xlpm.val="Error"),"",_xlpm.val),_xlpm.Res)</f>
        <v>#NAME?</v>
      </c>
      <c r="AY30" s="1669" t="e" cm="1">
        <f t="array" ca="1" aca="1" ref="AY30">_xlfn.LET(_xlpm.val,IF($F30="",val_blankRefText,_xldudf_CX_GET(CX_ENTITY,($F30),AY$11,AY$14,,AY$19)),_xlpm.Res,IF(OR(_xlpm.val="",_xlpm.val="Error"),"",_xlpm.val),_xlpm.Res)</f>
        <v>#NAME?</v>
      </c>
      <c r="AZ30" s="1669" t="e" cm="1">
        <f t="array" ca="1" aca="1" ref="AZ30">_xlfn.LET(_xlpm.val,IF($F30="",val_blankRefText,_xldudf_CX_GET(CX_ENTITY,($F30),AZ$11,AZ$14,,AZ$19)),_xlpm.Res,IF(OR(_xlpm.val="",_xlpm.val="Error"),"",_xlpm.val),_xlpm.Res)</f>
        <v>#NAME?</v>
      </c>
      <c r="BA30" s="1669" t="e" cm="1">
        <f t="array" ca="1" aca="1" ref="BA30">_xlfn.LET(_xlpm.val,IF($F30="",val_blankRefText,_xldudf_CX_GET(CX_ENTITY,($F30),BA$11,BA$14,,BA$19)),_xlpm.Res,IF(OR(_xlpm.val="",_xlpm.val="Error"),"",_xlpm.val),_xlpm.Res)</f>
        <v>#NAME?</v>
      </c>
      <c r="BB30" s="1669" t="e" cm="1">
        <f t="array" ca="1" aca="1" ref="BB30">_xlfn.LET(_xlpm.val,IF($F30="",val_blankRefText,_xldudf_CX_GET(CX_ENTITY,($F30),BB$11,BB$14,,BB$19)),_xlpm.Res,IF(OR(_xlpm.val="",_xlpm.val="Error"),"",_xlpm.val),_xlpm.Res)</f>
        <v>#NAME?</v>
      </c>
      <c r="BC30" s="1669" t="e" cm="1">
        <f t="array" ca="1" aca="1" ref="BC30">_xlfn.LET(_xlpm.val,IF($F30="",val_blankRefText,_xldudf_CX_GET(CX_ENTITY,($F30),BC$11,BC$14,,BC$19)),_xlpm.Res,IF(OR(_xlpm.val="",_xlpm.val="Error"),"",_xlpm.val),_xlpm.Res)</f>
        <v>#NAME?</v>
      </c>
      <c r="BD30" s="1669" t="e" cm="1">
        <f t="array" ca="1" aca="1" ref="BD30">_xlfn.LET(_xlpm.val,IF($F30="",val_blankRefText,_xldudf_CX_GET(CX_ENTITY,($F30),BD$11,BD$14,,BD$19)),_xlpm.Res,IF(OR(_xlpm.val="",_xlpm.val="Error"),"",_xlpm.val),_xlpm.Res)</f>
        <v>#NAME?</v>
      </c>
      <c r="BE30" s="1669" t="e" cm="1">
        <f t="array" ca="1" aca="1" ref="BE30">_xlfn.LET(_xlpm.val,IF($F30="",val_blankRefText,_xldudf_CX_GET(CX_ENTITY,($F30),BE$11,BE$14,,BE$19)),_xlpm.Res,IF(OR(_xlpm.val="",_xlpm.val="Error"),"",_xlpm.val),_xlpm.Res)</f>
        <v>#NAME?</v>
      </c>
      <c r="BF30" s="1669" t="e" cm="1">
        <f t="array" ca="1" aca="1" ref="BF30">_xlfn.LET(_xlpm.val,IF($F30="",val_blankRefText,_xldudf_CX_GET(CX_ENTITY,($F30),BF$11,BF$14,,BF$19)),_xlpm.Res,IF(OR(_xlpm.val="",_xlpm.val="Error"),"",_xlpm.val),_xlpm.Res)</f>
        <v>#NAME?</v>
      </c>
      <c r="BG30" s="1669" t="e" cm="1">
        <f t="array" ca="1" aca="1" ref="BG30">_xlfn.LET(_xlpm.val,IF($F30="",val_blankRefText,_xldudf_CX_GET(CX_ENTITY,($F30),BG$11,BG$14,,BG$19)),_xlpm.Res,IF(OR(_xlpm.val="",_xlpm.val="Error"),"",_xlpm.val),_xlpm.Res)</f>
        <v>#NAME?</v>
      </c>
      <c r="BH30" s="1669" t="e" cm="1">
        <f t="array" ca="1" aca="1" ref="BH30">_xlfn.LET(_xlpm.val,IF($F30="",val_blankRefText,_xldudf_CX_GET(CX_ENTITY,($F30),BH$11,BH$14,,BH$19)),_xlpm.Res,IF(OR(_xlpm.val="",_xlpm.val="Error"),"",_xlpm.val),_xlpm.Res)</f>
        <v>#NAME?</v>
      </c>
      <c r="BI30" s="1669" t="e" cm="1">
        <f t="array" ca="1" aca="1" ref="BI30">_xlfn.LET(_xlpm.val,IF($F30="",val_blankRefText,_xldudf_CX_GET(CX_ENTITY,($F30),BI$11,BI$14,,BI$19)),_xlpm.Res,IF(OR(_xlpm.val="",_xlpm.val="Error"),"",_xlpm.val),_xlpm.Res)</f>
        <v>#NAME?</v>
      </c>
      <c r="BJ30" s="1669" t="e" cm="1">
        <f t="array" ca="1" aca="1" ref="BJ30">_xlfn.LET(_xlpm.val,IF($F30="",val_blankRefText,_xldudf_CX_GET(CX_ENTITY,($F30),BJ$11,BJ$14,,BJ$19)),_xlpm.Res,IF(OR(_xlpm.val="",_xlpm.val="Error"),"",_xlpm.val),_xlpm.Res)</f>
        <v>#NAME?</v>
      </c>
      <c r="BK30" s="1669" t="e" cm="1">
        <f t="array" ca="1" aca="1" ref="BK30">_xlfn.LET(_xlpm.val,IF($F30="",val_blankRefText,_xldudf_CX_GET(CX_ENTITY,($F30),BK$11,BK$14,,BK$19)),_xlpm.Res,IF(OR(_xlpm.val="",_xlpm.val="Error"),"",_xlpm.val),_xlpm.Res)</f>
        <v>#NAME?</v>
      </c>
      <c r="BL30" s="1669" t="e" cm="1">
        <f t="array" ca="1" aca="1" ref="BL30">_xlfn.LET(_xlpm.val,IF($F30="",val_blankRefText,_xldudf_CX_GET(CX_ENTITY,($F30),BL$11,BL$14,,BL$19)),_xlpm.Res,IF(OR(_xlpm.val="",_xlpm.val="Error"),"",_xlpm.val),_xlpm.Res)</f>
        <v>#NAME?</v>
      </c>
      <c r="BM30" s="1669" t="e" cm="1">
        <f t="array" ca="1" aca="1" ref="BM30">_xlfn.LET(_xlpm.val,IF($F30="",val_blankRefText,_xldudf_CX_GET(CX_ENTITY,($F30),BM$11,BM$14,,BM$19)),_xlpm.Res,IF(OR(_xlpm.val="",_xlpm.val="Error"),"",_xlpm.val),_xlpm.Res)</f>
        <v>#NAME?</v>
      </c>
      <c r="BN30" s="1669" t="e" cm="1">
        <f t="array" ca="1" aca="1" ref="BN30">_xlfn.LET(_xlpm.val,IF($F30="",val_blankRefText,_xldudf_CX_GET(CX_ENTITY,($F30),BN$11,BN$14,,BN$19)),_xlpm.Res,IF(OR(_xlpm.val="",_xlpm.val="Error"),"",_xlpm.val),_xlpm.Res)</f>
        <v>#NAME?</v>
      </c>
      <c r="BO30" s="2095"/>
      <c r="BP30" s="2095"/>
      <c r="BQ30" s="2095"/>
      <c r="BR30" s="2095"/>
      <c r="BS30" s="2095"/>
      <c r="BT30" s="2095"/>
      <c r="BU30" s="2095"/>
      <c r="BV30" s="2095"/>
      <c r="BW30" s="2095"/>
      <c r="BX30" s="2095"/>
      <c r="BY30" s="2095"/>
      <c r="BZ30" s="2095"/>
      <c r="CA30" s="926"/>
      <c r="CB30" s="921"/>
      <c r="CC30" s="927"/>
      <c r="CD30" s="919" t="e" cm="1">
        <f t="array" ca="1" aca="1" ref="CD30">_xlfn.XLOOKUP(BS!CD$11,array_timeline,BS!$AD30:$BN30)</f>
        <v>#NAME?</v>
      </c>
      <c r="CE30" s="919" t="e" cm="1">
        <f t="array" ca="1" aca="1" ref="CE30">_xlfn.XLOOKUP(BS!CE$11,array_timeline,BS!$AD30:$BN30)</f>
        <v>#NAME?</v>
      </c>
      <c r="CF30" s="925"/>
      <c r="CG30" s="919" t="e" cm="1">
        <f t="array" ca="1" aca="1" ref="CG30">_xlfn.LET(_xlpm.val,IF($F30="",val_blankRefText,_xldudf_CX_GET(CX_ENTITY,($F30),CG$11,CG$14,,(CG$19))),_xlpm.Res,IF(OR(_xlpm.val="",_xlpm.val="Error"),"",_xlpm.val),_xlpm.Res)</f>
        <v>#NAME?</v>
      </c>
      <c r="CH30" s="919" t="e" cm="1">
        <f t="array" ca="1" aca="1" ref="CH30">_xlfn.LET(_xlpm.val,IF($F30="",val_blankRefText,_xldudf_CX_GET(CX_ENTITY,($F30),CH$11,CH$14,,(CH$19))),_xlpm.Res,IF(OR(_xlpm.val="",_xlpm.val="Error"),"",_xlpm.val),_xlpm.Res)</f>
        <v>#NAME?</v>
      </c>
      <c r="CI30" s="924"/>
    </row>
    <row r="31" spans="1:87" ht="21" customHeight="1">
      <c r="A31" s="693" t="s">
        <v>729</v>
      </c>
      <c r="B31" s="577" t="s">
        <v>1715</v>
      </c>
      <c r="C31" s="577" t="s">
        <v>1716</v>
      </c>
      <c r="D31" s="577"/>
      <c r="E31" s="577" t="e" cm="1">
        <f t="array" ca="1" aca="1" ref="E31">_xlfn.LET(_xlpm.Attr,$C31,_xlpm.Lookback,$E$16,_xlpm.QueryDate,EOMONTH(val_asOfDate,_xlpm.Lookback),_xlpm.ReadField,_xldudf_CX_GET(CX_ENTITY,fx_attrConverter($C31),_xlpm.QueryDate),_xlpm.AttrBlank,_xlpm.Attr="",_xlpm.RESULT,IF(_xlpm.AttrBlank,val_blankRefText,fx_attrConverter(_xlpm.ReadField,0)),IF(_xlpm.RESULT="Error","",_xlpm.RESULT))</f>
        <v>#NAME?</v>
      </c>
      <c r="F31" s="577" t="str">
        <f t="shared" si="1"/>
        <v>Senior Instrument(s) Amortising</v>
      </c>
      <c r="G31" s="578"/>
      <c r="H31" s="3279">
        <v>1</v>
      </c>
      <c r="I31" s="3279">
        <v>1</v>
      </c>
      <c r="J31" s="578"/>
      <c r="K31" s="578"/>
      <c r="L31" s="3269" t="b">
        <v>1</v>
      </c>
      <c r="N31" s="158"/>
      <c r="O31" s="101"/>
      <c r="P31" s="52"/>
      <c r="Q31" s="101"/>
      <c r="R31" s="101"/>
      <c r="S31" s="101"/>
      <c r="T31" s="101"/>
      <c r="U31" s="39"/>
      <c r="W31" s="91" t="str">
        <f t="shared" si="4"/>
        <v>Actual</v>
      </c>
      <c r="X31" s="857">
        <v>-1</v>
      </c>
      <c r="Y31" s="2627" t="s">
        <v>432</v>
      </c>
      <c r="Z31" s="3291" cm="1">
        <f t="array" ref="Z31">_xlfn.SWITCH(TRUE,$L31="",0,$L31=TRUE,1,$L31=FALSE,-1,)</f>
        <v>1</v>
      </c>
      <c r="AA31" s="2625"/>
      <c r="AB31" s="2626" t="s">
        <v>432</v>
      </c>
      <c r="AC31" s="88" t="str" cm="1">
        <f t="array" ref="AC31">IFERROR(IF(_xlfn.XMATCH(AB31,tbl_acctDef[Term],0)&gt;0,fx_getIcon("find"),""),"")</f>
        <v/>
      </c>
      <c r="AD31" s="1669" t="e" cm="1">
        <f t="array" ca="1" aca="1" ref="AD31">_xlfn.LET(_xlpm.val,IF($F31="",val_blankRefText,_xldudf_CX_GET(CX_ENTITY,($F31),AD$11,AD$14,,AD$19)),_xlpm.Res,IF(OR(_xlpm.val="",_xlpm.val="Error"),"",_xlpm.val),_xlpm.Res)</f>
        <v>#NAME?</v>
      </c>
      <c r="AE31" s="1669" t="e" cm="1">
        <f t="array" ca="1" aca="1" ref="AE31">_xlfn.LET(_xlpm.val,IF($F31="",val_blankRefText,_xldudf_CX_GET(CX_ENTITY,($F31),AE$11,AE$14,,AE$19)),_xlpm.Res,IF(OR(_xlpm.val="",_xlpm.val="Error"),"",_xlpm.val),_xlpm.Res)</f>
        <v>#NAME?</v>
      </c>
      <c r="AF31" s="1669" t="e" cm="1">
        <f t="array" ca="1" aca="1" ref="AF31">_xlfn.LET(_xlpm.val,IF($F31="",val_blankRefText,_xldudf_CX_GET(CX_ENTITY,($F31),AF$11,AF$14,,AF$19)),_xlpm.Res,IF(OR(_xlpm.val="",_xlpm.val="Error"),"",_xlpm.val),_xlpm.Res)</f>
        <v>#NAME?</v>
      </c>
      <c r="AG31" s="1669" t="e" cm="1">
        <f t="array" ca="1" aca="1" ref="AG31">_xlfn.LET(_xlpm.val,IF($F31="",val_blankRefText,_xldudf_CX_GET(CX_ENTITY,($F31),AG$11,AG$14,,AG$19)),_xlpm.Res,IF(OR(_xlpm.val="",_xlpm.val="Error"),"",_xlpm.val),_xlpm.Res)</f>
        <v>#NAME?</v>
      </c>
      <c r="AH31" s="1669" t="e" cm="1">
        <f t="array" ca="1" aca="1" ref="AH31">_xlfn.LET(_xlpm.val,IF($F31="",val_blankRefText,_xldudf_CX_GET(CX_ENTITY,($F31),AH$11,AH$14,,AH$19)),_xlpm.Res,IF(OR(_xlpm.val="",_xlpm.val="Error"),"",_xlpm.val),_xlpm.Res)</f>
        <v>#NAME?</v>
      </c>
      <c r="AI31" s="1669" t="e" cm="1">
        <f t="array" ca="1" aca="1" ref="AI31">_xlfn.LET(_xlpm.val,IF($F31="",val_blankRefText,_xldudf_CX_GET(CX_ENTITY,($F31),AI$11,AI$14,,AI$19)),_xlpm.Res,IF(OR(_xlpm.val="",_xlpm.val="Error"),"",_xlpm.val),_xlpm.Res)</f>
        <v>#NAME?</v>
      </c>
      <c r="AJ31" s="1669" t="e" cm="1">
        <f t="array" ca="1" aca="1" ref="AJ31">_xlfn.LET(_xlpm.val,IF($F31="",val_blankRefText,_xldudf_CX_GET(CX_ENTITY,($F31),AJ$11,AJ$14,,AJ$19)),_xlpm.Res,IF(OR(_xlpm.val="",_xlpm.val="Error"),"",_xlpm.val),_xlpm.Res)</f>
        <v>#NAME?</v>
      </c>
      <c r="AK31" s="1669" t="e" cm="1">
        <f t="array" ca="1" aca="1" ref="AK31">_xlfn.LET(_xlpm.val,IF($F31="",val_blankRefText,_xldudf_CX_GET(CX_ENTITY,($F31),AK$11,AK$14,,AK$19)),_xlpm.Res,IF(OR(_xlpm.val="",_xlpm.val="Error"),"",_xlpm.val),_xlpm.Res)</f>
        <v>#NAME?</v>
      </c>
      <c r="AL31" s="1669" t="e" cm="1">
        <f t="array" ca="1" aca="1" ref="AL31">_xlfn.LET(_xlpm.val,IF($F31="",val_blankRefText,_xldudf_CX_GET(CX_ENTITY,($F31),AL$11,AL$14,,AL$19)),_xlpm.Res,IF(OR(_xlpm.val="",_xlpm.val="Error"),"",_xlpm.val),_xlpm.Res)</f>
        <v>#NAME?</v>
      </c>
      <c r="AM31" s="1669" t="e" cm="1">
        <f t="array" ca="1" aca="1" ref="AM31">_xlfn.LET(_xlpm.val,IF($F31="",val_blankRefText,_xldudf_CX_GET(CX_ENTITY,($F31),AM$11,AM$14,,AM$19)),_xlpm.Res,IF(OR(_xlpm.val="",_xlpm.val="Error"),"",_xlpm.val),_xlpm.Res)</f>
        <v>#NAME?</v>
      </c>
      <c r="AN31" s="1669" t="e" cm="1">
        <f t="array" ca="1" aca="1" ref="AN31">_xlfn.LET(_xlpm.val,IF($F31="",val_blankRefText,_xldudf_CX_GET(CX_ENTITY,($F31),AN$11,AN$14,,AN$19)),_xlpm.Res,IF(OR(_xlpm.val="",_xlpm.val="Error"),"",_xlpm.val),_xlpm.Res)</f>
        <v>#NAME?</v>
      </c>
      <c r="AO31" s="1669" t="e" cm="1">
        <f t="array" ca="1" aca="1" ref="AO31">_xlfn.LET(_xlpm.val,IF($F31="",val_blankRefText,_xldudf_CX_GET(CX_ENTITY,($F31),AO$11,AO$14,,AO$19)),_xlpm.Res,IF(OR(_xlpm.val="",_xlpm.val="Error"),"",_xlpm.val),_xlpm.Res)</f>
        <v>#NAME?</v>
      </c>
      <c r="AP31" s="1669" t="e" cm="1">
        <f t="array" ca="1" aca="1" ref="AP31">_xlfn.LET(_xlpm.val,IF($F31="",val_blankRefText,_xldudf_CX_GET(CX_ENTITY,($F31),AP$11,AP$14,,AP$19)),_xlpm.Res,IF(OR(_xlpm.val="",_xlpm.val="Error"),"",_xlpm.val),_xlpm.Res)</f>
        <v>#NAME?</v>
      </c>
      <c r="AQ31" s="1669" t="e" cm="1">
        <f t="array" ca="1" aca="1" ref="AQ31">_xlfn.LET(_xlpm.val,IF($F31="",val_blankRefText,_xldudf_CX_GET(CX_ENTITY,($F31),AQ$11,AQ$14,,AQ$19)),_xlpm.Res,IF(OR(_xlpm.val="",_xlpm.val="Error"),"",_xlpm.val),_xlpm.Res)</f>
        <v>#NAME?</v>
      </c>
      <c r="AR31" s="1669" t="e" cm="1">
        <f t="array" ca="1" aca="1" ref="AR31">_xlfn.LET(_xlpm.val,IF($F31="",val_blankRefText,_xldudf_CX_GET(CX_ENTITY,($F31),AR$11,AR$14,,AR$19)),_xlpm.Res,IF(OR(_xlpm.val="",_xlpm.val="Error"),"",_xlpm.val),_xlpm.Res)</f>
        <v>#NAME?</v>
      </c>
      <c r="AS31" s="1669" t="e" cm="1">
        <f t="array" ca="1" aca="1" ref="AS31">_xlfn.LET(_xlpm.val,IF($F31="",val_blankRefText,_xldudf_CX_GET(CX_ENTITY,($F31),AS$11,AS$14,,AS$19)),_xlpm.Res,IF(OR(_xlpm.val="",_xlpm.val="Error"),"",_xlpm.val),_xlpm.Res)</f>
        <v>#NAME?</v>
      </c>
      <c r="AT31" s="1669" t="e" cm="1">
        <f t="array" ca="1" aca="1" ref="AT31">_xlfn.LET(_xlpm.val,IF($F31="",val_blankRefText,_xldudf_CX_GET(CX_ENTITY,($F31),AT$11,AT$14,,AT$19)),_xlpm.Res,IF(OR(_xlpm.val="",_xlpm.val="Error"),"",_xlpm.val),_xlpm.Res)</f>
        <v>#NAME?</v>
      </c>
      <c r="AU31" s="1669" t="e" cm="1">
        <f t="array" ca="1" aca="1" ref="AU31">_xlfn.LET(_xlpm.val,IF($F31="",val_blankRefText,_xldudf_CX_GET(CX_ENTITY,($F31),AU$11,AU$14,,AU$19)),_xlpm.Res,IF(OR(_xlpm.val="",_xlpm.val="Error"),"",_xlpm.val),_xlpm.Res)</f>
        <v>#NAME?</v>
      </c>
      <c r="AV31" s="1669" t="e" cm="1">
        <f t="array" ca="1" aca="1" ref="AV31">_xlfn.LET(_xlpm.val,IF($F31="",val_blankRefText,_xldudf_CX_GET(CX_ENTITY,($F31),AV$11,AV$14,,AV$19)),_xlpm.Res,IF(OR(_xlpm.val="",_xlpm.val="Error"),"",_xlpm.val),_xlpm.Res)</f>
        <v>#NAME?</v>
      </c>
      <c r="AW31" s="1669" t="e" cm="1">
        <f t="array" ca="1" aca="1" ref="AW31">_xlfn.LET(_xlpm.val,IF($F31="",val_blankRefText,_xldudf_CX_GET(CX_ENTITY,($F31),AW$11,AW$14,,AW$19)),_xlpm.Res,IF(OR(_xlpm.val="",_xlpm.val="Error"),"",_xlpm.val),_xlpm.Res)</f>
        <v>#NAME?</v>
      </c>
      <c r="AX31" s="1669" t="e" cm="1">
        <f t="array" ca="1" aca="1" ref="AX31">_xlfn.LET(_xlpm.val,IF($F31="",val_blankRefText,_xldudf_CX_GET(CX_ENTITY,($F31),AX$11,AX$14,,AX$19)),_xlpm.Res,IF(OR(_xlpm.val="",_xlpm.val="Error"),"",_xlpm.val),_xlpm.Res)</f>
        <v>#NAME?</v>
      </c>
      <c r="AY31" s="1669" t="e" cm="1">
        <f t="array" ca="1" aca="1" ref="AY31">_xlfn.LET(_xlpm.val,IF($F31="",val_blankRefText,_xldudf_CX_GET(CX_ENTITY,($F31),AY$11,AY$14,,AY$19)),_xlpm.Res,IF(OR(_xlpm.val="",_xlpm.val="Error"),"",_xlpm.val),_xlpm.Res)</f>
        <v>#NAME?</v>
      </c>
      <c r="AZ31" s="1669" t="e" cm="1">
        <f t="array" ca="1" aca="1" ref="AZ31">_xlfn.LET(_xlpm.val,IF($F31="",val_blankRefText,_xldudf_CX_GET(CX_ENTITY,($F31),AZ$11,AZ$14,,AZ$19)),_xlpm.Res,IF(OR(_xlpm.val="",_xlpm.val="Error"),"",_xlpm.val),_xlpm.Res)</f>
        <v>#NAME?</v>
      </c>
      <c r="BA31" s="1669" t="e" cm="1">
        <f t="array" ca="1" aca="1" ref="BA31">_xlfn.LET(_xlpm.val,IF($F31="",val_blankRefText,_xldudf_CX_GET(CX_ENTITY,($F31),BA$11,BA$14,,BA$19)),_xlpm.Res,IF(OR(_xlpm.val="",_xlpm.val="Error"),"",_xlpm.val),_xlpm.Res)</f>
        <v>#NAME?</v>
      </c>
      <c r="BB31" s="1669" t="e" cm="1">
        <f t="array" ca="1" aca="1" ref="BB31">_xlfn.LET(_xlpm.val,IF($F31="",val_blankRefText,_xldudf_CX_GET(CX_ENTITY,($F31),BB$11,BB$14,,BB$19)),_xlpm.Res,IF(OR(_xlpm.val="",_xlpm.val="Error"),"",_xlpm.val),_xlpm.Res)</f>
        <v>#NAME?</v>
      </c>
      <c r="BC31" s="1669" t="e" cm="1">
        <f t="array" ca="1" aca="1" ref="BC31">_xlfn.LET(_xlpm.val,IF($F31="",val_blankRefText,_xldudf_CX_GET(CX_ENTITY,($F31),BC$11,BC$14,,BC$19)),_xlpm.Res,IF(OR(_xlpm.val="",_xlpm.val="Error"),"",_xlpm.val),_xlpm.Res)</f>
        <v>#NAME?</v>
      </c>
      <c r="BD31" s="1669" t="e" cm="1">
        <f t="array" ca="1" aca="1" ref="BD31">_xlfn.LET(_xlpm.val,IF($F31="",val_blankRefText,_xldudf_CX_GET(CX_ENTITY,($F31),BD$11,BD$14,,BD$19)),_xlpm.Res,IF(OR(_xlpm.val="",_xlpm.val="Error"),"",_xlpm.val),_xlpm.Res)</f>
        <v>#NAME?</v>
      </c>
      <c r="BE31" s="1669" t="e" cm="1">
        <f t="array" ca="1" aca="1" ref="BE31">_xlfn.LET(_xlpm.val,IF($F31="",val_blankRefText,_xldudf_CX_GET(CX_ENTITY,($F31),BE$11,BE$14,,BE$19)),_xlpm.Res,IF(OR(_xlpm.val="",_xlpm.val="Error"),"",_xlpm.val),_xlpm.Res)</f>
        <v>#NAME?</v>
      </c>
      <c r="BF31" s="1669" t="e" cm="1">
        <f t="array" ca="1" aca="1" ref="BF31">_xlfn.LET(_xlpm.val,IF($F31="",val_blankRefText,_xldudf_CX_GET(CX_ENTITY,($F31),BF$11,BF$14,,BF$19)),_xlpm.Res,IF(OR(_xlpm.val="",_xlpm.val="Error"),"",_xlpm.val),_xlpm.Res)</f>
        <v>#NAME?</v>
      </c>
      <c r="BG31" s="1669" t="e" cm="1">
        <f t="array" ca="1" aca="1" ref="BG31">_xlfn.LET(_xlpm.val,IF($F31="",val_blankRefText,_xldudf_CX_GET(CX_ENTITY,($F31),BG$11,BG$14,,BG$19)),_xlpm.Res,IF(OR(_xlpm.val="",_xlpm.val="Error"),"",_xlpm.val),_xlpm.Res)</f>
        <v>#NAME?</v>
      </c>
      <c r="BH31" s="1669" t="e" cm="1">
        <f t="array" ca="1" aca="1" ref="BH31">_xlfn.LET(_xlpm.val,IF($F31="",val_blankRefText,_xldudf_CX_GET(CX_ENTITY,($F31),BH$11,BH$14,,BH$19)),_xlpm.Res,IF(OR(_xlpm.val="",_xlpm.val="Error"),"",_xlpm.val),_xlpm.Res)</f>
        <v>#NAME?</v>
      </c>
      <c r="BI31" s="1669" t="e" cm="1">
        <f t="array" ca="1" aca="1" ref="BI31">_xlfn.LET(_xlpm.val,IF($F31="",val_blankRefText,_xldudf_CX_GET(CX_ENTITY,($F31),BI$11,BI$14,,BI$19)),_xlpm.Res,IF(OR(_xlpm.val="",_xlpm.val="Error"),"",_xlpm.val),_xlpm.Res)</f>
        <v>#NAME?</v>
      </c>
      <c r="BJ31" s="1669" t="e" cm="1">
        <f t="array" ca="1" aca="1" ref="BJ31">_xlfn.LET(_xlpm.val,IF($F31="",val_blankRefText,_xldudf_CX_GET(CX_ENTITY,($F31),BJ$11,BJ$14,,BJ$19)),_xlpm.Res,IF(OR(_xlpm.val="",_xlpm.val="Error"),"",_xlpm.val),_xlpm.Res)</f>
        <v>#NAME?</v>
      </c>
      <c r="BK31" s="1669" t="e" cm="1">
        <f t="array" ca="1" aca="1" ref="BK31">_xlfn.LET(_xlpm.val,IF($F31="",val_blankRefText,_xldudf_CX_GET(CX_ENTITY,($F31),BK$11,BK$14,,BK$19)),_xlpm.Res,IF(OR(_xlpm.val="",_xlpm.val="Error"),"",_xlpm.val),_xlpm.Res)</f>
        <v>#NAME?</v>
      </c>
      <c r="BL31" s="1669" t="e" cm="1">
        <f t="array" ca="1" aca="1" ref="BL31">_xlfn.LET(_xlpm.val,IF($F31="",val_blankRefText,_xldudf_CX_GET(CX_ENTITY,($F31),BL$11,BL$14,,BL$19)),_xlpm.Res,IF(OR(_xlpm.val="",_xlpm.val="Error"),"",_xlpm.val),_xlpm.Res)</f>
        <v>#NAME?</v>
      </c>
      <c r="BM31" s="1669" t="e" cm="1">
        <f t="array" ca="1" aca="1" ref="BM31">_xlfn.LET(_xlpm.val,IF($F31="",val_blankRefText,_xldudf_CX_GET(CX_ENTITY,($F31),BM$11,BM$14,,BM$19)),_xlpm.Res,IF(OR(_xlpm.val="",_xlpm.val="Error"),"",_xlpm.val),_xlpm.Res)</f>
        <v>#NAME?</v>
      </c>
      <c r="BN31" s="1669" t="e" cm="1">
        <f t="array" ca="1" aca="1" ref="BN31">_xlfn.LET(_xlpm.val,IF($F31="",val_blankRefText,_xldudf_CX_GET(CX_ENTITY,($F31),BN$11,BN$14,,BN$19)),_xlpm.Res,IF(OR(_xlpm.val="",_xlpm.val="Error"),"",_xlpm.val),_xlpm.Res)</f>
        <v>#NAME?</v>
      </c>
      <c r="BO31" s="2095"/>
      <c r="BP31" s="2095"/>
      <c r="BQ31" s="2095"/>
      <c r="BR31" s="2095"/>
      <c r="BS31" s="2095"/>
      <c r="BT31" s="2095"/>
      <c r="BU31" s="2095"/>
      <c r="BV31" s="2095"/>
      <c r="BW31" s="2095"/>
      <c r="BX31" s="2095"/>
      <c r="BY31" s="2095"/>
      <c r="BZ31" s="2095"/>
      <c r="CA31" s="926"/>
      <c r="CB31" s="921"/>
      <c r="CC31" s="927"/>
      <c r="CD31" s="920" t="e" cm="1">
        <f t="array" ca="1" aca="1" ref="CD31">_xlfn.XLOOKUP(BS!CD$11,array_timeline,BS!$AD31:$BN31)</f>
        <v>#NAME?</v>
      </c>
      <c r="CE31" s="920" t="e" cm="1">
        <f t="array" ca="1" aca="1" ref="CE31">_xlfn.XLOOKUP(BS!CE$11,array_timeline,BS!$AD31:$BN31)</f>
        <v>#NAME?</v>
      </c>
      <c r="CF31" s="925"/>
      <c r="CG31" s="920" t="e" cm="1">
        <f t="array" ca="1" aca="1" ref="CG31">_xlfn.LET(_xlpm.val,IF($F31="",val_blankRefText,_xldudf_CX_GET(CX_ENTITY,($F31),CG$11,CG$14,,(CG$19))),_xlpm.Res,IF(OR(_xlpm.val="",_xlpm.val="Error"),"",_xlpm.val),_xlpm.Res)</f>
        <v>#NAME?</v>
      </c>
      <c r="CH31" s="920" t="e" cm="1">
        <f t="array" ca="1" aca="1" ref="CH31">_xlfn.LET(_xlpm.val,IF($F31="",val_blankRefText,_xldudf_CX_GET(CX_ENTITY,($F31),CH$11,CH$14,,(CH$19))),_xlpm.Res,IF(OR(_xlpm.val="",_xlpm.val="Error"),"",_xlpm.val),_xlpm.Res)</f>
        <v>#NAME?</v>
      </c>
      <c r="CI31" s="200"/>
    </row>
    <row r="32" spans="1:87" ht="21" customHeight="1">
      <c r="A32" s="696" t="s">
        <v>732</v>
      </c>
      <c r="B32" s="577" t="s">
        <v>433</v>
      </c>
      <c r="C32" s="577" t="s">
        <v>1717</v>
      </c>
      <c r="D32" s="577"/>
      <c r="E32" s="577" t="e" cm="1">
        <f t="array" ca="1" aca="1" ref="E32">_xlfn.LET(_xlpm.Attr,$C32,_xlpm.Lookback,$E$16,_xlpm.QueryDate,EOMONTH(val_asOfDate,_xlpm.Lookback),_xlpm.ReadField,_xldudf_CX_GET(CX_ENTITY,fx_attrConverter($C32),_xlpm.QueryDate),_xlpm.AttrBlank,_xlpm.Attr="",_xlpm.RESULT,IF(_xlpm.AttrBlank,val_blankRefText,fx_attrConverter(_xlpm.ReadField,0)),IF(_xlpm.RESULT="Error","",_xlpm.RESULT))</f>
        <v>#NAME?</v>
      </c>
      <c r="F32" s="577" t="str">
        <f t="shared" si="1"/>
        <v>Senior Instrument(s) 1</v>
      </c>
      <c r="G32" s="574"/>
      <c r="H32" s="3279">
        <v>1</v>
      </c>
      <c r="I32" s="3279">
        <v>1</v>
      </c>
      <c r="J32" s="401"/>
      <c r="K32" s="401"/>
      <c r="L32" s="3269" t="b">
        <v>1</v>
      </c>
      <c r="N32" s="158"/>
      <c r="O32" s="101"/>
      <c r="P32" s="52"/>
      <c r="Q32" s="101"/>
      <c r="R32" s="126"/>
      <c r="S32" s="101"/>
      <c r="T32" s="101"/>
      <c r="U32" s="39"/>
      <c r="W32" s="91" t="str">
        <f t="shared" si="4"/>
        <v>Actual</v>
      </c>
      <c r="X32" s="857">
        <v>-1</v>
      </c>
      <c r="Y32" s="2627" t="s">
        <v>1718</v>
      </c>
      <c r="Z32" s="3291" cm="1">
        <f t="array" ref="Z32">_xlfn.SWITCH(TRUE,$L32="",0,$L32=TRUE,1,$L32=FALSE,-1,)</f>
        <v>1</v>
      </c>
      <c r="AA32" s="2625"/>
      <c r="AB32" s="2626" t="s">
        <v>1718</v>
      </c>
      <c r="AC32" s="88" t="str" cm="1">
        <f t="array" ref="AC32">IFERROR(IF(_xlfn.XMATCH(AB32,tbl_acctDef[Term],0)&gt;0,fx_getIcon("find"),""),"")</f>
        <v/>
      </c>
      <c r="AD32" s="1669" t="e" cm="1">
        <f t="array" ca="1" aca="1" ref="AD32">_xlfn.LET(_xlpm.val,IF($F32="",val_blankRefText,_xldudf_CX_GET(CX_ENTITY,($F32),AD$11,AD$14,,AD$19)),_xlpm.Res,IF(OR(_xlpm.val="",_xlpm.val="Error"),"",_xlpm.val),_xlpm.Res)</f>
        <v>#NAME?</v>
      </c>
      <c r="AE32" s="1669" t="e" cm="1">
        <f t="array" ca="1" aca="1" ref="AE32">_xlfn.LET(_xlpm.val,IF($F32="",val_blankRefText,_xldudf_CX_GET(CX_ENTITY,($F32),AE$11,AE$14,,AE$19)),_xlpm.Res,IF(OR(_xlpm.val="",_xlpm.val="Error"),"",_xlpm.val),_xlpm.Res)</f>
        <v>#NAME?</v>
      </c>
      <c r="AF32" s="1669" t="e" cm="1">
        <f t="array" ca="1" aca="1" ref="AF32">_xlfn.LET(_xlpm.val,IF($F32="",val_blankRefText,_xldudf_CX_GET(CX_ENTITY,($F32),AF$11,AF$14,,AF$19)),_xlpm.Res,IF(OR(_xlpm.val="",_xlpm.val="Error"),"",_xlpm.val),_xlpm.Res)</f>
        <v>#NAME?</v>
      </c>
      <c r="AG32" s="1669" t="e" cm="1">
        <f t="array" ca="1" aca="1" ref="AG32">_xlfn.LET(_xlpm.val,IF($F32="",val_blankRefText,_xldudf_CX_GET(CX_ENTITY,($F32),AG$11,AG$14,,AG$19)),_xlpm.Res,IF(OR(_xlpm.val="",_xlpm.val="Error"),"",_xlpm.val),_xlpm.Res)</f>
        <v>#NAME?</v>
      </c>
      <c r="AH32" s="1669" t="e" cm="1">
        <f t="array" ca="1" aca="1" ref="AH32">_xlfn.LET(_xlpm.val,IF($F32="",val_blankRefText,_xldudf_CX_GET(CX_ENTITY,($F32),AH$11,AH$14,,AH$19)),_xlpm.Res,IF(OR(_xlpm.val="",_xlpm.val="Error"),"",_xlpm.val),_xlpm.Res)</f>
        <v>#NAME?</v>
      </c>
      <c r="AI32" s="1669" t="e" cm="1">
        <f t="array" ca="1" aca="1" ref="AI32">_xlfn.LET(_xlpm.val,IF($F32="",val_blankRefText,_xldudf_CX_GET(CX_ENTITY,($F32),AI$11,AI$14,,AI$19)),_xlpm.Res,IF(OR(_xlpm.val="",_xlpm.val="Error"),"",_xlpm.val),_xlpm.Res)</f>
        <v>#NAME?</v>
      </c>
      <c r="AJ32" s="1669" t="e" cm="1">
        <f t="array" ca="1" aca="1" ref="AJ32">_xlfn.LET(_xlpm.val,IF($F32="",val_blankRefText,_xldudf_CX_GET(CX_ENTITY,($F32),AJ$11,AJ$14,,AJ$19)),_xlpm.Res,IF(OR(_xlpm.val="",_xlpm.val="Error"),"",_xlpm.val),_xlpm.Res)</f>
        <v>#NAME?</v>
      </c>
      <c r="AK32" s="1669" t="e" cm="1">
        <f t="array" ca="1" aca="1" ref="AK32">_xlfn.LET(_xlpm.val,IF($F32="",val_blankRefText,_xldudf_CX_GET(CX_ENTITY,($F32),AK$11,AK$14,,AK$19)),_xlpm.Res,IF(OR(_xlpm.val="",_xlpm.val="Error"),"",_xlpm.val),_xlpm.Res)</f>
        <v>#NAME?</v>
      </c>
      <c r="AL32" s="1669" t="e" cm="1">
        <f t="array" ca="1" aca="1" ref="AL32">_xlfn.LET(_xlpm.val,IF($F32="",val_blankRefText,_xldudf_CX_GET(CX_ENTITY,($F32),AL$11,AL$14,,AL$19)),_xlpm.Res,IF(OR(_xlpm.val="",_xlpm.val="Error"),"",_xlpm.val),_xlpm.Res)</f>
        <v>#NAME?</v>
      </c>
      <c r="AM32" s="1669" t="e" cm="1">
        <f t="array" ca="1" aca="1" ref="AM32">_xlfn.LET(_xlpm.val,IF($F32="",val_blankRefText,_xldudf_CX_GET(CX_ENTITY,($F32),AM$11,AM$14,,AM$19)),_xlpm.Res,IF(OR(_xlpm.val="",_xlpm.val="Error"),"",_xlpm.val),_xlpm.Res)</f>
        <v>#NAME?</v>
      </c>
      <c r="AN32" s="1669" t="e" cm="1">
        <f t="array" ca="1" aca="1" ref="AN32">_xlfn.LET(_xlpm.val,IF($F32="",val_blankRefText,_xldudf_CX_GET(CX_ENTITY,($F32),AN$11,AN$14,,AN$19)),_xlpm.Res,IF(OR(_xlpm.val="",_xlpm.val="Error"),"",_xlpm.val),_xlpm.Res)</f>
        <v>#NAME?</v>
      </c>
      <c r="AO32" s="1669" t="e" cm="1">
        <f t="array" ca="1" aca="1" ref="AO32">_xlfn.LET(_xlpm.val,IF($F32="",val_blankRefText,_xldudf_CX_GET(CX_ENTITY,($F32),AO$11,AO$14,,AO$19)),_xlpm.Res,IF(OR(_xlpm.val="",_xlpm.val="Error"),"",_xlpm.val),_xlpm.Res)</f>
        <v>#NAME?</v>
      </c>
      <c r="AP32" s="1669" t="e" cm="1">
        <f t="array" ca="1" aca="1" ref="AP32">_xlfn.LET(_xlpm.val,IF($F32="",val_blankRefText,_xldudf_CX_GET(CX_ENTITY,($F32),AP$11,AP$14,,AP$19)),_xlpm.Res,IF(OR(_xlpm.val="",_xlpm.val="Error"),"",_xlpm.val),_xlpm.Res)</f>
        <v>#NAME?</v>
      </c>
      <c r="AQ32" s="1669" t="e" cm="1">
        <f t="array" ca="1" aca="1" ref="AQ32">_xlfn.LET(_xlpm.val,IF($F32="",val_blankRefText,_xldudf_CX_GET(CX_ENTITY,($F32),AQ$11,AQ$14,,AQ$19)),_xlpm.Res,IF(OR(_xlpm.val="",_xlpm.val="Error"),"",_xlpm.val),_xlpm.Res)</f>
        <v>#NAME?</v>
      </c>
      <c r="AR32" s="1669" t="e" cm="1">
        <f t="array" ca="1" aca="1" ref="AR32">_xlfn.LET(_xlpm.val,IF($F32="",val_blankRefText,_xldudf_CX_GET(CX_ENTITY,($F32),AR$11,AR$14,,AR$19)),_xlpm.Res,IF(OR(_xlpm.val="",_xlpm.val="Error"),"",_xlpm.val),_xlpm.Res)</f>
        <v>#NAME?</v>
      </c>
      <c r="AS32" s="1669" t="e" cm="1">
        <f t="array" ca="1" aca="1" ref="AS32">_xlfn.LET(_xlpm.val,IF($F32="",val_blankRefText,_xldudf_CX_GET(CX_ENTITY,($F32),AS$11,AS$14,,AS$19)),_xlpm.Res,IF(OR(_xlpm.val="",_xlpm.val="Error"),"",_xlpm.val),_xlpm.Res)</f>
        <v>#NAME?</v>
      </c>
      <c r="AT32" s="1669" t="e" cm="1">
        <f t="array" ca="1" aca="1" ref="AT32">_xlfn.LET(_xlpm.val,IF($F32="",val_blankRefText,_xldudf_CX_GET(CX_ENTITY,($F32),AT$11,AT$14,,AT$19)),_xlpm.Res,IF(OR(_xlpm.val="",_xlpm.val="Error"),"",_xlpm.val),_xlpm.Res)</f>
        <v>#NAME?</v>
      </c>
      <c r="AU32" s="1669" t="e" cm="1">
        <f t="array" ca="1" aca="1" ref="AU32">_xlfn.LET(_xlpm.val,IF($F32="",val_blankRefText,_xldudf_CX_GET(CX_ENTITY,($F32),AU$11,AU$14,,AU$19)),_xlpm.Res,IF(OR(_xlpm.val="",_xlpm.val="Error"),"",_xlpm.val),_xlpm.Res)</f>
        <v>#NAME?</v>
      </c>
      <c r="AV32" s="1669" t="e" cm="1">
        <f t="array" ca="1" aca="1" ref="AV32">_xlfn.LET(_xlpm.val,IF($F32="",val_blankRefText,_xldudf_CX_GET(CX_ENTITY,($F32),AV$11,AV$14,,AV$19)),_xlpm.Res,IF(OR(_xlpm.val="",_xlpm.val="Error"),"",_xlpm.val),_xlpm.Res)</f>
        <v>#NAME?</v>
      </c>
      <c r="AW32" s="1669" t="e" cm="1">
        <f t="array" ca="1" aca="1" ref="AW32">_xlfn.LET(_xlpm.val,IF($F32="",val_blankRefText,_xldudf_CX_GET(CX_ENTITY,($F32),AW$11,AW$14,,AW$19)),_xlpm.Res,IF(OR(_xlpm.val="",_xlpm.val="Error"),"",_xlpm.val),_xlpm.Res)</f>
        <v>#NAME?</v>
      </c>
      <c r="AX32" s="1669" t="e" cm="1">
        <f t="array" ca="1" aca="1" ref="AX32">_xlfn.LET(_xlpm.val,IF($F32="",val_blankRefText,_xldudf_CX_GET(CX_ENTITY,($F32),AX$11,AX$14,,AX$19)),_xlpm.Res,IF(OR(_xlpm.val="",_xlpm.val="Error"),"",_xlpm.val),_xlpm.Res)</f>
        <v>#NAME?</v>
      </c>
      <c r="AY32" s="1669" t="e" cm="1">
        <f t="array" ca="1" aca="1" ref="AY32">_xlfn.LET(_xlpm.val,IF($F32="",val_blankRefText,_xldudf_CX_GET(CX_ENTITY,($F32),AY$11,AY$14,,AY$19)),_xlpm.Res,IF(OR(_xlpm.val="",_xlpm.val="Error"),"",_xlpm.val),_xlpm.Res)</f>
        <v>#NAME?</v>
      </c>
      <c r="AZ32" s="1669" t="e" cm="1">
        <f t="array" ca="1" aca="1" ref="AZ32">_xlfn.LET(_xlpm.val,IF($F32="",val_blankRefText,_xldudf_CX_GET(CX_ENTITY,($F32),AZ$11,AZ$14,,AZ$19)),_xlpm.Res,IF(OR(_xlpm.val="",_xlpm.val="Error"),"",_xlpm.val),_xlpm.Res)</f>
        <v>#NAME?</v>
      </c>
      <c r="BA32" s="1669" t="e" cm="1">
        <f t="array" ca="1" aca="1" ref="BA32">_xlfn.LET(_xlpm.val,IF($F32="",val_blankRefText,_xldudf_CX_GET(CX_ENTITY,($F32),BA$11,BA$14,,BA$19)),_xlpm.Res,IF(OR(_xlpm.val="",_xlpm.val="Error"),"",_xlpm.val),_xlpm.Res)</f>
        <v>#NAME?</v>
      </c>
      <c r="BB32" s="1669" t="e" cm="1">
        <f t="array" ca="1" aca="1" ref="BB32">_xlfn.LET(_xlpm.val,IF($F32="",val_blankRefText,_xldudf_CX_GET(CX_ENTITY,($F32),BB$11,BB$14,,BB$19)),_xlpm.Res,IF(OR(_xlpm.val="",_xlpm.val="Error"),"",_xlpm.val),_xlpm.Res)</f>
        <v>#NAME?</v>
      </c>
      <c r="BC32" s="1669" t="e" cm="1">
        <f t="array" ca="1" aca="1" ref="BC32">_xlfn.LET(_xlpm.val,IF($F32="",val_blankRefText,_xldudf_CX_GET(CX_ENTITY,($F32),BC$11,BC$14,,BC$19)),_xlpm.Res,IF(OR(_xlpm.val="",_xlpm.val="Error"),"",_xlpm.val),_xlpm.Res)</f>
        <v>#NAME?</v>
      </c>
      <c r="BD32" s="1669" t="e" cm="1">
        <f t="array" ca="1" aca="1" ref="BD32">_xlfn.LET(_xlpm.val,IF($F32="",val_blankRefText,_xldudf_CX_GET(CX_ENTITY,($F32),BD$11,BD$14,,BD$19)),_xlpm.Res,IF(OR(_xlpm.val="",_xlpm.val="Error"),"",_xlpm.val),_xlpm.Res)</f>
        <v>#NAME?</v>
      </c>
      <c r="BE32" s="1669" t="e" cm="1">
        <f t="array" ca="1" aca="1" ref="BE32">_xlfn.LET(_xlpm.val,IF($F32="",val_blankRefText,_xldudf_CX_GET(CX_ENTITY,($F32),BE$11,BE$14,,BE$19)),_xlpm.Res,IF(OR(_xlpm.val="",_xlpm.val="Error"),"",_xlpm.val),_xlpm.Res)</f>
        <v>#NAME?</v>
      </c>
      <c r="BF32" s="1669" t="e" cm="1">
        <f t="array" ca="1" aca="1" ref="BF32">_xlfn.LET(_xlpm.val,IF($F32="",val_blankRefText,_xldudf_CX_GET(CX_ENTITY,($F32),BF$11,BF$14,,BF$19)),_xlpm.Res,IF(OR(_xlpm.val="",_xlpm.val="Error"),"",_xlpm.val),_xlpm.Res)</f>
        <v>#NAME?</v>
      </c>
      <c r="BG32" s="1669" t="e" cm="1">
        <f t="array" ca="1" aca="1" ref="BG32">_xlfn.LET(_xlpm.val,IF($F32="",val_blankRefText,_xldudf_CX_GET(CX_ENTITY,($F32),BG$11,BG$14,,BG$19)),_xlpm.Res,IF(OR(_xlpm.val="",_xlpm.val="Error"),"",_xlpm.val),_xlpm.Res)</f>
        <v>#NAME?</v>
      </c>
      <c r="BH32" s="1669" t="e" cm="1">
        <f t="array" ca="1" aca="1" ref="BH32">_xlfn.LET(_xlpm.val,IF($F32="",val_blankRefText,_xldudf_CX_GET(CX_ENTITY,($F32),BH$11,BH$14,,BH$19)),_xlpm.Res,IF(OR(_xlpm.val="",_xlpm.val="Error"),"",_xlpm.val),_xlpm.Res)</f>
        <v>#NAME?</v>
      </c>
      <c r="BI32" s="1669" t="e" cm="1">
        <f t="array" ca="1" aca="1" ref="BI32">_xlfn.LET(_xlpm.val,IF($F32="",val_blankRefText,_xldudf_CX_GET(CX_ENTITY,($F32),BI$11,BI$14,,BI$19)),_xlpm.Res,IF(OR(_xlpm.val="",_xlpm.val="Error"),"",_xlpm.val),_xlpm.Res)</f>
        <v>#NAME?</v>
      </c>
      <c r="BJ32" s="1669" t="e" cm="1">
        <f t="array" ca="1" aca="1" ref="BJ32">_xlfn.LET(_xlpm.val,IF($F32="",val_blankRefText,_xldudf_CX_GET(CX_ENTITY,($F32),BJ$11,BJ$14,,BJ$19)),_xlpm.Res,IF(OR(_xlpm.val="",_xlpm.val="Error"),"",_xlpm.val),_xlpm.Res)</f>
        <v>#NAME?</v>
      </c>
      <c r="BK32" s="1669" t="e" cm="1">
        <f t="array" ca="1" aca="1" ref="BK32">_xlfn.LET(_xlpm.val,IF($F32="",val_blankRefText,_xldudf_CX_GET(CX_ENTITY,($F32),BK$11,BK$14,,BK$19)),_xlpm.Res,IF(OR(_xlpm.val="",_xlpm.val="Error"),"",_xlpm.val),_xlpm.Res)</f>
        <v>#NAME?</v>
      </c>
      <c r="BL32" s="1669" t="e" cm="1">
        <f t="array" ca="1" aca="1" ref="BL32">_xlfn.LET(_xlpm.val,IF($F32="",val_blankRefText,_xldudf_CX_GET(CX_ENTITY,($F32),BL$11,BL$14,,BL$19)),_xlpm.Res,IF(OR(_xlpm.val="",_xlpm.val="Error"),"",_xlpm.val),_xlpm.Res)</f>
        <v>#NAME?</v>
      </c>
      <c r="BM32" s="1669" t="e" cm="1">
        <f t="array" ca="1" aca="1" ref="BM32">_xlfn.LET(_xlpm.val,IF($F32="",val_blankRefText,_xldudf_CX_GET(CX_ENTITY,($F32),BM$11,BM$14,,BM$19)),_xlpm.Res,IF(OR(_xlpm.val="",_xlpm.val="Error"),"",_xlpm.val),_xlpm.Res)</f>
        <v>#NAME?</v>
      </c>
      <c r="BN32" s="1669" t="e" cm="1">
        <f t="array" ca="1" aca="1" ref="BN32">_xlfn.LET(_xlpm.val,IF($F32="",val_blankRefText,_xldudf_CX_GET(CX_ENTITY,($F32),BN$11,BN$14,,BN$19)),_xlpm.Res,IF(OR(_xlpm.val="",_xlpm.val="Error"),"",_xlpm.val),_xlpm.Res)</f>
        <v>#NAME?</v>
      </c>
      <c r="BO32" s="2095"/>
      <c r="BP32" s="2095"/>
      <c r="BQ32" s="2095"/>
      <c r="BR32" s="2095"/>
      <c r="BS32" s="2095"/>
      <c r="BT32" s="2095"/>
      <c r="BU32" s="2095"/>
      <c r="BV32" s="2095"/>
      <c r="BW32" s="2095"/>
      <c r="BX32" s="2095"/>
      <c r="BY32" s="2095"/>
      <c r="BZ32" s="2095"/>
      <c r="CA32" s="926"/>
      <c r="CB32" s="921"/>
      <c r="CC32" s="927"/>
      <c r="CD32" s="920" t="e" cm="1">
        <f t="array" ca="1" aca="1" ref="CD32">_xlfn.XLOOKUP(BS!CD$11,array_timeline,BS!$AD32:$BN32)</f>
        <v>#NAME?</v>
      </c>
      <c r="CE32" s="920" t="e" cm="1">
        <f t="array" ca="1" aca="1" ref="CE32">_xlfn.XLOOKUP(BS!CE$11,array_timeline,BS!$AD32:$BN32)</f>
        <v>#NAME?</v>
      </c>
      <c r="CF32" s="925"/>
      <c r="CG32" s="920" t="e" cm="1">
        <f t="array" ca="1" aca="1" ref="CG32">_xlfn.LET(_xlpm.val,IF($F32="",val_blankRefText,_xldudf_CX_GET(CX_ENTITY,($F32),CG$11,CG$14,,(CG$19))),_xlpm.Res,IF(OR(_xlpm.val="",_xlpm.val="Error"),"",_xlpm.val),_xlpm.Res)</f>
        <v>#NAME?</v>
      </c>
      <c r="CH32" s="920" t="e" cm="1">
        <f t="array" ca="1" aca="1" ref="CH32">_xlfn.LET(_xlpm.val,IF($F32="",val_blankRefText,_xldudf_CX_GET(CX_ENTITY,($F32),CH$11,CH$14,,(CH$19))),_xlpm.Res,IF(OR(_xlpm.val="",_xlpm.val="Error"),"",_xlpm.val),_xlpm.Res)</f>
        <v>#NAME?</v>
      </c>
      <c r="CI32" s="200"/>
    </row>
    <row r="33" spans="1:87" ht="21" customHeight="1">
      <c r="A33" s="696" t="s">
        <v>735</v>
      </c>
      <c r="B33" s="577" t="s">
        <v>434</v>
      </c>
      <c r="C33" s="577" t="s">
        <v>1719</v>
      </c>
      <c r="D33" s="577"/>
      <c r="E33" s="577" t="e" cm="1">
        <f t="array" ca="1" aca="1" ref="E33">_xlfn.LET(_xlpm.Attr,$C33,_xlpm.Lookback,$E$16,_xlpm.QueryDate,EOMONTH(val_asOfDate,_xlpm.Lookback),_xlpm.ReadField,_xldudf_CX_GET(CX_ENTITY,fx_attrConverter($C33),_xlpm.QueryDate),_xlpm.AttrBlank,_xlpm.Attr="",_xlpm.RESULT,IF(_xlpm.AttrBlank,val_blankRefText,fx_attrConverter(_xlpm.ReadField,0)),IF(_xlpm.RESULT="Error","",_xlpm.RESULT))</f>
        <v>#NAME?</v>
      </c>
      <c r="F33" s="577" t="str">
        <f t="shared" si="1"/>
        <v>Junior Instrument(s)</v>
      </c>
      <c r="G33" s="574"/>
      <c r="H33" s="3279">
        <v>1</v>
      </c>
      <c r="I33" s="3279">
        <v>1</v>
      </c>
      <c r="J33" s="401"/>
      <c r="K33" s="401"/>
      <c r="L33" s="3269" t="b">
        <v>1</v>
      </c>
      <c r="N33" s="158"/>
      <c r="O33" s="101"/>
      <c r="P33" s="52"/>
      <c r="Q33" s="101"/>
      <c r="R33" s="101"/>
      <c r="S33" s="101"/>
      <c r="T33" s="101"/>
      <c r="U33" s="39"/>
      <c r="W33" s="156" t="str">
        <f t="shared" si="4"/>
        <v>Actual</v>
      </c>
      <c r="X33" s="857">
        <v>-1</v>
      </c>
      <c r="Y33" s="2627" t="s">
        <v>1720</v>
      </c>
      <c r="Z33" s="3291" cm="1">
        <f t="array" ref="Z33">_xlfn.SWITCH(TRUE,$L33="",0,$L33=TRUE,1,$L33=FALSE,-1,)</f>
        <v>1</v>
      </c>
      <c r="AA33" s="2625"/>
      <c r="AB33" s="2626" t="s">
        <v>1720</v>
      </c>
      <c r="AC33" s="88" t="str" cm="1">
        <f t="array" ref="AC33">IFERROR(IF(_xlfn.XMATCH(AB33,tbl_acctDef[Term],0)&gt;0,fx_getIcon("find"),""),"")</f>
        <v/>
      </c>
      <c r="AD33" s="1669" t="e" cm="1">
        <f t="array" ca="1" aca="1" ref="AD33">_xlfn.LET(_xlpm.val,IF($F33="",val_blankRefText,_xldudf_CX_GET(CX_ENTITY,($F33),AD$11,AD$14,,AD$19)),_xlpm.Res,IF(OR(_xlpm.val="",_xlpm.val="Error"),"",_xlpm.val),_xlpm.Res)</f>
        <v>#NAME?</v>
      </c>
      <c r="AE33" s="1669" t="e" cm="1">
        <f t="array" ca="1" aca="1" ref="AE33">_xlfn.LET(_xlpm.val,IF($F33="",val_blankRefText,_xldudf_CX_GET(CX_ENTITY,($F33),AE$11,AE$14,,AE$19)),_xlpm.Res,IF(OR(_xlpm.val="",_xlpm.val="Error"),"",_xlpm.val),_xlpm.Res)</f>
        <v>#NAME?</v>
      </c>
      <c r="AF33" s="1669" t="e" cm="1">
        <f t="array" ca="1" aca="1" ref="AF33">_xlfn.LET(_xlpm.val,IF($F33="",val_blankRefText,_xldudf_CX_GET(CX_ENTITY,($F33),AF$11,AF$14,,AF$19)),_xlpm.Res,IF(OR(_xlpm.val="",_xlpm.val="Error"),"",_xlpm.val),_xlpm.Res)</f>
        <v>#NAME?</v>
      </c>
      <c r="AG33" s="1669" t="e" cm="1">
        <f t="array" ca="1" aca="1" ref="AG33">_xlfn.LET(_xlpm.val,IF($F33="",val_blankRefText,_xldudf_CX_GET(CX_ENTITY,($F33),AG$11,AG$14,,AG$19)),_xlpm.Res,IF(OR(_xlpm.val="",_xlpm.val="Error"),"",_xlpm.val),_xlpm.Res)</f>
        <v>#NAME?</v>
      </c>
      <c r="AH33" s="1669" t="e" cm="1">
        <f t="array" ca="1" aca="1" ref="AH33">_xlfn.LET(_xlpm.val,IF($F33="",val_blankRefText,_xldudf_CX_GET(CX_ENTITY,($F33),AH$11,AH$14,,AH$19)),_xlpm.Res,IF(OR(_xlpm.val="",_xlpm.val="Error"),"",_xlpm.val),_xlpm.Res)</f>
        <v>#NAME?</v>
      </c>
      <c r="AI33" s="1669" t="e" cm="1">
        <f t="array" ca="1" aca="1" ref="AI33">_xlfn.LET(_xlpm.val,IF($F33="",val_blankRefText,_xldudf_CX_GET(CX_ENTITY,($F33),AI$11,AI$14,,AI$19)),_xlpm.Res,IF(OR(_xlpm.val="",_xlpm.val="Error"),"",_xlpm.val),_xlpm.Res)</f>
        <v>#NAME?</v>
      </c>
      <c r="AJ33" s="1669" t="e" cm="1">
        <f t="array" ca="1" aca="1" ref="AJ33">_xlfn.LET(_xlpm.val,IF($F33="",val_blankRefText,_xldudf_CX_GET(CX_ENTITY,($F33),AJ$11,AJ$14,,AJ$19)),_xlpm.Res,IF(OR(_xlpm.val="",_xlpm.val="Error"),"",_xlpm.val),_xlpm.Res)</f>
        <v>#NAME?</v>
      </c>
      <c r="AK33" s="1669" t="e" cm="1">
        <f t="array" ca="1" aca="1" ref="AK33">_xlfn.LET(_xlpm.val,IF($F33="",val_blankRefText,_xldudf_CX_GET(CX_ENTITY,($F33),AK$11,AK$14,,AK$19)),_xlpm.Res,IF(OR(_xlpm.val="",_xlpm.val="Error"),"",_xlpm.val),_xlpm.Res)</f>
        <v>#NAME?</v>
      </c>
      <c r="AL33" s="1669" t="e" cm="1">
        <f t="array" ca="1" aca="1" ref="AL33">_xlfn.LET(_xlpm.val,IF($F33="",val_blankRefText,_xldudf_CX_GET(CX_ENTITY,($F33),AL$11,AL$14,,AL$19)),_xlpm.Res,IF(OR(_xlpm.val="",_xlpm.val="Error"),"",_xlpm.val),_xlpm.Res)</f>
        <v>#NAME?</v>
      </c>
      <c r="AM33" s="1669" t="e" cm="1">
        <f t="array" ca="1" aca="1" ref="AM33">_xlfn.LET(_xlpm.val,IF($F33="",val_blankRefText,_xldudf_CX_GET(CX_ENTITY,($F33),AM$11,AM$14,,AM$19)),_xlpm.Res,IF(OR(_xlpm.val="",_xlpm.val="Error"),"",_xlpm.val),_xlpm.Res)</f>
        <v>#NAME?</v>
      </c>
      <c r="AN33" s="1669" t="e" cm="1">
        <f t="array" ca="1" aca="1" ref="AN33">_xlfn.LET(_xlpm.val,IF($F33="",val_blankRefText,_xldudf_CX_GET(CX_ENTITY,($F33),AN$11,AN$14,,AN$19)),_xlpm.Res,IF(OR(_xlpm.val="",_xlpm.val="Error"),"",_xlpm.val),_xlpm.Res)</f>
        <v>#NAME?</v>
      </c>
      <c r="AO33" s="1669" t="e" cm="1">
        <f t="array" ca="1" aca="1" ref="AO33">_xlfn.LET(_xlpm.val,IF($F33="",val_blankRefText,_xldudf_CX_GET(CX_ENTITY,($F33),AO$11,AO$14,,AO$19)),_xlpm.Res,IF(OR(_xlpm.val="",_xlpm.val="Error"),"",_xlpm.val),_xlpm.Res)</f>
        <v>#NAME?</v>
      </c>
      <c r="AP33" s="1669" t="e" cm="1">
        <f t="array" ca="1" aca="1" ref="AP33">_xlfn.LET(_xlpm.val,IF($F33="",val_blankRefText,_xldudf_CX_GET(CX_ENTITY,($F33),AP$11,AP$14,,AP$19)),_xlpm.Res,IF(OR(_xlpm.val="",_xlpm.val="Error"),"",_xlpm.val),_xlpm.Res)</f>
        <v>#NAME?</v>
      </c>
      <c r="AQ33" s="1669" t="e" cm="1">
        <f t="array" ca="1" aca="1" ref="AQ33">_xlfn.LET(_xlpm.val,IF($F33="",val_blankRefText,_xldudf_CX_GET(CX_ENTITY,($F33),AQ$11,AQ$14,,AQ$19)),_xlpm.Res,IF(OR(_xlpm.val="",_xlpm.val="Error"),"",_xlpm.val),_xlpm.Res)</f>
        <v>#NAME?</v>
      </c>
      <c r="AR33" s="1669" t="e" cm="1">
        <f t="array" ca="1" aca="1" ref="AR33">_xlfn.LET(_xlpm.val,IF($F33="",val_blankRefText,_xldudf_CX_GET(CX_ENTITY,($F33),AR$11,AR$14,,AR$19)),_xlpm.Res,IF(OR(_xlpm.val="",_xlpm.val="Error"),"",_xlpm.val),_xlpm.Res)</f>
        <v>#NAME?</v>
      </c>
      <c r="AS33" s="1669" t="e" cm="1">
        <f t="array" ca="1" aca="1" ref="AS33">_xlfn.LET(_xlpm.val,IF($F33="",val_blankRefText,_xldudf_CX_GET(CX_ENTITY,($F33),AS$11,AS$14,,AS$19)),_xlpm.Res,IF(OR(_xlpm.val="",_xlpm.val="Error"),"",_xlpm.val),_xlpm.Res)</f>
        <v>#NAME?</v>
      </c>
      <c r="AT33" s="1669" t="e" cm="1">
        <f t="array" ca="1" aca="1" ref="AT33">_xlfn.LET(_xlpm.val,IF($F33="",val_blankRefText,_xldudf_CX_GET(CX_ENTITY,($F33),AT$11,AT$14,,AT$19)),_xlpm.Res,IF(OR(_xlpm.val="",_xlpm.val="Error"),"",_xlpm.val),_xlpm.Res)</f>
        <v>#NAME?</v>
      </c>
      <c r="AU33" s="1669" t="e" cm="1">
        <f t="array" ca="1" aca="1" ref="AU33">_xlfn.LET(_xlpm.val,IF($F33="",val_blankRefText,_xldudf_CX_GET(CX_ENTITY,($F33),AU$11,AU$14,,AU$19)),_xlpm.Res,IF(OR(_xlpm.val="",_xlpm.val="Error"),"",_xlpm.val),_xlpm.Res)</f>
        <v>#NAME?</v>
      </c>
      <c r="AV33" s="1669" t="e" cm="1">
        <f t="array" ca="1" aca="1" ref="AV33">_xlfn.LET(_xlpm.val,IF($F33="",val_blankRefText,_xldudf_CX_GET(CX_ENTITY,($F33),AV$11,AV$14,,AV$19)),_xlpm.Res,IF(OR(_xlpm.val="",_xlpm.val="Error"),"",_xlpm.val),_xlpm.Res)</f>
        <v>#NAME?</v>
      </c>
      <c r="AW33" s="1669" t="e" cm="1">
        <f t="array" ca="1" aca="1" ref="AW33">_xlfn.LET(_xlpm.val,IF($F33="",val_blankRefText,_xldudf_CX_GET(CX_ENTITY,($F33),AW$11,AW$14,,AW$19)),_xlpm.Res,IF(OR(_xlpm.val="",_xlpm.val="Error"),"",_xlpm.val),_xlpm.Res)</f>
        <v>#NAME?</v>
      </c>
      <c r="AX33" s="1669" t="e" cm="1">
        <f t="array" ca="1" aca="1" ref="AX33">_xlfn.LET(_xlpm.val,IF($F33="",val_blankRefText,_xldudf_CX_GET(CX_ENTITY,($F33),AX$11,AX$14,,AX$19)),_xlpm.Res,IF(OR(_xlpm.val="",_xlpm.val="Error"),"",_xlpm.val),_xlpm.Res)</f>
        <v>#NAME?</v>
      </c>
      <c r="AY33" s="1669" t="e" cm="1">
        <f t="array" ca="1" aca="1" ref="AY33">_xlfn.LET(_xlpm.val,IF($F33="",val_blankRefText,_xldudf_CX_GET(CX_ENTITY,($F33),AY$11,AY$14,,AY$19)),_xlpm.Res,IF(OR(_xlpm.val="",_xlpm.val="Error"),"",_xlpm.val),_xlpm.Res)</f>
        <v>#NAME?</v>
      </c>
      <c r="AZ33" s="1669" t="e" cm="1">
        <f t="array" ca="1" aca="1" ref="AZ33">_xlfn.LET(_xlpm.val,IF($F33="",val_blankRefText,_xldudf_CX_GET(CX_ENTITY,($F33),AZ$11,AZ$14,,AZ$19)),_xlpm.Res,IF(OR(_xlpm.val="",_xlpm.val="Error"),"",_xlpm.val),_xlpm.Res)</f>
        <v>#NAME?</v>
      </c>
      <c r="BA33" s="1669" t="e" cm="1">
        <f t="array" ca="1" aca="1" ref="BA33">_xlfn.LET(_xlpm.val,IF($F33="",val_blankRefText,_xldudf_CX_GET(CX_ENTITY,($F33),BA$11,BA$14,,BA$19)),_xlpm.Res,IF(OR(_xlpm.val="",_xlpm.val="Error"),"",_xlpm.val),_xlpm.Res)</f>
        <v>#NAME?</v>
      </c>
      <c r="BB33" s="1669" t="e" cm="1">
        <f t="array" ca="1" aca="1" ref="BB33">_xlfn.LET(_xlpm.val,IF($F33="",val_blankRefText,_xldudf_CX_GET(CX_ENTITY,($F33),BB$11,BB$14,,BB$19)),_xlpm.Res,IF(OR(_xlpm.val="",_xlpm.val="Error"),"",_xlpm.val),_xlpm.Res)</f>
        <v>#NAME?</v>
      </c>
      <c r="BC33" s="1669" t="e" cm="1">
        <f t="array" ca="1" aca="1" ref="BC33">_xlfn.LET(_xlpm.val,IF($F33="",val_blankRefText,_xldudf_CX_GET(CX_ENTITY,($F33),BC$11,BC$14,,BC$19)),_xlpm.Res,IF(OR(_xlpm.val="",_xlpm.val="Error"),"",_xlpm.val),_xlpm.Res)</f>
        <v>#NAME?</v>
      </c>
      <c r="BD33" s="1669" t="e" cm="1">
        <f t="array" ca="1" aca="1" ref="BD33">_xlfn.LET(_xlpm.val,IF($F33="",val_blankRefText,_xldudf_CX_GET(CX_ENTITY,($F33),BD$11,BD$14,,BD$19)),_xlpm.Res,IF(OR(_xlpm.val="",_xlpm.val="Error"),"",_xlpm.val),_xlpm.Res)</f>
        <v>#NAME?</v>
      </c>
      <c r="BE33" s="1669" t="e" cm="1">
        <f t="array" ca="1" aca="1" ref="BE33">_xlfn.LET(_xlpm.val,IF($F33="",val_blankRefText,_xldudf_CX_GET(CX_ENTITY,($F33),BE$11,BE$14,,BE$19)),_xlpm.Res,IF(OR(_xlpm.val="",_xlpm.val="Error"),"",_xlpm.val),_xlpm.Res)</f>
        <v>#NAME?</v>
      </c>
      <c r="BF33" s="1669" t="e" cm="1">
        <f t="array" ca="1" aca="1" ref="BF33">_xlfn.LET(_xlpm.val,IF($F33="",val_blankRefText,_xldudf_CX_GET(CX_ENTITY,($F33),BF$11,BF$14,,BF$19)),_xlpm.Res,IF(OR(_xlpm.val="",_xlpm.val="Error"),"",_xlpm.val),_xlpm.Res)</f>
        <v>#NAME?</v>
      </c>
      <c r="BG33" s="1669" t="e" cm="1">
        <f t="array" ca="1" aca="1" ref="BG33">_xlfn.LET(_xlpm.val,IF($F33="",val_blankRefText,_xldudf_CX_GET(CX_ENTITY,($F33),BG$11,BG$14,,BG$19)),_xlpm.Res,IF(OR(_xlpm.val="",_xlpm.val="Error"),"",_xlpm.val),_xlpm.Res)</f>
        <v>#NAME?</v>
      </c>
      <c r="BH33" s="1669" t="e" cm="1">
        <f t="array" ca="1" aca="1" ref="BH33">_xlfn.LET(_xlpm.val,IF($F33="",val_blankRefText,_xldudf_CX_GET(CX_ENTITY,($F33),BH$11,BH$14,,BH$19)),_xlpm.Res,IF(OR(_xlpm.val="",_xlpm.val="Error"),"",_xlpm.val),_xlpm.Res)</f>
        <v>#NAME?</v>
      </c>
      <c r="BI33" s="1669" t="e" cm="1">
        <f t="array" ca="1" aca="1" ref="BI33">_xlfn.LET(_xlpm.val,IF($F33="",val_blankRefText,_xldudf_CX_GET(CX_ENTITY,($F33),BI$11,BI$14,,BI$19)),_xlpm.Res,IF(OR(_xlpm.val="",_xlpm.val="Error"),"",_xlpm.val),_xlpm.Res)</f>
        <v>#NAME?</v>
      </c>
      <c r="BJ33" s="1669" t="e" cm="1">
        <f t="array" ca="1" aca="1" ref="BJ33">_xlfn.LET(_xlpm.val,IF($F33="",val_blankRefText,_xldudf_CX_GET(CX_ENTITY,($F33),BJ$11,BJ$14,,BJ$19)),_xlpm.Res,IF(OR(_xlpm.val="",_xlpm.val="Error"),"",_xlpm.val),_xlpm.Res)</f>
        <v>#NAME?</v>
      </c>
      <c r="BK33" s="1669" t="e" cm="1">
        <f t="array" ca="1" aca="1" ref="BK33">_xlfn.LET(_xlpm.val,IF($F33="",val_blankRefText,_xldudf_CX_GET(CX_ENTITY,($F33),BK$11,BK$14,,BK$19)),_xlpm.Res,IF(OR(_xlpm.val="",_xlpm.val="Error"),"",_xlpm.val),_xlpm.Res)</f>
        <v>#NAME?</v>
      </c>
      <c r="BL33" s="1669" t="e" cm="1">
        <f t="array" ca="1" aca="1" ref="BL33">_xlfn.LET(_xlpm.val,IF($F33="",val_blankRefText,_xldudf_CX_GET(CX_ENTITY,($F33),BL$11,BL$14,,BL$19)),_xlpm.Res,IF(OR(_xlpm.val="",_xlpm.val="Error"),"",_xlpm.val),_xlpm.Res)</f>
        <v>#NAME?</v>
      </c>
      <c r="BM33" s="1669" t="e" cm="1">
        <f t="array" ca="1" aca="1" ref="BM33">_xlfn.LET(_xlpm.val,IF($F33="",val_blankRefText,_xldudf_CX_GET(CX_ENTITY,($F33),BM$11,BM$14,,BM$19)),_xlpm.Res,IF(OR(_xlpm.val="",_xlpm.val="Error"),"",_xlpm.val),_xlpm.Res)</f>
        <v>#NAME?</v>
      </c>
      <c r="BN33" s="1669" t="e" cm="1">
        <f t="array" ca="1" aca="1" ref="BN33">_xlfn.LET(_xlpm.val,IF($F33="",val_blankRefText,_xldudf_CX_GET(CX_ENTITY,($F33),BN$11,BN$14,,BN$19)),_xlpm.Res,IF(OR(_xlpm.val="",_xlpm.val="Error"),"",_xlpm.val),_xlpm.Res)</f>
        <v>#NAME?</v>
      </c>
      <c r="BO33" s="2095"/>
      <c r="BP33" s="2095"/>
      <c r="BQ33" s="2095"/>
      <c r="BR33" s="2095"/>
      <c r="BS33" s="2095"/>
      <c r="BT33" s="2095"/>
      <c r="BU33" s="2095"/>
      <c r="BV33" s="2095"/>
      <c r="BW33" s="2095"/>
      <c r="BX33" s="2095"/>
      <c r="BY33" s="2095"/>
      <c r="BZ33" s="2095"/>
      <c r="CA33" s="926"/>
      <c r="CB33" s="921"/>
      <c r="CC33" s="927"/>
      <c r="CD33" s="920" t="e" cm="1">
        <f t="array" ca="1" aca="1" ref="CD33">_xlfn.XLOOKUP(BS!CD$11,array_timeline,BS!$AD33:$BN33)</f>
        <v>#NAME?</v>
      </c>
      <c r="CE33" s="920" t="e" cm="1">
        <f t="array" ca="1" aca="1" ref="CE33">_xlfn.XLOOKUP(BS!CE$11,array_timeline,BS!$AD33:$BN33)</f>
        <v>#NAME?</v>
      </c>
      <c r="CF33" s="925"/>
      <c r="CG33" s="920" t="e" cm="1">
        <f t="array" ca="1" aca="1" ref="CG33">_xlfn.LET(_xlpm.val,IF($F33="",val_blankRefText,_xldudf_CX_GET(CX_ENTITY,($F33),CG$11,CG$14,,(CG$19))),_xlpm.Res,IF(OR(_xlpm.val="",_xlpm.val="Error"),"",_xlpm.val),_xlpm.Res)</f>
        <v>#NAME?</v>
      </c>
      <c r="CH33" s="920" t="e" cm="1">
        <f t="array" ca="1" aca="1" ref="CH33">_xlfn.LET(_xlpm.val,IF($F33="",val_blankRefText,_xldudf_CX_GET(CX_ENTITY,($F33),CH$11,CH$14,,(CH$19))),_xlpm.Res,IF(OR(_xlpm.val="",_xlpm.val="Error"),"",_xlpm.val),_xlpm.Res)</f>
        <v>#NAME?</v>
      </c>
      <c r="CI33" s="200"/>
    </row>
    <row r="34" spans="1:87" ht="21" customHeight="1">
      <c r="A34" s="696" t="s">
        <v>738</v>
      </c>
      <c r="B34" s="577" t="s">
        <v>435</v>
      </c>
      <c r="C34" s="577" t="s">
        <v>1721</v>
      </c>
      <c r="D34" s="577"/>
      <c r="E34" s="577" t="e" cm="1">
        <f t="array" ca="1" aca="1" ref="E34">_xlfn.LET(_xlpm.Attr,$C34,_xlpm.Lookback,$E$16,_xlpm.QueryDate,EOMONTH(val_asOfDate,_xlpm.Lookback),_xlpm.ReadField,_xldudf_CX_GET(CX_ENTITY,fx_attrConverter($C34),_xlpm.QueryDate),_xlpm.AttrBlank,_xlpm.Attr="",_xlpm.RESULT,IF(_xlpm.AttrBlank,val_blankRefText,fx_attrConverter(_xlpm.ReadField,0)),IF(_xlpm.RESULT="Error","",_xlpm.RESULT))</f>
        <v>#NAME?</v>
      </c>
      <c r="F34" s="577" t="str">
        <f t="shared" si="1"/>
        <v>Others Instrument(s)</v>
      </c>
      <c r="G34" s="574"/>
      <c r="H34" s="3279">
        <v>1</v>
      </c>
      <c r="I34" s="3279">
        <v>1</v>
      </c>
      <c r="J34" s="401"/>
      <c r="K34" s="401"/>
      <c r="L34" s="3269" t="b">
        <v>1</v>
      </c>
      <c r="N34" s="158"/>
      <c r="O34" s="101"/>
      <c r="P34" s="52"/>
      <c r="Q34" s="101"/>
      <c r="R34" s="126"/>
      <c r="S34" s="101"/>
      <c r="T34" s="101"/>
      <c r="U34" s="39"/>
      <c r="W34" s="91" t="str">
        <f t="shared" si="4"/>
        <v>Actual</v>
      </c>
      <c r="X34" s="857">
        <v>-1</v>
      </c>
      <c r="Y34" s="2627" t="s">
        <v>435</v>
      </c>
      <c r="Z34" s="3291" cm="1">
        <f t="array" ref="Z34">_xlfn.SWITCH(TRUE,$L34="",0,$L34=TRUE,1,$L34=FALSE,-1,)</f>
        <v>1</v>
      </c>
      <c r="AA34" s="2625"/>
      <c r="AB34" s="2626" t="s">
        <v>435</v>
      </c>
      <c r="AC34" s="88" t="str" cm="1">
        <f t="array" ref="AC34">IFERROR(IF(_xlfn.XMATCH(AB34,tbl_acctDef[Term],0)&gt;0,fx_getIcon("find"),""),"")</f>
        <v/>
      </c>
      <c r="AD34" s="1669" t="e" cm="1">
        <f t="array" ca="1" aca="1" ref="AD34">_xlfn.LET(_xlpm.val,IF($F34="",val_blankRefText,_xldudf_CX_GET(CX_ENTITY,($F34),AD$11,AD$14,,AD$19)),_xlpm.Res,IF(OR(_xlpm.val="",_xlpm.val="Error"),"",_xlpm.val),_xlpm.Res)</f>
        <v>#NAME?</v>
      </c>
      <c r="AE34" s="1669" t="e" cm="1">
        <f t="array" ca="1" aca="1" ref="AE34">_xlfn.LET(_xlpm.val,IF($F34="",val_blankRefText,_xldudf_CX_GET(CX_ENTITY,($F34),AE$11,AE$14,,AE$19)),_xlpm.Res,IF(OR(_xlpm.val="",_xlpm.val="Error"),"",_xlpm.val),_xlpm.Res)</f>
        <v>#NAME?</v>
      </c>
      <c r="AF34" s="1669" t="e" cm="1">
        <f t="array" ca="1" aca="1" ref="AF34">_xlfn.LET(_xlpm.val,IF($F34="",val_blankRefText,_xldudf_CX_GET(CX_ENTITY,($F34),AF$11,AF$14,,AF$19)),_xlpm.Res,IF(OR(_xlpm.val="",_xlpm.val="Error"),"",_xlpm.val),_xlpm.Res)</f>
        <v>#NAME?</v>
      </c>
      <c r="AG34" s="1669" t="e" cm="1">
        <f t="array" ca="1" aca="1" ref="AG34">_xlfn.LET(_xlpm.val,IF($F34="",val_blankRefText,_xldudf_CX_GET(CX_ENTITY,($F34),AG$11,AG$14,,AG$19)),_xlpm.Res,IF(OR(_xlpm.val="",_xlpm.val="Error"),"",_xlpm.val),_xlpm.Res)</f>
        <v>#NAME?</v>
      </c>
      <c r="AH34" s="1669" t="e" cm="1">
        <f t="array" ca="1" aca="1" ref="AH34">_xlfn.LET(_xlpm.val,IF($F34="",val_blankRefText,_xldudf_CX_GET(CX_ENTITY,($F34),AH$11,AH$14,,AH$19)),_xlpm.Res,IF(OR(_xlpm.val="",_xlpm.val="Error"),"",_xlpm.val),_xlpm.Res)</f>
        <v>#NAME?</v>
      </c>
      <c r="AI34" s="1669" t="e" cm="1">
        <f t="array" ca="1" aca="1" ref="AI34">_xlfn.LET(_xlpm.val,IF($F34="",val_blankRefText,_xldudf_CX_GET(CX_ENTITY,($F34),AI$11,AI$14,,AI$19)),_xlpm.Res,IF(OR(_xlpm.val="",_xlpm.val="Error"),"",_xlpm.val),_xlpm.Res)</f>
        <v>#NAME?</v>
      </c>
      <c r="AJ34" s="1669" t="e" cm="1">
        <f t="array" ca="1" aca="1" ref="AJ34">_xlfn.LET(_xlpm.val,IF($F34="",val_blankRefText,_xldudf_CX_GET(CX_ENTITY,($F34),AJ$11,AJ$14,,AJ$19)),_xlpm.Res,IF(OR(_xlpm.val="",_xlpm.val="Error"),"",_xlpm.val),_xlpm.Res)</f>
        <v>#NAME?</v>
      </c>
      <c r="AK34" s="1669" t="e" cm="1">
        <f t="array" ca="1" aca="1" ref="AK34">_xlfn.LET(_xlpm.val,IF($F34="",val_blankRefText,_xldudf_CX_GET(CX_ENTITY,($F34),AK$11,AK$14,,AK$19)),_xlpm.Res,IF(OR(_xlpm.val="",_xlpm.val="Error"),"",_xlpm.val),_xlpm.Res)</f>
        <v>#NAME?</v>
      </c>
      <c r="AL34" s="1669" t="e" cm="1">
        <f t="array" ca="1" aca="1" ref="AL34">_xlfn.LET(_xlpm.val,IF($F34="",val_blankRefText,_xldudf_CX_GET(CX_ENTITY,($F34),AL$11,AL$14,,AL$19)),_xlpm.Res,IF(OR(_xlpm.val="",_xlpm.val="Error"),"",_xlpm.val),_xlpm.Res)</f>
        <v>#NAME?</v>
      </c>
      <c r="AM34" s="1669" t="e" cm="1">
        <f t="array" ca="1" aca="1" ref="AM34">_xlfn.LET(_xlpm.val,IF($F34="",val_blankRefText,_xldudf_CX_GET(CX_ENTITY,($F34),AM$11,AM$14,,AM$19)),_xlpm.Res,IF(OR(_xlpm.val="",_xlpm.val="Error"),"",_xlpm.val),_xlpm.Res)</f>
        <v>#NAME?</v>
      </c>
      <c r="AN34" s="1669" t="e" cm="1">
        <f t="array" ca="1" aca="1" ref="AN34">_xlfn.LET(_xlpm.val,IF($F34="",val_blankRefText,_xldudf_CX_GET(CX_ENTITY,($F34),AN$11,AN$14,,AN$19)),_xlpm.Res,IF(OR(_xlpm.val="",_xlpm.val="Error"),"",_xlpm.val),_xlpm.Res)</f>
        <v>#NAME?</v>
      </c>
      <c r="AO34" s="1669" t="e" cm="1">
        <f t="array" ca="1" aca="1" ref="AO34">_xlfn.LET(_xlpm.val,IF($F34="",val_blankRefText,_xldudf_CX_GET(CX_ENTITY,($F34),AO$11,AO$14,,AO$19)),_xlpm.Res,IF(OR(_xlpm.val="",_xlpm.val="Error"),"",_xlpm.val),_xlpm.Res)</f>
        <v>#NAME?</v>
      </c>
      <c r="AP34" s="1669" t="e" cm="1">
        <f t="array" ca="1" aca="1" ref="AP34">_xlfn.LET(_xlpm.val,IF($F34="",val_blankRefText,_xldudf_CX_GET(CX_ENTITY,($F34),AP$11,AP$14,,AP$19)),_xlpm.Res,IF(OR(_xlpm.val="",_xlpm.val="Error"),"",_xlpm.val),_xlpm.Res)</f>
        <v>#NAME?</v>
      </c>
      <c r="AQ34" s="1669" t="e" cm="1">
        <f t="array" ca="1" aca="1" ref="AQ34">_xlfn.LET(_xlpm.val,IF($F34="",val_blankRefText,_xldudf_CX_GET(CX_ENTITY,($F34),AQ$11,AQ$14,,AQ$19)),_xlpm.Res,IF(OR(_xlpm.val="",_xlpm.val="Error"),"",_xlpm.val),_xlpm.Res)</f>
        <v>#NAME?</v>
      </c>
      <c r="AR34" s="1669" t="e" cm="1">
        <f t="array" ca="1" aca="1" ref="AR34">_xlfn.LET(_xlpm.val,IF($F34="",val_blankRefText,_xldudf_CX_GET(CX_ENTITY,($F34),AR$11,AR$14,,AR$19)),_xlpm.Res,IF(OR(_xlpm.val="",_xlpm.val="Error"),"",_xlpm.val),_xlpm.Res)</f>
        <v>#NAME?</v>
      </c>
      <c r="AS34" s="1669" t="e" cm="1">
        <f t="array" ca="1" aca="1" ref="AS34">_xlfn.LET(_xlpm.val,IF($F34="",val_blankRefText,_xldudf_CX_GET(CX_ENTITY,($F34),AS$11,AS$14,,AS$19)),_xlpm.Res,IF(OR(_xlpm.val="",_xlpm.val="Error"),"",_xlpm.val),_xlpm.Res)</f>
        <v>#NAME?</v>
      </c>
      <c r="AT34" s="1669" t="e" cm="1">
        <f t="array" ca="1" aca="1" ref="AT34">_xlfn.LET(_xlpm.val,IF($F34="",val_blankRefText,_xldudf_CX_GET(CX_ENTITY,($F34),AT$11,AT$14,,AT$19)),_xlpm.Res,IF(OR(_xlpm.val="",_xlpm.val="Error"),"",_xlpm.val),_xlpm.Res)</f>
        <v>#NAME?</v>
      </c>
      <c r="AU34" s="1669" t="e" cm="1">
        <f t="array" ca="1" aca="1" ref="AU34">_xlfn.LET(_xlpm.val,IF($F34="",val_blankRefText,_xldudf_CX_GET(CX_ENTITY,($F34),AU$11,AU$14,,AU$19)),_xlpm.Res,IF(OR(_xlpm.val="",_xlpm.val="Error"),"",_xlpm.val),_xlpm.Res)</f>
        <v>#NAME?</v>
      </c>
      <c r="AV34" s="1669" t="e" cm="1">
        <f t="array" ca="1" aca="1" ref="AV34">_xlfn.LET(_xlpm.val,IF($F34="",val_blankRefText,_xldudf_CX_GET(CX_ENTITY,($F34),AV$11,AV$14,,AV$19)),_xlpm.Res,IF(OR(_xlpm.val="",_xlpm.val="Error"),"",_xlpm.val),_xlpm.Res)</f>
        <v>#NAME?</v>
      </c>
      <c r="AW34" s="1669" t="e" cm="1">
        <f t="array" ca="1" aca="1" ref="AW34">_xlfn.LET(_xlpm.val,IF($F34="",val_blankRefText,_xldudf_CX_GET(CX_ENTITY,($F34),AW$11,AW$14,,AW$19)),_xlpm.Res,IF(OR(_xlpm.val="",_xlpm.val="Error"),"",_xlpm.val),_xlpm.Res)</f>
        <v>#NAME?</v>
      </c>
      <c r="AX34" s="1669" t="e" cm="1">
        <f t="array" ca="1" aca="1" ref="AX34">_xlfn.LET(_xlpm.val,IF($F34="",val_blankRefText,_xldudf_CX_GET(CX_ENTITY,($F34),AX$11,AX$14,,AX$19)),_xlpm.Res,IF(OR(_xlpm.val="",_xlpm.val="Error"),"",_xlpm.val),_xlpm.Res)</f>
        <v>#NAME?</v>
      </c>
      <c r="AY34" s="1669" t="e" cm="1">
        <f t="array" ca="1" aca="1" ref="AY34">_xlfn.LET(_xlpm.val,IF($F34="",val_blankRefText,_xldudf_CX_GET(CX_ENTITY,($F34),AY$11,AY$14,,AY$19)),_xlpm.Res,IF(OR(_xlpm.val="",_xlpm.val="Error"),"",_xlpm.val),_xlpm.Res)</f>
        <v>#NAME?</v>
      </c>
      <c r="AZ34" s="1669" t="e" cm="1">
        <f t="array" ca="1" aca="1" ref="AZ34">_xlfn.LET(_xlpm.val,IF($F34="",val_blankRefText,_xldudf_CX_GET(CX_ENTITY,($F34),AZ$11,AZ$14,,AZ$19)),_xlpm.Res,IF(OR(_xlpm.val="",_xlpm.val="Error"),"",_xlpm.val),_xlpm.Res)</f>
        <v>#NAME?</v>
      </c>
      <c r="BA34" s="1669" t="e" cm="1">
        <f t="array" ca="1" aca="1" ref="BA34">_xlfn.LET(_xlpm.val,IF($F34="",val_blankRefText,_xldudf_CX_GET(CX_ENTITY,($F34),BA$11,BA$14,,BA$19)),_xlpm.Res,IF(OR(_xlpm.val="",_xlpm.val="Error"),"",_xlpm.val),_xlpm.Res)</f>
        <v>#NAME?</v>
      </c>
      <c r="BB34" s="1669" t="e" cm="1">
        <f t="array" ca="1" aca="1" ref="BB34">_xlfn.LET(_xlpm.val,IF($F34="",val_blankRefText,_xldudf_CX_GET(CX_ENTITY,($F34),BB$11,BB$14,,BB$19)),_xlpm.Res,IF(OR(_xlpm.val="",_xlpm.val="Error"),"",_xlpm.val),_xlpm.Res)</f>
        <v>#NAME?</v>
      </c>
      <c r="BC34" s="1669" t="e" cm="1">
        <f t="array" ca="1" aca="1" ref="BC34">_xlfn.LET(_xlpm.val,IF($F34="",val_blankRefText,_xldudf_CX_GET(CX_ENTITY,($F34),BC$11,BC$14,,BC$19)),_xlpm.Res,IF(OR(_xlpm.val="",_xlpm.val="Error"),"",_xlpm.val),_xlpm.Res)</f>
        <v>#NAME?</v>
      </c>
      <c r="BD34" s="1669" t="e" cm="1">
        <f t="array" ca="1" aca="1" ref="BD34">_xlfn.LET(_xlpm.val,IF($F34="",val_blankRefText,_xldudf_CX_GET(CX_ENTITY,($F34),BD$11,BD$14,,BD$19)),_xlpm.Res,IF(OR(_xlpm.val="",_xlpm.val="Error"),"",_xlpm.val),_xlpm.Res)</f>
        <v>#NAME?</v>
      </c>
      <c r="BE34" s="1669" t="e" cm="1">
        <f t="array" ca="1" aca="1" ref="BE34">_xlfn.LET(_xlpm.val,IF($F34="",val_blankRefText,_xldudf_CX_GET(CX_ENTITY,($F34),BE$11,BE$14,,BE$19)),_xlpm.Res,IF(OR(_xlpm.val="",_xlpm.val="Error"),"",_xlpm.val),_xlpm.Res)</f>
        <v>#NAME?</v>
      </c>
      <c r="BF34" s="1669" t="e" cm="1">
        <f t="array" ca="1" aca="1" ref="BF34">_xlfn.LET(_xlpm.val,IF($F34="",val_blankRefText,_xldudf_CX_GET(CX_ENTITY,($F34),BF$11,BF$14,,BF$19)),_xlpm.Res,IF(OR(_xlpm.val="",_xlpm.val="Error"),"",_xlpm.val),_xlpm.Res)</f>
        <v>#NAME?</v>
      </c>
      <c r="BG34" s="1669" t="e" cm="1">
        <f t="array" ca="1" aca="1" ref="BG34">_xlfn.LET(_xlpm.val,IF($F34="",val_blankRefText,_xldudf_CX_GET(CX_ENTITY,($F34),BG$11,BG$14,,BG$19)),_xlpm.Res,IF(OR(_xlpm.val="",_xlpm.val="Error"),"",_xlpm.val),_xlpm.Res)</f>
        <v>#NAME?</v>
      </c>
      <c r="BH34" s="1669" t="e" cm="1">
        <f t="array" ca="1" aca="1" ref="BH34">_xlfn.LET(_xlpm.val,IF($F34="",val_blankRefText,_xldudf_CX_GET(CX_ENTITY,($F34),BH$11,BH$14,,BH$19)),_xlpm.Res,IF(OR(_xlpm.val="",_xlpm.val="Error"),"",_xlpm.val),_xlpm.Res)</f>
        <v>#NAME?</v>
      </c>
      <c r="BI34" s="1669" t="e" cm="1">
        <f t="array" ca="1" aca="1" ref="BI34">_xlfn.LET(_xlpm.val,IF($F34="",val_blankRefText,_xldudf_CX_GET(CX_ENTITY,($F34),BI$11,BI$14,,BI$19)),_xlpm.Res,IF(OR(_xlpm.val="",_xlpm.val="Error"),"",_xlpm.val),_xlpm.Res)</f>
        <v>#NAME?</v>
      </c>
      <c r="BJ34" s="1669" t="e" cm="1">
        <f t="array" ca="1" aca="1" ref="BJ34">_xlfn.LET(_xlpm.val,IF($F34="",val_blankRefText,_xldudf_CX_GET(CX_ENTITY,($F34),BJ$11,BJ$14,,BJ$19)),_xlpm.Res,IF(OR(_xlpm.val="",_xlpm.val="Error"),"",_xlpm.val),_xlpm.Res)</f>
        <v>#NAME?</v>
      </c>
      <c r="BK34" s="1669" t="e" cm="1">
        <f t="array" ca="1" aca="1" ref="BK34">_xlfn.LET(_xlpm.val,IF($F34="",val_blankRefText,_xldudf_CX_GET(CX_ENTITY,($F34),BK$11,BK$14,,BK$19)),_xlpm.Res,IF(OR(_xlpm.val="",_xlpm.val="Error"),"",_xlpm.val),_xlpm.Res)</f>
        <v>#NAME?</v>
      </c>
      <c r="BL34" s="1669" t="e" cm="1">
        <f t="array" ca="1" aca="1" ref="BL34">_xlfn.LET(_xlpm.val,IF($F34="",val_blankRefText,_xldudf_CX_GET(CX_ENTITY,($F34),BL$11,BL$14,,BL$19)),_xlpm.Res,IF(OR(_xlpm.val="",_xlpm.val="Error"),"",_xlpm.val),_xlpm.Res)</f>
        <v>#NAME?</v>
      </c>
      <c r="BM34" s="1669" t="e" cm="1">
        <f t="array" ca="1" aca="1" ref="BM34">_xlfn.LET(_xlpm.val,IF($F34="",val_blankRefText,_xldudf_CX_GET(CX_ENTITY,($F34),BM$11,BM$14,,BM$19)),_xlpm.Res,IF(OR(_xlpm.val="",_xlpm.val="Error"),"",_xlpm.val),_xlpm.Res)</f>
        <v>#NAME?</v>
      </c>
      <c r="BN34" s="1669" t="e" cm="1">
        <f t="array" ca="1" aca="1" ref="BN34">_xlfn.LET(_xlpm.val,IF($F34="",val_blankRefText,_xldudf_CX_GET(CX_ENTITY,($F34),BN$11,BN$14,,BN$19)),_xlpm.Res,IF(OR(_xlpm.val="",_xlpm.val="Error"),"",_xlpm.val),_xlpm.Res)</f>
        <v>#NAME?</v>
      </c>
      <c r="BO34" s="2095"/>
      <c r="BP34" s="2095"/>
      <c r="BQ34" s="2095"/>
      <c r="BR34" s="2095"/>
      <c r="BS34" s="2095"/>
      <c r="BT34" s="2095"/>
      <c r="BU34" s="2095"/>
      <c r="BV34" s="2095"/>
      <c r="BW34" s="2095"/>
      <c r="BX34" s="2095"/>
      <c r="BY34" s="2095"/>
      <c r="BZ34" s="2095"/>
      <c r="CA34" s="926"/>
      <c r="CB34" s="921"/>
      <c r="CC34" s="927"/>
      <c r="CD34" s="920" t="e" cm="1">
        <f t="array" ca="1" aca="1" ref="CD34">_xlfn.XLOOKUP(BS!CD$11,array_timeline,BS!$AD34:$BN34)</f>
        <v>#NAME?</v>
      </c>
      <c r="CE34" s="920" t="e" cm="1">
        <f t="array" ca="1" aca="1" ref="CE34">_xlfn.XLOOKUP(BS!CE$11,array_timeline,BS!$AD34:$BN34)</f>
        <v>#NAME?</v>
      </c>
      <c r="CF34" s="925"/>
      <c r="CG34" s="920" t="e" cm="1">
        <f t="array" ca="1" aca="1" ref="CG34">_xlfn.LET(_xlpm.val,IF($F34="",val_blankRefText,_xldudf_CX_GET(CX_ENTITY,($F34),CG$11,CG$14,,(CG$19))),_xlpm.Res,IF(OR(_xlpm.val="",_xlpm.val="Error"),"",_xlpm.val),_xlpm.Res)</f>
        <v>#NAME?</v>
      </c>
      <c r="CH34" s="920" t="e" cm="1">
        <f t="array" ca="1" aca="1" ref="CH34">_xlfn.LET(_xlpm.val,IF($F34="",val_blankRefText,_xldudf_CX_GET(CX_ENTITY,($F34),CH$11,CH$14,,(CH$19))),_xlpm.Res,IF(OR(_xlpm.val="",_xlpm.val="Error"),"",_xlpm.val),_xlpm.Res)</f>
        <v>#NAME?</v>
      </c>
      <c r="CI34" s="200"/>
    </row>
    <row r="35" spans="1:87" ht="21" customHeight="1">
      <c r="A35" s="696" t="s">
        <v>741</v>
      </c>
      <c r="B35" s="577" t="s">
        <v>1722</v>
      </c>
      <c r="C35" s="577" t="s">
        <v>1723</v>
      </c>
      <c r="D35" s="577"/>
      <c r="E35" s="577" t="e" cm="1">
        <f t="array" ca="1" aca="1" ref="E35">_xlfn.LET(_xlpm.Attr,$C35,_xlpm.Lookback,$E$16,_xlpm.QueryDate,EOMONTH(val_asOfDate,_xlpm.Lookback),_xlpm.ReadField,_xldudf_CX_GET(CX_ENTITY,fx_attrConverter($C35),_xlpm.QueryDate),_xlpm.AttrBlank,_xlpm.Attr="",_xlpm.RESULT,IF(_xlpm.AttrBlank,val_blankRefText,fx_attrConverter(_xlpm.ReadField,0)),IF(_xlpm.RESULT="Error","",_xlpm.RESULT))</f>
        <v>#NAME?</v>
      </c>
      <c r="F35" s="577" t="str">
        <f t="shared" si="1"/>
        <v>Gross External Acquisition / Refi Debt</v>
      </c>
      <c r="G35" s="574"/>
      <c r="H35" s="3279">
        <v>2</v>
      </c>
      <c r="I35" s="3279">
        <v>1</v>
      </c>
      <c r="J35" s="401"/>
      <c r="K35" s="401"/>
      <c r="L35" s="579">
        <v>-1</v>
      </c>
      <c r="N35" s="158"/>
      <c r="O35" s="101"/>
      <c r="P35" s="52"/>
      <c r="Q35" s="101"/>
      <c r="R35" s="101"/>
      <c r="S35" s="101"/>
      <c r="T35" s="101"/>
      <c r="U35" s="39"/>
      <c r="W35" s="922" t="str">
        <f t="shared" si="4"/>
        <v>Actual</v>
      </c>
      <c r="X35" s="1294">
        <v>0</v>
      </c>
      <c r="Y35" s="2628" t="s">
        <v>1722</v>
      </c>
      <c r="Z35" s="198" cm="1">
        <f t="array" ref="Z35">_xlfn.SWITCH(TRUE,$L35="",0,$L35=TRUE,1,$L35=FALSE,-1,)</f>
        <v>0</v>
      </c>
      <c r="AA35" s="2629"/>
      <c r="AB35" s="2623" t="s">
        <v>1722</v>
      </c>
      <c r="AC35" s="88" t="str" cm="1">
        <f t="array" ref="AC35">IFERROR(IF(_xlfn.XMATCH(AB35,tbl_acctDef[Term],0)&gt;0,fx_getIcon("find"),""),"")</f>
        <v/>
      </c>
      <c r="AD35" s="1669" t="e" cm="1">
        <f t="array" ca="1" aca="1" ref="AD35">_xlfn.LET(_xlpm.val,IF($F35="",val_blankRefText,_xldudf_CX_GET(CX_ENTITY,($F35),AD$11,AD$14,,AD$19)),_xlpm.Res,IF(OR(_xlpm.val="",_xlpm.val="Error"),"",_xlpm.val),_xlpm.Res)</f>
        <v>#NAME?</v>
      </c>
      <c r="AE35" s="1669" t="e" cm="1">
        <f t="array" ca="1" aca="1" ref="AE35">_xlfn.LET(_xlpm.val,IF($F35="",val_blankRefText,_xldudf_CX_GET(CX_ENTITY,($F35),AE$11,AE$14,,AE$19)),_xlpm.Res,IF(OR(_xlpm.val="",_xlpm.val="Error"),"",_xlpm.val),_xlpm.Res)</f>
        <v>#NAME?</v>
      </c>
      <c r="AF35" s="1669" t="e" cm="1">
        <f t="array" ca="1" aca="1" ref="AF35">_xlfn.LET(_xlpm.val,IF($F35="",val_blankRefText,_xldudf_CX_GET(CX_ENTITY,($F35),AF$11,AF$14,,AF$19)),_xlpm.Res,IF(OR(_xlpm.val="",_xlpm.val="Error"),"",_xlpm.val),_xlpm.Res)</f>
        <v>#NAME?</v>
      </c>
      <c r="AG35" s="1669" t="e" cm="1">
        <f t="array" ca="1" aca="1" ref="AG35">_xlfn.LET(_xlpm.val,IF($F35="",val_blankRefText,_xldudf_CX_GET(CX_ENTITY,($F35),AG$11,AG$14,,AG$19)),_xlpm.Res,IF(OR(_xlpm.val="",_xlpm.val="Error"),"",_xlpm.val),_xlpm.Res)</f>
        <v>#NAME?</v>
      </c>
      <c r="AH35" s="1669" t="e" cm="1">
        <f t="array" ca="1" aca="1" ref="AH35">_xlfn.LET(_xlpm.val,IF($F35="",val_blankRefText,_xldudf_CX_GET(CX_ENTITY,($F35),AH$11,AH$14,,AH$19)),_xlpm.Res,IF(OR(_xlpm.val="",_xlpm.val="Error"),"",_xlpm.val),_xlpm.Res)</f>
        <v>#NAME?</v>
      </c>
      <c r="AI35" s="1669" t="e" cm="1">
        <f t="array" ca="1" aca="1" ref="AI35">_xlfn.LET(_xlpm.val,IF($F35="",val_blankRefText,_xldudf_CX_GET(CX_ENTITY,($F35),AI$11,AI$14,,AI$19)),_xlpm.Res,IF(OR(_xlpm.val="",_xlpm.val="Error"),"",_xlpm.val),_xlpm.Res)</f>
        <v>#NAME?</v>
      </c>
      <c r="AJ35" s="1669" t="e" cm="1">
        <f t="array" ca="1" aca="1" ref="AJ35">_xlfn.LET(_xlpm.val,IF($F35="",val_blankRefText,_xldudf_CX_GET(CX_ENTITY,($F35),AJ$11,AJ$14,,AJ$19)),_xlpm.Res,IF(OR(_xlpm.val="",_xlpm.val="Error"),"",_xlpm.val),_xlpm.Res)</f>
        <v>#NAME?</v>
      </c>
      <c r="AK35" s="1669" t="e" cm="1">
        <f t="array" ca="1" aca="1" ref="AK35">_xlfn.LET(_xlpm.val,IF($F35="",val_blankRefText,_xldudf_CX_GET(CX_ENTITY,($F35),AK$11,AK$14,,AK$19)),_xlpm.Res,IF(OR(_xlpm.val="",_xlpm.val="Error"),"",_xlpm.val),_xlpm.Res)</f>
        <v>#NAME?</v>
      </c>
      <c r="AL35" s="1669" t="e" cm="1">
        <f t="array" ca="1" aca="1" ref="AL35">_xlfn.LET(_xlpm.val,IF($F35="",val_blankRefText,_xldudf_CX_GET(CX_ENTITY,($F35),AL$11,AL$14,,AL$19)),_xlpm.Res,IF(OR(_xlpm.val="",_xlpm.val="Error"),"",_xlpm.val),_xlpm.Res)</f>
        <v>#NAME?</v>
      </c>
      <c r="AM35" s="1669" t="e" cm="1">
        <f t="array" ca="1" aca="1" ref="AM35">_xlfn.LET(_xlpm.val,IF($F35="",val_blankRefText,_xldudf_CX_GET(CX_ENTITY,($F35),AM$11,AM$14,,AM$19)),_xlpm.Res,IF(OR(_xlpm.val="",_xlpm.val="Error"),"",_xlpm.val),_xlpm.Res)</f>
        <v>#NAME?</v>
      </c>
      <c r="AN35" s="1669" t="e" cm="1">
        <f t="array" ca="1" aca="1" ref="AN35">_xlfn.LET(_xlpm.val,IF($F35="",val_blankRefText,_xldudf_CX_GET(CX_ENTITY,($F35),AN$11,AN$14,,AN$19)),_xlpm.Res,IF(OR(_xlpm.val="",_xlpm.val="Error"),"",_xlpm.val),_xlpm.Res)</f>
        <v>#NAME?</v>
      </c>
      <c r="AO35" s="1669" t="e" cm="1">
        <f t="array" ca="1" aca="1" ref="AO35">_xlfn.LET(_xlpm.val,IF($F35="",val_blankRefText,_xldudf_CX_GET(CX_ENTITY,($F35),AO$11,AO$14,,AO$19)),_xlpm.Res,IF(OR(_xlpm.val="",_xlpm.val="Error"),"",_xlpm.val),_xlpm.Res)</f>
        <v>#NAME?</v>
      </c>
      <c r="AP35" s="1669" t="e" cm="1">
        <f t="array" ca="1" aca="1" ref="AP35">_xlfn.LET(_xlpm.val,IF($F35="",val_blankRefText,_xldudf_CX_GET(CX_ENTITY,($F35),AP$11,AP$14,,AP$19)),_xlpm.Res,IF(OR(_xlpm.val="",_xlpm.val="Error"),"",_xlpm.val),_xlpm.Res)</f>
        <v>#NAME?</v>
      </c>
      <c r="AQ35" s="1669" t="e" cm="1">
        <f t="array" ca="1" aca="1" ref="AQ35">_xlfn.LET(_xlpm.val,IF($F35="",val_blankRefText,_xldudf_CX_GET(CX_ENTITY,($F35),AQ$11,AQ$14,,AQ$19)),_xlpm.Res,IF(OR(_xlpm.val="",_xlpm.val="Error"),"",_xlpm.val),_xlpm.Res)</f>
        <v>#NAME?</v>
      </c>
      <c r="AR35" s="1669" t="e" cm="1">
        <f t="array" ca="1" aca="1" ref="AR35">_xlfn.LET(_xlpm.val,IF($F35="",val_blankRefText,_xldudf_CX_GET(CX_ENTITY,($F35),AR$11,AR$14,,AR$19)),_xlpm.Res,IF(OR(_xlpm.val="",_xlpm.val="Error"),"",_xlpm.val),_xlpm.Res)</f>
        <v>#NAME?</v>
      </c>
      <c r="AS35" s="1669" t="e" cm="1">
        <f t="array" ca="1" aca="1" ref="AS35">_xlfn.LET(_xlpm.val,IF($F35="",val_blankRefText,_xldudf_CX_GET(CX_ENTITY,($F35),AS$11,AS$14,,AS$19)),_xlpm.Res,IF(OR(_xlpm.val="",_xlpm.val="Error"),"",_xlpm.val),_xlpm.Res)</f>
        <v>#NAME?</v>
      </c>
      <c r="AT35" s="1669" t="e" cm="1">
        <f t="array" ca="1" aca="1" ref="AT35">_xlfn.LET(_xlpm.val,IF($F35="",val_blankRefText,_xldudf_CX_GET(CX_ENTITY,($F35),AT$11,AT$14,,AT$19)),_xlpm.Res,IF(OR(_xlpm.val="",_xlpm.val="Error"),"",_xlpm.val),_xlpm.Res)</f>
        <v>#NAME?</v>
      </c>
      <c r="AU35" s="1669" t="e" cm="1">
        <f t="array" ca="1" aca="1" ref="AU35">_xlfn.LET(_xlpm.val,IF($F35="",val_blankRefText,_xldudf_CX_GET(CX_ENTITY,($F35),AU$11,AU$14,,AU$19)),_xlpm.Res,IF(OR(_xlpm.val="",_xlpm.val="Error"),"",_xlpm.val),_xlpm.Res)</f>
        <v>#NAME?</v>
      </c>
      <c r="AV35" s="1669" t="e" cm="1">
        <f t="array" ca="1" aca="1" ref="AV35">_xlfn.LET(_xlpm.val,IF($F35="",val_blankRefText,_xldudf_CX_GET(CX_ENTITY,($F35),AV$11,AV$14,,AV$19)),_xlpm.Res,IF(OR(_xlpm.val="",_xlpm.val="Error"),"",_xlpm.val),_xlpm.Res)</f>
        <v>#NAME?</v>
      </c>
      <c r="AW35" s="1669" t="e" cm="1">
        <f t="array" ca="1" aca="1" ref="AW35">_xlfn.LET(_xlpm.val,IF($F35="",val_blankRefText,_xldudf_CX_GET(CX_ENTITY,($F35),AW$11,AW$14,,AW$19)),_xlpm.Res,IF(OR(_xlpm.val="",_xlpm.val="Error"),"",_xlpm.val),_xlpm.Res)</f>
        <v>#NAME?</v>
      </c>
      <c r="AX35" s="1669" t="e" cm="1">
        <f t="array" ca="1" aca="1" ref="AX35">_xlfn.LET(_xlpm.val,IF($F35="",val_blankRefText,_xldudf_CX_GET(CX_ENTITY,($F35),AX$11,AX$14,,AX$19)),_xlpm.Res,IF(OR(_xlpm.val="",_xlpm.val="Error"),"",_xlpm.val),_xlpm.Res)</f>
        <v>#NAME?</v>
      </c>
      <c r="AY35" s="1669" t="e" cm="1">
        <f t="array" ca="1" aca="1" ref="AY35">_xlfn.LET(_xlpm.val,IF($F35="",val_blankRefText,_xldudf_CX_GET(CX_ENTITY,($F35),AY$11,AY$14,,AY$19)),_xlpm.Res,IF(OR(_xlpm.val="",_xlpm.val="Error"),"",_xlpm.val),_xlpm.Res)</f>
        <v>#NAME?</v>
      </c>
      <c r="AZ35" s="1669" t="e" cm="1">
        <f t="array" ca="1" aca="1" ref="AZ35">_xlfn.LET(_xlpm.val,IF($F35="",val_blankRefText,_xldudf_CX_GET(CX_ENTITY,($F35),AZ$11,AZ$14,,AZ$19)),_xlpm.Res,IF(OR(_xlpm.val="",_xlpm.val="Error"),"",_xlpm.val),_xlpm.Res)</f>
        <v>#NAME?</v>
      </c>
      <c r="BA35" s="1669" t="e" cm="1">
        <f t="array" ca="1" aca="1" ref="BA35">_xlfn.LET(_xlpm.val,IF($F35="",val_blankRefText,_xldudf_CX_GET(CX_ENTITY,($F35),BA$11,BA$14,,BA$19)),_xlpm.Res,IF(OR(_xlpm.val="",_xlpm.val="Error"),"",_xlpm.val),_xlpm.Res)</f>
        <v>#NAME?</v>
      </c>
      <c r="BB35" s="1669" t="e" cm="1">
        <f t="array" ca="1" aca="1" ref="BB35">_xlfn.LET(_xlpm.val,IF($F35="",val_blankRefText,_xldudf_CX_GET(CX_ENTITY,($F35),BB$11,BB$14,,BB$19)),_xlpm.Res,IF(OR(_xlpm.val="",_xlpm.val="Error"),"",_xlpm.val),_xlpm.Res)</f>
        <v>#NAME?</v>
      </c>
      <c r="BC35" s="1669" t="e" cm="1">
        <f t="array" ca="1" aca="1" ref="BC35">_xlfn.LET(_xlpm.val,IF($F35="",val_blankRefText,_xldudf_CX_GET(CX_ENTITY,($F35),BC$11,BC$14,,BC$19)),_xlpm.Res,IF(OR(_xlpm.val="",_xlpm.val="Error"),"",_xlpm.val),_xlpm.Res)</f>
        <v>#NAME?</v>
      </c>
      <c r="BD35" s="1669" t="e" cm="1">
        <f t="array" ca="1" aca="1" ref="BD35">_xlfn.LET(_xlpm.val,IF($F35="",val_blankRefText,_xldudf_CX_GET(CX_ENTITY,($F35),BD$11,BD$14,,BD$19)),_xlpm.Res,IF(OR(_xlpm.val="",_xlpm.val="Error"),"",_xlpm.val),_xlpm.Res)</f>
        <v>#NAME?</v>
      </c>
      <c r="BE35" s="1669" t="e" cm="1">
        <f t="array" ca="1" aca="1" ref="BE35">_xlfn.LET(_xlpm.val,IF($F35="",val_blankRefText,_xldudf_CX_GET(CX_ENTITY,($F35),BE$11,BE$14,,BE$19)),_xlpm.Res,IF(OR(_xlpm.val="",_xlpm.val="Error"),"",_xlpm.val),_xlpm.Res)</f>
        <v>#NAME?</v>
      </c>
      <c r="BF35" s="1669" t="e" cm="1">
        <f t="array" ca="1" aca="1" ref="BF35">_xlfn.LET(_xlpm.val,IF($F35="",val_blankRefText,_xldudf_CX_GET(CX_ENTITY,($F35),BF$11,BF$14,,BF$19)),_xlpm.Res,IF(OR(_xlpm.val="",_xlpm.val="Error"),"",_xlpm.val),_xlpm.Res)</f>
        <v>#NAME?</v>
      </c>
      <c r="BG35" s="1669" t="e" cm="1">
        <f t="array" ca="1" aca="1" ref="BG35">_xlfn.LET(_xlpm.val,IF($F35="",val_blankRefText,_xldudf_CX_GET(CX_ENTITY,($F35),BG$11,BG$14,,BG$19)),_xlpm.Res,IF(OR(_xlpm.val="",_xlpm.val="Error"),"",_xlpm.val),_xlpm.Res)</f>
        <v>#NAME?</v>
      </c>
      <c r="BH35" s="1669" t="e" cm="1">
        <f t="array" ca="1" aca="1" ref="BH35">_xlfn.LET(_xlpm.val,IF($F35="",val_blankRefText,_xldudf_CX_GET(CX_ENTITY,($F35),BH$11,BH$14,,BH$19)),_xlpm.Res,IF(OR(_xlpm.val="",_xlpm.val="Error"),"",_xlpm.val),_xlpm.Res)</f>
        <v>#NAME?</v>
      </c>
      <c r="BI35" s="1669" t="e" cm="1">
        <f t="array" ca="1" aca="1" ref="BI35">_xlfn.LET(_xlpm.val,IF($F35="",val_blankRefText,_xldudf_CX_GET(CX_ENTITY,($F35),BI$11,BI$14,,BI$19)),_xlpm.Res,IF(OR(_xlpm.val="",_xlpm.val="Error"),"",_xlpm.val),_xlpm.Res)</f>
        <v>#NAME?</v>
      </c>
      <c r="BJ35" s="1669" t="e" cm="1">
        <f t="array" ca="1" aca="1" ref="BJ35">_xlfn.LET(_xlpm.val,IF($F35="",val_blankRefText,_xldudf_CX_GET(CX_ENTITY,($F35),BJ$11,BJ$14,,BJ$19)),_xlpm.Res,IF(OR(_xlpm.val="",_xlpm.val="Error"),"",_xlpm.val),_xlpm.Res)</f>
        <v>#NAME?</v>
      </c>
      <c r="BK35" s="1669" t="e" cm="1">
        <f t="array" ca="1" aca="1" ref="BK35">_xlfn.LET(_xlpm.val,IF($F35="",val_blankRefText,_xldudf_CX_GET(CX_ENTITY,($F35),BK$11,BK$14,,BK$19)),_xlpm.Res,IF(OR(_xlpm.val="",_xlpm.val="Error"),"",_xlpm.val),_xlpm.Res)</f>
        <v>#NAME?</v>
      </c>
      <c r="BL35" s="1669" t="e" cm="1">
        <f t="array" ca="1" aca="1" ref="BL35">_xlfn.LET(_xlpm.val,IF($F35="",val_blankRefText,_xldudf_CX_GET(CX_ENTITY,($F35),BL$11,BL$14,,BL$19)),_xlpm.Res,IF(OR(_xlpm.val="",_xlpm.val="Error"),"",_xlpm.val),_xlpm.Res)</f>
        <v>#NAME?</v>
      </c>
      <c r="BM35" s="1669" t="e" cm="1">
        <f t="array" ca="1" aca="1" ref="BM35">_xlfn.LET(_xlpm.val,IF($F35="",val_blankRefText,_xldudf_CX_GET(CX_ENTITY,($F35),BM$11,BM$14,,BM$19)),_xlpm.Res,IF(OR(_xlpm.val="",_xlpm.val="Error"),"",_xlpm.val),_xlpm.Res)</f>
        <v>#NAME?</v>
      </c>
      <c r="BN35" s="1669" t="e" cm="1">
        <f t="array" ca="1" aca="1" ref="BN35">_xlfn.LET(_xlpm.val,IF($F35="",val_blankRefText,_xldudf_CX_GET(CX_ENTITY,($F35),BN$11,BN$14,,BN$19)),_xlpm.Res,IF(OR(_xlpm.val="",_xlpm.val="Error"),"",_xlpm.val),_xlpm.Res)</f>
        <v>#NAME?</v>
      </c>
      <c r="BO35" s="2095"/>
      <c r="BP35" s="2095"/>
      <c r="BQ35" s="2095"/>
      <c r="BR35" s="2095"/>
      <c r="BS35" s="2095"/>
      <c r="BT35" s="2095"/>
      <c r="BU35" s="2095"/>
      <c r="BV35" s="2095"/>
      <c r="BW35" s="2095"/>
      <c r="BX35" s="2095"/>
      <c r="BY35" s="2095"/>
      <c r="BZ35" s="2095"/>
      <c r="CA35" s="926"/>
      <c r="CB35" s="921"/>
      <c r="CC35" s="927"/>
      <c r="CD35" s="919" t="e" cm="1">
        <f t="array" ca="1" aca="1" ref="CD35">_xlfn.XLOOKUP(BS!CD$11,array_timeline,BS!$AD35:$BN35)</f>
        <v>#NAME?</v>
      </c>
      <c r="CE35" s="919" t="e" cm="1">
        <f t="array" ca="1" aca="1" ref="CE35">_xlfn.XLOOKUP(BS!CE$11,array_timeline,BS!$AD35:$BN35)</f>
        <v>#NAME?</v>
      </c>
      <c r="CF35" s="925"/>
      <c r="CG35" s="919" t="e" cm="1">
        <f t="array" ca="1" aca="1" ref="CG35">_xlfn.LET(_xlpm.val,IF($F35="",val_blankRefText,_xldudf_CX_GET(CX_ENTITY,($F35),CG$11,CG$14,,(CG$19))),_xlpm.Res,IF(OR(_xlpm.val="",_xlpm.val="Error"),"",_xlpm.val),_xlpm.Res)</f>
        <v>#NAME?</v>
      </c>
      <c r="CH35" s="919" t="e" cm="1">
        <f t="array" ca="1" aca="1" ref="CH35">_xlfn.LET(_xlpm.val,IF($F35="",val_blankRefText,_xldudf_CX_GET(CX_ENTITY,($F35),CH$11,CH$14,,(CH$19))),_xlpm.Res,IF(OR(_xlpm.val="",_xlpm.val="Error"),"",_xlpm.val),_xlpm.Res)</f>
        <v>#NAME?</v>
      </c>
      <c r="CI35" s="924"/>
    </row>
    <row r="36" spans="1:87" ht="21" customHeight="1">
      <c r="A36" s="696" t="s">
        <v>743</v>
      </c>
      <c r="B36" s="577" t="s">
        <v>436</v>
      </c>
      <c r="C36" s="577" t="s">
        <v>1724</v>
      </c>
      <c r="D36" s="577"/>
      <c r="E36" s="577" t="e" cm="1">
        <f t="array" ca="1" aca="1" ref="E36">_xlfn.LET(_xlpm.Attr,$C36,_xlpm.Lookback,$E$16,_xlpm.QueryDate,EOMONTH(val_asOfDate,_xlpm.Lookback),_xlpm.ReadField,_xldudf_CX_GET(CX_ENTITY,fx_attrConverter($C36),_xlpm.QueryDate),_xlpm.AttrBlank,_xlpm.Attr="",_xlpm.RESULT,IF(_xlpm.AttrBlank,val_blankRefText,fx_attrConverter(_xlpm.ReadField,0)),IF(_xlpm.RESULT="Error","",_xlpm.RESULT))</f>
        <v>#NAME?</v>
      </c>
      <c r="F36" s="577" t="str">
        <f t="shared" si="1"/>
        <v>Accrued Interest</v>
      </c>
      <c r="G36" s="574"/>
      <c r="H36" s="3279">
        <v>1</v>
      </c>
      <c r="I36" s="3279">
        <v>1</v>
      </c>
      <c r="J36" s="401"/>
      <c r="K36" s="401"/>
      <c r="L36" s="3269" t="b">
        <v>1</v>
      </c>
      <c r="N36" s="158"/>
      <c r="O36" s="101"/>
      <c r="P36" s="52"/>
      <c r="Q36" s="101"/>
      <c r="R36" s="126"/>
      <c r="S36" s="101"/>
      <c r="T36" s="101"/>
      <c r="U36" s="39"/>
      <c r="W36" s="91" t="str">
        <f t="shared" si="4"/>
        <v>Actual</v>
      </c>
      <c r="X36" s="857">
        <v>-1</v>
      </c>
      <c r="Y36" s="2627" t="s">
        <v>436</v>
      </c>
      <c r="Z36" s="3291" cm="1">
        <f t="array" ref="Z36">_xlfn.SWITCH(TRUE,$L36="",0,$L36=TRUE,1,$L36=FALSE,-1,)</f>
        <v>1</v>
      </c>
      <c r="AA36" s="2625"/>
      <c r="AB36" s="2626" t="s">
        <v>436</v>
      </c>
      <c r="AC36" s="88" t="e" vm="5" cm="1">
        <f t="array" ref="AC36">IFERROR(IF(_xlfn.XMATCH(AB36,tbl_acctDef[Term],0)&gt;0,fx_getIcon("find"),""),"")</f>
        <v>#VALUE!</v>
      </c>
      <c r="AD36" s="1669" t="e" cm="1">
        <f t="array" ca="1" aca="1" ref="AD36">_xlfn.LET(_xlpm.val,IF($F36="",val_blankRefText,_xldudf_CX_GET(CX_ENTITY,($F36),AD$11,AD$14,,AD$19)),_xlpm.Res,IF(OR(_xlpm.val="",_xlpm.val="Error"),"",_xlpm.val),_xlpm.Res)</f>
        <v>#NAME?</v>
      </c>
      <c r="AE36" s="1669" t="e" cm="1">
        <f t="array" ca="1" aca="1" ref="AE36">_xlfn.LET(_xlpm.val,IF($F36="",val_blankRefText,_xldudf_CX_GET(CX_ENTITY,($F36),AE$11,AE$14,,AE$19)),_xlpm.Res,IF(OR(_xlpm.val="",_xlpm.val="Error"),"",_xlpm.val),_xlpm.Res)</f>
        <v>#NAME?</v>
      </c>
      <c r="AF36" s="1669" t="e" cm="1">
        <f t="array" ca="1" aca="1" ref="AF36">_xlfn.LET(_xlpm.val,IF($F36="",val_blankRefText,_xldudf_CX_GET(CX_ENTITY,($F36),AF$11,AF$14,,AF$19)),_xlpm.Res,IF(OR(_xlpm.val="",_xlpm.val="Error"),"",_xlpm.val),_xlpm.Res)</f>
        <v>#NAME?</v>
      </c>
      <c r="AG36" s="1669" t="e" cm="1">
        <f t="array" ca="1" aca="1" ref="AG36">_xlfn.LET(_xlpm.val,IF($F36="",val_blankRefText,_xldudf_CX_GET(CX_ENTITY,($F36),AG$11,AG$14,,AG$19)),_xlpm.Res,IF(OR(_xlpm.val="",_xlpm.val="Error"),"",_xlpm.val),_xlpm.Res)</f>
        <v>#NAME?</v>
      </c>
      <c r="AH36" s="1669" t="e" cm="1">
        <f t="array" ca="1" aca="1" ref="AH36">_xlfn.LET(_xlpm.val,IF($F36="",val_blankRefText,_xldudf_CX_GET(CX_ENTITY,($F36),AH$11,AH$14,,AH$19)),_xlpm.Res,IF(OR(_xlpm.val="",_xlpm.val="Error"),"",_xlpm.val),_xlpm.Res)</f>
        <v>#NAME?</v>
      </c>
      <c r="AI36" s="1669" t="e" cm="1">
        <f t="array" ca="1" aca="1" ref="AI36">_xlfn.LET(_xlpm.val,IF($F36="",val_blankRefText,_xldudf_CX_GET(CX_ENTITY,($F36),AI$11,AI$14,,AI$19)),_xlpm.Res,IF(OR(_xlpm.val="",_xlpm.val="Error"),"",_xlpm.val),_xlpm.Res)</f>
        <v>#NAME?</v>
      </c>
      <c r="AJ36" s="1669" t="e" cm="1">
        <f t="array" ca="1" aca="1" ref="AJ36">_xlfn.LET(_xlpm.val,IF($F36="",val_blankRefText,_xldudf_CX_GET(CX_ENTITY,($F36),AJ$11,AJ$14,,AJ$19)),_xlpm.Res,IF(OR(_xlpm.val="",_xlpm.val="Error"),"",_xlpm.val),_xlpm.Res)</f>
        <v>#NAME?</v>
      </c>
      <c r="AK36" s="1669" t="e" cm="1">
        <f t="array" ca="1" aca="1" ref="AK36">_xlfn.LET(_xlpm.val,IF($F36="",val_blankRefText,_xldudf_CX_GET(CX_ENTITY,($F36),AK$11,AK$14,,AK$19)),_xlpm.Res,IF(OR(_xlpm.val="",_xlpm.val="Error"),"",_xlpm.val),_xlpm.Res)</f>
        <v>#NAME?</v>
      </c>
      <c r="AL36" s="1669" t="e" cm="1">
        <f t="array" ca="1" aca="1" ref="AL36">_xlfn.LET(_xlpm.val,IF($F36="",val_blankRefText,_xldudf_CX_GET(CX_ENTITY,($F36),AL$11,AL$14,,AL$19)),_xlpm.Res,IF(OR(_xlpm.val="",_xlpm.val="Error"),"",_xlpm.val),_xlpm.Res)</f>
        <v>#NAME?</v>
      </c>
      <c r="AM36" s="1669" t="e" cm="1">
        <f t="array" ca="1" aca="1" ref="AM36">_xlfn.LET(_xlpm.val,IF($F36="",val_blankRefText,_xldudf_CX_GET(CX_ENTITY,($F36),AM$11,AM$14,,AM$19)),_xlpm.Res,IF(OR(_xlpm.val="",_xlpm.val="Error"),"",_xlpm.val),_xlpm.Res)</f>
        <v>#NAME?</v>
      </c>
      <c r="AN36" s="1669" t="e" cm="1">
        <f t="array" ca="1" aca="1" ref="AN36">_xlfn.LET(_xlpm.val,IF($F36="",val_blankRefText,_xldudf_CX_GET(CX_ENTITY,($F36),AN$11,AN$14,,AN$19)),_xlpm.Res,IF(OR(_xlpm.val="",_xlpm.val="Error"),"",_xlpm.val),_xlpm.Res)</f>
        <v>#NAME?</v>
      </c>
      <c r="AO36" s="1669" t="e" cm="1">
        <f t="array" ca="1" aca="1" ref="AO36">_xlfn.LET(_xlpm.val,IF($F36="",val_blankRefText,_xldudf_CX_GET(CX_ENTITY,($F36),AO$11,AO$14,,AO$19)),_xlpm.Res,IF(OR(_xlpm.val="",_xlpm.val="Error"),"",_xlpm.val),_xlpm.Res)</f>
        <v>#NAME?</v>
      </c>
      <c r="AP36" s="1669" t="e" cm="1">
        <f t="array" ca="1" aca="1" ref="AP36">_xlfn.LET(_xlpm.val,IF($F36="",val_blankRefText,_xldudf_CX_GET(CX_ENTITY,($F36),AP$11,AP$14,,AP$19)),_xlpm.Res,IF(OR(_xlpm.val="",_xlpm.val="Error"),"",_xlpm.val),_xlpm.Res)</f>
        <v>#NAME?</v>
      </c>
      <c r="AQ36" s="1669" t="e" cm="1">
        <f t="array" ca="1" aca="1" ref="AQ36">_xlfn.LET(_xlpm.val,IF($F36="",val_blankRefText,_xldudf_CX_GET(CX_ENTITY,($F36),AQ$11,AQ$14,,AQ$19)),_xlpm.Res,IF(OR(_xlpm.val="",_xlpm.val="Error"),"",_xlpm.val),_xlpm.Res)</f>
        <v>#NAME?</v>
      </c>
      <c r="AR36" s="1669" t="e" cm="1">
        <f t="array" ca="1" aca="1" ref="AR36">_xlfn.LET(_xlpm.val,IF($F36="",val_blankRefText,_xldudf_CX_GET(CX_ENTITY,($F36),AR$11,AR$14,,AR$19)),_xlpm.Res,IF(OR(_xlpm.val="",_xlpm.val="Error"),"",_xlpm.val),_xlpm.Res)</f>
        <v>#NAME?</v>
      </c>
      <c r="AS36" s="1669" t="e" cm="1">
        <f t="array" ca="1" aca="1" ref="AS36">_xlfn.LET(_xlpm.val,IF($F36="",val_blankRefText,_xldudf_CX_GET(CX_ENTITY,($F36),AS$11,AS$14,,AS$19)),_xlpm.Res,IF(OR(_xlpm.val="",_xlpm.val="Error"),"",_xlpm.val),_xlpm.Res)</f>
        <v>#NAME?</v>
      </c>
      <c r="AT36" s="1669" t="e" cm="1">
        <f t="array" ca="1" aca="1" ref="AT36">_xlfn.LET(_xlpm.val,IF($F36="",val_blankRefText,_xldudf_CX_GET(CX_ENTITY,($F36),AT$11,AT$14,,AT$19)),_xlpm.Res,IF(OR(_xlpm.val="",_xlpm.val="Error"),"",_xlpm.val),_xlpm.Res)</f>
        <v>#NAME?</v>
      </c>
      <c r="AU36" s="1669" t="e" cm="1">
        <f t="array" ca="1" aca="1" ref="AU36">_xlfn.LET(_xlpm.val,IF($F36="",val_blankRefText,_xldudf_CX_GET(CX_ENTITY,($F36),AU$11,AU$14,,AU$19)),_xlpm.Res,IF(OR(_xlpm.val="",_xlpm.val="Error"),"",_xlpm.val),_xlpm.Res)</f>
        <v>#NAME?</v>
      </c>
      <c r="AV36" s="1669" t="e" cm="1">
        <f t="array" ca="1" aca="1" ref="AV36">_xlfn.LET(_xlpm.val,IF($F36="",val_blankRefText,_xldudf_CX_GET(CX_ENTITY,($F36),AV$11,AV$14,,AV$19)),_xlpm.Res,IF(OR(_xlpm.val="",_xlpm.val="Error"),"",_xlpm.val),_xlpm.Res)</f>
        <v>#NAME?</v>
      </c>
      <c r="AW36" s="1669" t="e" cm="1">
        <f t="array" ca="1" aca="1" ref="AW36">_xlfn.LET(_xlpm.val,IF($F36="",val_blankRefText,_xldudf_CX_GET(CX_ENTITY,($F36),AW$11,AW$14,,AW$19)),_xlpm.Res,IF(OR(_xlpm.val="",_xlpm.val="Error"),"",_xlpm.val),_xlpm.Res)</f>
        <v>#NAME?</v>
      </c>
      <c r="AX36" s="1669" t="e" cm="1">
        <f t="array" ca="1" aca="1" ref="AX36">_xlfn.LET(_xlpm.val,IF($F36="",val_blankRefText,_xldudf_CX_GET(CX_ENTITY,($F36),AX$11,AX$14,,AX$19)),_xlpm.Res,IF(OR(_xlpm.val="",_xlpm.val="Error"),"",_xlpm.val),_xlpm.Res)</f>
        <v>#NAME?</v>
      </c>
      <c r="AY36" s="1669" t="e" cm="1">
        <f t="array" ca="1" aca="1" ref="AY36">_xlfn.LET(_xlpm.val,IF($F36="",val_blankRefText,_xldudf_CX_GET(CX_ENTITY,($F36),AY$11,AY$14,,AY$19)),_xlpm.Res,IF(OR(_xlpm.val="",_xlpm.val="Error"),"",_xlpm.val),_xlpm.Res)</f>
        <v>#NAME?</v>
      </c>
      <c r="AZ36" s="1669" t="e" cm="1">
        <f t="array" ca="1" aca="1" ref="AZ36">_xlfn.LET(_xlpm.val,IF($F36="",val_blankRefText,_xldudf_CX_GET(CX_ENTITY,($F36),AZ$11,AZ$14,,AZ$19)),_xlpm.Res,IF(OR(_xlpm.val="",_xlpm.val="Error"),"",_xlpm.val),_xlpm.Res)</f>
        <v>#NAME?</v>
      </c>
      <c r="BA36" s="1669" t="e" cm="1">
        <f t="array" ca="1" aca="1" ref="BA36">_xlfn.LET(_xlpm.val,IF($F36="",val_blankRefText,_xldudf_CX_GET(CX_ENTITY,($F36),BA$11,BA$14,,BA$19)),_xlpm.Res,IF(OR(_xlpm.val="",_xlpm.val="Error"),"",_xlpm.val),_xlpm.Res)</f>
        <v>#NAME?</v>
      </c>
      <c r="BB36" s="1669" t="e" cm="1">
        <f t="array" ca="1" aca="1" ref="BB36">_xlfn.LET(_xlpm.val,IF($F36="",val_blankRefText,_xldudf_CX_GET(CX_ENTITY,($F36),BB$11,BB$14,,BB$19)),_xlpm.Res,IF(OR(_xlpm.val="",_xlpm.val="Error"),"",_xlpm.val),_xlpm.Res)</f>
        <v>#NAME?</v>
      </c>
      <c r="BC36" s="1669" t="e" cm="1">
        <f t="array" ca="1" aca="1" ref="BC36">_xlfn.LET(_xlpm.val,IF($F36="",val_blankRefText,_xldudf_CX_GET(CX_ENTITY,($F36),BC$11,BC$14,,BC$19)),_xlpm.Res,IF(OR(_xlpm.val="",_xlpm.val="Error"),"",_xlpm.val),_xlpm.Res)</f>
        <v>#NAME?</v>
      </c>
      <c r="BD36" s="1669" t="e" cm="1">
        <f t="array" ca="1" aca="1" ref="BD36">_xlfn.LET(_xlpm.val,IF($F36="",val_blankRefText,_xldudf_CX_GET(CX_ENTITY,($F36),BD$11,BD$14,,BD$19)),_xlpm.Res,IF(OR(_xlpm.val="",_xlpm.val="Error"),"",_xlpm.val),_xlpm.Res)</f>
        <v>#NAME?</v>
      </c>
      <c r="BE36" s="1669" t="e" cm="1">
        <f t="array" ca="1" aca="1" ref="BE36">_xlfn.LET(_xlpm.val,IF($F36="",val_blankRefText,_xldudf_CX_GET(CX_ENTITY,($F36),BE$11,BE$14,,BE$19)),_xlpm.Res,IF(OR(_xlpm.val="",_xlpm.val="Error"),"",_xlpm.val),_xlpm.Res)</f>
        <v>#NAME?</v>
      </c>
      <c r="BF36" s="1669" t="e" cm="1">
        <f t="array" ca="1" aca="1" ref="BF36">_xlfn.LET(_xlpm.val,IF($F36="",val_blankRefText,_xldudf_CX_GET(CX_ENTITY,($F36),BF$11,BF$14,,BF$19)),_xlpm.Res,IF(OR(_xlpm.val="",_xlpm.val="Error"),"",_xlpm.val),_xlpm.Res)</f>
        <v>#NAME?</v>
      </c>
      <c r="BG36" s="1669" t="e" cm="1">
        <f t="array" ca="1" aca="1" ref="BG36">_xlfn.LET(_xlpm.val,IF($F36="",val_blankRefText,_xldudf_CX_GET(CX_ENTITY,($F36),BG$11,BG$14,,BG$19)),_xlpm.Res,IF(OR(_xlpm.val="",_xlpm.val="Error"),"",_xlpm.val),_xlpm.Res)</f>
        <v>#NAME?</v>
      </c>
      <c r="BH36" s="1669" t="e" cm="1">
        <f t="array" ca="1" aca="1" ref="BH36">_xlfn.LET(_xlpm.val,IF($F36="",val_blankRefText,_xldudf_CX_GET(CX_ENTITY,($F36),BH$11,BH$14,,BH$19)),_xlpm.Res,IF(OR(_xlpm.val="",_xlpm.val="Error"),"",_xlpm.val),_xlpm.Res)</f>
        <v>#NAME?</v>
      </c>
      <c r="BI36" s="1669" t="e" cm="1">
        <f t="array" ca="1" aca="1" ref="BI36">_xlfn.LET(_xlpm.val,IF($F36="",val_blankRefText,_xldudf_CX_GET(CX_ENTITY,($F36),BI$11,BI$14,,BI$19)),_xlpm.Res,IF(OR(_xlpm.val="",_xlpm.val="Error"),"",_xlpm.val),_xlpm.Res)</f>
        <v>#NAME?</v>
      </c>
      <c r="BJ36" s="1669" t="e" cm="1">
        <f t="array" ca="1" aca="1" ref="BJ36">_xlfn.LET(_xlpm.val,IF($F36="",val_blankRefText,_xldudf_CX_GET(CX_ENTITY,($F36),BJ$11,BJ$14,,BJ$19)),_xlpm.Res,IF(OR(_xlpm.val="",_xlpm.val="Error"),"",_xlpm.val),_xlpm.Res)</f>
        <v>#NAME?</v>
      </c>
      <c r="BK36" s="1669" t="e" cm="1">
        <f t="array" ca="1" aca="1" ref="BK36">_xlfn.LET(_xlpm.val,IF($F36="",val_blankRefText,_xldudf_CX_GET(CX_ENTITY,($F36),BK$11,BK$14,,BK$19)),_xlpm.Res,IF(OR(_xlpm.val="",_xlpm.val="Error"),"",_xlpm.val),_xlpm.Res)</f>
        <v>#NAME?</v>
      </c>
      <c r="BL36" s="1669" t="e" cm="1">
        <f t="array" ca="1" aca="1" ref="BL36">_xlfn.LET(_xlpm.val,IF($F36="",val_blankRefText,_xldudf_CX_GET(CX_ENTITY,($F36),BL$11,BL$14,,BL$19)),_xlpm.Res,IF(OR(_xlpm.val="",_xlpm.val="Error"),"",_xlpm.val),_xlpm.Res)</f>
        <v>#NAME?</v>
      </c>
      <c r="BM36" s="1669" t="e" cm="1">
        <f t="array" ca="1" aca="1" ref="BM36">_xlfn.LET(_xlpm.val,IF($F36="",val_blankRefText,_xldudf_CX_GET(CX_ENTITY,($F36),BM$11,BM$14,,BM$19)),_xlpm.Res,IF(OR(_xlpm.val="",_xlpm.val="Error"),"",_xlpm.val),_xlpm.Res)</f>
        <v>#NAME?</v>
      </c>
      <c r="BN36" s="1669" t="e" cm="1">
        <f t="array" ca="1" aca="1" ref="BN36">_xlfn.LET(_xlpm.val,IF($F36="",val_blankRefText,_xldudf_CX_GET(CX_ENTITY,($F36),BN$11,BN$14,,BN$19)),_xlpm.Res,IF(OR(_xlpm.val="",_xlpm.val="Error"),"",_xlpm.val),_xlpm.Res)</f>
        <v>#NAME?</v>
      </c>
      <c r="BO36" s="2095"/>
      <c r="BP36" s="2095"/>
      <c r="BQ36" s="2095"/>
      <c r="BR36" s="2095"/>
      <c r="BS36" s="2095"/>
      <c r="BT36" s="2095"/>
      <c r="BU36" s="2095"/>
      <c r="BV36" s="2095"/>
      <c r="BW36" s="2095"/>
      <c r="BX36" s="2095"/>
      <c r="BY36" s="2095"/>
      <c r="BZ36" s="2095"/>
      <c r="CA36" s="926"/>
      <c r="CB36" s="921"/>
      <c r="CC36" s="927"/>
      <c r="CD36" s="920" t="e" cm="1">
        <f t="array" ca="1" aca="1" ref="CD36">_xlfn.XLOOKUP(BS!CD$11,array_timeline,BS!$AD36:$BN36)</f>
        <v>#NAME?</v>
      </c>
      <c r="CE36" s="920" t="e" cm="1">
        <f t="array" ca="1" aca="1" ref="CE36">_xlfn.XLOOKUP(BS!CE$11,array_timeline,BS!$AD36:$BN36)</f>
        <v>#NAME?</v>
      </c>
      <c r="CF36" s="925"/>
      <c r="CG36" s="920" t="e" cm="1">
        <f t="array" ca="1" aca="1" ref="CG36">_xlfn.LET(_xlpm.val,IF($F36="",val_blankRefText,_xldudf_CX_GET(CX_ENTITY,($F36),CG$11,CG$14,,(CG$19))),_xlpm.Res,IF(OR(_xlpm.val="",_xlpm.val="Error"),"",_xlpm.val),_xlpm.Res)</f>
        <v>#NAME?</v>
      </c>
      <c r="CH36" s="920" t="e" cm="1">
        <f t="array" ca="1" aca="1" ref="CH36">_xlfn.LET(_xlpm.val,IF($F36="",val_blankRefText,_xldudf_CX_GET(CX_ENTITY,($F36),CH$11,CH$14,,(CH$19))),_xlpm.Res,IF(OR(_xlpm.val="",_xlpm.val="Error"),"",_xlpm.val),_xlpm.Res)</f>
        <v>#NAME?</v>
      </c>
      <c r="CI36" s="200"/>
    </row>
    <row r="37" spans="1:87" ht="21" customHeight="1">
      <c r="A37" s="696" t="s">
        <v>746</v>
      </c>
      <c r="B37" s="577" t="s">
        <v>437</v>
      </c>
      <c r="C37" s="577" t="s">
        <v>1725</v>
      </c>
      <c r="D37" s="577"/>
      <c r="E37" s="577" t="e" cm="1">
        <f t="array" ca="1" aca="1" ref="E37">_xlfn.LET(_xlpm.Attr,$C37,_xlpm.Lookback,$E$16,_xlpm.QueryDate,EOMONTH(val_asOfDate,_xlpm.Lookback),_xlpm.ReadField,_xldudf_CX_GET(CX_ENTITY,fx_attrConverter($C37),_xlpm.QueryDate),_xlpm.AttrBlank,_xlpm.Attr="",_xlpm.RESULT,IF(_xlpm.AttrBlank,val_blankRefText,fx_attrConverter(_xlpm.ReadField,0)),IF(_xlpm.RESULT="Error","",_xlpm.RESULT))</f>
        <v>#NAME?</v>
      </c>
      <c r="F37" s="577" t="str">
        <f t="shared" si="1"/>
        <v>Drawn RCF</v>
      </c>
      <c r="G37" s="574"/>
      <c r="H37" s="3279">
        <v>1</v>
      </c>
      <c r="I37" s="3279">
        <v>1</v>
      </c>
      <c r="J37" s="401"/>
      <c r="K37" s="401"/>
      <c r="L37" s="3269" t="b">
        <v>1</v>
      </c>
      <c r="N37" s="158"/>
      <c r="O37" s="101"/>
      <c r="P37" s="52"/>
      <c r="Q37" s="101"/>
      <c r="R37" s="101"/>
      <c r="S37" s="101"/>
      <c r="T37" s="101"/>
      <c r="U37" s="39"/>
      <c r="W37" s="91" t="str">
        <f t="shared" si="4"/>
        <v>Actual</v>
      </c>
      <c r="X37" s="857">
        <v>-1</v>
      </c>
      <c r="Y37" s="2627" t="s">
        <v>437</v>
      </c>
      <c r="Z37" s="3311" cm="1">
        <f t="array" ref="Z37">_xlfn.SWITCH(TRUE,$L37="",0,$L37=TRUE,1,$L37=FALSE,-1,)</f>
        <v>1</v>
      </c>
      <c r="AA37" s="2625"/>
      <c r="AB37" s="2626" t="s">
        <v>437</v>
      </c>
      <c r="AC37" s="88" t="e" vm="5" cm="1">
        <f t="array" ref="AC37">IFERROR(IF(_xlfn.XMATCH(AB37,tbl_acctDef[Term],0)&gt;0,fx_getIcon("find"),""),"")</f>
        <v>#VALUE!</v>
      </c>
      <c r="AD37" s="1669" t="e" cm="1">
        <f t="array" ca="1" aca="1" ref="AD37">_xlfn.LET(_xlpm.val,IF($F37="",val_blankRefText,_xldudf_CX_GET(CX_ENTITY,($F37),AD$11,AD$14,,AD$19)),_xlpm.Res,IF(OR(_xlpm.val="",_xlpm.val="Error"),"",_xlpm.val),_xlpm.Res)</f>
        <v>#NAME?</v>
      </c>
      <c r="AE37" s="1669" t="e" cm="1">
        <f t="array" ca="1" aca="1" ref="AE37">_xlfn.LET(_xlpm.val,IF($F37="",val_blankRefText,_xldudf_CX_GET(CX_ENTITY,($F37),AE$11,AE$14,,AE$19)),_xlpm.Res,IF(OR(_xlpm.val="",_xlpm.val="Error"),"",_xlpm.val),_xlpm.Res)</f>
        <v>#NAME?</v>
      </c>
      <c r="AF37" s="1669" t="e" cm="1">
        <f t="array" ca="1" aca="1" ref="AF37">_xlfn.LET(_xlpm.val,IF($F37="",val_blankRefText,_xldudf_CX_GET(CX_ENTITY,($F37),AF$11,AF$14,,AF$19)),_xlpm.Res,IF(OR(_xlpm.val="",_xlpm.val="Error"),"",_xlpm.val),_xlpm.Res)</f>
        <v>#NAME?</v>
      </c>
      <c r="AG37" s="1669" t="e" cm="1">
        <f t="array" ca="1" aca="1" ref="AG37">_xlfn.LET(_xlpm.val,IF($F37="",val_blankRefText,_xldudf_CX_GET(CX_ENTITY,($F37),AG$11,AG$14,,AG$19)),_xlpm.Res,IF(OR(_xlpm.val="",_xlpm.val="Error"),"",_xlpm.val),_xlpm.Res)</f>
        <v>#NAME?</v>
      </c>
      <c r="AH37" s="1669" t="e" cm="1">
        <f t="array" ca="1" aca="1" ref="AH37">_xlfn.LET(_xlpm.val,IF($F37="",val_blankRefText,_xldudf_CX_GET(CX_ENTITY,($F37),AH$11,AH$14,,AH$19)),_xlpm.Res,IF(OR(_xlpm.val="",_xlpm.val="Error"),"",_xlpm.val),_xlpm.Res)</f>
        <v>#NAME?</v>
      </c>
      <c r="AI37" s="1669" t="e" cm="1">
        <f t="array" ca="1" aca="1" ref="AI37">_xlfn.LET(_xlpm.val,IF($F37="",val_blankRefText,_xldudf_CX_GET(CX_ENTITY,($F37),AI$11,AI$14,,AI$19)),_xlpm.Res,IF(OR(_xlpm.val="",_xlpm.val="Error"),"",_xlpm.val),_xlpm.Res)</f>
        <v>#NAME?</v>
      </c>
      <c r="AJ37" s="1669" t="e" cm="1">
        <f t="array" ca="1" aca="1" ref="AJ37">_xlfn.LET(_xlpm.val,IF($F37="",val_blankRefText,_xldudf_CX_GET(CX_ENTITY,($F37),AJ$11,AJ$14,,AJ$19)),_xlpm.Res,IF(OR(_xlpm.val="",_xlpm.val="Error"),"",_xlpm.val),_xlpm.Res)</f>
        <v>#NAME?</v>
      </c>
      <c r="AK37" s="1669" t="e" cm="1">
        <f t="array" ca="1" aca="1" ref="AK37">_xlfn.LET(_xlpm.val,IF($F37="",val_blankRefText,_xldudf_CX_GET(CX_ENTITY,($F37),AK$11,AK$14,,AK$19)),_xlpm.Res,IF(OR(_xlpm.val="",_xlpm.val="Error"),"",_xlpm.val),_xlpm.Res)</f>
        <v>#NAME?</v>
      </c>
      <c r="AL37" s="1669" t="e" cm="1">
        <f t="array" ca="1" aca="1" ref="AL37">_xlfn.LET(_xlpm.val,IF($F37="",val_blankRefText,_xldudf_CX_GET(CX_ENTITY,($F37),AL$11,AL$14,,AL$19)),_xlpm.Res,IF(OR(_xlpm.val="",_xlpm.val="Error"),"",_xlpm.val),_xlpm.Res)</f>
        <v>#NAME?</v>
      </c>
      <c r="AM37" s="1669" t="e" cm="1">
        <f t="array" ca="1" aca="1" ref="AM37">_xlfn.LET(_xlpm.val,IF($F37="",val_blankRefText,_xldudf_CX_GET(CX_ENTITY,($F37),AM$11,AM$14,,AM$19)),_xlpm.Res,IF(OR(_xlpm.val="",_xlpm.val="Error"),"",_xlpm.val),_xlpm.Res)</f>
        <v>#NAME?</v>
      </c>
      <c r="AN37" s="1669" t="e" cm="1">
        <f t="array" ca="1" aca="1" ref="AN37">_xlfn.LET(_xlpm.val,IF($F37="",val_blankRefText,_xldudf_CX_GET(CX_ENTITY,($F37),AN$11,AN$14,,AN$19)),_xlpm.Res,IF(OR(_xlpm.val="",_xlpm.val="Error"),"",_xlpm.val),_xlpm.Res)</f>
        <v>#NAME?</v>
      </c>
      <c r="AO37" s="1669" t="e" cm="1">
        <f t="array" ca="1" aca="1" ref="AO37">_xlfn.LET(_xlpm.val,IF($F37="",val_blankRefText,_xldudf_CX_GET(CX_ENTITY,($F37),AO$11,AO$14,,AO$19)),_xlpm.Res,IF(OR(_xlpm.val="",_xlpm.val="Error"),"",_xlpm.val),_xlpm.Res)</f>
        <v>#NAME?</v>
      </c>
      <c r="AP37" s="1669" t="e" cm="1">
        <f t="array" ca="1" aca="1" ref="AP37">_xlfn.LET(_xlpm.val,IF($F37="",val_blankRefText,_xldudf_CX_GET(CX_ENTITY,($F37),AP$11,AP$14,,AP$19)),_xlpm.Res,IF(OR(_xlpm.val="",_xlpm.val="Error"),"",_xlpm.val),_xlpm.Res)</f>
        <v>#NAME?</v>
      </c>
      <c r="AQ37" s="1669" t="e" cm="1">
        <f t="array" ca="1" aca="1" ref="AQ37">_xlfn.LET(_xlpm.val,IF($F37="",val_blankRefText,_xldudf_CX_GET(CX_ENTITY,($F37),AQ$11,AQ$14,,AQ$19)),_xlpm.Res,IF(OR(_xlpm.val="",_xlpm.val="Error"),"",_xlpm.val),_xlpm.Res)</f>
        <v>#NAME?</v>
      </c>
      <c r="AR37" s="1669" t="e" cm="1">
        <f t="array" ca="1" aca="1" ref="AR37">_xlfn.LET(_xlpm.val,IF($F37="",val_blankRefText,_xldudf_CX_GET(CX_ENTITY,($F37),AR$11,AR$14,,AR$19)),_xlpm.Res,IF(OR(_xlpm.val="",_xlpm.val="Error"),"",_xlpm.val),_xlpm.Res)</f>
        <v>#NAME?</v>
      </c>
      <c r="AS37" s="1669" t="e" cm="1">
        <f t="array" ca="1" aca="1" ref="AS37">_xlfn.LET(_xlpm.val,IF($F37="",val_blankRefText,_xldudf_CX_GET(CX_ENTITY,($F37),AS$11,AS$14,,AS$19)),_xlpm.Res,IF(OR(_xlpm.val="",_xlpm.val="Error"),"",_xlpm.val),_xlpm.Res)</f>
        <v>#NAME?</v>
      </c>
      <c r="AT37" s="1669" t="e" cm="1">
        <f t="array" ca="1" aca="1" ref="AT37">_xlfn.LET(_xlpm.val,IF($F37="",val_blankRefText,_xldudf_CX_GET(CX_ENTITY,($F37),AT$11,AT$14,,AT$19)),_xlpm.Res,IF(OR(_xlpm.val="",_xlpm.val="Error"),"",_xlpm.val),_xlpm.Res)</f>
        <v>#NAME?</v>
      </c>
      <c r="AU37" s="1669" t="e" cm="1">
        <f t="array" ca="1" aca="1" ref="AU37">_xlfn.LET(_xlpm.val,IF($F37="",val_blankRefText,_xldudf_CX_GET(CX_ENTITY,($F37),AU$11,AU$14,,AU$19)),_xlpm.Res,IF(OR(_xlpm.val="",_xlpm.val="Error"),"",_xlpm.val),_xlpm.Res)</f>
        <v>#NAME?</v>
      </c>
      <c r="AV37" s="1669" t="e" cm="1">
        <f t="array" ca="1" aca="1" ref="AV37">_xlfn.LET(_xlpm.val,IF($F37="",val_blankRefText,_xldudf_CX_GET(CX_ENTITY,($F37),AV$11,AV$14,,AV$19)),_xlpm.Res,IF(OR(_xlpm.val="",_xlpm.val="Error"),"",_xlpm.val),_xlpm.Res)</f>
        <v>#NAME?</v>
      </c>
      <c r="AW37" s="1669" t="e" cm="1">
        <f t="array" ca="1" aca="1" ref="AW37">_xlfn.LET(_xlpm.val,IF($F37="",val_blankRefText,_xldudf_CX_GET(CX_ENTITY,($F37),AW$11,AW$14,,AW$19)),_xlpm.Res,IF(OR(_xlpm.val="",_xlpm.val="Error"),"",_xlpm.val),_xlpm.Res)</f>
        <v>#NAME?</v>
      </c>
      <c r="AX37" s="1669" t="e" cm="1">
        <f t="array" ca="1" aca="1" ref="AX37">_xlfn.LET(_xlpm.val,IF($F37="",val_blankRefText,_xldudf_CX_GET(CX_ENTITY,($F37),AX$11,AX$14,,AX$19)),_xlpm.Res,IF(OR(_xlpm.val="",_xlpm.val="Error"),"",_xlpm.val),_xlpm.Res)</f>
        <v>#NAME?</v>
      </c>
      <c r="AY37" s="1669" t="e" cm="1">
        <f t="array" ca="1" aca="1" ref="AY37">_xlfn.LET(_xlpm.val,IF($F37="",val_blankRefText,_xldudf_CX_GET(CX_ENTITY,($F37),AY$11,AY$14,,AY$19)),_xlpm.Res,IF(OR(_xlpm.val="",_xlpm.val="Error"),"",_xlpm.val),_xlpm.Res)</f>
        <v>#NAME?</v>
      </c>
      <c r="AZ37" s="1669" t="e" cm="1">
        <f t="array" ca="1" aca="1" ref="AZ37">_xlfn.LET(_xlpm.val,IF($F37="",val_blankRefText,_xldudf_CX_GET(CX_ENTITY,($F37),AZ$11,AZ$14,,AZ$19)),_xlpm.Res,IF(OR(_xlpm.val="",_xlpm.val="Error"),"",_xlpm.val),_xlpm.Res)</f>
        <v>#NAME?</v>
      </c>
      <c r="BA37" s="1669" t="e" cm="1">
        <f t="array" ca="1" aca="1" ref="BA37">_xlfn.LET(_xlpm.val,IF($F37="",val_blankRefText,_xldudf_CX_GET(CX_ENTITY,($F37),BA$11,BA$14,,BA$19)),_xlpm.Res,IF(OR(_xlpm.val="",_xlpm.val="Error"),"",_xlpm.val),_xlpm.Res)</f>
        <v>#NAME?</v>
      </c>
      <c r="BB37" s="1669" t="e" cm="1">
        <f t="array" ca="1" aca="1" ref="BB37">_xlfn.LET(_xlpm.val,IF($F37="",val_blankRefText,_xldudf_CX_GET(CX_ENTITY,($F37),BB$11,BB$14,,BB$19)),_xlpm.Res,IF(OR(_xlpm.val="",_xlpm.val="Error"),"",_xlpm.val),_xlpm.Res)</f>
        <v>#NAME?</v>
      </c>
      <c r="BC37" s="1669" t="e" cm="1">
        <f t="array" ca="1" aca="1" ref="BC37">_xlfn.LET(_xlpm.val,IF($F37="",val_blankRefText,_xldudf_CX_GET(CX_ENTITY,($F37),BC$11,BC$14,,BC$19)),_xlpm.Res,IF(OR(_xlpm.val="",_xlpm.val="Error"),"",_xlpm.val),_xlpm.Res)</f>
        <v>#NAME?</v>
      </c>
      <c r="BD37" s="1669" t="e" cm="1">
        <f t="array" ca="1" aca="1" ref="BD37">_xlfn.LET(_xlpm.val,IF($F37="",val_blankRefText,_xldudf_CX_GET(CX_ENTITY,($F37),BD$11,BD$14,,BD$19)),_xlpm.Res,IF(OR(_xlpm.val="",_xlpm.val="Error"),"",_xlpm.val),_xlpm.Res)</f>
        <v>#NAME?</v>
      </c>
      <c r="BE37" s="1669" t="e" cm="1">
        <f t="array" ca="1" aca="1" ref="BE37">_xlfn.LET(_xlpm.val,IF($F37="",val_blankRefText,_xldudf_CX_GET(CX_ENTITY,($F37),BE$11,BE$14,,BE$19)),_xlpm.Res,IF(OR(_xlpm.val="",_xlpm.val="Error"),"",_xlpm.val),_xlpm.Res)</f>
        <v>#NAME?</v>
      </c>
      <c r="BF37" s="1669" t="e" cm="1">
        <f t="array" ca="1" aca="1" ref="BF37">_xlfn.LET(_xlpm.val,IF($F37="",val_blankRefText,_xldudf_CX_GET(CX_ENTITY,($F37),BF$11,BF$14,,BF$19)),_xlpm.Res,IF(OR(_xlpm.val="",_xlpm.val="Error"),"",_xlpm.val),_xlpm.Res)</f>
        <v>#NAME?</v>
      </c>
      <c r="BG37" s="1669" t="e" cm="1">
        <f t="array" ca="1" aca="1" ref="BG37">_xlfn.LET(_xlpm.val,IF($F37="",val_blankRefText,_xldudf_CX_GET(CX_ENTITY,($F37),BG$11,BG$14,,BG$19)),_xlpm.Res,IF(OR(_xlpm.val="",_xlpm.val="Error"),"",_xlpm.val),_xlpm.Res)</f>
        <v>#NAME?</v>
      </c>
      <c r="BH37" s="1669" t="e" cm="1">
        <f t="array" ca="1" aca="1" ref="BH37">_xlfn.LET(_xlpm.val,IF($F37="",val_blankRefText,_xldudf_CX_GET(CX_ENTITY,($F37),BH$11,BH$14,,BH$19)),_xlpm.Res,IF(OR(_xlpm.val="",_xlpm.val="Error"),"",_xlpm.val),_xlpm.Res)</f>
        <v>#NAME?</v>
      </c>
      <c r="BI37" s="1669" t="e" cm="1">
        <f t="array" ca="1" aca="1" ref="BI37">_xlfn.LET(_xlpm.val,IF($F37="",val_blankRefText,_xldudf_CX_GET(CX_ENTITY,($F37),BI$11,BI$14,,BI$19)),_xlpm.Res,IF(OR(_xlpm.val="",_xlpm.val="Error"),"",_xlpm.val),_xlpm.Res)</f>
        <v>#NAME?</v>
      </c>
      <c r="BJ37" s="1669" t="e" cm="1">
        <f t="array" ca="1" aca="1" ref="BJ37">_xlfn.LET(_xlpm.val,IF($F37="",val_blankRefText,_xldudf_CX_GET(CX_ENTITY,($F37),BJ$11,BJ$14,,BJ$19)),_xlpm.Res,IF(OR(_xlpm.val="",_xlpm.val="Error"),"",_xlpm.val),_xlpm.Res)</f>
        <v>#NAME?</v>
      </c>
      <c r="BK37" s="1669" t="e" cm="1">
        <f t="array" ca="1" aca="1" ref="BK37">_xlfn.LET(_xlpm.val,IF($F37="",val_blankRefText,_xldudf_CX_GET(CX_ENTITY,($F37),BK$11,BK$14,,BK$19)),_xlpm.Res,IF(OR(_xlpm.val="",_xlpm.val="Error"),"",_xlpm.val),_xlpm.Res)</f>
        <v>#NAME?</v>
      </c>
      <c r="BL37" s="1669" t="e" cm="1">
        <f t="array" ca="1" aca="1" ref="BL37">_xlfn.LET(_xlpm.val,IF($F37="",val_blankRefText,_xldudf_CX_GET(CX_ENTITY,($F37),BL$11,BL$14,,BL$19)),_xlpm.Res,IF(OR(_xlpm.val="",_xlpm.val="Error"),"",_xlpm.val),_xlpm.Res)</f>
        <v>#NAME?</v>
      </c>
      <c r="BM37" s="1669" t="e" cm="1">
        <f t="array" ca="1" aca="1" ref="BM37">_xlfn.LET(_xlpm.val,IF($F37="",val_blankRefText,_xldudf_CX_GET(CX_ENTITY,($F37),BM$11,BM$14,,BM$19)),_xlpm.Res,IF(OR(_xlpm.val="",_xlpm.val="Error"),"",_xlpm.val),_xlpm.Res)</f>
        <v>#NAME?</v>
      </c>
      <c r="BN37" s="1669" t="e" cm="1">
        <f t="array" ca="1" aca="1" ref="BN37">_xlfn.LET(_xlpm.val,IF($F37="",val_blankRefText,_xldudf_CX_GET(CX_ENTITY,($F37),BN$11,BN$14,,BN$19)),_xlpm.Res,IF(OR(_xlpm.val="",_xlpm.val="Error"),"",_xlpm.val),_xlpm.Res)</f>
        <v>#NAME?</v>
      </c>
      <c r="BO37" s="2095"/>
      <c r="BP37" s="2095"/>
      <c r="BQ37" s="2095"/>
      <c r="BR37" s="2095"/>
      <c r="BS37" s="2095"/>
      <c r="BT37" s="2095"/>
      <c r="BU37" s="2095"/>
      <c r="BV37" s="2095"/>
      <c r="BW37" s="2095"/>
      <c r="BX37" s="2095"/>
      <c r="BY37" s="2095"/>
      <c r="BZ37" s="2095"/>
      <c r="CA37" s="926"/>
      <c r="CB37" s="921"/>
      <c r="CC37" s="927"/>
      <c r="CD37" s="920" t="e" cm="1">
        <f t="array" ca="1" aca="1" ref="CD37">_xlfn.XLOOKUP(BS!CD$11,array_timeline,BS!$AD37:$BN37)</f>
        <v>#NAME?</v>
      </c>
      <c r="CE37" s="920" t="e" cm="1">
        <f t="array" ca="1" aca="1" ref="CE37">_xlfn.XLOOKUP(BS!CE$11,array_timeline,BS!$AD37:$BN37)</f>
        <v>#NAME?</v>
      </c>
      <c r="CF37" s="925"/>
      <c r="CG37" s="920" t="e" cm="1">
        <f t="array" ca="1" aca="1" ref="CG37">_xlfn.LET(_xlpm.val,IF($F37="",val_blankRefText,_xldudf_CX_GET(CX_ENTITY,($F37),CG$11,CG$14,,(CG$19))),_xlpm.Res,IF(OR(_xlpm.val="",_xlpm.val="Error"),"",_xlpm.val),_xlpm.Res)</f>
        <v>#NAME?</v>
      </c>
      <c r="CH37" s="920" t="e" cm="1">
        <f t="array" ca="1" aca="1" ref="CH37">_xlfn.LET(_xlpm.val,IF($F37="",val_blankRefText,_xldudf_CX_GET(CX_ENTITY,($F37),CH$11,CH$14,,(CH$19))),_xlpm.Res,IF(OR(_xlpm.val="",_xlpm.val="Error"),"",_xlpm.val),_xlpm.Res)</f>
        <v>#NAME?</v>
      </c>
      <c r="CI37" s="200"/>
    </row>
    <row r="38" spans="1:87" ht="21" customHeight="1">
      <c r="A38" s="696" t="s">
        <v>749</v>
      </c>
      <c r="B38" s="577" t="s">
        <v>580</v>
      </c>
      <c r="C38" s="577" t="s">
        <v>1726</v>
      </c>
      <c r="D38" s="577"/>
      <c r="E38" s="577" t="e" cm="1">
        <f t="array" ca="1" aca="1" ref="E38">_xlfn.LET(_xlpm.Attr,$C38,_xlpm.Lookback,$E$16,_xlpm.QueryDate,EOMONTH(val_asOfDate,_xlpm.Lookback),_xlpm.ReadField,_xldudf_CX_GET(CX_ENTITY,fx_attrConverter($C38),_xlpm.QueryDate),_xlpm.AttrBlank,_xlpm.Attr="",_xlpm.RESULT,IF(_xlpm.AttrBlank,val_blankRefText,fx_attrConverter(_xlpm.ReadField,0)),IF(_xlpm.RESULT="Error","",_xlpm.RESULT))</f>
        <v>#NAME?</v>
      </c>
      <c r="F38" s="577" t="str">
        <f t="shared" si="1"/>
        <v>Gross External Debt</v>
      </c>
      <c r="G38" s="574"/>
      <c r="H38" s="3280">
        <v>2</v>
      </c>
      <c r="I38" s="3279">
        <v>1</v>
      </c>
      <c r="J38" s="401"/>
      <c r="K38" s="401"/>
      <c r="L38" s="579">
        <v>-1</v>
      </c>
      <c r="N38" s="158"/>
      <c r="O38" s="101"/>
      <c r="P38" s="52"/>
      <c r="Q38" s="101"/>
      <c r="R38" s="126"/>
      <c r="S38" s="101"/>
      <c r="T38" s="101"/>
      <c r="U38" s="39"/>
      <c r="W38" s="922" t="str">
        <f t="shared" si="4"/>
        <v>Actual</v>
      </c>
      <c r="X38" s="1294">
        <v>0</v>
      </c>
      <c r="Y38" s="2628" t="s">
        <v>580</v>
      </c>
      <c r="Z38" s="198" cm="1">
        <f t="array" ref="Z38">_xlfn.SWITCH(TRUE,$L38="",0,$L38=TRUE,1,$L38=FALSE,-1,)</f>
        <v>0</v>
      </c>
      <c r="AA38" s="2629"/>
      <c r="AB38" s="2626" t="s">
        <v>580</v>
      </c>
      <c r="AC38" s="88" t="e" vm="5" cm="1">
        <f t="array" ref="AC38">IFERROR(IF(_xlfn.XMATCH(AB38,tbl_acctDef[Term],0)&gt;0,fx_getIcon("find"),""),"")</f>
        <v>#VALUE!</v>
      </c>
      <c r="AD38" s="1669" t="e" cm="1">
        <f t="array" ca="1" aca="1" ref="AD38">_xlfn.LET(_xlpm.val,IF($F38="",val_blankRefText,_xldudf_CX_GET(CX_ENTITY,($F38),AD$11,AD$14,,AD$19)),_xlpm.Res,IF(OR(_xlpm.val="",_xlpm.val="Error"),"",_xlpm.val),_xlpm.Res)</f>
        <v>#NAME?</v>
      </c>
      <c r="AE38" s="1669" t="e" cm="1">
        <f t="array" ca="1" aca="1" ref="AE38">_xlfn.LET(_xlpm.val,IF($F38="",val_blankRefText,_xldudf_CX_GET(CX_ENTITY,($F38),AE$11,AE$14,,AE$19)),_xlpm.Res,IF(OR(_xlpm.val="",_xlpm.val="Error"),"",_xlpm.val),_xlpm.Res)</f>
        <v>#NAME?</v>
      </c>
      <c r="AF38" s="1669" t="e" cm="1">
        <f t="array" ca="1" aca="1" ref="AF38">_xlfn.LET(_xlpm.val,IF($F38="",val_blankRefText,_xldudf_CX_GET(CX_ENTITY,($F38),AF$11,AF$14,,AF$19)),_xlpm.Res,IF(OR(_xlpm.val="",_xlpm.val="Error"),"",_xlpm.val),_xlpm.Res)</f>
        <v>#NAME?</v>
      </c>
      <c r="AG38" s="1669" t="e" cm="1">
        <f t="array" ca="1" aca="1" ref="AG38">_xlfn.LET(_xlpm.val,IF($F38="",val_blankRefText,_xldudf_CX_GET(CX_ENTITY,($F38),AG$11,AG$14,,AG$19)),_xlpm.Res,IF(OR(_xlpm.val="",_xlpm.val="Error"),"",_xlpm.val),_xlpm.Res)</f>
        <v>#NAME?</v>
      </c>
      <c r="AH38" s="1669" t="e" cm="1">
        <f t="array" ca="1" aca="1" ref="AH38">_xlfn.LET(_xlpm.val,IF($F38="",val_blankRefText,_xldudf_CX_GET(CX_ENTITY,($F38),AH$11,AH$14,,AH$19)),_xlpm.Res,IF(OR(_xlpm.val="",_xlpm.val="Error"),"",_xlpm.val),_xlpm.Res)</f>
        <v>#NAME?</v>
      </c>
      <c r="AI38" s="1669" t="e" cm="1">
        <f t="array" ca="1" aca="1" ref="AI38">_xlfn.LET(_xlpm.val,IF($F38="",val_blankRefText,_xldudf_CX_GET(CX_ENTITY,($F38),AI$11,AI$14,,AI$19)),_xlpm.Res,IF(OR(_xlpm.val="",_xlpm.val="Error"),"",_xlpm.val),_xlpm.Res)</f>
        <v>#NAME?</v>
      </c>
      <c r="AJ38" s="1669" t="e" cm="1">
        <f t="array" ca="1" aca="1" ref="AJ38">_xlfn.LET(_xlpm.val,IF($F38="",val_blankRefText,_xldudf_CX_GET(CX_ENTITY,($F38),AJ$11,AJ$14,,AJ$19)),_xlpm.Res,IF(OR(_xlpm.val="",_xlpm.val="Error"),"",_xlpm.val),_xlpm.Res)</f>
        <v>#NAME?</v>
      </c>
      <c r="AK38" s="1669" t="e" cm="1">
        <f t="array" ca="1" aca="1" ref="AK38">_xlfn.LET(_xlpm.val,IF($F38="",val_blankRefText,_xldudf_CX_GET(CX_ENTITY,($F38),AK$11,AK$14,,AK$19)),_xlpm.Res,IF(OR(_xlpm.val="",_xlpm.val="Error"),"",_xlpm.val),_xlpm.Res)</f>
        <v>#NAME?</v>
      </c>
      <c r="AL38" s="1669" t="e" cm="1">
        <f t="array" ca="1" aca="1" ref="AL38">_xlfn.LET(_xlpm.val,IF($F38="",val_blankRefText,_xldudf_CX_GET(CX_ENTITY,($F38),AL$11,AL$14,,AL$19)),_xlpm.Res,IF(OR(_xlpm.val="",_xlpm.val="Error"),"",_xlpm.val),_xlpm.Res)</f>
        <v>#NAME?</v>
      </c>
      <c r="AM38" s="1669" t="e" cm="1">
        <f t="array" ca="1" aca="1" ref="AM38">_xlfn.LET(_xlpm.val,IF($F38="",val_blankRefText,_xldudf_CX_GET(CX_ENTITY,($F38),AM$11,AM$14,,AM$19)),_xlpm.Res,IF(OR(_xlpm.val="",_xlpm.val="Error"),"",_xlpm.val),_xlpm.Res)</f>
        <v>#NAME?</v>
      </c>
      <c r="AN38" s="1669" t="e" cm="1">
        <f t="array" ca="1" aca="1" ref="AN38">_xlfn.LET(_xlpm.val,IF($F38="",val_blankRefText,_xldudf_CX_GET(CX_ENTITY,($F38),AN$11,AN$14,,AN$19)),_xlpm.Res,IF(OR(_xlpm.val="",_xlpm.val="Error"),"",_xlpm.val),_xlpm.Res)</f>
        <v>#NAME?</v>
      </c>
      <c r="AO38" s="1669" t="e" cm="1">
        <f t="array" ca="1" aca="1" ref="AO38">_xlfn.LET(_xlpm.val,IF($F38="",val_blankRefText,_xldudf_CX_GET(CX_ENTITY,($F38),AO$11,AO$14,,AO$19)),_xlpm.Res,IF(OR(_xlpm.val="",_xlpm.val="Error"),"",_xlpm.val),_xlpm.Res)</f>
        <v>#NAME?</v>
      </c>
      <c r="AP38" s="1669" t="e" cm="1">
        <f t="array" ca="1" aca="1" ref="AP38">_xlfn.LET(_xlpm.val,IF($F38="",val_blankRefText,_xldudf_CX_GET(CX_ENTITY,($F38),AP$11,AP$14,,AP$19)),_xlpm.Res,IF(OR(_xlpm.val="",_xlpm.val="Error"),"",_xlpm.val),_xlpm.Res)</f>
        <v>#NAME?</v>
      </c>
      <c r="AQ38" s="1669" t="e" cm="1">
        <f t="array" ca="1" aca="1" ref="AQ38">_xlfn.LET(_xlpm.val,IF($F38="",val_blankRefText,_xldudf_CX_GET(CX_ENTITY,($F38),AQ$11,AQ$14,,AQ$19)),_xlpm.Res,IF(OR(_xlpm.val="",_xlpm.val="Error"),"",_xlpm.val),_xlpm.Res)</f>
        <v>#NAME?</v>
      </c>
      <c r="AR38" s="1669" t="e" cm="1">
        <f t="array" ca="1" aca="1" ref="AR38">_xlfn.LET(_xlpm.val,IF($F38="",val_blankRefText,_xldudf_CX_GET(CX_ENTITY,($F38),AR$11,AR$14,,AR$19)),_xlpm.Res,IF(OR(_xlpm.val="",_xlpm.val="Error"),"",_xlpm.val),_xlpm.Res)</f>
        <v>#NAME?</v>
      </c>
      <c r="AS38" s="1669" t="e" cm="1">
        <f t="array" ca="1" aca="1" ref="AS38">_xlfn.LET(_xlpm.val,IF($F38="",val_blankRefText,_xldudf_CX_GET(CX_ENTITY,($F38),AS$11,AS$14,,AS$19)),_xlpm.Res,IF(OR(_xlpm.val="",_xlpm.val="Error"),"",_xlpm.val),_xlpm.Res)</f>
        <v>#NAME?</v>
      </c>
      <c r="AT38" s="1669" t="e" cm="1">
        <f t="array" ca="1" aca="1" ref="AT38">_xlfn.LET(_xlpm.val,IF($F38="",val_blankRefText,_xldudf_CX_GET(CX_ENTITY,($F38),AT$11,AT$14,,AT$19)),_xlpm.Res,IF(OR(_xlpm.val="",_xlpm.val="Error"),"",_xlpm.val),_xlpm.Res)</f>
        <v>#NAME?</v>
      </c>
      <c r="AU38" s="1669" t="e" cm="1">
        <f t="array" ca="1" aca="1" ref="AU38">_xlfn.LET(_xlpm.val,IF($F38="",val_blankRefText,_xldudf_CX_GET(CX_ENTITY,($F38),AU$11,AU$14,,AU$19)),_xlpm.Res,IF(OR(_xlpm.val="",_xlpm.val="Error"),"",_xlpm.val),_xlpm.Res)</f>
        <v>#NAME?</v>
      </c>
      <c r="AV38" s="1669" t="e" cm="1">
        <f t="array" ca="1" aca="1" ref="AV38">_xlfn.LET(_xlpm.val,IF($F38="",val_blankRefText,_xldudf_CX_GET(CX_ENTITY,($F38),AV$11,AV$14,,AV$19)),_xlpm.Res,IF(OR(_xlpm.val="",_xlpm.val="Error"),"",_xlpm.val),_xlpm.Res)</f>
        <v>#NAME?</v>
      </c>
      <c r="AW38" s="1669" t="e" cm="1">
        <f t="array" ca="1" aca="1" ref="AW38">_xlfn.LET(_xlpm.val,IF($F38="",val_blankRefText,_xldudf_CX_GET(CX_ENTITY,($F38),AW$11,AW$14,,AW$19)),_xlpm.Res,IF(OR(_xlpm.val="",_xlpm.val="Error"),"",_xlpm.val),_xlpm.Res)</f>
        <v>#NAME?</v>
      </c>
      <c r="AX38" s="1669" t="e" cm="1">
        <f t="array" ca="1" aca="1" ref="AX38">_xlfn.LET(_xlpm.val,IF($F38="",val_blankRefText,_xldudf_CX_GET(CX_ENTITY,($F38),AX$11,AX$14,,AX$19)),_xlpm.Res,IF(OR(_xlpm.val="",_xlpm.val="Error"),"",_xlpm.val),_xlpm.Res)</f>
        <v>#NAME?</v>
      </c>
      <c r="AY38" s="1669" t="e" cm="1">
        <f t="array" ca="1" aca="1" ref="AY38">_xlfn.LET(_xlpm.val,IF($F38="",val_blankRefText,_xldudf_CX_GET(CX_ENTITY,($F38),AY$11,AY$14,,AY$19)),_xlpm.Res,IF(OR(_xlpm.val="",_xlpm.val="Error"),"",_xlpm.val),_xlpm.Res)</f>
        <v>#NAME?</v>
      </c>
      <c r="AZ38" s="1669" t="e" cm="1">
        <f t="array" ca="1" aca="1" ref="AZ38">_xlfn.LET(_xlpm.val,IF($F38="",val_blankRefText,_xldudf_CX_GET(CX_ENTITY,($F38),AZ$11,AZ$14,,AZ$19)),_xlpm.Res,IF(OR(_xlpm.val="",_xlpm.val="Error"),"",_xlpm.val),_xlpm.Res)</f>
        <v>#NAME?</v>
      </c>
      <c r="BA38" s="1669" t="e" cm="1">
        <f t="array" ca="1" aca="1" ref="BA38">_xlfn.LET(_xlpm.val,IF($F38="",val_blankRefText,_xldudf_CX_GET(CX_ENTITY,($F38),BA$11,BA$14,,BA$19)),_xlpm.Res,IF(OR(_xlpm.val="",_xlpm.val="Error"),"",_xlpm.val),_xlpm.Res)</f>
        <v>#NAME?</v>
      </c>
      <c r="BB38" s="1669" t="e" cm="1">
        <f t="array" ca="1" aca="1" ref="BB38">_xlfn.LET(_xlpm.val,IF($F38="",val_blankRefText,_xldudf_CX_GET(CX_ENTITY,($F38),BB$11,BB$14,,BB$19)),_xlpm.Res,IF(OR(_xlpm.val="",_xlpm.val="Error"),"",_xlpm.val),_xlpm.Res)</f>
        <v>#NAME?</v>
      </c>
      <c r="BC38" s="1669" t="e" cm="1">
        <f t="array" ca="1" aca="1" ref="BC38">_xlfn.LET(_xlpm.val,IF($F38="",val_blankRefText,_xldudf_CX_GET(CX_ENTITY,($F38),BC$11,BC$14,,BC$19)),_xlpm.Res,IF(OR(_xlpm.val="",_xlpm.val="Error"),"",_xlpm.val),_xlpm.Res)</f>
        <v>#NAME?</v>
      </c>
      <c r="BD38" s="1669" t="e" cm="1">
        <f t="array" ca="1" aca="1" ref="BD38">_xlfn.LET(_xlpm.val,IF($F38="",val_blankRefText,_xldudf_CX_GET(CX_ENTITY,($F38),BD$11,BD$14,,BD$19)),_xlpm.Res,IF(OR(_xlpm.val="",_xlpm.val="Error"),"",_xlpm.val),_xlpm.Res)</f>
        <v>#NAME?</v>
      </c>
      <c r="BE38" s="1669" t="e" cm="1">
        <f t="array" ca="1" aca="1" ref="BE38">_xlfn.LET(_xlpm.val,IF($F38="",val_blankRefText,_xldudf_CX_GET(CX_ENTITY,($F38),BE$11,BE$14,,BE$19)),_xlpm.Res,IF(OR(_xlpm.val="",_xlpm.val="Error"),"",_xlpm.val),_xlpm.Res)</f>
        <v>#NAME?</v>
      </c>
      <c r="BF38" s="1669" t="e" cm="1">
        <f t="array" ca="1" aca="1" ref="BF38">_xlfn.LET(_xlpm.val,IF($F38="",val_blankRefText,_xldudf_CX_GET(CX_ENTITY,($F38),BF$11,BF$14,,BF$19)),_xlpm.Res,IF(OR(_xlpm.val="",_xlpm.val="Error"),"",_xlpm.val),_xlpm.Res)</f>
        <v>#NAME?</v>
      </c>
      <c r="BG38" s="1669" t="e" cm="1">
        <f t="array" ca="1" aca="1" ref="BG38">_xlfn.LET(_xlpm.val,IF($F38="",val_blankRefText,_xldudf_CX_GET(CX_ENTITY,($F38),BG$11,BG$14,,BG$19)),_xlpm.Res,IF(OR(_xlpm.val="",_xlpm.val="Error"),"",_xlpm.val),_xlpm.Res)</f>
        <v>#NAME?</v>
      </c>
      <c r="BH38" s="1669" t="e" cm="1">
        <f t="array" ca="1" aca="1" ref="BH38">_xlfn.LET(_xlpm.val,IF($F38="",val_blankRefText,_xldudf_CX_GET(CX_ENTITY,($F38),BH$11,BH$14,,BH$19)),_xlpm.Res,IF(OR(_xlpm.val="",_xlpm.val="Error"),"",_xlpm.val),_xlpm.Res)</f>
        <v>#NAME?</v>
      </c>
      <c r="BI38" s="1669" t="e" cm="1">
        <f t="array" ca="1" aca="1" ref="BI38">_xlfn.LET(_xlpm.val,IF($F38="",val_blankRefText,_xldudf_CX_GET(CX_ENTITY,($F38),BI$11,BI$14,,BI$19)),_xlpm.Res,IF(OR(_xlpm.val="",_xlpm.val="Error"),"",_xlpm.val),_xlpm.Res)</f>
        <v>#NAME?</v>
      </c>
      <c r="BJ38" s="1669" t="e" cm="1">
        <f t="array" ca="1" aca="1" ref="BJ38">_xlfn.LET(_xlpm.val,IF($F38="",val_blankRefText,_xldudf_CX_GET(CX_ENTITY,($F38),BJ$11,BJ$14,,BJ$19)),_xlpm.Res,IF(OR(_xlpm.val="",_xlpm.val="Error"),"",_xlpm.val),_xlpm.Res)</f>
        <v>#NAME?</v>
      </c>
      <c r="BK38" s="1669" t="e" cm="1">
        <f t="array" ca="1" aca="1" ref="BK38">_xlfn.LET(_xlpm.val,IF($F38="",val_blankRefText,_xldudf_CX_GET(CX_ENTITY,($F38),BK$11,BK$14,,BK$19)),_xlpm.Res,IF(OR(_xlpm.val="",_xlpm.val="Error"),"",_xlpm.val),_xlpm.Res)</f>
        <v>#NAME?</v>
      </c>
      <c r="BL38" s="1669" t="e" cm="1">
        <f t="array" ca="1" aca="1" ref="BL38">_xlfn.LET(_xlpm.val,IF($F38="",val_blankRefText,_xldudf_CX_GET(CX_ENTITY,($F38),BL$11,BL$14,,BL$19)),_xlpm.Res,IF(OR(_xlpm.val="",_xlpm.val="Error"),"",_xlpm.val),_xlpm.Res)</f>
        <v>#NAME?</v>
      </c>
      <c r="BM38" s="1669" t="e" cm="1">
        <f t="array" ca="1" aca="1" ref="BM38">_xlfn.LET(_xlpm.val,IF($F38="",val_blankRefText,_xldudf_CX_GET(CX_ENTITY,($F38),BM$11,BM$14,,BM$19)),_xlpm.Res,IF(OR(_xlpm.val="",_xlpm.val="Error"),"",_xlpm.val),_xlpm.Res)</f>
        <v>#NAME?</v>
      </c>
      <c r="BN38" s="1669" t="e" cm="1">
        <f t="array" ca="1" aca="1" ref="BN38">_xlfn.LET(_xlpm.val,IF($F38="",val_blankRefText,_xldudf_CX_GET(CX_ENTITY,($F38),BN$11,BN$14,,BN$19)),_xlpm.Res,IF(OR(_xlpm.val="",_xlpm.val="Error"),"",_xlpm.val),_xlpm.Res)</f>
        <v>#NAME?</v>
      </c>
      <c r="BO38" s="2095"/>
      <c r="BP38" s="2095"/>
      <c r="BQ38" s="2095"/>
      <c r="BR38" s="2095"/>
      <c r="BS38" s="2095"/>
      <c r="BT38" s="2095"/>
      <c r="BU38" s="2095"/>
      <c r="BV38" s="2095"/>
      <c r="BW38" s="2095"/>
      <c r="BX38" s="2095"/>
      <c r="BY38" s="2095"/>
      <c r="BZ38" s="2095"/>
      <c r="CA38" s="926"/>
      <c r="CB38" s="921"/>
      <c r="CC38" s="927"/>
      <c r="CD38" s="919" t="e" cm="1">
        <f t="array" ca="1" aca="1" ref="CD38">_xlfn.XLOOKUP(BS!CD$11,array_timeline,BS!$AD38:$BN38)</f>
        <v>#NAME?</v>
      </c>
      <c r="CE38" s="919" t="e" cm="1">
        <f t="array" ca="1" aca="1" ref="CE38">_xlfn.XLOOKUP(BS!CE$11,array_timeline,BS!$AD38:$BN38)</f>
        <v>#NAME?</v>
      </c>
      <c r="CF38" s="925"/>
      <c r="CG38" s="919" t="e" cm="1">
        <f t="array" ca="1" aca="1" ref="CG38">_xlfn.LET(_xlpm.val,IF($F38="",val_blankRefText,_xldudf_CX_GET(CX_ENTITY,($F38),CG$11,CG$14,,(CG$19))),_xlpm.Res,IF(OR(_xlpm.val="",_xlpm.val="Error"),"",_xlpm.val),_xlpm.Res)</f>
        <v>#NAME?</v>
      </c>
      <c r="CH38" s="919" t="e" cm="1">
        <f t="array" ca="1" aca="1" ref="CH38">_xlfn.LET(_xlpm.val,IF($F38="",val_blankRefText,_xldudf_CX_GET(CX_ENTITY,($F38),CH$11,CH$14,,(CH$19))),_xlpm.Res,IF(OR(_xlpm.val="",_xlpm.val="Error"),"",_xlpm.val),_xlpm.Res)</f>
        <v>#NAME?</v>
      </c>
      <c r="CI38" s="924"/>
    </row>
    <row r="39" spans="1:87" ht="21" customHeight="1">
      <c r="A39" s="696" t="s">
        <v>755</v>
      </c>
      <c r="B39" s="577" t="s">
        <v>455</v>
      </c>
      <c r="C39" s="577" t="s">
        <v>1727</v>
      </c>
      <c r="D39" s="577"/>
      <c r="E39" s="577" t="e" cm="1">
        <f t="array" ca="1" aca="1" ref="E39">_xlfn.LET(_xlpm.Attr,$C39,_xlpm.Lookback,$E$16,_xlpm.QueryDate,EOMONTH(val_asOfDate,_xlpm.Lookback),_xlpm.ReadField,_xldudf_CX_GET(CX_ENTITY,fx_attrConverter($C39),_xlpm.QueryDate),_xlpm.AttrBlank,_xlpm.Attr="",_xlpm.RESULT,IF(_xlpm.AttrBlank,val_blankRefText,fx_attrConverter(_xlpm.ReadField,0)),IF(_xlpm.RESULT="Error","",_xlpm.RESULT))</f>
        <v>#NAME?</v>
      </c>
      <c r="F39" s="577" t="str">
        <f t="shared" si="1"/>
        <v>Cash &amp; Equivalents</v>
      </c>
      <c r="G39" s="574"/>
      <c r="H39" s="3279">
        <v>1</v>
      </c>
      <c r="I39" s="3279">
        <v>1</v>
      </c>
      <c r="J39" s="401"/>
      <c r="K39" s="401"/>
      <c r="L39" s="3269" t="b">
        <v>1</v>
      </c>
      <c r="N39" s="158"/>
      <c r="O39" s="101"/>
      <c r="P39" s="52"/>
      <c r="Q39" s="101"/>
      <c r="R39" s="101"/>
      <c r="S39" s="101"/>
      <c r="T39" s="101"/>
      <c r="U39" s="39"/>
      <c r="W39" s="91" t="str">
        <f t="shared" si="4"/>
        <v>Actual</v>
      </c>
      <c r="X39" s="3292">
        <v>1</v>
      </c>
      <c r="Y39" s="2627" t="s">
        <v>455</v>
      </c>
      <c r="Z39" s="3291" cm="1">
        <f t="array" ref="Z39">_xlfn.SWITCH(TRUE,$L39="",0,$L39=TRUE,1,$L39=FALSE,-1,)</f>
        <v>1</v>
      </c>
      <c r="AA39" s="2625"/>
      <c r="AB39" s="2626" t="s">
        <v>455</v>
      </c>
      <c r="AC39" s="88" t="str" cm="1">
        <f t="array" ref="AC39">IFERROR(IF(_xlfn.XMATCH(AB39,tbl_acctDef[Term],0)&gt;0,fx_getIcon("find"),""),"")</f>
        <v/>
      </c>
      <c r="AD39" s="1669" t="e" cm="1">
        <f t="array" ca="1" aca="1" ref="AD39">_xlfn.LET(_xlpm.val,IF($F39="",val_blankRefText,_xldudf_CX_GET(CX_ENTITY,($F39),AD$11,AD$14,,AD$19)),_xlpm.Res,IF(OR(_xlpm.val="",_xlpm.val="Error"),"",_xlpm.val),_xlpm.Res)</f>
        <v>#NAME?</v>
      </c>
      <c r="AE39" s="1669" t="e" cm="1">
        <f t="array" ca="1" aca="1" ref="AE39">_xlfn.LET(_xlpm.val,IF($F39="",val_blankRefText,_xldudf_CX_GET(CX_ENTITY,($F39),AE$11,AE$14,,AE$19)),_xlpm.Res,IF(OR(_xlpm.val="",_xlpm.val="Error"),"",_xlpm.val),_xlpm.Res)</f>
        <v>#NAME?</v>
      </c>
      <c r="AF39" s="1669" t="e" cm="1">
        <f t="array" ca="1" aca="1" ref="AF39">_xlfn.LET(_xlpm.val,IF($F39="",val_blankRefText,_xldudf_CX_GET(CX_ENTITY,($F39),AF$11,AF$14,,AF$19)),_xlpm.Res,IF(OR(_xlpm.val="",_xlpm.val="Error"),"",_xlpm.val),_xlpm.Res)</f>
        <v>#NAME?</v>
      </c>
      <c r="AG39" s="1669" t="e" cm="1">
        <f t="array" ca="1" aca="1" ref="AG39">_xlfn.LET(_xlpm.val,IF($F39="",val_blankRefText,_xldudf_CX_GET(CX_ENTITY,($F39),AG$11,AG$14,,AG$19)),_xlpm.Res,IF(OR(_xlpm.val="",_xlpm.val="Error"),"",_xlpm.val),_xlpm.Res)</f>
        <v>#NAME?</v>
      </c>
      <c r="AH39" s="1669" t="e" cm="1">
        <f t="array" ca="1" aca="1" ref="AH39">_xlfn.LET(_xlpm.val,IF($F39="",val_blankRefText,_xldudf_CX_GET(CX_ENTITY,($F39),AH$11,AH$14,,AH$19)),_xlpm.Res,IF(OR(_xlpm.val="",_xlpm.val="Error"),"",_xlpm.val),_xlpm.Res)</f>
        <v>#NAME?</v>
      </c>
      <c r="AI39" s="1669" t="e" cm="1">
        <f t="array" ca="1" aca="1" ref="AI39">_xlfn.LET(_xlpm.val,IF($F39="",val_blankRefText,_xldudf_CX_GET(CX_ENTITY,($F39),AI$11,AI$14,,AI$19)),_xlpm.Res,IF(OR(_xlpm.val="",_xlpm.val="Error"),"",_xlpm.val),_xlpm.Res)</f>
        <v>#NAME?</v>
      </c>
      <c r="AJ39" s="1669" t="e" cm="1">
        <f t="array" ca="1" aca="1" ref="AJ39">_xlfn.LET(_xlpm.val,IF($F39="",val_blankRefText,_xldudf_CX_GET(CX_ENTITY,($F39),AJ$11,AJ$14,,AJ$19)),_xlpm.Res,IF(OR(_xlpm.val="",_xlpm.val="Error"),"",_xlpm.val),_xlpm.Res)</f>
        <v>#NAME?</v>
      </c>
      <c r="AK39" s="1669" t="e" cm="1">
        <f t="array" ca="1" aca="1" ref="AK39">_xlfn.LET(_xlpm.val,IF($F39="",val_blankRefText,_xldudf_CX_GET(CX_ENTITY,($F39),AK$11,AK$14,,AK$19)),_xlpm.Res,IF(OR(_xlpm.val="",_xlpm.val="Error"),"",_xlpm.val),_xlpm.Res)</f>
        <v>#NAME?</v>
      </c>
      <c r="AL39" s="1669" t="e" cm="1">
        <f t="array" ca="1" aca="1" ref="AL39">_xlfn.LET(_xlpm.val,IF($F39="",val_blankRefText,_xldudf_CX_GET(CX_ENTITY,($F39),AL$11,AL$14,,AL$19)),_xlpm.Res,IF(OR(_xlpm.val="",_xlpm.val="Error"),"",_xlpm.val),_xlpm.Res)</f>
        <v>#NAME?</v>
      </c>
      <c r="AM39" s="1669" t="e" cm="1">
        <f t="array" ca="1" aca="1" ref="AM39">_xlfn.LET(_xlpm.val,IF($F39="",val_blankRefText,_xldudf_CX_GET(CX_ENTITY,($F39),AM$11,AM$14,,AM$19)),_xlpm.Res,IF(OR(_xlpm.val="",_xlpm.val="Error"),"",_xlpm.val),_xlpm.Res)</f>
        <v>#NAME?</v>
      </c>
      <c r="AN39" s="1669" t="e" cm="1">
        <f t="array" ca="1" aca="1" ref="AN39">_xlfn.LET(_xlpm.val,IF($F39="",val_blankRefText,_xldudf_CX_GET(CX_ENTITY,($F39),AN$11,AN$14,,AN$19)),_xlpm.Res,IF(OR(_xlpm.val="",_xlpm.val="Error"),"",_xlpm.val),_xlpm.Res)</f>
        <v>#NAME?</v>
      </c>
      <c r="AO39" s="1669" t="e" cm="1">
        <f t="array" ca="1" aca="1" ref="AO39">_xlfn.LET(_xlpm.val,IF($F39="",val_blankRefText,_xldudf_CX_GET(CX_ENTITY,($F39),AO$11,AO$14,,AO$19)),_xlpm.Res,IF(OR(_xlpm.val="",_xlpm.val="Error"),"",_xlpm.val),_xlpm.Res)</f>
        <v>#NAME?</v>
      </c>
      <c r="AP39" s="1669" t="e" cm="1">
        <f t="array" ca="1" aca="1" ref="AP39">_xlfn.LET(_xlpm.val,IF($F39="",val_blankRefText,_xldudf_CX_GET(CX_ENTITY,($F39),AP$11,AP$14,,AP$19)),_xlpm.Res,IF(OR(_xlpm.val="",_xlpm.val="Error"),"",_xlpm.val),_xlpm.Res)</f>
        <v>#NAME?</v>
      </c>
      <c r="AQ39" s="1669" t="e" cm="1">
        <f t="array" ca="1" aca="1" ref="AQ39">_xlfn.LET(_xlpm.val,IF($F39="",val_blankRefText,_xldudf_CX_GET(CX_ENTITY,($F39),AQ$11,AQ$14,,AQ$19)),_xlpm.Res,IF(OR(_xlpm.val="",_xlpm.val="Error"),"",_xlpm.val),_xlpm.Res)</f>
        <v>#NAME?</v>
      </c>
      <c r="AR39" s="1669" t="e" cm="1">
        <f t="array" ca="1" aca="1" ref="AR39">_xlfn.LET(_xlpm.val,IF($F39="",val_blankRefText,_xldudf_CX_GET(CX_ENTITY,($F39),AR$11,AR$14,,AR$19)),_xlpm.Res,IF(OR(_xlpm.val="",_xlpm.val="Error"),"",_xlpm.val),_xlpm.Res)</f>
        <v>#NAME?</v>
      </c>
      <c r="AS39" s="1669" t="e" cm="1">
        <f t="array" ca="1" aca="1" ref="AS39">_xlfn.LET(_xlpm.val,IF($F39="",val_blankRefText,_xldudf_CX_GET(CX_ENTITY,($F39),AS$11,AS$14,,AS$19)),_xlpm.Res,IF(OR(_xlpm.val="",_xlpm.val="Error"),"",_xlpm.val),_xlpm.Res)</f>
        <v>#NAME?</v>
      </c>
      <c r="AT39" s="1669" t="e" cm="1">
        <f t="array" ca="1" aca="1" ref="AT39">_xlfn.LET(_xlpm.val,IF($F39="",val_blankRefText,_xldudf_CX_GET(CX_ENTITY,($F39),AT$11,AT$14,,AT$19)),_xlpm.Res,IF(OR(_xlpm.val="",_xlpm.val="Error"),"",_xlpm.val),_xlpm.Res)</f>
        <v>#NAME?</v>
      </c>
      <c r="AU39" s="1669" t="e" cm="1">
        <f t="array" ca="1" aca="1" ref="AU39">_xlfn.LET(_xlpm.val,IF($F39="",val_blankRefText,_xldudf_CX_GET(CX_ENTITY,($F39),AU$11,AU$14,,AU$19)),_xlpm.Res,IF(OR(_xlpm.val="",_xlpm.val="Error"),"",_xlpm.val),_xlpm.Res)</f>
        <v>#NAME?</v>
      </c>
      <c r="AV39" s="1669" t="e" cm="1">
        <f t="array" ca="1" aca="1" ref="AV39">_xlfn.LET(_xlpm.val,IF($F39="",val_blankRefText,_xldudf_CX_GET(CX_ENTITY,($F39),AV$11,AV$14,,AV$19)),_xlpm.Res,IF(OR(_xlpm.val="",_xlpm.val="Error"),"",_xlpm.val),_xlpm.Res)</f>
        <v>#NAME?</v>
      </c>
      <c r="AW39" s="1669" t="e" cm="1">
        <f t="array" ca="1" aca="1" ref="AW39">_xlfn.LET(_xlpm.val,IF($F39="",val_blankRefText,_xldudf_CX_GET(CX_ENTITY,($F39),AW$11,AW$14,,AW$19)),_xlpm.Res,IF(OR(_xlpm.val="",_xlpm.val="Error"),"",_xlpm.val),_xlpm.Res)</f>
        <v>#NAME?</v>
      </c>
      <c r="AX39" s="1669" t="e" cm="1">
        <f t="array" ca="1" aca="1" ref="AX39">_xlfn.LET(_xlpm.val,IF($F39="",val_blankRefText,_xldudf_CX_GET(CX_ENTITY,($F39),AX$11,AX$14,,AX$19)),_xlpm.Res,IF(OR(_xlpm.val="",_xlpm.val="Error"),"",_xlpm.val),_xlpm.Res)</f>
        <v>#NAME?</v>
      </c>
      <c r="AY39" s="1669" t="e" cm="1">
        <f t="array" ca="1" aca="1" ref="AY39">_xlfn.LET(_xlpm.val,IF($F39="",val_blankRefText,_xldudf_CX_GET(CX_ENTITY,($F39),AY$11,AY$14,,AY$19)),_xlpm.Res,IF(OR(_xlpm.val="",_xlpm.val="Error"),"",_xlpm.val),_xlpm.Res)</f>
        <v>#NAME?</v>
      </c>
      <c r="AZ39" s="1669" t="e" cm="1">
        <f t="array" ca="1" aca="1" ref="AZ39">_xlfn.LET(_xlpm.val,IF($F39="",val_blankRefText,_xldudf_CX_GET(CX_ENTITY,($F39),AZ$11,AZ$14,,AZ$19)),_xlpm.Res,IF(OR(_xlpm.val="",_xlpm.val="Error"),"",_xlpm.val),_xlpm.Res)</f>
        <v>#NAME?</v>
      </c>
      <c r="BA39" s="1669" t="e" cm="1">
        <f t="array" ca="1" aca="1" ref="BA39">_xlfn.LET(_xlpm.val,IF($F39="",val_blankRefText,_xldudf_CX_GET(CX_ENTITY,($F39),BA$11,BA$14,,BA$19)),_xlpm.Res,IF(OR(_xlpm.val="",_xlpm.val="Error"),"",_xlpm.val),_xlpm.Res)</f>
        <v>#NAME?</v>
      </c>
      <c r="BB39" s="1669" t="e" cm="1">
        <f t="array" ca="1" aca="1" ref="BB39">_xlfn.LET(_xlpm.val,IF($F39="",val_blankRefText,_xldudf_CX_GET(CX_ENTITY,($F39),BB$11,BB$14,,BB$19)),_xlpm.Res,IF(OR(_xlpm.val="",_xlpm.val="Error"),"",_xlpm.val),_xlpm.Res)</f>
        <v>#NAME?</v>
      </c>
      <c r="BC39" s="1669" t="e" cm="1">
        <f t="array" ca="1" aca="1" ref="BC39">_xlfn.LET(_xlpm.val,IF($F39="",val_blankRefText,_xldudf_CX_GET(CX_ENTITY,($F39),BC$11,BC$14,,BC$19)),_xlpm.Res,IF(OR(_xlpm.val="",_xlpm.val="Error"),"",_xlpm.val),_xlpm.Res)</f>
        <v>#NAME?</v>
      </c>
      <c r="BD39" s="1669" t="e" cm="1">
        <f t="array" ca="1" aca="1" ref="BD39">_xlfn.LET(_xlpm.val,IF($F39="",val_blankRefText,_xldudf_CX_GET(CX_ENTITY,($F39),BD$11,BD$14,,BD$19)),_xlpm.Res,IF(OR(_xlpm.val="",_xlpm.val="Error"),"",_xlpm.val),_xlpm.Res)</f>
        <v>#NAME?</v>
      </c>
      <c r="BE39" s="1669" t="e" cm="1">
        <f t="array" ca="1" aca="1" ref="BE39">_xlfn.LET(_xlpm.val,IF($F39="",val_blankRefText,_xldudf_CX_GET(CX_ENTITY,($F39),BE$11,BE$14,,BE$19)),_xlpm.Res,IF(OR(_xlpm.val="",_xlpm.val="Error"),"",_xlpm.val),_xlpm.Res)</f>
        <v>#NAME?</v>
      </c>
      <c r="BF39" s="1669" t="e" cm="1">
        <f t="array" ca="1" aca="1" ref="BF39">_xlfn.LET(_xlpm.val,IF($F39="",val_blankRefText,_xldudf_CX_GET(CX_ENTITY,($F39),BF$11,BF$14,,BF$19)),_xlpm.Res,IF(OR(_xlpm.val="",_xlpm.val="Error"),"",_xlpm.val),_xlpm.Res)</f>
        <v>#NAME?</v>
      </c>
      <c r="BG39" s="1669" t="e" cm="1">
        <f t="array" ca="1" aca="1" ref="BG39">_xlfn.LET(_xlpm.val,IF($F39="",val_blankRefText,_xldudf_CX_GET(CX_ENTITY,($F39),BG$11,BG$14,,BG$19)),_xlpm.Res,IF(OR(_xlpm.val="",_xlpm.val="Error"),"",_xlpm.val),_xlpm.Res)</f>
        <v>#NAME?</v>
      </c>
      <c r="BH39" s="1669" t="e" cm="1">
        <f t="array" ca="1" aca="1" ref="BH39">_xlfn.LET(_xlpm.val,IF($F39="",val_blankRefText,_xldudf_CX_GET(CX_ENTITY,($F39),BH$11,BH$14,,BH$19)),_xlpm.Res,IF(OR(_xlpm.val="",_xlpm.val="Error"),"",_xlpm.val),_xlpm.Res)</f>
        <v>#NAME?</v>
      </c>
      <c r="BI39" s="1669" t="e" cm="1">
        <f t="array" ca="1" aca="1" ref="BI39">_xlfn.LET(_xlpm.val,IF($F39="",val_blankRefText,_xldudf_CX_GET(CX_ENTITY,($F39),BI$11,BI$14,,BI$19)),_xlpm.Res,IF(OR(_xlpm.val="",_xlpm.val="Error"),"",_xlpm.val),_xlpm.Res)</f>
        <v>#NAME?</v>
      </c>
      <c r="BJ39" s="1669" t="e" cm="1">
        <f t="array" ca="1" aca="1" ref="BJ39">_xlfn.LET(_xlpm.val,IF($F39="",val_blankRefText,_xldudf_CX_GET(CX_ENTITY,($F39),BJ$11,BJ$14,,BJ$19)),_xlpm.Res,IF(OR(_xlpm.val="",_xlpm.val="Error"),"",_xlpm.val),_xlpm.Res)</f>
        <v>#NAME?</v>
      </c>
      <c r="BK39" s="1669" t="e" cm="1">
        <f t="array" ca="1" aca="1" ref="BK39">_xlfn.LET(_xlpm.val,IF($F39="",val_blankRefText,_xldudf_CX_GET(CX_ENTITY,($F39),BK$11,BK$14,,BK$19)),_xlpm.Res,IF(OR(_xlpm.val="",_xlpm.val="Error"),"",_xlpm.val),_xlpm.Res)</f>
        <v>#NAME?</v>
      </c>
      <c r="BL39" s="1669" t="e" cm="1">
        <f t="array" ca="1" aca="1" ref="BL39">_xlfn.LET(_xlpm.val,IF($F39="",val_blankRefText,_xldudf_CX_GET(CX_ENTITY,($F39),BL$11,BL$14,,BL$19)),_xlpm.Res,IF(OR(_xlpm.val="",_xlpm.val="Error"),"",_xlpm.val),_xlpm.Res)</f>
        <v>#NAME?</v>
      </c>
      <c r="BM39" s="1669" t="e" cm="1">
        <f t="array" ca="1" aca="1" ref="BM39">_xlfn.LET(_xlpm.val,IF($F39="",val_blankRefText,_xldudf_CX_GET(CX_ENTITY,($F39),BM$11,BM$14,,BM$19)),_xlpm.Res,IF(OR(_xlpm.val="",_xlpm.val="Error"),"",_xlpm.val),_xlpm.Res)</f>
        <v>#NAME?</v>
      </c>
      <c r="BN39" s="1669" t="e" cm="1">
        <f t="array" ca="1" aca="1" ref="BN39">_xlfn.LET(_xlpm.val,IF($F39="",val_blankRefText,_xldudf_CX_GET(CX_ENTITY,($F39),BN$11,BN$14,,BN$19)),_xlpm.Res,IF(OR(_xlpm.val="",_xlpm.val="Error"),"",_xlpm.val),_xlpm.Res)</f>
        <v>#NAME?</v>
      </c>
      <c r="BO39" s="2095"/>
      <c r="BP39" s="2095"/>
      <c r="BQ39" s="2095"/>
      <c r="BR39" s="2095"/>
      <c r="BS39" s="2095"/>
      <c r="BT39" s="2095"/>
      <c r="BU39" s="2095"/>
      <c r="BV39" s="2095"/>
      <c r="BW39" s="2095"/>
      <c r="BX39" s="2095"/>
      <c r="BY39" s="2095"/>
      <c r="BZ39" s="2095"/>
      <c r="CA39" s="926"/>
      <c r="CB39" s="921"/>
      <c r="CC39" s="927"/>
      <c r="CD39" s="920" t="e" cm="1">
        <f t="array" ca="1" aca="1" ref="CD39">_xlfn.XLOOKUP(BS!CD$11,array_timeline,BS!$AD39:$BN39)</f>
        <v>#NAME?</v>
      </c>
      <c r="CE39" s="920" t="e" cm="1">
        <f t="array" ca="1" aca="1" ref="CE39">_xlfn.XLOOKUP(BS!CE$11,array_timeline,BS!$AD39:$BN39)</f>
        <v>#NAME?</v>
      </c>
      <c r="CF39" s="925"/>
      <c r="CG39" s="920" t="e" cm="1">
        <f t="array" ca="1" aca="1" ref="CG39">_xlfn.LET(_xlpm.val,IF($F39="",val_blankRefText,_xldudf_CX_GET(CX_ENTITY,($F39),CG$11,CG$14,,(CG$19))),_xlpm.Res,IF(OR(_xlpm.val="",_xlpm.val="Error"),"",_xlpm.val),_xlpm.Res)</f>
        <v>#NAME?</v>
      </c>
      <c r="CH39" s="920" t="e" cm="1">
        <f t="array" ca="1" aca="1" ref="CH39">_xlfn.LET(_xlpm.val,IF($F39="",val_blankRefText,_xldudf_CX_GET(CX_ENTITY,($F39),CH$11,CH$14,,(CH$19))),_xlpm.Res,IF(OR(_xlpm.val="",_xlpm.val="Error"),"",_xlpm.val),_xlpm.Res)</f>
        <v>#NAME?</v>
      </c>
      <c r="CI39" s="200"/>
    </row>
    <row r="40" spans="1:87" ht="21" customHeight="1">
      <c r="A40" s="696" t="s">
        <v>759</v>
      </c>
      <c r="B40" s="577" t="s">
        <v>582</v>
      </c>
      <c r="C40" s="577" t="s">
        <v>1728</v>
      </c>
      <c r="D40" s="577"/>
      <c r="E40" s="577" t="e" cm="1">
        <f t="array" ca="1" aca="1" ref="E40">_xlfn.LET(_xlpm.Attr,$C40,_xlpm.Lookback,$E$16,_xlpm.QueryDate,EOMONTH(val_asOfDate,_xlpm.Lookback),_xlpm.ReadField,_xldudf_CX_GET(CX_ENTITY,fx_attrConverter($C40),_xlpm.QueryDate),_xlpm.AttrBlank,_xlpm.Attr="",_xlpm.RESULT,IF(_xlpm.AttrBlank,val_blankRefText,fx_attrConverter(_xlpm.ReadField,0)),IF(_xlpm.RESULT="Error","",_xlpm.RESULT))</f>
        <v>#NAME?</v>
      </c>
      <c r="F40" s="577" t="str">
        <f t="shared" si="1"/>
        <v>Net External Debt</v>
      </c>
      <c r="G40" s="574"/>
      <c r="H40" s="3279">
        <v>2</v>
      </c>
      <c r="I40" s="3279">
        <v>1</v>
      </c>
      <c r="J40" s="401"/>
      <c r="K40" s="401"/>
      <c r="L40" s="579">
        <v>-1</v>
      </c>
      <c r="N40" s="158"/>
      <c r="O40" s="101"/>
      <c r="P40" s="52"/>
      <c r="Q40" s="101"/>
      <c r="R40" s="126"/>
      <c r="S40" s="101"/>
      <c r="T40" s="101"/>
      <c r="U40" s="39"/>
      <c r="W40" s="922" t="str">
        <f t="shared" si="4"/>
        <v>Actual</v>
      </c>
      <c r="X40" s="1294">
        <v>0</v>
      </c>
      <c r="Y40" s="2628" t="s">
        <v>582</v>
      </c>
      <c r="Z40" s="198" cm="1">
        <f t="array" ref="Z40">_xlfn.SWITCH(TRUE,$L40="",0,$L40=TRUE,1,$L40=FALSE,-1,)</f>
        <v>0</v>
      </c>
      <c r="AA40" s="2629"/>
      <c r="AB40" s="2626" t="s">
        <v>582</v>
      </c>
      <c r="AC40" s="88" t="e" vm="5" cm="1">
        <f t="array" ref="AC40">IFERROR(IF(_xlfn.XMATCH(AB40,tbl_acctDef[Term],0)&gt;0,fx_getIcon("find"),""),"")</f>
        <v>#VALUE!</v>
      </c>
      <c r="AD40" s="1669" t="e" cm="1">
        <f t="array" ca="1" aca="1" ref="AD40">_xlfn.LET(_xlpm.val,IF($F40="",val_blankRefText,_xldudf_CX_GET(CX_ENTITY,($F40),AD$11,AD$14,,AD$19)),_xlpm.Res,IF(OR(_xlpm.val="",_xlpm.val="Error"),"",_xlpm.val),_xlpm.Res)</f>
        <v>#NAME?</v>
      </c>
      <c r="AE40" s="1669" t="e" cm="1">
        <f t="array" ca="1" aca="1" ref="AE40">_xlfn.LET(_xlpm.val,IF($F40="",val_blankRefText,_xldudf_CX_GET(CX_ENTITY,($F40),AE$11,AE$14,,AE$19)),_xlpm.Res,IF(OR(_xlpm.val="",_xlpm.val="Error"),"",_xlpm.val),_xlpm.Res)</f>
        <v>#NAME?</v>
      </c>
      <c r="AF40" s="1669" t="e" cm="1">
        <f t="array" ca="1" aca="1" ref="AF40">_xlfn.LET(_xlpm.val,IF($F40="",val_blankRefText,_xldudf_CX_GET(CX_ENTITY,($F40),AF$11,AF$14,,AF$19)),_xlpm.Res,IF(OR(_xlpm.val="",_xlpm.val="Error"),"",_xlpm.val),_xlpm.Res)</f>
        <v>#NAME?</v>
      </c>
      <c r="AG40" s="1669" t="e" cm="1">
        <f t="array" ca="1" aca="1" ref="AG40">_xlfn.LET(_xlpm.val,IF($F40="",val_blankRefText,_xldudf_CX_GET(CX_ENTITY,($F40),AG$11,AG$14,,AG$19)),_xlpm.Res,IF(OR(_xlpm.val="",_xlpm.val="Error"),"",_xlpm.val),_xlpm.Res)</f>
        <v>#NAME?</v>
      </c>
      <c r="AH40" s="1669" t="e" cm="1">
        <f t="array" ca="1" aca="1" ref="AH40">_xlfn.LET(_xlpm.val,IF($F40="",val_blankRefText,_xldudf_CX_GET(CX_ENTITY,($F40),AH$11,AH$14,,AH$19)),_xlpm.Res,IF(OR(_xlpm.val="",_xlpm.val="Error"),"",_xlpm.val),_xlpm.Res)</f>
        <v>#NAME?</v>
      </c>
      <c r="AI40" s="1669" t="e" cm="1">
        <f t="array" ca="1" aca="1" ref="AI40">_xlfn.LET(_xlpm.val,IF($F40="",val_blankRefText,_xldudf_CX_GET(CX_ENTITY,($F40),AI$11,AI$14,,AI$19)),_xlpm.Res,IF(OR(_xlpm.val="",_xlpm.val="Error"),"",_xlpm.val),_xlpm.Res)</f>
        <v>#NAME?</v>
      </c>
      <c r="AJ40" s="1669" t="e" cm="1">
        <f t="array" ca="1" aca="1" ref="AJ40">_xlfn.LET(_xlpm.val,IF($F40="",val_blankRefText,_xldudf_CX_GET(CX_ENTITY,($F40),AJ$11,AJ$14,,AJ$19)),_xlpm.Res,IF(OR(_xlpm.val="",_xlpm.val="Error"),"",_xlpm.val),_xlpm.Res)</f>
        <v>#NAME?</v>
      </c>
      <c r="AK40" s="1669" t="e" cm="1">
        <f t="array" ca="1" aca="1" ref="AK40">_xlfn.LET(_xlpm.val,IF($F40="",val_blankRefText,_xldudf_CX_GET(CX_ENTITY,($F40),AK$11,AK$14,,AK$19)),_xlpm.Res,IF(OR(_xlpm.val="",_xlpm.val="Error"),"",_xlpm.val),_xlpm.Res)</f>
        <v>#NAME?</v>
      </c>
      <c r="AL40" s="1669" t="e" cm="1">
        <f t="array" ca="1" aca="1" ref="AL40">_xlfn.LET(_xlpm.val,IF($F40="",val_blankRefText,_xldudf_CX_GET(CX_ENTITY,($F40),AL$11,AL$14,,AL$19)),_xlpm.Res,IF(OR(_xlpm.val="",_xlpm.val="Error"),"",_xlpm.val),_xlpm.Res)</f>
        <v>#NAME?</v>
      </c>
      <c r="AM40" s="1669" t="e" cm="1">
        <f t="array" ca="1" aca="1" ref="AM40">_xlfn.LET(_xlpm.val,IF($F40="",val_blankRefText,_xldudf_CX_GET(CX_ENTITY,($F40),AM$11,AM$14,,AM$19)),_xlpm.Res,IF(OR(_xlpm.val="",_xlpm.val="Error"),"",_xlpm.val),_xlpm.Res)</f>
        <v>#NAME?</v>
      </c>
      <c r="AN40" s="1669" t="e" cm="1">
        <f t="array" ca="1" aca="1" ref="AN40">_xlfn.LET(_xlpm.val,IF($F40="",val_blankRefText,_xldudf_CX_GET(CX_ENTITY,($F40),AN$11,AN$14,,AN$19)),_xlpm.Res,IF(OR(_xlpm.val="",_xlpm.val="Error"),"",_xlpm.val),_xlpm.Res)</f>
        <v>#NAME?</v>
      </c>
      <c r="AO40" s="1669" t="e" cm="1">
        <f t="array" ca="1" aca="1" ref="AO40">_xlfn.LET(_xlpm.val,IF($F40="",val_blankRefText,_xldudf_CX_GET(CX_ENTITY,($F40),AO$11,AO$14,,AO$19)),_xlpm.Res,IF(OR(_xlpm.val="",_xlpm.val="Error"),"",_xlpm.val),_xlpm.Res)</f>
        <v>#NAME?</v>
      </c>
      <c r="AP40" s="1669" t="e" cm="1">
        <f t="array" ca="1" aca="1" ref="AP40">_xlfn.LET(_xlpm.val,IF($F40="",val_blankRefText,_xldudf_CX_GET(CX_ENTITY,($F40),AP$11,AP$14,,AP$19)),_xlpm.Res,IF(OR(_xlpm.val="",_xlpm.val="Error"),"",_xlpm.val),_xlpm.Res)</f>
        <v>#NAME?</v>
      </c>
      <c r="AQ40" s="1669" t="e" cm="1">
        <f t="array" ca="1" aca="1" ref="AQ40">_xlfn.LET(_xlpm.val,IF($F40="",val_blankRefText,_xldudf_CX_GET(CX_ENTITY,($F40),AQ$11,AQ$14,,AQ$19)),_xlpm.Res,IF(OR(_xlpm.val="",_xlpm.val="Error"),"",_xlpm.val),_xlpm.Res)</f>
        <v>#NAME?</v>
      </c>
      <c r="AR40" s="1669" t="e" cm="1">
        <f t="array" ca="1" aca="1" ref="AR40">_xlfn.LET(_xlpm.val,IF($F40="",val_blankRefText,_xldudf_CX_GET(CX_ENTITY,($F40),AR$11,AR$14,,AR$19)),_xlpm.Res,IF(OR(_xlpm.val="",_xlpm.val="Error"),"",_xlpm.val),_xlpm.Res)</f>
        <v>#NAME?</v>
      </c>
      <c r="AS40" s="1669" t="e" cm="1">
        <f t="array" ca="1" aca="1" ref="AS40">_xlfn.LET(_xlpm.val,IF($F40="",val_blankRefText,_xldudf_CX_GET(CX_ENTITY,($F40),AS$11,AS$14,,AS$19)),_xlpm.Res,IF(OR(_xlpm.val="",_xlpm.val="Error"),"",_xlpm.val),_xlpm.Res)</f>
        <v>#NAME?</v>
      </c>
      <c r="AT40" s="1669" t="e" cm="1">
        <f t="array" ca="1" aca="1" ref="AT40">_xlfn.LET(_xlpm.val,IF($F40="",val_blankRefText,_xldudf_CX_GET(CX_ENTITY,($F40),AT$11,AT$14,,AT$19)),_xlpm.Res,IF(OR(_xlpm.val="",_xlpm.val="Error"),"",_xlpm.val),_xlpm.Res)</f>
        <v>#NAME?</v>
      </c>
      <c r="AU40" s="1669" t="e" cm="1">
        <f t="array" ca="1" aca="1" ref="AU40">_xlfn.LET(_xlpm.val,IF($F40="",val_blankRefText,_xldudf_CX_GET(CX_ENTITY,($F40),AU$11,AU$14,,AU$19)),_xlpm.Res,IF(OR(_xlpm.val="",_xlpm.val="Error"),"",_xlpm.val),_xlpm.Res)</f>
        <v>#NAME?</v>
      </c>
      <c r="AV40" s="1669" t="e" cm="1">
        <f t="array" ca="1" aca="1" ref="AV40">_xlfn.LET(_xlpm.val,IF($F40="",val_blankRefText,_xldudf_CX_GET(CX_ENTITY,($F40),AV$11,AV$14,,AV$19)),_xlpm.Res,IF(OR(_xlpm.val="",_xlpm.val="Error"),"",_xlpm.val),_xlpm.Res)</f>
        <v>#NAME?</v>
      </c>
      <c r="AW40" s="1669" t="e" cm="1">
        <f t="array" ca="1" aca="1" ref="AW40">_xlfn.LET(_xlpm.val,IF($F40="",val_blankRefText,_xldudf_CX_GET(CX_ENTITY,($F40),AW$11,AW$14,,AW$19)),_xlpm.Res,IF(OR(_xlpm.val="",_xlpm.val="Error"),"",_xlpm.val),_xlpm.Res)</f>
        <v>#NAME?</v>
      </c>
      <c r="AX40" s="1669" t="e" cm="1">
        <f t="array" ca="1" aca="1" ref="AX40">_xlfn.LET(_xlpm.val,IF($F40="",val_blankRefText,_xldudf_CX_GET(CX_ENTITY,($F40),AX$11,AX$14,,AX$19)),_xlpm.Res,IF(OR(_xlpm.val="",_xlpm.val="Error"),"",_xlpm.val),_xlpm.Res)</f>
        <v>#NAME?</v>
      </c>
      <c r="AY40" s="1669" t="e" cm="1">
        <f t="array" ca="1" aca="1" ref="AY40">_xlfn.LET(_xlpm.val,IF($F40="",val_blankRefText,_xldudf_CX_GET(CX_ENTITY,($F40),AY$11,AY$14,,AY$19)),_xlpm.Res,IF(OR(_xlpm.val="",_xlpm.val="Error"),"",_xlpm.val),_xlpm.Res)</f>
        <v>#NAME?</v>
      </c>
      <c r="AZ40" s="1669" t="e" cm="1">
        <f t="array" ca="1" aca="1" ref="AZ40">_xlfn.LET(_xlpm.val,IF($F40="",val_blankRefText,_xldudf_CX_GET(CX_ENTITY,($F40),AZ$11,AZ$14,,AZ$19)),_xlpm.Res,IF(OR(_xlpm.val="",_xlpm.val="Error"),"",_xlpm.val),_xlpm.Res)</f>
        <v>#NAME?</v>
      </c>
      <c r="BA40" s="1669" t="e" cm="1">
        <f t="array" ca="1" aca="1" ref="BA40">_xlfn.LET(_xlpm.val,IF($F40="",val_blankRefText,_xldudf_CX_GET(CX_ENTITY,($F40),BA$11,BA$14,,BA$19)),_xlpm.Res,IF(OR(_xlpm.val="",_xlpm.val="Error"),"",_xlpm.val),_xlpm.Res)</f>
        <v>#NAME?</v>
      </c>
      <c r="BB40" s="1669" t="e" cm="1">
        <f t="array" ca="1" aca="1" ref="BB40">_xlfn.LET(_xlpm.val,IF($F40="",val_blankRefText,_xldudf_CX_GET(CX_ENTITY,($F40),BB$11,BB$14,,BB$19)),_xlpm.Res,IF(OR(_xlpm.val="",_xlpm.val="Error"),"",_xlpm.val),_xlpm.Res)</f>
        <v>#NAME?</v>
      </c>
      <c r="BC40" s="1669" t="e" cm="1">
        <f t="array" ca="1" aca="1" ref="BC40">_xlfn.LET(_xlpm.val,IF($F40="",val_blankRefText,_xldudf_CX_GET(CX_ENTITY,($F40),BC$11,BC$14,,BC$19)),_xlpm.Res,IF(OR(_xlpm.val="",_xlpm.val="Error"),"",_xlpm.val),_xlpm.Res)</f>
        <v>#NAME?</v>
      </c>
      <c r="BD40" s="1669" t="e" cm="1">
        <f t="array" ca="1" aca="1" ref="BD40">_xlfn.LET(_xlpm.val,IF($F40="",val_blankRefText,_xldudf_CX_GET(CX_ENTITY,($F40),BD$11,BD$14,,BD$19)),_xlpm.Res,IF(OR(_xlpm.val="",_xlpm.val="Error"),"",_xlpm.val),_xlpm.Res)</f>
        <v>#NAME?</v>
      </c>
      <c r="BE40" s="1669" t="e" cm="1">
        <f t="array" ca="1" aca="1" ref="BE40">_xlfn.LET(_xlpm.val,IF($F40="",val_blankRefText,_xldudf_CX_GET(CX_ENTITY,($F40),BE$11,BE$14,,BE$19)),_xlpm.Res,IF(OR(_xlpm.val="",_xlpm.val="Error"),"",_xlpm.val),_xlpm.Res)</f>
        <v>#NAME?</v>
      </c>
      <c r="BF40" s="1669" t="e" cm="1">
        <f t="array" ca="1" aca="1" ref="BF40">_xlfn.LET(_xlpm.val,IF($F40="",val_blankRefText,_xldudf_CX_GET(CX_ENTITY,($F40),BF$11,BF$14,,BF$19)),_xlpm.Res,IF(OR(_xlpm.val="",_xlpm.val="Error"),"",_xlpm.val),_xlpm.Res)</f>
        <v>#NAME?</v>
      </c>
      <c r="BG40" s="1669" t="e" cm="1">
        <f t="array" ca="1" aca="1" ref="BG40">_xlfn.LET(_xlpm.val,IF($F40="",val_blankRefText,_xldudf_CX_GET(CX_ENTITY,($F40),BG$11,BG$14,,BG$19)),_xlpm.Res,IF(OR(_xlpm.val="",_xlpm.val="Error"),"",_xlpm.val),_xlpm.Res)</f>
        <v>#NAME?</v>
      </c>
      <c r="BH40" s="1669" t="e" cm="1">
        <f t="array" ca="1" aca="1" ref="BH40">_xlfn.LET(_xlpm.val,IF($F40="",val_blankRefText,_xldudf_CX_GET(CX_ENTITY,($F40),BH$11,BH$14,,BH$19)),_xlpm.Res,IF(OR(_xlpm.val="",_xlpm.val="Error"),"",_xlpm.val),_xlpm.Res)</f>
        <v>#NAME?</v>
      </c>
      <c r="BI40" s="1669" t="e" cm="1">
        <f t="array" ca="1" aca="1" ref="BI40">_xlfn.LET(_xlpm.val,IF($F40="",val_blankRefText,_xldudf_CX_GET(CX_ENTITY,($F40),BI$11,BI$14,,BI$19)),_xlpm.Res,IF(OR(_xlpm.val="",_xlpm.val="Error"),"",_xlpm.val),_xlpm.Res)</f>
        <v>#NAME?</v>
      </c>
      <c r="BJ40" s="1669" t="e" cm="1">
        <f t="array" ca="1" aca="1" ref="BJ40">_xlfn.LET(_xlpm.val,IF($F40="",val_blankRefText,_xldudf_CX_GET(CX_ENTITY,($F40),BJ$11,BJ$14,,BJ$19)),_xlpm.Res,IF(OR(_xlpm.val="",_xlpm.val="Error"),"",_xlpm.val),_xlpm.Res)</f>
        <v>#NAME?</v>
      </c>
      <c r="BK40" s="1669" t="e" cm="1">
        <f t="array" ca="1" aca="1" ref="BK40">_xlfn.LET(_xlpm.val,IF($F40="",val_blankRefText,_xldudf_CX_GET(CX_ENTITY,($F40),BK$11,BK$14,,BK$19)),_xlpm.Res,IF(OR(_xlpm.val="",_xlpm.val="Error"),"",_xlpm.val),_xlpm.Res)</f>
        <v>#NAME?</v>
      </c>
      <c r="BL40" s="1669" t="e" cm="1">
        <f t="array" ca="1" aca="1" ref="BL40">_xlfn.LET(_xlpm.val,IF($F40="",val_blankRefText,_xldudf_CX_GET(CX_ENTITY,($F40),BL$11,BL$14,,BL$19)),_xlpm.Res,IF(OR(_xlpm.val="",_xlpm.val="Error"),"",_xlpm.val),_xlpm.Res)</f>
        <v>#NAME?</v>
      </c>
      <c r="BM40" s="1669" t="e" cm="1">
        <f t="array" ca="1" aca="1" ref="BM40">_xlfn.LET(_xlpm.val,IF($F40="",val_blankRefText,_xldudf_CX_GET(CX_ENTITY,($F40),BM$11,BM$14,,BM$19)),_xlpm.Res,IF(OR(_xlpm.val="",_xlpm.val="Error"),"",_xlpm.val),_xlpm.Res)</f>
        <v>#NAME?</v>
      </c>
      <c r="BN40" s="1669" t="e" cm="1">
        <f t="array" ca="1" aca="1" ref="BN40">_xlfn.LET(_xlpm.val,IF($F40="",val_blankRefText,_xldudf_CX_GET(CX_ENTITY,($F40),BN$11,BN$14,,BN$19)),_xlpm.Res,IF(OR(_xlpm.val="",_xlpm.val="Error"),"",_xlpm.val),_xlpm.Res)</f>
        <v>#NAME?</v>
      </c>
      <c r="BO40" s="2095"/>
      <c r="BP40" s="2095"/>
      <c r="BQ40" s="2095"/>
      <c r="BR40" s="2095"/>
      <c r="BS40" s="2095"/>
      <c r="BT40" s="2095"/>
      <c r="BU40" s="2095"/>
      <c r="BV40" s="2095"/>
      <c r="BW40" s="2095"/>
      <c r="BX40" s="2095"/>
      <c r="BY40" s="2095"/>
      <c r="BZ40" s="2095"/>
      <c r="CA40" s="926"/>
      <c r="CB40" s="921"/>
      <c r="CC40" s="927"/>
      <c r="CD40" s="919" t="e" cm="1">
        <f t="array" ca="1" aca="1" ref="CD40">_xlfn.XLOOKUP(BS!CD$11,array_timeline,BS!$AD40:$BN40)</f>
        <v>#NAME?</v>
      </c>
      <c r="CE40" s="919" t="e" cm="1">
        <f t="array" ca="1" aca="1" ref="CE40">_xlfn.XLOOKUP(BS!CE$11,array_timeline,BS!$AD40:$BN40)</f>
        <v>#NAME?</v>
      </c>
      <c r="CF40" s="925"/>
      <c r="CG40" s="919" t="e" cm="1">
        <f t="array" ca="1" aca="1" ref="CG40">_xlfn.LET(_xlpm.val,IF($F40="",val_blankRefText,_xldudf_CX_GET(CX_ENTITY,($F40),CG$11,CG$14,,(CG$19))),_xlpm.Res,IF(OR(_xlpm.val="",_xlpm.val="Error"),"",_xlpm.val),_xlpm.Res)</f>
        <v>#NAME?</v>
      </c>
      <c r="CH40" s="919" t="e" cm="1">
        <f t="array" ca="1" aca="1" ref="CH40">_xlfn.LET(_xlpm.val,IF($F40="",val_blankRefText,_xldudf_CX_GET(CX_ENTITY,($F40),CH$11,CH$14,,(CH$19))),_xlpm.Res,IF(OR(_xlpm.val="",_xlpm.val="Error"),"",_xlpm.val),_xlpm.Res)</f>
        <v>#NAME?</v>
      </c>
      <c r="CI40" s="924"/>
    </row>
    <row r="41" spans="1:87" ht="21" customHeight="1">
      <c r="A41" s="693" t="s">
        <v>762</v>
      </c>
      <c r="B41" s="577" t="s">
        <v>744</v>
      </c>
      <c r="C41" s="577" t="s">
        <v>1729</v>
      </c>
      <c r="D41" s="577"/>
      <c r="E41" s="577" t="e" cm="1">
        <f t="array" ca="1" aca="1" ref="E41">_xlfn.LET(_xlpm.Attr,$C41,_xlpm.Lookback,$E$16,_xlpm.QueryDate,EOMONTH(val_asOfDate,_xlpm.Lookback),_xlpm.ReadField,_xldudf_CX_GET(CX_ENTITY,fx_attrConverter($C41),_xlpm.QueryDate),_xlpm.AttrBlank,_xlpm.Attr="",_xlpm.RESULT,IF(_xlpm.AttrBlank,val_blankRefText,fx_attrConverter(_xlpm.ReadField,0)),IF(_xlpm.RESULT="Error","",_xlpm.RESULT))</f>
        <v>#NAME?</v>
      </c>
      <c r="F41" s="577" t="str">
        <f t="shared" si="1"/>
        <v>Pension Liabilities (on BS)</v>
      </c>
      <c r="G41" s="578"/>
      <c r="H41" s="3279">
        <v>1</v>
      </c>
      <c r="I41" s="3279">
        <v>1</v>
      </c>
      <c r="J41" s="578"/>
      <c r="K41" s="578"/>
      <c r="L41" s="3269" t="b">
        <v>1</v>
      </c>
      <c r="N41" s="158"/>
      <c r="O41" s="101"/>
      <c r="P41" s="52"/>
      <c r="Q41" s="101"/>
      <c r="R41" s="101"/>
      <c r="S41" s="101"/>
      <c r="T41" s="101"/>
      <c r="U41" s="39"/>
      <c r="W41" s="91" t="str">
        <f t="shared" si="4"/>
        <v>Actual</v>
      </c>
      <c r="X41" s="857">
        <v>-1</v>
      </c>
      <c r="Y41" s="2627" t="s">
        <v>744</v>
      </c>
      <c r="Z41" s="3291" cm="1">
        <f t="array" ref="Z41">_xlfn.SWITCH(TRUE,$L41="",0,$L41=TRUE,1,$L41=FALSE,-1,)</f>
        <v>1</v>
      </c>
      <c r="AA41" s="2625"/>
      <c r="AB41" s="2626" t="s">
        <v>744</v>
      </c>
      <c r="AC41" s="88" t="e" vm="5" cm="1">
        <f t="array" ref="AC41">IFERROR(IF(_xlfn.XMATCH(AB41,tbl_acctDef[Term],0)&gt;0,fx_getIcon("find"),""),"")</f>
        <v>#VALUE!</v>
      </c>
      <c r="AD41" s="1669" t="e" cm="1">
        <f t="array" ca="1" aca="1" ref="AD41">_xlfn.LET(_xlpm.val,IF($F41="",val_blankRefText,_xldudf_CX_GET(CX_ENTITY,($F41),AD$11,AD$14,,AD$19)),_xlpm.Res,IF(OR(_xlpm.val="",_xlpm.val="Error"),"",_xlpm.val),_xlpm.Res)</f>
        <v>#NAME?</v>
      </c>
      <c r="AE41" s="1669" t="e" cm="1">
        <f t="array" ca="1" aca="1" ref="AE41">_xlfn.LET(_xlpm.val,IF($F41="",val_blankRefText,_xldudf_CX_GET(CX_ENTITY,($F41),AE$11,AE$14,,AE$19)),_xlpm.Res,IF(OR(_xlpm.val="",_xlpm.val="Error"),"",_xlpm.val),_xlpm.Res)</f>
        <v>#NAME?</v>
      </c>
      <c r="AF41" s="1669" t="e" cm="1">
        <f t="array" ca="1" aca="1" ref="AF41">_xlfn.LET(_xlpm.val,IF($F41="",val_blankRefText,_xldudf_CX_GET(CX_ENTITY,($F41),AF$11,AF$14,,AF$19)),_xlpm.Res,IF(OR(_xlpm.val="",_xlpm.val="Error"),"",_xlpm.val),_xlpm.Res)</f>
        <v>#NAME?</v>
      </c>
      <c r="AG41" s="1669" t="e" cm="1">
        <f t="array" ca="1" aca="1" ref="AG41">_xlfn.LET(_xlpm.val,IF($F41="",val_blankRefText,_xldudf_CX_GET(CX_ENTITY,($F41),AG$11,AG$14,,AG$19)),_xlpm.Res,IF(OR(_xlpm.val="",_xlpm.val="Error"),"",_xlpm.val),_xlpm.Res)</f>
        <v>#NAME?</v>
      </c>
      <c r="AH41" s="1669" t="e" cm="1">
        <f t="array" ca="1" aca="1" ref="AH41">_xlfn.LET(_xlpm.val,IF($F41="",val_blankRefText,_xldudf_CX_GET(CX_ENTITY,($F41),AH$11,AH$14,,AH$19)),_xlpm.Res,IF(OR(_xlpm.val="",_xlpm.val="Error"),"",_xlpm.val),_xlpm.Res)</f>
        <v>#NAME?</v>
      </c>
      <c r="AI41" s="1669" t="e" cm="1">
        <f t="array" ca="1" aca="1" ref="AI41">_xlfn.LET(_xlpm.val,IF($F41="",val_blankRefText,_xldudf_CX_GET(CX_ENTITY,($F41),AI$11,AI$14,,AI$19)),_xlpm.Res,IF(OR(_xlpm.val="",_xlpm.val="Error"),"",_xlpm.val),_xlpm.Res)</f>
        <v>#NAME?</v>
      </c>
      <c r="AJ41" s="1669" t="e" cm="1">
        <f t="array" ca="1" aca="1" ref="AJ41">_xlfn.LET(_xlpm.val,IF($F41="",val_blankRefText,_xldudf_CX_GET(CX_ENTITY,($F41),AJ$11,AJ$14,,AJ$19)),_xlpm.Res,IF(OR(_xlpm.val="",_xlpm.val="Error"),"",_xlpm.val),_xlpm.Res)</f>
        <v>#NAME?</v>
      </c>
      <c r="AK41" s="1669" t="e" cm="1">
        <f t="array" ca="1" aca="1" ref="AK41">_xlfn.LET(_xlpm.val,IF($F41="",val_blankRefText,_xldudf_CX_GET(CX_ENTITY,($F41),AK$11,AK$14,,AK$19)),_xlpm.Res,IF(OR(_xlpm.val="",_xlpm.val="Error"),"",_xlpm.val),_xlpm.Res)</f>
        <v>#NAME?</v>
      </c>
      <c r="AL41" s="1669" t="e" cm="1">
        <f t="array" ca="1" aca="1" ref="AL41">_xlfn.LET(_xlpm.val,IF($F41="",val_blankRefText,_xldudf_CX_GET(CX_ENTITY,($F41),AL$11,AL$14,,AL$19)),_xlpm.Res,IF(OR(_xlpm.val="",_xlpm.val="Error"),"",_xlpm.val),_xlpm.Res)</f>
        <v>#NAME?</v>
      </c>
      <c r="AM41" s="1669" t="e" cm="1">
        <f t="array" ca="1" aca="1" ref="AM41">_xlfn.LET(_xlpm.val,IF($F41="",val_blankRefText,_xldudf_CX_GET(CX_ENTITY,($F41),AM$11,AM$14,,AM$19)),_xlpm.Res,IF(OR(_xlpm.val="",_xlpm.val="Error"),"",_xlpm.val),_xlpm.Res)</f>
        <v>#NAME?</v>
      </c>
      <c r="AN41" s="1669" t="e" cm="1">
        <f t="array" ca="1" aca="1" ref="AN41">_xlfn.LET(_xlpm.val,IF($F41="",val_blankRefText,_xldudf_CX_GET(CX_ENTITY,($F41),AN$11,AN$14,,AN$19)),_xlpm.Res,IF(OR(_xlpm.val="",_xlpm.val="Error"),"",_xlpm.val),_xlpm.Res)</f>
        <v>#NAME?</v>
      </c>
      <c r="AO41" s="1669" t="e" cm="1">
        <f t="array" ca="1" aca="1" ref="AO41">_xlfn.LET(_xlpm.val,IF($F41="",val_blankRefText,_xldudf_CX_GET(CX_ENTITY,($F41),AO$11,AO$14,,AO$19)),_xlpm.Res,IF(OR(_xlpm.val="",_xlpm.val="Error"),"",_xlpm.val),_xlpm.Res)</f>
        <v>#NAME?</v>
      </c>
      <c r="AP41" s="1669" t="e" cm="1">
        <f t="array" ca="1" aca="1" ref="AP41">_xlfn.LET(_xlpm.val,IF($F41="",val_blankRefText,_xldudf_CX_GET(CX_ENTITY,($F41),AP$11,AP$14,,AP$19)),_xlpm.Res,IF(OR(_xlpm.val="",_xlpm.val="Error"),"",_xlpm.val),_xlpm.Res)</f>
        <v>#NAME?</v>
      </c>
      <c r="AQ41" s="1669" t="e" cm="1">
        <f t="array" ca="1" aca="1" ref="AQ41">_xlfn.LET(_xlpm.val,IF($F41="",val_blankRefText,_xldudf_CX_GET(CX_ENTITY,($F41),AQ$11,AQ$14,,AQ$19)),_xlpm.Res,IF(OR(_xlpm.val="",_xlpm.val="Error"),"",_xlpm.val),_xlpm.Res)</f>
        <v>#NAME?</v>
      </c>
      <c r="AR41" s="1669" t="e" cm="1">
        <f t="array" ca="1" aca="1" ref="AR41">_xlfn.LET(_xlpm.val,IF($F41="",val_blankRefText,_xldudf_CX_GET(CX_ENTITY,($F41),AR$11,AR$14,,AR$19)),_xlpm.Res,IF(OR(_xlpm.val="",_xlpm.val="Error"),"",_xlpm.val),_xlpm.Res)</f>
        <v>#NAME?</v>
      </c>
      <c r="AS41" s="1669" t="e" cm="1">
        <f t="array" ca="1" aca="1" ref="AS41">_xlfn.LET(_xlpm.val,IF($F41="",val_blankRefText,_xldudf_CX_GET(CX_ENTITY,($F41),AS$11,AS$14,,AS$19)),_xlpm.Res,IF(OR(_xlpm.val="",_xlpm.val="Error"),"",_xlpm.val),_xlpm.Res)</f>
        <v>#NAME?</v>
      </c>
      <c r="AT41" s="1669" t="e" cm="1">
        <f t="array" ca="1" aca="1" ref="AT41">_xlfn.LET(_xlpm.val,IF($F41="",val_blankRefText,_xldudf_CX_GET(CX_ENTITY,($F41),AT$11,AT$14,,AT$19)),_xlpm.Res,IF(OR(_xlpm.val="",_xlpm.val="Error"),"",_xlpm.val),_xlpm.Res)</f>
        <v>#NAME?</v>
      </c>
      <c r="AU41" s="1669" t="e" cm="1">
        <f t="array" ca="1" aca="1" ref="AU41">_xlfn.LET(_xlpm.val,IF($F41="",val_blankRefText,_xldudf_CX_GET(CX_ENTITY,($F41),AU$11,AU$14,,AU$19)),_xlpm.Res,IF(OR(_xlpm.val="",_xlpm.val="Error"),"",_xlpm.val),_xlpm.Res)</f>
        <v>#NAME?</v>
      </c>
      <c r="AV41" s="1669" t="e" cm="1">
        <f t="array" ca="1" aca="1" ref="AV41">_xlfn.LET(_xlpm.val,IF($F41="",val_blankRefText,_xldudf_CX_GET(CX_ENTITY,($F41),AV$11,AV$14,,AV$19)),_xlpm.Res,IF(OR(_xlpm.val="",_xlpm.val="Error"),"",_xlpm.val),_xlpm.Res)</f>
        <v>#NAME?</v>
      </c>
      <c r="AW41" s="1669" t="e" cm="1">
        <f t="array" ca="1" aca="1" ref="AW41">_xlfn.LET(_xlpm.val,IF($F41="",val_blankRefText,_xldudf_CX_GET(CX_ENTITY,($F41),AW$11,AW$14,,AW$19)),_xlpm.Res,IF(OR(_xlpm.val="",_xlpm.val="Error"),"",_xlpm.val),_xlpm.Res)</f>
        <v>#NAME?</v>
      </c>
      <c r="AX41" s="1669" t="e" cm="1">
        <f t="array" ca="1" aca="1" ref="AX41">_xlfn.LET(_xlpm.val,IF($F41="",val_blankRefText,_xldudf_CX_GET(CX_ENTITY,($F41),AX$11,AX$14,,AX$19)),_xlpm.Res,IF(OR(_xlpm.val="",_xlpm.val="Error"),"",_xlpm.val),_xlpm.Res)</f>
        <v>#NAME?</v>
      </c>
      <c r="AY41" s="1669" t="e" cm="1">
        <f t="array" ca="1" aca="1" ref="AY41">_xlfn.LET(_xlpm.val,IF($F41="",val_blankRefText,_xldudf_CX_GET(CX_ENTITY,($F41),AY$11,AY$14,,AY$19)),_xlpm.Res,IF(OR(_xlpm.val="",_xlpm.val="Error"),"",_xlpm.val),_xlpm.Res)</f>
        <v>#NAME?</v>
      </c>
      <c r="AZ41" s="1669" t="e" cm="1">
        <f t="array" ca="1" aca="1" ref="AZ41">_xlfn.LET(_xlpm.val,IF($F41="",val_blankRefText,_xldudf_CX_GET(CX_ENTITY,($F41),AZ$11,AZ$14,,AZ$19)),_xlpm.Res,IF(OR(_xlpm.val="",_xlpm.val="Error"),"",_xlpm.val),_xlpm.Res)</f>
        <v>#NAME?</v>
      </c>
      <c r="BA41" s="1669" t="e" cm="1">
        <f t="array" ca="1" aca="1" ref="BA41">_xlfn.LET(_xlpm.val,IF($F41="",val_blankRefText,_xldudf_CX_GET(CX_ENTITY,($F41),BA$11,BA$14,,BA$19)),_xlpm.Res,IF(OR(_xlpm.val="",_xlpm.val="Error"),"",_xlpm.val),_xlpm.Res)</f>
        <v>#NAME?</v>
      </c>
      <c r="BB41" s="1669" t="e" cm="1">
        <f t="array" ca="1" aca="1" ref="BB41">_xlfn.LET(_xlpm.val,IF($F41="",val_blankRefText,_xldudf_CX_GET(CX_ENTITY,($F41),BB$11,BB$14,,BB$19)),_xlpm.Res,IF(OR(_xlpm.val="",_xlpm.val="Error"),"",_xlpm.val),_xlpm.Res)</f>
        <v>#NAME?</v>
      </c>
      <c r="BC41" s="1669" t="e" cm="1">
        <f t="array" ca="1" aca="1" ref="BC41">_xlfn.LET(_xlpm.val,IF($F41="",val_blankRefText,_xldudf_CX_GET(CX_ENTITY,($F41),BC$11,BC$14,,BC$19)),_xlpm.Res,IF(OR(_xlpm.val="",_xlpm.val="Error"),"",_xlpm.val),_xlpm.Res)</f>
        <v>#NAME?</v>
      </c>
      <c r="BD41" s="1669" t="e" cm="1">
        <f t="array" ca="1" aca="1" ref="BD41">_xlfn.LET(_xlpm.val,IF($F41="",val_blankRefText,_xldudf_CX_GET(CX_ENTITY,($F41),BD$11,BD$14,,BD$19)),_xlpm.Res,IF(OR(_xlpm.val="",_xlpm.val="Error"),"",_xlpm.val),_xlpm.Res)</f>
        <v>#NAME?</v>
      </c>
      <c r="BE41" s="1669" t="e" cm="1">
        <f t="array" ca="1" aca="1" ref="BE41">_xlfn.LET(_xlpm.val,IF($F41="",val_blankRefText,_xldudf_CX_GET(CX_ENTITY,($F41),BE$11,BE$14,,BE$19)),_xlpm.Res,IF(OR(_xlpm.val="",_xlpm.val="Error"),"",_xlpm.val),_xlpm.Res)</f>
        <v>#NAME?</v>
      </c>
      <c r="BF41" s="1669" t="e" cm="1">
        <f t="array" ca="1" aca="1" ref="BF41">_xlfn.LET(_xlpm.val,IF($F41="",val_blankRefText,_xldudf_CX_GET(CX_ENTITY,($F41),BF$11,BF$14,,BF$19)),_xlpm.Res,IF(OR(_xlpm.val="",_xlpm.val="Error"),"",_xlpm.val),_xlpm.Res)</f>
        <v>#NAME?</v>
      </c>
      <c r="BG41" s="1669" t="e" cm="1">
        <f t="array" ca="1" aca="1" ref="BG41">_xlfn.LET(_xlpm.val,IF($F41="",val_blankRefText,_xldudf_CX_GET(CX_ENTITY,($F41),BG$11,BG$14,,BG$19)),_xlpm.Res,IF(OR(_xlpm.val="",_xlpm.val="Error"),"",_xlpm.val),_xlpm.Res)</f>
        <v>#NAME?</v>
      </c>
      <c r="BH41" s="1669" t="e" cm="1">
        <f t="array" ca="1" aca="1" ref="BH41">_xlfn.LET(_xlpm.val,IF($F41="",val_blankRefText,_xldudf_CX_GET(CX_ENTITY,($F41),BH$11,BH$14,,BH$19)),_xlpm.Res,IF(OR(_xlpm.val="",_xlpm.val="Error"),"",_xlpm.val),_xlpm.Res)</f>
        <v>#NAME?</v>
      </c>
      <c r="BI41" s="1669" t="e" cm="1">
        <f t="array" ca="1" aca="1" ref="BI41">_xlfn.LET(_xlpm.val,IF($F41="",val_blankRefText,_xldudf_CX_GET(CX_ENTITY,($F41),BI$11,BI$14,,BI$19)),_xlpm.Res,IF(OR(_xlpm.val="",_xlpm.val="Error"),"",_xlpm.val),_xlpm.Res)</f>
        <v>#NAME?</v>
      </c>
      <c r="BJ41" s="1669" t="e" cm="1">
        <f t="array" ca="1" aca="1" ref="BJ41">_xlfn.LET(_xlpm.val,IF($F41="",val_blankRefText,_xldudf_CX_GET(CX_ENTITY,($F41),BJ$11,BJ$14,,BJ$19)),_xlpm.Res,IF(OR(_xlpm.val="",_xlpm.val="Error"),"",_xlpm.val),_xlpm.Res)</f>
        <v>#NAME?</v>
      </c>
      <c r="BK41" s="1669" t="e" cm="1">
        <f t="array" ca="1" aca="1" ref="BK41">_xlfn.LET(_xlpm.val,IF($F41="",val_blankRefText,_xldudf_CX_GET(CX_ENTITY,($F41),BK$11,BK$14,,BK$19)),_xlpm.Res,IF(OR(_xlpm.val="",_xlpm.val="Error"),"",_xlpm.val),_xlpm.Res)</f>
        <v>#NAME?</v>
      </c>
      <c r="BL41" s="1669" t="e" cm="1">
        <f t="array" ca="1" aca="1" ref="BL41">_xlfn.LET(_xlpm.val,IF($F41="",val_blankRefText,_xldudf_CX_GET(CX_ENTITY,($F41),BL$11,BL$14,,BL$19)),_xlpm.Res,IF(OR(_xlpm.val="",_xlpm.val="Error"),"",_xlpm.val),_xlpm.Res)</f>
        <v>#NAME?</v>
      </c>
      <c r="BM41" s="1669" t="e" cm="1">
        <f t="array" ca="1" aca="1" ref="BM41">_xlfn.LET(_xlpm.val,IF($F41="",val_blankRefText,_xldudf_CX_GET(CX_ENTITY,($F41),BM$11,BM$14,,BM$19)),_xlpm.Res,IF(OR(_xlpm.val="",_xlpm.val="Error"),"",_xlpm.val),_xlpm.Res)</f>
        <v>#NAME?</v>
      </c>
      <c r="BN41" s="1669" t="e" cm="1">
        <f t="array" ca="1" aca="1" ref="BN41">_xlfn.LET(_xlpm.val,IF($F41="",val_blankRefText,_xldudf_CX_GET(CX_ENTITY,($F41),BN$11,BN$14,,BN$19)),_xlpm.Res,IF(OR(_xlpm.val="",_xlpm.val="Error"),"",_xlpm.val),_xlpm.Res)</f>
        <v>#NAME?</v>
      </c>
      <c r="BO41" s="2095"/>
      <c r="BP41" s="2095"/>
      <c r="BQ41" s="2095"/>
      <c r="BR41" s="2095"/>
      <c r="BS41" s="2095"/>
      <c r="BT41" s="2095"/>
      <c r="BU41" s="2095"/>
      <c r="BV41" s="2095"/>
      <c r="BW41" s="2095"/>
      <c r="BX41" s="2095"/>
      <c r="BY41" s="2095"/>
      <c r="BZ41" s="2095"/>
      <c r="CA41" s="926"/>
      <c r="CB41" s="921"/>
      <c r="CC41" s="927"/>
      <c r="CD41" s="920" t="e" cm="1">
        <f t="array" ca="1" aca="1" ref="CD41">_xlfn.XLOOKUP(BS!CD$11,array_timeline,BS!$AD41:$BN41)</f>
        <v>#NAME?</v>
      </c>
      <c r="CE41" s="920" t="e" cm="1">
        <f t="array" ca="1" aca="1" ref="CE41">_xlfn.XLOOKUP(BS!CE$11,array_timeline,BS!$AD41:$BN41)</f>
        <v>#NAME?</v>
      </c>
      <c r="CF41" s="925"/>
      <c r="CG41" s="920" t="e" cm="1">
        <f t="array" ca="1" aca="1" ref="CG41">_xlfn.LET(_xlpm.val,IF($F41="",val_blankRefText,_xldudf_CX_GET(CX_ENTITY,($F41),CG$11,CG$14,,(CG$19))),_xlpm.Res,IF(OR(_xlpm.val="",_xlpm.val="Error"),"",_xlpm.val),_xlpm.Res)</f>
        <v>#NAME?</v>
      </c>
      <c r="CH41" s="920" t="e" cm="1">
        <f t="array" ca="1" aca="1" ref="CH41">_xlfn.LET(_xlpm.val,IF($F41="",val_blankRefText,_xldudf_CX_GET(CX_ENTITY,($F41),CH$11,CH$14,,(CH$19))),_xlpm.Res,IF(OR(_xlpm.val="",_xlpm.val="Error"),"",_xlpm.val),_xlpm.Res)</f>
        <v>#NAME?</v>
      </c>
      <c r="CI41" s="200"/>
    </row>
    <row r="42" spans="1:87" ht="21" customHeight="1">
      <c r="A42" s="696" t="s">
        <v>765</v>
      </c>
      <c r="B42" s="577" t="s">
        <v>454</v>
      </c>
      <c r="C42" s="577" t="s">
        <v>1730</v>
      </c>
      <c r="D42" s="577"/>
      <c r="E42" s="577" t="e" cm="1">
        <f t="array" ca="1" aca="1" ref="E42">_xlfn.LET(_xlpm.Attr,$C42,_xlpm.Lookback,$E$16,_xlpm.QueryDate,EOMONTH(val_asOfDate,_xlpm.Lookback),_xlpm.ReadField,_xldudf_CX_GET(CX_ENTITY,fx_attrConverter($C42),_xlpm.QueryDate),_xlpm.AttrBlank,_xlpm.Attr="",_xlpm.RESULT,IF(_xlpm.AttrBlank,val_blankRefText,fx_attrConverter(_xlpm.ReadField,0)),IF(_xlpm.RESULT="Error","",_xlpm.RESULT))</f>
        <v>#NAME?</v>
      </c>
      <c r="F42" s="577" t="str">
        <f t="shared" si="1"/>
        <v>IFRS-16 Lease Liabilities (on BS)</v>
      </c>
      <c r="G42" s="574"/>
      <c r="H42" s="3279">
        <v>1</v>
      </c>
      <c r="I42" s="3279">
        <v>1</v>
      </c>
      <c r="J42" s="401"/>
      <c r="K42" s="401"/>
      <c r="L42" s="3269" t="b">
        <v>1</v>
      </c>
      <c r="N42" s="158"/>
      <c r="O42" s="101"/>
      <c r="P42" s="52"/>
      <c r="Q42" s="101"/>
      <c r="R42" s="126"/>
      <c r="S42" s="101"/>
      <c r="T42" s="101"/>
      <c r="U42" s="39"/>
      <c r="W42" s="91" t="str">
        <f t="shared" si="4"/>
        <v>Actual</v>
      </c>
      <c r="X42" s="857">
        <v>-1</v>
      </c>
      <c r="Y42" s="2627" t="s">
        <v>454</v>
      </c>
      <c r="Z42" s="3291" cm="1">
        <f t="array" ref="Z42">_xlfn.SWITCH(TRUE,$L42="",0,$L42=TRUE,1,$L42=FALSE,-1,)</f>
        <v>1</v>
      </c>
      <c r="AA42" s="2625"/>
      <c r="AB42" s="2626" t="s">
        <v>454</v>
      </c>
      <c r="AC42" s="88" t="e" vm="5" cm="1">
        <f t="array" ref="AC42">IFERROR(IF(_xlfn.XMATCH(AB42,tbl_acctDef[Term],0)&gt;0,fx_getIcon("find"),""),"")</f>
        <v>#VALUE!</v>
      </c>
      <c r="AD42" s="1669" t="e" cm="1">
        <f t="array" ca="1" aca="1" ref="AD42">_xlfn.LET(_xlpm.val,IF($F42="",val_blankRefText,_xldudf_CX_GET(CX_ENTITY,($F42),AD$11,AD$14,,AD$19)),_xlpm.Res,IF(OR(_xlpm.val="",_xlpm.val="Error"),"",_xlpm.val),_xlpm.Res)</f>
        <v>#NAME?</v>
      </c>
      <c r="AE42" s="1669" t="e" cm="1">
        <f t="array" ca="1" aca="1" ref="AE42">_xlfn.LET(_xlpm.val,IF($F42="",val_blankRefText,_xldudf_CX_GET(CX_ENTITY,($F42),AE$11,AE$14,,AE$19)),_xlpm.Res,IF(OR(_xlpm.val="",_xlpm.val="Error"),"",_xlpm.val),_xlpm.Res)</f>
        <v>#NAME?</v>
      </c>
      <c r="AF42" s="1669" t="e" cm="1">
        <f t="array" ca="1" aca="1" ref="AF42">_xlfn.LET(_xlpm.val,IF($F42="",val_blankRefText,_xldudf_CX_GET(CX_ENTITY,($F42),AF$11,AF$14,,AF$19)),_xlpm.Res,IF(OR(_xlpm.val="",_xlpm.val="Error"),"",_xlpm.val),_xlpm.Res)</f>
        <v>#NAME?</v>
      </c>
      <c r="AG42" s="1669" t="e" cm="1">
        <f t="array" ca="1" aca="1" ref="AG42">_xlfn.LET(_xlpm.val,IF($F42="",val_blankRefText,_xldudf_CX_GET(CX_ENTITY,($F42),AG$11,AG$14,,AG$19)),_xlpm.Res,IF(OR(_xlpm.val="",_xlpm.val="Error"),"",_xlpm.val),_xlpm.Res)</f>
        <v>#NAME?</v>
      </c>
      <c r="AH42" s="1669" t="e" cm="1">
        <f t="array" ca="1" aca="1" ref="AH42">_xlfn.LET(_xlpm.val,IF($F42="",val_blankRefText,_xldudf_CX_GET(CX_ENTITY,($F42),AH$11,AH$14,,AH$19)),_xlpm.Res,IF(OR(_xlpm.val="",_xlpm.val="Error"),"",_xlpm.val),_xlpm.Res)</f>
        <v>#NAME?</v>
      </c>
      <c r="AI42" s="1669" t="e" cm="1">
        <f t="array" ca="1" aca="1" ref="AI42">_xlfn.LET(_xlpm.val,IF($F42="",val_blankRefText,_xldudf_CX_GET(CX_ENTITY,($F42),AI$11,AI$14,,AI$19)),_xlpm.Res,IF(OR(_xlpm.val="",_xlpm.val="Error"),"",_xlpm.val),_xlpm.Res)</f>
        <v>#NAME?</v>
      </c>
      <c r="AJ42" s="1669" t="e" cm="1">
        <f t="array" ca="1" aca="1" ref="AJ42">_xlfn.LET(_xlpm.val,IF($F42="",val_blankRefText,_xldudf_CX_GET(CX_ENTITY,($F42),AJ$11,AJ$14,,AJ$19)),_xlpm.Res,IF(OR(_xlpm.val="",_xlpm.val="Error"),"",_xlpm.val),_xlpm.Res)</f>
        <v>#NAME?</v>
      </c>
      <c r="AK42" s="1669" t="e" cm="1">
        <f t="array" ca="1" aca="1" ref="AK42">_xlfn.LET(_xlpm.val,IF($F42="",val_blankRefText,_xldudf_CX_GET(CX_ENTITY,($F42),AK$11,AK$14,,AK$19)),_xlpm.Res,IF(OR(_xlpm.val="",_xlpm.val="Error"),"",_xlpm.val),_xlpm.Res)</f>
        <v>#NAME?</v>
      </c>
      <c r="AL42" s="1669" t="e" cm="1">
        <f t="array" ca="1" aca="1" ref="AL42">_xlfn.LET(_xlpm.val,IF($F42="",val_blankRefText,_xldudf_CX_GET(CX_ENTITY,($F42),AL$11,AL$14,,AL$19)),_xlpm.Res,IF(OR(_xlpm.val="",_xlpm.val="Error"),"",_xlpm.val),_xlpm.Res)</f>
        <v>#NAME?</v>
      </c>
      <c r="AM42" s="1669" t="e" cm="1">
        <f t="array" ca="1" aca="1" ref="AM42">_xlfn.LET(_xlpm.val,IF($F42="",val_blankRefText,_xldudf_CX_GET(CX_ENTITY,($F42),AM$11,AM$14,,AM$19)),_xlpm.Res,IF(OR(_xlpm.val="",_xlpm.val="Error"),"",_xlpm.val),_xlpm.Res)</f>
        <v>#NAME?</v>
      </c>
      <c r="AN42" s="1669" t="e" cm="1">
        <f t="array" ca="1" aca="1" ref="AN42">_xlfn.LET(_xlpm.val,IF($F42="",val_blankRefText,_xldudf_CX_GET(CX_ENTITY,($F42),AN$11,AN$14,,AN$19)),_xlpm.Res,IF(OR(_xlpm.val="",_xlpm.val="Error"),"",_xlpm.val),_xlpm.Res)</f>
        <v>#NAME?</v>
      </c>
      <c r="AO42" s="1669" t="e" cm="1">
        <f t="array" ca="1" aca="1" ref="AO42">_xlfn.LET(_xlpm.val,IF($F42="",val_blankRefText,_xldudf_CX_GET(CX_ENTITY,($F42),AO$11,AO$14,,AO$19)),_xlpm.Res,IF(OR(_xlpm.val="",_xlpm.val="Error"),"",_xlpm.val),_xlpm.Res)</f>
        <v>#NAME?</v>
      </c>
      <c r="AP42" s="1669" t="e" cm="1">
        <f t="array" ca="1" aca="1" ref="AP42">_xlfn.LET(_xlpm.val,IF($F42="",val_blankRefText,_xldudf_CX_GET(CX_ENTITY,($F42),AP$11,AP$14,,AP$19)),_xlpm.Res,IF(OR(_xlpm.val="",_xlpm.val="Error"),"",_xlpm.val),_xlpm.Res)</f>
        <v>#NAME?</v>
      </c>
      <c r="AQ42" s="1669" t="e" cm="1">
        <f t="array" ca="1" aca="1" ref="AQ42">_xlfn.LET(_xlpm.val,IF($F42="",val_blankRefText,_xldudf_CX_GET(CX_ENTITY,($F42),AQ$11,AQ$14,,AQ$19)),_xlpm.Res,IF(OR(_xlpm.val="",_xlpm.val="Error"),"",_xlpm.val),_xlpm.Res)</f>
        <v>#NAME?</v>
      </c>
      <c r="AR42" s="1669" t="e" cm="1">
        <f t="array" ca="1" aca="1" ref="AR42">_xlfn.LET(_xlpm.val,IF($F42="",val_blankRefText,_xldudf_CX_GET(CX_ENTITY,($F42),AR$11,AR$14,,AR$19)),_xlpm.Res,IF(OR(_xlpm.val="",_xlpm.val="Error"),"",_xlpm.val),_xlpm.Res)</f>
        <v>#NAME?</v>
      </c>
      <c r="AS42" s="1669" t="e" cm="1">
        <f t="array" ca="1" aca="1" ref="AS42">_xlfn.LET(_xlpm.val,IF($F42="",val_blankRefText,_xldudf_CX_GET(CX_ENTITY,($F42),AS$11,AS$14,,AS$19)),_xlpm.Res,IF(OR(_xlpm.val="",_xlpm.val="Error"),"",_xlpm.val),_xlpm.Res)</f>
        <v>#NAME?</v>
      </c>
      <c r="AT42" s="1669" t="e" cm="1">
        <f t="array" ca="1" aca="1" ref="AT42">_xlfn.LET(_xlpm.val,IF($F42="",val_blankRefText,_xldudf_CX_GET(CX_ENTITY,($F42),AT$11,AT$14,,AT$19)),_xlpm.Res,IF(OR(_xlpm.val="",_xlpm.val="Error"),"",_xlpm.val),_xlpm.Res)</f>
        <v>#NAME?</v>
      </c>
      <c r="AU42" s="1669" t="e" cm="1">
        <f t="array" ca="1" aca="1" ref="AU42">_xlfn.LET(_xlpm.val,IF($F42="",val_blankRefText,_xldudf_CX_GET(CX_ENTITY,($F42),AU$11,AU$14,,AU$19)),_xlpm.Res,IF(OR(_xlpm.val="",_xlpm.val="Error"),"",_xlpm.val),_xlpm.Res)</f>
        <v>#NAME?</v>
      </c>
      <c r="AV42" s="1669" t="e" cm="1">
        <f t="array" ca="1" aca="1" ref="AV42">_xlfn.LET(_xlpm.val,IF($F42="",val_blankRefText,_xldudf_CX_GET(CX_ENTITY,($F42),AV$11,AV$14,,AV$19)),_xlpm.Res,IF(OR(_xlpm.val="",_xlpm.val="Error"),"",_xlpm.val),_xlpm.Res)</f>
        <v>#NAME?</v>
      </c>
      <c r="AW42" s="1669" t="e" cm="1">
        <f t="array" ca="1" aca="1" ref="AW42">_xlfn.LET(_xlpm.val,IF($F42="",val_blankRefText,_xldudf_CX_GET(CX_ENTITY,($F42),AW$11,AW$14,,AW$19)),_xlpm.Res,IF(OR(_xlpm.val="",_xlpm.val="Error"),"",_xlpm.val),_xlpm.Res)</f>
        <v>#NAME?</v>
      </c>
      <c r="AX42" s="1669" t="e" cm="1">
        <f t="array" ca="1" aca="1" ref="AX42">_xlfn.LET(_xlpm.val,IF($F42="",val_blankRefText,_xldudf_CX_GET(CX_ENTITY,($F42),AX$11,AX$14,,AX$19)),_xlpm.Res,IF(OR(_xlpm.val="",_xlpm.val="Error"),"",_xlpm.val),_xlpm.Res)</f>
        <v>#NAME?</v>
      </c>
      <c r="AY42" s="1669" t="e" cm="1">
        <f t="array" ca="1" aca="1" ref="AY42">_xlfn.LET(_xlpm.val,IF($F42="",val_blankRefText,_xldudf_CX_GET(CX_ENTITY,($F42),AY$11,AY$14,,AY$19)),_xlpm.Res,IF(OR(_xlpm.val="",_xlpm.val="Error"),"",_xlpm.val),_xlpm.Res)</f>
        <v>#NAME?</v>
      </c>
      <c r="AZ42" s="1669" t="e" cm="1">
        <f t="array" ca="1" aca="1" ref="AZ42">_xlfn.LET(_xlpm.val,IF($F42="",val_blankRefText,_xldudf_CX_GET(CX_ENTITY,($F42),AZ$11,AZ$14,,AZ$19)),_xlpm.Res,IF(OR(_xlpm.val="",_xlpm.val="Error"),"",_xlpm.val),_xlpm.Res)</f>
        <v>#NAME?</v>
      </c>
      <c r="BA42" s="1669" t="e" cm="1">
        <f t="array" ca="1" aca="1" ref="BA42">_xlfn.LET(_xlpm.val,IF($F42="",val_blankRefText,_xldudf_CX_GET(CX_ENTITY,($F42),BA$11,BA$14,,BA$19)),_xlpm.Res,IF(OR(_xlpm.val="",_xlpm.val="Error"),"",_xlpm.val),_xlpm.Res)</f>
        <v>#NAME?</v>
      </c>
      <c r="BB42" s="1669" t="e" cm="1">
        <f t="array" ca="1" aca="1" ref="BB42">_xlfn.LET(_xlpm.val,IF($F42="",val_blankRefText,_xldudf_CX_GET(CX_ENTITY,($F42),BB$11,BB$14,,BB$19)),_xlpm.Res,IF(OR(_xlpm.val="",_xlpm.val="Error"),"",_xlpm.val),_xlpm.Res)</f>
        <v>#NAME?</v>
      </c>
      <c r="BC42" s="1669" t="e" cm="1">
        <f t="array" ca="1" aca="1" ref="BC42">_xlfn.LET(_xlpm.val,IF($F42="",val_blankRefText,_xldudf_CX_GET(CX_ENTITY,($F42),BC$11,BC$14,,BC$19)),_xlpm.Res,IF(OR(_xlpm.val="",_xlpm.val="Error"),"",_xlpm.val),_xlpm.Res)</f>
        <v>#NAME?</v>
      </c>
      <c r="BD42" s="1669" t="e" cm="1">
        <f t="array" ca="1" aca="1" ref="BD42">_xlfn.LET(_xlpm.val,IF($F42="",val_blankRefText,_xldudf_CX_GET(CX_ENTITY,($F42),BD$11,BD$14,,BD$19)),_xlpm.Res,IF(OR(_xlpm.val="",_xlpm.val="Error"),"",_xlpm.val),_xlpm.Res)</f>
        <v>#NAME?</v>
      </c>
      <c r="BE42" s="1669" t="e" cm="1">
        <f t="array" ca="1" aca="1" ref="BE42">_xlfn.LET(_xlpm.val,IF($F42="",val_blankRefText,_xldudf_CX_GET(CX_ENTITY,($F42),BE$11,BE$14,,BE$19)),_xlpm.Res,IF(OR(_xlpm.val="",_xlpm.val="Error"),"",_xlpm.val),_xlpm.Res)</f>
        <v>#NAME?</v>
      </c>
      <c r="BF42" s="1669" t="e" cm="1">
        <f t="array" ca="1" aca="1" ref="BF42">_xlfn.LET(_xlpm.val,IF($F42="",val_blankRefText,_xldudf_CX_GET(CX_ENTITY,($F42),BF$11,BF$14,,BF$19)),_xlpm.Res,IF(OR(_xlpm.val="",_xlpm.val="Error"),"",_xlpm.val),_xlpm.Res)</f>
        <v>#NAME?</v>
      </c>
      <c r="BG42" s="1669" t="e" cm="1">
        <f t="array" ca="1" aca="1" ref="BG42">_xlfn.LET(_xlpm.val,IF($F42="",val_blankRefText,_xldudf_CX_GET(CX_ENTITY,($F42),BG$11,BG$14,,BG$19)),_xlpm.Res,IF(OR(_xlpm.val="",_xlpm.val="Error"),"",_xlpm.val),_xlpm.Res)</f>
        <v>#NAME?</v>
      </c>
      <c r="BH42" s="1669" t="e" cm="1">
        <f t="array" ca="1" aca="1" ref="BH42">_xlfn.LET(_xlpm.val,IF($F42="",val_blankRefText,_xldudf_CX_GET(CX_ENTITY,($F42),BH$11,BH$14,,BH$19)),_xlpm.Res,IF(OR(_xlpm.val="",_xlpm.val="Error"),"",_xlpm.val),_xlpm.Res)</f>
        <v>#NAME?</v>
      </c>
      <c r="BI42" s="1669" t="e" cm="1">
        <f t="array" ca="1" aca="1" ref="BI42">_xlfn.LET(_xlpm.val,IF($F42="",val_blankRefText,_xldudf_CX_GET(CX_ENTITY,($F42),BI$11,BI$14,,BI$19)),_xlpm.Res,IF(OR(_xlpm.val="",_xlpm.val="Error"),"",_xlpm.val),_xlpm.Res)</f>
        <v>#NAME?</v>
      </c>
      <c r="BJ42" s="1669" t="e" cm="1">
        <f t="array" ca="1" aca="1" ref="BJ42">_xlfn.LET(_xlpm.val,IF($F42="",val_blankRefText,_xldudf_CX_GET(CX_ENTITY,($F42),BJ$11,BJ$14,,BJ$19)),_xlpm.Res,IF(OR(_xlpm.val="",_xlpm.val="Error"),"",_xlpm.val),_xlpm.Res)</f>
        <v>#NAME?</v>
      </c>
      <c r="BK42" s="1669" t="e" cm="1">
        <f t="array" ca="1" aca="1" ref="BK42">_xlfn.LET(_xlpm.val,IF($F42="",val_blankRefText,_xldudf_CX_GET(CX_ENTITY,($F42),BK$11,BK$14,,BK$19)),_xlpm.Res,IF(OR(_xlpm.val="",_xlpm.val="Error"),"",_xlpm.val),_xlpm.Res)</f>
        <v>#NAME?</v>
      </c>
      <c r="BL42" s="1669" t="e" cm="1">
        <f t="array" ca="1" aca="1" ref="BL42">_xlfn.LET(_xlpm.val,IF($F42="",val_blankRefText,_xldudf_CX_GET(CX_ENTITY,($F42),BL$11,BL$14,,BL$19)),_xlpm.Res,IF(OR(_xlpm.val="",_xlpm.val="Error"),"",_xlpm.val),_xlpm.Res)</f>
        <v>#NAME?</v>
      </c>
      <c r="BM42" s="1669" t="e" cm="1">
        <f t="array" ca="1" aca="1" ref="BM42">_xlfn.LET(_xlpm.val,IF($F42="",val_blankRefText,_xldudf_CX_GET(CX_ENTITY,($F42),BM$11,BM$14,,BM$19)),_xlpm.Res,IF(OR(_xlpm.val="",_xlpm.val="Error"),"",_xlpm.val),_xlpm.Res)</f>
        <v>#NAME?</v>
      </c>
      <c r="BN42" s="1669" t="e" cm="1">
        <f t="array" ca="1" aca="1" ref="BN42">_xlfn.LET(_xlpm.val,IF($F42="",val_blankRefText,_xldudf_CX_GET(CX_ENTITY,($F42),BN$11,BN$14,,BN$19)),_xlpm.Res,IF(OR(_xlpm.val="",_xlpm.val="Error"),"",_xlpm.val),_xlpm.Res)</f>
        <v>#NAME?</v>
      </c>
      <c r="BO42" s="2095"/>
      <c r="BP42" s="2095"/>
      <c r="BQ42" s="2095"/>
      <c r="BR42" s="2095"/>
      <c r="BS42" s="2095"/>
      <c r="BT42" s="2095"/>
      <c r="BU42" s="2095"/>
      <c r="BV42" s="2095"/>
      <c r="BW42" s="2095"/>
      <c r="BX42" s="2095"/>
      <c r="BY42" s="2095"/>
      <c r="BZ42" s="2095"/>
      <c r="CA42" s="926"/>
      <c r="CB42" s="921"/>
      <c r="CC42" s="927"/>
      <c r="CD42" s="920" t="e" cm="1">
        <f t="array" ca="1" aca="1" ref="CD42">_xlfn.XLOOKUP(BS!CD$11,array_timeline,BS!$AD42:$BN42)</f>
        <v>#NAME?</v>
      </c>
      <c r="CE42" s="920" t="e" cm="1">
        <f t="array" ca="1" aca="1" ref="CE42">_xlfn.XLOOKUP(BS!CE$11,array_timeline,BS!$AD42:$BN42)</f>
        <v>#NAME?</v>
      </c>
      <c r="CF42" s="925"/>
      <c r="CG42" s="920" t="e" cm="1">
        <f t="array" ca="1" aca="1" ref="CG42">_xlfn.LET(_xlpm.val,IF($F42="",val_blankRefText,_xldudf_CX_GET(CX_ENTITY,($F42),CG$11,CG$14,,(CG$19))),_xlpm.Res,IF(OR(_xlpm.val="",_xlpm.val="Error"),"",_xlpm.val),_xlpm.Res)</f>
        <v>#NAME?</v>
      </c>
      <c r="CH42" s="920" t="e" cm="1">
        <f t="array" ca="1" aca="1" ref="CH42">_xlfn.LET(_xlpm.val,IF($F42="",val_blankRefText,_xldudf_CX_GET(CX_ENTITY,($F42),CH$11,CH$14,,(CH$19))),_xlpm.Res,IF(OR(_xlpm.val="",_xlpm.val="Error"),"",_xlpm.val),_xlpm.Res)</f>
        <v>#NAME?</v>
      </c>
      <c r="CI42" s="200"/>
    </row>
    <row r="43" spans="1:87" ht="21" customHeight="1">
      <c r="A43" s="696" t="s">
        <v>723</v>
      </c>
      <c r="B43" s="577" t="s">
        <v>1731</v>
      </c>
      <c r="C43" s="577" t="s">
        <v>1732</v>
      </c>
      <c r="D43" s="577"/>
      <c r="E43" s="577" t="e" cm="1">
        <f t="array" ca="1" aca="1" ref="E43">_xlfn.LET(_xlpm.Attr,$C43,_xlpm.Lookback,$E$16,_xlpm.QueryDate,EOMONTH(val_asOfDate,_xlpm.Lookback),_xlpm.ReadField,_xldudf_CX_GET(CX_ENTITY,fx_attrConverter($C43),_xlpm.QueryDate),_xlpm.AttrBlank,_xlpm.Attr="",_xlpm.RESULT,IF(_xlpm.AttrBlank,val_blankRefText,fx_attrConverter(_xlpm.ReadField,0)),IF(_xlpm.RESULT="Error","",_xlpm.RESULT))</f>
        <v>#NAME?</v>
      </c>
      <c r="F43" s="577" t="str">
        <f t="shared" si="1"/>
        <v>Deferred Tax Assets / Liabilities (on BS)</v>
      </c>
      <c r="G43" s="574"/>
      <c r="H43" s="3279">
        <v>1</v>
      </c>
      <c r="I43" s="3279">
        <v>1</v>
      </c>
      <c r="J43" s="401"/>
      <c r="K43" s="401"/>
      <c r="L43" s="3269" t="b">
        <v>1</v>
      </c>
      <c r="N43" s="158"/>
      <c r="O43" s="101"/>
      <c r="P43" s="52"/>
      <c r="Q43" s="101"/>
      <c r="R43" s="101"/>
      <c r="S43" s="101"/>
      <c r="T43" s="101"/>
      <c r="U43" s="39"/>
      <c r="W43" s="156" t="str">
        <f t="shared" si="4"/>
        <v>Actual</v>
      </c>
      <c r="X43" s="857" t="s">
        <v>62</v>
      </c>
      <c r="Y43" s="2627" t="s">
        <v>712</v>
      </c>
      <c r="Z43" s="3291" cm="1">
        <f t="array" ref="Z43">_xlfn.SWITCH(TRUE,$L43="",0,$L43=TRUE,1,$L43=FALSE,-1,)</f>
        <v>1</v>
      </c>
      <c r="AA43" s="2625"/>
      <c r="AB43" s="2626" t="s">
        <v>712</v>
      </c>
      <c r="AC43" s="88" t="e" vm="5" cm="1">
        <f t="array" ref="AC43">IFERROR(IF(_xlfn.XMATCH(AB43,tbl_acctDef[Term],0)&gt;0,fx_getIcon("find"),""),"")</f>
        <v>#VALUE!</v>
      </c>
      <c r="AD43" s="1669" t="e" cm="1">
        <f t="array" ca="1" aca="1" ref="AD43">_xlfn.LET(_xlpm.val,IF($F43="",val_blankRefText,_xldudf_CX_GET(CX_ENTITY,($F43),AD$11,AD$14,,AD$19)),_xlpm.Res,IF(OR(_xlpm.val="",_xlpm.val="Error"),"",_xlpm.val),_xlpm.Res)</f>
        <v>#NAME?</v>
      </c>
      <c r="AE43" s="1669" t="e" cm="1">
        <f t="array" ca="1" aca="1" ref="AE43">_xlfn.LET(_xlpm.val,IF($F43="",val_blankRefText,_xldudf_CX_GET(CX_ENTITY,($F43),AE$11,AE$14,,AE$19)),_xlpm.Res,IF(OR(_xlpm.val="",_xlpm.val="Error"),"",_xlpm.val),_xlpm.Res)</f>
        <v>#NAME?</v>
      </c>
      <c r="AF43" s="1669" t="e" cm="1">
        <f t="array" ca="1" aca="1" ref="AF43">_xlfn.LET(_xlpm.val,IF($F43="",val_blankRefText,_xldudf_CX_GET(CX_ENTITY,($F43),AF$11,AF$14,,AF$19)),_xlpm.Res,IF(OR(_xlpm.val="",_xlpm.val="Error"),"",_xlpm.val),_xlpm.Res)</f>
        <v>#NAME?</v>
      </c>
      <c r="AG43" s="1669" t="e" cm="1">
        <f t="array" ca="1" aca="1" ref="AG43">_xlfn.LET(_xlpm.val,IF($F43="",val_blankRefText,_xldudf_CX_GET(CX_ENTITY,($F43),AG$11,AG$14,,AG$19)),_xlpm.Res,IF(OR(_xlpm.val="",_xlpm.val="Error"),"",_xlpm.val),_xlpm.Res)</f>
        <v>#NAME?</v>
      </c>
      <c r="AH43" s="1669" t="e" cm="1">
        <f t="array" ca="1" aca="1" ref="AH43">_xlfn.LET(_xlpm.val,IF($F43="",val_blankRefText,_xldudf_CX_GET(CX_ENTITY,($F43),AH$11,AH$14,,AH$19)),_xlpm.Res,IF(OR(_xlpm.val="",_xlpm.val="Error"),"",_xlpm.val),_xlpm.Res)</f>
        <v>#NAME?</v>
      </c>
      <c r="AI43" s="1669" t="e" cm="1">
        <f t="array" ca="1" aca="1" ref="AI43">_xlfn.LET(_xlpm.val,IF($F43="",val_blankRefText,_xldudf_CX_GET(CX_ENTITY,($F43),AI$11,AI$14,,AI$19)),_xlpm.Res,IF(OR(_xlpm.val="",_xlpm.val="Error"),"",_xlpm.val),_xlpm.Res)</f>
        <v>#NAME?</v>
      </c>
      <c r="AJ43" s="1669" t="e" cm="1">
        <f t="array" ca="1" aca="1" ref="AJ43">_xlfn.LET(_xlpm.val,IF($F43="",val_blankRefText,_xldudf_CX_GET(CX_ENTITY,($F43),AJ$11,AJ$14,,AJ$19)),_xlpm.Res,IF(OR(_xlpm.val="",_xlpm.val="Error"),"",_xlpm.val),_xlpm.Res)</f>
        <v>#NAME?</v>
      </c>
      <c r="AK43" s="1669" t="e" cm="1">
        <f t="array" ca="1" aca="1" ref="AK43">_xlfn.LET(_xlpm.val,IF($F43="",val_blankRefText,_xldudf_CX_GET(CX_ENTITY,($F43),AK$11,AK$14,,AK$19)),_xlpm.Res,IF(OR(_xlpm.val="",_xlpm.val="Error"),"",_xlpm.val),_xlpm.Res)</f>
        <v>#NAME?</v>
      </c>
      <c r="AL43" s="1669" t="e" cm="1">
        <f t="array" ca="1" aca="1" ref="AL43">_xlfn.LET(_xlpm.val,IF($F43="",val_blankRefText,_xldudf_CX_GET(CX_ENTITY,($F43),AL$11,AL$14,,AL$19)),_xlpm.Res,IF(OR(_xlpm.val="",_xlpm.val="Error"),"",_xlpm.val),_xlpm.Res)</f>
        <v>#NAME?</v>
      </c>
      <c r="AM43" s="1669" t="e" cm="1">
        <f t="array" ca="1" aca="1" ref="AM43">_xlfn.LET(_xlpm.val,IF($F43="",val_blankRefText,_xldudf_CX_GET(CX_ENTITY,($F43),AM$11,AM$14,,AM$19)),_xlpm.Res,IF(OR(_xlpm.val="",_xlpm.val="Error"),"",_xlpm.val),_xlpm.Res)</f>
        <v>#NAME?</v>
      </c>
      <c r="AN43" s="1669" t="e" cm="1">
        <f t="array" ca="1" aca="1" ref="AN43">_xlfn.LET(_xlpm.val,IF($F43="",val_blankRefText,_xldudf_CX_GET(CX_ENTITY,($F43),AN$11,AN$14,,AN$19)),_xlpm.Res,IF(OR(_xlpm.val="",_xlpm.val="Error"),"",_xlpm.val),_xlpm.Res)</f>
        <v>#NAME?</v>
      </c>
      <c r="AO43" s="1669" t="e" cm="1">
        <f t="array" ca="1" aca="1" ref="AO43">_xlfn.LET(_xlpm.val,IF($F43="",val_blankRefText,_xldudf_CX_GET(CX_ENTITY,($F43),AO$11,AO$14,,AO$19)),_xlpm.Res,IF(OR(_xlpm.val="",_xlpm.val="Error"),"",_xlpm.val),_xlpm.Res)</f>
        <v>#NAME?</v>
      </c>
      <c r="AP43" s="1669" t="e" cm="1">
        <f t="array" ca="1" aca="1" ref="AP43">_xlfn.LET(_xlpm.val,IF($F43="",val_blankRefText,_xldudf_CX_GET(CX_ENTITY,($F43),AP$11,AP$14,,AP$19)),_xlpm.Res,IF(OR(_xlpm.val="",_xlpm.val="Error"),"",_xlpm.val),_xlpm.Res)</f>
        <v>#NAME?</v>
      </c>
      <c r="AQ43" s="1669" t="e" cm="1">
        <f t="array" ca="1" aca="1" ref="AQ43">_xlfn.LET(_xlpm.val,IF($F43="",val_blankRefText,_xldudf_CX_GET(CX_ENTITY,($F43),AQ$11,AQ$14,,AQ$19)),_xlpm.Res,IF(OR(_xlpm.val="",_xlpm.val="Error"),"",_xlpm.val),_xlpm.Res)</f>
        <v>#NAME?</v>
      </c>
      <c r="AR43" s="1669" t="e" cm="1">
        <f t="array" ca="1" aca="1" ref="AR43">_xlfn.LET(_xlpm.val,IF($F43="",val_blankRefText,_xldudf_CX_GET(CX_ENTITY,($F43),AR$11,AR$14,,AR$19)),_xlpm.Res,IF(OR(_xlpm.val="",_xlpm.val="Error"),"",_xlpm.val),_xlpm.Res)</f>
        <v>#NAME?</v>
      </c>
      <c r="AS43" s="1669" t="e" cm="1">
        <f t="array" ca="1" aca="1" ref="AS43">_xlfn.LET(_xlpm.val,IF($F43="",val_blankRefText,_xldudf_CX_GET(CX_ENTITY,($F43),AS$11,AS$14,,AS$19)),_xlpm.Res,IF(OR(_xlpm.val="",_xlpm.val="Error"),"",_xlpm.val),_xlpm.Res)</f>
        <v>#NAME?</v>
      </c>
      <c r="AT43" s="1669" t="e" cm="1">
        <f t="array" ca="1" aca="1" ref="AT43">_xlfn.LET(_xlpm.val,IF($F43="",val_blankRefText,_xldudf_CX_GET(CX_ENTITY,($F43),AT$11,AT$14,,AT$19)),_xlpm.Res,IF(OR(_xlpm.val="",_xlpm.val="Error"),"",_xlpm.val),_xlpm.Res)</f>
        <v>#NAME?</v>
      </c>
      <c r="AU43" s="1669" t="e" cm="1">
        <f t="array" ca="1" aca="1" ref="AU43">_xlfn.LET(_xlpm.val,IF($F43="",val_blankRefText,_xldudf_CX_GET(CX_ENTITY,($F43),AU$11,AU$14,,AU$19)),_xlpm.Res,IF(OR(_xlpm.val="",_xlpm.val="Error"),"",_xlpm.val),_xlpm.Res)</f>
        <v>#NAME?</v>
      </c>
      <c r="AV43" s="1669" t="e" cm="1">
        <f t="array" ca="1" aca="1" ref="AV43">_xlfn.LET(_xlpm.val,IF($F43="",val_blankRefText,_xldudf_CX_GET(CX_ENTITY,($F43),AV$11,AV$14,,AV$19)),_xlpm.Res,IF(OR(_xlpm.val="",_xlpm.val="Error"),"",_xlpm.val),_xlpm.Res)</f>
        <v>#NAME?</v>
      </c>
      <c r="AW43" s="1669" t="e" cm="1">
        <f t="array" ca="1" aca="1" ref="AW43">_xlfn.LET(_xlpm.val,IF($F43="",val_blankRefText,_xldudf_CX_GET(CX_ENTITY,($F43),AW$11,AW$14,,AW$19)),_xlpm.Res,IF(OR(_xlpm.val="",_xlpm.val="Error"),"",_xlpm.val),_xlpm.Res)</f>
        <v>#NAME?</v>
      </c>
      <c r="AX43" s="1669" t="e" cm="1">
        <f t="array" ca="1" aca="1" ref="AX43">_xlfn.LET(_xlpm.val,IF($F43="",val_blankRefText,_xldudf_CX_GET(CX_ENTITY,($F43),AX$11,AX$14,,AX$19)),_xlpm.Res,IF(OR(_xlpm.val="",_xlpm.val="Error"),"",_xlpm.val),_xlpm.Res)</f>
        <v>#NAME?</v>
      </c>
      <c r="AY43" s="1669" t="e" cm="1">
        <f t="array" ca="1" aca="1" ref="AY43">_xlfn.LET(_xlpm.val,IF($F43="",val_blankRefText,_xldudf_CX_GET(CX_ENTITY,($F43),AY$11,AY$14,,AY$19)),_xlpm.Res,IF(OR(_xlpm.val="",_xlpm.val="Error"),"",_xlpm.val),_xlpm.Res)</f>
        <v>#NAME?</v>
      </c>
      <c r="AZ43" s="1669" t="e" cm="1">
        <f t="array" ca="1" aca="1" ref="AZ43">_xlfn.LET(_xlpm.val,IF($F43="",val_blankRefText,_xldudf_CX_GET(CX_ENTITY,($F43),AZ$11,AZ$14,,AZ$19)),_xlpm.Res,IF(OR(_xlpm.val="",_xlpm.val="Error"),"",_xlpm.val),_xlpm.Res)</f>
        <v>#NAME?</v>
      </c>
      <c r="BA43" s="1669" t="e" cm="1">
        <f t="array" ca="1" aca="1" ref="BA43">_xlfn.LET(_xlpm.val,IF($F43="",val_blankRefText,_xldudf_CX_GET(CX_ENTITY,($F43),BA$11,BA$14,,BA$19)),_xlpm.Res,IF(OR(_xlpm.val="",_xlpm.val="Error"),"",_xlpm.val),_xlpm.Res)</f>
        <v>#NAME?</v>
      </c>
      <c r="BB43" s="1669" t="e" cm="1">
        <f t="array" ca="1" aca="1" ref="BB43">_xlfn.LET(_xlpm.val,IF($F43="",val_blankRefText,_xldudf_CX_GET(CX_ENTITY,($F43),BB$11,BB$14,,BB$19)),_xlpm.Res,IF(OR(_xlpm.val="",_xlpm.val="Error"),"",_xlpm.val),_xlpm.Res)</f>
        <v>#NAME?</v>
      </c>
      <c r="BC43" s="1669" t="e" cm="1">
        <f t="array" ca="1" aca="1" ref="BC43">_xlfn.LET(_xlpm.val,IF($F43="",val_blankRefText,_xldudf_CX_GET(CX_ENTITY,($F43),BC$11,BC$14,,BC$19)),_xlpm.Res,IF(OR(_xlpm.val="",_xlpm.val="Error"),"",_xlpm.val),_xlpm.Res)</f>
        <v>#NAME?</v>
      </c>
      <c r="BD43" s="1669" t="e" cm="1">
        <f t="array" ca="1" aca="1" ref="BD43">_xlfn.LET(_xlpm.val,IF($F43="",val_blankRefText,_xldudf_CX_GET(CX_ENTITY,($F43),BD$11,BD$14,,BD$19)),_xlpm.Res,IF(OR(_xlpm.val="",_xlpm.val="Error"),"",_xlpm.val),_xlpm.Res)</f>
        <v>#NAME?</v>
      </c>
      <c r="BE43" s="1669" t="e" cm="1">
        <f t="array" ca="1" aca="1" ref="BE43">_xlfn.LET(_xlpm.val,IF($F43="",val_blankRefText,_xldudf_CX_GET(CX_ENTITY,($F43),BE$11,BE$14,,BE$19)),_xlpm.Res,IF(OR(_xlpm.val="",_xlpm.val="Error"),"",_xlpm.val),_xlpm.Res)</f>
        <v>#NAME?</v>
      </c>
      <c r="BF43" s="1669" t="e" cm="1">
        <f t="array" ca="1" aca="1" ref="BF43">_xlfn.LET(_xlpm.val,IF($F43="",val_blankRefText,_xldudf_CX_GET(CX_ENTITY,($F43),BF$11,BF$14,,BF$19)),_xlpm.Res,IF(OR(_xlpm.val="",_xlpm.val="Error"),"",_xlpm.val),_xlpm.Res)</f>
        <v>#NAME?</v>
      </c>
      <c r="BG43" s="1669" t="e" cm="1">
        <f t="array" ca="1" aca="1" ref="BG43">_xlfn.LET(_xlpm.val,IF($F43="",val_blankRefText,_xldudf_CX_GET(CX_ENTITY,($F43),BG$11,BG$14,,BG$19)),_xlpm.Res,IF(OR(_xlpm.val="",_xlpm.val="Error"),"",_xlpm.val),_xlpm.Res)</f>
        <v>#NAME?</v>
      </c>
      <c r="BH43" s="1669" t="e" cm="1">
        <f t="array" ca="1" aca="1" ref="BH43">_xlfn.LET(_xlpm.val,IF($F43="",val_blankRefText,_xldudf_CX_GET(CX_ENTITY,($F43),BH$11,BH$14,,BH$19)),_xlpm.Res,IF(OR(_xlpm.val="",_xlpm.val="Error"),"",_xlpm.val),_xlpm.Res)</f>
        <v>#NAME?</v>
      </c>
      <c r="BI43" s="1669" t="e" cm="1">
        <f t="array" ca="1" aca="1" ref="BI43">_xlfn.LET(_xlpm.val,IF($F43="",val_blankRefText,_xldudf_CX_GET(CX_ENTITY,($F43),BI$11,BI$14,,BI$19)),_xlpm.Res,IF(OR(_xlpm.val="",_xlpm.val="Error"),"",_xlpm.val),_xlpm.Res)</f>
        <v>#NAME?</v>
      </c>
      <c r="BJ43" s="1669" t="e" cm="1">
        <f t="array" ca="1" aca="1" ref="BJ43">_xlfn.LET(_xlpm.val,IF($F43="",val_blankRefText,_xldudf_CX_GET(CX_ENTITY,($F43),BJ$11,BJ$14,,BJ$19)),_xlpm.Res,IF(OR(_xlpm.val="",_xlpm.val="Error"),"",_xlpm.val),_xlpm.Res)</f>
        <v>#NAME?</v>
      </c>
      <c r="BK43" s="1669" t="e" cm="1">
        <f t="array" ca="1" aca="1" ref="BK43">_xlfn.LET(_xlpm.val,IF($F43="",val_blankRefText,_xldudf_CX_GET(CX_ENTITY,($F43),BK$11,BK$14,,BK$19)),_xlpm.Res,IF(OR(_xlpm.val="",_xlpm.val="Error"),"",_xlpm.val),_xlpm.Res)</f>
        <v>#NAME?</v>
      </c>
      <c r="BL43" s="1669" t="e" cm="1">
        <f t="array" ca="1" aca="1" ref="BL43">_xlfn.LET(_xlpm.val,IF($F43="",val_blankRefText,_xldudf_CX_GET(CX_ENTITY,($F43),BL$11,BL$14,,BL$19)),_xlpm.Res,IF(OR(_xlpm.val="",_xlpm.val="Error"),"",_xlpm.val),_xlpm.Res)</f>
        <v>#NAME?</v>
      </c>
      <c r="BM43" s="1669" t="e" cm="1">
        <f t="array" ca="1" aca="1" ref="BM43">_xlfn.LET(_xlpm.val,IF($F43="",val_blankRefText,_xldudf_CX_GET(CX_ENTITY,($F43),BM$11,BM$14,,BM$19)),_xlpm.Res,IF(OR(_xlpm.val="",_xlpm.val="Error"),"",_xlpm.val),_xlpm.Res)</f>
        <v>#NAME?</v>
      </c>
      <c r="BN43" s="1669" t="e" cm="1">
        <f t="array" ca="1" aca="1" ref="BN43">_xlfn.LET(_xlpm.val,IF($F43="",val_blankRefText,_xldudf_CX_GET(CX_ENTITY,($F43),BN$11,BN$14,,BN$19)),_xlpm.Res,IF(OR(_xlpm.val="",_xlpm.val="Error"),"",_xlpm.val),_xlpm.Res)</f>
        <v>#NAME?</v>
      </c>
      <c r="BO43" s="2095"/>
      <c r="BP43" s="2095"/>
      <c r="BQ43" s="2095"/>
      <c r="BR43" s="2095"/>
      <c r="BS43" s="2095"/>
      <c r="BT43" s="2095"/>
      <c r="BU43" s="2095"/>
      <c r="BV43" s="2095"/>
      <c r="BW43" s="2095"/>
      <c r="BX43" s="2095"/>
      <c r="BY43" s="2095"/>
      <c r="BZ43" s="2095"/>
      <c r="CA43" s="926"/>
      <c r="CB43" s="921"/>
      <c r="CC43" s="927"/>
      <c r="CD43" s="920" t="e" cm="1">
        <f t="array" ca="1" aca="1" ref="CD43">_xlfn.XLOOKUP(BS!CD$11,array_timeline,BS!$AD43:$BN43)</f>
        <v>#NAME?</v>
      </c>
      <c r="CE43" s="920" t="e" cm="1">
        <f t="array" ca="1" aca="1" ref="CE43">_xlfn.XLOOKUP(BS!CE$11,array_timeline,BS!$AD43:$BN43)</f>
        <v>#NAME?</v>
      </c>
      <c r="CF43" s="925"/>
      <c r="CG43" s="920" t="e" cm="1">
        <f t="array" ca="1" aca="1" ref="CG43">_xlfn.LET(_xlpm.val,IF($F43="",val_blankRefText,_xldudf_CX_GET(CX_ENTITY,($F43),CG$11,CG$14,,(CG$19))),_xlpm.Res,IF(OR(_xlpm.val="",_xlpm.val="Error"),"",_xlpm.val),_xlpm.Res)</f>
        <v>#NAME?</v>
      </c>
      <c r="CH43" s="920" t="e" cm="1">
        <f t="array" ca="1" aca="1" ref="CH43">_xlfn.LET(_xlpm.val,IF($F43="",val_blankRefText,_xldudf_CX_GET(CX_ENTITY,($F43),CH$11,CH$14,,(CH$19))),_xlpm.Res,IF(OR(_xlpm.val="",_xlpm.val="Error"),"",_xlpm.val),_xlpm.Res)</f>
        <v>#NAME?</v>
      </c>
      <c r="CI43" s="200"/>
    </row>
    <row r="44" spans="1:87" ht="21" customHeight="1">
      <c r="A44" s="696" t="s">
        <v>768</v>
      </c>
      <c r="B44" s="577" t="s">
        <v>1733</v>
      </c>
      <c r="C44" s="577" t="s">
        <v>1734</v>
      </c>
      <c r="D44" s="577"/>
      <c r="E44" s="577" t="e" cm="1">
        <f t="array" ca="1" aca="1" ref="E44">_xlfn.LET(_xlpm.Attr,$C44,_xlpm.Lookback,$E$16,_xlpm.QueryDate,EOMONTH(val_asOfDate,_xlpm.Lookback),_xlpm.ReadField,_xldudf_CX_GET(CX_ENTITY,fx_attrConverter($C44),_xlpm.QueryDate),_xlpm.AttrBlank,_xlpm.Attr="",_xlpm.RESULT,IF(_xlpm.AttrBlank,val_blankRefText,fx_attrConverter(_xlpm.ReadField,0)),IF(_xlpm.RESULT="Error","",_xlpm.RESULT))</f>
        <v>#NAME?</v>
      </c>
      <c r="F44" s="577" t="str">
        <f t="shared" si="1"/>
        <v>Other debt Like items (on BS)</v>
      </c>
      <c r="G44" s="574"/>
      <c r="H44" s="3279">
        <v>1</v>
      </c>
      <c r="I44" s="3279">
        <v>1</v>
      </c>
      <c r="J44" s="401"/>
      <c r="K44" s="401"/>
      <c r="L44" s="3269" t="b">
        <v>1</v>
      </c>
      <c r="N44" s="158"/>
      <c r="O44" s="101"/>
      <c r="P44" s="52"/>
      <c r="Q44" s="101"/>
      <c r="R44" s="126"/>
      <c r="S44" s="101"/>
      <c r="T44" s="101"/>
      <c r="U44" s="39"/>
      <c r="W44" s="91" t="str">
        <f t="shared" si="4"/>
        <v>Actual</v>
      </c>
      <c r="X44" s="857">
        <v>-1</v>
      </c>
      <c r="Y44" s="2627" t="s">
        <v>1733</v>
      </c>
      <c r="Z44" s="3291" cm="1">
        <f t="array" ref="Z44">_xlfn.SWITCH(TRUE,$L44="",0,$L44=TRUE,1,$L44=FALSE,-1,)</f>
        <v>1</v>
      </c>
      <c r="AA44" s="2625"/>
      <c r="AB44" s="2626" t="s">
        <v>1733</v>
      </c>
      <c r="AC44" s="88" t="e" vm="5" cm="1">
        <f t="array" ref="AC44">IFERROR(IF(_xlfn.XMATCH(AB44,tbl_acctDef[Term],0)&gt;0,fx_getIcon("find"),""),"")</f>
        <v>#VALUE!</v>
      </c>
      <c r="AD44" s="1669" t="e" cm="1">
        <f t="array" ca="1" aca="1" ref="AD44">_xlfn.LET(_xlpm.val,IF($F44="",val_blankRefText,_xldudf_CX_GET(CX_ENTITY,($F44),AD$11,AD$14,,AD$19)),_xlpm.Res,IF(OR(_xlpm.val="",_xlpm.val="Error"),"",_xlpm.val),_xlpm.Res)</f>
        <v>#NAME?</v>
      </c>
      <c r="AE44" s="1669" t="e" cm="1">
        <f t="array" ca="1" aca="1" ref="AE44">_xlfn.LET(_xlpm.val,IF($F44="",val_blankRefText,_xldudf_CX_GET(CX_ENTITY,($F44),AE$11,AE$14,,AE$19)),_xlpm.Res,IF(OR(_xlpm.val="",_xlpm.val="Error"),"",_xlpm.val),_xlpm.Res)</f>
        <v>#NAME?</v>
      </c>
      <c r="AF44" s="1669" t="e" cm="1">
        <f t="array" ca="1" aca="1" ref="AF44">_xlfn.LET(_xlpm.val,IF($F44="",val_blankRefText,_xldudf_CX_GET(CX_ENTITY,($F44),AF$11,AF$14,,AF$19)),_xlpm.Res,IF(OR(_xlpm.val="",_xlpm.val="Error"),"",_xlpm.val),_xlpm.Res)</f>
        <v>#NAME?</v>
      </c>
      <c r="AG44" s="1669" t="e" cm="1">
        <f t="array" ca="1" aca="1" ref="AG44">_xlfn.LET(_xlpm.val,IF($F44="",val_blankRefText,_xldudf_CX_GET(CX_ENTITY,($F44),AG$11,AG$14,,AG$19)),_xlpm.Res,IF(OR(_xlpm.val="",_xlpm.val="Error"),"",_xlpm.val),_xlpm.Res)</f>
        <v>#NAME?</v>
      </c>
      <c r="AH44" s="1669" t="e" cm="1">
        <f t="array" ca="1" aca="1" ref="AH44">_xlfn.LET(_xlpm.val,IF($F44="",val_blankRefText,_xldudf_CX_GET(CX_ENTITY,($F44),AH$11,AH$14,,AH$19)),_xlpm.Res,IF(OR(_xlpm.val="",_xlpm.val="Error"),"",_xlpm.val),_xlpm.Res)</f>
        <v>#NAME?</v>
      </c>
      <c r="AI44" s="1669" t="e" cm="1">
        <f t="array" ca="1" aca="1" ref="AI44">_xlfn.LET(_xlpm.val,IF($F44="",val_blankRefText,_xldudf_CX_GET(CX_ENTITY,($F44),AI$11,AI$14,,AI$19)),_xlpm.Res,IF(OR(_xlpm.val="",_xlpm.val="Error"),"",_xlpm.val),_xlpm.Res)</f>
        <v>#NAME?</v>
      </c>
      <c r="AJ44" s="1669" t="e" cm="1">
        <f t="array" ca="1" aca="1" ref="AJ44">_xlfn.LET(_xlpm.val,IF($F44="",val_blankRefText,_xldudf_CX_GET(CX_ENTITY,($F44),AJ$11,AJ$14,,AJ$19)),_xlpm.Res,IF(OR(_xlpm.val="",_xlpm.val="Error"),"",_xlpm.val),_xlpm.Res)</f>
        <v>#NAME?</v>
      </c>
      <c r="AK44" s="1669" t="e" cm="1">
        <f t="array" ca="1" aca="1" ref="AK44">_xlfn.LET(_xlpm.val,IF($F44="",val_blankRefText,_xldudf_CX_GET(CX_ENTITY,($F44),AK$11,AK$14,,AK$19)),_xlpm.Res,IF(OR(_xlpm.val="",_xlpm.val="Error"),"",_xlpm.val),_xlpm.Res)</f>
        <v>#NAME?</v>
      </c>
      <c r="AL44" s="1669" t="e" cm="1">
        <f t="array" ca="1" aca="1" ref="AL44">_xlfn.LET(_xlpm.val,IF($F44="",val_blankRefText,_xldudf_CX_GET(CX_ENTITY,($F44),AL$11,AL$14,,AL$19)),_xlpm.Res,IF(OR(_xlpm.val="",_xlpm.val="Error"),"",_xlpm.val),_xlpm.Res)</f>
        <v>#NAME?</v>
      </c>
      <c r="AM44" s="1669" t="e" cm="1">
        <f t="array" ca="1" aca="1" ref="AM44">_xlfn.LET(_xlpm.val,IF($F44="",val_blankRefText,_xldudf_CX_GET(CX_ENTITY,($F44),AM$11,AM$14,,AM$19)),_xlpm.Res,IF(OR(_xlpm.val="",_xlpm.val="Error"),"",_xlpm.val),_xlpm.Res)</f>
        <v>#NAME?</v>
      </c>
      <c r="AN44" s="1669" t="e" cm="1">
        <f t="array" ca="1" aca="1" ref="AN44">_xlfn.LET(_xlpm.val,IF($F44="",val_blankRefText,_xldudf_CX_GET(CX_ENTITY,($F44),AN$11,AN$14,,AN$19)),_xlpm.Res,IF(OR(_xlpm.val="",_xlpm.val="Error"),"",_xlpm.val),_xlpm.Res)</f>
        <v>#NAME?</v>
      </c>
      <c r="AO44" s="1669" t="e" cm="1">
        <f t="array" ca="1" aca="1" ref="AO44">_xlfn.LET(_xlpm.val,IF($F44="",val_blankRefText,_xldudf_CX_GET(CX_ENTITY,($F44),AO$11,AO$14,,AO$19)),_xlpm.Res,IF(OR(_xlpm.val="",_xlpm.val="Error"),"",_xlpm.val),_xlpm.Res)</f>
        <v>#NAME?</v>
      </c>
      <c r="AP44" s="1669" t="e" cm="1">
        <f t="array" ca="1" aca="1" ref="AP44">_xlfn.LET(_xlpm.val,IF($F44="",val_blankRefText,_xldudf_CX_GET(CX_ENTITY,($F44),AP$11,AP$14,,AP$19)),_xlpm.Res,IF(OR(_xlpm.val="",_xlpm.val="Error"),"",_xlpm.val),_xlpm.Res)</f>
        <v>#NAME?</v>
      </c>
      <c r="AQ44" s="1669" t="e" cm="1">
        <f t="array" ca="1" aca="1" ref="AQ44">_xlfn.LET(_xlpm.val,IF($F44="",val_blankRefText,_xldudf_CX_GET(CX_ENTITY,($F44),AQ$11,AQ$14,,AQ$19)),_xlpm.Res,IF(OR(_xlpm.val="",_xlpm.val="Error"),"",_xlpm.val),_xlpm.Res)</f>
        <v>#NAME?</v>
      </c>
      <c r="AR44" s="1669" t="e" cm="1">
        <f t="array" ca="1" aca="1" ref="AR44">_xlfn.LET(_xlpm.val,IF($F44="",val_blankRefText,_xldudf_CX_GET(CX_ENTITY,($F44),AR$11,AR$14,,AR$19)),_xlpm.Res,IF(OR(_xlpm.val="",_xlpm.val="Error"),"",_xlpm.val),_xlpm.Res)</f>
        <v>#NAME?</v>
      </c>
      <c r="AS44" s="1669" t="e" cm="1">
        <f t="array" ca="1" aca="1" ref="AS44">_xlfn.LET(_xlpm.val,IF($F44="",val_blankRefText,_xldudf_CX_GET(CX_ENTITY,($F44),AS$11,AS$14,,AS$19)),_xlpm.Res,IF(OR(_xlpm.val="",_xlpm.val="Error"),"",_xlpm.val),_xlpm.Res)</f>
        <v>#NAME?</v>
      </c>
      <c r="AT44" s="1669" t="e" cm="1">
        <f t="array" ca="1" aca="1" ref="AT44">_xlfn.LET(_xlpm.val,IF($F44="",val_blankRefText,_xldudf_CX_GET(CX_ENTITY,($F44),AT$11,AT$14,,AT$19)),_xlpm.Res,IF(OR(_xlpm.val="",_xlpm.val="Error"),"",_xlpm.val),_xlpm.Res)</f>
        <v>#NAME?</v>
      </c>
      <c r="AU44" s="1669" t="e" cm="1">
        <f t="array" ca="1" aca="1" ref="AU44">_xlfn.LET(_xlpm.val,IF($F44="",val_blankRefText,_xldudf_CX_GET(CX_ENTITY,($F44),AU$11,AU$14,,AU$19)),_xlpm.Res,IF(OR(_xlpm.val="",_xlpm.val="Error"),"",_xlpm.val),_xlpm.Res)</f>
        <v>#NAME?</v>
      </c>
      <c r="AV44" s="1669" t="e" cm="1">
        <f t="array" ca="1" aca="1" ref="AV44">_xlfn.LET(_xlpm.val,IF($F44="",val_blankRefText,_xldudf_CX_GET(CX_ENTITY,($F44),AV$11,AV$14,,AV$19)),_xlpm.Res,IF(OR(_xlpm.val="",_xlpm.val="Error"),"",_xlpm.val),_xlpm.Res)</f>
        <v>#NAME?</v>
      </c>
      <c r="AW44" s="1669" t="e" cm="1">
        <f t="array" ca="1" aca="1" ref="AW44">_xlfn.LET(_xlpm.val,IF($F44="",val_blankRefText,_xldudf_CX_GET(CX_ENTITY,($F44),AW$11,AW$14,,AW$19)),_xlpm.Res,IF(OR(_xlpm.val="",_xlpm.val="Error"),"",_xlpm.val),_xlpm.Res)</f>
        <v>#NAME?</v>
      </c>
      <c r="AX44" s="1669" t="e" cm="1">
        <f t="array" ca="1" aca="1" ref="AX44">_xlfn.LET(_xlpm.val,IF($F44="",val_blankRefText,_xldudf_CX_GET(CX_ENTITY,($F44),AX$11,AX$14,,AX$19)),_xlpm.Res,IF(OR(_xlpm.val="",_xlpm.val="Error"),"",_xlpm.val),_xlpm.Res)</f>
        <v>#NAME?</v>
      </c>
      <c r="AY44" s="1669" t="e" cm="1">
        <f t="array" ca="1" aca="1" ref="AY44">_xlfn.LET(_xlpm.val,IF($F44="",val_blankRefText,_xldudf_CX_GET(CX_ENTITY,($F44),AY$11,AY$14,,AY$19)),_xlpm.Res,IF(OR(_xlpm.val="",_xlpm.val="Error"),"",_xlpm.val),_xlpm.Res)</f>
        <v>#NAME?</v>
      </c>
      <c r="AZ44" s="1669" t="e" cm="1">
        <f t="array" ca="1" aca="1" ref="AZ44">_xlfn.LET(_xlpm.val,IF($F44="",val_blankRefText,_xldudf_CX_GET(CX_ENTITY,($F44),AZ$11,AZ$14,,AZ$19)),_xlpm.Res,IF(OR(_xlpm.val="",_xlpm.val="Error"),"",_xlpm.val),_xlpm.Res)</f>
        <v>#NAME?</v>
      </c>
      <c r="BA44" s="1669" t="e" cm="1">
        <f t="array" ca="1" aca="1" ref="BA44">_xlfn.LET(_xlpm.val,IF($F44="",val_blankRefText,_xldudf_CX_GET(CX_ENTITY,($F44),BA$11,BA$14,,BA$19)),_xlpm.Res,IF(OR(_xlpm.val="",_xlpm.val="Error"),"",_xlpm.val),_xlpm.Res)</f>
        <v>#NAME?</v>
      </c>
      <c r="BB44" s="1669" t="e" cm="1">
        <f t="array" ca="1" aca="1" ref="BB44">_xlfn.LET(_xlpm.val,IF($F44="",val_blankRefText,_xldudf_CX_GET(CX_ENTITY,($F44),BB$11,BB$14,,BB$19)),_xlpm.Res,IF(OR(_xlpm.val="",_xlpm.val="Error"),"",_xlpm.val),_xlpm.Res)</f>
        <v>#NAME?</v>
      </c>
      <c r="BC44" s="1669" t="e" cm="1">
        <f t="array" ca="1" aca="1" ref="BC44">_xlfn.LET(_xlpm.val,IF($F44="",val_blankRefText,_xldudf_CX_GET(CX_ENTITY,($F44),BC$11,BC$14,,BC$19)),_xlpm.Res,IF(OR(_xlpm.val="",_xlpm.val="Error"),"",_xlpm.val),_xlpm.Res)</f>
        <v>#NAME?</v>
      </c>
      <c r="BD44" s="1669" t="e" cm="1">
        <f t="array" ca="1" aca="1" ref="BD44">_xlfn.LET(_xlpm.val,IF($F44="",val_blankRefText,_xldudf_CX_GET(CX_ENTITY,($F44),BD$11,BD$14,,BD$19)),_xlpm.Res,IF(OR(_xlpm.val="",_xlpm.val="Error"),"",_xlpm.val),_xlpm.Res)</f>
        <v>#NAME?</v>
      </c>
      <c r="BE44" s="1669" t="e" cm="1">
        <f t="array" ca="1" aca="1" ref="BE44">_xlfn.LET(_xlpm.val,IF($F44="",val_blankRefText,_xldudf_CX_GET(CX_ENTITY,($F44),BE$11,BE$14,,BE$19)),_xlpm.Res,IF(OR(_xlpm.val="",_xlpm.val="Error"),"",_xlpm.val),_xlpm.Res)</f>
        <v>#NAME?</v>
      </c>
      <c r="BF44" s="1669" t="e" cm="1">
        <f t="array" ca="1" aca="1" ref="BF44">_xlfn.LET(_xlpm.val,IF($F44="",val_blankRefText,_xldudf_CX_GET(CX_ENTITY,($F44),BF$11,BF$14,,BF$19)),_xlpm.Res,IF(OR(_xlpm.val="",_xlpm.val="Error"),"",_xlpm.val),_xlpm.Res)</f>
        <v>#NAME?</v>
      </c>
      <c r="BG44" s="1669" t="e" cm="1">
        <f t="array" ca="1" aca="1" ref="BG44">_xlfn.LET(_xlpm.val,IF($F44="",val_blankRefText,_xldudf_CX_GET(CX_ENTITY,($F44),BG$11,BG$14,,BG$19)),_xlpm.Res,IF(OR(_xlpm.val="",_xlpm.val="Error"),"",_xlpm.val),_xlpm.Res)</f>
        <v>#NAME?</v>
      </c>
      <c r="BH44" s="1669" t="e" cm="1">
        <f t="array" ca="1" aca="1" ref="BH44">_xlfn.LET(_xlpm.val,IF($F44="",val_blankRefText,_xldudf_CX_GET(CX_ENTITY,($F44),BH$11,BH$14,,BH$19)),_xlpm.Res,IF(OR(_xlpm.val="",_xlpm.val="Error"),"",_xlpm.val),_xlpm.Res)</f>
        <v>#NAME?</v>
      </c>
      <c r="BI44" s="1669" t="e" cm="1">
        <f t="array" ca="1" aca="1" ref="BI44">_xlfn.LET(_xlpm.val,IF($F44="",val_blankRefText,_xldudf_CX_GET(CX_ENTITY,($F44),BI$11,BI$14,,BI$19)),_xlpm.Res,IF(OR(_xlpm.val="",_xlpm.val="Error"),"",_xlpm.val),_xlpm.Res)</f>
        <v>#NAME?</v>
      </c>
      <c r="BJ44" s="1669" t="e" cm="1">
        <f t="array" ca="1" aca="1" ref="BJ44">_xlfn.LET(_xlpm.val,IF($F44="",val_blankRefText,_xldudf_CX_GET(CX_ENTITY,($F44),BJ$11,BJ$14,,BJ$19)),_xlpm.Res,IF(OR(_xlpm.val="",_xlpm.val="Error"),"",_xlpm.val),_xlpm.Res)</f>
        <v>#NAME?</v>
      </c>
      <c r="BK44" s="1669" t="e" cm="1">
        <f t="array" ca="1" aca="1" ref="BK44">_xlfn.LET(_xlpm.val,IF($F44="",val_blankRefText,_xldudf_CX_GET(CX_ENTITY,($F44),BK$11,BK$14,,BK$19)),_xlpm.Res,IF(OR(_xlpm.val="",_xlpm.val="Error"),"",_xlpm.val),_xlpm.Res)</f>
        <v>#NAME?</v>
      </c>
      <c r="BL44" s="1669" t="e" cm="1">
        <f t="array" ca="1" aca="1" ref="BL44">_xlfn.LET(_xlpm.val,IF($F44="",val_blankRefText,_xldudf_CX_GET(CX_ENTITY,($F44),BL$11,BL$14,,BL$19)),_xlpm.Res,IF(OR(_xlpm.val="",_xlpm.val="Error"),"",_xlpm.val),_xlpm.Res)</f>
        <v>#NAME?</v>
      </c>
      <c r="BM44" s="1669" t="e" cm="1">
        <f t="array" ca="1" aca="1" ref="BM44">_xlfn.LET(_xlpm.val,IF($F44="",val_blankRefText,_xldudf_CX_GET(CX_ENTITY,($F44),BM$11,BM$14,,BM$19)),_xlpm.Res,IF(OR(_xlpm.val="",_xlpm.val="Error"),"",_xlpm.val),_xlpm.Res)</f>
        <v>#NAME?</v>
      </c>
      <c r="BN44" s="1669" t="e" cm="1">
        <f t="array" ca="1" aca="1" ref="BN44">_xlfn.LET(_xlpm.val,IF($F44="",val_blankRefText,_xldudf_CX_GET(CX_ENTITY,($F44),BN$11,BN$14,,BN$19)),_xlpm.Res,IF(OR(_xlpm.val="",_xlpm.val="Error"),"",_xlpm.val),_xlpm.Res)</f>
        <v>#NAME?</v>
      </c>
      <c r="BO44" s="2095"/>
      <c r="BP44" s="2095"/>
      <c r="BQ44" s="2095"/>
      <c r="BR44" s="2095"/>
      <c r="BS44" s="2095"/>
      <c r="BT44" s="2095"/>
      <c r="BU44" s="2095"/>
      <c r="BV44" s="2095"/>
      <c r="BW44" s="2095"/>
      <c r="BX44" s="2095"/>
      <c r="BY44" s="2095"/>
      <c r="BZ44" s="2095"/>
      <c r="CA44" s="926"/>
      <c r="CB44" s="921"/>
      <c r="CC44" s="927"/>
      <c r="CD44" s="920" t="e" cm="1">
        <f t="array" ca="1" aca="1" ref="CD44">_xlfn.XLOOKUP(BS!CD$11,array_timeline,BS!$AD44:$BN44)</f>
        <v>#NAME?</v>
      </c>
      <c r="CE44" s="920" t="e" cm="1">
        <f t="array" ca="1" aca="1" ref="CE44">_xlfn.XLOOKUP(BS!CE$11,array_timeline,BS!$AD44:$BN44)</f>
        <v>#NAME?</v>
      </c>
      <c r="CF44" s="925"/>
      <c r="CG44" s="920" t="e" cm="1">
        <f t="array" ca="1" aca="1" ref="CG44">_xlfn.LET(_xlpm.val,IF($F44="",val_blankRefText,_xldudf_CX_GET(CX_ENTITY,($F44),CG$11,CG$14,,(CG$19))),_xlpm.Res,IF(OR(_xlpm.val="",_xlpm.val="Error"),"",_xlpm.val),_xlpm.Res)</f>
        <v>#NAME?</v>
      </c>
      <c r="CH44" s="920" t="e" cm="1">
        <f t="array" ca="1" aca="1" ref="CH44">_xlfn.LET(_xlpm.val,IF($F44="",val_blankRefText,_xldudf_CX_GET(CX_ENTITY,($F44),CH$11,CH$14,,(CH$19))),_xlpm.Res,IF(OR(_xlpm.val="",_xlpm.val="Error"),"",_xlpm.val),_xlpm.Res)</f>
        <v>#NAME?</v>
      </c>
      <c r="CI44" s="200"/>
    </row>
    <row r="45" spans="1:87" ht="21" customHeight="1">
      <c r="A45" s="696" t="s">
        <v>1735</v>
      </c>
      <c r="B45" s="577" t="s">
        <v>1736</v>
      </c>
      <c r="C45" s="577" t="s">
        <v>1737</v>
      </c>
      <c r="D45" s="577"/>
      <c r="E45" s="577" t="e" cm="1">
        <f t="array" ca="1" aca="1" ref="E45">_xlfn.LET(_xlpm.Attr,$C45,_xlpm.Lookback,$E$16,_xlpm.QueryDate,EOMONTH(val_asOfDate,_xlpm.Lookback),_xlpm.ReadField,_xldudf_CX_GET(CX_ENTITY,fx_attrConverter($C45),_xlpm.QueryDate),_xlpm.AttrBlank,_xlpm.Attr="",_xlpm.RESULT,IF(_xlpm.AttrBlank,val_blankRefText,fx_attrConverter(_xlpm.ReadField,0)),IF(_xlpm.RESULT="Error","",_xlpm.RESULT))</f>
        <v>#NAME?</v>
      </c>
      <c r="F45" s="577" t="str">
        <f t="shared" si="1"/>
        <v>Potential Debt Like Items (on BS)</v>
      </c>
      <c r="G45" s="574"/>
      <c r="H45" s="3279">
        <v>2</v>
      </c>
      <c r="I45" s="3279">
        <v>1</v>
      </c>
      <c r="J45" s="401"/>
      <c r="K45" s="401"/>
      <c r="L45" s="579">
        <v>-1</v>
      </c>
      <c r="N45" s="158"/>
      <c r="O45" s="101"/>
      <c r="P45" s="52"/>
      <c r="Q45" s="101"/>
      <c r="R45" s="101"/>
      <c r="S45" s="101"/>
      <c r="T45" s="101"/>
      <c r="U45" s="39"/>
      <c r="W45" s="922" t="str">
        <f t="shared" si="4"/>
        <v>Actual</v>
      </c>
      <c r="X45" s="1294">
        <v>0</v>
      </c>
      <c r="Y45" s="2628" t="s">
        <v>1738</v>
      </c>
      <c r="Z45" s="198" cm="1">
        <f t="array" ref="Z45">_xlfn.SWITCH(TRUE,$L45="",0,$L45=TRUE,1,$L45=FALSE,-1,)</f>
        <v>0</v>
      </c>
      <c r="AA45" s="2629"/>
      <c r="AB45" s="2623" t="s">
        <v>1738</v>
      </c>
      <c r="AC45" s="88" t="str" cm="1">
        <f t="array" ref="AC45">IFERROR(IF(_xlfn.XMATCH(AB45,tbl_acctDef[Term],0)&gt;0,fx_getIcon("find"),""),"")</f>
        <v/>
      </c>
      <c r="AD45" s="1669" t="e" cm="1">
        <f t="array" ca="1" aca="1" ref="AD45">_xlfn.LET(_xlpm.val,IF($F45="",val_blankRefText,_xldudf_CX_GET(CX_ENTITY,($F45),AD$11,AD$14,,AD$19)),_xlpm.Res,IF(OR(_xlpm.val="",_xlpm.val="Error"),"",_xlpm.val),_xlpm.Res)</f>
        <v>#NAME?</v>
      </c>
      <c r="AE45" s="1669" t="e" cm="1">
        <f t="array" ca="1" aca="1" ref="AE45">_xlfn.LET(_xlpm.val,IF($F45="",val_blankRefText,_xldudf_CX_GET(CX_ENTITY,($F45),AE$11,AE$14,,AE$19)),_xlpm.Res,IF(OR(_xlpm.val="",_xlpm.val="Error"),"",_xlpm.val),_xlpm.Res)</f>
        <v>#NAME?</v>
      </c>
      <c r="AF45" s="1669" t="e" cm="1">
        <f t="array" ca="1" aca="1" ref="AF45">_xlfn.LET(_xlpm.val,IF($F45="",val_blankRefText,_xldudf_CX_GET(CX_ENTITY,($F45),AF$11,AF$14,,AF$19)),_xlpm.Res,IF(OR(_xlpm.val="",_xlpm.val="Error"),"",_xlpm.val),_xlpm.Res)</f>
        <v>#NAME?</v>
      </c>
      <c r="AG45" s="1669" t="e" cm="1">
        <f t="array" ca="1" aca="1" ref="AG45">_xlfn.LET(_xlpm.val,IF($F45="",val_blankRefText,_xldudf_CX_GET(CX_ENTITY,($F45),AG$11,AG$14,,AG$19)),_xlpm.Res,IF(OR(_xlpm.val="",_xlpm.val="Error"),"",_xlpm.val),_xlpm.Res)</f>
        <v>#NAME?</v>
      </c>
      <c r="AH45" s="1669" t="e" cm="1">
        <f t="array" ca="1" aca="1" ref="AH45">_xlfn.LET(_xlpm.val,IF($F45="",val_blankRefText,_xldudf_CX_GET(CX_ENTITY,($F45),AH$11,AH$14,,AH$19)),_xlpm.Res,IF(OR(_xlpm.val="",_xlpm.val="Error"),"",_xlpm.val),_xlpm.Res)</f>
        <v>#NAME?</v>
      </c>
      <c r="AI45" s="1669" t="e" cm="1">
        <f t="array" ca="1" aca="1" ref="AI45">_xlfn.LET(_xlpm.val,IF($F45="",val_blankRefText,_xldudf_CX_GET(CX_ENTITY,($F45),AI$11,AI$14,,AI$19)),_xlpm.Res,IF(OR(_xlpm.val="",_xlpm.val="Error"),"",_xlpm.val),_xlpm.Res)</f>
        <v>#NAME?</v>
      </c>
      <c r="AJ45" s="1669" t="e" cm="1">
        <f t="array" ca="1" aca="1" ref="AJ45">_xlfn.LET(_xlpm.val,IF($F45="",val_blankRefText,_xldudf_CX_GET(CX_ENTITY,($F45),AJ$11,AJ$14,,AJ$19)),_xlpm.Res,IF(OR(_xlpm.val="",_xlpm.val="Error"),"",_xlpm.val),_xlpm.Res)</f>
        <v>#NAME?</v>
      </c>
      <c r="AK45" s="1669" t="e" cm="1">
        <f t="array" ca="1" aca="1" ref="AK45">_xlfn.LET(_xlpm.val,IF($F45="",val_blankRefText,_xldudf_CX_GET(CX_ENTITY,($F45),AK$11,AK$14,,AK$19)),_xlpm.Res,IF(OR(_xlpm.val="",_xlpm.val="Error"),"",_xlpm.val),_xlpm.Res)</f>
        <v>#NAME?</v>
      </c>
      <c r="AL45" s="1669" t="e" cm="1">
        <f t="array" ca="1" aca="1" ref="AL45">_xlfn.LET(_xlpm.val,IF($F45="",val_blankRefText,_xldudf_CX_GET(CX_ENTITY,($F45),AL$11,AL$14,,AL$19)),_xlpm.Res,IF(OR(_xlpm.val="",_xlpm.val="Error"),"",_xlpm.val),_xlpm.Res)</f>
        <v>#NAME?</v>
      </c>
      <c r="AM45" s="1669" t="e" cm="1">
        <f t="array" ca="1" aca="1" ref="AM45">_xlfn.LET(_xlpm.val,IF($F45="",val_blankRefText,_xldudf_CX_GET(CX_ENTITY,($F45),AM$11,AM$14,,AM$19)),_xlpm.Res,IF(OR(_xlpm.val="",_xlpm.val="Error"),"",_xlpm.val),_xlpm.Res)</f>
        <v>#NAME?</v>
      </c>
      <c r="AN45" s="1669" t="e" cm="1">
        <f t="array" ca="1" aca="1" ref="AN45">_xlfn.LET(_xlpm.val,IF($F45="",val_blankRefText,_xldudf_CX_GET(CX_ENTITY,($F45),AN$11,AN$14,,AN$19)),_xlpm.Res,IF(OR(_xlpm.val="",_xlpm.val="Error"),"",_xlpm.val),_xlpm.Res)</f>
        <v>#NAME?</v>
      </c>
      <c r="AO45" s="1669" t="e" cm="1">
        <f t="array" ca="1" aca="1" ref="AO45">_xlfn.LET(_xlpm.val,IF($F45="",val_blankRefText,_xldudf_CX_GET(CX_ENTITY,($F45),AO$11,AO$14,,AO$19)),_xlpm.Res,IF(OR(_xlpm.val="",_xlpm.val="Error"),"",_xlpm.val),_xlpm.Res)</f>
        <v>#NAME?</v>
      </c>
      <c r="AP45" s="1669" t="e" cm="1">
        <f t="array" ca="1" aca="1" ref="AP45">_xlfn.LET(_xlpm.val,IF($F45="",val_blankRefText,_xldudf_CX_GET(CX_ENTITY,($F45),AP$11,AP$14,,AP$19)),_xlpm.Res,IF(OR(_xlpm.val="",_xlpm.val="Error"),"",_xlpm.val),_xlpm.Res)</f>
        <v>#NAME?</v>
      </c>
      <c r="AQ45" s="1669" t="e" cm="1">
        <f t="array" ca="1" aca="1" ref="AQ45">_xlfn.LET(_xlpm.val,IF($F45="",val_blankRefText,_xldudf_CX_GET(CX_ENTITY,($F45),AQ$11,AQ$14,,AQ$19)),_xlpm.Res,IF(OR(_xlpm.val="",_xlpm.val="Error"),"",_xlpm.val),_xlpm.Res)</f>
        <v>#NAME?</v>
      </c>
      <c r="AR45" s="1669" t="e" cm="1">
        <f t="array" ca="1" aca="1" ref="AR45">_xlfn.LET(_xlpm.val,IF($F45="",val_blankRefText,_xldudf_CX_GET(CX_ENTITY,($F45),AR$11,AR$14,,AR$19)),_xlpm.Res,IF(OR(_xlpm.val="",_xlpm.val="Error"),"",_xlpm.val),_xlpm.Res)</f>
        <v>#NAME?</v>
      </c>
      <c r="AS45" s="1669" t="e" cm="1">
        <f t="array" ca="1" aca="1" ref="AS45">_xlfn.LET(_xlpm.val,IF($F45="",val_blankRefText,_xldudf_CX_GET(CX_ENTITY,($F45),AS$11,AS$14,,AS$19)),_xlpm.Res,IF(OR(_xlpm.val="",_xlpm.val="Error"),"",_xlpm.val),_xlpm.Res)</f>
        <v>#NAME?</v>
      </c>
      <c r="AT45" s="1669" t="e" cm="1">
        <f t="array" ca="1" aca="1" ref="AT45">_xlfn.LET(_xlpm.val,IF($F45="",val_blankRefText,_xldudf_CX_GET(CX_ENTITY,($F45),AT$11,AT$14,,AT$19)),_xlpm.Res,IF(OR(_xlpm.val="",_xlpm.val="Error"),"",_xlpm.val),_xlpm.Res)</f>
        <v>#NAME?</v>
      </c>
      <c r="AU45" s="1669" t="e" cm="1">
        <f t="array" ca="1" aca="1" ref="AU45">_xlfn.LET(_xlpm.val,IF($F45="",val_blankRefText,_xldudf_CX_GET(CX_ENTITY,($F45),AU$11,AU$14,,AU$19)),_xlpm.Res,IF(OR(_xlpm.val="",_xlpm.val="Error"),"",_xlpm.val),_xlpm.Res)</f>
        <v>#NAME?</v>
      </c>
      <c r="AV45" s="1669" t="e" cm="1">
        <f t="array" ca="1" aca="1" ref="AV45">_xlfn.LET(_xlpm.val,IF($F45="",val_blankRefText,_xldudf_CX_GET(CX_ENTITY,($F45),AV$11,AV$14,,AV$19)),_xlpm.Res,IF(OR(_xlpm.val="",_xlpm.val="Error"),"",_xlpm.val),_xlpm.Res)</f>
        <v>#NAME?</v>
      </c>
      <c r="AW45" s="1669" t="e" cm="1">
        <f t="array" ca="1" aca="1" ref="AW45">_xlfn.LET(_xlpm.val,IF($F45="",val_blankRefText,_xldudf_CX_GET(CX_ENTITY,($F45),AW$11,AW$14,,AW$19)),_xlpm.Res,IF(OR(_xlpm.val="",_xlpm.val="Error"),"",_xlpm.val),_xlpm.Res)</f>
        <v>#NAME?</v>
      </c>
      <c r="AX45" s="1669" t="e" cm="1">
        <f t="array" ca="1" aca="1" ref="AX45">_xlfn.LET(_xlpm.val,IF($F45="",val_blankRefText,_xldudf_CX_GET(CX_ENTITY,($F45),AX$11,AX$14,,AX$19)),_xlpm.Res,IF(OR(_xlpm.val="",_xlpm.val="Error"),"",_xlpm.val),_xlpm.Res)</f>
        <v>#NAME?</v>
      </c>
      <c r="AY45" s="1669" t="e" cm="1">
        <f t="array" ca="1" aca="1" ref="AY45">_xlfn.LET(_xlpm.val,IF($F45="",val_blankRefText,_xldudf_CX_GET(CX_ENTITY,($F45),AY$11,AY$14,,AY$19)),_xlpm.Res,IF(OR(_xlpm.val="",_xlpm.val="Error"),"",_xlpm.val),_xlpm.Res)</f>
        <v>#NAME?</v>
      </c>
      <c r="AZ45" s="1669" t="e" cm="1">
        <f t="array" ca="1" aca="1" ref="AZ45">_xlfn.LET(_xlpm.val,IF($F45="",val_blankRefText,_xldudf_CX_GET(CX_ENTITY,($F45),AZ$11,AZ$14,,AZ$19)),_xlpm.Res,IF(OR(_xlpm.val="",_xlpm.val="Error"),"",_xlpm.val),_xlpm.Res)</f>
        <v>#NAME?</v>
      </c>
      <c r="BA45" s="1669" t="e" cm="1">
        <f t="array" ca="1" aca="1" ref="BA45">_xlfn.LET(_xlpm.val,IF($F45="",val_blankRefText,_xldudf_CX_GET(CX_ENTITY,($F45),BA$11,BA$14,,BA$19)),_xlpm.Res,IF(OR(_xlpm.val="",_xlpm.val="Error"),"",_xlpm.val),_xlpm.Res)</f>
        <v>#NAME?</v>
      </c>
      <c r="BB45" s="1669" t="e" cm="1">
        <f t="array" ca="1" aca="1" ref="BB45">_xlfn.LET(_xlpm.val,IF($F45="",val_blankRefText,_xldudf_CX_GET(CX_ENTITY,($F45),BB$11,BB$14,,BB$19)),_xlpm.Res,IF(OR(_xlpm.val="",_xlpm.val="Error"),"",_xlpm.val),_xlpm.Res)</f>
        <v>#NAME?</v>
      </c>
      <c r="BC45" s="1669" t="e" cm="1">
        <f t="array" ca="1" aca="1" ref="BC45">_xlfn.LET(_xlpm.val,IF($F45="",val_blankRefText,_xldudf_CX_GET(CX_ENTITY,($F45),BC$11,BC$14,,BC$19)),_xlpm.Res,IF(OR(_xlpm.val="",_xlpm.val="Error"),"",_xlpm.val),_xlpm.Res)</f>
        <v>#NAME?</v>
      </c>
      <c r="BD45" s="1669" t="e" cm="1">
        <f t="array" ca="1" aca="1" ref="BD45">_xlfn.LET(_xlpm.val,IF($F45="",val_blankRefText,_xldudf_CX_GET(CX_ENTITY,($F45),BD$11,BD$14,,BD$19)),_xlpm.Res,IF(OR(_xlpm.val="",_xlpm.val="Error"),"",_xlpm.val),_xlpm.Res)</f>
        <v>#NAME?</v>
      </c>
      <c r="BE45" s="1669" t="e" cm="1">
        <f t="array" ca="1" aca="1" ref="BE45">_xlfn.LET(_xlpm.val,IF($F45="",val_blankRefText,_xldudf_CX_GET(CX_ENTITY,($F45),BE$11,BE$14,,BE$19)),_xlpm.Res,IF(OR(_xlpm.val="",_xlpm.val="Error"),"",_xlpm.val),_xlpm.Res)</f>
        <v>#NAME?</v>
      </c>
      <c r="BF45" s="1669" t="e" cm="1">
        <f t="array" ca="1" aca="1" ref="BF45">_xlfn.LET(_xlpm.val,IF($F45="",val_blankRefText,_xldudf_CX_GET(CX_ENTITY,($F45),BF$11,BF$14,,BF$19)),_xlpm.Res,IF(OR(_xlpm.val="",_xlpm.val="Error"),"",_xlpm.val),_xlpm.Res)</f>
        <v>#NAME?</v>
      </c>
      <c r="BG45" s="1669" t="e" cm="1">
        <f t="array" ca="1" aca="1" ref="BG45">_xlfn.LET(_xlpm.val,IF($F45="",val_blankRefText,_xldudf_CX_GET(CX_ENTITY,($F45),BG$11,BG$14,,BG$19)),_xlpm.Res,IF(OR(_xlpm.val="",_xlpm.val="Error"),"",_xlpm.val),_xlpm.Res)</f>
        <v>#NAME?</v>
      </c>
      <c r="BH45" s="1669" t="e" cm="1">
        <f t="array" ca="1" aca="1" ref="BH45">_xlfn.LET(_xlpm.val,IF($F45="",val_blankRefText,_xldudf_CX_GET(CX_ENTITY,($F45),BH$11,BH$14,,BH$19)),_xlpm.Res,IF(OR(_xlpm.val="",_xlpm.val="Error"),"",_xlpm.val),_xlpm.Res)</f>
        <v>#NAME?</v>
      </c>
      <c r="BI45" s="1669" t="e" cm="1">
        <f t="array" ca="1" aca="1" ref="BI45">_xlfn.LET(_xlpm.val,IF($F45="",val_blankRefText,_xldudf_CX_GET(CX_ENTITY,($F45),BI$11,BI$14,,BI$19)),_xlpm.Res,IF(OR(_xlpm.val="",_xlpm.val="Error"),"",_xlpm.val),_xlpm.Res)</f>
        <v>#NAME?</v>
      </c>
      <c r="BJ45" s="1669" t="e" cm="1">
        <f t="array" ca="1" aca="1" ref="BJ45">_xlfn.LET(_xlpm.val,IF($F45="",val_blankRefText,_xldudf_CX_GET(CX_ENTITY,($F45),BJ$11,BJ$14,,BJ$19)),_xlpm.Res,IF(OR(_xlpm.val="",_xlpm.val="Error"),"",_xlpm.val),_xlpm.Res)</f>
        <v>#NAME?</v>
      </c>
      <c r="BK45" s="1669" t="e" cm="1">
        <f t="array" ca="1" aca="1" ref="BK45">_xlfn.LET(_xlpm.val,IF($F45="",val_blankRefText,_xldudf_CX_GET(CX_ENTITY,($F45),BK$11,BK$14,,BK$19)),_xlpm.Res,IF(OR(_xlpm.val="",_xlpm.val="Error"),"",_xlpm.val),_xlpm.Res)</f>
        <v>#NAME?</v>
      </c>
      <c r="BL45" s="1669" t="e" cm="1">
        <f t="array" ca="1" aca="1" ref="BL45">_xlfn.LET(_xlpm.val,IF($F45="",val_blankRefText,_xldudf_CX_GET(CX_ENTITY,($F45),BL$11,BL$14,,BL$19)),_xlpm.Res,IF(OR(_xlpm.val="",_xlpm.val="Error"),"",_xlpm.val),_xlpm.Res)</f>
        <v>#NAME?</v>
      </c>
      <c r="BM45" s="1669" t="e" cm="1">
        <f t="array" ca="1" aca="1" ref="BM45">_xlfn.LET(_xlpm.val,IF($F45="",val_blankRefText,_xldudf_CX_GET(CX_ENTITY,($F45),BM$11,BM$14,,BM$19)),_xlpm.Res,IF(OR(_xlpm.val="",_xlpm.val="Error"),"",_xlpm.val),_xlpm.Res)</f>
        <v>#NAME?</v>
      </c>
      <c r="BN45" s="1669" t="e" cm="1">
        <f t="array" ca="1" aca="1" ref="BN45">_xlfn.LET(_xlpm.val,IF($F45="",val_blankRefText,_xldudf_CX_GET(CX_ENTITY,($F45),BN$11,BN$14,,BN$19)),_xlpm.Res,IF(OR(_xlpm.val="",_xlpm.val="Error"),"",_xlpm.val),_xlpm.Res)</f>
        <v>#NAME?</v>
      </c>
      <c r="BO45" s="2095"/>
      <c r="BP45" s="2095"/>
      <c r="BQ45" s="2095"/>
      <c r="BR45" s="2095"/>
      <c r="BS45" s="2095"/>
      <c r="BT45" s="2095"/>
      <c r="BU45" s="2095"/>
      <c r="BV45" s="2095"/>
      <c r="BW45" s="2095"/>
      <c r="BX45" s="2095"/>
      <c r="BY45" s="2095"/>
      <c r="BZ45" s="2095"/>
      <c r="CA45" s="926"/>
      <c r="CB45" s="921"/>
      <c r="CC45" s="927"/>
      <c r="CD45" s="919" t="e" cm="1">
        <f t="array" ca="1" aca="1" ref="CD45">_xlfn.XLOOKUP(BS!CD$11,array_timeline,BS!$AD45:$BN45)</f>
        <v>#NAME?</v>
      </c>
      <c r="CE45" s="919" t="e" cm="1">
        <f t="array" ca="1" aca="1" ref="CE45">_xlfn.XLOOKUP(BS!CE$11,array_timeline,BS!$AD45:$BN45)</f>
        <v>#NAME?</v>
      </c>
      <c r="CF45" s="925"/>
      <c r="CG45" s="919" t="e" cm="1">
        <f t="array" ca="1" aca="1" ref="CG45">_xlfn.LET(_xlpm.val,IF($F45="",val_blankRefText,_xldudf_CX_GET(CX_ENTITY,($F45),CG$11,CG$14,,(CG$19))),_xlpm.Res,IF(OR(_xlpm.val="",_xlpm.val="Error"),"",_xlpm.val),_xlpm.Res)</f>
        <v>#NAME?</v>
      </c>
      <c r="CH45" s="919" t="e" cm="1">
        <f t="array" ca="1" aca="1" ref="CH45">_xlfn.LET(_xlpm.val,IF($F45="",val_blankRefText,_xldudf_CX_GET(CX_ENTITY,($F45),CH$11,CH$14,,(CH$19))),_xlpm.Res,IF(OR(_xlpm.val="",_xlpm.val="Error"),"",_xlpm.val),_xlpm.Res)</f>
        <v>#NAME?</v>
      </c>
      <c r="CI45" s="924"/>
    </row>
    <row r="46" spans="1:87" ht="21" customHeight="1">
      <c r="A46" s="696"/>
      <c r="B46" s="577" t="s">
        <v>1739</v>
      </c>
      <c r="C46" s="577" t="s">
        <v>1740</v>
      </c>
      <c r="D46" s="577"/>
      <c r="E46" s="577" t="e" cm="1">
        <f t="array" ca="1" aca="1" ref="E46">_xlfn.LET(_xlpm.Attr,$C46,_xlpm.Lookback,$E$16,_xlpm.QueryDate,EOMONTH(val_asOfDate,_xlpm.Lookback),_xlpm.ReadField,_xldudf_CX_GET(CX_ENTITY,fx_attrConverter($C46),_xlpm.QueryDate),_xlpm.AttrBlank,_xlpm.Attr="",_xlpm.RESULT,IF(_xlpm.AttrBlank,val_blankRefText,fx_attrConverter(_xlpm.ReadField,0)),IF(_xlpm.RESULT="Error","",_xlpm.RESULT))</f>
        <v>#NAME?</v>
      </c>
      <c r="F46" s="577" t="str">
        <f t="shared" si="1"/>
        <v>Net (Debt) / Cash</v>
      </c>
      <c r="G46" s="574"/>
      <c r="H46" s="3279">
        <v>2</v>
      </c>
      <c r="I46" s="3279">
        <v>1</v>
      </c>
      <c r="J46" s="401"/>
      <c r="K46" s="401"/>
      <c r="L46" s="579">
        <v>-1</v>
      </c>
      <c r="N46" s="158"/>
      <c r="O46" s="101"/>
      <c r="P46" s="52"/>
      <c r="Q46" s="101"/>
      <c r="R46" s="126"/>
      <c r="S46" s="101"/>
      <c r="T46" s="101"/>
      <c r="U46" s="39"/>
      <c r="W46" s="922" t="str">
        <f t="shared" si="4"/>
        <v>Actual</v>
      </c>
      <c r="X46" s="1294">
        <v>0</v>
      </c>
      <c r="Y46" s="2628" t="s">
        <v>1741</v>
      </c>
      <c r="Z46" s="198" cm="1">
        <f t="array" ref="Z46">_xlfn.SWITCH(TRUE,$L46="",0,$L46=TRUE,1,$L46=FALSE,-1,)</f>
        <v>0</v>
      </c>
      <c r="AA46" s="2629"/>
      <c r="AB46" s="2623" t="s">
        <v>1741</v>
      </c>
      <c r="AC46" s="88" t="str" cm="1">
        <f t="array" ref="AC46">IFERROR(IF(_xlfn.XMATCH(AB46,tbl_acctDef[Term],0)&gt;0,fx_getIcon("find"),""),"")</f>
        <v/>
      </c>
      <c r="AD46" s="1669" t="e" cm="1">
        <f t="array" ca="1" aca="1" ref="AD46">_xlfn.LET(_xlpm.val,IF($F46="",val_blankRefText,_xldudf_CX_GET(CX_ENTITY,($F46),AD$11,AD$14,,AD$19)),_xlpm.Res,IF(OR(_xlpm.val="",_xlpm.val="Error"),"",_xlpm.val),_xlpm.Res)</f>
        <v>#NAME?</v>
      </c>
      <c r="AE46" s="1669" t="e" cm="1">
        <f t="array" ca="1" aca="1" ref="AE46">_xlfn.LET(_xlpm.val,IF($F46="",val_blankRefText,_xldudf_CX_GET(CX_ENTITY,($F46),AE$11,AE$14,,AE$19)),_xlpm.Res,IF(OR(_xlpm.val="",_xlpm.val="Error"),"",_xlpm.val),_xlpm.Res)</f>
        <v>#NAME?</v>
      </c>
      <c r="AF46" s="1669" t="e" cm="1">
        <f t="array" ca="1" aca="1" ref="AF46">_xlfn.LET(_xlpm.val,IF($F46="",val_blankRefText,_xldudf_CX_GET(CX_ENTITY,($F46),AF$11,AF$14,,AF$19)),_xlpm.Res,IF(OR(_xlpm.val="",_xlpm.val="Error"),"",_xlpm.val),_xlpm.Res)</f>
        <v>#NAME?</v>
      </c>
      <c r="AG46" s="1669" t="e" cm="1">
        <f t="array" ca="1" aca="1" ref="AG46">_xlfn.LET(_xlpm.val,IF($F46="",val_blankRefText,_xldudf_CX_GET(CX_ENTITY,($F46),AG$11,AG$14,,AG$19)),_xlpm.Res,IF(OR(_xlpm.val="",_xlpm.val="Error"),"",_xlpm.val),_xlpm.Res)</f>
        <v>#NAME?</v>
      </c>
      <c r="AH46" s="1669" t="e" cm="1">
        <f t="array" ca="1" aca="1" ref="AH46">_xlfn.LET(_xlpm.val,IF($F46="",val_blankRefText,_xldudf_CX_GET(CX_ENTITY,($F46),AH$11,AH$14,,AH$19)),_xlpm.Res,IF(OR(_xlpm.val="",_xlpm.val="Error"),"",_xlpm.val),_xlpm.Res)</f>
        <v>#NAME?</v>
      </c>
      <c r="AI46" s="1669" t="e" cm="1">
        <f t="array" ca="1" aca="1" ref="AI46">_xlfn.LET(_xlpm.val,IF($F46="",val_blankRefText,_xldudf_CX_GET(CX_ENTITY,($F46),AI$11,AI$14,,AI$19)),_xlpm.Res,IF(OR(_xlpm.val="",_xlpm.val="Error"),"",_xlpm.val),_xlpm.Res)</f>
        <v>#NAME?</v>
      </c>
      <c r="AJ46" s="1669" t="e" cm="1">
        <f t="array" ca="1" aca="1" ref="AJ46">_xlfn.LET(_xlpm.val,IF($F46="",val_blankRefText,_xldudf_CX_GET(CX_ENTITY,($F46),AJ$11,AJ$14,,AJ$19)),_xlpm.Res,IF(OR(_xlpm.val="",_xlpm.val="Error"),"",_xlpm.val),_xlpm.Res)</f>
        <v>#NAME?</v>
      </c>
      <c r="AK46" s="1669" t="e" cm="1">
        <f t="array" ca="1" aca="1" ref="AK46">_xlfn.LET(_xlpm.val,IF($F46="",val_blankRefText,_xldudf_CX_GET(CX_ENTITY,($F46),AK$11,AK$14,,AK$19)),_xlpm.Res,IF(OR(_xlpm.val="",_xlpm.val="Error"),"",_xlpm.val),_xlpm.Res)</f>
        <v>#NAME?</v>
      </c>
      <c r="AL46" s="1669" t="e" cm="1">
        <f t="array" ca="1" aca="1" ref="AL46">_xlfn.LET(_xlpm.val,IF($F46="",val_blankRefText,_xldudf_CX_GET(CX_ENTITY,($F46),AL$11,AL$14,,AL$19)),_xlpm.Res,IF(OR(_xlpm.val="",_xlpm.val="Error"),"",_xlpm.val),_xlpm.Res)</f>
        <v>#NAME?</v>
      </c>
      <c r="AM46" s="1669" t="e" cm="1">
        <f t="array" ca="1" aca="1" ref="AM46">_xlfn.LET(_xlpm.val,IF($F46="",val_blankRefText,_xldudf_CX_GET(CX_ENTITY,($F46),AM$11,AM$14,,AM$19)),_xlpm.Res,IF(OR(_xlpm.val="",_xlpm.val="Error"),"",_xlpm.val),_xlpm.Res)</f>
        <v>#NAME?</v>
      </c>
      <c r="AN46" s="1669" t="e" cm="1">
        <f t="array" ca="1" aca="1" ref="AN46">_xlfn.LET(_xlpm.val,IF($F46="",val_blankRefText,_xldudf_CX_GET(CX_ENTITY,($F46),AN$11,AN$14,,AN$19)),_xlpm.Res,IF(OR(_xlpm.val="",_xlpm.val="Error"),"",_xlpm.val),_xlpm.Res)</f>
        <v>#NAME?</v>
      </c>
      <c r="AO46" s="1669" t="e" cm="1">
        <f t="array" ca="1" aca="1" ref="AO46">_xlfn.LET(_xlpm.val,IF($F46="",val_blankRefText,_xldudf_CX_GET(CX_ENTITY,($F46),AO$11,AO$14,,AO$19)),_xlpm.Res,IF(OR(_xlpm.val="",_xlpm.val="Error"),"",_xlpm.val),_xlpm.Res)</f>
        <v>#NAME?</v>
      </c>
      <c r="AP46" s="1669" t="e" cm="1">
        <f t="array" ca="1" aca="1" ref="AP46">_xlfn.LET(_xlpm.val,IF($F46="",val_blankRefText,_xldudf_CX_GET(CX_ENTITY,($F46),AP$11,AP$14,,AP$19)),_xlpm.Res,IF(OR(_xlpm.val="",_xlpm.val="Error"),"",_xlpm.val),_xlpm.Res)</f>
        <v>#NAME?</v>
      </c>
      <c r="AQ46" s="1669" t="e" cm="1">
        <f t="array" ca="1" aca="1" ref="AQ46">_xlfn.LET(_xlpm.val,IF($F46="",val_blankRefText,_xldudf_CX_GET(CX_ENTITY,($F46),AQ$11,AQ$14,,AQ$19)),_xlpm.Res,IF(OR(_xlpm.val="",_xlpm.val="Error"),"",_xlpm.val),_xlpm.Res)</f>
        <v>#NAME?</v>
      </c>
      <c r="AR46" s="1669" t="e" cm="1">
        <f t="array" ca="1" aca="1" ref="AR46">_xlfn.LET(_xlpm.val,IF($F46="",val_blankRefText,_xldudf_CX_GET(CX_ENTITY,($F46),AR$11,AR$14,,AR$19)),_xlpm.Res,IF(OR(_xlpm.val="",_xlpm.val="Error"),"",_xlpm.val),_xlpm.Res)</f>
        <v>#NAME?</v>
      </c>
      <c r="AS46" s="1669" t="e" cm="1">
        <f t="array" ca="1" aca="1" ref="AS46">_xlfn.LET(_xlpm.val,IF($F46="",val_blankRefText,_xldudf_CX_GET(CX_ENTITY,($F46),AS$11,AS$14,,AS$19)),_xlpm.Res,IF(OR(_xlpm.val="",_xlpm.val="Error"),"",_xlpm.val),_xlpm.Res)</f>
        <v>#NAME?</v>
      </c>
      <c r="AT46" s="1669" t="e" cm="1">
        <f t="array" ca="1" aca="1" ref="AT46">_xlfn.LET(_xlpm.val,IF($F46="",val_blankRefText,_xldudf_CX_GET(CX_ENTITY,($F46),AT$11,AT$14,,AT$19)),_xlpm.Res,IF(OR(_xlpm.val="",_xlpm.val="Error"),"",_xlpm.val),_xlpm.Res)</f>
        <v>#NAME?</v>
      </c>
      <c r="AU46" s="1669" t="e" cm="1">
        <f t="array" ca="1" aca="1" ref="AU46">_xlfn.LET(_xlpm.val,IF($F46="",val_blankRefText,_xldudf_CX_GET(CX_ENTITY,($F46),AU$11,AU$14,,AU$19)),_xlpm.Res,IF(OR(_xlpm.val="",_xlpm.val="Error"),"",_xlpm.val),_xlpm.Res)</f>
        <v>#NAME?</v>
      </c>
      <c r="AV46" s="1669" t="e" cm="1">
        <f t="array" ca="1" aca="1" ref="AV46">_xlfn.LET(_xlpm.val,IF($F46="",val_blankRefText,_xldudf_CX_GET(CX_ENTITY,($F46),AV$11,AV$14,,AV$19)),_xlpm.Res,IF(OR(_xlpm.val="",_xlpm.val="Error"),"",_xlpm.val),_xlpm.Res)</f>
        <v>#NAME?</v>
      </c>
      <c r="AW46" s="1669" t="e" cm="1">
        <f t="array" ca="1" aca="1" ref="AW46">_xlfn.LET(_xlpm.val,IF($F46="",val_blankRefText,_xldudf_CX_GET(CX_ENTITY,($F46),AW$11,AW$14,,AW$19)),_xlpm.Res,IF(OR(_xlpm.val="",_xlpm.val="Error"),"",_xlpm.val),_xlpm.Res)</f>
        <v>#NAME?</v>
      </c>
      <c r="AX46" s="1669" t="e" cm="1">
        <f t="array" ca="1" aca="1" ref="AX46">_xlfn.LET(_xlpm.val,IF($F46="",val_blankRefText,_xldudf_CX_GET(CX_ENTITY,($F46),AX$11,AX$14,,AX$19)),_xlpm.Res,IF(OR(_xlpm.val="",_xlpm.val="Error"),"",_xlpm.val),_xlpm.Res)</f>
        <v>#NAME?</v>
      </c>
      <c r="AY46" s="1669" t="e" cm="1">
        <f t="array" ca="1" aca="1" ref="AY46">_xlfn.LET(_xlpm.val,IF($F46="",val_blankRefText,_xldudf_CX_GET(CX_ENTITY,($F46),AY$11,AY$14,,AY$19)),_xlpm.Res,IF(OR(_xlpm.val="",_xlpm.val="Error"),"",_xlpm.val),_xlpm.Res)</f>
        <v>#NAME?</v>
      </c>
      <c r="AZ46" s="1669" t="e" cm="1">
        <f t="array" ca="1" aca="1" ref="AZ46">_xlfn.LET(_xlpm.val,IF($F46="",val_blankRefText,_xldudf_CX_GET(CX_ENTITY,($F46),AZ$11,AZ$14,,AZ$19)),_xlpm.Res,IF(OR(_xlpm.val="",_xlpm.val="Error"),"",_xlpm.val),_xlpm.Res)</f>
        <v>#NAME?</v>
      </c>
      <c r="BA46" s="1669" t="e" cm="1">
        <f t="array" ca="1" aca="1" ref="BA46">_xlfn.LET(_xlpm.val,IF($F46="",val_blankRefText,_xldudf_CX_GET(CX_ENTITY,($F46),BA$11,BA$14,,BA$19)),_xlpm.Res,IF(OR(_xlpm.val="",_xlpm.val="Error"),"",_xlpm.val),_xlpm.Res)</f>
        <v>#NAME?</v>
      </c>
      <c r="BB46" s="1669" t="e" cm="1">
        <f t="array" ca="1" aca="1" ref="BB46">_xlfn.LET(_xlpm.val,IF($F46="",val_blankRefText,_xldudf_CX_GET(CX_ENTITY,($F46),BB$11,BB$14,,BB$19)),_xlpm.Res,IF(OR(_xlpm.val="",_xlpm.val="Error"),"",_xlpm.val),_xlpm.Res)</f>
        <v>#NAME?</v>
      </c>
      <c r="BC46" s="1669" t="e" cm="1">
        <f t="array" ca="1" aca="1" ref="BC46">_xlfn.LET(_xlpm.val,IF($F46="",val_blankRefText,_xldudf_CX_GET(CX_ENTITY,($F46),BC$11,BC$14,,BC$19)),_xlpm.Res,IF(OR(_xlpm.val="",_xlpm.val="Error"),"",_xlpm.val),_xlpm.Res)</f>
        <v>#NAME?</v>
      </c>
      <c r="BD46" s="1669" t="e" cm="1">
        <f t="array" ca="1" aca="1" ref="BD46">_xlfn.LET(_xlpm.val,IF($F46="",val_blankRefText,_xldudf_CX_GET(CX_ENTITY,($F46),BD$11,BD$14,,BD$19)),_xlpm.Res,IF(OR(_xlpm.val="",_xlpm.val="Error"),"",_xlpm.val),_xlpm.Res)</f>
        <v>#NAME?</v>
      </c>
      <c r="BE46" s="1669" t="e" cm="1">
        <f t="array" ca="1" aca="1" ref="BE46">_xlfn.LET(_xlpm.val,IF($F46="",val_blankRefText,_xldudf_CX_GET(CX_ENTITY,($F46),BE$11,BE$14,,BE$19)),_xlpm.Res,IF(OR(_xlpm.val="",_xlpm.val="Error"),"",_xlpm.val),_xlpm.Res)</f>
        <v>#NAME?</v>
      </c>
      <c r="BF46" s="1669" t="e" cm="1">
        <f t="array" ca="1" aca="1" ref="BF46">_xlfn.LET(_xlpm.val,IF($F46="",val_blankRefText,_xldudf_CX_GET(CX_ENTITY,($F46),BF$11,BF$14,,BF$19)),_xlpm.Res,IF(OR(_xlpm.val="",_xlpm.val="Error"),"",_xlpm.val),_xlpm.Res)</f>
        <v>#NAME?</v>
      </c>
      <c r="BG46" s="1669" t="e" cm="1">
        <f t="array" ca="1" aca="1" ref="BG46">_xlfn.LET(_xlpm.val,IF($F46="",val_blankRefText,_xldudf_CX_GET(CX_ENTITY,($F46),BG$11,BG$14,,BG$19)),_xlpm.Res,IF(OR(_xlpm.val="",_xlpm.val="Error"),"",_xlpm.val),_xlpm.Res)</f>
        <v>#NAME?</v>
      </c>
      <c r="BH46" s="1669" t="e" cm="1">
        <f t="array" ca="1" aca="1" ref="BH46">_xlfn.LET(_xlpm.val,IF($F46="",val_blankRefText,_xldudf_CX_GET(CX_ENTITY,($F46),BH$11,BH$14,,BH$19)),_xlpm.Res,IF(OR(_xlpm.val="",_xlpm.val="Error"),"",_xlpm.val),_xlpm.Res)</f>
        <v>#NAME?</v>
      </c>
      <c r="BI46" s="1669" t="e" cm="1">
        <f t="array" ca="1" aca="1" ref="BI46">_xlfn.LET(_xlpm.val,IF($F46="",val_blankRefText,_xldudf_CX_GET(CX_ENTITY,($F46),BI$11,BI$14,,BI$19)),_xlpm.Res,IF(OR(_xlpm.val="",_xlpm.val="Error"),"",_xlpm.val),_xlpm.Res)</f>
        <v>#NAME?</v>
      </c>
      <c r="BJ46" s="1669" t="e" cm="1">
        <f t="array" ca="1" aca="1" ref="BJ46">_xlfn.LET(_xlpm.val,IF($F46="",val_blankRefText,_xldudf_CX_GET(CX_ENTITY,($F46),BJ$11,BJ$14,,BJ$19)),_xlpm.Res,IF(OR(_xlpm.val="",_xlpm.val="Error"),"",_xlpm.val),_xlpm.Res)</f>
        <v>#NAME?</v>
      </c>
      <c r="BK46" s="1669" t="e" cm="1">
        <f t="array" ca="1" aca="1" ref="BK46">_xlfn.LET(_xlpm.val,IF($F46="",val_blankRefText,_xldudf_CX_GET(CX_ENTITY,($F46),BK$11,BK$14,,BK$19)),_xlpm.Res,IF(OR(_xlpm.val="",_xlpm.val="Error"),"",_xlpm.val),_xlpm.Res)</f>
        <v>#NAME?</v>
      </c>
      <c r="BL46" s="1669" t="e" cm="1">
        <f t="array" ca="1" aca="1" ref="BL46">_xlfn.LET(_xlpm.val,IF($F46="",val_blankRefText,_xldudf_CX_GET(CX_ENTITY,($F46),BL$11,BL$14,,BL$19)),_xlpm.Res,IF(OR(_xlpm.val="",_xlpm.val="Error"),"",_xlpm.val),_xlpm.Res)</f>
        <v>#NAME?</v>
      </c>
      <c r="BM46" s="1669" t="e" cm="1">
        <f t="array" ca="1" aca="1" ref="BM46">_xlfn.LET(_xlpm.val,IF($F46="",val_blankRefText,_xldudf_CX_GET(CX_ENTITY,($F46),BM$11,BM$14,,BM$19)),_xlpm.Res,IF(OR(_xlpm.val="",_xlpm.val="Error"),"",_xlpm.val),_xlpm.Res)</f>
        <v>#NAME?</v>
      </c>
      <c r="BN46" s="1669" t="e" cm="1">
        <f t="array" ca="1" aca="1" ref="BN46">_xlfn.LET(_xlpm.val,IF($F46="",val_blankRefText,_xldudf_CX_GET(CX_ENTITY,($F46),BN$11,BN$14,,BN$19)),_xlpm.Res,IF(OR(_xlpm.val="",_xlpm.val="Error"),"",_xlpm.val),_xlpm.Res)</f>
        <v>#NAME?</v>
      </c>
      <c r="BO46" s="2095"/>
      <c r="BP46" s="2095"/>
      <c r="BQ46" s="2095"/>
      <c r="BR46" s="2095"/>
      <c r="BS46" s="2095"/>
      <c r="BT46" s="2095"/>
      <c r="BU46" s="2095"/>
      <c r="BV46" s="2095"/>
      <c r="BW46" s="2095"/>
      <c r="BX46" s="2095"/>
      <c r="BY46" s="2095"/>
      <c r="BZ46" s="2095"/>
      <c r="CA46" s="926"/>
      <c r="CB46" s="921"/>
      <c r="CC46" s="927"/>
      <c r="CD46" s="919" t="e" cm="1">
        <f t="array" ca="1" aca="1" ref="CD46">_xlfn.XLOOKUP(BS!CD$11,array_timeline,BS!$AD46:$BN46)</f>
        <v>#NAME?</v>
      </c>
      <c r="CE46" s="919" t="e" cm="1">
        <f t="array" ca="1" aca="1" ref="CE46">_xlfn.XLOOKUP(BS!CE$11,array_timeline,BS!$AD46:$BN46)</f>
        <v>#NAME?</v>
      </c>
      <c r="CF46" s="925"/>
      <c r="CG46" s="919" t="e" cm="1">
        <f t="array" ca="1" aca="1" ref="CG46">_xlfn.LET(_xlpm.val,IF($F46="",val_blankRefText,_xldudf_CX_GET(CX_ENTITY,($F46),CG$11,CG$14,,(CG$19))),_xlpm.Res,IF(OR(_xlpm.val="",_xlpm.val="Error"),"",_xlpm.val),_xlpm.Res)</f>
        <v>#NAME?</v>
      </c>
      <c r="CH46" s="919" t="e" cm="1">
        <f t="array" ca="1" aca="1" ref="CH46">_xlfn.LET(_xlpm.val,IF($F46="",val_blankRefText,_xldudf_CX_GET(CX_ENTITY,($F46),CH$11,CH$14,,(CH$19))),_xlpm.Res,IF(OR(_xlpm.val="",_xlpm.val="Error"),"",_xlpm.val),_xlpm.Res)</f>
        <v>#NAME?</v>
      </c>
      <c r="CI46" s="924"/>
    </row>
    <row r="47" spans="1:87" ht="21" customHeight="1">
      <c r="A47" s="696" t="s">
        <v>753</v>
      </c>
      <c r="B47" s="577" t="s">
        <v>724</v>
      </c>
      <c r="C47" s="577" t="s">
        <v>1742</v>
      </c>
      <c r="D47" s="577"/>
      <c r="E47" s="577" t="e" cm="1">
        <f t="array" ca="1" aca="1" ref="E47">_xlfn.LET(_xlpm.Attr,$C47,_xlpm.Lookback,$E$16,_xlpm.QueryDate,EOMONTH(val_asOfDate,_xlpm.Lookback),_xlpm.ReadField,_xldudf_CX_GET(CX_ENTITY,fx_attrConverter($C47),_xlpm.QueryDate),_xlpm.AttrBlank,_xlpm.Attr="",_xlpm.RESULT,IF(_xlpm.AttrBlank,val_blankRefText,fx_attrConverter(_xlpm.ReadField,0)),IF(_xlpm.RESULT="Error","",_xlpm.RESULT))</f>
        <v>#NAME?</v>
      </c>
      <c r="F47" s="577" t="str">
        <f t="shared" si="1"/>
        <v>Capitalised Fees</v>
      </c>
      <c r="G47" s="574"/>
      <c r="H47" s="3279">
        <v>1</v>
      </c>
      <c r="I47" s="3279">
        <v>1</v>
      </c>
      <c r="J47" s="401"/>
      <c r="K47" s="401"/>
      <c r="L47" s="3269" t="b">
        <v>1</v>
      </c>
      <c r="N47" s="158"/>
      <c r="O47" s="101"/>
      <c r="P47" s="52"/>
      <c r="Q47" s="101"/>
      <c r="R47" s="101"/>
      <c r="S47" s="101"/>
      <c r="T47" s="101"/>
      <c r="U47" s="39"/>
      <c r="W47" s="91" t="str">
        <f t="shared" si="4"/>
        <v>Actual</v>
      </c>
      <c r="X47" s="3292">
        <v>1</v>
      </c>
      <c r="Y47" s="2627" t="s">
        <v>724</v>
      </c>
      <c r="Z47" s="3291" cm="1">
        <f t="array" ref="Z47">_xlfn.SWITCH(TRUE,$L47="",0,$L47=TRUE,1,$L47=FALSE,-1,)</f>
        <v>1</v>
      </c>
      <c r="AA47" s="2625"/>
      <c r="AB47" s="2626" t="s">
        <v>724</v>
      </c>
      <c r="AC47" s="88" t="e" vm="5" cm="1">
        <f t="array" ref="AC47">IFERROR(IF(_xlfn.XMATCH(AB47,tbl_acctDef[Term],0)&gt;0,fx_getIcon("find"),""),"")</f>
        <v>#VALUE!</v>
      </c>
      <c r="AD47" s="1669" t="e" cm="1">
        <f t="array" ca="1" aca="1" ref="AD47">_xlfn.LET(_xlpm.val,IF($F47="",val_blankRefText,_xldudf_CX_GET(CX_ENTITY,($F47),AD$11,AD$14,,AD$19)),_xlpm.Res,IF(OR(_xlpm.val="",_xlpm.val="Error"),"",_xlpm.val),_xlpm.Res)</f>
        <v>#NAME?</v>
      </c>
      <c r="AE47" s="1669" t="e" cm="1">
        <f t="array" ca="1" aca="1" ref="AE47">_xlfn.LET(_xlpm.val,IF($F47="",val_blankRefText,_xldudf_CX_GET(CX_ENTITY,($F47),AE$11,AE$14,,AE$19)),_xlpm.Res,IF(OR(_xlpm.val="",_xlpm.val="Error"),"",_xlpm.val),_xlpm.Res)</f>
        <v>#NAME?</v>
      </c>
      <c r="AF47" s="1669" t="e" cm="1">
        <f t="array" ca="1" aca="1" ref="AF47">_xlfn.LET(_xlpm.val,IF($F47="",val_blankRefText,_xldudf_CX_GET(CX_ENTITY,($F47),AF$11,AF$14,,AF$19)),_xlpm.Res,IF(OR(_xlpm.val="",_xlpm.val="Error"),"",_xlpm.val),_xlpm.Res)</f>
        <v>#NAME?</v>
      </c>
      <c r="AG47" s="1669" t="e" cm="1">
        <f t="array" ca="1" aca="1" ref="AG47">_xlfn.LET(_xlpm.val,IF($F47="",val_blankRefText,_xldudf_CX_GET(CX_ENTITY,($F47),AG$11,AG$14,,AG$19)),_xlpm.Res,IF(OR(_xlpm.val="",_xlpm.val="Error"),"",_xlpm.val),_xlpm.Res)</f>
        <v>#NAME?</v>
      </c>
      <c r="AH47" s="1669" t="e" cm="1">
        <f t="array" ca="1" aca="1" ref="AH47">_xlfn.LET(_xlpm.val,IF($F47="",val_blankRefText,_xldudf_CX_GET(CX_ENTITY,($F47),AH$11,AH$14,,AH$19)),_xlpm.Res,IF(OR(_xlpm.val="",_xlpm.val="Error"),"",_xlpm.val),_xlpm.Res)</f>
        <v>#NAME?</v>
      </c>
      <c r="AI47" s="1669" t="e" cm="1">
        <f t="array" ca="1" aca="1" ref="AI47">_xlfn.LET(_xlpm.val,IF($F47="",val_blankRefText,_xldudf_CX_GET(CX_ENTITY,($F47),AI$11,AI$14,,AI$19)),_xlpm.Res,IF(OR(_xlpm.val="",_xlpm.val="Error"),"",_xlpm.val),_xlpm.Res)</f>
        <v>#NAME?</v>
      </c>
      <c r="AJ47" s="1669" t="e" cm="1">
        <f t="array" ca="1" aca="1" ref="AJ47">_xlfn.LET(_xlpm.val,IF($F47="",val_blankRefText,_xldudf_CX_GET(CX_ENTITY,($F47),AJ$11,AJ$14,,AJ$19)),_xlpm.Res,IF(OR(_xlpm.val="",_xlpm.val="Error"),"",_xlpm.val),_xlpm.Res)</f>
        <v>#NAME?</v>
      </c>
      <c r="AK47" s="1669" t="e" cm="1">
        <f t="array" ca="1" aca="1" ref="AK47">_xlfn.LET(_xlpm.val,IF($F47="",val_blankRefText,_xldudf_CX_GET(CX_ENTITY,($F47),AK$11,AK$14,,AK$19)),_xlpm.Res,IF(OR(_xlpm.val="",_xlpm.val="Error"),"",_xlpm.val),_xlpm.Res)</f>
        <v>#NAME?</v>
      </c>
      <c r="AL47" s="1669" t="e" cm="1">
        <f t="array" ca="1" aca="1" ref="AL47">_xlfn.LET(_xlpm.val,IF($F47="",val_blankRefText,_xldudf_CX_GET(CX_ENTITY,($F47),AL$11,AL$14,,AL$19)),_xlpm.Res,IF(OR(_xlpm.val="",_xlpm.val="Error"),"",_xlpm.val),_xlpm.Res)</f>
        <v>#NAME?</v>
      </c>
      <c r="AM47" s="1669" t="e" cm="1">
        <f t="array" ca="1" aca="1" ref="AM47">_xlfn.LET(_xlpm.val,IF($F47="",val_blankRefText,_xldudf_CX_GET(CX_ENTITY,($F47),AM$11,AM$14,,AM$19)),_xlpm.Res,IF(OR(_xlpm.val="",_xlpm.val="Error"),"",_xlpm.val),_xlpm.Res)</f>
        <v>#NAME?</v>
      </c>
      <c r="AN47" s="1669" t="e" cm="1">
        <f t="array" ca="1" aca="1" ref="AN47">_xlfn.LET(_xlpm.val,IF($F47="",val_blankRefText,_xldudf_CX_GET(CX_ENTITY,($F47),AN$11,AN$14,,AN$19)),_xlpm.Res,IF(OR(_xlpm.val="",_xlpm.val="Error"),"",_xlpm.val),_xlpm.Res)</f>
        <v>#NAME?</v>
      </c>
      <c r="AO47" s="1669" t="e" cm="1">
        <f t="array" ca="1" aca="1" ref="AO47">_xlfn.LET(_xlpm.val,IF($F47="",val_blankRefText,_xldudf_CX_GET(CX_ENTITY,($F47),AO$11,AO$14,,AO$19)),_xlpm.Res,IF(OR(_xlpm.val="",_xlpm.val="Error"),"",_xlpm.val),_xlpm.Res)</f>
        <v>#NAME?</v>
      </c>
      <c r="AP47" s="1669" t="e" cm="1">
        <f t="array" ca="1" aca="1" ref="AP47">_xlfn.LET(_xlpm.val,IF($F47="",val_blankRefText,_xldudf_CX_GET(CX_ENTITY,($F47),AP$11,AP$14,,AP$19)),_xlpm.Res,IF(OR(_xlpm.val="",_xlpm.val="Error"),"",_xlpm.val),_xlpm.Res)</f>
        <v>#NAME?</v>
      </c>
      <c r="AQ47" s="1669" t="e" cm="1">
        <f t="array" ca="1" aca="1" ref="AQ47">_xlfn.LET(_xlpm.val,IF($F47="",val_blankRefText,_xldudf_CX_GET(CX_ENTITY,($F47),AQ$11,AQ$14,,AQ$19)),_xlpm.Res,IF(OR(_xlpm.val="",_xlpm.val="Error"),"",_xlpm.val),_xlpm.Res)</f>
        <v>#NAME?</v>
      </c>
      <c r="AR47" s="1669" t="e" cm="1">
        <f t="array" ca="1" aca="1" ref="AR47">_xlfn.LET(_xlpm.val,IF($F47="",val_blankRefText,_xldudf_CX_GET(CX_ENTITY,($F47),AR$11,AR$14,,AR$19)),_xlpm.Res,IF(OR(_xlpm.val="",_xlpm.val="Error"),"",_xlpm.val),_xlpm.Res)</f>
        <v>#NAME?</v>
      </c>
      <c r="AS47" s="1669" t="e" cm="1">
        <f t="array" ca="1" aca="1" ref="AS47">_xlfn.LET(_xlpm.val,IF($F47="",val_blankRefText,_xldudf_CX_GET(CX_ENTITY,($F47),AS$11,AS$14,,AS$19)),_xlpm.Res,IF(OR(_xlpm.val="",_xlpm.val="Error"),"",_xlpm.val),_xlpm.Res)</f>
        <v>#NAME?</v>
      </c>
      <c r="AT47" s="1669" t="e" cm="1">
        <f t="array" ca="1" aca="1" ref="AT47">_xlfn.LET(_xlpm.val,IF($F47="",val_blankRefText,_xldudf_CX_GET(CX_ENTITY,($F47),AT$11,AT$14,,AT$19)),_xlpm.Res,IF(OR(_xlpm.val="",_xlpm.val="Error"),"",_xlpm.val),_xlpm.Res)</f>
        <v>#NAME?</v>
      </c>
      <c r="AU47" s="1669" t="e" cm="1">
        <f t="array" ca="1" aca="1" ref="AU47">_xlfn.LET(_xlpm.val,IF($F47="",val_blankRefText,_xldudf_CX_GET(CX_ENTITY,($F47),AU$11,AU$14,,AU$19)),_xlpm.Res,IF(OR(_xlpm.val="",_xlpm.val="Error"),"",_xlpm.val),_xlpm.Res)</f>
        <v>#NAME?</v>
      </c>
      <c r="AV47" s="1669" t="e" cm="1">
        <f t="array" ca="1" aca="1" ref="AV47">_xlfn.LET(_xlpm.val,IF($F47="",val_blankRefText,_xldudf_CX_GET(CX_ENTITY,($F47),AV$11,AV$14,,AV$19)),_xlpm.Res,IF(OR(_xlpm.val="",_xlpm.val="Error"),"",_xlpm.val),_xlpm.Res)</f>
        <v>#NAME?</v>
      </c>
      <c r="AW47" s="1669" t="e" cm="1">
        <f t="array" ca="1" aca="1" ref="AW47">_xlfn.LET(_xlpm.val,IF($F47="",val_blankRefText,_xldudf_CX_GET(CX_ENTITY,($F47),AW$11,AW$14,,AW$19)),_xlpm.Res,IF(OR(_xlpm.val="",_xlpm.val="Error"),"",_xlpm.val),_xlpm.Res)</f>
        <v>#NAME?</v>
      </c>
      <c r="AX47" s="1669" t="e" cm="1">
        <f t="array" ca="1" aca="1" ref="AX47">_xlfn.LET(_xlpm.val,IF($F47="",val_blankRefText,_xldudf_CX_GET(CX_ENTITY,($F47),AX$11,AX$14,,AX$19)),_xlpm.Res,IF(OR(_xlpm.val="",_xlpm.val="Error"),"",_xlpm.val),_xlpm.Res)</f>
        <v>#NAME?</v>
      </c>
      <c r="AY47" s="1669" t="e" cm="1">
        <f t="array" ca="1" aca="1" ref="AY47">_xlfn.LET(_xlpm.val,IF($F47="",val_blankRefText,_xldudf_CX_GET(CX_ENTITY,($F47),AY$11,AY$14,,AY$19)),_xlpm.Res,IF(OR(_xlpm.val="",_xlpm.val="Error"),"",_xlpm.val),_xlpm.Res)</f>
        <v>#NAME?</v>
      </c>
      <c r="AZ47" s="1669" t="e" cm="1">
        <f t="array" ca="1" aca="1" ref="AZ47">_xlfn.LET(_xlpm.val,IF($F47="",val_blankRefText,_xldudf_CX_GET(CX_ENTITY,($F47),AZ$11,AZ$14,,AZ$19)),_xlpm.Res,IF(OR(_xlpm.val="",_xlpm.val="Error"),"",_xlpm.val),_xlpm.Res)</f>
        <v>#NAME?</v>
      </c>
      <c r="BA47" s="1669" t="e" cm="1">
        <f t="array" ca="1" aca="1" ref="BA47">_xlfn.LET(_xlpm.val,IF($F47="",val_blankRefText,_xldudf_CX_GET(CX_ENTITY,($F47),BA$11,BA$14,,BA$19)),_xlpm.Res,IF(OR(_xlpm.val="",_xlpm.val="Error"),"",_xlpm.val),_xlpm.Res)</f>
        <v>#NAME?</v>
      </c>
      <c r="BB47" s="1669" t="e" cm="1">
        <f t="array" ca="1" aca="1" ref="BB47">_xlfn.LET(_xlpm.val,IF($F47="",val_blankRefText,_xldudf_CX_GET(CX_ENTITY,($F47),BB$11,BB$14,,BB$19)),_xlpm.Res,IF(OR(_xlpm.val="",_xlpm.val="Error"),"",_xlpm.val),_xlpm.Res)</f>
        <v>#NAME?</v>
      </c>
      <c r="BC47" s="1669" t="e" cm="1">
        <f t="array" ca="1" aca="1" ref="BC47">_xlfn.LET(_xlpm.val,IF($F47="",val_blankRefText,_xldudf_CX_GET(CX_ENTITY,($F47),BC$11,BC$14,,BC$19)),_xlpm.Res,IF(OR(_xlpm.val="",_xlpm.val="Error"),"",_xlpm.val),_xlpm.Res)</f>
        <v>#NAME?</v>
      </c>
      <c r="BD47" s="1669" t="e" cm="1">
        <f t="array" ca="1" aca="1" ref="BD47">_xlfn.LET(_xlpm.val,IF($F47="",val_blankRefText,_xldudf_CX_GET(CX_ENTITY,($F47),BD$11,BD$14,,BD$19)),_xlpm.Res,IF(OR(_xlpm.val="",_xlpm.val="Error"),"",_xlpm.val),_xlpm.Res)</f>
        <v>#NAME?</v>
      </c>
      <c r="BE47" s="1669" t="e" cm="1">
        <f t="array" ca="1" aca="1" ref="BE47">_xlfn.LET(_xlpm.val,IF($F47="",val_blankRefText,_xldudf_CX_GET(CX_ENTITY,($F47),BE$11,BE$14,,BE$19)),_xlpm.Res,IF(OR(_xlpm.val="",_xlpm.val="Error"),"",_xlpm.val),_xlpm.Res)</f>
        <v>#NAME?</v>
      </c>
      <c r="BF47" s="1669" t="e" cm="1">
        <f t="array" ca="1" aca="1" ref="BF47">_xlfn.LET(_xlpm.val,IF($F47="",val_blankRefText,_xldudf_CX_GET(CX_ENTITY,($F47),BF$11,BF$14,,BF$19)),_xlpm.Res,IF(OR(_xlpm.val="",_xlpm.val="Error"),"",_xlpm.val),_xlpm.Res)</f>
        <v>#NAME?</v>
      </c>
      <c r="BG47" s="1669" t="e" cm="1">
        <f t="array" ca="1" aca="1" ref="BG47">_xlfn.LET(_xlpm.val,IF($F47="",val_blankRefText,_xldudf_CX_GET(CX_ENTITY,($F47),BG$11,BG$14,,BG$19)),_xlpm.Res,IF(OR(_xlpm.val="",_xlpm.val="Error"),"",_xlpm.val),_xlpm.Res)</f>
        <v>#NAME?</v>
      </c>
      <c r="BH47" s="1669" t="e" cm="1">
        <f t="array" ca="1" aca="1" ref="BH47">_xlfn.LET(_xlpm.val,IF($F47="",val_blankRefText,_xldudf_CX_GET(CX_ENTITY,($F47),BH$11,BH$14,,BH$19)),_xlpm.Res,IF(OR(_xlpm.val="",_xlpm.val="Error"),"",_xlpm.val),_xlpm.Res)</f>
        <v>#NAME?</v>
      </c>
      <c r="BI47" s="1669" t="e" cm="1">
        <f t="array" ca="1" aca="1" ref="BI47">_xlfn.LET(_xlpm.val,IF($F47="",val_blankRefText,_xldudf_CX_GET(CX_ENTITY,($F47),BI$11,BI$14,,BI$19)),_xlpm.Res,IF(OR(_xlpm.val="",_xlpm.val="Error"),"",_xlpm.val),_xlpm.Res)</f>
        <v>#NAME?</v>
      </c>
      <c r="BJ47" s="1669" t="e" cm="1">
        <f t="array" ca="1" aca="1" ref="BJ47">_xlfn.LET(_xlpm.val,IF($F47="",val_blankRefText,_xldudf_CX_GET(CX_ENTITY,($F47),BJ$11,BJ$14,,BJ$19)),_xlpm.Res,IF(OR(_xlpm.val="",_xlpm.val="Error"),"",_xlpm.val),_xlpm.Res)</f>
        <v>#NAME?</v>
      </c>
      <c r="BK47" s="1669" t="e" cm="1">
        <f t="array" ca="1" aca="1" ref="BK47">_xlfn.LET(_xlpm.val,IF($F47="",val_blankRefText,_xldudf_CX_GET(CX_ENTITY,($F47),BK$11,BK$14,,BK$19)),_xlpm.Res,IF(OR(_xlpm.val="",_xlpm.val="Error"),"",_xlpm.val),_xlpm.Res)</f>
        <v>#NAME?</v>
      </c>
      <c r="BL47" s="1669" t="e" cm="1">
        <f t="array" ca="1" aca="1" ref="BL47">_xlfn.LET(_xlpm.val,IF($F47="",val_blankRefText,_xldudf_CX_GET(CX_ENTITY,($F47),BL$11,BL$14,,BL$19)),_xlpm.Res,IF(OR(_xlpm.val="",_xlpm.val="Error"),"",_xlpm.val),_xlpm.Res)</f>
        <v>#NAME?</v>
      </c>
      <c r="BM47" s="1669" t="e" cm="1">
        <f t="array" ca="1" aca="1" ref="BM47">_xlfn.LET(_xlpm.val,IF($F47="",val_blankRefText,_xldudf_CX_GET(CX_ENTITY,($F47),BM$11,BM$14,,BM$19)),_xlpm.Res,IF(OR(_xlpm.val="",_xlpm.val="Error"),"",_xlpm.val),_xlpm.Res)</f>
        <v>#NAME?</v>
      </c>
      <c r="BN47" s="1669" t="e" cm="1">
        <f t="array" ca="1" aca="1" ref="BN47">_xlfn.LET(_xlpm.val,IF($F47="",val_blankRefText,_xldudf_CX_GET(CX_ENTITY,($F47),BN$11,BN$14,,BN$19)),_xlpm.Res,IF(OR(_xlpm.val="",_xlpm.val="Error"),"",_xlpm.val),_xlpm.Res)</f>
        <v>#NAME?</v>
      </c>
      <c r="BO47" s="2095"/>
      <c r="BP47" s="2095"/>
      <c r="BQ47" s="2095"/>
      <c r="BR47" s="2095"/>
      <c r="BS47" s="2095"/>
      <c r="BT47" s="2095"/>
      <c r="BU47" s="2095"/>
      <c r="BV47" s="2095"/>
      <c r="BW47" s="2095"/>
      <c r="BX47" s="2095"/>
      <c r="BY47" s="2095"/>
      <c r="BZ47" s="2095"/>
      <c r="CA47" s="926"/>
      <c r="CB47" s="921"/>
      <c r="CC47" s="927"/>
      <c r="CD47" s="920" t="e" cm="1">
        <f t="array" ca="1" aca="1" ref="CD47">_xlfn.XLOOKUP(BS!CD$11,array_timeline,BS!$AD47:$BN47)</f>
        <v>#NAME?</v>
      </c>
      <c r="CE47" s="920" t="e" cm="1">
        <f t="array" ca="1" aca="1" ref="CE47">_xlfn.XLOOKUP(BS!CE$11,array_timeline,BS!$AD47:$BN47)</f>
        <v>#NAME?</v>
      </c>
      <c r="CF47" s="925"/>
      <c r="CG47" s="920" t="e" cm="1">
        <f t="array" ca="1" aca="1" ref="CG47">_xlfn.LET(_xlpm.val,IF($F47="",val_blankRefText,_xldudf_CX_GET(CX_ENTITY,($F47),CG$11,CG$14,,(CG$19))),_xlpm.Res,IF(OR(_xlpm.val="",_xlpm.val="Error"),"",_xlpm.val),_xlpm.Res)</f>
        <v>#NAME?</v>
      </c>
      <c r="CH47" s="920" t="e" cm="1">
        <f t="array" ca="1" aca="1" ref="CH47">_xlfn.LET(_xlpm.val,IF($F47="",val_blankRefText,_xldudf_CX_GET(CX_ENTITY,($F47),CH$11,CH$14,,(CH$19))),_xlpm.Res,IF(OR(_xlpm.val="",_xlpm.val="Error"),"",_xlpm.val),_xlpm.Res)</f>
        <v>#NAME?</v>
      </c>
      <c r="CI47" s="200"/>
    </row>
    <row r="48" spans="1:87" ht="21" customHeight="1">
      <c r="A48" s="696" t="s">
        <v>1743</v>
      </c>
      <c r="B48" s="577" t="s">
        <v>760</v>
      </c>
      <c r="C48" s="577" t="s">
        <v>1744</v>
      </c>
      <c r="D48" s="577"/>
      <c r="E48" s="577" t="e" cm="1">
        <f t="array" ca="1" aca="1" ref="E48">_xlfn.LET(_xlpm.Attr,$C48,_xlpm.Lookback,$E$16,_xlpm.QueryDate,EOMONTH(val_asOfDate,_xlpm.Lookback),_xlpm.ReadField,_xldudf_CX_GET(CX_ENTITY,fx_attrConverter($C48),_xlpm.QueryDate),_xlpm.AttrBlank,_xlpm.Attr="",_xlpm.RESULT,IF(_xlpm.AttrBlank,val_blankRefText,fx_attrConverter(_xlpm.ReadField,0)),IF(_xlpm.RESULT="Error","",_xlpm.RESULT))</f>
        <v>#NAME?</v>
      </c>
      <c r="F48" s="577" t="str">
        <f t="shared" si="1"/>
        <v>Other Liabilities</v>
      </c>
      <c r="G48" s="574"/>
      <c r="H48" s="3280">
        <v>1</v>
      </c>
      <c r="I48" s="3279">
        <v>1</v>
      </c>
      <c r="J48" s="401"/>
      <c r="K48" s="401"/>
      <c r="L48" s="3269" t="b">
        <v>1</v>
      </c>
      <c r="N48" s="158"/>
      <c r="O48" s="101"/>
      <c r="P48" s="52"/>
      <c r="Q48" s="101"/>
      <c r="R48" s="126"/>
      <c r="S48" s="101"/>
      <c r="T48" s="101"/>
      <c r="U48" s="39"/>
      <c r="W48" s="91" t="str">
        <f t="shared" si="4"/>
        <v>Actual</v>
      </c>
      <c r="X48" s="857">
        <v>-1</v>
      </c>
      <c r="Y48" s="2627" t="s">
        <v>760</v>
      </c>
      <c r="Z48" s="3291" cm="1">
        <f t="array" ref="Z48">_xlfn.SWITCH(TRUE,$L48="",0,$L48=TRUE,1,$L48=FALSE,-1,)</f>
        <v>1</v>
      </c>
      <c r="AA48" s="2625"/>
      <c r="AB48" s="2626" t="s">
        <v>760</v>
      </c>
      <c r="AC48" s="88" t="e" vm="5" cm="1">
        <f t="array" ref="AC48">IFERROR(IF(_xlfn.XMATCH(AB48,tbl_acctDef[Term],0)&gt;0,fx_getIcon("find"),""),"")</f>
        <v>#VALUE!</v>
      </c>
      <c r="AD48" s="1669" t="e" cm="1">
        <f t="array" ca="1" aca="1" ref="AD48">_xlfn.LET(_xlpm.val,IF($F48="",val_blankRefText,_xldudf_CX_GET(CX_ENTITY,($F48),AD$11,AD$14,,AD$19)),_xlpm.Res,IF(OR(_xlpm.val="",_xlpm.val="Error"),"",_xlpm.val),_xlpm.Res)</f>
        <v>#NAME?</v>
      </c>
      <c r="AE48" s="1669" t="e" cm="1">
        <f t="array" ca="1" aca="1" ref="AE48">_xlfn.LET(_xlpm.val,IF($F48="",val_blankRefText,_xldudf_CX_GET(CX_ENTITY,($F48),AE$11,AE$14,,AE$19)),_xlpm.Res,IF(OR(_xlpm.val="",_xlpm.val="Error"),"",_xlpm.val),_xlpm.Res)</f>
        <v>#NAME?</v>
      </c>
      <c r="AF48" s="1669" t="e" cm="1">
        <f t="array" ca="1" aca="1" ref="AF48">_xlfn.LET(_xlpm.val,IF($F48="",val_blankRefText,_xldudf_CX_GET(CX_ENTITY,($F48),AF$11,AF$14,,AF$19)),_xlpm.Res,IF(OR(_xlpm.val="",_xlpm.val="Error"),"",_xlpm.val),_xlpm.Res)</f>
        <v>#NAME?</v>
      </c>
      <c r="AG48" s="1669" t="e" cm="1">
        <f t="array" ca="1" aca="1" ref="AG48">_xlfn.LET(_xlpm.val,IF($F48="",val_blankRefText,_xldudf_CX_GET(CX_ENTITY,($F48),AG$11,AG$14,,AG$19)),_xlpm.Res,IF(OR(_xlpm.val="",_xlpm.val="Error"),"",_xlpm.val),_xlpm.Res)</f>
        <v>#NAME?</v>
      </c>
      <c r="AH48" s="1669" t="e" cm="1">
        <f t="array" ca="1" aca="1" ref="AH48">_xlfn.LET(_xlpm.val,IF($F48="",val_blankRefText,_xldudf_CX_GET(CX_ENTITY,($F48),AH$11,AH$14,,AH$19)),_xlpm.Res,IF(OR(_xlpm.val="",_xlpm.val="Error"),"",_xlpm.val),_xlpm.Res)</f>
        <v>#NAME?</v>
      </c>
      <c r="AI48" s="1669" t="e" cm="1">
        <f t="array" ca="1" aca="1" ref="AI48">_xlfn.LET(_xlpm.val,IF($F48="",val_blankRefText,_xldudf_CX_GET(CX_ENTITY,($F48),AI$11,AI$14,,AI$19)),_xlpm.Res,IF(OR(_xlpm.val="",_xlpm.val="Error"),"",_xlpm.val),_xlpm.Res)</f>
        <v>#NAME?</v>
      </c>
      <c r="AJ48" s="1669" t="e" cm="1">
        <f t="array" ca="1" aca="1" ref="AJ48">_xlfn.LET(_xlpm.val,IF($F48="",val_blankRefText,_xldudf_CX_GET(CX_ENTITY,($F48),AJ$11,AJ$14,,AJ$19)),_xlpm.Res,IF(OR(_xlpm.val="",_xlpm.val="Error"),"",_xlpm.val),_xlpm.Res)</f>
        <v>#NAME?</v>
      </c>
      <c r="AK48" s="1669" t="e" cm="1">
        <f t="array" ca="1" aca="1" ref="AK48">_xlfn.LET(_xlpm.val,IF($F48="",val_blankRefText,_xldudf_CX_GET(CX_ENTITY,($F48),AK$11,AK$14,,AK$19)),_xlpm.Res,IF(OR(_xlpm.val="",_xlpm.val="Error"),"",_xlpm.val),_xlpm.Res)</f>
        <v>#NAME?</v>
      </c>
      <c r="AL48" s="1669" t="e" cm="1">
        <f t="array" ca="1" aca="1" ref="AL48">_xlfn.LET(_xlpm.val,IF($F48="",val_blankRefText,_xldudf_CX_GET(CX_ENTITY,($F48),AL$11,AL$14,,AL$19)),_xlpm.Res,IF(OR(_xlpm.val="",_xlpm.val="Error"),"",_xlpm.val),_xlpm.Res)</f>
        <v>#NAME?</v>
      </c>
      <c r="AM48" s="1669" t="e" cm="1">
        <f t="array" ca="1" aca="1" ref="AM48">_xlfn.LET(_xlpm.val,IF($F48="",val_blankRefText,_xldudf_CX_GET(CX_ENTITY,($F48),AM$11,AM$14,,AM$19)),_xlpm.Res,IF(OR(_xlpm.val="",_xlpm.val="Error"),"",_xlpm.val),_xlpm.Res)</f>
        <v>#NAME?</v>
      </c>
      <c r="AN48" s="1669" t="e" cm="1">
        <f t="array" ca="1" aca="1" ref="AN48">_xlfn.LET(_xlpm.val,IF($F48="",val_blankRefText,_xldudf_CX_GET(CX_ENTITY,($F48),AN$11,AN$14,,AN$19)),_xlpm.Res,IF(OR(_xlpm.val="",_xlpm.val="Error"),"",_xlpm.val),_xlpm.Res)</f>
        <v>#NAME?</v>
      </c>
      <c r="AO48" s="1669" t="e" cm="1">
        <f t="array" ca="1" aca="1" ref="AO48">_xlfn.LET(_xlpm.val,IF($F48="",val_blankRefText,_xldudf_CX_GET(CX_ENTITY,($F48),AO$11,AO$14,,AO$19)),_xlpm.Res,IF(OR(_xlpm.val="",_xlpm.val="Error"),"",_xlpm.val),_xlpm.Res)</f>
        <v>#NAME?</v>
      </c>
      <c r="AP48" s="1669" t="e" cm="1">
        <f t="array" ca="1" aca="1" ref="AP48">_xlfn.LET(_xlpm.val,IF($F48="",val_blankRefText,_xldudf_CX_GET(CX_ENTITY,($F48),AP$11,AP$14,,AP$19)),_xlpm.Res,IF(OR(_xlpm.val="",_xlpm.val="Error"),"",_xlpm.val),_xlpm.Res)</f>
        <v>#NAME?</v>
      </c>
      <c r="AQ48" s="1669" t="e" cm="1">
        <f t="array" ca="1" aca="1" ref="AQ48">_xlfn.LET(_xlpm.val,IF($F48="",val_blankRefText,_xldudf_CX_GET(CX_ENTITY,($F48),AQ$11,AQ$14,,AQ$19)),_xlpm.Res,IF(OR(_xlpm.val="",_xlpm.val="Error"),"",_xlpm.val),_xlpm.Res)</f>
        <v>#NAME?</v>
      </c>
      <c r="AR48" s="1669" t="e" cm="1">
        <f t="array" ca="1" aca="1" ref="AR48">_xlfn.LET(_xlpm.val,IF($F48="",val_blankRefText,_xldudf_CX_GET(CX_ENTITY,($F48),AR$11,AR$14,,AR$19)),_xlpm.Res,IF(OR(_xlpm.val="",_xlpm.val="Error"),"",_xlpm.val),_xlpm.Res)</f>
        <v>#NAME?</v>
      </c>
      <c r="AS48" s="1669" t="e" cm="1">
        <f t="array" ca="1" aca="1" ref="AS48">_xlfn.LET(_xlpm.val,IF($F48="",val_blankRefText,_xldudf_CX_GET(CX_ENTITY,($F48),AS$11,AS$14,,AS$19)),_xlpm.Res,IF(OR(_xlpm.val="",_xlpm.val="Error"),"",_xlpm.val),_xlpm.Res)</f>
        <v>#NAME?</v>
      </c>
      <c r="AT48" s="1669" t="e" cm="1">
        <f t="array" ca="1" aca="1" ref="AT48">_xlfn.LET(_xlpm.val,IF($F48="",val_blankRefText,_xldudf_CX_GET(CX_ENTITY,($F48),AT$11,AT$14,,AT$19)),_xlpm.Res,IF(OR(_xlpm.val="",_xlpm.val="Error"),"",_xlpm.val),_xlpm.Res)</f>
        <v>#NAME?</v>
      </c>
      <c r="AU48" s="1669" t="e" cm="1">
        <f t="array" ca="1" aca="1" ref="AU48">_xlfn.LET(_xlpm.val,IF($F48="",val_blankRefText,_xldudf_CX_GET(CX_ENTITY,($F48),AU$11,AU$14,,AU$19)),_xlpm.Res,IF(OR(_xlpm.val="",_xlpm.val="Error"),"",_xlpm.val),_xlpm.Res)</f>
        <v>#NAME?</v>
      </c>
      <c r="AV48" s="1669" t="e" cm="1">
        <f t="array" ca="1" aca="1" ref="AV48">_xlfn.LET(_xlpm.val,IF($F48="",val_blankRefText,_xldudf_CX_GET(CX_ENTITY,($F48),AV$11,AV$14,,AV$19)),_xlpm.Res,IF(OR(_xlpm.val="",_xlpm.val="Error"),"",_xlpm.val),_xlpm.Res)</f>
        <v>#NAME?</v>
      </c>
      <c r="AW48" s="1669" t="e" cm="1">
        <f t="array" ca="1" aca="1" ref="AW48">_xlfn.LET(_xlpm.val,IF($F48="",val_blankRefText,_xldudf_CX_GET(CX_ENTITY,($F48),AW$11,AW$14,,AW$19)),_xlpm.Res,IF(OR(_xlpm.val="",_xlpm.val="Error"),"",_xlpm.val),_xlpm.Res)</f>
        <v>#NAME?</v>
      </c>
      <c r="AX48" s="1669" t="e" cm="1">
        <f t="array" ca="1" aca="1" ref="AX48">_xlfn.LET(_xlpm.val,IF($F48="",val_blankRefText,_xldudf_CX_GET(CX_ENTITY,($F48),AX$11,AX$14,,AX$19)),_xlpm.Res,IF(OR(_xlpm.val="",_xlpm.val="Error"),"",_xlpm.val),_xlpm.Res)</f>
        <v>#NAME?</v>
      </c>
      <c r="AY48" s="1669" t="e" cm="1">
        <f t="array" ca="1" aca="1" ref="AY48">_xlfn.LET(_xlpm.val,IF($F48="",val_blankRefText,_xldudf_CX_GET(CX_ENTITY,($F48),AY$11,AY$14,,AY$19)),_xlpm.Res,IF(OR(_xlpm.val="",_xlpm.val="Error"),"",_xlpm.val),_xlpm.Res)</f>
        <v>#NAME?</v>
      </c>
      <c r="AZ48" s="1669" t="e" cm="1">
        <f t="array" ca="1" aca="1" ref="AZ48">_xlfn.LET(_xlpm.val,IF($F48="",val_blankRefText,_xldudf_CX_GET(CX_ENTITY,($F48),AZ$11,AZ$14,,AZ$19)),_xlpm.Res,IF(OR(_xlpm.val="",_xlpm.val="Error"),"",_xlpm.val),_xlpm.Res)</f>
        <v>#NAME?</v>
      </c>
      <c r="BA48" s="1669" t="e" cm="1">
        <f t="array" ca="1" aca="1" ref="BA48">_xlfn.LET(_xlpm.val,IF($F48="",val_blankRefText,_xldudf_CX_GET(CX_ENTITY,($F48),BA$11,BA$14,,BA$19)),_xlpm.Res,IF(OR(_xlpm.val="",_xlpm.val="Error"),"",_xlpm.val),_xlpm.Res)</f>
        <v>#NAME?</v>
      </c>
      <c r="BB48" s="1669" t="e" cm="1">
        <f t="array" ca="1" aca="1" ref="BB48">_xlfn.LET(_xlpm.val,IF($F48="",val_blankRefText,_xldudf_CX_GET(CX_ENTITY,($F48),BB$11,BB$14,,BB$19)),_xlpm.Res,IF(OR(_xlpm.val="",_xlpm.val="Error"),"",_xlpm.val),_xlpm.Res)</f>
        <v>#NAME?</v>
      </c>
      <c r="BC48" s="1669" t="e" cm="1">
        <f t="array" ca="1" aca="1" ref="BC48">_xlfn.LET(_xlpm.val,IF($F48="",val_blankRefText,_xldudf_CX_GET(CX_ENTITY,($F48),BC$11,BC$14,,BC$19)),_xlpm.Res,IF(OR(_xlpm.val="",_xlpm.val="Error"),"",_xlpm.val),_xlpm.Res)</f>
        <v>#NAME?</v>
      </c>
      <c r="BD48" s="1669" t="e" cm="1">
        <f t="array" ca="1" aca="1" ref="BD48">_xlfn.LET(_xlpm.val,IF($F48="",val_blankRefText,_xldudf_CX_GET(CX_ENTITY,($F48),BD$11,BD$14,,BD$19)),_xlpm.Res,IF(OR(_xlpm.val="",_xlpm.val="Error"),"",_xlpm.val),_xlpm.Res)</f>
        <v>#NAME?</v>
      </c>
      <c r="BE48" s="1669" t="e" cm="1">
        <f t="array" ca="1" aca="1" ref="BE48">_xlfn.LET(_xlpm.val,IF($F48="",val_blankRefText,_xldudf_CX_GET(CX_ENTITY,($F48),BE$11,BE$14,,BE$19)),_xlpm.Res,IF(OR(_xlpm.val="",_xlpm.val="Error"),"",_xlpm.val),_xlpm.Res)</f>
        <v>#NAME?</v>
      </c>
      <c r="BF48" s="1669" t="e" cm="1">
        <f t="array" ca="1" aca="1" ref="BF48">_xlfn.LET(_xlpm.val,IF($F48="",val_blankRefText,_xldudf_CX_GET(CX_ENTITY,($F48),BF$11,BF$14,,BF$19)),_xlpm.Res,IF(OR(_xlpm.val="",_xlpm.val="Error"),"",_xlpm.val),_xlpm.Res)</f>
        <v>#NAME?</v>
      </c>
      <c r="BG48" s="1669" t="e" cm="1">
        <f t="array" ca="1" aca="1" ref="BG48">_xlfn.LET(_xlpm.val,IF($F48="",val_blankRefText,_xldudf_CX_GET(CX_ENTITY,($F48),BG$11,BG$14,,BG$19)),_xlpm.Res,IF(OR(_xlpm.val="",_xlpm.val="Error"),"",_xlpm.val),_xlpm.Res)</f>
        <v>#NAME?</v>
      </c>
      <c r="BH48" s="1669" t="e" cm="1">
        <f t="array" ca="1" aca="1" ref="BH48">_xlfn.LET(_xlpm.val,IF($F48="",val_blankRefText,_xldudf_CX_GET(CX_ENTITY,($F48),BH$11,BH$14,,BH$19)),_xlpm.Res,IF(OR(_xlpm.val="",_xlpm.val="Error"),"",_xlpm.val),_xlpm.Res)</f>
        <v>#NAME?</v>
      </c>
      <c r="BI48" s="1669" t="e" cm="1">
        <f t="array" ca="1" aca="1" ref="BI48">_xlfn.LET(_xlpm.val,IF($F48="",val_blankRefText,_xldudf_CX_GET(CX_ENTITY,($F48),BI$11,BI$14,,BI$19)),_xlpm.Res,IF(OR(_xlpm.val="",_xlpm.val="Error"),"",_xlpm.val),_xlpm.Res)</f>
        <v>#NAME?</v>
      </c>
      <c r="BJ48" s="1669" t="e" cm="1">
        <f t="array" ca="1" aca="1" ref="BJ48">_xlfn.LET(_xlpm.val,IF($F48="",val_blankRefText,_xldudf_CX_GET(CX_ENTITY,($F48),BJ$11,BJ$14,,BJ$19)),_xlpm.Res,IF(OR(_xlpm.val="",_xlpm.val="Error"),"",_xlpm.val),_xlpm.Res)</f>
        <v>#NAME?</v>
      </c>
      <c r="BK48" s="1669" t="e" cm="1">
        <f t="array" ca="1" aca="1" ref="BK48">_xlfn.LET(_xlpm.val,IF($F48="",val_blankRefText,_xldudf_CX_GET(CX_ENTITY,($F48),BK$11,BK$14,,BK$19)),_xlpm.Res,IF(OR(_xlpm.val="",_xlpm.val="Error"),"",_xlpm.val),_xlpm.Res)</f>
        <v>#NAME?</v>
      </c>
      <c r="BL48" s="1669" t="e" cm="1">
        <f t="array" ca="1" aca="1" ref="BL48">_xlfn.LET(_xlpm.val,IF($F48="",val_blankRefText,_xldudf_CX_GET(CX_ENTITY,($F48),BL$11,BL$14,,BL$19)),_xlpm.Res,IF(OR(_xlpm.val="",_xlpm.val="Error"),"",_xlpm.val),_xlpm.Res)</f>
        <v>#NAME?</v>
      </c>
      <c r="BM48" s="1669" t="e" cm="1">
        <f t="array" ca="1" aca="1" ref="BM48">_xlfn.LET(_xlpm.val,IF($F48="",val_blankRefText,_xldudf_CX_GET(CX_ENTITY,($F48),BM$11,BM$14,,BM$19)),_xlpm.Res,IF(OR(_xlpm.val="",_xlpm.val="Error"),"",_xlpm.val),_xlpm.Res)</f>
        <v>#NAME?</v>
      </c>
      <c r="BN48" s="1669" t="e" cm="1">
        <f t="array" ca="1" aca="1" ref="BN48">_xlfn.LET(_xlpm.val,IF($F48="",val_blankRefText,_xldudf_CX_GET(CX_ENTITY,($F48),BN$11,BN$14,,BN$19)),_xlpm.Res,IF(OR(_xlpm.val="",_xlpm.val="Error"),"",_xlpm.val),_xlpm.Res)</f>
        <v>#NAME?</v>
      </c>
      <c r="BO48" s="2095"/>
      <c r="BP48" s="2095"/>
      <c r="BQ48" s="2095"/>
      <c r="BR48" s="2095"/>
      <c r="BS48" s="2095"/>
      <c r="BT48" s="2095"/>
      <c r="BU48" s="2095"/>
      <c r="BV48" s="2095"/>
      <c r="BW48" s="2095"/>
      <c r="BX48" s="2095"/>
      <c r="BY48" s="2095"/>
      <c r="BZ48" s="2095"/>
      <c r="CA48" s="926"/>
      <c r="CB48" s="921"/>
      <c r="CC48" s="927"/>
      <c r="CD48" s="920" t="e" cm="1">
        <f t="array" ca="1" aca="1" ref="CD48">_xlfn.XLOOKUP(BS!CD$11,array_timeline,BS!$AD48:$BN48)</f>
        <v>#NAME?</v>
      </c>
      <c r="CE48" s="920" t="e" cm="1">
        <f t="array" ca="1" aca="1" ref="CE48">_xlfn.XLOOKUP(BS!CE$11,array_timeline,BS!$AD48:$BN48)</f>
        <v>#NAME?</v>
      </c>
      <c r="CF48" s="925"/>
      <c r="CG48" s="920" t="e" cm="1">
        <f t="array" ca="1" aca="1" ref="CG48">_xlfn.LET(_xlpm.val,IF($F48="",val_blankRefText,_xldudf_CX_GET(CX_ENTITY,($F48),CG$11,CG$14,,(CG$19))),_xlpm.Res,IF(OR(_xlpm.val="",_xlpm.val="Error"),"",_xlpm.val),_xlpm.Res)</f>
        <v>#NAME?</v>
      </c>
      <c r="CH48" s="920" t="e" cm="1">
        <f t="array" ca="1" aca="1" ref="CH48">_xlfn.LET(_xlpm.val,IF($F48="",val_blankRefText,_xldudf_CX_GET(CX_ENTITY,($F48),CH$11,CH$14,,(CH$19))),_xlpm.Res,IF(OR(_xlpm.val="",_xlpm.val="Error"),"",_xlpm.val),_xlpm.Res)</f>
        <v>#NAME?</v>
      </c>
      <c r="CI48" s="200"/>
    </row>
    <row r="49" spans="1:87" ht="21" customHeight="1">
      <c r="A49" s="696"/>
      <c r="B49" s="577" t="s">
        <v>763</v>
      </c>
      <c r="C49" s="577" t="s">
        <v>1745</v>
      </c>
      <c r="D49" s="577"/>
      <c r="E49" s="577" t="e" cm="1">
        <f t="array" ca="1" aca="1" ref="E49">_xlfn.LET(_xlpm.Attr,$C49,_xlpm.Lookback,$E$16,_xlpm.QueryDate,EOMONTH(val_asOfDate,_xlpm.Lookback),_xlpm.ReadField,_xldudf_CX_GET(CX_ENTITY,fx_attrConverter($C49),_xlpm.QueryDate),_xlpm.AttrBlank,_xlpm.Attr="",_xlpm.RESULT,IF(_xlpm.AttrBlank,val_blankRefText,fx_attrConverter(_xlpm.ReadField,0)),IF(_xlpm.RESULT="Error","",_xlpm.RESULT))</f>
        <v>#NAME?</v>
      </c>
      <c r="F49" s="577" t="str">
        <f t="shared" si="1"/>
        <v>Preferred Equity</v>
      </c>
      <c r="G49" s="574"/>
      <c r="H49" s="3280">
        <v>1</v>
      </c>
      <c r="I49" s="3279">
        <v>1</v>
      </c>
      <c r="J49" s="401"/>
      <c r="K49" s="401"/>
      <c r="L49" s="579"/>
      <c r="N49" s="158"/>
      <c r="O49" s="101"/>
      <c r="P49" s="52"/>
      <c r="Q49" s="101"/>
      <c r="R49" s="126"/>
      <c r="S49" s="101"/>
      <c r="T49" s="101"/>
      <c r="U49" s="39"/>
      <c r="W49" s="91" t="str">
        <f t="shared" si="4"/>
        <v>Actual</v>
      </c>
      <c r="X49" s="857">
        <v>-1</v>
      </c>
      <c r="Y49" s="2627" t="s">
        <v>763</v>
      </c>
      <c r="Z49" s="198" cm="1">
        <f t="array" ref="Z49">_xlfn.SWITCH(TRUE,$L49="",0,$L49=TRUE,1,$L49=FALSE,-1,)</f>
        <v>0</v>
      </c>
      <c r="AA49" s="2625"/>
      <c r="AB49" s="2626" t="s">
        <v>763</v>
      </c>
      <c r="AC49" s="88" t="e" vm="5" cm="1">
        <f t="array" ref="AC49">IFERROR(IF(_xlfn.XMATCH(AB49,tbl_acctDef[Term],0)&gt;0,fx_getIcon("find"),""),"")</f>
        <v>#VALUE!</v>
      </c>
      <c r="AD49" s="1669" t="e" cm="1">
        <f t="array" ca="1" aca="1" ref="AD49">_xlfn.LET(_xlpm.val,IF($F49="",val_blankRefText,_xldudf_CX_GET(CX_ENTITY,($F49),AD$11,AD$14,,AD$19)),_xlpm.Res,IF(OR(_xlpm.val="",_xlpm.val="Error"),"",_xlpm.val),_xlpm.Res)</f>
        <v>#NAME?</v>
      </c>
      <c r="AE49" s="1669" t="e" cm="1">
        <f t="array" ca="1" aca="1" ref="AE49">_xlfn.LET(_xlpm.val,IF($F49="",val_blankRefText,_xldudf_CX_GET(CX_ENTITY,($F49),AE$11,AE$14,,AE$19)),_xlpm.Res,IF(OR(_xlpm.val="",_xlpm.val="Error"),"",_xlpm.val),_xlpm.Res)</f>
        <v>#NAME?</v>
      </c>
      <c r="AF49" s="1669" t="e" cm="1">
        <f t="array" ca="1" aca="1" ref="AF49">_xlfn.LET(_xlpm.val,IF($F49="",val_blankRefText,_xldudf_CX_GET(CX_ENTITY,($F49),AF$11,AF$14,,AF$19)),_xlpm.Res,IF(OR(_xlpm.val="",_xlpm.val="Error"),"",_xlpm.val),_xlpm.Res)</f>
        <v>#NAME?</v>
      </c>
      <c r="AG49" s="1669" t="e" cm="1">
        <f t="array" ca="1" aca="1" ref="AG49">_xlfn.LET(_xlpm.val,IF($F49="",val_blankRefText,_xldudf_CX_GET(CX_ENTITY,($F49),AG$11,AG$14,,AG$19)),_xlpm.Res,IF(OR(_xlpm.val="",_xlpm.val="Error"),"",_xlpm.val),_xlpm.Res)</f>
        <v>#NAME?</v>
      </c>
      <c r="AH49" s="1669" t="e" cm="1">
        <f t="array" ca="1" aca="1" ref="AH49">_xlfn.LET(_xlpm.val,IF($F49="",val_blankRefText,_xldudf_CX_GET(CX_ENTITY,($F49),AH$11,AH$14,,AH$19)),_xlpm.Res,IF(OR(_xlpm.val="",_xlpm.val="Error"),"",_xlpm.val),_xlpm.Res)</f>
        <v>#NAME?</v>
      </c>
      <c r="AI49" s="1669" t="e" cm="1">
        <f t="array" ca="1" aca="1" ref="AI49">_xlfn.LET(_xlpm.val,IF($F49="",val_blankRefText,_xldudf_CX_GET(CX_ENTITY,($F49),AI$11,AI$14,,AI$19)),_xlpm.Res,IF(OR(_xlpm.val="",_xlpm.val="Error"),"",_xlpm.val),_xlpm.Res)</f>
        <v>#NAME?</v>
      </c>
      <c r="AJ49" s="1669" t="e" cm="1">
        <f t="array" ca="1" aca="1" ref="AJ49">_xlfn.LET(_xlpm.val,IF($F49="",val_blankRefText,_xldudf_CX_GET(CX_ENTITY,($F49),AJ$11,AJ$14,,AJ$19)),_xlpm.Res,IF(OR(_xlpm.val="",_xlpm.val="Error"),"",_xlpm.val),_xlpm.Res)</f>
        <v>#NAME?</v>
      </c>
      <c r="AK49" s="1669" t="e" cm="1">
        <f t="array" ca="1" aca="1" ref="AK49">_xlfn.LET(_xlpm.val,IF($F49="",val_blankRefText,_xldudf_CX_GET(CX_ENTITY,($F49),AK$11,AK$14,,AK$19)),_xlpm.Res,IF(OR(_xlpm.val="",_xlpm.val="Error"),"",_xlpm.val),_xlpm.Res)</f>
        <v>#NAME?</v>
      </c>
      <c r="AL49" s="1669" t="e" cm="1">
        <f t="array" ca="1" aca="1" ref="AL49">_xlfn.LET(_xlpm.val,IF($F49="",val_blankRefText,_xldudf_CX_GET(CX_ENTITY,($F49),AL$11,AL$14,,AL$19)),_xlpm.Res,IF(OR(_xlpm.val="",_xlpm.val="Error"),"",_xlpm.val),_xlpm.Res)</f>
        <v>#NAME?</v>
      </c>
      <c r="AM49" s="1669" t="e" cm="1">
        <f t="array" ca="1" aca="1" ref="AM49">_xlfn.LET(_xlpm.val,IF($F49="",val_blankRefText,_xldudf_CX_GET(CX_ENTITY,($F49),AM$11,AM$14,,AM$19)),_xlpm.Res,IF(OR(_xlpm.val="",_xlpm.val="Error"),"",_xlpm.val),_xlpm.Res)</f>
        <v>#NAME?</v>
      </c>
      <c r="AN49" s="1669" t="e" cm="1">
        <f t="array" ca="1" aca="1" ref="AN49">_xlfn.LET(_xlpm.val,IF($F49="",val_blankRefText,_xldudf_CX_GET(CX_ENTITY,($F49),AN$11,AN$14,,AN$19)),_xlpm.Res,IF(OR(_xlpm.val="",_xlpm.val="Error"),"",_xlpm.val),_xlpm.Res)</f>
        <v>#NAME?</v>
      </c>
      <c r="AO49" s="1669" t="e" cm="1">
        <f t="array" ca="1" aca="1" ref="AO49">_xlfn.LET(_xlpm.val,IF($F49="",val_blankRefText,_xldudf_CX_GET(CX_ENTITY,($F49),AO$11,AO$14,,AO$19)),_xlpm.Res,IF(OR(_xlpm.val="",_xlpm.val="Error"),"",_xlpm.val),_xlpm.Res)</f>
        <v>#NAME?</v>
      </c>
      <c r="AP49" s="1669" t="e" cm="1">
        <f t="array" ca="1" aca="1" ref="AP49">_xlfn.LET(_xlpm.val,IF($F49="",val_blankRefText,_xldudf_CX_GET(CX_ENTITY,($F49),AP$11,AP$14,,AP$19)),_xlpm.Res,IF(OR(_xlpm.val="",_xlpm.val="Error"),"",_xlpm.val),_xlpm.Res)</f>
        <v>#NAME?</v>
      </c>
      <c r="AQ49" s="1669" t="e" cm="1">
        <f t="array" ca="1" aca="1" ref="AQ49">_xlfn.LET(_xlpm.val,IF($F49="",val_blankRefText,_xldudf_CX_GET(CX_ENTITY,($F49),AQ$11,AQ$14,,AQ$19)),_xlpm.Res,IF(OR(_xlpm.val="",_xlpm.val="Error"),"",_xlpm.val),_xlpm.Res)</f>
        <v>#NAME?</v>
      </c>
      <c r="AR49" s="1669" t="e" cm="1">
        <f t="array" ca="1" aca="1" ref="AR49">_xlfn.LET(_xlpm.val,IF($F49="",val_blankRefText,_xldudf_CX_GET(CX_ENTITY,($F49),AR$11,AR$14,,AR$19)),_xlpm.Res,IF(OR(_xlpm.val="",_xlpm.val="Error"),"",_xlpm.val),_xlpm.Res)</f>
        <v>#NAME?</v>
      </c>
      <c r="AS49" s="1669" t="e" cm="1">
        <f t="array" ca="1" aca="1" ref="AS49">_xlfn.LET(_xlpm.val,IF($F49="",val_blankRefText,_xldudf_CX_GET(CX_ENTITY,($F49),AS$11,AS$14,,AS$19)),_xlpm.Res,IF(OR(_xlpm.val="",_xlpm.val="Error"),"",_xlpm.val),_xlpm.Res)</f>
        <v>#NAME?</v>
      </c>
      <c r="AT49" s="1669" t="e" cm="1">
        <f t="array" ca="1" aca="1" ref="AT49">_xlfn.LET(_xlpm.val,IF($F49="",val_blankRefText,_xldudf_CX_GET(CX_ENTITY,($F49),AT$11,AT$14,,AT$19)),_xlpm.Res,IF(OR(_xlpm.val="",_xlpm.val="Error"),"",_xlpm.val),_xlpm.Res)</f>
        <v>#NAME?</v>
      </c>
      <c r="AU49" s="1669" t="e" cm="1">
        <f t="array" ca="1" aca="1" ref="AU49">_xlfn.LET(_xlpm.val,IF($F49="",val_blankRefText,_xldudf_CX_GET(CX_ENTITY,($F49),AU$11,AU$14,,AU$19)),_xlpm.Res,IF(OR(_xlpm.val="",_xlpm.val="Error"),"",_xlpm.val),_xlpm.Res)</f>
        <v>#NAME?</v>
      </c>
      <c r="AV49" s="1669" t="e" cm="1">
        <f t="array" ca="1" aca="1" ref="AV49">_xlfn.LET(_xlpm.val,IF($F49="",val_blankRefText,_xldudf_CX_GET(CX_ENTITY,($F49),AV$11,AV$14,,AV$19)),_xlpm.Res,IF(OR(_xlpm.val="",_xlpm.val="Error"),"",_xlpm.val),_xlpm.Res)</f>
        <v>#NAME?</v>
      </c>
      <c r="AW49" s="1669" t="e" cm="1">
        <f t="array" ca="1" aca="1" ref="AW49">_xlfn.LET(_xlpm.val,IF($F49="",val_blankRefText,_xldudf_CX_GET(CX_ENTITY,($F49),AW$11,AW$14,,AW$19)),_xlpm.Res,IF(OR(_xlpm.val="",_xlpm.val="Error"),"",_xlpm.val),_xlpm.Res)</f>
        <v>#NAME?</v>
      </c>
      <c r="AX49" s="1669" t="e" cm="1">
        <f t="array" ca="1" aca="1" ref="AX49">_xlfn.LET(_xlpm.val,IF($F49="",val_blankRefText,_xldudf_CX_GET(CX_ENTITY,($F49),AX$11,AX$14,,AX$19)),_xlpm.Res,IF(OR(_xlpm.val="",_xlpm.val="Error"),"",_xlpm.val),_xlpm.Res)</f>
        <v>#NAME?</v>
      </c>
      <c r="AY49" s="1669" t="e" cm="1">
        <f t="array" ca="1" aca="1" ref="AY49">_xlfn.LET(_xlpm.val,IF($F49="",val_blankRefText,_xldudf_CX_GET(CX_ENTITY,($F49),AY$11,AY$14,,AY$19)),_xlpm.Res,IF(OR(_xlpm.val="",_xlpm.val="Error"),"",_xlpm.val),_xlpm.Res)</f>
        <v>#NAME?</v>
      </c>
      <c r="AZ49" s="1669" t="e" cm="1">
        <f t="array" ca="1" aca="1" ref="AZ49">_xlfn.LET(_xlpm.val,IF($F49="",val_blankRefText,_xldudf_CX_GET(CX_ENTITY,($F49),AZ$11,AZ$14,,AZ$19)),_xlpm.Res,IF(OR(_xlpm.val="",_xlpm.val="Error"),"",_xlpm.val),_xlpm.Res)</f>
        <v>#NAME?</v>
      </c>
      <c r="BA49" s="1669" t="e" cm="1">
        <f t="array" ca="1" aca="1" ref="BA49">_xlfn.LET(_xlpm.val,IF($F49="",val_blankRefText,_xldudf_CX_GET(CX_ENTITY,($F49),BA$11,BA$14,,BA$19)),_xlpm.Res,IF(OR(_xlpm.val="",_xlpm.val="Error"),"",_xlpm.val),_xlpm.Res)</f>
        <v>#NAME?</v>
      </c>
      <c r="BB49" s="1669" t="e" cm="1">
        <f t="array" ca="1" aca="1" ref="BB49">_xlfn.LET(_xlpm.val,IF($F49="",val_blankRefText,_xldudf_CX_GET(CX_ENTITY,($F49),BB$11,BB$14,,BB$19)),_xlpm.Res,IF(OR(_xlpm.val="",_xlpm.val="Error"),"",_xlpm.val),_xlpm.Res)</f>
        <v>#NAME?</v>
      </c>
      <c r="BC49" s="1669" t="e" cm="1">
        <f t="array" ca="1" aca="1" ref="BC49">_xlfn.LET(_xlpm.val,IF($F49="",val_blankRefText,_xldudf_CX_GET(CX_ENTITY,($F49),BC$11,BC$14,,BC$19)),_xlpm.Res,IF(OR(_xlpm.val="",_xlpm.val="Error"),"",_xlpm.val),_xlpm.Res)</f>
        <v>#NAME?</v>
      </c>
      <c r="BD49" s="1669" t="e" cm="1">
        <f t="array" ca="1" aca="1" ref="BD49">_xlfn.LET(_xlpm.val,IF($F49="",val_blankRefText,_xldudf_CX_GET(CX_ENTITY,($F49),BD$11,BD$14,,BD$19)),_xlpm.Res,IF(OR(_xlpm.val="",_xlpm.val="Error"),"",_xlpm.val),_xlpm.Res)</f>
        <v>#NAME?</v>
      </c>
      <c r="BE49" s="1669" t="e" cm="1">
        <f t="array" ca="1" aca="1" ref="BE49">_xlfn.LET(_xlpm.val,IF($F49="",val_blankRefText,_xldudf_CX_GET(CX_ENTITY,($F49),BE$11,BE$14,,BE$19)),_xlpm.Res,IF(OR(_xlpm.val="",_xlpm.val="Error"),"",_xlpm.val),_xlpm.Res)</f>
        <v>#NAME?</v>
      </c>
      <c r="BF49" s="1669" t="e" cm="1">
        <f t="array" ca="1" aca="1" ref="BF49">_xlfn.LET(_xlpm.val,IF($F49="",val_blankRefText,_xldudf_CX_GET(CX_ENTITY,($F49),BF$11,BF$14,,BF$19)),_xlpm.Res,IF(OR(_xlpm.val="",_xlpm.val="Error"),"",_xlpm.val),_xlpm.Res)</f>
        <v>#NAME?</v>
      </c>
      <c r="BG49" s="1669" t="e" cm="1">
        <f t="array" ca="1" aca="1" ref="BG49">_xlfn.LET(_xlpm.val,IF($F49="",val_blankRefText,_xldudf_CX_GET(CX_ENTITY,($F49),BG$11,BG$14,,BG$19)),_xlpm.Res,IF(OR(_xlpm.val="",_xlpm.val="Error"),"",_xlpm.val),_xlpm.Res)</f>
        <v>#NAME?</v>
      </c>
      <c r="BH49" s="1669" t="e" cm="1">
        <f t="array" ca="1" aca="1" ref="BH49">_xlfn.LET(_xlpm.val,IF($F49="",val_blankRefText,_xldudf_CX_GET(CX_ENTITY,($F49),BH$11,BH$14,,BH$19)),_xlpm.Res,IF(OR(_xlpm.val="",_xlpm.val="Error"),"",_xlpm.val),_xlpm.Res)</f>
        <v>#NAME?</v>
      </c>
      <c r="BI49" s="1669" t="e" cm="1">
        <f t="array" ca="1" aca="1" ref="BI49">_xlfn.LET(_xlpm.val,IF($F49="",val_blankRefText,_xldudf_CX_GET(CX_ENTITY,($F49),BI$11,BI$14,,BI$19)),_xlpm.Res,IF(OR(_xlpm.val="",_xlpm.val="Error"),"",_xlpm.val),_xlpm.Res)</f>
        <v>#NAME?</v>
      </c>
      <c r="BJ49" s="1669" t="e" cm="1">
        <f t="array" ca="1" aca="1" ref="BJ49">_xlfn.LET(_xlpm.val,IF($F49="",val_blankRefText,_xldudf_CX_GET(CX_ENTITY,($F49),BJ$11,BJ$14,,BJ$19)),_xlpm.Res,IF(OR(_xlpm.val="",_xlpm.val="Error"),"",_xlpm.val),_xlpm.Res)</f>
        <v>#NAME?</v>
      </c>
      <c r="BK49" s="1669" t="e" cm="1">
        <f t="array" ca="1" aca="1" ref="BK49">_xlfn.LET(_xlpm.val,IF($F49="",val_blankRefText,_xldudf_CX_GET(CX_ENTITY,($F49),BK$11,BK$14,,BK$19)),_xlpm.Res,IF(OR(_xlpm.val="",_xlpm.val="Error"),"",_xlpm.val),_xlpm.Res)</f>
        <v>#NAME?</v>
      </c>
      <c r="BL49" s="1669" t="e" cm="1">
        <f t="array" ca="1" aca="1" ref="BL49">_xlfn.LET(_xlpm.val,IF($F49="",val_blankRefText,_xldudf_CX_GET(CX_ENTITY,($F49),BL$11,BL$14,,BL$19)),_xlpm.Res,IF(OR(_xlpm.val="",_xlpm.val="Error"),"",_xlpm.val),_xlpm.Res)</f>
        <v>#NAME?</v>
      </c>
      <c r="BM49" s="1669" t="e" cm="1">
        <f t="array" ca="1" aca="1" ref="BM49">_xlfn.LET(_xlpm.val,IF($F49="",val_blankRefText,_xldudf_CX_GET(CX_ENTITY,($F49),BM$11,BM$14,,BM$19)),_xlpm.Res,IF(OR(_xlpm.val="",_xlpm.val="Error"),"",_xlpm.val),_xlpm.Res)</f>
        <v>#NAME?</v>
      </c>
      <c r="BN49" s="1669" t="e" cm="1">
        <f t="array" ca="1" aca="1" ref="BN49">_xlfn.LET(_xlpm.val,IF($F49="",val_blankRefText,_xldudf_CX_GET(CX_ENTITY,($F49),BN$11,BN$14,,BN$19)),_xlpm.Res,IF(OR(_xlpm.val="",_xlpm.val="Error"),"",_xlpm.val),_xlpm.Res)</f>
        <v>#NAME?</v>
      </c>
      <c r="BO49" s="2095"/>
      <c r="BP49" s="2095"/>
      <c r="BQ49" s="2095"/>
      <c r="BR49" s="2095"/>
      <c r="BS49" s="2095"/>
      <c r="BT49" s="2095"/>
      <c r="BU49" s="2095"/>
      <c r="BV49" s="2095"/>
      <c r="BW49" s="2095"/>
      <c r="BX49" s="2095"/>
      <c r="BY49" s="2095"/>
      <c r="BZ49" s="2095"/>
      <c r="CA49" s="926"/>
      <c r="CB49" s="921"/>
      <c r="CC49" s="927"/>
      <c r="CD49" s="920" t="e" cm="1">
        <f t="array" ca="1" aca="1" ref="CD49">_xlfn.XLOOKUP(BS!CD$11,array_timeline,BS!$AD49:$BN49)</f>
        <v>#NAME?</v>
      </c>
      <c r="CE49" s="920" t="e" cm="1">
        <f t="array" ca="1" aca="1" ref="CE49">_xlfn.XLOOKUP(BS!CE$11,array_timeline,BS!$AD49:$BN49)</f>
        <v>#NAME?</v>
      </c>
      <c r="CF49" s="925"/>
      <c r="CG49" s="920" t="e" cm="1">
        <f t="array" ca="1" aca="1" ref="CG49">_xlfn.LET(_xlpm.val,IF($F49="",val_blankRefText,_xldudf_CX_GET(CX_ENTITY,($F49),CG$11,CG$14,,(CG$19))),_xlpm.Res,IF(OR(_xlpm.val="",_xlpm.val="Error"),"",_xlpm.val),_xlpm.Res)</f>
        <v>#NAME?</v>
      </c>
      <c r="CH49" s="920" t="e" cm="1">
        <f t="array" ca="1" aca="1" ref="CH49">_xlfn.LET(_xlpm.val,IF($F49="",val_blankRefText,_xldudf_CX_GET(CX_ENTITY,($F49),CH$11,CH$14,,(CH$19))),_xlpm.Res,IF(OR(_xlpm.val="",_xlpm.val="Error"),"",_xlpm.val),_xlpm.Res)</f>
        <v>#NAME?</v>
      </c>
      <c r="CI49" s="200"/>
    </row>
    <row r="50" spans="1:87" ht="21" customHeight="1">
      <c r="A50" s="696" t="s">
        <v>1746</v>
      </c>
      <c r="B50" s="577" t="s">
        <v>1747</v>
      </c>
      <c r="C50" s="577" t="s">
        <v>1748</v>
      </c>
      <c r="D50" s="577"/>
      <c r="E50" s="577" t="e" cm="1">
        <f t="array" ca="1" aca="1" ref="E50">_xlfn.LET(_xlpm.Attr,$C50,_xlpm.Lookback,$E$16,_xlpm.QueryDate,EOMONTH(val_asOfDate,_xlpm.Lookback),_xlpm.ReadField,_xldudf_CX_GET(CX_ENTITY,fx_attrConverter($C50),_xlpm.QueryDate),_xlpm.AttrBlank,_xlpm.Attr="",_xlpm.RESULT,IF(_xlpm.AttrBlank,val_blankRefText,fx_attrConverter(_xlpm.ReadField,0)),IF(_xlpm.RESULT="Error","",_xlpm.RESULT))</f>
        <v>#NAME?</v>
      </c>
      <c r="F50" s="577" t="str">
        <f>IF($B50&lt;&gt;"",$B50,$E50)</f>
        <v>Net Assets / Total Equity</v>
      </c>
      <c r="G50" s="574"/>
      <c r="H50" s="3280">
        <v>2</v>
      </c>
      <c r="I50" s="3280">
        <v>1</v>
      </c>
      <c r="J50" s="401"/>
      <c r="K50" s="401"/>
      <c r="L50" s="579">
        <v>-1</v>
      </c>
      <c r="N50" s="158"/>
      <c r="O50" s="101"/>
      <c r="P50" s="52"/>
      <c r="Q50" s="101"/>
      <c r="R50" s="101"/>
      <c r="S50" s="101"/>
      <c r="T50" s="101"/>
      <c r="U50" s="39"/>
      <c r="W50" s="962" t="str">
        <f t="shared" si="4"/>
        <v>Actual</v>
      </c>
      <c r="X50" s="1295">
        <v>0</v>
      </c>
      <c r="Y50" s="2628" t="s">
        <v>1747</v>
      </c>
      <c r="Z50" s="198" cm="1">
        <f t="array" ref="Z50">_xlfn.SWITCH(TRUE,$L50="",0,$L50=TRUE,1,$L50=FALSE,-1,)</f>
        <v>0</v>
      </c>
      <c r="AA50" s="2630"/>
      <c r="AB50" s="949" t="s">
        <v>1747</v>
      </c>
      <c r="AC50" s="13" t="e" vm="5" cm="1">
        <f t="array" ref="AC50">IFERROR(IF(_xlfn.XMATCH(AB50,tbl_acctDef[Term],0)&gt;0,fx_getIcon("find"),""),"")</f>
        <v>#VALUE!</v>
      </c>
      <c r="AD50" s="1669" t="e" cm="1">
        <f t="array" ca="1" aca="1" ref="AD50">_xlfn.LET(_xlpm.val,IF($F50="",val_blankRefText,_xldudf_CX_GET(CX_ENTITY,($F50),AD$11,AD$14,,AD$19)),_xlpm.Res,IF(OR(_xlpm.val="",_xlpm.val="Error"),"",_xlpm.val),_xlpm.Res)</f>
        <v>#NAME?</v>
      </c>
      <c r="AE50" s="1669" t="e" cm="1">
        <f t="array" ca="1" aca="1" ref="AE50">_xlfn.LET(_xlpm.val,IF($F50="",val_blankRefText,_xldudf_CX_GET(CX_ENTITY,($F50),AE$11,AE$14,,AE$19)),_xlpm.Res,IF(OR(_xlpm.val="",_xlpm.val="Error"),"",_xlpm.val),_xlpm.Res)</f>
        <v>#NAME?</v>
      </c>
      <c r="AF50" s="1669" t="e" cm="1">
        <f t="array" ca="1" aca="1" ref="AF50">_xlfn.LET(_xlpm.val,IF($F50="",val_blankRefText,_xldudf_CX_GET(CX_ENTITY,($F50),AF$11,AF$14,,AF$19)),_xlpm.Res,IF(OR(_xlpm.val="",_xlpm.val="Error"),"",_xlpm.val),_xlpm.Res)</f>
        <v>#NAME?</v>
      </c>
      <c r="AG50" s="1669" t="e" cm="1">
        <f t="array" ca="1" aca="1" ref="AG50">_xlfn.LET(_xlpm.val,IF($F50="",val_blankRefText,_xldudf_CX_GET(CX_ENTITY,($F50),AG$11,AG$14,,AG$19)),_xlpm.Res,IF(OR(_xlpm.val="",_xlpm.val="Error"),"",_xlpm.val),_xlpm.Res)</f>
        <v>#NAME?</v>
      </c>
      <c r="AH50" s="1669" t="e" cm="1">
        <f t="array" ca="1" aca="1" ref="AH50">_xlfn.LET(_xlpm.val,IF($F50="",val_blankRefText,_xldudf_CX_GET(CX_ENTITY,($F50),AH$11,AH$14,,AH$19)),_xlpm.Res,IF(OR(_xlpm.val="",_xlpm.val="Error"),"",_xlpm.val),_xlpm.Res)</f>
        <v>#NAME?</v>
      </c>
      <c r="AI50" s="1669" t="e" cm="1">
        <f t="array" ca="1" aca="1" ref="AI50">_xlfn.LET(_xlpm.val,IF($F50="",val_blankRefText,_xldudf_CX_GET(CX_ENTITY,($F50),AI$11,AI$14,,AI$19)),_xlpm.Res,IF(OR(_xlpm.val="",_xlpm.val="Error"),"",_xlpm.val),_xlpm.Res)</f>
        <v>#NAME?</v>
      </c>
      <c r="AJ50" s="1669" t="e" cm="1">
        <f t="array" ca="1" aca="1" ref="AJ50">_xlfn.LET(_xlpm.val,IF($F50="",val_blankRefText,_xldudf_CX_GET(CX_ENTITY,($F50),AJ$11,AJ$14,,AJ$19)),_xlpm.Res,IF(OR(_xlpm.val="",_xlpm.val="Error"),"",_xlpm.val),_xlpm.Res)</f>
        <v>#NAME?</v>
      </c>
      <c r="AK50" s="1669" t="e" cm="1">
        <f t="array" ca="1" aca="1" ref="AK50">_xlfn.LET(_xlpm.val,IF($F50="",val_blankRefText,_xldudf_CX_GET(CX_ENTITY,($F50),AK$11,AK$14,,AK$19)),_xlpm.Res,IF(OR(_xlpm.val="",_xlpm.val="Error"),"",_xlpm.val),_xlpm.Res)</f>
        <v>#NAME?</v>
      </c>
      <c r="AL50" s="1669" t="e" cm="1">
        <f t="array" ca="1" aca="1" ref="AL50">_xlfn.LET(_xlpm.val,IF($F50="",val_blankRefText,_xldudf_CX_GET(CX_ENTITY,($F50),AL$11,AL$14,,AL$19)),_xlpm.Res,IF(OR(_xlpm.val="",_xlpm.val="Error"),"",_xlpm.val),_xlpm.Res)</f>
        <v>#NAME?</v>
      </c>
      <c r="AM50" s="1669" t="e" cm="1">
        <f t="array" ca="1" aca="1" ref="AM50">_xlfn.LET(_xlpm.val,IF($F50="",val_blankRefText,_xldudf_CX_GET(CX_ENTITY,($F50),AM$11,AM$14,,AM$19)),_xlpm.Res,IF(OR(_xlpm.val="",_xlpm.val="Error"),"",_xlpm.val),_xlpm.Res)</f>
        <v>#NAME?</v>
      </c>
      <c r="AN50" s="1669" t="e" cm="1">
        <f t="array" ca="1" aca="1" ref="AN50">_xlfn.LET(_xlpm.val,IF($F50="",val_blankRefText,_xldudf_CX_GET(CX_ENTITY,($F50),AN$11,AN$14,,AN$19)),_xlpm.Res,IF(OR(_xlpm.val="",_xlpm.val="Error"),"",_xlpm.val),_xlpm.Res)</f>
        <v>#NAME?</v>
      </c>
      <c r="AO50" s="1669" t="e" cm="1">
        <f t="array" ca="1" aca="1" ref="AO50">_xlfn.LET(_xlpm.val,IF($F50="",val_blankRefText,_xldudf_CX_GET(CX_ENTITY,($F50),AO$11,AO$14,,AO$19)),_xlpm.Res,IF(OR(_xlpm.val="",_xlpm.val="Error"),"",_xlpm.val),_xlpm.Res)</f>
        <v>#NAME?</v>
      </c>
      <c r="AP50" s="1669" t="e" cm="1">
        <f t="array" ca="1" aca="1" ref="AP50">_xlfn.LET(_xlpm.val,IF($F50="",val_blankRefText,_xldudf_CX_GET(CX_ENTITY,($F50),AP$11,AP$14,,AP$19)),_xlpm.Res,IF(OR(_xlpm.val="",_xlpm.val="Error"),"",_xlpm.val),_xlpm.Res)</f>
        <v>#NAME?</v>
      </c>
      <c r="AQ50" s="1669" t="e" cm="1">
        <f t="array" ca="1" aca="1" ref="AQ50">_xlfn.LET(_xlpm.val,IF($F50="",val_blankRefText,_xldudf_CX_GET(CX_ENTITY,($F50),AQ$11,AQ$14,,AQ$19)),_xlpm.Res,IF(OR(_xlpm.val="",_xlpm.val="Error"),"",_xlpm.val),_xlpm.Res)</f>
        <v>#NAME?</v>
      </c>
      <c r="AR50" s="1669" t="e" cm="1">
        <f t="array" ca="1" aca="1" ref="AR50">_xlfn.LET(_xlpm.val,IF($F50="",val_blankRefText,_xldudf_CX_GET(CX_ENTITY,($F50),AR$11,AR$14,,AR$19)),_xlpm.Res,IF(OR(_xlpm.val="",_xlpm.val="Error"),"",_xlpm.val),_xlpm.Res)</f>
        <v>#NAME?</v>
      </c>
      <c r="AS50" s="1669" t="e" cm="1">
        <f t="array" ca="1" aca="1" ref="AS50">_xlfn.LET(_xlpm.val,IF($F50="",val_blankRefText,_xldudf_CX_GET(CX_ENTITY,($F50),AS$11,AS$14,,AS$19)),_xlpm.Res,IF(OR(_xlpm.val="",_xlpm.val="Error"),"",_xlpm.val),_xlpm.Res)</f>
        <v>#NAME?</v>
      </c>
      <c r="AT50" s="1669" t="e" cm="1">
        <f t="array" ca="1" aca="1" ref="AT50">_xlfn.LET(_xlpm.val,IF($F50="",val_blankRefText,_xldudf_CX_GET(CX_ENTITY,($F50),AT$11,AT$14,,AT$19)),_xlpm.Res,IF(OR(_xlpm.val="",_xlpm.val="Error"),"",_xlpm.val),_xlpm.Res)</f>
        <v>#NAME?</v>
      </c>
      <c r="AU50" s="1669" t="e" cm="1">
        <f t="array" ca="1" aca="1" ref="AU50">_xlfn.LET(_xlpm.val,IF($F50="",val_blankRefText,_xldudf_CX_GET(CX_ENTITY,($F50),AU$11,AU$14,,AU$19)),_xlpm.Res,IF(OR(_xlpm.val="",_xlpm.val="Error"),"",_xlpm.val),_xlpm.Res)</f>
        <v>#NAME?</v>
      </c>
      <c r="AV50" s="1669" t="e" cm="1">
        <f t="array" ca="1" aca="1" ref="AV50">_xlfn.LET(_xlpm.val,IF($F50="",val_blankRefText,_xldudf_CX_GET(CX_ENTITY,($F50),AV$11,AV$14,,AV$19)),_xlpm.Res,IF(OR(_xlpm.val="",_xlpm.val="Error"),"",_xlpm.val),_xlpm.Res)</f>
        <v>#NAME?</v>
      </c>
      <c r="AW50" s="1669" t="e" cm="1">
        <f t="array" ca="1" aca="1" ref="AW50">_xlfn.LET(_xlpm.val,IF($F50="",val_blankRefText,_xldudf_CX_GET(CX_ENTITY,($F50),AW$11,AW$14,,AW$19)),_xlpm.Res,IF(OR(_xlpm.val="",_xlpm.val="Error"),"",_xlpm.val),_xlpm.Res)</f>
        <v>#NAME?</v>
      </c>
      <c r="AX50" s="1669" t="e" cm="1">
        <f t="array" ca="1" aca="1" ref="AX50">_xlfn.LET(_xlpm.val,IF($F50="",val_blankRefText,_xldudf_CX_GET(CX_ENTITY,($F50),AX$11,AX$14,,AX$19)),_xlpm.Res,IF(OR(_xlpm.val="",_xlpm.val="Error"),"",_xlpm.val),_xlpm.Res)</f>
        <v>#NAME?</v>
      </c>
      <c r="AY50" s="1669" t="e" cm="1">
        <f t="array" ca="1" aca="1" ref="AY50">_xlfn.LET(_xlpm.val,IF($F50="",val_blankRefText,_xldudf_CX_GET(CX_ENTITY,($F50),AY$11,AY$14,,AY$19)),_xlpm.Res,IF(OR(_xlpm.val="",_xlpm.val="Error"),"",_xlpm.val),_xlpm.Res)</f>
        <v>#NAME?</v>
      </c>
      <c r="AZ50" s="1669" t="e" cm="1">
        <f t="array" ca="1" aca="1" ref="AZ50">_xlfn.LET(_xlpm.val,IF($F50="",val_blankRefText,_xldudf_CX_GET(CX_ENTITY,($F50),AZ$11,AZ$14,,AZ$19)),_xlpm.Res,IF(OR(_xlpm.val="",_xlpm.val="Error"),"",_xlpm.val),_xlpm.Res)</f>
        <v>#NAME?</v>
      </c>
      <c r="BA50" s="1669" t="e" cm="1">
        <f t="array" ca="1" aca="1" ref="BA50">_xlfn.LET(_xlpm.val,IF($F50="",val_blankRefText,_xldudf_CX_GET(CX_ENTITY,($F50),BA$11,BA$14,,BA$19)),_xlpm.Res,IF(OR(_xlpm.val="",_xlpm.val="Error"),"",_xlpm.val),_xlpm.Res)</f>
        <v>#NAME?</v>
      </c>
      <c r="BB50" s="1669" t="e" cm="1">
        <f t="array" ca="1" aca="1" ref="BB50">_xlfn.LET(_xlpm.val,IF($F50="",val_blankRefText,_xldudf_CX_GET(CX_ENTITY,($F50),BB$11,BB$14,,BB$19)),_xlpm.Res,IF(OR(_xlpm.val="",_xlpm.val="Error"),"",_xlpm.val),_xlpm.Res)</f>
        <v>#NAME?</v>
      </c>
      <c r="BC50" s="1669" t="e" cm="1">
        <f t="array" ca="1" aca="1" ref="BC50">_xlfn.LET(_xlpm.val,IF($F50="",val_blankRefText,_xldudf_CX_GET(CX_ENTITY,($F50),BC$11,BC$14,,BC$19)),_xlpm.Res,IF(OR(_xlpm.val="",_xlpm.val="Error"),"",_xlpm.val),_xlpm.Res)</f>
        <v>#NAME?</v>
      </c>
      <c r="BD50" s="1669" t="e" cm="1">
        <f t="array" ca="1" aca="1" ref="BD50">_xlfn.LET(_xlpm.val,IF($F50="",val_blankRefText,_xldudf_CX_GET(CX_ENTITY,($F50),BD$11,BD$14,,BD$19)),_xlpm.Res,IF(OR(_xlpm.val="",_xlpm.val="Error"),"",_xlpm.val),_xlpm.Res)</f>
        <v>#NAME?</v>
      </c>
      <c r="BE50" s="1669" t="e" cm="1">
        <f t="array" ca="1" aca="1" ref="BE50">_xlfn.LET(_xlpm.val,IF($F50="",val_blankRefText,_xldudf_CX_GET(CX_ENTITY,($F50),BE$11,BE$14,,BE$19)),_xlpm.Res,IF(OR(_xlpm.val="",_xlpm.val="Error"),"",_xlpm.val),_xlpm.Res)</f>
        <v>#NAME?</v>
      </c>
      <c r="BF50" s="1669" t="e" cm="1">
        <f t="array" ca="1" aca="1" ref="BF50">_xlfn.LET(_xlpm.val,IF($F50="",val_blankRefText,_xldudf_CX_GET(CX_ENTITY,($F50),BF$11,BF$14,,BF$19)),_xlpm.Res,IF(OR(_xlpm.val="",_xlpm.val="Error"),"",_xlpm.val),_xlpm.Res)</f>
        <v>#NAME?</v>
      </c>
      <c r="BG50" s="1669" t="e" cm="1">
        <f t="array" ca="1" aca="1" ref="BG50">_xlfn.LET(_xlpm.val,IF($F50="",val_blankRefText,_xldudf_CX_GET(CX_ENTITY,($F50),BG$11,BG$14,,BG$19)),_xlpm.Res,IF(OR(_xlpm.val="",_xlpm.val="Error"),"",_xlpm.val),_xlpm.Res)</f>
        <v>#NAME?</v>
      </c>
      <c r="BH50" s="1669" t="e" cm="1">
        <f t="array" ca="1" aca="1" ref="BH50">_xlfn.LET(_xlpm.val,IF($F50="",val_blankRefText,_xldudf_CX_GET(CX_ENTITY,($F50),BH$11,BH$14,,BH$19)),_xlpm.Res,IF(OR(_xlpm.val="",_xlpm.val="Error"),"",_xlpm.val),_xlpm.Res)</f>
        <v>#NAME?</v>
      </c>
      <c r="BI50" s="1669" t="e" cm="1">
        <f t="array" ca="1" aca="1" ref="BI50">_xlfn.LET(_xlpm.val,IF($F50="",val_blankRefText,_xldudf_CX_GET(CX_ENTITY,($F50),BI$11,BI$14,,BI$19)),_xlpm.Res,IF(OR(_xlpm.val="",_xlpm.val="Error"),"",_xlpm.val),_xlpm.Res)</f>
        <v>#NAME?</v>
      </c>
      <c r="BJ50" s="1669" t="e" cm="1">
        <f t="array" ca="1" aca="1" ref="BJ50">_xlfn.LET(_xlpm.val,IF($F50="",val_blankRefText,_xldudf_CX_GET(CX_ENTITY,($F50),BJ$11,BJ$14,,BJ$19)),_xlpm.Res,IF(OR(_xlpm.val="",_xlpm.val="Error"),"",_xlpm.val),_xlpm.Res)</f>
        <v>#NAME?</v>
      </c>
      <c r="BK50" s="1669" t="e" cm="1">
        <f t="array" ca="1" aca="1" ref="BK50">_xlfn.LET(_xlpm.val,IF($F50="",val_blankRefText,_xldudf_CX_GET(CX_ENTITY,($F50),BK$11,BK$14,,BK$19)),_xlpm.Res,IF(OR(_xlpm.val="",_xlpm.val="Error"),"",_xlpm.val),_xlpm.Res)</f>
        <v>#NAME?</v>
      </c>
      <c r="BL50" s="1669" t="e" cm="1">
        <f t="array" ca="1" aca="1" ref="BL50">_xlfn.LET(_xlpm.val,IF($F50="",val_blankRefText,_xldudf_CX_GET(CX_ENTITY,($F50),BL$11,BL$14,,BL$19)),_xlpm.Res,IF(OR(_xlpm.val="",_xlpm.val="Error"),"",_xlpm.val),_xlpm.Res)</f>
        <v>#NAME?</v>
      </c>
      <c r="BM50" s="1669" t="e" cm="1">
        <f t="array" ca="1" aca="1" ref="BM50">_xlfn.LET(_xlpm.val,IF($F50="",val_blankRefText,_xldudf_CX_GET(CX_ENTITY,($F50),BM$11,BM$14,,BM$19)),_xlpm.Res,IF(OR(_xlpm.val="",_xlpm.val="Error"),"",_xlpm.val),_xlpm.Res)</f>
        <v>#NAME?</v>
      </c>
      <c r="BN50" s="1669" t="e" cm="1">
        <f t="array" ca="1" aca="1" ref="BN50">_xlfn.LET(_xlpm.val,IF($F50="",val_blankRefText,_xldudf_CX_GET(CX_ENTITY,($F50),BN$11,BN$14,,BN$19)),_xlpm.Res,IF(OR(_xlpm.val="",_xlpm.val="Error"),"",_xlpm.val),_xlpm.Res)</f>
        <v>#NAME?</v>
      </c>
      <c r="BO50" s="2095"/>
      <c r="BP50" s="2095"/>
      <c r="BQ50" s="2095"/>
      <c r="BR50" s="2095"/>
      <c r="BS50" s="2095"/>
      <c r="BT50" s="2095"/>
      <c r="BU50" s="2095"/>
      <c r="BV50" s="2095"/>
      <c r="BW50" s="2095"/>
      <c r="BX50" s="2095"/>
      <c r="BY50" s="2095"/>
      <c r="BZ50" s="2095"/>
      <c r="CA50" s="926"/>
      <c r="CB50" s="921"/>
      <c r="CC50" s="927"/>
      <c r="CD50" s="919" t="e" cm="1">
        <f t="array" ca="1" aca="1" ref="CD50">_xlfn.XLOOKUP(BS!CD$11,array_timeline,BS!$AD50:$BN50)</f>
        <v>#NAME?</v>
      </c>
      <c r="CE50" s="919" t="e" cm="1">
        <f t="array" ca="1" aca="1" ref="CE50">_xlfn.XLOOKUP(BS!CE$11,array_timeline,BS!$AD50:$BN50)</f>
        <v>#NAME?</v>
      </c>
      <c r="CF50" s="925"/>
      <c r="CG50" s="919" t="e" cm="1">
        <f t="array" ca="1" aca="1" ref="CG50">_xlfn.LET(_xlpm.val,IF($F50="",val_blankRefText,_xldudf_CX_GET(CX_ENTITY,($F50),CG$11,CG$14,,(CG$19))),_xlpm.Res,IF(OR(_xlpm.val="",_xlpm.val="Error"),"",_xlpm.val),_xlpm.Res)</f>
        <v>#NAME?</v>
      </c>
      <c r="CH50" s="919" t="e" cm="1">
        <f t="array" ca="1" aca="1" ref="CH50">_xlfn.LET(_xlpm.val,IF($F50="",val_blankRefText,_xldudf_CX_GET(CX_ENTITY,($F50),CH$11,CH$14,,(CH$19))),_xlpm.Res,IF(OR(_xlpm.val="",_xlpm.val="Error"),"",_xlpm.val),_xlpm.Res)</f>
        <v>#NAME?</v>
      </c>
      <c r="CI50" s="924"/>
    </row>
    <row r="51" spans="1:87" ht="18">
      <c r="A51" s="693"/>
      <c r="B51" s="577"/>
      <c r="C51" s="577"/>
      <c r="D51" s="577"/>
      <c r="E51" s="577"/>
      <c r="F51" s="574"/>
      <c r="G51" s="401"/>
      <c r="H51" s="585"/>
      <c r="I51" s="401"/>
      <c r="J51" s="586"/>
      <c r="K51" s="586"/>
      <c r="L51" s="578"/>
      <c r="N51" s="158"/>
      <c r="O51" s="101"/>
      <c r="P51" s="52"/>
      <c r="Q51" s="101"/>
      <c r="R51" s="126"/>
      <c r="S51" s="101"/>
      <c r="T51" s="101"/>
      <c r="U51" s="39"/>
      <c r="W51" s="944"/>
      <c r="X51" s="754"/>
      <c r="Y51" s="1812"/>
      <c r="Z51" s="128"/>
      <c r="AA51" s="803"/>
      <c r="AB51" s="97"/>
      <c r="AC51" s="803"/>
      <c r="AD51" s="954"/>
      <c r="AE51" s="954"/>
      <c r="AF51" s="955"/>
      <c r="AG51" s="954"/>
      <c r="AH51" s="954"/>
      <c r="AI51" s="954"/>
      <c r="AJ51" s="954"/>
      <c r="AK51" s="954"/>
      <c r="AL51" s="954"/>
      <c r="AM51" s="954"/>
      <c r="AN51" s="954"/>
      <c r="AO51" s="954"/>
      <c r="AP51" s="954"/>
      <c r="AQ51" s="954"/>
      <c r="AR51" s="954"/>
      <c r="AS51" s="954"/>
      <c r="AT51" s="954"/>
      <c r="AU51" s="954"/>
      <c r="AV51" s="954"/>
      <c r="AW51" s="954"/>
      <c r="AX51" s="954"/>
      <c r="AY51" s="954"/>
      <c r="AZ51" s="954"/>
      <c r="BA51" s="954"/>
      <c r="BB51" s="954"/>
      <c r="BC51" s="954"/>
      <c r="BD51" s="954"/>
      <c r="BE51" s="954"/>
      <c r="BF51" s="954"/>
      <c r="BG51" s="954"/>
      <c r="BH51" s="954"/>
      <c r="BI51" s="954"/>
      <c r="BJ51" s="954"/>
      <c r="BK51" s="954"/>
      <c r="BL51" s="954"/>
      <c r="BM51" s="955"/>
      <c r="BN51" s="956"/>
      <c r="BO51" s="955"/>
      <c r="BP51" s="955"/>
      <c r="BQ51" s="955"/>
      <c r="BR51" s="955"/>
      <c r="BS51" s="955"/>
      <c r="BT51" s="955"/>
      <c r="BU51" s="955"/>
      <c r="BV51" s="955"/>
      <c r="BW51" s="955"/>
      <c r="BX51" s="955"/>
      <c r="BY51" s="955"/>
      <c r="BZ51" s="955"/>
      <c r="CA51" s="926"/>
      <c r="CB51" s="921"/>
      <c r="CC51" s="957"/>
      <c r="CD51" s="954"/>
      <c r="CE51" s="954"/>
      <c r="CF51" s="954"/>
      <c r="CG51" s="954"/>
      <c r="CH51" s="954"/>
      <c r="CI51" s="200"/>
    </row>
    <row r="52" spans="1:87" ht="18">
      <c r="A52" s="693"/>
      <c r="B52" s="577"/>
      <c r="C52" s="577"/>
      <c r="D52" s="577"/>
      <c r="E52" s="577"/>
      <c r="F52" s="574"/>
      <c r="G52" s="401"/>
      <c r="H52" s="585"/>
      <c r="I52" s="401"/>
      <c r="J52" s="586"/>
      <c r="K52" s="586"/>
      <c r="L52" s="578"/>
      <c r="N52" s="158"/>
      <c r="O52" s="101"/>
      <c r="P52" s="52"/>
      <c r="Q52" s="101"/>
      <c r="R52" s="101"/>
      <c r="S52" s="101"/>
      <c r="T52" s="101"/>
      <c r="U52" s="39"/>
      <c r="W52" s="944"/>
      <c r="X52" s="754"/>
      <c r="Y52" s="950"/>
      <c r="Z52" s="128"/>
      <c r="AA52" s="803"/>
      <c r="AB52" s="803"/>
      <c r="AC52" s="803"/>
      <c r="AD52" s="955"/>
      <c r="AE52" s="955"/>
      <c r="AF52" s="955"/>
      <c r="AG52" s="955"/>
      <c r="AH52" s="955"/>
      <c r="AI52" s="955"/>
      <c r="AJ52" s="955"/>
      <c r="AK52" s="955"/>
      <c r="AL52" s="955"/>
      <c r="AM52" s="955"/>
      <c r="AN52" s="955"/>
      <c r="AO52" s="955"/>
      <c r="AP52" s="955"/>
      <c r="AQ52" s="955"/>
      <c r="AR52" s="955"/>
      <c r="AS52" s="955"/>
      <c r="AT52" s="955"/>
      <c r="AU52" s="955"/>
      <c r="AV52" s="955"/>
      <c r="AW52" s="955"/>
      <c r="AX52" s="955"/>
      <c r="AY52" s="955"/>
      <c r="AZ52" s="955"/>
      <c r="BA52" s="955"/>
      <c r="BB52" s="955"/>
      <c r="BC52" s="955"/>
      <c r="BD52" s="955"/>
      <c r="BE52" s="955"/>
      <c r="BF52" s="955"/>
      <c r="BG52" s="955"/>
      <c r="BH52" s="955"/>
      <c r="BI52" s="955"/>
      <c r="BJ52" s="955"/>
      <c r="BK52" s="955"/>
      <c r="BL52" s="955"/>
      <c r="BM52" s="955"/>
      <c r="BN52" s="956"/>
      <c r="BO52" s="955"/>
      <c r="BP52" s="955"/>
      <c r="BQ52" s="955"/>
      <c r="BR52" s="955"/>
      <c r="BS52" s="955"/>
      <c r="BT52" s="955"/>
      <c r="BU52" s="955"/>
      <c r="BV52" s="955"/>
      <c r="BW52" s="955"/>
      <c r="BX52" s="955"/>
      <c r="BY52" s="955"/>
      <c r="BZ52" s="955"/>
      <c r="CA52" s="926"/>
      <c r="CB52" s="921"/>
      <c r="CC52" s="958"/>
      <c r="CD52" s="954"/>
      <c r="CE52" s="954"/>
      <c r="CF52" s="954"/>
      <c r="CG52" s="954"/>
      <c r="CH52" s="954"/>
      <c r="CI52" s="200"/>
    </row>
    <row r="53" spans="1:87" ht="32.5">
      <c r="A53" s="693"/>
      <c r="B53" s="577"/>
      <c r="C53" s="577"/>
      <c r="D53" s="577"/>
      <c r="E53" s="577"/>
      <c r="F53" s="574"/>
      <c r="G53" s="401"/>
      <c r="H53" s="1375"/>
      <c r="I53" s="401"/>
      <c r="J53" s="586"/>
      <c r="K53" s="586"/>
      <c r="L53" s="578"/>
      <c r="N53" s="158"/>
      <c r="O53" s="101"/>
      <c r="P53" s="52"/>
      <c r="Q53" s="101"/>
      <c r="R53" s="126"/>
      <c r="S53" s="101"/>
      <c r="T53" s="101"/>
      <c r="U53" s="39"/>
      <c r="W53" s="944"/>
      <c r="X53" s="754"/>
      <c r="Y53" s="1813"/>
      <c r="Z53" s="128"/>
      <c r="AA53" s="991"/>
      <c r="AB53" s="991"/>
      <c r="AC53" s="803"/>
      <c r="AD53" s="954"/>
      <c r="AE53" s="954"/>
      <c r="AF53" s="954"/>
      <c r="AG53" s="954"/>
      <c r="AH53" s="954"/>
      <c r="AI53" s="954"/>
      <c r="AJ53" s="954"/>
      <c r="AK53" s="954"/>
      <c r="AL53" s="954"/>
      <c r="AM53" s="954"/>
      <c r="AN53" s="954"/>
      <c r="AO53" s="954"/>
      <c r="AP53" s="954"/>
      <c r="AQ53" s="954"/>
      <c r="AR53" s="954"/>
      <c r="AS53" s="954"/>
      <c r="AT53" s="954"/>
      <c r="AU53" s="954"/>
      <c r="AV53" s="954"/>
      <c r="AW53" s="954"/>
      <c r="AX53" s="954"/>
      <c r="AY53" s="954"/>
      <c r="AZ53" s="954"/>
      <c r="BA53" s="954"/>
      <c r="BB53" s="954"/>
      <c r="BC53" s="954"/>
      <c r="BD53" s="954"/>
      <c r="BE53" s="954"/>
      <c r="BF53" s="954"/>
      <c r="BG53" s="954"/>
      <c r="BH53" s="954"/>
      <c r="BI53" s="954"/>
      <c r="BJ53" s="954"/>
      <c r="BK53" s="954"/>
      <c r="BL53" s="954"/>
      <c r="BM53" s="954"/>
      <c r="BN53" s="959"/>
      <c r="BO53" s="954"/>
      <c r="BP53" s="954"/>
      <c r="BQ53" s="954"/>
      <c r="BR53" s="954"/>
      <c r="BS53" s="954"/>
      <c r="BT53" s="954"/>
      <c r="BU53" s="954"/>
      <c r="BV53" s="954"/>
      <c r="BW53" s="954"/>
      <c r="BX53" s="954"/>
      <c r="BY53" s="954"/>
      <c r="BZ53" s="954"/>
      <c r="CA53" s="926"/>
      <c r="CB53" s="921"/>
      <c r="CC53" s="958"/>
      <c r="CD53" s="3159"/>
      <c r="CE53" s="3160"/>
      <c r="CF53" s="1471"/>
      <c r="CG53" s="3151"/>
      <c r="CH53" s="3152"/>
      <c r="CI53" s="200"/>
    </row>
    <row r="54" spans="1:87" ht="27.75" customHeight="1">
      <c r="A54" s="693"/>
      <c r="B54" s="577"/>
      <c r="C54" s="577"/>
      <c r="D54" s="577"/>
      <c r="E54" s="577"/>
      <c r="F54" s="574"/>
      <c r="G54" s="401"/>
      <c r="H54" s="1375"/>
      <c r="I54" s="401"/>
      <c r="J54" s="586"/>
      <c r="K54" s="586"/>
      <c r="L54" s="578"/>
      <c r="N54" s="158"/>
      <c r="O54" s="101"/>
      <c r="P54" s="52"/>
      <c r="Q54" s="101"/>
      <c r="R54" s="101"/>
      <c r="S54" s="101"/>
      <c r="T54" s="101"/>
      <c r="U54" s="39"/>
      <c r="W54" s="974"/>
      <c r="X54" s="974"/>
      <c r="Y54" s="974"/>
      <c r="Z54" s="973"/>
      <c r="AA54" s="974"/>
      <c r="AB54" s="985"/>
      <c r="AC54" s="985"/>
      <c r="AD54" s="977">
        <f t="shared" si="5" ref="AD54:BN54">IFERROR(AD11,"")</f>
        <v>44926</v>
      </c>
      <c r="AE54" s="977">
        <f t="shared" si="5"/>
        <v>44957</v>
      </c>
      <c r="AF54" s="977">
        <f t="shared" si="5"/>
        <v>44985</v>
      </c>
      <c r="AG54" s="977">
        <f t="shared" si="5"/>
        <v>45016</v>
      </c>
      <c r="AH54" s="977">
        <f t="shared" si="5"/>
        <v>45046</v>
      </c>
      <c r="AI54" s="977">
        <f t="shared" si="5"/>
        <v>45077</v>
      </c>
      <c r="AJ54" s="977">
        <f t="shared" si="5"/>
        <v>45107</v>
      </c>
      <c r="AK54" s="977">
        <f t="shared" si="5"/>
        <v>45138</v>
      </c>
      <c r="AL54" s="977">
        <f t="shared" si="5"/>
        <v>45169</v>
      </c>
      <c r="AM54" s="977">
        <f t="shared" si="5"/>
        <v>45199</v>
      </c>
      <c r="AN54" s="977">
        <f t="shared" si="5"/>
        <v>45230</v>
      </c>
      <c r="AO54" s="977">
        <f t="shared" si="5"/>
        <v>45260</v>
      </c>
      <c r="AP54" s="977">
        <f t="shared" si="5"/>
        <v>45291</v>
      </c>
      <c r="AQ54" s="977">
        <f t="shared" si="5"/>
        <v>45322</v>
      </c>
      <c r="AR54" s="977">
        <f t="shared" si="5"/>
        <v>45351</v>
      </c>
      <c r="AS54" s="977">
        <f t="shared" si="5"/>
        <v>45382</v>
      </c>
      <c r="AT54" s="977">
        <f t="shared" si="5"/>
        <v>45412</v>
      </c>
      <c r="AU54" s="977">
        <f t="shared" si="5"/>
        <v>45443</v>
      </c>
      <c r="AV54" s="977">
        <f t="shared" si="5"/>
        <v>45473</v>
      </c>
      <c r="AW54" s="977">
        <f t="shared" si="5"/>
        <v>45504</v>
      </c>
      <c r="AX54" s="977">
        <f t="shared" si="5"/>
        <v>45535</v>
      </c>
      <c r="AY54" s="977">
        <f t="shared" si="5"/>
        <v>45565</v>
      </c>
      <c r="AZ54" s="977">
        <f t="shared" si="5"/>
        <v>45596</v>
      </c>
      <c r="BA54" s="977">
        <f t="shared" si="5"/>
        <v>45626</v>
      </c>
      <c r="BB54" s="977">
        <f t="shared" si="5"/>
        <v>45657</v>
      </c>
      <c r="BC54" s="977">
        <f t="shared" si="5"/>
        <v>45688</v>
      </c>
      <c r="BD54" s="977">
        <f t="shared" si="5"/>
        <v>45716</v>
      </c>
      <c r="BE54" s="977">
        <f t="shared" si="5"/>
        <v>45747</v>
      </c>
      <c r="BF54" s="977">
        <f t="shared" si="5"/>
        <v>45777</v>
      </c>
      <c r="BG54" s="977">
        <f t="shared" si="5"/>
        <v>45808</v>
      </c>
      <c r="BH54" s="977">
        <f t="shared" si="5"/>
        <v>45838</v>
      </c>
      <c r="BI54" s="977">
        <f t="shared" si="5"/>
        <v>45869</v>
      </c>
      <c r="BJ54" s="977">
        <f t="shared" si="5"/>
        <v>45900</v>
      </c>
      <c r="BK54" s="977">
        <f t="shared" si="5"/>
        <v>45930</v>
      </c>
      <c r="BL54" s="977">
        <f t="shared" si="5"/>
        <v>45961</v>
      </c>
      <c r="BM54" s="977">
        <f t="shared" si="5"/>
        <v>45991</v>
      </c>
      <c r="BN54" s="978">
        <f t="shared" si="5"/>
        <v>46022</v>
      </c>
      <c r="BO54" s="2090"/>
      <c r="BP54" s="2090"/>
      <c r="BQ54" s="2090"/>
      <c r="BR54" s="2090"/>
      <c r="BS54" s="2090"/>
      <c r="BT54" s="2090"/>
      <c r="BU54" s="2090"/>
      <c r="BV54" s="2090"/>
      <c r="BW54" s="2090"/>
      <c r="BX54" s="2090"/>
      <c r="BY54" s="2090"/>
      <c r="BZ54" s="2090"/>
      <c r="CA54" s="926"/>
      <c r="CB54" s="921"/>
      <c r="CC54" s="958"/>
      <c r="CD54" s="982" t="e" cm="1">
        <f t="array" ca="1" aca="1" ref="CD54">EOMONTH(val_currentFYE,-24)</f>
        <v>#NAME?</v>
      </c>
      <c r="CE54" s="983" t="e" cm="1">
        <f t="array" ca="1" aca="1" ref="CE54">EOMONTH(val_currentFYE,-12)</f>
        <v>#NAME?</v>
      </c>
      <c r="CF54" s="128"/>
      <c r="CG54" s="982" t="e" cm="1">
        <f t="array" ca="1" aca="1" ref="CG54">val_currentFYE</f>
        <v>#NAME?</v>
      </c>
      <c r="CH54" s="983" t="e" cm="1">
        <f t="array" ca="1" aca="1" ref="CH54">val_currentFYE</f>
        <v>#NAME?</v>
      </c>
      <c r="CI54" s="200"/>
    </row>
    <row r="55" spans="1:87" ht="18" outlineLevel="1">
      <c r="A55" s="693"/>
      <c r="B55" s="577"/>
      <c r="C55" s="577"/>
      <c r="D55" s="577"/>
      <c r="E55" s="577"/>
      <c r="F55" s="574"/>
      <c r="G55" s="401"/>
      <c r="H55" s="1375"/>
      <c r="I55" s="401"/>
      <c r="J55" s="586"/>
      <c r="K55" s="586"/>
      <c r="L55" s="578"/>
      <c r="N55" s="158"/>
      <c r="O55" s="101"/>
      <c r="P55" s="52"/>
      <c r="Q55" s="101"/>
      <c r="R55" s="126"/>
      <c r="S55" s="101"/>
      <c r="T55" s="101"/>
      <c r="U55" s="39"/>
      <c r="W55" s="938"/>
      <c r="X55" s="752"/>
      <c r="Y55" s="951"/>
      <c r="Z55" s="553"/>
      <c r="AA55" s="992"/>
      <c r="AB55" s="97"/>
      <c r="AC55" s="97"/>
      <c r="AD55" s="960" t="e" cm="1">
        <f t="array" ca="1" aca="1" ref="AD55">EOMONTH(AD54,12-MONTH(val_currentFYE))</f>
        <v>#NAME?</v>
      </c>
      <c r="AE55" s="960" t="e" cm="1">
        <f t="array" ca="1" aca="1" ref="AE55">EOMONTH(AE54,12-MONTH(val_currentFYE))</f>
        <v>#NAME?</v>
      </c>
      <c r="AF55" s="960" t="e" cm="1">
        <f t="array" ca="1" aca="1" ref="AF55">EOMONTH(AF54,12-MONTH(val_currentFYE))</f>
        <v>#NAME?</v>
      </c>
      <c r="AG55" s="960" t="e" cm="1">
        <f t="array" ca="1" aca="1" ref="AG55">EOMONTH(AG54,12-MONTH(val_currentFYE))</f>
        <v>#NAME?</v>
      </c>
      <c r="AH55" s="960" t="e" cm="1">
        <f t="array" ca="1" aca="1" ref="AH55">EOMONTH(AH54,12-MONTH(val_currentFYE))</f>
        <v>#NAME?</v>
      </c>
      <c r="AI55" s="960" t="e" cm="1">
        <f t="array" ca="1" aca="1" ref="AI55">EOMONTH(AI54,12-MONTH(val_currentFYE))</f>
        <v>#NAME?</v>
      </c>
      <c r="AJ55" s="960" t="e" cm="1">
        <f t="array" ca="1" aca="1" ref="AJ55">EOMONTH(AJ54,12-MONTH(val_currentFYE))</f>
        <v>#NAME?</v>
      </c>
      <c r="AK55" s="960" t="e" cm="1">
        <f t="array" ca="1" aca="1" ref="AK55">EOMONTH(AK54,12-MONTH(val_currentFYE))</f>
        <v>#NAME?</v>
      </c>
      <c r="AL55" s="960" t="e" cm="1">
        <f t="array" ca="1" aca="1" ref="AL55">EOMONTH(AL54,12-MONTH(val_currentFYE))</f>
        <v>#NAME?</v>
      </c>
      <c r="AM55" s="960" t="e" cm="1">
        <f t="array" ca="1" aca="1" ref="AM55">EOMONTH(AM54,12-MONTH(val_currentFYE))</f>
        <v>#NAME?</v>
      </c>
      <c r="AN55" s="960" t="e" cm="1">
        <f t="array" ca="1" aca="1" ref="AN55">EOMONTH(AN54,12-MONTH(val_currentFYE))</f>
        <v>#NAME?</v>
      </c>
      <c r="AO55" s="960" t="e" cm="1">
        <f t="array" ca="1" aca="1" ref="AO55">EOMONTH(AO54,12-MONTH(val_currentFYE))</f>
        <v>#NAME?</v>
      </c>
      <c r="AP55" s="960" t="e" cm="1">
        <f t="array" ca="1" aca="1" ref="AP55">EOMONTH(AP54,12-MONTH(val_currentFYE))</f>
        <v>#NAME?</v>
      </c>
      <c r="AQ55" s="960" t="e" cm="1">
        <f t="array" ca="1" aca="1" ref="AQ55">EOMONTH(AQ54,12-MONTH(val_currentFYE))</f>
        <v>#NAME?</v>
      </c>
      <c r="AR55" s="960" t="e" cm="1">
        <f t="array" ca="1" aca="1" ref="AR55">EOMONTH(AR54,12-MONTH(val_currentFYE))</f>
        <v>#NAME?</v>
      </c>
      <c r="AS55" s="960" t="e" cm="1">
        <f t="array" ca="1" aca="1" ref="AS55">EOMONTH(AS54,12-MONTH(val_currentFYE))</f>
        <v>#NAME?</v>
      </c>
      <c r="AT55" s="960" t="e" cm="1">
        <f t="array" ca="1" aca="1" ref="AT55">EOMONTH(AT54,12-MONTH(val_currentFYE))</f>
        <v>#NAME?</v>
      </c>
      <c r="AU55" s="960" t="e" cm="1">
        <f t="array" ca="1" aca="1" ref="AU55">EOMONTH(AU54,12-MONTH(val_currentFYE))</f>
        <v>#NAME?</v>
      </c>
      <c r="AV55" s="960" t="e" cm="1">
        <f t="array" ca="1" aca="1" ref="AV55">EOMONTH(AV54,12-MONTH(val_currentFYE))</f>
        <v>#NAME?</v>
      </c>
      <c r="AW55" s="960" t="e" cm="1">
        <f t="array" ca="1" aca="1" ref="AW55">EOMONTH(AW54,12-MONTH(val_currentFYE))</f>
        <v>#NAME?</v>
      </c>
      <c r="AX55" s="960" t="e" cm="1">
        <f t="array" ca="1" aca="1" ref="AX55">EOMONTH(AX54,12-MONTH(val_currentFYE))</f>
        <v>#NAME?</v>
      </c>
      <c r="AY55" s="960" t="e" cm="1">
        <f t="array" ca="1" aca="1" ref="AY55">EOMONTH(AY54,12-MONTH(val_currentFYE))</f>
        <v>#NAME?</v>
      </c>
      <c r="AZ55" s="960" t="e" cm="1">
        <f t="array" ca="1" aca="1" ref="AZ55">EOMONTH(AZ54,12-MONTH(val_currentFYE))</f>
        <v>#NAME?</v>
      </c>
      <c r="BA55" s="960" t="e" cm="1">
        <f t="array" ca="1" aca="1" ref="BA55">EOMONTH(BA54,12-MONTH(val_currentFYE))</f>
        <v>#NAME?</v>
      </c>
      <c r="BB55" s="960" t="e" cm="1">
        <f t="array" ca="1" aca="1" ref="BB55">EOMONTH(BB54,12-MONTH(val_currentFYE))</f>
        <v>#NAME?</v>
      </c>
      <c r="BC55" s="960" t="e" cm="1">
        <f t="array" ca="1" aca="1" ref="BC55">EOMONTH(BC54,12-MONTH(val_currentFYE))</f>
        <v>#NAME?</v>
      </c>
      <c r="BD55" s="960" t="e" cm="1">
        <f t="array" ca="1" aca="1" ref="BD55">EOMONTH(BD54,12-MONTH(val_currentFYE))</f>
        <v>#NAME?</v>
      </c>
      <c r="BE55" s="960" t="e" cm="1">
        <f t="array" ca="1" aca="1" ref="BE55">EOMONTH(BE54,12-MONTH(val_currentFYE))</f>
        <v>#NAME?</v>
      </c>
      <c r="BF55" s="960" t="e" cm="1">
        <f t="array" ca="1" aca="1" ref="BF55">EOMONTH(BF54,12-MONTH(val_currentFYE))</f>
        <v>#NAME?</v>
      </c>
      <c r="BG55" s="960" t="e" cm="1">
        <f t="array" ca="1" aca="1" ref="BG55">EOMONTH(BG54,12-MONTH(val_currentFYE))</f>
        <v>#NAME?</v>
      </c>
      <c r="BH55" s="960" t="e" cm="1">
        <f t="array" ca="1" aca="1" ref="BH55">EOMONTH(BH54,12-MONTH(val_currentFYE))</f>
        <v>#NAME?</v>
      </c>
      <c r="BI55" s="960" t="e" cm="1">
        <f t="array" ca="1" aca="1" ref="BI55">EOMONTH(BI54,12-MONTH(val_currentFYE))</f>
        <v>#NAME?</v>
      </c>
      <c r="BJ55" s="960" t="e" cm="1">
        <f t="array" ca="1" aca="1" ref="BJ55">EOMONTH(BJ54,12-MONTH(val_currentFYE))</f>
        <v>#NAME?</v>
      </c>
      <c r="BK55" s="960" t="e" cm="1">
        <f t="array" ca="1" aca="1" ref="BK55">EOMONTH(BK54,12-MONTH(val_currentFYE))</f>
        <v>#NAME?</v>
      </c>
      <c r="BL55" s="960" t="e" cm="1">
        <f t="array" ca="1" aca="1" ref="BL55">EOMONTH(BL54,12-MONTH(val_currentFYE))</f>
        <v>#NAME?</v>
      </c>
      <c r="BM55" s="960" t="e" cm="1">
        <f t="array" ca="1" aca="1" ref="BM55">EOMONTH(BM54,12-MONTH(val_currentFYE))</f>
        <v>#NAME?</v>
      </c>
      <c r="BN55" s="1803" t="e" cm="1">
        <f t="array" ca="1" aca="1" ref="BN55">EOMONTH(BN54,12-MONTH(val_currentFYE))</f>
        <v>#NAME?</v>
      </c>
      <c r="BO55" s="1803"/>
      <c r="BP55" s="1803"/>
      <c r="BQ55" s="1803"/>
      <c r="BR55" s="1803"/>
      <c r="BS55" s="1803"/>
      <c r="BT55" s="1803"/>
      <c r="BU55" s="1803"/>
      <c r="BV55" s="1803"/>
      <c r="BW55" s="1803"/>
      <c r="BX55" s="1803"/>
      <c r="BY55" s="1803"/>
      <c r="BZ55" s="1803"/>
      <c r="CA55" s="926"/>
      <c r="CB55" s="921"/>
      <c r="CC55" s="958"/>
      <c r="CD55" s="841" t="e" cm="1">
        <f t="array" ca="1" aca="1" ref="CD55">YEAR(val_currentFYE)-2</f>
        <v>#NAME?</v>
      </c>
      <c r="CE55" s="842" t="e" cm="1">
        <f t="array" ca="1" aca="1" ref="CE55">YEAR(val_currentFYE)-1</f>
        <v>#NAME?</v>
      </c>
      <c r="CF55" s="128"/>
      <c r="CG55" s="1077" t="e" cm="1">
        <f t="array" ca="1" aca="1" ref="CG55">YEAR(val_currentFYE)</f>
        <v>#NAME?</v>
      </c>
      <c r="CH55" s="1078" t="e" cm="1">
        <f t="array" ca="1" aca="1" ref="CH55">YEAR(val_currentFYE)</f>
        <v>#NAME?</v>
      </c>
      <c r="CI55" s="200"/>
    </row>
    <row r="56" spans="1:87" ht="18" outlineLevel="1">
      <c r="A56" s="693"/>
      <c r="B56" s="577"/>
      <c r="C56" s="577"/>
      <c r="D56" s="577"/>
      <c r="E56" s="577"/>
      <c r="F56" s="574"/>
      <c r="G56" s="401"/>
      <c r="H56" s="401"/>
      <c r="I56" s="401"/>
      <c r="J56" s="586"/>
      <c r="K56" s="586"/>
      <c r="L56" s="578"/>
      <c r="N56" s="158"/>
      <c r="O56" s="101"/>
      <c r="P56" s="52"/>
      <c r="Q56" s="101"/>
      <c r="R56" s="101"/>
      <c r="S56" s="101"/>
      <c r="T56" s="101"/>
      <c r="U56" s="39"/>
      <c r="W56" s="938"/>
      <c r="X56" s="752"/>
      <c r="Y56" s="952"/>
      <c r="Z56" s="128"/>
      <c r="AA56" s="800"/>
      <c r="AB56" s="97"/>
      <c r="AC56" s="97"/>
      <c r="AD56" s="960" t="s">
        <v>225</v>
      </c>
      <c r="AE56" s="960" t="str">
        <f t="shared" si="6" ref="AE56:BN56">$AD$14</f>
        <v>As of</v>
      </c>
      <c r="AF56" s="960" t="str">
        <f t="shared" si="6"/>
        <v>As of</v>
      </c>
      <c r="AG56" s="960" t="str">
        <f t="shared" si="6"/>
        <v>As of</v>
      </c>
      <c r="AH56" s="960" t="str">
        <f t="shared" si="6"/>
        <v>As of</v>
      </c>
      <c r="AI56" s="960" t="str">
        <f t="shared" si="6"/>
        <v>As of</v>
      </c>
      <c r="AJ56" s="960" t="str">
        <f t="shared" si="6"/>
        <v>As of</v>
      </c>
      <c r="AK56" s="960" t="str">
        <f t="shared" si="6"/>
        <v>As of</v>
      </c>
      <c r="AL56" s="960" t="str">
        <f t="shared" si="6"/>
        <v>As of</v>
      </c>
      <c r="AM56" s="960" t="str">
        <f t="shared" si="6"/>
        <v>As of</v>
      </c>
      <c r="AN56" s="960" t="str">
        <f t="shared" si="6"/>
        <v>As of</v>
      </c>
      <c r="AO56" s="960" t="str">
        <f t="shared" si="6"/>
        <v>As of</v>
      </c>
      <c r="AP56" s="960" t="str">
        <f t="shared" si="6"/>
        <v>As of</v>
      </c>
      <c r="AQ56" s="960" t="str">
        <f t="shared" si="6"/>
        <v>As of</v>
      </c>
      <c r="AR56" s="960" t="str">
        <f t="shared" si="6"/>
        <v>As of</v>
      </c>
      <c r="AS56" s="960" t="str">
        <f t="shared" si="6"/>
        <v>As of</v>
      </c>
      <c r="AT56" s="960" t="str">
        <f t="shared" si="6"/>
        <v>As of</v>
      </c>
      <c r="AU56" s="960" t="str">
        <f t="shared" si="6"/>
        <v>As of</v>
      </c>
      <c r="AV56" s="960" t="str">
        <f t="shared" si="6"/>
        <v>As of</v>
      </c>
      <c r="AW56" s="960" t="str">
        <f t="shared" si="6"/>
        <v>As of</v>
      </c>
      <c r="AX56" s="960" t="str">
        <f t="shared" si="6"/>
        <v>As of</v>
      </c>
      <c r="AY56" s="960" t="str">
        <f t="shared" si="6"/>
        <v>As of</v>
      </c>
      <c r="AZ56" s="960" t="str">
        <f t="shared" si="6"/>
        <v>As of</v>
      </c>
      <c r="BA56" s="960" t="str">
        <f t="shared" si="6"/>
        <v>As of</v>
      </c>
      <c r="BB56" s="960" t="str">
        <f t="shared" si="6"/>
        <v>As of</v>
      </c>
      <c r="BC56" s="960" t="str">
        <f t="shared" si="6"/>
        <v>As of</v>
      </c>
      <c r="BD56" s="960" t="str">
        <f t="shared" si="6"/>
        <v>As of</v>
      </c>
      <c r="BE56" s="960" t="str">
        <f t="shared" si="6"/>
        <v>As of</v>
      </c>
      <c r="BF56" s="960" t="str">
        <f t="shared" si="6"/>
        <v>As of</v>
      </c>
      <c r="BG56" s="960" t="str">
        <f t="shared" si="6"/>
        <v>As of</v>
      </c>
      <c r="BH56" s="960" t="str">
        <f t="shared" si="6"/>
        <v>As of</v>
      </c>
      <c r="BI56" s="960" t="str">
        <f t="shared" si="6"/>
        <v>As of</v>
      </c>
      <c r="BJ56" s="960" t="str">
        <f t="shared" si="6"/>
        <v>As of</v>
      </c>
      <c r="BK56" s="960" t="str">
        <f t="shared" si="6"/>
        <v>As of</v>
      </c>
      <c r="BL56" s="960" t="str">
        <f t="shared" si="6"/>
        <v>As of</v>
      </c>
      <c r="BM56" s="960" t="str">
        <f t="shared" si="6"/>
        <v>As of</v>
      </c>
      <c r="BN56" s="1803" t="str">
        <f t="shared" si="6"/>
        <v>As of</v>
      </c>
      <c r="BO56" s="1803"/>
      <c r="BP56" s="1803"/>
      <c r="BQ56" s="1803"/>
      <c r="BR56" s="1803"/>
      <c r="BS56" s="1803"/>
      <c r="BT56" s="1803"/>
      <c r="BU56" s="1803"/>
      <c r="BV56" s="1803"/>
      <c r="BW56" s="1803"/>
      <c r="BX56" s="1803"/>
      <c r="BY56" s="1803"/>
      <c r="BZ56" s="1803"/>
      <c r="CA56" s="926"/>
      <c r="CB56" s="921"/>
      <c r="CC56" s="958"/>
      <c r="CD56" s="1842" t="str">
        <f>$AD$14</f>
        <v>As of</v>
      </c>
      <c r="CE56" s="49" t="str">
        <f>$AD$14</f>
        <v>As of</v>
      </c>
      <c r="CF56" s="88"/>
      <c r="CG56" s="1836" t="str">
        <f>$AD$14</f>
        <v>As of</v>
      </c>
      <c r="CH56" s="1837" t="str">
        <f>$AD$14</f>
        <v>As of</v>
      </c>
      <c r="CI56" s="200"/>
    </row>
    <row r="57" spans="1:87" ht="18" outlineLevel="1">
      <c r="A57" s="785"/>
      <c r="B57" s="577"/>
      <c r="C57" s="577"/>
      <c r="D57" s="577"/>
      <c r="E57" s="577"/>
      <c r="F57" s="574"/>
      <c r="G57" s="401"/>
      <c r="H57" s="401"/>
      <c r="I57" s="401"/>
      <c r="J57" s="586"/>
      <c r="K57" s="586"/>
      <c r="L57" s="578"/>
      <c r="N57" s="158"/>
      <c r="O57" s="101"/>
      <c r="P57" s="52"/>
      <c r="Q57" s="101"/>
      <c r="R57" s="126"/>
      <c r="S57" s="101"/>
      <c r="T57" s="101"/>
      <c r="U57" s="39"/>
      <c r="W57" s="938"/>
      <c r="X57" s="752"/>
      <c r="Y57" s="953"/>
      <c r="Z57" s="124"/>
      <c r="AA57" s="800"/>
      <c r="AB57" s="97"/>
      <c r="AC57" s="97"/>
      <c r="AD57" s="1003" t="e" cm="1">
        <f t="array" ca="1" aca="1" ref="AD57">IF(MONTH(AD54)=MONTH(val_currentFYE),1,IF(MOD(MONTH(AD$11)-MONTH(val_currentFYE),3)=0,2,0))</f>
        <v>#NAME?</v>
      </c>
      <c r="AE57" s="1003" t="e" cm="1">
        <f t="array" ca="1" aca="1" ref="AE57">IF(MONTH(AE54)=MONTH(val_currentFYE),1,IF(MOD(MONTH(AE$11)-MONTH(val_currentFYE),3)=0,2,0))</f>
        <v>#NAME?</v>
      </c>
      <c r="AF57" s="1003" t="e" cm="1">
        <f t="array" ca="1" aca="1" ref="AF57">IF(MONTH(AF54)=MONTH(val_currentFYE),1,IF(MOD(MONTH(AF$11)-MONTH(val_currentFYE),3)=0,2,0))</f>
        <v>#NAME?</v>
      </c>
      <c r="AG57" s="1003" t="e" cm="1">
        <f t="array" ca="1" aca="1" ref="AG57">IF(MONTH(AG54)=MONTH(val_currentFYE),1,IF(MOD(MONTH(AG$11)-MONTH(val_currentFYE),3)=0,2,0))</f>
        <v>#NAME?</v>
      </c>
      <c r="AH57" s="1003" t="e" cm="1">
        <f t="array" ca="1" aca="1" ref="AH57">IF(MONTH(AH54)=MONTH(val_currentFYE),1,IF(MOD(MONTH(AH$11)-MONTH(val_currentFYE),3)=0,2,0))</f>
        <v>#NAME?</v>
      </c>
      <c r="AI57" s="1003" t="e" cm="1">
        <f t="array" ca="1" aca="1" ref="AI57">IF(MONTH(AI54)=MONTH(val_currentFYE),1,IF(MOD(MONTH(AI$11)-MONTH(val_currentFYE),3)=0,2,0))</f>
        <v>#NAME?</v>
      </c>
      <c r="AJ57" s="1003" t="e" cm="1">
        <f t="array" ca="1" aca="1" ref="AJ57">IF(MONTH(AJ54)=MONTH(val_currentFYE),1,IF(MOD(MONTH(AJ$11)-MONTH(val_currentFYE),3)=0,2,0))</f>
        <v>#NAME?</v>
      </c>
      <c r="AK57" s="1003" t="e" cm="1">
        <f t="array" ca="1" aca="1" ref="AK57">IF(MONTH(AK54)=MONTH(val_currentFYE),1,IF(MOD(MONTH(AK$11)-MONTH(val_currentFYE),3)=0,2,0))</f>
        <v>#NAME?</v>
      </c>
      <c r="AL57" s="1003" t="e" cm="1">
        <f t="array" ca="1" aca="1" ref="AL57">IF(MONTH(AL54)=MONTH(val_currentFYE),1,IF(MOD(MONTH(AL$11)-MONTH(val_currentFYE),3)=0,2,0))</f>
        <v>#NAME?</v>
      </c>
      <c r="AM57" s="1003" t="e" cm="1">
        <f t="array" ca="1" aca="1" ref="AM57">IF(MONTH(AM54)=MONTH(val_currentFYE),1,IF(MOD(MONTH(AM$11)-MONTH(val_currentFYE),3)=0,2,0))</f>
        <v>#NAME?</v>
      </c>
      <c r="AN57" s="1003" t="e" cm="1">
        <f t="array" ca="1" aca="1" ref="AN57">IF(MONTH(AN54)=MONTH(val_currentFYE),1,IF(MOD(MONTH(AN$11)-MONTH(val_currentFYE),3)=0,2,0))</f>
        <v>#NAME?</v>
      </c>
      <c r="AO57" s="1003" t="e" cm="1">
        <f t="array" ca="1" aca="1" ref="AO57">IF(MONTH(AO54)=MONTH(val_currentFYE),1,IF(MOD(MONTH(AO$11)-MONTH(val_currentFYE),3)=0,2,0))</f>
        <v>#NAME?</v>
      </c>
      <c r="AP57" s="1003" t="e" cm="1">
        <f t="array" ca="1" aca="1" ref="AP57">IF(MONTH(AP54)=MONTH(val_currentFYE),1,IF(MOD(MONTH(AP$11)-MONTH(val_currentFYE),3)=0,2,0))</f>
        <v>#NAME?</v>
      </c>
      <c r="AQ57" s="1003" t="e" cm="1">
        <f t="array" ca="1" aca="1" ref="AQ57">IF(MONTH(AQ54)=MONTH(val_currentFYE),1,IF(MOD(MONTH(AQ$11)-MONTH(val_currentFYE),3)=0,2,0))</f>
        <v>#NAME?</v>
      </c>
      <c r="AR57" s="1003" t="e" cm="1">
        <f t="array" ca="1" aca="1" ref="AR57">IF(MONTH(AR54)=MONTH(val_currentFYE),1,IF(MOD(MONTH(AR$11)-MONTH(val_currentFYE),3)=0,2,0))</f>
        <v>#NAME?</v>
      </c>
      <c r="AS57" s="1003" t="e" cm="1">
        <f t="array" ca="1" aca="1" ref="AS57">IF(MONTH(AS54)=MONTH(val_currentFYE),1,IF(MOD(MONTH(AS$11)-MONTH(val_currentFYE),3)=0,2,0))</f>
        <v>#NAME?</v>
      </c>
      <c r="AT57" s="1003" t="e" cm="1">
        <f t="array" ca="1" aca="1" ref="AT57">IF(MONTH(AT54)=MONTH(val_currentFYE),1,IF(MOD(MONTH(AT$11)-MONTH(val_currentFYE),3)=0,2,0))</f>
        <v>#NAME?</v>
      </c>
      <c r="AU57" s="1003" t="e" cm="1">
        <f t="array" ca="1" aca="1" ref="AU57">IF(MONTH(AU54)=MONTH(val_currentFYE),1,IF(MOD(MONTH(AU$11)-MONTH(val_currentFYE),3)=0,2,0))</f>
        <v>#NAME?</v>
      </c>
      <c r="AV57" s="1003" t="e" cm="1">
        <f t="array" ca="1" aca="1" ref="AV57">IF(MONTH(AV54)=MONTH(val_currentFYE),1,IF(MOD(MONTH(AV$11)-MONTH(val_currentFYE),3)=0,2,0))</f>
        <v>#NAME?</v>
      </c>
      <c r="AW57" s="1003" t="e" cm="1">
        <f t="array" ca="1" aca="1" ref="AW57">IF(MONTH(AW54)=MONTH(val_currentFYE),1,IF(MOD(MONTH(AW$11)-MONTH(val_currentFYE),3)=0,2,0))</f>
        <v>#NAME?</v>
      </c>
      <c r="AX57" s="1003" t="e" cm="1">
        <f t="array" ca="1" aca="1" ref="AX57">IF(MONTH(AX54)=MONTH(val_currentFYE),1,IF(MOD(MONTH(AX$11)-MONTH(val_currentFYE),3)=0,2,0))</f>
        <v>#NAME?</v>
      </c>
      <c r="AY57" s="1003" t="e" cm="1">
        <f t="array" ca="1" aca="1" ref="AY57">IF(MONTH(AY54)=MONTH(val_currentFYE),1,IF(MOD(MONTH(AY$11)-MONTH(val_currentFYE),3)=0,2,0))</f>
        <v>#NAME?</v>
      </c>
      <c r="AZ57" s="1003" t="e" cm="1">
        <f t="array" ca="1" aca="1" ref="AZ57">IF(MONTH(AZ54)=MONTH(val_currentFYE),1,IF(MOD(MONTH(AZ$11)-MONTH(val_currentFYE),3)=0,2,0))</f>
        <v>#NAME?</v>
      </c>
      <c r="BA57" s="1003" t="e" cm="1">
        <f t="array" ca="1" aca="1" ref="BA57">IF(MONTH(BA54)=MONTH(val_currentFYE),1,IF(MOD(MONTH(BA$11)-MONTH(val_currentFYE),3)=0,2,0))</f>
        <v>#NAME?</v>
      </c>
      <c r="BB57" s="1003" t="e" cm="1">
        <f t="array" ca="1" aca="1" ref="BB57">IF(MONTH(BB54)=MONTH(val_currentFYE),1,IF(MOD(MONTH(BB$11)-MONTH(val_currentFYE),3)=0,2,0))</f>
        <v>#NAME?</v>
      </c>
      <c r="BC57" s="1003" t="e" cm="1">
        <f t="array" ca="1" aca="1" ref="BC57">IF(MONTH(BC54)=MONTH(val_currentFYE),1,IF(MOD(MONTH(BC$11)-MONTH(val_currentFYE),3)=0,2,0))</f>
        <v>#NAME?</v>
      </c>
      <c r="BD57" s="1003" t="e" cm="1">
        <f t="array" ca="1" aca="1" ref="BD57">IF(MONTH(BD54)=MONTH(val_currentFYE),1,IF(MOD(MONTH(BD$11)-MONTH(val_currentFYE),3)=0,2,0))</f>
        <v>#NAME?</v>
      </c>
      <c r="BE57" s="1003" t="e" cm="1">
        <f t="array" ca="1" aca="1" ref="BE57">IF(MONTH(BE54)=MONTH(val_currentFYE),1,IF(MOD(MONTH(BE$11)-MONTH(val_currentFYE),3)=0,2,0))</f>
        <v>#NAME?</v>
      </c>
      <c r="BF57" s="1003" t="e" cm="1">
        <f t="array" ca="1" aca="1" ref="BF57">IF(MONTH(BF54)=MONTH(val_currentFYE),1,IF(MOD(MONTH(BF$11)-MONTH(val_currentFYE),3)=0,2,0))</f>
        <v>#NAME?</v>
      </c>
      <c r="BG57" s="1003" t="e" cm="1">
        <f t="array" ca="1" aca="1" ref="BG57">IF(MONTH(BG54)=MONTH(val_currentFYE),1,IF(MOD(MONTH(BG$11)-MONTH(val_currentFYE),3)=0,2,0))</f>
        <v>#NAME?</v>
      </c>
      <c r="BH57" s="1003" t="e" cm="1">
        <f t="array" ca="1" aca="1" ref="BH57">IF(MONTH(BH54)=MONTH(val_currentFYE),1,IF(MOD(MONTH(BH$11)-MONTH(val_currentFYE),3)=0,2,0))</f>
        <v>#NAME?</v>
      </c>
      <c r="BI57" s="1003" t="e" cm="1">
        <f t="array" ca="1" aca="1" ref="BI57">IF(MONTH(BI54)=MONTH(val_currentFYE),1,IF(MOD(MONTH(BI$11)-MONTH(val_currentFYE),3)=0,2,0))</f>
        <v>#NAME?</v>
      </c>
      <c r="BJ57" s="1003" t="e" cm="1">
        <f t="array" ca="1" aca="1" ref="BJ57">IF(MONTH(BJ54)=MONTH(val_currentFYE),1,IF(MOD(MONTH(BJ$11)-MONTH(val_currentFYE),3)=0,2,0))</f>
        <v>#NAME?</v>
      </c>
      <c r="BK57" s="1003" t="e" cm="1">
        <f t="array" ca="1" aca="1" ref="BK57">IF(MONTH(BK54)=MONTH(val_currentFYE),1,IF(MOD(MONTH(BK$11)-MONTH(val_currentFYE),3)=0,2,0))</f>
        <v>#NAME?</v>
      </c>
      <c r="BL57" s="1003" t="e" cm="1">
        <f t="array" ca="1" aca="1" ref="BL57">IF(MONTH(BL54)=MONTH(val_currentFYE),1,IF(MOD(MONTH(BL$11)-MONTH(val_currentFYE),3)=0,2,0))</f>
        <v>#NAME?</v>
      </c>
      <c r="BM57" s="1003" t="e" cm="1">
        <f t="array" ca="1" aca="1" ref="BM57">IF(MONTH(BM54)=MONTH(val_currentFYE),1,IF(MOD(MONTH(BM$11)-MONTH(val_currentFYE),3)=0,2,0))</f>
        <v>#NAME?</v>
      </c>
      <c r="BN57" s="1004" t="e" cm="1">
        <f t="array" ca="1" aca="1" ref="BN57">IF(MONTH(BN54)=MONTH(val_currentFYE),1,IF(MOD(MONTH(BN$11)-MONTH(val_currentFYE),3)=0,2,0))</f>
        <v>#NAME?</v>
      </c>
      <c r="BO57" s="388"/>
      <c r="BP57" s="388"/>
      <c r="BQ57" s="388"/>
      <c r="BR57" s="388"/>
      <c r="BS57" s="388"/>
      <c r="BT57" s="388"/>
      <c r="BU57" s="388"/>
      <c r="BV57" s="388"/>
      <c r="BW57" s="388"/>
      <c r="BX57" s="388"/>
      <c r="BY57" s="388"/>
      <c r="BZ57" s="388"/>
      <c r="CA57" s="926"/>
      <c r="CB57" s="921"/>
      <c r="CC57" s="958"/>
      <c r="CD57" s="567"/>
      <c r="CE57" s="568"/>
      <c r="CF57" s="88"/>
      <c r="CG57" s="569"/>
      <c r="CH57" s="570"/>
      <c r="CI57" s="200"/>
    </row>
    <row r="58" spans="1:87" ht="18">
      <c r="A58" s="692"/>
      <c r="B58" s="722"/>
      <c r="C58" s="722"/>
      <c r="D58" s="722"/>
      <c r="E58" s="577"/>
      <c r="F58" s="574"/>
      <c r="G58" s="401"/>
      <c r="H58" s="401"/>
      <c r="I58" s="401"/>
      <c r="J58" s="401"/>
      <c r="K58" s="401"/>
      <c r="L58" s="578"/>
      <c r="N58" s="158"/>
      <c r="O58" s="101"/>
      <c r="P58" s="288"/>
      <c r="Q58" s="288"/>
      <c r="R58" s="101"/>
      <c r="S58" s="101"/>
      <c r="T58" s="101"/>
      <c r="U58" s="39"/>
      <c r="W58" s="3045" t="str" cm="1">
        <f t="array" ref="W58">fx_scenarioConverter("Budget")</f>
        <v>Budget</v>
      </c>
      <c r="X58" s="3065"/>
      <c r="Y58" s="3161" t="s">
        <v>226</v>
      </c>
      <c r="Z58" s="784"/>
      <c r="AA58" s="784"/>
      <c r="AB58" s="281"/>
      <c r="AC58" s="858"/>
      <c r="AD58" s="859" t="e" cm="1">
        <f t="array" ca="1" aca="1" ref="AD58">fx_checkComp(AD61:AD91)</f>
        <v>#NAME?</v>
      </c>
      <c r="AE58" s="859" t="e" cm="1">
        <f t="array" ca="1" aca="1" ref="AE58">fx_checkComp(AE61:AE91)</f>
        <v>#NAME?</v>
      </c>
      <c r="AF58" s="859" t="e" cm="1">
        <f t="array" ca="1" aca="1" ref="AF58">fx_checkComp(AF61:AF91)</f>
        <v>#NAME?</v>
      </c>
      <c r="AG58" s="859" t="e" cm="1">
        <f t="array" ca="1" aca="1" ref="AG58">fx_checkComp(AG61:AG91)</f>
        <v>#NAME?</v>
      </c>
      <c r="AH58" s="859" t="e" cm="1">
        <f t="array" ca="1" aca="1" ref="AH58">fx_checkComp(AH61:AH91)</f>
        <v>#NAME?</v>
      </c>
      <c r="AI58" s="859" t="e" cm="1">
        <f t="array" ca="1" aca="1" ref="AI58">fx_checkComp(AI61:AI91)</f>
        <v>#NAME?</v>
      </c>
      <c r="AJ58" s="859" t="e" cm="1">
        <f t="array" ca="1" aca="1" ref="AJ58">fx_checkComp(AJ61:AJ91)</f>
        <v>#NAME?</v>
      </c>
      <c r="AK58" s="859" t="e" cm="1">
        <f t="array" ca="1" aca="1" ref="AK58">fx_checkComp(AK61:AK91)</f>
        <v>#NAME?</v>
      </c>
      <c r="AL58" s="859" t="e" cm="1">
        <f t="array" ca="1" aca="1" ref="AL58">fx_checkComp(AL61:AL91)</f>
        <v>#NAME?</v>
      </c>
      <c r="AM58" s="859" t="e" cm="1">
        <f t="array" ca="1" aca="1" ref="AM58">fx_checkComp(AM61:AM91)</f>
        <v>#NAME?</v>
      </c>
      <c r="AN58" s="859" t="e" cm="1">
        <f t="array" ca="1" aca="1" ref="AN58">fx_checkComp(AN61:AN91)</f>
        <v>#NAME?</v>
      </c>
      <c r="AO58" s="859" t="e" cm="1">
        <f t="array" ca="1" aca="1" ref="AO58">fx_checkComp(AO61:AO91)</f>
        <v>#NAME?</v>
      </c>
      <c r="AP58" s="859" t="e" cm="1">
        <f t="array" ca="1" aca="1" ref="AP58">fx_checkComp(AP61:AP91)</f>
        <v>#NAME?</v>
      </c>
      <c r="AQ58" s="859" t="e" cm="1">
        <f t="array" ca="1" aca="1" ref="AQ58">fx_checkComp(AQ61:AQ91)</f>
        <v>#NAME?</v>
      </c>
      <c r="AR58" s="859" t="e" cm="1">
        <f t="array" ca="1" aca="1" ref="AR58">fx_checkComp(AR61:AR91)</f>
        <v>#NAME?</v>
      </c>
      <c r="AS58" s="859" t="e" cm="1">
        <f t="array" ca="1" aca="1" ref="AS58">fx_checkComp(AS61:AS91)</f>
        <v>#NAME?</v>
      </c>
      <c r="AT58" s="859" t="e" cm="1">
        <f t="array" ca="1" aca="1" ref="AT58">fx_checkComp(AT61:AT91)</f>
        <v>#NAME?</v>
      </c>
      <c r="AU58" s="859" t="e" cm="1">
        <f t="array" ca="1" aca="1" ref="AU58">fx_checkComp(AU61:AU91)</f>
        <v>#NAME?</v>
      </c>
      <c r="AV58" s="859" t="e" cm="1">
        <f t="array" ca="1" aca="1" ref="AV58">fx_checkComp(AV61:AV91)</f>
        <v>#NAME?</v>
      </c>
      <c r="AW58" s="859" t="e" cm="1">
        <f t="array" ca="1" aca="1" ref="AW58">fx_checkComp(AW61:AW91)</f>
        <v>#NAME?</v>
      </c>
      <c r="AX58" s="859" t="e" cm="1">
        <f t="array" ca="1" aca="1" ref="AX58">fx_checkComp(AX61:AX91)</f>
        <v>#NAME?</v>
      </c>
      <c r="AY58" s="859" t="e" cm="1">
        <f t="array" ca="1" aca="1" ref="AY58">fx_checkComp(AY61:AY91)</f>
        <v>#NAME?</v>
      </c>
      <c r="AZ58" s="859" t="e" cm="1">
        <f t="array" ca="1" aca="1" ref="AZ58">fx_checkComp(AZ61:AZ91)</f>
        <v>#NAME?</v>
      </c>
      <c r="BA58" s="859" t="e" cm="1">
        <f t="array" ca="1" aca="1" ref="BA58">fx_checkComp(BA61:BA91)</f>
        <v>#NAME?</v>
      </c>
      <c r="BB58" s="859" t="e" cm="1">
        <f t="array" ca="1" aca="1" ref="BB58">fx_checkComp(BB61:BB91)</f>
        <v>#NAME?</v>
      </c>
      <c r="BC58" s="859" t="e" cm="1">
        <f t="array" ca="1" aca="1" ref="BC58">fx_checkComp(BC61:BC91)</f>
        <v>#NAME?</v>
      </c>
      <c r="BD58" s="859" t="e" cm="1">
        <f t="array" ca="1" aca="1" ref="BD58">fx_checkComp(BD61:BD91)</f>
        <v>#NAME?</v>
      </c>
      <c r="BE58" s="859" t="e" cm="1">
        <f t="array" ca="1" aca="1" ref="BE58">fx_checkComp(BE61:BE91)</f>
        <v>#NAME?</v>
      </c>
      <c r="BF58" s="859" t="e" cm="1">
        <f t="array" ca="1" aca="1" ref="BF58">fx_checkComp(BF61:BF91)</f>
        <v>#NAME?</v>
      </c>
      <c r="BG58" s="859" t="e" cm="1">
        <f t="array" ca="1" aca="1" ref="BG58">fx_checkComp(BG61:BG91)</f>
        <v>#NAME?</v>
      </c>
      <c r="BH58" s="859" t="e" cm="1">
        <f t="array" ca="1" aca="1" ref="BH58">fx_checkComp(BH61:BH91)</f>
        <v>#NAME?</v>
      </c>
      <c r="BI58" s="859" t="e" cm="1">
        <f t="array" ca="1" aca="1" ref="BI58">fx_checkComp(BI61:BI91)</f>
        <v>#NAME?</v>
      </c>
      <c r="BJ58" s="859" t="e" cm="1">
        <f t="array" ca="1" aca="1" ref="BJ58">fx_checkComp(BJ61:BJ91)</f>
        <v>#NAME?</v>
      </c>
      <c r="BK58" s="859" t="e" cm="1">
        <f t="array" ca="1" aca="1" ref="BK58">fx_checkComp(BK61:BK91)</f>
        <v>#NAME?</v>
      </c>
      <c r="BL58" s="859" t="e" cm="1">
        <f t="array" ca="1" aca="1" ref="BL58">fx_checkComp(BL61:BL91)</f>
        <v>#NAME?</v>
      </c>
      <c r="BM58" s="859" t="e" cm="1">
        <f t="array" ca="1" aca="1" ref="BM58">fx_checkComp(BM61:BM91)</f>
        <v>#NAME?</v>
      </c>
      <c r="BN58" s="1215" t="e" cm="1">
        <f t="array" ca="1" aca="1" ref="BN58">fx_checkComp(BN61:BN91)</f>
        <v>#NAME?</v>
      </c>
      <c r="BO58" s="1804"/>
      <c r="BP58" s="1804"/>
      <c r="BQ58" s="1804"/>
      <c r="BR58" s="1804"/>
      <c r="BS58" s="1804"/>
      <c r="BT58" s="1804"/>
      <c r="BU58" s="1804"/>
      <c r="BV58" s="1804"/>
      <c r="BW58" s="1804"/>
      <c r="BX58" s="1804"/>
      <c r="BY58" s="1804"/>
      <c r="BZ58" s="1804"/>
      <c r="CA58" s="926"/>
      <c r="CB58" s="921"/>
      <c r="CC58" s="927"/>
      <c r="CD58" s="48"/>
      <c r="CE58" s="49"/>
      <c r="CF58" s="88"/>
      <c r="CG58" s="859" t="str" cm="1">
        <f t="array" ca="1" aca="1" ref="CG58">IFERROR(fx_checkComp(CG61:CG91),"")</f>
        <v/>
      </c>
      <c r="CH58" s="1215" t="str" cm="1">
        <f t="array" ca="1" aca="1" ref="CH58">IFERROR(fx_checkComp(CH61:CH91),"")</f>
        <v/>
      </c>
      <c r="CI58" s="200"/>
    </row>
    <row r="59" spans="1:87" ht="18">
      <c r="A59" s="1588"/>
      <c r="B59" s="1572"/>
      <c r="C59" s="1572"/>
      <c r="D59" s="1572"/>
      <c r="E59" s="1571"/>
      <c r="F59" s="1589"/>
      <c r="G59" s="1277"/>
      <c r="H59" s="1277"/>
      <c r="I59" s="1277"/>
      <c r="J59" s="1277"/>
      <c r="K59" s="1277"/>
      <c r="L59" s="578"/>
      <c r="M59" s="902"/>
      <c r="N59" s="1573"/>
      <c r="O59" s="1574"/>
      <c r="P59" s="1574"/>
      <c r="Q59" s="1574"/>
      <c r="R59" s="1574"/>
      <c r="S59" s="1574"/>
      <c r="T59" s="1574"/>
      <c r="U59" s="1575"/>
      <c r="V59" s="902"/>
      <c r="W59" s="3046"/>
      <c r="X59" s="3066"/>
      <c r="Y59" s="3162"/>
      <c r="Z59" s="1576"/>
      <c r="AA59" s="1576"/>
      <c r="AB59" s="1577"/>
      <c r="AC59" s="1578"/>
      <c r="AD59" s="1579"/>
      <c r="AE59" s="1579"/>
      <c r="AF59" s="1579"/>
      <c r="AG59" s="1579"/>
      <c r="AH59" s="1579"/>
      <c r="AI59" s="1579"/>
      <c r="AJ59" s="1579"/>
      <c r="AK59" s="1579"/>
      <c r="AL59" s="1579"/>
      <c r="AM59" s="1579"/>
      <c r="AN59" s="1579"/>
      <c r="AO59" s="1579"/>
      <c r="AP59" s="1579"/>
      <c r="AQ59" s="1579"/>
      <c r="AR59" s="1579"/>
      <c r="AS59" s="1579"/>
      <c r="AT59" s="1579"/>
      <c r="AU59" s="1579"/>
      <c r="AV59" s="1579"/>
      <c r="AW59" s="1579"/>
      <c r="AX59" s="1579"/>
      <c r="AY59" s="1579"/>
      <c r="AZ59" s="1579"/>
      <c r="BA59" s="1579"/>
      <c r="BB59" s="1579"/>
      <c r="BC59" s="1579"/>
      <c r="BD59" s="1579"/>
      <c r="BE59" s="1579"/>
      <c r="BF59" s="1579"/>
      <c r="BG59" s="1579"/>
      <c r="BH59" s="1579"/>
      <c r="BI59" s="1579"/>
      <c r="BJ59" s="1579"/>
      <c r="BK59" s="1579"/>
      <c r="BL59" s="1579"/>
      <c r="BM59" s="1579"/>
      <c r="BN59" s="1580"/>
      <c r="BO59" s="2113"/>
      <c r="BP59" s="2113"/>
      <c r="BQ59" s="2113"/>
      <c r="BR59" s="2113"/>
      <c r="BS59" s="2113"/>
      <c r="BT59" s="2113"/>
      <c r="BU59" s="2113"/>
      <c r="BV59" s="2113"/>
      <c r="BW59" s="2113"/>
      <c r="BX59" s="2113"/>
      <c r="BY59" s="2113"/>
      <c r="BZ59" s="2113"/>
      <c r="CA59" s="1581"/>
      <c r="CB59" s="1582"/>
      <c r="CC59" s="1583"/>
      <c r="CD59" s="1584"/>
      <c r="CE59" s="1585"/>
      <c r="CF59" s="885"/>
      <c r="CG59" s="1586"/>
      <c r="CH59" s="1587"/>
      <c r="CI59" s="1220"/>
    </row>
    <row r="60" spans="1:87" ht="30" customHeight="1">
      <c r="A60" s="693"/>
      <c r="B60" s="1318"/>
      <c r="C60" s="1318"/>
      <c r="D60" s="1319"/>
      <c r="E60" s="1318"/>
      <c r="F60" s="1318"/>
      <c r="G60" s="1318"/>
      <c r="H60" s="1320"/>
      <c r="I60" s="1320"/>
      <c r="J60" s="1320"/>
      <c r="K60" s="1320"/>
      <c r="L60" s="576"/>
      <c r="N60" s="158"/>
      <c r="O60" s="101"/>
      <c r="P60" s="52"/>
      <c r="Q60" s="101"/>
      <c r="R60" s="101"/>
      <c r="S60" s="101"/>
      <c r="T60" s="101"/>
      <c r="U60" s="39"/>
      <c r="W60" s="1225"/>
      <c r="X60" s="1232"/>
      <c r="Y60" s="1233" t="str">
        <f>val_company&amp;" Internal Accounts"</f>
        <v>Therme Horizon Internal Accounts</v>
      </c>
      <c r="Z60" s="1227"/>
      <c r="AA60" s="1227"/>
      <c r="AB60" s="1226" t="s">
        <v>227</v>
      </c>
      <c r="AC60" s="1229"/>
      <c r="AD60" s="1230" t="str" cm="1">
        <f t="array" ref="AD60">fx_scenarioConverter(W58)</f>
        <v>Budget</v>
      </c>
      <c r="AE60" s="1230" t="str">
        <f>$AD60</f>
        <v>Budget</v>
      </c>
      <c r="AF60" s="1230" t="str">
        <f t="shared" si="7" ref="AF60:BN60">$AD60</f>
        <v>Budget</v>
      </c>
      <c r="AG60" s="1230" t="str">
        <f t="shared" si="7"/>
        <v>Budget</v>
      </c>
      <c r="AH60" s="1230" t="str">
        <f t="shared" si="7"/>
        <v>Budget</v>
      </c>
      <c r="AI60" s="1230" t="str">
        <f t="shared" si="7"/>
        <v>Budget</v>
      </c>
      <c r="AJ60" s="1230" t="str">
        <f t="shared" si="7"/>
        <v>Budget</v>
      </c>
      <c r="AK60" s="1230" t="str">
        <f t="shared" si="7"/>
        <v>Budget</v>
      </c>
      <c r="AL60" s="1230" t="str">
        <f t="shared" si="7"/>
        <v>Budget</v>
      </c>
      <c r="AM60" s="1230" t="str">
        <f t="shared" si="7"/>
        <v>Budget</v>
      </c>
      <c r="AN60" s="1230" t="str">
        <f t="shared" si="7"/>
        <v>Budget</v>
      </c>
      <c r="AO60" s="1230" t="str">
        <f t="shared" si="7"/>
        <v>Budget</v>
      </c>
      <c r="AP60" s="1230" t="str">
        <f t="shared" si="7"/>
        <v>Budget</v>
      </c>
      <c r="AQ60" s="1230" t="str">
        <f t="shared" si="7"/>
        <v>Budget</v>
      </c>
      <c r="AR60" s="1230" t="str">
        <f t="shared" si="7"/>
        <v>Budget</v>
      </c>
      <c r="AS60" s="1230" t="str">
        <f t="shared" si="7"/>
        <v>Budget</v>
      </c>
      <c r="AT60" s="1230" t="str">
        <f t="shared" si="7"/>
        <v>Budget</v>
      </c>
      <c r="AU60" s="1230" t="str">
        <f t="shared" si="7"/>
        <v>Budget</v>
      </c>
      <c r="AV60" s="1230" t="str">
        <f t="shared" si="7"/>
        <v>Budget</v>
      </c>
      <c r="AW60" s="1230" t="str">
        <f t="shared" si="7"/>
        <v>Budget</v>
      </c>
      <c r="AX60" s="1230" t="str">
        <f t="shared" si="7"/>
        <v>Budget</v>
      </c>
      <c r="AY60" s="1230" t="str">
        <f t="shared" si="7"/>
        <v>Budget</v>
      </c>
      <c r="AZ60" s="1230" t="str">
        <f t="shared" si="7"/>
        <v>Budget</v>
      </c>
      <c r="BA60" s="1230" t="str">
        <f t="shared" si="7"/>
        <v>Budget</v>
      </c>
      <c r="BB60" s="1230" t="str">
        <f t="shared" si="7"/>
        <v>Budget</v>
      </c>
      <c r="BC60" s="1230" t="str">
        <f t="shared" si="7"/>
        <v>Budget</v>
      </c>
      <c r="BD60" s="1230" t="str">
        <f t="shared" si="7"/>
        <v>Budget</v>
      </c>
      <c r="BE60" s="1230" t="str">
        <f t="shared" si="7"/>
        <v>Budget</v>
      </c>
      <c r="BF60" s="1230" t="str">
        <f t="shared" si="7"/>
        <v>Budget</v>
      </c>
      <c r="BG60" s="1230" t="str">
        <f t="shared" si="7"/>
        <v>Budget</v>
      </c>
      <c r="BH60" s="1230" t="str">
        <f t="shared" si="7"/>
        <v>Budget</v>
      </c>
      <c r="BI60" s="1230" t="str">
        <f t="shared" si="7"/>
        <v>Budget</v>
      </c>
      <c r="BJ60" s="1230" t="str">
        <f t="shared" si="7"/>
        <v>Budget</v>
      </c>
      <c r="BK60" s="1230" t="str">
        <f t="shared" si="7"/>
        <v>Budget</v>
      </c>
      <c r="BL60" s="1230" t="str">
        <f t="shared" si="7"/>
        <v>Budget</v>
      </c>
      <c r="BM60" s="1230" t="str">
        <f t="shared" si="7"/>
        <v>Budget</v>
      </c>
      <c r="BN60" s="1231" t="str">
        <f t="shared" si="7"/>
        <v>Budget</v>
      </c>
      <c r="BO60" s="2112"/>
      <c r="BP60" s="2112"/>
      <c r="BQ60" s="2112"/>
      <c r="BR60" s="2112"/>
      <c r="BS60" s="2112"/>
      <c r="BT60" s="2112"/>
      <c r="BU60" s="2112"/>
      <c r="BV60" s="2112"/>
      <c r="BW60" s="2112"/>
      <c r="BX60" s="2112"/>
      <c r="BY60" s="2112"/>
      <c r="BZ60" s="2112"/>
      <c r="CA60" s="34"/>
      <c r="CC60" s="33"/>
      <c r="CD60" s="1799" t="str">
        <f t="shared" si="8" ref="CD60:CE60">$AD60</f>
        <v>Budget</v>
      </c>
      <c r="CE60" s="1800" t="str">
        <f t="shared" si="8"/>
        <v>Budget</v>
      </c>
      <c r="CF60" s="88"/>
      <c r="CG60" s="1198" t="str">
        <f>CG19</f>
        <v>Original Budget</v>
      </c>
      <c r="CH60" s="1199" t="str">
        <f>CH19</f>
        <v>LE</v>
      </c>
      <c r="CI60" s="200"/>
    </row>
    <row r="61" spans="1:87" ht="21" customHeight="1">
      <c r="A61" s="696" t="s">
        <v>1749</v>
      </c>
      <c r="B61" s="577" t="str">
        <f>B20</f>
        <v>Fixed Assets</v>
      </c>
      <c r="C61" s="577" t="str">
        <f>C20</f>
        <v>Fixed Asset (Company View)</v>
      </c>
      <c r="D61" s="577"/>
      <c r="E61" s="577" t="e" cm="1">
        <f t="array" ca="1" aca="1" ref="E61">_xlfn.LET(_xlpm.Attr,$C61,_xlpm.Lookback,$E$16,_xlpm.QueryDate,EOMONTH(val_asOfDate,_xlpm.Lookback),_xlpm.ReadField,_xldudf_CX_GET(CX_ENTITY,fx_attrConverter($C61),_xlpm.QueryDate),_xlpm.AttrBlank,_xlpm.Attr="",_xlpm.RESULT,IF(_xlpm.AttrBlank,val_blankRefText,fx_attrConverter(_xlpm.ReadField,0)),IF(_xlpm.RESULT="Error","",_xlpm.RESULT))</f>
        <v>#NAME?</v>
      </c>
      <c r="F61" s="577" t="str">
        <f t="shared" si="9" ref="F61:F91">IF($B61&lt;&gt;"",$B61,$E61)</f>
        <v>Fixed Assets</v>
      </c>
      <c r="G61" s="574"/>
      <c r="H61" s="3305">
        <v>1</v>
      </c>
      <c r="I61" s="3305">
        <v>1</v>
      </c>
      <c r="J61" s="401"/>
      <c r="K61" s="401"/>
      <c r="L61" s="579" t="b">
        <v>0</v>
      </c>
      <c r="N61" s="158"/>
      <c r="O61" s="101"/>
      <c r="P61" s="52"/>
      <c r="Q61" s="101"/>
      <c r="R61" s="101"/>
      <c r="S61" s="101"/>
      <c r="T61" s="101"/>
      <c r="U61" s="39"/>
      <c r="W61" s="1290" t="str" cm="1">
        <f t="array" ref="W61">fx_scenarioConverter(W58)</f>
        <v>Budget</v>
      </c>
      <c r="X61" s="3303">
        <f>X20</f>
        <v>1</v>
      </c>
      <c r="Y61" s="2631" t="str">
        <f>Y20</f>
        <v>Fixed Assets</v>
      </c>
      <c r="Z61" s="198" cm="1">
        <f t="array" ref="Z61">_xlfn.SWITCH(TRUE,$L61="",0,$L61=TRUE,1,$L61=FALSE,-1,)</f>
        <v>-1</v>
      </c>
      <c r="AA61" s="200"/>
      <c r="AB61" s="2626" t="str">
        <f>AB20</f>
        <v>Fixed Assets</v>
      </c>
      <c r="AC61" s="88"/>
      <c r="AD61" s="1669" t="e" cm="1">
        <f t="array" ca="1" aca="1" ref="AD61">_xlfn.LET(_xlpm.val,IF($F61="",val_blankRefText,_xldudf_CX_GET(CX_ENTITY,($F61),AD$11,AD$14,,(AD$60))),_xlpm.Res,IF(OR(_xlpm.val="",_xlpm.val="Error"),"",_xlpm.val),_xlpm.Res)</f>
        <v>#NAME?</v>
      </c>
      <c r="AE61" s="1669" t="e" cm="1">
        <f t="array" ca="1" aca="1" ref="AE61">_xlfn.LET(_xlpm.val,IF($F61="",val_blankRefText,_xldudf_CX_GET(CX_ENTITY,($F61),AE$11,AE$14,,(AE$60))),_xlpm.Res,IF(OR(_xlpm.val="",_xlpm.val="Error"),"",_xlpm.val),_xlpm.Res)</f>
        <v>#NAME?</v>
      </c>
      <c r="AF61" s="1669" t="e" cm="1">
        <f t="array" ca="1" aca="1" ref="AF61">_xlfn.LET(_xlpm.val,IF($F61="",val_blankRefText,_xldudf_CX_GET(CX_ENTITY,($F61),AF$11,AF$14,,(AF$60))),_xlpm.Res,IF(OR(_xlpm.val="",_xlpm.val="Error"),"",_xlpm.val),_xlpm.Res)</f>
        <v>#NAME?</v>
      </c>
      <c r="AG61" s="1669" t="e" cm="1">
        <f t="array" ca="1" aca="1" ref="AG61">_xlfn.LET(_xlpm.val,IF($F61="",val_blankRefText,_xldudf_CX_GET(CX_ENTITY,($F61),AG$11,AG$14,,(AG$60))),_xlpm.Res,IF(OR(_xlpm.val="",_xlpm.val="Error"),"",_xlpm.val),_xlpm.Res)</f>
        <v>#NAME?</v>
      </c>
      <c r="AH61" s="1669" t="e" cm="1">
        <f t="array" ca="1" aca="1" ref="AH61">_xlfn.LET(_xlpm.val,IF($F61="",val_blankRefText,_xldudf_CX_GET(CX_ENTITY,($F61),AH$11,AH$14,,(AH$60))),_xlpm.Res,IF(OR(_xlpm.val="",_xlpm.val="Error"),"",_xlpm.val),_xlpm.Res)</f>
        <v>#NAME?</v>
      </c>
      <c r="AI61" s="1669" t="e" cm="1">
        <f t="array" ca="1" aca="1" ref="AI61">_xlfn.LET(_xlpm.val,IF($F61="",val_blankRefText,_xldudf_CX_GET(CX_ENTITY,($F61),AI$11,AI$14,,(AI$60))),_xlpm.Res,IF(OR(_xlpm.val="",_xlpm.val="Error"),"",_xlpm.val),_xlpm.Res)</f>
        <v>#NAME?</v>
      </c>
      <c r="AJ61" s="1669" t="e" cm="1">
        <f t="array" ca="1" aca="1" ref="AJ61">_xlfn.LET(_xlpm.val,IF($F61="",val_blankRefText,_xldudf_CX_GET(CX_ENTITY,($F61),AJ$11,AJ$14,,(AJ$60))),_xlpm.Res,IF(OR(_xlpm.val="",_xlpm.val="Error"),"",_xlpm.val),_xlpm.Res)</f>
        <v>#NAME?</v>
      </c>
      <c r="AK61" s="1669" t="e" cm="1">
        <f t="array" ca="1" aca="1" ref="AK61">_xlfn.LET(_xlpm.val,IF($F61="",val_blankRefText,_xldudf_CX_GET(CX_ENTITY,($F61),AK$11,AK$14,,(AK$60))),_xlpm.Res,IF(OR(_xlpm.val="",_xlpm.val="Error"),"",_xlpm.val),_xlpm.Res)</f>
        <v>#NAME?</v>
      </c>
      <c r="AL61" s="1669" t="e" cm="1">
        <f t="array" ca="1" aca="1" ref="AL61">_xlfn.LET(_xlpm.val,IF($F61="",val_blankRefText,_xldudf_CX_GET(CX_ENTITY,($F61),AL$11,AL$14,,(AL$60))),_xlpm.Res,IF(OR(_xlpm.val="",_xlpm.val="Error"),"",_xlpm.val),_xlpm.Res)</f>
        <v>#NAME?</v>
      </c>
      <c r="AM61" s="1669" t="e" cm="1">
        <f t="array" ca="1" aca="1" ref="AM61">_xlfn.LET(_xlpm.val,IF($F61="",val_blankRefText,_xldudf_CX_GET(CX_ENTITY,($F61),AM$11,AM$14,,(AM$60))),_xlpm.Res,IF(OR(_xlpm.val="",_xlpm.val="Error"),"",_xlpm.val),_xlpm.Res)</f>
        <v>#NAME?</v>
      </c>
      <c r="AN61" s="1669" t="e" cm="1">
        <f t="array" ca="1" aca="1" ref="AN61">_xlfn.LET(_xlpm.val,IF($F61="",val_blankRefText,_xldudf_CX_GET(CX_ENTITY,($F61),AN$11,AN$14,,(AN$60))),_xlpm.Res,IF(OR(_xlpm.val="",_xlpm.val="Error"),"",_xlpm.val),_xlpm.Res)</f>
        <v>#NAME?</v>
      </c>
      <c r="AO61" s="1669" t="e" cm="1">
        <f t="array" ca="1" aca="1" ref="AO61">_xlfn.LET(_xlpm.val,IF($F61="",val_blankRefText,_xldudf_CX_GET(CX_ENTITY,($F61),AO$11,AO$14,,(AO$60))),_xlpm.Res,IF(OR(_xlpm.val="",_xlpm.val="Error"),"",_xlpm.val),_xlpm.Res)</f>
        <v>#NAME?</v>
      </c>
      <c r="AP61" s="1669" t="e" cm="1">
        <f t="array" ca="1" aca="1" ref="AP61">_xlfn.LET(_xlpm.val,IF($F61="",val_blankRefText,_xldudf_CX_GET(CX_ENTITY,($F61),AP$11,AP$14,,(AP$60))),_xlpm.Res,IF(OR(_xlpm.val="",_xlpm.val="Error"),"",_xlpm.val),_xlpm.Res)</f>
        <v>#NAME?</v>
      </c>
      <c r="AQ61" s="1669" t="e" cm="1">
        <f t="array" ca="1" aca="1" ref="AQ61">_xlfn.LET(_xlpm.val,IF($F61="",val_blankRefText,_xldudf_CX_GET(CX_ENTITY,($F61),AQ$11,AQ$14,,(AQ$60))),_xlpm.Res,IF(OR(_xlpm.val="",_xlpm.val="Error"),"",_xlpm.val),_xlpm.Res)</f>
        <v>#NAME?</v>
      </c>
      <c r="AR61" s="1669" t="e" cm="1">
        <f t="array" ca="1" aca="1" ref="AR61">_xlfn.LET(_xlpm.val,IF($F61="",val_blankRefText,_xldudf_CX_GET(CX_ENTITY,($F61),AR$11,AR$14,,(AR$60))),_xlpm.Res,IF(OR(_xlpm.val="",_xlpm.val="Error"),"",_xlpm.val),_xlpm.Res)</f>
        <v>#NAME?</v>
      </c>
      <c r="AS61" s="1669" t="e" cm="1">
        <f t="array" ca="1" aca="1" ref="AS61">_xlfn.LET(_xlpm.val,IF($F61="",val_blankRefText,_xldudf_CX_GET(CX_ENTITY,($F61),AS$11,AS$14,,(AS$60))),_xlpm.Res,IF(OR(_xlpm.val="",_xlpm.val="Error"),"",_xlpm.val),_xlpm.Res)</f>
        <v>#NAME?</v>
      </c>
      <c r="AT61" s="1669" t="e" cm="1">
        <f t="array" ca="1" aca="1" ref="AT61">_xlfn.LET(_xlpm.val,IF($F61="",val_blankRefText,_xldudf_CX_GET(CX_ENTITY,($F61),AT$11,AT$14,,(AT$60))),_xlpm.Res,IF(OR(_xlpm.val="",_xlpm.val="Error"),"",_xlpm.val),_xlpm.Res)</f>
        <v>#NAME?</v>
      </c>
      <c r="AU61" s="1669" t="e" cm="1">
        <f t="array" ca="1" aca="1" ref="AU61">_xlfn.LET(_xlpm.val,IF($F61="",val_blankRefText,_xldudf_CX_GET(CX_ENTITY,($F61),AU$11,AU$14,,(AU$60))),_xlpm.Res,IF(OR(_xlpm.val="",_xlpm.val="Error"),"",_xlpm.val),_xlpm.Res)</f>
        <v>#NAME?</v>
      </c>
      <c r="AV61" s="1669" t="e" cm="1">
        <f t="array" ca="1" aca="1" ref="AV61">_xlfn.LET(_xlpm.val,IF($F61="",val_blankRefText,_xldudf_CX_GET(CX_ENTITY,($F61),AV$11,AV$14,,(AV$60))),_xlpm.Res,IF(OR(_xlpm.val="",_xlpm.val="Error"),"",_xlpm.val),_xlpm.Res)</f>
        <v>#NAME?</v>
      </c>
      <c r="AW61" s="1669" t="e" cm="1">
        <f t="array" ca="1" aca="1" ref="AW61">_xlfn.LET(_xlpm.val,IF($F61="",val_blankRefText,_xldudf_CX_GET(CX_ENTITY,($F61),AW$11,AW$14,,(AW$60))),_xlpm.Res,IF(OR(_xlpm.val="",_xlpm.val="Error"),"",_xlpm.val),_xlpm.Res)</f>
        <v>#NAME?</v>
      </c>
      <c r="AX61" s="1669" t="e" cm="1">
        <f t="array" ca="1" aca="1" ref="AX61">_xlfn.LET(_xlpm.val,IF($F61="",val_blankRefText,_xldudf_CX_GET(CX_ENTITY,($F61),AX$11,AX$14,,(AX$60))),_xlpm.Res,IF(OR(_xlpm.val="",_xlpm.val="Error"),"",_xlpm.val),_xlpm.Res)</f>
        <v>#NAME?</v>
      </c>
      <c r="AY61" s="1669" t="e" cm="1">
        <f t="array" ca="1" aca="1" ref="AY61">_xlfn.LET(_xlpm.val,IF($F61="",val_blankRefText,_xldudf_CX_GET(CX_ENTITY,($F61),AY$11,AY$14,,(AY$60))),_xlpm.Res,IF(OR(_xlpm.val="",_xlpm.val="Error"),"",_xlpm.val),_xlpm.Res)</f>
        <v>#NAME?</v>
      </c>
      <c r="AZ61" s="1669" t="e" cm="1">
        <f t="array" ca="1" aca="1" ref="AZ61">_xlfn.LET(_xlpm.val,IF($F61="",val_blankRefText,_xldudf_CX_GET(CX_ENTITY,($F61),AZ$11,AZ$14,,(AZ$60))),_xlpm.Res,IF(OR(_xlpm.val="",_xlpm.val="Error"),"",_xlpm.val),_xlpm.Res)</f>
        <v>#NAME?</v>
      </c>
      <c r="BA61" s="1669" t="e" cm="1">
        <f t="array" ca="1" aca="1" ref="BA61">_xlfn.LET(_xlpm.val,IF($F61="",val_blankRefText,_xldudf_CX_GET(CX_ENTITY,($F61),BA$11,BA$14,,(BA$60))),_xlpm.Res,IF(OR(_xlpm.val="",_xlpm.val="Error"),"",_xlpm.val),_xlpm.Res)</f>
        <v>#NAME?</v>
      </c>
      <c r="BB61" s="1669" t="e" cm="1">
        <f t="array" ca="1" aca="1" ref="BB61">_xlfn.LET(_xlpm.val,IF($F61="",val_blankRefText,_xldudf_CX_GET(CX_ENTITY,($F61),BB$11,BB$14,,(BB$60))),_xlpm.Res,IF(OR(_xlpm.val="",_xlpm.val="Error"),"",_xlpm.val),_xlpm.Res)</f>
        <v>#NAME?</v>
      </c>
      <c r="BC61" s="1669" t="e" cm="1">
        <f t="array" ca="1" aca="1" ref="BC61">_xlfn.LET(_xlpm.val,IF($F61="",val_blankRefText,_xldudf_CX_GET(CX_ENTITY,($F61),BC$11,BC$14,,(BC$60))),_xlpm.Res,IF(OR(_xlpm.val="",_xlpm.val="Error"),"",_xlpm.val),_xlpm.Res)</f>
        <v>#NAME?</v>
      </c>
      <c r="BD61" s="1669" t="e" cm="1">
        <f t="array" ca="1" aca="1" ref="BD61">_xlfn.LET(_xlpm.val,IF($F61="",val_blankRefText,_xldudf_CX_GET(CX_ENTITY,($F61),BD$11,BD$14,,(BD$60))),_xlpm.Res,IF(OR(_xlpm.val="",_xlpm.val="Error"),"",_xlpm.val),_xlpm.Res)</f>
        <v>#NAME?</v>
      </c>
      <c r="BE61" s="1669" t="e" cm="1">
        <f t="array" ca="1" aca="1" ref="BE61">_xlfn.LET(_xlpm.val,IF($F61="",val_blankRefText,_xldudf_CX_GET(CX_ENTITY,($F61),BE$11,BE$14,,(BE$60))),_xlpm.Res,IF(OR(_xlpm.val="",_xlpm.val="Error"),"",_xlpm.val),_xlpm.Res)</f>
        <v>#NAME?</v>
      </c>
      <c r="BF61" s="1669" t="e" cm="1">
        <f t="array" ca="1" aca="1" ref="BF61">_xlfn.LET(_xlpm.val,IF($F61="",val_blankRefText,_xldudf_CX_GET(CX_ENTITY,($F61),BF$11,BF$14,,(BF$60))),_xlpm.Res,IF(OR(_xlpm.val="",_xlpm.val="Error"),"",_xlpm.val),_xlpm.Res)</f>
        <v>#NAME?</v>
      </c>
      <c r="BG61" s="1669" t="e" cm="1">
        <f t="array" ca="1" aca="1" ref="BG61">_xlfn.LET(_xlpm.val,IF($F61="",val_blankRefText,_xldudf_CX_GET(CX_ENTITY,($F61),BG$11,BG$14,,(BG$60))),_xlpm.Res,IF(OR(_xlpm.val="",_xlpm.val="Error"),"",_xlpm.val),_xlpm.Res)</f>
        <v>#NAME?</v>
      </c>
      <c r="BH61" s="1669" t="e" cm="1">
        <f t="array" ca="1" aca="1" ref="BH61">_xlfn.LET(_xlpm.val,IF($F61="",val_blankRefText,_xldudf_CX_GET(CX_ENTITY,($F61),BH$11,BH$14,,(BH$60))),_xlpm.Res,IF(OR(_xlpm.val="",_xlpm.val="Error"),"",_xlpm.val),_xlpm.Res)</f>
        <v>#NAME?</v>
      </c>
      <c r="BI61" s="1669" t="e" cm="1">
        <f t="array" ca="1" aca="1" ref="BI61">_xlfn.LET(_xlpm.val,IF($F61="",val_blankRefText,_xldudf_CX_GET(CX_ENTITY,($F61),BI$11,BI$14,,(BI$60))),_xlpm.Res,IF(OR(_xlpm.val="",_xlpm.val="Error"),"",_xlpm.val),_xlpm.Res)</f>
        <v>#NAME?</v>
      </c>
      <c r="BJ61" s="1669" t="e" cm="1">
        <f t="array" ca="1" aca="1" ref="BJ61">_xlfn.LET(_xlpm.val,IF($F61="",val_blankRefText,_xldudf_CX_GET(CX_ENTITY,($F61),BJ$11,BJ$14,,(BJ$60))),_xlpm.Res,IF(OR(_xlpm.val="",_xlpm.val="Error"),"",_xlpm.val),_xlpm.Res)</f>
        <v>#NAME?</v>
      </c>
      <c r="BK61" s="1669" t="e" cm="1">
        <f t="array" ca="1" aca="1" ref="BK61">_xlfn.LET(_xlpm.val,IF($F61="",val_blankRefText,_xldudf_CX_GET(CX_ENTITY,($F61),BK$11,BK$14,,(BK$60))),_xlpm.Res,IF(OR(_xlpm.val="",_xlpm.val="Error"),"",_xlpm.val),_xlpm.Res)</f>
        <v>#NAME?</v>
      </c>
      <c r="BL61" s="1669" t="e" cm="1">
        <f t="array" ca="1" aca="1" ref="BL61">_xlfn.LET(_xlpm.val,IF($F61="",val_blankRefText,_xldudf_CX_GET(CX_ENTITY,($F61),BL$11,BL$14,,(BL$60))),_xlpm.Res,IF(OR(_xlpm.val="",_xlpm.val="Error"),"",_xlpm.val),_xlpm.Res)</f>
        <v>#NAME?</v>
      </c>
      <c r="BM61" s="1669" t="e" cm="1">
        <f t="array" ca="1" aca="1" ref="BM61">_xlfn.LET(_xlpm.val,IF($F61="",val_blankRefText,_xldudf_CX_GET(CX_ENTITY,($F61),BM$11,BM$14,,(BM$60))),_xlpm.Res,IF(OR(_xlpm.val="",_xlpm.val="Error"),"",_xlpm.val),_xlpm.Res)</f>
        <v>#NAME?</v>
      </c>
      <c r="BN61" s="1669" t="e" cm="1">
        <f t="array" ca="1" aca="1" ref="BN61">_xlfn.LET(_xlpm.val,IF($F61="",val_blankRefText,_xldudf_CX_GET(CX_ENTITY,($F61),BN$11,BN$14,,(BN$60))),_xlpm.Res,IF(OR(_xlpm.val="",_xlpm.val="Error"),"",_xlpm.val),_xlpm.Res)</f>
        <v>#NAME?</v>
      </c>
      <c r="BO61" s="2095"/>
      <c r="BP61" s="2095"/>
      <c r="BQ61" s="2095"/>
      <c r="BR61" s="2095"/>
      <c r="BS61" s="2095"/>
      <c r="BT61" s="2095"/>
      <c r="BU61" s="2095"/>
      <c r="BV61" s="2095"/>
      <c r="BW61" s="2095"/>
      <c r="BX61" s="2095"/>
      <c r="BY61" s="2095"/>
      <c r="BZ61" s="2095"/>
      <c r="CA61" s="926"/>
      <c r="CB61" s="921"/>
      <c r="CC61" s="927"/>
      <c r="CD61" s="1221" t="e" cm="1">
        <f t="array" ca="1" aca="1" ref="CD61">_xlfn.XLOOKUP(BS!CD$11,array_timeline,BS!$AD61:$BN61)</f>
        <v>#NAME?</v>
      </c>
      <c r="CE61" s="1221" t="e" cm="1">
        <f t="array" ca="1" aca="1" ref="CE61">_xlfn.XLOOKUP(BS!CE$11,array_timeline,BS!$AD61:$BN61)</f>
        <v>#NAME?</v>
      </c>
      <c r="CF61" s="925"/>
      <c r="CG61" s="920" t="e">
        <f ca="1">CG20</f>
        <v>#NAME?</v>
      </c>
      <c r="CH61" s="920" t="e">
        <f ca="1">CH20</f>
        <v>#NAME?</v>
      </c>
      <c r="CI61" s="200"/>
    </row>
    <row r="62" spans="1:87" ht="21" customHeight="1">
      <c r="A62" s="696" t="s">
        <v>1750</v>
      </c>
      <c r="B62" s="577" t="str">
        <f t="shared" si="10" ref="B62:C91">B21</f>
        <v>Intangible Assets</v>
      </c>
      <c r="C62" s="577" t="str">
        <f t="shared" si="10"/>
        <v>Intangible Asset (Company View)</v>
      </c>
      <c r="D62" s="577"/>
      <c r="E62" s="577" t="e" cm="1">
        <f t="array" ca="1" aca="1" ref="E62">_xlfn.LET(_xlpm.Attr,$C62,_xlpm.Lookback,$E$16,_xlpm.QueryDate,EOMONTH(val_asOfDate,_xlpm.Lookback),_xlpm.ReadField,_xldudf_CX_GET(CX_ENTITY,fx_attrConverter($C62),_xlpm.QueryDate),_xlpm.AttrBlank,_xlpm.Attr="",_xlpm.RESULT,IF(_xlpm.AttrBlank,val_blankRefText,fx_attrConverter(_xlpm.ReadField,0)),IF(_xlpm.RESULT="Error","",_xlpm.RESULT))</f>
        <v>#NAME?</v>
      </c>
      <c r="F62" s="577" t="str">
        <f t="shared" si="9"/>
        <v>Intangible Assets</v>
      </c>
      <c r="G62" s="574"/>
      <c r="H62" s="3279">
        <v>1</v>
      </c>
      <c r="I62" s="3279">
        <v>1</v>
      </c>
      <c r="J62" s="401"/>
      <c r="K62" s="401"/>
      <c r="L62" s="579" t="b">
        <v>0</v>
      </c>
      <c r="N62" s="158"/>
      <c r="O62" s="101"/>
      <c r="P62" s="52"/>
      <c r="Q62" s="101"/>
      <c r="R62" s="126"/>
      <c r="S62" s="101"/>
      <c r="T62" s="101"/>
      <c r="U62" s="39"/>
      <c r="W62" s="930" t="str">
        <f>$W$61</f>
        <v>Budget</v>
      </c>
      <c r="X62" s="3292">
        <f t="shared" si="11" ref="X62:X90">X21</f>
        <v>1</v>
      </c>
      <c r="Y62" s="2631" t="str">
        <f t="shared" si="12" ref="Y62:Y91">Y21</f>
        <v>Intangible Assets</v>
      </c>
      <c r="Z62" s="198" cm="1">
        <f t="array" ref="Z62">_xlfn.SWITCH(TRUE,$L62="",0,$L62=TRUE,1,$L62=FALSE,-1,)</f>
        <v>-1</v>
      </c>
      <c r="AA62" s="200"/>
      <c r="AB62" s="2626" t="str">
        <f t="shared" si="13" ref="AB62:AB91">AB21</f>
        <v>Intangible Assets</v>
      </c>
      <c r="AC62" s="88"/>
      <c r="AD62" s="1669" t="e" cm="1">
        <f t="array" ca="1" aca="1" ref="AD62">_xlfn.LET(_xlpm.val,IF($F62="",val_blankRefText,_xldudf_CX_GET(CX_ENTITY,($F62),AD$11,AD$14,,(AD$60))),_xlpm.Res,IF(OR(_xlpm.val="",_xlpm.val="Error"),"",_xlpm.val),_xlpm.Res)</f>
        <v>#NAME?</v>
      </c>
      <c r="AE62" s="1669" t="e" cm="1">
        <f t="array" ca="1" aca="1" ref="AE62">_xlfn.LET(_xlpm.val,IF($F62="",val_blankRefText,_xldudf_CX_GET(CX_ENTITY,($F62),AE$11,AE$14,,(AE$60))),_xlpm.Res,IF(OR(_xlpm.val="",_xlpm.val="Error"),"",_xlpm.val),_xlpm.Res)</f>
        <v>#NAME?</v>
      </c>
      <c r="AF62" s="1669" t="e" cm="1">
        <f t="array" ca="1" aca="1" ref="AF62">_xlfn.LET(_xlpm.val,IF($F62="",val_blankRefText,_xldudf_CX_GET(CX_ENTITY,($F62),AF$11,AF$14,,(AF$60))),_xlpm.Res,IF(OR(_xlpm.val="",_xlpm.val="Error"),"",_xlpm.val),_xlpm.Res)</f>
        <v>#NAME?</v>
      </c>
      <c r="AG62" s="1669" t="e" cm="1">
        <f t="array" ca="1" aca="1" ref="AG62">_xlfn.LET(_xlpm.val,IF($F62="",val_blankRefText,_xldudf_CX_GET(CX_ENTITY,($F62),AG$11,AG$14,,(AG$60))),_xlpm.Res,IF(OR(_xlpm.val="",_xlpm.val="Error"),"",_xlpm.val),_xlpm.Res)</f>
        <v>#NAME?</v>
      </c>
      <c r="AH62" s="1669" t="e" cm="1">
        <f t="array" ca="1" aca="1" ref="AH62">_xlfn.LET(_xlpm.val,IF($F62="",val_blankRefText,_xldudf_CX_GET(CX_ENTITY,($F62),AH$11,AH$14,,(AH$60))),_xlpm.Res,IF(OR(_xlpm.val="",_xlpm.val="Error"),"",_xlpm.val),_xlpm.Res)</f>
        <v>#NAME?</v>
      </c>
      <c r="AI62" s="1669" t="e" cm="1">
        <f t="array" ca="1" aca="1" ref="AI62">_xlfn.LET(_xlpm.val,IF($F62="",val_blankRefText,_xldudf_CX_GET(CX_ENTITY,($F62),AI$11,AI$14,,(AI$60))),_xlpm.Res,IF(OR(_xlpm.val="",_xlpm.val="Error"),"",_xlpm.val),_xlpm.Res)</f>
        <v>#NAME?</v>
      </c>
      <c r="AJ62" s="1669" t="e" cm="1">
        <f t="array" ca="1" aca="1" ref="AJ62">_xlfn.LET(_xlpm.val,IF($F62="",val_blankRefText,_xldudf_CX_GET(CX_ENTITY,($F62),AJ$11,AJ$14,,(AJ$60))),_xlpm.Res,IF(OR(_xlpm.val="",_xlpm.val="Error"),"",_xlpm.val),_xlpm.Res)</f>
        <v>#NAME?</v>
      </c>
      <c r="AK62" s="1669" t="e" cm="1">
        <f t="array" ca="1" aca="1" ref="AK62">_xlfn.LET(_xlpm.val,IF($F62="",val_blankRefText,_xldudf_CX_GET(CX_ENTITY,($F62),AK$11,AK$14,,(AK$60))),_xlpm.Res,IF(OR(_xlpm.val="",_xlpm.val="Error"),"",_xlpm.val),_xlpm.Res)</f>
        <v>#NAME?</v>
      </c>
      <c r="AL62" s="1669" t="e" cm="1">
        <f t="array" ca="1" aca="1" ref="AL62">_xlfn.LET(_xlpm.val,IF($F62="",val_blankRefText,_xldudf_CX_GET(CX_ENTITY,($F62),AL$11,AL$14,,(AL$60))),_xlpm.Res,IF(OR(_xlpm.val="",_xlpm.val="Error"),"",_xlpm.val),_xlpm.Res)</f>
        <v>#NAME?</v>
      </c>
      <c r="AM62" s="1669" t="e" cm="1">
        <f t="array" ca="1" aca="1" ref="AM62">_xlfn.LET(_xlpm.val,IF($F62="",val_blankRefText,_xldudf_CX_GET(CX_ENTITY,($F62),AM$11,AM$14,,(AM$60))),_xlpm.Res,IF(OR(_xlpm.val="",_xlpm.val="Error"),"",_xlpm.val),_xlpm.Res)</f>
        <v>#NAME?</v>
      </c>
      <c r="AN62" s="1669" t="e" cm="1">
        <f t="array" ca="1" aca="1" ref="AN62">_xlfn.LET(_xlpm.val,IF($F62="",val_blankRefText,_xldudf_CX_GET(CX_ENTITY,($F62),AN$11,AN$14,,(AN$60))),_xlpm.Res,IF(OR(_xlpm.val="",_xlpm.val="Error"),"",_xlpm.val),_xlpm.Res)</f>
        <v>#NAME?</v>
      </c>
      <c r="AO62" s="1669" t="e" cm="1">
        <f t="array" ca="1" aca="1" ref="AO62">_xlfn.LET(_xlpm.val,IF($F62="",val_blankRefText,_xldudf_CX_GET(CX_ENTITY,($F62),AO$11,AO$14,,(AO$60))),_xlpm.Res,IF(OR(_xlpm.val="",_xlpm.val="Error"),"",_xlpm.val),_xlpm.Res)</f>
        <v>#NAME?</v>
      </c>
      <c r="AP62" s="1669" t="e" cm="1">
        <f t="array" ca="1" aca="1" ref="AP62">_xlfn.LET(_xlpm.val,IF($F62="",val_blankRefText,_xldudf_CX_GET(CX_ENTITY,($F62),AP$11,AP$14,,(AP$60))),_xlpm.Res,IF(OR(_xlpm.val="",_xlpm.val="Error"),"",_xlpm.val),_xlpm.Res)</f>
        <v>#NAME?</v>
      </c>
      <c r="AQ62" s="1669" t="e" cm="1">
        <f t="array" ca="1" aca="1" ref="AQ62">_xlfn.LET(_xlpm.val,IF($F62="",val_blankRefText,_xldudf_CX_GET(CX_ENTITY,($F62),AQ$11,AQ$14,,(AQ$60))),_xlpm.Res,IF(OR(_xlpm.val="",_xlpm.val="Error"),"",_xlpm.val),_xlpm.Res)</f>
        <v>#NAME?</v>
      </c>
      <c r="AR62" s="1669" t="e" cm="1">
        <f t="array" ca="1" aca="1" ref="AR62">_xlfn.LET(_xlpm.val,IF($F62="",val_blankRefText,_xldudf_CX_GET(CX_ENTITY,($F62),AR$11,AR$14,,(AR$60))),_xlpm.Res,IF(OR(_xlpm.val="",_xlpm.val="Error"),"",_xlpm.val),_xlpm.Res)</f>
        <v>#NAME?</v>
      </c>
      <c r="AS62" s="1669" t="e" cm="1">
        <f t="array" ca="1" aca="1" ref="AS62">_xlfn.LET(_xlpm.val,IF($F62="",val_blankRefText,_xldudf_CX_GET(CX_ENTITY,($F62),AS$11,AS$14,,(AS$60))),_xlpm.Res,IF(OR(_xlpm.val="",_xlpm.val="Error"),"",_xlpm.val),_xlpm.Res)</f>
        <v>#NAME?</v>
      </c>
      <c r="AT62" s="1669" t="e" cm="1">
        <f t="array" ca="1" aca="1" ref="AT62">_xlfn.LET(_xlpm.val,IF($F62="",val_blankRefText,_xldudf_CX_GET(CX_ENTITY,($F62),AT$11,AT$14,,(AT$60))),_xlpm.Res,IF(OR(_xlpm.val="",_xlpm.val="Error"),"",_xlpm.val),_xlpm.Res)</f>
        <v>#NAME?</v>
      </c>
      <c r="AU62" s="1669" t="e" cm="1">
        <f t="array" ca="1" aca="1" ref="AU62">_xlfn.LET(_xlpm.val,IF($F62="",val_blankRefText,_xldudf_CX_GET(CX_ENTITY,($F62),AU$11,AU$14,,(AU$60))),_xlpm.Res,IF(OR(_xlpm.val="",_xlpm.val="Error"),"",_xlpm.val),_xlpm.Res)</f>
        <v>#NAME?</v>
      </c>
      <c r="AV62" s="1669" t="e" cm="1">
        <f t="array" ca="1" aca="1" ref="AV62">_xlfn.LET(_xlpm.val,IF($F62="",val_blankRefText,_xldudf_CX_GET(CX_ENTITY,($F62),AV$11,AV$14,,(AV$60))),_xlpm.Res,IF(OR(_xlpm.val="",_xlpm.val="Error"),"",_xlpm.val),_xlpm.Res)</f>
        <v>#NAME?</v>
      </c>
      <c r="AW62" s="1669" t="e" cm="1">
        <f t="array" ca="1" aca="1" ref="AW62">_xlfn.LET(_xlpm.val,IF($F62="",val_blankRefText,_xldudf_CX_GET(CX_ENTITY,($F62),AW$11,AW$14,,(AW$60))),_xlpm.Res,IF(OR(_xlpm.val="",_xlpm.val="Error"),"",_xlpm.val),_xlpm.Res)</f>
        <v>#NAME?</v>
      </c>
      <c r="AX62" s="1669" t="e" cm="1">
        <f t="array" ca="1" aca="1" ref="AX62">_xlfn.LET(_xlpm.val,IF($F62="",val_blankRefText,_xldudf_CX_GET(CX_ENTITY,($F62),AX$11,AX$14,,(AX$60))),_xlpm.Res,IF(OR(_xlpm.val="",_xlpm.val="Error"),"",_xlpm.val),_xlpm.Res)</f>
        <v>#NAME?</v>
      </c>
      <c r="AY62" s="1669" t="e" cm="1">
        <f t="array" ca="1" aca="1" ref="AY62">_xlfn.LET(_xlpm.val,IF($F62="",val_blankRefText,_xldudf_CX_GET(CX_ENTITY,($F62),AY$11,AY$14,,(AY$60))),_xlpm.Res,IF(OR(_xlpm.val="",_xlpm.val="Error"),"",_xlpm.val),_xlpm.Res)</f>
        <v>#NAME?</v>
      </c>
      <c r="AZ62" s="1669" t="e" cm="1">
        <f t="array" ca="1" aca="1" ref="AZ62">_xlfn.LET(_xlpm.val,IF($F62="",val_blankRefText,_xldudf_CX_GET(CX_ENTITY,($F62),AZ$11,AZ$14,,(AZ$60))),_xlpm.Res,IF(OR(_xlpm.val="",_xlpm.val="Error"),"",_xlpm.val),_xlpm.Res)</f>
        <v>#NAME?</v>
      </c>
      <c r="BA62" s="1669" t="e" cm="1">
        <f t="array" ca="1" aca="1" ref="BA62">_xlfn.LET(_xlpm.val,IF($F62="",val_blankRefText,_xldudf_CX_GET(CX_ENTITY,($F62),BA$11,BA$14,,(BA$60))),_xlpm.Res,IF(OR(_xlpm.val="",_xlpm.val="Error"),"",_xlpm.val),_xlpm.Res)</f>
        <v>#NAME?</v>
      </c>
      <c r="BB62" s="1669" t="e" cm="1">
        <f t="array" ca="1" aca="1" ref="BB62">_xlfn.LET(_xlpm.val,IF($F62="",val_blankRefText,_xldudf_CX_GET(CX_ENTITY,($F62),BB$11,BB$14,,(BB$60))),_xlpm.Res,IF(OR(_xlpm.val="",_xlpm.val="Error"),"",_xlpm.val),_xlpm.Res)</f>
        <v>#NAME?</v>
      </c>
      <c r="BC62" s="1669" t="e" cm="1">
        <f t="array" ca="1" aca="1" ref="BC62">_xlfn.LET(_xlpm.val,IF($F62="",val_blankRefText,_xldudf_CX_GET(CX_ENTITY,($F62),BC$11,BC$14,,(BC$60))),_xlpm.Res,IF(OR(_xlpm.val="",_xlpm.val="Error"),"",_xlpm.val),_xlpm.Res)</f>
        <v>#NAME?</v>
      </c>
      <c r="BD62" s="1669" t="e" cm="1">
        <f t="array" ca="1" aca="1" ref="BD62">_xlfn.LET(_xlpm.val,IF($F62="",val_blankRefText,_xldudf_CX_GET(CX_ENTITY,($F62),BD$11,BD$14,,(BD$60))),_xlpm.Res,IF(OR(_xlpm.val="",_xlpm.val="Error"),"",_xlpm.val),_xlpm.Res)</f>
        <v>#NAME?</v>
      </c>
      <c r="BE62" s="1669" t="e" cm="1">
        <f t="array" ca="1" aca="1" ref="BE62">_xlfn.LET(_xlpm.val,IF($F62="",val_blankRefText,_xldudf_CX_GET(CX_ENTITY,($F62),BE$11,BE$14,,(BE$60))),_xlpm.Res,IF(OR(_xlpm.val="",_xlpm.val="Error"),"",_xlpm.val),_xlpm.Res)</f>
        <v>#NAME?</v>
      </c>
      <c r="BF62" s="1669" t="e" cm="1">
        <f t="array" ca="1" aca="1" ref="BF62">_xlfn.LET(_xlpm.val,IF($F62="",val_blankRefText,_xldudf_CX_GET(CX_ENTITY,($F62),BF$11,BF$14,,(BF$60))),_xlpm.Res,IF(OR(_xlpm.val="",_xlpm.val="Error"),"",_xlpm.val),_xlpm.Res)</f>
        <v>#NAME?</v>
      </c>
      <c r="BG62" s="1669" t="e" cm="1">
        <f t="array" ca="1" aca="1" ref="BG62">_xlfn.LET(_xlpm.val,IF($F62="",val_blankRefText,_xldudf_CX_GET(CX_ENTITY,($F62),BG$11,BG$14,,(BG$60))),_xlpm.Res,IF(OR(_xlpm.val="",_xlpm.val="Error"),"",_xlpm.val),_xlpm.Res)</f>
        <v>#NAME?</v>
      </c>
      <c r="BH62" s="1669" t="e" cm="1">
        <f t="array" ca="1" aca="1" ref="BH62">_xlfn.LET(_xlpm.val,IF($F62="",val_blankRefText,_xldudf_CX_GET(CX_ENTITY,($F62),BH$11,BH$14,,(BH$60))),_xlpm.Res,IF(OR(_xlpm.val="",_xlpm.val="Error"),"",_xlpm.val),_xlpm.Res)</f>
        <v>#NAME?</v>
      </c>
      <c r="BI62" s="1669" t="e" cm="1">
        <f t="array" ca="1" aca="1" ref="BI62">_xlfn.LET(_xlpm.val,IF($F62="",val_blankRefText,_xldudf_CX_GET(CX_ENTITY,($F62),BI$11,BI$14,,(BI$60))),_xlpm.Res,IF(OR(_xlpm.val="",_xlpm.val="Error"),"",_xlpm.val),_xlpm.Res)</f>
        <v>#NAME?</v>
      </c>
      <c r="BJ62" s="1669" t="e" cm="1">
        <f t="array" ca="1" aca="1" ref="BJ62">_xlfn.LET(_xlpm.val,IF($F62="",val_blankRefText,_xldudf_CX_GET(CX_ENTITY,($F62),BJ$11,BJ$14,,(BJ$60))),_xlpm.Res,IF(OR(_xlpm.val="",_xlpm.val="Error"),"",_xlpm.val),_xlpm.Res)</f>
        <v>#NAME?</v>
      </c>
      <c r="BK62" s="1669" t="e" cm="1">
        <f t="array" ca="1" aca="1" ref="BK62">_xlfn.LET(_xlpm.val,IF($F62="",val_blankRefText,_xldudf_CX_GET(CX_ENTITY,($F62),BK$11,BK$14,,(BK$60))),_xlpm.Res,IF(OR(_xlpm.val="",_xlpm.val="Error"),"",_xlpm.val),_xlpm.Res)</f>
        <v>#NAME?</v>
      </c>
      <c r="BL62" s="1669" t="e" cm="1">
        <f t="array" ca="1" aca="1" ref="BL62">_xlfn.LET(_xlpm.val,IF($F62="",val_blankRefText,_xldudf_CX_GET(CX_ENTITY,($F62),BL$11,BL$14,,(BL$60))),_xlpm.Res,IF(OR(_xlpm.val="",_xlpm.val="Error"),"",_xlpm.val),_xlpm.Res)</f>
        <v>#NAME?</v>
      </c>
      <c r="BM62" s="1669" t="e" cm="1">
        <f t="array" ca="1" aca="1" ref="BM62">_xlfn.LET(_xlpm.val,IF($F62="",val_blankRefText,_xldudf_CX_GET(CX_ENTITY,($F62),BM$11,BM$14,,(BM$60))),_xlpm.Res,IF(OR(_xlpm.val="",_xlpm.val="Error"),"",_xlpm.val),_xlpm.Res)</f>
        <v>#NAME?</v>
      </c>
      <c r="BN62" s="1669" t="e" cm="1">
        <f t="array" ca="1" aca="1" ref="BN62">_xlfn.LET(_xlpm.val,IF($F62="",val_blankRefText,_xldudf_CX_GET(CX_ENTITY,($F62),BN$11,BN$14,,(BN$60))),_xlpm.Res,IF(OR(_xlpm.val="",_xlpm.val="Error"),"",_xlpm.val),_xlpm.Res)</f>
        <v>#NAME?</v>
      </c>
      <c r="BO62" s="2095"/>
      <c r="BP62" s="2095"/>
      <c r="BQ62" s="2095"/>
      <c r="BR62" s="2095"/>
      <c r="BS62" s="2095"/>
      <c r="BT62" s="2095"/>
      <c r="BU62" s="2095"/>
      <c r="BV62" s="2095"/>
      <c r="BW62" s="2095"/>
      <c r="BX62" s="2095"/>
      <c r="BY62" s="2095"/>
      <c r="BZ62" s="2095"/>
      <c r="CA62" s="926"/>
      <c r="CB62" s="921"/>
      <c r="CC62" s="927"/>
      <c r="CD62" s="920" t="e" cm="1">
        <f t="array" ca="1" aca="1" ref="CD62">_xlfn.XLOOKUP(BS!CD$11,array_timeline,BS!$AD62:$BN62)</f>
        <v>#NAME?</v>
      </c>
      <c r="CE62" s="920" t="e" cm="1">
        <f t="array" ca="1" aca="1" ref="CE62">_xlfn.XLOOKUP(BS!CE$11,array_timeline,BS!$AD62:$BN62)</f>
        <v>#NAME?</v>
      </c>
      <c r="CF62" s="925"/>
      <c r="CG62" s="920" t="e">
        <f ca="1" t="shared" si="14" ref="CG62:CH62">CG21</f>
        <v>#NAME?</v>
      </c>
      <c r="CH62" s="920" t="e">
        <f t="shared" ca="1" si="14"/>
        <v>#NAME?</v>
      </c>
      <c r="CI62" s="200"/>
    </row>
    <row r="63" spans="1:87" ht="21" customHeight="1">
      <c r="A63" s="693" t="s">
        <v>1751</v>
      </c>
      <c r="B63" s="577" t="str">
        <f t="shared" si="10"/>
        <v>Other Non-current Assets</v>
      </c>
      <c r="C63" s="577" t="str">
        <f t="shared" si="10"/>
        <v>Other Non-current Asset (Company View)</v>
      </c>
      <c r="D63" s="577"/>
      <c r="E63" s="577" t="e" cm="1">
        <f t="array" ca="1" aca="1" ref="E63">_xlfn.LET(_xlpm.Attr,$C63,_xlpm.Lookback,$E$16,_xlpm.QueryDate,EOMONTH(val_asOfDate,_xlpm.Lookback),_xlpm.ReadField,_xldudf_CX_GET(CX_ENTITY,fx_attrConverter($C63),_xlpm.QueryDate),_xlpm.AttrBlank,_xlpm.Attr="",_xlpm.RESULT,IF(_xlpm.AttrBlank,val_blankRefText,fx_attrConverter(_xlpm.ReadField,0)),IF(_xlpm.RESULT="Error","",_xlpm.RESULT))</f>
        <v>#NAME?</v>
      </c>
      <c r="F63" s="577" t="str">
        <f t="shared" si="9"/>
        <v>Other Non-current Assets</v>
      </c>
      <c r="G63" s="578"/>
      <c r="H63" s="3279">
        <v>1</v>
      </c>
      <c r="I63" s="3279">
        <v>1</v>
      </c>
      <c r="J63" s="578"/>
      <c r="K63" s="578"/>
      <c r="L63" s="579" t="b">
        <v>0</v>
      </c>
      <c r="N63" s="158"/>
      <c r="O63" s="101"/>
      <c r="P63" s="52"/>
      <c r="Q63" s="101"/>
      <c r="R63" s="101"/>
      <c r="S63" s="101"/>
      <c r="T63" s="101"/>
      <c r="U63" s="39"/>
      <c r="W63" s="930" t="str">
        <f t="shared" si="15" ref="W63:W91">$W$61</f>
        <v>Budget</v>
      </c>
      <c r="X63" s="3292">
        <f t="shared" si="11"/>
        <v>1</v>
      </c>
      <c r="Y63" s="2631" t="str">
        <f t="shared" si="12"/>
        <v>Other Non-current Assets</v>
      </c>
      <c r="Z63" s="198" cm="1">
        <f t="array" ref="Z63">_xlfn.SWITCH(TRUE,$L63="",0,$L63=TRUE,1,$L63=FALSE,-1,)</f>
        <v>-1</v>
      </c>
      <c r="AA63" s="200"/>
      <c r="AB63" s="2626" t="str">
        <f t="shared" si="13"/>
        <v>Other Non-current Assets</v>
      </c>
      <c r="AC63" s="88"/>
      <c r="AD63" s="1669" t="e" cm="1">
        <f t="array" ca="1" aca="1" ref="AD63">_xlfn.LET(_xlpm.val,IF($F63="",val_blankRefText,_xldudf_CX_GET(CX_ENTITY,($F63),AD$11,AD$14,,(AD$60))),_xlpm.Res,IF(OR(_xlpm.val="",_xlpm.val="Error"),"",_xlpm.val),_xlpm.Res)</f>
        <v>#NAME?</v>
      </c>
      <c r="AE63" s="1669" t="e" cm="1">
        <f t="array" ca="1" aca="1" ref="AE63">_xlfn.LET(_xlpm.val,IF($F63="",val_blankRefText,_xldudf_CX_GET(CX_ENTITY,($F63),AE$11,AE$14,,(AE$60))),_xlpm.Res,IF(OR(_xlpm.val="",_xlpm.val="Error"),"",_xlpm.val),_xlpm.Res)</f>
        <v>#NAME?</v>
      </c>
      <c r="AF63" s="1669" t="e" cm="1">
        <f t="array" ca="1" aca="1" ref="AF63">_xlfn.LET(_xlpm.val,IF($F63="",val_blankRefText,_xldudf_CX_GET(CX_ENTITY,($F63),AF$11,AF$14,,(AF$60))),_xlpm.Res,IF(OR(_xlpm.val="",_xlpm.val="Error"),"",_xlpm.val),_xlpm.Res)</f>
        <v>#NAME?</v>
      </c>
      <c r="AG63" s="1669" t="e" cm="1">
        <f t="array" ca="1" aca="1" ref="AG63">_xlfn.LET(_xlpm.val,IF($F63="",val_blankRefText,_xldudf_CX_GET(CX_ENTITY,($F63),AG$11,AG$14,,(AG$60))),_xlpm.Res,IF(OR(_xlpm.val="",_xlpm.val="Error"),"",_xlpm.val),_xlpm.Res)</f>
        <v>#NAME?</v>
      </c>
      <c r="AH63" s="1669" t="e" cm="1">
        <f t="array" ca="1" aca="1" ref="AH63">_xlfn.LET(_xlpm.val,IF($F63="",val_blankRefText,_xldudf_CX_GET(CX_ENTITY,($F63),AH$11,AH$14,,(AH$60))),_xlpm.Res,IF(OR(_xlpm.val="",_xlpm.val="Error"),"",_xlpm.val),_xlpm.Res)</f>
        <v>#NAME?</v>
      </c>
      <c r="AI63" s="1669" t="e" cm="1">
        <f t="array" ca="1" aca="1" ref="AI63">_xlfn.LET(_xlpm.val,IF($F63="",val_blankRefText,_xldudf_CX_GET(CX_ENTITY,($F63),AI$11,AI$14,,(AI$60))),_xlpm.Res,IF(OR(_xlpm.val="",_xlpm.val="Error"),"",_xlpm.val),_xlpm.Res)</f>
        <v>#NAME?</v>
      </c>
      <c r="AJ63" s="1669" t="e" cm="1">
        <f t="array" ca="1" aca="1" ref="AJ63">_xlfn.LET(_xlpm.val,IF($F63="",val_blankRefText,_xldudf_CX_GET(CX_ENTITY,($F63),AJ$11,AJ$14,,(AJ$60))),_xlpm.Res,IF(OR(_xlpm.val="",_xlpm.val="Error"),"",_xlpm.val),_xlpm.Res)</f>
        <v>#NAME?</v>
      </c>
      <c r="AK63" s="1669" t="e" cm="1">
        <f t="array" ca="1" aca="1" ref="AK63">_xlfn.LET(_xlpm.val,IF($F63="",val_blankRefText,_xldudf_CX_GET(CX_ENTITY,($F63),AK$11,AK$14,,(AK$60))),_xlpm.Res,IF(OR(_xlpm.val="",_xlpm.val="Error"),"",_xlpm.val),_xlpm.Res)</f>
        <v>#NAME?</v>
      </c>
      <c r="AL63" s="1669" t="e" cm="1">
        <f t="array" ca="1" aca="1" ref="AL63">_xlfn.LET(_xlpm.val,IF($F63="",val_blankRefText,_xldudf_CX_GET(CX_ENTITY,($F63),AL$11,AL$14,,(AL$60))),_xlpm.Res,IF(OR(_xlpm.val="",_xlpm.val="Error"),"",_xlpm.val),_xlpm.Res)</f>
        <v>#NAME?</v>
      </c>
      <c r="AM63" s="1669" t="e" cm="1">
        <f t="array" ca="1" aca="1" ref="AM63">_xlfn.LET(_xlpm.val,IF($F63="",val_blankRefText,_xldudf_CX_GET(CX_ENTITY,($F63),AM$11,AM$14,,(AM$60))),_xlpm.Res,IF(OR(_xlpm.val="",_xlpm.val="Error"),"",_xlpm.val),_xlpm.Res)</f>
        <v>#NAME?</v>
      </c>
      <c r="AN63" s="1669" t="e" cm="1">
        <f t="array" ca="1" aca="1" ref="AN63">_xlfn.LET(_xlpm.val,IF($F63="",val_blankRefText,_xldudf_CX_GET(CX_ENTITY,($F63),AN$11,AN$14,,(AN$60))),_xlpm.Res,IF(OR(_xlpm.val="",_xlpm.val="Error"),"",_xlpm.val),_xlpm.Res)</f>
        <v>#NAME?</v>
      </c>
      <c r="AO63" s="1669" t="e" cm="1">
        <f t="array" ca="1" aca="1" ref="AO63">_xlfn.LET(_xlpm.val,IF($F63="",val_blankRefText,_xldudf_CX_GET(CX_ENTITY,($F63),AO$11,AO$14,,(AO$60))),_xlpm.Res,IF(OR(_xlpm.val="",_xlpm.val="Error"),"",_xlpm.val),_xlpm.Res)</f>
        <v>#NAME?</v>
      </c>
      <c r="AP63" s="1669" t="e" cm="1">
        <f t="array" ca="1" aca="1" ref="AP63">_xlfn.LET(_xlpm.val,IF($F63="",val_blankRefText,_xldudf_CX_GET(CX_ENTITY,($F63),AP$11,AP$14,,(AP$60))),_xlpm.Res,IF(OR(_xlpm.val="",_xlpm.val="Error"),"",_xlpm.val),_xlpm.Res)</f>
        <v>#NAME?</v>
      </c>
      <c r="AQ63" s="1669" t="e" cm="1">
        <f t="array" ca="1" aca="1" ref="AQ63">_xlfn.LET(_xlpm.val,IF($F63="",val_blankRefText,_xldudf_CX_GET(CX_ENTITY,($F63),AQ$11,AQ$14,,(AQ$60))),_xlpm.Res,IF(OR(_xlpm.val="",_xlpm.val="Error"),"",_xlpm.val),_xlpm.Res)</f>
        <v>#NAME?</v>
      </c>
      <c r="AR63" s="1669" t="e" cm="1">
        <f t="array" ca="1" aca="1" ref="AR63">_xlfn.LET(_xlpm.val,IF($F63="",val_blankRefText,_xldudf_CX_GET(CX_ENTITY,($F63),AR$11,AR$14,,(AR$60))),_xlpm.Res,IF(OR(_xlpm.val="",_xlpm.val="Error"),"",_xlpm.val),_xlpm.Res)</f>
        <v>#NAME?</v>
      </c>
      <c r="AS63" s="1669" t="e" cm="1">
        <f t="array" ca="1" aca="1" ref="AS63">_xlfn.LET(_xlpm.val,IF($F63="",val_blankRefText,_xldudf_CX_GET(CX_ENTITY,($F63),AS$11,AS$14,,(AS$60))),_xlpm.Res,IF(OR(_xlpm.val="",_xlpm.val="Error"),"",_xlpm.val),_xlpm.Res)</f>
        <v>#NAME?</v>
      </c>
      <c r="AT63" s="1669" t="e" cm="1">
        <f t="array" ca="1" aca="1" ref="AT63">_xlfn.LET(_xlpm.val,IF($F63="",val_blankRefText,_xldudf_CX_GET(CX_ENTITY,($F63),AT$11,AT$14,,(AT$60))),_xlpm.Res,IF(OR(_xlpm.val="",_xlpm.val="Error"),"",_xlpm.val),_xlpm.Res)</f>
        <v>#NAME?</v>
      </c>
      <c r="AU63" s="1669" t="e" cm="1">
        <f t="array" ca="1" aca="1" ref="AU63">_xlfn.LET(_xlpm.val,IF($F63="",val_blankRefText,_xldudf_CX_GET(CX_ENTITY,($F63),AU$11,AU$14,,(AU$60))),_xlpm.Res,IF(OR(_xlpm.val="",_xlpm.val="Error"),"",_xlpm.val),_xlpm.Res)</f>
        <v>#NAME?</v>
      </c>
      <c r="AV63" s="1669" t="e" cm="1">
        <f t="array" ca="1" aca="1" ref="AV63">_xlfn.LET(_xlpm.val,IF($F63="",val_blankRefText,_xldudf_CX_GET(CX_ENTITY,($F63),AV$11,AV$14,,(AV$60))),_xlpm.Res,IF(OR(_xlpm.val="",_xlpm.val="Error"),"",_xlpm.val),_xlpm.Res)</f>
        <v>#NAME?</v>
      </c>
      <c r="AW63" s="1669" t="e" cm="1">
        <f t="array" ca="1" aca="1" ref="AW63">_xlfn.LET(_xlpm.val,IF($F63="",val_blankRefText,_xldudf_CX_GET(CX_ENTITY,($F63),AW$11,AW$14,,(AW$60))),_xlpm.Res,IF(OR(_xlpm.val="",_xlpm.val="Error"),"",_xlpm.val),_xlpm.Res)</f>
        <v>#NAME?</v>
      </c>
      <c r="AX63" s="1669" t="e" cm="1">
        <f t="array" ca="1" aca="1" ref="AX63">_xlfn.LET(_xlpm.val,IF($F63="",val_blankRefText,_xldudf_CX_GET(CX_ENTITY,($F63),AX$11,AX$14,,(AX$60))),_xlpm.Res,IF(OR(_xlpm.val="",_xlpm.val="Error"),"",_xlpm.val),_xlpm.Res)</f>
        <v>#NAME?</v>
      </c>
      <c r="AY63" s="1669" t="e" cm="1">
        <f t="array" ca="1" aca="1" ref="AY63">_xlfn.LET(_xlpm.val,IF($F63="",val_blankRefText,_xldudf_CX_GET(CX_ENTITY,($F63),AY$11,AY$14,,(AY$60))),_xlpm.Res,IF(OR(_xlpm.val="",_xlpm.val="Error"),"",_xlpm.val),_xlpm.Res)</f>
        <v>#NAME?</v>
      </c>
      <c r="AZ63" s="1669" t="e" cm="1">
        <f t="array" ca="1" aca="1" ref="AZ63">_xlfn.LET(_xlpm.val,IF($F63="",val_blankRefText,_xldudf_CX_GET(CX_ENTITY,($F63),AZ$11,AZ$14,,(AZ$60))),_xlpm.Res,IF(OR(_xlpm.val="",_xlpm.val="Error"),"",_xlpm.val),_xlpm.Res)</f>
        <v>#NAME?</v>
      </c>
      <c r="BA63" s="1669" t="e" cm="1">
        <f t="array" ca="1" aca="1" ref="BA63">_xlfn.LET(_xlpm.val,IF($F63="",val_blankRefText,_xldudf_CX_GET(CX_ENTITY,($F63),BA$11,BA$14,,(BA$60))),_xlpm.Res,IF(OR(_xlpm.val="",_xlpm.val="Error"),"",_xlpm.val),_xlpm.Res)</f>
        <v>#NAME?</v>
      </c>
      <c r="BB63" s="1669" t="e" cm="1">
        <f t="array" ca="1" aca="1" ref="BB63">_xlfn.LET(_xlpm.val,IF($F63="",val_blankRefText,_xldudf_CX_GET(CX_ENTITY,($F63),BB$11,BB$14,,(BB$60))),_xlpm.Res,IF(OR(_xlpm.val="",_xlpm.val="Error"),"",_xlpm.val),_xlpm.Res)</f>
        <v>#NAME?</v>
      </c>
      <c r="BC63" s="1669" t="e" cm="1">
        <f t="array" ca="1" aca="1" ref="BC63">_xlfn.LET(_xlpm.val,IF($F63="",val_blankRefText,_xldudf_CX_GET(CX_ENTITY,($F63),BC$11,BC$14,,(BC$60))),_xlpm.Res,IF(OR(_xlpm.val="",_xlpm.val="Error"),"",_xlpm.val),_xlpm.Res)</f>
        <v>#NAME?</v>
      </c>
      <c r="BD63" s="1669" t="e" cm="1">
        <f t="array" ca="1" aca="1" ref="BD63">_xlfn.LET(_xlpm.val,IF($F63="",val_blankRefText,_xldudf_CX_GET(CX_ENTITY,($F63),BD$11,BD$14,,(BD$60))),_xlpm.Res,IF(OR(_xlpm.val="",_xlpm.val="Error"),"",_xlpm.val),_xlpm.Res)</f>
        <v>#NAME?</v>
      </c>
      <c r="BE63" s="1669" t="e" cm="1">
        <f t="array" ca="1" aca="1" ref="BE63">_xlfn.LET(_xlpm.val,IF($F63="",val_blankRefText,_xldudf_CX_GET(CX_ENTITY,($F63),BE$11,BE$14,,(BE$60))),_xlpm.Res,IF(OR(_xlpm.val="",_xlpm.val="Error"),"",_xlpm.val),_xlpm.Res)</f>
        <v>#NAME?</v>
      </c>
      <c r="BF63" s="1669" t="e" cm="1">
        <f t="array" ca="1" aca="1" ref="BF63">_xlfn.LET(_xlpm.val,IF($F63="",val_blankRefText,_xldudf_CX_GET(CX_ENTITY,($F63),BF$11,BF$14,,(BF$60))),_xlpm.Res,IF(OR(_xlpm.val="",_xlpm.val="Error"),"",_xlpm.val),_xlpm.Res)</f>
        <v>#NAME?</v>
      </c>
      <c r="BG63" s="1669" t="e" cm="1">
        <f t="array" ca="1" aca="1" ref="BG63">_xlfn.LET(_xlpm.val,IF($F63="",val_blankRefText,_xldudf_CX_GET(CX_ENTITY,($F63),BG$11,BG$14,,(BG$60))),_xlpm.Res,IF(OR(_xlpm.val="",_xlpm.val="Error"),"",_xlpm.val),_xlpm.Res)</f>
        <v>#NAME?</v>
      </c>
      <c r="BH63" s="1669" t="e" cm="1">
        <f t="array" ca="1" aca="1" ref="BH63">_xlfn.LET(_xlpm.val,IF($F63="",val_blankRefText,_xldudf_CX_GET(CX_ENTITY,($F63),BH$11,BH$14,,(BH$60))),_xlpm.Res,IF(OR(_xlpm.val="",_xlpm.val="Error"),"",_xlpm.val),_xlpm.Res)</f>
        <v>#NAME?</v>
      </c>
      <c r="BI63" s="1669" t="e" cm="1">
        <f t="array" ca="1" aca="1" ref="BI63">_xlfn.LET(_xlpm.val,IF($F63="",val_blankRefText,_xldudf_CX_GET(CX_ENTITY,($F63),BI$11,BI$14,,(BI$60))),_xlpm.Res,IF(OR(_xlpm.val="",_xlpm.val="Error"),"",_xlpm.val),_xlpm.Res)</f>
        <v>#NAME?</v>
      </c>
      <c r="BJ63" s="1669" t="e" cm="1">
        <f t="array" ca="1" aca="1" ref="BJ63">_xlfn.LET(_xlpm.val,IF($F63="",val_blankRefText,_xldudf_CX_GET(CX_ENTITY,($F63),BJ$11,BJ$14,,(BJ$60))),_xlpm.Res,IF(OR(_xlpm.val="",_xlpm.val="Error"),"",_xlpm.val),_xlpm.Res)</f>
        <v>#NAME?</v>
      </c>
      <c r="BK63" s="1669" t="e" cm="1">
        <f t="array" ca="1" aca="1" ref="BK63">_xlfn.LET(_xlpm.val,IF($F63="",val_blankRefText,_xldudf_CX_GET(CX_ENTITY,($F63),BK$11,BK$14,,(BK$60))),_xlpm.Res,IF(OR(_xlpm.val="",_xlpm.val="Error"),"",_xlpm.val),_xlpm.Res)</f>
        <v>#NAME?</v>
      </c>
      <c r="BL63" s="1669" t="e" cm="1">
        <f t="array" ca="1" aca="1" ref="BL63">_xlfn.LET(_xlpm.val,IF($F63="",val_blankRefText,_xldudf_CX_GET(CX_ENTITY,($F63),BL$11,BL$14,,(BL$60))),_xlpm.Res,IF(OR(_xlpm.val="",_xlpm.val="Error"),"",_xlpm.val),_xlpm.Res)</f>
        <v>#NAME?</v>
      </c>
      <c r="BM63" s="1669" t="e" cm="1">
        <f t="array" ca="1" aca="1" ref="BM63">_xlfn.LET(_xlpm.val,IF($F63="",val_blankRefText,_xldudf_CX_GET(CX_ENTITY,($F63),BM$11,BM$14,,(BM$60))),_xlpm.Res,IF(OR(_xlpm.val="",_xlpm.val="Error"),"",_xlpm.val),_xlpm.Res)</f>
        <v>#NAME?</v>
      </c>
      <c r="BN63" s="1669" t="e" cm="1">
        <f t="array" ca="1" aca="1" ref="BN63">_xlfn.LET(_xlpm.val,IF($F63="",val_blankRefText,_xldudf_CX_GET(CX_ENTITY,($F63),BN$11,BN$14,,(BN$60))),_xlpm.Res,IF(OR(_xlpm.val="",_xlpm.val="Error"),"",_xlpm.val),_xlpm.Res)</f>
        <v>#NAME?</v>
      </c>
      <c r="BO63" s="2095"/>
      <c r="BP63" s="2095"/>
      <c r="BQ63" s="2095"/>
      <c r="BR63" s="2095"/>
      <c r="BS63" s="2095"/>
      <c r="BT63" s="2095"/>
      <c r="BU63" s="2095"/>
      <c r="BV63" s="2095"/>
      <c r="BW63" s="2095"/>
      <c r="BX63" s="2095"/>
      <c r="BY63" s="2095"/>
      <c r="BZ63" s="2095"/>
      <c r="CA63" s="926"/>
      <c r="CB63" s="921"/>
      <c r="CC63" s="927"/>
      <c r="CD63" s="920" t="e" cm="1">
        <f t="array" ca="1" aca="1" ref="CD63">_xlfn.XLOOKUP(BS!CD$11,array_timeline,BS!$AD63:$BN63)</f>
        <v>#NAME?</v>
      </c>
      <c r="CE63" s="920" t="e" cm="1">
        <f t="array" ca="1" aca="1" ref="CE63">_xlfn.XLOOKUP(BS!CE$11,array_timeline,BS!$AD63:$BN63)</f>
        <v>#NAME?</v>
      </c>
      <c r="CF63" s="925"/>
      <c r="CG63" s="920" t="e">
        <f ca="1" t="shared" si="16" ref="CG63:CH63">CG22</f>
        <v>#NAME?</v>
      </c>
      <c r="CH63" s="920" t="e">
        <f t="shared" ca="1" si="16"/>
        <v>#NAME?</v>
      </c>
      <c r="CI63" s="200"/>
    </row>
    <row r="64" spans="1:87" ht="21" customHeight="1">
      <c r="A64" s="696" t="s">
        <v>1752</v>
      </c>
      <c r="B64" s="577" t="str">
        <f t="shared" si="10"/>
        <v>Non-Current Assets</v>
      </c>
      <c r="C64" s="577" t="str">
        <f t="shared" si="10"/>
        <v>Non-Current Asset (Company View)</v>
      </c>
      <c r="D64" s="577"/>
      <c r="E64" s="577" t="e" cm="1">
        <f t="array" ca="1" aca="1" ref="E64">_xlfn.LET(_xlpm.Attr,$C64,_xlpm.Lookback,$E$16,_xlpm.QueryDate,EOMONTH(val_asOfDate,_xlpm.Lookback),_xlpm.ReadField,_xldudf_CX_GET(CX_ENTITY,fx_attrConverter($C64),_xlpm.QueryDate),_xlpm.AttrBlank,_xlpm.Attr="",_xlpm.RESULT,IF(_xlpm.AttrBlank,val_blankRefText,fx_attrConverter(_xlpm.ReadField,0)),IF(_xlpm.RESULT="Error","",_xlpm.RESULT))</f>
        <v>#NAME?</v>
      </c>
      <c r="F64" s="577" t="str">
        <f t="shared" si="9"/>
        <v>Non-Current Assets</v>
      </c>
      <c r="G64" s="574"/>
      <c r="H64" s="3279">
        <v>2</v>
      </c>
      <c r="I64" s="3279">
        <v>1</v>
      </c>
      <c r="J64" s="401"/>
      <c r="K64" s="401"/>
      <c r="L64" s="579">
        <v>-1</v>
      </c>
      <c r="N64" s="158"/>
      <c r="O64" s="101"/>
      <c r="P64" s="52"/>
      <c r="Q64" s="101"/>
      <c r="R64" s="101"/>
      <c r="S64" s="101"/>
      <c r="T64" s="101"/>
      <c r="U64" s="39"/>
      <c r="W64" s="1291" t="str">
        <f t="shared" si="15"/>
        <v>Budget</v>
      </c>
      <c r="X64" s="1294">
        <f t="shared" si="11"/>
        <v>0</v>
      </c>
      <c r="Y64" s="2631" t="str">
        <f t="shared" si="12"/>
        <v>Non-Current Assets</v>
      </c>
      <c r="Z64" s="198" cm="1">
        <f t="array" ref="Z64">_xlfn.SWITCH(TRUE,$L64="",0,$L64=TRUE,1,$L64=FALSE,-1,)</f>
        <v>0</v>
      </c>
      <c r="AA64" s="924"/>
      <c r="AB64" s="2623" t="str">
        <f t="shared" si="13"/>
        <v>Non-Current Assets</v>
      </c>
      <c r="AC64" s="88"/>
      <c r="AD64" s="1669" t="e" cm="1">
        <f t="array" ca="1" aca="1" ref="AD64">_xlfn.LET(_xlpm.val,IF($F64="",val_blankRefText,_xldudf_CX_GET(CX_ENTITY,($F64),AD$11,AD$14,,(AD$60))),_xlpm.Res,IF(OR(_xlpm.val="",_xlpm.val="Error"),"",_xlpm.val),_xlpm.Res)</f>
        <v>#NAME?</v>
      </c>
      <c r="AE64" s="1669" t="e" cm="1">
        <f t="array" ca="1" aca="1" ref="AE64">_xlfn.LET(_xlpm.val,IF($F64="",val_blankRefText,_xldudf_CX_GET(CX_ENTITY,($F64),AE$11,AE$14,,(AE$60))),_xlpm.Res,IF(OR(_xlpm.val="",_xlpm.val="Error"),"",_xlpm.val),_xlpm.Res)</f>
        <v>#NAME?</v>
      </c>
      <c r="AF64" s="1669" t="e" cm="1">
        <f t="array" ca="1" aca="1" ref="AF64">_xlfn.LET(_xlpm.val,IF($F64="",val_blankRefText,_xldudf_CX_GET(CX_ENTITY,($F64),AF$11,AF$14,,(AF$60))),_xlpm.Res,IF(OR(_xlpm.val="",_xlpm.val="Error"),"",_xlpm.val),_xlpm.Res)</f>
        <v>#NAME?</v>
      </c>
      <c r="AG64" s="1669" t="e" cm="1">
        <f t="array" ca="1" aca="1" ref="AG64">_xlfn.LET(_xlpm.val,IF($F64="",val_blankRefText,_xldudf_CX_GET(CX_ENTITY,($F64),AG$11,AG$14,,(AG$60))),_xlpm.Res,IF(OR(_xlpm.val="",_xlpm.val="Error"),"",_xlpm.val),_xlpm.Res)</f>
        <v>#NAME?</v>
      </c>
      <c r="AH64" s="1669" t="e" cm="1">
        <f t="array" ca="1" aca="1" ref="AH64">_xlfn.LET(_xlpm.val,IF($F64="",val_blankRefText,_xldudf_CX_GET(CX_ENTITY,($F64),AH$11,AH$14,,(AH$60))),_xlpm.Res,IF(OR(_xlpm.val="",_xlpm.val="Error"),"",_xlpm.val),_xlpm.Res)</f>
        <v>#NAME?</v>
      </c>
      <c r="AI64" s="1669" t="e" cm="1">
        <f t="array" ca="1" aca="1" ref="AI64">_xlfn.LET(_xlpm.val,IF($F64="",val_blankRefText,_xldudf_CX_GET(CX_ENTITY,($F64),AI$11,AI$14,,(AI$60))),_xlpm.Res,IF(OR(_xlpm.val="",_xlpm.val="Error"),"",_xlpm.val),_xlpm.Res)</f>
        <v>#NAME?</v>
      </c>
      <c r="AJ64" s="1669" t="e" cm="1">
        <f t="array" ca="1" aca="1" ref="AJ64">_xlfn.LET(_xlpm.val,IF($F64="",val_blankRefText,_xldudf_CX_GET(CX_ENTITY,($F64),AJ$11,AJ$14,,(AJ$60))),_xlpm.Res,IF(OR(_xlpm.val="",_xlpm.val="Error"),"",_xlpm.val),_xlpm.Res)</f>
        <v>#NAME?</v>
      </c>
      <c r="AK64" s="1669" t="e" cm="1">
        <f t="array" ca="1" aca="1" ref="AK64">_xlfn.LET(_xlpm.val,IF($F64="",val_blankRefText,_xldudf_CX_GET(CX_ENTITY,($F64),AK$11,AK$14,,(AK$60))),_xlpm.Res,IF(OR(_xlpm.val="",_xlpm.val="Error"),"",_xlpm.val),_xlpm.Res)</f>
        <v>#NAME?</v>
      </c>
      <c r="AL64" s="1669" t="e" cm="1">
        <f t="array" ca="1" aca="1" ref="AL64">_xlfn.LET(_xlpm.val,IF($F64="",val_blankRefText,_xldudf_CX_GET(CX_ENTITY,($F64),AL$11,AL$14,,(AL$60))),_xlpm.Res,IF(OR(_xlpm.val="",_xlpm.val="Error"),"",_xlpm.val),_xlpm.Res)</f>
        <v>#NAME?</v>
      </c>
      <c r="AM64" s="1669" t="e" cm="1">
        <f t="array" ca="1" aca="1" ref="AM64">_xlfn.LET(_xlpm.val,IF($F64="",val_blankRefText,_xldudf_CX_GET(CX_ENTITY,($F64),AM$11,AM$14,,(AM$60))),_xlpm.Res,IF(OR(_xlpm.val="",_xlpm.val="Error"),"",_xlpm.val),_xlpm.Res)</f>
        <v>#NAME?</v>
      </c>
      <c r="AN64" s="1669" t="e" cm="1">
        <f t="array" ca="1" aca="1" ref="AN64">_xlfn.LET(_xlpm.val,IF($F64="",val_blankRefText,_xldudf_CX_GET(CX_ENTITY,($F64),AN$11,AN$14,,(AN$60))),_xlpm.Res,IF(OR(_xlpm.val="",_xlpm.val="Error"),"",_xlpm.val),_xlpm.Res)</f>
        <v>#NAME?</v>
      </c>
      <c r="AO64" s="1669" t="e" cm="1">
        <f t="array" ca="1" aca="1" ref="AO64">_xlfn.LET(_xlpm.val,IF($F64="",val_blankRefText,_xldudf_CX_GET(CX_ENTITY,($F64),AO$11,AO$14,,(AO$60))),_xlpm.Res,IF(OR(_xlpm.val="",_xlpm.val="Error"),"",_xlpm.val),_xlpm.Res)</f>
        <v>#NAME?</v>
      </c>
      <c r="AP64" s="1669" t="e" cm="1">
        <f t="array" ca="1" aca="1" ref="AP64">_xlfn.LET(_xlpm.val,IF($F64="",val_blankRefText,_xldudf_CX_GET(CX_ENTITY,($F64),AP$11,AP$14,,(AP$60))),_xlpm.Res,IF(OR(_xlpm.val="",_xlpm.val="Error"),"",_xlpm.val),_xlpm.Res)</f>
        <v>#NAME?</v>
      </c>
      <c r="AQ64" s="1669" t="e" cm="1">
        <f t="array" ca="1" aca="1" ref="AQ64">_xlfn.LET(_xlpm.val,IF($F64="",val_blankRefText,_xldudf_CX_GET(CX_ENTITY,($F64),AQ$11,AQ$14,,(AQ$60))),_xlpm.Res,IF(OR(_xlpm.val="",_xlpm.val="Error"),"",_xlpm.val),_xlpm.Res)</f>
        <v>#NAME?</v>
      </c>
      <c r="AR64" s="1669" t="e" cm="1">
        <f t="array" ca="1" aca="1" ref="AR64">_xlfn.LET(_xlpm.val,IF($F64="",val_blankRefText,_xldudf_CX_GET(CX_ENTITY,($F64),AR$11,AR$14,,(AR$60))),_xlpm.Res,IF(OR(_xlpm.val="",_xlpm.val="Error"),"",_xlpm.val),_xlpm.Res)</f>
        <v>#NAME?</v>
      </c>
      <c r="AS64" s="1669" t="e" cm="1">
        <f t="array" ca="1" aca="1" ref="AS64">_xlfn.LET(_xlpm.val,IF($F64="",val_blankRefText,_xldudf_CX_GET(CX_ENTITY,($F64),AS$11,AS$14,,(AS$60))),_xlpm.Res,IF(OR(_xlpm.val="",_xlpm.val="Error"),"",_xlpm.val),_xlpm.Res)</f>
        <v>#NAME?</v>
      </c>
      <c r="AT64" s="1669" t="e" cm="1">
        <f t="array" ca="1" aca="1" ref="AT64">_xlfn.LET(_xlpm.val,IF($F64="",val_blankRefText,_xldudf_CX_GET(CX_ENTITY,($F64),AT$11,AT$14,,(AT$60))),_xlpm.Res,IF(OR(_xlpm.val="",_xlpm.val="Error"),"",_xlpm.val),_xlpm.Res)</f>
        <v>#NAME?</v>
      </c>
      <c r="AU64" s="1669" t="e" cm="1">
        <f t="array" ca="1" aca="1" ref="AU64">_xlfn.LET(_xlpm.val,IF($F64="",val_blankRefText,_xldudf_CX_GET(CX_ENTITY,($F64),AU$11,AU$14,,(AU$60))),_xlpm.Res,IF(OR(_xlpm.val="",_xlpm.val="Error"),"",_xlpm.val),_xlpm.Res)</f>
        <v>#NAME?</v>
      </c>
      <c r="AV64" s="1669" t="e" cm="1">
        <f t="array" ca="1" aca="1" ref="AV64">_xlfn.LET(_xlpm.val,IF($F64="",val_blankRefText,_xldudf_CX_GET(CX_ENTITY,($F64),AV$11,AV$14,,(AV$60))),_xlpm.Res,IF(OR(_xlpm.val="",_xlpm.val="Error"),"",_xlpm.val),_xlpm.Res)</f>
        <v>#NAME?</v>
      </c>
      <c r="AW64" s="1669" t="e" cm="1">
        <f t="array" ca="1" aca="1" ref="AW64">_xlfn.LET(_xlpm.val,IF($F64="",val_blankRefText,_xldudf_CX_GET(CX_ENTITY,($F64),AW$11,AW$14,,(AW$60))),_xlpm.Res,IF(OR(_xlpm.val="",_xlpm.val="Error"),"",_xlpm.val),_xlpm.Res)</f>
        <v>#NAME?</v>
      </c>
      <c r="AX64" s="1669" t="e" cm="1">
        <f t="array" ca="1" aca="1" ref="AX64">_xlfn.LET(_xlpm.val,IF($F64="",val_blankRefText,_xldudf_CX_GET(CX_ENTITY,($F64),AX$11,AX$14,,(AX$60))),_xlpm.Res,IF(OR(_xlpm.val="",_xlpm.val="Error"),"",_xlpm.val),_xlpm.Res)</f>
        <v>#NAME?</v>
      </c>
      <c r="AY64" s="1669" t="e" cm="1">
        <f t="array" ca="1" aca="1" ref="AY64">_xlfn.LET(_xlpm.val,IF($F64="",val_blankRefText,_xldudf_CX_GET(CX_ENTITY,($F64),AY$11,AY$14,,(AY$60))),_xlpm.Res,IF(OR(_xlpm.val="",_xlpm.val="Error"),"",_xlpm.val),_xlpm.Res)</f>
        <v>#NAME?</v>
      </c>
      <c r="AZ64" s="1669" t="e" cm="1">
        <f t="array" ca="1" aca="1" ref="AZ64">_xlfn.LET(_xlpm.val,IF($F64="",val_blankRefText,_xldudf_CX_GET(CX_ENTITY,($F64),AZ$11,AZ$14,,(AZ$60))),_xlpm.Res,IF(OR(_xlpm.val="",_xlpm.val="Error"),"",_xlpm.val),_xlpm.Res)</f>
        <v>#NAME?</v>
      </c>
      <c r="BA64" s="1669" t="e" cm="1">
        <f t="array" ca="1" aca="1" ref="BA64">_xlfn.LET(_xlpm.val,IF($F64="",val_blankRefText,_xldudf_CX_GET(CX_ENTITY,($F64),BA$11,BA$14,,(BA$60))),_xlpm.Res,IF(OR(_xlpm.val="",_xlpm.val="Error"),"",_xlpm.val),_xlpm.Res)</f>
        <v>#NAME?</v>
      </c>
      <c r="BB64" s="1669" t="e" cm="1">
        <f t="array" ca="1" aca="1" ref="BB64">_xlfn.LET(_xlpm.val,IF($F64="",val_blankRefText,_xldudf_CX_GET(CX_ENTITY,($F64),BB$11,BB$14,,(BB$60))),_xlpm.Res,IF(OR(_xlpm.val="",_xlpm.val="Error"),"",_xlpm.val),_xlpm.Res)</f>
        <v>#NAME?</v>
      </c>
      <c r="BC64" s="1669" t="e" cm="1">
        <f t="array" ca="1" aca="1" ref="BC64">_xlfn.LET(_xlpm.val,IF($F64="",val_blankRefText,_xldudf_CX_GET(CX_ENTITY,($F64),BC$11,BC$14,,(BC$60))),_xlpm.Res,IF(OR(_xlpm.val="",_xlpm.val="Error"),"",_xlpm.val),_xlpm.Res)</f>
        <v>#NAME?</v>
      </c>
      <c r="BD64" s="1669" t="e" cm="1">
        <f t="array" ca="1" aca="1" ref="BD64">_xlfn.LET(_xlpm.val,IF($F64="",val_blankRefText,_xldudf_CX_GET(CX_ENTITY,($F64),BD$11,BD$14,,(BD$60))),_xlpm.Res,IF(OR(_xlpm.val="",_xlpm.val="Error"),"",_xlpm.val),_xlpm.Res)</f>
        <v>#NAME?</v>
      </c>
      <c r="BE64" s="1669" t="e" cm="1">
        <f t="array" ca="1" aca="1" ref="BE64">_xlfn.LET(_xlpm.val,IF($F64="",val_blankRefText,_xldudf_CX_GET(CX_ENTITY,($F64),BE$11,BE$14,,(BE$60))),_xlpm.Res,IF(OR(_xlpm.val="",_xlpm.val="Error"),"",_xlpm.val),_xlpm.Res)</f>
        <v>#NAME?</v>
      </c>
      <c r="BF64" s="1669" t="e" cm="1">
        <f t="array" ca="1" aca="1" ref="BF64">_xlfn.LET(_xlpm.val,IF($F64="",val_blankRefText,_xldudf_CX_GET(CX_ENTITY,($F64),BF$11,BF$14,,(BF$60))),_xlpm.Res,IF(OR(_xlpm.val="",_xlpm.val="Error"),"",_xlpm.val),_xlpm.Res)</f>
        <v>#NAME?</v>
      </c>
      <c r="BG64" s="1669" t="e" cm="1">
        <f t="array" ca="1" aca="1" ref="BG64">_xlfn.LET(_xlpm.val,IF($F64="",val_blankRefText,_xldudf_CX_GET(CX_ENTITY,($F64),BG$11,BG$14,,(BG$60))),_xlpm.Res,IF(OR(_xlpm.val="",_xlpm.val="Error"),"",_xlpm.val),_xlpm.Res)</f>
        <v>#NAME?</v>
      </c>
      <c r="BH64" s="1669" t="e" cm="1">
        <f t="array" ca="1" aca="1" ref="BH64">_xlfn.LET(_xlpm.val,IF($F64="",val_blankRefText,_xldudf_CX_GET(CX_ENTITY,($F64),BH$11,BH$14,,(BH$60))),_xlpm.Res,IF(OR(_xlpm.val="",_xlpm.val="Error"),"",_xlpm.val),_xlpm.Res)</f>
        <v>#NAME?</v>
      </c>
      <c r="BI64" s="1669" t="e" cm="1">
        <f t="array" ca="1" aca="1" ref="BI64">_xlfn.LET(_xlpm.val,IF($F64="",val_blankRefText,_xldudf_CX_GET(CX_ENTITY,($F64),BI$11,BI$14,,(BI$60))),_xlpm.Res,IF(OR(_xlpm.val="",_xlpm.val="Error"),"",_xlpm.val),_xlpm.Res)</f>
        <v>#NAME?</v>
      </c>
      <c r="BJ64" s="1669" t="e" cm="1">
        <f t="array" ca="1" aca="1" ref="BJ64">_xlfn.LET(_xlpm.val,IF($F64="",val_blankRefText,_xldudf_CX_GET(CX_ENTITY,($F64),BJ$11,BJ$14,,(BJ$60))),_xlpm.Res,IF(OR(_xlpm.val="",_xlpm.val="Error"),"",_xlpm.val),_xlpm.Res)</f>
        <v>#NAME?</v>
      </c>
      <c r="BK64" s="1669" t="e" cm="1">
        <f t="array" ca="1" aca="1" ref="BK64">_xlfn.LET(_xlpm.val,IF($F64="",val_blankRefText,_xldudf_CX_GET(CX_ENTITY,($F64),BK$11,BK$14,,(BK$60))),_xlpm.Res,IF(OR(_xlpm.val="",_xlpm.val="Error"),"",_xlpm.val),_xlpm.Res)</f>
        <v>#NAME?</v>
      </c>
      <c r="BL64" s="1669" t="e" cm="1">
        <f t="array" ca="1" aca="1" ref="BL64">_xlfn.LET(_xlpm.val,IF($F64="",val_blankRefText,_xldudf_CX_GET(CX_ENTITY,($F64),BL$11,BL$14,,(BL$60))),_xlpm.Res,IF(OR(_xlpm.val="",_xlpm.val="Error"),"",_xlpm.val),_xlpm.Res)</f>
        <v>#NAME?</v>
      </c>
      <c r="BM64" s="1669" t="e" cm="1">
        <f t="array" ca="1" aca="1" ref="BM64">_xlfn.LET(_xlpm.val,IF($F64="",val_blankRefText,_xldudf_CX_GET(CX_ENTITY,($F64),BM$11,BM$14,,(BM$60))),_xlpm.Res,IF(OR(_xlpm.val="",_xlpm.val="Error"),"",_xlpm.val),_xlpm.Res)</f>
        <v>#NAME?</v>
      </c>
      <c r="BN64" s="1669" t="e" cm="1">
        <f t="array" ca="1" aca="1" ref="BN64">_xlfn.LET(_xlpm.val,IF($F64="",val_blankRefText,_xldudf_CX_GET(CX_ENTITY,($F64),BN$11,BN$14,,(BN$60))),_xlpm.Res,IF(OR(_xlpm.val="",_xlpm.val="Error"),"",_xlpm.val),_xlpm.Res)</f>
        <v>#NAME?</v>
      </c>
      <c r="BO64" s="2095"/>
      <c r="BP64" s="2095"/>
      <c r="BQ64" s="2095"/>
      <c r="BR64" s="2095"/>
      <c r="BS64" s="2095"/>
      <c r="BT64" s="2095"/>
      <c r="BU64" s="2095"/>
      <c r="BV64" s="2095"/>
      <c r="BW64" s="2095"/>
      <c r="BX64" s="2095"/>
      <c r="BY64" s="2095"/>
      <c r="BZ64" s="2095"/>
      <c r="CA64" s="926"/>
      <c r="CB64" s="921"/>
      <c r="CC64" s="927"/>
      <c r="CD64" s="919" t="e" cm="1">
        <f t="array" ca="1" aca="1" ref="CD64">_xlfn.XLOOKUP(BS!CD$11,array_timeline,BS!$AD64:$BN64)</f>
        <v>#NAME?</v>
      </c>
      <c r="CE64" s="919" t="e" cm="1">
        <f t="array" ca="1" aca="1" ref="CE64">_xlfn.XLOOKUP(BS!CE$11,array_timeline,BS!$AD64:$BN64)</f>
        <v>#NAME?</v>
      </c>
      <c r="CF64" s="925"/>
      <c r="CG64" s="928" t="e">
        <f ca="1" t="shared" si="17" ref="CG64:CH64">CG23</f>
        <v>#NAME?</v>
      </c>
      <c r="CH64" s="928" t="e">
        <f t="shared" ca="1" si="17"/>
        <v>#NAME?</v>
      </c>
      <c r="CI64" s="924"/>
    </row>
    <row r="65" spans="1:87" ht="21" customHeight="1">
      <c r="A65" s="696" t="s">
        <v>1753</v>
      </c>
      <c r="B65" s="577" t="str">
        <f t="shared" si="10"/>
        <v>Trade Receivables</v>
      </c>
      <c r="C65" s="577" t="str">
        <f t="shared" si="10"/>
        <v>Trade Receivable (Company View)</v>
      </c>
      <c r="D65" s="577"/>
      <c r="E65" s="577" t="e" cm="1">
        <f t="array" ca="1" aca="1" ref="E65">_xlfn.LET(_xlpm.Attr,$C65,_xlpm.Lookback,$E$16,_xlpm.QueryDate,EOMONTH(val_asOfDate,_xlpm.Lookback),_xlpm.ReadField,_xldudf_CX_GET(CX_ENTITY,fx_attrConverter($C65),_xlpm.QueryDate),_xlpm.AttrBlank,_xlpm.Attr="",_xlpm.RESULT,IF(_xlpm.AttrBlank,val_blankRefText,fx_attrConverter(_xlpm.ReadField,0)),IF(_xlpm.RESULT="Error","",_xlpm.RESULT))</f>
        <v>#NAME?</v>
      </c>
      <c r="F65" s="577" t="str">
        <f t="shared" si="9"/>
        <v>Trade Receivables</v>
      </c>
      <c r="G65" s="574"/>
      <c r="H65" s="3279">
        <v>1</v>
      </c>
      <c r="I65" s="3279">
        <v>1</v>
      </c>
      <c r="J65" s="401"/>
      <c r="K65" s="401"/>
      <c r="L65" s="579" t="b">
        <v>0</v>
      </c>
      <c r="N65" s="158"/>
      <c r="O65" s="101"/>
      <c r="P65" s="52"/>
      <c r="Q65" s="101"/>
      <c r="R65" s="101"/>
      <c r="S65" s="101"/>
      <c r="T65" s="101"/>
      <c r="U65" s="39"/>
      <c r="W65" s="931" t="str">
        <f t="shared" si="15"/>
        <v>Budget</v>
      </c>
      <c r="X65" s="3292">
        <f t="shared" si="11"/>
        <v>1</v>
      </c>
      <c r="Y65" s="2631" t="str">
        <f t="shared" si="12"/>
        <v>Trade Receivables</v>
      </c>
      <c r="Z65" s="198" cm="1">
        <f t="array" ref="Z65">_xlfn.SWITCH(TRUE,$L65="",0,$L65=TRUE,1,$L65=FALSE,-1,)</f>
        <v>-1</v>
      </c>
      <c r="AA65" s="200"/>
      <c r="AB65" s="2626" t="str">
        <f t="shared" si="13"/>
        <v>Trade Receivables</v>
      </c>
      <c r="AC65" s="88"/>
      <c r="AD65" s="1669" t="e" cm="1">
        <f t="array" ca="1" aca="1" ref="AD65">_xlfn.LET(_xlpm.val,IF($F65="",val_blankRefText,_xldudf_CX_GET(CX_ENTITY,($F65),AD$11,AD$14,,(AD$60))),_xlpm.Res,IF(OR(_xlpm.val="",_xlpm.val="Error"),"",_xlpm.val),_xlpm.Res)</f>
        <v>#NAME?</v>
      </c>
      <c r="AE65" s="1669" t="e" cm="1">
        <f t="array" ca="1" aca="1" ref="AE65">_xlfn.LET(_xlpm.val,IF($F65="",val_blankRefText,_xldudf_CX_GET(CX_ENTITY,($F65),AE$11,AE$14,,(AE$60))),_xlpm.Res,IF(OR(_xlpm.val="",_xlpm.val="Error"),"",_xlpm.val),_xlpm.Res)</f>
        <v>#NAME?</v>
      </c>
      <c r="AF65" s="1669" t="e" cm="1">
        <f t="array" ca="1" aca="1" ref="AF65">_xlfn.LET(_xlpm.val,IF($F65="",val_blankRefText,_xldudf_CX_GET(CX_ENTITY,($F65),AF$11,AF$14,,(AF$60))),_xlpm.Res,IF(OR(_xlpm.val="",_xlpm.val="Error"),"",_xlpm.val),_xlpm.Res)</f>
        <v>#NAME?</v>
      </c>
      <c r="AG65" s="1669" t="e" cm="1">
        <f t="array" ca="1" aca="1" ref="AG65">_xlfn.LET(_xlpm.val,IF($F65="",val_blankRefText,_xldudf_CX_GET(CX_ENTITY,($F65),AG$11,AG$14,,(AG$60))),_xlpm.Res,IF(OR(_xlpm.val="",_xlpm.val="Error"),"",_xlpm.val),_xlpm.Res)</f>
        <v>#NAME?</v>
      </c>
      <c r="AH65" s="1669" t="e" cm="1">
        <f t="array" ca="1" aca="1" ref="AH65">_xlfn.LET(_xlpm.val,IF($F65="",val_blankRefText,_xldudf_CX_GET(CX_ENTITY,($F65),AH$11,AH$14,,(AH$60))),_xlpm.Res,IF(OR(_xlpm.val="",_xlpm.val="Error"),"",_xlpm.val),_xlpm.Res)</f>
        <v>#NAME?</v>
      </c>
      <c r="AI65" s="1669" t="e" cm="1">
        <f t="array" ca="1" aca="1" ref="AI65">_xlfn.LET(_xlpm.val,IF($F65="",val_blankRefText,_xldudf_CX_GET(CX_ENTITY,($F65),AI$11,AI$14,,(AI$60))),_xlpm.Res,IF(OR(_xlpm.val="",_xlpm.val="Error"),"",_xlpm.val),_xlpm.Res)</f>
        <v>#NAME?</v>
      </c>
      <c r="AJ65" s="1669" t="e" cm="1">
        <f t="array" ca="1" aca="1" ref="AJ65">_xlfn.LET(_xlpm.val,IF($F65="",val_blankRefText,_xldudf_CX_GET(CX_ENTITY,($F65),AJ$11,AJ$14,,(AJ$60))),_xlpm.Res,IF(OR(_xlpm.val="",_xlpm.val="Error"),"",_xlpm.val),_xlpm.Res)</f>
        <v>#NAME?</v>
      </c>
      <c r="AK65" s="1669" t="e" cm="1">
        <f t="array" ca="1" aca="1" ref="AK65">_xlfn.LET(_xlpm.val,IF($F65="",val_blankRefText,_xldudf_CX_GET(CX_ENTITY,($F65),AK$11,AK$14,,(AK$60))),_xlpm.Res,IF(OR(_xlpm.val="",_xlpm.val="Error"),"",_xlpm.val),_xlpm.Res)</f>
        <v>#NAME?</v>
      </c>
      <c r="AL65" s="1669" t="e" cm="1">
        <f t="array" ca="1" aca="1" ref="AL65">_xlfn.LET(_xlpm.val,IF($F65="",val_blankRefText,_xldudf_CX_GET(CX_ENTITY,($F65),AL$11,AL$14,,(AL$60))),_xlpm.Res,IF(OR(_xlpm.val="",_xlpm.val="Error"),"",_xlpm.val),_xlpm.Res)</f>
        <v>#NAME?</v>
      </c>
      <c r="AM65" s="1669" t="e" cm="1">
        <f t="array" ca="1" aca="1" ref="AM65">_xlfn.LET(_xlpm.val,IF($F65="",val_blankRefText,_xldudf_CX_GET(CX_ENTITY,($F65),AM$11,AM$14,,(AM$60))),_xlpm.Res,IF(OR(_xlpm.val="",_xlpm.val="Error"),"",_xlpm.val),_xlpm.Res)</f>
        <v>#NAME?</v>
      </c>
      <c r="AN65" s="1669" t="e" cm="1">
        <f t="array" ca="1" aca="1" ref="AN65">_xlfn.LET(_xlpm.val,IF($F65="",val_blankRefText,_xldudf_CX_GET(CX_ENTITY,($F65),AN$11,AN$14,,(AN$60))),_xlpm.Res,IF(OR(_xlpm.val="",_xlpm.val="Error"),"",_xlpm.val),_xlpm.Res)</f>
        <v>#NAME?</v>
      </c>
      <c r="AO65" s="1669" t="e" cm="1">
        <f t="array" ca="1" aca="1" ref="AO65">_xlfn.LET(_xlpm.val,IF($F65="",val_blankRefText,_xldudf_CX_GET(CX_ENTITY,($F65),AO$11,AO$14,,(AO$60))),_xlpm.Res,IF(OR(_xlpm.val="",_xlpm.val="Error"),"",_xlpm.val),_xlpm.Res)</f>
        <v>#NAME?</v>
      </c>
      <c r="AP65" s="1669" t="e" cm="1">
        <f t="array" ca="1" aca="1" ref="AP65">_xlfn.LET(_xlpm.val,IF($F65="",val_blankRefText,_xldudf_CX_GET(CX_ENTITY,($F65),AP$11,AP$14,,(AP$60))),_xlpm.Res,IF(OR(_xlpm.val="",_xlpm.val="Error"),"",_xlpm.val),_xlpm.Res)</f>
        <v>#NAME?</v>
      </c>
      <c r="AQ65" s="1669" t="e" cm="1">
        <f t="array" ca="1" aca="1" ref="AQ65">_xlfn.LET(_xlpm.val,IF($F65="",val_blankRefText,_xldudf_CX_GET(CX_ENTITY,($F65),AQ$11,AQ$14,,(AQ$60))),_xlpm.Res,IF(OR(_xlpm.val="",_xlpm.val="Error"),"",_xlpm.val),_xlpm.Res)</f>
        <v>#NAME?</v>
      </c>
      <c r="AR65" s="1669" t="e" cm="1">
        <f t="array" ca="1" aca="1" ref="AR65">_xlfn.LET(_xlpm.val,IF($F65="",val_blankRefText,_xldudf_CX_GET(CX_ENTITY,($F65),AR$11,AR$14,,(AR$60))),_xlpm.Res,IF(OR(_xlpm.val="",_xlpm.val="Error"),"",_xlpm.val),_xlpm.Res)</f>
        <v>#NAME?</v>
      </c>
      <c r="AS65" s="1669" t="e" cm="1">
        <f t="array" ca="1" aca="1" ref="AS65">_xlfn.LET(_xlpm.val,IF($F65="",val_blankRefText,_xldudf_CX_GET(CX_ENTITY,($F65),AS$11,AS$14,,(AS$60))),_xlpm.Res,IF(OR(_xlpm.val="",_xlpm.val="Error"),"",_xlpm.val),_xlpm.Res)</f>
        <v>#NAME?</v>
      </c>
      <c r="AT65" s="1669" t="e" cm="1">
        <f t="array" ca="1" aca="1" ref="AT65">_xlfn.LET(_xlpm.val,IF($F65="",val_blankRefText,_xldudf_CX_GET(CX_ENTITY,($F65),AT$11,AT$14,,(AT$60))),_xlpm.Res,IF(OR(_xlpm.val="",_xlpm.val="Error"),"",_xlpm.val),_xlpm.Res)</f>
        <v>#NAME?</v>
      </c>
      <c r="AU65" s="1669" t="e" cm="1">
        <f t="array" ca="1" aca="1" ref="AU65">_xlfn.LET(_xlpm.val,IF($F65="",val_blankRefText,_xldudf_CX_GET(CX_ENTITY,($F65),AU$11,AU$14,,(AU$60))),_xlpm.Res,IF(OR(_xlpm.val="",_xlpm.val="Error"),"",_xlpm.val),_xlpm.Res)</f>
        <v>#NAME?</v>
      </c>
      <c r="AV65" s="1669" t="e" cm="1">
        <f t="array" ca="1" aca="1" ref="AV65">_xlfn.LET(_xlpm.val,IF($F65="",val_blankRefText,_xldudf_CX_GET(CX_ENTITY,($F65),AV$11,AV$14,,(AV$60))),_xlpm.Res,IF(OR(_xlpm.val="",_xlpm.val="Error"),"",_xlpm.val),_xlpm.Res)</f>
        <v>#NAME?</v>
      </c>
      <c r="AW65" s="1669" t="e" cm="1">
        <f t="array" ca="1" aca="1" ref="AW65">_xlfn.LET(_xlpm.val,IF($F65="",val_blankRefText,_xldudf_CX_GET(CX_ENTITY,($F65),AW$11,AW$14,,(AW$60))),_xlpm.Res,IF(OR(_xlpm.val="",_xlpm.val="Error"),"",_xlpm.val),_xlpm.Res)</f>
        <v>#NAME?</v>
      </c>
      <c r="AX65" s="1669" t="e" cm="1">
        <f t="array" ca="1" aca="1" ref="AX65">_xlfn.LET(_xlpm.val,IF($F65="",val_blankRefText,_xldudf_CX_GET(CX_ENTITY,($F65),AX$11,AX$14,,(AX$60))),_xlpm.Res,IF(OR(_xlpm.val="",_xlpm.val="Error"),"",_xlpm.val),_xlpm.Res)</f>
        <v>#NAME?</v>
      </c>
      <c r="AY65" s="1669" t="e" cm="1">
        <f t="array" ca="1" aca="1" ref="AY65">_xlfn.LET(_xlpm.val,IF($F65="",val_blankRefText,_xldudf_CX_GET(CX_ENTITY,($F65),AY$11,AY$14,,(AY$60))),_xlpm.Res,IF(OR(_xlpm.val="",_xlpm.val="Error"),"",_xlpm.val),_xlpm.Res)</f>
        <v>#NAME?</v>
      </c>
      <c r="AZ65" s="1669" t="e" cm="1">
        <f t="array" ca="1" aca="1" ref="AZ65">_xlfn.LET(_xlpm.val,IF($F65="",val_blankRefText,_xldudf_CX_GET(CX_ENTITY,($F65),AZ$11,AZ$14,,(AZ$60))),_xlpm.Res,IF(OR(_xlpm.val="",_xlpm.val="Error"),"",_xlpm.val),_xlpm.Res)</f>
        <v>#NAME?</v>
      </c>
      <c r="BA65" s="1669" t="e" cm="1">
        <f t="array" ca="1" aca="1" ref="BA65">_xlfn.LET(_xlpm.val,IF($F65="",val_blankRefText,_xldudf_CX_GET(CX_ENTITY,($F65),BA$11,BA$14,,(BA$60))),_xlpm.Res,IF(OR(_xlpm.val="",_xlpm.val="Error"),"",_xlpm.val),_xlpm.Res)</f>
        <v>#NAME?</v>
      </c>
      <c r="BB65" s="1669" t="e" cm="1">
        <f t="array" ca="1" aca="1" ref="BB65">_xlfn.LET(_xlpm.val,IF($F65="",val_blankRefText,_xldudf_CX_GET(CX_ENTITY,($F65),BB$11,BB$14,,(BB$60))),_xlpm.Res,IF(OR(_xlpm.val="",_xlpm.val="Error"),"",_xlpm.val),_xlpm.Res)</f>
        <v>#NAME?</v>
      </c>
      <c r="BC65" s="1669" t="e" cm="1">
        <f t="array" ca="1" aca="1" ref="BC65">_xlfn.LET(_xlpm.val,IF($F65="",val_blankRefText,_xldudf_CX_GET(CX_ENTITY,($F65),BC$11,BC$14,,(BC$60))),_xlpm.Res,IF(OR(_xlpm.val="",_xlpm.val="Error"),"",_xlpm.val),_xlpm.Res)</f>
        <v>#NAME?</v>
      </c>
      <c r="BD65" s="1669" t="e" cm="1">
        <f t="array" ca="1" aca="1" ref="BD65">_xlfn.LET(_xlpm.val,IF($F65="",val_blankRefText,_xldudf_CX_GET(CX_ENTITY,($F65),BD$11,BD$14,,(BD$60))),_xlpm.Res,IF(OR(_xlpm.val="",_xlpm.val="Error"),"",_xlpm.val),_xlpm.Res)</f>
        <v>#NAME?</v>
      </c>
      <c r="BE65" s="1669" t="e" cm="1">
        <f t="array" ca="1" aca="1" ref="BE65">_xlfn.LET(_xlpm.val,IF($F65="",val_blankRefText,_xldudf_CX_GET(CX_ENTITY,($F65),BE$11,BE$14,,(BE$60))),_xlpm.Res,IF(OR(_xlpm.val="",_xlpm.val="Error"),"",_xlpm.val),_xlpm.Res)</f>
        <v>#NAME?</v>
      </c>
      <c r="BF65" s="1669" t="e" cm="1">
        <f t="array" ca="1" aca="1" ref="BF65">_xlfn.LET(_xlpm.val,IF($F65="",val_blankRefText,_xldudf_CX_GET(CX_ENTITY,($F65),BF$11,BF$14,,(BF$60))),_xlpm.Res,IF(OR(_xlpm.val="",_xlpm.val="Error"),"",_xlpm.val),_xlpm.Res)</f>
        <v>#NAME?</v>
      </c>
      <c r="BG65" s="1669" t="e" cm="1">
        <f t="array" ca="1" aca="1" ref="BG65">_xlfn.LET(_xlpm.val,IF($F65="",val_blankRefText,_xldudf_CX_GET(CX_ENTITY,($F65),BG$11,BG$14,,(BG$60))),_xlpm.Res,IF(OR(_xlpm.val="",_xlpm.val="Error"),"",_xlpm.val),_xlpm.Res)</f>
        <v>#NAME?</v>
      </c>
      <c r="BH65" s="1669" t="e" cm="1">
        <f t="array" ca="1" aca="1" ref="BH65">_xlfn.LET(_xlpm.val,IF($F65="",val_blankRefText,_xldudf_CX_GET(CX_ENTITY,($F65),BH$11,BH$14,,(BH$60))),_xlpm.Res,IF(OR(_xlpm.val="",_xlpm.val="Error"),"",_xlpm.val),_xlpm.Res)</f>
        <v>#NAME?</v>
      </c>
      <c r="BI65" s="1669" t="e" cm="1">
        <f t="array" ca="1" aca="1" ref="BI65">_xlfn.LET(_xlpm.val,IF($F65="",val_blankRefText,_xldudf_CX_GET(CX_ENTITY,($F65),BI$11,BI$14,,(BI$60))),_xlpm.Res,IF(OR(_xlpm.val="",_xlpm.val="Error"),"",_xlpm.val),_xlpm.Res)</f>
        <v>#NAME?</v>
      </c>
      <c r="BJ65" s="1669" t="e" cm="1">
        <f t="array" ca="1" aca="1" ref="BJ65">_xlfn.LET(_xlpm.val,IF($F65="",val_blankRefText,_xldudf_CX_GET(CX_ENTITY,($F65),BJ$11,BJ$14,,(BJ$60))),_xlpm.Res,IF(OR(_xlpm.val="",_xlpm.val="Error"),"",_xlpm.val),_xlpm.Res)</f>
        <v>#NAME?</v>
      </c>
      <c r="BK65" s="1669" t="e" cm="1">
        <f t="array" ca="1" aca="1" ref="BK65">_xlfn.LET(_xlpm.val,IF($F65="",val_blankRefText,_xldudf_CX_GET(CX_ENTITY,($F65),BK$11,BK$14,,(BK$60))),_xlpm.Res,IF(OR(_xlpm.val="",_xlpm.val="Error"),"",_xlpm.val),_xlpm.Res)</f>
        <v>#NAME?</v>
      </c>
      <c r="BL65" s="1669" t="e" cm="1">
        <f t="array" ca="1" aca="1" ref="BL65">_xlfn.LET(_xlpm.val,IF($F65="",val_blankRefText,_xldudf_CX_GET(CX_ENTITY,($F65),BL$11,BL$14,,(BL$60))),_xlpm.Res,IF(OR(_xlpm.val="",_xlpm.val="Error"),"",_xlpm.val),_xlpm.Res)</f>
        <v>#NAME?</v>
      </c>
      <c r="BM65" s="1669" t="e" cm="1">
        <f t="array" ca="1" aca="1" ref="BM65">_xlfn.LET(_xlpm.val,IF($F65="",val_blankRefText,_xldudf_CX_GET(CX_ENTITY,($F65),BM$11,BM$14,,(BM$60))),_xlpm.Res,IF(OR(_xlpm.val="",_xlpm.val="Error"),"",_xlpm.val),_xlpm.Res)</f>
        <v>#NAME?</v>
      </c>
      <c r="BN65" s="1669" t="e" cm="1">
        <f t="array" ca="1" aca="1" ref="BN65">_xlfn.LET(_xlpm.val,IF($F65="",val_blankRefText,_xldudf_CX_GET(CX_ENTITY,($F65),BN$11,BN$14,,(BN$60))),_xlpm.Res,IF(OR(_xlpm.val="",_xlpm.val="Error"),"",_xlpm.val),_xlpm.Res)</f>
        <v>#NAME?</v>
      </c>
      <c r="BO65" s="2095"/>
      <c r="BP65" s="2095"/>
      <c r="BQ65" s="2095"/>
      <c r="BR65" s="2095"/>
      <c r="BS65" s="2095"/>
      <c r="BT65" s="2095"/>
      <c r="BU65" s="2095"/>
      <c r="BV65" s="2095"/>
      <c r="BW65" s="2095"/>
      <c r="BX65" s="2095"/>
      <c r="BY65" s="2095"/>
      <c r="BZ65" s="2095"/>
      <c r="CA65" s="926"/>
      <c r="CB65" s="921"/>
      <c r="CC65" s="927"/>
      <c r="CD65" s="920" t="e" cm="1">
        <f t="array" ca="1" aca="1" ref="CD65">_xlfn.XLOOKUP(BS!CD$11,array_timeline,BS!$AD65:$BN65)</f>
        <v>#NAME?</v>
      </c>
      <c r="CE65" s="920" t="e" cm="1">
        <f t="array" ca="1" aca="1" ref="CE65">_xlfn.XLOOKUP(BS!CE$11,array_timeline,BS!$AD65:$BN65)</f>
        <v>#NAME?</v>
      </c>
      <c r="CF65" s="1356"/>
      <c r="CG65" s="920" t="e">
        <f ca="1" t="shared" si="18" ref="CG65:CH65">CG24</f>
        <v>#NAME?</v>
      </c>
      <c r="CH65" s="920" t="e">
        <f t="shared" ca="1" si="18"/>
        <v>#NAME?</v>
      </c>
      <c r="CI65" s="200"/>
    </row>
    <row r="66" spans="1:87" ht="21" customHeight="1">
      <c r="A66" s="696" t="s">
        <v>1754</v>
      </c>
      <c r="B66" s="577" t="str">
        <f t="shared" si="10"/>
        <v>Accounts Payable</v>
      </c>
      <c r="C66" s="577" t="str">
        <f t="shared" si="10"/>
        <v>Accounts Payable (Company View)</v>
      </c>
      <c r="D66" s="577"/>
      <c r="E66" s="577" t="e" cm="1">
        <f t="array" ca="1" aca="1" ref="E66">_xlfn.LET(_xlpm.Attr,$C66,_xlpm.Lookback,$E$16,_xlpm.QueryDate,EOMONTH(val_asOfDate,_xlpm.Lookback),_xlpm.ReadField,_xldudf_CX_GET(CX_ENTITY,fx_attrConverter($C66),_xlpm.QueryDate),_xlpm.AttrBlank,_xlpm.Attr="",_xlpm.RESULT,IF(_xlpm.AttrBlank,val_blankRefText,fx_attrConverter(_xlpm.ReadField,0)),IF(_xlpm.RESULT="Error","",_xlpm.RESULT))</f>
        <v>#NAME?</v>
      </c>
      <c r="F66" s="577" t="str">
        <f t="shared" si="9"/>
        <v>Accounts Payable</v>
      </c>
      <c r="G66" s="574"/>
      <c r="H66" s="3279">
        <v>1</v>
      </c>
      <c r="I66" s="3279">
        <v>1</v>
      </c>
      <c r="J66" s="401"/>
      <c r="K66" s="401"/>
      <c r="L66" s="579" t="b">
        <v>0</v>
      </c>
      <c r="N66" s="158"/>
      <c r="O66" s="101"/>
      <c r="P66" s="52"/>
      <c r="Q66" s="101"/>
      <c r="R66" s="126"/>
      <c r="S66" s="101"/>
      <c r="T66" s="101"/>
      <c r="U66" s="39"/>
      <c r="W66" s="930" t="str">
        <f t="shared" si="15"/>
        <v>Budget</v>
      </c>
      <c r="X66" s="857">
        <f t="shared" si="11"/>
        <v>-1</v>
      </c>
      <c r="Y66" s="2631" t="str">
        <f t="shared" si="12"/>
        <v>Accounts Payable</v>
      </c>
      <c r="Z66" s="198" cm="1">
        <f t="array" ref="Z66">_xlfn.SWITCH(TRUE,$L66="",0,$L66=TRUE,1,$L66=FALSE,-1,)</f>
        <v>-1</v>
      </c>
      <c r="AA66" s="200"/>
      <c r="AB66" s="2626" t="str">
        <f t="shared" si="13"/>
        <v>Accounts Payable</v>
      </c>
      <c r="AC66" s="88"/>
      <c r="AD66" s="1669" t="e" cm="1">
        <f t="array" ca="1" aca="1" ref="AD66">_xlfn.LET(_xlpm.val,IF($F66="",val_blankRefText,_xldudf_CX_GET(CX_ENTITY,($F66),AD$11,AD$14,,(AD$60))),_xlpm.Res,IF(OR(_xlpm.val="",_xlpm.val="Error"),"",_xlpm.val),_xlpm.Res)</f>
        <v>#NAME?</v>
      </c>
      <c r="AE66" s="1669" t="e" cm="1">
        <f t="array" ca="1" aca="1" ref="AE66">_xlfn.LET(_xlpm.val,IF($F66="",val_blankRefText,_xldudf_CX_GET(CX_ENTITY,($F66),AE$11,AE$14,,(AE$60))),_xlpm.Res,IF(OR(_xlpm.val="",_xlpm.val="Error"),"",_xlpm.val),_xlpm.Res)</f>
        <v>#NAME?</v>
      </c>
      <c r="AF66" s="1669" t="e" cm="1">
        <f t="array" ca="1" aca="1" ref="AF66">_xlfn.LET(_xlpm.val,IF($F66="",val_blankRefText,_xldudf_CX_GET(CX_ENTITY,($F66),AF$11,AF$14,,(AF$60))),_xlpm.Res,IF(OR(_xlpm.val="",_xlpm.val="Error"),"",_xlpm.val),_xlpm.Res)</f>
        <v>#NAME?</v>
      </c>
      <c r="AG66" s="1669" t="e" cm="1">
        <f t="array" ca="1" aca="1" ref="AG66">_xlfn.LET(_xlpm.val,IF($F66="",val_blankRefText,_xldudf_CX_GET(CX_ENTITY,($F66),AG$11,AG$14,,(AG$60))),_xlpm.Res,IF(OR(_xlpm.val="",_xlpm.val="Error"),"",_xlpm.val),_xlpm.Res)</f>
        <v>#NAME?</v>
      </c>
      <c r="AH66" s="1669" t="e" cm="1">
        <f t="array" ca="1" aca="1" ref="AH66">_xlfn.LET(_xlpm.val,IF($F66="",val_blankRefText,_xldudf_CX_GET(CX_ENTITY,($F66),AH$11,AH$14,,(AH$60))),_xlpm.Res,IF(OR(_xlpm.val="",_xlpm.val="Error"),"",_xlpm.val),_xlpm.Res)</f>
        <v>#NAME?</v>
      </c>
      <c r="AI66" s="1669" t="e" cm="1">
        <f t="array" ca="1" aca="1" ref="AI66">_xlfn.LET(_xlpm.val,IF($F66="",val_blankRefText,_xldudf_CX_GET(CX_ENTITY,($F66),AI$11,AI$14,,(AI$60))),_xlpm.Res,IF(OR(_xlpm.val="",_xlpm.val="Error"),"",_xlpm.val),_xlpm.Res)</f>
        <v>#NAME?</v>
      </c>
      <c r="AJ66" s="1669" t="e" cm="1">
        <f t="array" ca="1" aca="1" ref="AJ66">_xlfn.LET(_xlpm.val,IF($F66="",val_blankRefText,_xldudf_CX_GET(CX_ENTITY,($F66),AJ$11,AJ$14,,(AJ$60))),_xlpm.Res,IF(OR(_xlpm.val="",_xlpm.val="Error"),"",_xlpm.val),_xlpm.Res)</f>
        <v>#NAME?</v>
      </c>
      <c r="AK66" s="1669" t="e" cm="1">
        <f t="array" ca="1" aca="1" ref="AK66">_xlfn.LET(_xlpm.val,IF($F66="",val_blankRefText,_xldudf_CX_GET(CX_ENTITY,($F66),AK$11,AK$14,,(AK$60))),_xlpm.Res,IF(OR(_xlpm.val="",_xlpm.val="Error"),"",_xlpm.val),_xlpm.Res)</f>
        <v>#NAME?</v>
      </c>
      <c r="AL66" s="1669" t="e" cm="1">
        <f t="array" ca="1" aca="1" ref="AL66">_xlfn.LET(_xlpm.val,IF($F66="",val_blankRefText,_xldudf_CX_GET(CX_ENTITY,($F66),AL$11,AL$14,,(AL$60))),_xlpm.Res,IF(OR(_xlpm.val="",_xlpm.val="Error"),"",_xlpm.val),_xlpm.Res)</f>
        <v>#NAME?</v>
      </c>
      <c r="AM66" s="1669" t="e" cm="1">
        <f t="array" ca="1" aca="1" ref="AM66">_xlfn.LET(_xlpm.val,IF($F66="",val_blankRefText,_xldudf_CX_GET(CX_ENTITY,($F66),AM$11,AM$14,,(AM$60))),_xlpm.Res,IF(OR(_xlpm.val="",_xlpm.val="Error"),"",_xlpm.val),_xlpm.Res)</f>
        <v>#NAME?</v>
      </c>
      <c r="AN66" s="1669" t="e" cm="1">
        <f t="array" ca="1" aca="1" ref="AN66">_xlfn.LET(_xlpm.val,IF($F66="",val_blankRefText,_xldudf_CX_GET(CX_ENTITY,($F66),AN$11,AN$14,,(AN$60))),_xlpm.Res,IF(OR(_xlpm.val="",_xlpm.val="Error"),"",_xlpm.val),_xlpm.Res)</f>
        <v>#NAME?</v>
      </c>
      <c r="AO66" s="1669" t="e" cm="1">
        <f t="array" ca="1" aca="1" ref="AO66">_xlfn.LET(_xlpm.val,IF($F66="",val_blankRefText,_xldudf_CX_GET(CX_ENTITY,($F66),AO$11,AO$14,,(AO$60))),_xlpm.Res,IF(OR(_xlpm.val="",_xlpm.val="Error"),"",_xlpm.val),_xlpm.Res)</f>
        <v>#NAME?</v>
      </c>
      <c r="AP66" s="1669" t="e" cm="1">
        <f t="array" ca="1" aca="1" ref="AP66">_xlfn.LET(_xlpm.val,IF($F66="",val_blankRefText,_xldudf_CX_GET(CX_ENTITY,($F66),AP$11,AP$14,,(AP$60))),_xlpm.Res,IF(OR(_xlpm.val="",_xlpm.val="Error"),"",_xlpm.val),_xlpm.Res)</f>
        <v>#NAME?</v>
      </c>
      <c r="AQ66" s="1669" t="e" cm="1">
        <f t="array" ca="1" aca="1" ref="AQ66">_xlfn.LET(_xlpm.val,IF($F66="",val_blankRefText,_xldudf_CX_GET(CX_ENTITY,($F66),AQ$11,AQ$14,,(AQ$60))),_xlpm.Res,IF(OR(_xlpm.val="",_xlpm.val="Error"),"",_xlpm.val),_xlpm.Res)</f>
        <v>#NAME?</v>
      </c>
      <c r="AR66" s="1669" t="e" cm="1">
        <f t="array" ca="1" aca="1" ref="AR66">_xlfn.LET(_xlpm.val,IF($F66="",val_blankRefText,_xldudf_CX_GET(CX_ENTITY,($F66),AR$11,AR$14,,(AR$60))),_xlpm.Res,IF(OR(_xlpm.val="",_xlpm.val="Error"),"",_xlpm.val),_xlpm.Res)</f>
        <v>#NAME?</v>
      </c>
      <c r="AS66" s="1669" t="e" cm="1">
        <f t="array" ca="1" aca="1" ref="AS66">_xlfn.LET(_xlpm.val,IF($F66="",val_blankRefText,_xldudf_CX_GET(CX_ENTITY,($F66),AS$11,AS$14,,(AS$60))),_xlpm.Res,IF(OR(_xlpm.val="",_xlpm.val="Error"),"",_xlpm.val),_xlpm.Res)</f>
        <v>#NAME?</v>
      </c>
      <c r="AT66" s="1669" t="e" cm="1">
        <f t="array" ca="1" aca="1" ref="AT66">_xlfn.LET(_xlpm.val,IF($F66="",val_blankRefText,_xldudf_CX_GET(CX_ENTITY,($F66),AT$11,AT$14,,(AT$60))),_xlpm.Res,IF(OR(_xlpm.val="",_xlpm.val="Error"),"",_xlpm.val),_xlpm.Res)</f>
        <v>#NAME?</v>
      </c>
      <c r="AU66" s="1669" t="e" cm="1">
        <f t="array" ca="1" aca="1" ref="AU66">_xlfn.LET(_xlpm.val,IF($F66="",val_blankRefText,_xldudf_CX_GET(CX_ENTITY,($F66),AU$11,AU$14,,(AU$60))),_xlpm.Res,IF(OR(_xlpm.val="",_xlpm.val="Error"),"",_xlpm.val),_xlpm.Res)</f>
        <v>#NAME?</v>
      </c>
      <c r="AV66" s="1669" t="e" cm="1">
        <f t="array" ca="1" aca="1" ref="AV66">_xlfn.LET(_xlpm.val,IF($F66="",val_blankRefText,_xldudf_CX_GET(CX_ENTITY,($F66),AV$11,AV$14,,(AV$60))),_xlpm.Res,IF(OR(_xlpm.val="",_xlpm.val="Error"),"",_xlpm.val),_xlpm.Res)</f>
        <v>#NAME?</v>
      </c>
      <c r="AW66" s="1669" t="e" cm="1">
        <f t="array" ca="1" aca="1" ref="AW66">_xlfn.LET(_xlpm.val,IF($F66="",val_blankRefText,_xldudf_CX_GET(CX_ENTITY,($F66),AW$11,AW$14,,(AW$60))),_xlpm.Res,IF(OR(_xlpm.val="",_xlpm.val="Error"),"",_xlpm.val),_xlpm.Res)</f>
        <v>#NAME?</v>
      </c>
      <c r="AX66" s="1669" t="e" cm="1">
        <f t="array" ca="1" aca="1" ref="AX66">_xlfn.LET(_xlpm.val,IF($F66="",val_blankRefText,_xldudf_CX_GET(CX_ENTITY,($F66),AX$11,AX$14,,(AX$60))),_xlpm.Res,IF(OR(_xlpm.val="",_xlpm.val="Error"),"",_xlpm.val),_xlpm.Res)</f>
        <v>#NAME?</v>
      </c>
      <c r="AY66" s="1669" t="e" cm="1">
        <f t="array" ca="1" aca="1" ref="AY66">_xlfn.LET(_xlpm.val,IF($F66="",val_blankRefText,_xldudf_CX_GET(CX_ENTITY,($F66),AY$11,AY$14,,(AY$60))),_xlpm.Res,IF(OR(_xlpm.val="",_xlpm.val="Error"),"",_xlpm.val),_xlpm.Res)</f>
        <v>#NAME?</v>
      </c>
      <c r="AZ66" s="1669" t="e" cm="1">
        <f t="array" ca="1" aca="1" ref="AZ66">_xlfn.LET(_xlpm.val,IF($F66="",val_blankRefText,_xldudf_CX_GET(CX_ENTITY,($F66),AZ$11,AZ$14,,(AZ$60))),_xlpm.Res,IF(OR(_xlpm.val="",_xlpm.val="Error"),"",_xlpm.val),_xlpm.Res)</f>
        <v>#NAME?</v>
      </c>
      <c r="BA66" s="1669" t="e" cm="1">
        <f t="array" ca="1" aca="1" ref="BA66">_xlfn.LET(_xlpm.val,IF($F66="",val_blankRefText,_xldudf_CX_GET(CX_ENTITY,($F66),BA$11,BA$14,,(BA$60))),_xlpm.Res,IF(OR(_xlpm.val="",_xlpm.val="Error"),"",_xlpm.val),_xlpm.Res)</f>
        <v>#NAME?</v>
      </c>
      <c r="BB66" s="1669" t="e" cm="1">
        <f t="array" ca="1" aca="1" ref="BB66">_xlfn.LET(_xlpm.val,IF($F66="",val_blankRefText,_xldudf_CX_GET(CX_ENTITY,($F66),BB$11,BB$14,,(BB$60))),_xlpm.Res,IF(OR(_xlpm.val="",_xlpm.val="Error"),"",_xlpm.val),_xlpm.Res)</f>
        <v>#NAME?</v>
      </c>
      <c r="BC66" s="1669" t="e" cm="1">
        <f t="array" ca="1" aca="1" ref="BC66">_xlfn.LET(_xlpm.val,IF($F66="",val_blankRefText,_xldudf_CX_GET(CX_ENTITY,($F66),BC$11,BC$14,,(BC$60))),_xlpm.Res,IF(OR(_xlpm.val="",_xlpm.val="Error"),"",_xlpm.val),_xlpm.Res)</f>
        <v>#NAME?</v>
      </c>
      <c r="BD66" s="1669" t="e" cm="1">
        <f t="array" ca="1" aca="1" ref="BD66">_xlfn.LET(_xlpm.val,IF($F66="",val_blankRefText,_xldudf_CX_GET(CX_ENTITY,($F66),BD$11,BD$14,,(BD$60))),_xlpm.Res,IF(OR(_xlpm.val="",_xlpm.val="Error"),"",_xlpm.val),_xlpm.Res)</f>
        <v>#NAME?</v>
      </c>
      <c r="BE66" s="1669" t="e" cm="1">
        <f t="array" ca="1" aca="1" ref="BE66">_xlfn.LET(_xlpm.val,IF($F66="",val_blankRefText,_xldudf_CX_GET(CX_ENTITY,($F66),BE$11,BE$14,,(BE$60))),_xlpm.Res,IF(OR(_xlpm.val="",_xlpm.val="Error"),"",_xlpm.val),_xlpm.Res)</f>
        <v>#NAME?</v>
      </c>
      <c r="BF66" s="1669" t="e" cm="1">
        <f t="array" ca="1" aca="1" ref="BF66">_xlfn.LET(_xlpm.val,IF($F66="",val_blankRefText,_xldudf_CX_GET(CX_ENTITY,($F66),BF$11,BF$14,,(BF$60))),_xlpm.Res,IF(OR(_xlpm.val="",_xlpm.val="Error"),"",_xlpm.val),_xlpm.Res)</f>
        <v>#NAME?</v>
      </c>
      <c r="BG66" s="1669" t="e" cm="1">
        <f t="array" ca="1" aca="1" ref="BG66">_xlfn.LET(_xlpm.val,IF($F66="",val_blankRefText,_xldudf_CX_GET(CX_ENTITY,($F66),BG$11,BG$14,,(BG$60))),_xlpm.Res,IF(OR(_xlpm.val="",_xlpm.val="Error"),"",_xlpm.val),_xlpm.Res)</f>
        <v>#NAME?</v>
      </c>
      <c r="BH66" s="1669" t="e" cm="1">
        <f t="array" ca="1" aca="1" ref="BH66">_xlfn.LET(_xlpm.val,IF($F66="",val_blankRefText,_xldudf_CX_GET(CX_ENTITY,($F66),BH$11,BH$14,,(BH$60))),_xlpm.Res,IF(OR(_xlpm.val="",_xlpm.val="Error"),"",_xlpm.val),_xlpm.Res)</f>
        <v>#NAME?</v>
      </c>
      <c r="BI66" s="1669" t="e" cm="1">
        <f t="array" ca="1" aca="1" ref="BI66">_xlfn.LET(_xlpm.val,IF($F66="",val_blankRefText,_xldudf_CX_GET(CX_ENTITY,($F66),BI$11,BI$14,,(BI$60))),_xlpm.Res,IF(OR(_xlpm.val="",_xlpm.val="Error"),"",_xlpm.val),_xlpm.Res)</f>
        <v>#NAME?</v>
      </c>
      <c r="BJ66" s="1669" t="e" cm="1">
        <f t="array" ca="1" aca="1" ref="BJ66">_xlfn.LET(_xlpm.val,IF($F66="",val_blankRefText,_xldudf_CX_GET(CX_ENTITY,($F66),BJ$11,BJ$14,,(BJ$60))),_xlpm.Res,IF(OR(_xlpm.val="",_xlpm.val="Error"),"",_xlpm.val),_xlpm.Res)</f>
        <v>#NAME?</v>
      </c>
      <c r="BK66" s="1669" t="e" cm="1">
        <f t="array" ca="1" aca="1" ref="BK66">_xlfn.LET(_xlpm.val,IF($F66="",val_blankRefText,_xldudf_CX_GET(CX_ENTITY,($F66),BK$11,BK$14,,(BK$60))),_xlpm.Res,IF(OR(_xlpm.val="",_xlpm.val="Error"),"",_xlpm.val),_xlpm.Res)</f>
        <v>#NAME?</v>
      </c>
      <c r="BL66" s="1669" t="e" cm="1">
        <f t="array" ca="1" aca="1" ref="BL66">_xlfn.LET(_xlpm.val,IF($F66="",val_blankRefText,_xldudf_CX_GET(CX_ENTITY,($F66),BL$11,BL$14,,(BL$60))),_xlpm.Res,IF(OR(_xlpm.val="",_xlpm.val="Error"),"",_xlpm.val),_xlpm.Res)</f>
        <v>#NAME?</v>
      </c>
      <c r="BM66" s="1669" t="e" cm="1">
        <f t="array" ca="1" aca="1" ref="BM66">_xlfn.LET(_xlpm.val,IF($F66="",val_blankRefText,_xldudf_CX_GET(CX_ENTITY,($F66),BM$11,BM$14,,(BM$60))),_xlpm.Res,IF(OR(_xlpm.val="",_xlpm.val="Error"),"",_xlpm.val),_xlpm.Res)</f>
        <v>#NAME?</v>
      </c>
      <c r="BN66" s="1669" t="e" cm="1">
        <f t="array" ca="1" aca="1" ref="BN66">_xlfn.LET(_xlpm.val,IF($F66="",val_blankRefText,_xldudf_CX_GET(CX_ENTITY,($F66),BN$11,BN$14,,(BN$60))),_xlpm.Res,IF(OR(_xlpm.val="",_xlpm.val="Error"),"",_xlpm.val),_xlpm.Res)</f>
        <v>#NAME?</v>
      </c>
      <c r="BO66" s="2095"/>
      <c r="BP66" s="2095"/>
      <c r="BQ66" s="2095"/>
      <c r="BR66" s="2095"/>
      <c r="BS66" s="2095"/>
      <c r="BT66" s="2095"/>
      <c r="BU66" s="2095"/>
      <c r="BV66" s="2095"/>
      <c r="BW66" s="2095"/>
      <c r="BX66" s="2095"/>
      <c r="BY66" s="2095"/>
      <c r="BZ66" s="2095"/>
      <c r="CA66" s="926"/>
      <c r="CB66" s="921"/>
      <c r="CC66" s="927"/>
      <c r="CD66" s="920" t="e" cm="1">
        <f t="array" ca="1" aca="1" ref="CD66">_xlfn.XLOOKUP(BS!CD$11,array_timeline,BS!$AD66:$BN66)</f>
        <v>#NAME?</v>
      </c>
      <c r="CE66" s="920" t="e" cm="1">
        <f t="array" ca="1" aca="1" ref="CE66">_xlfn.XLOOKUP(BS!CE$11,array_timeline,BS!$AD66:$BN66)</f>
        <v>#NAME?</v>
      </c>
      <c r="CF66" s="925"/>
      <c r="CG66" s="920" t="e">
        <f ca="1" t="shared" si="19" ref="CG66:CH66">CG25</f>
        <v>#NAME?</v>
      </c>
      <c r="CH66" s="920" t="e">
        <f t="shared" ca="1" si="19"/>
        <v>#NAME?</v>
      </c>
      <c r="CI66" s="200"/>
    </row>
    <row r="67" spans="1:87" ht="21" customHeight="1">
      <c r="A67" s="696" t="s">
        <v>1755</v>
      </c>
      <c r="B67" s="577" t="str">
        <f t="shared" si="10"/>
        <v>Inventory</v>
      </c>
      <c r="C67" s="577" t="str">
        <f t="shared" si="10"/>
        <v>Inventory (Company View)</v>
      </c>
      <c r="D67" s="577"/>
      <c r="E67" s="577" t="e" cm="1">
        <f t="array" ca="1" aca="1" ref="E67">_xlfn.LET(_xlpm.Attr,$C67,_xlpm.Lookback,$E$16,_xlpm.QueryDate,EOMONTH(val_asOfDate,_xlpm.Lookback),_xlpm.ReadField,_xldudf_CX_GET(CX_ENTITY,fx_attrConverter($C67),_xlpm.QueryDate),_xlpm.AttrBlank,_xlpm.Attr="",_xlpm.RESULT,IF(_xlpm.AttrBlank,val_blankRefText,fx_attrConverter(_xlpm.ReadField,0)),IF(_xlpm.RESULT="Error","",_xlpm.RESULT))</f>
        <v>#NAME?</v>
      </c>
      <c r="F67" s="577" t="str">
        <f t="shared" si="9"/>
        <v>Inventory</v>
      </c>
      <c r="G67" s="574"/>
      <c r="H67" s="3279">
        <v>1</v>
      </c>
      <c r="I67" s="3279">
        <v>1</v>
      </c>
      <c r="J67" s="401"/>
      <c r="K67" s="401"/>
      <c r="L67" s="579" t="b">
        <v>0</v>
      </c>
      <c r="N67" s="158"/>
      <c r="O67" s="101"/>
      <c r="P67" s="52"/>
      <c r="Q67" s="101"/>
      <c r="R67" s="101"/>
      <c r="S67" s="101"/>
      <c r="T67" s="101"/>
      <c r="U67" s="39"/>
      <c r="W67" s="930" t="str">
        <f t="shared" si="15"/>
        <v>Budget</v>
      </c>
      <c r="X67" s="3292">
        <f t="shared" si="11"/>
        <v>1</v>
      </c>
      <c r="Y67" s="2631" t="str">
        <f t="shared" si="12"/>
        <v>Inventory</v>
      </c>
      <c r="Z67" s="198" cm="1">
        <f t="array" ref="Z67">_xlfn.SWITCH(TRUE,$L67="",0,$L67=TRUE,1,$L67=FALSE,-1,)</f>
        <v>-1</v>
      </c>
      <c r="AA67" s="200"/>
      <c r="AB67" s="2626" t="str">
        <f t="shared" si="13"/>
        <v>Inventory</v>
      </c>
      <c r="AC67" s="88"/>
      <c r="AD67" s="1669" t="e" cm="1">
        <f t="array" ca="1" aca="1" ref="AD67">_xlfn.LET(_xlpm.val,IF($F67="",val_blankRefText,_xldudf_CX_GET(CX_ENTITY,($F67),AD$11,AD$14,,(AD$60))),_xlpm.Res,IF(OR(_xlpm.val="",_xlpm.val="Error"),"",_xlpm.val),_xlpm.Res)</f>
        <v>#NAME?</v>
      </c>
      <c r="AE67" s="1669" t="e" cm="1">
        <f t="array" ca="1" aca="1" ref="AE67">_xlfn.LET(_xlpm.val,IF($F67="",val_blankRefText,_xldudf_CX_GET(CX_ENTITY,($F67),AE$11,AE$14,,(AE$60))),_xlpm.Res,IF(OR(_xlpm.val="",_xlpm.val="Error"),"",_xlpm.val),_xlpm.Res)</f>
        <v>#NAME?</v>
      </c>
      <c r="AF67" s="1669" t="e" cm="1">
        <f t="array" ca="1" aca="1" ref="AF67">_xlfn.LET(_xlpm.val,IF($F67="",val_blankRefText,_xldudf_CX_GET(CX_ENTITY,($F67),AF$11,AF$14,,(AF$60))),_xlpm.Res,IF(OR(_xlpm.val="",_xlpm.val="Error"),"",_xlpm.val),_xlpm.Res)</f>
        <v>#NAME?</v>
      </c>
      <c r="AG67" s="1669" t="e" cm="1">
        <f t="array" ca="1" aca="1" ref="AG67">_xlfn.LET(_xlpm.val,IF($F67="",val_blankRefText,_xldudf_CX_GET(CX_ENTITY,($F67),AG$11,AG$14,,(AG$60))),_xlpm.Res,IF(OR(_xlpm.val="",_xlpm.val="Error"),"",_xlpm.val),_xlpm.Res)</f>
        <v>#NAME?</v>
      </c>
      <c r="AH67" s="1669" t="e" cm="1">
        <f t="array" ca="1" aca="1" ref="AH67">_xlfn.LET(_xlpm.val,IF($F67="",val_blankRefText,_xldudf_CX_GET(CX_ENTITY,($F67),AH$11,AH$14,,(AH$60))),_xlpm.Res,IF(OR(_xlpm.val="",_xlpm.val="Error"),"",_xlpm.val),_xlpm.Res)</f>
        <v>#NAME?</v>
      </c>
      <c r="AI67" s="1669" t="e" cm="1">
        <f t="array" ca="1" aca="1" ref="AI67">_xlfn.LET(_xlpm.val,IF($F67="",val_blankRefText,_xldudf_CX_GET(CX_ENTITY,($F67),AI$11,AI$14,,(AI$60))),_xlpm.Res,IF(OR(_xlpm.val="",_xlpm.val="Error"),"",_xlpm.val),_xlpm.Res)</f>
        <v>#NAME?</v>
      </c>
      <c r="AJ67" s="1669" t="e" cm="1">
        <f t="array" ca="1" aca="1" ref="AJ67">_xlfn.LET(_xlpm.val,IF($F67="",val_blankRefText,_xldudf_CX_GET(CX_ENTITY,($F67),AJ$11,AJ$14,,(AJ$60))),_xlpm.Res,IF(OR(_xlpm.val="",_xlpm.val="Error"),"",_xlpm.val),_xlpm.Res)</f>
        <v>#NAME?</v>
      </c>
      <c r="AK67" s="1669" t="e" cm="1">
        <f t="array" ca="1" aca="1" ref="AK67">_xlfn.LET(_xlpm.val,IF($F67="",val_blankRefText,_xldudf_CX_GET(CX_ENTITY,($F67),AK$11,AK$14,,(AK$60))),_xlpm.Res,IF(OR(_xlpm.val="",_xlpm.val="Error"),"",_xlpm.val),_xlpm.Res)</f>
        <v>#NAME?</v>
      </c>
      <c r="AL67" s="1669" t="e" cm="1">
        <f t="array" ca="1" aca="1" ref="AL67">_xlfn.LET(_xlpm.val,IF($F67="",val_blankRefText,_xldudf_CX_GET(CX_ENTITY,($F67),AL$11,AL$14,,(AL$60))),_xlpm.Res,IF(OR(_xlpm.val="",_xlpm.val="Error"),"",_xlpm.val),_xlpm.Res)</f>
        <v>#NAME?</v>
      </c>
      <c r="AM67" s="1669" t="e" cm="1">
        <f t="array" ca="1" aca="1" ref="AM67">_xlfn.LET(_xlpm.val,IF($F67="",val_blankRefText,_xldudf_CX_GET(CX_ENTITY,($F67),AM$11,AM$14,,(AM$60))),_xlpm.Res,IF(OR(_xlpm.val="",_xlpm.val="Error"),"",_xlpm.val),_xlpm.Res)</f>
        <v>#NAME?</v>
      </c>
      <c r="AN67" s="1669" t="e" cm="1">
        <f t="array" ca="1" aca="1" ref="AN67">_xlfn.LET(_xlpm.val,IF($F67="",val_blankRefText,_xldudf_CX_GET(CX_ENTITY,($F67),AN$11,AN$14,,(AN$60))),_xlpm.Res,IF(OR(_xlpm.val="",_xlpm.val="Error"),"",_xlpm.val),_xlpm.Res)</f>
        <v>#NAME?</v>
      </c>
      <c r="AO67" s="1669" t="e" cm="1">
        <f t="array" ca="1" aca="1" ref="AO67">_xlfn.LET(_xlpm.val,IF($F67="",val_blankRefText,_xldudf_CX_GET(CX_ENTITY,($F67),AO$11,AO$14,,(AO$60))),_xlpm.Res,IF(OR(_xlpm.val="",_xlpm.val="Error"),"",_xlpm.val),_xlpm.Res)</f>
        <v>#NAME?</v>
      </c>
      <c r="AP67" s="1669" t="e" cm="1">
        <f t="array" ca="1" aca="1" ref="AP67">_xlfn.LET(_xlpm.val,IF($F67="",val_blankRefText,_xldudf_CX_GET(CX_ENTITY,($F67),AP$11,AP$14,,(AP$60))),_xlpm.Res,IF(OR(_xlpm.val="",_xlpm.val="Error"),"",_xlpm.val),_xlpm.Res)</f>
        <v>#NAME?</v>
      </c>
      <c r="AQ67" s="1669" t="e" cm="1">
        <f t="array" ca="1" aca="1" ref="AQ67">_xlfn.LET(_xlpm.val,IF($F67="",val_blankRefText,_xldudf_CX_GET(CX_ENTITY,($F67),AQ$11,AQ$14,,(AQ$60))),_xlpm.Res,IF(OR(_xlpm.val="",_xlpm.val="Error"),"",_xlpm.val),_xlpm.Res)</f>
        <v>#NAME?</v>
      </c>
      <c r="AR67" s="1669" t="e" cm="1">
        <f t="array" ca="1" aca="1" ref="AR67">_xlfn.LET(_xlpm.val,IF($F67="",val_blankRefText,_xldudf_CX_GET(CX_ENTITY,($F67),AR$11,AR$14,,(AR$60))),_xlpm.Res,IF(OR(_xlpm.val="",_xlpm.val="Error"),"",_xlpm.val),_xlpm.Res)</f>
        <v>#NAME?</v>
      </c>
      <c r="AS67" s="1669" t="e" cm="1">
        <f t="array" ca="1" aca="1" ref="AS67">_xlfn.LET(_xlpm.val,IF($F67="",val_blankRefText,_xldudf_CX_GET(CX_ENTITY,($F67),AS$11,AS$14,,(AS$60))),_xlpm.Res,IF(OR(_xlpm.val="",_xlpm.val="Error"),"",_xlpm.val),_xlpm.Res)</f>
        <v>#NAME?</v>
      </c>
      <c r="AT67" s="1669" t="e" cm="1">
        <f t="array" ca="1" aca="1" ref="AT67">_xlfn.LET(_xlpm.val,IF($F67="",val_blankRefText,_xldudf_CX_GET(CX_ENTITY,($F67),AT$11,AT$14,,(AT$60))),_xlpm.Res,IF(OR(_xlpm.val="",_xlpm.val="Error"),"",_xlpm.val),_xlpm.Res)</f>
        <v>#NAME?</v>
      </c>
      <c r="AU67" s="1669" t="e" cm="1">
        <f t="array" ca="1" aca="1" ref="AU67">_xlfn.LET(_xlpm.val,IF($F67="",val_blankRefText,_xldudf_CX_GET(CX_ENTITY,($F67),AU$11,AU$14,,(AU$60))),_xlpm.Res,IF(OR(_xlpm.val="",_xlpm.val="Error"),"",_xlpm.val),_xlpm.Res)</f>
        <v>#NAME?</v>
      </c>
      <c r="AV67" s="1669" t="e" cm="1">
        <f t="array" ca="1" aca="1" ref="AV67">_xlfn.LET(_xlpm.val,IF($F67="",val_blankRefText,_xldudf_CX_GET(CX_ENTITY,($F67),AV$11,AV$14,,(AV$60))),_xlpm.Res,IF(OR(_xlpm.val="",_xlpm.val="Error"),"",_xlpm.val),_xlpm.Res)</f>
        <v>#NAME?</v>
      </c>
      <c r="AW67" s="1669" t="e" cm="1">
        <f t="array" ca="1" aca="1" ref="AW67">_xlfn.LET(_xlpm.val,IF($F67="",val_blankRefText,_xldudf_CX_GET(CX_ENTITY,($F67),AW$11,AW$14,,(AW$60))),_xlpm.Res,IF(OR(_xlpm.val="",_xlpm.val="Error"),"",_xlpm.val),_xlpm.Res)</f>
        <v>#NAME?</v>
      </c>
      <c r="AX67" s="1669" t="e" cm="1">
        <f t="array" ca="1" aca="1" ref="AX67">_xlfn.LET(_xlpm.val,IF($F67="",val_blankRefText,_xldudf_CX_GET(CX_ENTITY,($F67),AX$11,AX$14,,(AX$60))),_xlpm.Res,IF(OR(_xlpm.val="",_xlpm.val="Error"),"",_xlpm.val),_xlpm.Res)</f>
        <v>#NAME?</v>
      </c>
      <c r="AY67" s="1669" t="e" cm="1">
        <f t="array" ca="1" aca="1" ref="AY67">_xlfn.LET(_xlpm.val,IF($F67="",val_blankRefText,_xldudf_CX_GET(CX_ENTITY,($F67),AY$11,AY$14,,(AY$60))),_xlpm.Res,IF(OR(_xlpm.val="",_xlpm.val="Error"),"",_xlpm.val),_xlpm.Res)</f>
        <v>#NAME?</v>
      </c>
      <c r="AZ67" s="1669" t="e" cm="1">
        <f t="array" ca="1" aca="1" ref="AZ67">_xlfn.LET(_xlpm.val,IF($F67="",val_blankRefText,_xldudf_CX_GET(CX_ENTITY,($F67),AZ$11,AZ$14,,(AZ$60))),_xlpm.Res,IF(OR(_xlpm.val="",_xlpm.val="Error"),"",_xlpm.val),_xlpm.Res)</f>
        <v>#NAME?</v>
      </c>
      <c r="BA67" s="1669" t="e" cm="1">
        <f t="array" ca="1" aca="1" ref="BA67">_xlfn.LET(_xlpm.val,IF($F67="",val_blankRefText,_xldudf_CX_GET(CX_ENTITY,($F67),BA$11,BA$14,,(BA$60))),_xlpm.Res,IF(OR(_xlpm.val="",_xlpm.val="Error"),"",_xlpm.val),_xlpm.Res)</f>
        <v>#NAME?</v>
      </c>
      <c r="BB67" s="1669" t="e" cm="1">
        <f t="array" ca="1" aca="1" ref="BB67">_xlfn.LET(_xlpm.val,IF($F67="",val_blankRefText,_xldudf_CX_GET(CX_ENTITY,($F67),BB$11,BB$14,,(BB$60))),_xlpm.Res,IF(OR(_xlpm.val="",_xlpm.val="Error"),"",_xlpm.val),_xlpm.Res)</f>
        <v>#NAME?</v>
      </c>
      <c r="BC67" s="1669" t="e" cm="1">
        <f t="array" ca="1" aca="1" ref="BC67">_xlfn.LET(_xlpm.val,IF($F67="",val_blankRefText,_xldudf_CX_GET(CX_ENTITY,($F67),BC$11,BC$14,,(BC$60))),_xlpm.Res,IF(OR(_xlpm.val="",_xlpm.val="Error"),"",_xlpm.val),_xlpm.Res)</f>
        <v>#NAME?</v>
      </c>
      <c r="BD67" s="1669" t="e" cm="1">
        <f t="array" ca="1" aca="1" ref="BD67">_xlfn.LET(_xlpm.val,IF($F67="",val_blankRefText,_xldudf_CX_GET(CX_ENTITY,($F67),BD$11,BD$14,,(BD$60))),_xlpm.Res,IF(OR(_xlpm.val="",_xlpm.val="Error"),"",_xlpm.val),_xlpm.Res)</f>
        <v>#NAME?</v>
      </c>
      <c r="BE67" s="1669" t="e" cm="1">
        <f t="array" ca="1" aca="1" ref="BE67">_xlfn.LET(_xlpm.val,IF($F67="",val_blankRefText,_xldudf_CX_GET(CX_ENTITY,($F67),BE$11,BE$14,,(BE$60))),_xlpm.Res,IF(OR(_xlpm.val="",_xlpm.val="Error"),"",_xlpm.val),_xlpm.Res)</f>
        <v>#NAME?</v>
      </c>
      <c r="BF67" s="1669" t="e" cm="1">
        <f t="array" ca="1" aca="1" ref="BF67">_xlfn.LET(_xlpm.val,IF($F67="",val_blankRefText,_xldudf_CX_GET(CX_ENTITY,($F67),BF$11,BF$14,,(BF$60))),_xlpm.Res,IF(OR(_xlpm.val="",_xlpm.val="Error"),"",_xlpm.val),_xlpm.Res)</f>
        <v>#NAME?</v>
      </c>
      <c r="BG67" s="1669" t="e" cm="1">
        <f t="array" ca="1" aca="1" ref="BG67">_xlfn.LET(_xlpm.val,IF($F67="",val_blankRefText,_xldudf_CX_GET(CX_ENTITY,($F67),BG$11,BG$14,,(BG$60))),_xlpm.Res,IF(OR(_xlpm.val="",_xlpm.val="Error"),"",_xlpm.val),_xlpm.Res)</f>
        <v>#NAME?</v>
      </c>
      <c r="BH67" s="1669" t="e" cm="1">
        <f t="array" ca="1" aca="1" ref="BH67">_xlfn.LET(_xlpm.val,IF($F67="",val_blankRefText,_xldudf_CX_GET(CX_ENTITY,($F67),BH$11,BH$14,,(BH$60))),_xlpm.Res,IF(OR(_xlpm.val="",_xlpm.val="Error"),"",_xlpm.val),_xlpm.Res)</f>
        <v>#NAME?</v>
      </c>
      <c r="BI67" s="1669" t="e" cm="1">
        <f t="array" ca="1" aca="1" ref="BI67">_xlfn.LET(_xlpm.val,IF($F67="",val_blankRefText,_xldudf_CX_GET(CX_ENTITY,($F67),BI$11,BI$14,,(BI$60))),_xlpm.Res,IF(OR(_xlpm.val="",_xlpm.val="Error"),"",_xlpm.val),_xlpm.Res)</f>
        <v>#NAME?</v>
      </c>
      <c r="BJ67" s="1669" t="e" cm="1">
        <f t="array" ca="1" aca="1" ref="BJ67">_xlfn.LET(_xlpm.val,IF($F67="",val_blankRefText,_xldudf_CX_GET(CX_ENTITY,($F67),BJ$11,BJ$14,,(BJ$60))),_xlpm.Res,IF(OR(_xlpm.val="",_xlpm.val="Error"),"",_xlpm.val),_xlpm.Res)</f>
        <v>#NAME?</v>
      </c>
      <c r="BK67" s="1669" t="e" cm="1">
        <f t="array" ca="1" aca="1" ref="BK67">_xlfn.LET(_xlpm.val,IF($F67="",val_blankRefText,_xldudf_CX_GET(CX_ENTITY,($F67),BK$11,BK$14,,(BK$60))),_xlpm.Res,IF(OR(_xlpm.val="",_xlpm.val="Error"),"",_xlpm.val),_xlpm.Res)</f>
        <v>#NAME?</v>
      </c>
      <c r="BL67" s="1669" t="e" cm="1">
        <f t="array" ca="1" aca="1" ref="BL67">_xlfn.LET(_xlpm.val,IF($F67="",val_blankRefText,_xldudf_CX_GET(CX_ENTITY,($F67),BL$11,BL$14,,(BL$60))),_xlpm.Res,IF(OR(_xlpm.val="",_xlpm.val="Error"),"",_xlpm.val),_xlpm.Res)</f>
        <v>#NAME?</v>
      </c>
      <c r="BM67" s="1669" t="e" cm="1">
        <f t="array" ca="1" aca="1" ref="BM67">_xlfn.LET(_xlpm.val,IF($F67="",val_blankRefText,_xldudf_CX_GET(CX_ENTITY,($F67),BM$11,BM$14,,(BM$60))),_xlpm.Res,IF(OR(_xlpm.val="",_xlpm.val="Error"),"",_xlpm.val),_xlpm.Res)</f>
        <v>#NAME?</v>
      </c>
      <c r="BN67" s="1669" t="e" cm="1">
        <f t="array" ca="1" aca="1" ref="BN67">_xlfn.LET(_xlpm.val,IF($F67="",val_blankRefText,_xldudf_CX_GET(CX_ENTITY,($F67),BN$11,BN$14,,(BN$60))),_xlpm.Res,IF(OR(_xlpm.val="",_xlpm.val="Error"),"",_xlpm.val),_xlpm.Res)</f>
        <v>#NAME?</v>
      </c>
      <c r="BO67" s="2095"/>
      <c r="BP67" s="2095"/>
      <c r="BQ67" s="2095"/>
      <c r="BR67" s="2095"/>
      <c r="BS67" s="2095"/>
      <c r="BT67" s="2095"/>
      <c r="BU67" s="2095"/>
      <c r="BV67" s="2095"/>
      <c r="BW67" s="2095"/>
      <c r="BX67" s="2095"/>
      <c r="BY67" s="2095"/>
      <c r="BZ67" s="2095"/>
      <c r="CA67" s="926"/>
      <c r="CB67" s="921"/>
      <c r="CC67" s="927"/>
      <c r="CD67" s="920" t="e" cm="1">
        <f t="array" ca="1" aca="1" ref="CD67">_xlfn.XLOOKUP(BS!CD$11,array_timeline,BS!$AD67:$BN67)</f>
        <v>#NAME?</v>
      </c>
      <c r="CE67" s="920" t="e" cm="1">
        <f t="array" ca="1" aca="1" ref="CE67">_xlfn.XLOOKUP(BS!CE$11,array_timeline,BS!$AD67:$BN67)</f>
        <v>#NAME?</v>
      </c>
      <c r="CF67" s="925"/>
      <c r="CG67" s="920" t="e">
        <f ca="1" t="shared" si="20" ref="CG67:CH67">CG26</f>
        <v>#NAME?</v>
      </c>
      <c r="CH67" s="920" t="e">
        <f t="shared" ca="1" si="20"/>
        <v>#NAME?</v>
      </c>
      <c r="CI67" s="200"/>
    </row>
    <row r="68" spans="1:87" ht="21" customHeight="1">
      <c r="A68" s="696" t="s">
        <v>1756</v>
      </c>
      <c r="B68" s="577" t="str">
        <f t="shared" si="10"/>
        <v>Other Net Working Capital</v>
      </c>
      <c r="C68" s="577" t="str">
        <f t="shared" si="10"/>
        <v>Other Net Working Capital (Company View)</v>
      </c>
      <c r="D68" s="577"/>
      <c r="E68" s="577" t="e" cm="1">
        <f t="array" ca="1" aca="1" ref="E68">_xlfn.LET(_xlpm.Attr,$C68,_xlpm.Lookback,$E$16,_xlpm.QueryDate,EOMONTH(val_asOfDate,_xlpm.Lookback),_xlpm.ReadField,_xldudf_CX_GET(CX_ENTITY,fx_attrConverter($C68),_xlpm.QueryDate),_xlpm.AttrBlank,_xlpm.Attr="",_xlpm.RESULT,IF(_xlpm.AttrBlank,val_blankRefText,fx_attrConverter(_xlpm.ReadField,0)),IF(_xlpm.RESULT="Error","",_xlpm.RESULT))</f>
        <v>#NAME?</v>
      </c>
      <c r="F68" s="577" t="str">
        <f t="shared" si="9"/>
        <v>Other Net Working Capital</v>
      </c>
      <c r="G68" s="574"/>
      <c r="H68" s="3279">
        <v>1</v>
      </c>
      <c r="I68" s="3279">
        <v>1</v>
      </c>
      <c r="J68" s="401"/>
      <c r="K68" s="401"/>
      <c r="L68" s="579" t="b">
        <v>0</v>
      </c>
      <c r="N68" s="158"/>
      <c r="O68" s="101"/>
      <c r="P68" s="52"/>
      <c r="Q68" s="101"/>
      <c r="R68" s="126"/>
      <c r="S68" s="101"/>
      <c r="T68" s="101"/>
      <c r="U68" s="39"/>
      <c r="W68" s="930" t="str">
        <f t="shared" si="15"/>
        <v>Budget</v>
      </c>
      <c r="X68" s="857" t="str">
        <f t="shared" si="11"/>
        <v>a</v>
      </c>
      <c r="Y68" s="2631" t="str">
        <f t="shared" si="12"/>
        <v>Other Net Working Capital</v>
      </c>
      <c r="Z68" s="198" cm="1">
        <f t="array" ref="Z68">_xlfn.SWITCH(TRUE,$L68="",0,$L68=TRUE,1,$L68=FALSE,-1,)</f>
        <v>-1</v>
      </c>
      <c r="AA68" s="200"/>
      <c r="AB68" s="2626" t="str">
        <f t="shared" si="13"/>
        <v>Other Net Working Capital</v>
      </c>
      <c r="AC68" s="88"/>
      <c r="AD68" s="1669" t="e" cm="1">
        <f t="array" ca="1" aca="1" ref="AD68">_xlfn.LET(_xlpm.val,IF($F68="",val_blankRefText,_xldudf_CX_GET(CX_ENTITY,($F68),AD$11,AD$14,,(AD$60))),_xlpm.Res,IF(OR(_xlpm.val="",_xlpm.val="Error"),"",_xlpm.val),_xlpm.Res)</f>
        <v>#NAME?</v>
      </c>
      <c r="AE68" s="1669" t="e" cm="1">
        <f t="array" ca="1" aca="1" ref="AE68">_xlfn.LET(_xlpm.val,IF($F68="",val_blankRefText,_xldudf_CX_GET(CX_ENTITY,($F68),AE$11,AE$14,,(AE$60))),_xlpm.Res,IF(OR(_xlpm.val="",_xlpm.val="Error"),"",_xlpm.val),_xlpm.Res)</f>
        <v>#NAME?</v>
      </c>
      <c r="AF68" s="1669" t="e" cm="1">
        <f t="array" ca="1" aca="1" ref="AF68">_xlfn.LET(_xlpm.val,IF($F68="",val_blankRefText,_xldudf_CX_GET(CX_ENTITY,($F68),AF$11,AF$14,,(AF$60))),_xlpm.Res,IF(OR(_xlpm.val="",_xlpm.val="Error"),"",_xlpm.val),_xlpm.Res)</f>
        <v>#NAME?</v>
      </c>
      <c r="AG68" s="1669" t="e" cm="1">
        <f t="array" ca="1" aca="1" ref="AG68">_xlfn.LET(_xlpm.val,IF($F68="",val_blankRefText,_xldudf_CX_GET(CX_ENTITY,($F68),AG$11,AG$14,,(AG$60))),_xlpm.Res,IF(OR(_xlpm.val="",_xlpm.val="Error"),"",_xlpm.val),_xlpm.Res)</f>
        <v>#NAME?</v>
      </c>
      <c r="AH68" s="1669" t="e" cm="1">
        <f t="array" ca="1" aca="1" ref="AH68">_xlfn.LET(_xlpm.val,IF($F68="",val_blankRefText,_xldudf_CX_GET(CX_ENTITY,($F68),AH$11,AH$14,,(AH$60))),_xlpm.Res,IF(OR(_xlpm.val="",_xlpm.val="Error"),"",_xlpm.val),_xlpm.Res)</f>
        <v>#NAME?</v>
      </c>
      <c r="AI68" s="1669" t="e" cm="1">
        <f t="array" ca="1" aca="1" ref="AI68">_xlfn.LET(_xlpm.val,IF($F68="",val_blankRefText,_xldudf_CX_GET(CX_ENTITY,($F68),AI$11,AI$14,,(AI$60))),_xlpm.Res,IF(OR(_xlpm.val="",_xlpm.val="Error"),"",_xlpm.val),_xlpm.Res)</f>
        <v>#NAME?</v>
      </c>
      <c r="AJ68" s="1669" t="e" cm="1">
        <f t="array" ca="1" aca="1" ref="AJ68">_xlfn.LET(_xlpm.val,IF($F68="",val_blankRefText,_xldudf_CX_GET(CX_ENTITY,($F68),AJ$11,AJ$14,,(AJ$60))),_xlpm.Res,IF(OR(_xlpm.val="",_xlpm.val="Error"),"",_xlpm.val),_xlpm.Res)</f>
        <v>#NAME?</v>
      </c>
      <c r="AK68" s="1669" t="e" cm="1">
        <f t="array" ca="1" aca="1" ref="AK68">_xlfn.LET(_xlpm.val,IF($F68="",val_blankRefText,_xldudf_CX_GET(CX_ENTITY,($F68),AK$11,AK$14,,(AK$60))),_xlpm.Res,IF(OR(_xlpm.val="",_xlpm.val="Error"),"",_xlpm.val),_xlpm.Res)</f>
        <v>#NAME?</v>
      </c>
      <c r="AL68" s="1669" t="e" cm="1">
        <f t="array" ca="1" aca="1" ref="AL68">_xlfn.LET(_xlpm.val,IF($F68="",val_blankRefText,_xldudf_CX_GET(CX_ENTITY,($F68),AL$11,AL$14,,(AL$60))),_xlpm.Res,IF(OR(_xlpm.val="",_xlpm.val="Error"),"",_xlpm.val),_xlpm.Res)</f>
        <v>#NAME?</v>
      </c>
      <c r="AM68" s="1669" t="e" cm="1">
        <f t="array" ca="1" aca="1" ref="AM68">_xlfn.LET(_xlpm.val,IF($F68="",val_blankRefText,_xldudf_CX_GET(CX_ENTITY,($F68),AM$11,AM$14,,(AM$60))),_xlpm.Res,IF(OR(_xlpm.val="",_xlpm.val="Error"),"",_xlpm.val),_xlpm.Res)</f>
        <v>#NAME?</v>
      </c>
      <c r="AN68" s="1669" t="e" cm="1">
        <f t="array" ca="1" aca="1" ref="AN68">_xlfn.LET(_xlpm.val,IF($F68="",val_blankRefText,_xldudf_CX_GET(CX_ENTITY,($F68),AN$11,AN$14,,(AN$60))),_xlpm.Res,IF(OR(_xlpm.val="",_xlpm.val="Error"),"",_xlpm.val),_xlpm.Res)</f>
        <v>#NAME?</v>
      </c>
      <c r="AO68" s="1669" t="e" cm="1">
        <f t="array" ca="1" aca="1" ref="AO68">_xlfn.LET(_xlpm.val,IF($F68="",val_blankRefText,_xldudf_CX_GET(CX_ENTITY,($F68),AO$11,AO$14,,(AO$60))),_xlpm.Res,IF(OR(_xlpm.val="",_xlpm.val="Error"),"",_xlpm.val),_xlpm.Res)</f>
        <v>#NAME?</v>
      </c>
      <c r="AP68" s="1669" t="e" cm="1">
        <f t="array" ca="1" aca="1" ref="AP68">_xlfn.LET(_xlpm.val,IF($F68="",val_blankRefText,_xldudf_CX_GET(CX_ENTITY,($F68),AP$11,AP$14,,(AP$60))),_xlpm.Res,IF(OR(_xlpm.val="",_xlpm.val="Error"),"",_xlpm.val),_xlpm.Res)</f>
        <v>#NAME?</v>
      </c>
      <c r="AQ68" s="1669" t="e" cm="1">
        <f t="array" ca="1" aca="1" ref="AQ68">_xlfn.LET(_xlpm.val,IF($F68="",val_blankRefText,_xldudf_CX_GET(CX_ENTITY,($F68),AQ$11,AQ$14,,(AQ$60))),_xlpm.Res,IF(OR(_xlpm.val="",_xlpm.val="Error"),"",_xlpm.val),_xlpm.Res)</f>
        <v>#NAME?</v>
      </c>
      <c r="AR68" s="1669" t="e" cm="1">
        <f t="array" ca="1" aca="1" ref="AR68">_xlfn.LET(_xlpm.val,IF($F68="",val_blankRefText,_xldudf_CX_GET(CX_ENTITY,($F68),AR$11,AR$14,,(AR$60))),_xlpm.Res,IF(OR(_xlpm.val="",_xlpm.val="Error"),"",_xlpm.val),_xlpm.Res)</f>
        <v>#NAME?</v>
      </c>
      <c r="AS68" s="1669" t="e" cm="1">
        <f t="array" ca="1" aca="1" ref="AS68">_xlfn.LET(_xlpm.val,IF($F68="",val_blankRefText,_xldudf_CX_GET(CX_ENTITY,($F68),AS$11,AS$14,,(AS$60))),_xlpm.Res,IF(OR(_xlpm.val="",_xlpm.val="Error"),"",_xlpm.val),_xlpm.Res)</f>
        <v>#NAME?</v>
      </c>
      <c r="AT68" s="1669" t="e" cm="1">
        <f t="array" ca="1" aca="1" ref="AT68">_xlfn.LET(_xlpm.val,IF($F68="",val_blankRefText,_xldudf_CX_GET(CX_ENTITY,($F68),AT$11,AT$14,,(AT$60))),_xlpm.Res,IF(OR(_xlpm.val="",_xlpm.val="Error"),"",_xlpm.val),_xlpm.Res)</f>
        <v>#NAME?</v>
      </c>
      <c r="AU68" s="1669" t="e" cm="1">
        <f t="array" ca="1" aca="1" ref="AU68">_xlfn.LET(_xlpm.val,IF($F68="",val_blankRefText,_xldudf_CX_GET(CX_ENTITY,($F68),AU$11,AU$14,,(AU$60))),_xlpm.Res,IF(OR(_xlpm.val="",_xlpm.val="Error"),"",_xlpm.val),_xlpm.Res)</f>
        <v>#NAME?</v>
      </c>
      <c r="AV68" s="1669" t="e" cm="1">
        <f t="array" ca="1" aca="1" ref="AV68">_xlfn.LET(_xlpm.val,IF($F68="",val_blankRefText,_xldudf_CX_GET(CX_ENTITY,($F68),AV$11,AV$14,,(AV$60))),_xlpm.Res,IF(OR(_xlpm.val="",_xlpm.val="Error"),"",_xlpm.val),_xlpm.Res)</f>
        <v>#NAME?</v>
      </c>
      <c r="AW68" s="1669" t="e" cm="1">
        <f t="array" ca="1" aca="1" ref="AW68">_xlfn.LET(_xlpm.val,IF($F68="",val_blankRefText,_xldudf_CX_GET(CX_ENTITY,($F68),AW$11,AW$14,,(AW$60))),_xlpm.Res,IF(OR(_xlpm.val="",_xlpm.val="Error"),"",_xlpm.val),_xlpm.Res)</f>
        <v>#NAME?</v>
      </c>
      <c r="AX68" s="1669" t="e" cm="1">
        <f t="array" ca="1" aca="1" ref="AX68">_xlfn.LET(_xlpm.val,IF($F68="",val_blankRefText,_xldudf_CX_GET(CX_ENTITY,($F68),AX$11,AX$14,,(AX$60))),_xlpm.Res,IF(OR(_xlpm.val="",_xlpm.val="Error"),"",_xlpm.val),_xlpm.Res)</f>
        <v>#NAME?</v>
      </c>
      <c r="AY68" s="1669" t="e" cm="1">
        <f t="array" ca="1" aca="1" ref="AY68">_xlfn.LET(_xlpm.val,IF($F68="",val_blankRefText,_xldudf_CX_GET(CX_ENTITY,($F68),AY$11,AY$14,,(AY$60))),_xlpm.Res,IF(OR(_xlpm.val="",_xlpm.val="Error"),"",_xlpm.val),_xlpm.Res)</f>
        <v>#NAME?</v>
      </c>
      <c r="AZ68" s="1669" t="e" cm="1">
        <f t="array" ca="1" aca="1" ref="AZ68">_xlfn.LET(_xlpm.val,IF($F68="",val_blankRefText,_xldudf_CX_GET(CX_ENTITY,($F68),AZ$11,AZ$14,,(AZ$60))),_xlpm.Res,IF(OR(_xlpm.val="",_xlpm.val="Error"),"",_xlpm.val),_xlpm.Res)</f>
        <v>#NAME?</v>
      </c>
      <c r="BA68" s="1669" t="e" cm="1">
        <f t="array" ca="1" aca="1" ref="BA68">_xlfn.LET(_xlpm.val,IF($F68="",val_blankRefText,_xldudf_CX_GET(CX_ENTITY,($F68),BA$11,BA$14,,(BA$60))),_xlpm.Res,IF(OR(_xlpm.val="",_xlpm.val="Error"),"",_xlpm.val),_xlpm.Res)</f>
        <v>#NAME?</v>
      </c>
      <c r="BB68" s="1669" t="e" cm="1">
        <f t="array" ca="1" aca="1" ref="BB68">_xlfn.LET(_xlpm.val,IF($F68="",val_blankRefText,_xldudf_CX_GET(CX_ENTITY,($F68),BB$11,BB$14,,(BB$60))),_xlpm.Res,IF(OR(_xlpm.val="",_xlpm.val="Error"),"",_xlpm.val),_xlpm.Res)</f>
        <v>#NAME?</v>
      </c>
      <c r="BC68" s="1669" t="e" cm="1">
        <f t="array" ca="1" aca="1" ref="BC68">_xlfn.LET(_xlpm.val,IF($F68="",val_blankRefText,_xldudf_CX_GET(CX_ENTITY,($F68),BC$11,BC$14,,(BC$60))),_xlpm.Res,IF(OR(_xlpm.val="",_xlpm.val="Error"),"",_xlpm.val),_xlpm.Res)</f>
        <v>#NAME?</v>
      </c>
      <c r="BD68" s="1669" t="e" cm="1">
        <f t="array" ca="1" aca="1" ref="BD68">_xlfn.LET(_xlpm.val,IF($F68="",val_blankRefText,_xldudf_CX_GET(CX_ENTITY,($F68),BD$11,BD$14,,(BD$60))),_xlpm.Res,IF(OR(_xlpm.val="",_xlpm.val="Error"),"",_xlpm.val),_xlpm.Res)</f>
        <v>#NAME?</v>
      </c>
      <c r="BE68" s="1669" t="e" cm="1">
        <f t="array" ca="1" aca="1" ref="BE68">_xlfn.LET(_xlpm.val,IF($F68="",val_blankRefText,_xldudf_CX_GET(CX_ENTITY,($F68),BE$11,BE$14,,(BE$60))),_xlpm.Res,IF(OR(_xlpm.val="",_xlpm.val="Error"),"",_xlpm.val),_xlpm.Res)</f>
        <v>#NAME?</v>
      </c>
      <c r="BF68" s="1669" t="e" cm="1">
        <f t="array" ca="1" aca="1" ref="BF68">_xlfn.LET(_xlpm.val,IF($F68="",val_blankRefText,_xldudf_CX_GET(CX_ENTITY,($F68),BF$11,BF$14,,(BF$60))),_xlpm.Res,IF(OR(_xlpm.val="",_xlpm.val="Error"),"",_xlpm.val),_xlpm.Res)</f>
        <v>#NAME?</v>
      </c>
      <c r="BG68" s="1669" t="e" cm="1">
        <f t="array" ca="1" aca="1" ref="BG68">_xlfn.LET(_xlpm.val,IF($F68="",val_blankRefText,_xldudf_CX_GET(CX_ENTITY,($F68),BG$11,BG$14,,(BG$60))),_xlpm.Res,IF(OR(_xlpm.val="",_xlpm.val="Error"),"",_xlpm.val),_xlpm.Res)</f>
        <v>#NAME?</v>
      </c>
      <c r="BH68" s="1669" t="e" cm="1">
        <f t="array" ca="1" aca="1" ref="BH68">_xlfn.LET(_xlpm.val,IF($F68="",val_blankRefText,_xldudf_CX_GET(CX_ENTITY,($F68),BH$11,BH$14,,(BH$60))),_xlpm.Res,IF(OR(_xlpm.val="",_xlpm.val="Error"),"",_xlpm.val),_xlpm.Res)</f>
        <v>#NAME?</v>
      </c>
      <c r="BI68" s="1669" t="e" cm="1">
        <f t="array" ca="1" aca="1" ref="BI68">_xlfn.LET(_xlpm.val,IF($F68="",val_blankRefText,_xldudf_CX_GET(CX_ENTITY,($F68),BI$11,BI$14,,(BI$60))),_xlpm.Res,IF(OR(_xlpm.val="",_xlpm.val="Error"),"",_xlpm.val),_xlpm.Res)</f>
        <v>#NAME?</v>
      </c>
      <c r="BJ68" s="1669" t="e" cm="1">
        <f t="array" ca="1" aca="1" ref="BJ68">_xlfn.LET(_xlpm.val,IF($F68="",val_blankRefText,_xldudf_CX_GET(CX_ENTITY,($F68),BJ$11,BJ$14,,(BJ$60))),_xlpm.Res,IF(OR(_xlpm.val="",_xlpm.val="Error"),"",_xlpm.val),_xlpm.Res)</f>
        <v>#NAME?</v>
      </c>
      <c r="BK68" s="1669" t="e" cm="1">
        <f t="array" ca="1" aca="1" ref="BK68">_xlfn.LET(_xlpm.val,IF($F68="",val_blankRefText,_xldudf_CX_GET(CX_ENTITY,($F68),BK$11,BK$14,,(BK$60))),_xlpm.Res,IF(OR(_xlpm.val="",_xlpm.val="Error"),"",_xlpm.val),_xlpm.Res)</f>
        <v>#NAME?</v>
      </c>
      <c r="BL68" s="1669" t="e" cm="1">
        <f t="array" ca="1" aca="1" ref="BL68">_xlfn.LET(_xlpm.val,IF($F68="",val_blankRefText,_xldudf_CX_GET(CX_ENTITY,($F68),BL$11,BL$14,,(BL$60))),_xlpm.Res,IF(OR(_xlpm.val="",_xlpm.val="Error"),"",_xlpm.val),_xlpm.Res)</f>
        <v>#NAME?</v>
      </c>
      <c r="BM68" s="1669" t="e" cm="1">
        <f t="array" ca="1" aca="1" ref="BM68">_xlfn.LET(_xlpm.val,IF($F68="",val_blankRefText,_xldudf_CX_GET(CX_ENTITY,($F68),BM$11,BM$14,,(BM$60))),_xlpm.Res,IF(OR(_xlpm.val="",_xlpm.val="Error"),"",_xlpm.val),_xlpm.Res)</f>
        <v>#NAME?</v>
      </c>
      <c r="BN68" s="1669" t="e" cm="1">
        <f t="array" ca="1" aca="1" ref="BN68">_xlfn.LET(_xlpm.val,IF($F68="",val_blankRefText,_xldudf_CX_GET(CX_ENTITY,($F68),BN$11,BN$14,,(BN$60))),_xlpm.Res,IF(OR(_xlpm.val="",_xlpm.val="Error"),"",_xlpm.val),_xlpm.Res)</f>
        <v>#NAME?</v>
      </c>
      <c r="BO68" s="2095"/>
      <c r="BP68" s="2095"/>
      <c r="BQ68" s="2095"/>
      <c r="BR68" s="2095"/>
      <c r="BS68" s="2095"/>
      <c r="BT68" s="2095"/>
      <c r="BU68" s="2095"/>
      <c r="BV68" s="2095"/>
      <c r="BW68" s="2095"/>
      <c r="BX68" s="2095"/>
      <c r="BY68" s="2095"/>
      <c r="BZ68" s="2095"/>
      <c r="CA68" s="926"/>
      <c r="CB68" s="921"/>
      <c r="CC68" s="927"/>
      <c r="CD68" s="920" t="e" cm="1">
        <f t="array" ca="1" aca="1" ref="CD68">_xlfn.XLOOKUP(BS!CD$11,array_timeline,BS!$AD68:$BN68)</f>
        <v>#NAME?</v>
      </c>
      <c r="CE68" s="920" t="e" cm="1">
        <f t="array" ca="1" aca="1" ref="CE68">_xlfn.XLOOKUP(BS!CE$11,array_timeline,BS!$AD68:$BN68)</f>
        <v>#NAME?</v>
      </c>
      <c r="CF68" s="925"/>
      <c r="CG68" s="920" t="e">
        <f ca="1" t="shared" si="21" ref="CG68:CH68">CG27</f>
        <v>#NAME?</v>
      </c>
      <c r="CH68" s="920" t="e">
        <f t="shared" ca="1" si="21"/>
        <v>#NAME?</v>
      </c>
      <c r="CI68" s="787"/>
    </row>
    <row r="69" spans="1:87" ht="21" customHeight="1">
      <c r="A69" s="696" t="s">
        <v>1757</v>
      </c>
      <c r="B69" s="577" t="str">
        <f t="shared" si="10"/>
        <v>Net Working Capital (NWC)</v>
      </c>
      <c r="C69" s="577" t="str">
        <f t="shared" si="10"/>
        <v>Net Working Capital (NWC) (Company View)</v>
      </c>
      <c r="D69" s="577"/>
      <c r="E69" s="577" t="e" cm="1">
        <f t="array" ca="1" aca="1" ref="E69">_xlfn.LET(_xlpm.Attr,$C69,_xlpm.Lookback,$E$16,_xlpm.QueryDate,EOMONTH(val_asOfDate,_xlpm.Lookback),_xlpm.ReadField,_xldudf_CX_GET(CX_ENTITY,fx_attrConverter($C69),_xlpm.QueryDate),_xlpm.AttrBlank,_xlpm.Attr="",_xlpm.RESULT,IF(_xlpm.AttrBlank,val_blankRefText,fx_attrConverter(_xlpm.ReadField,0)),IF(_xlpm.RESULT="Error","",_xlpm.RESULT))</f>
        <v>#NAME?</v>
      </c>
      <c r="F69" s="577" t="str">
        <f t="shared" si="9"/>
        <v>Net Working Capital (NWC)</v>
      </c>
      <c r="G69" s="574"/>
      <c r="H69" s="3280">
        <v>2</v>
      </c>
      <c r="I69" s="3279">
        <v>1</v>
      </c>
      <c r="J69" s="401"/>
      <c r="K69" s="401"/>
      <c r="L69" s="579">
        <v>-1</v>
      </c>
      <c r="N69" s="158"/>
      <c r="O69" s="101"/>
      <c r="P69" s="52"/>
      <c r="Q69" s="101"/>
      <c r="R69" s="101"/>
      <c r="S69" s="101"/>
      <c r="T69" s="101"/>
      <c r="U69" s="39"/>
      <c r="W69" s="1291" t="str">
        <f t="shared" si="15"/>
        <v>Budget</v>
      </c>
      <c r="X69" s="1294">
        <f t="shared" si="11"/>
        <v>0</v>
      </c>
      <c r="Y69" s="2631" t="str">
        <f t="shared" si="12"/>
        <v>Net Working Capital (NWC)</v>
      </c>
      <c r="Z69" s="198" cm="1">
        <f t="array" ref="Z69">_xlfn.SWITCH(TRUE,$L69="",0,$L69=TRUE,1,$L69=FALSE,-1,)</f>
        <v>0</v>
      </c>
      <c r="AA69" s="924"/>
      <c r="AB69" s="2626" t="str">
        <f t="shared" si="13"/>
        <v>Net Working Capital (NWC)</v>
      </c>
      <c r="AC69" s="88"/>
      <c r="AD69" s="1669" t="e" cm="1">
        <f t="array" ca="1" aca="1" ref="AD69">_xlfn.LET(_xlpm.val,IF($F69="",val_blankRefText,_xldudf_CX_GET(CX_ENTITY,($F69),AD$11,AD$14,,(AD$60))),_xlpm.Res,IF(OR(_xlpm.val="",_xlpm.val="Error"),"",_xlpm.val),_xlpm.Res)</f>
        <v>#NAME?</v>
      </c>
      <c r="AE69" s="1669" t="e" cm="1">
        <f t="array" ca="1" aca="1" ref="AE69">_xlfn.LET(_xlpm.val,IF($F69="",val_blankRefText,_xldudf_CX_GET(CX_ENTITY,($F69),AE$11,AE$14,,(AE$60))),_xlpm.Res,IF(OR(_xlpm.val="",_xlpm.val="Error"),"",_xlpm.val),_xlpm.Res)</f>
        <v>#NAME?</v>
      </c>
      <c r="AF69" s="1669" t="e" cm="1">
        <f t="array" ca="1" aca="1" ref="AF69">_xlfn.LET(_xlpm.val,IF($F69="",val_blankRefText,_xldudf_CX_GET(CX_ENTITY,($F69),AF$11,AF$14,,(AF$60))),_xlpm.Res,IF(OR(_xlpm.val="",_xlpm.val="Error"),"",_xlpm.val),_xlpm.Res)</f>
        <v>#NAME?</v>
      </c>
      <c r="AG69" s="1669" t="e" cm="1">
        <f t="array" ca="1" aca="1" ref="AG69">_xlfn.LET(_xlpm.val,IF($F69="",val_blankRefText,_xldudf_CX_GET(CX_ENTITY,($F69),AG$11,AG$14,,(AG$60))),_xlpm.Res,IF(OR(_xlpm.val="",_xlpm.val="Error"),"",_xlpm.val),_xlpm.Res)</f>
        <v>#NAME?</v>
      </c>
      <c r="AH69" s="1669" t="e" cm="1">
        <f t="array" ca="1" aca="1" ref="AH69">_xlfn.LET(_xlpm.val,IF($F69="",val_blankRefText,_xldudf_CX_GET(CX_ENTITY,($F69),AH$11,AH$14,,(AH$60))),_xlpm.Res,IF(OR(_xlpm.val="",_xlpm.val="Error"),"",_xlpm.val),_xlpm.Res)</f>
        <v>#NAME?</v>
      </c>
      <c r="AI69" s="1669" t="e" cm="1">
        <f t="array" ca="1" aca="1" ref="AI69">_xlfn.LET(_xlpm.val,IF($F69="",val_blankRefText,_xldudf_CX_GET(CX_ENTITY,($F69),AI$11,AI$14,,(AI$60))),_xlpm.Res,IF(OR(_xlpm.val="",_xlpm.val="Error"),"",_xlpm.val),_xlpm.Res)</f>
        <v>#NAME?</v>
      </c>
      <c r="AJ69" s="1669" t="e" cm="1">
        <f t="array" ca="1" aca="1" ref="AJ69">_xlfn.LET(_xlpm.val,IF($F69="",val_blankRefText,_xldudf_CX_GET(CX_ENTITY,($F69),AJ$11,AJ$14,,(AJ$60))),_xlpm.Res,IF(OR(_xlpm.val="",_xlpm.val="Error"),"",_xlpm.val),_xlpm.Res)</f>
        <v>#NAME?</v>
      </c>
      <c r="AK69" s="1669" t="e" cm="1">
        <f t="array" ca="1" aca="1" ref="AK69">_xlfn.LET(_xlpm.val,IF($F69="",val_blankRefText,_xldudf_CX_GET(CX_ENTITY,($F69),AK$11,AK$14,,(AK$60))),_xlpm.Res,IF(OR(_xlpm.val="",_xlpm.val="Error"),"",_xlpm.val),_xlpm.Res)</f>
        <v>#NAME?</v>
      </c>
      <c r="AL69" s="1669" t="e" cm="1">
        <f t="array" ca="1" aca="1" ref="AL69">_xlfn.LET(_xlpm.val,IF($F69="",val_blankRefText,_xldudf_CX_GET(CX_ENTITY,($F69),AL$11,AL$14,,(AL$60))),_xlpm.Res,IF(OR(_xlpm.val="",_xlpm.val="Error"),"",_xlpm.val),_xlpm.Res)</f>
        <v>#NAME?</v>
      </c>
      <c r="AM69" s="1669" t="e" cm="1">
        <f t="array" ca="1" aca="1" ref="AM69">_xlfn.LET(_xlpm.val,IF($F69="",val_blankRefText,_xldudf_CX_GET(CX_ENTITY,($F69),AM$11,AM$14,,(AM$60))),_xlpm.Res,IF(OR(_xlpm.val="",_xlpm.val="Error"),"",_xlpm.val),_xlpm.Res)</f>
        <v>#NAME?</v>
      </c>
      <c r="AN69" s="1669" t="e" cm="1">
        <f t="array" ca="1" aca="1" ref="AN69">_xlfn.LET(_xlpm.val,IF($F69="",val_blankRefText,_xldudf_CX_GET(CX_ENTITY,($F69),AN$11,AN$14,,(AN$60))),_xlpm.Res,IF(OR(_xlpm.val="",_xlpm.val="Error"),"",_xlpm.val),_xlpm.Res)</f>
        <v>#NAME?</v>
      </c>
      <c r="AO69" s="1669" t="e" cm="1">
        <f t="array" ca="1" aca="1" ref="AO69">_xlfn.LET(_xlpm.val,IF($F69="",val_blankRefText,_xldudf_CX_GET(CX_ENTITY,($F69),AO$11,AO$14,,(AO$60))),_xlpm.Res,IF(OR(_xlpm.val="",_xlpm.val="Error"),"",_xlpm.val),_xlpm.Res)</f>
        <v>#NAME?</v>
      </c>
      <c r="AP69" s="1669" t="e" cm="1">
        <f t="array" ca="1" aca="1" ref="AP69">_xlfn.LET(_xlpm.val,IF($F69="",val_blankRefText,_xldudf_CX_GET(CX_ENTITY,($F69),AP$11,AP$14,,(AP$60))),_xlpm.Res,IF(OR(_xlpm.val="",_xlpm.val="Error"),"",_xlpm.val),_xlpm.Res)</f>
        <v>#NAME?</v>
      </c>
      <c r="AQ69" s="1669" t="e" cm="1">
        <f t="array" ca="1" aca="1" ref="AQ69">_xlfn.LET(_xlpm.val,IF($F69="",val_blankRefText,_xldudf_CX_GET(CX_ENTITY,($F69),AQ$11,AQ$14,,(AQ$60))),_xlpm.Res,IF(OR(_xlpm.val="",_xlpm.val="Error"),"",_xlpm.val),_xlpm.Res)</f>
        <v>#NAME?</v>
      </c>
      <c r="AR69" s="1669" t="e" cm="1">
        <f t="array" ca="1" aca="1" ref="AR69">_xlfn.LET(_xlpm.val,IF($F69="",val_blankRefText,_xldudf_CX_GET(CX_ENTITY,($F69),AR$11,AR$14,,(AR$60))),_xlpm.Res,IF(OR(_xlpm.val="",_xlpm.val="Error"),"",_xlpm.val),_xlpm.Res)</f>
        <v>#NAME?</v>
      </c>
      <c r="AS69" s="1669" t="e" cm="1">
        <f t="array" ca="1" aca="1" ref="AS69">_xlfn.LET(_xlpm.val,IF($F69="",val_blankRefText,_xldudf_CX_GET(CX_ENTITY,($F69),AS$11,AS$14,,(AS$60))),_xlpm.Res,IF(OR(_xlpm.val="",_xlpm.val="Error"),"",_xlpm.val),_xlpm.Res)</f>
        <v>#NAME?</v>
      </c>
      <c r="AT69" s="1669" t="e" cm="1">
        <f t="array" ca="1" aca="1" ref="AT69">_xlfn.LET(_xlpm.val,IF($F69="",val_blankRefText,_xldudf_CX_GET(CX_ENTITY,($F69),AT$11,AT$14,,(AT$60))),_xlpm.Res,IF(OR(_xlpm.val="",_xlpm.val="Error"),"",_xlpm.val),_xlpm.Res)</f>
        <v>#NAME?</v>
      </c>
      <c r="AU69" s="1669" t="e" cm="1">
        <f t="array" ca="1" aca="1" ref="AU69">_xlfn.LET(_xlpm.val,IF($F69="",val_blankRefText,_xldudf_CX_GET(CX_ENTITY,($F69),AU$11,AU$14,,(AU$60))),_xlpm.Res,IF(OR(_xlpm.val="",_xlpm.val="Error"),"",_xlpm.val),_xlpm.Res)</f>
        <v>#NAME?</v>
      </c>
      <c r="AV69" s="1669" t="e" cm="1">
        <f t="array" ca="1" aca="1" ref="AV69">_xlfn.LET(_xlpm.val,IF($F69="",val_blankRefText,_xldudf_CX_GET(CX_ENTITY,($F69),AV$11,AV$14,,(AV$60))),_xlpm.Res,IF(OR(_xlpm.val="",_xlpm.val="Error"),"",_xlpm.val),_xlpm.Res)</f>
        <v>#NAME?</v>
      </c>
      <c r="AW69" s="1669" t="e" cm="1">
        <f t="array" ca="1" aca="1" ref="AW69">_xlfn.LET(_xlpm.val,IF($F69="",val_blankRefText,_xldudf_CX_GET(CX_ENTITY,($F69),AW$11,AW$14,,(AW$60))),_xlpm.Res,IF(OR(_xlpm.val="",_xlpm.val="Error"),"",_xlpm.val),_xlpm.Res)</f>
        <v>#NAME?</v>
      </c>
      <c r="AX69" s="1669" t="e" cm="1">
        <f t="array" ca="1" aca="1" ref="AX69">_xlfn.LET(_xlpm.val,IF($F69="",val_blankRefText,_xldudf_CX_GET(CX_ENTITY,($F69),AX$11,AX$14,,(AX$60))),_xlpm.Res,IF(OR(_xlpm.val="",_xlpm.val="Error"),"",_xlpm.val),_xlpm.Res)</f>
        <v>#NAME?</v>
      </c>
      <c r="AY69" s="1669" t="e" cm="1">
        <f t="array" ca="1" aca="1" ref="AY69">_xlfn.LET(_xlpm.val,IF($F69="",val_blankRefText,_xldudf_CX_GET(CX_ENTITY,($F69),AY$11,AY$14,,(AY$60))),_xlpm.Res,IF(OR(_xlpm.val="",_xlpm.val="Error"),"",_xlpm.val),_xlpm.Res)</f>
        <v>#NAME?</v>
      </c>
      <c r="AZ69" s="1669" t="e" cm="1">
        <f t="array" ca="1" aca="1" ref="AZ69">_xlfn.LET(_xlpm.val,IF($F69="",val_blankRefText,_xldudf_CX_GET(CX_ENTITY,($F69),AZ$11,AZ$14,,(AZ$60))),_xlpm.Res,IF(OR(_xlpm.val="",_xlpm.val="Error"),"",_xlpm.val),_xlpm.Res)</f>
        <v>#NAME?</v>
      </c>
      <c r="BA69" s="1669" t="e" cm="1">
        <f t="array" ca="1" aca="1" ref="BA69">_xlfn.LET(_xlpm.val,IF($F69="",val_blankRefText,_xldudf_CX_GET(CX_ENTITY,($F69),BA$11,BA$14,,(BA$60))),_xlpm.Res,IF(OR(_xlpm.val="",_xlpm.val="Error"),"",_xlpm.val),_xlpm.Res)</f>
        <v>#NAME?</v>
      </c>
      <c r="BB69" s="1669" t="e" cm="1">
        <f t="array" ca="1" aca="1" ref="BB69">_xlfn.LET(_xlpm.val,IF($F69="",val_blankRefText,_xldudf_CX_GET(CX_ENTITY,($F69),BB$11,BB$14,,(BB$60))),_xlpm.Res,IF(OR(_xlpm.val="",_xlpm.val="Error"),"",_xlpm.val),_xlpm.Res)</f>
        <v>#NAME?</v>
      </c>
      <c r="BC69" s="1669" t="e" cm="1">
        <f t="array" ca="1" aca="1" ref="BC69">_xlfn.LET(_xlpm.val,IF($F69="",val_blankRefText,_xldudf_CX_GET(CX_ENTITY,($F69),BC$11,BC$14,,(BC$60))),_xlpm.Res,IF(OR(_xlpm.val="",_xlpm.val="Error"),"",_xlpm.val),_xlpm.Res)</f>
        <v>#NAME?</v>
      </c>
      <c r="BD69" s="1669" t="e" cm="1">
        <f t="array" ca="1" aca="1" ref="BD69">_xlfn.LET(_xlpm.val,IF($F69="",val_blankRefText,_xldudf_CX_GET(CX_ENTITY,($F69),BD$11,BD$14,,(BD$60))),_xlpm.Res,IF(OR(_xlpm.val="",_xlpm.val="Error"),"",_xlpm.val),_xlpm.Res)</f>
        <v>#NAME?</v>
      </c>
      <c r="BE69" s="1669" t="e" cm="1">
        <f t="array" ca="1" aca="1" ref="BE69">_xlfn.LET(_xlpm.val,IF($F69="",val_blankRefText,_xldudf_CX_GET(CX_ENTITY,($F69),BE$11,BE$14,,(BE$60))),_xlpm.Res,IF(OR(_xlpm.val="",_xlpm.val="Error"),"",_xlpm.val),_xlpm.Res)</f>
        <v>#NAME?</v>
      </c>
      <c r="BF69" s="1669" t="e" cm="1">
        <f t="array" ca="1" aca="1" ref="BF69">_xlfn.LET(_xlpm.val,IF($F69="",val_blankRefText,_xldudf_CX_GET(CX_ENTITY,($F69),BF$11,BF$14,,(BF$60))),_xlpm.Res,IF(OR(_xlpm.val="",_xlpm.val="Error"),"",_xlpm.val),_xlpm.Res)</f>
        <v>#NAME?</v>
      </c>
      <c r="BG69" s="1669" t="e" cm="1">
        <f t="array" ca="1" aca="1" ref="BG69">_xlfn.LET(_xlpm.val,IF($F69="",val_blankRefText,_xldudf_CX_GET(CX_ENTITY,($F69),BG$11,BG$14,,(BG$60))),_xlpm.Res,IF(OR(_xlpm.val="",_xlpm.val="Error"),"",_xlpm.val),_xlpm.Res)</f>
        <v>#NAME?</v>
      </c>
      <c r="BH69" s="1669" t="e" cm="1">
        <f t="array" ca="1" aca="1" ref="BH69">_xlfn.LET(_xlpm.val,IF($F69="",val_blankRefText,_xldudf_CX_GET(CX_ENTITY,($F69),BH$11,BH$14,,(BH$60))),_xlpm.Res,IF(OR(_xlpm.val="",_xlpm.val="Error"),"",_xlpm.val),_xlpm.Res)</f>
        <v>#NAME?</v>
      </c>
      <c r="BI69" s="1669" t="e" cm="1">
        <f t="array" ca="1" aca="1" ref="BI69">_xlfn.LET(_xlpm.val,IF($F69="",val_blankRefText,_xldudf_CX_GET(CX_ENTITY,($F69),BI$11,BI$14,,(BI$60))),_xlpm.Res,IF(OR(_xlpm.val="",_xlpm.val="Error"),"",_xlpm.val),_xlpm.Res)</f>
        <v>#NAME?</v>
      </c>
      <c r="BJ69" s="1669" t="e" cm="1">
        <f t="array" ca="1" aca="1" ref="BJ69">_xlfn.LET(_xlpm.val,IF($F69="",val_blankRefText,_xldudf_CX_GET(CX_ENTITY,($F69),BJ$11,BJ$14,,(BJ$60))),_xlpm.Res,IF(OR(_xlpm.val="",_xlpm.val="Error"),"",_xlpm.val),_xlpm.Res)</f>
        <v>#NAME?</v>
      </c>
      <c r="BK69" s="1669" t="e" cm="1">
        <f t="array" ca="1" aca="1" ref="BK69">_xlfn.LET(_xlpm.val,IF($F69="",val_blankRefText,_xldudf_CX_GET(CX_ENTITY,($F69),BK$11,BK$14,,(BK$60))),_xlpm.Res,IF(OR(_xlpm.val="",_xlpm.val="Error"),"",_xlpm.val),_xlpm.Res)</f>
        <v>#NAME?</v>
      </c>
      <c r="BL69" s="1669" t="e" cm="1">
        <f t="array" ca="1" aca="1" ref="BL69">_xlfn.LET(_xlpm.val,IF($F69="",val_blankRefText,_xldudf_CX_GET(CX_ENTITY,($F69),BL$11,BL$14,,(BL$60))),_xlpm.Res,IF(OR(_xlpm.val="",_xlpm.val="Error"),"",_xlpm.val),_xlpm.Res)</f>
        <v>#NAME?</v>
      </c>
      <c r="BM69" s="1669" t="e" cm="1">
        <f t="array" ca="1" aca="1" ref="BM69">_xlfn.LET(_xlpm.val,IF($F69="",val_blankRefText,_xldudf_CX_GET(CX_ENTITY,($F69),BM$11,BM$14,,(BM$60))),_xlpm.Res,IF(OR(_xlpm.val="",_xlpm.val="Error"),"",_xlpm.val),_xlpm.Res)</f>
        <v>#NAME?</v>
      </c>
      <c r="BN69" s="1669" t="e" cm="1">
        <f t="array" ca="1" aca="1" ref="BN69">_xlfn.LET(_xlpm.val,IF($F69="",val_blankRefText,_xldudf_CX_GET(CX_ENTITY,($F69),BN$11,BN$14,,(BN$60))),_xlpm.Res,IF(OR(_xlpm.val="",_xlpm.val="Error"),"",_xlpm.val),_xlpm.Res)</f>
        <v>#NAME?</v>
      </c>
      <c r="BO69" s="2095"/>
      <c r="BP69" s="2095"/>
      <c r="BQ69" s="2095"/>
      <c r="BR69" s="2095"/>
      <c r="BS69" s="2095"/>
      <c r="BT69" s="2095"/>
      <c r="BU69" s="2095"/>
      <c r="BV69" s="2095"/>
      <c r="BW69" s="2095"/>
      <c r="BX69" s="2095"/>
      <c r="BY69" s="2095"/>
      <c r="BZ69" s="2095"/>
      <c r="CA69" s="926"/>
      <c r="CB69" s="921"/>
      <c r="CC69" s="927"/>
      <c r="CD69" s="919" t="e" cm="1">
        <f t="array" ca="1" aca="1" ref="CD69">_xlfn.XLOOKUP(BS!CD$11,array_timeline,BS!$AD69:$BN69)</f>
        <v>#NAME?</v>
      </c>
      <c r="CE69" s="919" t="e" cm="1">
        <f t="array" ca="1" aca="1" ref="CE69">_xlfn.XLOOKUP(BS!CE$11,array_timeline,BS!$AD69:$BN69)</f>
        <v>#NAME?</v>
      </c>
      <c r="CF69" s="925"/>
      <c r="CG69" s="928" t="e">
        <f ca="1" t="shared" si="22" ref="CG69:CH69">CG28</f>
        <v>#NAME?</v>
      </c>
      <c r="CH69" s="928" t="e">
        <f t="shared" ca="1" si="22"/>
        <v>#NAME?</v>
      </c>
      <c r="CI69" s="924"/>
    </row>
    <row r="70" spans="1:87" ht="21" customHeight="1">
      <c r="A70" s="696" t="s">
        <v>1758</v>
      </c>
      <c r="B70" s="577" t="str">
        <f t="shared" si="10"/>
        <v>Other Assets</v>
      </c>
      <c r="C70" s="577" t="str">
        <f t="shared" si="10"/>
        <v>Other Assets (Company View)</v>
      </c>
      <c r="D70" s="577"/>
      <c r="E70" s="577" t="e" cm="1">
        <f t="array" ca="1" aca="1" ref="E70">_xlfn.LET(_xlpm.Attr,$C70,_xlpm.Lookback,$E$16,_xlpm.QueryDate,EOMONTH(val_asOfDate,_xlpm.Lookback),_xlpm.ReadField,_xldudf_CX_GET(CX_ENTITY,fx_attrConverter($C70),_xlpm.QueryDate),_xlpm.AttrBlank,_xlpm.Attr="",_xlpm.RESULT,IF(_xlpm.AttrBlank,val_blankRefText,fx_attrConverter(_xlpm.ReadField,0)),IF(_xlpm.RESULT="Error","",_xlpm.RESULT))</f>
        <v>#NAME?</v>
      </c>
      <c r="F70" s="577" t="str">
        <f t="shared" si="9"/>
        <v>Other Assets</v>
      </c>
      <c r="G70" s="574"/>
      <c r="H70" s="3279">
        <v>1</v>
      </c>
      <c r="I70" s="3279">
        <v>1</v>
      </c>
      <c r="J70" s="401"/>
      <c r="K70" s="401"/>
      <c r="L70" s="579" t="b">
        <v>0</v>
      </c>
      <c r="N70" s="158"/>
      <c r="O70" s="101"/>
      <c r="P70" s="52"/>
      <c r="Q70" s="101"/>
      <c r="R70" s="126"/>
      <c r="S70" s="101"/>
      <c r="T70" s="101"/>
      <c r="U70" s="39"/>
      <c r="W70" s="930" t="str">
        <f t="shared" si="15"/>
        <v>Budget</v>
      </c>
      <c r="X70" s="3292">
        <f t="shared" si="11"/>
        <v>1</v>
      </c>
      <c r="Y70" s="2631" t="str">
        <f t="shared" si="12"/>
        <v>Other Assets</v>
      </c>
      <c r="Z70" s="198" cm="1">
        <f t="array" ref="Z70">_xlfn.SWITCH(TRUE,$L70="",0,$L70=TRUE,1,$L70=FALSE,-1,)</f>
        <v>-1</v>
      </c>
      <c r="AA70" s="200"/>
      <c r="AB70" s="2626" t="str">
        <f t="shared" si="13"/>
        <v>Other Assets</v>
      </c>
      <c r="AC70" s="88"/>
      <c r="AD70" s="1669" t="e" cm="1">
        <f t="array" ca="1" aca="1" ref="AD70">_xlfn.LET(_xlpm.val,IF($F70="",val_blankRefText,_xldudf_CX_GET(CX_ENTITY,($F70),AD$11,AD$14,,(AD$60))),_xlpm.Res,IF(OR(_xlpm.val="",_xlpm.val="Error"),"",_xlpm.val),_xlpm.Res)</f>
        <v>#NAME?</v>
      </c>
      <c r="AE70" s="1669" t="e" cm="1">
        <f t="array" ca="1" aca="1" ref="AE70">_xlfn.LET(_xlpm.val,IF($F70="",val_blankRefText,_xldudf_CX_GET(CX_ENTITY,($F70),AE$11,AE$14,,(AE$60))),_xlpm.Res,IF(OR(_xlpm.val="",_xlpm.val="Error"),"",_xlpm.val),_xlpm.Res)</f>
        <v>#NAME?</v>
      </c>
      <c r="AF70" s="1669" t="e" cm="1">
        <f t="array" ca="1" aca="1" ref="AF70">_xlfn.LET(_xlpm.val,IF($F70="",val_blankRefText,_xldudf_CX_GET(CX_ENTITY,($F70),AF$11,AF$14,,(AF$60))),_xlpm.Res,IF(OR(_xlpm.val="",_xlpm.val="Error"),"",_xlpm.val),_xlpm.Res)</f>
        <v>#NAME?</v>
      </c>
      <c r="AG70" s="1669" t="e" cm="1">
        <f t="array" ca="1" aca="1" ref="AG70">_xlfn.LET(_xlpm.val,IF($F70="",val_blankRefText,_xldudf_CX_GET(CX_ENTITY,($F70),AG$11,AG$14,,(AG$60))),_xlpm.Res,IF(OR(_xlpm.val="",_xlpm.val="Error"),"",_xlpm.val),_xlpm.Res)</f>
        <v>#NAME?</v>
      </c>
      <c r="AH70" s="1669" t="e" cm="1">
        <f t="array" ca="1" aca="1" ref="AH70">_xlfn.LET(_xlpm.val,IF($F70="",val_blankRefText,_xldudf_CX_GET(CX_ENTITY,($F70),AH$11,AH$14,,(AH$60))),_xlpm.Res,IF(OR(_xlpm.val="",_xlpm.val="Error"),"",_xlpm.val),_xlpm.Res)</f>
        <v>#NAME?</v>
      </c>
      <c r="AI70" s="1669" t="e" cm="1">
        <f t="array" ca="1" aca="1" ref="AI70">_xlfn.LET(_xlpm.val,IF($F70="",val_blankRefText,_xldudf_CX_GET(CX_ENTITY,($F70),AI$11,AI$14,,(AI$60))),_xlpm.Res,IF(OR(_xlpm.val="",_xlpm.val="Error"),"",_xlpm.val),_xlpm.Res)</f>
        <v>#NAME?</v>
      </c>
      <c r="AJ70" s="1669" t="e" cm="1">
        <f t="array" ca="1" aca="1" ref="AJ70">_xlfn.LET(_xlpm.val,IF($F70="",val_blankRefText,_xldudf_CX_GET(CX_ENTITY,($F70),AJ$11,AJ$14,,(AJ$60))),_xlpm.Res,IF(OR(_xlpm.val="",_xlpm.val="Error"),"",_xlpm.val),_xlpm.Res)</f>
        <v>#NAME?</v>
      </c>
      <c r="AK70" s="1669" t="e" cm="1">
        <f t="array" ca="1" aca="1" ref="AK70">_xlfn.LET(_xlpm.val,IF($F70="",val_blankRefText,_xldudf_CX_GET(CX_ENTITY,($F70),AK$11,AK$14,,(AK$60))),_xlpm.Res,IF(OR(_xlpm.val="",_xlpm.val="Error"),"",_xlpm.val),_xlpm.Res)</f>
        <v>#NAME?</v>
      </c>
      <c r="AL70" s="1669" t="e" cm="1">
        <f t="array" ca="1" aca="1" ref="AL70">_xlfn.LET(_xlpm.val,IF($F70="",val_blankRefText,_xldudf_CX_GET(CX_ENTITY,($F70),AL$11,AL$14,,(AL$60))),_xlpm.Res,IF(OR(_xlpm.val="",_xlpm.val="Error"),"",_xlpm.val),_xlpm.Res)</f>
        <v>#NAME?</v>
      </c>
      <c r="AM70" s="1669" t="e" cm="1">
        <f t="array" ca="1" aca="1" ref="AM70">_xlfn.LET(_xlpm.val,IF($F70="",val_blankRefText,_xldudf_CX_GET(CX_ENTITY,($F70),AM$11,AM$14,,(AM$60))),_xlpm.Res,IF(OR(_xlpm.val="",_xlpm.val="Error"),"",_xlpm.val),_xlpm.Res)</f>
        <v>#NAME?</v>
      </c>
      <c r="AN70" s="1669" t="e" cm="1">
        <f t="array" ca="1" aca="1" ref="AN70">_xlfn.LET(_xlpm.val,IF($F70="",val_blankRefText,_xldudf_CX_GET(CX_ENTITY,($F70),AN$11,AN$14,,(AN$60))),_xlpm.Res,IF(OR(_xlpm.val="",_xlpm.val="Error"),"",_xlpm.val),_xlpm.Res)</f>
        <v>#NAME?</v>
      </c>
      <c r="AO70" s="1669" t="e" cm="1">
        <f t="array" ca="1" aca="1" ref="AO70">_xlfn.LET(_xlpm.val,IF($F70="",val_blankRefText,_xldudf_CX_GET(CX_ENTITY,($F70),AO$11,AO$14,,(AO$60))),_xlpm.Res,IF(OR(_xlpm.val="",_xlpm.val="Error"),"",_xlpm.val),_xlpm.Res)</f>
        <v>#NAME?</v>
      </c>
      <c r="AP70" s="1669" t="e" cm="1">
        <f t="array" ca="1" aca="1" ref="AP70">_xlfn.LET(_xlpm.val,IF($F70="",val_blankRefText,_xldudf_CX_GET(CX_ENTITY,($F70),AP$11,AP$14,,(AP$60))),_xlpm.Res,IF(OR(_xlpm.val="",_xlpm.val="Error"),"",_xlpm.val),_xlpm.Res)</f>
        <v>#NAME?</v>
      </c>
      <c r="AQ70" s="1669" t="e" cm="1">
        <f t="array" ca="1" aca="1" ref="AQ70">_xlfn.LET(_xlpm.val,IF($F70="",val_blankRefText,_xldudf_CX_GET(CX_ENTITY,($F70),AQ$11,AQ$14,,(AQ$60))),_xlpm.Res,IF(OR(_xlpm.val="",_xlpm.val="Error"),"",_xlpm.val),_xlpm.Res)</f>
        <v>#NAME?</v>
      </c>
      <c r="AR70" s="1669" t="e" cm="1">
        <f t="array" ca="1" aca="1" ref="AR70">_xlfn.LET(_xlpm.val,IF($F70="",val_blankRefText,_xldudf_CX_GET(CX_ENTITY,($F70),AR$11,AR$14,,(AR$60))),_xlpm.Res,IF(OR(_xlpm.val="",_xlpm.val="Error"),"",_xlpm.val),_xlpm.Res)</f>
        <v>#NAME?</v>
      </c>
      <c r="AS70" s="1669" t="e" cm="1">
        <f t="array" ca="1" aca="1" ref="AS70">_xlfn.LET(_xlpm.val,IF($F70="",val_blankRefText,_xldudf_CX_GET(CX_ENTITY,($F70),AS$11,AS$14,,(AS$60))),_xlpm.Res,IF(OR(_xlpm.val="",_xlpm.val="Error"),"",_xlpm.val),_xlpm.Res)</f>
        <v>#NAME?</v>
      </c>
      <c r="AT70" s="1669" t="e" cm="1">
        <f t="array" ca="1" aca="1" ref="AT70">_xlfn.LET(_xlpm.val,IF($F70="",val_blankRefText,_xldudf_CX_GET(CX_ENTITY,($F70),AT$11,AT$14,,(AT$60))),_xlpm.Res,IF(OR(_xlpm.val="",_xlpm.val="Error"),"",_xlpm.val),_xlpm.Res)</f>
        <v>#NAME?</v>
      </c>
      <c r="AU70" s="1669" t="e" cm="1">
        <f t="array" ca="1" aca="1" ref="AU70">_xlfn.LET(_xlpm.val,IF($F70="",val_blankRefText,_xldudf_CX_GET(CX_ENTITY,($F70),AU$11,AU$14,,(AU$60))),_xlpm.Res,IF(OR(_xlpm.val="",_xlpm.val="Error"),"",_xlpm.val),_xlpm.Res)</f>
        <v>#NAME?</v>
      </c>
      <c r="AV70" s="1669" t="e" cm="1">
        <f t="array" ca="1" aca="1" ref="AV70">_xlfn.LET(_xlpm.val,IF($F70="",val_blankRefText,_xldudf_CX_GET(CX_ENTITY,($F70),AV$11,AV$14,,(AV$60))),_xlpm.Res,IF(OR(_xlpm.val="",_xlpm.val="Error"),"",_xlpm.val),_xlpm.Res)</f>
        <v>#NAME?</v>
      </c>
      <c r="AW70" s="1669" t="e" cm="1">
        <f t="array" ca="1" aca="1" ref="AW70">_xlfn.LET(_xlpm.val,IF($F70="",val_blankRefText,_xldudf_CX_GET(CX_ENTITY,($F70),AW$11,AW$14,,(AW$60))),_xlpm.Res,IF(OR(_xlpm.val="",_xlpm.val="Error"),"",_xlpm.val),_xlpm.Res)</f>
        <v>#NAME?</v>
      </c>
      <c r="AX70" s="1669" t="e" cm="1">
        <f t="array" ca="1" aca="1" ref="AX70">_xlfn.LET(_xlpm.val,IF($F70="",val_blankRefText,_xldudf_CX_GET(CX_ENTITY,($F70),AX$11,AX$14,,(AX$60))),_xlpm.Res,IF(OR(_xlpm.val="",_xlpm.val="Error"),"",_xlpm.val),_xlpm.Res)</f>
        <v>#NAME?</v>
      </c>
      <c r="AY70" s="1669" t="e" cm="1">
        <f t="array" ca="1" aca="1" ref="AY70">_xlfn.LET(_xlpm.val,IF($F70="",val_blankRefText,_xldudf_CX_GET(CX_ENTITY,($F70),AY$11,AY$14,,(AY$60))),_xlpm.Res,IF(OR(_xlpm.val="",_xlpm.val="Error"),"",_xlpm.val),_xlpm.Res)</f>
        <v>#NAME?</v>
      </c>
      <c r="AZ70" s="1669" t="e" cm="1">
        <f t="array" ca="1" aca="1" ref="AZ70">_xlfn.LET(_xlpm.val,IF($F70="",val_blankRefText,_xldudf_CX_GET(CX_ENTITY,($F70),AZ$11,AZ$14,,(AZ$60))),_xlpm.Res,IF(OR(_xlpm.val="",_xlpm.val="Error"),"",_xlpm.val),_xlpm.Res)</f>
        <v>#NAME?</v>
      </c>
      <c r="BA70" s="1669" t="e" cm="1">
        <f t="array" ca="1" aca="1" ref="BA70">_xlfn.LET(_xlpm.val,IF($F70="",val_blankRefText,_xldudf_CX_GET(CX_ENTITY,($F70),BA$11,BA$14,,(BA$60))),_xlpm.Res,IF(OR(_xlpm.val="",_xlpm.val="Error"),"",_xlpm.val),_xlpm.Res)</f>
        <v>#NAME?</v>
      </c>
      <c r="BB70" s="1669" t="e" cm="1">
        <f t="array" ca="1" aca="1" ref="BB70">_xlfn.LET(_xlpm.val,IF($F70="",val_blankRefText,_xldudf_CX_GET(CX_ENTITY,($F70),BB$11,BB$14,,(BB$60))),_xlpm.Res,IF(OR(_xlpm.val="",_xlpm.val="Error"),"",_xlpm.val),_xlpm.Res)</f>
        <v>#NAME?</v>
      </c>
      <c r="BC70" s="1669" t="e" cm="1">
        <f t="array" ca="1" aca="1" ref="BC70">_xlfn.LET(_xlpm.val,IF($F70="",val_blankRefText,_xldudf_CX_GET(CX_ENTITY,($F70),BC$11,BC$14,,(BC$60))),_xlpm.Res,IF(OR(_xlpm.val="",_xlpm.val="Error"),"",_xlpm.val),_xlpm.Res)</f>
        <v>#NAME?</v>
      </c>
      <c r="BD70" s="1669" t="e" cm="1">
        <f t="array" ca="1" aca="1" ref="BD70">_xlfn.LET(_xlpm.val,IF($F70="",val_blankRefText,_xldudf_CX_GET(CX_ENTITY,($F70),BD$11,BD$14,,(BD$60))),_xlpm.Res,IF(OR(_xlpm.val="",_xlpm.val="Error"),"",_xlpm.val),_xlpm.Res)</f>
        <v>#NAME?</v>
      </c>
      <c r="BE70" s="1669" t="e" cm="1">
        <f t="array" ca="1" aca="1" ref="BE70">_xlfn.LET(_xlpm.val,IF($F70="",val_blankRefText,_xldudf_CX_GET(CX_ENTITY,($F70),BE$11,BE$14,,(BE$60))),_xlpm.Res,IF(OR(_xlpm.val="",_xlpm.val="Error"),"",_xlpm.val),_xlpm.Res)</f>
        <v>#NAME?</v>
      </c>
      <c r="BF70" s="1669" t="e" cm="1">
        <f t="array" ca="1" aca="1" ref="BF70">_xlfn.LET(_xlpm.val,IF($F70="",val_blankRefText,_xldudf_CX_GET(CX_ENTITY,($F70),BF$11,BF$14,,(BF$60))),_xlpm.Res,IF(OR(_xlpm.val="",_xlpm.val="Error"),"",_xlpm.val),_xlpm.Res)</f>
        <v>#NAME?</v>
      </c>
      <c r="BG70" s="1669" t="e" cm="1">
        <f t="array" ca="1" aca="1" ref="BG70">_xlfn.LET(_xlpm.val,IF($F70="",val_blankRefText,_xldudf_CX_GET(CX_ENTITY,($F70),BG$11,BG$14,,(BG$60))),_xlpm.Res,IF(OR(_xlpm.val="",_xlpm.val="Error"),"",_xlpm.val),_xlpm.Res)</f>
        <v>#NAME?</v>
      </c>
      <c r="BH70" s="1669" t="e" cm="1">
        <f t="array" ca="1" aca="1" ref="BH70">_xlfn.LET(_xlpm.val,IF($F70="",val_blankRefText,_xldudf_CX_GET(CX_ENTITY,($F70),BH$11,BH$14,,(BH$60))),_xlpm.Res,IF(OR(_xlpm.val="",_xlpm.val="Error"),"",_xlpm.val),_xlpm.Res)</f>
        <v>#NAME?</v>
      </c>
      <c r="BI70" s="1669" t="e" cm="1">
        <f t="array" ca="1" aca="1" ref="BI70">_xlfn.LET(_xlpm.val,IF($F70="",val_blankRefText,_xldudf_CX_GET(CX_ENTITY,($F70),BI$11,BI$14,,(BI$60))),_xlpm.Res,IF(OR(_xlpm.val="",_xlpm.val="Error"),"",_xlpm.val),_xlpm.Res)</f>
        <v>#NAME?</v>
      </c>
      <c r="BJ70" s="1669" t="e" cm="1">
        <f t="array" ca="1" aca="1" ref="BJ70">_xlfn.LET(_xlpm.val,IF($F70="",val_blankRefText,_xldudf_CX_GET(CX_ENTITY,($F70),BJ$11,BJ$14,,(BJ$60))),_xlpm.Res,IF(OR(_xlpm.val="",_xlpm.val="Error"),"",_xlpm.val),_xlpm.Res)</f>
        <v>#NAME?</v>
      </c>
      <c r="BK70" s="1669" t="e" cm="1">
        <f t="array" ca="1" aca="1" ref="BK70">_xlfn.LET(_xlpm.val,IF($F70="",val_blankRefText,_xldudf_CX_GET(CX_ENTITY,($F70),BK$11,BK$14,,(BK$60))),_xlpm.Res,IF(OR(_xlpm.val="",_xlpm.val="Error"),"",_xlpm.val),_xlpm.Res)</f>
        <v>#NAME?</v>
      </c>
      <c r="BL70" s="1669" t="e" cm="1">
        <f t="array" ca="1" aca="1" ref="BL70">_xlfn.LET(_xlpm.val,IF($F70="",val_blankRefText,_xldudf_CX_GET(CX_ENTITY,($F70),BL$11,BL$14,,(BL$60))),_xlpm.Res,IF(OR(_xlpm.val="",_xlpm.val="Error"),"",_xlpm.val),_xlpm.Res)</f>
        <v>#NAME?</v>
      </c>
      <c r="BM70" s="1669" t="e" cm="1">
        <f t="array" ca="1" aca="1" ref="BM70">_xlfn.LET(_xlpm.val,IF($F70="",val_blankRefText,_xldudf_CX_GET(CX_ENTITY,($F70),BM$11,BM$14,,(BM$60))),_xlpm.Res,IF(OR(_xlpm.val="",_xlpm.val="Error"),"",_xlpm.val),_xlpm.Res)</f>
        <v>#NAME?</v>
      </c>
      <c r="BN70" s="1669" t="e" cm="1">
        <f t="array" ca="1" aca="1" ref="BN70">_xlfn.LET(_xlpm.val,IF($F70="",val_blankRefText,_xldudf_CX_GET(CX_ENTITY,($F70),BN$11,BN$14,,(BN$60))),_xlpm.Res,IF(OR(_xlpm.val="",_xlpm.val="Error"),"",_xlpm.val),_xlpm.Res)</f>
        <v>#NAME?</v>
      </c>
      <c r="BO70" s="2095"/>
      <c r="BP70" s="2095"/>
      <c r="BQ70" s="2095"/>
      <c r="BR70" s="2095"/>
      <c r="BS70" s="2095"/>
      <c r="BT70" s="2095"/>
      <c r="BU70" s="2095"/>
      <c r="BV70" s="2095"/>
      <c r="BW70" s="2095"/>
      <c r="BX70" s="2095"/>
      <c r="BY70" s="2095"/>
      <c r="BZ70" s="2095"/>
      <c r="CA70" s="926"/>
      <c r="CB70" s="921"/>
      <c r="CC70" s="927"/>
      <c r="CD70" s="920" t="e" cm="1">
        <f t="array" ca="1" aca="1" ref="CD70">_xlfn.XLOOKUP(BS!CD$11,array_timeline,BS!$AD70:$BN70)</f>
        <v>#NAME?</v>
      </c>
      <c r="CE70" s="920" t="e" cm="1">
        <f t="array" ca="1" aca="1" ref="CE70">_xlfn.XLOOKUP(BS!CE$11,array_timeline,BS!$AD70:$BN70)</f>
        <v>#NAME?</v>
      </c>
      <c r="CF70" s="925"/>
      <c r="CG70" s="920" t="e">
        <f ca="1" t="shared" si="23" ref="CG70:CH70">CG29</f>
        <v>#NAME?</v>
      </c>
      <c r="CH70" s="920" t="e">
        <f t="shared" ca="1" si="23"/>
        <v>#NAME?</v>
      </c>
      <c r="CI70" s="200"/>
    </row>
    <row r="71" spans="1:87" ht="21" customHeight="1">
      <c r="A71" s="696" t="s">
        <v>1759</v>
      </c>
      <c r="B71" s="577" t="str">
        <f t="shared" si="10"/>
        <v>Net Capital Employed</v>
      </c>
      <c r="C71" s="577" t="str">
        <f t="shared" si="10"/>
        <v>Net Capital Employed (Company View)</v>
      </c>
      <c r="D71" s="577"/>
      <c r="E71" s="577" t="e" cm="1">
        <f t="array" ca="1" aca="1" ref="E71">_xlfn.LET(_xlpm.Attr,$C71,_xlpm.Lookback,$E$16,_xlpm.QueryDate,EOMONTH(val_asOfDate,_xlpm.Lookback),_xlpm.ReadField,_xldudf_CX_GET(CX_ENTITY,fx_attrConverter($C71),_xlpm.QueryDate),_xlpm.AttrBlank,_xlpm.Attr="",_xlpm.RESULT,IF(_xlpm.AttrBlank,val_blankRefText,fx_attrConverter(_xlpm.ReadField,0)),IF(_xlpm.RESULT="Error","",_xlpm.RESULT))</f>
        <v>#NAME?</v>
      </c>
      <c r="F71" s="577" t="str">
        <f t="shared" si="9"/>
        <v>Net Capital Employed</v>
      </c>
      <c r="G71" s="574"/>
      <c r="H71" s="3279">
        <v>2</v>
      </c>
      <c r="I71" s="3279">
        <v>1</v>
      </c>
      <c r="J71" s="401"/>
      <c r="K71" s="401"/>
      <c r="L71" s="579">
        <v>-1</v>
      </c>
      <c r="N71" s="158"/>
      <c r="O71" s="101"/>
      <c r="P71" s="52"/>
      <c r="Q71" s="101"/>
      <c r="R71" s="101"/>
      <c r="S71" s="101"/>
      <c r="T71" s="101"/>
      <c r="U71" s="39"/>
      <c r="W71" s="1291" t="str">
        <f t="shared" si="15"/>
        <v>Budget</v>
      </c>
      <c r="X71" s="1294">
        <f t="shared" si="11"/>
        <v>0</v>
      </c>
      <c r="Y71" s="2631" t="str">
        <f t="shared" si="12"/>
        <v>Net Capital Employed</v>
      </c>
      <c r="Z71" s="198" cm="1">
        <f t="array" ref="Z71">_xlfn.SWITCH(TRUE,$L71="",0,$L71=TRUE,1,$L71=FALSE,-1,)</f>
        <v>0</v>
      </c>
      <c r="AA71" s="924"/>
      <c r="AB71" s="2623" t="str">
        <f t="shared" si="13"/>
        <v>Net Capital Employed</v>
      </c>
      <c r="AC71" s="88"/>
      <c r="AD71" s="1669" t="e" cm="1">
        <f t="array" ca="1" aca="1" ref="AD71">_xlfn.LET(_xlpm.val,IF($F71="",val_blankRefText,_xldudf_CX_GET(CX_ENTITY,($F71),AD$11,AD$14,,(AD$60))),_xlpm.Res,IF(OR(_xlpm.val="",_xlpm.val="Error"),"",_xlpm.val),_xlpm.Res)</f>
        <v>#NAME?</v>
      </c>
      <c r="AE71" s="1669" t="e" cm="1">
        <f t="array" ca="1" aca="1" ref="AE71">_xlfn.LET(_xlpm.val,IF($F71="",val_blankRefText,_xldudf_CX_GET(CX_ENTITY,($F71),AE$11,AE$14,,(AE$60))),_xlpm.Res,IF(OR(_xlpm.val="",_xlpm.val="Error"),"",_xlpm.val),_xlpm.Res)</f>
        <v>#NAME?</v>
      </c>
      <c r="AF71" s="1669" t="e" cm="1">
        <f t="array" ca="1" aca="1" ref="AF71">_xlfn.LET(_xlpm.val,IF($F71="",val_blankRefText,_xldudf_CX_GET(CX_ENTITY,($F71),AF$11,AF$14,,(AF$60))),_xlpm.Res,IF(OR(_xlpm.val="",_xlpm.val="Error"),"",_xlpm.val),_xlpm.Res)</f>
        <v>#NAME?</v>
      </c>
      <c r="AG71" s="1669" t="e" cm="1">
        <f t="array" ca="1" aca="1" ref="AG71">_xlfn.LET(_xlpm.val,IF($F71="",val_blankRefText,_xldudf_CX_GET(CX_ENTITY,($F71),AG$11,AG$14,,(AG$60))),_xlpm.Res,IF(OR(_xlpm.val="",_xlpm.val="Error"),"",_xlpm.val),_xlpm.Res)</f>
        <v>#NAME?</v>
      </c>
      <c r="AH71" s="1669" t="e" cm="1">
        <f t="array" ca="1" aca="1" ref="AH71">_xlfn.LET(_xlpm.val,IF($F71="",val_blankRefText,_xldudf_CX_GET(CX_ENTITY,($F71),AH$11,AH$14,,(AH$60))),_xlpm.Res,IF(OR(_xlpm.val="",_xlpm.val="Error"),"",_xlpm.val),_xlpm.Res)</f>
        <v>#NAME?</v>
      </c>
      <c r="AI71" s="1669" t="e" cm="1">
        <f t="array" ca="1" aca="1" ref="AI71">_xlfn.LET(_xlpm.val,IF($F71="",val_blankRefText,_xldudf_CX_GET(CX_ENTITY,($F71),AI$11,AI$14,,(AI$60))),_xlpm.Res,IF(OR(_xlpm.val="",_xlpm.val="Error"),"",_xlpm.val),_xlpm.Res)</f>
        <v>#NAME?</v>
      </c>
      <c r="AJ71" s="1669" t="e" cm="1">
        <f t="array" ca="1" aca="1" ref="AJ71">_xlfn.LET(_xlpm.val,IF($F71="",val_blankRefText,_xldudf_CX_GET(CX_ENTITY,($F71),AJ$11,AJ$14,,(AJ$60))),_xlpm.Res,IF(OR(_xlpm.val="",_xlpm.val="Error"),"",_xlpm.val),_xlpm.Res)</f>
        <v>#NAME?</v>
      </c>
      <c r="AK71" s="1669" t="e" cm="1">
        <f t="array" ca="1" aca="1" ref="AK71">_xlfn.LET(_xlpm.val,IF($F71="",val_blankRefText,_xldudf_CX_GET(CX_ENTITY,($F71),AK$11,AK$14,,(AK$60))),_xlpm.Res,IF(OR(_xlpm.val="",_xlpm.val="Error"),"",_xlpm.val),_xlpm.Res)</f>
        <v>#NAME?</v>
      </c>
      <c r="AL71" s="1669" t="e" cm="1">
        <f t="array" ca="1" aca="1" ref="AL71">_xlfn.LET(_xlpm.val,IF($F71="",val_blankRefText,_xldudf_CX_GET(CX_ENTITY,($F71),AL$11,AL$14,,(AL$60))),_xlpm.Res,IF(OR(_xlpm.val="",_xlpm.val="Error"),"",_xlpm.val),_xlpm.Res)</f>
        <v>#NAME?</v>
      </c>
      <c r="AM71" s="1669" t="e" cm="1">
        <f t="array" ca="1" aca="1" ref="AM71">_xlfn.LET(_xlpm.val,IF($F71="",val_blankRefText,_xldudf_CX_GET(CX_ENTITY,($F71),AM$11,AM$14,,(AM$60))),_xlpm.Res,IF(OR(_xlpm.val="",_xlpm.val="Error"),"",_xlpm.val),_xlpm.Res)</f>
        <v>#NAME?</v>
      </c>
      <c r="AN71" s="1669" t="e" cm="1">
        <f t="array" ca="1" aca="1" ref="AN71">_xlfn.LET(_xlpm.val,IF($F71="",val_blankRefText,_xldudf_CX_GET(CX_ENTITY,($F71),AN$11,AN$14,,(AN$60))),_xlpm.Res,IF(OR(_xlpm.val="",_xlpm.val="Error"),"",_xlpm.val),_xlpm.Res)</f>
        <v>#NAME?</v>
      </c>
      <c r="AO71" s="1669" t="e" cm="1">
        <f t="array" ca="1" aca="1" ref="AO71">_xlfn.LET(_xlpm.val,IF($F71="",val_blankRefText,_xldudf_CX_GET(CX_ENTITY,($F71),AO$11,AO$14,,(AO$60))),_xlpm.Res,IF(OR(_xlpm.val="",_xlpm.val="Error"),"",_xlpm.val),_xlpm.Res)</f>
        <v>#NAME?</v>
      </c>
      <c r="AP71" s="1669" t="e" cm="1">
        <f t="array" ca="1" aca="1" ref="AP71">_xlfn.LET(_xlpm.val,IF($F71="",val_blankRefText,_xldudf_CX_GET(CX_ENTITY,($F71),AP$11,AP$14,,(AP$60))),_xlpm.Res,IF(OR(_xlpm.val="",_xlpm.val="Error"),"",_xlpm.val),_xlpm.Res)</f>
        <v>#NAME?</v>
      </c>
      <c r="AQ71" s="1669" t="e" cm="1">
        <f t="array" ca="1" aca="1" ref="AQ71">_xlfn.LET(_xlpm.val,IF($F71="",val_blankRefText,_xldudf_CX_GET(CX_ENTITY,($F71),AQ$11,AQ$14,,(AQ$60))),_xlpm.Res,IF(OR(_xlpm.val="",_xlpm.val="Error"),"",_xlpm.val),_xlpm.Res)</f>
        <v>#NAME?</v>
      </c>
      <c r="AR71" s="1669" t="e" cm="1">
        <f t="array" ca="1" aca="1" ref="AR71">_xlfn.LET(_xlpm.val,IF($F71="",val_blankRefText,_xldudf_CX_GET(CX_ENTITY,($F71),AR$11,AR$14,,(AR$60))),_xlpm.Res,IF(OR(_xlpm.val="",_xlpm.val="Error"),"",_xlpm.val),_xlpm.Res)</f>
        <v>#NAME?</v>
      </c>
      <c r="AS71" s="1669" t="e" cm="1">
        <f t="array" ca="1" aca="1" ref="AS71">_xlfn.LET(_xlpm.val,IF($F71="",val_blankRefText,_xldudf_CX_GET(CX_ENTITY,($F71),AS$11,AS$14,,(AS$60))),_xlpm.Res,IF(OR(_xlpm.val="",_xlpm.val="Error"),"",_xlpm.val),_xlpm.Res)</f>
        <v>#NAME?</v>
      </c>
      <c r="AT71" s="1669" t="e" cm="1">
        <f t="array" ca="1" aca="1" ref="AT71">_xlfn.LET(_xlpm.val,IF($F71="",val_blankRefText,_xldudf_CX_GET(CX_ENTITY,($F71),AT$11,AT$14,,(AT$60))),_xlpm.Res,IF(OR(_xlpm.val="",_xlpm.val="Error"),"",_xlpm.val),_xlpm.Res)</f>
        <v>#NAME?</v>
      </c>
      <c r="AU71" s="1669" t="e" cm="1">
        <f t="array" ca="1" aca="1" ref="AU71">_xlfn.LET(_xlpm.val,IF($F71="",val_blankRefText,_xldudf_CX_GET(CX_ENTITY,($F71),AU$11,AU$14,,(AU$60))),_xlpm.Res,IF(OR(_xlpm.val="",_xlpm.val="Error"),"",_xlpm.val),_xlpm.Res)</f>
        <v>#NAME?</v>
      </c>
      <c r="AV71" s="1669" t="e" cm="1">
        <f t="array" ca="1" aca="1" ref="AV71">_xlfn.LET(_xlpm.val,IF($F71="",val_blankRefText,_xldudf_CX_GET(CX_ENTITY,($F71),AV$11,AV$14,,(AV$60))),_xlpm.Res,IF(OR(_xlpm.val="",_xlpm.val="Error"),"",_xlpm.val),_xlpm.Res)</f>
        <v>#NAME?</v>
      </c>
      <c r="AW71" s="1669" t="e" cm="1">
        <f t="array" ca="1" aca="1" ref="AW71">_xlfn.LET(_xlpm.val,IF($F71="",val_blankRefText,_xldudf_CX_GET(CX_ENTITY,($F71),AW$11,AW$14,,(AW$60))),_xlpm.Res,IF(OR(_xlpm.val="",_xlpm.val="Error"),"",_xlpm.val),_xlpm.Res)</f>
        <v>#NAME?</v>
      </c>
      <c r="AX71" s="1669" t="e" cm="1">
        <f t="array" ca="1" aca="1" ref="AX71">_xlfn.LET(_xlpm.val,IF($F71="",val_blankRefText,_xldudf_CX_GET(CX_ENTITY,($F71),AX$11,AX$14,,(AX$60))),_xlpm.Res,IF(OR(_xlpm.val="",_xlpm.val="Error"),"",_xlpm.val),_xlpm.Res)</f>
        <v>#NAME?</v>
      </c>
      <c r="AY71" s="1669" t="e" cm="1">
        <f t="array" ca="1" aca="1" ref="AY71">_xlfn.LET(_xlpm.val,IF($F71="",val_blankRefText,_xldudf_CX_GET(CX_ENTITY,($F71),AY$11,AY$14,,(AY$60))),_xlpm.Res,IF(OR(_xlpm.val="",_xlpm.val="Error"),"",_xlpm.val),_xlpm.Res)</f>
        <v>#NAME?</v>
      </c>
      <c r="AZ71" s="1669" t="e" cm="1">
        <f t="array" ca="1" aca="1" ref="AZ71">_xlfn.LET(_xlpm.val,IF($F71="",val_blankRefText,_xldudf_CX_GET(CX_ENTITY,($F71),AZ$11,AZ$14,,(AZ$60))),_xlpm.Res,IF(OR(_xlpm.val="",_xlpm.val="Error"),"",_xlpm.val),_xlpm.Res)</f>
        <v>#NAME?</v>
      </c>
      <c r="BA71" s="1669" t="e" cm="1">
        <f t="array" ca="1" aca="1" ref="BA71">_xlfn.LET(_xlpm.val,IF($F71="",val_blankRefText,_xldudf_CX_GET(CX_ENTITY,($F71),BA$11,BA$14,,(BA$60))),_xlpm.Res,IF(OR(_xlpm.val="",_xlpm.val="Error"),"",_xlpm.val),_xlpm.Res)</f>
        <v>#NAME?</v>
      </c>
      <c r="BB71" s="1669" t="e" cm="1">
        <f t="array" ca="1" aca="1" ref="BB71">_xlfn.LET(_xlpm.val,IF($F71="",val_blankRefText,_xldudf_CX_GET(CX_ENTITY,($F71),BB$11,BB$14,,(BB$60))),_xlpm.Res,IF(OR(_xlpm.val="",_xlpm.val="Error"),"",_xlpm.val),_xlpm.Res)</f>
        <v>#NAME?</v>
      </c>
      <c r="BC71" s="1669" t="e" cm="1">
        <f t="array" ca="1" aca="1" ref="BC71">_xlfn.LET(_xlpm.val,IF($F71="",val_blankRefText,_xldudf_CX_GET(CX_ENTITY,($F71),BC$11,BC$14,,(BC$60))),_xlpm.Res,IF(OR(_xlpm.val="",_xlpm.val="Error"),"",_xlpm.val),_xlpm.Res)</f>
        <v>#NAME?</v>
      </c>
      <c r="BD71" s="1669" t="e" cm="1">
        <f t="array" ca="1" aca="1" ref="BD71">_xlfn.LET(_xlpm.val,IF($F71="",val_blankRefText,_xldudf_CX_GET(CX_ENTITY,($F71),BD$11,BD$14,,(BD$60))),_xlpm.Res,IF(OR(_xlpm.val="",_xlpm.val="Error"),"",_xlpm.val),_xlpm.Res)</f>
        <v>#NAME?</v>
      </c>
      <c r="BE71" s="1669" t="e" cm="1">
        <f t="array" ca="1" aca="1" ref="BE71">_xlfn.LET(_xlpm.val,IF($F71="",val_blankRefText,_xldudf_CX_GET(CX_ENTITY,($F71),BE$11,BE$14,,(BE$60))),_xlpm.Res,IF(OR(_xlpm.val="",_xlpm.val="Error"),"",_xlpm.val),_xlpm.Res)</f>
        <v>#NAME?</v>
      </c>
      <c r="BF71" s="1669" t="e" cm="1">
        <f t="array" ca="1" aca="1" ref="BF71">_xlfn.LET(_xlpm.val,IF($F71="",val_blankRefText,_xldudf_CX_GET(CX_ENTITY,($F71),BF$11,BF$14,,(BF$60))),_xlpm.Res,IF(OR(_xlpm.val="",_xlpm.val="Error"),"",_xlpm.val),_xlpm.Res)</f>
        <v>#NAME?</v>
      </c>
      <c r="BG71" s="1669" t="e" cm="1">
        <f t="array" ca="1" aca="1" ref="BG71">_xlfn.LET(_xlpm.val,IF($F71="",val_blankRefText,_xldudf_CX_GET(CX_ENTITY,($F71),BG$11,BG$14,,(BG$60))),_xlpm.Res,IF(OR(_xlpm.val="",_xlpm.val="Error"),"",_xlpm.val),_xlpm.Res)</f>
        <v>#NAME?</v>
      </c>
      <c r="BH71" s="1669" t="e" cm="1">
        <f t="array" ca="1" aca="1" ref="BH71">_xlfn.LET(_xlpm.val,IF($F71="",val_blankRefText,_xldudf_CX_GET(CX_ENTITY,($F71),BH$11,BH$14,,(BH$60))),_xlpm.Res,IF(OR(_xlpm.val="",_xlpm.val="Error"),"",_xlpm.val),_xlpm.Res)</f>
        <v>#NAME?</v>
      </c>
      <c r="BI71" s="1669" t="e" cm="1">
        <f t="array" ca="1" aca="1" ref="BI71">_xlfn.LET(_xlpm.val,IF($F71="",val_blankRefText,_xldudf_CX_GET(CX_ENTITY,($F71),BI$11,BI$14,,(BI$60))),_xlpm.Res,IF(OR(_xlpm.val="",_xlpm.val="Error"),"",_xlpm.val),_xlpm.Res)</f>
        <v>#NAME?</v>
      </c>
      <c r="BJ71" s="1669" t="e" cm="1">
        <f t="array" ca="1" aca="1" ref="BJ71">_xlfn.LET(_xlpm.val,IF($F71="",val_blankRefText,_xldudf_CX_GET(CX_ENTITY,($F71),BJ$11,BJ$14,,(BJ$60))),_xlpm.Res,IF(OR(_xlpm.val="",_xlpm.val="Error"),"",_xlpm.val),_xlpm.Res)</f>
        <v>#NAME?</v>
      </c>
      <c r="BK71" s="1669" t="e" cm="1">
        <f t="array" ca="1" aca="1" ref="BK71">_xlfn.LET(_xlpm.val,IF($F71="",val_blankRefText,_xldudf_CX_GET(CX_ENTITY,($F71),BK$11,BK$14,,(BK$60))),_xlpm.Res,IF(OR(_xlpm.val="",_xlpm.val="Error"),"",_xlpm.val),_xlpm.Res)</f>
        <v>#NAME?</v>
      </c>
      <c r="BL71" s="1669" t="e" cm="1">
        <f t="array" ca="1" aca="1" ref="BL71">_xlfn.LET(_xlpm.val,IF($F71="",val_blankRefText,_xldudf_CX_GET(CX_ENTITY,($F71),BL$11,BL$14,,(BL$60))),_xlpm.Res,IF(OR(_xlpm.val="",_xlpm.val="Error"),"",_xlpm.val),_xlpm.Res)</f>
        <v>#NAME?</v>
      </c>
      <c r="BM71" s="1669" t="e" cm="1">
        <f t="array" ca="1" aca="1" ref="BM71">_xlfn.LET(_xlpm.val,IF($F71="",val_blankRefText,_xldudf_CX_GET(CX_ENTITY,($F71),BM$11,BM$14,,(BM$60))),_xlpm.Res,IF(OR(_xlpm.val="",_xlpm.val="Error"),"",_xlpm.val),_xlpm.Res)</f>
        <v>#NAME?</v>
      </c>
      <c r="BN71" s="1669" t="e" cm="1">
        <f t="array" ca="1" aca="1" ref="BN71">_xlfn.LET(_xlpm.val,IF($F71="",val_blankRefText,_xldudf_CX_GET(CX_ENTITY,($F71),BN$11,BN$14,,(BN$60))),_xlpm.Res,IF(OR(_xlpm.val="",_xlpm.val="Error"),"",_xlpm.val),_xlpm.Res)</f>
        <v>#NAME?</v>
      </c>
      <c r="BO71" s="2095"/>
      <c r="BP71" s="2095"/>
      <c r="BQ71" s="2095"/>
      <c r="BR71" s="2095"/>
      <c r="BS71" s="2095"/>
      <c r="BT71" s="2095"/>
      <c r="BU71" s="2095"/>
      <c r="BV71" s="2095"/>
      <c r="BW71" s="2095"/>
      <c r="BX71" s="2095"/>
      <c r="BY71" s="2095"/>
      <c r="BZ71" s="2095"/>
      <c r="CA71" s="926"/>
      <c r="CB71" s="921"/>
      <c r="CC71" s="927"/>
      <c r="CD71" s="919" t="e" cm="1">
        <f t="array" ca="1" aca="1" ref="CD71">_xlfn.XLOOKUP(BS!CD$11,array_timeline,BS!$AD71:$BN71)</f>
        <v>#NAME?</v>
      </c>
      <c r="CE71" s="919" t="e" cm="1">
        <f t="array" ca="1" aca="1" ref="CE71">_xlfn.XLOOKUP(BS!CE$11,array_timeline,BS!$AD71:$BN71)</f>
        <v>#NAME?</v>
      </c>
      <c r="CF71" s="925"/>
      <c r="CG71" s="928" t="e">
        <f ca="1" t="shared" si="24" ref="CG71:CH71">CG30</f>
        <v>#NAME?</v>
      </c>
      <c r="CH71" s="928" t="e">
        <f t="shared" ca="1" si="24"/>
        <v>#NAME?</v>
      </c>
      <c r="CI71" s="924"/>
    </row>
    <row r="72" spans="1:87" ht="21" customHeight="1">
      <c r="A72" s="696"/>
      <c r="B72" s="577" t="str">
        <f t="shared" si="10"/>
        <v>Senior Instrument(s) Amortising</v>
      </c>
      <c r="C72" s="577" t="str">
        <f t="shared" si="10"/>
        <v>Senior Instrument(S) Amortising (Company View)</v>
      </c>
      <c r="D72" s="577"/>
      <c r="E72" s="577" t="e" cm="1">
        <f t="array" ca="1" aca="1" ref="E72">_xlfn.LET(_xlpm.Attr,$C72,_xlpm.Lookback,$E$16,_xlpm.QueryDate,EOMONTH(val_asOfDate,_xlpm.Lookback),_xlpm.ReadField,_xldudf_CX_GET(CX_ENTITY,fx_attrConverter($C72),_xlpm.QueryDate),_xlpm.AttrBlank,_xlpm.Attr="",_xlpm.RESULT,IF(_xlpm.AttrBlank,val_blankRefText,fx_attrConverter(_xlpm.ReadField,0)),IF(_xlpm.RESULT="Error","",_xlpm.RESULT))</f>
        <v>#NAME?</v>
      </c>
      <c r="F72" s="577" t="str">
        <f t="shared" si="9"/>
        <v>Senior Instrument(s) Amortising</v>
      </c>
      <c r="G72" s="574"/>
      <c r="H72" s="3279">
        <v>1</v>
      </c>
      <c r="I72" s="3279">
        <v>1</v>
      </c>
      <c r="J72" s="401"/>
      <c r="K72" s="401"/>
      <c r="L72" s="3269" t="b">
        <v>1</v>
      </c>
      <c r="N72" s="158"/>
      <c r="O72" s="101"/>
      <c r="P72" s="52"/>
      <c r="Q72" s="101"/>
      <c r="R72" s="126"/>
      <c r="S72" s="101"/>
      <c r="T72" s="101"/>
      <c r="U72" s="39"/>
      <c r="W72" s="930" t="str">
        <f t="shared" si="15"/>
        <v>Budget</v>
      </c>
      <c r="X72" s="857">
        <f t="shared" si="11"/>
        <v>-1</v>
      </c>
      <c r="Y72" s="2631" t="str">
        <f t="shared" si="12"/>
        <v>Senior instrument(s) amortising: e.g. Term Loan A</v>
      </c>
      <c r="Z72" s="3291" cm="1">
        <f t="array" ref="Z72">_xlfn.SWITCH(TRUE,$L72="",0,$L72=TRUE,1,$L72=FALSE,-1,)</f>
        <v>1</v>
      </c>
      <c r="AA72" s="200"/>
      <c r="AB72" s="2626" t="str">
        <f t="shared" si="13"/>
        <v>Senior instrument(s) amortising: e.g. Term Loan A</v>
      </c>
      <c r="AC72" s="88"/>
      <c r="AD72" s="1669" t="e" cm="1">
        <f t="array" ca="1" aca="1" ref="AD72">_xlfn.LET(_xlpm.val,IF($F72="",val_blankRefText,_xldudf_CX_GET(CX_ENTITY,($F72),AD$11,AD$14,,(AD$60))),_xlpm.Res,IF(OR(_xlpm.val="",_xlpm.val="Error"),"",_xlpm.val),_xlpm.Res)</f>
        <v>#NAME?</v>
      </c>
      <c r="AE72" s="1669" t="e" cm="1">
        <f t="array" ca="1" aca="1" ref="AE72">_xlfn.LET(_xlpm.val,IF($F72="",val_blankRefText,_xldudf_CX_GET(CX_ENTITY,($F72),AE$11,AE$14,,(AE$60))),_xlpm.Res,IF(OR(_xlpm.val="",_xlpm.val="Error"),"",_xlpm.val),_xlpm.Res)</f>
        <v>#NAME?</v>
      </c>
      <c r="AF72" s="1669" t="e" cm="1">
        <f t="array" ca="1" aca="1" ref="AF72">_xlfn.LET(_xlpm.val,IF($F72="",val_blankRefText,_xldudf_CX_GET(CX_ENTITY,($F72),AF$11,AF$14,,(AF$60))),_xlpm.Res,IF(OR(_xlpm.val="",_xlpm.val="Error"),"",_xlpm.val),_xlpm.Res)</f>
        <v>#NAME?</v>
      </c>
      <c r="AG72" s="1669" t="e" cm="1">
        <f t="array" ca="1" aca="1" ref="AG72">_xlfn.LET(_xlpm.val,IF($F72="",val_blankRefText,_xldudf_CX_GET(CX_ENTITY,($F72),AG$11,AG$14,,(AG$60))),_xlpm.Res,IF(OR(_xlpm.val="",_xlpm.val="Error"),"",_xlpm.val),_xlpm.Res)</f>
        <v>#NAME?</v>
      </c>
      <c r="AH72" s="1669" t="e" cm="1">
        <f t="array" ca="1" aca="1" ref="AH72">_xlfn.LET(_xlpm.val,IF($F72="",val_blankRefText,_xldudf_CX_GET(CX_ENTITY,($F72),AH$11,AH$14,,(AH$60))),_xlpm.Res,IF(OR(_xlpm.val="",_xlpm.val="Error"),"",_xlpm.val),_xlpm.Res)</f>
        <v>#NAME?</v>
      </c>
      <c r="AI72" s="1669" t="e" cm="1">
        <f t="array" ca="1" aca="1" ref="AI72">_xlfn.LET(_xlpm.val,IF($F72="",val_blankRefText,_xldudf_CX_GET(CX_ENTITY,($F72),AI$11,AI$14,,(AI$60))),_xlpm.Res,IF(OR(_xlpm.val="",_xlpm.val="Error"),"",_xlpm.val),_xlpm.Res)</f>
        <v>#NAME?</v>
      </c>
      <c r="AJ72" s="1669" t="e" cm="1">
        <f t="array" ca="1" aca="1" ref="AJ72">_xlfn.LET(_xlpm.val,IF($F72="",val_blankRefText,_xldudf_CX_GET(CX_ENTITY,($F72),AJ$11,AJ$14,,(AJ$60))),_xlpm.Res,IF(OR(_xlpm.val="",_xlpm.val="Error"),"",_xlpm.val),_xlpm.Res)</f>
        <v>#NAME?</v>
      </c>
      <c r="AK72" s="1669" t="e" cm="1">
        <f t="array" ca="1" aca="1" ref="AK72">_xlfn.LET(_xlpm.val,IF($F72="",val_blankRefText,_xldudf_CX_GET(CX_ENTITY,($F72),AK$11,AK$14,,(AK$60))),_xlpm.Res,IF(OR(_xlpm.val="",_xlpm.val="Error"),"",_xlpm.val),_xlpm.Res)</f>
        <v>#NAME?</v>
      </c>
      <c r="AL72" s="1669" t="e" cm="1">
        <f t="array" ca="1" aca="1" ref="AL72">_xlfn.LET(_xlpm.val,IF($F72="",val_blankRefText,_xldudf_CX_GET(CX_ENTITY,($F72),AL$11,AL$14,,(AL$60))),_xlpm.Res,IF(OR(_xlpm.val="",_xlpm.val="Error"),"",_xlpm.val),_xlpm.Res)</f>
        <v>#NAME?</v>
      </c>
      <c r="AM72" s="1669" t="e" cm="1">
        <f t="array" ca="1" aca="1" ref="AM72">_xlfn.LET(_xlpm.val,IF($F72="",val_blankRefText,_xldudf_CX_GET(CX_ENTITY,($F72),AM$11,AM$14,,(AM$60))),_xlpm.Res,IF(OR(_xlpm.val="",_xlpm.val="Error"),"",_xlpm.val),_xlpm.Res)</f>
        <v>#NAME?</v>
      </c>
      <c r="AN72" s="1669" t="e" cm="1">
        <f t="array" ca="1" aca="1" ref="AN72">_xlfn.LET(_xlpm.val,IF($F72="",val_blankRefText,_xldudf_CX_GET(CX_ENTITY,($F72),AN$11,AN$14,,(AN$60))),_xlpm.Res,IF(OR(_xlpm.val="",_xlpm.val="Error"),"",_xlpm.val),_xlpm.Res)</f>
        <v>#NAME?</v>
      </c>
      <c r="AO72" s="1669" t="e" cm="1">
        <f t="array" ca="1" aca="1" ref="AO72">_xlfn.LET(_xlpm.val,IF($F72="",val_blankRefText,_xldudf_CX_GET(CX_ENTITY,($F72),AO$11,AO$14,,(AO$60))),_xlpm.Res,IF(OR(_xlpm.val="",_xlpm.val="Error"),"",_xlpm.val),_xlpm.Res)</f>
        <v>#NAME?</v>
      </c>
      <c r="AP72" s="1669" t="e" cm="1">
        <f t="array" ca="1" aca="1" ref="AP72">_xlfn.LET(_xlpm.val,IF($F72="",val_blankRefText,_xldudf_CX_GET(CX_ENTITY,($F72),AP$11,AP$14,,(AP$60))),_xlpm.Res,IF(OR(_xlpm.val="",_xlpm.val="Error"),"",_xlpm.val),_xlpm.Res)</f>
        <v>#NAME?</v>
      </c>
      <c r="AQ72" s="1669" t="e" cm="1">
        <f t="array" ca="1" aca="1" ref="AQ72">_xlfn.LET(_xlpm.val,IF($F72="",val_blankRefText,_xldudf_CX_GET(CX_ENTITY,($F72),AQ$11,AQ$14,,(AQ$60))),_xlpm.Res,IF(OR(_xlpm.val="",_xlpm.val="Error"),"",_xlpm.val),_xlpm.Res)</f>
        <v>#NAME?</v>
      </c>
      <c r="AR72" s="1669" t="e" cm="1">
        <f t="array" ca="1" aca="1" ref="AR72">_xlfn.LET(_xlpm.val,IF($F72="",val_blankRefText,_xldudf_CX_GET(CX_ENTITY,($F72),AR$11,AR$14,,(AR$60))),_xlpm.Res,IF(OR(_xlpm.val="",_xlpm.val="Error"),"",_xlpm.val),_xlpm.Res)</f>
        <v>#NAME?</v>
      </c>
      <c r="AS72" s="1669" t="e" cm="1">
        <f t="array" ca="1" aca="1" ref="AS72">_xlfn.LET(_xlpm.val,IF($F72="",val_blankRefText,_xldudf_CX_GET(CX_ENTITY,($F72),AS$11,AS$14,,(AS$60))),_xlpm.Res,IF(OR(_xlpm.val="",_xlpm.val="Error"),"",_xlpm.val),_xlpm.Res)</f>
        <v>#NAME?</v>
      </c>
      <c r="AT72" s="1669" t="e" cm="1">
        <f t="array" ca="1" aca="1" ref="AT72">_xlfn.LET(_xlpm.val,IF($F72="",val_blankRefText,_xldudf_CX_GET(CX_ENTITY,($F72),AT$11,AT$14,,(AT$60))),_xlpm.Res,IF(OR(_xlpm.val="",_xlpm.val="Error"),"",_xlpm.val),_xlpm.Res)</f>
        <v>#NAME?</v>
      </c>
      <c r="AU72" s="1669" t="e" cm="1">
        <f t="array" ca="1" aca="1" ref="AU72">_xlfn.LET(_xlpm.val,IF($F72="",val_blankRefText,_xldudf_CX_GET(CX_ENTITY,($F72),AU$11,AU$14,,(AU$60))),_xlpm.Res,IF(OR(_xlpm.val="",_xlpm.val="Error"),"",_xlpm.val),_xlpm.Res)</f>
        <v>#NAME?</v>
      </c>
      <c r="AV72" s="1669" t="e" cm="1">
        <f t="array" ca="1" aca="1" ref="AV72">_xlfn.LET(_xlpm.val,IF($F72="",val_blankRefText,_xldudf_CX_GET(CX_ENTITY,($F72),AV$11,AV$14,,(AV$60))),_xlpm.Res,IF(OR(_xlpm.val="",_xlpm.val="Error"),"",_xlpm.val),_xlpm.Res)</f>
        <v>#NAME?</v>
      </c>
      <c r="AW72" s="1669" t="e" cm="1">
        <f t="array" ca="1" aca="1" ref="AW72">_xlfn.LET(_xlpm.val,IF($F72="",val_blankRefText,_xldudf_CX_GET(CX_ENTITY,($F72),AW$11,AW$14,,(AW$60))),_xlpm.Res,IF(OR(_xlpm.val="",_xlpm.val="Error"),"",_xlpm.val),_xlpm.Res)</f>
        <v>#NAME?</v>
      </c>
      <c r="AX72" s="1669" t="e" cm="1">
        <f t="array" ca="1" aca="1" ref="AX72">_xlfn.LET(_xlpm.val,IF($F72="",val_blankRefText,_xldudf_CX_GET(CX_ENTITY,($F72),AX$11,AX$14,,(AX$60))),_xlpm.Res,IF(OR(_xlpm.val="",_xlpm.val="Error"),"",_xlpm.val),_xlpm.Res)</f>
        <v>#NAME?</v>
      </c>
      <c r="AY72" s="1669" t="e" cm="1">
        <f t="array" ca="1" aca="1" ref="AY72">_xlfn.LET(_xlpm.val,IF($F72="",val_blankRefText,_xldudf_CX_GET(CX_ENTITY,($F72),AY$11,AY$14,,(AY$60))),_xlpm.Res,IF(OR(_xlpm.val="",_xlpm.val="Error"),"",_xlpm.val),_xlpm.Res)</f>
        <v>#NAME?</v>
      </c>
      <c r="AZ72" s="1669" t="e" cm="1">
        <f t="array" ca="1" aca="1" ref="AZ72">_xlfn.LET(_xlpm.val,IF($F72="",val_blankRefText,_xldudf_CX_GET(CX_ENTITY,($F72),AZ$11,AZ$14,,(AZ$60))),_xlpm.Res,IF(OR(_xlpm.val="",_xlpm.val="Error"),"",_xlpm.val),_xlpm.Res)</f>
        <v>#NAME?</v>
      </c>
      <c r="BA72" s="1669" t="e" cm="1">
        <f t="array" ca="1" aca="1" ref="BA72">_xlfn.LET(_xlpm.val,IF($F72="",val_blankRefText,_xldudf_CX_GET(CX_ENTITY,($F72),BA$11,BA$14,,(BA$60))),_xlpm.Res,IF(OR(_xlpm.val="",_xlpm.val="Error"),"",_xlpm.val),_xlpm.Res)</f>
        <v>#NAME?</v>
      </c>
      <c r="BB72" s="1669" t="e" cm="1">
        <f t="array" ca="1" aca="1" ref="BB72">_xlfn.LET(_xlpm.val,IF($F72="",val_blankRefText,_xldudf_CX_GET(CX_ENTITY,($F72),BB$11,BB$14,,(BB$60))),_xlpm.Res,IF(OR(_xlpm.val="",_xlpm.val="Error"),"",_xlpm.val),_xlpm.Res)</f>
        <v>#NAME?</v>
      </c>
      <c r="BC72" s="1669" t="e" cm="1">
        <f t="array" ca="1" aca="1" ref="BC72">_xlfn.LET(_xlpm.val,IF($F72="",val_blankRefText,_xldudf_CX_GET(CX_ENTITY,($F72),BC$11,BC$14,,(BC$60))),_xlpm.Res,IF(OR(_xlpm.val="",_xlpm.val="Error"),"",_xlpm.val),_xlpm.Res)</f>
        <v>#NAME?</v>
      </c>
      <c r="BD72" s="1669" t="e" cm="1">
        <f t="array" ca="1" aca="1" ref="BD72">_xlfn.LET(_xlpm.val,IF($F72="",val_blankRefText,_xldudf_CX_GET(CX_ENTITY,($F72),BD$11,BD$14,,(BD$60))),_xlpm.Res,IF(OR(_xlpm.val="",_xlpm.val="Error"),"",_xlpm.val),_xlpm.Res)</f>
        <v>#NAME?</v>
      </c>
      <c r="BE72" s="1669" t="e" cm="1">
        <f t="array" ca="1" aca="1" ref="BE72">_xlfn.LET(_xlpm.val,IF($F72="",val_blankRefText,_xldudf_CX_GET(CX_ENTITY,($F72),BE$11,BE$14,,(BE$60))),_xlpm.Res,IF(OR(_xlpm.val="",_xlpm.val="Error"),"",_xlpm.val),_xlpm.Res)</f>
        <v>#NAME?</v>
      </c>
      <c r="BF72" s="1669" t="e" cm="1">
        <f t="array" ca="1" aca="1" ref="BF72">_xlfn.LET(_xlpm.val,IF($F72="",val_blankRefText,_xldudf_CX_GET(CX_ENTITY,($F72),BF$11,BF$14,,(BF$60))),_xlpm.Res,IF(OR(_xlpm.val="",_xlpm.val="Error"),"",_xlpm.val),_xlpm.Res)</f>
        <v>#NAME?</v>
      </c>
      <c r="BG72" s="1669" t="e" cm="1">
        <f t="array" ca="1" aca="1" ref="BG72">_xlfn.LET(_xlpm.val,IF($F72="",val_blankRefText,_xldudf_CX_GET(CX_ENTITY,($F72),BG$11,BG$14,,(BG$60))),_xlpm.Res,IF(OR(_xlpm.val="",_xlpm.val="Error"),"",_xlpm.val),_xlpm.Res)</f>
        <v>#NAME?</v>
      </c>
      <c r="BH72" s="1669" t="e" cm="1">
        <f t="array" ca="1" aca="1" ref="BH72">_xlfn.LET(_xlpm.val,IF($F72="",val_blankRefText,_xldudf_CX_GET(CX_ENTITY,($F72),BH$11,BH$14,,(BH$60))),_xlpm.Res,IF(OR(_xlpm.val="",_xlpm.val="Error"),"",_xlpm.val),_xlpm.Res)</f>
        <v>#NAME?</v>
      </c>
      <c r="BI72" s="1669" t="e" cm="1">
        <f t="array" ca="1" aca="1" ref="BI72">_xlfn.LET(_xlpm.val,IF($F72="",val_blankRefText,_xldudf_CX_GET(CX_ENTITY,($F72),BI$11,BI$14,,(BI$60))),_xlpm.Res,IF(OR(_xlpm.val="",_xlpm.val="Error"),"",_xlpm.val),_xlpm.Res)</f>
        <v>#NAME?</v>
      </c>
      <c r="BJ72" s="1669" t="e" cm="1">
        <f t="array" ca="1" aca="1" ref="BJ72">_xlfn.LET(_xlpm.val,IF($F72="",val_blankRefText,_xldudf_CX_GET(CX_ENTITY,($F72),BJ$11,BJ$14,,(BJ$60))),_xlpm.Res,IF(OR(_xlpm.val="",_xlpm.val="Error"),"",_xlpm.val),_xlpm.Res)</f>
        <v>#NAME?</v>
      </c>
      <c r="BK72" s="1669" t="e" cm="1">
        <f t="array" ca="1" aca="1" ref="BK72">_xlfn.LET(_xlpm.val,IF($F72="",val_blankRefText,_xldudf_CX_GET(CX_ENTITY,($F72),BK$11,BK$14,,(BK$60))),_xlpm.Res,IF(OR(_xlpm.val="",_xlpm.val="Error"),"",_xlpm.val),_xlpm.Res)</f>
        <v>#NAME?</v>
      </c>
      <c r="BL72" s="1669" t="e" cm="1">
        <f t="array" ca="1" aca="1" ref="BL72">_xlfn.LET(_xlpm.val,IF($F72="",val_blankRefText,_xldudf_CX_GET(CX_ENTITY,($F72),BL$11,BL$14,,(BL$60))),_xlpm.Res,IF(OR(_xlpm.val="",_xlpm.val="Error"),"",_xlpm.val),_xlpm.Res)</f>
        <v>#NAME?</v>
      </c>
      <c r="BM72" s="1669" t="e" cm="1">
        <f t="array" ca="1" aca="1" ref="BM72">_xlfn.LET(_xlpm.val,IF($F72="",val_blankRefText,_xldudf_CX_GET(CX_ENTITY,($F72),BM$11,BM$14,,(BM$60))),_xlpm.Res,IF(OR(_xlpm.val="",_xlpm.val="Error"),"",_xlpm.val),_xlpm.Res)</f>
        <v>#NAME?</v>
      </c>
      <c r="BN72" s="1669" t="e" cm="1">
        <f t="array" ca="1" aca="1" ref="BN72">_xlfn.LET(_xlpm.val,IF($F72="",val_blankRefText,_xldudf_CX_GET(CX_ENTITY,($F72),BN$11,BN$14,,(BN$60))),_xlpm.Res,IF(OR(_xlpm.val="",_xlpm.val="Error"),"",_xlpm.val),_xlpm.Res)</f>
        <v>#NAME?</v>
      </c>
      <c r="BO72" s="2095"/>
      <c r="BP72" s="2095"/>
      <c r="BQ72" s="2095"/>
      <c r="BR72" s="2095"/>
      <c r="BS72" s="2095"/>
      <c r="BT72" s="2095"/>
      <c r="BU72" s="2095"/>
      <c r="BV72" s="2095"/>
      <c r="BW72" s="2095"/>
      <c r="BX72" s="2095"/>
      <c r="BY72" s="2095"/>
      <c r="BZ72" s="2095"/>
      <c r="CA72" s="926"/>
      <c r="CB72" s="921"/>
      <c r="CC72" s="927"/>
      <c r="CD72" s="920" t="e" cm="1">
        <f t="array" ca="1" aca="1" ref="CD72">_xlfn.XLOOKUP(BS!CD$11,array_timeline,BS!$AD72:$BN72)</f>
        <v>#NAME?</v>
      </c>
      <c r="CE72" s="920" t="e" cm="1">
        <f t="array" ca="1" aca="1" ref="CE72">_xlfn.XLOOKUP(BS!CE$11,array_timeline,BS!$AD72:$BN72)</f>
        <v>#NAME?</v>
      </c>
      <c r="CF72" s="925"/>
      <c r="CG72" s="920" t="e">
        <f ca="1" t="shared" si="25" ref="CG72:CH72">CG31</f>
        <v>#NAME?</v>
      </c>
      <c r="CH72" s="920" t="e">
        <f t="shared" ca="1" si="25"/>
        <v>#NAME?</v>
      </c>
      <c r="CI72" s="787"/>
    </row>
    <row r="73" spans="1:87" ht="21" customHeight="1">
      <c r="A73" s="696"/>
      <c r="B73" s="577" t="str">
        <f t="shared" si="10"/>
        <v>Senior Instrument(s) 1</v>
      </c>
      <c r="C73" s="577" t="str">
        <f t="shared" si="10"/>
        <v>Senior Instrument(S) 1 (Company View)</v>
      </c>
      <c r="D73" s="577"/>
      <c r="E73" s="577" t="e" cm="1">
        <f t="array" ca="1" aca="1" ref="E73">_xlfn.LET(_xlpm.Attr,$C73,_xlpm.Lookback,$E$16,_xlpm.QueryDate,EOMONTH(val_asOfDate,_xlpm.Lookback),_xlpm.ReadField,_xldudf_CX_GET(CX_ENTITY,fx_attrConverter($C73),_xlpm.QueryDate),_xlpm.AttrBlank,_xlpm.Attr="",_xlpm.RESULT,IF(_xlpm.AttrBlank,val_blankRefText,fx_attrConverter(_xlpm.ReadField,0)),IF(_xlpm.RESULT="Error","",_xlpm.RESULT))</f>
        <v>#NAME?</v>
      </c>
      <c r="F73" s="577" t="str">
        <f t="shared" si="9"/>
        <v>Senior Instrument(s) 1</v>
      </c>
      <c r="G73" s="574"/>
      <c r="H73" s="3279">
        <v>1</v>
      </c>
      <c r="I73" s="3279">
        <v>1</v>
      </c>
      <c r="J73" s="401"/>
      <c r="K73" s="401"/>
      <c r="L73" s="3269" t="b">
        <v>1</v>
      </c>
      <c r="N73" s="158"/>
      <c r="O73" s="101"/>
      <c r="P73" s="52"/>
      <c r="Q73" s="101"/>
      <c r="R73" s="101"/>
      <c r="S73" s="101"/>
      <c r="T73" s="101"/>
      <c r="U73" s="39"/>
      <c r="W73" s="930" t="str">
        <f t="shared" si="15"/>
        <v>Budget</v>
      </c>
      <c r="X73" s="857">
        <f t="shared" si="11"/>
        <v>-1</v>
      </c>
      <c r="Y73" s="2631" t="str">
        <f t="shared" si="12"/>
        <v>Senior Instrument(s): e.g. Term Loan B or Senior Secured Notes</v>
      </c>
      <c r="Z73" s="3291" cm="1">
        <f t="array" ref="Z73">_xlfn.SWITCH(TRUE,$L73="",0,$L73=TRUE,1,$L73=FALSE,-1,)</f>
        <v>1</v>
      </c>
      <c r="AA73" s="200"/>
      <c r="AB73" s="2626" t="str">
        <f t="shared" si="13"/>
        <v>Senior Instrument(s): e.g. Term Loan B or Senior Secured Notes</v>
      </c>
      <c r="AC73" s="88"/>
      <c r="AD73" s="1669" t="e" cm="1">
        <f t="array" ca="1" aca="1" ref="AD73">_xlfn.LET(_xlpm.val,IF($F73="",val_blankRefText,_xldudf_CX_GET(CX_ENTITY,($F73),AD$11,AD$14,,(AD$60))),_xlpm.Res,IF(OR(_xlpm.val="",_xlpm.val="Error"),"",_xlpm.val),_xlpm.Res)</f>
        <v>#NAME?</v>
      </c>
      <c r="AE73" s="1669" t="e" cm="1">
        <f t="array" ca="1" aca="1" ref="AE73">_xlfn.LET(_xlpm.val,IF($F73="",val_blankRefText,_xldudf_CX_GET(CX_ENTITY,($F73),AE$11,AE$14,,(AE$60))),_xlpm.Res,IF(OR(_xlpm.val="",_xlpm.val="Error"),"",_xlpm.val),_xlpm.Res)</f>
        <v>#NAME?</v>
      </c>
      <c r="AF73" s="1669" t="e" cm="1">
        <f t="array" ca="1" aca="1" ref="AF73">_xlfn.LET(_xlpm.val,IF($F73="",val_blankRefText,_xldudf_CX_GET(CX_ENTITY,($F73),AF$11,AF$14,,(AF$60))),_xlpm.Res,IF(OR(_xlpm.val="",_xlpm.val="Error"),"",_xlpm.val),_xlpm.Res)</f>
        <v>#NAME?</v>
      </c>
      <c r="AG73" s="1669" t="e" cm="1">
        <f t="array" ca="1" aca="1" ref="AG73">_xlfn.LET(_xlpm.val,IF($F73="",val_blankRefText,_xldudf_CX_GET(CX_ENTITY,($F73),AG$11,AG$14,,(AG$60))),_xlpm.Res,IF(OR(_xlpm.val="",_xlpm.val="Error"),"",_xlpm.val),_xlpm.Res)</f>
        <v>#NAME?</v>
      </c>
      <c r="AH73" s="1669" t="e" cm="1">
        <f t="array" ca="1" aca="1" ref="AH73">_xlfn.LET(_xlpm.val,IF($F73="",val_blankRefText,_xldudf_CX_GET(CX_ENTITY,($F73),AH$11,AH$14,,(AH$60))),_xlpm.Res,IF(OR(_xlpm.val="",_xlpm.val="Error"),"",_xlpm.val),_xlpm.Res)</f>
        <v>#NAME?</v>
      </c>
      <c r="AI73" s="1669" t="e" cm="1">
        <f t="array" ca="1" aca="1" ref="AI73">_xlfn.LET(_xlpm.val,IF($F73="",val_blankRefText,_xldudf_CX_GET(CX_ENTITY,($F73),AI$11,AI$14,,(AI$60))),_xlpm.Res,IF(OR(_xlpm.val="",_xlpm.val="Error"),"",_xlpm.val),_xlpm.Res)</f>
        <v>#NAME?</v>
      </c>
      <c r="AJ73" s="1669" t="e" cm="1">
        <f t="array" ca="1" aca="1" ref="AJ73">_xlfn.LET(_xlpm.val,IF($F73="",val_blankRefText,_xldudf_CX_GET(CX_ENTITY,($F73),AJ$11,AJ$14,,(AJ$60))),_xlpm.Res,IF(OR(_xlpm.val="",_xlpm.val="Error"),"",_xlpm.val),_xlpm.Res)</f>
        <v>#NAME?</v>
      </c>
      <c r="AK73" s="1669" t="e" cm="1">
        <f t="array" ca="1" aca="1" ref="AK73">_xlfn.LET(_xlpm.val,IF($F73="",val_blankRefText,_xldudf_CX_GET(CX_ENTITY,($F73),AK$11,AK$14,,(AK$60))),_xlpm.Res,IF(OR(_xlpm.val="",_xlpm.val="Error"),"",_xlpm.val),_xlpm.Res)</f>
        <v>#NAME?</v>
      </c>
      <c r="AL73" s="1669" t="e" cm="1">
        <f t="array" ca="1" aca="1" ref="AL73">_xlfn.LET(_xlpm.val,IF($F73="",val_blankRefText,_xldudf_CX_GET(CX_ENTITY,($F73),AL$11,AL$14,,(AL$60))),_xlpm.Res,IF(OR(_xlpm.val="",_xlpm.val="Error"),"",_xlpm.val),_xlpm.Res)</f>
        <v>#NAME?</v>
      </c>
      <c r="AM73" s="1669" t="e" cm="1">
        <f t="array" ca="1" aca="1" ref="AM73">_xlfn.LET(_xlpm.val,IF($F73="",val_blankRefText,_xldudf_CX_GET(CX_ENTITY,($F73),AM$11,AM$14,,(AM$60))),_xlpm.Res,IF(OR(_xlpm.val="",_xlpm.val="Error"),"",_xlpm.val),_xlpm.Res)</f>
        <v>#NAME?</v>
      </c>
      <c r="AN73" s="1669" t="e" cm="1">
        <f t="array" ca="1" aca="1" ref="AN73">_xlfn.LET(_xlpm.val,IF($F73="",val_blankRefText,_xldudf_CX_GET(CX_ENTITY,($F73),AN$11,AN$14,,(AN$60))),_xlpm.Res,IF(OR(_xlpm.val="",_xlpm.val="Error"),"",_xlpm.val),_xlpm.Res)</f>
        <v>#NAME?</v>
      </c>
      <c r="AO73" s="1669" t="e" cm="1">
        <f t="array" ca="1" aca="1" ref="AO73">_xlfn.LET(_xlpm.val,IF($F73="",val_blankRefText,_xldudf_CX_GET(CX_ENTITY,($F73),AO$11,AO$14,,(AO$60))),_xlpm.Res,IF(OR(_xlpm.val="",_xlpm.val="Error"),"",_xlpm.val),_xlpm.Res)</f>
        <v>#NAME?</v>
      </c>
      <c r="AP73" s="1669" t="e" cm="1">
        <f t="array" ca="1" aca="1" ref="AP73">_xlfn.LET(_xlpm.val,IF($F73="",val_blankRefText,_xldudf_CX_GET(CX_ENTITY,($F73),AP$11,AP$14,,(AP$60))),_xlpm.Res,IF(OR(_xlpm.val="",_xlpm.val="Error"),"",_xlpm.val),_xlpm.Res)</f>
        <v>#NAME?</v>
      </c>
      <c r="AQ73" s="1669" t="e" cm="1">
        <f t="array" ca="1" aca="1" ref="AQ73">_xlfn.LET(_xlpm.val,IF($F73="",val_blankRefText,_xldudf_CX_GET(CX_ENTITY,($F73),AQ$11,AQ$14,,(AQ$60))),_xlpm.Res,IF(OR(_xlpm.val="",_xlpm.val="Error"),"",_xlpm.val),_xlpm.Res)</f>
        <v>#NAME?</v>
      </c>
      <c r="AR73" s="1669" t="e" cm="1">
        <f t="array" ca="1" aca="1" ref="AR73">_xlfn.LET(_xlpm.val,IF($F73="",val_blankRefText,_xldudf_CX_GET(CX_ENTITY,($F73),AR$11,AR$14,,(AR$60))),_xlpm.Res,IF(OR(_xlpm.val="",_xlpm.val="Error"),"",_xlpm.val),_xlpm.Res)</f>
        <v>#NAME?</v>
      </c>
      <c r="AS73" s="1669" t="e" cm="1">
        <f t="array" ca="1" aca="1" ref="AS73">_xlfn.LET(_xlpm.val,IF($F73="",val_blankRefText,_xldudf_CX_GET(CX_ENTITY,($F73),AS$11,AS$14,,(AS$60))),_xlpm.Res,IF(OR(_xlpm.val="",_xlpm.val="Error"),"",_xlpm.val),_xlpm.Res)</f>
        <v>#NAME?</v>
      </c>
      <c r="AT73" s="1669" t="e" cm="1">
        <f t="array" ca="1" aca="1" ref="AT73">_xlfn.LET(_xlpm.val,IF($F73="",val_blankRefText,_xldudf_CX_GET(CX_ENTITY,($F73),AT$11,AT$14,,(AT$60))),_xlpm.Res,IF(OR(_xlpm.val="",_xlpm.val="Error"),"",_xlpm.val),_xlpm.Res)</f>
        <v>#NAME?</v>
      </c>
      <c r="AU73" s="1669" t="e" cm="1">
        <f t="array" ca="1" aca="1" ref="AU73">_xlfn.LET(_xlpm.val,IF($F73="",val_blankRefText,_xldudf_CX_GET(CX_ENTITY,($F73),AU$11,AU$14,,(AU$60))),_xlpm.Res,IF(OR(_xlpm.val="",_xlpm.val="Error"),"",_xlpm.val),_xlpm.Res)</f>
        <v>#NAME?</v>
      </c>
      <c r="AV73" s="1669" t="e" cm="1">
        <f t="array" ca="1" aca="1" ref="AV73">_xlfn.LET(_xlpm.val,IF($F73="",val_blankRefText,_xldudf_CX_GET(CX_ENTITY,($F73),AV$11,AV$14,,(AV$60))),_xlpm.Res,IF(OR(_xlpm.val="",_xlpm.val="Error"),"",_xlpm.val),_xlpm.Res)</f>
        <v>#NAME?</v>
      </c>
      <c r="AW73" s="1669" t="e" cm="1">
        <f t="array" ca="1" aca="1" ref="AW73">_xlfn.LET(_xlpm.val,IF($F73="",val_blankRefText,_xldudf_CX_GET(CX_ENTITY,($F73),AW$11,AW$14,,(AW$60))),_xlpm.Res,IF(OR(_xlpm.val="",_xlpm.val="Error"),"",_xlpm.val),_xlpm.Res)</f>
        <v>#NAME?</v>
      </c>
      <c r="AX73" s="1669" t="e" cm="1">
        <f t="array" ca="1" aca="1" ref="AX73">_xlfn.LET(_xlpm.val,IF($F73="",val_blankRefText,_xldudf_CX_GET(CX_ENTITY,($F73),AX$11,AX$14,,(AX$60))),_xlpm.Res,IF(OR(_xlpm.val="",_xlpm.val="Error"),"",_xlpm.val),_xlpm.Res)</f>
        <v>#NAME?</v>
      </c>
      <c r="AY73" s="1669" t="e" cm="1">
        <f t="array" ca="1" aca="1" ref="AY73">_xlfn.LET(_xlpm.val,IF($F73="",val_blankRefText,_xldudf_CX_GET(CX_ENTITY,($F73),AY$11,AY$14,,(AY$60))),_xlpm.Res,IF(OR(_xlpm.val="",_xlpm.val="Error"),"",_xlpm.val),_xlpm.Res)</f>
        <v>#NAME?</v>
      </c>
      <c r="AZ73" s="1669" t="e" cm="1">
        <f t="array" ca="1" aca="1" ref="AZ73">_xlfn.LET(_xlpm.val,IF($F73="",val_blankRefText,_xldudf_CX_GET(CX_ENTITY,($F73),AZ$11,AZ$14,,(AZ$60))),_xlpm.Res,IF(OR(_xlpm.val="",_xlpm.val="Error"),"",_xlpm.val),_xlpm.Res)</f>
        <v>#NAME?</v>
      </c>
      <c r="BA73" s="1669" t="e" cm="1">
        <f t="array" ca="1" aca="1" ref="BA73">_xlfn.LET(_xlpm.val,IF($F73="",val_blankRefText,_xldudf_CX_GET(CX_ENTITY,($F73),BA$11,BA$14,,(BA$60))),_xlpm.Res,IF(OR(_xlpm.val="",_xlpm.val="Error"),"",_xlpm.val),_xlpm.Res)</f>
        <v>#NAME?</v>
      </c>
      <c r="BB73" s="1669" t="e" cm="1">
        <f t="array" ca="1" aca="1" ref="BB73">_xlfn.LET(_xlpm.val,IF($F73="",val_blankRefText,_xldudf_CX_GET(CX_ENTITY,($F73),BB$11,BB$14,,(BB$60))),_xlpm.Res,IF(OR(_xlpm.val="",_xlpm.val="Error"),"",_xlpm.val),_xlpm.Res)</f>
        <v>#NAME?</v>
      </c>
      <c r="BC73" s="1669" t="e" cm="1">
        <f t="array" ca="1" aca="1" ref="BC73">_xlfn.LET(_xlpm.val,IF($F73="",val_blankRefText,_xldudf_CX_GET(CX_ENTITY,($F73),BC$11,BC$14,,(BC$60))),_xlpm.Res,IF(OR(_xlpm.val="",_xlpm.val="Error"),"",_xlpm.val),_xlpm.Res)</f>
        <v>#NAME?</v>
      </c>
      <c r="BD73" s="1669" t="e" cm="1">
        <f t="array" ca="1" aca="1" ref="BD73">_xlfn.LET(_xlpm.val,IF($F73="",val_blankRefText,_xldudf_CX_GET(CX_ENTITY,($F73),BD$11,BD$14,,(BD$60))),_xlpm.Res,IF(OR(_xlpm.val="",_xlpm.val="Error"),"",_xlpm.val),_xlpm.Res)</f>
        <v>#NAME?</v>
      </c>
      <c r="BE73" s="1669" t="e" cm="1">
        <f t="array" ca="1" aca="1" ref="BE73">_xlfn.LET(_xlpm.val,IF($F73="",val_blankRefText,_xldudf_CX_GET(CX_ENTITY,($F73),BE$11,BE$14,,(BE$60))),_xlpm.Res,IF(OR(_xlpm.val="",_xlpm.val="Error"),"",_xlpm.val),_xlpm.Res)</f>
        <v>#NAME?</v>
      </c>
      <c r="BF73" s="1669" t="e" cm="1">
        <f t="array" ca="1" aca="1" ref="BF73">_xlfn.LET(_xlpm.val,IF($F73="",val_blankRefText,_xldudf_CX_GET(CX_ENTITY,($F73),BF$11,BF$14,,(BF$60))),_xlpm.Res,IF(OR(_xlpm.val="",_xlpm.val="Error"),"",_xlpm.val),_xlpm.Res)</f>
        <v>#NAME?</v>
      </c>
      <c r="BG73" s="1669" t="e" cm="1">
        <f t="array" ca="1" aca="1" ref="BG73">_xlfn.LET(_xlpm.val,IF($F73="",val_blankRefText,_xldudf_CX_GET(CX_ENTITY,($F73),BG$11,BG$14,,(BG$60))),_xlpm.Res,IF(OR(_xlpm.val="",_xlpm.val="Error"),"",_xlpm.val),_xlpm.Res)</f>
        <v>#NAME?</v>
      </c>
      <c r="BH73" s="1669" t="e" cm="1">
        <f t="array" ca="1" aca="1" ref="BH73">_xlfn.LET(_xlpm.val,IF($F73="",val_blankRefText,_xldudf_CX_GET(CX_ENTITY,($F73),BH$11,BH$14,,(BH$60))),_xlpm.Res,IF(OR(_xlpm.val="",_xlpm.val="Error"),"",_xlpm.val),_xlpm.Res)</f>
        <v>#NAME?</v>
      </c>
      <c r="BI73" s="1669" t="e" cm="1">
        <f t="array" ca="1" aca="1" ref="BI73">_xlfn.LET(_xlpm.val,IF($F73="",val_blankRefText,_xldudf_CX_GET(CX_ENTITY,($F73),BI$11,BI$14,,(BI$60))),_xlpm.Res,IF(OR(_xlpm.val="",_xlpm.val="Error"),"",_xlpm.val),_xlpm.Res)</f>
        <v>#NAME?</v>
      </c>
      <c r="BJ73" s="1669" t="e" cm="1">
        <f t="array" ca="1" aca="1" ref="BJ73">_xlfn.LET(_xlpm.val,IF($F73="",val_blankRefText,_xldudf_CX_GET(CX_ENTITY,($F73),BJ$11,BJ$14,,(BJ$60))),_xlpm.Res,IF(OR(_xlpm.val="",_xlpm.val="Error"),"",_xlpm.val),_xlpm.Res)</f>
        <v>#NAME?</v>
      </c>
      <c r="BK73" s="1669" t="e" cm="1">
        <f t="array" ca="1" aca="1" ref="BK73">_xlfn.LET(_xlpm.val,IF($F73="",val_blankRefText,_xldudf_CX_GET(CX_ENTITY,($F73),BK$11,BK$14,,(BK$60))),_xlpm.Res,IF(OR(_xlpm.val="",_xlpm.val="Error"),"",_xlpm.val),_xlpm.Res)</f>
        <v>#NAME?</v>
      </c>
      <c r="BL73" s="1669" t="e" cm="1">
        <f t="array" ca="1" aca="1" ref="BL73">_xlfn.LET(_xlpm.val,IF($F73="",val_blankRefText,_xldudf_CX_GET(CX_ENTITY,($F73),BL$11,BL$14,,(BL$60))),_xlpm.Res,IF(OR(_xlpm.val="",_xlpm.val="Error"),"",_xlpm.val),_xlpm.Res)</f>
        <v>#NAME?</v>
      </c>
      <c r="BM73" s="1669" t="e" cm="1">
        <f t="array" ca="1" aca="1" ref="BM73">_xlfn.LET(_xlpm.val,IF($F73="",val_blankRefText,_xldudf_CX_GET(CX_ENTITY,($F73),BM$11,BM$14,,(BM$60))),_xlpm.Res,IF(OR(_xlpm.val="",_xlpm.val="Error"),"",_xlpm.val),_xlpm.Res)</f>
        <v>#NAME?</v>
      </c>
      <c r="BN73" s="1669" t="e" cm="1">
        <f t="array" ca="1" aca="1" ref="BN73">_xlfn.LET(_xlpm.val,IF($F73="",val_blankRefText,_xldudf_CX_GET(CX_ENTITY,($F73),BN$11,BN$14,,(BN$60))),_xlpm.Res,IF(OR(_xlpm.val="",_xlpm.val="Error"),"",_xlpm.val),_xlpm.Res)</f>
        <v>#NAME?</v>
      </c>
      <c r="BO73" s="2095"/>
      <c r="BP73" s="2095"/>
      <c r="BQ73" s="2095"/>
      <c r="BR73" s="2095"/>
      <c r="BS73" s="2095"/>
      <c r="BT73" s="2095"/>
      <c r="BU73" s="2095"/>
      <c r="BV73" s="2095"/>
      <c r="BW73" s="2095"/>
      <c r="BX73" s="2095"/>
      <c r="BY73" s="2095"/>
      <c r="BZ73" s="2095"/>
      <c r="CA73" s="926"/>
      <c r="CB73" s="921"/>
      <c r="CC73" s="927"/>
      <c r="CD73" s="920" t="e" cm="1">
        <f t="array" ca="1" aca="1" ref="CD73">_xlfn.XLOOKUP(BS!CD$11,array_timeline,BS!$AD73:$BN73)</f>
        <v>#NAME?</v>
      </c>
      <c r="CE73" s="920" t="e" cm="1">
        <f t="array" ca="1" aca="1" ref="CE73">_xlfn.XLOOKUP(BS!CE$11,array_timeline,BS!$AD73:$BN73)</f>
        <v>#NAME?</v>
      </c>
      <c r="CF73" s="925"/>
      <c r="CG73" s="920" t="e">
        <f ca="1" t="shared" si="26" ref="CG73:CH73">CG32</f>
        <v>#NAME?</v>
      </c>
      <c r="CH73" s="920" t="e">
        <f t="shared" ca="1" si="26"/>
        <v>#NAME?</v>
      </c>
      <c r="CI73" s="787"/>
    </row>
    <row r="74" spans="1:87" ht="21" customHeight="1">
      <c r="A74" s="696"/>
      <c r="B74" s="577" t="str">
        <f t="shared" si="10"/>
        <v>Junior Instrument(s)</v>
      </c>
      <c r="C74" s="577" t="str">
        <f t="shared" si="10"/>
        <v>Junior Instrument(S) (Company View)</v>
      </c>
      <c r="D74" s="577"/>
      <c r="E74" s="577" t="e" cm="1">
        <f t="array" ca="1" aca="1" ref="E74">_xlfn.LET(_xlpm.Attr,$C74,_xlpm.Lookback,$E$16,_xlpm.QueryDate,EOMONTH(val_asOfDate,_xlpm.Lookback),_xlpm.ReadField,_xldudf_CX_GET(CX_ENTITY,fx_attrConverter($C74),_xlpm.QueryDate),_xlpm.AttrBlank,_xlpm.Attr="",_xlpm.RESULT,IF(_xlpm.AttrBlank,val_blankRefText,fx_attrConverter(_xlpm.ReadField,0)),IF(_xlpm.RESULT="Error","",_xlpm.RESULT))</f>
        <v>#NAME?</v>
      </c>
      <c r="F74" s="577" t="str">
        <f t="shared" si="9"/>
        <v>Junior Instrument(s)</v>
      </c>
      <c r="G74" s="574"/>
      <c r="H74" s="3279">
        <v>1</v>
      </c>
      <c r="I74" s="3279">
        <v>1</v>
      </c>
      <c r="J74" s="401"/>
      <c r="K74" s="401"/>
      <c r="L74" s="3269" t="b">
        <v>1</v>
      </c>
      <c r="N74" s="158"/>
      <c r="O74" s="101"/>
      <c r="P74" s="52"/>
      <c r="Q74" s="101"/>
      <c r="R74" s="126"/>
      <c r="S74" s="101"/>
      <c r="T74" s="101"/>
      <c r="U74" s="39"/>
      <c r="W74" s="930" t="str">
        <f t="shared" si="15"/>
        <v>Budget</v>
      </c>
      <c r="X74" s="857">
        <f t="shared" si="11"/>
        <v>-1</v>
      </c>
      <c r="Y74" s="2631" t="str">
        <f t="shared" si="12"/>
        <v>Junior Instrument(s): e.g. Second Lien (Junior) or Unsecured Notes</v>
      </c>
      <c r="Z74" s="3291" cm="1">
        <f t="array" ref="Z74">_xlfn.SWITCH(TRUE,$L74="",0,$L74=TRUE,1,$L74=FALSE,-1,)</f>
        <v>1</v>
      </c>
      <c r="AA74" s="200"/>
      <c r="AB74" s="2626" t="str">
        <f t="shared" si="13"/>
        <v>Junior Instrument(s): e.g. Second Lien (Junior) or Unsecured Notes</v>
      </c>
      <c r="AC74" s="88"/>
      <c r="AD74" s="1669" t="e" cm="1">
        <f t="array" ca="1" aca="1" ref="AD74">_xlfn.LET(_xlpm.val,IF($F74="",val_blankRefText,_xldudf_CX_GET(CX_ENTITY,($F74),AD$11,AD$14,,(AD$60))),_xlpm.Res,IF(OR(_xlpm.val="",_xlpm.val="Error"),"",_xlpm.val),_xlpm.Res)</f>
        <v>#NAME?</v>
      </c>
      <c r="AE74" s="1669" t="e" cm="1">
        <f t="array" ca="1" aca="1" ref="AE74">_xlfn.LET(_xlpm.val,IF($F74="",val_blankRefText,_xldudf_CX_GET(CX_ENTITY,($F74),AE$11,AE$14,,(AE$60))),_xlpm.Res,IF(OR(_xlpm.val="",_xlpm.val="Error"),"",_xlpm.val),_xlpm.Res)</f>
        <v>#NAME?</v>
      </c>
      <c r="AF74" s="1669" t="e" cm="1">
        <f t="array" ca="1" aca="1" ref="AF74">_xlfn.LET(_xlpm.val,IF($F74="",val_blankRefText,_xldudf_CX_GET(CX_ENTITY,($F74),AF$11,AF$14,,(AF$60))),_xlpm.Res,IF(OR(_xlpm.val="",_xlpm.val="Error"),"",_xlpm.val),_xlpm.Res)</f>
        <v>#NAME?</v>
      </c>
      <c r="AG74" s="1669" t="e" cm="1">
        <f t="array" ca="1" aca="1" ref="AG74">_xlfn.LET(_xlpm.val,IF($F74="",val_blankRefText,_xldudf_CX_GET(CX_ENTITY,($F74),AG$11,AG$14,,(AG$60))),_xlpm.Res,IF(OR(_xlpm.val="",_xlpm.val="Error"),"",_xlpm.val),_xlpm.Res)</f>
        <v>#NAME?</v>
      </c>
      <c r="AH74" s="1669" t="e" cm="1">
        <f t="array" ca="1" aca="1" ref="AH74">_xlfn.LET(_xlpm.val,IF($F74="",val_blankRefText,_xldudf_CX_GET(CX_ENTITY,($F74),AH$11,AH$14,,(AH$60))),_xlpm.Res,IF(OR(_xlpm.val="",_xlpm.val="Error"),"",_xlpm.val),_xlpm.Res)</f>
        <v>#NAME?</v>
      </c>
      <c r="AI74" s="1669" t="e" cm="1">
        <f t="array" ca="1" aca="1" ref="AI74">_xlfn.LET(_xlpm.val,IF($F74="",val_blankRefText,_xldudf_CX_GET(CX_ENTITY,($F74),AI$11,AI$14,,(AI$60))),_xlpm.Res,IF(OR(_xlpm.val="",_xlpm.val="Error"),"",_xlpm.val),_xlpm.Res)</f>
        <v>#NAME?</v>
      </c>
      <c r="AJ74" s="1669" t="e" cm="1">
        <f t="array" ca="1" aca="1" ref="AJ74">_xlfn.LET(_xlpm.val,IF($F74="",val_blankRefText,_xldudf_CX_GET(CX_ENTITY,($F74),AJ$11,AJ$14,,(AJ$60))),_xlpm.Res,IF(OR(_xlpm.val="",_xlpm.val="Error"),"",_xlpm.val),_xlpm.Res)</f>
        <v>#NAME?</v>
      </c>
      <c r="AK74" s="1669" t="e" cm="1">
        <f t="array" ca="1" aca="1" ref="AK74">_xlfn.LET(_xlpm.val,IF($F74="",val_blankRefText,_xldudf_CX_GET(CX_ENTITY,($F74),AK$11,AK$14,,(AK$60))),_xlpm.Res,IF(OR(_xlpm.val="",_xlpm.val="Error"),"",_xlpm.val),_xlpm.Res)</f>
        <v>#NAME?</v>
      </c>
      <c r="AL74" s="1669" t="e" cm="1">
        <f t="array" ca="1" aca="1" ref="AL74">_xlfn.LET(_xlpm.val,IF($F74="",val_blankRefText,_xldudf_CX_GET(CX_ENTITY,($F74),AL$11,AL$14,,(AL$60))),_xlpm.Res,IF(OR(_xlpm.val="",_xlpm.val="Error"),"",_xlpm.val),_xlpm.Res)</f>
        <v>#NAME?</v>
      </c>
      <c r="AM74" s="1669" t="e" cm="1">
        <f t="array" ca="1" aca="1" ref="AM74">_xlfn.LET(_xlpm.val,IF($F74="",val_blankRefText,_xldudf_CX_GET(CX_ENTITY,($F74),AM$11,AM$14,,(AM$60))),_xlpm.Res,IF(OR(_xlpm.val="",_xlpm.val="Error"),"",_xlpm.val),_xlpm.Res)</f>
        <v>#NAME?</v>
      </c>
      <c r="AN74" s="1669" t="e" cm="1">
        <f t="array" ca="1" aca="1" ref="AN74">_xlfn.LET(_xlpm.val,IF($F74="",val_blankRefText,_xldudf_CX_GET(CX_ENTITY,($F74),AN$11,AN$14,,(AN$60))),_xlpm.Res,IF(OR(_xlpm.val="",_xlpm.val="Error"),"",_xlpm.val),_xlpm.Res)</f>
        <v>#NAME?</v>
      </c>
      <c r="AO74" s="1669" t="e" cm="1">
        <f t="array" ca="1" aca="1" ref="AO74">_xlfn.LET(_xlpm.val,IF($F74="",val_blankRefText,_xldudf_CX_GET(CX_ENTITY,($F74),AO$11,AO$14,,(AO$60))),_xlpm.Res,IF(OR(_xlpm.val="",_xlpm.val="Error"),"",_xlpm.val),_xlpm.Res)</f>
        <v>#NAME?</v>
      </c>
      <c r="AP74" s="1669" t="e" cm="1">
        <f t="array" ca="1" aca="1" ref="AP74">_xlfn.LET(_xlpm.val,IF($F74="",val_blankRefText,_xldudf_CX_GET(CX_ENTITY,($F74),AP$11,AP$14,,(AP$60))),_xlpm.Res,IF(OR(_xlpm.val="",_xlpm.val="Error"),"",_xlpm.val),_xlpm.Res)</f>
        <v>#NAME?</v>
      </c>
      <c r="AQ74" s="1669" t="e" cm="1">
        <f t="array" ca="1" aca="1" ref="AQ74">_xlfn.LET(_xlpm.val,IF($F74="",val_blankRefText,_xldudf_CX_GET(CX_ENTITY,($F74),AQ$11,AQ$14,,(AQ$60))),_xlpm.Res,IF(OR(_xlpm.val="",_xlpm.val="Error"),"",_xlpm.val),_xlpm.Res)</f>
        <v>#NAME?</v>
      </c>
      <c r="AR74" s="1669" t="e" cm="1">
        <f t="array" ca="1" aca="1" ref="AR74">_xlfn.LET(_xlpm.val,IF($F74="",val_blankRefText,_xldudf_CX_GET(CX_ENTITY,($F74),AR$11,AR$14,,(AR$60))),_xlpm.Res,IF(OR(_xlpm.val="",_xlpm.val="Error"),"",_xlpm.val),_xlpm.Res)</f>
        <v>#NAME?</v>
      </c>
      <c r="AS74" s="1669" t="e" cm="1">
        <f t="array" ca="1" aca="1" ref="AS74">_xlfn.LET(_xlpm.val,IF($F74="",val_blankRefText,_xldudf_CX_GET(CX_ENTITY,($F74),AS$11,AS$14,,(AS$60))),_xlpm.Res,IF(OR(_xlpm.val="",_xlpm.val="Error"),"",_xlpm.val),_xlpm.Res)</f>
        <v>#NAME?</v>
      </c>
      <c r="AT74" s="1669" t="e" cm="1">
        <f t="array" ca="1" aca="1" ref="AT74">_xlfn.LET(_xlpm.val,IF($F74="",val_blankRefText,_xldudf_CX_GET(CX_ENTITY,($F74),AT$11,AT$14,,(AT$60))),_xlpm.Res,IF(OR(_xlpm.val="",_xlpm.val="Error"),"",_xlpm.val),_xlpm.Res)</f>
        <v>#NAME?</v>
      </c>
      <c r="AU74" s="1669" t="e" cm="1">
        <f t="array" ca="1" aca="1" ref="AU74">_xlfn.LET(_xlpm.val,IF($F74="",val_blankRefText,_xldudf_CX_GET(CX_ENTITY,($F74),AU$11,AU$14,,(AU$60))),_xlpm.Res,IF(OR(_xlpm.val="",_xlpm.val="Error"),"",_xlpm.val),_xlpm.Res)</f>
        <v>#NAME?</v>
      </c>
      <c r="AV74" s="1669" t="e" cm="1">
        <f t="array" ca="1" aca="1" ref="AV74">_xlfn.LET(_xlpm.val,IF($F74="",val_blankRefText,_xldudf_CX_GET(CX_ENTITY,($F74),AV$11,AV$14,,(AV$60))),_xlpm.Res,IF(OR(_xlpm.val="",_xlpm.val="Error"),"",_xlpm.val),_xlpm.Res)</f>
        <v>#NAME?</v>
      </c>
      <c r="AW74" s="1669" t="e" cm="1">
        <f t="array" ca="1" aca="1" ref="AW74">_xlfn.LET(_xlpm.val,IF($F74="",val_blankRefText,_xldudf_CX_GET(CX_ENTITY,($F74),AW$11,AW$14,,(AW$60))),_xlpm.Res,IF(OR(_xlpm.val="",_xlpm.val="Error"),"",_xlpm.val),_xlpm.Res)</f>
        <v>#NAME?</v>
      </c>
      <c r="AX74" s="1669" t="e" cm="1">
        <f t="array" ca="1" aca="1" ref="AX74">_xlfn.LET(_xlpm.val,IF($F74="",val_blankRefText,_xldudf_CX_GET(CX_ENTITY,($F74),AX$11,AX$14,,(AX$60))),_xlpm.Res,IF(OR(_xlpm.val="",_xlpm.val="Error"),"",_xlpm.val),_xlpm.Res)</f>
        <v>#NAME?</v>
      </c>
      <c r="AY74" s="1669" t="e" cm="1">
        <f t="array" ca="1" aca="1" ref="AY74">_xlfn.LET(_xlpm.val,IF($F74="",val_blankRefText,_xldudf_CX_GET(CX_ENTITY,($F74),AY$11,AY$14,,(AY$60))),_xlpm.Res,IF(OR(_xlpm.val="",_xlpm.val="Error"),"",_xlpm.val),_xlpm.Res)</f>
        <v>#NAME?</v>
      </c>
      <c r="AZ74" s="1669" t="e" cm="1">
        <f t="array" ca="1" aca="1" ref="AZ74">_xlfn.LET(_xlpm.val,IF($F74="",val_blankRefText,_xldudf_CX_GET(CX_ENTITY,($F74),AZ$11,AZ$14,,(AZ$60))),_xlpm.Res,IF(OR(_xlpm.val="",_xlpm.val="Error"),"",_xlpm.val),_xlpm.Res)</f>
        <v>#NAME?</v>
      </c>
      <c r="BA74" s="1669" t="e" cm="1">
        <f t="array" ca="1" aca="1" ref="BA74">_xlfn.LET(_xlpm.val,IF($F74="",val_blankRefText,_xldudf_CX_GET(CX_ENTITY,($F74),BA$11,BA$14,,(BA$60))),_xlpm.Res,IF(OR(_xlpm.val="",_xlpm.val="Error"),"",_xlpm.val),_xlpm.Res)</f>
        <v>#NAME?</v>
      </c>
      <c r="BB74" s="1669" t="e" cm="1">
        <f t="array" ca="1" aca="1" ref="BB74">_xlfn.LET(_xlpm.val,IF($F74="",val_blankRefText,_xldudf_CX_GET(CX_ENTITY,($F74),BB$11,BB$14,,(BB$60))),_xlpm.Res,IF(OR(_xlpm.val="",_xlpm.val="Error"),"",_xlpm.val),_xlpm.Res)</f>
        <v>#NAME?</v>
      </c>
      <c r="BC74" s="1669" t="e" cm="1">
        <f t="array" ca="1" aca="1" ref="BC74">_xlfn.LET(_xlpm.val,IF($F74="",val_blankRefText,_xldudf_CX_GET(CX_ENTITY,($F74),BC$11,BC$14,,(BC$60))),_xlpm.Res,IF(OR(_xlpm.val="",_xlpm.val="Error"),"",_xlpm.val),_xlpm.Res)</f>
        <v>#NAME?</v>
      </c>
      <c r="BD74" s="1669" t="e" cm="1">
        <f t="array" ca="1" aca="1" ref="BD74">_xlfn.LET(_xlpm.val,IF($F74="",val_blankRefText,_xldudf_CX_GET(CX_ENTITY,($F74),BD$11,BD$14,,(BD$60))),_xlpm.Res,IF(OR(_xlpm.val="",_xlpm.val="Error"),"",_xlpm.val),_xlpm.Res)</f>
        <v>#NAME?</v>
      </c>
      <c r="BE74" s="1669" t="e" cm="1">
        <f t="array" ca="1" aca="1" ref="BE74">_xlfn.LET(_xlpm.val,IF($F74="",val_blankRefText,_xldudf_CX_GET(CX_ENTITY,($F74),BE$11,BE$14,,(BE$60))),_xlpm.Res,IF(OR(_xlpm.val="",_xlpm.val="Error"),"",_xlpm.val),_xlpm.Res)</f>
        <v>#NAME?</v>
      </c>
      <c r="BF74" s="1669" t="e" cm="1">
        <f t="array" ca="1" aca="1" ref="BF74">_xlfn.LET(_xlpm.val,IF($F74="",val_blankRefText,_xldudf_CX_GET(CX_ENTITY,($F74),BF$11,BF$14,,(BF$60))),_xlpm.Res,IF(OR(_xlpm.val="",_xlpm.val="Error"),"",_xlpm.val),_xlpm.Res)</f>
        <v>#NAME?</v>
      </c>
      <c r="BG74" s="1669" t="e" cm="1">
        <f t="array" ca="1" aca="1" ref="BG74">_xlfn.LET(_xlpm.val,IF($F74="",val_blankRefText,_xldudf_CX_GET(CX_ENTITY,($F74),BG$11,BG$14,,(BG$60))),_xlpm.Res,IF(OR(_xlpm.val="",_xlpm.val="Error"),"",_xlpm.val),_xlpm.Res)</f>
        <v>#NAME?</v>
      </c>
      <c r="BH74" s="1669" t="e" cm="1">
        <f t="array" ca="1" aca="1" ref="BH74">_xlfn.LET(_xlpm.val,IF($F74="",val_blankRefText,_xldudf_CX_GET(CX_ENTITY,($F74),BH$11,BH$14,,(BH$60))),_xlpm.Res,IF(OR(_xlpm.val="",_xlpm.val="Error"),"",_xlpm.val),_xlpm.Res)</f>
        <v>#NAME?</v>
      </c>
      <c r="BI74" s="1669" t="e" cm="1">
        <f t="array" ca="1" aca="1" ref="BI74">_xlfn.LET(_xlpm.val,IF($F74="",val_blankRefText,_xldudf_CX_GET(CX_ENTITY,($F74),BI$11,BI$14,,(BI$60))),_xlpm.Res,IF(OR(_xlpm.val="",_xlpm.val="Error"),"",_xlpm.val),_xlpm.Res)</f>
        <v>#NAME?</v>
      </c>
      <c r="BJ74" s="1669" t="e" cm="1">
        <f t="array" ca="1" aca="1" ref="BJ74">_xlfn.LET(_xlpm.val,IF($F74="",val_blankRefText,_xldudf_CX_GET(CX_ENTITY,($F74),BJ$11,BJ$14,,(BJ$60))),_xlpm.Res,IF(OR(_xlpm.val="",_xlpm.val="Error"),"",_xlpm.val),_xlpm.Res)</f>
        <v>#NAME?</v>
      </c>
      <c r="BK74" s="1669" t="e" cm="1">
        <f t="array" ca="1" aca="1" ref="BK74">_xlfn.LET(_xlpm.val,IF($F74="",val_blankRefText,_xldudf_CX_GET(CX_ENTITY,($F74),BK$11,BK$14,,(BK$60))),_xlpm.Res,IF(OR(_xlpm.val="",_xlpm.val="Error"),"",_xlpm.val),_xlpm.Res)</f>
        <v>#NAME?</v>
      </c>
      <c r="BL74" s="1669" t="e" cm="1">
        <f t="array" ca="1" aca="1" ref="BL74">_xlfn.LET(_xlpm.val,IF($F74="",val_blankRefText,_xldudf_CX_GET(CX_ENTITY,($F74),BL$11,BL$14,,(BL$60))),_xlpm.Res,IF(OR(_xlpm.val="",_xlpm.val="Error"),"",_xlpm.val),_xlpm.Res)</f>
        <v>#NAME?</v>
      </c>
      <c r="BM74" s="1669" t="e" cm="1">
        <f t="array" ca="1" aca="1" ref="BM74">_xlfn.LET(_xlpm.val,IF($F74="",val_blankRefText,_xldudf_CX_GET(CX_ENTITY,($F74),BM$11,BM$14,,(BM$60))),_xlpm.Res,IF(OR(_xlpm.val="",_xlpm.val="Error"),"",_xlpm.val),_xlpm.Res)</f>
        <v>#NAME?</v>
      </c>
      <c r="BN74" s="1669" t="e" cm="1">
        <f t="array" ca="1" aca="1" ref="BN74">_xlfn.LET(_xlpm.val,IF($F74="",val_blankRefText,_xldudf_CX_GET(CX_ENTITY,($F74),BN$11,BN$14,,(BN$60))),_xlpm.Res,IF(OR(_xlpm.val="",_xlpm.val="Error"),"",_xlpm.val),_xlpm.Res)</f>
        <v>#NAME?</v>
      </c>
      <c r="BO74" s="2095"/>
      <c r="BP74" s="2095"/>
      <c r="BQ74" s="2095"/>
      <c r="BR74" s="2095"/>
      <c r="BS74" s="2095"/>
      <c r="BT74" s="2095"/>
      <c r="BU74" s="2095"/>
      <c r="BV74" s="2095"/>
      <c r="BW74" s="2095"/>
      <c r="BX74" s="2095"/>
      <c r="BY74" s="2095"/>
      <c r="BZ74" s="2095"/>
      <c r="CA74" s="926"/>
      <c r="CB74" s="921"/>
      <c r="CC74" s="927"/>
      <c r="CD74" s="920" t="e" cm="1">
        <f t="array" ca="1" aca="1" ref="CD74">_xlfn.XLOOKUP(BS!CD$11,array_timeline,BS!$AD74:$BN74)</f>
        <v>#NAME?</v>
      </c>
      <c r="CE74" s="920" t="e" cm="1">
        <f t="array" ca="1" aca="1" ref="CE74">_xlfn.XLOOKUP(BS!CE$11,array_timeline,BS!$AD74:$BN74)</f>
        <v>#NAME?</v>
      </c>
      <c r="CF74" s="925"/>
      <c r="CG74" s="920" t="e">
        <f ca="1" t="shared" si="27" ref="CG74:CH74">CG33</f>
        <v>#NAME?</v>
      </c>
      <c r="CH74" s="920" t="e">
        <f t="shared" ca="1" si="27"/>
        <v>#NAME?</v>
      </c>
      <c r="CI74" s="787"/>
    </row>
    <row r="75" spans="1:87" ht="21" customHeight="1">
      <c r="A75" s="696"/>
      <c r="B75" s="577" t="str">
        <f t="shared" si="10"/>
        <v>Others Instrument(s)</v>
      </c>
      <c r="C75" s="577" t="str">
        <f t="shared" si="10"/>
        <v>Others Instrument(s) (Company View)</v>
      </c>
      <c r="D75" s="577"/>
      <c r="E75" s="577" t="e" cm="1">
        <f t="array" ca="1" aca="1" ref="E75">_xlfn.LET(_xlpm.Attr,$C75,_xlpm.Lookback,$E$16,_xlpm.QueryDate,EOMONTH(val_asOfDate,_xlpm.Lookback),_xlpm.ReadField,_xldudf_CX_GET(CX_ENTITY,fx_attrConverter($C75),_xlpm.QueryDate),_xlpm.AttrBlank,_xlpm.Attr="",_xlpm.RESULT,IF(_xlpm.AttrBlank,val_blankRefText,fx_attrConverter(_xlpm.ReadField,0)),IF(_xlpm.RESULT="Error","",_xlpm.RESULT))</f>
        <v>#NAME?</v>
      </c>
      <c r="F75" s="577" t="str">
        <f t="shared" si="9"/>
        <v>Others Instrument(s)</v>
      </c>
      <c r="G75" s="574"/>
      <c r="H75" s="3279">
        <v>1</v>
      </c>
      <c r="I75" s="3279">
        <v>1</v>
      </c>
      <c r="J75" s="401"/>
      <c r="K75" s="401"/>
      <c r="L75" s="3269" t="b">
        <v>1</v>
      </c>
      <c r="N75" s="158"/>
      <c r="O75" s="101"/>
      <c r="P75" s="52"/>
      <c r="Q75" s="101"/>
      <c r="R75" s="101"/>
      <c r="S75" s="101"/>
      <c r="T75" s="101"/>
      <c r="U75" s="39"/>
      <c r="W75" s="930" t="str">
        <f t="shared" si="15"/>
        <v>Budget</v>
      </c>
      <c r="X75" s="857">
        <f t="shared" si="11"/>
        <v>-1</v>
      </c>
      <c r="Y75" s="2631" t="str">
        <f t="shared" si="12"/>
        <v>Others Instrument(s)</v>
      </c>
      <c r="Z75" s="3291" cm="1">
        <f t="array" ref="Z75">_xlfn.SWITCH(TRUE,$L75="",0,$L75=TRUE,1,$L75=FALSE,-1,)</f>
        <v>1</v>
      </c>
      <c r="AA75" s="200"/>
      <c r="AB75" s="2626" t="str">
        <f t="shared" si="13"/>
        <v>Others Instrument(s)</v>
      </c>
      <c r="AC75" s="88"/>
      <c r="AD75" s="1669" t="e" cm="1">
        <f t="array" ca="1" aca="1" ref="AD75">_xlfn.LET(_xlpm.val,IF($F75="",val_blankRefText,_xldudf_CX_GET(CX_ENTITY,($F75),AD$11,AD$14,,(AD$60))),_xlpm.Res,IF(OR(_xlpm.val="",_xlpm.val="Error"),"",_xlpm.val),_xlpm.Res)</f>
        <v>#NAME?</v>
      </c>
      <c r="AE75" s="1669" t="e" cm="1">
        <f t="array" ca="1" aca="1" ref="AE75">_xlfn.LET(_xlpm.val,IF($F75="",val_blankRefText,_xldudf_CX_GET(CX_ENTITY,($F75),AE$11,AE$14,,(AE$60))),_xlpm.Res,IF(OR(_xlpm.val="",_xlpm.val="Error"),"",_xlpm.val),_xlpm.Res)</f>
        <v>#NAME?</v>
      </c>
      <c r="AF75" s="1669" t="e" cm="1">
        <f t="array" ca="1" aca="1" ref="AF75">_xlfn.LET(_xlpm.val,IF($F75="",val_blankRefText,_xldudf_CX_GET(CX_ENTITY,($F75),AF$11,AF$14,,(AF$60))),_xlpm.Res,IF(OR(_xlpm.val="",_xlpm.val="Error"),"",_xlpm.val),_xlpm.Res)</f>
        <v>#NAME?</v>
      </c>
      <c r="AG75" s="1669" t="e" cm="1">
        <f t="array" ca="1" aca="1" ref="AG75">_xlfn.LET(_xlpm.val,IF($F75="",val_blankRefText,_xldudf_CX_GET(CX_ENTITY,($F75),AG$11,AG$14,,(AG$60))),_xlpm.Res,IF(OR(_xlpm.val="",_xlpm.val="Error"),"",_xlpm.val),_xlpm.Res)</f>
        <v>#NAME?</v>
      </c>
      <c r="AH75" s="1669" t="e" cm="1">
        <f t="array" ca="1" aca="1" ref="AH75">_xlfn.LET(_xlpm.val,IF($F75="",val_blankRefText,_xldudf_CX_GET(CX_ENTITY,($F75),AH$11,AH$14,,(AH$60))),_xlpm.Res,IF(OR(_xlpm.val="",_xlpm.val="Error"),"",_xlpm.val),_xlpm.Res)</f>
        <v>#NAME?</v>
      </c>
      <c r="AI75" s="1669" t="e" cm="1">
        <f t="array" ca="1" aca="1" ref="AI75">_xlfn.LET(_xlpm.val,IF($F75="",val_blankRefText,_xldudf_CX_GET(CX_ENTITY,($F75),AI$11,AI$14,,(AI$60))),_xlpm.Res,IF(OR(_xlpm.val="",_xlpm.val="Error"),"",_xlpm.val),_xlpm.Res)</f>
        <v>#NAME?</v>
      </c>
      <c r="AJ75" s="1669" t="e" cm="1">
        <f t="array" ca="1" aca="1" ref="AJ75">_xlfn.LET(_xlpm.val,IF($F75="",val_blankRefText,_xldudf_CX_GET(CX_ENTITY,($F75),AJ$11,AJ$14,,(AJ$60))),_xlpm.Res,IF(OR(_xlpm.val="",_xlpm.val="Error"),"",_xlpm.val),_xlpm.Res)</f>
        <v>#NAME?</v>
      </c>
      <c r="AK75" s="1669" t="e" cm="1">
        <f t="array" ca="1" aca="1" ref="AK75">_xlfn.LET(_xlpm.val,IF($F75="",val_blankRefText,_xldudf_CX_GET(CX_ENTITY,($F75),AK$11,AK$14,,(AK$60))),_xlpm.Res,IF(OR(_xlpm.val="",_xlpm.val="Error"),"",_xlpm.val),_xlpm.Res)</f>
        <v>#NAME?</v>
      </c>
      <c r="AL75" s="1669" t="e" cm="1">
        <f t="array" ca="1" aca="1" ref="AL75">_xlfn.LET(_xlpm.val,IF($F75="",val_blankRefText,_xldudf_CX_GET(CX_ENTITY,($F75),AL$11,AL$14,,(AL$60))),_xlpm.Res,IF(OR(_xlpm.val="",_xlpm.val="Error"),"",_xlpm.val),_xlpm.Res)</f>
        <v>#NAME?</v>
      </c>
      <c r="AM75" s="1669" t="e" cm="1">
        <f t="array" ca="1" aca="1" ref="AM75">_xlfn.LET(_xlpm.val,IF($F75="",val_blankRefText,_xldudf_CX_GET(CX_ENTITY,($F75),AM$11,AM$14,,(AM$60))),_xlpm.Res,IF(OR(_xlpm.val="",_xlpm.val="Error"),"",_xlpm.val),_xlpm.Res)</f>
        <v>#NAME?</v>
      </c>
      <c r="AN75" s="1669" t="e" cm="1">
        <f t="array" ca="1" aca="1" ref="AN75">_xlfn.LET(_xlpm.val,IF($F75="",val_blankRefText,_xldudf_CX_GET(CX_ENTITY,($F75),AN$11,AN$14,,(AN$60))),_xlpm.Res,IF(OR(_xlpm.val="",_xlpm.val="Error"),"",_xlpm.val),_xlpm.Res)</f>
        <v>#NAME?</v>
      </c>
      <c r="AO75" s="1669" t="e" cm="1">
        <f t="array" ca="1" aca="1" ref="AO75">_xlfn.LET(_xlpm.val,IF($F75="",val_blankRefText,_xldudf_CX_GET(CX_ENTITY,($F75),AO$11,AO$14,,(AO$60))),_xlpm.Res,IF(OR(_xlpm.val="",_xlpm.val="Error"),"",_xlpm.val),_xlpm.Res)</f>
        <v>#NAME?</v>
      </c>
      <c r="AP75" s="1669" t="e" cm="1">
        <f t="array" ca="1" aca="1" ref="AP75">_xlfn.LET(_xlpm.val,IF($F75="",val_blankRefText,_xldudf_CX_GET(CX_ENTITY,($F75),AP$11,AP$14,,(AP$60))),_xlpm.Res,IF(OR(_xlpm.val="",_xlpm.val="Error"),"",_xlpm.val),_xlpm.Res)</f>
        <v>#NAME?</v>
      </c>
      <c r="AQ75" s="1669" t="e" cm="1">
        <f t="array" ca="1" aca="1" ref="AQ75">_xlfn.LET(_xlpm.val,IF($F75="",val_blankRefText,_xldudf_CX_GET(CX_ENTITY,($F75),AQ$11,AQ$14,,(AQ$60))),_xlpm.Res,IF(OR(_xlpm.val="",_xlpm.val="Error"),"",_xlpm.val),_xlpm.Res)</f>
        <v>#NAME?</v>
      </c>
      <c r="AR75" s="1669" t="e" cm="1">
        <f t="array" ca="1" aca="1" ref="AR75">_xlfn.LET(_xlpm.val,IF($F75="",val_blankRefText,_xldudf_CX_GET(CX_ENTITY,($F75),AR$11,AR$14,,(AR$60))),_xlpm.Res,IF(OR(_xlpm.val="",_xlpm.val="Error"),"",_xlpm.val),_xlpm.Res)</f>
        <v>#NAME?</v>
      </c>
      <c r="AS75" s="1669" t="e" cm="1">
        <f t="array" ca="1" aca="1" ref="AS75">_xlfn.LET(_xlpm.val,IF($F75="",val_blankRefText,_xldudf_CX_GET(CX_ENTITY,($F75),AS$11,AS$14,,(AS$60))),_xlpm.Res,IF(OR(_xlpm.val="",_xlpm.val="Error"),"",_xlpm.val),_xlpm.Res)</f>
        <v>#NAME?</v>
      </c>
      <c r="AT75" s="1669" t="e" cm="1">
        <f t="array" ca="1" aca="1" ref="AT75">_xlfn.LET(_xlpm.val,IF($F75="",val_blankRefText,_xldudf_CX_GET(CX_ENTITY,($F75),AT$11,AT$14,,(AT$60))),_xlpm.Res,IF(OR(_xlpm.val="",_xlpm.val="Error"),"",_xlpm.val),_xlpm.Res)</f>
        <v>#NAME?</v>
      </c>
      <c r="AU75" s="1669" t="e" cm="1">
        <f t="array" ca="1" aca="1" ref="AU75">_xlfn.LET(_xlpm.val,IF($F75="",val_blankRefText,_xldudf_CX_GET(CX_ENTITY,($F75),AU$11,AU$14,,(AU$60))),_xlpm.Res,IF(OR(_xlpm.val="",_xlpm.val="Error"),"",_xlpm.val),_xlpm.Res)</f>
        <v>#NAME?</v>
      </c>
      <c r="AV75" s="1669" t="e" cm="1">
        <f t="array" ca="1" aca="1" ref="AV75">_xlfn.LET(_xlpm.val,IF($F75="",val_blankRefText,_xldudf_CX_GET(CX_ENTITY,($F75),AV$11,AV$14,,(AV$60))),_xlpm.Res,IF(OR(_xlpm.val="",_xlpm.val="Error"),"",_xlpm.val),_xlpm.Res)</f>
        <v>#NAME?</v>
      </c>
      <c r="AW75" s="1669" t="e" cm="1">
        <f t="array" ca="1" aca="1" ref="AW75">_xlfn.LET(_xlpm.val,IF($F75="",val_blankRefText,_xldudf_CX_GET(CX_ENTITY,($F75),AW$11,AW$14,,(AW$60))),_xlpm.Res,IF(OR(_xlpm.val="",_xlpm.val="Error"),"",_xlpm.val),_xlpm.Res)</f>
        <v>#NAME?</v>
      </c>
      <c r="AX75" s="1669" t="e" cm="1">
        <f t="array" ca="1" aca="1" ref="AX75">_xlfn.LET(_xlpm.val,IF($F75="",val_blankRefText,_xldudf_CX_GET(CX_ENTITY,($F75),AX$11,AX$14,,(AX$60))),_xlpm.Res,IF(OR(_xlpm.val="",_xlpm.val="Error"),"",_xlpm.val),_xlpm.Res)</f>
        <v>#NAME?</v>
      </c>
      <c r="AY75" s="1669" t="e" cm="1">
        <f t="array" ca="1" aca="1" ref="AY75">_xlfn.LET(_xlpm.val,IF($F75="",val_blankRefText,_xldudf_CX_GET(CX_ENTITY,($F75),AY$11,AY$14,,(AY$60))),_xlpm.Res,IF(OR(_xlpm.val="",_xlpm.val="Error"),"",_xlpm.val),_xlpm.Res)</f>
        <v>#NAME?</v>
      </c>
      <c r="AZ75" s="1669" t="e" cm="1">
        <f t="array" ca="1" aca="1" ref="AZ75">_xlfn.LET(_xlpm.val,IF($F75="",val_blankRefText,_xldudf_CX_GET(CX_ENTITY,($F75),AZ$11,AZ$14,,(AZ$60))),_xlpm.Res,IF(OR(_xlpm.val="",_xlpm.val="Error"),"",_xlpm.val),_xlpm.Res)</f>
        <v>#NAME?</v>
      </c>
      <c r="BA75" s="1669" t="e" cm="1">
        <f t="array" ca="1" aca="1" ref="BA75">_xlfn.LET(_xlpm.val,IF($F75="",val_blankRefText,_xldudf_CX_GET(CX_ENTITY,($F75),BA$11,BA$14,,(BA$60))),_xlpm.Res,IF(OR(_xlpm.val="",_xlpm.val="Error"),"",_xlpm.val),_xlpm.Res)</f>
        <v>#NAME?</v>
      </c>
      <c r="BB75" s="1669" t="e" cm="1">
        <f t="array" ca="1" aca="1" ref="BB75">_xlfn.LET(_xlpm.val,IF($F75="",val_blankRefText,_xldudf_CX_GET(CX_ENTITY,($F75),BB$11,BB$14,,(BB$60))),_xlpm.Res,IF(OR(_xlpm.val="",_xlpm.val="Error"),"",_xlpm.val),_xlpm.Res)</f>
        <v>#NAME?</v>
      </c>
      <c r="BC75" s="1669" t="e" cm="1">
        <f t="array" ca="1" aca="1" ref="BC75">_xlfn.LET(_xlpm.val,IF($F75="",val_blankRefText,_xldudf_CX_GET(CX_ENTITY,($F75),BC$11,BC$14,,(BC$60))),_xlpm.Res,IF(OR(_xlpm.val="",_xlpm.val="Error"),"",_xlpm.val),_xlpm.Res)</f>
        <v>#NAME?</v>
      </c>
      <c r="BD75" s="1669" t="e" cm="1">
        <f t="array" ca="1" aca="1" ref="BD75">_xlfn.LET(_xlpm.val,IF($F75="",val_blankRefText,_xldudf_CX_GET(CX_ENTITY,($F75),BD$11,BD$14,,(BD$60))),_xlpm.Res,IF(OR(_xlpm.val="",_xlpm.val="Error"),"",_xlpm.val),_xlpm.Res)</f>
        <v>#NAME?</v>
      </c>
      <c r="BE75" s="1669" t="e" cm="1">
        <f t="array" ca="1" aca="1" ref="BE75">_xlfn.LET(_xlpm.val,IF($F75="",val_blankRefText,_xldudf_CX_GET(CX_ENTITY,($F75),BE$11,BE$14,,(BE$60))),_xlpm.Res,IF(OR(_xlpm.val="",_xlpm.val="Error"),"",_xlpm.val),_xlpm.Res)</f>
        <v>#NAME?</v>
      </c>
      <c r="BF75" s="1669" t="e" cm="1">
        <f t="array" ca="1" aca="1" ref="BF75">_xlfn.LET(_xlpm.val,IF($F75="",val_blankRefText,_xldudf_CX_GET(CX_ENTITY,($F75),BF$11,BF$14,,(BF$60))),_xlpm.Res,IF(OR(_xlpm.val="",_xlpm.val="Error"),"",_xlpm.val),_xlpm.Res)</f>
        <v>#NAME?</v>
      </c>
      <c r="BG75" s="1669" t="e" cm="1">
        <f t="array" ca="1" aca="1" ref="BG75">_xlfn.LET(_xlpm.val,IF($F75="",val_blankRefText,_xldudf_CX_GET(CX_ENTITY,($F75),BG$11,BG$14,,(BG$60))),_xlpm.Res,IF(OR(_xlpm.val="",_xlpm.val="Error"),"",_xlpm.val),_xlpm.Res)</f>
        <v>#NAME?</v>
      </c>
      <c r="BH75" s="1669" t="e" cm="1">
        <f t="array" ca="1" aca="1" ref="BH75">_xlfn.LET(_xlpm.val,IF($F75="",val_blankRefText,_xldudf_CX_GET(CX_ENTITY,($F75),BH$11,BH$14,,(BH$60))),_xlpm.Res,IF(OR(_xlpm.val="",_xlpm.val="Error"),"",_xlpm.val),_xlpm.Res)</f>
        <v>#NAME?</v>
      </c>
      <c r="BI75" s="1669" t="e" cm="1">
        <f t="array" ca="1" aca="1" ref="BI75">_xlfn.LET(_xlpm.val,IF($F75="",val_blankRefText,_xldudf_CX_GET(CX_ENTITY,($F75),BI$11,BI$14,,(BI$60))),_xlpm.Res,IF(OR(_xlpm.val="",_xlpm.val="Error"),"",_xlpm.val),_xlpm.Res)</f>
        <v>#NAME?</v>
      </c>
      <c r="BJ75" s="1669" t="e" cm="1">
        <f t="array" ca="1" aca="1" ref="BJ75">_xlfn.LET(_xlpm.val,IF($F75="",val_blankRefText,_xldudf_CX_GET(CX_ENTITY,($F75),BJ$11,BJ$14,,(BJ$60))),_xlpm.Res,IF(OR(_xlpm.val="",_xlpm.val="Error"),"",_xlpm.val),_xlpm.Res)</f>
        <v>#NAME?</v>
      </c>
      <c r="BK75" s="1669" t="e" cm="1">
        <f t="array" ca="1" aca="1" ref="BK75">_xlfn.LET(_xlpm.val,IF($F75="",val_blankRefText,_xldudf_CX_GET(CX_ENTITY,($F75),BK$11,BK$14,,(BK$60))),_xlpm.Res,IF(OR(_xlpm.val="",_xlpm.val="Error"),"",_xlpm.val),_xlpm.Res)</f>
        <v>#NAME?</v>
      </c>
      <c r="BL75" s="1669" t="e" cm="1">
        <f t="array" ca="1" aca="1" ref="BL75">_xlfn.LET(_xlpm.val,IF($F75="",val_blankRefText,_xldudf_CX_GET(CX_ENTITY,($F75),BL$11,BL$14,,(BL$60))),_xlpm.Res,IF(OR(_xlpm.val="",_xlpm.val="Error"),"",_xlpm.val),_xlpm.Res)</f>
        <v>#NAME?</v>
      </c>
      <c r="BM75" s="1669" t="e" cm="1">
        <f t="array" ca="1" aca="1" ref="BM75">_xlfn.LET(_xlpm.val,IF($F75="",val_blankRefText,_xldudf_CX_GET(CX_ENTITY,($F75),BM$11,BM$14,,(BM$60))),_xlpm.Res,IF(OR(_xlpm.val="",_xlpm.val="Error"),"",_xlpm.val),_xlpm.Res)</f>
        <v>#NAME?</v>
      </c>
      <c r="BN75" s="1669" t="e" cm="1">
        <f t="array" ca="1" aca="1" ref="BN75">_xlfn.LET(_xlpm.val,IF($F75="",val_blankRefText,_xldudf_CX_GET(CX_ENTITY,($F75),BN$11,BN$14,,(BN$60))),_xlpm.Res,IF(OR(_xlpm.val="",_xlpm.val="Error"),"",_xlpm.val),_xlpm.Res)</f>
        <v>#NAME?</v>
      </c>
      <c r="BO75" s="2095"/>
      <c r="BP75" s="2095"/>
      <c r="BQ75" s="2095"/>
      <c r="BR75" s="2095"/>
      <c r="BS75" s="2095"/>
      <c r="BT75" s="2095"/>
      <c r="BU75" s="2095"/>
      <c r="BV75" s="2095"/>
      <c r="BW75" s="2095"/>
      <c r="BX75" s="2095"/>
      <c r="BY75" s="2095"/>
      <c r="BZ75" s="2095"/>
      <c r="CA75" s="926"/>
      <c r="CB75" s="921"/>
      <c r="CC75" s="927"/>
      <c r="CD75" s="920" t="e" cm="1">
        <f t="array" ca="1" aca="1" ref="CD75">_xlfn.XLOOKUP(BS!CD$11,array_timeline,BS!$AD75:$BN75)</f>
        <v>#NAME?</v>
      </c>
      <c r="CE75" s="920" t="e" cm="1">
        <f t="array" ca="1" aca="1" ref="CE75">_xlfn.XLOOKUP(BS!CE$11,array_timeline,BS!$AD75:$BN75)</f>
        <v>#NAME?</v>
      </c>
      <c r="CF75" s="925"/>
      <c r="CG75" s="920" t="e">
        <f ca="1" t="shared" si="28" ref="CG75:CH75">CG34</f>
        <v>#NAME?</v>
      </c>
      <c r="CH75" s="920" t="e">
        <f t="shared" ca="1" si="28"/>
        <v>#NAME?</v>
      </c>
      <c r="CI75" s="787"/>
    </row>
    <row r="76" spans="1:87" ht="21" customHeight="1">
      <c r="A76" s="696" t="s">
        <v>1760</v>
      </c>
      <c r="B76" s="577" t="str">
        <f t="shared" si="10"/>
        <v>Gross External Acquisition / Refi Debt</v>
      </c>
      <c r="C76" s="577" t="str">
        <f t="shared" si="10"/>
        <v>Gross External Acquisition / Refi Debt (Company View)</v>
      </c>
      <c r="D76" s="577"/>
      <c r="E76" s="577" t="e" cm="1">
        <f t="array" ca="1" aca="1" ref="E76">_xlfn.LET(_xlpm.Attr,$C76,_xlpm.Lookback,$E$16,_xlpm.QueryDate,EOMONTH(val_asOfDate,_xlpm.Lookback),_xlpm.ReadField,_xldudf_CX_GET(CX_ENTITY,fx_attrConverter($C76),_xlpm.QueryDate),_xlpm.AttrBlank,_xlpm.Attr="",_xlpm.RESULT,IF(_xlpm.AttrBlank,val_blankRefText,fx_attrConverter(_xlpm.ReadField,0)),IF(_xlpm.RESULT="Error","",_xlpm.RESULT))</f>
        <v>#NAME?</v>
      </c>
      <c r="F76" s="577" t="str">
        <f t="shared" si="9"/>
        <v>Gross External Acquisition / Refi Debt</v>
      </c>
      <c r="G76" s="574"/>
      <c r="H76" s="3279">
        <v>2</v>
      </c>
      <c r="I76" s="3279">
        <v>1</v>
      </c>
      <c r="J76" s="401"/>
      <c r="K76" s="401"/>
      <c r="L76" s="579">
        <v>-1</v>
      </c>
      <c r="N76" s="158"/>
      <c r="O76" s="101"/>
      <c r="P76" s="52"/>
      <c r="Q76" s="101"/>
      <c r="R76" s="101"/>
      <c r="S76" s="101"/>
      <c r="T76" s="101"/>
      <c r="U76" s="39"/>
      <c r="W76" s="1291" t="str">
        <f t="shared" si="15"/>
        <v>Budget</v>
      </c>
      <c r="X76" s="1294">
        <f t="shared" si="11"/>
        <v>0</v>
      </c>
      <c r="Y76" s="2631" t="str">
        <f t="shared" si="12"/>
        <v>Gross External Acquisition / Refi Debt</v>
      </c>
      <c r="Z76" s="198" cm="1">
        <f t="array" ref="Z76">_xlfn.SWITCH(TRUE,$L76="",0,$L76=TRUE,1,$L76=FALSE,-1,)</f>
        <v>0</v>
      </c>
      <c r="AA76" s="924"/>
      <c r="AB76" s="2623" t="str">
        <f t="shared" si="13"/>
        <v>Gross External Acquisition / Refi Debt</v>
      </c>
      <c r="AC76" s="88"/>
      <c r="AD76" s="1669" t="e" cm="1">
        <f t="array" ca="1" aca="1" ref="AD76">_xlfn.LET(_xlpm.val,IF($F76="",val_blankRefText,_xldudf_CX_GET(CX_ENTITY,($F76),AD$11,AD$14,,(AD$60))),_xlpm.Res,IF(OR(_xlpm.val="",_xlpm.val="Error"),"",_xlpm.val),_xlpm.Res)</f>
        <v>#NAME?</v>
      </c>
      <c r="AE76" s="1669" t="e" cm="1">
        <f t="array" ca="1" aca="1" ref="AE76">_xlfn.LET(_xlpm.val,IF($F76="",val_blankRefText,_xldudf_CX_GET(CX_ENTITY,($F76),AE$11,AE$14,,(AE$60))),_xlpm.Res,IF(OR(_xlpm.val="",_xlpm.val="Error"),"",_xlpm.val),_xlpm.Res)</f>
        <v>#NAME?</v>
      </c>
      <c r="AF76" s="1669" t="e" cm="1">
        <f t="array" ca="1" aca="1" ref="AF76">_xlfn.LET(_xlpm.val,IF($F76="",val_blankRefText,_xldudf_CX_GET(CX_ENTITY,($F76),AF$11,AF$14,,(AF$60))),_xlpm.Res,IF(OR(_xlpm.val="",_xlpm.val="Error"),"",_xlpm.val),_xlpm.Res)</f>
        <v>#NAME?</v>
      </c>
      <c r="AG76" s="1669" t="e" cm="1">
        <f t="array" ca="1" aca="1" ref="AG76">_xlfn.LET(_xlpm.val,IF($F76="",val_blankRefText,_xldudf_CX_GET(CX_ENTITY,($F76),AG$11,AG$14,,(AG$60))),_xlpm.Res,IF(OR(_xlpm.val="",_xlpm.val="Error"),"",_xlpm.val),_xlpm.Res)</f>
        <v>#NAME?</v>
      </c>
      <c r="AH76" s="1669" t="e" cm="1">
        <f t="array" ca="1" aca="1" ref="AH76">_xlfn.LET(_xlpm.val,IF($F76="",val_blankRefText,_xldudf_CX_GET(CX_ENTITY,($F76),AH$11,AH$14,,(AH$60))),_xlpm.Res,IF(OR(_xlpm.val="",_xlpm.val="Error"),"",_xlpm.val),_xlpm.Res)</f>
        <v>#NAME?</v>
      </c>
      <c r="AI76" s="1669" t="e" cm="1">
        <f t="array" ca="1" aca="1" ref="AI76">_xlfn.LET(_xlpm.val,IF($F76="",val_blankRefText,_xldudf_CX_GET(CX_ENTITY,($F76),AI$11,AI$14,,(AI$60))),_xlpm.Res,IF(OR(_xlpm.val="",_xlpm.val="Error"),"",_xlpm.val),_xlpm.Res)</f>
        <v>#NAME?</v>
      </c>
      <c r="AJ76" s="1669" t="e" cm="1">
        <f t="array" ca="1" aca="1" ref="AJ76">_xlfn.LET(_xlpm.val,IF($F76="",val_blankRefText,_xldudf_CX_GET(CX_ENTITY,($F76),AJ$11,AJ$14,,(AJ$60))),_xlpm.Res,IF(OR(_xlpm.val="",_xlpm.val="Error"),"",_xlpm.val),_xlpm.Res)</f>
        <v>#NAME?</v>
      </c>
      <c r="AK76" s="1669" t="e" cm="1">
        <f t="array" ca="1" aca="1" ref="AK76">_xlfn.LET(_xlpm.val,IF($F76="",val_blankRefText,_xldudf_CX_GET(CX_ENTITY,($F76),AK$11,AK$14,,(AK$60))),_xlpm.Res,IF(OR(_xlpm.val="",_xlpm.val="Error"),"",_xlpm.val),_xlpm.Res)</f>
        <v>#NAME?</v>
      </c>
      <c r="AL76" s="1669" t="e" cm="1">
        <f t="array" ca="1" aca="1" ref="AL76">_xlfn.LET(_xlpm.val,IF($F76="",val_blankRefText,_xldudf_CX_GET(CX_ENTITY,($F76),AL$11,AL$14,,(AL$60))),_xlpm.Res,IF(OR(_xlpm.val="",_xlpm.val="Error"),"",_xlpm.val),_xlpm.Res)</f>
        <v>#NAME?</v>
      </c>
      <c r="AM76" s="1669" t="e" cm="1">
        <f t="array" ca="1" aca="1" ref="AM76">_xlfn.LET(_xlpm.val,IF($F76="",val_blankRefText,_xldudf_CX_GET(CX_ENTITY,($F76),AM$11,AM$14,,(AM$60))),_xlpm.Res,IF(OR(_xlpm.val="",_xlpm.val="Error"),"",_xlpm.val),_xlpm.Res)</f>
        <v>#NAME?</v>
      </c>
      <c r="AN76" s="1669" t="e" cm="1">
        <f t="array" ca="1" aca="1" ref="AN76">_xlfn.LET(_xlpm.val,IF($F76="",val_blankRefText,_xldudf_CX_GET(CX_ENTITY,($F76),AN$11,AN$14,,(AN$60))),_xlpm.Res,IF(OR(_xlpm.val="",_xlpm.val="Error"),"",_xlpm.val),_xlpm.Res)</f>
        <v>#NAME?</v>
      </c>
      <c r="AO76" s="1669" t="e" cm="1">
        <f t="array" ca="1" aca="1" ref="AO76">_xlfn.LET(_xlpm.val,IF($F76="",val_blankRefText,_xldudf_CX_GET(CX_ENTITY,($F76),AO$11,AO$14,,(AO$60))),_xlpm.Res,IF(OR(_xlpm.val="",_xlpm.val="Error"),"",_xlpm.val),_xlpm.Res)</f>
        <v>#NAME?</v>
      </c>
      <c r="AP76" s="1669" t="e" cm="1">
        <f t="array" ca="1" aca="1" ref="AP76">_xlfn.LET(_xlpm.val,IF($F76="",val_blankRefText,_xldudf_CX_GET(CX_ENTITY,($F76),AP$11,AP$14,,(AP$60))),_xlpm.Res,IF(OR(_xlpm.val="",_xlpm.val="Error"),"",_xlpm.val),_xlpm.Res)</f>
        <v>#NAME?</v>
      </c>
      <c r="AQ76" s="1669" t="e" cm="1">
        <f t="array" ca="1" aca="1" ref="AQ76">_xlfn.LET(_xlpm.val,IF($F76="",val_blankRefText,_xldudf_CX_GET(CX_ENTITY,($F76),AQ$11,AQ$14,,(AQ$60))),_xlpm.Res,IF(OR(_xlpm.val="",_xlpm.val="Error"),"",_xlpm.val),_xlpm.Res)</f>
        <v>#NAME?</v>
      </c>
      <c r="AR76" s="1669" t="e" cm="1">
        <f t="array" ca="1" aca="1" ref="AR76">_xlfn.LET(_xlpm.val,IF($F76="",val_blankRefText,_xldudf_CX_GET(CX_ENTITY,($F76),AR$11,AR$14,,(AR$60))),_xlpm.Res,IF(OR(_xlpm.val="",_xlpm.val="Error"),"",_xlpm.val),_xlpm.Res)</f>
        <v>#NAME?</v>
      </c>
      <c r="AS76" s="1669" t="e" cm="1">
        <f t="array" ca="1" aca="1" ref="AS76">_xlfn.LET(_xlpm.val,IF($F76="",val_blankRefText,_xldudf_CX_GET(CX_ENTITY,($F76),AS$11,AS$14,,(AS$60))),_xlpm.Res,IF(OR(_xlpm.val="",_xlpm.val="Error"),"",_xlpm.val),_xlpm.Res)</f>
        <v>#NAME?</v>
      </c>
      <c r="AT76" s="1669" t="e" cm="1">
        <f t="array" ca="1" aca="1" ref="AT76">_xlfn.LET(_xlpm.val,IF($F76="",val_blankRefText,_xldudf_CX_GET(CX_ENTITY,($F76),AT$11,AT$14,,(AT$60))),_xlpm.Res,IF(OR(_xlpm.val="",_xlpm.val="Error"),"",_xlpm.val),_xlpm.Res)</f>
        <v>#NAME?</v>
      </c>
      <c r="AU76" s="1669" t="e" cm="1">
        <f t="array" ca="1" aca="1" ref="AU76">_xlfn.LET(_xlpm.val,IF($F76="",val_blankRefText,_xldudf_CX_GET(CX_ENTITY,($F76),AU$11,AU$14,,(AU$60))),_xlpm.Res,IF(OR(_xlpm.val="",_xlpm.val="Error"),"",_xlpm.val),_xlpm.Res)</f>
        <v>#NAME?</v>
      </c>
      <c r="AV76" s="1669" t="e" cm="1">
        <f t="array" ca="1" aca="1" ref="AV76">_xlfn.LET(_xlpm.val,IF($F76="",val_blankRefText,_xldudf_CX_GET(CX_ENTITY,($F76),AV$11,AV$14,,(AV$60))),_xlpm.Res,IF(OR(_xlpm.val="",_xlpm.val="Error"),"",_xlpm.val),_xlpm.Res)</f>
        <v>#NAME?</v>
      </c>
      <c r="AW76" s="1669" t="e" cm="1">
        <f t="array" ca="1" aca="1" ref="AW76">_xlfn.LET(_xlpm.val,IF($F76="",val_blankRefText,_xldudf_CX_GET(CX_ENTITY,($F76),AW$11,AW$14,,(AW$60))),_xlpm.Res,IF(OR(_xlpm.val="",_xlpm.val="Error"),"",_xlpm.val),_xlpm.Res)</f>
        <v>#NAME?</v>
      </c>
      <c r="AX76" s="1669" t="e" cm="1">
        <f t="array" ca="1" aca="1" ref="AX76">_xlfn.LET(_xlpm.val,IF($F76="",val_blankRefText,_xldudf_CX_GET(CX_ENTITY,($F76),AX$11,AX$14,,(AX$60))),_xlpm.Res,IF(OR(_xlpm.val="",_xlpm.val="Error"),"",_xlpm.val),_xlpm.Res)</f>
        <v>#NAME?</v>
      </c>
      <c r="AY76" s="1669" t="e" cm="1">
        <f t="array" ca="1" aca="1" ref="AY76">_xlfn.LET(_xlpm.val,IF($F76="",val_blankRefText,_xldudf_CX_GET(CX_ENTITY,($F76),AY$11,AY$14,,(AY$60))),_xlpm.Res,IF(OR(_xlpm.val="",_xlpm.val="Error"),"",_xlpm.val),_xlpm.Res)</f>
        <v>#NAME?</v>
      </c>
      <c r="AZ76" s="1669" t="e" cm="1">
        <f t="array" ca="1" aca="1" ref="AZ76">_xlfn.LET(_xlpm.val,IF($F76="",val_blankRefText,_xldudf_CX_GET(CX_ENTITY,($F76),AZ$11,AZ$14,,(AZ$60))),_xlpm.Res,IF(OR(_xlpm.val="",_xlpm.val="Error"),"",_xlpm.val),_xlpm.Res)</f>
        <v>#NAME?</v>
      </c>
      <c r="BA76" s="1669" t="e" cm="1">
        <f t="array" ca="1" aca="1" ref="BA76">_xlfn.LET(_xlpm.val,IF($F76="",val_blankRefText,_xldudf_CX_GET(CX_ENTITY,($F76),BA$11,BA$14,,(BA$60))),_xlpm.Res,IF(OR(_xlpm.val="",_xlpm.val="Error"),"",_xlpm.val),_xlpm.Res)</f>
        <v>#NAME?</v>
      </c>
      <c r="BB76" s="1669" t="e" cm="1">
        <f t="array" ca="1" aca="1" ref="BB76">_xlfn.LET(_xlpm.val,IF($F76="",val_blankRefText,_xldudf_CX_GET(CX_ENTITY,($F76),BB$11,BB$14,,(BB$60))),_xlpm.Res,IF(OR(_xlpm.val="",_xlpm.val="Error"),"",_xlpm.val),_xlpm.Res)</f>
        <v>#NAME?</v>
      </c>
      <c r="BC76" s="1669" t="e" cm="1">
        <f t="array" ca="1" aca="1" ref="BC76">_xlfn.LET(_xlpm.val,IF($F76="",val_blankRefText,_xldudf_CX_GET(CX_ENTITY,($F76),BC$11,BC$14,,(BC$60))),_xlpm.Res,IF(OR(_xlpm.val="",_xlpm.val="Error"),"",_xlpm.val),_xlpm.Res)</f>
        <v>#NAME?</v>
      </c>
      <c r="BD76" s="1669" t="e" cm="1">
        <f t="array" ca="1" aca="1" ref="BD76">_xlfn.LET(_xlpm.val,IF($F76="",val_blankRefText,_xldudf_CX_GET(CX_ENTITY,($F76),BD$11,BD$14,,(BD$60))),_xlpm.Res,IF(OR(_xlpm.val="",_xlpm.val="Error"),"",_xlpm.val),_xlpm.Res)</f>
        <v>#NAME?</v>
      </c>
      <c r="BE76" s="1669" t="e" cm="1">
        <f t="array" ca="1" aca="1" ref="BE76">_xlfn.LET(_xlpm.val,IF($F76="",val_blankRefText,_xldudf_CX_GET(CX_ENTITY,($F76),BE$11,BE$14,,(BE$60))),_xlpm.Res,IF(OR(_xlpm.val="",_xlpm.val="Error"),"",_xlpm.val),_xlpm.Res)</f>
        <v>#NAME?</v>
      </c>
      <c r="BF76" s="1669" t="e" cm="1">
        <f t="array" ca="1" aca="1" ref="BF76">_xlfn.LET(_xlpm.val,IF($F76="",val_blankRefText,_xldudf_CX_GET(CX_ENTITY,($F76),BF$11,BF$14,,(BF$60))),_xlpm.Res,IF(OR(_xlpm.val="",_xlpm.val="Error"),"",_xlpm.val),_xlpm.Res)</f>
        <v>#NAME?</v>
      </c>
      <c r="BG76" s="1669" t="e" cm="1">
        <f t="array" ca="1" aca="1" ref="BG76">_xlfn.LET(_xlpm.val,IF($F76="",val_blankRefText,_xldudf_CX_GET(CX_ENTITY,($F76),BG$11,BG$14,,(BG$60))),_xlpm.Res,IF(OR(_xlpm.val="",_xlpm.val="Error"),"",_xlpm.val),_xlpm.Res)</f>
        <v>#NAME?</v>
      </c>
      <c r="BH76" s="1669" t="e" cm="1">
        <f t="array" ca="1" aca="1" ref="BH76">_xlfn.LET(_xlpm.val,IF($F76="",val_blankRefText,_xldudf_CX_GET(CX_ENTITY,($F76),BH$11,BH$14,,(BH$60))),_xlpm.Res,IF(OR(_xlpm.val="",_xlpm.val="Error"),"",_xlpm.val),_xlpm.Res)</f>
        <v>#NAME?</v>
      </c>
      <c r="BI76" s="1669" t="e" cm="1">
        <f t="array" ca="1" aca="1" ref="BI76">_xlfn.LET(_xlpm.val,IF($F76="",val_blankRefText,_xldudf_CX_GET(CX_ENTITY,($F76),BI$11,BI$14,,(BI$60))),_xlpm.Res,IF(OR(_xlpm.val="",_xlpm.val="Error"),"",_xlpm.val),_xlpm.Res)</f>
        <v>#NAME?</v>
      </c>
      <c r="BJ76" s="1669" t="e" cm="1">
        <f t="array" ca="1" aca="1" ref="BJ76">_xlfn.LET(_xlpm.val,IF($F76="",val_blankRefText,_xldudf_CX_GET(CX_ENTITY,($F76),BJ$11,BJ$14,,(BJ$60))),_xlpm.Res,IF(OR(_xlpm.val="",_xlpm.val="Error"),"",_xlpm.val),_xlpm.Res)</f>
        <v>#NAME?</v>
      </c>
      <c r="BK76" s="1669" t="e" cm="1">
        <f t="array" ca="1" aca="1" ref="BK76">_xlfn.LET(_xlpm.val,IF($F76="",val_blankRefText,_xldudf_CX_GET(CX_ENTITY,($F76),BK$11,BK$14,,(BK$60))),_xlpm.Res,IF(OR(_xlpm.val="",_xlpm.val="Error"),"",_xlpm.val),_xlpm.Res)</f>
        <v>#NAME?</v>
      </c>
      <c r="BL76" s="1669" t="e" cm="1">
        <f t="array" ca="1" aca="1" ref="BL76">_xlfn.LET(_xlpm.val,IF($F76="",val_blankRefText,_xldudf_CX_GET(CX_ENTITY,($F76),BL$11,BL$14,,(BL$60))),_xlpm.Res,IF(OR(_xlpm.val="",_xlpm.val="Error"),"",_xlpm.val),_xlpm.Res)</f>
        <v>#NAME?</v>
      </c>
      <c r="BM76" s="1669" t="e" cm="1">
        <f t="array" ca="1" aca="1" ref="BM76">_xlfn.LET(_xlpm.val,IF($F76="",val_blankRefText,_xldudf_CX_GET(CX_ENTITY,($F76),BM$11,BM$14,,(BM$60))),_xlpm.Res,IF(OR(_xlpm.val="",_xlpm.val="Error"),"",_xlpm.val),_xlpm.Res)</f>
        <v>#NAME?</v>
      </c>
      <c r="BN76" s="1669" t="e" cm="1">
        <f t="array" ca="1" aca="1" ref="BN76">_xlfn.LET(_xlpm.val,IF($F76="",val_blankRefText,_xldudf_CX_GET(CX_ENTITY,($F76),BN$11,BN$14,,(BN$60))),_xlpm.Res,IF(OR(_xlpm.val="",_xlpm.val="Error"),"",_xlpm.val),_xlpm.Res)</f>
        <v>#NAME?</v>
      </c>
      <c r="BO76" s="2095"/>
      <c r="BP76" s="2095"/>
      <c r="BQ76" s="2095"/>
      <c r="BR76" s="2095"/>
      <c r="BS76" s="2095"/>
      <c r="BT76" s="2095"/>
      <c r="BU76" s="2095"/>
      <c r="BV76" s="2095"/>
      <c r="BW76" s="2095"/>
      <c r="BX76" s="2095"/>
      <c r="BY76" s="2095"/>
      <c r="BZ76" s="2095"/>
      <c r="CA76" s="926"/>
      <c r="CB76" s="921"/>
      <c r="CC76" s="927"/>
      <c r="CD76" s="919" t="e" cm="1">
        <f t="array" ca="1" aca="1" ref="CD76">_xlfn.XLOOKUP(BS!CD$11,array_timeline,BS!$AD76:$BN76)</f>
        <v>#NAME?</v>
      </c>
      <c r="CE76" s="919" t="e" cm="1">
        <f t="array" ca="1" aca="1" ref="CE76">_xlfn.XLOOKUP(BS!CE$11,array_timeline,BS!$AD76:$BN76)</f>
        <v>#NAME?</v>
      </c>
      <c r="CF76" s="925"/>
      <c r="CG76" s="928" t="e">
        <f ca="1" t="shared" si="29" ref="CG76:CH76">CG35</f>
        <v>#NAME?</v>
      </c>
      <c r="CH76" s="928" t="e">
        <f t="shared" ca="1" si="29"/>
        <v>#NAME?</v>
      </c>
      <c r="CI76" s="924"/>
    </row>
    <row r="77" spans="1:87" ht="21" customHeight="1">
      <c r="A77" s="696" t="s">
        <v>1761</v>
      </c>
      <c r="B77" s="577" t="str">
        <f t="shared" si="10"/>
        <v>Accrued Interest</v>
      </c>
      <c r="C77" s="577" t="str">
        <f t="shared" si="10"/>
        <v>Accrued Interest (Company View)</v>
      </c>
      <c r="D77" s="577"/>
      <c r="E77" s="577" t="e" cm="1">
        <f t="array" ca="1" aca="1" ref="E77">_xlfn.LET(_xlpm.Attr,$C77,_xlpm.Lookback,$E$16,_xlpm.QueryDate,EOMONTH(val_asOfDate,_xlpm.Lookback),_xlpm.ReadField,_xldudf_CX_GET(CX_ENTITY,fx_attrConverter($C77),_xlpm.QueryDate),_xlpm.AttrBlank,_xlpm.Attr="",_xlpm.RESULT,IF(_xlpm.AttrBlank,val_blankRefText,fx_attrConverter(_xlpm.ReadField,0)),IF(_xlpm.RESULT="Error","",_xlpm.RESULT))</f>
        <v>#NAME?</v>
      </c>
      <c r="F77" s="577" t="str">
        <f t="shared" si="9"/>
        <v>Accrued Interest</v>
      </c>
      <c r="G77" s="574"/>
      <c r="H77" s="3279">
        <v>1</v>
      </c>
      <c r="I77" s="3279">
        <v>1</v>
      </c>
      <c r="J77" s="401"/>
      <c r="K77" s="401"/>
      <c r="L77" s="3269" t="b">
        <v>1</v>
      </c>
      <c r="N77" s="158"/>
      <c r="O77" s="101"/>
      <c r="P77" s="52"/>
      <c r="Q77" s="101"/>
      <c r="R77" s="101"/>
      <c r="S77" s="101"/>
      <c r="T77" s="101"/>
      <c r="U77" s="39"/>
      <c r="W77" s="930" t="str">
        <f t="shared" si="15"/>
        <v>Budget</v>
      </c>
      <c r="X77" s="857">
        <f t="shared" si="11"/>
        <v>-1</v>
      </c>
      <c r="Y77" s="2631" t="str">
        <f t="shared" si="12"/>
        <v>Accrued Interest</v>
      </c>
      <c r="Z77" s="3291" cm="1">
        <f t="array" ref="Z77">_xlfn.SWITCH(TRUE,$L77="",0,$L77=TRUE,1,$L77=FALSE,-1,)</f>
        <v>1</v>
      </c>
      <c r="AA77" s="200"/>
      <c r="AB77" s="2626" t="str">
        <f t="shared" si="13"/>
        <v>Accrued Interest</v>
      </c>
      <c r="AC77" s="88"/>
      <c r="AD77" s="1669" t="e" cm="1">
        <f t="array" ca="1" aca="1" ref="AD77">_xlfn.LET(_xlpm.val,IF($F77="",val_blankRefText,_xldudf_CX_GET(CX_ENTITY,($F77),AD$11,AD$14,,(AD$60))),_xlpm.Res,IF(OR(_xlpm.val="",_xlpm.val="Error"),"",_xlpm.val),_xlpm.Res)</f>
        <v>#NAME?</v>
      </c>
      <c r="AE77" s="1669" t="e" cm="1">
        <f t="array" ca="1" aca="1" ref="AE77">_xlfn.LET(_xlpm.val,IF($F77="",val_blankRefText,_xldudf_CX_GET(CX_ENTITY,($F77),AE$11,AE$14,,(AE$60))),_xlpm.Res,IF(OR(_xlpm.val="",_xlpm.val="Error"),"",_xlpm.val),_xlpm.Res)</f>
        <v>#NAME?</v>
      </c>
      <c r="AF77" s="1669" t="e" cm="1">
        <f t="array" ca="1" aca="1" ref="AF77">_xlfn.LET(_xlpm.val,IF($F77="",val_blankRefText,_xldudf_CX_GET(CX_ENTITY,($F77),AF$11,AF$14,,(AF$60))),_xlpm.Res,IF(OR(_xlpm.val="",_xlpm.val="Error"),"",_xlpm.val),_xlpm.Res)</f>
        <v>#NAME?</v>
      </c>
      <c r="AG77" s="1669" t="e" cm="1">
        <f t="array" ca="1" aca="1" ref="AG77">_xlfn.LET(_xlpm.val,IF($F77="",val_blankRefText,_xldudf_CX_GET(CX_ENTITY,($F77),AG$11,AG$14,,(AG$60))),_xlpm.Res,IF(OR(_xlpm.val="",_xlpm.val="Error"),"",_xlpm.val),_xlpm.Res)</f>
        <v>#NAME?</v>
      </c>
      <c r="AH77" s="1669" t="e" cm="1">
        <f t="array" ca="1" aca="1" ref="AH77">_xlfn.LET(_xlpm.val,IF($F77="",val_blankRefText,_xldudf_CX_GET(CX_ENTITY,($F77),AH$11,AH$14,,(AH$60))),_xlpm.Res,IF(OR(_xlpm.val="",_xlpm.val="Error"),"",_xlpm.val),_xlpm.Res)</f>
        <v>#NAME?</v>
      </c>
      <c r="AI77" s="1669" t="e" cm="1">
        <f t="array" ca="1" aca="1" ref="AI77">_xlfn.LET(_xlpm.val,IF($F77="",val_blankRefText,_xldudf_CX_GET(CX_ENTITY,($F77),AI$11,AI$14,,(AI$60))),_xlpm.Res,IF(OR(_xlpm.val="",_xlpm.val="Error"),"",_xlpm.val),_xlpm.Res)</f>
        <v>#NAME?</v>
      </c>
      <c r="AJ77" s="1669" t="e" cm="1">
        <f t="array" ca="1" aca="1" ref="AJ77">_xlfn.LET(_xlpm.val,IF($F77="",val_blankRefText,_xldudf_CX_GET(CX_ENTITY,($F77),AJ$11,AJ$14,,(AJ$60))),_xlpm.Res,IF(OR(_xlpm.val="",_xlpm.val="Error"),"",_xlpm.val),_xlpm.Res)</f>
        <v>#NAME?</v>
      </c>
      <c r="AK77" s="1669" t="e" cm="1">
        <f t="array" ca="1" aca="1" ref="AK77">_xlfn.LET(_xlpm.val,IF($F77="",val_blankRefText,_xldudf_CX_GET(CX_ENTITY,($F77),AK$11,AK$14,,(AK$60))),_xlpm.Res,IF(OR(_xlpm.val="",_xlpm.val="Error"),"",_xlpm.val),_xlpm.Res)</f>
        <v>#NAME?</v>
      </c>
      <c r="AL77" s="1669" t="e" cm="1">
        <f t="array" ca="1" aca="1" ref="AL77">_xlfn.LET(_xlpm.val,IF($F77="",val_blankRefText,_xldudf_CX_GET(CX_ENTITY,($F77),AL$11,AL$14,,(AL$60))),_xlpm.Res,IF(OR(_xlpm.val="",_xlpm.val="Error"),"",_xlpm.val),_xlpm.Res)</f>
        <v>#NAME?</v>
      </c>
      <c r="AM77" s="1669" t="e" cm="1">
        <f t="array" ca="1" aca="1" ref="AM77">_xlfn.LET(_xlpm.val,IF($F77="",val_blankRefText,_xldudf_CX_GET(CX_ENTITY,($F77),AM$11,AM$14,,(AM$60))),_xlpm.Res,IF(OR(_xlpm.val="",_xlpm.val="Error"),"",_xlpm.val),_xlpm.Res)</f>
        <v>#NAME?</v>
      </c>
      <c r="AN77" s="1669" t="e" cm="1">
        <f t="array" ca="1" aca="1" ref="AN77">_xlfn.LET(_xlpm.val,IF($F77="",val_blankRefText,_xldudf_CX_GET(CX_ENTITY,($F77),AN$11,AN$14,,(AN$60))),_xlpm.Res,IF(OR(_xlpm.val="",_xlpm.val="Error"),"",_xlpm.val),_xlpm.Res)</f>
        <v>#NAME?</v>
      </c>
      <c r="AO77" s="1669" t="e" cm="1">
        <f t="array" ca="1" aca="1" ref="AO77">_xlfn.LET(_xlpm.val,IF($F77="",val_blankRefText,_xldudf_CX_GET(CX_ENTITY,($F77),AO$11,AO$14,,(AO$60))),_xlpm.Res,IF(OR(_xlpm.val="",_xlpm.val="Error"),"",_xlpm.val),_xlpm.Res)</f>
        <v>#NAME?</v>
      </c>
      <c r="AP77" s="1669" t="e" cm="1">
        <f t="array" ca="1" aca="1" ref="AP77">_xlfn.LET(_xlpm.val,IF($F77="",val_blankRefText,_xldudf_CX_GET(CX_ENTITY,($F77),AP$11,AP$14,,(AP$60))),_xlpm.Res,IF(OR(_xlpm.val="",_xlpm.val="Error"),"",_xlpm.val),_xlpm.Res)</f>
        <v>#NAME?</v>
      </c>
      <c r="AQ77" s="1669" t="e" cm="1">
        <f t="array" ca="1" aca="1" ref="AQ77">_xlfn.LET(_xlpm.val,IF($F77="",val_blankRefText,_xldudf_CX_GET(CX_ENTITY,($F77),AQ$11,AQ$14,,(AQ$60))),_xlpm.Res,IF(OR(_xlpm.val="",_xlpm.val="Error"),"",_xlpm.val),_xlpm.Res)</f>
        <v>#NAME?</v>
      </c>
      <c r="AR77" s="1669" t="e" cm="1">
        <f t="array" ca="1" aca="1" ref="AR77">_xlfn.LET(_xlpm.val,IF($F77="",val_blankRefText,_xldudf_CX_GET(CX_ENTITY,($F77),AR$11,AR$14,,(AR$60))),_xlpm.Res,IF(OR(_xlpm.val="",_xlpm.val="Error"),"",_xlpm.val),_xlpm.Res)</f>
        <v>#NAME?</v>
      </c>
      <c r="AS77" s="1669" t="e" cm="1">
        <f t="array" ca="1" aca="1" ref="AS77">_xlfn.LET(_xlpm.val,IF($F77="",val_blankRefText,_xldudf_CX_GET(CX_ENTITY,($F77),AS$11,AS$14,,(AS$60))),_xlpm.Res,IF(OR(_xlpm.val="",_xlpm.val="Error"),"",_xlpm.val),_xlpm.Res)</f>
        <v>#NAME?</v>
      </c>
      <c r="AT77" s="1669" t="e" cm="1">
        <f t="array" ca="1" aca="1" ref="AT77">_xlfn.LET(_xlpm.val,IF($F77="",val_blankRefText,_xldudf_CX_GET(CX_ENTITY,($F77),AT$11,AT$14,,(AT$60))),_xlpm.Res,IF(OR(_xlpm.val="",_xlpm.val="Error"),"",_xlpm.val),_xlpm.Res)</f>
        <v>#NAME?</v>
      </c>
      <c r="AU77" s="1669" t="e" cm="1">
        <f t="array" ca="1" aca="1" ref="AU77">_xlfn.LET(_xlpm.val,IF($F77="",val_blankRefText,_xldudf_CX_GET(CX_ENTITY,($F77),AU$11,AU$14,,(AU$60))),_xlpm.Res,IF(OR(_xlpm.val="",_xlpm.val="Error"),"",_xlpm.val),_xlpm.Res)</f>
        <v>#NAME?</v>
      </c>
      <c r="AV77" s="1669" t="e" cm="1">
        <f t="array" ca="1" aca="1" ref="AV77">_xlfn.LET(_xlpm.val,IF($F77="",val_blankRefText,_xldudf_CX_GET(CX_ENTITY,($F77),AV$11,AV$14,,(AV$60))),_xlpm.Res,IF(OR(_xlpm.val="",_xlpm.val="Error"),"",_xlpm.val),_xlpm.Res)</f>
        <v>#NAME?</v>
      </c>
      <c r="AW77" s="1669" t="e" cm="1">
        <f t="array" ca="1" aca="1" ref="AW77">_xlfn.LET(_xlpm.val,IF($F77="",val_blankRefText,_xldudf_CX_GET(CX_ENTITY,($F77),AW$11,AW$14,,(AW$60))),_xlpm.Res,IF(OR(_xlpm.val="",_xlpm.val="Error"),"",_xlpm.val),_xlpm.Res)</f>
        <v>#NAME?</v>
      </c>
      <c r="AX77" s="1669" t="e" cm="1">
        <f t="array" ca="1" aca="1" ref="AX77">_xlfn.LET(_xlpm.val,IF($F77="",val_blankRefText,_xldudf_CX_GET(CX_ENTITY,($F77),AX$11,AX$14,,(AX$60))),_xlpm.Res,IF(OR(_xlpm.val="",_xlpm.val="Error"),"",_xlpm.val),_xlpm.Res)</f>
        <v>#NAME?</v>
      </c>
      <c r="AY77" s="1669" t="e" cm="1">
        <f t="array" ca="1" aca="1" ref="AY77">_xlfn.LET(_xlpm.val,IF($F77="",val_blankRefText,_xldudf_CX_GET(CX_ENTITY,($F77),AY$11,AY$14,,(AY$60))),_xlpm.Res,IF(OR(_xlpm.val="",_xlpm.val="Error"),"",_xlpm.val),_xlpm.Res)</f>
        <v>#NAME?</v>
      </c>
      <c r="AZ77" s="1669" t="e" cm="1">
        <f t="array" ca="1" aca="1" ref="AZ77">_xlfn.LET(_xlpm.val,IF($F77="",val_blankRefText,_xldudf_CX_GET(CX_ENTITY,($F77),AZ$11,AZ$14,,(AZ$60))),_xlpm.Res,IF(OR(_xlpm.val="",_xlpm.val="Error"),"",_xlpm.val),_xlpm.Res)</f>
        <v>#NAME?</v>
      </c>
      <c r="BA77" s="1669" t="e" cm="1">
        <f t="array" ca="1" aca="1" ref="BA77">_xlfn.LET(_xlpm.val,IF($F77="",val_blankRefText,_xldudf_CX_GET(CX_ENTITY,($F77),BA$11,BA$14,,(BA$60))),_xlpm.Res,IF(OR(_xlpm.val="",_xlpm.val="Error"),"",_xlpm.val),_xlpm.Res)</f>
        <v>#NAME?</v>
      </c>
      <c r="BB77" s="1669" t="e" cm="1">
        <f t="array" ca="1" aca="1" ref="BB77">_xlfn.LET(_xlpm.val,IF($F77="",val_blankRefText,_xldudf_CX_GET(CX_ENTITY,($F77),BB$11,BB$14,,(BB$60))),_xlpm.Res,IF(OR(_xlpm.val="",_xlpm.val="Error"),"",_xlpm.val),_xlpm.Res)</f>
        <v>#NAME?</v>
      </c>
      <c r="BC77" s="1669" t="e" cm="1">
        <f t="array" ca="1" aca="1" ref="BC77">_xlfn.LET(_xlpm.val,IF($F77="",val_blankRefText,_xldudf_CX_GET(CX_ENTITY,($F77),BC$11,BC$14,,(BC$60))),_xlpm.Res,IF(OR(_xlpm.val="",_xlpm.val="Error"),"",_xlpm.val),_xlpm.Res)</f>
        <v>#NAME?</v>
      </c>
      <c r="BD77" s="1669" t="e" cm="1">
        <f t="array" ca="1" aca="1" ref="BD77">_xlfn.LET(_xlpm.val,IF($F77="",val_blankRefText,_xldudf_CX_GET(CX_ENTITY,($F77),BD$11,BD$14,,(BD$60))),_xlpm.Res,IF(OR(_xlpm.val="",_xlpm.val="Error"),"",_xlpm.val),_xlpm.Res)</f>
        <v>#NAME?</v>
      </c>
      <c r="BE77" s="1669" t="e" cm="1">
        <f t="array" ca="1" aca="1" ref="BE77">_xlfn.LET(_xlpm.val,IF($F77="",val_blankRefText,_xldudf_CX_GET(CX_ENTITY,($F77),BE$11,BE$14,,(BE$60))),_xlpm.Res,IF(OR(_xlpm.val="",_xlpm.val="Error"),"",_xlpm.val),_xlpm.Res)</f>
        <v>#NAME?</v>
      </c>
      <c r="BF77" s="1669" t="e" cm="1">
        <f t="array" ca="1" aca="1" ref="BF77">_xlfn.LET(_xlpm.val,IF($F77="",val_blankRefText,_xldudf_CX_GET(CX_ENTITY,($F77),BF$11,BF$14,,(BF$60))),_xlpm.Res,IF(OR(_xlpm.val="",_xlpm.val="Error"),"",_xlpm.val),_xlpm.Res)</f>
        <v>#NAME?</v>
      </c>
      <c r="BG77" s="1669" t="e" cm="1">
        <f t="array" ca="1" aca="1" ref="BG77">_xlfn.LET(_xlpm.val,IF($F77="",val_blankRefText,_xldudf_CX_GET(CX_ENTITY,($F77),BG$11,BG$14,,(BG$60))),_xlpm.Res,IF(OR(_xlpm.val="",_xlpm.val="Error"),"",_xlpm.val),_xlpm.Res)</f>
        <v>#NAME?</v>
      </c>
      <c r="BH77" s="1669" t="e" cm="1">
        <f t="array" ca="1" aca="1" ref="BH77">_xlfn.LET(_xlpm.val,IF($F77="",val_blankRefText,_xldudf_CX_GET(CX_ENTITY,($F77),BH$11,BH$14,,(BH$60))),_xlpm.Res,IF(OR(_xlpm.val="",_xlpm.val="Error"),"",_xlpm.val),_xlpm.Res)</f>
        <v>#NAME?</v>
      </c>
      <c r="BI77" s="1669" t="e" cm="1">
        <f t="array" ca="1" aca="1" ref="BI77">_xlfn.LET(_xlpm.val,IF($F77="",val_blankRefText,_xldudf_CX_GET(CX_ENTITY,($F77),BI$11,BI$14,,(BI$60))),_xlpm.Res,IF(OR(_xlpm.val="",_xlpm.val="Error"),"",_xlpm.val),_xlpm.Res)</f>
        <v>#NAME?</v>
      </c>
      <c r="BJ77" s="1669" t="e" cm="1">
        <f t="array" ca="1" aca="1" ref="BJ77">_xlfn.LET(_xlpm.val,IF($F77="",val_blankRefText,_xldudf_CX_GET(CX_ENTITY,($F77),BJ$11,BJ$14,,(BJ$60))),_xlpm.Res,IF(OR(_xlpm.val="",_xlpm.val="Error"),"",_xlpm.val),_xlpm.Res)</f>
        <v>#NAME?</v>
      </c>
      <c r="BK77" s="1669" t="e" cm="1">
        <f t="array" ca="1" aca="1" ref="BK77">_xlfn.LET(_xlpm.val,IF($F77="",val_blankRefText,_xldudf_CX_GET(CX_ENTITY,($F77),BK$11,BK$14,,(BK$60))),_xlpm.Res,IF(OR(_xlpm.val="",_xlpm.val="Error"),"",_xlpm.val),_xlpm.Res)</f>
        <v>#NAME?</v>
      </c>
      <c r="BL77" s="1669" t="e" cm="1">
        <f t="array" ca="1" aca="1" ref="BL77">_xlfn.LET(_xlpm.val,IF($F77="",val_blankRefText,_xldudf_CX_GET(CX_ENTITY,($F77),BL$11,BL$14,,(BL$60))),_xlpm.Res,IF(OR(_xlpm.val="",_xlpm.val="Error"),"",_xlpm.val),_xlpm.Res)</f>
        <v>#NAME?</v>
      </c>
      <c r="BM77" s="1669" t="e" cm="1">
        <f t="array" ca="1" aca="1" ref="BM77">_xlfn.LET(_xlpm.val,IF($F77="",val_blankRefText,_xldudf_CX_GET(CX_ENTITY,($F77),BM$11,BM$14,,(BM$60))),_xlpm.Res,IF(OR(_xlpm.val="",_xlpm.val="Error"),"",_xlpm.val),_xlpm.Res)</f>
        <v>#NAME?</v>
      </c>
      <c r="BN77" s="1669" t="e" cm="1">
        <f t="array" ca="1" aca="1" ref="BN77">_xlfn.LET(_xlpm.val,IF($F77="",val_blankRefText,_xldudf_CX_GET(CX_ENTITY,($F77),BN$11,BN$14,,(BN$60))),_xlpm.Res,IF(OR(_xlpm.val="",_xlpm.val="Error"),"",_xlpm.val),_xlpm.Res)</f>
        <v>#NAME?</v>
      </c>
      <c r="BO77" s="2095"/>
      <c r="BP77" s="2095"/>
      <c r="BQ77" s="2095"/>
      <c r="BR77" s="2095"/>
      <c r="BS77" s="2095"/>
      <c r="BT77" s="2095"/>
      <c r="BU77" s="2095"/>
      <c r="BV77" s="2095"/>
      <c r="BW77" s="2095"/>
      <c r="BX77" s="2095"/>
      <c r="BY77" s="2095"/>
      <c r="BZ77" s="2095"/>
      <c r="CA77" s="926"/>
      <c r="CB77" s="921"/>
      <c r="CC77" s="927"/>
      <c r="CD77" s="920" t="e" cm="1">
        <f t="array" ca="1" aca="1" ref="CD77">_xlfn.XLOOKUP(BS!CD$11,array_timeline,BS!$AD77:$BN77)</f>
        <v>#NAME?</v>
      </c>
      <c r="CE77" s="920" t="e" cm="1">
        <f t="array" ca="1" aca="1" ref="CE77">_xlfn.XLOOKUP(BS!CE$11,array_timeline,BS!$AD77:$BN77)</f>
        <v>#NAME?</v>
      </c>
      <c r="CF77" s="925"/>
      <c r="CG77" s="920" t="e">
        <f ca="1" t="shared" si="30" ref="CG77:CH77">CG36</f>
        <v>#NAME?</v>
      </c>
      <c r="CH77" s="920" t="e">
        <f t="shared" ca="1" si="30"/>
        <v>#NAME?</v>
      </c>
      <c r="CI77" s="200"/>
    </row>
    <row r="78" spans="1:87" ht="21" customHeight="1">
      <c r="A78" s="696" t="s">
        <v>1762</v>
      </c>
      <c r="B78" s="577" t="str">
        <f t="shared" si="10"/>
        <v>Drawn RCF</v>
      </c>
      <c r="C78" s="577" t="str">
        <f t="shared" si="10"/>
        <v>Drawn RCF (Company View)</v>
      </c>
      <c r="D78" s="577"/>
      <c r="E78" s="577" t="e" cm="1">
        <f t="array" ca="1" aca="1" ref="E78">_xlfn.LET(_xlpm.Attr,$C78,_xlpm.Lookback,$E$16,_xlpm.QueryDate,EOMONTH(val_asOfDate,_xlpm.Lookback),_xlpm.ReadField,_xldudf_CX_GET(CX_ENTITY,fx_attrConverter($C78),_xlpm.QueryDate),_xlpm.AttrBlank,_xlpm.Attr="",_xlpm.RESULT,IF(_xlpm.AttrBlank,val_blankRefText,fx_attrConverter(_xlpm.ReadField,0)),IF(_xlpm.RESULT="Error","",_xlpm.RESULT))</f>
        <v>#NAME?</v>
      </c>
      <c r="F78" s="577" t="str">
        <f t="shared" si="9"/>
        <v>Drawn RCF</v>
      </c>
      <c r="G78" s="574"/>
      <c r="H78" s="3279">
        <v>1</v>
      </c>
      <c r="I78" s="3279">
        <v>1</v>
      </c>
      <c r="J78" s="401"/>
      <c r="K78" s="401"/>
      <c r="L78" s="3269" t="b">
        <v>1</v>
      </c>
      <c r="N78" s="158"/>
      <c r="O78" s="101"/>
      <c r="P78" s="52"/>
      <c r="Q78" s="101"/>
      <c r="R78" s="126"/>
      <c r="S78" s="101"/>
      <c r="T78" s="101"/>
      <c r="U78" s="39"/>
      <c r="W78" s="930" t="str">
        <f t="shared" si="15"/>
        <v>Budget</v>
      </c>
      <c r="X78" s="857">
        <f t="shared" si="11"/>
        <v>-1</v>
      </c>
      <c r="Y78" s="2631" t="str">
        <f t="shared" si="12"/>
        <v>Drawn RCF</v>
      </c>
      <c r="Z78" s="3291" cm="1">
        <f t="array" ref="Z78">_xlfn.SWITCH(TRUE,$L78="",0,$L78=TRUE,1,$L78=FALSE,-1,)</f>
        <v>1</v>
      </c>
      <c r="AA78" s="200"/>
      <c r="AB78" s="2626" t="str">
        <f t="shared" si="13"/>
        <v>Drawn RCF</v>
      </c>
      <c r="AC78" s="88"/>
      <c r="AD78" s="1669" t="e" cm="1">
        <f t="array" ca="1" aca="1" ref="AD78">_xlfn.LET(_xlpm.val,IF($F78="",val_blankRefText,_xldudf_CX_GET(CX_ENTITY,($F78),AD$11,AD$14,,(AD$60))),_xlpm.Res,IF(OR(_xlpm.val="",_xlpm.val="Error"),"",_xlpm.val),_xlpm.Res)</f>
        <v>#NAME?</v>
      </c>
      <c r="AE78" s="1669" t="e" cm="1">
        <f t="array" ca="1" aca="1" ref="AE78">_xlfn.LET(_xlpm.val,IF($F78="",val_blankRefText,_xldudf_CX_GET(CX_ENTITY,($F78),AE$11,AE$14,,(AE$60))),_xlpm.Res,IF(OR(_xlpm.val="",_xlpm.val="Error"),"",_xlpm.val),_xlpm.Res)</f>
        <v>#NAME?</v>
      </c>
      <c r="AF78" s="1669" t="e" cm="1">
        <f t="array" ca="1" aca="1" ref="AF78">_xlfn.LET(_xlpm.val,IF($F78="",val_blankRefText,_xldudf_CX_GET(CX_ENTITY,($F78),AF$11,AF$14,,(AF$60))),_xlpm.Res,IF(OR(_xlpm.val="",_xlpm.val="Error"),"",_xlpm.val),_xlpm.Res)</f>
        <v>#NAME?</v>
      </c>
      <c r="AG78" s="1669" t="e" cm="1">
        <f t="array" ca="1" aca="1" ref="AG78">_xlfn.LET(_xlpm.val,IF($F78="",val_blankRefText,_xldudf_CX_GET(CX_ENTITY,($F78),AG$11,AG$14,,(AG$60))),_xlpm.Res,IF(OR(_xlpm.val="",_xlpm.val="Error"),"",_xlpm.val),_xlpm.Res)</f>
        <v>#NAME?</v>
      </c>
      <c r="AH78" s="1669" t="e" cm="1">
        <f t="array" ca="1" aca="1" ref="AH78">_xlfn.LET(_xlpm.val,IF($F78="",val_blankRefText,_xldudf_CX_GET(CX_ENTITY,($F78),AH$11,AH$14,,(AH$60))),_xlpm.Res,IF(OR(_xlpm.val="",_xlpm.val="Error"),"",_xlpm.val),_xlpm.Res)</f>
        <v>#NAME?</v>
      </c>
      <c r="AI78" s="1669" t="e" cm="1">
        <f t="array" ca="1" aca="1" ref="AI78">_xlfn.LET(_xlpm.val,IF($F78="",val_blankRefText,_xldudf_CX_GET(CX_ENTITY,($F78),AI$11,AI$14,,(AI$60))),_xlpm.Res,IF(OR(_xlpm.val="",_xlpm.val="Error"),"",_xlpm.val),_xlpm.Res)</f>
        <v>#NAME?</v>
      </c>
      <c r="AJ78" s="1669" t="e" cm="1">
        <f t="array" ca="1" aca="1" ref="AJ78">_xlfn.LET(_xlpm.val,IF($F78="",val_blankRefText,_xldudf_CX_GET(CX_ENTITY,($F78),AJ$11,AJ$14,,(AJ$60))),_xlpm.Res,IF(OR(_xlpm.val="",_xlpm.val="Error"),"",_xlpm.val),_xlpm.Res)</f>
        <v>#NAME?</v>
      </c>
      <c r="AK78" s="1669" t="e" cm="1">
        <f t="array" ca="1" aca="1" ref="AK78">_xlfn.LET(_xlpm.val,IF($F78="",val_blankRefText,_xldudf_CX_GET(CX_ENTITY,($F78),AK$11,AK$14,,(AK$60))),_xlpm.Res,IF(OR(_xlpm.val="",_xlpm.val="Error"),"",_xlpm.val),_xlpm.Res)</f>
        <v>#NAME?</v>
      </c>
      <c r="AL78" s="1669" t="e" cm="1">
        <f t="array" ca="1" aca="1" ref="AL78">_xlfn.LET(_xlpm.val,IF($F78="",val_blankRefText,_xldudf_CX_GET(CX_ENTITY,($F78),AL$11,AL$14,,(AL$60))),_xlpm.Res,IF(OR(_xlpm.val="",_xlpm.val="Error"),"",_xlpm.val),_xlpm.Res)</f>
        <v>#NAME?</v>
      </c>
      <c r="AM78" s="1669" t="e" cm="1">
        <f t="array" ca="1" aca="1" ref="AM78">_xlfn.LET(_xlpm.val,IF($F78="",val_blankRefText,_xldudf_CX_GET(CX_ENTITY,($F78),AM$11,AM$14,,(AM$60))),_xlpm.Res,IF(OR(_xlpm.val="",_xlpm.val="Error"),"",_xlpm.val),_xlpm.Res)</f>
        <v>#NAME?</v>
      </c>
      <c r="AN78" s="1669" t="e" cm="1">
        <f t="array" ca="1" aca="1" ref="AN78">_xlfn.LET(_xlpm.val,IF($F78="",val_blankRefText,_xldudf_CX_GET(CX_ENTITY,($F78),AN$11,AN$14,,(AN$60))),_xlpm.Res,IF(OR(_xlpm.val="",_xlpm.val="Error"),"",_xlpm.val),_xlpm.Res)</f>
        <v>#NAME?</v>
      </c>
      <c r="AO78" s="1669" t="e" cm="1">
        <f t="array" ca="1" aca="1" ref="AO78">_xlfn.LET(_xlpm.val,IF($F78="",val_blankRefText,_xldudf_CX_GET(CX_ENTITY,($F78),AO$11,AO$14,,(AO$60))),_xlpm.Res,IF(OR(_xlpm.val="",_xlpm.val="Error"),"",_xlpm.val),_xlpm.Res)</f>
        <v>#NAME?</v>
      </c>
      <c r="AP78" s="1669" t="e" cm="1">
        <f t="array" ca="1" aca="1" ref="AP78">_xlfn.LET(_xlpm.val,IF($F78="",val_blankRefText,_xldudf_CX_GET(CX_ENTITY,($F78),AP$11,AP$14,,(AP$60))),_xlpm.Res,IF(OR(_xlpm.val="",_xlpm.val="Error"),"",_xlpm.val),_xlpm.Res)</f>
        <v>#NAME?</v>
      </c>
      <c r="AQ78" s="1669" t="e" cm="1">
        <f t="array" ca="1" aca="1" ref="AQ78">_xlfn.LET(_xlpm.val,IF($F78="",val_blankRefText,_xldudf_CX_GET(CX_ENTITY,($F78),AQ$11,AQ$14,,(AQ$60))),_xlpm.Res,IF(OR(_xlpm.val="",_xlpm.val="Error"),"",_xlpm.val),_xlpm.Res)</f>
        <v>#NAME?</v>
      </c>
      <c r="AR78" s="1669" t="e" cm="1">
        <f t="array" ca="1" aca="1" ref="AR78">_xlfn.LET(_xlpm.val,IF($F78="",val_blankRefText,_xldudf_CX_GET(CX_ENTITY,($F78),AR$11,AR$14,,(AR$60))),_xlpm.Res,IF(OR(_xlpm.val="",_xlpm.val="Error"),"",_xlpm.val),_xlpm.Res)</f>
        <v>#NAME?</v>
      </c>
      <c r="AS78" s="1669" t="e" cm="1">
        <f t="array" ca="1" aca="1" ref="AS78">_xlfn.LET(_xlpm.val,IF($F78="",val_blankRefText,_xldudf_CX_GET(CX_ENTITY,($F78),AS$11,AS$14,,(AS$60))),_xlpm.Res,IF(OR(_xlpm.val="",_xlpm.val="Error"),"",_xlpm.val),_xlpm.Res)</f>
        <v>#NAME?</v>
      </c>
      <c r="AT78" s="1669" t="e" cm="1">
        <f t="array" ca="1" aca="1" ref="AT78">_xlfn.LET(_xlpm.val,IF($F78="",val_blankRefText,_xldudf_CX_GET(CX_ENTITY,($F78),AT$11,AT$14,,(AT$60))),_xlpm.Res,IF(OR(_xlpm.val="",_xlpm.val="Error"),"",_xlpm.val),_xlpm.Res)</f>
        <v>#NAME?</v>
      </c>
      <c r="AU78" s="1669" t="e" cm="1">
        <f t="array" ca="1" aca="1" ref="AU78">_xlfn.LET(_xlpm.val,IF($F78="",val_blankRefText,_xldudf_CX_GET(CX_ENTITY,($F78),AU$11,AU$14,,(AU$60))),_xlpm.Res,IF(OR(_xlpm.val="",_xlpm.val="Error"),"",_xlpm.val),_xlpm.Res)</f>
        <v>#NAME?</v>
      </c>
      <c r="AV78" s="1669" t="e" cm="1">
        <f t="array" ca="1" aca="1" ref="AV78">_xlfn.LET(_xlpm.val,IF($F78="",val_blankRefText,_xldudf_CX_GET(CX_ENTITY,($F78),AV$11,AV$14,,(AV$60))),_xlpm.Res,IF(OR(_xlpm.val="",_xlpm.val="Error"),"",_xlpm.val),_xlpm.Res)</f>
        <v>#NAME?</v>
      </c>
      <c r="AW78" s="1669" t="e" cm="1">
        <f t="array" ca="1" aca="1" ref="AW78">_xlfn.LET(_xlpm.val,IF($F78="",val_blankRefText,_xldudf_CX_GET(CX_ENTITY,($F78),AW$11,AW$14,,(AW$60))),_xlpm.Res,IF(OR(_xlpm.val="",_xlpm.val="Error"),"",_xlpm.val),_xlpm.Res)</f>
        <v>#NAME?</v>
      </c>
      <c r="AX78" s="1669" t="e" cm="1">
        <f t="array" ca="1" aca="1" ref="AX78">_xlfn.LET(_xlpm.val,IF($F78="",val_blankRefText,_xldudf_CX_GET(CX_ENTITY,($F78),AX$11,AX$14,,(AX$60))),_xlpm.Res,IF(OR(_xlpm.val="",_xlpm.val="Error"),"",_xlpm.val),_xlpm.Res)</f>
        <v>#NAME?</v>
      </c>
      <c r="AY78" s="1669" t="e" cm="1">
        <f t="array" ca="1" aca="1" ref="AY78">_xlfn.LET(_xlpm.val,IF($F78="",val_blankRefText,_xldudf_CX_GET(CX_ENTITY,($F78),AY$11,AY$14,,(AY$60))),_xlpm.Res,IF(OR(_xlpm.val="",_xlpm.val="Error"),"",_xlpm.val),_xlpm.Res)</f>
        <v>#NAME?</v>
      </c>
      <c r="AZ78" s="1669" t="e" cm="1">
        <f t="array" ca="1" aca="1" ref="AZ78">_xlfn.LET(_xlpm.val,IF($F78="",val_blankRefText,_xldudf_CX_GET(CX_ENTITY,($F78),AZ$11,AZ$14,,(AZ$60))),_xlpm.Res,IF(OR(_xlpm.val="",_xlpm.val="Error"),"",_xlpm.val),_xlpm.Res)</f>
        <v>#NAME?</v>
      </c>
      <c r="BA78" s="1669" t="e" cm="1">
        <f t="array" ca="1" aca="1" ref="BA78">_xlfn.LET(_xlpm.val,IF($F78="",val_blankRefText,_xldudf_CX_GET(CX_ENTITY,($F78),BA$11,BA$14,,(BA$60))),_xlpm.Res,IF(OR(_xlpm.val="",_xlpm.val="Error"),"",_xlpm.val),_xlpm.Res)</f>
        <v>#NAME?</v>
      </c>
      <c r="BB78" s="1669" t="e" cm="1">
        <f t="array" ca="1" aca="1" ref="BB78">_xlfn.LET(_xlpm.val,IF($F78="",val_blankRefText,_xldudf_CX_GET(CX_ENTITY,($F78),BB$11,BB$14,,(BB$60))),_xlpm.Res,IF(OR(_xlpm.val="",_xlpm.val="Error"),"",_xlpm.val),_xlpm.Res)</f>
        <v>#NAME?</v>
      </c>
      <c r="BC78" s="1669" t="e" cm="1">
        <f t="array" ca="1" aca="1" ref="BC78">_xlfn.LET(_xlpm.val,IF($F78="",val_blankRefText,_xldudf_CX_GET(CX_ENTITY,($F78),BC$11,BC$14,,(BC$60))),_xlpm.Res,IF(OR(_xlpm.val="",_xlpm.val="Error"),"",_xlpm.val),_xlpm.Res)</f>
        <v>#NAME?</v>
      </c>
      <c r="BD78" s="1669" t="e" cm="1">
        <f t="array" ca="1" aca="1" ref="BD78">_xlfn.LET(_xlpm.val,IF($F78="",val_blankRefText,_xldudf_CX_GET(CX_ENTITY,($F78),BD$11,BD$14,,(BD$60))),_xlpm.Res,IF(OR(_xlpm.val="",_xlpm.val="Error"),"",_xlpm.val),_xlpm.Res)</f>
        <v>#NAME?</v>
      </c>
      <c r="BE78" s="1669" t="e" cm="1">
        <f t="array" ca="1" aca="1" ref="BE78">_xlfn.LET(_xlpm.val,IF($F78="",val_blankRefText,_xldudf_CX_GET(CX_ENTITY,($F78),BE$11,BE$14,,(BE$60))),_xlpm.Res,IF(OR(_xlpm.val="",_xlpm.val="Error"),"",_xlpm.val),_xlpm.Res)</f>
        <v>#NAME?</v>
      </c>
      <c r="BF78" s="1669" t="e" cm="1">
        <f t="array" ca="1" aca="1" ref="BF78">_xlfn.LET(_xlpm.val,IF($F78="",val_blankRefText,_xldudf_CX_GET(CX_ENTITY,($F78),BF$11,BF$14,,(BF$60))),_xlpm.Res,IF(OR(_xlpm.val="",_xlpm.val="Error"),"",_xlpm.val),_xlpm.Res)</f>
        <v>#NAME?</v>
      </c>
      <c r="BG78" s="1669" t="e" cm="1">
        <f t="array" ca="1" aca="1" ref="BG78">_xlfn.LET(_xlpm.val,IF($F78="",val_blankRefText,_xldudf_CX_GET(CX_ENTITY,($F78),BG$11,BG$14,,(BG$60))),_xlpm.Res,IF(OR(_xlpm.val="",_xlpm.val="Error"),"",_xlpm.val),_xlpm.Res)</f>
        <v>#NAME?</v>
      </c>
      <c r="BH78" s="1669" t="e" cm="1">
        <f t="array" ca="1" aca="1" ref="BH78">_xlfn.LET(_xlpm.val,IF($F78="",val_blankRefText,_xldudf_CX_GET(CX_ENTITY,($F78),BH$11,BH$14,,(BH$60))),_xlpm.Res,IF(OR(_xlpm.val="",_xlpm.val="Error"),"",_xlpm.val),_xlpm.Res)</f>
        <v>#NAME?</v>
      </c>
      <c r="BI78" s="1669" t="e" cm="1">
        <f t="array" ca="1" aca="1" ref="BI78">_xlfn.LET(_xlpm.val,IF($F78="",val_blankRefText,_xldudf_CX_GET(CX_ENTITY,($F78),BI$11,BI$14,,(BI$60))),_xlpm.Res,IF(OR(_xlpm.val="",_xlpm.val="Error"),"",_xlpm.val),_xlpm.Res)</f>
        <v>#NAME?</v>
      </c>
      <c r="BJ78" s="1669" t="e" cm="1">
        <f t="array" ca="1" aca="1" ref="BJ78">_xlfn.LET(_xlpm.val,IF($F78="",val_blankRefText,_xldudf_CX_GET(CX_ENTITY,($F78),BJ$11,BJ$14,,(BJ$60))),_xlpm.Res,IF(OR(_xlpm.val="",_xlpm.val="Error"),"",_xlpm.val),_xlpm.Res)</f>
        <v>#NAME?</v>
      </c>
      <c r="BK78" s="1669" t="e" cm="1">
        <f t="array" ca="1" aca="1" ref="BK78">_xlfn.LET(_xlpm.val,IF($F78="",val_blankRefText,_xldudf_CX_GET(CX_ENTITY,($F78),BK$11,BK$14,,(BK$60))),_xlpm.Res,IF(OR(_xlpm.val="",_xlpm.val="Error"),"",_xlpm.val),_xlpm.Res)</f>
        <v>#NAME?</v>
      </c>
      <c r="BL78" s="1669" t="e" cm="1">
        <f t="array" ca="1" aca="1" ref="BL78">_xlfn.LET(_xlpm.val,IF($F78="",val_blankRefText,_xldudf_CX_GET(CX_ENTITY,($F78),BL$11,BL$14,,(BL$60))),_xlpm.Res,IF(OR(_xlpm.val="",_xlpm.val="Error"),"",_xlpm.val),_xlpm.Res)</f>
        <v>#NAME?</v>
      </c>
      <c r="BM78" s="1669" t="e" cm="1">
        <f t="array" ca="1" aca="1" ref="BM78">_xlfn.LET(_xlpm.val,IF($F78="",val_blankRefText,_xldudf_CX_GET(CX_ENTITY,($F78),BM$11,BM$14,,(BM$60))),_xlpm.Res,IF(OR(_xlpm.val="",_xlpm.val="Error"),"",_xlpm.val),_xlpm.Res)</f>
        <v>#NAME?</v>
      </c>
      <c r="BN78" s="1669" t="e" cm="1">
        <f t="array" ca="1" aca="1" ref="BN78">_xlfn.LET(_xlpm.val,IF($F78="",val_blankRefText,_xldudf_CX_GET(CX_ENTITY,($F78),BN$11,BN$14,,(BN$60))),_xlpm.Res,IF(OR(_xlpm.val="",_xlpm.val="Error"),"",_xlpm.val),_xlpm.Res)</f>
        <v>#NAME?</v>
      </c>
      <c r="BO78" s="2095"/>
      <c r="BP78" s="2095"/>
      <c r="BQ78" s="2095"/>
      <c r="BR78" s="2095"/>
      <c r="BS78" s="2095"/>
      <c r="BT78" s="2095"/>
      <c r="BU78" s="2095"/>
      <c r="BV78" s="2095"/>
      <c r="BW78" s="2095"/>
      <c r="BX78" s="2095"/>
      <c r="BY78" s="2095"/>
      <c r="BZ78" s="2095"/>
      <c r="CA78" s="926"/>
      <c r="CB78" s="921"/>
      <c r="CC78" s="927"/>
      <c r="CD78" s="920" t="e" cm="1">
        <f t="array" ca="1" aca="1" ref="CD78">_xlfn.XLOOKUP(BS!CD$11,array_timeline,BS!$AD78:$BN78)</f>
        <v>#NAME?</v>
      </c>
      <c r="CE78" s="920" t="e" cm="1">
        <f t="array" ca="1" aca="1" ref="CE78">_xlfn.XLOOKUP(BS!CE$11,array_timeline,BS!$AD78:$BN78)</f>
        <v>#NAME?</v>
      </c>
      <c r="CF78" s="925"/>
      <c r="CG78" s="920" t="e">
        <f ca="1" t="shared" si="31" ref="CG78:CH78">CG37</f>
        <v>#NAME?</v>
      </c>
      <c r="CH78" s="920" t="e">
        <f t="shared" ca="1" si="31"/>
        <v>#NAME?</v>
      </c>
      <c r="CI78" s="200"/>
    </row>
    <row r="79" spans="1:87" ht="21" customHeight="1">
      <c r="A79" s="696" t="s">
        <v>1735</v>
      </c>
      <c r="B79" s="577" t="str">
        <f t="shared" si="10"/>
        <v>Gross External Debt</v>
      </c>
      <c r="C79" s="577" t="str">
        <f t="shared" si="10"/>
        <v>Gross External Debt (Company View)</v>
      </c>
      <c r="D79" s="577"/>
      <c r="E79" s="577" t="e" cm="1">
        <f t="array" ca="1" aca="1" ref="E79">_xlfn.LET(_xlpm.Attr,$C79,_xlpm.Lookback,$E$16,_xlpm.QueryDate,EOMONTH(val_asOfDate,_xlpm.Lookback),_xlpm.ReadField,_xldudf_CX_GET(CX_ENTITY,fx_attrConverter($C79),_xlpm.QueryDate),_xlpm.AttrBlank,_xlpm.Attr="",_xlpm.RESULT,IF(_xlpm.AttrBlank,val_blankRefText,fx_attrConverter(_xlpm.ReadField,0)),IF(_xlpm.RESULT="Error","",_xlpm.RESULT))</f>
        <v>#NAME?</v>
      </c>
      <c r="F79" s="577" t="str">
        <f t="shared" si="9"/>
        <v>Gross External Debt</v>
      </c>
      <c r="G79" s="574"/>
      <c r="H79" s="3280">
        <v>2</v>
      </c>
      <c r="I79" s="3279">
        <v>1</v>
      </c>
      <c r="J79" s="401"/>
      <c r="K79" s="401"/>
      <c r="L79" s="579">
        <v>-1</v>
      </c>
      <c r="N79" s="158"/>
      <c r="O79" s="101"/>
      <c r="P79" s="52"/>
      <c r="Q79" s="101"/>
      <c r="R79" s="101"/>
      <c r="S79" s="101"/>
      <c r="T79" s="101"/>
      <c r="U79" s="39"/>
      <c r="W79" s="1291" t="str">
        <f t="shared" si="15"/>
        <v>Budget</v>
      </c>
      <c r="X79" s="1294">
        <f t="shared" si="11"/>
        <v>0</v>
      </c>
      <c r="Y79" s="2631" t="str">
        <f t="shared" si="12"/>
        <v>Gross External Debt</v>
      </c>
      <c r="Z79" s="198" cm="1">
        <f t="array" ref="Z79">_xlfn.SWITCH(TRUE,$L79="",0,$L79=TRUE,1,$L79=FALSE,-1,)</f>
        <v>0</v>
      </c>
      <c r="AA79" s="924"/>
      <c r="AB79" s="2626" t="str">
        <f t="shared" si="13"/>
        <v>Gross External Debt</v>
      </c>
      <c r="AC79" s="88" t="e" vm="5" cm="1">
        <f t="array" ref="AC79">IFERROR(IF(_xlfn.XMATCH(AB79,tbl_acctDef[Term],0)&gt;0,fx_getIcon("find"),""),"")</f>
        <v>#VALUE!</v>
      </c>
      <c r="AD79" s="1669" t="e" cm="1">
        <f t="array" ca="1" aca="1" ref="AD79">_xlfn.LET(_xlpm.val,IF($F79="",val_blankRefText,_xldudf_CX_GET(CX_ENTITY,($F79),AD$11,AD$14,,(AD$60))),_xlpm.Res,IF(OR(_xlpm.val="",_xlpm.val="Error"),"",_xlpm.val),_xlpm.Res)</f>
        <v>#NAME?</v>
      </c>
      <c r="AE79" s="1669" t="e" cm="1">
        <f t="array" ca="1" aca="1" ref="AE79">_xlfn.LET(_xlpm.val,IF($F79="",val_blankRefText,_xldudf_CX_GET(CX_ENTITY,($F79),AE$11,AE$14,,(AE$60))),_xlpm.Res,IF(OR(_xlpm.val="",_xlpm.val="Error"),"",_xlpm.val),_xlpm.Res)</f>
        <v>#NAME?</v>
      </c>
      <c r="AF79" s="1669" t="e" cm="1">
        <f t="array" ca="1" aca="1" ref="AF79">_xlfn.LET(_xlpm.val,IF($F79="",val_blankRefText,_xldudf_CX_GET(CX_ENTITY,($F79),AF$11,AF$14,,(AF$60))),_xlpm.Res,IF(OR(_xlpm.val="",_xlpm.val="Error"),"",_xlpm.val),_xlpm.Res)</f>
        <v>#NAME?</v>
      </c>
      <c r="AG79" s="1669" t="e" cm="1">
        <f t="array" ca="1" aca="1" ref="AG79">_xlfn.LET(_xlpm.val,IF($F79="",val_blankRefText,_xldudf_CX_GET(CX_ENTITY,($F79),AG$11,AG$14,,(AG$60))),_xlpm.Res,IF(OR(_xlpm.val="",_xlpm.val="Error"),"",_xlpm.val),_xlpm.Res)</f>
        <v>#NAME?</v>
      </c>
      <c r="AH79" s="1669" t="e" cm="1">
        <f t="array" ca="1" aca="1" ref="AH79">_xlfn.LET(_xlpm.val,IF($F79="",val_blankRefText,_xldudf_CX_GET(CX_ENTITY,($F79),AH$11,AH$14,,(AH$60))),_xlpm.Res,IF(OR(_xlpm.val="",_xlpm.val="Error"),"",_xlpm.val),_xlpm.Res)</f>
        <v>#NAME?</v>
      </c>
      <c r="AI79" s="1669" t="e" cm="1">
        <f t="array" ca="1" aca="1" ref="AI79">_xlfn.LET(_xlpm.val,IF($F79="",val_blankRefText,_xldudf_CX_GET(CX_ENTITY,($F79),AI$11,AI$14,,(AI$60))),_xlpm.Res,IF(OR(_xlpm.val="",_xlpm.val="Error"),"",_xlpm.val),_xlpm.Res)</f>
        <v>#NAME?</v>
      </c>
      <c r="AJ79" s="1669" t="e" cm="1">
        <f t="array" ca="1" aca="1" ref="AJ79">_xlfn.LET(_xlpm.val,IF($F79="",val_blankRefText,_xldudf_CX_GET(CX_ENTITY,($F79),AJ$11,AJ$14,,(AJ$60))),_xlpm.Res,IF(OR(_xlpm.val="",_xlpm.val="Error"),"",_xlpm.val),_xlpm.Res)</f>
        <v>#NAME?</v>
      </c>
      <c r="AK79" s="1669" t="e" cm="1">
        <f t="array" ca="1" aca="1" ref="AK79">_xlfn.LET(_xlpm.val,IF($F79="",val_blankRefText,_xldudf_CX_GET(CX_ENTITY,($F79),AK$11,AK$14,,(AK$60))),_xlpm.Res,IF(OR(_xlpm.val="",_xlpm.val="Error"),"",_xlpm.val),_xlpm.Res)</f>
        <v>#NAME?</v>
      </c>
      <c r="AL79" s="1669" t="e" cm="1">
        <f t="array" ca="1" aca="1" ref="AL79">_xlfn.LET(_xlpm.val,IF($F79="",val_blankRefText,_xldudf_CX_GET(CX_ENTITY,($F79),AL$11,AL$14,,(AL$60))),_xlpm.Res,IF(OR(_xlpm.val="",_xlpm.val="Error"),"",_xlpm.val),_xlpm.Res)</f>
        <v>#NAME?</v>
      </c>
      <c r="AM79" s="1669" t="e" cm="1">
        <f t="array" ca="1" aca="1" ref="AM79">_xlfn.LET(_xlpm.val,IF($F79="",val_blankRefText,_xldudf_CX_GET(CX_ENTITY,($F79),AM$11,AM$14,,(AM$60))),_xlpm.Res,IF(OR(_xlpm.val="",_xlpm.val="Error"),"",_xlpm.val),_xlpm.Res)</f>
        <v>#NAME?</v>
      </c>
      <c r="AN79" s="1669" t="e" cm="1">
        <f t="array" ca="1" aca="1" ref="AN79">_xlfn.LET(_xlpm.val,IF($F79="",val_blankRefText,_xldudf_CX_GET(CX_ENTITY,($F79),AN$11,AN$14,,(AN$60))),_xlpm.Res,IF(OR(_xlpm.val="",_xlpm.val="Error"),"",_xlpm.val),_xlpm.Res)</f>
        <v>#NAME?</v>
      </c>
      <c r="AO79" s="1669" t="e" cm="1">
        <f t="array" ca="1" aca="1" ref="AO79">_xlfn.LET(_xlpm.val,IF($F79="",val_blankRefText,_xldudf_CX_GET(CX_ENTITY,($F79),AO$11,AO$14,,(AO$60))),_xlpm.Res,IF(OR(_xlpm.val="",_xlpm.val="Error"),"",_xlpm.val),_xlpm.Res)</f>
        <v>#NAME?</v>
      </c>
      <c r="AP79" s="1669" t="e" cm="1">
        <f t="array" ca="1" aca="1" ref="AP79">_xlfn.LET(_xlpm.val,IF($F79="",val_blankRefText,_xldudf_CX_GET(CX_ENTITY,($F79),AP$11,AP$14,,(AP$60))),_xlpm.Res,IF(OR(_xlpm.val="",_xlpm.val="Error"),"",_xlpm.val),_xlpm.Res)</f>
        <v>#NAME?</v>
      </c>
      <c r="AQ79" s="1669" t="e" cm="1">
        <f t="array" ca="1" aca="1" ref="AQ79">_xlfn.LET(_xlpm.val,IF($F79="",val_blankRefText,_xldudf_CX_GET(CX_ENTITY,($F79),AQ$11,AQ$14,,(AQ$60))),_xlpm.Res,IF(OR(_xlpm.val="",_xlpm.val="Error"),"",_xlpm.val),_xlpm.Res)</f>
        <v>#NAME?</v>
      </c>
      <c r="AR79" s="1669" t="e" cm="1">
        <f t="array" ca="1" aca="1" ref="AR79">_xlfn.LET(_xlpm.val,IF($F79="",val_blankRefText,_xldudf_CX_GET(CX_ENTITY,($F79),AR$11,AR$14,,(AR$60))),_xlpm.Res,IF(OR(_xlpm.val="",_xlpm.val="Error"),"",_xlpm.val),_xlpm.Res)</f>
        <v>#NAME?</v>
      </c>
      <c r="AS79" s="1669" t="e" cm="1">
        <f t="array" ca="1" aca="1" ref="AS79">_xlfn.LET(_xlpm.val,IF($F79="",val_blankRefText,_xldudf_CX_GET(CX_ENTITY,($F79),AS$11,AS$14,,(AS$60))),_xlpm.Res,IF(OR(_xlpm.val="",_xlpm.val="Error"),"",_xlpm.val),_xlpm.Res)</f>
        <v>#NAME?</v>
      </c>
      <c r="AT79" s="1669" t="e" cm="1">
        <f t="array" ca="1" aca="1" ref="AT79">_xlfn.LET(_xlpm.val,IF($F79="",val_blankRefText,_xldudf_CX_GET(CX_ENTITY,($F79),AT$11,AT$14,,(AT$60))),_xlpm.Res,IF(OR(_xlpm.val="",_xlpm.val="Error"),"",_xlpm.val),_xlpm.Res)</f>
        <v>#NAME?</v>
      </c>
      <c r="AU79" s="1669" t="e" cm="1">
        <f t="array" ca="1" aca="1" ref="AU79">_xlfn.LET(_xlpm.val,IF($F79="",val_blankRefText,_xldudf_CX_GET(CX_ENTITY,($F79),AU$11,AU$14,,(AU$60))),_xlpm.Res,IF(OR(_xlpm.val="",_xlpm.val="Error"),"",_xlpm.val),_xlpm.Res)</f>
        <v>#NAME?</v>
      </c>
      <c r="AV79" s="1669" t="e" cm="1">
        <f t="array" ca="1" aca="1" ref="AV79">_xlfn.LET(_xlpm.val,IF($F79="",val_blankRefText,_xldudf_CX_GET(CX_ENTITY,($F79),AV$11,AV$14,,(AV$60))),_xlpm.Res,IF(OR(_xlpm.val="",_xlpm.val="Error"),"",_xlpm.val),_xlpm.Res)</f>
        <v>#NAME?</v>
      </c>
      <c r="AW79" s="1669" t="e" cm="1">
        <f t="array" ca="1" aca="1" ref="AW79">_xlfn.LET(_xlpm.val,IF($F79="",val_blankRefText,_xldudf_CX_GET(CX_ENTITY,($F79),AW$11,AW$14,,(AW$60))),_xlpm.Res,IF(OR(_xlpm.val="",_xlpm.val="Error"),"",_xlpm.val),_xlpm.Res)</f>
        <v>#NAME?</v>
      </c>
      <c r="AX79" s="1669" t="e" cm="1">
        <f t="array" ca="1" aca="1" ref="AX79">_xlfn.LET(_xlpm.val,IF($F79="",val_blankRefText,_xldudf_CX_GET(CX_ENTITY,($F79),AX$11,AX$14,,(AX$60))),_xlpm.Res,IF(OR(_xlpm.val="",_xlpm.val="Error"),"",_xlpm.val),_xlpm.Res)</f>
        <v>#NAME?</v>
      </c>
      <c r="AY79" s="1669" t="e" cm="1">
        <f t="array" ca="1" aca="1" ref="AY79">_xlfn.LET(_xlpm.val,IF($F79="",val_blankRefText,_xldudf_CX_GET(CX_ENTITY,($F79),AY$11,AY$14,,(AY$60))),_xlpm.Res,IF(OR(_xlpm.val="",_xlpm.val="Error"),"",_xlpm.val),_xlpm.Res)</f>
        <v>#NAME?</v>
      </c>
      <c r="AZ79" s="1669" t="e" cm="1">
        <f t="array" ca="1" aca="1" ref="AZ79">_xlfn.LET(_xlpm.val,IF($F79="",val_blankRefText,_xldudf_CX_GET(CX_ENTITY,($F79),AZ$11,AZ$14,,(AZ$60))),_xlpm.Res,IF(OR(_xlpm.val="",_xlpm.val="Error"),"",_xlpm.val),_xlpm.Res)</f>
        <v>#NAME?</v>
      </c>
      <c r="BA79" s="1669" t="e" cm="1">
        <f t="array" ca="1" aca="1" ref="BA79">_xlfn.LET(_xlpm.val,IF($F79="",val_blankRefText,_xldudf_CX_GET(CX_ENTITY,($F79),BA$11,BA$14,,(BA$60))),_xlpm.Res,IF(OR(_xlpm.val="",_xlpm.val="Error"),"",_xlpm.val),_xlpm.Res)</f>
        <v>#NAME?</v>
      </c>
      <c r="BB79" s="1669" t="e" cm="1">
        <f t="array" ca="1" aca="1" ref="BB79">_xlfn.LET(_xlpm.val,IF($F79="",val_blankRefText,_xldudf_CX_GET(CX_ENTITY,($F79),BB$11,BB$14,,(BB$60))),_xlpm.Res,IF(OR(_xlpm.val="",_xlpm.val="Error"),"",_xlpm.val),_xlpm.Res)</f>
        <v>#NAME?</v>
      </c>
      <c r="BC79" s="1669" t="e" cm="1">
        <f t="array" ca="1" aca="1" ref="BC79">_xlfn.LET(_xlpm.val,IF($F79="",val_blankRefText,_xldudf_CX_GET(CX_ENTITY,($F79),BC$11,BC$14,,(BC$60))),_xlpm.Res,IF(OR(_xlpm.val="",_xlpm.val="Error"),"",_xlpm.val),_xlpm.Res)</f>
        <v>#NAME?</v>
      </c>
      <c r="BD79" s="1669" t="e" cm="1">
        <f t="array" ca="1" aca="1" ref="BD79">_xlfn.LET(_xlpm.val,IF($F79="",val_blankRefText,_xldudf_CX_GET(CX_ENTITY,($F79),BD$11,BD$14,,(BD$60))),_xlpm.Res,IF(OR(_xlpm.val="",_xlpm.val="Error"),"",_xlpm.val),_xlpm.Res)</f>
        <v>#NAME?</v>
      </c>
      <c r="BE79" s="1669" t="e" cm="1">
        <f t="array" ca="1" aca="1" ref="BE79">_xlfn.LET(_xlpm.val,IF($F79="",val_blankRefText,_xldudf_CX_GET(CX_ENTITY,($F79),BE$11,BE$14,,(BE$60))),_xlpm.Res,IF(OR(_xlpm.val="",_xlpm.val="Error"),"",_xlpm.val),_xlpm.Res)</f>
        <v>#NAME?</v>
      </c>
      <c r="BF79" s="1669" t="e" cm="1">
        <f t="array" ca="1" aca="1" ref="BF79">_xlfn.LET(_xlpm.val,IF($F79="",val_blankRefText,_xldudf_CX_GET(CX_ENTITY,($F79),BF$11,BF$14,,(BF$60))),_xlpm.Res,IF(OR(_xlpm.val="",_xlpm.val="Error"),"",_xlpm.val),_xlpm.Res)</f>
        <v>#NAME?</v>
      </c>
      <c r="BG79" s="1669" t="e" cm="1">
        <f t="array" ca="1" aca="1" ref="BG79">_xlfn.LET(_xlpm.val,IF($F79="",val_blankRefText,_xldudf_CX_GET(CX_ENTITY,($F79),BG$11,BG$14,,(BG$60))),_xlpm.Res,IF(OR(_xlpm.val="",_xlpm.val="Error"),"",_xlpm.val),_xlpm.Res)</f>
        <v>#NAME?</v>
      </c>
      <c r="BH79" s="1669" t="e" cm="1">
        <f t="array" ca="1" aca="1" ref="BH79">_xlfn.LET(_xlpm.val,IF($F79="",val_blankRefText,_xldudf_CX_GET(CX_ENTITY,($F79),BH$11,BH$14,,(BH$60))),_xlpm.Res,IF(OR(_xlpm.val="",_xlpm.val="Error"),"",_xlpm.val),_xlpm.Res)</f>
        <v>#NAME?</v>
      </c>
      <c r="BI79" s="1669" t="e" cm="1">
        <f t="array" ca="1" aca="1" ref="BI79">_xlfn.LET(_xlpm.val,IF($F79="",val_blankRefText,_xldudf_CX_GET(CX_ENTITY,($F79),BI$11,BI$14,,(BI$60))),_xlpm.Res,IF(OR(_xlpm.val="",_xlpm.val="Error"),"",_xlpm.val),_xlpm.Res)</f>
        <v>#NAME?</v>
      </c>
      <c r="BJ79" s="1669" t="e" cm="1">
        <f t="array" ca="1" aca="1" ref="BJ79">_xlfn.LET(_xlpm.val,IF($F79="",val_blankRefText,_xldudf_CX_GET(CX_ENTITY,($F79),BJ$11,BJ$14,,(BJ$60))),_xlpm.Res,IF(OR(_xlpm.val="",_xlpm.val="Error"),"",_xlpm.val),_xlpm.Res)</f>
        <v>#NAME?</v>
      </c>
      <c r="BK79" s="1669" t="e" cm="1">
        <f t="array" ca="1" aca="1" ref="BK79">_xlfn.LET(_xlpm.val,IF($F79="",val_blankRefText,_xldudf_CX_GET(CX_ENTITY,($F79),BK$11,BK$14,,(BK$60))),_xlpm.Res,IF(OR(_xlpm.val="",_xlpm.val="Error"),"",_xlpm.val),_xlpm.Res)</f>
        <v>#NAME?</v>
      </c>
      <c r="BL79" s="1669" t="e" cm="1">
        <f t="array" ca="1" aca="1" ref="BL79">_xlfn.LET(_xlpm.val,IF($F79="",val_blankRefText,_xldudf_CX_GET(CX_ENTITY,($F79),BL$11,BL$14,,(BL$60))),_xlpm.Res,IF(OR(_xlpm.val="",_xlpm.val="Error"),"",_xlpm.val),_xlpm.Res)</f>
        <v>#NAME?</v>
      </c>
      <c r="BM79" s="1669" t="e" cm="1">
        <f t="array" ca="1" aca="1" ref="BM79">_xlfn.LET(_xlpm.val,IF($F79="",val_blankRefText,_xldudf_CX_GET(CX_ENTITY,($F79),BM$11,BM$14,,(BM$60))),_xlpm.Res,IF(OR(_xlpm.val="",_xlpm.val="Error"),"",_xlpm.val),_xlpm.Res)</f>
        <v>#NAME?</v>
      </c>
      <c r="BN79" s="1669" t="e" cm="1">
        <f t="array" ca="1" aca="1" ref="BN79">_xlfn.LET(_xlpm.val,IF($F79="",val_blankRefText,_xldudf_CX_GET(CX_ENTITY,($F79),BN$11,BN$14,,(BN$60))),_xlpm.Res,IF(OR(_xlpm.val="",_xlpm.val="Error"),"",_xlpm.val),_xlpm.Res)</f>
        <v>#NAME?</v>
      </c>
      <c r="BO79" s="2095"/>
      <c r="BP79" s="2095"/>
      <c r="BQ79" s="2095"/>
      <c r="BR79" s="2095"/>
      <c r="BS79" s="2095"/>
      <c r="BT79" s="2095"/>
      <c r="BU79" s="2095"/>
      <c r="BV79" s="2095"/>
      <c r="BW79" s="2095"/>
      <c r="BX79" s="2095"/>
      <c r="BY79" s="2095"/>
      <c r="BZ79" s="2095"/>
      <c r="CA79" s="926"/>
      <c r="CB79" s="921"/>
      <c r="CC79" s="927"/>
      <c r="CD79" s="919" t="e" cm="1">
        <f t="array" ca="1" aca="1" ref="CD79">_xlfn.XLOOKUP(BS!CD$11,array_timeline,BS!$AD79:$BN79)</f>
        <v>#NAME?</v>
      </c>
      <c r="CE79" s="919" t="e" cm="1">
        <f t="array" ca="1" aca="1" ref="CE79">_xlfn.XLOOKUP(BS!CE$11,array_timeline,BS!$AD79:$BN79)</f>
        <v>#NAME?</v>
      </c>
      <c r="CF79" s="925"/>
      <c r="CG79" s="928" t="e">
        <f ca="1" t="shared" si="32" ref="CG79:CH79">CG38</f>
        <v>#NAME?</v>
      </c>
      <c r="CH79" s="928" t="e">
        <f t="shared" ca="1" si="32"/>
        <v>#NAME?</v>
      </c>
      <c r="CI79" s="924"/>
    </row>
    <row r="80" spans="1:87" ht="21" customHeight="1">
      <c r="A80" s="696" t="s">
        <v>1763</v>
      </c>
      <c r="B80" s="577" t="str">
        <f t="shared" si="10"/>
        <v>Cash &amp; Equivalents</v>
      </c>
      <c r="C80" s="577" t="str">
        <f t="shared" si="10"/>
        <v>Cash &amp; Equivalents (Company View)</v>
      </c>
      <c r="D80" s="577"/>
      <c r="E80" s="577" t="e" cm="1">
        <f t="array" ca="1" aca="1" ref="E80">_xlfn.LET(_xlpm.Attr,$C80,_xlpm.Lookback,$E$16,_xlpm.QueryDate,EOMONTH(val_asOfDate,_xlpm.Lookback),_xlpm.ReadField,_xldudf_CX_GET(CX_ENTITY,fx_attrConverter($C80),_xlpm.QueryDate),_xlpm.AttrBlank,_xlpm.Attr="",_xlpm.RESULT,IF(_xlpm.AttrBlank,val_blankRefText,fx_attrConverter(_xlpm.ReadField,0)),IF(_xlpm.RESULT="Error","",_xlpm.RESULT))</f>
        <v>#NAME?</v>
      </c>
      <c r="F80" s="577" t="str">
        <f t="shared" si="9"/>
        <v>Cash &amp; Equivalents</v>
      </c>
      <c r="G80" s="574"/>
      <c r="H80" s="3279">
        <v>1</v>
      </c>
      <c r="I80" s="3279">
        <v>1</v>
      </c>
      <c r="J80" s="401"/>
      <c r="K80" s="401"/>
      <c r="L80" s="3269" t="b">
        <v>1</v>
      </c>
      <c r="N80" s="158"/>
      <c r="O80" s="101"/>
      <c r="P80" s="52"/>
      <c r="Q80" s="101"/>
      <c r="R80" s="126"/>
      <c r="S80" s="101"/>
      <c r="T80" s="101"/>
      <c r="U80" s="39"/>
      <c r="W80" s="930" t="str">
        <f t="shared" si="15"/>
        <v>Budget</v>
      </c>
      <c r="X80" s="3292">
        <f t="shared" si="11"/>
        <v>1</v>
      </c>
      <c r="Y80" s="2631" t="str">
        <f t="shared" si="12"/>
        <v>Cash &amp; Equivalents</v>
      </c>
      <c r="Z80" s="3291" cm="1">
        <f t="array" ref="Z80">_xlfn.SWITCH(TRUE,$L80="",0,$L80=TRUE,1,$L80=FALSE,-1,)</f>
        <v>1</v>
      </c>
      <c r="AA80" s="200"/>
      <c r="AB80" s="2626" t="str">
        <f t="shared" si="13"/>
        <v>Cash &amp; Equivalents</v>
      </c>
      <c r="AC80" s="88"/>
      <c r="AD80" s="1669" t="e" cm="1">
        <f t="array" ca="1" aca="1" ref="AD80">_xlfn.LET(_xlpm.val,IF($F80="",val_blankRefText,_xldudf_CX_GET(CX_ENTITY,($F80),AD$11,AD$14,,(AD$60))),_xlpm.Res,IF(OR(_xlpm.val="",_xlpm.val="Error"),"",_xlpm.val),_xlpm.Res)</f>
        <v>#NAME?</v>
      </c>
      <c r="AE80" s="1669" t="e" cm="1">
        <f t="array" ca="1" aca="1" ref="AE80">_xlfn.LET(_xlpm.val,IF($F80="",val_blankRefText,_xldudf_CX_GET(CX_ENTITY,($F80),AE$11,AE$14,,(AE$60))),_xlpm.Res,IF(OR(_xlpm.val="",_xlpm.val="Error"),"",_xlpm.val),_xlpm.Res)</f>
        <v>#NAME?</v>
      </c>
      <c r="AF80" s="1669" t="e" cm="1">
        <f t="array" ca="1" aca="1" ref="AF80">_xlfn.LET(_xlpm.val,IF($F80="",val_blankRefText,_xldudf_CX_GET(CX_ENTITY,($F80),AF$11,AF$14,,(AF$60))),_xlpm.Res,IF(OR(_xlpm.val="",_xlpm.val="Error"),"",_xlpm.val),_xlpm.Res)</f>
        <v>#NAME?</v>
      </c>
      <c r="AG80" s="1669" t="e" cm="1">
        <f t="array" ca="1" aca="1" ref="AG80">_xlfn.LET(_xlpm.val,IF($F80="",val_blankRefText,_xldudf_CX_GET(CX_ENTITY,($F80),AG$11,AG$14,,(AG$60))),_xlpm.Res,IF(OR(_xlpm.val="",_xlpm.val="Error"),"",_xlpm.val),_xlpm.Res)</f>
        <v>#NAME?</v>
      </c>
      <c r="AH80" s="1669" t="e" cm="1">
        <f t="array" ca="1" aca="1" ref="AH80">_xlfn.LET(_xlpm.val,IF($F80="",val_blankRefText,_xldudf_CX_GET(CX_ENTITY,($F80),AH$11,AH$14,,(AH$60))),_xlpm.Res,IF(OR(_xlpm.val="",_xlpm.val="Error"),"",_xlpm.val),_xlpm.Res)</f>
        <v>#NAME?</v>
      </c>
      <c r="AI80" s="1669" t="e" cm="1">
        <f t="array" ca="1" aca="1" ref="AI80">_xlfn.LET(_xlpm.val,IF($F80="",val_blankRefText,_xldudf_CX_GET(CX_ENTITY,($F80),AI$11,AI$14,,(AI$60))),_xlpm.Res,IF(OR(_xlpm.val="",_xlpm.val="Error"),"",_xlpm.val),_xlpm.Res)</f>
        <v>#NAME?</v>
      </c>
      <c r="AJ80" s="1669" t="e" cm="1">
        <f t="array" ca="1" aca="1" ref="AJ80">_xlfn.LET(_xlpm.val,IF($F80="",val_blankRefText,_xldudf_CX_GET(CX_ENTITY,($F80),AJ$11,AJ$14,,(AJ$60))),_xlpm.Res,IF(OR(_xlpm.val="",_xlpm.val="Error"),"",_xlpm.val),_xlpm.Res)</f>
        <v>#NAME?</v>
      </c>
      <c r="AK80" s="1669" t="e" cm="1">
        <f t="array" ca="1" aca="1" ref="AK80">_xlfn.LET(_xlpm.val,IF($F80="",val_blankRefText,_xldudf_CX_GET(CX_ENTITY,($F80),AK$11,AK$14,,(AK$60))),_xlpm.Res,IF(OR(_xlpm.val="",_xlpm.val="Error"),"",_xlpm.val),_xlpm.Res)</f>
        <v>#NAME?</v>
      </c>
      <c r="AL80" s="1669" t="e" cm="1">
        <f t="array" ca="1" aca="1" ref="AL80">_xlfn.LET(_xlpm.val,IF($F80="",val_blankRefText,_xldudf_CX_GET(CX_ENTITY,($F80),AL$11,AL$14,,(AL$60))),_xlpm.Res,IF(OR(_xlpm.val="",_xlpm.val="Error"),"",_xlpm.val),_xlpm.Res)</f>
        <v>#NAME?</v>
      </c>
      <c r="AM80" s="1669" t="e" cm="1">
        <f t="array" ca="1" aca="1" ref="AM80">_xlfn.LET(_xlpm.val,IF($F80="",val_blankRefText,_xldudf_CX_GET(CX_ENTITY,($F80),AM$11,AM$14,,(AM$60))),_xlpm.Res,IF(OR(_xlpm.val="",_xlpm.val="Error"),"",_xlpm.val),_xlpm.Res)</f>
        <v>#NAME?</v>
      </c>
      <c r="AN80" s="1669" t="e" cm="1">
        <f t="array" ca="1" aca="1" ref="AN80">_xlfn.LET(_xlpm.val,IF($F80="",val_blankRefText,_xldudf_CX_GET(CX_ENTITY,($F80),AN$11,AN$14,,(AN$60))),_xlpm.Res,IF(OR(_xlpm.val="",_xlpm.val="Error"),"",_xlpm.val),_xlpm.Res)</f>
        <v>#NAME?</v>
      </c>
      <c r="AO80" s="1669" t="e" cm="1">
        <f t="array" ca="1" aca="1" ref="AO80">_xlfn.LET(_xlpm.val,IF($F80="",val_blankRefText,_xldudf_CX_GET(CX_ENTITY,($F80),AO$11,AO$14,,(AO$60))),_xlpm.Res,IF(OR(_xlpm.val="",_xlpm.val="Error"),"",_xlpm.val),_xlpm.Res)</f>
        <v>#NAME?</v>
      </c>
      <c r="AP80" s="1669" t="e" cm="1">
        <f t="array" ca="1" aca="1" ref="AP80">_xlfn.LET(_xlpm.val,IF($F80="",val_blankRefText,_xldudf_CX_GET(CX_ENTITY,($F80),AP$11,AP$14,,(AP$60))),_xlpm.Res,IF(OR(_xlpm.val="",_xlpm.val="Error"),"",_xlpm.val),_xlpm.Res)</f>
        <v>#NAME?</v>
      </c>
      <c r="AQ80" s="1669" t="e" cm="1">
        <f t="array" ca="1" aca="1" ref="AQ80">_xlfn.LET(_xlpm.val,IF($F80="",val_blankRefText,_xldudf_CX_GET(CX_ENTITY,($F80),AQ$11,AQ$14,,(AQ$60))),_xlpm.Res,IF(OR(_xlpm.val="",_xlpm.val="Error"),"",_xlpm.val),_xlpm.Res)</f>
        <v>#NAME?</v>
      </c>
      <c r="AR80" s="1669" t="e" cm="1">
        <f t="array" ca="1" aca="1" ref="AR80">_xlfn.LET(_xlpm.val,IF($F80="",val_blankRefText,_xldudf_CX_GET(CX_ENTITY,($F80),AR$11,AR$14,,(AR$60))),_xlpm.Res,IF(OR(_xlpm.val="",_xlpm.val="Error"),"",_xlpm.val),_xlpm.Res)</f>
        <v>#NAME?</v>
      </c>
      <c r="AS80" s="1669" t="e" cm="1">
        <f t="array" ca="1" aca="1" ref="AS80">_xlfn.LET(_xlpm.val,IF($F80="",val_blankRefText,_xldudf_CX_GET(CX_ENTITY,($F80),AS$11,AS$14,,(AS$60))),_xlpm.Res,IF(OR(_xlpm.val="",_xlpm.val="Error"),"",_xlpm.val),_xlpm.Res)</f>
        <v>#NAME?</v>
      </c>
      <c r="AT80" s="1669" t="e" cm="1">
        <f t="array" ca="1" aca="1" ref="AT80">_xlfn.LET(_xlpm.val,IF($F80="",val_blankRefText,_xldudf_CX_GET(CX_ENTITY,($F80),AT$11,AT$14,,(AT$60))),_xlpm.Res,IF(OR(_xlpm.val="",_xlpm.val="Error"),"",_xlpm.val),_xlpm.Res)</f>
        <v>#NAME?</v>
      </c>
      <c r="AU80" s="1669" t="e" cm="1">
        <f t="array" ca="1" aca="1" ref="AU80">_xlfn.LET(_xlpm.val,IF($F80="",val_blankRefText,_xldudf_CX_GET(CX_ENTITY,($F80),AU$11,AU$14,,(AU$60))),_xlpm.Res,IF(OR(_xlpm.val="",_xlpm.val="Error"),"",_xlpm.val),_xlpm.Res)</f>
        <v>#NAME?</v>
      </c>
      <c r="AV80" s="1669" t="e" cm="1">
        <f t="array" ca="1" aca="1" ref="AV80">_xlfn.LET(_xlpm.val,IF($F80="",val_blankRefText,_xldudf_CX_GET(CX_ENTITY,($F80),AV$11,AV$14,,(AV$60))),_xlpm.Res,IF(OR(_xlpm.val="",_xlpm.val="Error"),"",_xlpm.val),_xlpm.Res)</f>
        <v>#NAME?</v>
      </c>
      <c r="AW80" s="1669" t="e" cm="1">
        <f t="array" ca="1" aca="1" ref="AW80">_xlfn.LET(_xlpm.val,IF($F80="",val_blankRefText,_xldudf_CX_GET(CX_ENTITY,($F80),AW$11,AW$14,,(AW$60))),_xlpm.Res,IF(OR(_xlpm.val="",_xlpm.val="Error"),"",_xlpm.val),_xlpm.Res)</f>
        <v>#NAME?</v>
      </c>
      <c r="AX80" s="1669" t="e" cm="1">
        <f t="array" ca="1" aca="1" ref="AX80">_xlfn.LET(_xlpm.val,IF($F80="",val_blankRefText,_xldudf_CX_GET(CX_ENTITY,($F80),AX$11,AX$14,,(AX$60))),_xlpm.Res,IF(OR(_xlpm.val="",_xlpm.val="Error"),"",_xlpm.val),_xlpm.Res)</f>
        <v>#NAME?</v>
      </c>
      <c r="AY80" s="1669" t="e" cm="1">
        <f t="array" ca="1" aca="1" ref="AY80">_xlfn.LET(_xlpm.val,IF($F80="",val_blankRefText,_xldudf_CX_GET(CX_ENTITY,($F80),AY$11,AY$14,,(AY$60))),_xlpm.Res,IF(OR(_xlpm.val="",_xlpm.val="Error"),"",_xlpm.val),_xlpm.Res)</f>
        <v>#NAME?</v>
      </c>
      <c r="AZ80" s="1669" t="e" cm="1">
        <f t="array" ca="1" aca="1" ref="AZ80">_xlfn.LET(_xlpm.val,IF($F80="",val_blankRefText,_xldudf_CX_GET(CX_ENTITY,($F80),AZ$11,AZ$14,,(AZ$60))),_xlpm.Res,IF(OR(_xlpm.val="",_xlpm.val="Error"),"",_xlpm.val),_xlpm.Res)</f>
        <v>#NAME?</v>
      </c>
      <c r="BA80" s="1669" t="e" cm="1">
        <f t="array" ca="1" aca="1" ref="BA80">_xlfn.LET(_xlpm.val,IF($F80="",val_blankRefText,_xldudf_CX_GET(CX_ENTITY,($F80),BA$11,BA$14,,(BA$60))),_xlpm.Res,IF(OR(_xlpm.val="",_xlpm.val="Error"),"",_xlpm.val),_xlpm.Res)</f>
        <v>#NAME?</v>
      </c>
      <c r="BB80" s="1669" t="e" cm="1">
        <f t="array" ca="1" aca="1" ref="BB80">_xlfn.LET(_xlpm.val,IF($F80="",val_blankRefText,_xldudf_CX_GET(CX_ENTITY,($F80),BB$11,BB$14,,(BB$60))),_xlpm.Res,IF(OR(_xlpm.val="",_xlpm.val="Error"),"",_xlpm.val),_xlpm.Res)</f>
        <v>#NAME?</v>
      </c>
      <c r="BC80" s="1669" t="e" cm="1">
        <f t="array" ca="1" aca="1" ref="BC80">_xlfn.LET(_xlpm.val,IF($F80="",val_blankRefText,_xldudf_CX_GET(CX_ENTITY,($F80),BC$11,BC$14,,(BC$60))),_xlpm.Res,IF(OR(_xlpm.val="",_xlpm.val="Error"),"",_xlpm.val),_xlpm.Res)</f>
        <v>#NAME?</v>
      </c>
      <c r="BD80" s="1669" t="e" cm="1">
        <f t="array" ca="1" aca="1" ref="BD80">_xlfn.LET(_xlpm.val,IF($F80="",val_blankRefText,_xldudf_CX_GET(CX_ENTITY,($F80),BD$11,BD$14,,(BD$60))),_xlpm.Res,IF(OR(_xlpm.val="",_xlpm.val="Error"),"",_xlpm.val),_xlpm.Res)</f>
        <v>#NAME?</v>
      </c>
      <c r="BE80" s="1669" t="e" cm="1">
        <f t="array" ca="1" aca="1" ref="BE80">_xlfn.LET(_xlpm.val,IF($F80="",val_blankRefText,_xldudf_CX_GET(CX_ENTITY,($F80),BE$11,BE$14,,(BE$60))),_xlpm.Res,IF(OR(_xlpm.val="",_xlpm.val="Error"),"",_xlpm.val),_xlpm.Res)</f>
        <v>#NAME?</v>
      </c>
      <c r="BF80" s="1669" t="e" cm="1">
        <f t="array" ca="1" aca="1" ref="BF80">_xlfn.LET(_xlpm.val,IF($F80="",val_blankRefText,_xldudf_CX_GET(CX_ENTITY,($F80),BF$11,BF$14,,(BF$60))),_xlpm.Res,IF(OR(_xlpm.val="",_xlpm.val="Error"),"",_xlpm.val),_xlpm.Res)</f>
        <v>#NAME?</v>
      </c>
      <c r="BG80" s="1669" t="e" cm="1">
        <f t="array" ca="1" aca="1" ref="BG80">_xlfn.LET(_xlpm.val,IF($F80="",val_blankRefText,_xldudf_CX_GET(CX_ENTITY,($F80),BG$11,BG$14,,(BG$60))),_xlpm.Res,IF(OR(_xlpm.val="",_xlpm.val="Error"),"",_xlpm.val),_xlpm.Res)</f>
        <v>#NAME?</v>
      </c>
      <c r="BH80" s="1669" t="e" cm="1">
        <f t="array" ca="1" aca="1" ref="BH80">_xlfn.LET(_xlpm.val,IF($F80="",val_blankRefText,_xldudf_CX_GET(CX_ENTITY,($F80),BH$11,BH$14,,(BH$60))),_xlpm.Res,IF(OR(_xlpm.val="",_xlpm.val="Error"),"",_xlpm.val),_xlpm.Res)</f>
        <v>#NAME?</v>
      </c>
      <c r="BI80" s="1669" t="e" cm="1">
        <f t="array" ca="1" aca="1" ref="BI80">_xlfn.LET(_xlpm.val,IF($F80="",val_blankRefText,_xldudf_CX_GET(CX_ENTITY,($F80),BI$11,BI$14,,(BI$60))),_xlpm.Res,IF(OR(_xlpm.val="",_xlpm.val="Error"),"",_xlpm.val),_xlpm.Res)</f>
        <v>#NAME?</v>
      </c>
      <c r="BJ80" s="1669" t="e" cm="1">
        <f t="array" ca="1" aca="1" ref="BJ80">_xlfn.LET(_xlpm.val,IF($F80="",val_blankRefText,_xldudf_CX_GET(CX_ENTITY,($F80),BJ$11,BJ$14,,(BJ$60))),_xlpm.Res,IF(OR(_xlpm.val="",_xlpm.val="Error"),"",_xlpm.val),_xlpm.Res)</f>
        <v>#NAME?</v>
      </c>
      <c r="BK80" s="1669" t="e" cm="1">
        <f t="array" ca="1" aca="1" ref="BK80">_xlfn.LET(_xlpm.val,IF($F80="",val_blankRefText,_xldudf_CX_GET(CX_ENTITY,($F80),BK$11,BK$14,,(BK$60))),_xlpm.Res,IF(OR(_xlpm.val="",_xlpm.val="Error"),"",_xlpm.val),_xlpm.Res)</f>
        <v>#NAME?</v>
      </c>
      <c r="BL80" s="1669" t="e" cm="1">
        <f t="array" ca="1" aca="1" ref="BL80">_xlfn.LET(_xlpm.val,IF($F80="",val_blankRefText,_xldudf_CX_GET(CX_ENTITY,($F80),BL$11,BL$14,,(BL$60))),_xlpm.Res,IF(OR(_xlpm.val="",_xlpm.val="Error"),"",_xlpm.val),_xlpm.Res)</f>
        <v>#NAME?</v>
      </c>
      <c r="BM80" s="1669" t="e" cm="1">
        <f t="array" ca="1" aca="1" ref="BM80">_xlfn.LET(_xlpm.val,IF($F80="",val_blankRefText,_xldudf_CX_GET(CX_ENTITY,($F80),BM$11,BM$14,,(BM$60))),_xlpm.Res,IF(OR(_xlpm.val="",_xlpm.val="Error"),"",_xlpm.val),_xlpm.Res)</f>
        <v>#NAME?</v>
      </c>
      <c r="BN80" s="1669" t="e" cm="1">
        <f t="array" ca="1" aca="1" ref="BN80">_xlfn.LET(_xlpm.val,IF($F80="",val_blankRefText,_xldudf_CX_GET(CX_ENTITY,($F80),BN$11,BN$14,,(BN$60))),_xlpm.Res,IF(OR(_xlpm.val="",_xlpm.val="Error"),"",_xlpm.val),_xlpm.Res)</f>
        <v>#NAME?</v>
      </c>
      <c r="BO80" s="2095"/>
      <c r="BP80" s="2095"/>
      <c r="BQ80" s="2095"/>
      <c r="BR80" s="2095"/>
      <c r="BS80" s="2095"/>
      <c r="BT80" s="2095"/>
      <c r="BU80" s="2095"/>
      <c r="BV80" s="2095"/>
      <c r="BW80" s="2095"/>
      <c r="BX80" s="2095"/>
      <c r="BY80" s="2095"/>
      <c r="BZ80" s="2095"/>
      <c r="CA80" s="926"/>
      <c r="CB80" s="921"/>
      <c r="CC80" s="927"/>
      <c r="CD80" s="920" t="e" cm="1">
        <f t="array" ca="1" aca="1" ref="CD80">_xlfn.XLOOKUP(BS!CD$11,array_timeline,BS!$AD80:$BN80)</f>
        <v>#NAME?</v>
      </c>
      <c r="CE80" s="920" t="e" cm="1">
        <f t="array" ca="1" aca="1" ref="CE80">_xlfn.XLOOKUP(BS!CE$11,array_timeline,BS!$AD80:$BN80)</f>
        <v>#NAME?</v>
      </c>
      <c r="CF80" s="925"/>
      <c r="CG80" s="920" t="e">
        <f ca="1" t="shared" si="33" ref="CG80:CH80">CG39</f>
        <v>#NAME?</v>
      </c>
      <c r="CH80" s="920" t="e">
        <f t="shared" ca="1" si="33"/>
        <v>#NAME?</v>
      </c>
      <c r="CI80" s="200"/>
    </row>
    <row r="81" spans="1:87" ht="21" customHeight="1">
      <c r="A81" s="696" t="s">
        <v>1764</v>
      </c>
      <c r="B81" s="577" t="str">
        <f t="shared" si="10"/>
        <v>Net External Debt</v>
      </c>
      <c r="C81" s="577" t="str">
        <f t="shared" si="10"/>
        <v>Net External Debt (Company View)</v>
      </c>
      <c r="D81" s="577"/>
      <c r="E81" s="577" t="e" cm="1">
        <f t="array" ca="1" aca="1" ref="E81">_xlfn.LET(_xlpm.Attr,$C81,_xlpm.Lookback,$E$16,_xlpm.QueryDate,EOMONTH(val_asOfDate,_xlpm.Lookback),_xlpm.ReadField,_xldudf_CX_GET(CX_ENTITY,fx_attrConverter($C81),_xlpm.QueryDate),_xlpm.AttrBlank,_xlpm.Attr="",_xlpm.RESULT,IF(_xlpm.AttrBlank,val_blankRefText,fx_attrConverter(_xlpm.ReadField,0)),IF(_xlpm.RESULT="Error","",_xlpm.RESULT))</f>
        <v>#NAME?</v>
      </c>
      <c r="F81" s="577" t="str">
        <f t="shared" si="9"/>
        <v>Net External Debt</v>
      </c>
      <c r="G81" s="574"/>
      <c r="H81" s="3279">
        <v>2</v>
      </c>
      <c r="I81" s="3279">
        <v>1</v>
      </c>
      <c r="J81" s="401"/>
      <c r="K81" s="401"/>
      <c r="L81" s="579">
        <v>-1</v>
      </c>
      <c r="N81" s="158"/>
      <c r="O81" s="101"/>
      <c r="P81" s="52"/>
      <c r="Q81" s="101"/>
      <c r="R81" s="101"/>
      <c r="S81" s="101"/>
      <c r="T81" s="101"/>
      <c r="U81" s="39"/>
      <c r="W81" s="1291" t="str">
        <f t="shared" si="15"/>
        <v>Budget</v>
      </c>
      <c r="X81" s="1294">
        <f t="shared" si="11"/>
        <v>0</v>
      </c>
      <c r="Y81" s="2631" t="str">
        <f t="shared" si="12"/>
        <v>Net External Debt</v>
      </c>
      <c r="Z81" s="198" cm="1">
        <f t="array" ref="Z81">_xlfn.SWITCH(TRUE,$L81="",0,$L81=TRUE,1,$L81=FALSE,-1,)</f>
        <v>0</v>
      </c>
      <c r="AA81" s="924"/>
      <c r="AB81" s="2626" t="str">
        <f t="shared" si="13"/>
        <v>Net External Debt</v>
      </c>
      <c r="AC81" s="88"/>
      <c r="AD81" s="1669" t="e" cm="1">
        <f t="array" ca="1" aca="1" ref="AD81">_xlfn.LET(_xlpm.val,IF($F81="",val_blankRefText,_xldudf_CX_GET(CX_ENTITY,($F81),AD$11,AD$14,,(AD$60))),_xlpm.Res,IF(OR(_xlpm.val="",_xlpm.val="Error"),"",_xlpm.val),_xlpm.Res)</f>
        <v>#NAME?</v>
      </c>
      <c r="AE81" s="1669" t="e" cm="1">
        <f t="array" ca="1" aca="1" ref="AE81">_xlfn.LET(_xlpm.val,IF($F81="",val_blankRefText,_xldudf_CX_GET(CX_ENTITY,($F81),AE$11,AE$14,,(AE$60))),_xlpm.Res,IF(OR(_xlpm.val="",_xlpm.val="Error"),"",_xlpm.val),_xlpm.Res)</f>
        <v>#NAME?</v>
      </c>
      <c r="AF81" s="1669" t="e" cm="1">
        <f t="array" ca="1" aca="1" ref="AF81">_xlfn.LET(_xlpm.val,IF($F81="",val_blankRefText,_xldudf_CX_GET(CX_ENTITY,($F81),AF$11,AF$14,,(AF$60))),_xlpm.Res,IF(OR(_xlpm.val="",_xlpm.val="Error"),"",_xlpm.val),_xlpm.Res)</f>
        <v>#NAME?</v>
      </c>
      <c r="AG81" s="1669" t="e" cm="1">
        <f t="array" ca="1" aca="1" ref="AG81">_xlfn.LET(_xlpm.val,IF($F81="",val_blankRefText,_xldudf_CX_GET(CX_ENTITY,($F81),AG$11,AG$14,,(AG$60))),_xlpm.Res,IF(OR(_xlpm.val="",_xlpm.val="Error"),"",_xlpm.val),_xlpm.Res)</f>
        <v>#NAME?</v>
      </c>
      <c r="AH81" s="1669" t="e" cm="1">
        <f t="array" ca="1" aca="1" ref="AH81">_xlfn.LET(_xlpm.val,IF($F81="",val_blankRefText,_xldudf_CX_GET(CX_ENTITY,($F81),AH$11,AH$14,,(AH$60))),_xlpm.Res,IF(OR(_xlpm.val="",_xlpm.val="Error"),"",_xlpm.val),_xlpm.Res)</f>
        <v>#NAME?</v>
      </c>
      <c r="AI81" s="1669" t="e" cm="1">
        <f t="array" ca="1" aca="1" ref="AI81">_xlfn.LET(_xlpm.val,IF($F81="",val_blankRefText,_xldudf_CX_GET(CX_ENTITY,($F81),AI$11,AI$14,,(AI$60))),_xlpm.Res,IF(OR(_xlpm.val="",_xlpm.val="Error"),"",_xlpm.val),_xlpm.Res)</f>
        <v>#NAME?</v>
      </c>
      <c r="AJ81" s="1669" t="e" cm="1">
        <f t="array" ca="1" aca="1" ref="AJ81">_xlfn.LET(_xlpm.val,IF($F81="",val_blankRefText,_xldudf_CX_GET(CX_ENTITY,($F81),AJ$11,AJ$14,,(AJ$60))),_xlpm.Res,IF(OR(_xlpm.val="",_xlpm.val="Error"),"",_xlpm.val),_xlpm.Res)</f>
        <v>#NAME?</v>
      </c>
      <c r="AK81" s="1669" t="e" cm="1">
        <f t="array" ca="1" aca="1" ref="AK81">_xlfn.LET(_xlpm.val,IF($F81="",val_blankRefText,_xldudf_CX_GET(CX_ENTITY,($F81),AK$11,AK$14,,(AK$60))),_xlpm.Res,IF(OR(_xlpm.val="",_xlpm.val="Error"),"",_xlpm.val),_xlpm.Res)</f>
        <v>#NAME?</v>
      </c>
      <c r="AL81" s="1669" t="e" cm="1">
        <f t="array" ca="1" aca="1" ref="AL81">_xlfn.LET(_xlpm.val,IF($F81="",val_blankRefText,_xldudf_CX_GET(CX_ENTITY,($F81),AL$11,AL$14,,(AL$60))),_xlpm.Res,IF(OR(_xlpm.val="",_xlpm.val="Error"),"",_xlpm.val),_xlpm.Res)</f>
        <v>#NAME?</v>
      </c>
      <c r="AM81" s="1669" t="e" cm="1">
        <f t="array" ca="1" aca="1" ref="AM81">_xlfn.LET(_xlpm.val,IF($F81="",val_blankRefText,_xldudf_CX_GET(CX_ENTITY,($F81),AM$11,AM$14,,(AM$60))),_xlpm.Res,IF(OR(_xlpm.val="",_xlpm.val="Error"),"",_xlpm.val),_xlpm.Res)</f>
        <v>#NAME?</v>
      </c>
      <c r="AN81" s="1669" t="e" cm="1">
        <f t="array" ca="1" aca="1" ref="AN81">_xlfn.LET(_xlpm.val,IF($F81="",val_blankRefText,_xldudf_CX_GET(CX_ENTITY,($F81),AN$11,AN$14,,(AN$60))),_xlpm.Res,IF(OR(_xlpm.val="",_xlpm.val="Error"),"",_xlpm.val),_xlpm.Res)</f>
        <v>#NAME?</v>
      </c>
      <c r="AO81" s="1669" t="e" cm="1">
        <f t="array" ca="1" aca="1" ref="AO81">_xlfn.LET(_xlpm.val,IF($F81="",val_blankRefText,_xldudf_CX_GET(CX_ENTITY,($F81),AO$11,AO$14,,(AO$60))),_xlpm.Res,IF(OR(_xlpm.val="",_xlpm.val="Error"),"",_xlpm.val),_xlpm.Res)</f>
        <v>#NAME?</v>
      </c>
      <c r="AP81" s="1669" t="e" cm="1">
        <f t="array" ca="1" aca="1" ref="AP81">_xlfn.LET(_xlpm.val,IF($F81="",val_blankRefText,_xldudf_CX_GET(CX_ENTITY,($F81),AP$11,AP$14,,(AP$60))),_xlpm.Res,IF(OR(_xlpm.val="",_xlpm.val="Error"),"",_xlpm.val),_xlpm.Res)</f>
        <v>#NAME?</v>
      </c>
      <c r="AQ81" s="1669" t="e" cm="1">
        <f t="array" ca="1" aca="1" ref="AQ81">_xlfn.LET(_xlpm.val,IF($F81="",val_blankRefText,_xldudf_CX_GET(CX_ENTITY,($F81),AQ$11,AQ$14,,(AQ$60))),_xlpm.Res,IF(OR(_xlpm.val="",_xlpm.val="Error"),"",_xlpm.val),_xlpm.Res)</f>
        <v>#NAME?</v>
      </c>
      <c r="AR81" s="1669" t="e" cm="1">
        <f t="array" ca="1" aca="1" ref="AR81">_xlfn.LET(_xlpm.val,IF($F81="",val_blankRefText,_xldudf_CX_GET(CX_ENTITY,($F81),AR$11,AR$14,,(AR$60))),_xlpm.Res,IF(OR(_xlpm.val="",_xlpm.val="Error"),"",_xlpm.val),_xlpm.Res)</f>
        <v>#NAME?</v>
      </c>
      <c r="AS81" s="1669" t="e" cm="1">
        <f t="array" ca="1" aca="1" ref="AS81">_xlfn.LET(_xlpm.val,IF($F81="",val_blankRefText,_xldudf_CX_GET(CX_ENTITY,($F81),AS$11,AS$14,,(AS$60))),_xlpm.Res,IF(OR(_xlpm.val="",_xlpm.val="Error"),"",_xlpm.val),_xlpm.Res)</f>
        <v>#NAME?</v>
      </c>
      <c r="AT81" s="1669" t="e" cm="1">
        <f t="array" ca="1" aca="1" ref="AT81">_xlfn.LET(_xlpm.val,IF($F81="",val_blankRefText,_xldudf_CX_GET(CX_ENTITY,($F81),AT$11,AT$14,,(AT$60))),_xlpm.Res,IF(OR(_xlpm.val="",_xlpm.val="Error"),"",_xlpm.val),_xlpm.Res)</f>
        <v>#NAME?</v>
      </c>
      <c r="AU81" s="1669" t="e" cm="1">
        <f t="array" ca="1" aca="1" ref="AU81">_xlfn.LET(_xlpm.val,IF($F81="",val_blankRefText,_xldudf_CX_GET(CX_ENTITY,($F81),AU$11,AU$14,,(AU$60))),_xlpm.Res,IF(OR(_xlpm.val="",_xlpm.val="Error"),"",_xlpm.val),_xlpm.Res)</f>
        <v>#NAME?</v>
      </c>
      <c r="AV81" s="1669" t="e" cm="1">
        <f t="array" ca="1" aca="1" ref="AV81">_xlfn.LET(_xlpm.val,IF($F81="",val_blankRefText,_xldudf_CX_GET(CX_ENTITY,($F81),AV$11,AV$14,,(AV$60))),_xlpm.Res,IF(OR(_xlpm.val="",_xlpm.val="Error"),"",_xlpm.val),_xlpm.Res)</f>
        <v>#NAME?</v>
      </c>
      <c r="AW81" s="1669" t="e" cm="1">
        <f t="array" ca="1" aca="1" ref="AW81">_xlfn.LET(_xlpm.val,IF($F81="",val_blankRefText,_xldudf_CX_GET(CX_ENTITY,($F81),AW$11,AW$14,,(AW$60))),_xlpm.Res,IF(OR(_xlpm.val="",_xlpm.val="Error"),"",_xlpm.val),_xlpm.Res)</f>
        <v>#NAME?</v>
      </c>
      <c r="AX81" s="1669" t="e" cm="1">
        <f t="array" ca="1" aca="1" ref="AX81">_xlfn.LET(_xlpm.val,IF($F81="",val_blankRefText,_xldudf_CX_GET(CX_ENTITY,($F81),AX$11,AX$14,,(AX$60))),_xlpm.Res,IF(OR(_xlpm.val="",_xlpm.val="Error"),"",_xlpm.val),_xlpm.Res)</f>
        <v>#NAME?</v>
      </c>
      <c r="AY81" s="1669" t="e" cm="1">
        <f t="array" ca="1" aca="1" ref="AY81">_xlfn.LET(_xlpm.val,IF($F81="",val_blankRefText,_xldudf_CX_GET(CX_ENTITY,($F81),AY$11,AY$14,,(AY$60))),_xlpm.Res,IF(OR(_xlpm.val="",_xlpm.val="Error"),"",_xlpm.val),_xlpm.Res)</f>
        <v>#NAME?</v>
      </c>
      <c r="AZ81" s="1669" t="e" cm="1">
        <f t="array" ca="1" aca="1" ref="AZ81">_xlfn.LET(_xlpm.val,IF($F81="",val_blankRefText,_xldudf_CX_GET(CX_ENTITY,($F81),AZ$11,AZ$14,,(AZ$60))),_xlpm.Res,IF(OR(_xlpm.val="",_xlpm.val="Error"),"",_xlpm.val),_xlpm.Res)</f>
        <v>#NAME?</v>
      </c>
      <c r="BA81" s="1669" t="e" cm="1">
        <f t="array" ca="1" aca="1" ref="BA81">_xlfn.LET(_xlpm.val,IF($F81="",val_blankRefText,_xldudf_CX_GET(CX_ENTITY,($F81),BA$11,BA$14,,(BA$60))),_xlpm.Res,IF(OR(_xlpm.val="",_xlpm.val="Error"),"",_xlpm.val),_xlpm.Res)</f>
        <v>#NAME?</v>
      </c>
      <c r="BB81" s="1669" t="e" cm="1">
        <f t="array" ca="1" aca="1" ref="BB81">_xlfn.LET(_xlpm.val,IF($F81="",val_blankRefText,_xldudf_CX_GET(CX_ENTITY,($F81),BB$11,BB$14,,(BB$60))),_xlpm.Res,IF(OR(_xlpm.val="",_xlpm.val="Error"),"",_xlpm.val),_xlpm.Res)</f>
        <v>#NAME?</v>
      </c>
      <c r="BC81" s="1669" t="e" cm="1">
        <f t="array" ca="1" aca="1" ref="BC81">_xlfn.LET(_xlpm.val,IF($F81="",val_blankRefText,_xldudf_CX_GET(CX_ENTITY,($F81),BC$11,BC$14,,(BC$60))),_xlpm.Res,IF(OR(_xlpm.val="",_xlpm.val="Error"),"",_xlpm.val),_xlpm.Res)</f>
        <v>#NAME?</v>
      </c>
      <c r="BD81" s="1669" t="e" cm="1">
        <f t="array" ca="1" aca="1" ref="BD81">_xlfn.LET(_xlpm.val,IF($F81="",val_blankRefText,_xldudf_CX_GET(CX_ENTITY,($F81),BD$11,BD$14,,(BD$60))),_xlpm.Res,IF(OR(_xlpm.val="",_xlpm.val="Error"),"",_xlpm.val),_xlpm.Res)</f>
        <v>#NAME?</v>
      </c>
      <c r="BE81" s="1669" t="e" cm="1">
        <f t="array" ca="1" aca="1" ref="BE81">_xlfn.LET(_xlpm.val,IF($F81="",val_blankRefText,_xldudf_CX_GET(CX_ENTITY,($F81),BE$11,BE$14,,(BE$60))),_xlpm.Res,IF(OR(_xlpm.val="",_xlpm.val="Error"),"",_xlpm.val),_xlpm.Res)</f>
        <v>#NAME?</v>
      </c>
      <c r="BF81" s="1669" t="e" cm="1">
        <f t="array" ca="1" aca="1" ref="BF81">_xlfn.LET(_xlpm.val,IF($F81="",val_blankRefText,_xldudf_CX_GET(CX_ENTITY,($F81),BF$11,BF$14,,(BF$60))),_xlpm.Res,IF(OR(_xlpm.val="",_xlpm.val="Error"),"",_xlpm.val),_xlpm.Res)</f>
        <v>#NAME?</v>
      </c>
      <c r="BG81" s="1669" t="e" cm="1">
        <f t="array" ca="1" aca="1" ref="BG81">_xlfn.LET(_xlpm.val,IF($F81="",val_blankRefText,_xldudf_CX_GET(CX_ENTITY,($F81),BG$11,BG$14,,(BG$60))),_xlpm.Res,IF(OR(_xlpm.val="",_xlpm.val="Error"),"",_xlpm.val),_xlpm.Res)</f>
        <v>#NAME?</v>
      </c>
      <c r="BH81" s="1669" t="e" cm="1">
        <f t="array" ca="1" aca="1" ref="BH81">_xlfn.LET(_xlpm.val,IF($F81="",val_blankRefText,_xldudf_CX_GET(CX_ENTITY,($F81),BH$11,BH$14,,(BH$60))),_xlpm.Res,IF(OR(_xlpm.val="",_xlpm.val="Error"),"",_xlpm.val),_xlpm.Res)</f>
        <v>#NAME?</v>
      </c>
      <c r="BI81" s="1669" t="e" cm="1">
        <f t="array" ca="1" aca="1" ref="BI81">_xlfn.LET(_xlpm.val,IF($F81="",val_blankRefText,_xldudf_CX_GET(CX_ENTITY,($F81),BI$11,BI$14,,(BI$60))),_xlpm.Res,IF(OR(_xlpm.val="",_xlpm.val="Error"),"",_xlpm.val),_xlpm.Res)</f>
        <v>#NAME?</v>
      </c>
      <c r="BJ81" s="1669" t="e" cm="1">
        <f t="array" ca="1" aca="1" ref="BJ81">_xlfn.LET(_xlpm.val,IF($F81="",val_blankRefText,_xldudf_CX_GET(CX_ENTITY,($F81),BJ$11,BJ$14,,(BJ$60))),_xlpm.Res,IF(OR(_xlpm.val="",_xlpm.val="Error"),"",_xlpm.val),_xlpm.Res)</f>
        <v>#NAME?</v>
      </c>
      <c r="BK81" s="1669" t="e" cm="1">
        <f t="array" ca="1" aca="1" ref="BK81">_xlfn.LET(_xlpm.val,IF($F81="",val_blankRefText,_xldudf_CX_GET(CX_ENTITY,($F81),BK$11,BK$14,,(BK$60))),_xlpm.Res,IF(OR(_xlpm.val="",_xlpm.val="Error"),"",_xlpm.val),_xlpm.Res)</f>
        <v>#NAME?</v>
      </c>
      <c r="BL81" s="1669" t="e" cm="1">
        <f t="array" ca="1" aca="1" ref="BL81">_xlfn.LET(_xlpm.val,IF($F81="",val_blankRefText,_xldudf_CX_GET(CX_ENTITY,($F81),BL$11,BL$14,,(BL$60))),_xlpm.Res,IF(OR(_xlpm.val="",_xlpm.val="Error"),"",_xlpm.val),_xlpm.Res)</f>
        <v>#NAME?</v>
      </c>
      <c r="BM81" s="1669" t="e" cm="1">
        <f t="array" ca="1" aca="1" ref="BM81">_xlfn.LET(_xlpm.val,IF($F81="",val_blankRefText,_xldudf_CX_GET(CX_ENTITY,($F81),BM$11,BM$14,,(BM$60))),_xlpm.Res,IF(OR(_xlpm.val="",_xlpm.val="Error"),"",_xlpm.val),_xlpm.Res)</f>
        <v>#NAME?</v>
      </c>
      <c r="BN81" s="1669" t="e" cm="1">
        <f t="array" ca="1" aca="1" ref="BN81">_xlfn.LET(_xlpm.val,IF($F81="",val_blankRefText,_xldudf_CX_GET(CX_ENTITY,($F81),BN$11,BN$14,,(BN$60))),_xlpm.Res,IF(OR(_xlpm.val="",_xlpm.val="Error"),"",_xlpm.val),_xlpm.Res)</f>
        <v>#NAME?</v>
      </c>
      <c r="BO81" s="2095"/>
      <c r="BP81" s="2095"/>
      <c r="BQ81" s="2095"/>
      <c r="BR81" s="2095"/>
      <c r="BS81" s="2095"/>
      <c r="BT81" s="2095"/>
      <c r="BU81" s="2095"/>
      <c r="BV81" s="2095"/>
      <c r="BW81" s="2095"/>
      <c r="BX81" s="2095"/>
      <c r="BY81" s="2095"/>
      <c r="BZ81" s="2095"/>
      <c r="CA81" s="926"/>
      <c r="CB81" s="921"/>
      <c r="CC81" s="927"/>
      <c r="CD81" s="919" t="e" cm="1">
        <f t="array" ca="1" aca="1" ref="CD81">_xlfn.XLOOKUP(BS!CD$11,array_timeline,BS!$AD81:$BN81)</f>
        <v>#NAME?</v>
      </c>
      <c r="CE81" s="919" t="e" cm="1">
        <f t="array" ca="1" aca="1" ref="CE81">_xlfn.XLOOKUP(BS!CE$11,array_timeline,BS!$AD81:$BN81)</f>
        <v>#NAME?</v>
      </c>
      <c r="CF81" s="925"/>
      <c r="CG81" s="928" t="e">
        <f ca="1" t="shared" si="34" ref="CG81:CH81">CG40</f>
        <v>#NAME?</v>
      </c>
      <c r="CH81" s="928" t="e">
        <f t="shared" ca="1" si="34"/>
        <v>#NAME?</v>
      </c>
      <c r="CI81" s="924"/>
    </row>
    <row r="82" spans="1:87" ht="21" customHeight="1">
      <c r="A82" s="696" t="s">
        <v>1765</v>
      </c>
      <c r="B82" s="577" t="str">
        <f t="shared" si="10"/>
        <v>Pension Liabilities (on BS)</v>
      </c>
      <c r="C82" s="577" t="str">
        <f t="shared" si="10"/>
        <v>Pension Liabilities (on BS) (Company View)</v>
      </c>
      <c r="D82" s="577"/>
      <c r="E82" s="577" t="e" cm="1">
        <f t="array" ca="1" aca="1" ref="E82">_xlfn.LET(_xlpm.Attr,$C82,_xlpm.Lookback,$E$16,_xlpm.QueryDate,EOMONTH(val_asOfDate,_xlpm.Lookback),_xlpm.ReadField,_xldudf_CX_GET(CX_ENTITY,fx_attrConverter($C82),_xlpm.QueryDate),_xlpm.AttrBlank,_xlpm.Attr="",_xlpm.RESULT,IF(_xlpm.AttrBlank,val_blankRefText,fx_attrConverter(_xlpm.ReadField,0)),IF(_xlpm.RESULT="Error","",_xlpm.RESULT))</f>
        <v>#NAME?</v>
      </c>
      <c r="F82" s="577" t="str">
        <f t="shared" si="9"/>
        <v>Pension Liabilities (on BS)</v>
      </c>
      <c r="G82" s="574"/>
      <c r="H82" s="3279">
        <v>1</v>
      </c>
      <c r="I82" s="3279">
        <v>1</v>
      </c>
      <c r="J82" s="401"/>
      <c r="K82" s="401"/>
      <c r="L82" s="3269" t="b">
        <v>1</v>
      </c>
      <c r="N82" s="158"/>
      <c r="O82" s="101"/>
      <c r="P82" s="52"/>
      <c r="Q82" s="101"/>
      <c r="R82" s="126"/>
      <c r="S82" s="101"/>
      <c r="T82" s="101"/>
      <c r="U82" s="39"/>
      <c r="W82" s="930" t="str">
        <f t="shared" si="15"/>
        <v>Budget</v>
      </c>
      <c r="X82" s="857">
        <f t="shared" si="11"/>
        <v>-1</v>
      </c>
      <c r="Y82" s="2631" t="str">
        <f t="shared" si="12"/>
        <v>Pension Liabilities (on BS)</v>
      </c>
      <c r="Z82" s="3291" cm="1">
        <f t="array" ref="Z82">_xlfn.SWITCH(TRUE,$L82="",0,$L82=TRUE,1,$L82=FALSE,-1,)</f>
        <v>1</v>
      </c>
      <c r="AA82" s="200"/>
      <c r="AB82" s="2626" t="str">
        <f t="shared" si="13"/>
        <v>Pension Liabilities (on BS)</v>
      </c>
      <c r="AC82" s="88"/>
      <c r="AD82" s="1669" t="e" cm="1">
        <f t="array" ca="1" aca="1" ref="AD82">_xlfn.LET(_xlpm.val,IF($F82="",val_blankRefText,_xldudf_CX_GET(CX_ENTITY,($F82),AD$11,AD$14,,(AD$60))),_xlpm.Res,IF(OR(_xlpm.val="",_xlpm.val="Error"),"",_xlpm.val),_xlpm.Res)</f>
        <v>#NAME?</v>
      </c>
      <c r="AE82" s="1669" t="e" cm="1">
        <f t="array" ca="1" aca="1" ref="AE82">_xlfn.LET(_xlpm.val,IF($F82="",val_blankRefText,_xldudf_CX_GET(CX_ENTITY,($F82),AE$11,AE$14,,(AE$60))),_xlpm.Res,IF(OR(_xlpm.val="",_xlpm.val="Error"),"",_xlpm.val),_xlpm.Res)</f>
        <v>#NAME?</v>
      </c>
      <c r="AF82" s="1669" t="e" cm="1">
        <f t="array" ca="1" aca="1" ref="AF82">_xlfn.LET(_xlpm.val,IF($F82="",val_blankRefText,_xldudf_CX_GET(CX_ENTITY,($F82),AF$11,AF$14,,(AF$60))),_xlpm.Res,IF(OR(_xlpm.val="",_xlpm.val="Error"),"",_xlpm.val),_xlpm.Res)</f>
        <v>#NAME?</v>
      </c>
      <c r="AG82" s="1669" t="e" cm="1">
        <f t="array" ca="1" aca="1" ref="AG82">_xlfn.LET(_xlpm.val,IF($F82="",val_blankRefText,_xldudf_CX_GET(CX_ENTITY,($F82),AG$11,AG$14,,(AG$60))),_xlpm.Res,IF(OR(_xlpm.val="",_xlpm.val="Error"),"",_xlpm.val),_xlpm.Res)</f>
        <v>#NAME?</v>
      </c>
      <c r="AH82" s="1669" t="e" cm="1">
        <f t="array" ca="1" aca="1" ref="AH82">_xlfn.LET(_xlpm.val,IF($F82="",val_blankRefText,_xldudf_CX_GET(CX_ENTITY,($F82),AH$11,AH$14,,(AH$60))),_xlpm.Res,IF(OR(_xlpm.val="",_xlpm.val="Error"),"",_xlpm.val),_xlpm.Res)</f>
        <v>#NAME?</v>
      </c>
      <c r="AI82" s="1669" t="e" cm="1">
        <f t="array" ca="1" aca="1" ref="AI82">_xlfn.LET(_xlpm.val,IF($F82="",val_blankRefText,_xldudf_CX_GET(CX_ENTITY,($F82),AI$11,AI$14,,(AI$60))),_xlpm.Res,IF(OR(_xlpm.val="",_xlpm.val="Error"),"",_xlpm.val),_xlpm.Res)</f>
        <v>#NAME?</v>
      </c>
      <c r="AJ82" s="1669" t="e" cm="1">
        <f t="array" ca="1" aca="1" ref="AJ82">_xlfn.LET(_xlpm.val,IF($F82="",val_blankRefText,_xldudf_CX_GET(CX_ENTITY,($F82),AJ$11,AJ$14,,(AJ$60))),_xlpm.Res,IF(OR(_xlpm.val="",_xlpm.val="Error"),"",_xlpm.val),_xlpm.Res)</f>
        <v>#NAME?</v>
      </c>
      <c r="AK82" s="1669" t="e" cm="1">
        <f t="array" ca="1" aca="1" ref="AK82">_xlfn.LET(_xlpm.val,IF($F82="",val_blankRefText,_xldudf_CX_GET(CX_ENTITY,($F82),AK$11,AK$14,,(AK$60))),_xlpm.Res,IF(OR(_xlpm.val="",_xlpm.val="Error"),"",_xlpm.val),_xlpm.Res)</f>
        <v>#NAME?</v>
      </c>
      <c r="AL82" s="1669" t="e" cm="1">
        <f t="array" ca="1" aca="1" ref="AL82">_xlfn.LET(_xlpm.val,IF($F82="",val_blankRefText,_xldudf_CX_GET(CX_ENTITY,($F82),AL$11,AL$14,,(AL$60))),_xlpm.Res,IF(OR(_xlpm.val="",_xlpm.val="Error"),"",_xlpm.val),_xlpm.Res)</f>
        <v>#NAME?</v>
      </c>
      <c r="AM82" s="1669" t="e" cm="1">
        <f t="array" ca="1" aca="1" ref="AM82">_xlfn.LET(_xlpm.val,IF($F82="",val_blankRefText,_xldudf_CX_GET(CX_ENTITY,($F82),AM$11,AM$14,,(AM$60))),_xlpm.Res,IF(OR(_xlpm.val="",_xlpm.val="Error"),"",_xlpm.val),_xlpm.Res)</f>
        <v>#NAME?</v>
      </c>
      <c r="AN82" s="1669" t="e" cm="1">
        <f t="array" ca="1" aca="1" ref="AN82">_xlfn.LET(_xlpm.val,IF($F82="",val_blankRefText,_xldudf_CX_GET(CX_ENTITY,($F82),AN$11,AN$14,,(AN$60))),_xlpm.Res,IF(OR(_xlpm.val="",_xlpm.val="Error"),"",_xlpm.val),_xlpm.Res)</f>
        <v>#NAME?</v>
      </c>
      <c r="AO82" s="1669" t="e" cm="1">
        <f t="array" ca="1" aca="1" ref="AO82">_xlfn.LET(_xlpm.val,IF($F82="",val_blankRefText,_xldudf_CX_GET(CX_ENTITY,($F82),AO$11,AO$14,,(AO$60))),_xlpm.Res,IF(OR(_xlpm.val="",_xlpm.val="Error"),"",_xlpm.val),_xlpm.Res)</f>
        <v>#NAME?</v>
      </c>
      <c r="AP82" s="1669" t="e" cm="1">
        <f t="array" ca="1" aca="1" ref="AP82">_xlfn.LET(_xlpm.val,IF($F82="",val_blankRefText,_xldudf_CX_GET(CX_ENTITY,($F82),AP$11,AP$14,,(AP$60))),_xlpm.Res,IF(OR(_xlpm.val="",_xlpm.val="Error"),"",_xlpm.val),_xlpm.Res)</f>
        <v>#NAME?</v>
      </c>
      <c r="AQ82" s="1669" t="e" cm="1">
        <f t="array" ca="1" aca="1" ref="AQ82">_xlfn.LET(_xlpm.val,IF($F82="",val_blankRefText,_xldudf_CX_GET(CX_ENTITY,($F82),AQ$11,AQ$14,,(AQ$60))),_xlpm.Res,IF(OR(_xlpm.val="",_xlpm.val="Error"),"",_xlpm.val),_xlpm.Res)</f>
        <v>#NAME?</v>
      </c>
      <c r="AR82" s="1669" t="e" cm="1">
        <f t="array" ca="1" aca="1" ref="AR82">_xlfn.LET(_xlpm.val,IF($F82="",val_blankRefText,_xldudf_CX_GET(CX_ENTITY,($F82),AR$11,AR$14,,(AR$60))),_xlpm.Res,IF(OR(_xlpm.val="",_xlpm.val="Error"),"",_xlpm.val),_xlpm.Res)</f>
        <v>#NAME?</v>
      </c>
      <c r="AS82" s="1669" t="e" cm="1">
        <f t="array" ca="1" aca="1" ref="AS82">_xlfn.LET(_xlpm.val,IF($F82="",val_blankRefText,_xldudf_CX_GET(CX_ENTITY,($F82),AS$11,AS$14,,(AS$60))),_xlpm.Res,IF(OR(_xlpm.val="",_xlpm.val="Error"),"",_xlpm.val),_xlpm.Res)</f>
        <v>#NAME?</v>
      </c>
      <c r="AT82" s="1669" t="e" cm="1">
        <f t="array" ca="1" aca="1" ref="AT82">_xlfn.LET(_xlpm.val,IF($F82="",val_blankRefText,_xldudf_CX_GET(CX_ENTITY,($F82),AT$11,AT$14,,(AT$60))),_xlpm.Res,IF(OR(_xlpm.val="",_xlpm.val="Error"),"",_xlpm.val),_xlpm.Res)</f>
        <v>#NAME?</v>
      </c>
      <c r="AU82" s="1669" t="e" cm="1">
        <f t="array" ca="1" aca="1" ref="AU82">_xlfn.LET(_xlpm.val,IF($F82="",val_blankRefText,_xldudf_CX_GET(CX_ENTITY,($F82),AU$11,AU$14,,(AU$60))),_xlpm.Res,IF(OR(_xlpm.val="",_xlpm.val="Error"),"",_xlpm.val),_xlpm.Res)</f>
        <v>#NAME?</v>
      </c>
      <c r="AV82" s="1669" t="e" cm="1">
        <f t="array" ca="1" aca="1" ref="AV82">_xlfn.LET(_xlpm.val,IF($F82="",val_blankRefText,_xldudf_CX_GET(CX_ENTITY,($F82),AV$11,AV$14,,(AV$60))),_xlpm.Res,IF(OR(_xlpm.val="",_xlpm.val="Error"),"",_xlpm.val),_xlpm.Res)</f>
        <v>#NAME?</v>
      </c>
      <c r="AW82" s="1669" t="e" cm="1">
        <f t="array" ca="1" aca="1" ref="AW82">_xlfn.LET(_xlpm.val,IF($F82="",val_blankRefText,_xldudf_CX_GET(CX_ENTITY,($F82),AW$11,AW$14,,(AW$60))),_xlpm.Res,IF(OR(_xlpm.val="",_xlpm.val="Error"),"",_xlpm.val),_xlpm.Res)</f>
        <v>#NAME?</v>
      </c>
      <c r="AX82" s="1669" t="e" cm="1">
        <f t="array" ca="1" aca="1" ref="AX82">_xlfn.LET(_xlpm.val,IF($F82="",val_blankRefText,_xldudf_CX_GET(CX_ENTITY,($F82),AX$11,AX$14,,(AX$60))),_xlpm.Res,IF(OR(_xlpm.val="",_xlpm.val="Error"),"",_xlpm.val),_xlpm.Res)</f>
        <v>#NAME?</v>
      </c>
      <c r="AY82" s="1669" t="e" cm="1">
        <f t="array" ca="1" aca="1" ref="AY82">_xlfn.LET(_xlpm.val,IF($F82="",val_blankRefText,_xldudf_CX_GET(CX_ENTITY,($F82),AY$11,AY$14,,(AY$60))),_xlpm.Res,IF(OR(_xlpm.val="",_xlpm.val="Error"),"",_xlpm.val),_xlpm.Res)</f>
        <v>#NAME?</v>
      </c>
      <c r="AZ82" s="1669" t="e" cm="1">
        <f t="array" ca="1" aca="1" ref="AZ82">_xlfn.LET(_xlpm.val,IF($F82="",val_blankRefText,_xldudf_CX_GET(CX_ENTITY,($F82),AZ$11,AZ$14,,(AZ$60))),_xlpm.Res,IF(OR(_xlpm.val="",_xlpm.val="Error"),"",_xlpm.val),_xlpm.Res)</f>
        <v>#NAME?</v>
      </c>
      <c r="BA82" s="1669" t="e" cm="1">
        <f t="array" ca="1" aca="1" ref="BA82">_xlfn.LET(_xlpm.val,IF($F82="",val_blankRefText,_xldudf_CX_GET(CX_ENTITY,($F82),BA$11,BA$14,,(BA$60))),_xlpm.Res,IF(OR(_xlpm.val="",_xlpm.val="Error"),"",_xlpm.val),_xlpm.Res)</f>
        <v>#NAME?</v>
      </c>
      <c r="BB82" s="1669" t="e" cm="1">
        <f t="array" ca="1" aca="1" ref="BB82">_xlfn.LET(_xlpm.val,IF($F82="",val_blankRefText,_xldudf_CX_GET(CX_ENTITY,($F82),BB$11,BB$14,,(BB$60))),_xlpm.Res,IF(OR(_xlpm.val="",_xlpm.val="Error"),"",_xlpm.val),_xlpm.Res)</f>
        <v>#NAME?</v>
      </c>
      <c r="BC82" s="1669" t="e" cm="1">
        <f t="array" ca="1" aca="1" ref="BC82">_xlfn.LET(_xlpm.val,IF($F82="",val_blankRefText,_xldudf_CX_GET(CX_ENTITY,($F82),BC$11,BC$14,,(BC$60))),_xlpm.Res,IF(OR(_xlpm.val="",_xlpm.val="Error"),"",_xlpm.val),_xlpm.Res)</f>
        <v>#NAME?</v>
      </c>
      <c r="BD82" s="1669" t="e" cm="1">
        <f t="array" ca="1" aca="1" ref="BD82">_xlfn.LET(_xlpm.val,IF($F82="",val_blankRefText,_xldudf_CX_GET(CX_ENTITY,($F82),BD$11,BD$14,,(BD$60))),_xlpm.Res,IF(OR(_xlpm.val="",_xlpm.val="Error"),"",_xlpm.val),_xlpm.Res)</f>
        <v>#NAME?</v>
      </c>
      <c r="BE82" s="1669" t="e" cm="1">
        <f t="array" ca="1" aca="1" ref="BE82">_xlfn.LET(_xlpm.val,IF($F82="",val_blankRefText,_xldudf_CX_GET(CX_ENTITY,($F82),BE$11,BE$14,,(BE$60))),_xlpm.Res,IF(OR(_xlpm.val="",_xlpm.val="Error"),"",_xlpm.val),_xlpm.Res)</f>
        <v>#NAME?</v>
      </c>
      <c r="BF82" s="1669" t="e" cm="1">
        <f t="array" ca="1" aca="1" ref="BF82">_xlfn.LET(_xlpm.val,IF($F82="",val_blankRefText,_xldudf_CX_GET(CX_ENTITY,($F82),BF$11,BF$14,,(BF$60))),_xlpm.Res,IF(OR(_xlpm.val="",_xlpm.val="Error"),"",_xlpm.val),_xlpm.Res)</f>
        <v>#NAME?</v>
      </c>
      <c r="BG82" s="1669" t="e" cm="1">
        <f t="array" ca="1" aca="1" ref="BG82">_xlfn.LET(_xlpm.val,IF($F82="",val_blankRefText,_xldudf_CX_GET(CX_ENTITY,($F82),BG$11,BG$14,,(BG$60))),_xlpm.Res,IF(OR(_xlpm.val="",_xlpm.val="Error"),"",_xlpm.val),_xlpm.Res)</f>
        <v>#NAME?</v>
      </c>
      <c r="BH82" s="1669" t="e" cm="1">
        <f t="array" ca="1" aca="1" ref="BH82">_xlfn.LET(_xlpm.val,IF($F82="",val_blankRefText,_xldudf_CX_GET(CX_ENTITY,($F82),BH$11,BH$14,,(BH$60))),_xlpm.Res,IF(OR(_xlpm.val="",_xlpm.val="Error"),"",_xlpm.val),_xlpm.Res)</f>
        <v>#NAME?</v>
      </c>
      <c r="BI82" s="1669" t="e" cm="1">
        <f t="array" ca="1" aca="1" ref="BI82">_xlfn.LET(_xlpm.val,IF($F82="",val_blankRefText,_xldudf_CX_GET(CX_ENTITY,($F82),BI$11,BI$14,,(BI$60))),_xlpm.Res,IF(OR(_xlpm.val="",_xlpm.val="Error"),"",_xlpm.val),_xlpm.Res)</f>
        <v>#NAME?</v>
      </c>
      <c r="BJ82" s="1669" t="e" cm="1">
        <f t="array" ca="1" aca="1" ref="BJ82">_xlfn.LET(_xlpm.val,IF($F82="",val_blankRefText,_xldudf_CX_GET(CX_ENTITY,($F82),BJ$11,BJ$14,,(BJ$60))),_xlpm.Res,IF(OR(_xlpm.val="",_xlpm.val="Error"),"",_xlpm.val),_xlpm.Res)</f>
        <v>#NAME?</v>
      </c>
      <c r="BK82" s="1669" t="e" cm="1">
        <f t="array" ca="1" aca="1" ref="BK82">_xlfn.LET(_xlpm.val,IF($F82="",val_blankRefText,_xldudf_CX_GET(CX_ENTITY,($F82),BK$11,BK$14,,(BK$60))),_xlpm.Res,IF(OR(_xlpm.val="",_xlpm.val="Error"),"",_xlpm.val),_xlpm.Res)</f>
        <v>#NAME?</v>
      </c>
      <c r="BL82" s="1669" t="e" cm="1">
        <f t="array" ca="1" aca="1" ref="BL82">_xlfn.LET(_xlpm.val,IF($F82="",val_blankRefText,_xldudf_CX_GET(CX_ENTITY,($F82),BL$11,BL$14,,(BL$60))),_xlpm.Res,IF(OR(_xlpm.val="",_xlpm.val="Error"),"",_xlpm.val),_xlpm.Res)</f>
        <v>#NAME?</v>
      </c>
      <c r="BM82" s="1669" t="e" cm="1">
        <f t="array" ca="1" aca="1" ref="BM82">_xlfn.LET(_xlpm.val,IF($F82="",val_blankRefText,_xldudf_CX_GET(CX_ENTITY,($F82),BM$11,BM$14,,(BM$60))),_xlpm.Res,IF(OR(_xlpm.val="",_xlpm.val="Error"),"",_xlpm.val),_xlpm.Res)</f>
        <v>#NAME?</v>
      </c>
      <c r="BN82" s="1669" t="e" cm="1">
        <f t="array" ca="1" aca="1" ref="BN82">_xlfn.LET(_xlpm.val,IF($F82="",val_blankRefText,_xldudf_CX_GET(CX_ENTITY,($F82),BN$11,BN$14,,(BN$60))),_xlpm.Res,IF(OR(_xlpm.val="",_xlpm.val="Error"),"",_xlpm.val),_xlpm.Res)</f>
        <v>#NAME?</v>
      </c>
      <c r="BO82" s="2095"/>
      <c r="BP82" s="2095"/>
      <c r="BQ82" s="2095"/>
      <c r="BR82" s="2095"/>
      <c r="BS82" s="2095"/>
      <c r="BT82" s="2095"/>
      <c r="BU82" s="2095"/>
      <c r="BV82" s="2095"/>
      <c r="BW82" s="2095"/>
      <c r="BX82" s="2095"/>
      <c r="BY82" s="2095"/>
      <c r="BZ82" s="2095"/>
      <c r="CA82" s="926"/>
      <c r="CB82" s="921"/>
      <c r="CC82" s="927"/>
      <c r="CD82" s="920" t="e" cm="1">
        <f t="array" ca="1" aca="1" ref="CD82">_xlfn.XLOOKUP(BS!CD$11,array_timeline,BS!$AD82:$BN82)</f>
        <v>#NAME?</v>
      </c>
      <c r="CE82" s="920" t="e" cm="1">
        <f t="array" ca="1" aca="1" ref="CE82">_xlfn.XLOOKUP(BS!CE$11,array_timeline,BS!$AD82:$BN82)</f>
        <v>#NAME?</v>
      </c>
      <c r="CF82" s="925"/>
      <c r="CG82" s="920" t="e">
        <f ca="1" t="shared" si="35" ref="CG82:CH82">CG41</f>
        <v>#NAME?</v>
      </c>
      <c r="CH82" s="920" t="e">
        <f t="shared" ca="1" si="35"/>
        <v>#NAME?</v>
      </c>
      <c r="CI82" s="200"/>
    </row>
    <row r="83" spans="1:87" ht="21" customHeight="1">
      <c r="A83" s="693" t="s">
        <v>1766</v>
      </c>
      <c r="B83" s="577" t="str">
        <f t="shared" si="10"/>
        <v>IFRS-16 Lease Liabilities (on BS)</v>
      </c>
      <c r="C83" s="577" t="str">
        <f t="shared" si="10"/>
        <v>IFRS-16 Lease Liabilities (on BS) (Company View)</v>
      </c>
      <c r="D83" s="577"/>
      <c r="E83" s="577" t="e" cm="1">
        <f t="array" ca="1" aca="1" ref="E83">_xlfn.LET(_xlpm.Attr,$C83,_xlpm.Lookback,$E$16,_xlpm.QueryDate,EOMONTH(val_asOfDate,_xlpm.Lookback),_xlpm.ReadField,_xldudf_CX_GET(CX_ENTITY,fx_attrConverter($C83),_xlpm.QueryDate),_xlpm.AttrBlank,_xlpm.Attr="",_xlpm.RESULT,IF(_xlpm.AttrBlank,val_blankRefText,fx_attrConverter(_xlpm.ReadField,0)),IF(_xlpm.RESULT="Error","",_xlpm.RESULT))</f>
        <v>#NAME?</v>
      </c>
      <c r="F83" s="577" t="str">
        <f t="shared" si="9"/>
        <v>IFRS-16 Lease Liabilities (on BS)</v>
      </c>
      <c r="G83" s="578"/>
      <c r="H83" s="3279">
        <v>1</v>
      </c>
      <c r="I83" s="3279">
        <v>1</v>
      </c>
      <c r="J83" s="578"/>
      <c r="K83" s="578"/>
      <c r="L83" s="3269" t="b">
        <v>1</v>
      </c>
      <c r="N83" s="158"/>
      <c r="O83" s="101"/>
      <c r="P83" s="52"/>
      <c r="Q83" s="101"/>
      <c r="R83" s="101"/>
      <c r="S83" s="101"/>
      <c r="T83" s="101"/>
      <c r="U83" s="39"/>
      <c r="W83" s="930" t="str">
        <f t="shared" si="15"/>
        <v>Budget</v>
      </c>
      <c r="X83" s="857">
        <f t="shared" si="11"/>
        <v>-1</v>
      </c>
      <c r="Y83" s="2631" t="str">
        <f t="shared" si="12"/>
        <v>IFRS-16 Lease Liabilities (on BS)</v>
      </c>
      <c r="Z83" s="3291" cm="1">
        <f t="array" ref="Z83">_xlfn.SWITCH(TRUE,$L83="",0,$L83=TRUE,1,$L83=FALSE,-1,)</f>
        <v>1</v>
      </c>
      <c r="AA83" s="200"/>
      <c r="AB83" s="2626" t="str">
        <f t="shared" si="13"/>
        <v>IFRS-16 Lease Liabilities (on BS)</v>
      </c>
      <c r="AC83" s="88"/>
      <c r="AD83" s="1669" t="e" cm="1">
        <f t="array" ca="1" aca="1" ref="AD83">_xlfn.LET(_xlpm.val,IF($F83="",val_blankRefText,_xldudf_CX_GET(CX_ENTITY,($F83),AD$11,AD$14,,(AD$60))),_xlpm.Res,IF(OR(_xlpm.val="",_xlpm.val="Error"),"",_xlpm.val),_xlpm.Res)</f>
        <v>#NAME?</v>
      </c>
      <c r="AE83" s="1669" t="e" cm="1">
        <f t="array" ca="1" aca="1" ref="AE83">_xlfn.LET(_xlpm.val,IF($F83="",val_blankRefText,_xldudf_CX_GET(CX_ENTITY,($F83),AE$11,AE$14,,(AE$60))),_xlpm.Res,IF(OR(_xlpm.val="",_xlpm.val="Error"),"",_xlpm.val),_xlpm.Res)</f>
        <v>#NAME?</v>
      </c>
      <c r="AF83" s="1669" t="e" cm="1">
        <f t="array" ca="1" aca="1" ref="AF83">_xlfn.LET(_xlpm.val,IF($F83="",val_blankRefText,_xldudf_CX_GET(CX_ENTITY,($F83),AF$11,AF$14,,(AF$60))),_xlpm.Res,IF(OR(_xlpm.val="",_xlpm.val="Error"),"",_xlpm.val),_xlpm.Res)</f>
        <v>#NAME?</v>
      </c>
      <c r="AG83" s="1669" t="e" cm="1">
        <f t="array" ca="1" aca="1" ref="AG83">_xlfn.LET(_xlpm.val,IF($F83="",val_blankRefText,_xldudf_CX_GET(CX_ENTITY,($F83),AG$11,AG$14,,(AG$60))),_xlpm.Res,IF(OR(_xlpm.val="",_xlpm.val="Error"),"",_xlpm.val),_xlpm.Res)</f>
        <v>#NAME?</v>
      </c>
      <c r="AH83" s="1669" t="e" cm="1">
        <f t="array" ca="1" aca="1" ref="AH83">_xlfn.LET(_xlpm.val,IF($F83="",val_blankRefText,_xldudf_CX_GET(CX_ENTITY,($F83),AH$11,AH$14,,(AH$60))),_xlpm.Res,IF(OR(_xlpm.val="",_xlpm.val="Error"),"",_xlpm.val),_xlpm.Res)</f>
        <v>#NAME?</v>
      </c>
      <c r="AI83" s="1669" t="e" cm="1">
        <f t="array" ca="1" aca="1" ref="AI83">_xlfn.LET(_xlpm.val,IF($F83="",val_blankRefText,_xldudf_CX_GET(CX_ENTITY,($F83),AI$11,AI$14,,(AI$60))),_xlpm.Res,IF(OR(_xlpm.val="",_xlpm.val="Error"),"",_xlpm.val),_xlpm.Res)</f>
        <v>#NAME?</v>
      </c>
      <c r="AJ83" s="1669" t="e" cm="1">
        <f t="array" ca="1" aca="1" ref="AJ83">_xlfn.LET(_xlpm.val,IF($F83="",val_blankRefText,_xldudf_CX_GET(CX_ENTITY,($F83),AJ$11,AJ$14,,(AJ$60))),_xlpm.Res,IF(OR(_xlpm.val="",_xlpm.val="Error"),"",_xlpm.val),_xlpm.Res)</f>
        <v>#NAME?</v>
      </c>
      <c r="AK83" s="1669" t="e" cm="1">
        <f t="array" ca="1" aca="1" ref="AK83">_xlfn.LET(_xlpm.val,IF($F83="",val_blankRefText,_xldudf_CX_GET(CX_ENTITY,($F83),AK$11,AK$14,,(AK$60))),_xlpm.Res,IF(OR(_xlpm.val="",_xlpm.val="Error"),"",_xlpm.val),_xlpm.Res)</f>
        <v>#NAME?</v>
      </c>
      <c r="AL83" s="1669" t="e" cm="1">
        <f t="array" ca="1" aca="1" ref="AL83">_xlfn.LET(_xlpm.val,IF($F83="",val_blankRefText,_xldudf_CX_GET(CX_ENTITY,($F83),AL$11,AL$14,,(AL$60))),_xlpm.Res,IF(OR(_xlpm.val="",_xlpm.val="Error"),"",_xlpm.val),_xlpm.Res)</f>
        <v>#NAME?</v>
      </c>
      <c r="AM83" s="1669" t="e" cm="1">
        <f t="array" ca="1" aca="1" ref="AM83">_xlfn.LET(_xlpm.val,IF($F83="",val_blankRefText,_xldudf_CX_GET(CX_ENTITY,($F83),AM$11,AM$14,,(AM$60))),_xlpm.Res,IF(OR(_xlpm.val="",_xlpm.val="Error"),"",_xlpm.val),_xlpm.Res)</f>
        <v>#NAME?</v>
      </c>
      <c r="AN83" s="1669" t="e" cm="1">
        <f t="array" ca="1" aca="1" ref="AN83">_xlfn.LET(_xlpm.val,IF($F83="",val_blankRefText,_xldudf_CX_GET(CX_ENTITY,($F83),AN$11,AN$14,,(AN$60))),_xlpm.Res,IF(OR(_xlpm.val="",_xlpm.val="Error"),"",_xlpm.val),_xlpm.Res)</f>
        <v>#NAME?</v>
      </c>
      <c r="AO83" s="1669" t="e" cm="1">
        <f t="array" ca="1" aca="1" ref="AO83">_xlfn.LET(_xlpm.val,IF($F83="",val_blankRefText,_xldudf_CX_GET(CX_ENTITY,($F83),AO$11,AO$14,,(AO$60))),_xlpm.Res,IF(OR(_xlpm.val="",_xlpm.val="Error"),"",_xlpm.val),_xlpm.Res)</f>
        <v>#NAME?</v>
      </c>
      <c r="AP83" s="1669" t="e" cm="1">
        <f t="array" ca="1" aca="1" ref="AP83">_xlfn.LET(_xlpm.val,IF($F83="",val_blankRefText,_xldudf_CX_GET(CX_ENTITY,($F83),AP$11,AP$14,,(AP$60))),_xlpm.Res,IF(OR(_xlpm.val="",_xlpm.val="Error"),"",_xlpm.val),_xlpm.Res)</f>
        <v>#NAME?</v>
      </c>
      <c r="AQ83" s="1669" t="e" cm="1">
        <f t="array" ca="1" aca="1" ref="AQ83">_xlfn.LET(_xlpm.val,IF($F83="",val_blankRefText,_xldudf_CX_GET(CX_ENTITY,($F83),AQ$11,AQ$14,,(AQ$60))),_xlpm.Res,IF(OR(_xlpm.val="",_xlpm.val="Error"),"",_xlpm.val),_xlpm.Res)</f>
        <v>#NAME?</v>
      </c>
      <c r="AR83" s="1669" t="e" cm="1">
        <f t="array" ca="1" aca="1" ref="AR83">_xlfn.LET(_xlpm.val,IF($F83="",val_blankRefText,_xldudf_CX_GET(CX_ENTITY,($F83),AR$11,AR$14,,(AR$60))),_xlpm.Res,IF(OR(_xlpm.val="",_xlpm.val="Error"),"",_xlpm.val),_xlpm.Res)</f>
        <v>#NAME?</v>
      </c>
      <c r="AS83" s="1669" t="e" cm="1">
        <f t="array" ca="1" aca="1" ref="AS83">_xlfn.LET(_xlpm.val,IF($F83="",val_blankRefText,_xldudf_CX_GET(CX_ENTITY,($F83),AS$11,AS$14,,(AS$60))),_xlpm.Res,IF(OR(_xlpm.val="",_xlpm.val="Error"),"",_xlpm.val),_xlpm.Res)</f>
        <v>#NAME?</v>
      </c>
      <c r="AT83" s="1669" t="e" cm="1">
        <f t="array" ca="1" aca="1" ref="AT83">_xlfn.LET(_xlpm.val,IF($F83="",val_blankRefText,_xldudf_CX_GET(CX_ENTITY,($F83),AT$11,AT$14,,(AT$60))),_xlpm.Res,IF(OR(_xlpm.val="",_xlpm.val="Error"),"",_xlpm.val),_xlpm.Res)</f>
        <v>#NAME?</v>
      </c>
      <c r="AU83" s="1669" t="e" cm="1">
        <f t="array" ca="1" aca="1" ref="AU83">_xlfn.LET(_xlpm.val,IF($F83="",val_blankRefText,_xldudf_CX_GET(CX_ENTITY,($F83),AU$11,AU$14,,(AU$60))),_xlpm.Res,IF(OR(_xlpm.val="",_xlpm.val="Error"),"",_xlpm.val),_xlpm.Res)</f>
        <v>#NAME?</v>
      </c>
      <c r="AV83" s="1669" t="e" cm="1">
        <f t="array" ca="1" aca="1" ref="AV83">_xlfn.LET(_xlpm.val,IF($F83="",val_blankRefText,_xldudf_CX_GET(CX_ENTITY,($F83),AV$11,AV$14,,(AV$60))),_xlpm.Res,IF(OR(_xlpm.val="",_xlpm.val="Error"),"",_xlpm.val),_xlpm.Res)</f>
        <v>#NAME?</v>
      </c>
      <c r="AW83" s="1669" t="e" cm="1">
        <f t="array" ca="1" aca="1" ref="AW83">_xlfn.LET(_xlpm.val,IF($F83="",val_blankRefText,_xldudf_CX_GET(CX_ENTITY,($F83),AW$11,AW$14,,(AW$60))),_xlpm.Res,IF(OR(_xlpm.val="",_xlpm.val="Error"),"",_xlpm.val),_xlpm.Res)</f>
        <v>#NAME?</v>
      </c>
      <c r="AX83" s="1669" t="e" cm="1">
        <f t="array" ca="1" aca="1" ref="AX83">_xlfn.LET(_xlpm.val,IF($F83="",val_blankRefText,_xldudf_CX_GET(CX_ENTITY,($F83),AX$11,AX$14,,(AX$60))),_xlpm.Res,IF(OR(_xlpm.val="",_xlpm.val="Error"),"",_xlpm.val),_xlpm.Res)</f>
        <v>#NAME?</v>
      </c>
      <c r="AY83" s="1669" t="e" cm="1">
        <f t="array" ca="1" aca="1" ref="AY83">_xlfn.LET(_xlpm.val,IF($F83="",val_blankRefText,_xldudf_CX_GET(CX_ENTITY,($F83),AY$11,AY$14,,(AY$60))),_xlpm.Res,IF(OR(_xlpm.val="",_xlpm.val="Error"),"",_xlpm.val),_xlpm.Res)</f>
        <v>#NAME?</v>
      </c>
      <c r="AZ83" s="1669" t="e" cm="1">
        <f t="array" ca="1" aca="1" ref="AZ83">_xlfn.LET(_xlpm.val,IF($F83="",val_blankRefText,_xldudf_CX_GET(CX_ENTITY,($F83),AZ$11,AZ$14,,(AZ$60))),_xlpm.Res,IF(OR(_xlpm.val="",_xlpm.val="Error"),"",_xlpm.val),_xlpm.Res)</f>
        <v>#NAME?</v>
      </c>
      <c r="BA83" s="1669" t="e" cm="1">
        <f t="array" ca="1" aca="1" ref="BA83">_xlfn.LET(_xlpm.val,IF($F83="",val_blankRefText,_xldudf_CX_GET(CX_ENTITY,($F83),BA$11,BA$14,,(BA$60))),_xlpm.Res,IF(OR(_xlpm.val="",_xlpm.val="Error"),"",_xlpm.val),_xlpm.Res)</f>
        <v>#NAME?</v>
      </c>
      <c r="BB83" s="1669" t="e" cm="1">
        <f t="array" ca="1" aca="1" ref="BB83">_xlfn.LET(_xlpm.val,IF($F83="",val_blankRefText,_xldudf_CX_GET(CX_ENTITY,($F83),BB$11,BB$14,,(BB$60))),_xlpm.Res,IF(OR(_xlpm.val="",_xlpm.val="Error"),"",_xlpm.val),_xlpm.Res)</f>
        <v>#NAME?</v>
      </c>
      <c r="BC83" s="1669" t="e" cm="1">
        <f t="array" ca="1" aca="1" ref="BC83">_xlfn.LET(_xlpm.val,IF($F83="",val_blankRefText,_xldudf_CX_GET(CX_ENTITY,($F83),BC$11,BC$14,,(BC$60))),_xlpm.Res,IF(OR(_xlpm.val="",_xlpm.val="Error"),"",_xlpm.val),_xlpm.Res)</f>
        <v>#NAME?</v>
      </c>
      <c r="BD83" s="1669" t="e" cm="1">
        <f t="array" ca="1" aca="1" ref="BD83">_xlfn.LET(_xlpm.val,IF($F83="",val_blankRefText,_xldudf_CX_GET(CX_ENTITY,($F83),BD$11,BD$14,,(BD$60))),_xlpm.Res,IF(OR(_xlpm.val="",_xlpm.val="Error"),"",_xlpm.val),_xlpm.Res)</f>
        <v>#NAME?</v>
      </c>
      <c r="BE83" s="1669" t="e" cm="1">
        <f t="array" ca="1" aca="1" ref="BE83">_xlfn.LET(_xlpm.val,IF($F83="",val_blankRefText,_xldudf_CX_GET(CX_ENTITY,($F83),BE$11,BE$14,,(BE$60))),_xlpm.Res,IF(OR(_xlpm.val="",_xlpm.val="Error"),"",_xlpm.val),_xlpm.Res)</f>
        <v>#NAME?</v>
      </c>
      <c r="BF83" s="1669" t="e" cm="1">
        <f t="array" ca="1" aca="1" ref="BF83">_xlfn.LET(_xlpm.val,IF($F83="",val_blankRefText,_xldudf_CX_GET(CX_ENTITY,($F83),BF$11,BF$14,,(BF$60))),_xlpm.Res,IF(OR(_xlpm.val="",_xlpm.val="Error"),"",_xlpm.val),_xlpm.Res)</f>
        <v>#NAME?</v>
      </c>
      <c r="BG83" s="1669" t="e" cm="1">
        <f t="array" ca="1" aca="1" ref="BG83">_xlfn.LET(_xlpm.val,IF($F83="",val_blankRefText,_xldudf_CX_GET(CX_ENTITY,($F83),BG$11,BG$14,,(BG$60))),_xlpm.Res,IF(OR(_xlpm.val="",_xlpm.val="Error"),"",_xlpm.val),_xlpm.Res)</f>
        <v>#NAME?</v>
      </c>
      <c r="BH83" s="1669" t="e" cm="1">
        <f t="array" ca="1" aca="1" ref="BH83">_xlfn.LET(_xlpm.val,IF($F83="",val_blankRefText,_xldudf_CX_GET(CX_ENTITY,($F83),BH$11,BH$14,,(BH$60))),_xlpm.Res,IF(OR(_xlpm.val="",_xlpm.val="Error"),"",_xlpm.val),_xlpm.Res)</f>
        <v>#NAME?</v>
      </c>
      <c r="BI83" s="1669" t="e" cm="1">
        <f t="array" ca="1" aca="1" ref="BI83">_xlfn.LET(_xlpm.val,IF($F83="",val_blankRefText,_xldudf_CX_GET(CX_ENTITY,($F83),BI$11,BI$14,,(BI$60))),_xlpm.Res,IF(OR(_xlpm.val="",_xlpm.val="Error"),"",_xlpm.val),_xlpm.Res)</f>
        <v>#NAME?</v>
      </c>
      <c r="BJ83" s="1669" t="e" cm="1">
        <f t="array" ca="1" aca="1" ref="BJ83">_xlfn.LET(_xlpm.val,IF($F83="",val_blankRefText,_xldudf_CX_GET(CX_ENTITY,($F83),BJ$11,BJ$14,,(BJ$60))),_xlpm.Res,IF(OR(_xlpm.val="",_xlpm.val="Error"),"",_xlpm.val),_xlpm.Res)</f>
        <v>#NAME?</v>
      </c>
      <c r="BK83" s="1669" t="e" cm="1">
        <f t="array" ca="1" aca="1" ref="BK83">_xlfn.LET(_xlpm.val,IF($F83="",val_blankRefText,_xldudf_CX_GET(CX_ENTITY,($F83),BK$11,BK$14,,(BK$60))),_xlpm.Res,IF(OR(_xlpm.val="",_xlpm.val="Error"),"",_xlpm.val),_xlpm.Res)</f>
        <v>#NAME?</v>
      </c>
      <c r="BL83" s="1669" t="e" cm="1">
        <f t="array" ca="1" aca="1" ref="BL83">_xlfn.LET(_xlpm.val,IF($F83="",val_blankRefText,_xldudf_CX_GET(CX_ENTITY,($F83),BL$11,BL$14,,(BL$60))),_xlpm.Res,IF(OR(_xlpm.val="",_xlpm.val="Error"),"",_xlpm.val),_xlpm.Res)</f>
        <v>#NAME?</v>
      </c>
      <c r="BM83" s="1669" t="e" cm="1">
        <f t="array" ca="1" aca="1" ref="BM83">_xlfn.LET(_xlpm.val,IF($F83="",val_blankRefText,_xldudf_CX_GET(CX_ENTITY,($F83),BM$11,BM$14,,(BM$60))),_xlpm.Res,IF(OR(_xlpm.val="",_xlpm.val="Error"),"",_xlpm.val),_xlpm.Res)</f>
        <v>#NAME?</v>
      </c>
      <c r="BN83" s="1669" t="e" cm="1">
        <f t="array" ca="1" aca="1" ref="BN83">_xlfn.LET(_xlpm.val,IF($F83="",val_blankRefText,_xldudf_CX_GET(CX_ENTITY,($F83),BN$11,BN$14,,(BN$60))),_xlpm.Res,IF(OR(_xlpm.val="",_xlpm.val="Error"),"",_xlpm.val),_xlpm.Res)</f>
        <v>#NAME?</v>
      </c>
      <c r="BO83" s="2095"/>
      <c r="BP83" s="2095"/>
      <c r="BQ83" s="2095"/>
      <c r="BR83" s="2095"/>
      <c r="BS83" s="2095"/>
      <c r="BT83" s="2095"/>
      <c r="BU83" s="2095"/>
      <c r="BV83" s="2095"/>
      <c r="BW83" s="2095"/>
      <c r="BX83" s="2095"/>
      <c r="BY83" s="2095"/>
      <c r="BZ83" s="2095"/>
      <c r="CA83" s="926"/>
      <c r="CB83" s="921"/>
      <c r="CC83" s="927"/>
      <c r="CD83" s="920" t="e" cm="1">
        <f t="array" ca="1" aca="1" ref="CD83">_xlfn.XLOOKUP(BS!CD$11,array_timeline,BS!$AD83:$BN83)</f>
        <v>#NAME?</v>
      </c>
      <c r="CE83" s="920" t="e" cm="1">
        <f t="array" ca="1" aca="1" ref="CE83">_xlfn.XLOOKUP(BS!CE$11,array_timeline,BS!$AD83:$BN83)</f>
        <v>#NAME?</v>
      </c>
      <c r="CF83" s="925"/>
      <c r="CG83" s="920" t="e">
        <f ca="1" t="shared" si="36" ref="CG83:CH83">CG42</f>
        <v>#NAME?</v>
      </c>
      <c r="CH83" s="920" t="e">
        <f t="shared" ca="1" si="36"/>
        <v>#NAME?</v>
      </c>
      <c r="CI83" s="200"/>
    </row>
    <row r="84" spans="1:87" ht="21" customHeight="1">
      <c r="A84" s="693"/>
      <c r="B84" s="577" t="str">
        <f t="shared" si="10"/>
        <v>Deferred Tax Assets / Liabilities (on BS)</v>
      </c>
      <c r="C84" s="577" t="str">
        <f t="shared" si="10"/>
        <v>Deferred Tax Assets / Liabilities (Company View)</v>
      </c>
      <c r="D84" s="577"/>
      <c r="E84" s="577" t="e" cm="1">
        <f t="array" ca="1" aca="1" ref="E84">_xlfn.LET(_xlpm.Attr,$C84,_xlpm.Lookback,$E$16,_xlpm.QueryDate,EOMONTH(val_asOfDate,_xlpm.Lookback),_xlpm.ReadField,_xldudf_CX_GET(CX_ENTITY,fx_attrConverter($C84),_xlpm.QueryDate),_xlpm.AttrBlank,_xlpm.Attr="",_xlpm.RESULT,IF(_xlpm.AttrBlank,val_blankRefText,fx_attrConverter(_xlpm.ReadField,0)),IF(_xlpm.RESULT="Error","",_xlpm.RESULT))</f>
        <v>#NAME?</v>
      </c>
      <c r="F84" s="577" t="str">
        <f t="shared" si="9"/>
        <v>Deferred Tax Assets / Liabilities (on BS)</v>
      </c>
      <c r="G84" s="578"/>
      <c r="H84" s="3279">
        <v>1</v>
      </c>
      <c r="I84" s="3279">
        <v>1</v>
      </c>
      <c r="J84" s="578"/>
      <c r="K84" s="578"/>
      <c r="L84" s="3269" t="b">
        <v>1</v>
      </c>
      <c r="N84" s="158"/>
      <c r="O84" s="101"/>
      <c r="P84" s="52"/>
      <c r="Q84" s="101"/>
      <c r="R84" s="126"/>
      <c r="S84" s="101"/>
      <c r="T84" s="101"/>
      <c r="U84" s="39"/>
      <c r="W84" s="930" t="str">
        <f t="shared" si="15"/>
        <v>Budget</v>
      </c>
      <c r="X84" s="857" t="str">
        <f t="shared" si="11"/>
        <v>a</v>
      </c>
      <c r="Y84" s="2631" t="str">
        <f t="shared" si="12"/>
        <v>Deferred Tax Assets / Liabilities</v>
      </c>
      <c r="Z84" s="3291" cm="1">
        <f t="array" ref="Z84">_xlfn.SWITCH(TRUE,$L84="",0,$L84=TRUE,1,$L84=FALSE,-1,)</f>
        <v>1</v>
      </c>
      <c r="AA84" s="200"/>
      <c r="AB84" s="2626" t="str">
        <f t="shared" si="13"/>
        <v>Deferred Tax Assets / Liabilities</v>
      </c>
      <c r="AC84" s="88"/>
      <c r="AD84" s="1669" t="e" cm="1">
        <f t="array" ca="1" aca="1" ref="AD84">_xlfn.LET(_xlpm.val,IF($F84="",val_blankRefText,_xldudf_CX_GET(CX_ENTITY,($F84),AD$11,AD$14,,(AD$60))),_xlpm.Res,IF(OR(_xlpm.val="",_xlpm.val="Error"),"",_xlpm.val),_xlpm.Res)</f>
        <v>#NAME?</v>
      </c>
      <c r="AE84" s="1669" t="e" cm="1">
        <f t="array" ca="1" aca="1" ref="AE84">_xlfn.LET(_xlpm.val,IF($F84="",val_blankRefText,_xldudf_CX_GET(CX_ENTITY,($F84),AE$11,AE$14,,(AE$60))),_xlpm.Res,IF(OR(_xlpm.val="",_xlpm.val="Error"),"",_xlpm.val),_xlpm.Res)</f>
        <v>#NAME?</v>
      </c>
      <c r="AF84" s="1669" t="e" cm="1">
        <f t="array" ca="1" aca="1" ref="AF84">_xlfn.LET(_xlpm.val,IF($F84="",val_blankRefText,_xldudf_CX_GET(CX_ENTITY,($F84),AF$11,AF$14,,(AF$60))),_xlpm.Res,IF(OR(_xlpm.val="",_xlpm.val="Error"),"",_xlpm.val),_xlpm.Res)</f>
        <v>#NAME?</v>
      </c>
      <c r="AG84" s="1669" t="e" cm="1">
        <f t="array" ca="1" aca="1" ref="AG84">_xlfn.LET(_xlpm.val,IF($F84="",val_blankRefText,_xldudf_CX_GET(CX_ENTITY,($F84),AG$11,AG$14,,(AG$60))),_xlpm.Res,IF(OR(_xlpm.val="",_xlpm.val="Error"),"",_xlpm.val),_xlpm.Res)</f>
        <v>#NAME?</v>
      </c>
      <c r="AH84" s="1669" t="e" cm="1">
        <f t="array" ca="1" aca="1" ref="AH84">_xlfn.LET(_xlpm.val,IF($F84="",val_blankRefText,_xldudf_CX_GET(CX_ENTITY,($F84),AH$11,AH$14,,(AH$60))),_xlpm.Res,IF(OR(_xlpm.val="",_xlpm.val="Error"),"",_xlpm.val),_xlpm.Res)</f>
        <v>#NAME?</v>
      </c>
      <c r="AI84" s="1669" t="e" cm="1">
        <f t="array" ca="1" aca="1" ref="AI84">_xlfn.LET(_xlpm.val,IF($F84="",val_blankRefText,_xldudf_CX_GET(CX_ENTITY,($F84),AI$11,AI$14,,(AI$60))),_xlpm.Res,IF(OR(_xlpm.val="",_xlpm.val="Error"),"",_xlpm.val),_xlpm.Res)</f>
        <v>#NAME?</v>
      </c>
      <c r="AJ84" s="1669" t="e" cm="1">
        <f t="array" ca="1" aca="1" ref="AJ84">_xlfn.LET(_xlpm.val,IF($F84="",val_blankRefText,_xldudf_CX_GET(CX_ENTITY,($F84),AJ$11,AJ$14,,(AJ$60))),_xlpm.Res,IF(OR(_xlpm.val="",_xlpm.val="Error"),"",_xlpm.val),_xlpm.Res)</f>
        <v>#NAME?</v>
      </c>
      <c r="AK84" s="1669" t="e" cm="1">
        <f t="array" ca="1" aca="1" ref="AK84">_xlfn.LET(_xlpm.val,IF($F84="",val_blankRefText,_xldudf_CX_GET(CX_ENTITY,($F84),AK$11,AK$14,,(AK$60))),_xlpm.Res,IF(OR(_xlpm.val="",_xlpm.val="Error"),"",_xlpm.val),_xlpm.Res)</f>
        <v>#NAME?</v>
      </c>
      <c r="AL84" s="1669" t="e" cm="1">
        <f t="array" ca="1" aca="1" ref="AL84">_xlfn.LET(_xlpm.val,IF($F84="",val_blankRefText,_xldudf_CX_GET(CX_ENTITY,($F84),AL$11,AL$14,,(AL$60))),_xlpm.Res,IF(OR(_xlpm.val="",_xlpm.val="Error"),"",_xlpm.val),_xlpm.Res)</f>
        <v>#NAME?</v>
      </c>
      <c r="AM84" s="1669" t="e" cm="1">
        <f t="array" ca="1" aca="1" ref="AM84">_xlfn.LET(_xlpm.val,IF($F84="",val_blankRefText,_xldudf_CX_GET(CX_ENTITY,($F84),AM$11,AM$14,,(AM$60))),_xlpm.Res,IF(OR(_xlpm.val="",_xlpm.val="Error"),"",_xlpm.val),_xlpm.Res)</f>
        <v>#NAME?</v>
      </c>
      <c r="AN84" s="1669" t="e" cm="1">
        <f t="array" ca="1" aca="1" ref="AN84">_xlfn.LET(_xlpm.val,IF($F84="",val_blankRefText,_xldudf_CX_GET(CX_ENTITY,($F84),AN$11,AN$14,,(AN$60))),_xlpm.Res,IF(OR(_xlpm.val="",_xlpm.val="Error"),"",_xlpm.val),_xlpm.Res)</f>
        <v>#NAME?</v>
      </c>
      <c r="AO84" s="1669" t="e" cm="1">
        <f t="array" ca="1" aca="1" ref="AO84">_xlfn.LET(_xlpm.val,IF($F84="",val_blankRefText,_xldudf_CX_GET(CX_ENTITY,($F84),AO$11,AO$14,,(AO$60))),_xlpm.Res,IF(OR(_xlpm.val="",_xlpm.val="Error"),"",_xlpm.val),_xlpm.Res)</f>
        <v>#NAME?</v>
      </c>
      <c r="AP84" s="1669" t="e" cm="1">
        <f t="array" ca="1" aca="1" ref="AP84">_xlfn.LET(_xlpm.val,IF($F84="",val_blankRefText,_xldudf_CX_GET(CX_ENTITY,($F84),AP$11,AP$14,,(AP$60))),_xlpm.Res,IF(OR(_xlpm.val="",_xlpm.val="Error"),"",_xlpm.val),_xlpm.Res)</f>
        <v>#NAME?</v>
      </c>
      <c r="AQ84" s="1669" t="e" cm="1">
        <f t="array" ca="1" aca="1" ref="AQ84">_xlfn.LET(_xlpm.val,IF($F84="",val_blankRefText,_xldudf_CX_GET(CX_ENTITY,($F84),AQ$11,AQ$14,,(AQ$60))),_xlpm.Res,IF(OR(_xlpm.val="",_xlpm.val="Error"),"",_xlpm.val),_xlpm.Res)</f>
        <v>#NAME?</v>
      </c>
      <c r="AR84" s="1669" t="e" cm="1">
        <f t="array" ca="1" aca="1" ref="AR84">_xlfn.LET(_xlpm.val,IF($F84="",val_blankRefText,_xldudf_CX_GET(CX_ENTITY,($F84),AR$11,AR$14,,(AR$60))),_xlpm.Res,IF(OR(_xlpm.val="",_xlpm.val="Error"),"",_xlpm.val),_xlpm.Res)</f>
        <v>#NAME?</v>
      </c>
      <c r="AS84" s="1669" t="e" cm="1">
        <f t="array" ca="1" aca="1" ref="AS84">_xlfn.LET(_xlpm.val,IF($F84="",val_blankRefText,_xldudf_CX_GET(CX_ENTITY,($F84),AS$11,AS$14,,(AS$60))),_xlpm.Res,IF(OR(_xlpm.val="",_xlpm.val="Error"),"",_xlpm.val),_xlpm.Res)</f>
        <v>#NAME?</v>
      </c>
      <c r="AT84" s="1669" t="e" cm="1">
        <f t="array" ca="1" aca="1" ref="AT84">_xlfn.LET(_xlpm.val,IF($F84="",val_blankRefText,_xldudf_CX_GET(CX_ENTITY,($F84),AT$11,AT$14,,(AT$60))),_xlpm.Res,IF(OR(_xlpm.val="",_xlpm.val="Error"),"",_xlpm.val),_xlpm.Res)</f>
        <v>#NAME?</v>
      </c>
      <c r="AU84" s="1669" t="e" cm="1">
        <f t="array" ca="1" aca="1" ref="AU84">_xlfn.LET(_xlpm.val,IF($F84="",val_blankRefText,_xldudf_CX_GET(CX_ENTITY,($F84),AU$11,AU$14,,(AU$60))),_xlpm.Res,IF(OR(_xlpm.val="",_xlpm.val="Error"),"",_xlpm.val),_xlpm.Res)</f>
        <v>#NAME?</v>
      </c>
      <c r="AV84" s="1669" t="e" cm="1">
        <f t="array" ca="1" aca="1" ref="AV84">_xlfn.LET(_xlpm.val,IF($F84="",val_blankRefText,_xldudf_CX_GET(CX_ENTITY,($F84),AV$11,AV$14,,(AV$60))),_xlpm.Res,IF(OR(_xlpm.val="",_xlpm.val="Error"),"",_xlpm.val),_xlpm.Res)</f>
        <v>#NAME?</v>
      </c>
      <c r="AW84" s="1669" t="e" cm="1">
        <f t="array" ca="1" aca="1" ref="AW84">_xlfn.LET(_xlpm.val,IF($F84="",val_blankRefText,_xldudf_CX_GET(CX_ENTITY,($F84),AW$11,AW$14,,(AW$60))),_xlpm.Res,IF(OR(_xlpm.val="",_xlpm.val="Error"),"",_xlpm.val),_xlpm.Res)</f>
        <v>#NAME?</v>
      </c>
      <c r="AX84" s="1669" t="e" cm="1">
        <f t="array" ca="1" aca="1" ref="AX84">_xlfn.LET(_xlpm.val,IF($F84="",val_blankRefText,_xldudf_CX_GET(CX_ENTITY,($F84),AX$11,AX$14,,(AX$60))),_xlpm.Res,IF(OR(_xlpm.val="",_xlpm.val="Error"),"",_xlpm.val),_xlpm.Res)</f>
        <v>#NAME?</v>
      </c>
      <c r="AY84" s="1669" t="e" cm="1">
        <f t="array" ca="1" aca="1" ref="AY84">_xlfn.LET(_xlpm.val,IF($F84="",val_blankRefText,_xldudf_CX_GET(CX_ENTITY,($F84),AY$11,AY$14,,(AY$60))),_xlpm.Res,IF(OR(_xlpm.val="",_xlpm.val="Error"),"",_xlpm.val),_xlpm.Res)</f>
        <v>#NAME?</v>
      </c>
      <c r="AZ84" s="1669" t="e" cm="1">
        <f t="array" ca="1" aca="1" ref="AZ84">_xlfn.LET(_xlpm.val,IF($F84="",val_blankRefText,_xldudf_CX_GET(CX_ENTITY,($F84),AZ$11,AZ$14,,(AZ$60))),_xlpm.Res,IF(OR(_xlpm.val="",_xlpm.val="Error"),"",_xlpm.val),_xlpm.Res)</f>
        <v>#NAME?</v>
      </c>
      <c r="BA84" s="1669" t="e" cm="1">
        <f t="array" ca="1" aca="1" ref="BA84">_xlfn.LET(_xlpm.val,IF($F84="",val_blankRefText,_xldudf_CX_GET(CX_ENTITY,($F84),BA$11,BA$14,,(BA$60))),_xlpm.Res,IF(OR(_xlpm.val="",_xlpm.val="Error"),"",_xlpm.val),_xlpm.Res)</f>
        <v>#NAME?</v>
      </c>
      <c r="BB84" s="1669" t="e" cm="1">
        <f t="array" ca="1" aca="1" ref="BB84">_xlfn.LET(_xlpm.val,IF($F84="",val_blankRefText,_xldudf_CX_GET(CX_ENTITY,($F84),BB$11,BB$14,,(BB$60))),_xlpm.Res,IF(OR(_xlpm.val="",_xlpm.val="Error"),"",_xlpm.val),_xlpm.Res)</f>
        <v>#NAME?</v>
      </c>
      <c r="BC84" s="1669" t="e" cm="1">
        <f t="array" ca="1" aca="1" ref="BC84">_xlfn.LET(_xlpm.val,IF($F84="",val_blankRefText,_xldudf_CX_GET(CX_ENTITY,($F84),BC$11,BC$14,,(BC$60))),_xlpm.Res,IF(OR(_xlpm.val="",_xlpm.val="Error"),"",_xlpm.val),_xlpm.Res)</f>
        <v>#NAME?</v>
      </c>
      <c r="BD84" s="1669" t="e" cm="1">
        <f t="array" ca="1" aca="1" ref="BD84">_xlfn.LET(_xlpm.val,IF($F84="",val_blankRefText,_xldudf_CX_GET(CX_ENTITY,($F84),BD$11,BD$14,,(BD$60))),_xlpm.Res,IF(OR(_xlpm.val="",_xlpm.val="Error"),"",_xlpm.val),_xlpm.Res)</f>
        <v>#NAME?</v>
      </c>
      <c r="BE84" s="1669" t="e" cm="1">
        <f t="array" ca="1" aca="1" ref="BE84">_xlfn.LET(_xlpm.val,IF($F84="",val_blankRefText,_xldudf_CX_GET(CX_ENTITY,($F84),BE$11,BE$14,,(BE$60))),_xlpm.Res,IF(OR(_xlpm.val="",_xlpm.val="Error"),"",_xlpm.val),_xlpm.Res)</f>
        <v>#NAME?</v>
      </c>
      <c r="BF84" s="1669" t="e" cm="1">
        <f t="array" ca="1" aca="1" ref="BF84">_xlfn.LET(_xlpm.val,IF($F84="",val_blankRefText,_xldudf_CX_GET(CX_ENTITY,($F84),BF$11,BF$14,,(BF$60))),_xlpm.Res,IF(OR(_xlpm.val="",_xlpm.val="Error"),"",_xlpm.val),_xlpm.Res)</f>
        <v>#NAME?</v>
      </c>
      <c r="BG84" s="1669" t="e" cm="1">
        <f t="array" ca="1" aca="1" ref="BG84">_xlfn.LET(_xlpm.val,IF($F84="",val_blankRefText,_xldudf_CX_GET(CX_ENTITY,($F84),BG$11,BG$14,,(BG$60))),_xlpm.Res,IF(OR(_xlpm.val="",_xlpm.val="Error"),"",_xlpm.val),_xlpm.Res)</f>
        <v>#NAME?</v>
      </c>
      <c r="BH84" s="1669" t="e" cm="1">
        <f t="array" ca="1" aca="1" ref="BH84">_xlfn.LET(_xlpm.val,IF($F84="",val_blankRefText,_xldudf_CX_GET(CX_ENTITY,($F84),BH$11,BH$14,,(BH$60))),_xlpm.Res,IF(OR(_xlpm.val="",_xlpm.val="Error"),"",_xlpm.val),_xlpm.Res)</f>
        <v>#NAME?</v>
      </c>
      <c r="BI84" s="1669" t="e" cm="1">
        <f t="array" ca="1" aca="1" ref="BI84">_xlfn.LET(_xlpm.val,IF($F84="",val_blankRefText,_xldudf_CX_GET(CX_ENTITY,($F84),BI$11,BI$14,,(BI$60))),_xlpm.Res,IF(OR(_xlpm.val="",_xlpm.val="Error"),"",_xlpm.val),_xlpm.Res)</f>
        <v>#NAME?</v>
      </c>
      <c r="BJ84" s="1669" t="e" cm="1">
        <f t="array" ca="1" aca="1" ref="BJ84">_xlfn.LET(_xlpm.val,IF($F84="",val_blankRefText,_xldudf_CX_GET(CX_ENTITY,($F84),BJ$11,BJ$14,,(BJ$60))),_xlpm.Res,IF(OR(_xlpm.val="",_xlpm.val="Error"),"",_xlpm.val),_xlpm.Res)</f>
        <v>#NAME?</v>
      </c>
      <c r="BK84" s="1669" t="e" cm="1">
        <f t="array" ca="1" aca="1" ref="BK84">_xlfn.LET(_xlpm.val,IF($F84="",val_blankRefText,_xldudf_CX_GET(CX_ENTITY,($F84),BK$11,BK$14,,(BK$60))),_xlpm.Res,IF(OR(_xlpm.val="",_xlpm.val="Error"),"",_xlpm.val),_xlpm.Res)</f>
        <v>#NAME?</v>
      </c>
      <c r="BL84" s="1669" t="e" cm="1">
        <f t="array" ca="1" aca="1" ref="BL84">_xlfn.LET(_xlpm.val,IF($F84="",val_blankRefText,_xldudf_CX_GET(CX_ENTITY,($F84),BL$11,BL$14,,(BL$60))),_xlpm.Res,IF(OR(_xlpm.val="",_xlpm.val="Error"),"",_xlpm.val),_xlpm.Res)</f>
        <v>#NAME?</v>
      </c>
      <c r="BM84" s="1669" t="e" cm="1">
        <f t="array" ca="1" aca="1" ref="BM84">_xlfn.LET(_xlpm.val,IF($F84="",val_blankRefText,_xldudf_CX_GET(CX_ENTITY,($F84),BM$11,BM$14,,(BM$60))),_xlpm.Res,IF(OR(_xlpm.val="",_xlpm.val="Error"),"",_xlpm.val),_xlpm.Res)</f>
        <v>#NAME?</v>
      </c>
      <c r="BN84" s="1669" t="e" cm="1">
        <f t="array" ca="1" aca="1" ref="BN84">_xlfn.LET(_xlpm.val,IF($F84="",val_blankRefText,_xldudf_CX_GET(CX_ENTITY,($F84),BN$11,BN$14,,(BN$60))),_xlpm.Res,IF(OR(_xlpm.val="",_xlpm.val="Error"),"",_xlpm.val),_xlpm.Res)</f>
        <v>#NAME?</v>
      </c>
      <c r="BO84" s="2095"/>
      <c r="BP84" s="2095"/>
      <c r="BQ84" s="2095"/>
      <c r="BR84" s="2095"/>
      <c r="BS84" s="2095"/>
      <c r="BT84" s="2095"/>
      <c r="BU84" s="2095"/>
      <c r="BV84" s="2095"/>
      <c r="BW84" s="2095"/>
      <c r="BX84" s="2095"/>
      <c r="BY84" s="2095"/>
      <c r="BZ84" s="2095"/>
      <c r="CA84" s="926"/>
      <c r="CB84" s="921"/>
      <c r="CC84" s="927"/>
      <c r="CD84" s="920" t="e" cm="1">
        <f t="array" ca="1" aca="1" ref="CD84">_xlfn.XLOOKUP(BS!CD$11,array_timeline,BS!$AD84:$BN84)</f>
        <v>#NAME?</v>
      </c>
      <c r="CE84" s="920" t="e" cm="1">
        <f t="array" ca="1" aca="1" ref="CE84">_xlfn.XLOOKUP(BS!CE$11,array_timeline,BS!$AD84:$BN84)</f>
        <v>#NAME?</v>
      </c>
      <c r="CF84" s="925"/>
      <c r="CG84" s="920" t="e">
        <f ca="1" t="shared" si="37" ref="CG84:CH84">CG43</f>
        <v>#NAME?</v>
      </c>
      <c r="CH84" s="920" t="e">
        <f t="shared" ca="1" si="37"/>
        <v>#NAME?</v>
      </c>
      <c r="CI84" s="200"/>
    </row>
    <row r="85" spans="1:87" ht="21" customHeight="1">
      <c r="A85" s="693"/>
      <c r="B85" s="577" t="str">
        <f t="shared" si="10"/>
        <v>Other debt Like items (on BS)</v>
      </c>
      <c r="C85" s="577" t="str">
        <f t="shared" si="10"/>
        <v>Other debt Like items (on BS) (Company View)</v>
      </c>
      <c r="D85" s="577"/>
      <c r="E85" s="577" t="e" cm="1">
        <f t="array" ca="1" aca="1" ref="E85">_xlfn.LET(_xlpm.Attr,$C85,_xlpm.Lookback,$E$16,_xlpm.QueryDate,EOMONTH(val_asOfDate,_xlpm.Lookback),_xlpm.ReadField,_xldudf_CX_GET(CX_ENTITY,fx_attrConverter($C85),_xlpm.QueryDate),_xlpm.AttrBlank,_xlpm.Attr="",_xlpm.RESULT,IF(_xlpm.AttrBlank,val_blankRefText,fx_attrConverter(_xlpm.ReadField,0)),IF(_xlpm.RESULT="Error","",_xlpm.RESULT))</f>
        <v>#NAME?</v>
      </c>
      <c r="F85" s="577" t="str">
        <f t="shared" si="9"/>
        <v>Other debt Like items (on BS)</v>
      </c>
      <c r="G85" s="578"/>
      <c r="H85" s="3279">
        <v>1</v>
      </c>
      <c r="I85" s="3279">
        <v>1</v>
      </c>
      <c r="J85" s="578"/>
      <c r="K85" s="578"/>
      <c r="L85" s="3269" t="b">
        <v>1</v>
      </c>
      <c r="N85" s="158"/>
      <c r="O85" s="101"/>
      <c r="P85" s="52"/>
      <c r="Q85" s="101"/>
      <c r="R85" s="101"/>
      <c r="S85" s="101"/>
      <c r="T85" s="101"/>
      <c r="U85" s="39"/>
      <c r="W85" s="930" t="str">
        <f t="shared" si="15"/>
        <v>Budget</v>
      </c>
      <c r="X85" s="857">
        <f t="shared" si="11"/>
        <v>-1</v>
      </c>
      <c r="Y85" s="2631" t="str">
        <f t="shared" si="12"/>
        <v>Other debt Like items (on BS)</v>
      </c>
      <c r="Z85" s="3291" cm="1">
        <f t="array" ref="Z85">_xlfn.SWITCH(TRUE,$L85="",0,$L85=TRUE,1,$L85=FALSE,-1,)</f>
        <v>1</v>
      </c>
      <c r="AA85" s="200"/>
      <c r="AB85" s="2626" t="str">
        <f t="shared" si="13"/>
        <v>Other debt Like items (on BS)</v>
      </c>
      <c r="AC85" s="88"/>
      <c r="AD85" s="1669" t="e" cm="1">
        <f t="array" ca="1" aca="1" ref="AD85">_xlfn.LET(_xlpm.val,IF($F85="",val_blankRefText,_xldudf_CX_GET(CX_ENTITY,($F85),AD$11,AD$14,,(AD$60))),_xlpm.Res,IF(OR(_xlpm.val="",_xlpm.val="Error"),"",_xlpm.val),_xlpm.Res)</f>
        <v>#NAME?</v>
      </c>
      <c r="AE85" s="1669" t="e" cm="1">
        <f t="array" ca="1" aca="1" ref="AE85">_xlfn.LET(_xlpm.val,IF($F85="",val_blankRefText,_xldudf_CX_GET(CX_ENTITY,($F85),AE$11,AE$14,,(AE$60))),_xlpm.Res,IF(OR(_xlpm.val="",_xlpm.val="Error"),"",_xlpm.val),_xlpm.Res)</f>
        <v>#NAME?</v>
      </c>
      <c r="AF85" s="1669" t="e" cm="1">
        <f t="array" ca="1" aca="1" ref="AF85">_xlfn.LET(_xlpm.val,IF($F85="",val_blankRefText,_xldudf_CX_GET(CX_ENTITY,($F85),AF$11,AF$14,,(AF$60))),_xlpm.Res,IF(OR(_xlpm.val="",_xlpm.val="Error"),"",_xlpm.val),_xlpm.Res)</f>
        <v>#NAME?</v>
      </c>
      <c r="AG85" s="1669" t="e" cm="1">
        <f t="array" ca="1" aca="1" ref="AG85">_xlfn.LET(_xlpm.val,IF($F85="",val_blankRefText,_xldudf_CX_GET(CX_ENTITY,($F85),AG$11,AG$14,,(AG$60))),_xlpm.Res,IF(OR(_xlpm.val="",_xlpm.val="Error"),"",_xlpm.val),_xlpm.Res)</f>
        <v>#NAME?</v>
      </c>
      <c r="AH85" s="1669" t="e" cm="1">
        <f t="array" ca="1" aca="1" ref="AH85">_xlfn.LET(_xlpm.val,IF($F85="",val_blankRefText,_xldudf_CX_GET(CX_ENTITY,($F85),AH$11,AH$14,,(AH$60))),_xlpm.Res,IF(OR(_xlpm.val="",_xlpm.val="Error"),"",_xlpm.val),_xlpm.Res)</f>
        <v>#NAME?</v>
      </c>
      <c r="AI85" s="1669" t="e" cm="1">
        <f t="array" ca="1" aca="1" ref="AI85">_xlfn.LET(_xlpm.val,IF($F85="",val_blankRefText,_xldudf_CX_GET(CX_ENTITY,($F85),AI$11,AI$14,,(AI$60))),_xlpm.Res,IF(OR(_xlpm.val="",_xlpm.val="Error"),"",_xlpm.val),_xlpm.Res)</f>
        <v>#NAME?</v>
      </c>
      <c r="AJ85" s="1669" t="e" cm="1">
        <f t="array" ca="1" aca="1" ref="AJ85">_xlfn.LET(_xlpm.val,IF($F85="",val_blankRefText,_xldudf_CX_GET(CX_ENTITY,($F85),AJ$11,AJ$14,,(AJ$60))),_xlpm.Res,IF(OR(_xlpm.val="",_xlpm.val="Error"),"",_xlpm.val),_xlpm.Res)</f>
        <v>#NAME?</v>
      </c>
      <c r="AK85" s="1669" t="e" cm="1">
        <f t="array" ca="1" aca="1" ref="AK85">_xlfn.LET(_xlpm.val,IF($F85="",val_blankRefText,_xldudf_CX_GET(CX_ENTITY,($F85),AK$11,AK$14,,(AK$60))),_xlpm.Res,IF(OR(_xlpm.val="",_xlpm.val="Error"),"",_xlpm.val),_xlpm.Res)</f>
        <v>#NAME?</v>
      </c>
      <c r="AL85" s="1669" t="e" cm="1">
        <f t="array" ca="1" aca="1" ref="AL85">_xlfn.LET(_xlpm.val,IF($F85="",val_blankRefText,_xldudf_CX_GET(CX_ENTITY,($F85),AL$11,AL$14,,(AL$60))),_xlpm.Res,IF(OR(_xlpm.val="",_xlpm.val="Error"),"",_xlpm.val),_xlpm.Res)</f>
        <v>#NAME?</v>
      </c>
      <c r="AM85" s="1669" t="e" cm="1">
        <f t="array" ca="1" aca="1" ref="AM85">_xlfn.LET(_xlpm.val,IF($F85="",val_blankRefText,_xldudf_CX_GET(CX_ENTITY,($F85),AM$11,AM$14,,(AM$60))),_xlpm.Res,IF(OR(_xlpm.val="",_xlpm.val="Error"),"",_xlpm.val),_xlpm.Res)</f>
        <v>#NAME?</v>
      </c>
      <c r="AN85" s="1669" t="e" cm="1">
        <f t="array" ca="1" aca="1" ref="AN85">_xlfn.LET(_xlpm.val,IF($F85="",val_blankRefText,_xldudf_CX_GET(CX_ENTITY,($F85),AN$11,AN$14,,(AN$60))),_xlpm.Res,IF(OR(_xlpm.val="",_xlpm.val="Error"),"",_xlpm.val),_xlpm.Res)</f>
        <v>#NAME?</v>
      </c>
      <c r="AO85" s="1669" t="e" cm="1">
        <f t="array" ca="1" aca="1" ref="AO85">_xlfn.LET(_xlpm.val,IF($F85="",val_blankRefText,_xldudf_CX_GET(CX_ENTITY,($F85),AO$11,AO$14,,(AO$60))),_xlpm.Res,IF(OR(_xlpm.val="",_xlpm.val="Error"),"",_xlpm.val),_xlpm.Res)</f>
        <v>#NAME?</v>
      </c>
      <c r="AP85" s="1669" t="e" cm="1">
        <f t="array" ca="1" aca="1" ref="AP85">_xlfn.LET(_xlpm.val,IF($F85="",val_blankRefText,_xldudf_CX_GET(CX_ENTITY,($F85),AP$11,AP$14,,(AP$60))),_xlpm.Res,IF(OR(_xlpm.val="",_xlpm.val="Error"),"",_xlpm.val),_xlpm.Res)</f>
        <v>#NAME?</v>
      </c>
      <c r="AQ85" s="1669" t="e" cm="1">
        <f t="array" ca="1" aca="1" ref="AQ85">_xlfn.LET(_xlpm.val,IF($F85="",val_blankRefText,_xldudf_CX_GET(CX_ENTITY,($F85),AQ$11,AQ$14,,(AQ$60))),_xlpm.Res,IF(OR(_xlpm.val="",_xlpm.val="Error"),"",_xlpm.val),_xlpm.Res)</f>
        <v>#NAME?</v>
      </c>
      <c r="AR85" s="1669" t="e" cm="1">
        <f t="array" ca="1" aca="1" ref="AR85">_xlfn.LET(_xlpm.val,IF($F85="",val_blankRefText,_xldudf_CX_GET(CX_ENTITY,($F85),AR$11,AR$14,,(AR$60))),_xlpm.Res,IF(OR(_xlpm.val="",_xlpm.val="Error"),"",_xlpm.val),_xlpm.Res)</f>
        <v>#NAME?</v>
      </c>
      <c r="AS85" s="1669" t="e" cm="1">
        <f t="array" ca="1" aca="1" ref="AS85">_xlfn.LET(_xlpm.val,IF($F85="",val_blankRefText,_xldudf_CX_GET(CX_ENTITY,($F85),AS$11,AS$14,,(AS$60))),_xlpm.Res,IF(OR(_xlpm.val="",_xlpm.val="Error"),"",_xlpm.val),_xlpm.Res)</f>
        <v>#NAME?</v>
      </c>
      <c r="AT85" s="1669" t="e" cm="1">
        <f t="array" ca="1" aca="1" ref="AT85">_xlfn.LET(_xlpm.val,IF($F85="",val_blankRefText,_xldudf_CX_GET(CX_ENTITY,($F85),AT$11,AT$14,,(AT$60))),_xlpm.Res,IF(OR(_xlpm.val="",_xlpm.val="Error"),"",_xlpm.val),_xlpm.Res)</f>
        <v>#NAME?</v>
      </c>
      <c r="AU85" s="1669" t="e" cm="1">
        <f t="array" ca="1" aca="1" ref="AU85">_xlfn.LET(_xlpm.val,IF($F85="",val_blankRefText,_xldudf_CX_GET(CX_ENTITY,($F85),AU$11,AU$14,,(AU$60))),_xlpm.Res,IF(OR(_xlpm.val="",_xlpm.val="Error"),"",_xlpm.val),_xlpm.Res)</f>
        <v>#NAME?</v>
      </c>
      <c r="AV85" s="1669" t="e" cm="1">
        <f t="array" ca="1" aca="1" ref="AV85">_xlfn.LET(_xlpm.val,IF($F85="",val_blankRefText,_xldudf_CX_GET(CX_ENTITY,($F85),AV$11,AV$14,,(AV$60))),_xlpm.Res,IF(OR(_xlpm.val="",_xlpm.val="Error"),"",_xlpm.val),_xlpm.Res)</f>
        <v>#NAME?</v>
      </c>
      <c r="AW85" s="1669" t="e" cm="1">
        <f t="array" ca="1" aca="1" ref="AW85">_xlfn.LET(_xlpm.val,IF($F85="",val_blankRefText,_xldudf_CX_GET(CX_ENTITY,($F85),AW$11,AW$14,,(AW$60))),_xlpm.Res,IF(OR(_xlpm.val="",_xlpm.val="Error"),"",_xlpm.val),_xlpm.Res)</f>
        <v>#NAME?</v>
      </c>
      <c r="AX85" s="1669" t="e" cm="1">
        <f t="array" ca="1" aca="1" ref="AX85">_xlfn.LET(_xlpm.val,IF($F85="",val_blankRefText,_xldudf_CX_GET(CX_ENTITY,($F85),AX$11,AX$14,,(AX$60))),_xlpm.Res,IF(OR(_xlpm.val="",_xlpm.val="Error"),"",_xlpm.val),_xlpm.Res)</f>
        <v>#NAME?</v>
      </c>
      <c r="AY85" s="1669" t="e" cm="1">
        <f t="array" ca="1" aca="1" ref="AY85">_xlfn.LET(_xlpm.val,IF($F85="",val_blankRefText,_xldudf_CX_GET(CX_ENTITY,($F85),AY$11,AY$14,,(AY$60))),_xlpm.Res,IF(OR(_xlpm.val="",_xlpm.val="Error"),"",_xlpm.val),_xlpm.Res)</f>
        <v>#NAME?</v>
      </c>
      <c r="AZ85" s="1669" t="e" cm="1">
        <f t="array" ca="1" aca="1" ref="AZ85">_xlfn.LET(_xlpm.val,IF($F85="",val_blankRefText,_xldudf_CX_GET(CX_ENTITY,($F85),AZ$11,AZ$14,,(AZ$60))),_xlpm.Res,IF(OR(_xlpm.val="",_xlpm.val="Error"),"",_xlpm.val),_xlpm.Res)</f>
        <v>#NAME?</v>
      </c>
      <c r="BA85" s="1669" t="e" cm="1">
        <f t="array" ca="1" aca="1" ref="BA85">_xlfn.LET(_xlpm.val,IF($F85="",val_blankRefText,_xldudf_CX_GET(CX_ENTITY,($F85),BA$11,BA$14,,(BA$60))),_xlpm.Res,IF(OR(_xlpm.val="",_xlpm.val="Error"),"",_xlpm.val),_xlpm.Res)</f>
        <v>#NAME?</v>
      </c>
      <c r="BB85" s="1669" t="e" cm="1">
        <f t="array" ca="1" aca="1" ref="BB85">_xlfn.LET(_xlpm.val,IF($F85="",val_blankRefText,_xldudf_CX_GET(CX_ENTITY,($F85),BB$11,BB$14,,(BB$60))),_xlpm.Res,IF(OR(_xlpm.val="",_xlpm.val="Error"),"",_xlpm.val),_xlpm.Res)</f>
        <v>#NAME?</v>
      </c>
      <c r="BC85" s="1669" t="e" cm="1">
        <f t="array" ca="1" aca="1" ref="BC85">_xlfn.LET(_xlpm.val,IF($F85="",val_blankRefText,_xldudf_CX_GET(CX_ENTITY,($F85),BC$11,BC$14,,(BC$60))),_xlpm.Res,IF(OR(_xlpm.val="",_xlpm.val="Error"),"",_xlpm.val),_xlpm.Res)</f>
        <v>#NAME?</v>
      </c>
      <c r="BD85" s="1669" t="e" cm="1">
        <f t="array" ca="1" aca="1" ref="BD85">_xlfn.LET(_xlpm.val,IF($F85="",val_blankRefText,_xldudf_CX_GET(CX_ENTITY,($F85),BD$11,BD$14,,(BD$60))),_xlpm.Res,IF(OR(_xlpm.val="",_xlpm.val="Error"),"",_xlpm.val),_xlpm.Res)</f>
        <v>#NAME?</v>
      </c>
      <c r="BE85" s="1669" t="e" cm="1">
        <f t="array" ca="1" aca="1" ref="BE85">_xlfn.LET(_xlpm.val,IF($F85="",val_blankRefText,_xldudf_CX_GET(CX_ENTITY,($F85),BE$11,BE$14,,(BE$60))),_xlpm.Res,IF(OR(_xlpm.val="",_xlpm.val="Error"),"",_xlpm.val),_xlpm.Res)</f>
        <v>#NAME?</v>
      </c>
      <c r="BF85" s="1669" t="e" cm="1">
        <f t="array" ca="1" aca="1" ref="BF85">_xlfn.LET(_xlpm.val,IF($F85="",val_blankRefText,_xldudf_CX_GET(CX_ENTITY,($F85),BF$11,BF$14,,(BF$60))),_xlpm.Res,IF(OR(_xlpm.val="",_xlpm.val="Error"),"",_xlpm.val),_xlpm.Res)</f>
        <v>#NAME?</v>
      </c>
      <c r="BG85" s="1669" t="e" cm="1">
        <f t="array" ca="1" aca="1" ref="BG85">_xlfn.LET(_xlpm.val,IF($F85="",val_blankRefText,_xldudf_CX_GET(CX_ENTITY,($F85),BG$11,BG$14,,(BG$60))),_xlpm.Res,IF(OR(_xlpm.val="",_xlpm.val="Error"),"",_xlpm.val),_xlpm.Res)</f>
        <v>#NAME?</v>
      </c>
      <c r="BH85" s="1669" t="e" cm="1">
        <f t="array" ca="1" aca="1" ref="BH85">_xlfn.LET(_xlpm.val,IF($F85="",val_blankRefText,_xldudf_CX_GET(CX_ENTITY,($F85),BH$11,BH$14,,(BH$60))),_xlpm.Res,IF(OR(_xlpm.val="",_xlpm.val="Error"),"",_xlpm.val),_xlpm.Res)</f>
        <v>#NAME?</v>
      </c>
      <c r="BI85" s="1669" t="e" cm="1">
        <f t="array" ca="1" aca="1" ref="BI85">_xlfn.LET(_xlpm.val,IF($F85="",val_blankRefText,_xldudf_CX_GET(CX_ENTITY,($F85),BI$11,BI$14,,(BI$60))),_xlpm.Res,IF(OR(_xlpm.val="",_xlpm.val="Error"),"",_xlpm.val),_xlpm.Res)</f>
        <v>#NAME?</v>
      </c>
      <c r="BJ85" s="1669" t="e" cm="1">
        <f t="array" ca="1" aca="1" ref="BJ85">_xlfn.LET(_xlpm.val,IF($F85="",val_blankRefText,_xldudf_CX_GET(CX_ENTITY,($F85),BJ$11,BJ$14,,(BJ$60))),_xlpm.Res,IF(OR(_xlpm.val="",_xlpm.val="Error"),"",_xlpm.val),_xlpm.Res)</f>
        <v>#NAME?</v>
      </c>
      <c r="BK85" s="1669" t="e" cm="1">
        <f t="array" ca="1" aca="1" ref="BK85">_xlfn.LET(_xlpm.val,IF($F85="",val_blankRefText,_xldudf_CX_GET(CX_ENTITY,($F85),BK$11,BK$14,,(BK$60))),_xlpm.Res,IF(OR(_xlpm.val="",_xlpm.val="Error"),"",_xlpm.val),_xlpm.Res)</f>
        <v>#NAME?</v>
      </c>
      <c r="BL85" s="1669" t="e" cm="1">
        <f t="array" ca="1" aca="1" ref="BL85">_xlfn.LET(_xlpm.val,IF($F85="",val_blankRefText,_xldudf_CX_GET(CX_ENTITY,($F85),BL$11,BL$14,,(BL$60))),_xlpm.Res,IF(OR(_xlpm.val="",_xlpm.val="Error"),"",_xlpm.val),_xlpm.Res)</f>
        <v>#NAME?</v>
      </c>
      <c r="BM85" s="1669" t="e" cm="1">
        <f t="array" ca="1" aca="1" ref="BM85">_xlfn.LET(_xlpm.val,IF($F85="",val_blankRefText,_xldudf_CX_GET(CX_ENTITY,($F85),BM$11,BM$14,,(BM$60))),_xlpm.Res,IF(OR(_xlpm.val="",_xlpm.val="Error"),"",_xlpm.val),_xlpm.Res)</f>
        <v>#NAME?</v>
      </c>
      <c r="BN85" s="1669" t="e" cm="1">
        <f t="array" ca="1" aca="1" ref="BN85">_xlfn.LET(_xlpm.val,IF($F85="",val_blankRefText,_xldudf_CX_GET(CX_ENTITY,($F85),BN$11,BN$14,,(BN$60))),_xlpm.Res,IF(OR(_xlpm.val="",_xlpm.val="Error"),"",_xlpm.val),_xlpm.Res)</f>
        <v>#NAME?</v>
      </c>
      <c r="BO85" s="2095"/>
      <c r="BP85" s="2095"/>
      <c r="BQ85" s="2095"/>
      <c r="BR85" s="2095"/>
      <c r="BS85" s="2095"/>
      <c r="BT85" s="2095"/>
      <c r="BU85" s="2095"/>
      <c r="BV85" s="2095"/>
      <c r="BW85" s="2095"/>
      <c r="BX85" s="2095"/>
      <c r="BY85" s="2095"/>
      <c r="BZ85" s="2095"/>
      <c r="CA85" s="926"/>
      <c r="CB85" s="921"/>
      <c r="CC85" s="927"/>
      <c r="CD85" s="920" t="e" cm="1">
        <f t="array" ca="1" aca="1" ref="CD85">_xlfn.XLOOKUP(BS!CD$11,array_timeline,BS!$AD85:$BN85)</f>
        <v>#NAME?</v>
      </c>
      <c r="CE85" s="920" t="e" cm="1">
        <f t="array" ca="1" aca="1" ref="CE85">_xlfn.XLOOKUP(BS!CE$11,array_timeline,BS!$AD85:$BN85)</f>
        <v>#NAME?</v>
      </c>
      <c r="CF85" s="925"/>
      <c r="CG85" s="920" t="e">
        <f ca="1" t="shared" si="38" ref="CG85:CH85">CG44</f>
        <v>#NAME?</v>
      </c>
      <c r="CH85" s="920" t="e">
        <f t="shared" ca="1" si="38"/>
        <v>#NAME?</v>
      </c>
      <c r="CI85" s="200"/>
    </row>
    <row r="86" spans="1:87" ht="21" customHeight="1">
      <c r="A86" s="693"/>
      <c r="B86" s="577" t="str">
        <f t="shared" si="10"/>
        <v>Potential Debt Like Items (on BS)</v>
      </c>
      <c r="C86" s="577" t="str">
        <f t="shared" si="10"/>
        <v>Potential Debt Like Items (Company View)</v>
      </c>
      <c r="D86" s="577"/>
      <c r="E86" s="577" t="e" cm="1">
        <f t="array" ca="1" aca="1" ref="E86">_xlfn.LET(_xlpm.Attr,$C86,_xlpm.Lookback,$E$16,_xlpm.QueryDate,EOMONTH(val_asOfDate,_xlpm.Lookback),_xlpm.ReadField,_xldudf_CX_GET(CX_ENTITY,fx_attrConverter($C86),_xlpm.QueryDate),_xlpm.AttrBlank,_xlpm.Attr="",_xlpm.RESULT,IF(_xlpm.AttrBlank,val_blankRefText,fx_attrConverter(_xlpm.ReadField,0)),IF(_xlpm.RESULT="Error","",_xlpm.RESULT))</f>
        <v>#NAME?</v>
      </c>
      <c r="F86" s="577" t="str">
        <f t="shared" si="9"/>
        <v>Potential Debt Like Items (on BS)</v>
      </c>
      <c r="G86" s="578"/>
      <c r="H86" s="3279">
        <v>2</v>
      </c>
      <c r="I86" s="3279">
        <v>1</v>
      </c>
      <c r="J86" s="578"/>
      <c r="K86" s="578"/>
      <c r="L86" s="579">
        <v>-1</v>
      </c>
      <c r="N86" s="158"/>
      <c r="O86" s="101"/>
      <c r="P86" s="52"/>
      <c r="Q86" s="101"/>
      <c r="R86" s="101"/>
      <c r="S86" s="101"/>
      <c r="T86" s="101"/>
      <c r="U86" s="39"/>
      <c r="W86" s="1291" t="str">
        <f t="shared" si="15"/>
        <v>Budget</v>
      </c>
      <c r="X86" s="1294">
        <f t="shared" si="11"/>
        <v>0</v>
      </c>
      <c r="Y86" s="2631" t="str">
        <f t="shared" si="12"/>
        <v>Potential Debt Like Items</v>
      </c>
      <c r="Z86" s="198" cm="1">
        <f t="array" ref="Z86">_xlfn.SWITCH(TRUE,$L86="",0,$L86=TRUE,1,$L86=FALSE,-1,)</f>
        <v>0</v>
      </c>
      <c r="AA86" s="924"/>
      <c r="AB86" s="2623" t="str">
        <f t="shared" si="13"/>
        <v>Potential Debt Like Items</v>
      </c>
      <c r="AC86" s="88"/>
      <c r="AD86" s="1669" t="e" cm="1">
        <f t="array" ca="1" aca="1" ref="AD86">_xlfn.LET(_xlpm.val,IF($F86="",val_blankRefText,_xldudf_CX_GET(CX_ENTITY,($F86),AD$11,AD$14,,(AD$60))),_xlpm.Res,IF(OR(_xlpm.val="",_xlpm.val="Error"),"",_xlpm.val),_xlpm.Res)</f>
        <v>#NAME?</v>
      </c>
      <c r="AE86" s="1669" t="e" cm="1">
        <f t="array" ca="1" aca="1" ref="AE86">_xlfn.LET(_xlpm.val,IF($F86="",val_blankRefText,_xldudf_CX_GET(CX_ENTITY,($F86),AE$11,AE$14,,(AE$60))),_xlpm.Res,IF(OR(_xlpm.val="",_xlpm.val="Error"),"",_xlpm.val),_xlpm.Res)</f>
        <v>#NAME?</v>
      </c>
      <c r="AF86" s="1669" t="e" cm="1">
        <f t="array" ca="1" aca="1" ref="AF86">_xlfn.LET(_xlpm.val,IF($F86="",val_blankRefText,_xldudf_CX_GET(CX_ENTITY,($F86),AF$11,AF$14,,(AF$60))),_xlpm.Res,IF(OR(_xlpm.val="",_xlpm.val="Error"),"",_xlpm.val),_xlpm.Res)</f>
        <v>#NAME?</v>
      </c>
      <c r="AG86" s="1669" t="e" cm="1">
        <f t="array" ca="1" aca="1" ref="AG86">_xlfn.LET(_xlpm.val,IF($F86="",val_blankRefText,_xldudf_CX_GET(CX_ENTITY,($F86),AG$11,AG$14,,(AG$60))),_xlpm.Res,IF(OR(_xlpm.val="",_xlpm.val="Error"),"",_xlpm.val),_xlpm.Res)</f>
        <v>#NAME?</v>
      </c>
      <c r="AH86" s="1669" t="e" cm="1">
        <f t="array" ca="1" aca="1" ref="AH86">_xlfn.LET(_xlpm.val,IF($F86="",val_blankRefText,_xldudf_CX_GET(CX_ENTITY,($F86),AH$11,AH$14,,(AH$60))),_xlpm.Res,IF(OR(_xlpm.val="",_xlpm.val="Error"),"",_xlpm.val),_xlpm.Res)</f>
        <v>#NAME?</v>
      </c>
      <c r="AI86" s="1669" t="e" cm="1">
        <f t="array" ca="1" aca="1" ref="AI86">_xlfn.LET(_xlpm.val,IF($F86="",val_blankRefText,_xldudf_CX_GET(CX_ENTITY,($F86),AI$11,AI$14,,(AI$60))),_xlpm.Res,IF(OR(_xlpm.val="",_xlpm.val="Error"),"",_xlpm.val),_xlpm.Res)</f>
        <v>#NAME?</v>
      </c>
      <c r="AJ86" s="1669" t="e" cm="1">
        <f t="array" ca="1" aca="1" ref="AJ86">_xlfn.LET(_xlpm.val,IF($F86="",val_blankRefText,_xldudf_CX_GET(CX_ENTITY,($F86),AJ$11,AJ$14,,(AJ$60))),_xlpm.Res,IF(OR(_xlpm.val="",_xlpm.val="Error"),"",_xlpm.val),_xlpm.Res)</f>
        <v>#NAME?</v>
      </c>
      <c r="AK86" s="1669" t="e" cm="1">
        <f t="array" ca="1" aca="1" ref="AK86">_xlfn.LET(_xlpm.val,IF($F86="",val_blankRefText,_xldudf_CX_GET(CX_ENTITY,($F86),AK$11,AK$14,,(AK$60))),_xlpm.Res,IF(OR(_xlpm.val="",_xlpm.val="Error"),"",_xlpm.val),_xlpm.Res)</f>
        <v>#NAME?</v>
      </c>
      <c r="AL86" s="1669" t="e" cm="1">
        <f t="array" ca="1" aca="1" ref="AL86">_xlfn.LET(_xlpm.val,IF($F86="",val_blankRefText,_xldudf_CX_GET(CX_ENTITY,($F86),AL$11,AL$14,,(AL$60))),_xlpm.Res,IF(OR(_xlpm.val="",_xlpm.val="Error"),"",_xlpm.val),_xlpm.Res)</f>
        <v>#NAME?</v>
      </c>
      <c r="AM86" s="1669" t="e" cm="1">
        <f t="array" ca="1" aca="1" ref="AM86">_xlfn.LET(_xlpm.val,IF($F86="",val_blankRefText,_xldudf_CX_GET(CX_ENTITY,($F86),AM$11,AM$14,,(AM$60))),_xlpm.Res,IF(OR(_xlpm.val="",_xlpm.val="Error"),"",_xlpm.val),_xlpm.Res)</f>
        <v>#NAME?</v>
      </c>
      <c r="AN86" s="1669" t="e" cm="1">
        <f t="array" ca="1" aca="1" ref="AN86">_xlfn.LET(_xlpm.val,IF($F86="",val_blankRefText,_xldudf_CX_GET(CX_ENTITY,($F86),AN$11,AN$14,,(AN$60))),_xlpm.Res,IF(OR(_xlpm.val="",_xlpm.val="Error"),"",_xlpm.val),_xlpm.Res)</f>
        <v>#NAME?</v>
      </c>
      <c r="AO86" s="1669" t="e" cm="1">
        <f t="array" ca="1" aca="1" ref="AO86">_xlfn.LET(_xlpm.val,IF($F86="",val_blankRefText,_xldudf_CX_GET(CX_ENTITY,($F86),AO$11,AO$14,,(AO$60))),_xlpm.Res,IF(OR(_xlpm.val="",_xlpm.val="Error"),"",_xlpm.val),_xlpm.Res)</f>
        <v>#NAME?</v>
      </c>
      <c r="AP86" s="1669" t="e" cm="1">
        <f t="array" ca="1" aca="1" ref="AP86">_xlfn.LET(_xlpm.val,IF($F86="",val_blankRefText,_xldudf_CX_GET(CX_ENTITY,($F86),AP$11,AP$14,,(AP$60))),_xlpm.Res,IF(OR(_xlpm.val="",_xlpm.val="Error"),"",_xlpm.val),_xlpm.Res)</f>
        <v>#NAME?</v>
      </c>
      <c r="AQ86" s="1669" t="e" cm="1">
        <f t="array" ca="1" aca="1" ref="AQ86">_xlfn.LET(_xlpm.val,IF($F86="",val_blankRefText,_xldudf_CX_GET(CX_ENTITY,($F86),AQ$11,AQ$14,,(AQ$60))),_xlpm.Res,IF(OR(_xlpm.val="",_xlpm.val="Error"),"",_xlpm.val),_xlpm.Res)</f>
        <v>#NAME?</v>
      </c>
      <c r="AR86" s="1669" t="e" cm="1">
        <f t="array" ca="1" aca="1" ref="AR86">_xlfn.LET(_xlpm.val,IF($F86="",val_blankRefText,_xldudf_CX_GET(CX_ENTITY,($F86),AR$11,AR$14,,(AR$60))),_xlpm.Res,IF(OR(_xlpm.val="",_xlpm.val="Error"),"",_xlpm.val),_xlpm.Res)</f>
        <v>#NAME?</v>
      </c>
      <c r="AS86" s="1669" t="e" cm="1">
        <f t="array" ca="1" aca="1" ref="AS86">_xlfn.LET(_xlpm.val,IF($F86="",val_blankRefText,_xldudf_CX_GET(CX_ENTITY,($F86),AS$11,AS$14,,(AS$60))),_xlpm.Res,IF(OR(_xlpm.val="",_xlpm.val="Error"),"",_xlpm.val),_xlpm.Res)</f>
        <v>#NAME?</v>
      </c>
      <c r="AT86" s="1669" t="e" cm="1">
        <f t="array" ca="1" aca="1" ref="AT86">_xlfn.LET(_xlpm.val,IF($F86="",val_blankRefText,_xldudf_CX_GET(CX_ENTITY,($F86),AT$11,AT$14,,(AT$60))),_xlpm.Res,IF(OR(_xlpm.val="",_xlpm.val="Error"),"",_xlpm.val),_xlpm.Res)</f>
        <v>#NAME?</v>
      </c>
      <c r="AU86" s="1669" t="e" cm="1">
        <f t="array" ca="1" aca="1" ref="AU86">_xlfn.LET(_xlpm.val,IF($F86="",val_blankRefText,_xldudf_CX_GET(CX_ENTITY,($F86),AU$11,AU$14,,(AU$60))),_xlpm.Res,IF(OR(_xlpm.val="",_xlpm.val="Error"),"",_xlpm.val),_xlpm.Res)</f>
        <v>#NAME?</v>
      </c>
      <c r="AV86" s="1669" t="e" cm="1">
        <f t="array" ca="1" aca="1" ref="AV86">_xlfn.LET(_xlpm.val,IF($F86="",val_blankRefText,_xldudf_CX_GET(CX_ENTITY,($F86),AV$11,AV$14,,(AV$60))),_xlpm.Res,IF(OR(_xlpm.val="",_xlpm.val="Error"),"",_xlpm.val),_xlpm.Res)</f>
        <v>#NAME?</v>
      </c>
      <c r="AW86" s="1669" t="e" cm="1">
        <f t="array" ca="1" aca="1" ref="AW86">_xlfn.LET(_xlpm.val,IF($F86="",val_blankRefText,_xldudf_CX_GET(CX_ENTITY,($F86),AW$11,AW$14,,(AW$60))),_xlpm.Res,IF(OR(_xlpm.val="",_xlpm.val="Error"),"",_xlpm.val),_xlpm.Res)</f>
        <v>#NAME?</v>
      </c>
      <c r="AX86" s="1669" t="e" cm="1">
        <f t="array" ca="1" aca="1" ref="AX86">_xlfn.LET(_xlpm.val,IF($F86="",val_blankRefText,_xldudf_CX_GET(CX_ENTITY,($F86),AX$11,AX$14,,(AX$60))),_xlpm.Res,IF(OR(_xlpm.val="",_xlpm.val="Error"),"",_xlpm.val),_xlpm.Res)</f>
        <v>#NAME?</v>
      </c>
      <c r="AY86" s="1669" t="e" cm="1">
        <f t="array" ca="1" aca="1" ref="AY86">_xlfn.LET(_xlpm.val,IF($F86="",val_blankRefText,_xldudf_CX_GET(CX_ENTITY,($F86),AY$11,AY$14,,(AY$60))),_xlpm.Res,IF(OR(_xlpm.val="",_xlpm.val="Error"),"",_xlpm.val),_xlpm.Res)</f>
        <v>#NAME?</v>
      </c>
      <c r="AZ86" s="1669" t="e" cm="1">
        <f t="array" ca="1" aca="1" ref="AZ86">_xlfn.LET(_xlpm.val,IF($F86="",val_blankRefText,_xldudf_CX_GET(CX_ENTITY,($F86),AZ$11,AZ$14,,(AZ$60))),_xlpm.Res,IF(OR(_xlpm.val="",_xlpm.val="Error"),"",_xlpm.val),_xlpm.Res)</f>
        <v>#NAME?</v>
      </c>
      <c r="BA86" s="1669" t="e" cm="1">
        <f t="array" ca="1" aca="1" ref="BA86">_xlfn.LET(_xlpm.val,IF($F86="",val_blankRefText,_xldudf_CX_GET(CX_ENTITY,($F86),BA$11,BA$14,,(BA$60))),_xlpm.Res,IF(OR(_xlpm.val="",_xlpm.val="Error"),"",_xlpm.val),_xlpm.Res)</f>
        <v>#NAME?</v>
      </c>
      <c r="BB86" s="1669" t="e" cm="1">
        <f t="array" ca="1" aca="1" ref="BB86">_xlfn.LET(_xlpm.val,IF($F86="",val_blankRefText,_xldudf_CX_GET(CX_ENTITY,($F86),BB$11,BB$14,,(BB$60))),_xlpm.Res,IF(OR(_xlpm.val="",_xlpm.val="Error"),"",_xlpm.val),_xlpm.Res)</f>
        <v>#NAME?</v>
      </c>
      <c r="BC86" s="1669" t="e" cm="1">
        <f t="array" ca="1" aca="1" ref="BC86">_xlfn.LET(_xlpm.val,IF($F86="",val_blankRefText,_xldudf_CX_GET(CX_ENTITY,($F86),BC$11,BC$14,,(BC$60))),_xlpm.Res,IF(OR(_xlpm.val="",_xlpm.val="Error"),"",_xlpm.val),_xlpm.Res)</f>
        <v>#NAME?</v>
      </c>
      <c r="BD86" s="1669" t="e" cm="1">
        <f t="array" ca="1" aca="1" ref="BD86">_xlfn.LET(_xlpm.val,IF($F86="",val_blankRefText,_xldudf_CX_GET(CX_ENTITY,($F86),BD$11,BD$14,,(BD$60))),_xlpm.Res,IF(OR(_xlpm.val="",_xlpm.val="Error"),"",_xlpm.val),_xlpm.Res)</f>
        <v>#NAME?</v>
      </c>
      <c r="BE86" s="1669" t="e" cm="1">
        <f t="array" ca="1" aca="1" ref="BE86">_xlfn.LET(_xlpm.val,IF($F86="",val_blankRefText,_xldudf_CX_GET(CX_ENTITY,($F86),BE$11,BE$14,,(BE$60))),_xlpm.Res,IF(OR(_xlpm.val="",_xlpm.val="Error"),"",_xlpm.val),_xlpm.Res)</f>
        <v>#NAME?</v>
      </c>
      <c r="BF86" s="1669" t="e" cm="1">
        <f t="array" ca="1" aca="1" ref="BF86">_xlfn.LET(_xlpm.val,IF($F86="",val_blankRefText,_xldudf_CX_GET(CX_ENTITY,($F86),BF$11,BF$14,,(BF$60))),_xlpm.Res,IF(OR(_xlpm.val="",_xlpm.val="Error"),"",_xlpm.val),_xlpm.Res)</f>
        <v>#NAME?</v>
      </c>
      <c r="BG86" s="1669" t="e" cm="1">
        <f t="array" ca="1" aca="1" ref="BG86">_xlfn.LET(_xlpm.val,IF($F86="",val_blankRefText,_xldudf_CX_GET(CX_ENTITY,($F86),BG$11,BG$14,,(BG$60))),_xlpm.Res,IF(OR(_xlpm.val="",_xlpm.val="Error"),"",_xlpm.val),_xlpm.Res)</f>
        <v>#NAME?</v>
      </c>
      <c r="BH86" s="1669" t="e" cm="1">
        <f t="array" ca="1" aca="1" ref="BH86">_xlfn.LET(_xlpm.val,IF($F86="",val_blankRefText,_xldudf_CX_GET(CX_ENTITY,($F86),BH$11,BH$14,,(BH$60))),_xlpm.Res,IF(OR(_xlpm.val="",_xlpm.val="Error"),"",_xlpm.val),_xlpm.Res)</f>
        <v>#NAME?</v>
      </c>
      <c r="BI86" s="1669" t="e" cm="1">
        <f t="array" ca="1" aca="1" ref="BI86">_xlfn.LET(_xlpm.val,IF($F86="",val_blankRefText,_xldudf_CX_GET(CX_ENTITY,($F86),BI$11,BI$14,,(BI$60))),_xlpm.Res,IF(OR(_xlpm.val="",_xlpm.val="Error"),"",_xlpm.val),_xlpm.Res)</f>
        <v>#NAME?</v>
      </c>
      <c r="BJ86" s="1669" t="e" cm="1">
        <f t="array" ca="1" aca="1" ref="BJ86">_xlfn.LET(_xlpm.val,IF($F86="",val_blankRefText,_xldudf_CX_GET(CX_ENTITY,($F86),BJ$11,BJ$14,,(BJ$60))),_xlpm.Res,IF(OR(_xlpm.val="",_xlpm.val="Error"),"",_xlpm.val),_xlpm.Res)</f>
        <v>#NAME?</v>
      </c>
      <c r="BK86" s="1669" t="e" cm="1">
        <f t="array" ca="1" aca="1" ref="BK86">_xlfn.LET(_xlpm.val,IF($F86="",val_blankRefText,_xldudf_CX_GET(CX_ENTITY,($F86),BK$11,BK$14,,(BK$60))),_xlpm.Res,IF(OR(_xlpm.val="",_xlpm.val="Error"),"",_xlpm.val),_xlpm.Res)</f>
        <v>#NAME?</v>
      </c>
      <c r="BL86" s="1669" t="e" cm="1">
        <f t="array" ca="1" aca="1" ref="BL86">_xlfn.LET(_xlpm.val,IF($F86="",val_blankRefText,_xldudf_CX_GET(CX_ENTITY,($F86),BL$11,BL$14,,(BL$60))),_xlpm.Res,IF(OR(_xlpm.val="",_xlpm.val="Error"),"",_xlpm.val),_xlpm.Res)</f>
        <v>#NAME?</v>
      </c>
      <c r="BM86" s="1669" t="e" cm="1">
        <f t="array" ca="1" aca="1" ref="BM86">_xlfn.LET(_xlpm.val,IF($F86="",val_blankRefText,_xldudf_CX_GET(CX_ENTITY,($F86),BM$11,BM$14,,(BM$60))),_xlpm.Res,IF(OR(_xlpm.val="",_xlpm.val="Error"),"",_xlpm.val),_xlpm.Res)</f>
        <v>#NAME?</v>
      </c>
      <c r="BN86" s="1669" t="e" cm="1">
        <f t="array" ca="1" aca="1" ref="BN86">_xlfn.LET(_xlpm.val,IF($F86="",val_blankRefText,_xldudf_CX_GET(CX_ENTITY,($F86),BN$11,BN$14,,(BN$60))),_xlpm.Res,IF(OR(_xlpm.val="",_xlpm.val="Error"),"",_xlpm.val),_xlpm.Res)</f>
        <v>#NAME?</v>
      </c>
      <c r="BO86" s="2095"/>
      <c r="BP86" s="2095"/>
      <c r="BQ86" s="2095"/>
      <c r="BR86" s="2095"/>
      <c r="BS86" s="2095"/>
      <c r="BT86" s="2095"/>
      <c r="BU86" s="2095"/>
      <c r="BV86" s="2095"/>
      <c r="BW86" s="2095"/>
      <c r="BX86" s="2095"/>
      <c r="BY86" s="2095"/>
      <c r="BZ86" s="2095"/>
      <c r="CA86" s="926"/>
      <c r="CB86" s="921"/>
      <c r="CC86" s="927"/>
      <c r="CD86" s="919" t="e" cm="1">
        <f t="array" ca="1" aca="1" ref="CD86">_xlfn.XLOOKUP(BS!CD$11,array_timeline,BS!$AD86:$BN86)</f>
        <v>#NAME?</v>
      </c>
      <c r="CE86" s="919" t="e" cm="1">
        <f t="array" ca="1" aca="1" ref="CE86">_xlfn.XLOOKUP(BS!CE$11,array_timeline,BS!$AD86:$BN86)</f>
        <v>#NAME?</v>
      </c>
      <c r="CF86" s="925"/>
      <c r="CG86" s="928" t="e">
        <f ca="1" t="shared" si="39" ref="CG86:CH86">CG45</f>
        <v>#NAME?</v>
      </c>
      <c r="CH86" s="928" t="e">
        <f t="shared" ca="1" si="39"/>
        <v>#NAME?</v>
      </c>
      <c r="CI86" s="924"/>
    </row>
    <row r="87" spans="1:87" ht="21" customHeight="1">
      <c r="A87" s="693"/>
      <c r="B87" s="577" t="str">
        <f t="shared" si="10"/>
        <v>Net (Debt) / Cash</v>
      </c>
      <c r="C87" s="577" t="str">
        <f t="shared" si="10"/>
        <v>Net (Debt) / Cash (Company View)</v>
      </c>
      <c r="D87" s="577"/>
      <c r="E87" s="577" t="e" cm="1">
        <f t="array" ca="1" aca="1" ref="E87">_xlfn.LET(_xlpm.Attr,$C87,_xlpm.Lookback,$E$16,_xlpm.QueryDate,EOMONTH(val_asOfDate,_xlpm.Lookback),_xlpm.ReadField,_xldudf_CX_GET(CX_ENTITY,fx_attrConverter($C87),_xlpm.QueryDate),_xlpm.AttrBlank,_xlpm.Attr="",_xlpm.RESULT,IF(_xlpm.AttrBlank,val_blankRefText,fx_attrConverter(_xlpm.ReadField,0)),IF(_xlpm.RESULT="Error","",_xlpm.RESULT))</f>
        <v>#NAME?</v>
      </c>
      <c r="F87" s="577" t="str">
        <f t="shared" si="9"/>
        <v>Net (Debt) / Cash</v>
      </c>
      <c r="G87" s="578"/>
      <c r="H87" s="3279">
        <v>2</v>
      </c>
      <c r="I87" s="3279">
        <v>1</v>
      </c>
      <c r="J87" s="578"/>
      <c r="K87" s="578"/>
      <c r="L87" s="579">
        <v>-1</v>
      </c>
      <c r="N87" s="158"/>
      <c r="O87" s="101"/>
      <c r="P87" s="52"/>
      <c r="Q87" s="101"/>
      <c r="R87" s="101"/>
      <c r="S87" s="101"/>
      <c r="T87" s="101"/>
      <c r="U87" s="39"/>
      <c r="W87" s="1291" t="str">
        <f t="shared" si="15"/>
        <v>Budget</v>
      </c>
      <c r="X87" s="1294">
        <f t="shared" si="11"/>
        <v>0</v>
      </c>
      <c r="Y87" s="2631" t="str">
        <f t="shared" si="12"/>
        <v>Net Debt / (Cash)</v>
      </c>
      <c r="Z87" s="198" cm="1">
        <f t="array" ref="Z87">_xlfn.SWITCH(TRUE,$L87="",0,$L87=TRUE,1,$L87=FALSE,-1,)</f>
        <v>0</v>
      </c>
      <c r="AA87" s="924"/>
      <c r="AB87" s="2623" t="str">
        <f t="shared" si="13"/>
        <v>Net Debt / (Cash)</v>
      </c>
      <c r="AC87" s="88"/>
      <c r="AD87" s="1669" t="e" cm="1">
        <f t="array" ca="1" aca="1" ref="AD87">_xlfn.LET(_xlpm.val,IF($F87="",val_blankRefText,_xldudf_CX_GET(CX_ENTITY,($F87),AD$11,AD$14,,(AD$60))),_xlpm.Res,IF(OR(_xlpm.val="",_xlpm.val="Error"),"",_xlpm.val),_xlpm.Res)</f>
        <v>#NAME?</v>
      </c>
      <c r="AE87" s="1669" t="e" cm="1">
        <f t="array" ca="1" aca="1" ref="AE87">_xlfn.LET(_xlpm.val,IF($F87="",val_blankRefText,_xldudf_CX_GET(CX_ENTITY,($F87),AE$11,AE$14,,(AE$60))),_xlpm.Res,IF(OR(_xlpm.val="",_xlpm.val="Error"),"",_xlpm.val),_xlpm.Res)</f>
        <v>#NAME?</v>
      </c>
      <c r="AF87" s="1669" t="e" cm="1">
        <f t="array" ca="1" aca="1" ref="AF87">_xlfn.LET(_xlpm.val,IF($F87="",val_blankRefText,_xldudf_CX_GET(CX_ENTITY,($F87),AF$11,AF$14,,(AF$60))),_xlpm.Res,IF(OR(_xlpm.val="",_xlpm.val="Error"),"",_xlpm.val),_xlpm.Res)</f>
        <v>#NAME?</v>
      </c>
      <c r="AG87" s="1669" t="e" cm="1">
        <f t="array" ca="1" aca="1" ref="AG87">_xlfn.LET(_xlpm.val,IF($F87="",val_blankRefText,_xldudf_CX_GET(CX_ENTITY,($F87),AG$11,AG$14,,(AG$60))),_xlpm.Res,IF(OR(_xlpm.val="",_xlpm.val="Error"),"",_xlpm.val),_xlpm.Res)</f>
        <v>#NAME?</v>
      </c>
      <c r="AH87" s="1669" t="e" cm="1">
        <f t="array" ca="1" aca="1" ref="AH87">_xlfn.LET(_xlpm.val,IF($F87="",val_blankRefText,_xldudf_CX_GET(CX_ENTITY,($F87),AH$11,AH$14,,(AH$60))),_xlpm.Res,IF(OR(_xlpm.val="",_xlpm.val="Error"),"",_xlpm.val),_xlpm.Res)</f>
        <v>#NAME?</v>
      </c>
      <c r="AI87" s="1669" t="e" cm="1">
        <f t="array" ca="1" aca="1" ref="AI87">_xlfn.LET(_xlpm.val,IF($F87="",val_blankRefText,_xldudf_CX_GET(CX_ENTITY,($F87),AI$11,AI$14,,(AI$60))),_xlpm.Res,IF(OR(_xlpm.val="",_xlpm.val="Error"),"",_xlpm.val),_xlpm.Res)</f>
        <v>#NAME?</v>
      </c>
      <c r="AJ87" s="1669" t="e" cm="1">
        <f t="array" ca="1" aca="1" ref="AJ87">_xlfn.LET(_xlpm.val,IF($F87="",val_blankRefText,_xldudf_CX_GET(CX_ENTITY,($F87),AJ$11,AJ$14,,(AJ$60))),_xlpm.Res,IF(OR(_xlpm.val="",_xlpm.val="Error"),"",_xlpm.val),_xlpm.Res)</f>
        <v>#NAME?</v>
      </c>
      <c r="AK87" s="1669" t="e" cm="1">
        <f t="array" ca="1" aca="1" ref="AK87">_xlfn.LET(_xlpm.val,IF($F87="",val_blankRefText,_xldudf_CX_GET(CX_ENTITY,($F87),AK$11,AK$14,,(AK$60))),_xlpm.Res,IF(OR(_xlpm.val="",_xlpm.val="Error"),"",_xlpm.val),_xlpm.Res)</f>
        <v>#NAME?</v>
      </c>
      <c r="AL87" s="1669" t="e" cm="1">
        <f t="array" ca="1" aca="1" ref="AL87">_xlfn.LET(_xlpm.val,IF($F87="",val_blankRefText,_xldudf_CX_GET(CX_ENTITY,($F87),AL$11,AL$14,,(AL$60))),_xlpm.Res,IF(OR(_xlpm.val="",_xlpm.val="Error"),"",_xlpm.val),_xlpm.Res)</f>
        <v>#NAME?</v>
      </c>
      <c r="AM87" s="1669" t="e" cm="1">
        <f t="array" ca="1" aca="1" ref="AM87">_xlfn.LET(_xlpm.val,IF($F87="",val_blankRefText,_xldudf_CX_GET(CX_ENTITY,($F87),AM$11,AM$14,,(AM$60))),_xlpm.Res,IF(OR(_xlpm.val="",_xlpm.val="Error"),"",_xlpm.val),_xlpm.Res)</f>
        <v>#NAME?</v>
      </c>
      <c r="AN87" s="1669" t="e" cm="1">
        <f t="array" ca="1" aca="1" ref="AN87">_xlfn.LET(_xlpm.val,IF($F87="",val_blankRefText,_xldudf_CX_GET(CX_ENTITY,($F87),AN$11,AN$14,,(AN$60))),_xlpm.Res,IF(OR(_xlpm.val="",_xlpm.val="Error"),"",_xlpm.val),_xlpm.Res)</f>
        <v>#NAME?</v>
      </c>
      <c r="AO87" s="1669" t="e" cm="1">
        <f t="array" ca="1" aca="1" ref="AO87">_xlfn.LET(_xlpm.val,IF($F87="",val_blankRefText,_xldudf_CX_GET(CX_ENTITY,($F87),AO$11,AO$14,,(AO$60))),_xlpm.Res,IF(OR(_xlpm.val="",_xlpm.val="Error"),"",_xlpm.val),_xlpm.Res)</f>
        <v>#NAME?</v>
      </c>
      <c r="AP87" s="1669" t="e" cm="1">
        <f t="array" ca="1" aca="1" ref="AP87">_xlfn.LET(_xlpm.val,IF($F87="",val_blankRefText,_xldudf_CX_GET(CX_ENTITY,($F87),AP$11,AP$14,,(AP$60))),_xlpm.Res,IF(OR(_xlpm.val="",_xlpm.val="Error"),"",_xlpm.val),_xlpm.Res)</f>
        <v>#NAME?</v>
      </c>
      <c r="AQ87" s="1669" t="e" cm="1">
        <f t="array" ca="1" aca="1" ref="AQ87">_xlfn.LET(_xlpm.val,IF($F87="",val_blankRefText,_xldudf_CX_GET(CX_ENTITY,($F87),AQ$11,AQ$14,,(AQ$60))),_xlpm.Res,IF(OR(_xlpm.val="",_xlpm.val="Error"),"",_xlpm.val),_xlpm.Res)</f>
        <v>#NAME?</v>
      </c>
      <c r="AR87" s="1669" t="e" cm="1">
        <f t="array" ca="1" aca="1" ref="AR87">_xlfn.LET(_xlpm.val,IF($F87="",val_blankRefText,_xldudf_CX_GET(CX_ENTITY,($F87),AR$11,AR$14,,(AR$60))),_xlpm.Res,IF(OR(_xlpm.val="",_xlpm.val="Error"),"",_xlpm.val),_xlpm.Res)</f>
        <v>#NAME?</v>
      </c>
      <c r="AS87" s="1669" t="e" cm="1">
        <f t="array" ca="1" aca="1" ref="AS87">_xlfn.LET(_xlpm.val,IF($F87="",val_blankRefText,_xldudf_CX_GET(CX_ENTITY,($F87),AS$11,AS$14,,(AS$60))),_xlpm.Res,IF(OR(_xlpm.val="",_xlpm.val="Error"),"",_xlpm.val),_xlpm.Res)</f>
        <v>#NAME?</v>
      </c>
      <c r="AT87" s="1669" t="e" cm="1">
        <f t="array" ca="1" aca="1" ref="AT87">_xlfn.LET(_xlpm.val,IF($F87="",val_blankRefText,_xldudf_CX_GET(CX_ENTITY,($F87),AT$11,AT$14,,(AT$60))),_xlpm.Res,IF(OR(_xlpm.val="",_xlpm.val="Error"),"",_xlpm.val),_xlpm.Res)</f>
        <v>#NAME?</v>
      </c>
      <c r="AU87" s="1669" t="e" cm="1">
        <f t="array" ca="1" aca="1" ref="AU87">_xlfn.LET(_xlpm.val,IF($F87="",val_blankRefText,_xldudf_CX_GET(CX_ENTITY,($F87),AU$11,AU$14,,(AU$60))),_xlpm.Res,IF(OR(_xlpm.val="",_xlpm.val="Error"),"",_xlpm.val),_xlpm.Res)</f>
        <v>#NAME?</v>
      </c>
      <c r="AV87" s="1669" t="e" cm="1">
        <f t="array" ca="1" aca="1" ref="AV87">_xlfn.LET(_xlpm.val,IF($F87="",val_blankRefText,_xldudf_CX_GET(CX_ENTITY,($F87),AV$11,AV$14,,(AV$60))),_xlpm.Res,IF(OR(_xlpm.val="",_xlpm.val="Error"),"",_xlpm.val),_xlpm.Res)</f>
        <v>#NAME?</v>
      </c>
      <c r="AW87" s="1669" t="e" cm="1">
        <f t="array" ca="1" aca="1" ref="AW87">_xlfn.LET(_xlpm.val,IF($F87="",val_blankRefText,_xldudf_CX_GET(CX_ENTITY,($F87),AW$11,AW$14,,(AW$60))),_xlpm.Res,IF(OR(_xlpm.val="",_xlpm.val="Error"),"",_xlpm.val),_xlpm.Res)</f>
        <v>#NAME?</v>
      </c>
      <c r="AX87" s="1669" t="e" cm="1">
        <f t="array" ca="1" aca="1" ref="AX87">_xlfn.LET(_xlpm.val,IF($F87="",val_blankRefText,_xldudf_CX_GET(CX_ENTITY,($F87),AX$11,AX$14,,(AX$60))),_xlpm.Res,IF(OR(_xlpm.val="",_xlpm.val="Error"),"",_xlpm.val),_xlpm.Res)</f>
        <v>#NAME?</v>
      </c>
      <c r="AY87" s="1669" t="e" cm="1">
        <f t="array" ca="1" aca="1" ref="AY87">_xlfn.LET(_xlpm.val,IF($F87="",val_blankRefText,_xldudf_CX_GET(CX_ENTITY,($F87),AY$11,AY$14,,(AY$60))),_xlpm.Res,IF(OR(_xlpm.val="",_xlpm.val="Error"),"",_xlpm.val),_xlpm.Res)</f>
        <v>#NAME?</v>
      </c>
      <c r="AZ87" s="1669" t="e" cm="1">
        <f t="array" ca="1" aca="1" ref="AZ87">_xlfn.LET(_xlpm.val,IF($F87="",val_blankRefText,_xldudf_CX_GET(CX_ENTITY,($F87),AZ$11,AZ$14,,(AZ$60))),_xlpm.Res,IF(OR(_xlpm.val="",_xlpm.val="Error"),"",_xlpm.val),_xlpm.Res)</f>
        <v>#NAME?</v>
      </c>
      <c r="BA87" s="1669" t="e" cm="1">
        <f t="array" ca="1" aca="1" ref="BA87">_xlfn.LET(_xlpm.val,IF($F87="",val_blankRefText,_xldudf_CX_GET(CX_ENTITY,($F87),BA$11,BA$14,,(BA$60))),_xlpm.Res,IF(OR(_xlpm.val="",_xlpm.val="Error"),"",_xlpm.val),_xlpm.Res)</f>
        <v>#NAME?</v>
      </c>
      <c r="BB87" s="1669" t="e" cm="1">
        <f t="array" ca="1" aca="1" ref="BB87">_xlfn.LET(_xlpm.val,IF($F87="",val_blankRefText,_xldudf_CX_GET(CX_ENTITY,($F87),BB$11,BB$14,,(BB$60))),_xlpm.Res,IF(OR(_xlpm.val="",_xlpm.val="Error"),"",_xlpm.val),_xlpm.Res)</f>
        <v>#NAME?</v>
      </c>
      <c r="BC87" s="1669" t="e" cm="1">
        <f t="array" ca="1" aca="1" ref="BC87">_xlfn.LET(_xlpm.val,IF($F87="",val_blankRefText,_xldudf_CX_GET(CX_ENTITY,($F87),BC$11,BC$14,,(BC$60))),_xlpm.Res,IF(OR(_xlpm.val="",_xlpm.val="Error"),"",_xlpm.val),_xlpm.Res)</f>
        <v>#NAME?</v>
      </c>
      <c r="BD87" s="1669" t="e" cm="1">
        <f t="array" ca="1" aca="1" ref="BD87">_xlfn.LET(_xlpm.val,IF($F87="",val_blankRefText,_xldudf_CX_GET(CX_ENTITY,($F87),BD$11,BD$14,,(BD$60))),_xlpm.Res,IF(OR(_xlpm.val="",_xlpm.val="Error"),"",_xlpm.val),_xlpm.Res)</f>
        <v>#NAME?</v>
      </c>
      <c r="BE87" s="1669" t="e" cm="1">
        <f t="array" ca="1" aca="1" ref="BE87">_xlfn.LET(_xlpm.val,IF($F87="",val_blankRefText,_xldudf_CX_GET(CX_ENTITY,($F87),BE$11,BE$14,,(BE$60))),_xlpm.Res,IF(OR(_xlpm.val="",_xlpm.val="Error"),"",_xlpm.val),_xlpm.Res)</f>
        <v>#NAME?</v>
      </c>
      <c r="BF87" s="1669" t="e" cm="1">
        <f t="array" ca="1" aca="1" ref="BF87">_xlfn.LET(_xlpm.val,IF($F87="",val_blankRefText,_xldudf_CX_GET(CX_ENTITY,($F87),BF$11,BF$14,,(BF$60))),_xlpm.Res,IF(OR(_xlpm.val="",_xlpm.val="Error"),"",_xlpm.val),_xlpm.Res)</f>
        <v>#NAME?</v>
      </c>
      <c r="BG87" s="1669" t="e" cm="1">
        <f t="array" ca="1" aca="1" ref="BG87">_xlfn.LET(_xlpm.val,IF($F87="",val_blankRefText,_xldudf_CX_GET(CX_ENTITY,($F87),BG$11,BG$14,,(BG$60))),_xlpm.Res,IF(OR(_xlpm.val="",_xlpm.val="Error"),"",_xlpm.val),_xlpm.Res)</f>
        <v>#NAME?</v>
      </c>
      <c r="BH87" s="1669" t="e" cm="1">
        <f t="array" ca="1" aca="1" ref="BH87">_xlfn.LET(_xlpm.val,IF($F87="",val_blankRefText,_xldudf_CX_GET(CX_ENTITY,($F87),BH$11,BH$14,,(BH$60))),_xlpm.Res,IF(OR(_xlpm.val="",_xlpm.val="Error"),"",_xlpm.val),_xlpm.Res)</f>
        <v>#NAME?</v>
      </c>
      <c r="BI87" s="1669" t="e" cm="1">
        <f t="array" ca="1" aca="1" ref="BI87">_xlfn.LET(_xlpm.val,IF($F87="",val_blankRefText,_xldudf_CX_GET(CX_ENTITY,($F87),BI$11,BI$14,,(BI$60))),_xlpm.Res,IF(OR(_xlpm.val="",_xlpm.val="Error"),"",_xlpm.val),_xlpm.Res)</f>
        <v>#NAME?</v>
      </c>
      <c r="BJ87" s="1669" t="e" cm="1">
        <f t="array" ca="1" aca="1" ref="BJ87">_xlfn.LET(_xlpm.val,IF($F87="",val_blankRefText,_xldudf_CX_GET(CX_ENTITY,($F87),BJ$11,BJ$14,,(BJ$60))),_xlpm.Res,IF(OR(_xlpm.val="",_xlpm.val="Error"),"",_xlpm.val),_xlpm.Res)</f>
        <v>#NAME?</v>
      </c>
      <c r="BK87" s="1669" t="e" cm="1">
        <f t="array" ca="1" aca="1" ref="BK87">_xlfn.LET(_xlpm.val,IF($F87="",val_blankRefText,_xldudf_CX_GET(CX_ENTITY,($F87),BK$11,BK$14,,(BK$60))),_xlpm.Res,IF(OR(_xlpm.val="",_xlpm.val="Error"),"",_xlpm.val),_xlpm.Res)</f>
        <v>#NAME?</v>
      </c>
      <c r="BL87" s="1669" t="e" cm="1">
        <f t="array" ca="1" aca="1" ref="BL87">_xlfn.LET(_xlpm.val,IF($F87="",val_blankRefText,_xldudf_CX_GET(CX_ENTITY,($F87),BL$11,BL$14,,(BL$60))),_xlpm.Res,IF(OR(_xlpm.val="",_xlpm.val="Error"),"",_xlpm.val),_xlpm.Res)</f>
        <v>#NAME?</v>
      </c>
      <c r="BM87" s="1669" t="e" cm="1">
        <f t="array" ca="1" aca="1" ref="BM87">_xlfn.LET(_xlpm.val,IF($F87="",val_blankRefText,_xldudf_CX_GET(CX_ENTITY,($F87),BM$11,BM$14,,(BM$60))),_xlpm.Res,IF(OR(_xlpm.val="",_xlpm.val="Error"),"",_xlpm.val),_xlpm.Res)</f>
        <v>#NAME?</v>
      </c>
      <c r="BN87" s="1669" t="e" cm="1">
        <f t="array" ca="1" aca="1" ref="BN87">_xlfn.LET(_xlpm.val,IF($F87="",val_blankRefText,_xldudf_CX_GET(CX_ENTITY,($F87),BN$11,BN$14,,(BN$60))),_xlpm.Res,IF(OR(_xlpm.val="",_xlpm.val="Error"),"",_xlpm.val),_xlpm.Res)</f>
        <v>#NAME?</v>
      </c>
      <c r="BO87" s="2095"/>
      <c r="BP87" s="2095"/>
      <c r="BQ87" s="2095"/>
      <c r="BR87" s="2095"/>
      <c r="BS87" s="2095"/>
      <c r="BT87" s="2095"/>
      <c r="BU87" s="2095"/>
      <c r="BV87" s="2095"/>
      <c r="BW87" s="2095"/>
      <c r="BX87" s="2095"/>
      <c r="BY87" s="2095"/>
      <c r="BZ87" s="2095"/>
      <c r="CA87" s="926"/>
      <c r="CB87" s="921"/>
      <c r="CC87" s="927"/>
      <c r="CD87" s="919" t="e" cm="1">
        <f t="array" ca="1" aca="1" ref="CD87">_xlfn.XLOOKUP(BS!CD$11,array_timeline,BS!$AD87:$BN87)</f>
        <v>#NAME?</v>
      </c>
      <c r="CE87" s="919" t="e" cm="1">
        <f t="array" ca="1" aca="1" ref="CE87">_xlfn.XLOOKUP(BS!CE$11,array_timeline,BS!$AD87:$BN87)</f>
        <v>#NAME?</v>
      </c>
      <c r="CF87" s="925"/>
      <c r="CG87" s="928" t="e">
        <f ca="1" t="shared" si="40" ref="CG87:CH87">CG46</f>
        <v>#NAME?</v>
      </c>
      <c r="CH87" s="928" t="e">
        <f t="shared" ca="1" si="40"/>
        <v>#NAME?</v>
      </c>
      <c r="CI87" s="924"/>
    </row>
    <row r="88" spans="1:87" ht="21" customHeight="1">
      <c r="A88" s="693"/>
      <c r="B88" s="577" t="str">
        <f t="shared" si="10"/>
        <v>Capitalised Fees</v>
      </c>
      <c r="C88" s="577" t="str">
        <f t="shared" si="10"/>
        <v>Capitalised Fees (Company View)</v>
      </c>
      <c r="D88" s="577"/>
      <c r="E88" s="577" t="e" cm="1">
        <f t="array" ca="1" aca="1" ref="E88">_xlfn.LET(_xlpm.Attr,$C88,_xlpm.Lookback,$E$16,_xlpm.QueryDate,EOMONTH(val_asOfDate,_xlpm.Lookback),_xlpm.ReadField,_xldudf_CX_GET(CX_ENTITY,fx_attrConverter($C88),_xlpm.QueryDate),_xlpm.AttrBlank,_xlpm.Attr="",_xlpm.RESULT,IF(_xlpm.AttrBlank,val_blankRefText,fx_attrConverter(_xlpm.ReadField,0)),IF(_xlpm.RESULT="Error","",_xlpm.RESULT))</f>
        <v>#NAME?</v>
      </c>
      <c r="F88" s="577" t="str">
        <f t="shared" si="9"/>
        <v>Capitalised Fees</v>
      </c>
      <c r="G88" s="578"/>
      <c r="H88" s="3279">
        <v>1</v>
      </c>
      <c r="I88" s="3279">
        <v>1</v>
      </c>
      <c r="J88" s="578"/>
      <c r="K88" s="578"/>
      <c r="L88" s="579">
        <v>-1</v>
      </c>
      <c r="N88" s="158"/>
      <c r="O88" s="101"/>
      <c r="P88" s="52"/>
      <c r="Q88" s="101"/>
      <c r="R88" s="126"/>
      <c r="S88" s="101"/>
      <c r="T88" s="101"/>
      <c r="U88" s="39"/>
      <c r="W88" s="930" t="str">
        <f t="shared" si="15"/>
        <v>Budget</v>
      </c>
      <c r="X88" s="3292">
        <f t="shared" si="11"/>
        <v>1</v>
      </c>
      <c r="Y88" s="2631" t="str">
        <f t="shared" si="12"/>
        <v>Capitalised Fees</v>
      </c>
      <c r="Z88" s="198" cm="1">
        <f t="array" ref="Z88">_xlfn.SWITCH(TRUE,$L88="",0,$L88=TRUE,1,$L88=FALSE,-1,)</f>
        <v>0</v>
      </c>
      <c r="AA88" s="200"/>
      <c r="AB88" s="2626" t="str">
        <f t="shared" si="13"/>
        <v>Capitalised Fees</v>
      </c>
      <c r="AC88" s="88"/>
      <c r="AD88" s="1669" t="e" cm="1">
        <f t="array" ca="1" aca="1" ref="AD88">_xlfn.LET(_xlpm.val,IF($F88="",val_blankRefText,_xldudf_CX_GET(CX_ENTITY,($F88),AD$11,AD$14,,(AD$60))),_xlpm.Res,IF(OR(_xlpm.val="",_xlpm.val="Error"),"",_xlpm.val),_xlpm.Res)</f>
        <v>#NAME?</v>
      </c>
      <c r="AE88" s="1669" t="e" cm="1">
        <f t="array" ca="1" aca="1" ref="AE88">_xlfn.LET(_xlpm.val,IF($F88="",val_blankRefText,_xldudf_CX_GET(CX_ENTITY,($F88),AE$11,AE$14,,(AE$60))),_xlpm.Res,IF(OR(_xlpm.val="",_xlpm.val="Error"),"",_xlpm.val),_xlpm.Res)</f>
        <v>#NAME?</v>
      </c>
      <c r="AF88" s="1669" t="e" cm="1">
        <f t="array" ca="1" aca="1" ref="AF88">_xlfn.LET(_xlpm.val,IF($F88="",val_blankRefText,_xldudf_CX_GET(CX_ENTITY,($F88),AF$11,AF$14,,(AF$60))),_xlpm.Res,IF(OR(_xlpm.val="",_xlpm.val="Error"),"",_xlpm.val),_xlpm.Res)</f>
        <v>#NAME?</v>
      </c>
      <c r="AG88" s="1669" t="e" cm="1">
        <f t="array" ca="1" aca="1" ref="AG88">_xlfn.LET(_xlpm.val,IF($F88="",val_blankRefText,_xldudf_CX_GET(CX_ENTITY,($F88),AG$11,AG$14,,(AG$60))),_xlpm.Res,IF(OR(_xlpm.val="",_xlpm.val="Error"),"",_xlpm.val),_xlpm.Res)</f>
        <v>#NAME?</v>
      </c>
      <c r="AH88" s="1669" t="e" cm="1">
        <f t="array" ca="1" aca="1" ref="AH88">_xlfn.LET(_xlpm.val,IF($F88="",val_blankRefText,_xldudf_CX_GET(CX_ENTITY,($F88),AH$11,AH$14,,(AH$60))),_xlpm.Res,IF(OR(_xlpm.val="",_xlpm.val="Error"),"",_xlpm.val),_xlpm.Res)</f>
        <v>#NAME?</v>
      </c>
      <c r="AI88" s="1669" t="e" cm="1">
        <f t="array" ca="1" aca="1" ref="AI88">_xlfn.LET(_xlpm.val,IF($F88="",val_blankRefText,_xldudf_CX_GET(CX_ENTITY,($F88),AI$11,AI$14,,(AI$60))),_xlpm.Res,IF(OR(_xlpm.val="",_xlpm.val="Error"),"",_xlpm.val),_xlpm.Res)</f>
        <v>#NAME?</v>
      </c>
      <c r="AJ88" s="1669" t="e" cm="1">
        <f t="array" ca="1" aca="1" ref="AJ88">_xlfn.LET(_xlpm.val,IF($F88="",val_blankRefText,_xldudf_CX_GET(CX_ENTITY,($F88),AJ$11,AJ$14,,(AJ$60))),_xlpm.Res,IF(OR(_xlpm.val="",_xlpm.val="Error"),"",_xlpm.val),_xlpm.Res)</f>
        <v>#NAME?</v>
      </c>
      <c r="AK88" s="1669" t="e" cm="1">
        <f t="array" ca="1" aca="1" ref="AK88">_xlfn.LET(_xlpm.val,IF($F88="",val_blankRefText,_xldudf_CX_GET(CX_ENTITY,($F88),AK$11,AK$14,,(AK$60))),_xlpm.Res,IF(OR(_xlpm.val="",_xlpm.val="Error"),"",_xlpm.val),_xlpm.Res)</f>
        <v>#NAME?</v>
      </c>
      <c r="AL88" s="1669" t="e" cm="1">
        <f t="array" ca="1" aca="1" ref="AL88">_xlfn.LET(_xlpm.val,IF($F88="",val_blankRefText,_xldudf_CX_GET(CX_ENTITY,($F88),AL$11,AL$14,,(AL$60))),_xlpm.Res,IF(OR(_xlpm.val="",_xlpm.val="Error"),"",_xlpm.val),_xlpm.Res)</f>
        <v>#NAME?</v>
      </c>
      <c r="AM88" s="1669" t="e" cm="1">
        <f t="array" ca="1" aca="1" ref="AM88">_xlfn.LET(_xlpm.val,IF($F88="",val_blankRefText,_xldudf_CX_GET(CX_ENTITY,($F88),AM$11,AM$14,,(AM$60))),_xlpm.Res,IF(OR(_xlpm.val="",_xlpm.val="Error"),"",_xlpm.val),_xlpm.Res)</f>
        <v>#NAME?</v>
      </c>
      <c r="AN88" s="1669" t="e" cm="1">
        <f t="array" ca="1" aca="1" ref="AN88">_xlfn.LET(_xlpm.val,IF($F88="",val_blankRefText,_xldudf_CX_GET(CX_ENTITY,($F88),AN$11,AN$14,,(AN$60))),_xlpm.Res,IF(OR(_xlpm.val="",_xlpm.val="Error"),"",_xlpm.val),_xlpm.Res)</f>
        <v>#NAME?</v>
      </c>
      <c r="AO88" s="1669" t="e" cm="1">
        <f t="array" ca="1" aca="1" ref="AO88">_xlfn.LET(_xlpm.val,IF($F88="",val_blankRefText,_xldudf_CX_GET(CX_ENTITY,($F88),AO$11,AO$14,,(AO$60))),_xlpm.Res,IF(OR(_xlpm.val="",_xlpm.val="Error"),"",_xlpm.val),_xlpm.Res)</f>
        <v>#NAME?</v>
      </c>
      <c r="AP88" s="1669" t="e" cm="1">
        <f t="array" ca="1" aca="1" ref="AP88">_xlfn.LET(_xlpm.val,IF($F88="",val_blankRefText,_xldudf_CX_GET(CX_ENTITY,($F88),AP$11,AP$14,,(AP$60))),_xlpm.Res,IF(OR(_xlpm.val="",_xlpm.val="Error"),"",_xlpm.val),_xlpm.Res)</f>
        <v>#NAME?</v>
      </c>
      <c r="AQ88" s="1669" t="e" cm="1">
        <f t="array" ca="1" aca="1" ref="AQ88">_xlfn.LET(_xlpm.val,IF($F88="",val_blankRefText,_xldudf_CX_GET(CX_ENTITY,($F88),AQ$11,AQ$14,,(AQ$60))),_xlpm.Res,IF(OR(_xlpm.val="",_xlpm.val="Error"),"",_xlpm.val),_xlpm.Res)</f>
        <v>#NAME?</v>
      </c>
      <c r="AR88" s="1669" t="e" cm="1">
        <f t="array" ca="1" aca="1" ref="AR88">_xlfn.LET(_xlpm.val,IF($F88="",val_blankRefText,_xldudf_CX_GET(CX_ENTITY,($F88),AR$11,AR$14,,(AR$60))),_xlpm.Res,IF(OR(_xlpm.val="",_xlpm.val="Error"),"",_xlpm.val),_xlpm.Res)</f>
        <v>#NAME?</v>
      </c>
      <c r="AS88" s="1669" t="e" cm="1">
        <f t="array" ca="1" aca="1" ref="AS88">_xlfn.LET(_xlpm.val,IF($F88="",val_blankRefText,_xldudf_CX_GET(CX_ENTITY,($F88),AS$11,AS$14,,(AS$60))),_xlpm.Res,IF(OR(_xlpm.val="",_xlpm.val="Error"),"",_xlpm.val),_xlpm.Res)</f>
        <v>#NAME?</v>
      </c>
      <c r="AT88" s="1669" t="e" cm="1">
        <f t="array" ca="1" aca="1" ref="AT88">_xlfn.LET(_xlpm.val,IF($F88="",val_blankRefText,_xldudf_CX_GET(CX_ENTITY,($F88),AT$11,AT$14,,(AT$60))),_xlpm.Res,IF(OR(_xlpm.val="",_xlpm.val="Error"),"",_xlpm.val),_xlpm.Res)</f>
        <v>#NAME?</v>
      </c>
      <c r="AU88" s="1669" t="e" cm="1">
        <f t="array" ca="1" aca="1" ref="AU88">_xlfn.LET(_xlpm.val,IF($F88="",val_blankRefText,_xldudf_CX_GET(CX_ENTITY,($F88),AU$11,AU$14,,(AU$60))),_xlpm.Res,IF(OR(_xlpm.val="",_xlpm.val="Error"),"",_xlpm.val),_xlpm.Res)</f>
        <v>#NAME?</v>
      </c>
      <c r="AV88" s="1669" t="e" cm="1">
        <f t="array" ca="1" aca="1" ref="AV88">_xlfn.LET(_xlpm.val,IF($F88="",val_blankRefText,_xldudf_CX_GET(CX_ENTITY,($F88),AV$11,AV$14,,(AV$60))),_xlpm.Res,IF(OR(_xlpm.val="",_xlpm.val="Error"),"",_xlpm.val),_xlpm.Res)</f>
        <v>#NAME?</v>
      </c>
      <c r="AW88" s="1669" t="e" cm="1">
        <f t="array" ca="1" aca="1" ref="AW88">_xlfn.LET(_xlpm.val,IF($F88="",val_blankRefText,_xldudf_CX_GET(CX_ENTITY,($F88),AW$11,AW$14,,(AW$60))),_xlpm.Res,IF(OR(_xlpm.val="",_xlpm.val="Error"),"",_xlpm.val),_xlpm.Res)</f>
        <v>#NAME?</v>
      </c>
      <c r="AX88" s="1669" t="e" cm="1">
        <f t="array" ca="1" aca="1" ref="AX88">_xlfn.LET(_xlpm.val,IF($F88="",val_blankRefText,_xldudf_CX_GET(CX_ENTITY,($F88),AX$11,AX$14,,(AX$60))),_xlpm.Res,IF(OR(_xlpm.val="",_xlpm.val="Error"),"",_xlpm.val),_xlpm.Res)</f>
        <v>#NAME?</v>
      </c>
      <c r="AY88" s="1669" t="e" cm="1">
        <f t="array" ca="1" aca="1" ref="AY88">_xlfn.LET(_xlpm.val,IF($F88="",val_blankRefText,_xldudf_CX_GET(CX_ENTITY,($F88),AY$11,AY$14,,(AY$60))),_xlpm.Res,IF(OR(_xlpm.val="",_xlpm.val="Error"),"",_xlpm.val),_xlpm.Res)</f>
        <v>#NAME?</v>
      </c>
      <c r="AZ88" s="1669" t="e" cm="1">
        <f t="array" ca="1" aca="1" ref="AZ88">_xlfn.LET(_xlpm.val,IF($F88="",val_blankRefText,_xldudf_CX_GET(CX_ENTITY,($F88),AZ$11,AZ$14,,(AZ$60))),_xlpm.Res,IF(OR(_xlpm.val="",_xlpm.val="Error"),"",_xlpm.val),_xlpm.Res)</f>
        <v>#NAME?</v>
      </c>
      <c r="BA88" s="1669" t="e" cm="1">
        <f t="array" ca="1" aca="1" ref="BA88">_xlfn.LET(_xlpm.val,IF($F88="",val_blankRefText,_xldudf_CX_GET(CX_ENTITY,($F88),BA$11,BA$14,,(BA$60))),_xlpm.Res,IF(OR(_xlpm.val="",_xlpm.val="Error"),"",_xlpm.val),_xlpm.Res)</f>
        <v>#NAME?</v>
      </c>
      <c r="BB88" s="1669" t="e" cm="1">
        <f t="array" ca="1" aca="1" ref="BB88">_xlfn.LET(_xlpm.val,IF($F88="",val_blankRefText,_xldudf_CX_GET(CX_ENTITY,($F88),BB$11,BB$14,,(BB$60))),_xlpm.Res,IF(OR(_xlpm.val="",_xlpm.val="Error"),"",_xlpm.val),_xlpm.Res)</f>
        <v>#NAME?</v>
      </c>
      <c r="BC88" s="1669" t="e" cm="1">
        <f t="array" ca="1" aca="1" ref="BC88">_xlfn.LET(_xlpm.val,IF($F88="",val_blankRefText,_xldudf_CX_GET(CX_ENTITY,($F88),BC$11,BC$14,,(BC$60))),_xlpm.Res,IF(OR(_xlpm.val="",_xlpm.val="Error"),"",_xlpm.val),_xlpm.Res)</f>
        <v>#NAME?</v>
      </c>
      <c r="BD88" s="1669" t="e" cm="1">
        <f t="array" ca="1" aca="1" ref="BD88">_xlfn.LET(_xlpm.val,IF($F88="",val_blankRefText,_xldudf_CX_GET(CX_ENTITY,($F88),BD$11,BD$14,,(BD$60))),_xlpm.Res,IF(OR(_xlpm.val="",_xlpm.val="Error"),"",_xlpm.val),_xlpm.Res)</f>
        <v>#NAME?</v>
      </c>
      <c r="BE88" s="1669" t="e" cm="1">
        <f t="array" ca="1" aca="1" ref="BE88">_xlfn.LET(_xlpm.val,IF($F88="",val_blankRefText,_xldudf_CX_GET(CX_ENTITY,($F88),BE$11,BE$14,,(BE$60))),_xlpm.Res,IF(OR(_xlpm.val="",_xlpm.val="Error"),"",_xlpm.val),_xlpm.Res)</f>
        <v>#NAME?</v>
      </c>
      <c r="BF88" s="1669" t="e" cm="1">
        <f t="array" ca="1" aca="1" ref="BF88">_xlfn.LET(_xlpm.val,IF($F88="",val_blankRefText,_xldudf_CX_GET(CX_ENTITY,($F88),BF$11,BF$14,,(BF$60))),_xlpm.Res,IF(OR(_xlpm.val="",_xlpm.val="Error"),"",_xlpm.val),_xlpm.Res)</f>
        <v>#NAME?</v>
      </c>
      <c r="BG88" s="1669" t="e" cm="1">
        <f t="array" ca="1" aca="1" ref="BG88">_xlfn.LET(_xlpm.val,IF($F88="",val_blankRefText,_xldudf_CX_GET(CX_ENTITY,($F88),BG$11,BG$14,,(BG$60))),_xlpm.Res,IF(OR(_xlpm.val="",_xlpm.val="Error"),"",_xlpm.val),_xlpm.Res)</f>
        <v>#NAME?</v>
      </c>
      <c r="BH88" s="1669" t="e" cm="1">
        <f t="array" ca="1" aca="1" ref="BH88">_xlfn.LET(_xlpm.val,IF($F88="",val_blankRefText,_xldudf_CX_GET(CX_ENTITY,($F88),BH$11,BH$14,,(BH$60))),_xlpm.Res,IF(OR(_xlpm.val="",_xlpm.val="Error"),"",_xlpm.val),_xlpm.Res)</f>
        <v>#NAME?</v>
      </c>
      <c r="BI88" s="1669" t="e" cm="1">
        <f t="array" ca="1" aca="1" ref="BI88">_xlfn.LET(_xlpm.val,IF($F88="",val_blankRefText,_xldudf_CX_GET(CX_ENTITY,($F88),BI$11,BI$14,,(BI$60))),_xlpm.Res,IF(OR(_xlpm.val="",_xlpm.val="Error"),"",_xlpm.val),_xlpm.Res)</f>
        <v>#NAME?</v>
      </c>
      <c r="BJ88" s="1669" t="e" cm="1">
        <f t="array" ca="1" aca="1" ref="BJ88">_xlfn.LET(_xlpm.val,IF($F88="",val_blankRefText,_xldudf_CX_GET(CX_ENTITY,($F88),BJ$11,BJ$14,,(BJ$60))),_xlpm.Res,IF(OR(_xlpm.val="",_xlpm.val="Error"),"",_xlpm.val),_xlpm.Res)</f>
        <v>#NAME?</v>
      </c>
      <c r="BK88" s="1669" t="e" cm="1">
        <f t="array" ca="1" aca="1" ref="BK88">_xlfn.LET(_xlpm.val,IF($F88="",val_blankRefText,_xldudf_CX_GET(CX_ENTITY,($F88),BK$11,BK$14,,(BK$60))),_xlpm.Res,IF(OR(_xlpm.val="",_xlpm.val="Error"),"",_xlpm.val),_xlpm.Res)</f>
        <v>#NAME?</v>
      </c>
      <c r="BL88" s="1669" t="e" cm="1">
        <f t="array" ca="1" aca="1" ref="BL88">_xlfn.LET(_xlpm.val,IF($F88="",val_blankRefText,_xldudf_CX_GET(CX_ENTITY,($F88),BL$11,BL$14,,(BL$60))),_xlpm.Res,IF(OR(_xlpm.val="",_xlpm.val="Error"),"",_xlpm.val),_xlpm.Res)</f>
        <v>#NAME?</v>
      </c>
      <c r="BM88" s="1669" t="e" cm="1">
        <f t="array" ca="1" aca="1" ref="BM88">_xlfn.LET(_xlpm.val,IF($F88="",val_blankRefText,_xldudf_CX_GET(CX_ENTITY,($F88),BM$11,BM$14,,(BM$60))),_xlpm.Res,IF(OR(_xlpm.val="",_xlpm.val="Error"),"",_xlpm.val),_xlpm.Res)</f>
        <v>#NAME?</v>
      </c>
      <c r="BN88" s="1669" t="e" cm="1">
        <f t="array" ca="1" aca="1" ref="BN88">_xlfn.LET(_xlpm.val,IF($F88="",val_blankRefText,_xldudf_CX_GET(CX_ENTITY,($F88),BN$11,BN$14,,(BN$60))),_xlpm.Res,IF(OR(_xlpm.val="",_xlpm.val="Error"),"",_xlpm.val),_xlpm.Res)</f>
        <v>#NAME?</v>
      </c>
      <c r="BO88" s="2095"/>
      <c r="BP88" s="2095"/>
      <c r="BQ88" s="2095"/>
      <c r="BR88" s="2095"/>
      <c r="BS88" s="2095"/>
      <c r="BT88" s="2095"/>
      <c r="BU88" s="2095"/>
      <c r="BV88" s="2095"/>
      <c r="BW88" s="2095"/>
      <c r="BX88" s="2095"/>
      <c r="BY88" s="2095"/>
      <c r="BZ88" s="2095"/>
      <c r="CA88" s="926"/>
      <c r="CB88" s="921"/>
      <c r="CC88" s="927"/>
      <c r="CD88" s="920" t="e" cm="1">
        <f t="array" ca="1" aca="1" ref="CD88">_xlfn.XLOOKUP(BS!CD$11,array_timeline,BS!$AD88:$BN88)</f>
        <v>#NAME?</v>
      </c>
      <c r="CE88" s="920" t="e" cm="1">
        <f t="array" ca="1" aca="1" ref="CE88">_xlfn.XLOOKUP(BS!CE$11,array_timeline,BS!$AD88:$BN88)</f>
        <v>#NAME?</v>
      </c>
      <c r="CF88" s="925"/>
      <c r="CG88" s="920" t="e">
        <f ca="1" t="shared" si="41" ref="CG88:CH88">CG47</f>
        <v>#NAME?</v>
      </c>
      <c r="CH88" s="920" t="e">
        <f t="shared" ca="1" si="41"/>
        <v>#NAME?</v>
      </c>
      <c r="CI88" s="200"/>
    </row>
    <row r="89" spans="1:87" ht="21" customHeight="1">
      <c r="A89" s="696"/>
      <c r="B89" s="577" t="str">
        <f t="shared" si="10"/>
        <v>Other Liabilities</v>
      </c>
      <c r="C89" s="577" t="str">
        <f t="shared" si="10"/>
        <v>Other Liabilities (Company View)</v>
      </c>
      <c r="D89" s="577"/>
      <c r="E89" s="577" t="e" cm="1">
        <f t="array" ca="1" aca="1" ref="E89">_xlfn.LET(_xlpm.Attr,$C89,_xlpm.Lookback,$E$16,_xlpm.QueryDate,EOMONTH(val_asOfDate,_xlpm.Lookback),_xlpm.ReadField,_xldudf_CX_GET(CX_ENTITY,fx_attrConverter($C89),_xlpm.QueryDate),_xlpm.AttrBlank,_xlpm.Attr="",_xlpm.RESULT,IF(_xlpm.AttrBlank,val_blankRefText,fx_attrConverter(_xlpm.ReadField,0)),IF(_xlpm.RESULT="Error","",_xlpm.RESULT))</f>
        <v>#NAME?</v>
      </c>
      <c r="F89" s="577" t="str">
        <f t="shared" si="9"/>
        <v>Other Liabilities</v>
      </c>
      <c r="G89" s="574"/>
      <c r="H89" s="3280">
        <v>1</v>
      </c>
      <c r="I89" s="3279">
        <v>1</v>
      </c>
      <c r="J89" s="401"/>
      <c r="K89" s="401"/>
      <c r="L89" s="579">
        <v>-1</v>
      </c>
      <c r="N89" s="158"/>
      <c r="O89" s="101"/>
      <c r="P89" s="52"/>
      <c r="Q89" s="101"/>
      <c r="R89" s="101"/>
      <c r="S89" s="101"/>
      <c r="T89" s="101"/>
      <c r="U89" s="39"/>
      <c r="V89" s="108"/>
      <c r="W89" s="930" t="str">
        <f t="shared" si="15"/>
        <v>Budget</v>
      </c>
      <c r="X89" s="857">
        <f t="shared" si="11"/>
        <v>-1</v>
      </c>
      <c r="Y89" s="2631" t="str">
        <f t="shared" si="12"/>
        <v>Other Liabilities</v>
      </c>
      <c r="Z89" s="198" cm="1">
        <f t="array" ref="Z89">_xlfn.SWITCH(TRUE,$L89="",0,$L89=TRUE,1,$L89=FALSE,-1,)</f>
        <v>0</v>
      </c>
      <c r="AA89" s="200"/>
      <c r="AB89" s="2626" t="str">
        <f t="shared" si="13"/>
        <v>Other Liabilities</v>
      </c>
      <c r="AC89" s="88"/>
      <c r="AD89" s="1669" t="e" cm="1">
        <f t="array" ca="1" aca="1" ref="AD89">_xlfn.LET(_xlpm.val,IF($F89="",val_blankRefText,_xldudf_CX_GET(CX_ENTITY,($F89),AD$11,AD$14,,(AD$60))),_xlpm.Res,IF(OR(_xlpm.val="",_xlpm.val="Error"),"",_xlpm.val),_xlpm.Res)</f>
        <v>#NAME?</v>
      </c>
      <c r="AE89" s="1669" t="e" cm="1">
        <f t="array" ca="1" aca="1" ref="AE89">_xlfn.LET(_xlpm.val,IF($F89="",val_blankRefText,_xldudf_CX_GET(CX_ENTITY,($F89),AE$11,AE$14,,(AE$60))),_xlpm.Res,IF(OR(_xlpm.val="",_xlpm.val="Error"),"",_xlpm.val),_xlpm.Res)</f>
        <v>#NAME?</v>
      </c>
      <c r="AF89" s="1669" t="e" cm="1">
        <f t="array" ca="1" aca="1" ref="AF89">_xlfn.LET(_xlpm.val,IF($F89="",val_blankRefText,_xldudf_CX_GET(CX_ENTITY,($F89),AF$11,AF$14,,(AF$60))),_xlpm.Res,IF(OR(_xlpm.val="",_xlpm.val="Error"),"",_xlpm.val),_xlpm.Res)</f>
        <v>#NAME?</v>
      </c>
      <c r="AG89" s="1669" t="e" cm="1">
        <f t="array" ca="1" aca="1" ref="AG89">_xlfn.LET(_xlpm.val,IF($F89="",val_blankRefText,_xldudf_CX_GET(CX_ENTITY,($F89),AG$11,AG$14,,(AG$60))),_xlpm.Res,IF(OR(_xlpm.val="",_xlpm.val="Error"),"",_xlpm.val),_xlpm.Res)</f>
        <v>#NAME?</v>
      </c>
      <c r="AH89" s="1669" t="e" cm="1">
        <f t="array" ca="1" aca="1" ref="AH89">_xlfn.LET(_xlpm.val,IF($F89="",val_blankRefText,_xldudf_CX_GET(CX_ENTITY,($F89),AH$11,AH$14,,(AH$60))),_xlpm.Res,IF(OR(_xlpm.val="",_xlpm.val="Error"),"",_xlpm.val),_xlpm.Res)</f>
        <v>#NAME?</v>
      </c>
      <c r="AI89" s="1669" t="e" cm="1">
        <f t="array" ca="1" aca="1" ref="AI89">_xlfn.LET(_xlpm.val,IF($F89="",val_blankRefText,_xldudf_CX_GET(CX_ENTITY,($F89),AI$11,AI$14,,(AI$60))),_xlpm.Res,IF(OR(_xlpm.val="",_xlpm.val="Error"),"",_xlpm.val),_xlpm.Res)</f>
        <v>#NAME?</v>
      </c>
      <c r="AJ89" s="1669" t="e" cm="1">
        <f t="array" ca="1" aca="1" ref="AJ89">_xlfn.LET(_xlpm.val,IF($F89="",val_blankRefText,_xldudf_CX_GET(CX_ENTITY,($F89),AJ$11,AJ$14,,(AJ$60))),_xlpm.Res,IF(OR(_xlpm.val="",_xlpm.val="Error"),"",_xlpm.val),_xlpm.Res)</f>
        <v>#NAME?</v>
      </c>
      <c r="AK89" s="1669" t="e" cm="1">
        <f t="array" ca="1" aca="1" ref="AK89">_xlfn.LET(_xlpm.val,IF($F89="",val_blankRefText,_xldudf_CX_GET(CX_ENTITY,($F89),AK$11,AK$14,,(AK$60))),_xlpm.Res,IF(OR(_xlpm.val="",_xlpm.val="Error"),"",_xlpm.val),_xlpm.Res)</f>
        <v>#NAME?</v>
      </c>
      <c r="AL89" s="1669" t="e" cm="1">
        <f t="array" ca="1" aca="1" ref="AL89">_xlfn.LET(_xlpm.val,IF($F89="",val_blankRefText,_xldudf_CX_GET(CX_ENTITY,($F89),AL$11,AL$14,,(AL$60))),_xlpm.Res,IF(OR(_xlpm.val="",_xlpm.val="Error"),"",_xlpm.val),_xlpm.Res)</f>
        <v>#NAME?</v>
      </c>
      <c r="AM89" s="1669" t="e" cm="1">
        <f t="array" ca="1" aca="1" ref="AM89">_xlfn.LET(_xlpm.val,IF($F89="",val_blankRefText,_xldudf_CX_GET(CX_ENTITY,($F89),AM$11,AM$14,,(AM$60))),_xlpm.Res,IF(OR(_xlpm.val="",_xlpm.val="Error"),"",_xlpm.val),_xlpm.Res)</f>
        <v>#NAME?</v>
      </c>
      <c r="AN89" s="1669" t="e" cm="1">
        <f t="array" ca="1" aca="1" ref="AN89">_xlfn.LET(_xlpm.val,IF($F89="",val_blankRefText,_xldudf_CX_GET(CX_ENTITY,($F89),AN$11,AN$14,,(AN$60))),_xlpm.Res,IF(OR(_xlpm.val="",_xlpm.val="Error"),"",_xlpm.val),_xlpm.Res)</f>
        <v>#NAME?</v>
      </c>
      <c r="AO89" s="1669" t="e" cm="1">
        <f t="array" ca="1" aca="1" ref="AO89">_xlfn.LET(_xlpm.val,IF($F89="",val_blankRefText,_xldudf_CX_GET(CX_ENTITY,($F89),AO$11,AO$14,,(AO$60))),_xlpm.Res,IF(OR(_xlpm.val="",_xlpm.val="Error"),"",_xlpm.val),_xlpm.Res)</f>
        <v>#NAME?</v>
      </c>
      <c r="AP89" s="1669" t="e" cm="1">
        <f t="array" ca="1" aca="1" ref="AP89">_xlfn.LET(_xlpm.val,IF($F89="",val_blankRefText,_xldudf_CX_GET(CX_ENTITY,($F89),AP$11,AP$14,,(AP$60))),_xlpm.Res,IF(OR(_xlpm.val="",_xlpm.val="Error"),"",_xlpm.val),_xlpm.Res)</f>
        <v>#NAME?</v>
      </c>
      <c r="AQ89" s="1669" t="e" cm="1">
        <f t="array" ca="1" aca="1" ref="AQ89">_xlfn.LET(_xlpm.val,IF($F89="",val_blankRefText,_xldudf_CX_GET(CX_ENTITY,($F89),AQ$11,AQ$14,,(AQ$60))),_xlpm.Res,IF(OR(_xlpm.val="",_xlpm.val="Error"),"",_xlpm.val),_xlpm.Res)</f>
        <v>#NAME?</v>
      </c>
      <c r="AR89" s="1669" t="e" cm="1">
        <f t="array" ca="1" aca="1" ref="AR89">_xlfn.LET(_xlpm.val,IF($F89="",val_blankRefText,_xldudf_CX_GET(CX_ENTITY,($F89),AR$11,AR$14,,(AR$60))),_xlpm.Res,IF(OR(_xlpm.val="",_xlpm.val="Error"),"",_xlpm.val),_xlpm.Res)</f>
        <v>#NAME?</v>
      </c>
      <c r="AS89" s="1669" t="e" cm="1">
        <f t="array" ca="1" aca="1" ref="AS89">_xlfn.LET(_xlpm.val,IF($F89="",val_blankRefText,_xldudf_CX_GET(CX_ENTITY,($F89),AS$11,AS$14,,(AS$60))),_xlpm.Res,IF(OR(_xlpm.val="",_xlpm.val="Error"),"",_xlpm.val),_xlpm.Res)</f>
        <v>#NAME?</v>
      </c>
      <c r="AT89" s="1669" t="e" cm="1">
        <f t="array" ca="1" aca="1" ref="AT89">_xlfn.LET(_xlpm.val,IF($F89="",val_blankRefText,_xldudf_CX_GET(CX_ENTITY,($F89),AT$11,AT$14,,(AT$60))),_xlpm.Res,IF(OR(_xlpm.val="",_xlpm.val="Error"),"",_xlpm.val),_xlpm.Res)</f>
        <v>#NAME?</v>
      </c>
      <c r="AU89" s="1669" t="e" cm="1">
        <f t="array" ca="1" aca="1" ref="AU89">_xlfn.LET(_xlpm.val,IF($F89="",val_blankRefText,_xldudf_CX_GET(CX_ENTITY,($F89),AU$11,AU$14,,(AU$60))),_xlpm.Res,IF(OR(_xlpm.val="",_xlpm.val="Error"),"",_xlpm.val),_xlpm.Res)</f>
        <v>#NAME?</v>
      </c>
      <c r="AV89" s="1669" t="e" cm="1">
        <f t="array" ca="1" aca="1" ref="AV89">_xlfn.LET(_xlpm.val,IF($F89="",val_blankRefText,_xldudf_CX_GET(CX_ENTITY,($F89),AV$11,AV$14,,(AV$60))),_xlpm.Res,IF(OR(_xlpm.val="",_xlpm.val="Error"),"",_xlpm.val),_xlpm.Res)</f>
        <v>#NAME?</v>
      </c>
      <c r="AW89" s="1669" t="e" cm="1">
        <f t="array" ca="1" aca="1" ref="AW89">_xlfn.LET(_xlpm.val,IF($F89="",val_blankRefText,_xldudf_CX_GET(CX_ENTITY,($F89),AW$11,AW$14,,(AW$60))),_xlpm.Res,IF(OR(_xlpm.val="",_xlpm.val="Error"),"",_xlpm.val),_xlpm.Res)</f>
        <v>#NAME?</v>
      </c>
      <c r="AX89" s="1669" t="e" cm="1">
        <f t="array" ca="1" aca="1" ref="AX89">_xlfn.LET(_xlpm.val,IF($F89="",val_blankRefText,_xldudf_CX_GET(CX_ENTITY,($F89),AX$11,AX$14,,(AX$60))),_xlpm.Res,IF(OR(_xlpm.val="",_xlpm.val="Error"),"",_xlpm.val),_xlpm.Res)</f>
        <v>#NAME?</v>
      </c>
      <c r="AY89" s="1669" t="e" cm="1">
        <f t="array" ca="1" aca="1" ref="AY89">_xlfn.LET(_xlpm.val,IF($F89="",val_blankRefText,_xldudf_CX_GET(CX_ENTITY,($F89),AY$11,AY$14,,(AY$60))),_xlpm.Res,IF(OR(_xlpm.val="",_xlpm.val="Error"),"",_xlpm.val),_xlpm.Res)</f>
        <v>#NAME?</v>
      </c>
      <c r="AZ89" s="1669" t="e" cm="1">
        <f t="array" ca="1" aca="1" ref="AZ89">_xlfn.LET(_xlpm.val,IF($F89="",val_blankRefText,_xldudf_CX_GET(CX_ENTITY,($F89),AZ$11,AZ$14,,(AZ$60))),_xlpm.Res,IF(OR(_xlpm.val="",_xlpm.val="Error"),"",_xlpm.val),_xlpm.Res)</f>
        <v>#NAME?</v>
      </c>
      <c r="BA89" s="1669" t="e" cm="1">
        <f t="array" ca="1" aca="1" ref="BA89">_xlfn.LET(_xlpm.val,IF($F89="",val_blankRefText,_xldudf_CX_GET(CX_ENTITY,($F89),BA$11,BA$14,,(BA$60))),_xlpm.Res,IF(OR(_xlpm.val="",_xlpm.val="Error"),"",_xlpm.val),_xlpm.Res)</f>
        <v>#NAME?</v>
      </c>
      <c r="BB89" s="1669" t="e" cm="1">
        <f t="array" ca="1" aca="1" ref="BB89">_xlfn.LET(_xlpm.val,IF($F89="",val_blankRefText,_xldudf_CX_GET(CX_ENTITY,($F89),BB$11,BB$14,,(BB$60))),_xlpm.Res,IF(OR(_xlpm.val="",_xlpm.val="Error"),"",_xlpm.val),_xlpm.Res)</f>
        <v>#NAME?</v>
      </c>
      <c r="BC89" s="1669" t="e" cm="1">
        <f t="array" ca="1" aca="1" ref="BC89">_xlfn.LET(_xlpm.val,IF($F89="",val_blankRefText,_xldudf_CX_GET(CX_ENTITY,($F89),BC$11,BC$14,,(BC$60))),_xlpm.Res,IF(OR(_xlpm.val="",_xlpm.val="Error"),"",_xlpm.val),_xlpm.Res)</f>
        <v>#NAME?</v>
      </c>
      <c r="BD89" s="1669" t="e" cm="1">
        <f t="array" ca="1" aca="1" ref="BD89">_xlfn.LET(_xlpm.val,IF($F89="",val_blankRefText,_xldudf_CX_GET(CX_ENTITY,($F89),BD$11,BD$14,,(BD$60))),_xlpm.Res,IF(OR(_xlpm.val="",_xlpm.val="Error"),"",_xlpm.val),_xlpm.Res)</f>
        <v>#NAME?</v>
      </c>
      <c r="BE89" s="1669" t="e" cm="1">
        <f t="array" ca="1" aca="1" ref="BE89">_xlfn.LET(_xlpm.val,IF($F89="",val_blankRefText,_xldudf_CX_GET(CX_ENTITY,($F89),BE$11,BE$14,,(BE$60))),_xlpm.Res,IF(OR(_xlpm.val="",_xlpm.val="Error"),"",_xlpm.val),_xlpm.Res)</f>
        <v>#NAME?</v>
      </c>
      <c r="BF89" s="1669" t="e" cm="1">
        <f t="array" ca="1" aca="1" ref="BF89">_xlfn.LET(_xlpm.val,IF($F89="",val_blankRefText,_xldudf_CX_GET(CX_ENTITY,($F89),BF$11,BF$14,,(BF$60))),_xlpm.Res,IF(OR(_xlpm.val="",_xlpm.val="Error"),"",_xlpm.val),_xlpm.Res)</f>
        <v>#NAME?</v>
      </c>
      <c r="BG89" s="1669" t="e" cm="1">
        <f t="array" ca="1" aca="1" ref="BG89">_xlfn.LET(_xlpm.val,IF($F89="",val_blankRefText,_xldudf_CX_GET(CX_ENTITY,($F89),BG$11,BG$14,,(BG$60))),_xlpm.Res,IF(OR(_xlpm.val="",_xlpm.val="Error"),"",_xlpm.val),_xlpm.Res)</f>
        <v>#NAME?</v>
      </c>
      <c r="BH89" s="1669" t="e" cm="1">
        <f t="array" ca="1" aca="1" ref="BH89">_xlfn.LET(_xlpm.val,IF($F89="",val_blankRefText,_xldudf_CX_GET(CX_ENTITY,($F89),BH$11,BH$14,,(BH$60))),_xlpm.Res,IF(OR(_xlpm.val="",_xlpm.val="Error"),"",_xlpm.val),_xlpm.Res)</f>
        <v>#NAME?</v>
      </c>
      <c r="BI89" s="1669" t="e" cm="1">
        <f t="array" ca="1" aca="1" ref="BI89">_xlfn.LET(_xlpm.val,IF($F89="",val_blankRefText,_xldudf_CX_GET(CX_ENTITY,($F89),BI$11,BI$14,,(BI$60))),_xlpm.Res,IF(OR(_xlpm.val="",_xlpm.val="Error"),"",_xlpm.val),_xlpm.Res)</f>
        <v>#NAME?</v>
      </c>
      <c r="BJ89" s="1669" t="e" cm="1">
        <f t="array" ca="1" aca="1" ref="BJ89">_xlfn.LET(_xlpm.val,IF($F89="",val_blankRefText,_xldudf_CX_GET(CX_ENTITY,($F89),BJ$11,BJ$14,,(BJ$60))),_xlpm.Res,IF(OR(_xlpm.val="",_xlpm.val="Error"),"",_xlpm.val),_xlpm.Res)</f>
        <v>#NAME?</v>
      </c>
      <c r="BK89" s="1669" t="e" cm="1">
        <f t="array" ca="1" aca="1" ref="BK89">_xlfn.LET(_xlpm.val,IF($F89="",val_blankRefText,_xldudf_CX_GET(CX_ENTITY,($F89),BK$11,BK$14,,(BK$60))),_xlpm.Res,IF(OR(_xlpm.val="",_xlpm.val="Error"),"",_xlpm.val),_xlpm.Res)</f>
        <v>#NAME?</v>
      </c>
      <c r="BL89" s="1669" t="e" cm="1">
        <f t="array" ca="1" aca="1" ref="BL89">_xlfn.LET(_xlpm.val,IF($F89="",val_blankRefText,_xldudf_CX_GET(CX_ENTITY,($F89),BL$11,BL$14,,(BL$60))),_xlpm.Res,IF(OR(_xlpm.val="",_xlpm.val="Error"),"",_xlpm.val),_xlpm.Res)</f>
        <v>#NAME?</v>
      </c>
      <c r="BM89" s="1669" t="e" cm="1">
        <f t="array" ca="1" aca="1" ref="BM89">_xlfn.LET(_xlpm.val,IF($F89="",val_blankRefText,_xldudf_CX_GET(CX_ENTITY,($F89),BM$11,BM$14,,(BM$60))),_xlpm.Res,IF(OR(_xlpm.val="",_xlpm.val="Error"),"",_xlpm.val),_xlpm.Res)</f>
        <v>#NAME?</v>
      </c>
      <c r="BN89" s="1669" t="e" cm="1">
        <f t="array" ca="1" aca="1" ref="BN89">_xlfn.LET(_xlpm.val,IF($F89="",val_blankRefText,_xldudf_CX_GET(CX_ENTITY,($F89),BN$11,BN$14,,(BN$60))),_xlpm.Res,IF(OR(_xlpm.val="",_xlpm.val="Error"),"",_xlpm.val),_xlpm.Res)</f>
        <v>#NAME?</v>
      </c>
      <c r="BO89" s="2095"/>
      <c r="BP89" s="2095"/>
      <c r="BQ89" s="2095"/>
      <c r="BR89" s="2095"/>
      <c r="BS89" s="2095"/>
      <c r="BT89" s="2095"/>
      <c r="BU89" s="2095"/>
      <c r="BV89" s="2095"/>
      <c r="BW89" s="2095"/>
      <c r="BX89" s="2095"/>
      <c r="BY89" s="2095"/>
      <c r="BZ89" s="2095"/>
      <c r="CA89" s="926"/>
      <c r="CB89" s="921"/>
      <c r="CC89" s="927"/>
      <c r="CD89" s="920" t="e" cm="1">
        <f t="array" ca="1" aca="1" ref="CD89">_xlfn.XLOOKUP(BS!CD$11,array_timeline,BS!$AD89:$BN89)</f>
        <v>#NAME?</v>
      </c>
      <c r="CE89" s="920" t="e" cm="1">
        <f t="array" ca="1" aca="1" ref="CE89">_xlfn.XLOOKUP(BS!CE$11,array_timeline,BS!$AD89:$BN89)</f>
        <v>#NAME?</v>
      </c>
      <c r="CF89" s="925"/>
      <c r="CG89" s="920" t="e">
        <f ca="1" t="shared" si="42" ref="CG89:CH90">CG48</f>
        <v>#NAME?</v>
      </c>
      <c r="CH89" s="920" t="e">
        <f t="shared" ca="1" si="42"/>
        <v>#NAME?</v>
      </c>
      <c r="CI89" s="200"/>
    </row>
    <row r="90" spans="1:87" ht="21" customHeight="1">
      <c r="A90" s="696"/>
      <c r="B90" s="577" t="str">
        <f t="shared" si="10"/>
        <v>Preferred Equity</v>
      </c>
      <c r="C90" s="577" t="str">
        <f t="shared" si="10"/>
        <v>Preferred Equity (Company View)</v>
      </c>
      <c r="D90" s="577"/>
      <c r="E90" s="577" t="e" cm="1">
        <f t="array" ca="1" aca="1" ref="E90">_xlfn.LET(_xlpm.Attr,$C90,_xlpm.Lookback,$E$16,_xlpm.QueryDate,EOMONTH(val_asOfDate,_xlpm.Lookback),_xlpm.ReadField,_xldudf_CX_GET(CX_ENTITY,fx_attrConverter($C90),_xlpm.QueryDate),_xlpm.AttrBlank,_xlpm.Attr="",_xlpm.RESULT,IF(_xlpm.AttrBlank,val_blankRefText,fx_attrConverter(_xlpm.ReadField,0)),IF(_xlpm.RESULT="Error","",_xlpm.RESULT))</f>
        <v>#NAME?</v>
      </c>
      <c r="F90" s="577" t="str">
        <f t="shared" si="9"/>
        <v>Preferred Equity</v>
      </c>
      <c r="G90" s="574"/>
      <c r="H90" s="3280">
        <v>1</v>
      </c>
      <c r="I90" s="3280">
        <v>1</v>
      </c>
      <c r="J90" s="401"/>
      <c r="K90" s="401"/>
      <c r="L90" s="579"/>
      <c r="N90" s="158"/>
      <c r="O90" s="101"/>
      <c r="P90" s="52"/>
      <c r="Q90" s="101"/>
      <c r="R90" s="101"/>
      <c r="S90" s="101"/>
      <c r="T90" s="101"/>
      <c r="U90" s="39"/>
      <c r="V90" s="108"/>
      <c r="W90" s="930" t="str">
        <f t="shared" si="15"/>
        <v>Budget</v>
      </c>
      <c r="X90" s="857">
        <f t="shared" si="11"/>
        <v>-1</v>
      </c>
      <c r="Y90" s="2631" t="str">
        <f t="shared" si="12"/>
        <v>Preferred Equity</v>
      </c>
      <c r="Z90" s="198" cm="1">
        <f t="array" ref="Z90">_xlfn.SWITCH(TRUE,$L90="",0,$L90=TRUE,1,$L90=FALSE,-1,)</f>
        <v>0</v>
      </c>
      <c r="AA90" s="200"/>
      <c r="AB90" s="2626" t="str">
        <f t="shared" si="13"/>
        <v>Preferred Equity</v>
      </c>
      <c r="AC90" s="88"/>
      <c r="AD90" s="1669" t="e" cm="1">
        <f t="array" ca="1" aca="1" ref="AD90">_xlfn.LET(_xlpm.val,IF($F90="",val_blankRefText,_xldudf_CX_GET(CX_ENTITY,($F90),AD$11,AD$14,,(AD$60))),_xlpm.Res,IF(OR(_xlpm.val="",_xlpm.val="Error"),"",_xlpm.val),_xlpm.Res)</f>
        <v>#NAME?</v>
      </c>
      <c r="AE90" s="1669" t="e" cm="1">
        <f t="array" ca="1" aca="1" ref="AE90">_xlfn.LET(_xlpm.val,IF($F90="",val_blankRefText,_xldudf_CX_GET(CX_ENTITY,($F90),AE$11,AE$14,,(AE$60))),_xlpm.Res,IF(OR(_xlpm.val="",_xlpm.val="Error"),"",_xlpm.val),_xlpm.Res)</f>
        <v>#NAME?</v>
      </c>
      <c r="AF90" s="1669" t="e" cm="1">
        <f t="array" ca="1" aca="1" ref="AF90">_xlfn.LET(_xlpm.val,IF($F90="",val_blankRefText,_xldudf_CX_GET(CX_ENTITY,($F90),AF$11,AF$14,,(AF$60))),_xlpm.Res,IF(OR(_xlpm.val="",_xlpm.val="Error"),"",_xlpm.val),_xlpm.Res)</f>
        <v>#NAME?</v>
      </c>
      <c r="AG90" s="1669" t="e" cm="1">
        <f t="array" ca="1" aca="1" ref="AG90">_xlfn.LET(_xlpm.val,IF($F90="",val_blankRefText,_xldudf_CX_GET(CX_ENTITY,($F90),AG$11,AG$14,,(AG$60))),_xlpm.Res,IF(OR(_xlpm.val="",_xlpm.val="Error"),"",_xlpm.val),_xlpm.Res)</f>
        <v>#NAME?</v>
      </c>
      <c r="AH90" s="1669" t="e" cm="1">
        <f t="array" ca="1" aca="1" ref="AH90">_xlfn.LET(_xlpm.val,IF($F90="",val_blankRefText,_xldudf_CX_GET(CX_ENTITY,($F90),AH$11,AH$14,,(AH$60))),_xlpm.Res,IF(OR(_xlpm.val="",_xlpm.val="Error"),"",_xlpm.val),_xlpm.Res)</f>
        <v>#NAME?</v>
      </c>
      <c r="AI90" s="1669" t="e" cm="1">
        <f t="array" ca="1" aca="1" ref="AI90">_xlfn.LET(_xlpm.val,IF($F90="",val_blankRefText,_xldudf_CX_GET(CX_ENTITY,($F90),AI$11,AI$14,,(AI$60))),_xlpm.Res,IF(OR(_xlpm.val="",_xlpm.val="Error"),"",_xlpm.val),_xlpm.Res)</f>
        <v>#NAME?</v>
      </c>
      <c r="AJ90" s="1669" t="e" cm="1">
        <f t="array" ca="1" aca="1" ref="AJ90">_xlfn.LET(_xlpm.val,IF($F90="",val_blankRefText,_xldudf_CX_GET(CX_ENTITY,($F90),AJ$11,AJ$14,,(AJ$60))),_xlpm.Res,IF(OR(_xlpm.val="",_xlpm.val="Error"),"",_xlpm.val),_xlpm.Res)</f>
        <v>#NAME?</v>
      </c>
      <c r="AK90" s="1669" t="e" cm="1">
        <f t="array" ca="1" aca="1" ref="AK90">_xlfn.LET(_xlpm.val,IF($F90="",val_blankRefText,_xldudf_CX_GET(CX_ENTITY,($F90),AK$11,AK$14,,(AK$60))),_xlpm.Res,IF(OR(_xlpm.val="",_xlpm.val="Error"),"",_xlpm.val),_xlpm.Res)</f>
        <v>#NAME?</v>
      </c>
      <c r="AL90" s="1669" t="e" cm="1">
        <f t="array" ca="1" aca="1" ref="AL90">_xlfn.LET(_xlpm.val,IF($F90="",val_blankRefText,_xldudf_CX_GET(CX_ENTITY,($F90),AL$11,AL$14,,(AL$60))),_xlpm.Res,IF(OR(_xlpm.val="",_xlpm.val="Error"),"",_xlpm.val),_xlpm.Res)</f>
        <v>#NAME?</v>
      </c>
      <c r="AM90" s="1669" t="e" cm="1">
        <f t="array" ca="1" aca="1" ref="AM90">_xlfn.LET(_xlpm.val,IF($F90="",val_blankRefText,_xldudf_CX_GET(CX_ENTITY,($F90),AM$11,AM$14,,(AM$60))),_xlpm.Res,IF(OR(_xlpm.val="",_xlpm.val="Error"),"",_xlpm.val),_xlpm.Res)</f>
        <v>#NAME?</v>
      </c>
      <c r="AN90" s="1669" t="e" cm="1">
        <f t="array" ca="1" aca="1" ref="AN90">_xlfn.LET(_xlpm.val,IF($F90="",val_blankRefText,_xldudf_CX_GET(CX_ENTITY,($F90),AN$11,AN$14,,(AN$60))),_xlpm.Res,IF(OR(_xlpm.val="",_xlpm.val="Error"),"",_xlpm.val),_xlpm.Res)</f>
        <v>#NAME?</v>
      </c>
      <c r="AO90" s="1669" t="e" cm="1">
        <f t="array" ca="1" aca="1" ref="AO90">_xlfn.LET(_xlpm.val,IF($F90="",val_blankRefText,_xldudf_CX_GET(CX_ENTITY,($F90),AO$11,AO$14,,(AO$60))),_xlpm.Res,IF(OR(_xlpm.val="",_xlpm.val="Error"),"",_xlpm.val),_xlpm.Res)</f>
        <v>#NAME?</v>
      </c>
      <c r="AP90" s="1669" t="e" cm="1">
        <f t="array" ca="1" aca="1" ref="AP90">_xlfn.LET(_xlpm.val,IF($F90="",val_blankRefText,_xldudf_CX_GET(CX_ENTITY,($F90),AP$11,AP$14,,(AP$60))),_xlpm.Res,IF(OR(_xlpm.val="",_xlpm.val="Error"),"",_xlpm.val),_xlpm.Res)</f>
        <v>#NAME?</v>
      </c>
      <c r="AQ90" s="1669" t="e" cm="1">
        <f t="array" ca="1" aca="1" ref="AQ90">_xlfn.LET(_xlpm.val,IF($F90="",val_blankRefText,_xldudf_CX_GET(CX_ENTITY,($F90),AQ$11,AQ$14,,(AQ$60))),_xlpm.Res,IF(OR(_xlpm.val="",_xlpm.val="Error"),"",_xlpm.val),_xlpm.Res)</f>
        <v>#NAME?</v>
      </c>
      <c r="AR90" s="1669" t="e" cm="1">
        <f t="array" ca="1" aca="1" ref="AR90">_xlfn.LET(_xlpm.val,IF($F90="",val_blankRefText,_xldudf_CX_GET(CX_ENTITY,($F90),AR$11,AR$14,,(AR$60))),_xlpm.Res,IF(OR(_xlpm.val="",_xlpm.val="Error"),"",_xlpm.val),_xlpm.Res)</f>
        <v>#NAME?</v>
      </c>
      <c r="AS90" s="1669" t="e" cm="1">
        <f t="array" ca="1" aca="1" ref="AS90">_xlfn.LET(_xlpm.val,IF($F90="",val_blankRefText,_xldudf_CX_GET(CX_ENTITY,($F90),AS$11,AS$14,,(AS$60))),_xlpm.Res,IF(OR(_xlpm.val="",_xlpm.val="Error"),"",_xlpm.val),_xlpm.Res)</f>
        <v>#NAME?</v>
      </c>
      <c r="AT90" s="1669" t="e" cm="1">
        <f t="array" ca="1" aca="1" ref="AT90">_xlfn.LET(_xlpm.val,IF($F90="",val_blankRefText,_xldudf_CX_GET(CX_ENTITY,($F90),AT$11,AT$14,,(AT$60))),_xlpm.Res,IF(OR(_xlpm.val="",_xlpm.val="Error"),"",_xlpm.val),_xlpm.Res)</f>
        <v>#NAME?</v>
      </c>
      <c r="AU90" s="1669" t="e" cm="1">
        <f t="array" ca="1" aca="1" ref="AU90">_xlfn.LET(_xlpm.val,IF($F90="",val_blankRefText,_xldudf_CX_GET(CX_ENTITY,($F90),AU$11,AU$14,,(AU$60))),_xlpm.Res,IF(OR(_xlpm.val="",_xlpm.val="Error"),"",_xlpm.val),_xlpm.Res)</f>
        <v>#NAME?</v>
      </c>
      <c r="AV90" s="1669" t="e" cm="1">
        <f t="array" ca="1" aca="1" ref="AV90">_xlfn.LET(_xlpm.val,IF($F90="",val_blankRefText,_xldudf_CX_GET(CX_ENTITY,($F90),AV$11,AV$14,,(AV$60))),_xlpm.Res,IF(OR(_xlpm.val="",_xlpm.val="Error"),"",_xlpm.val),_xlpm.Res)</f>
        <v>#NAME?</v>
      </c>
      <c r="AW90" s="1669" t="e" cm="1">
        <f t="array" ca="1" aca="1" ref="AW90">_xlfn.LET(_xlpm.val,IF($F90="",val_blankRefText,_xldudf_CX_GET(CX_ENTITY,($F90),AW$11,AW$14,,(AW$60))),_xlpm.Res,IF(OR(_xlpm.val="",_xlpm.val="Error"),"",_xlpm.val),_xlpm.Res)</f>
        <v>#NAME?</v>
      </c>
      <c r="AX90" s="1669" t="e" cm="1">
        <f t="array" ca="1" aca="1" ref="AX90">_xlfn.LET(_xlpm.val,IF($F90="",val_blankRefText,_xldudf_CX_GET(CX_ENTITY,($F90),AX$11,AX$14,,(AX$60))),_xlpm.Res,IF(OR(_xlpm.val="",_xlpm.val="Error"),"",_xlpm.val),_xlpm.Res)</f>
        <v>#NAME?</v>
      </c>
      <c r="AY90" s="1669" t="e" cm="1">
        <f t="array" ca="1" aca="1" ref="AY90">_xlfn.LET(_xlpm.val,IF($F90="",val_blankRefText,_xldudf_CX_GET(CX_ENTITY,($F90),AY$11,AY$14,,(AY$60))),_xlpm.Res,IF(OR(_xlpm.val="",_xlpm.val="Error"),"",_xlpm.val),_xlpm.Res)</f>
        <v>#NAME?</v>
      </c>
      <c r="AZ90" s="1669" t="e" cm="1">
        <f t="array" ca="1" aca="1" ref="AZ90">_xlfn.LET(_xlpm.val,IF($F90="",val_blankRefText,_xldudf_CX_GET(CX_ENTITY,($F90),AZ$11,AZ$14,,(AZ$60))),_xlpm.Res,IF(OR(_xlpm.val="",_xlpm.val="Error"),"",_xlpm.val),_xlpm.Res)</f>
        <v>#NAME?</v>
      </c>
      <c r="BA90" s="1669" t="e" cm="1">
        <f t="array" ca="1" aca="1" ref="BA90">_xlfn.LET(_xlpm.val,IF($F90="",val_blankRefText,_xldudf_CX_GET(CX_ENTITY,($F90),BA$11,BA$14,,(BA$60))),_xlpm.Res,IF(OR(_xlpm.val="",_xlpm.val="Error"),"",_xlpm.val),_xlpm.Res)</f>
        <v>#NAME?</v>
      </c>
      <c r="BB90" s="1669" t="e" cm="1">
        <f t="array" ca="1" aca="1" ref="BB90">_xlfn.LET(_xlpm.val,IF($F90="",val_blankRefText,_xldudf_CX_GET(CX_ENTITY,($F90),BB$11,BB$14,,(BB$60))),_xlpm.Res,IF(OR(_xlpm.val="",_xlpm.val="Error"),"",_xlpm.val),_xlpm.Res)</f>
        <v>#NAME?</v>
      </c>
      <c r="BC90" s="1669" t="e" cm="1">
        <f t="array" ca="1" aca="1" ref="BC90">_xlfn.LET(_xlpm.val,IF($F90="",val_blankRefText,_xldudf_CX_GET(CX_ENTITY,($F90),BC$11,BC$14,,(BC$60))),_xlpm.Res,IF(OR(_xlpm.val="",_xlpm.val="Error"),"",_xlpm.val),_xlpm.Res)</f>
        <v>#NAME?</v>
      </c>
      <c r="BD90" s="1669" t="e" cm="1">
        <f t="array" ca="1" aca="1" ref="BD90">_xlfn.LET(_xlpm.val,IF($F90="",val_blankRefText,_xldudf_CX_GET(CX_ENTITY,($F90),BD$11,BD$14,,(BD$60))),_xlpm.Res,IF(OR(_xlpm.val="",_xlpm.val="Error"),"",_xlpm.val),_xlpm.Res)</f>
        <v>#NAME?</v>
      </c>
      <c r="BE90" s="1669" t="e" cm="1">
        <f t="array" ca="1" aca="1" ref="BE90">_xlfn.LET(_xlpm.val,IF($F90="",val_blankRefText,_xldudf_CX_GET(CX_ENTITY,($F90),BE$11,BE$14,,(BE$60))),_xlpm.Res,IF(OR(_xlpm.val="",_xlpm.val="Error"),"",_xlpm.val),_xlpm.Res)</f>
        <v>#NAME?</v>
      </c>
      <c r="BF90" s="1669" t="e" cm="1">
        <f t="array" ca="1" aca="1" ref="BF90">_xlfn.LET(_xlpm.val,IF($F90="",val_blankRefText,_xldudf_CX_GET(CX_ENTITY,($F90),BF$11,BF$14,,(BF$60))),_xlpm.Res,IF(OR(_xlpm.val="",_xlpm.val="Error"),"",_xlpm.val),_xlpm.Res)</f>
        <v>#NAME?</v>
      </c>
      <c r="BG90" s="1669" t="e" cm="1">
        <f t="array" ca="1" aca="1" ref="BG90">_xlfn.LET(_xlpm.val,IF($F90="",val_blankRefText,_xldudf_CX_GET(CX_ENTITY,($F90),BG$11,BG$14,,(BG$60))),_xlpm.Res,IF(OR(_xlpm.val="",_xlpm.val="Error"),"",_xlpm.val),_xlpm.Res)</f>
        <v>#NAME?</v>
      </c>
      <c r="BH90" s="1669" t="e" cm="1">
        <f t="array" ca="1" aca="1" ref="BH90">_xlfn.LET(_xlpm.val,IF($F90="",val_blankRefText,_xldudf_CX_GET(CX_ENTITY,($F90),BH$11,BH$14,,(BH$60))),_xlpm.Res,IF(OR(_xlpm.val="",_xlpm.val="Error"),"",_xlpm.val),_xlpm.Res)</f>
        <v>#NAME?</v>
      </c>
      <c r="BI90" s="1669" t="e" cm="1">
        <f t="array" ca="1" aca="1" ref="BI90">_xlfn.LET(_xlpm.val,IF($F90="",val_blankRefText,_xldudf_CX_GET(CX_ENTITY,($F90),BI$11,BI$14,,(BI$60))),_xlpm.Res,IF(OR(_xlpm.val="",_xlpm.val="Error"),"",_xlpm.val),_xlpm.Res)</f>
        <v>#NAME?</v>
      </c>
      <c r="BJ90" s="1669" t="e" cm="1">
        <f t="array" ca="1" aca="1" ref="BJ90">_xlfn.LET(_xlpm.val,IF($F90="",val_blankRefText,_xldudf_CX_GET(CX_ENTITY,($F90),BJ$11,BJ$14,,(BJ$60))),_xlpm.Res,IF(OR(_xlpm.val="",_xlpm.val="Error"),"",_xlpm.val),_xlpm.Res)</f>
        <v>#NAME?</v>
      </c>
      <c r="BK90" s="1669" t="e" cm="1">
        <f t="array" ca="1" aca="1" ref="BK90">_xlfn.LET(_xlpm.val,IF($F90="",val_blankRefText,_xldudf_CX_GET(CX_ENTITY,($F90),BK$11,BK$14,,(BK$60))),_xlpm.Res,IF(OR(_xlpm.val="",_xlpm.val="Error"),"",_xlpm.val),_xlpm.Res)</f>
        <v>#NAME?</v>
      </c>
      <c r="BL90" s="1669" t="e" cm="1">
        <f t="array" ca="1" aca="1" ref="BL90">_xlfn.LET(_xlpm.val,IF($F90="",val_blankRefText,_xldudf_CX_GET(CX_ENTITY,($F90),BL$11,BL$14,,(BL$60))),_xlpm.Res,IF(OR(_xlpm.val="",_xlpm.val="Error"),"",_xlpm.val),_xlpm.Res)</f>
        <v>#NAME?</v>
      </c>
      <c r="BM90" s="1669" t="e" cm="1">
        <f t="array" ca="1" aca="1" ref="BM90">_xlfn.LET(_xlpm.val,IF($F90="",val_blankRefText,_xldudf_CX_GET(CX_ENTITY,($F90),BM$11,BM$14,,(BM$60))),_xlpm.Res,IF(OR(_xlpm.val="",_xlpm.val="Error"),"",_xlpm.val),_xlpm.Res)</f>
        <v>#NAME?</v>
      </c>
      <c r="BN90" s="1669" t="e" cm="1">
        <f t="array" ca="1" aca="1" ref="BN90">_xlfn.LET(_xlpm.val,IF($F90="",val_blankRefText,_xldudf_CX_GET(CX_ENTITY,($F90),BN$11,BN$14,,(BN$60))),_xlpm.Res,IF(OR(_xlpm.val="",_xlpm.val="Error"),"",_xlpm.val),_xlpm.Res)</f>
        <v>#NAME?</v>
      </c>
      <c r="BO90" s="2095"/>
      <c r="BP90" s="2095"/>
      <c r="BQ90" s="2095"/>
      <c r="BR90" s="2095"/>
      <c r="BS90" s="2095"/>
      <c r="BT90" s="2095"/>
      <c r="BU90" s="2095"/>
      <c r="BV90" s="2095"/>
      <c r="BW90" s="2095"/>
      <c r="BX90" s="2095"/>
      <c r="BY90" s="2095"/>
      <c r="BZ90" s="2095"/>
      <c r="CA90" s="926"/>
      <c r="CB90" s="921"/>
      <c r="CC90" s="927"/>
      <c r="CD90" s="920" t="e" cm="1">
        <f t="array" ca="1" aca="1" ref="CD90">_xlfn.XLOOKUP(BS!CD$11,array_timeline,BS!$AD90:$BN90)</f>
        <v>#NAME?</v>
      </c>
      <c r="CE90" s="920" t="e" cm="1">
        <f t="array" ca="1" aca="1" ref="CE90">_xlfn.XLOOKUP(BS!CE$11,array_timeline,BS!$AD90:$BN90)</f>
        <v>#NAME?</v>
      </c>
      <c r="CF90" s="925"/>
      <c r="CG90" s="920" t="e">
        <f t="shared" ca="1" si="42"/>
        <v>#NAME?</v>
      </c>
      <c r="CH90" s="920" t="e">
        <f t="shared" ca="1" si="42"/>
        <v>#NAME?</v>
      </c>
      <c r="CI90" s="200"/>
    </row>
    <row r="91" spans="1:87" ht="21" customHeight="1">
      <c r="A91" s="696"/>
      <c r="B91" s="577" t="str">
        <f t="shared" si="10"/>
        <v>Net Assets / Total Equity</v>
      </c>
      <c r="C91" s="577" t="str">
        <f t="shared" si="10"/>
        <v>Net Assets / Total Equity (Company View)</v>
      </c>
      <c r="D91" s="577"/>
      <c r="E91" s="577" t="e" cm="1">
        <f t="array" ca="1" aca="1" ref="E91">_xlfn.LET(_xlpm.Attr,$C91,_xlpm.Lookback,$E$16,_xlpm.QueryDate,EOMONTH(val_asOfDate,_xlpm.Lookback),_xlpm.ReadField,_xldudf_CX_GET(CX_ENTITY,fx_attrConverter($C91),_xlpm.QueryDate),_xlpm.AttrBlank,_xlpm.Attr="",_xlpm.RESULT,IF(_xlpm.AttrBlank,val_blankRefText,fx_attrConverter(_xlpm.ReadField,0)),IF(_xlpm.RESULT="Error","",_xlpm.RESULT))</f>
        <v>#NAME?</v>
      </c>
      <c r="F91" s="577" t="str">
        <f t="shared" si="9"/>
        <v>Net Assets / Total Equity</v>
      </c>
      <c r="G91" s="574"/>
      <c r="H91" s="3280">
        <v>2</v>
      </c>
      <c r="I91" s="3280">
        <v>1</v>
      </c>
      <c r="J91" s="401"/>
      <c r="K91" s="401"/>
      <c r="L91" s="579">
        <v>-1</v>
      </c>
      <c r="N91" s="158"/>
      <c r="O91" s="101"/>
      <c r="P91" s="52"/>
      <c r="Q91" s="101"/>
      <c r="R91" s="101"/>
      <c r="S91" s="101"/>
      <c r="T91" s="101"/>
      <c r="U91" s="39"/>
      <c r="V91" s="108"/>
      <c r="W91" s="1292" t="str">
        <f t="shared" si="15"/>
        <v>Budget</v>
      </c>
      <c r="X91" s="1295">
        <f t="shared" si="43" ref="X91">X50</f>
        <v>0</v>
      </c>
      <c r="Y91" s="2631" t="str">
        <f t="shared" si="12"/>
        <v>Net Assets / Total Equity</v>
      </c>
      <c r="Z91" s="538" cm="1">
        <f t="array" ref="Z91">_xlfn.SWITCH(TRUE,$L91="",0,$L91=TRUE,1,$L91=FALSE,-1,)</f>
        <v>0</v>
      </c>
      <c r="AA91" s="1166"/>
      <c r="AB91" s="949" t="str">
        <f t="shared" si="13"/>
        <v>Net Assets / Total Equity</v>
      </c>
      <c r="AC91" s="13"/>
      <c r="AD91" s="1669" t="e" cm="1">
        <f t="array" ca="1" aca="1" ref="AD91">_xlfn.LET(_xlpm.val,IF($F91="",val_blankRefText,_xldudf_CX_GET(CX_ENTITY,($F91),AD$11,AD$14,,(AD$60))),_xlpm.Res,IF(OR(_xlpm.val="",_xlpm.val="Error"),"",_xlpm.val),_xlpm.Res)</f>
        <v>#NAME?</v>
      </c>
      <c r="AE91" s="1669" t="e" cm="1">
        <f t="array" ca="1" aca="1" ref="AE91">_xlfn.LET(_xlpm.val,IF($F91="",val_blankRefText,_xldudf_CX_GET(CX_ENTITY,($F91),AE$11,AE$14,,(AE$60))),_xlpm.Res,IF(OR(_xlpm.val="",_xlpm.val="Error"),"",_xlpm.val),_xlpm.Res)</f>
        <v>#NAME?</v>
      </c>
      <c r="AF91" s="1669" t="e" cm="1">
        <f t="array" ca="1" aca="1" ref="AF91">_xlfn.LET(_xlpm.val,IF($F91="",val_blankRefText,_xldudf_CX_GET(CX_ENTITY,($F91),AF$11,AF$14,,(AF$60))),_xlpm.Res,IF(OR(_xlpm.val="",_xlpm.val="Error"),"",_xlpm.val),_xlpm.Res)</f>
        <v>#NAME?</v>
      </c>
      <c r="AG91" s="1669" t="e" cm="1">
        <f t="array" ca="1" aca="1" ref="AG91">_xlfn.LET(_xlpm.val,IF($F91="",val_blankRefText,_xldudf_CX_GET(CX_ENTITY,($F91),AG$11,AG$14,,(AG$60))),_xlpm.Res,IF(OR(_xlpm.val="",_xlpm.val="Error"),"",_xlpm.val),_xlpm.Res)</f>
        <v>#NAME?</v>
      </c>
      <c r="AH91" s="1669" t="e" cm="1">
        <f t="array" ca="1" aca="1" ref="AH91">_xlfn.LET(_xlpm.val,IF($F91="",val_blankRefText,_xldudf_CX_GET(CX_ENTITY,($F91),AH$11,AH$14,,(AH$60))),_xlpm.Res,IF(OR(_xlpm.val="",_xlpm.val="Error"),"",_xlpm.val),_xlpm.Res)</f>
        <v>#NAME?</v>
      </c>
      <c r="AI91" s="1669" t="e" cm="1">
        <f t="array" ca="1" aca="1" ref="AI91">_xlfn.LET(_xlpm.val,IF($F91="",val_blankRefText,_xldudf_CX_GET(CX_ENTITY,($F91),AI$11,AI$14,,(AI$60))),_xlpm.Res,IF(OR(_xlpm.val="",_xlpm.val="Error"),"",_xlpm.val),_xlpm.Res)</f>
        <v>#NAME?</v>
      </c>
      <c r="AJ91" s="1669" t="e" cm="1">
        <f t="array" ca="1" aca="1" ref="AJ91">_xlfn.LET(_xlpm.val,IF($F91="",val_blankRefText,_xldudf_CX_GET(CX_ENTITY,($F91),AJ$11,AJ$14,,(AJ$60))),_xlpm.Res,IF(OR(_xlpm.val="",_xlpm.val="Error"),"",_xlpm.val),_xlpm.Res)</f>
        <v>#NAME?</v>
      </c>
      <c r="AK91" s="1669" t="e" cm="1">
        <f t="array" ca="1" aca="1" ref="AK91">_xlfn.LET(_xlpm.val,IF($F91="",val_blankRefText,_xldudf_CX_GET(CX_ENTITY,($F91),AK$11,AK$14,,(AK$60))),_xlpm.Res,IF(OR(_xlpm.val="",_xlpm.val="Error"),"",_xlpm.val),_xlpm.Res)</f>
        <v>#NAME?</v>
      </c>
      <c r="AL91" s="1669" t="e" cm="1">
        <f t="array" ca="1" aca="1" ref="AL91">_xlfn.LET(_xlpm.val,IF($F91="",val_blankRefText,_xldudf_CX_GET(CX_ENTITY,($F91),AL$11,AL$14,,(AL$60))),_xlpm.Res,IF(OR(_xlpm.val="",_xlpm.val="Error"),"",_xlpm.val),_xlpm.Res)</f>
        <v>#NAME?</v>
      </c>
      <c r="AM91" s="1669" t="e" cm="1">
        <f t="array" ca="1" aca="1" ref="AM91">_xlfn.LET(_xlpm.val,IF($F91="",val_blankRefText,_xldudf_CX_GET(CX_ENTITY,($F91),AM$11,AM$14,,(AM$60))),_xlpm.Res,IF(OR(_xlpm.val="",_xlpm.val="Error"),"",_xlpm.val),_xlpm.Res)</f>
        <v>#NAME?</v>
      </c>
      <c r="AN91" s="1669" t="e" cm="1">
        <f t="array" ca="1" aca="1" ref="AN91">_xlfn.LET(_xlpm.val,IF($F91="",val_blankRefText,_xldudf_CX_GET(CX_ENTITY,($F91),AN$11,AN$14,,(AN$60))),_xlpm.Res,IF(OR(_xlpm.val="",_xlpm.val="Error"),"",_xlpm.val),_xlpm.Res)</f>
        <v>#NAME?</v>
      </c>
      <c r="AO91" s="1669" t="e" cm="1">
        <f t="array" ca="1" aca="1" ref="AO91">_xlfn.LET(_xlpm.val,IF($F91="",val_blankRefText,_xldudf_CX_GET(CX_ENTITY,($F91),AO$11,AO$14,,(AO$60))),_xlpm.Res,IF(OR(_xlpm.val="",_xlpm.val="Error"),"",_xlpm.val),_xlpm.Res)</f>
        <v>#NAME?</v>
      </c>
      <c r="AP91" s="1669" t="e" cm="1">
        <f t="array" ca="1" aca="1" ref="AP91">_xlfn.LET(_xlpm.val,IF($F91="",val_blankRefText,_xldudf_CX_GET(CX_ENTITY,($F91),AP$11,AP$14,,(AP$60))),_xlpm.Res,IF(OR(_xlpm.val="",_xlpm.val="Error"),"",_xlpm.val),_xlpm.Res)</f>
        <v>#NAME?</v>
      </c>
      <c r="AQ91" s="1669" t="e" cm="1">
        <f t="array" ca="1" aca="1" ref="AQ91">_xlfn.LET(_xlpm.val,IF($F91="",val_blankRefText,_xldudf_CX_GET(CX_ENTITY,($F91),AQ$11,AQ$14,,(AQ$60))),_xlpm.Res,IF(OR(_xlpm.val="",_xlpm.val="Error"),"",_xlpm.val),_xlpm.Res)</f>
        <v>#NAME?</v>
      </c>
      <c r="AR91" s="1669" t="e" cm="1">
        <f t="array" ca="1" aca="1" ref="AR91">_xlfn.LET(_xlpm.val,IF($F91="",val_blankRefText,_xldudf_CX_GET(CX_ENTITY,($F91),AR$11,AR$14,,(AR$60))),_xlpm.Res,IF(OR(_xlpm.val="",_xlpm.val="Error"),"",_xlpm.val),_xlpm.Res)</f>
        <v>#NAME?</v>
      </c>
      <c r="AS91" s="1669" t="e" cm="1">
        <f t="array" ca="1" aca="1" ref="AS91">_xlfn.LET(_xlpm.val,IF($F91="",val_blankRefText,_xldudf_CX_GET(CX_ENTITY,($F91),AS$11,AS$14,,(AS$60))),_xlpm.Res,IF(OR(_xlpm.val="",_xlpm.val="Error"),"",_xlpm.val),_xlpm.Res)</f>
        <v>#NAME?</v>
      </c>
      <c r="AT91" s="1669" t="e" cm="1">
        <f t="array" ca="1" aca="1" ref="AT91">_xlfn.LET(_xlpm.val,IF($F91="",val_blankRefText,_xldudf_CX_GET(CX_ENTITY,($F91),AT$11,AT$14,,(AT$60))),_xlpm.Res,IF(OR(_xlpm.val="",_xlpm.val="Error"),"",_xlpm.val),_xlpm.Res)</f>
        <v>#NAME?</v>
      </c>
      <c r="AU91" s="1669" t="e" cm="1">
        <f t="array" ca="1" aca="1" ref="AU91">_xlfn.LET(_xlpm.val,IF($F91="",val_blankRefText,_xldudf_CX_GET(CX_ENTITY,($F91),AU$11,AU$14,,(AU$60))),_xlpm.Res,IF(OR(_xlpm.val="",_xlpm.val="Error"),"",_xlpm.val),_xlpm.Res)</f>
        <v>#NAME?</v>
      </c>
      <c r="AV91" s="1669" t="e" cm="1">
        <f t="array" ca="1" aca="1" ref="AV91">_xlfn.LET(_xlpm.val,IF($F91="",val_blankRefText,_xldudf_CX_GET(CX_ENTITY,($F91),AV$11,AV$14,,(AV$60))),_xlpm.Res,IF(OR(_xlpm.val="",_xlpm.val="Error"),"",_xlpm.val),_xlpm.Res)</f>
        <v>#NAME?</v>
      </c>
      <c r="AW91" s="1669" t="e" cm="1">
        <f t="array" ca="1" aca="1" ref="AW91">_xlfn.LET(_xlpm.val,IF($F91="",val_blankRefText,_xldudf_CX_GET(CX_ENTITY,($F91),AW$11,AW$14,,(AW$60))),_xlpm.Res,IF(OR(_xlpm.val="",_xlpm.val="Error"),"",_xlpm.val),_xlpm.Res)</f>
        <v>#NAME?</v>
      </c>
      <c r="AX91" s="1669" t="e" cm="1">
        <f t="array" ca="1" aca="1" ref="AX91">_xlfn.LET(_xlpm.val,IF($F91="",val_blankRefText,_xldudf_CX_GET(CX_ENTITY,($F91),AX$11,AX$14,,(AX$60))),_xlpm.Res,IF(OR(_xlpm.val="",_xlpm.val="Error"),"",_xlpm.val),_xlpm.Res)</f>
        <v>#NAME?</v>
      </c>
      <c r="AY91" s="1669" t="e" cm="1">
        <f t="array" ca="1" aca="1" ref="AY91">_xlfn.LET(_xlpm.val,IF($F91="",val_blankRefText,_xldudf_CX_GET(CX_ENTITY,($F91),AY$11,AY$14,,(AY$60))),_xlpm.Res,IF(OR(_xlpm.val="",_xlpm.val="Error"),"",_xlpm.val),_xlpm.Res)</f>
        <v>#NAME?</v>
      </c>
      <c r="AZ91" s="1669" t="e" cm="1">
        <f t="array" ca="1" aca="1" ref="AZ91">_xlfn.LET(_xlpm.val,IF($F91="",val_blankRefText,_xldudf_CX_GET(CX_ENTITY,($F91),AZ$11,AZ$14,,(AZ$60))),_xlpm.Res,IF(OR(_xlpm.val="",_xlpm.val="Error"),"",_xlpm.val),_xlpm.Res)</f>
        <v>#NAME?</v>
      </c>
      <c r="BA91" s="1669" t="e" cm="1">
        <f t="array" ca="1" aca="1" ref="BA91">_xlfn.LET(_xlpm.val,IF($F91="",val_blankRefText,_xldudf_CX_GET(CX_ENTITY,($F91),BA$11,BA$14,,(BA$60))),_xlpm.Res,IF(OR(_xlpm.val="",_xlpm.val="Error"),"",_xlpm.val),_xlpm.Res)</f>
        <v>#NAME?</v>
      </c>
      <c r="BB91" s="1669" t="e" cm="1">
        <f t="array" ca="1" aca="1" ref="BB91">_xlfn.LET(_xlpm.val,IF($F91="",val_blankRefText,_xldudf_CX_GET(CX_ENTITY,($F91),BB$11,BB$14,,(BB$60))),_xlpm.Res,IF(OR(_xlpm.val="",_xlpm.val="Error"),"",_xlpm.val),_xlpm.Res)</f>
        <v>#NAME?</v>
      </c>
      <c r="BC91" s="1669" t="e" cm="1">
        <f t="array" ca="1" aca="1" ref="BC91">_xlfn.LET(_xlpm.val,IF($F91="",val_blankRefText,_xldudf_CX_GET(CX_ENTITY,($F91),BC$11,BC$14,,(BC$60))),_xlpm.Res,IF(OR(_xlpm.val="",_xlpm.val="Error"),"",_xlpm.val),_xlpm.Res)</f>
        <v>#NAME?</v>
      </c>
      <c r="BD91" s="1669" t="e" cm="1">
        <f t="array" ca="1" aca="1" ref="BD91">_xlfn.LET(_xlpm.val,IF($F91="",val_blankRefText,_xldudf_CX_GET(CX_ENTITY,($F91),BD$11,BD$14,,(BD$60))),_xlpm.Res,IF(OR(_xlpm.val="",_xlpm.val="Error"),"",_xlpm.val),_xlpm.Res)</f>
        <v>#NAME?</v>
      </c>
      <c r="BE91" s="1669" t="e" cm="1">
        <f t="array" ca="1" aca="1" ref="BE91">_xlfn.LET(_xlpm.val,IF($F91="",val_blankRefText,_xldudf_CX_GET(CX_ENTITY,($F91),BE$11,BE$14,,(BE$60))),_xlpm.Res,IF(OR(_xlpm.val="",_xlpm.val="Error"),"",_xlpm.val),_xlpm.Res)</f>
        <v>#NAME?</v>
      </c>
      <c r="BF91" s="1669" t="e" cm="1">
        <f t="array" ca="1" aca="1" ref="BF91">_xlfn.LET(_xlpm.val,IF($F91="",val_blankRefText,_xldudf_CX_GET(CX_ENTITY,($F91),BF$11,BF$14,,(BF$60))),_xlpm.Res,IF(OR(_xlpm.val="",_xlpm.val="Error"),"",_xlpm.val),_xlpm.Res)</f>
        <v>#NAME?</v>
      </c>
      <c r="BG91" s="1669" t="e" cm="1">
        <f t="array" ca="1" aca="1" ref="BG91">_xlfn.LET(_xlpm.val,IF($F91="",val_blankRefText,_xldudf_CX_GET(CX_ENTITY,($F91),BG$11,BG$14,,(BG$60))),_xlpm.Res,IF(OR(_xlpm.val="",_xlpm.val="Error"),"",_xlpm.val),_xlpm.Res)</f>
        <v>#NAME?</v>
      </c>
      <c r="BH91" s="1669" t="e" cm="1">
        <f t="array" ca="1" aca="1" ref="BH91">_xlfn.LET(_xlpm.val,IF($F91="",val_blankRefText,_xldudf_CX_GET(CX_ENTITY,($F91),BH$11,BH$14,,(BH$60))),_xlpm.Res,IF(OR(_xlpm.val="",_xlpm.val="Error"),"",_xlpm.val),_xlpm.Res)</f>
        <v>#NAME?</v>
      </c>
      <c r="BI91" s="1669" t="e" cm="1">
        <f t="array" ca="1" aca="1" ref="BI91">_xlfn.LET(_xlpm.val,IF($F91="",val_blankRefText,_xldudf_CX_GET(CX_ENTITY,($F91),BI$11,BI$14,,(BI$60))),_xlpm.Res,IF(OR(_xlpm.val="",_xlpm.val="Error"),"",_xlpm.val),_xlpm.Res)</f>
        <v>#NAME?</v>
      </c>
      <c r="BJ91" s="1669" t="e" cm="1">
        <f t="array" ca="1" aca="1" ref="BJ91">_xlfn.LET(_xlpm.val,IF($F91="",val_blankRefText,_xldudf_CX_GET(CX_ENTITY,($F91),BJ$11,BJ$14,,(BJ$60))),_xlpm.Res,IF(OR(_xlpm.val="",_xlpm.val="Error"),"",_xlpm.val),_xlpm.Res)</f>
        <v>#NAME?</v>
      </c>
      <c r="BK91" s="1669" t="e" cm="1">
        <f t="array" ca="1" aca="1" ref="BK91">_xlfn.LET(_xlpm.val,IF($F91="",val_blankRefText,_xldudf_CX_GET(CX_ENTITY,($F91),BK$11,BK$14,,(BK$60))),_xlpm.Res,IF(OR(_xlpm.val="",_xlpm.val="Error"),"",_xlpm.val),_xlpm.Res)</f>
        <v>#NAME?</v>
      </c>
      <c r="BL91" s="1669" t="e" cm="1">
        <f t="array" ca="1" aca="1" ref="BL91">_xlfn.LET(_xlpm.val,IF($F91="",val_blankRefText,_xldudf_CX_GET(CX_ENTITY,($F91),BL$11,BL$14,,(BL$60))),_xlpm.Res,IF(OR(_xlpm.val="",_xlpm.val="Error"),"",_xlpm.val),_xlpm.Res)</f>
        <v>#NAME?</v>
      </c>
      <c r="BM91" s="1669" t="e" cm="1">
        <f t="array" ca="1" aca="1" ref="BM91">_xlfn.LET(_xlpm.val,IF($F91="",val_blankRefText,_xldudf_CX_GET(CX_ENTITY,($F91),BM$11,BM$14,,(BM$60))),_xlpm.Res,IF(OR(_xlpm.val="",_xlpm.val="Error"),"",_xlpm.val),_xlpm.Res)</f>
        <v>#NAME?</v>
      </c>
      <c r="BN91" s="1669" t="e" cm="1">
        <f t="array" ca="1" aca="1" ref="BN91">_xlfn.LET(_xlpm.val,IF($F91="",val_blankRefText,_xldudf_CX_GET(CX_ENTITY,($F91),BN$11,BN$14,,(BN$60))),_xlpm.Res,IF(OR(_xlpm.val="",_xlpm.val="Error"),"",_xlpm.val),_xlpm.Res)</f>
        <v>#NAME?</v>
      </c>
      <c r="BO91" s="2095"/>
      <c r="BP91" s="2095"/>
      <c r="BQ91" s="2095"/>
      <c r="BR91" s="2095"/>
      <c r="BS91" s="2095"/>
      <c r="BT91" s="2095"/>
      <c r="BU91" s="2095"/>
      <c r="BV91" s="2095"/>
      <c r="BW91" s="2095"/>
      <c r="BX91" s="2095"/>
      <c r="BY91" s="2095"/>
      <c r="BZ91" s="2095"/>
      <c r="CA91" s="926"/>
      <c r="CB91" s="921"/>
      <c r="CC91" s="927"/>
      <c r="CD91" s="919" t="e" cm="1">
        <f t="array" ca="1" aca="1" ref="CD91">_xlfn.XLOOKUP(BS!CD$11,array_timeline,BS!$AD91:$BN91)</f>
        <v>#NAME?</v>
      </c>
      <c r="CE91" s="919" t="e" cm="1">
        <f t="array" ca="1" aca="1" ref="CE91">_xlfn.XLOOKUP(BS!CE$11,array_timeline,BS!$AD91:$BN91)</f>
        <v>#NAME?</v>
      </c>
      <c r="CF91" s="925"/>
      <c r="CG91" s="928" t="e">
        <f ca="1" t="shared" si="44" ref="CG91:CH91">CG50</f>
        <v>#NAME?</v>
      </c>
      <c r="CH91" s="928" t="e">
        <f t="shared" ca="1" si="44"/>
        <v>#NAME?</v>
      </c>
      <c r="CI91" s="924"/>
    </row>
    <row r="92" spans="1:87" ht="18">
      <c r="A92" s="693"/>
      <c r="B92" s="577"/>
      <c r="C92" s="577"/>
      <c r="D92" s="577"/>
      <c r="E92" s="577"/>
      <c r="F92" s="577"/>
      <c r="G92" s="401"/>
      <c r="H92" s="585"/>
      <c r="I92" s="401"/>
      <c r="J92" s="30"/>
      <c r="K92" s="30"/>
      <c r="L92" s="578"/>
      <c r="N92" s="158"/>
      <c r="O92" s="101"/>
      <c r="P92" s="52"/>
      <c r="Q92" s="101"/>
      <c r="R92" s="101"/>
      <c r="S92" s="101"/>
      <c r="T92" s="101"/>
      <c r="U92" s="39"/>
      <c r="W92" s="127"/>
      <c r="X92" s="127"/>
      <c r="Y92" s="127"/>
      <c r="Z92" s="127"/>
      <c r="AA92" s="127"/>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C92" s="40"/>
      <c r="CD92" s="40"/>
      <c r="CE92" s="40"/>
      <c r="CF92" s="40"/>
      <c r="CG92" s="40"/>
      <c r="CH92" s="40"/>
      <c r="CI92" s="40"/>
    </row>
  </sheetData>
  <sheetProtection formatColumns="0" formatRows="0" autoFilter="0" pivotTables="0"/>
  <mergeCells count="16">
    <mergeCell ref="CD53:CE53"/>
    <mergeCell ref="CG53:CH53"/>
    <mergeCell ref="CG10:CH10"/>
    <mergeCell ref="Y58:Y59"/>
    <mergeCell ref="C12:C14"/>
    <mergeCell ref="E12:E14"/>
    <mergeCell ref="F12:F14"/>
    <mergeCell ref="CD10:CE10"/>
    <mergeCell ref="W17:W18"/>
    <mergeCell ref="O4:Q4"/>
    <mergeCell ref="J11:J15"/>
    <mergeCell ref="K11:K15"/>
    <mergeCell ref="X58:X59"/>
    <mergeCell ref="W58:W59"/>
    <mergeCell ref="S5:T6"/>
    <mergeCell ref="S9:T10"/>
  </mergeCells>
  <conditionalFormatting sqref="B58:D59">
    <cfRule type="duplicateValues" priority="161" dxfId="4202"/>
  </conditionalFormatting>
  <conditionalFormatting sqref="E4">
    <cfRule type="cellIs" priority="209" dxfId="4201" operator="equal">
      <formula>"Unlinked"</formula>
    </cfRule>
    <cfRule type="cellIs" priority="208" dxfId="4202" operator="equal">
      <formula>"Linked"</formula>
    </cfRule>
  </conditionalFormatting>
  <conditionalFormatting sqref="E20:E59 E61:E92">
    <cfRule type="expression" priority="117" dxfId="4199">
      <formula>fx_hasCX(E20)</formula>
    </cfRule>
  </conditionalFormatting>
  <conditionalFormatting sqref="F20:F49">
    <cfRule type="expression" priority="24149" dxfId="4199">
      <formula>fx_hasCX(F1048415)</formula>
    </cfRule>
  </conditionalFormatting>
  <conditionalFormatting sqref="F50:F59">
    <cfRule type="expression" priority="9393" dxfId="4199">
      <formula>fx_hasCX(F1048444)</formula>
    </cfRule>
  </conditionalFormatting>
  <conditionalFormatting sqref="F61:F90">
    <cfRule type="expression" priority="24150" dxfId="4199">
      <formula>fx_hasCX(F1048454)</formula>
    </cfRule>
  </conditionalFormatting>
  <conditionalFormatting sqref="F91:F92">
    <cfRule type="expression" priority="116" dxfId="4199">
      <formula>fx_hasCX(F1048483)</formula>
    </cfRule>
  </conditionalFormatting>
  <conditionalFormatting sqref="W20:W50">
    <cfRule type="expression" priority="25" dxfId="4194">
      <formula>IF($A$14,IF(CELL("protect",W20)=0,TRUE,FALSE))</formula>
    </cfRule>
  </conditionalFormatting>
  <conditionalFormatting sqref="W61:W91">
    <cfRule type="expression" priority="26" dxfId="4194">
      <formula>IF($A$14,IF(CELL("protect",W61)=0,TRUE,FALSE))</formula>
    </cfRule>
  </conditionalFormatting>
  <conditionalFormatting sqref="W17:CH17 X18:CH18 W19:AC19 X20:CH50 W51:CH59 W60:AC60 X61:CH91">
    <cfRule type="expression" priority="58" dxfId="4192">
      <formula>IF($A$14,IF(CELL("protect",W17)=0,TRUE,FALSE))</formula>
    </cfRule>
  </conditionalFormatting>
  <conditionalFormatting sqref="Z12:Z14">
    <cfRule type="expression" priority="78" dxfId="4191">
      <formula>fmt_shadeOn(Z12)</formula>
    </cfRule>
  </conditionalFormatting>
  <conditionalFormatting sqref="Z55:Z57">
    <cfRule type="expression" priority="60" dxfId="4191">
      <formula>fmt_shadeOn(Z55)</formula>
    </cfRule>
  </conditionalFormatting>
  <conditionalFormatting sqref="AD11:BZ11">
    <cfRule type="expression" priority="70" dxfId="4189">
      <formula>AD$15=1</formula>
    </cfRule>
    <cfRule type="expression" priority="69" dxfId="4188">
      <formula>AD$15=2</formula>
    </cfRule>
  </conditionalFormatting>
  <conditionalFormatting sqref="AD19:BZ91 CD60:CF60 CD61:CH91">
    <cfRule type="expression" priority="36" dxfId="4187">
      <formula>INDEX($I$1:$I$302,ROW(AD19))=1</formula>
    </cfRule>
  </conditionalFormatting>
  <conditionalFormatting sqref="AD19:BZ91">
    <cfRule type="expression" priority="34" dxfId="4186">
      <formula>INDEX($I$1:$I$302,ROW(AD19))=3</formula>
    </cfRule>
    <cfRule type="expression" priority="35" dxfId="4185">
      <formula>INDEX($I$1:$I$302,ROW(AD19))=2</formula>
    </cfRule>
  </conditionalFormatting>
  <conditionalFormatting sqref="AD54:BZ54">
    <cfRule type="expression" priority="68" dxfId="4189">
      <formula>AD$15=1</formula>
    </cfRule>
    <cfRule type="expression" priority="67" dxfId="4188">
      <formula>AD$15=2</formula>
    </cfRule>
  </conditionalFormatting>
  <conditionalFormatting sqref="AD55:BZ91">
    <cfRule type="expression" priority="39" dxfId="4182">
      <formula>_xlfn.SWITCH(INDEX($X$1:$X$302,ROW(AD55)),-1,SIGN(AD55)&gt;0,1,SIGN(AD55)&lt;0)</formula>
    </cfRule>
  </conditionalFormatting>
  <conditionalFormatting sqref="AD60:BZ60">
    <cfRule type="expression" priority="40" dxfId="4191">
      <formula>INDEX($H$1:$H$302,ROW(AD60))=2</formula>
    </cfRule>
  </conditionalFormatting>
  <conditionalFormatting sqref="AD19:CH19">
    <cfRule type="expression" priority="41" dxfId="4194">
      <formula>IF($A$14,IF(CELL("protect",AD19)=0,TRUE,FALSE))</formula>
    </cfRule>
  </conditionalFormatting>
  <conditionalFormatting sqref="AD60:CH60">
    <cfRule type="expression" priority="27" dxfId="4194">
      <formula>IF($A$14,IF(CELL("protect",AD60)=0,TRUE,FALSE))</formula>
    </cfRule>
  </conditionalFormatting>
  <conditionalFormatting sqref="X20:BZ53 CD20:CE59 X55:Y59 AA55:BZ56 AA57:AC58 Z58:Z59 AA59:BZ59 X60:AC60 X61:BZ91 CD61:CE91">
    <cfRule type="expression" priority="80" dxfId="4191">
      <formula>INDEX($H$1:$H$302,ROW(X20))=2</formula>
    </cfRule>
  </conditionalFormatting>
  <conditionalFormatting sqref="CD60:CE60">
    <cfRule type="expression" priority="38" dxfId="4191">
      <formula>INDEX($H$1:$H$302,ROW(CD60))=2</formula>
    </cfRule>
  </conditionalFormatting>
  <conditionalFormatting sqref="CD60:CF60">
    <cfRule type="expression" priority="37" dxfId="4182">
      <formula>_xlfn.SWITCH(INDEX($X$1:$X$302,ROW(CD60)),-1,SIGN(CD60)&gt;0,1,SIGN(CD60)&lt;0)</formula>
    </cfRule>
  </conditionalFormatting>
  <conditionalFormatting sqref="CD20:CH59">
    <cfRule type="expression" priority="71" dxfId="4182">
      <formula>_xlfn.SWITCH(INDEX($X$1:$X$302,ROW(CD20)),-1,SIGN(CD20)&gt;0,1,SIGN(CD20)&lt;0)</formula>
    </cfRule>
    <cfRule type="expression" priority="66" dxfId="4187">
      <formula>INDEX($I$1:$I$302,ROW(CD20))=1</formula>
    </cfRule>
  </conditionalFormatting>
  <conditionalFormatting sqref="CD20:CH91">
    <cfRule type="expression" priority="29" dxfId="4186">
      <formula>INDEX($I$1:$I$302,ROW(CD20))=3</formula>
    </cfRule>
    <cfRule type="expression" priority="31" dxfId="4185">
      <formula>INDEX($I$1:$I$302,ROW(CD20))=2</formula>
    </cfRule>
  </conditionalFormatting>
  <conditionalFormatting sqref="AD19:BZ53 CF19 CD61:CH91">
    <cfRule type="expression" priority="51" dxfId="4182">
      <formula>_xlfn.SWITCH(INDEX($X$1:$X$302,ROW(AD19)),-1,SIGN(AD19)&gt;0,1,SIGN(AD19)&lt;0)</formula>
    </cfRule>
  </conditionalFormatting>
  <conditionalFormatting sqref="CF19">
    <cfRule type="expression" priority="50" dxfId="4187">
      <formula>INDEX($I$1:$I$302,ROW(CF19))=1</formula>
    </cfRule>
  </conditionalFormatting>
  <conditionalFormatting sqref="CF19:CH19">
    <cfRule type="expression" priority="45" dxfId="4185">
      <formula>INDEX($I$1:$I$302,ROW(CF19))=2</formula>
    </cfRule>
    <cfRule type="expression" priority="43" dxfId="4186">
      <formula>INDEX($I$1:$I$302,ROW(CF19))=3</formula>
    </cfRule>
  </conditionalFormatting>
  <conditionalFormatting sqref="CG19:CH19">
    <cfRule type="expression" priority="46" dxfId="4167">
      <formula>INDEX($H$1:$H$302,ROW($CM19))=2</formula>
    </cfRule>
    <cfRule type="expression" priority="44" dxfId="4166">
      <formula>INDEX($I$1:$I$302,ROW(CG19))=1</formula>
    </cfRule>
    <cfRule type="expression" priority="42" dxfId="4165">
      <formula>_xlfn.SWITCH(INDEX($X$1:$X$302,ROW(CG19)),-1,SIGN(CG19)&gt;0,1,SIGN(CG19)&lt;0)</formula>
    </cfRule>
  </conditionalFormatting>
  <conditionalFormatting sqref="CG20:CH50">
    <cfRule type="expression" priority="63" dxfId="4191">
      <formula>INDEX($H$1:$H$302,ROW(CG20))=2</formula>
    </cfRule>
  </conditionalFormatting>
  <conditionalFormatting sqref="CG20:CH59 CG61:CH91">
    <cfRule type="expression" priority="62" dxfId="4167">
      <formula>INDEX($H$1:$H$302,ROW(CG20))=2</formula>
    </cfRule>
  </conditionalFormatting>
  <conditionalFormatting sqref="CG60:CH60">
    <cfRule type="expression" priority="32" dxfId="4167">
      <formula>INDEX($H$1:$H$302,ROW($CM60))=2</formula>
    </cfRule>
    <cfRule type="expression" priority="30" dxfId="4166">
      <formula>INDEX($I$1:$I$302,ROW(CG60))=1</formula>
    </cfRule>
    <cfRule type="expression" priority="28" dxfId="4165">
      <formula>_xlfn.SWITCH(INDEX($X$1:$X$302,ROW(CG60)),-1,SIGN(CG60)&gt;0,1,SIGN(CG60)&lt;0)</formula>
    </cfRule>
  </conditionalFormatting>
  <conditionalFormatting sqref="CG61:CH63">
    <cfRule type="expression" priority="24" dxfId="4182">
      <formula>_xlfn.SWITCH(INDEX($X$1:$X$302,ROW(CG61)),-1,SIGN(CG61)&gt;0,1,SIGN(CG61)&lt;0)</formula>
    </cfRule>
    <cfRule type="expression" priority="23" dxfId="4187">
      <formula>INDEX($I$1:$I$302,ROW(CG61))=1</formula>
    </cfRule>
    <cfRule type="expression" priority="22" dxfId="4191">
      <formula>INDEX($H$1:$H$302,ROW(CG61))=2</formula>
    </cfRule>
  </conditionalFormatting>
  <conditionalFormatting sqref="CG65:CH68">
    <cfRule type="expression" priority="20" dxfId="4187">
      <formula>INDEX($I$1:$I$302,ROW(CG65))=1</formula>
    </cfRule>
    <cfRule type="expression" priority="19" dxfId="4191">
      <formula>INDEX($H$1:$H$302,ROW(CG65))=2</formula>
    </cfRule>
    <cfRule type="expression" priority="21" dxfId="4182">
      <formula>_xlfn.SWITCH(INDEX($X$1:$X$302,ROW(CG65)),-1,SIGN(CG65)&gt;0,1,SIGN(CG65)&lt;0)</formula>
    </cfRule>
  </conditionalFormatting>
  <conditionalFormatting sqref="CG70:CH70">
    <cfRule type="expression" priority="17" dxfId="4187">
      <formula>INDEX($I$1:$I$302,ROW(CG70))=1</formula>
    </cfRule>
    <cfRule type="expression" priority="18" dxfId="4182">
      <formula>_xlfn.SWITCH(INDEX($X$1:$X$302,ROW(CG70)),-1,SIGN(CG70)&gt;0,1,SIGN(CG70)&lt;0)</formula>
    </cfRule>
    <cfRule type="expression" priority="16" dxfId="4191">
      <formula>INDEX($H$1:$H$302,ROW(CG70))=2</formula>
    </cfRule>
  </conditionalFormatting>
  <conditionalFormatting sqref="CG72:CH75">
    <cfRule type="expression" priority="15" dxfId="4182">
      <formula>_xlfn.SWITCH(INDEX($X$1:$X$302,ROW(CG72)),-1,SIGN(CG72)&gt;0,1,SIGN(CG72)&lt;0)</formula>
    </cfRule>
    <cfRule type="expression" priority="14" dxfId="4187">
      <formula>INDEX($I$1:$I$302,ROW(CG72))=1</formula>
    </cfRule>
    <cfRule type="expression" priority="13" dxfId="4191">
      <formula>INDEX($H$1:$H$302,ROW(CG72))=2</formula>
    </cfRule>
  </conditionalFormatting>
  <conditionalFormatting sqref="CG77:CH78">
    <cfRule type="expression" priority="12" dxfId="4182">
      <formula>_xlfn.SWITCH(INDEX($X$1:$X$302,ROW(CG77)),-1,SIGN(CG77)&gt;0,1,SIGN(CG77)&lt;0)</formula>
    </cfRule>
    <cfRule type="expression" priority="10" dxfId="4191">
      <formula>INDEX($H$1:$H$302,ROW(CG77))=2</formula>
    </cfRule>
    <cfRule type="expression" priority="11" dxfId="4187">
      <formula>INDEX($I$1:$I$302,ROW(CG77))=1</formula>
    </cfRule>
  </conditionalFormatting>
  <conditionalFormatting sqref="CG80:CH80">
    <cfRule type="expression" priority="9" dxfId="4182">
      <formula>_xlfn.SWITCH(INDEX($X$1:$X$302,ROW(CG80)),-1,SIGN(CG80)&gt;0,1,SIGN(CG80)&lt;0)</formula>
    </cfRule>
    <cfRule type="expression" priority="8" dxfId="4187">
      <formula>INDEX($I$1:$I$302,ROW(CG80))=1</formula>
    </cfRule>
    <cfRule type="expression" priority="7" dxfId="4191">
      <formula>INDEX($H$1:$H$302,ROW(CG80))=2</formula>
    </cfRule>
  </conditionalFormatting>
  <conditionalFormatting sqref="CG82:CH85">
    <cfRule type="expression" priority="6" dxfId="4182">
      <formula>_xlfn.SWITCH(INDEX($X$1:$X$302,ROW(CG82)),-1,SIGN(CG82)&gt;0,1,SIGN(CG82)&lt;0)</formula>
    </cfRule>
    <cfRule type="expression" priority="5" dxfId="4187">
      <formula>INDEX($I$1:$I$302,ROW(CG82))=1</formula>
    </cfRule>
    <cfRule type="expression" priority="4" dxfId="4191">
      <formula>INDEX($H$1:$H$302,ROW(CG82))=2</formula>
    </cfRule>
  </conditionalFormatting>
  <conditionalFormatting sqref="CG88:CH90">
    <cfRule type="expression" priority="1" dxfId="4191">
      <formula>INDEX($H$1:$H$302,ROW(CG88))=2</formula>
    </cfRule>
    <cfRule type="expression" priority="3" dxfId="4182">
      <formula>_xlfn.SWITCH(INDEX($X$1:$X$302,ROW(CG88)),-1,SIGN(CG88)&gt;0,1,SIGN(CG88)&lt;0)</formula>
    </cfRule>
    <cfRule type="expression" priority="2" dxfId="4187">
      <formula>INDEX($I$1:$I$302,ROW(CG88))=1</formula>
    </cfRule>
  </conditionalFormatting>
  <dataValidations count="8">
    <dataValidation allowBlank="1" showInputMessage="1" sqref="E4 AE4 AG4:BZ4 CG4:CH4 AH5:AM7 AO5:BZ7 CG5 AE8:AE10 AG8:BZ10 AF9:AF10 AD11:BZ15 CG11:CH60 CD12:CE53 AE16:BZ59 CF16 AD17:AD59 CF20:CF53 CC43:CC50 CC52:CC57 CD55:CE59 CF56:CF57 CC60:CC64 AD61:BZ92 CD61:CH92 CB66:CB75 CC67:CC90"/>
    <dataValidation allowBlank="1" showInputMessage="1" promptTitle="What is this for?" prompt="You can overwrite the system year end to test the model. Please remove them or switch it to the factual (provided below) to avoid confusion. " sqref="AK6"/>
    <dataValidation type="list" allowBlank="1" showInputMessage="1" showErrorMessage="1" sqref="J10:K10">
      <formula1>"1,0"</formula1>
    </dataValidation>
    <dataValidation allowBlank="1" showInputMessage="1" promptTitle="Company Reporting Currency" prompt="You are not supposed to change the currency display here. " sqref="AM6"/>
    <dataValidation type="whole" allowBlank="1" showInputMessage="1" promptTitle="Sign" prompt="1=Positive/Plus, -1 = Negatives/Minus; 0 =Equal_x000a_" sqref="X19:X50 X61:X91">
      <formula1>-1</formula1>
      <formula2>1</formula2>
    </dataValidation>
    <dataValidation type="list" allowBlank="1" showInputMessage="1" showErrorMessage="1" sqref="J4:L4 N4">
      <formula1>"POC,Live Data"</formula1>
    </dataValidation>
    <dataValidation type="list" allowBlank="1" showInputMessage="1" sqref="AL6">
      <formula1>Developer!$B$52:$B$55</formula1>
    </dataValidation>
    <dataValidation type="list" allowBlank="1" showInputMessage="1" showErrorMessage="1" sqref="H4:I4">
      <formula1>_xlfn.ANCHORARRAY(Developer!#REF!)</formula1>
    </dataValidation>
  </dataValidations>
  <hyperlinks>
    <hyperlink ref="AE6" location="val_company" display="val_company"/>
  </hyperlinks>
  <pageMargins left="0.25" right="0.25" top="0.75" bottom="0.75" header="0.3" footer="0.3"/>
  <pageSetup fitToHeight="0" orientation="landscape" paperSize="8" r:id="rId2"/>
  <picture r:id="rId1"/>
  <extLst>
    <ext xmlns:x14="http://schemas.microsoft.com/office/spreadsheetml/2009/9/main" uri="{78C0D931-6437-407d-A8EE-F0AAD7539E65}">
      <x14:conditionalFormattings>
        <x14:conditionalFormatting xmlns:xm="http://schemas.microsoft.com/office/excel/2006/main">
          <x14:cfRule type="iconSet" priority="203" id="{F6EB32E7-CADB-42D9-99EF-DD44E43FF052}">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J22:K22</xm:sqref>
        </x14:conditionalFormatting>
        <x14:conditionalFormatting xmlns:xm="http://schemas.microsoft.com/office/excel/2006/main">
          <x14:cfRule type="iconSet" priority="183" id="{4FEF1BCB-213F-4548-940B-E1526827FD01}">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J32:K32 J42:K42</xm:sqref>
        </x14:conditionalFormatting>
        <x14:conditionalFormatting xmlns:xm="http://schemas.microsoft.com/office/excel/2006/main">
          <x14:cfRule type="iconSet" priority="7847" id="{05639AEF-B54F-4CCD-BFFF-59355B86095F}">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J64:K64</xm:sqref>
        </x14:conditionalFormatting>
        <x14:conditionalFormatting xmlns:xm="http://schemas.microsoft.com/office/excel/2006/main">
          <x14:cfRule type="iconSet" priority="59" id="{B597E386-5727-49E7-ABDC-7E518531CF86}">
            <x14:iconSet iconSet="4RedToBlack" custom="1" showValue="0">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dxf/>
          </x14:cfRule>
          <xm:sqref>L20:L91</xm:sqref>
        </x14:conditionalFormatting>
        <x14:conditionalFormatting xmlns:xm="http://schemas.microsoft.com/office/excel/2006/main">
          <x14:cfRule type="iconSet" priority="139" id="{5891EDFC-BE13-4565-A19E-DB687D4B1311}">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L92</xm:sqref>
        </x14:conditionalFormatting>
        <x14:conditionalFormatting xmlns:xm="http://schemas.microsoft.com/office/excel/2006/main">
          <x14:cfRule type="iconSet" priority="79" id="{738D1A8C-3F8E-40B9-B871-D95621C5DA3E}">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Z12:Z14</xm:sqref>
        </x14:conditionalFormatting>
        <x14:conditionalFormatting xmlns:xm="http://schemas.microsoft.com/office/excel/2006/main">
          <x14:cfRule type="iconSet" priority="61" id="{DA1E5181-8AF8-4DF3-A4CE-393757E1ACA2}">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Z55:Z57</xm:sqref>
        </x14:conditionalFormatting>
        <x14:conditionalFormatting xmlns:xm="http://schemas.microsoft.com/office/excel/2006/main">
          <x14:cfRule type="iconSet" priority="81" id="{66B12296-B05B-4413-BCAA-982B7D05CEC1}">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Z20:Z53 Z60:Z91</xm:sqref>
        </x14:conditionalFormatting>
        <x14:conditionalFormatting xmlns:xm="http://schemas.microsoft.com/office/excel/2006/main">
          <x14:cfRule type="iconSet" priority="76" id="{EA6D9D5B-D086-450B-92D8-1871BB1D3FE7}">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AD15:BZ15</xm:sqref>
        </x14:conditionalFormatting>
        <x14:conditionalFormatting xmlns:xm="http://schemas.microsoft.com/office/excel/2006/main">
          <x14:cfRule type="iconSet" priority="77" id="{1CBA1A6A-78AF-4DB2-B38D-65E8D2BCCF30}">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AD17:BZ17</xm:sqref>
        </x14:conditionalFormatting>
        <x14:conditionalFormatting xmlns:xm="http://schemas.microsoft.com/office/excel/2006/main">
          <x14:cfRule type="iconSet" priority="75" id="{27DD86E6-EAC0-4A61-813B-79F8934FF609}">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AD57:BZ57</xm:sqref>
        </x14:conditionalFormatting>
        <x14:conditionalFormatting xmlns:xm="http://schemas.microsoft.com/office/excel/2006/main">
          <x14:cfRule type="iconSet" priority="74" id="{8434953B-EF73-4D59-9B7B-14D46F7025D2}">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AD58:BZ58</xm:sqref>
        </x14:conditionalFormatting>
        <x14:conditionalFormatting xmlns:xm="http://schemas.microsoft.com/office/excel/2006/main">
          <x14:cfRule type="iconSet" priority="72" id="{C53D2BA6-1388-4215-8E15-B8D3277078F0}">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CG17:CH17</xm:sqref>
        </x14:conditionalFormatting>
        <x14:conditionalFormatting xmlns:xm="http://schemas.microsoft.com/office/excel/2006/main">
          <x14:cfRule type="iconSet" priority="73" id="{28B0E8F9-568E-4151-93D8-68DF9A8D01A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CG58:CH58</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A5FBE9-CE69-4A6B-938C-698DB99F85CD}">
  <sheetPr codeName="Sheet30">
    <tabColor rgb="FFC00000"/>
  </sheetPr>
  <dimension ref="A1:AX635"/>
  <sheetViews>
    <sheetView zoomScale="55" zoomScaleNormal="55" workbookViewId="0" topLeftCell="A1">
      <selection pane="topLeft" activeCell="AL211" sqref="AL211"/>
    </sheetView>
  </sheetViews>
  <sheetFormatPr defaultRowHeight="15.5" outlineLevelRow="1"/>
  <cols>
    <col min="1" max="1" width="30" bestFit="1" customWidth="1"/>
    <col min="2" max="2" width="26.5555555555556" bestFit="1" customWidth="1"/>
    <col min="3" max="3" width="36.6666666666667" bestFit="1" customWidth="1"/>
    <col min="4" max="4" width="30" bestFit="1" customWidth="1"/>
    <col min="5" max="5" width="18.8888888888889" bestFit="1" customWidth="1"/>
    <col min="6" max="6" width="10.2222222222222" bestFit="1" customWidth="1"/>
    <col min="7" max="9" width="34.8888888888889" bestFit="1" customWidth="1"/>
    <col min="10" max="21" width="8.88888888888889" customWidth="1"/>
    <col min="22" max="37" width="9" bestFit="1" customWidth="1"/>
  </cols>
  <sheetData>
    <row r="1" spans="1:1" ht="132" customHeight="1">
      <c r="A1" t="s">
        <v>1857</v>
      </c>
    </row>
    <row r="2" spans="1:9" ht="18" customHeight="1" collapsed="1">
      <c r="A2" s="1188" t="s">
        <v>900</v>
      </c>
      <c r="B2" s="1187"/>
      <c r="C2" s="1187"/>
      <c r="D2" s="1187"/>
      <c r="E2" s="1187"/>
      <c r="F2" s="1187"/>
      <c r="G2" s="1187"/>
      <c r="H2" s="1187"/>
      <c r="I2" s="1187"/>
    </row>
    <row r="3" ht="15.5" outlineLevel="1"/>
    <row r="4" ht="15.5" outlineLevel="1"/>
    <row r="5" spans="1:1" ht="15.5" outlineLevel="1">
      <c r="A5" s="116" t="s">
        <v>901</v>
      </c>
    </row>
    <row r="6" ht="15.5" outlineLevel="1"/>
    <row r="7" spans="1:1" ht="15.75" customHeight="1" outlineLevel="1">
      <c r="A7" s="1592" t="str" cm="1">
        <f t="array" ref="A7">_xlfn.XLOOKUP(val_company,_xlfn.VSTACK(PM_Support[COMPANY_NAME],tbl_added_com[COMPANY_NAME]),_xlfn.VSTACK(PM_Support[COMPANY_ENTITY_ID],tbl_added_com[COMPANY_ENTITY_ID]),"N/A")</f>
        <v>W06f9Irq7</v>
      </c>
    </row>
    <row r="8" spans="1:6" ht="15.75" customHeight="1" outlineLevel="1">
      <c r="A8" s="1591" t="s">
        <v>1450</v>
      </c>
      <c r="B8" s="2265"/>
      <c r="F8" s="721"/>
    </row>
    <row r="9" ht="15.5" outlineLevel="1"/>
    <row r="10" spans="1:1" ht="15.5" outlineLevel="1">
      <c r="A10" s="1592" t="s">
        <v>903</v>
      </c>
    </row>
    <row r="11" spans="1:2" ht="15.5" outlineLevel="1">
      <c r="A11" s="1296">
        <v>0</v>
      </c>
      <c r="B11" s="2265"/>
    </row>
    <row r="12" ht="15.5" outlineLevel="1"/>
    <row r="13" spans="1:1" ht="15.5" outlineLevel="1">
      <c r="A13" s="1592" t="s">
        <v>904</v>
      </c>
    </row>
    <row r="14" spans="1:1" ht="15.5" outlineLevel="1">
      <c r="A14" s="1296">
        <v>37</v>
      </c>
    </row>
    <row r="15" ht="15.5" outlineLevel="1"/>
    <row r="16" spans="1:1" ht="15.5" outlineLevel="1">
      <c r="A16" s="35" t="s">
        <v>905</v>
      </c>
    </row>
    <row r="17" spans="1:1" ht="15.5" outlineLevel="1">
      <c r="A17" s="2066" t="str" cm="1">
        <f t="array" ca="1" aca="1" ref="A17">_xlfn.LET(_xlpm._Attr,"Reported EBITDA",_xlpm._Per,"Month",_xlpm._Scen,fx_scenarioConverter("Actual"),_xlpm._From,val_currentFYE,_xlpm._Max,12,_xlpm.F,_xlfn.LAMBDA(_xlpm.ME,_xlpm.date,_xlfn.LET(_xlpm.L,_xlpm.date&gt;=EOMONTH(_xlpm._From,-_xlpm._Max),_xlpm.Cx,_xldudf_CX_GET(CX_ENTITY,_xlpm._Attr,_xlpm.date,_xlpm._Per,,_xlpm._Scen),IF(_xlpm.L,IF(_xlpm.Cx="",_xlpm.ME(_xlpm.ME,EOMONTH(_xlpm.date,-1)),_xlpm.date),"Limit is reached."))),IFERROR(_xlpm.F(_xlpm.F,_xlpm._From),"n/a"))</f>
        <v>n/a</v>
      </c>
    </row>
    <row r="18" ht="15.5" outlineLevel="1"/>
    <row r="19" ht="15.5" outlineLevel="1"/>
    <row r="20" spans="1:1" ht="15.5" outlineLevel="1">
      <c r="A20" s="1592" t="s">
        <v>28</v>
      </c>
    </row>
    <row r="21" spans="1:2" ht="15.5" outlineLevel="1">
      <c r="A21" s="1296" t="e" cm="1">
        <f t="array" ca="1" aca="1" ref="A21">_xldudf_CX_GET(CX_ENTITY,"fiscal_year_end")</f>
        <v>#NAME?</v>
      </c>
      <c r="B21" s="2265"/>
    </row>
    <row r="22" ht="15.5" outlineLevel="1"/>
    <row r="23" spans="1:1" ht="15.5" outlineLevel="1">
      <c r="A23" s="1592" t="s">
        <v>906</v>
      </c>
    </row>
    <row r="24" spans="1:2" ht="15.5" outlineLevel="1">
      <c r="A24" s="1296" t="e" cm="1">
        <f t="array" ca="1" aca="1" ref="A24">_xldudf_CX_GET(CX_ENTITY,"reporting_currency")</f>
        <v>#NAME?</v>
      </c>
      <c r="B24" s="2265"/>
    </row>
    <row r="25" ht="15.5" outlineLevel="1"/>
    <row r="26" ht="15.5" outlineLevel="1"/>
    <row r="27" ht="19.9" customHeight="1" outlineLevel="1"/>
    <row r="28" spans="1:9" ht="20">
      <c r="A28" s="1124" t="s">
        <v>907</v>
      </c>
      <c r="B28" s="1124"/>
      <c r="C28" s="1124"/>
      <c r="D28" s="1124"/>
      <c r="E28" s="1124"/>
      <c r="F28" s="1124"/>
      <c r="G28" s="1124"/>
      <c r="H28" s="1124"/>
      <c r="I28" s="1124"/>
    </row>
    <row r="29" ht="15.5" outlineLevel="1"/>
    <row r="30" spans="4:6" ht="15.5" outlineLevel="1">
      <c r="D30" t="s">
        <v>1773</v>
      </c>
      <c r="E30" t="s">
        <v>1774</v>
      </c>
      <c r="F30" t="s">
        <v>268</v>
      </c>
    </row>
    <row r="31" spans="4:6" ht="15.5" outlineLevel="1">
      <c r="D31" s="2618">
        <v>46052.509054386574</v>
      </c>
      <c r="E31" s="2619">
        <v>0.50905439814814812</v>
      </c>
      <c r="F31" s="4">
        <v>46052</v>
      </c>
    </row>
    <row r="32" ht="15.5" outlineLevel="1"/>
    <row r="33" ht="15.5" outlineLevel="1"/>
    <row r="34" ht="15.5" outlineLevel="1"/>
    <row r="35" ht="15.5" outlineLevel="1"/>
    <row r="36" ht="15.5" outlineLevel="1"/>
    <row r="37" ht="15.5" outlineLevel="1"/>
    <row r="38" ht="15.5" outlineLevel="1"/>
    <row r="39" ht="15.5" outlineLevel="1"/>
    <row r="40" ht="15.5" outlineLevel="1"/>
    <row r="41" ht="15.5" outlineLevel="1"/>
    <row r="42" ht="15.5" outlineLevel="1"/>
    <row r="43" ht="15.5" outlineLevel="1"/>
    <row r="44" ht="15.5" outlineLevel="1"/>
    <row r="45" ht="15.5" outlineLevel="1"/>
    <row r="46" ht="15.5" outlineLevel="1"/>
    <row r="47" ht="11.25" customHeight="1" outlineLevel="1"/>
    <row r="48" ht="11.25" customHeight="1" outlineLevel="1"/>
    <row r="49" spans="1:9" ht="19.5" customHeight="1">
      <c r="A49" s="1124" t="s">
        <v>908</v>
      </c>
      <c r="B49" s="1124"/>
      <c r="C49" s="1124"/>
      <c r="D49" s="1124"/>
      <c r="E49" s="1124"/>
      <c r="F49" s="1124"/>
      <c r="G49" s="1124"/>
      <c r="H49" s="1124"/>
      <c r="I49" s="1124"/>
    </row>
    <row r="50" ht="15.5" outlineLevel="1"/>
    <row r="51" spans="2:3" ht="15.5" outlineLevel="1">
      <c r="B51" s="1688" t="s">
        <v>909</v>
      </c>
      <c r="C51" s="1688" t="s">
        <v>910</v>
      </c>
    </row>
    <row r="52" spans="2:3" ht="15.5" outlineLevel="1">
      <c r="B52" t="s">
        <v>103</v>
      </c>
      <c r="C52" s="3319">
        <v>1</v>
      </c>
    </row>
    <row r="53" spans="2:3" ht="15.5" outlineLevel="1">
      <c r="B53" t="s">
        <v>911</v>
      </c>
      <c r="C53" s="6">
        <v>1000</v>
      </c>
    </row>
    <row r="54" spans="2:3" ht="15.5" outlineLevel="1">
      <c r="B54" t="s">
        <v>33</v>
      </c>
      <c r="C54" s="6">
        <v>1000000</v>
      </c>
    </row>
    <row r="55" spans="2:3" ht="15.5" outlineLevel="1">
      <c r="B55" t="s">
        <v>912</v>
      </c>
      <c r="C55" s="6">
        <v>10000000</v>
      </c>
    </row>
    <row r="56" ht="15.5" outlineLevel="1"/>
    <row r="57" ht="15.5" outlineLevel="1"/>
    <row r="58" ht="15.5" outlineLevel="1"/>
    <row r="59" spans="1:9" ht="20">
      <c r="A59" s="1124" t="s">
        <v>908</v>
      </c>
      <c r="B59" s="1124"/>
      <c r="C59" s="1124"/>
      <c r="D59" s="1124"/>
      <c r="E59" s="1124"/>
      <c r="F59" s="1124"/>
      <c r="G59" s="1124"/>
      <c r="H59" s="1124"/>
      <c r="I59" s="1124"/>
    </row>
    <row r="60" ht="15.5" outlineLevel="1"/>
    <row r="61" spans="2:2" ht="15.5" outlineLevel="1">
      <c r="B61" t="s">
        <v>160</v>
      </c>
    </row>
    <row r="62" spans="2:2" ht="15.5" outlineLevel="1">
      <c r="B62" t="s">
        <v>177</v>
      </c>
    </row>
    <row r="63" spans="2:2" ht="15.5" outlineLevel="1">
      <c r="B63" t="s">
        <v>169</v>
      </c>
    </row>
    <row r="64" spans="2:5" ht="15.5" outlineLevel="1">
      <c r="B64" t="s">
        <v>156</v>
      </c>
      <c r="E64" t="s">
        <v>913</v>
      </c>
    </row>
    <row r="65" spans="2:2" ht="15.5" outlineLevel="1">
      <c r="B65" t="s">
        <v>113</v>
      </c>
    </row>
    <row r="66" spans="2:5" ht="15.5" outlineLevel="1">
      <c r="B66" t="s">
        <v>113</v>
      </c>
      <c r="E66" s="3307" cm="1">
        <f t="array" ref="E66">_xlfn.XMATCH(LOWER(E64&amp;"*"),LOWER(Developer!$B$61:$B$72)&amp;"*",2,1)</f>
        <v>1</v>
      </c>
    </row>
    <row r="67" spans="2:2" ht="15.5" outlineLevel="1">
      <c r="B67" t="s">
        <v>129</v>
      </c>
    </row>
    <row r="68" spans="2:2" ht="15.5" outlineLevel="1">
      <c r="B68" t="s">
        <v>133</v>
      </c>
    </row>
    <row r="69" spans="2:2" ht="15.5" outlineLevel="1">
      <c r="B69" t="s">
        <v>141</v>
      </c>
    </row>
    <row r="70" spans="2:2" ht="15.5" outlineLevel="1">
      <c r="B70" t="s">
        <v>145</v>
      </c>
    </row>
    <row r="71" spans="2:5" ht="15.5" outlineLevel="1">
      <c r="B71" t="s">
        <v>153</v>
      </c>
      <c r="E71" t="e">
        <f ca="1">_xlfn.SINGLE(IFERROR(_xlfn.LET(_xlpm.currentdate,val_asOfDate,_xlpm.financialYearEndMonth,MONTH(Developer!$D$255),_xlpm.fdate,EOMONTH(_xlpm.currentdate,12-_xlpm.financialYearEndMonth),_xlpm.yearEnd,EOMONTH(DATE(YEAR(_xlpm.fdate),_xlpm.financialYearEndMonth,1),0),_xlpm.yearEnd),val_currentFYE))</f>
        <v>#NAME?</v>
      </c>
    </row>
    <row r="72" spans="2:2" ht="15.5" outlineLevel="1">
      <c r="B72" t="s">
        <v>914</v>
      </c>
    </row>
    <row r="73" ht="15.5" outlineLevel="1"/>
    <row r="74" ht="15.5" outlineLevel="1"/>
    <row r="76" ht="15.5" hidden="1" outlineLevel="1"/>
    <row r="77" ht="15.5" hidden="1" outlineLevel="1"/>
    <row r="78" ht="15.5" hidden="1" outlineLevel="1"/>
    <row r="79" ht="15.5" hidden="1" outlineLevel="1"/>
    <row r="80" ht="15.5" hidden="1" outlineLevel="1"/>
    <row r="81" ht="15.5" hidden="1" outlineLevel="1"/>
    <row r="82" ht="15.5" hidden="1" outlineLevel="1"/>
    <row r="83" ht="15.5" hidden="1" outlineLevel="1"/>
    <row r="84" ht="15.5" hidden="1" outlineLevel="1"/>
    <row r="85" ht="15.5" hidden="1" outlineLevel="1"/>
    <row r="86" ht="15.5" hidden="1" outlineLevel="1"/>
    <row r="87" ht="15.5" hidden="1" outlineLevel="1"/>
    <row r="88" ht="15.5" hidden="1" outlineLevel="1"/>
    <row r="89" ht="15.5" hidden="1" outlineLevel="1"/>
    <row r="90" ht="15.5" hidden="1" outlineLevel="1"/>
    <row r="91" ht="15.5" hidden="1" outlineLevel="1"/>
    <row r="92" spans="6:6" ht="15.5" hidden="1" outlineLevel="1">
      <c r="F92" s="286"/>
    </row>
    <row r="93" spans="6:6" ht="15.5" hidden="1" outlineLevel="1">
      <c r="F93" s="286"/>
    </row>
    <row r="94" spans="1:9" ht="20" collapsed="1">
      <c r="A94" s="1124" t="s">
        <v>915</v>
      </c>
      <c r="B94" s="1124"/>
      <c r="C94" s="1124"/>
      <c r="D94" s="1124"/>
      <c r="E94" s="1124"/>
      <c r="F94" s="1124"/>
      <c r="G94" s="1124"/>
      <c r="H94" s="1124"/>
      <c r="I94" s="1124"/>
    </row>
    <row r="95" ht="15.5" outlineLevel="1"/>
    <row r="96" spans="1:39" ht="17.5" outlineLevel="1">
      <c r="A96" t="s">
        <v>916</v>
      </c>
      <c r="B96" s="721" cm="1">
        <f t="array" ref="B96:AL96">EOMONTH(val_asOfDate,_xlfn.SEQUENCE(1,37,12-MONTH(val_asOfDate),-1))</f>
        <v>46022</v>
      </c>
      <c r="C96" s="721">
        <v>45991</v>
      </c>
      <c r="D96" s="721">
        <v>45961</v>
      </c>
      <c r="E96" s="721">
        <v>45930</v>
      </c>
      <c r="F96" s="721">
        <v>45900</v>
      </c>
      <c r="G96" s="721">
        <v>45869</v>
      </c>
      <c r="H96" s="721">
        <v>45838</v>
      </c>
      <c r="I96" s="2355">
        <v>45808</v>
      </c>
      <c r="J96" s="721">
        <v>45777</v>
      </c>
      <c r="K96" s="721">
        <v>45747</v>
      </c>
      <c r="L96" s="721">
        <v>45716</v>
      </c>
      <c r="M96" s="721">
        <v>45688</v>
      </c>
      <c r="N96" s="721">
        <v>45657</v>
      </c>
      <c r="O96" s="721">
        <v>45626</v>
      </c>
      <c r="P96" s="721">
        <v>45596</v>
      </c>
      <c r="Q96" s="721">
        <v>45565</v>
      </c>
      <c r="R96" s="721">
        <v>45535</v>
      </c>
      <c r="S96" s="721">
        <v>45504</v>
      </c>
      <c r="T96" s="721">
        <v>45473</v>
      </c>
      <c r="U96" s="721">
        <v>45443</v>
      </c>
      <c r="V96" s="721">
        <v>45412</v>
      </c>
      <c r="W96" s="721">
        <v>45382</v>
      </c>
      <c r="X96" s="721">
        <v>45351</v>
      </c>
      <c r="Y96" s="721">
        <v>45322</v>
      </c>
      <c r="Z96" s="721">
        <v>45291</v>
      </c>
      <c r="AA96" s="721">
        <v>45260</v>
      </c>
      <c r="AB96" s="721">
        <v>45230</v>
      </c>
      <c r="AC96" s="721">
        <v>45199</v>
      </c>
      <c r="AD96" s="721">
        <v>45169</v>
      </c>
      <c r="AE96" s="721">
        <v>45138</v>
      </c>
      <c r="AF96" s="721">
        <v>45107</v>
      </c>
      <c r="AG96" s="721">
        <v>45077</v>
      </c>
      <c r="AH96" s="721">
        <v>45046</v>
      </c>
      <c r="AI96" s="721">
        <v>45016</v>
      </c>
      <c r="AJ96" s="721">
        <v>44985</v>
      </c>
      <c r="AK96" s="721">
        <v>44957</v>
      </c>
      <c r="AL96" s="721">
        <v>44926</v>
      </c>
      <c r="AM96" s="721"/>
    </row>
    <row r="97" spans="1:39" ht="17.5" outlineLevel="1">
      <c r="A97" t="s">
        <v>917</v>
      </c>
      <c r="B97" s="721" cm="1">
        <f t="array" ref="B97:AL97">_xlfn.LET(_xlpm.asof,(val_asOfDate),_xlpm.quarterEnd,EOMONTH(_xlpm.asof,3-MOD(MONTH(_xlpm.asof),3)),_xlpm.seq,EOMONTH(_xlpm.asof,_xlfn.SEQUENCE(37,1,0,-1)),_xlpm.RESULT,_xlfn._xlws.SORT(_xlpm.seq,,1),_xlfn.TOROW(_xlpm.RESULT))</f>
        <v>44926</v>
      </c>
      <c r="C97" s="721">
        <v>44957</v>
      </c>
      <c r="D97" s="721">
        <v>44985</v>
      </c>
      <c r="E97" s="721">
        <v>45016</v>
      </c>
      <c r="F97" s="721">
        <v>45046</v>
      </c>
      <c r="G97" s="721">
        <v>45077</v>
      </c>
      <c r="H97" s="721">
        <v>45107</v>
      </c>
      <c r="I97" s="2355">
        <v>45138</v>
      </c>
      <c r="J97" s="721">
        <v>45169</v>
      </c>
      <c r="K97" s="721">
        <v>45199</v>
      </c>
      <c r="L97" s="721">
        <v>45230</v>
      </c>
      <c r="M97" s="721">
        <v>45260</v>
      </c>
      <c r="N97" s="721">
        <v>45291</v>
      </c>
      <c r="O97" s="721">
        <v>45322</v>
      </c>
      <c r="P97" s="721">
        <v>45351</v>
      </c>
      <c r="Q97" s="721">
        <v>45382</v>
      </c>
      <c r="R97" s="721">
        <v>45412</v>
      </c>
      <c r="S97" s="721">
        <v>45443</v>
      </c>
      <c r="T97" s="721">
        <v>45473</v>
      </c>
      <c r="U97" s="721">
        <v>45504</v>
      </c>
      <c r="V97" s="721">
        <v>45535</v>
      </c>
      <c r="W97" s="721">
        <v>45565</v>
      </c>
      <c r="X97" s="721">
        <v>45596</v>
      </c>
      <c r="Y97" s="721">
        <v>45626</v>
      </c>
      <c r="Z97" s="721">
        <v>45657</v>
      </c>
      <c r="AA97" s="721">
        <v>45688</v>
      </c>
      <c r="AB97" s="721">
        <v>45716</v>
      </c>
      <c r="AC97" s="721">
        <v>45747</v>
      </c>
      <c r="AD97" s="721">
        <v>45777</v>
      </c>
      <c r="AE97" s="721">
        <v>45808</v>
      </c>
      <c r="AF97" s="721">
        <v>45838</v>
      </c>
      <c r="AG97" s="721">
        <v>45869</v>
      </c>
      <c r="AH97" s="721">
        <v>45900</v>
      </c>
      <c r="AI97" s="721">
        <v>45930</v>
      </c>
      <c r="AJ97" s="721">
        <v>45961</v>
      </c>
      <c r="AK97" s="721">
        <v>45991</v>
      </c>
      <c r="AL97" s="721">
        <v>46022</v>
      </c>
      <c r="AM97" s="721"/>
    </row>
    <row r="98" spans="1:50" s="721" customFormat="1" ht="17.5" outlineLevel="1">
      <c r="A98" s="1876" t="s">
        <v>918</v>
      </c>
      <c r="B98" s="1877" t="e" cm="1">
        <f t="array" ca="1" aca="1" ref="B98:AX98">fx_getRollingDates(val_asOfDate,MONTH(val_currentFYE),1,49)</f>
        <v>#NAME?</v>
      </c>
      <c r="C98" s="1877" t="e">
        <f ca="1"/>
        <v>#NAME?</v>
      </c>
      <c r="D98" s="1877" t="e">
        <f ca="1"/>
        <v>#NAME?</v>
      </c>
      <c r="E98" s="1877" t="e">
        <f ca="1"/>
        <v>#NAME?</v>
      </c>
      <c r="F98" s="1877" t="e">
        <f ca="1"/>
        <v>#NAME?</v>
      </c>
      <c r="G98" s="1877" t="e">
        <f ca="1"/>
        <v>#NAME?</v>
      </c>
      <c r="H98" s="1877" t="e">
        <f ca="1"/>
        <v>#NAME?</v>
      </c>
      <c r="I98" s="2356" t="e">
        <f ca="1"/>
        <v>#NAME?</v>
      </c>
      <c r="J98" s="1877" t="e">
        <f ca="1"/>
        <v>#NAME?</v>
      </c>
      <c r="K98" s="1877" t="e">
        <f ca="1"/>
        <v>#NAME?</v>
      </c>
      <c r="L98" s="1877" t="e">
        <f ca="1"/>
        <v>#NAME?</v>
      </c>
      <c r="M98" s="1877" t="e">
        <f ca="1"/>
        <v>#NAME?</v>
      </c>
      <c r="N98" s="1877" t="e">
        <f ca="1"/>
        <v>#NAME?</v>
      </c>
      <c r="O98" s="1877" t="e">
        <f ca="1"/>
        <v>#NAME?</v>
      </c>
      <c r="P98" s="1877" t="e">
        <f ca="1"/>
        <v>#NAME?</v>
      </c>
      <c r="Q98" s="1877" t="e">
        <f ca="1"/>
        <v>#NAME?</v>
      </c>
      <c r="R98" s="1877" t="e">
        <f ca="1"/>
        <v>#NAME?</v>
      </c>
      <c r="S98" s="1877" t="e">
        <f ca="1"/>
        <v>#NAME?</v>
      </c>
      <c r="T98" s="1877" t="e">
        <f ca="1"/>
        <v>#NAME?</v>
      </c>
      <c r="U98" s="1877" t="e">
        <f ca="1"/>
        <v>#NAME?</v>
      </c>
      <c r="V98" s="1877" t="e">
        <f ca="1"/>
        <v>#NAME?</v>
      </c>
      <c r="W98" s="1877" t="e">
        <f ca="1"/>
        <v>#NAME?</v>
      </c>
      <c r="X98" s="1877" t="e">
        <f ca="1"/>
        <v>#NAME?</v>
      </c>
      <c r="Y98" s="1877" t="e">
        <f ca="1"/>
        <v>#NAME?</v>
      </c>
      <c r="Z98" s="1877" t="e">
        <f ca="1"/>
        <v>#NAME?</v>
      </c>
      <c r="AA98" s="1877" t="e">
        <f ca="1"/>
        <v>#NAME?</v>
      </c>
      <c r="AB98" s="1877" t="e">
        <f ca="1"/>
        <v>#NAME?</v>
      </c>
      <c r="AC98" s="1877" t="e">
        <f ca="1"/>
        <v>#NAME?</v>
      </c>
      <c r="AD98" s="1877" t="e">
        <f ca="1"/>
        <v>#NAME?</v>
      </c>
      <c r="AE98" s="1877" t="e">
        <f ca="1"/>
        <v>#NAME?</v>
      </c>
      <c r="AF98" s="1877" t="e">
        <f ca="1"/>
        <v>#NAME?</v>
      </c>
      <c r="AG98" s="1877" t="e">
        <f ca="1"/>
        <v>#NAME?</v>
      </c>
      <c r="AH98" s="1877" t="e">
        <f ca="1"/>
        <v>#NAME?</v>
      </c>
      <c r="AI98" s="1877" t="e">
        <f ca="1"/>
        <v>#NAME?</v>
      </c>
      <c r="AJ98" s="1877" t="e">
        <f ca="1"/>
        <v>#NAME?</v>
      </c>
      <c r="AK98" s="1877" t="e">
        <f ca="1"/>
        <v>#NAME?</v>
      </c>
      <c r="AL98" s="1877" t="e">
        <f ca="1"/>
        <v>#NAME?</v>
      </c>
      <c r="AM98" s="1877" t="e">
        <f ca="1"/>
        <v>#NAME?</v>
      </c>
      <c r="AN98" s="1877" t="e">
        <f ca="1"/>
        <v>#NAME?</v>
      </c>
      <c r="AO98" s="1877" t="e">
        <f ca="1"/>
        <v>#NAME?</v>
      </c>
      <c r="AP98" s="1877" t="e">
        <f ca="1"/>
        <v>#NAME?</v>
      </c>
      <c r="AQ98" s="1877" t="e">
        <f ca="1"/>
        <v>#NAME?</v>
      </c>
      <c r="AR98" s="1877" t="e">
        <f ca="1"/>
        <v>#NAME?</v>
      </c>
      <c r="AS98" s="1877" t="e">
        <f ca="1"/>
        <v>#NAME?</v>
      </c>
      <c r="AT98" s="1877" t="e">
        <f ca="1"/>
        <v>#NAME?</v>
      </c>
      <c r="AU98" s="1877" t="e">
        <f ca="1"/>
        <v>#NAME?</v>
      </c>
      <c r="AV98" s="1877" t="e">
        <f ca="1"/>
        <v>#NAME?</v>
      </c>
      <c r="AW98" s="1877" t="e">
        <f ca="1"/>
        <v>#NAME?</v>
      </c>
      <c r="AX98" s="1877" t="e">
        <f ca="1"/>
        <v>#NAME?</v>
      </c>
    </row>
    <row r="99" ht="15.5" outlineLevel="1"/>
    <row r="100" ht="15.5" outlineLevel="1"/>
    <row r="101" spans="1:9" ht="20">
      <c r="A101" s="1124" t="s">
        <v>919</v>
      </c>
      <c r="B101" s="1124"/>
      <c r="C101" s="1124"/>
      <c r="D101" s="1124"/>
      <c r="E101" s="1124"/>
      <c r="F101" s="1124"/>
      <c r="G101" s="1124"/>
      <c r="H101" s="1124"/>
      <c r="I101" s="1124"/>
    </row>
    <row r="102" ht="15.5" outlineLevel="1"/>
    <row r="103" spans="2:9" ht="17.5" outlineLevel="1">
      <c r="B103" s="2344"/>
      <c r="I103" s="2344"/>
    </row>
    <row r="104" spans="2:6" ht="15.5" outlineLevel="1">
      <c r="B104" s="2267" t="s">
        <v>920</v>
      </c>
      <c r="C104" s="2267" t="s">
        <v>903</v>
      </c>
      <c r="D104" s="2267" t="s">
        <v>921</v>
      </c>
      <c r="E104" s="9"/>
      <c r="F104" s="187" t="s">
        <v>922</v>
      </c>
    </row>
    <row r="105" spans="2:9" ht="15.5" outlineLevel="1">
      <c r="B105" t="s">
        <v>103</v>
      </c>
      <c r="C105" t="s">
        <v>197</v>
      </c>
      <c r="D105" t="s">
        <v>103</v>
      </c>
      <c r="F105" s="188" t="str" cm="1">
        <f t="array" ref="F105">fx_scenarioConverter("Actual")</f>
        <v>Actual</v>
      </c>
      <c r="I105" s="11"/>
    </row>
    <row r="106" spans="2:9" ht="15.5" outlineLevel="1">
      <c r="B106" t="s">
        <v>231</v>
      </c>
      <c r="C106" t="s">
        <v>202</v>
      </c>
      <c r="D106" t="s">
        <v>231</v>
      </c>
      <c r="F106" s="188"/>
      <c r="I106" s="11"/>
    </row>
    <row r="107" spans="2:9" ht="15.5" outlineLevel="1">
      <c r="B107" t="s">
        <v>473</v>
      </c>
      <c r="C107" t="s">
        <v>923</v>
      </c>
      <c r="D107" t="s">
        <v>473</v>
      </c>
      <c r="F107" s="188"/>
      <c r="I107" s="11"/>
    </row>
    <row r="108" spans="2:9" ht="15.5" outlineLevel="1">
      <c r="B108" t="s">
        <v>570</v>
      </c>
      <c r="C108" t="s">
        <v>924</v>
      </c>
      <c r="D108" t="s">
        <v>570</v>
      </c>
      <c r="I108" s="11"/>
    </row>
    <row r="109" spans="9:9" ht="15.5" outlineLevel="1">
      <c r="I109" s="11"/>
    </row>
    <row r="110" spans="9:9" ht="15.5" outlineLevel="1">
      <c r="I110" s="11"/>
    </row>
    <row r="111" spans="9:9" ht="15.5" outlineLevel="1">
      <c r="I111" s="11"/>
    </row>
    <row r="112" spans="1:9" ht="20">
      <c r="A112" s="1124" t="s">
        <v>31</v>
      </c>
      <c r="B112" s="1124"/>
      <c r="C112" s="1124"/>
      <c r="D112" s="1124"/>
      <c r="E112" s="1124"/>
      <c r="F112" s="1124"/>
      <c r="G112" s="1124"/>
      <c r="H112" s="1124"/>
      <c r="I112" s="1124"/>
    </row>
    <row r="113" spans="9:9" ht="15.5" outlineLevel="1">
      <c r="I113" s="11"/>
    </row>
    <row r="114" spans="2:9" ht="15.5" outlineLevel="1">
      <c r="B114" s="2266" t="s">
        <v>31</v>
      </c>
      <c r="C114" s="2266" t="s">
        <v>925</v>
      </c>
      <c r="D114" s="2266" t="s">
        <v>926</v>
      </c>
      <c r="E114" s="2266" t="s">
        <v>927</v>
      </c>
      <c r="I114" s="11"/>
    </row>
    <row r="115" spans="2:9" ht="15.5" outlineLevel="1">
      <c r="B115" t="s">
        <v>928</v>
      </c>
      <c r="C115" t="s">
        <v>929</v>
      </c>
      <c r="D115" t="s">
        <v>930</v>
      </c>
      <c r="E115" t="s">
        <v>931</v>
      </c>
      <c r="I115" s="11"/>
    </row>
    <row r="116" spans="2:9" ht="15.5" outlineLevel="1">
      <c r="B116" t="s">
        <v>932</v>
      </c>
      <c r="C116" t="s">
        <v>933</v>
      </c>
      <c r="D116" t="s">
        <v>934</v>
      </c>
      <c r="E116" t="s">
        <v>935</v>
      </c>
      <c r="I116" s="11"/>
    </row>
    <row r="117" spans="2:9" ht="15.5" outlineLevel="1">
      <c r="B117" t="s">
        <v>936</v>
      </c>
      <c r="C117" t="s">
        <v>937</v>
      </c>
      <c r="D117" t="s">
        <v>938</v>
      </c>
      <c r="E117" t="s">
        <v>939</v>
      </c>
      <c r="I117" s="11"/>
    </row>
    <row r="118" spans="2:9" ht="15.5" outlineLevel="1">
      <c r="B118" t="s">
        <v>940</v>
      </c>
      <c r="C118" t="s">
        <v>941</v>
      </c>
      <c r="D118" s="717" t="s">
        <v>942</v>
      </c>
      <c r="E118" t="s">
        <v>943</v>
      </c>
      <c r="I118" s="11"/>
    </row>
    <row r="119" spans="2:9" ht="15.5" outlineLevel="1">
      <c r="B119" t="s">
        <v>944</v>
      </c>
      <c r="C119" t="s">
        <v>945</v>
      </c>
      <c r="D119" t="s">
        <v>946</v>
      </c>
      <c r="E119" t="s">
        <v>947</v>
      </c>
      <c r="I119" s="11"/>
    </row>
    <row r="120" ht="15.5" outlineLevel="1"/>
    <row r="121" ht="15.5" outlineLevel="1"/>
    <row r="122" ht="15.5" outlineLevel="1"/>
    <row r="123" spans="1:9" ht="20">
      <c r="A123" s="1124" t="s">
        <v>948</v>
      </c>
      <c r="B123" s="1124"/>
      <c r="C123" s="1124"/>
      <c r="D123" s="1124"/>
      <c r="E123" s="1124"/>
      <c r="F123" s="1124"/>
      <c r="G123" s="1124"/>
      <c r="H123" s="1124"/>
      <c r="I123" s="1124"/>
    </row>
    <row r="124" ht="15.5" outlineLevel="1"/>
    <row r="125" spans="2:6" ht="15.5" outlineLevel="1">
      <c r="B125" s="1" t="s">
        <v>949</v>
      </c>
      <c r="D125" s="1" t="s">
        <v>950</v>
      </c>
      <c r="F125" s="1" t="s">
        <v>143</v>
      </c>
    </row>
    <row r="126" spans="1:6" ht="15.5" outlineLevel="1">
      <c r="A126">
        <v>0</v>
      </c>
      <c r="B126" t="s">
        <v>113</v>
      </c>
      <c r="D126" t="s">
        <v>951</v>
      </c>
      <c r="F126" t="s">
        <v>145</v>
      </c>
    </row>
    <row r="127" spans="1:6" ht="15.5" outlineLevel="1">
      <c r="A127" s="3307">
        <v>1</v>
      </c>
      <c r="B127" t="s">
        <v>610</v>
      </c>
      <c r="D127" t="s">
        <v>209</v>
      </c>
      <c r="F127" t="s">
        <v>209</v>
      </c>
    </row>
    <row r="128" spans="1:6" ht="15.5" outlineLevel="1">
      <c r="A128" s="3307">
        <v>2</v>
      </c>
      <c r="B128" t="s">
        <v>821</v>
      </c>
      <c r="D128" t="s">
        <v>200</v>
      </c>
      <c r="F128" t="s">
        <v>200</v>
      </c>
    </row>
    <row r="129" spans="4:6" ht="15.5" outlineLevel="1">
      <c r="D129" t="s">
        <v>205</v>
      </c>
      <c r="F129" t="s">
        <v>205</v>
      </c>
    </row>
    <row r="130" spans="4:6" ht="15.5" outlineLevel="1">
      <c r="D130" t="s">
        <v>201</v>
      </c>
      <c r="F130" t="s">
        <v>201</v>
      </c>
    </row>
    <row r="131" spans="4:6" ht="15.5" outlineLevel="1">
      <c r="D131" t="s">
        <v>952</v>
      </c>
      <c r="F131" t="s">
        <v>952</v>
      </c>
    </row>
    <row r="132" ht="16" outlineLevel="1" thickBot="1"/>
    <row r="133" spans="2:4" ht="16" outlineLevel="1" thickBot="1">
      <c r="B133" s="511" t="s">
        <v>953</v>
      </c>
      <c r="D133" s="511" t="s">
        <v>660</v>
      </c>
    </row>
    <row r="134" spans="2:4" ht="15.5" outlineLevel="1">
      <c r="B134" t="str" cm="1">
        <f t="array" ref="B134">_xlfn.LET(_xlpm.Input,B133,_xlpm.RemoveReporeted,SUBSTITUTE(_xlpm.Input,"Reported",""),_xlpm.RemoveAdjusted,SUBSTITUTE(_xlpm.RemoveReporeted,"Adjusted",""),_xlpm.Final,"Adjusted "&amp;TRIM(_xlpm.RemoveAdjusted),_xlfn.SWITCH(TRUE,OR(_xlpm.Input="",_xlpm.Input="Please select your Revenue Proxy",_xlpm.Input="Other (please specify here)"),"Please select from above",_xlpm.Final))</f>
        <v>Please select from above</v>
      </c>
      <c r="D134" t="str" cm="1">
        <f t="array" ref="D134">_xlfn.LET(_xlpm.Input,D133,_xlpm.RemoveReporeted,SUBSTITUTE(_xlpm.Input,"Reported",""),_xlpm.RemoveAdjusted,SUBSTITUTE(_xlpm.RemoveReporeted,"Adjusted",""),_xlpm.Final,"Adjusted "&amp;TRIM(_xlpm.RemoveAdjusted),_xlfn.SWITCH(TRUE,OR(_xlpm.Input="",_xlpm.Input="Please select your Earning Proxy",_xlpm.Input="Other (please specify here)"),"Please select from above",_xlpm.Final))</f>
        <v>Adjusted EBIT</v>
      </c>
    </row>
    <row r="135" ht="15.5" outlineLevel="1"/>
    <row r="136" ht="15.5" outlineLevel="1"/>
    <row r="137" spans="1:9" ht="20">
      <c r="A137" s="1124" t="s">
        <v>954</v>
      </c>
      <c r="B137" s="1124"/>
      <c r="C137" s="1124"/>
      <c r="D137" s="1124"/>
      <c r="E137" s="1124"/>
      <c r="F137" s="1124"/>
      <c r="G137" s="1124"/>
      <c r="H137" s="1124"/>
      <c r="I137" s="1124"/>
    </row>
    <row r="138" ht="15.5" outlineLevel="1"/>
    <row r="139" spans="2:8" ht="15.5" outlineLevel="1">
      <c r="B139" s="2266" t="s">
        <v>955</v>
      </c>
      <c r="C139" s="2266" t="s">
        <v>956</v>
      </c>
      <c r="D139" s="2266" t="s">
        <v>957</v>
      </c>
      <c r="E139" s="2266" t="s">
        <v>958</v>
      </c>
      <c r="H139" s="1" t="s">
        <v>959</v>
      </c>
    </row>
    <row r="140" spans="2:4" ht="15.5" outlineLevel="1">
      <c r="B140" t="s">
        <v>960</v>
      </c>
      <c r="C140" t="s">
        <v>961</v>
      </c>
      <c r="D140" s="37" t="e" vm="15">
        <f t="shared" si="0" ref="D140:D156">_xlfn.IMAGE(C140)</f>
        <v>#VALUE!</v>
      </c>
    </row>
    <row r="141" spans="2:8" ht="15.5" outlineLevel="1">
      <c r="B141" t="s">
        <v>962</v>
      </c>
      <c r="C141" t="s">
        <v>963</v>
      </c>
      <c r="D141" s="37" t="e" vm="16">
        <f t="shared" si="0"/>
        <v>#VALUE!</v>
      </c>
      <c r="E141" t="e" vm="17">
        <v>#VALUE!</v>
      </c>
      <c r="H141" s="99" t="e" vm="5" cm="1">
        <f t="array" ref="H141">_xlfn.LAMBDA(_xlpm.IconName,_xlfn.XLOOKUP(_xlpm.IconName,tbl_icon[Icon name],tbl_icon[Image]))("find")</f>
        <v>#VALUE!</v>
      </c>
    </row>
    <row r="142" spans="2:5" ht="15.5" outlineLevel="1">
      <c r="B142" t="s">
        <v>964</v>
      </c>
      <c r="C142" t="s">
        <v>965</v>
      </c>
      <c r="D142" s="37" t="e" vm="18">
        <f t="shared" si="0"/>
        <v>#VALUE!</v>
      </c>
      <c r="E142" t="e" vm="19">
        <v>#VALUE!</v>
      </c>
    </row>
    <row r="143" spans="2:8" ht="15.5" outlineLevel="1">
      <c r="B143" t="s">
        <v>966</v>
      </c>
      <c r="C143" s="715" t="s">
        <v>967</v>
      </c>
      <c r="D143" s="37" t="e" vm="20">
        <f t="shared" si="0"/>
        <v>#VALUE!</v>
      </c>
      <c r="E143" t="e" vm="21">
        <v>#VALUE!</v>
      </c>
      <c r="H143" t="e" vm="5" cm="1">
        <f t="array" ref="H143">fx_getIcon("find")</f>
        <v>#VALUE!</v>
      </c>
    </row>
    <row r="144" spans="2:4" ht="15.5" outlineLevel="1">
      <c r="B144" t="s">
        <v>968</v>
      </c>
      <c r="C144" s="715" t="s">
        <v>969</v>
      </c>
      <c r="D144" s="37" t="e" vm="22">
        <f t="shared" si="0"/>
        <v>#VALUE!</v>
      </c>
    </row>
    <row r="145" spans="2:4" ht="15.5" outlineLevel="1">
      <c r="B145" t="s">
        <v>970</v>
      </c>
      <c r="C145" s="715" t="s">
        <v>971</v>
      </c>
      <c r="D145" s="37" t="e" vm="23">
        <f t="shared" si="0"/>
        <v>#VALUE!</v>
      </c>
    </row>
    <row r="146" spans="2:6" ht="15.5" outlineLevel="1">
      <c r="B146" t="s">
        <v>972</v>
      </c>
      <c r="C146" s="715" t="s">
        <v>973</v>
      </c>
      <c r="D146" s="37" t="e" vm="24">
        <f t="shared" si="0"/>
        <v>#VALUE!</v>
      </c>
      <c r="F146" t="e" vm="5">
        <f>_xlfn.XLOOKUP("find",tbl_icon[Icon name],tbl_icon[Image])</f>
        <v>#VALUE!</v>
      </c>
    </row>
    <row r="147" spans="2:4" ht="15.5" outlineLevel="1">
      <c r="B147" t="s">
        <v>974</v>
      </c>
      <c r="C147" s="732" t="s">
        <v>975</v>
      </c>
      <c r="D147" s="37" t="e" vm="25">
        <f t="shared" si="0"/>
        <v>#VALUE!</v>
      </c>
    </row>
    <row r="148" spans="2:5" ht="15.5" outlineLevel="1">
      <c r="B148" t="s">
        <v>976</v>
      </c>
      <c r="C148" s="732" t="s">
        <v>977</v>
      </c>
      <c r="D148" s="37" t="e" vm="26">
        <f t="shared" si="0"/>
        <v>#VALUE!</v>
      </c>
      <c r="E148" t="e" vm="27">
        <v>#VALUE!</v>
      </c>
    </row>
    <row r="149" spans="2:4" ht="15.5" outlineLevel="1">
      <c r="B149" t="s">
        <v>978</v>
      </c>
      <c r="C149" s="732" t="s">
        <v>979</v>
      </c>
      <c r="D149" s="37" t="e" vm="28">
        <f t="shared" si="0"/>
        <v>#VALUE!</v>
      </c>
    </row>
    <row r="150" spans="3:4" ht="15.5" outlineLevel="1">
      <c r="C150" s="732" t="s">
        <v>980</v>
      </c>
      <c r="D150" s="37" t="e" vm="29">
        <f t="shared" si="0"/>
        <v>#VALUE!</v>
      </c>
    </row>
    <row r="151" spans="2:4" ht="15.5" outlineLevel="1">
      <c r="B151" t="s">
        <v>981</v>
      </c>
      <c r="C151" s="732" t="s">
        <v>982</v>
      </c>
      <c r="D151" s="37" t="e" vm="30">
        <f t="shared" si="0"/>
        <v>#VALUE!</v>
      </c>
    </row>
    <row r="152" spans="2:4" ht="15.5" outlineLevel="1">
      <c r="B152" t="s">
        <v>983</v>
      </c>
      <c r="C152" s="732" t="s">
        <v>984</v>
      </c>
      <c r="D152" s="37" t="e" vm="31">
        <f t="shared" si="0"/>
        <v>#VALUE!</v>
      </c>
    </row>
    <row r="153" spans="2:4" ht="15.5" outlineLevel="1">
      <c r="B153" t="s">
        <v>985</v>
      </c>
      <c r="C153" s="732" t="s">
        <v>986</v>
      </c>
      <c r="D153" s="37" t="e" vm="32">
        <f t="shared" si="0"/>
        <v>#VALUE!</v>
      </c>
    </row>
    <row r="154" spans="2:4" ht="15.5" outlineLevel="1">
      <c r="B154" t="s">
        <v>987</v>
      </c>
      <c r="C154" s="732" t="s">
        <v>988</v>
      </c>
      <c r="D154" s="37" t="e" vm="33">
        <f t="shared" si="0"/>
        <v>#VALUE!</v>
      </c>
    </row>
    <row r="155" spans="2:4" ht="15.5" outlineLevel="1">
      <c r="B155" t="s">
        <v>989</v>
      </c>
      <c r="C155" s="732" t="s">
        <v>990</v>
      </c>
      <c r="D155" s="37" t="e" vm="34">
        <f t="shared" si="0"/>
        <v>#VALUE!</v>
      </c>
    </row>
    <row r="156" spans="2:4" ht="15.5" outlineLevel="1">
      <c r="B156" t="s">
        <v>991</v>
      </c>
      <c r="C156" s="732" t="s">
        <v>992</v>
      </c>
      <c r="D156" s="37" t="e" vm="35">
        <f t="shared" si="0"/>
        <v>#VALUE!</v>
      </c>
    </row>
    <row r="157" spans="2:5" ht="15.5" outlineLevel="1">
      <c r="B157" t="s">
        <v>993</v>
      </c>
      <c r="C157" s="732" t="s">
        <v>994</v>
      </c>
      <c r="D157" s="37" t="e" vm="36">
        <f>_xlfn.IMAGE(C157)</f>
        <v>#VALUE!</v>
      </c>
      <c r="E157" t="e" vm="37">
        <v>#VALUE!</v>
      </c>
    </row>
    <row r="158" spans="2:5" ht="15.5" outlineLevel="1">
      <c r="B158" t="s">
        <v>995</v>
      </c>
      <c r="C158" s="1082" t="s">
        <v>996</v>
      </c>
      <c r="D158" s="37" t="e" vm="38">
        <f>_xlfn.IMAGE(C158)</f>
        <v>#VALUE!</v>
      </c>
      <c r="E158" t="e" vm="39">
        <v>#VALUE!</v>
      </c>
    </row>
    <row r="159" spans="2:5" ht="15.5" outlineLevel="1">
      <c r="B159" t="s">
        <v>997</v>
      </c>
      <c r="C159" s="1082" t="s">
        <v>998</v>
      </c>
      <c r="D159" s="37" t="e" vm="40">
        <f>_xlfn.IMAGE(C159)</f>
        <v>#VALUE!</v>
      </c>
      <c r="E159" t="e" vm="41">
        <v>#VALUE!</v>
      </c>
    </row>
    <row r="160" ht="15.5" outlineLevel="1"/>
    <row r="161" spans="1:9" ht="20">
      <c r="A161" s="1124" t="s">
        <v>999</v>
      </c>
      <c r="B161" s="1124"/>
      <c r="C161" s="1124"/>
      <c r="D161" s="1124"/>
      <c r="E161" s="1124"/>
      <c r="F161" s="1124"/>
      <c r="G161" s="1124"/>
      <c r="H161" s="1124"/>
      <c r="I161" s="1124"/>
    </row>
    <row r="162" ht="15.5" outlineLevel="1"/>
    <row r="163" spans="2:6" ht="15.5" outlineLevel="1">
      <c r="B163" s="2268" t="str" cm="1">
        <f t="array" ref="B163:D163">_xlfn.TOROW(_xlfn.UNIQUE(tbl_adjExample[Type]),1)</f>
        <v>Type I</v>
      </c>
      <c r="C163" s="2268" t="str">
        <v>Type II</v>
      </c>
      <c r="D163" s="2268" t="str">
        <v>Type III</v>
      </c>
      <c r="E163" s="1617"/>
      <c r="F163" s="1" t="s">
        <v>1000</v>
      </c>
    </row>
    <row r="164" spans="2:9" ht="15.5" outlineLevel="1">
      <c r="B164" s="1618" t="str" cm="1">
        <f t="array" ref="B164:B180">_xlfn.VSTACK("Select, enter text or leave as blank.",_xlfn._xlws.FILTER(tbl_adjExample[Items],tbl_adjExample[Type]=Developer!B$163),"")</f>
        <v>Select, enter text or leave as blank.</v>
      </c>
      <c r="C164" s="1618" t="str" cm="1">
        <f t="array" ref="C164:C167">_xlfn.VSTACK("Select, enter text or leave as blank.",_xlfn._xlws.FILTER(tbl_adjExample[Items],tbl_adjExample[Type]=Developer!C$163),"")</f>
        <v>Select, enter text or leave as blank.</v>
      </c>
      <c r="D164" s="1620" t="str" cm="1">
        <f t="array" ref="D164:D168">_xlfn.VSTACK("Select, enter text or leave as blank.",_xlfn._xlws.FILTER(tbl_adjExample[Items],tbl_adjExample[Type]=Developer!D$163),"")</f>
        <v>Select, enter text or leave as blank.</v>
      </c>
      <c r="E164" s="1617"/>
      <c r="F164" s="109" t="s">
        <v>1001</v>
      </c>
      <c r="G164" s="44"/>
      <c r="H164" s="44"/>
      <c r="I164" s="110"/>
    </row>
    <row r="165" spans="2:5" ht="15.5" outlineLevel="1">
      <c r="B165" s="1621" t="str">
        <v>Legal settlements</v>
      </c>
      <c r="C165" s="1618" t="str">
        <v>Accounting Adjustments (incl. IFRS16 Adjustments)</v>
      </c>
      <c r="D165" s="1621" t="str">
        <v>Future cost saving</v>
      </c>
      <c r="E165" s="1617"/>
    </row>
    <row r="166" spans="2:6" ht="15.5" outlineLevel="1">
      <c r="B166" s="1621" t="str">
        <v>Environmental or Regulatory Costs</v>
      </c>
      <c r="C166" s="1618" t="str">
        <v>Full year impact of M&amp;A (incl. Spin-off)</v>
      </c>
      <c r="D166" s="1617" t="str">
        <v>Future synergies</v>
      </c>
      <c r="E166" s="1617"/>
      <c r="F166" s="116" t="s">
        <v>1002</v>
      </c>
    </row>
    <row r="167" spans="2:6" ht="15.5" outlineLevel="1">
      <c r="B167" s="1621" t="str">
        <v>Extraordinary Items</v>
      </c>
      <c r="C167" t="str">
        <v/>
      </c>
      <c r="D167" s="1621" t="str">
        <v>Future performance result from pricing change</v>
      </c>
      <c r="E167" s="1617"/>
      <c r="F167" t="s">
        <v>1003</v>
      </c>
    </row>
    <row r="168" spans="2:6" ht="15.5" outlineLevel="1">
      <c r="B168" s="1621" t="str">
        <v>Restructuring costs</v>
      </c>
      <c r="D168" s="1621" t="str">
        <v/>
      </c>
      <c r="E168" s="1617"/>
      <c r="F168" s="111" t="s">
        <v>1004</v>
      </c>
    </row>
    <row r="169" spans="2:5" ht="15.5" outlineLevel="1">
      <c r="B169" s="1621" t="str">
        <v>Non-recurring professional fees</v>
      </c>
      <c r="D169" s="1621"/>
      <c r="E169" s="1617"/>
    </row>
    <row r="170" spans="2:6" ht="15.5" outlineLevel="1">
      <c r="B170" s="1621" t="str">
        <v>Covid Impacts</v>
      </c>
      <c r="D170" s="1621"/>
      <c r="E170" s="1617"/>
      <c r="F170" s="115" t="s">
        <v>1005</v>
      </c>
    </row>
    <row r="171" spans="2:6" ht="15.5" outlineLevel="1">
      <c r="B171" s="1621" t="str">
        <v>Non-core Income / Expenses</v>
      </c>
      <c r="C171" s="1621"/>
      <c r="D171" s="1621"/>
      <c r="E171" s="1617"/>
      <c r="F171" s="111" t="s">
        <v>1004</v>
      </c>
    </row>
    <row r="172" spans="2:5" ht="15.5" outlineLevel="1">
      <c r="B172" s="1621" t="str">
        <v>Discontinued operations / start-ups</v>
      </c>
      <c r="C172" s="1621"/>
      <c r="D172" s="1621"/>
      <c r="E172" s="1617"/>
    </row>
    <row r="173" spans="2:5" ht="15.5" outlineLevel="1">
      <c r="B173" s="1621" t="str">
        <v>Stock-based compensation</v>
      </c>
      <c r="C173" s="1621"/>
      <c r="D173" s="1621"/>
      <c r="E173" s="1617"/>
    </row>
    <row r="174" spans="2:5" ht="15.5" outlineLevel="1">
      <c r="B174" s="1621" t="str">
        <v>FX related (Unrealised Gains)</v>
      </c>
      <c r="C174" s="1621"/>
      <c r="D174" s="1621"/>
      <c r="E174" s="1617"/>
    </row>
    <row r="175" spans="2:6" ht="15.5" outlineLevel="1">
      <c r="B175" s="1621" t="str">
        <v>Impairments</v>
      </c>
      <c r="C175" s="1621"/>
      <c r="D175" s="1621"/>
      <c r="E175" s="1617"/>
      <c r="F175" t="str">
        <f>IF(TRUE,"")</f>
        <v/>
      </c>
    </row>
    <row r="176" spans="2:5" ht="15.5" outlineLevel="1">
      <c r="B176" s="1621" t="str">
        <v>M&amp;A / Transaction Fees</v>
      </c>
      <c r="C176" s="1621"/>
      <c r="D176" s="1621"/>
      <c r="E176" s="1617"/>
    </row>
    <row r="177" spans="2:5" ht="15.5" outlineLevel="1">
      <c r="B177" s="1622" t="str">
        <v>Management Incentive Cost (incl. Earn-Out)</v>
      </c>
      <c r="C177" s="1622"/>
      <c r="D177" s="1622"/>
      <c r="E177" s="1617"/>
    </row>
    <row r="178" spans="2:2" ht="15.5">
      <c r="B178" t="str">
        <v>Capitalized development costs (IAS 38)</v>
      </c>
    </row>
    <row r="179" spans="2:9" ht="15.5">
      <c r="B179" t="str">
        <v>Capitalized commissions (IFRS 15)</v>
      </c>
      <c r="D179" s="3307">
        <v>1</v>
      </c>
      <c r="E179" s="3307">
        <v>2</v>
      </c>
      <c r="F179">
        <v>3</v>
      </c>
      <c r="G179">
        <v>4</v>
      </c>
      <c r="H179">
        <v>5</v>
      </c>
      <c r="I179">
        <v>6</v>
      </c>
    </row>
    <row r="180" spans="2:9" ht="15.5">
      <c r="B180" t="str">
        <v/>
      </c>
      <c r="D180" s="3276" cm="1">
        <f t="array" ref="D180">_xlfn.TAKE(PL!$Y$26:$Y$31,D179)</f>
        <v>2</v>
      </c>
      <c r="E180" s="3276" cm="1">
        <f t="array" ref="E180:E181">_xlfn.TAKE(PL!$Y$26:$Y$31,E179)</f>
        <v>2</v>
      </c>
      <c r="F180" s="3276" cm="1">
        <f t="array" ref="F180:F182">_xlfn.TAKE(PL!$Y$26:$Y$31,F179)</f>
        <v>2</v>
      </c>
      <c r="G180" s="3276" cm="1">
        <f t="array" ref="G180:G183">_xlfn.TAKE(PL!$Y$26:$Y$31,G179)</f>
        <v>2</v>
      </c>
      <c r="H180" s="3276" cm="1">
        <f t="array" ref="H180:H184">_xlfn.TAKE(PL!$Y$26:$Y$31,H179)</f>
        <v>2</v>
      </c>
      <c r="I180" s="3276" cm="1">
        <f t="array" ref="I180:I185">_xlfn.TAKE(PL!$Y$26:$Y$31,I179)</f>
        <v>2</v>
      </c>
    </row>
    <row r="181" spans="5:9" ht="15.5">
      <c r="E181" s="3276">
        <v>2</v>
      </c>
      <c r="F181" s="3276">
        <v>2</v>
      </c>
      <c r="G181" s="3276">
        <v>2</v>
      </c>
      <c r="H181" s="3276">
        <v>2</v>
      </c>
      <c r="I181" s="3276">
        <v>2</v>
      </c>
    </row>
    <row r="182" spans="2:9" ht="15.5">
      <c r="B182" s="1618" t="str" cm="1">
        <f t="array" ref="B182:B198">_xlfn.VSTACK("Select, enter text or leave as blank.",_xlfn._xlws.FILTER(tbl_adjExample[Items],tbl_adjExample[Type]=Developer!B$163),"")</f>
        <v>Select, enter text or leave as blank.</v>
      </c>
      <c r="F182" s="3276">
        <v>2</v>
      </c>
      <c r="G182" s="3276">
        <v>2</v>
      </c>
      <c r="H182" s="3276">
        <v>2</v>
      </c>
      <c r="I182" s="3276">
        <v>2</v>
      </c>
    </row>
    <row r="183" spans="2:9" ht="15.5">
      <c r="B183" s="1621" t="str">
        <v>Legal settlements</v>
      </c>
      <c r="G183" s="3276">
        <v>2</v>
      </c>
      <c r="H183" s="3276">
        <v>2</v>
      </c>
      <c r="I183" s="3276">
        <v>2</v>
      </c>
    </row>
    <row r="184" spans="2:9" ht="15.5">
      <c r="B184" s="1621" t="str">
        <v>Environmental or Regulatory Costs</v>
      </c>
      <c r="H184" s="3276">
        <v>2</v>
      </c>
      <c r="I184" s="3276">
        <v>2</v>
      </c>
    </row>
    <row r="185" spans="2:9" ht="15.5">
      <c r="B185" s="1621" t="str">
        <v>Extraordinary Items</v>
      </c>
      <c r="I185" s="3276">
        <v>2</v>
      </c>
    </row>
    <row r="186" spans="2:2" ht="15.5">
      <c r="B186" s="1621" t="str">
        <v>Restructuring costs</v>
      </c>
    </row>
    <row r="187" spans="2:2" ht="15.5">
      <c r="B187" s="1621" t="str">
        <v>Non-recurring professional fees</v>
      </c>
    </row>
    <row r="188" spans="2:2" ht="15.5">
      <c r="B188" s="1621" t="str">
        <v>Covid Impacts</v>
      </c>
    </row>
    <row r="189" spans="2:9" ht="15.5">
      <c r="B189" s="1621" t="str">
        <v>Non-core Income / Expenses</v>
      </c>
      <c r="D189" t="str" cm="1">
        <f t="array" ref="D189:D205">_xlfn._xlws.FILTER(_xlfn.ANCHORARRAY($B$182),ISNUMBER(_xlfn.XMATCH(_xlfn.ANCHORARRAY($B$182),_xlfn.ANCHORARRAY(D$180)))=FALSE)</f>
        <v>Select, enter text or leave as blank.</v>
      </c>
      <c r="E189" t="str" cm="1">
        <f t="array" ref="E189:E205">_xlfn._xlws.FILTER(_xlfn.ANCHORARRAY($B$182),ISNUMBER(_xlfn.XMATCH(_xlfn.ANCHORARRAY($B$182),_xlfn.ANCHORARRAY(E$180)))=FALSE)</f>
        <v>Select, enter text or leave as blank.</v>
      </c>
      <c r="F189" t="str" cm="1">
        <f t="array" ref="F189:F205">_xlfn._xlws.FILTER(_xlfn.ANCHORARRAY($B$182),ISNUMBER(_xlfn.XMATCH(_xlfn.ANCHORARRAY($B$182),_xlfn.ANCHORARRAY(F$180)))=FALSE)</f>
        <v>Select, enter text or leave as blank.</v>
      </c>
      <c r="G189" t="str" cm="1">
        <f t="array" ref="G189:G205">_xlfn._xlws.FILTER(_xlfn.ANCHORARRAY($B$182),ISNUMBER(_xlfn.XMATCH(_xlfn.ANCHORARRAY($B$182),_xlfn.ANCHORARRAY(G$180)))=FALSE)</f>
        <v>Select, enter text or leave as blank.</v>
      </c>
      <c r="H189" t="str" cm="1">
        <f t="array" ref="H189:H205">_xlfn._xlws.FILTER(_xlfn.ANCHORARRAY($B$182),ISNUMBER(_xlfn.XMATCH(_xlfn.ANCHORARRAY($B$182),_xlfn.ANCHORARRAY(H$180)))=FALSE)</f>
        <v>Select, enter text or leave as blank.</v>
      </c>
      <c r="I189" t="str" cm="1">
        <f t="array" ref="I189:I205">_xlfn._xlws.FILTER(_xlfn.ANCHORARRAY($B$182),ISNUMBER(_xlfn.XMATCH(_xlfn.ANCHORARRAY($B$182),_xlfn.ANCHORARRAY(I$180)))=FALSE)</f>
        <v>Select, enter text or leave as blank.</v>
      </c>
    </row>
    <row r="190" spans="2:9" ht="15.5">
      <c r="B190" s="1621" t="str">
        <v>Discontinued operations / start-ups</v>
      </c>
      <c r="D190" t="str">
        <v>Legal settlements</v>
      </c>
      <c r="E190" t="str">
        <v>Legal settlements</v>
      </c>
      <c r="F190" t="str">
        <v>Legal settlements</v>
      </c>
      <c r="G190" t="str">
        <v>Legal settlements</v>
      </c>
      <c r="H190" t="str">
        <v>Legal settlements</v>
      </c>
      <c r="I190" t="str">
        <v>Legal settlements</v>
      </c>
    </row>
    <row r="191" spans="2:9" ht="15.5">
      <c r="B191" s="1621" t="str">
        <v>Stock-based compensation</v>
      </c>
      <c r="D191" t="str">
        <v>Environmental or Regulatory Costs</v>
      </c>
      <c r="E191" t="str">
        <v>Environmental or Regulatory Costs</v>
      </c>
      <c r="F191" t="str">
        <v>Environmental or Regulatory Costs</v>
      </c>
      <c r="G191" t="str">
        <v>Environmental or Regulatory Costs</v>
      </c>
      <c r="H191" t="str">
        <v>Environmental or Regulatory Costs</v>
      </c>
      <c r="I191" t="str">
        <v>Environmental or Regulatory Costs</v>
      </c>
    </row>
    <row r="192" spans="2:9" ht="15.5">
      <c r="B192" s="1621" t="str">
        <v>FX related (Unrealised Gains)</v>
      </c>
      <c r="D192" t="str">
        <v>Extraordinary Items</v>
      </c>
      <c r="E192" t="str">
        <v>Extraordinary Items</v>
      </c>
      <c r="F192" t="str">
        <v>Extraordinary Items</v>
      </c>
      <c r="G192" t="str">
        <v>Extraordinary Items</v>
      </c>
      <c r="H192" t="str">
        <v>Extraordinary Items</v>
      </c>
      <c r="I192" t="str">
        <v>Extraordinary Items</v>
      </c>
    </row>
    <row r="193" spans="2:9" ht="15.5">
      <c r="B193" s="1621" t="str">
        <v>Impairments</v>
      </c>
      <c r="D193" t="str">
        <v>Restructuring costs</v>
      </c>
      <c r="E193" t="str">
        <v>Restructuring costs</v>
      </c>
      <c r="F193" t="str">
        <v>Restructuring costs</v>
      </c>
      <c r="G193" t="str">
        <v>Restructuring costs</v>
      </c>
      <c r="H193" t="str">
        <v>Restructuring costs</v>
      </c>
      <c r="I193" t="str">
        <v>Restructuring costs</v>
      </c>
    </row>
    <row r="194" spans="2:9" ht="15.5">
      <c r="B194" s="1621" t="str">
        <v>M&amp;A / Transaction Fees</v>
      </c>
      <c r="D194" t="str">
        <v>Non-recurring professional fees</v>
      </c>
      <c r="E194" t="str">
        <v>Non-recurring professional fees</v>
      </c>
      <c r="F194" t="str">
        <v>Non-recurring professional fees</v>
      </c>
      <c r="G194" t="str">
        <v>Non-recurring professional fees</v>
      </c>
      <c r="H194" t="str">
        <v>Non-recurring professional fees</v>
      </c>
      <c r="I194" t="str">
        <v>Non-recurring professional fees</v>
      </c>
    </row>
    <row r="195" spans="2:9" ht="15.5">
      <c r="B195" s="1622" t="str">
        <v>Management Incentive Cost (incl. Earn-Out)</v>
      </c>
      <c r="D195" t="str">
        <v>Covid Impacts</v>
      </c>
      <c r="E195" t="str">
        <v>Covid Impacts</v>
      </c>
      <c r="F195" t="str">
        <v>Covid Impacts</v>
      </c>
      <c r="G195" t="str">
        <v>Covid Impacts</v>
      </c>
      <c r="H195" t="str">
        <v>Covid Impacts</v>
      </c>
      <c r="I195" t="str">
        <v>Covid Impacts</v>
      </c>
    </row>
    <row r="196" spans="2:9" ht="15.5">
      <c r="B196" s="1617" t="str">
        <v>Capitalized development costs (IAS 38)</v>
      </c>
      <c r="D196" t="str">
        <v>Non-core Income / Expenses</v>
      </c>
      <c r="E196" t="str">
        <v>Non-core Income / Expenses</v>
      </c>
      <c r="F196" t="str">
        <v>Non-core Income / Expenses</v>
      </c>
      <c r="G196" t="str">
        <v>Non-core Income / Expenses</v>
      </c>
      <c r="H196" t="str">
        <v>Non-core Income / Expenses</v>
      </c>
      <c r="I196" t="str">
        <v>Non-core Income / Expenses</v>
      </c>
    </row>
    <row r="197" spans="2:9" ht="15.5">
      <c r="B197" t="str">
        <v>Capitalized commissions (IFRS 15)</v>
      </c>
      <c r="D197" t="str">
        <v>Discontinued operations / start-ups</v>
      </c>
      <c r="E197" t="str">
        <v>Discontinued operations / start-ups</v>
      </c>
      <c r="F197" t="str">
        <v>Discontinued operations / start-ups</v>
      </c>
      <c r="G197" t="str">
        <v>Discontinued operations / start-ups</v>
      </c>
      <c r="H197" t="str">
        <v>Discontinued operations / start-ups</v>
      </c>
      <c r="I197" t="str">
        <v>Discontinued operations / start-ups</v>
      </c>
    </row>
    <row r="198" spans="2:9" ht="15.5">
      <c r="B198" t="str">
        <v/>
      </c>
      <c r="D198" t="str">
        <v>Stock-based compensation</v>
      </c>
      <c r="E198" t="str">
        <v>Stock-based compensation</v>
      </c>
      <c r="F198" t="str">
        <v>Stock-based compensation</v>
      </c>
      <c r="G198" t="str">
        <v>Stock-based compensation</v>
      </c>
      <c r="H198" t="str">
        <v>Stock-based compensation</v>
      </c>
      <c r="I198" t="str">
        <v>Stock-based compensation</v>
      </c>
    </row>
    <row r="199" spans="4:9" ht="15.5">
      <c r="D199" t="str">
        <v>FX related (Unrealised Gains)</v>
      </c>
      <c r="E199" t="str">
        <v>FX related (Unrealised Gains)</v>
      </c>
      <c r="F199" t="str">
        <v>FX related (Unrealised Gains)</v>
      </c>
      <c r="G199" t="str">
        <v>FX related (Unrealised Gains)</v>
      </c>
      <c r="H199" t="str">
        <v>FX related (Unrealised Gains)</v>
      </c>
      <c r="I199" t="str">
        <v>FX related (Unrealised Gains)</v>
      </c>
    </row>
    <row r="200" spans="4:9" ht="15.5">
      <c r="D200" t="str">
        <v>Impairments</v>
      </c>
      <c r="E200" t="str">
        <v>Impairments</v>
      </c>
      <c r="F200" t="str">
        <v>Impairments</v>
      </c>
      <c r="G200" t="str">
        <v>Impairments</v>
      </c>
      <c r="H200" t="str">
        <v>Impairments</v>
      </c>
      <c r="I200" t="str">
        <v>Impairments</v>
      </c>
    </row>
    <row r="201" spans="4:9" ht="15.5">
      <c r="D201" t="str">
        <v>M&amp;A / Transaction Fees</v>
      </c>
      <c r="E201" t="str">
        <v>M&amp;A / Transaction Fees</v>
      </c>
      <c r="F201" t="str">
        <v>M&amp;A / Transaction Fees</v>
      </c>
      <c r="G201" t="str">
        <v>M&amp;A / Transaction Fees</v>
      </c>
      <c r="H201" t="str">
        <v>M&amp;A / Transaction Fees</v>
      </c>
      <c r="I201" t="str">
        <v>M&amp;A / Transaction Fees</v>
      </c>
    </row>
    <row r="202" spans="4:9" ht="15.5">
      <c r="D202" t="str">
        <v>Management Incentive Cost (incl. Earn-Out)</v>
      </c>
      <c r="E202" t="str">
        <v>Management Incentive Cost (incl. Earn-Out)</v>
      </c>
      <c r="F202" t="str">
        <v>Management Incentive Cost (incl. Earn-Out)</v>
      </c>
      <c r="G202" t="str">
        <v>Management Incentive Cost (incl. Earn-Out)</v>
      </c>
      <c r="H202" t="str">
        <v>Management Incentive Cost (incl. Earn-Out)</v>
      </c>
      <c r="I202" t="str">
        <v>Management Incentive Cost (incl. Earn-Out)</v>
      </c>
    </row>
    <row r="203" spans="4:9" ht="15.5">
      <c r="D203" t="str">
        <v>Capitalized development costs (IAS 38)</v>
      </c>
      <c r="E203" t="str">
        <v>Capitalized development costs (IAS 38)</v>
      </c>
      <c r="F203" t="str">
        <v>Capitalized development costs (IAS 38)</v>
      </c>
      <c r="G203" t="str">
        <v>Capitalized development costs (IAS 38)</v>
      </c>
      <c r="H203" t="str">
        <v>Capitalized development costs (IAS 38)</v>
      </c>
      <c r="I203" t="str">
        <v>Capitalized development costs (IAS 38)</v>
      </c>
    </row>
    <row r="204" spans="4:9" ht="15.5">
      <c r="D204" t="str">
        <v>Capitalized commissions (IFRS 15)</v>
      </c>
      <c r="E204" t="str">
        <v>Capitalized commissions (IFRS 15)</v>
      </c>
      <c r="F204" t="str">
        <v>Capitalized commissions (IFRS 15)</v>
      </c>
      <c r="G204" t="str">
        <v>Capitalized commissions (IFRS 15)</v>
      </c>
      <c r="H204" t="str">
        <v>Capitalized commissions (IFRS 15)</v>
      </c>
      <c r="I204" t="str">
        <v>Capitalized commissions (IFRS 15)</v>
      </c>
    </row>
    <row r="205" spans="4:9" ht="15.5">
      <c r="D205" t="str">
        <v/>
      </c>
      <c r="E205" t="str">
        <v/>
      </c>
      <c r="F205" t="str">
        <v/>
      </c>
      <c r="G205" t="str">
        <v/>
      </c>
      <c r="H205" t="str">
        <v/>
      </c>
      <c r="I205" t="str">
        <v/>
      </c>
    </row>
    <row r="206" spans="2:5" ht="15.5" outlineLevel="1">
      <c r="B206" s="1617"/>
      <c r="C206" s="1617"/>
      <c r="D206" s="1617"/>
      <c r="E206" s="1617"/>
    </row>
    <row r="207" spans="1:9" ht="20">
      <c r="A207" s="1124" t="s">
        <v>1006</v>
      </c>
      <c r="B207" s="1124"/>
      <c r="C207" s="1124"/>
      <c r="D207" s="1124"/>
      <c r="E207" s="1124"/>
      <c r="F207" s="1124"/>
      <c r="G207" s="1124"/>
      <c r="H207" s="1124"/>
      <c r="I207" s="1124"/>
    </row>
    <row r="208" ht="15.5" outlineLevel="1"/>
    <row r="209" spans="2:4" ht="15.5" outlineLevel="1">
      <c r="B209" s="1619" t="s">
        <v>1007</v>
      </c>
      <c r="C209" s="1619" t="s">
        <v>950</v>
      </c>
      <c r="D209" s="1619" t="s">
        <v>143</v>
      </c>
    </row>
    <row r="210" spans="2:4" ht="15.5" outlineLevel="1">
      <c r="B210" s="1618" t="s">
        <v>1008</v>
      </c>
      <c r="C210" s="1618" t="s">
        <v>1008</v>
      </c>
      <c r="D210" s="1618" t="s">
        <v>1008</v>
      </c>
    </row>
    <row r="211" spans="2:4" ht="15.5" outlineLevel="1">
      <c r="B211" s="1621" t="s">
        <v>1009</v>
      </c>
      <c r="C211" s="1621" t="s">
        <v>1010</v>
      </c>
      <c r="D211" s="1621" t="s">
        <v>1011</v>
      </c>
    </row>
    <row r="212" spans="2:4" ht="15.5" outlineLevel="1">
      <c r="B212" s="1621" t="s">
        <v>1012</v>
      </c>
      <c r="C212" s="1621" t="s">
        <v>1013</v>
      </c>
      <c r="D212" s="1621" t="s">
        <v>1014</v>
      </c>
    </row>
    <row r="213" ht="15.5" outlineLevel="1"/>
    <row r="214" ht="15.5" outlineLevel="1"/>
    <row r="215" ht="15.5" outlineLevel="1"/>
    <row r="216" ht="15.5" outlineLevel="1"/>
    <row r="217" ht="15.5" outlineLevel="1"/>
    <row r="218" ht="15.5" outlineLevel="1"/>
    <row r="219" ht="15.5" outlineLevel="1"/>
    <row r="220" ht="15.5" outlineLevel="1"/>
    <row r="221" ht="15.5" outlineLevel="1"/>
    <row r="222" spans="2:4" ht="15.5" outlineLevel="1">
      <c r="B222" s="1621" t="s">
        <v>1015</v>
      </c>
      <c r="C222" s="1621" t="s">
        <v>1016</v>
      </c>
      <c r="D222" s="1621" t="s">
        <v>1017</v>
      </c>
    </row>
    <row r="223" spans="2:4" ht="15.5" outlineLevel="1">
      <c r="B223" s="1621" t="s">
        <v>1018</v>
      </c>
      <c r="C223" s="1621" t="s">
        <v>1019</v>
      </c>
      <c r="D223" s="1621" t="s">
        <v>1020</v>
      </c>
    </row>
    <row r="224" ht="15.5" outlineLevel="1"/>
    <row r="225" ht="15.5" outlineLevel="1" collapsed="1"/>
    <row r="226" ht="15.5" outlineLevel="1"/>
    <row r="227" ht="15.5" outlineLevel="1"/>
    <row r="228" spans="2:5" ht="15.5" outlineLevel="1">
      <c r="B228" t="s">
        <v>1021</v>
      </c>
      <c r="C228" t="s">
        <v>1022</v>
      </c>
      <c r="E228" s="98" t="s">
        <v>1023</v>
      </c>
    </row>
    <row r="229" spans="2:5" ht="15.5" outlineLevel="1">
      <c r="B229" t="s">
        <v>1024</v>
      </c>
      <c r="C229" t="s">
        <v>1025</v>
      </c>
      <c r="E229" s="98" t="s">
        <v>1026</v>
      </c>
    </row>
    <row r="230" ht="15.5" outlineLevel="1"/>
    <row r="231" ht="15.5" outlineLevel="1"/>
    <row r="232" ht="15.5" outlineLevel="1"/>
    <row r="233" ht="15.5" outlineLevel="1"/>
    <row r="234" ht="15.5" outlineLevel="1"/>
    <row r="235" ht="15.5" outlineLevel="1"/>
    <row r="236" spans="2:5" ht="12" customHeight="1" outlineLevel="1">
      <c r="B236" s="9"/>
      <c r="C236" s="9"/>
      <c r="D236" s="9"/>
      <c r="E236" s="9"/>
    </row>
    <row r="237" ht="12" customHeight="1" outlineLevel="1"/>
    <row r="238" ht="12" customHeight="1" outlineLevel="1"/>
    <row r="239" ht="12" customHeight="1" outlineLevel="1"/>
    <row r="240" ht="12" customHeight="1" outlineLevel="1"/>
    <row r="241" ht="12" customHeight="1" outlineLevel="1"/>
    <row r="242" spans="1:9" ht="20">
      <c r="A242" s="1124" t="s">
        <v>1027</v>
      </c>
      <c r="B242" s="1124"/>
      <c r="C242" s="1124"/>
      <c r="D242" s="1124"/>
      <c r="E242" s="1124"/>
      <c r="F242" s="1124"/>
      <c r="G242" s="1124"/>
      <c r="H242" s="1124"/>
      <c r="I242" s="1124"/>
    </row>
    <row r="243" ht="12" customHeight="1" outlineLevel="1"/>
    <row r="244" ht="12" customHeight="1" outlineLevel="1"/>
    <row r="245" ht="12" customHeight="1" outlineLevel="1"/>
    <row r="246" ht="12" customHeight="1" outlineLevel="1"/>
    <row r="247" spans="2:6" ht="12" customHeight="1" outlineLevel="1">
      <c r="B247" s="2266" t="s">
        <v>431</v>
      </c>
      <c r="C247" s="2266" t="s">
        <v>277</v>
      </c>
      <c r="D247" s="2266" t="s">
        <v>1028</v>
      </c>
      <c r="E247" s="2266" t="s">
        <v>1029</v>
      </c>
      <c r="F247" s="2266" t="s">
        <v>1030</v>
      </c>
    </row>
    <row r="248" spans="2:6" ht="12" customHeight="1" outlineLevel="1">
      <c r="B248" t="s">
        <v>1031</v>
      </c>
      <c r="C248" t="s">
        <v>1032</v>
      </c>
      <c r="D248" t="e" cm="1">
        <f t="array" ca="1" aca="1" ref="D248">_xldudf_CX_GET(CX_ENTITY,"display_name")</f>
        <v>#NAME?</v>
      </c>
      <c r="E248" t="s">
        <v>1033</v>
      </c>
      <c r="F248" t="s">
        <v>1034</v>
      </c>
    </row>
    <row r="249" spans="2:6" ht="12" customHeight="1" outlineLevel="1">
      <c r="B249" t="s">
        <v>1031</v>
      </c>
      <c r="C249" t="s">
        <v>1035</v>
      </c>
      <c r="D249" t="e" cm="1">
        <f t="array" ca="1" aca="1" ref="D249">_xlfn.SWITCH(_xldudf_CX_GETTEXT(CX_ENTITY,"is_public"),TRUE,"Public",FALSE,"Private")</f>
        <v>#NAME?</v>
      </c>
      <c r="E249" t="s">
        <v>1033</v>
      </c>
      <c r="F249" t="s">
        <v>1036</v>
      </c>
    </row>
    <row r="250" spans="2:6" ht="12" customHeight="1" outlineLevel="1">
      <c r="B250" t="s">
        <v>1037</v>
      </c>
      <c r="C250" t="s">
        <v>1038</v>
      </c>
      <c r="D250" t="str" cm="1">
        <f t="array" ref="D250">IF("CX.UNLINK"="CX.UNLINK",{"Strat Opps III, Fund IX"},_xlfn.TEXTJOIN(", ",TRUE,_xlfn._xlws.FILTER(_xldudf_CX_GETTEXTARRAY(CX_ENTITY,"funds:display_name"),_xldudf_CX_GETTEXTARRAY(CX_ENTITY,"funds:display_name")&lt;&gt;"* CVC Capital")))</f>
        <v>Strat Opps III, Fund IX</v>
      </c>
      <c r="E250" t="s">
        <v>1033</v>
      </c>
      <c r="F250" t="s">
        <v>1039</v>
      </c>
    </row>
    <row r="251" spans="2:6" ht="12" customHeight="1" outlineLevel="1">
      <c r="B251" t="s">
        <v>1031</v>
      </c>
      <c r="C251" t="s">
        <v>1040</v>
      </c>
      <c r="D251" t="e">
        <f ca="1">A24</f>
        <v>#NAME?</v>
      </c>
      <c r="E251" t="s">
        <v>1033</v>
      </c>
      <c r="F251" t="s">
        <v>1041</v>
      </c>
    </row>
    <row r="252" spans="2:6" ht="12" customHeight="1" outlineLevel="1">
      <c r="B252" t="s">
        <v>1037</v>
      </c>
      <c r="C252" t="s">
        <v>1042</v>
      </c>
      <c r="D252" t="str" cm="1">
        <f t="array" ref="D252">IF("CX.UNLINK"="CX.UNLINK",{"EUR"},INDEX(_xldudf_CX_GETTEXTARRAY(CX_ENTITY,"funds:reporting_currency"),1))</f>
        <v>EUR</v>
      </c>
      <c r="E252" t="s">
        <v>1033</v>
      </c>
      <c r="F252" t="s">
        <v>1043</v>
      </c>
    </row>
    <row r="253" ht="12" customHeight="1" outlineLevel="1"/>
    <row r="254" spans="2:6" ht="12" customHeight="1" outlineLevel="1">
      <c r="B254" t="s">
        <v>1044</v>
      </c>
      <c r="C254" t="s">
        <v>1045</v>
      </c>
      <c r="D254" t="str" cm="1">
        <f t="array" ref="D254">IF("CX.UNLINK"="CX.UNLINK","",_xldudf_CX_GET(CX_ENTITY,"Investment Date (POC)",EOMONTH(val_asOfDate,-MOD(MONTH(val_asOfDate),3))))</f>
        <v/>
      </c>
      <c r="E254" t="s">
        <v>1033</v>
      </c>
      <c r="F254" t="s">
        <v>1046</v>
      </c>
    </row>
    <row r="255" spans="2:8" ht="12" customHeight="1" outlineLevel="1">
      <c r="B255" t="s">
        <v>1031</v>
      </c>
      <c r="C255" t="s">
        <v>1047</v>
      </c>
      <c r="D255" t="e">
        <f ca="1">A21</f>
        <v>#NAME?</v>
      </c>
      <c r="E255" t="s">
        <v>1033</v>
      </c>
      <c r="F255" t="s">
        <v>1048</v>
      </c>
      <c r="H255" s="4"/>
    </row>
    <row r="256" spans="2:6" ht="12" customHeight="1" outlineLevel="1">
      <c r="B256" t="s">
        <v>1031</v>
      </c>
      <c r="C256" t="s">
        <v>1049</v>
      </c>
      <c r="D256" t="s">
        <v>1050</v>
      </c>
      <c r="E256" t="s">
        <v>1051</v>
      </c>
      <c r="F256" t="s">
        <v>1049</v>
      </c>
    </row>
    <row r="257" spans="2:5" ht="15.5" outlineLevel="1">
      <c r="B257" t="s">
        <v>1031</v>
      </c>
      <c r="C257" t="s">
        <v>1052</v>
      </c>
      <c r="E257" t="s">
        <v>1053</v>
      </c>
    </row>
    <row r="258" spans="2:6" ht="15.5" outlineLevel="1">
      <c r="B258" t="s">
        <v>1054</v>
      </c>
      <c r="C258" t="s">
        <v>1055</v>
      </c>
      <c r="D258" t="s">
        <v>1056</v>
      </c>
      <c r="E258" t="s">
        <v>1051</v>
      </c>
      <c r="F258" t="s">
        <v>1057</v>
      </c>
    </row>
    <row r="259" spans="2:6" ht="15.5" outlineLevel="1">
      <c r="B259" t="s">
        <v>1054</v>
      </c>
      <c r="C259" t="s">
        <v>1058</v>
      </c>
      <c r="D259" t="s">
        <v>1059</v>
      </c>
      <c r="E259" t="s">
        <v>1051</v>
      </c>
      <c r="F259" t="s">
        <v>1060</v>
      </c>
    </row>
    <row r="260" spans="2:6" ht="15.5" outlineLevel="1">
      <c r="B260" t="s">
        <v>1054</v>
      </c>
      <c r="C260" t="s">
        <v>1061</v>
      </c>
      <c r="D260" t="s">
        <v>1062</v>
      </c>
      <c r="E260" t="s">
        <v>1051</v>
      </c>
      <c r="F260" t="s">
        <v>1060</v>
      </c>
    </row>
    <row r="261" spans="2:5" ht="15.5" outlineLevel="1">
      <c r="B261" t="s">
        <v>1054</v>
      </c>
      <c r="C261" t="s">
        <v>1063</v>
      </c>
      <c r="D261" t="s">
        <v>1064</v>
      </c>
      <c r="E261" t="s">
        <v>1065</v>
      </c>
    </row>
    <row r="262" spans="2:6" ht="15.5" outlineLevel="1">
      <c r="B262" t="s">
        <v>1066</v>
      </c>
      <c r="C262" t="s">
        <v>1067</v>
      </c>
      <c r="D262" t="str">
        <f>D254</f>
        <v/>
      </c>
      <c r="E262" t="str">
        <f>E254</f>
        <v>Chronograph</v>
      </c>
      <c r="F262" t="str" cm="1">
        <f t="array" ca="1" aca="1" ref="F262">CELL("address",D254)</f>
        <v>$D$254</v>
      </c>
    </row>
    <row r="263" spans="2:6" ht="15.5" outlineLevel="1">
      <c r="B263" t="s">
        <v>1066</v>
      </c>
      <c r="C263" t="s">
        <v>1068</v>
      </c>
      <c r="D263" t="str" cm="1">
        <f t="array" ref="D263">IF("CX.UNLINK"="CX.UNLINK","",_xldudf_CX_GET(CX_ENTITY,Table19[[#This Row],[Specify Field]],$D$277,"As of"))</f>
        <v/>
      </c>
      <c r="E263" t="s">
        <v>1033</v>
      </c>
      <c r="F263" t="s">
        <v>1069</v>
      </c>
    </row>
    <row r="264" spans="2:6" ht="15.5" outlineLevel="1">
      <c r="B264" t="s">
        <v>1066</v>
      </c>
      <c r="C264" t="s">
        <v>1070</v>
      </c>
      <c r="D264" t="str" cm="1">
        <f t="array" ref="D264">IF("CX.UNLINK"="CX.UNLINK","",_xldudf_CX_GET(CX_ENTITY,Table19[[#This Row],[Specify Field]],$D$277,"As of"))</f>
        <v/>
      </c>
      <c r="E264" t="s">
        <v>1033</v>
      </c>
      <c r="F264" t="s">
        <v>1071</v>
      </c>
    </row>
    <row r="265" spans="3:6" ht="15.5" outlineLevel="1">
      <c r="C265" t="str">
        <f>IFERROR(IFERROR(D264,""),"")</f>
        <v/>
      </c>
      <c r="D265" t="str" cm="1">
        <f t="array" ref="D265">IF("CX.UNLINK"="CX.UNLINK","",_xldudf_CX_GET(CX_ENTITY,Table19[[#This Row],[Specify Field]],$D$277,"As of"))</f>
        <v/>
      </c>
      <c r="E265" t="s">
        <v>1033</v>
      </c>
      <c r="F265" t="s">
        <v>1072</v>
      </c>
    </row>
    <row r="266" spans="2:6" ht="15.5" outlineLevel="1">
      <c r="B266" t="s">
        <v>1066</v>
      </c>
      <c r="C266" t="s">
        <v>1073</v>
      </c>
      <c r="D266" t="str" cm="1">
        <f t="array" ref="D266">IF("CX.UNLINK"="CX.UNLINK","",_xldudf_CX_GET(CX_ENTITY,Table19[[#This Row],[Specify Field]],$D$277,"As of"))</f>
        <v/>
      </c>
      <c r="E266" t="s">
        <v>1033</v>
      </c>
      <c r="F266" t="s">
        <v>1074</v>
      </c>
    </row>
    <row r="267" spans="2:6" ht="15.5" outlineLevel="1">
      <c r="B267" t="s">
        <v>1066</v>
      </c>
      <c r="C267" t="s">
        <v>1075</v>
      </c>
      <c r="D267" t="str" cm="1">
        <f t="array" ref="D267">IF("CX.UNLINK"="CX.UNLINK","",_xldudf_CX_GET(CX_ENTITY,Table19[[#This Row],[Specify Field]],$D$277,"As of"))</f>
        <v/>
      </c>
      <c r="E267" t="s">
        <v>1033</v>
      </c>
      <c r="F267" t="s">
        <v>1076</v>
      </c>
    </row>
    <row r="268" spans="2:6" ht="15.5" outlineLevel="1">
      <c r="B268" t="s">
        <v>1066</v>
      </c>
      <c r="C268" t="s">
        <v>1077</v>
      </c>
      <c r="D268" t="str" cm="1">
        <f t="array" ref="D268">IF("CX.UNLINK"="CX.UNLINK","",_xldudf_CX_GET(CX_ENTITY,Table19[[#This Row],[Specify Field]],$D$277,"As of"))</f>
        <v/>
      </c>
      <c r="E268" t="s">
        <v>1033</v>
      </c>
      <c r="F268" t="s">
        <v>1069</v>
      </c>
    </row>
    <row r="269" spans="2:6" ht="15.5" outlineLevel="1">
      <c r="B269" t="s">
        <v>1066</v>
      </c>
      <c r="C269" t="s">
        <v>1078</v>
      </c>
      <c r="D269" t="str" cm="1">
        <f t="array" ref="D269">IF("CX.UNLINK"="CX.UNLINK","",_xldudf_CX_GET(CX_ENTITY,Table19[[#This Row],[Specify Field]],$D$277,"As of"))</f>
        <v/>
      </c>
      <c r="E269" t="s">
        <v>1033</v>
      </c>
      <c r="F269" t="s">
        <v>1079</v>
      </c>
    </row>
    <row r="270" spans="2:6" ht="15.5" outlineLevel="1">
      <c r="B270" t="s">
        <v>1066</v>
      </c>
      <c r="C270" t="s">
        <v>1080</v>
      </c>
      <c r="D270" t="str" cm="1">
        <f t="array" ref="D270">IF("CX.UNLINK"="CX.UNLINK","",_xldudf_CX_GET(CX_ENTITY,Table19[[#This Row],[Specify Field]],$D$277,"As of"))</f>
        <v/>
      </c>
      <c r="E270" t="s">
        <v>1033</v>
      </c>
      <c r="F270" t="s">
        <v>1081</v>
      </c>
    </row>
    <row r="271" spans="2:8" ht="15.5" outlineLevel="1">
      <c r="B271" t="s">
        <v>1066</v>
      </c>
      <c r="C271" t="s">
        <v>1082</v>
      </c>
      <c r="E271" t="s">
        <v>1033</v>
      </c>
      <c r="F271" t="s">
        <v>1083</v>
      </c>
      <c r="H271" s="4"/>
    </row>
    <row r="272" spans="2:6" ht="15.5" outlineLevel="1">
      <c r="B272" t="s">
        <v>1066</v>
      </c>
      <c r="C272" t="s">
        <v>1084</v>
      </c>
      <c r="D272" t="str" cm="1">
        <f t="array" ref="D272">IF("CX.UNLINK"="CX.UNLINK","",_xldudf_CX_GET(CX_ENTITY,Table19[[#This Row],[Specify Field]],$D$277,"As of"))</f>
        <v/>
      </c>
      <c r="E272" t="s">
        <v>1033</v>
      </c>
      <c r="F272" t="s">
        <v>1085</v>
      </c>
    </row>
    <row r="273" spans="2:6" ht="15.5" outlineLevel="1">
      <c r="B273" t="s">
        <v>1066</v>
      </c>
      <c r="C273" t="s">
        <v>1086</v>
      </c>
      <c r="D273" t="str" cm="1">
        <f t="array" ref="D273">IF("CX.UNLINK"="CX.UNLINK","",_xldudf_CX_GET(CX_ENTITY,Table19[[#This Row],[Specify Field]],$D$277,"As of"))</f>
        <v/>
      </c>
      <c r="E273" t="s">
        <v>1065</v>
      </c>
      <c r="F273" t="s">
        <v>1087</v>
      </c>
    </row>
    <row r="274" spans="2:5" ht="15.5" outlineLevel="1">
      <c r="B274" t="s">
        <v>1088</v>
      </c>
      <c r="C274" t="s">
        <v>1089</v>
      </c>
      <c r="D274">
        <v>1.1353</v>
      </c>
      <c r="E274" t="s">
        <v>1090</v>
      </c>
    </row>
    <row r="275" spans="2:3" ht="15.5" outlineLevel="1">
      <c r="B275" t="s">
        <v>1091</v>
      </c>
      <c r="C275" t="s">
        <v>1092</v>
      </c>
    </row>
    <row r="276" spans="2:4" ht="15.5" outlineLevel="1">
      <c r="B276" t="s">
        <v>1044</v>
      </c>
      <c r="C276" t="s">
        <v>1093</v>
      </c>
      <c r="D276" cm="1">
        <f t="array" ref="D276">_xlfn.LAMBDA(_xlpm.date,EOMONTH(_xlpm.date,3-MOD(MONTH(_xlpm.date),3)))(val_asOfDate)</f>
        <v>46112</v>
      </c>
    </row>
    <row r="277" spans="3:4" ht="15.5" outlineLevel="1">
      <c r="C277" t="s">
        <v>1094</v>
      </c>
      <c r="D277" cm="1">
        <f t="array" ref="D277">_xlfn.LAMBDA(_xlpm.date,EOMONTH(_xlpm.date,-MOD(MONTH(_xlpm.date),3)))(val_asOfDate)</f>
        <v>46022</v>
      </c>
    </row>
    <row r="278" ht="15.5" outlineLevel="1"/>
    <row r="279" ht="15.5" outlineLevel="1"/>
    <row r="280" spans="1:9" ht="20">
      <c r="A280" s="1124" t="s">
        <v>1095</v>
      </c>
      <c r="B280" s="1124"/>
      <c r="C280" s="1124"/>
      <c r="D280" s="1124"/>
      <c r="E280" s="1124"/>
      <c r="F280" s="1124"/>
      <c r="G280" s="1124"/>
      <c r="H280" s="1124"/>
      <c r="I280" s="1124"/>
    </row>
    <row r="281" ht="15.5" outlineLevel="1"/>
    <row r="282" spans="2:6" ht="15.5" outlineLevel="1">
      <c r="B282" t="str" cm="1">
        <f t="array" ca="1" aca="1" ref="B282:B283">_xlfn.ANCHORARRAY(F283)</f>
        <v>Please select the metric for segmentation</v>
      </c>
      <c r="D282" s="2266" t="s">
        <v>1096</v>
      </c>
      <c r="E282" s="2266" t="s">
        <v>1097</v>
      </c>
      <c r="F282" s="2266" t="s">
        <v>1098</v>
      </c>
    </row>
    <row r="283" spans="2:6" ht="15.5" outlineLevel="1">
      <c r="B283" t="e">
        <f ca="1"/>
        <v>#NAME?</v>
      </c>
      <c r="D283" t="e" cm="1">
        <f t="array" ca="1" aca="1" ref="D283">_xlfn.UNIQUE(_xlfn._xlws.FILTER(PL!AB20:AB138,PL!D20:D138&lt;&gt;PL!AB20:AB138))</f>
        <v>#NAME?</v>
      </c>
      <c r="E283" t="s">
        <v>83</v>
      </c>
      <c r="F283" t="str" cm="1">
        <f t="array" ca="1" aca="1" ref="F283:F284">_xlfn.LET(_xlpm.PreList,D283:D334,_xlpm.RmList,E283:E334,_xlpm.Final,_xlfn._xlws.FILTER(_xlpm.PreList,(COUNTIF(_xlpm.RmList,_xlpm.PreList)=0)*(ISNUMBER(SEARCH("Please",_xlpm.PreList))=FALSE)),_xlfn.VSTACK("Please select the metric for segmentation",_xlpm.Final))</f>
        <v>Please select the metric for segmentation</v>
      </c>
    </row>
    <row r="284" spans="5:6" ht="15.5" outlineLevel="1">
      <c r="E284" t="s">
        <v>84</v>
      </c>
      <c r="F284" t="e">
        <f ca="1"/>
        <v>#NAME?</v>
      </c>
    </row>
    <row r="285" spans="5:5" ht="15.5" outlineLevel="1">
      <c r="E285">
        <v>0</v>
      </c>
    </row>
    <row r="286" spans="5:5" ht="15.5" outlineLevel="1">
      <c r="E286" t="s">
        <v>1099</v>
      </c>
    </row>
    <row r="287" spans="5:5" ht="15.5" outlineLevel="1">
      <c r="E287" t="s">
        <v>115</v>
      </c>
    </row>
    <row r="288" spans="5:5" ht="15.5" outlineLevel="1">
      <c r="E288" t="s">
        <v>107</v>
      </c>
    </row>
    <row r="289" spans="5:5" ht="15.5" outlineLevel="1">
      <c r="E289" t="s">
        <v>95</v>
      </c>
    </row>
    <row r="290" ht="15.5" outlineLevel="1"/>
    <row r="291" ht="15.5" outlineLevel="1"/>
    <row r="292" ht="15.5" outlineLevel="1"/>
    <row r="293" ht="15.5" outlineLevel="1"/>
    <row r="294" ht="15.5" outlineLevel="1"/>
    <row r="295" ht="15.5" outlineLevel="1"/>
    <row r="296" ht="15.5" outlineLevel="1"/>
    <row r="297" ht="15.5" outlineLevel="1"/>
    <row r="298" ht="15.5" outlineLevel="1"/>
    <row r="299" ht="15.5" outlineLevel="1"/>
    <row r="300" ht="15.5" outlineLevel="1"/>
    <row r="301" ht="15.5" outlineLevel="1"/>
    <row r="302" spans="2:2" ht="15.5" outlineLevel="1">
      <c r="B302" s="2142"/>
    </row>
    <row r="303" spans="2:2" ht="15.5" outlineLevel="1">
      <c r="B303" s="115"/>
    </row>
    <row r="304" spans="2:2" ht="15.5" outlineLevel="1">
      <c r="B304" s="115"/>
    </row>
    <row r="305" spans="2:2" ht="15.5" outlineLevel="1">
      <c r="B305" s="115"/>
    </row>
    <row r="306" spans="2:2" ht="15.5" outlineLevel="1">
      <c r="B306" s="115"/>
    </row>
    <row r="307" spans="2:2" ht="15.5" outlineLevel="1">
      <c r="B307" s="115"/>
    </row>
    <row r="308" spans="2:2" ht="15.5" outlineLevel="1">
      <c r="B308" s="115"/>
    </row>
    <row r="309" spans="2:2" ht="15.5" outlineLevel="1">
      <c r="B309" s="115"/>
    </row>
    <row r="310" spans="2:2" ht="15.5" outlineLevel="1">
      <c r="B310" s="115"/>
    </row>
    <row r="311" spans="2:2" ht="15.5" outlineLevel="1">
      <c r="B311" s="115"/>
    </row>
    <row r="312" spans="2:2" ht="15.5" outlineLevel="1">
      <c r="B312" s="115"/>
    </row>
    <row r="313" spans="2:2" ht="15.5" outlineLevel="1">
      <c r="B313" s="115"/>
    </row>
    <row r="314" spans="2:2" ht="15.5" outlineLevel="1">
      <c r="B314" s="115"/>
    </row>
    <row r="315" spans="2:2" ht="15.5" outlineLevel="1">
      <c r="B315" s="115"/>
    </row>
    <row r="316" ht="15.5" outlineLevel="1"/>
    <row r="317" ht="15.5" outlineLevel="1"/>
    <row r="318" ht="15.5" outlineLevel="1"/>
    <row r="319" ht="15.5" outlineLevel="1"/>
    <row r="320" ht="15.5" outlineLevel="1"/>
    <row r="321" ht="15.5" outlineLevel="1"/>
    <row r="322" ht="15.5" outlineLevel="1"/>
    <row r="323" ht="15.5" outlineLevel="1"/>
    <row r="324" ht="15.5" outlineLevel="1"/>
    <row r="325" ht="15.5" outlineLevel="1"/>
    <row r="326" ht="15.5" outlineLevel="1"/>
    <row r="327" ht="15.5" outlineLevel="1"/>
    <row r="328" ht="15.5" outlineLevel="1"/>
    <row r="329" ht="15.5" outlineLevel="1"/>
    <row r="330" ht="15.5" outlineLevel="1"/>
    <row r="331" ht="15.5" outlineLevel="1"/>
    <row r="332" ht="15.5" outlineLevel="1"/>
    <row r="333" ht="15.5" outlineLevel="1"/>
    <row r="334" spans="1:9" ht="20">
      <c r="A334" s="1124" t="s">
        <v>1100</v>
      </c>
      <c r="B334" s="1124"/>
      <c r="C334" s="1124"/>
      <c r="D334" s="1124"/>
      <c r="E334" s="1124"/>
      <c r="F334" s="1124"/>
      <c r="G334" s="1124"/>
      <c r="H334" s="1124"/>
      <c r="I334" s="1124"/>
    </row>
    <row r="335" ht="15.5" outlineLevel="1"/>
    <row r="336" ht="15.5" outlineLevel="1"/>
    <row r="337" spans="6:7" ht="15.5" outlineLevel="1">
      <c r="F337" t="s">
        <v>561</v>
      </c>
      <c r="G337" t="str">
        <f>IF(TRUE,"")</f>
        <v/>
      </c>
    </row>
    <row r="338" ht="15.5" outlineLevel="1"/>
    <row r="339" ht="15.5" outlineLevel="1"/>
    <row r="340" spans="1:3" ht="15.5" outlineLevel="1">
      <c r="A340" t="s">
        <v>277</v>
      </c>
      <c r="B340" t="s">
        <v>431</v>
      </c>
      <c r="C340" t="s">
        <v>1101</v>
      </c>
    </row>
    <row r="341" spans="1:5" ht="15.5" outlineLevel="1">
      <c r="A341" t="s">
        <v>1102</v>
      </c>
      <c r="B341" t="s">
        <v>1103</v>
      </c>
      <c r="C341" s="1623" t="s">
        <v>1104</v>
      </c>
      <c r="D341" s="3163"/>
      <c r="E341" s="3164"/>
    </row>
    <row r="342" ht="15.5" outlineLevel="1"/>
    <row r="343" spans="2:5" ht="15.5" outlineLevel="1">
      <c r="B343" t="s">
        <v>1105</v>
      </c>
      <c r="C343" t="s">
        <v>1106</v>
      </c>
      <c r="D343" t="b" cm="1">
        <f t="array" ref="D343">INDEX($H$1:$H$428,ROW(X20))=2</f>
        <v>0</v>
      </c>
      <c r="E343" s="98"/>
    </row>
    <row r="344" ht="15.5" outlineLevel="1"/>
    <row r="358" spans="13:13" ht="15.5">
      <c r="M358" t="str" cm="1">
        <f t="array" ref="M358:M578">Company_selector</f>
        <v>A Bathing Ape</v>
      </c>
    </row>
    <row r="359" spans="13:13" ht="15.5">
      <c r="M359" t="str">
        <v>ABG</v>
      </c>
    </row>
    <row r="360" spans="13:13" ht="15.5">
      <c r="M360" t="str">
        <v>ACB</v>
      </c>
    </row>
    <row r="361" spans="13:13" ht="15.5">
      <c r="M361" t="str">
        <v>AHAM</v>
      </c>
    </row>
    <row r="362" spans="13:13" ht="15.5">
      <c r="M362" t="str">
        <v>Aavas Financiers</v>
      </c>
    </row>
    <row r="363" spans="13:13" ht="15.5">
      <c r="M363" t="str">
        <v>Acronis</v>
      </c>
    </row>
    <row r="364" spans="13:13" ht="15.5">
      <c r="M364" t="str">
        <v>Advantage Solutions</v>
      </c>
    </row>
    <row r="365" spans="13:13" ht="15.5">
      <c r="M365" t="str">
        <v>Ahlsell</v>
      </c>
    </row>
    <row r="366" spans="13:13" ht="15.5">
      <c r="M366" t="str">
        <v>Ahlsell</v>
      </c>
    </row>
    <row r="367" spans="13:13" ht="15.5">
      <c r="M367" t="str">
        <v>Ahlsell</v>
      </c>
    </row>
    <row r="368" spans="13:13" ht="15.5">
      <c r="M368" t="str">
        <v>Airalo</v>
      </c>
    </row>
    <row r="369" spans="13:13" ht="15.5">
      <c r="M369" t="str">
        <v>Aleph</v>
      </c>
    </row>
    <row r="370" spans="13:13" ht="15.5">
      <c r="M370" t="str">
        <v>Alvogen</v>
      </c>
    </row>
    <row r="371" spans="13:13" ht="15.5">
      <c r="M371" t="str">
        <v>Anchor Glass</v>
      </c>
    </row>
    <row r="372" spans="13:13" ht="15.5">
      <c r="M372" t="str">
        <v>Anqore</v>
      </c>
    </row>
    <row r="373" spans="13:13" ht="15.5">
      <c r="M373" t="str">
        <v>April</v>
      </c>
    </row>
    <row r="374" spans="13:13" ht="15.5">
      <c r="M374" t="str">
        <v>Arteria Networks</v>
      </c>
    </row>
    <row r="375" spans="13:13" ht="15.5">
      <c r="M375" t="str">
        <v>Asplundh</v>
      </c>
    </row>
    <row r="376" spans="13:13" ht="15.5">
      <c r="M376" t="str">
        <v>Australian Venue Co</v>
      </c>
    </row>
    <row r="377" spans="13:13" ht="15.5">
      <c r="M377" t="str">
        <v>Avast</v>
      </c>
    </row>
    <row r="378" spans="13:13" ht="15.5">
      <c r="M378" t="str">
        <v>Away Resorts</v>
      </c>
    </row>
    <row r="379" spans="13:13" ht="15.5">
      <c r="M379" t="str">
        <v>BIP</v>
      </c>
    </row>
    <row r="380" spans="13:13" ht="15.5">
      <c r="M380" t="str">
        <v>Bamboo Insurance</v>
      </c>
    </row>
    <row r="381" spans="13:13" ht="15.5">
      <c r="M381" t="str">
        <v>Bolt</v>
      </c>
    </row>
    <row r="382" spans="1:13" ht="20">
      <c r="A382" s="1124" t="s">
        <v>1107</v>
      </c>
      <c r="B382" s="1124"/>
      <c r="C382" s="1124"/>
      <c r="D382" s="1124"/>
      <c r="E382" s="1124"/>
      <c r="F382" s="1124"/>
      <c r="G382" s="1124"/>
      <c r="H382" s="1124"/>
      <c r="I382" s="1124"/>
      <c r="M382" t="str">
        <v>Breitling</v>
      </c>
    </row>
    <row r="383" spans="13:13" ht="15.5">
      <c r="M383" t="str">
        <v>Breitling</v>
      </c>
    </row>
    <row r="384" spans="1:13" ht="15.5">
      <c r="A384" t="e" vm="42" cm="1">
        <f t="array" ca="1" aca="1" ref="A384">_xlfn._xlws.FILTER(PL!$Y$250:$Y$367,ISNUMBER(PL!$X$250:$X$367)*(PL!$X$250:$X$367=0))</f>
        <v>#VALUE!</v>
      </c>
      <c r="M384" t="str">
        <v>Bruin Sports Capital</v>
      </c>
    </row>
    <row r="385" spans="13:13" ht="15.5">
      <c r="M385" t="str">
        <v>C1</v>
      </c>
    </row>
    <row r="386" spans="13:13" ht="15.5">
      <c r="M386" t="str">
        <v>CFGI</v>
      </c>
    </row>
    <row r="387" spans="13:13" ht="15.5">
      <c r="M387" t="str">
        <v>Cary Group</v>
      </c>
    </row>
    <row r="388" spans="13:13" ht="15.5">
      <c r="M388" t="str">
        <v>ChemicaInvest</v>
      </c>
    </row>
    <row r="389" spans="13:13" ht="15.5">
      <c r="M389" t="str">
        <v>Cohizon Life Sciences</v>
      </c>
    </row>
    <row r="390" spans="13:13" ht="15.5">
      <c r="M390" t="str">
        <v>Comarch</v>
      </c>
    </row>
    <row r="391" spans="13:13" ht="15.5">
      <c r="M391" t="str">
        <v>CompuGroup Medical</v>
      </c>
    </row>
    <row r="392" spans="13:13" ht="15.5">
      <c r="M392" t="str">
        <v>Continental Foods</v>
      </c>
    </row>
    <row r="393" spans="13:13" ht="15.5">
      <c r="M393" t="str">
        <v>Cooper Consumer Health</v>
      </c>
    </row>
    <row r="394" spans="13:13" ht="15.5">
      <c r="M394" t="str">
        <v>Corialis</v>
      </c>
    </row>
    <row r="395" spans="13:13" ht="15.5">
      <c r="M395" t="str">
        <v>Corialis</v>
      </c>
    </row>
    <row r="396" spans="4:13" ht="15.5">
      <c r="D396" t="e" vm="43" cm="1">
        <f t="array" ca="1" aca="1" ref="D396">_xlfn.VSTACK(PM_Support[COMPANY_NAME],tbl_added_com[COMPANY_NAME])</f>
        <v>#VALUE!</v>
      </c>
      <c r="M396" t="str">
        <v>D-Marin</v>
      </c>
    </row>
    <row r="397" spans="13:13" ht="15.5">
      <c r="M397" t="str">
        <v>DFE Pharma</v>
      </c>
    </row>
    <row r="398" spans="13:13" ht="15.5">
      <c r="M398" t="str">
        <v>DIF PUSH Testing</v>
      </c>
    </row>
    <row r="399" spans="13:13" ht="15.5">
      <c r="M399" t="str">
        <v>DKV Mobility</v>
      </c>
    </row>
    <row r="400" spans="13:13" ht="15.5">
      <c r="M400" t="str">
        <v>DOC Generici</v>
      </c>
    </row>
    <row r="401" spans="13:13" ht="15.5">
      <c r="M401" t="str">
        <v>DTI</v>
      </c>
    </row>
    <row r="402" spans="13:13" ht="15.5">
      <c r="M402" t="str">
        <v>Dale Underwriting Partners</v>
      </c>
    </row>
    <row r="403" spans="13:13" ht="15.5">
      <c r="M403" t="str">
        <v>Delly's</v>
      </c>
    </row>
    <row r="404" spans="13:13" ht="15.5">
      <c r="M404" t="str">
        <v>Deoleo</v>
      </c>
    </row>
    <row r="405" spans="1:13" ht="20">
      <c r="A405" s="1124" t="s">
        <v>1108</v>
      </c>
      <c r="B405" s="1124"/>
      <c r="C405" s="1124"/>
      <c r="D405" s="1124"/>
      <c r="E405" s="1124"/>
      <c r="F405" s="1124"/>
      <c r="G405" s="1124"/>
      <c r="H405" s="1124"/>
      <c r="I405" s="1124"/>
      <c r="M405" t="str">
        <v>Domestic &amp; General</v>
      </c>
    </row>
    <row r="406" spans="13:13" ht="15.5">
      <c r="M406" t="str">
        <v>Domestic &amp; General</v>
      </c>
    </row>
    <row r="407" spans="13:13" ht="15.5">
      <c r="M407" t="str">
        <v>Douglas</v>
      </c>
    </row>
    <row r="408" spans="1:13" ht="20">
      <c r="A408" s="2661" t="s">
        <v>1859</v>
      </c>
      <c r="G408" s="2661" t="s">
        <v>1861</v>
      </c>
      <c r="J408" t="s">
        <v>1999</v>
      </c>
      <c r="M408" t="str">
        <v>Dream Games</v>
      </c>
    </row>
    <row r="409" spans="13:13" ht="15.5">
      <c r="M409" t="str">
        <v>Dream Games</v>
      </c>
    </row>
    <row r="410" spans="1:13" ht="15.5">
      <c r="A410" s="2662" t="s">
        <v>1109</v>
      </c>
      <c r="B410" s="2663" t="s">
        <v>1110</v>
      </c>
      <c r="C410" s="2663" t="s">
        <v>1111</v>
      </c>
      <c r="D410" s="2663" t="s">
        <v>1112</v>
      </c>
      <c r="G410" s="3165" t="e" vm="44">
        <v>#VALUE!</v>
      </c>
      <c r="H410" s="3166"/>
      <c r="J410" t="str" cm="1">
        <f t="array" ref="J410:J630">_xlfn.VSTACK(PM_Support[COMPANY_NAME],tbl_added_com[COMPANY_NAME])</f>
        <v>A Bathing Ape</v>
      </c>
      <c r="M410" t="str">
        <v>EcoVadis</v>
      </c>
    </row>
    <row r="411" spans="1:13" ht="15.5">
      <c r="A411" t="s">
        <v>1873</v>
      </c>
      <c r="B411" t="s">
        <v>1860</v>
      </c>
      <c r="C411" t="e" cm="1">
        <f t="array" ca="1" aca="1" ref="C411">_xldudf_CX_GET(tbl_added_com[[#This Row],[COMPANY_ENTITY_ID]],"fiscal_year_end")</f>
        <v>#NAME?</v>
      </c>
      <c r="G411" s="3167"/>
      <c r="H411" s="3168"/>
      <c r="J411" t="str">
        <v>ABG</v>
      </c>
      <c r="M411" t="str">
        <v>Elsan</v>
      </c>
    </row>
    <row r="412" spans="1:13" ht="15.5">
      <c r="A412" t="s">
        <v>1939</v>
      </c>
      <c r="B412" t="s">
        <v>1938</v>
      </c>
      <c r="C412" t="e" cm="1">
        <f t="array" ca="1" aca="1" ref="C412">_xldudf_CX_GET(tbl_added_com[[#This Row],[COMPANY_ENTITY_ID]],"fiscal_year_end")</f>
        <v>#NAME?</v>
      </c>
      <c r="G412" s="3167"/>
      <c r="H412" s="3168"/>
      <c r="J412" t="str">
        <v>ACB</v>
      </c>
      <c r="M412" t="str">
        <v>Elsan</v>
      </c>
    </row>
    <row r="413" spans="7:13" ht="15.5">
      <c r="G413" s="3167"/>
      <c r="H413" s="3168"/>
      <c r="J413" t="str">
        <v>AHAM</v>
      </c>
      <c r="M413" t="str">
        <v>Epicor</v>
      </c>
    </row>
    <row r="414" spans="7:13" ht="15.5">
      <c r="G414" s="3167"/>
      <c r="H414" s="3168"/>
      <c r="J414" t="str">
        <v>Aavas Financiers</v>
      </c>
      <c r="M414" t="str">
        <v>Ethniki Insurance</v>
      </c>
    </row>
    <row r="415" spans="7:13" ht="15.5">
      <c r="G415" s="3169"/>
      <c r="H415" s="3170"/>
      <c r="J415" t="str">
        <v>Acronis</v>
      </c>
      <c r="M415" t="str">
        <v>Etraveli</v>
      </c>
    </row>
    <row r="416" spans="10:13" ht="15.5">
      <c r="J416" t="str">
        <v>Advantage Solutions</v>
      </c>
      <c r="M416" t="str">
        <v>ExamWorks</v>
      </c>
    </row>
    <row r="417" spans="1:13" ht="20">
      <c r="A417" s="2661" t="s">
        <v>1858</v>
      </c>
      <c r="J417" t="str">
        <v>Ahlsell</v>
      </c>
      <c r="M417" t="str">
        <v>Exolum</v>
      </c>
    </row>
    <row r="418" spans="10:13" ht="15.5">
      <c r="J418" t="str">
        <v>Ahlsell</v>
      </c>
      <c r="M418" t="str">
        <v>Fast Logistics Group</v>
      </c>
    </row>
    <row r="419" spans="1:13" ht="15.5" outlineLevel="1">
      <c r="A419" t="s">
        <v>1109</v>
      </c>
      <c r="B419" t="s">
        <v>1110</v>
      </c>
      <c r="C419" t="s">
        <v>1111</v>
      </c>
      <c r="D419" t="s">
        <v>1112</v>
      </c>
      <c r="E419" t="s">
        <v>1113</v>
      </c>
      <c r="J419" t="str">
        <v>Ahlsell</v>
      </c>
      <c r="M419" t="str">
        <v>Fidelis</v>
      </c>
    </row>
    <row r="420" spans="1:13" ht="15.5" outlineLevel="1">
      <c r="A420" s="286" t="s">
        <v>1114</v>
      </c>
      <c r="B420" s="286" t="s">
        <v>1115</v>
      </c>
      <c r="C420" s="286" t="s">
        <v>1116</v>
      </c>
      <c r="D420" s="286" t="s">
        <v>2007</v>
      </c>
      <c r="E420" s="286"/>
      <c r="J420" t="str">
        <v>Airalo</v>
      </c>
      <c r="M420" t="str">
        <v>FineToday</v>
      </c>
    </row>
    <row r="421" spans="1:13" ht="15.5" outlineLevel="1">
      <c r="A421" s="286" t="s">
        <v>1117</v>
      </c>
      <c r="B421" s="286" t="s">
        <v>1118</v>
      </c>
      <c r="C421" s="286" t="s">
        <v>1119</v>
      </c>
      <c r="D421" s="286" t="s">
        <v>2008</v>
      </c>
      <c r="E421" s="286"/>
      <c r="J421" t="str">
        <v>Aleph</v>
      </c>
      <c r="M421" t="str">
        <v>FutureLife</v>
      </c>
    </row>
    <row r="422" spans="1:13" ht="15.5" outlineLevel="1">
      <c r="A422" s="286" t="s">
        <v>1120</v>
      </c>
      <c r="B422" s="286" t="s">
        <v>1121</v>
      </c>
      <c r="C422" s="286" t="s">
        <v>1122</v>
      </c>
      <c r="D422" s="286" t="s">
        <v>2009</v>
      </c>
      <c r="E422" s="286"/>
      <c r="J422" t="str">
        <v>Alvogen</v>
      </c>
      <c r="M422" t="str">
        <v>GEMS Education</v>
      </c>
    </row>
    <row r="423" spans="1:13" ht="15.5" outlineLevel="1">
      <c r="A423" s="286" t="s">
        <v>1123</v>
      </c>
      <c r="B423" s="286" t="s">
        <v>1124</v>
      </c>
      <c r="C423" s="286" t="s">
        <v>1119</v>
      </c>
      <c r="D423" s="286" t="s">
        <v>2010</v>
      </c>
      <c r="E423" s="286"/>
      <c r="J423" t="str">
        <v>Anchor Glass</v>
      </c>
      <c r="M423" t="str">
        <v>GEMS Education</v>
      </c>
    </row>
    <row r="424" spans="1:13" ht="15.5" outlineLevel="1">
      <c r="A424" s="286" t="s">
        <v>1125</v>
      </c>
      <c r="B424" s="286" t="s">
        <v>1126</v>
      </c>
      <c r="C424" s="286" t="s">
        <v>1127</v>
      </c>
      <c r="D424" s="286" t="s">
        <v>2011</v>
      </c>
      <c r="E424" s="286"/>
      <c r="J424" t="str">
        <v>Anqore</v>
      </c>
      <c r="M424" t="str">
        <v>GLI</v>
      </c>
    </row>
    <row r="425" spans="1:13" ht="15.5" outlineLevel="1">
      <c r="A425" s="286" t="s">
        <v>1128</v>
      </c>
      <c r="B425" s="286" t="s">
        <v>1129</v>
      </c>
      <c r="C425" s="286" t="s">
        <v>1119</v>
      </c>
      <c r="D425" s="286" t="s">
        <v>2012</v>
      </c>
      <c r="E425" s="286"/>
      <c r="J425" t="str">
        <v>April</v>
      </c>
      <c r="M425" t="str">
        <v>Gaming1</v>
      </c>
    </row>
    <row r="426" spans="1:13" ht="15.5" outlineLevel="1">
      <c r="A426" s="286" t="s">
        <v>1130</v>
      </c>
      <c r="B426" s="286" t="s">
        <v>1131</v>
      </c>
      <c r="C426" s="286" t="s">
        <v>1119</v>
      </c>
      <c r="D426" s="286" t="s">
        <v>2013</v>
      </c>
      <c r="E426" s="286"/>
      <c r="J426" t="str">
        <v>Arteria Networks</v>
      </c>
      <c r="M426" t="str">
        <v>Genetic</v>
      </c>
    </row>
    <row r="427" spans="1:13" ht="15.5" outlineLevel="1">
      <c r="A427" s="286" t="s">
        <v>1132</v>
      </c>
      <c r="B427" s="286" t="s">
        <v>1133</v>
      </c>
      <c r="C427" s="286" t="s">
        <v>1119</v>
      </c>
      <c r="D427" s="286" t="s">
        <v>2014</v>
      </c>
      <c r="E427" s="286"/>
      <c r="J427" t="str">
        <v>Asplundh</v>
      </c>
      <c r="M427" t="str">
        <v>Good Choice</v>
      </c>
    </row>
    <row r="428" spans="1:13" ht="15.5" outlineLevel="1">
      <c r="A428" s="286" t="s">
        <v>1132</v>
      </c>
      <c r="B428" s="286" t="s">
        <v>1133</v>
      </c>
      <c r="C428" s="286" t="s">
        <v>1119</v>
      </c>
      <c r="D428" s="286" t="s">
        <v>2014</v>
      </c>
      <c r="E428" s="286"/>
      <c r="J428" t="str">
        <v>Australian Venue Co</v>
      </c>
      <c r="M428" t="str">
        <v>Good Choice</v>
      </c>
    </row>
    <row r="429" spans="1:13" ht="15.5" outlineLevel="1">
      <c r="A429" s="286" t="s">
        <v>1132</v>
      </c>
      <c r="B429" s="286" t="s">
        <v>1133</v>
      </c>
      <c r="C429" s="286" t="s">
        <v>1119</v>
      </c>
      <c r="D429" s="286" t="s">
        <v>2014</v>
      </c>
      <c r="E429" s="286"/>
      <c r="J429" t="str">
        <v>Avast</v>
      </c>
      <c r="M429" t="str">
        <v>Gridspertise</v>
      </c>
    </row>
    <row r="430" spans="1:13" ht="15.5" outlineLevel="1">
      <c r="A430" s="286" t="s">
        <v>1134</v>
      </c>
      <c r="B430" s="286" t="s">
        <v>1135</v>
      </c>
      <c r="C430" s="286" t="s">
        <v>1119</v>
      </c>
      <c r="D430" s="286" t="s">
        <v>2015</v>
      </c>
      <c r="E430" s="286"/>
      <c r="J430" t="str">
        <v>Away Resorts</v>
      </c>
      <c r="M430" t="str">
        <v>Grupo GSH</v>
      </c>
    </row>
    <row r="431" spans="1:13" ht="15.5" outlineLevel="1">
      <c r="A431" s="286" t="s">
        <v>1136</v>
      </c>
      <c r="B431" s="286" t="s">
        <v>1137</v>
      </c>
      <c r="C431" s="286" t="s">
        <v>1119</v>
      </c>
      <c r="D431" s="286" t="s">
        <v>2016</v>
      </c>
      <c r="E431" s="286"/>
      <c r="J431" t="str">
        <v>BIP</v>
      </c>
      <c r="M431" t="str">
        <v>Gujarat Titans</v>
      </c>
    </row>
    <row r="432" spans="1:13" ht="15.5" outlineLevel="1">
      <c r="A432" s="286" t="s">
        <v>1138</v>
      </c>
      <c r="B432" s="286" t="s">
        <v>1139</v>
      </c>
      <c r="C432" s="286" t="s">
        <v>1119</v>
      </c>
      <c r="D432" s="286" t="s">
        <v>2017</v>
      </c>
      <c r="E432" s="286"/>
      <c r="J432" t="str">
        <v>Bamboo Insurance</v>
      </c>
      <c r="M432" t="str">
        <v>Hargreaves Lansdown</v>
      </c>
    </row>
    <row r="433" spans="1:13" ht="15.5" outlineLevel="1">
      <c r="A433" s="286" t="s">
        <v>1140</v>
      </c>
      <c r="B433" s="286" t="s">
        <v>1141</v>
      </c>
      <c r="C433" s="286" t="s">
        <v>1119</v>
      </c>
      <c r="D433" s="286" t="s">
        <v>2018</v>
      </c>
      <c r="E433" s="286"/>
      <c r="J433" t="str">
        <v>Bolt</v>
      </c>
      <c r="M433" t="str">
        <v>HealthCare Global Enterprises</v>
      </c>
    </row>
    <row r="434" spans="1:13" ht="15.5" outlineLevel="1">
      <c r="A434" s="286" t="s">
        <v>1142</v>
      </c>
      <c r="B434" s="286" t="s">
        <v>1143</v>
      </c>
      <c r="C434" s="286" t="s">
        <v>1119</v>
      </c>
      <c r="D434" s="286" t="s">
        <v>2019</v>
      </c>
      <c r="E434" s="286"/>
      <c r="J434" t="str">
        <v>Breitling</v>
      </c>
      <c r="M434" t="str">
        <v>Hellenic Healthcare Group</v>
      </c>
    </row>
    <row r="435" spans="1:13" ht="15.5" outlineLevel="1">
      <c r="A435" s="286" t="s">
        <v>1144</v>
      </c>
      <c r="B435" s="286" t="s">
        <v>1145</v>
      </c>
      <c r="C435" s="286" t="s">
        <v>1122</v>
      </c>
      <c r="D435" s="286" t="s">
        <v>2020</v>
      </c>
      <c r="E435" s="286"/>
      <c r="J435" t="str">
        <v>Breitling</v>
      </c>
      <c r="M435" t="str">
        <v>Hempel</v>
      </c>
    </row>
    <row r="436" spans="1:13" ht="15.5" outlineLevel="1">
      <c r="A436" s="286" t="s">
        <v>1146</v>
      </c>
      <c r="B436" s="286" t="s">
        <v>1147</v>
      </c>
      <c r="C436" s="286" t="s">
        <v>1122</v>
      </c>
      <c r="D436" s="286" t="s">
        <v>2021</v>
      </c>
      <c r="E436" s="286"/>
      <c r="J436" t="str">
        <v>Bruin Sports Capital</v>
      </c>
      <c r="M436" t="str">
        <v>Hermes</v>
      </c>
    </row>
    <row r="437" spans="1:13" ht="15.5" outlineLevel="1">
      <c r="A437" s="286" t="s">
        <v>1148</v>
      </c>
      <c r="B437" s="286" t="s">
        <v>1149</v>
      </c>
      <c r="C437" s="286" t="s">
        <v>1119</v>
      </c>
      <c r="D437" s="286" t="s">
        <v>2022</v>
      </c>
      <c r="E437" s="286"/>
      <c r="J437" t="str">
        <v>C1</v>
      </c>
      <c r="M437" t="str">
        <v>Icario</v>
      </c>
    </row>
    <row r="438" spans="1:13" ht="15.5" outlineLevel="1">
      <c r="A438" s="286" t="s">
        <v>1150</v>
      </c>
      <c r="B438" s="286" t="s">
        <v>1151</v>
      </c>
      <c r="C438" s="286" t="s">
        <v>1122</v>
      </c>
      <c r="D438" s="286" t="s">
        <v>2023</v>
      </c>
      <c r="E438" s="286"/>
      <c r="J438" t="str">
        <v>CFGI</v>
      </c>
      <c r="M438" t="str">
        <v>International Schools Partnership</v>
      </c>
    </row>
    <row r="439" spans="1:13" ht="15.5" outlineLevel="1">
      <c r="A439" s="286" t="s">
        <v>1152</v>
      </c>
      <c r="B439" s="286" t="s">
        <v>1153</v>
      </c>
      <c r="C439" s="286" t="s">
        <v>1122</v>
      </c>
      <c r="D439" s="286" t="s">
        <v>2024</v>
      </c>
      <c r="E439" s="286"/>
      <c r="J439" t="str">
        <v>Cary Group</v>
      </c>
      <c r="M439" t="str">
        <v>Jagex</v>
      </c>
    </row>
    <row r="440" spans="1:13" ht="15.5" outlineLevel="1">
      <c r="A440" s="286" t="s">
        <v>1154</v>
      </c>
      <c r="B440" s="286" t="s">
        <v>1155</v>
      </c>
      <c r="C440" s="286" t="s">
        <v>1119</v>
      </c>
      <c r="D440" s="286" t="s">
        <v>2025</v>
      </c>
      <c r="E440" s="286"/>
      <c r="J440" t="str">
        <v>ChemicaInvest</v>
      </c>
      <c r="M440" t="str">
        <v>Jinuo Roadside Assistance</v>
      </c>
    </row>
    <row r="441" spans="1:13" ht="15.5" outlineLevel="1">
      <c r="A441" s="286" t="s">
        <v>1156</v>
      </c>
      <c r="B441" s="286" t="s">
        <v>1157</v>
      </c>
      <c r="C441" s="286" t="s">
        <v>1119</v>
      </c>
      <c r="D441" s="286" t="s">
        <v>2026</v>
      </c>
      <c r="E441" s="286"/>
      <c r="J441" t="str">
        <v>Cohizon Life Sciences</v>
      </c>
      <c r="M441" t="str">
        <v>La Piadineria</v>
      </c>
    </row>
    <row r="442" spans="1:13" ht="15.5" outlineLevel="1">
      <c r="A442" s="286" t="s">
        <v>1158</v>
      </c>
      <c r="B442" s="286" t="s">
        <v>1159</v>
      </c>
      <c r="C442" s="286" t="s">
        <v>1119</v>
      </c>
      <c r="D442" s="286" t="s">
        <v>2027</v>
      </c>
      <c r="E442" s="286"/>
      <c r="J442" t="str">
        <v>Comarch</v>
      </c>
      <c r="M442" t="str">
        <v>LaLiga</v>
      </c>
    </row>
    <row r="443" spans="1:13" ht="15.5" outlineLevel="1">
      <c r="A443" s="286" t="s">
        <v>1160</v>
      </c>
      <c r="B443" s="286" t="s">
        <v>1161</v>
      </c>
      <c r="C443" s="286" t="s">
        <v>1122</v>
      </c>
      <c r="D443" s="286" t="s">
        <v>2028</v>
      </c>
      <c r="E443" s="286"/>
      <c r="J443" t="str">
        <v>CompuGroup Medical</v>
      </c>
      <c r="M443" t="str">
        <v>Ligue 1</v>
      </c>
    </row>
    <row r="444" spans="1:13" ht="15.5" outlineLevel="1">
      <c r="A444" s="286" t="s">
        <v>1162</v>
      </c>
      <c r="B444" s="286" t="s">
        <v>1163</v>
      </c>
      <c r="C444" s="286" t="s">
        <v>1127</v>
      </c>
      <c r="D444" s="286" t="s">
        <v>2029</v>
      </c>
      <c r="E444" s="286"/>
      <c r="J444" t="str">
        <v>Continental Foods</v>
      </c>
      <c r="M444" t="str">
        <v>Lipton</v>
      </c>
    </row>
    <row r="445" spans="1:13" ht="15.5" outlineLevel="1">
      <c r="A445" s="286" t="s">
        <v>1162</v>
      </c>
      <c r="B445" s="286" t="s">
        <v>1163</v>
      </c>
      <c r="C445" s="286" t="s">
        <v>1127</v>
      </c>
      <c r="D445" s="286" t="s">
        <v>2029</v>
      </c>
      <c r="E445" s="286"/>
      <c r="J445" t="str">
        <v>Cooper Consumer Health</v>
      </c>
      <c r="M445" t="str">
        <v>M Group</v>
      </c>
    </row>
    <row r="446" spans="1:13" ht="15.5" outlineLevel="1">
      <c r="A446" s="286" t="s">
        <v>1164</v>
      </c>
      <c r="B446" s="286" t="s">
        <v>1165</v>
      </c>
      <c r="C446" s="286" t="s">
        <v>1119</v>
      </c>
      <c r="D446" s="286" t="s">
        <v>2030</v>
      </c>
      <c r="E446" s="286"/>
      <c r="J446" t="str">
        <v>Corialis</v>
      </c>
      <c r="M446" t="str">
        <v>MBR</v>
      </c>
    </row>
    <row r="447" spans="1:13" ht="15.5" outlineLevel="1">
      <c r="A447" s="286" t="s">
        <v>1166</v>
      </c>
      <c r="B447" s="286" t="s">
        <v>1167</v>
      </c>
      <c r="C447" s="286" t="s">
        <v>1119</v>
      </c>
      <c r="D447" s="286" t="s">
        <v>2031</v>
      </c>
      <c r="E447" s="286"/>
      <c r="J447" t="str">
        <v>Corialis</v>
      </c>
      <c r="M447" t="str">
        <v>Macromill</v>
      </c>
    </row>
    <row r="448" spans="1:13" ht="15.5" outlineLevel="1">
      <c r="A448" s="286" t="s">
        <v>1168</v>
      </c>
      <c r="B448" s="286" t="s">
        <v>1169</v>
      </c>
      <c r="C448" s="286" t="s">
        <v>1119</v>
      </c>
      <c r="D448" s="286" t="s">
        <v>2032</v>
      </c>
      <c r="E448" s="286"/>
      <c r="J448" t="str">
        <v>D-Marin</v>
      </c>
      <c r="M448" t="str">
        <v>Mandom Corporation</v>
      </c>
    </row>
    <row r="449" spans="1:13" ht="15.5" outlineLevel="1">
      <c r="A449" s="286" t="s">
        <v>1170</v>
      </c>
      <c r="B449" s="286" t="s">
        <v>1171</v>
      </c>
      <c r="C449" s="286" t="s">
        <v>1119</v>
      </c>
      <c r="D449" s="286" t="s">
        <v>2033</v>
      </c>
      <c r="E449" s="286"/>
      <c r="J449" t="str">
        <v>DFE Pharma</v>
      </c>
      <c r="M449" t="str">
        <v>Maticmind</v>
      </c>
    </row>
    <row r="450" spans="1:13" ht="15.5" outlineLevel="1">
      <c r="A450" s="286" t="s">
        <v>1172</v>
      </c>
      <c r="B450" s="286" t="s">
        <v>1173</v>
      </c>
      <c r="C450" s="286" t="s">
        <v>1119</v>
      </c>
      <c r="D450" s="286" t="s">
        <v>2034</v>
      </c>
      <c r="E450" s="286"/>
      <c r="J450" t="str">
        <v>DIF PUSH Testing</v>
      </c>
      <c r="M450" t="str">
        <v>MedRisk</v>
      </c>
    </row>
    <row r="451" spans="1:13" ht="15.5" outlineLevel="1">
      <c r="A451" s="286" t="s">
        <v>1174</v>
      </c>
      <c r="B451" s="286" t="s">
        <v>1175</v>
      </c>
      <c r="C451" s="286" t="s">
        <v>1127</v>
      </c>
      <c r="D451" s="286" t="s">
        <v>1122</v>
      </c>
      <c r="E451" s="286"/>
      <c r="J451" t="str">
        <v>DKV Mobility</v>
      </c>
      <c r="M451" t="str">
        <v>MediaOcean</v>
      </c>
    </row>
    <row r="452" spans="1:13" ht="15.5" outlineLevel="1">
      <c r="A452" s="286" t="s">
        <v>1176</v>
      </c>
      <c r="B452" s="286" t="s">
        <v>1177</v>
      </c>
      <c r="C452" s="286" t="s">
        <v>1119</v>
      </c>
      <c r="D452" s="286" t="s">
        <v>2035</v>
      </c>
      <c r="E452" s="286"/>
      <c r="J452" t="str">
        <v>DOC Generici</v>
      </c>
      <c r="M452" t="str">
        <v>MediaOcean</v>
      </c>
    </row>
    <row r="453" spans="1:13" ht="15.5" outlineLevel="1">
      <c r="A453" s="286" t="s">
        <v>1178</v>
      </c>
      <c r="B453" s="286" t="s">
        <v>1179</v>
      </c>
      <c r="C453" s="286" t="s">
        <v>1119</v>
      </c>
      <c r="D453" s="286" t="s">
        <v>2036</v>
      </c>
      <c r="E453" s="286"/>
      <c r="J453" t="str">
        <v>DTI</v>
      </c>
      <c r="M453" t="str">
        <v>Medivet</v>
      </c>
    </row>
    <row r="454" spans="1:13" ht="15.5" outlineLevel="1">
      <c r="A454" s="286" t="s">
        <v>1180</v>
      </c>
      <c r="B454" s="286" t="s">
        <v>1181</v>
      </c>
      <c r="C454" s="286" t="s">
        <v>1122</v>
      </c>
      <c r="D454" s="286" t="s">
        <v>2037</v>
      </c>
      <c r="E454" s="286"/>
      <c r="J454" t="str">
        <v>Dale Underwriting Partners</v>
      </c>
      <c r="M454" t="str">
        <v>Mehiläinen</v>
      </c>
    </row>
    <row r="455" spans="1:13" ht="15.5" outlineLevel="1">
      <c r="A455" s="286" t="s">
        <v>1182</v>
      </c>
      <c r="B455" s="286" t="s">
        <v>1183</v>
      </c>
      <c r="C455" s="286" t="s">
        <v>1119</v>
      </c>
      <c r="D455" s="286" t="s">
        <v>2038</v>
      </c>
      <c r="E455" s="286"/>
      <c r="J455" t="str">
        <v>Delly's</v>
      </c>
      <c r="M455" t="str">
        <v>Mehiläinen</v>
      </c>
    </row>
    <row r="456" spans="1:13" ht="15.5" outlineLevel="1">
      <c r="A456" s="286" t="s">
        <v>1184</v>
      </c>
      <c r="B456" s="286" t="s">
        <v>1185</v>
      </c>
      <c r="C456" s="286" t="s">
        <v>1119</v>
      </c>
      <c r="D456" s="286" t="s">
        <v>2039</v>
      </c>
      <c r="E456" s="286"/>
      <c r="J456" t="str">
        <v>Deoleo</v>
      </c>
      <c r="M456" t="str">
        <v>Messer Industries</v>
      </c>
    </row>
    <row r="457" spans="1:13" ht="15.5" outlineLevel="1">
      <c r="A457" s="286" t="s">
        <v>1184</v>
      </c>
      <c r="B457" s="286" t="s">
        <v>1185</v>
      </c>
      <c r="C457" s="286" t="s">
        <v>1119</v>
      </c>
      <c r="D457" s="286" t="s">
        <v>2039</v>
      </c>
      <c r="E457" s="286"/>
      <c r="J457" t="str">
        <v>Domestic &amp; General</v>
      </c>
      <c r="M457" t="str">
        <v>Monbake</v>
      </c>
    </row>
    <row r="458" spans="1:13" ht="15.5" outlineLevel="1">
      <c r="A458" s="286" t="s">
        <v>1186</v>
      </c>
      <c r="B458" s="286" t="s">
        <v>1187</v>
      </c>
      <c r="C458" s="286" t="s">
        <v>1119</v>
      </c>
      <c r="D458" s="286" t="s">
        <v>2040</v>
      </c>
      <c r="E458" s="286"/>
      <c r="J458" t="str">
        <v>Domestic &amp; General</v>
      </c>
      <c r="M458" t="str">
        <v>Moove</v>
      </c>
    </row>
    <row r="459" spans="1:13" ht="15.5" outlineLevel="1">
      <c r="A459" s="286" t="s">
        <v>1188</v>
      </c>
      <c r="B459" s="286" t="s">
        <v>1189</v>
      </c>
      <c r="C459" s="286" t="s">
        <v>1119</v>
      </c>
      <c r="D459" s="286" t="s">
        <v>2041</v>
      </c>
      <c r="E459" s="286"/>
      <c r="J459" t="str">
        <v>Douglas</v>
      </c>
      <c r="M459" t="str">
        <v>Moto</v>
      </c>
    </row>
    <row r="460" spans="1:13" ht="15.5" outlineLevel="1">
      <c r="A460" s="286" t="s">
        <v>2042</v>
      </c>
      <c r="B460" s="286" t="s">
        <v>2043</v>
      </c>
      <c r="C460" s="286" t="s">
        <v>1122</v>
      </c>
      <c r="D460" s="286" t="s">
        <v>1122</v>
      </c>
      <c r="E460" s="286"/>
      <c r="J460" t="str">
        <v>Dream Games</v>
      </c>
      <c r="M460" t="str">
        <v>Multiversity</v>
      </c>
    </row>
    <row r="461" spans="1:13" ht="15.5" outlineLevel="1">
      <c r="A461" s="286" t="s">
        <v>1190</v>
      </c>
      <c r="B461" s="286" t="s">
        <v>1191</v>
      </c>
      <c r="C461" s="286" t="s">
        <v>1119</v>
      </c>
      <c r="D461" s="286" t="s">
        <v>2044</v>
      </c>
      <c r="E461" s="286"/>
      <c r="J461" t="str">
        <v>Dream Games</v>
      </c>
      <c r="M461" t="str">
        <v>Multiversity</v>
      </c>
    </row>
    <row r="462" spans="1:13" ht="15.5" outlineLevel="1">
      <c r="A462" s="286" t="s">
        <v>1192</v>
      </c>
      <c r="B462" s="286" t="s">
        <v>1193</v>
      </c>
      <c r="C462" s="286" t="s">
        <v>1119</v>
      </c>
      <c r="D462" s="286" t="s">
        <v>2045</v>
      </c>
      <c r="E462" s="286"/>
      <c r="J462" t="str">
        <v>EcoVadis</v>
      </c>
      <c r="M462" t="str">
        <v>Multiversity</v>
      </c>
    </row>
    <row r="463" spans="1:13" ht="15.5" outlineLevel="1">
      <c r="A463" s="286" t="s">
        <v>1194</v>
      </c>
      <c r="B463" s="286" t="s">
        <v>1195</v>
      </c>
      <c r="C463" s="286" t="s">
        <v>1122</v>
      </c>
      <c r="D463" s="286" t="s">
        <v>2046</v>
      </c>
      <c r="E463" s="286"/>
      <c r="J463" t="str">
        <v>Elsan</v>
      </c>
      <c r="M463" t="str">
        <v>NTL</v>
      </c>
    </row>
    <row r="464" spans="1:13" ht="15.5" outlineLevel="1">
      <c r="A464" s="286" t="s">
        <v>1196</v>
      </c>
      <c r="B464" s="286" t="s">
        <v>1197</v>
      </c>
      <c r="C464" s="286" t="s">
        <v>1119</v>
      </c>
      <c r="D464" s="286" t="s">
        <v>2047</v>
      </c>
      <c r="E464" s="286"/>
      <c r="J464" t="str">
        <v>Elsan</v>
      </c>
      <c r="M464" t="str">
        <v>Namecheap</v>
      </c>
    </row>
    <row r="465" spans="1:13" ht="15.5" outlineLevel="1">
      <c r="A465" s="286" t="s">
        <v>1198</v>
      </c>
      <c r="B465" s="286" t="s">
        <v>1199</v>
      </c>
      <c r="C465" s="286" t="s">
        <v>1119</v>
      </c>
      <c r="D465" s="286" t="s">
        <v>2048</v>
      </c>
      <c r="E465" s="286"/>
      <c r="J465" t="str">
        <v>Epicor</v>
      </c>
      <c r="M465" t="str">
        <v>Naturgy</v>
      </c>
    </row>
    <row r="466" spans="1:13" ht="15.5" outlineLevel="1">
      <c r="A466" s="286" t="s">
        <v>1200</v>
      </c>
      <c r="B466" s="286" t="s">
        <v>1201</v>
      </c>
      <c r="C466" s="286" t="s">
        <v>1119</v>
      </c>
      <c r="D466" s="286" t="s">
        <v>2049</v>
      </c>
      <c r="E466" s="286"/>
      <c r="J466" t="str">
        <v>Ethniki Insurance</v>
      </c>
      <c r="M466" t="str">
        <v>Neolith</v>
      </c>
    </row>
    <row r="467" spans="1:13" ht="15.5" outlineLevel="1">
      <c r="A467" s="286" t="s">
        <v>1202</v>
      </c>
      <c r="B467" s="286" t="s">
        <v>1203</v>
      </c>
      <c r="C467" s="286" t="s">
        <v>1119</v>
      </c>
      <c r="D467" s="286" t="s">
        <v>2050</v>
      </c>
      <c r="E467" s="286"/>
      <c r="J467" t="str">
        <v>Etraveli</v>
      </c>
      <c r="M467" t="str">
        <v>Neptune</v>
      </c>
    </row>
    <row r="468" spans="1:13" ht="15.5" outlineLevel="1">
      <c r="A468" s="286" t="s">
        <v>1202</v>
      </c>
      <c r="B468" s="286" t="s">
        <v>1203</v>
      </c>
      <c r="C468" s="286" t="s">
        <v>1119</v>
      </c>
      <c r="D468" s="286" t="s">
        <v>2050</v>
      </c>
      <c r="E468" s="286"/>
      <c r="J468" t="str">
        <v>ExamWorks</v>
      </c>
      <c r="M468" t="str">
        <v>NewDay</v>
      </c>
    </row>
    <row r="469" spans="1:13" ht="15.5" outlineLevel="1">
      <c r="A469" s="286" t="s">
        <v>1204</v>
      </c>
      <c r="B469" s="286" t="s">
        <v>1205</v>
      </c>
      <c r="C469" s="286" t="s">
        <v>1206</v>
      </c>
      <c r="D469" s="286" t="s">
        <v>2051</v>
      </c>
      <c r="E469" s="286"/>
      <c r="J469" t="str">
        <v>Exolum</v>
      </c>
      <c r="M469" t="str">
        <v>Nirvana</v>
      </c>
    </row>
    <row r="470" spans="1:13" ht="15.5" outlineLevel="1">
      <c r="A470" s="286" t="s">
        <v>1207</v>
      </c>
      <c r="B470" s="286" t="s">
        <v>1208</v>
      </c>
      <c r="C470" s="286" t="s">
        <v>1119</v>
      </c>
      <c r="D470" s="286" t="s">
        <v>2052</v>
      </c>
      <c r="E470" s="286"/>
      <c r="J470" t="str">
        <v>Fast Logistics Group</v>
      </c>
      <c r="M470" t="str">
        <v>Oanda Global Corp</v>
      </c>
    </row>
    <row r="471" spans="1:13" ht="15.5" outlineLevel="1">
      <c r="A471" s="286" t="s">
        <v>1207</v>
      </c>
      <c r="B471" s="286" t="s">
        <v>1208</v>
      </c>
      <c r="C471" s="286" t="s">
        <v>1119</v>
      </c>
      <c r="D471" s="286" t="s">
        <v>2052</v>
      </c>
      <c r="E471" s="286"/>
      <c r="J471" t="str">
        <v>Fidelis</v>
      </c>
      <c r="M471" t="str">
        <v>Odevo</v>
      </c>
    </row>
    <row r="472" spans="1:13" ht="15.5" outlineLevel="1">
      <c r="A472" s="286" t="s">
        <v>1209</v>
      </c>
      <c r="B472" s="286" t="s">
        <v>1210</v>
      </c>
      <c r="C472" s="286" t="s">
        <v>1119</v>
      </c>
      <c r="D472" s="286" t="s">
        <v>2053</v>
      </c>
      <c r="E472" s="286"/>
      <c r="J472" t="str">
        <v>FineToday</v>
      </c>
      <c r="M472" t="str">
        <v>Omada</v>
      </c>
    </row>
    <row r="473" spans="1:13" ht="15.5" outlineLevel="1">
      <c r="A473" s="286" t="s">
        <v>1211</v>
      </c>
      <c r="B473" s="286" t="s">
        <v>1212</v>
      </c>
      <c r="C473" s="286" t="s">
        <v>1119</v>
      </c>
      <c r="D473" s="286" t="s">
        <v>2054</v>
      </c>
      <c r="E473" s="286"/>
      <c r="J473" t="str">
        <v>FutureLife</v>
      </c>
      <c r="M473" t="str">
        <v>Ontic</v>
      </c>
    </row>
    <row r="474" spans="1:13" ht="15.5" outlineLevel="1">
      <c r="A474" s="286" t="s">
        <v>1211</v>
      </c>
      <c r="B474" s="286" t="s">
        <v>1212</v>
      </c>
      <c r="C474" s="286" t="s">
        <v>1119</v>
      </c>
      <c r="D474" s="286" t="s">
        <v>2054</v>
      </c>
      <c r="E474" s="286"/>
      <c r="J474" t="str">
        <v>GEMS Education</v>
      </c>
      <c r="M474" t="str">
        <v>Ontic</v>
      </c>
    </row>
    <row r="475" spans="1:13" ht="15.5" outlineLevel="1">
      <c r="A475" s="286" t="s">
        <v>902</v>
      </c>
      <c r="B475" s="286" t="s">
        <v>1213</v>
      </c>
      <c r="C475" s="286" t="s">
        <v>1206</v>
      </c>
      <c r="D475" s="286" t="s">
        <v>2055</v>
      </c>
      <c r="E475" s="286"/>
      <c r="J475" t="str">
        <v>GEMS Education</v>
      </c>
      <c r="M475" t="str">
        <v>PDC Brands</v>
      </c>
    </row>
    <row r="476" spans="1:13" ht="15.5" outlineLevel="1">
      <c r="A476" s="286" t="s">
        <v>1214</v>
      </c>
      <c r="B476" s="286" t="s">
        <v>1215</v>
      </c>
      <c r="C476" s="286" t="s">
        <v>1119</v>
      </c>
      <c r="D476" s="286" t="s">
        <v>2056</v>
      </c>
      <c r="E476" s="286"/>
      <c r="J476" t="str">
        <v>GLI</v>
      </c>
      <c r="M476" t="str">
        <v>PIC</v>
      </c>
    </row>
    <row r="477" spans="1:13" ht="15.5" outlineLevel="1">
      <c r="A477" s="286" t="s">
        <v>1216</v>
      </c>
      <c r="B477" s="286" t="s">
        <v>1217</v>
      </c>
      <c r="C477" s="286" t="s">
        <v>1119</v>
      </c>
      <c r="D477" s="286" t="s">
        <v>2057</v>
      </c>
      <c r="E477" s="286"/>
      <c r="J477" t="str">
        <v>Gaming1</v>
      </c>
      <c r="M477" t="str">
        <v>PKP Energetyka</v>
      </c>
    </row>
    <row r="478" spans="1:13" ht="15.5" outlineLevel="1">
      <c r="A478" s="286" t="s">
        <v>1218</v>
      </c>
      <c r="B478" s="286" t="s">
        <v>1219</v>
      </c>
      <c r="C478" s="286" t="s">
        <v>1119</v>
      </c>
      <c r="D478" s="286" t="s">
        <v>2058</v>
      </c>
      <c r="E478" s="286"/>
      <c r="J478" t="str">
        <v>Genetic</v>
      </c>
      <c r="M478" t="str">
        <v>PPC</v>
      </c>
    </row>
    <row r="479" spans="1:13" ht="15.5" outlineLevel="1">
      <c r="A479" s="286" t="s">
        <v>1220</v>
      </c>
      <c r="B479" s="286" t="s">
        <v>1221</v>
      </c>
      <c r="C479" s="286" t="s">
        <v>1119</v>
      </c>
      <c r="D479" s="286" t="s">
        <v>2059</v>
      </c>
      <c r="E479" s="286"/>
      <c r="J479" t="str">
        <v>Good Choice</v>
      </c>
      <c r="M479" t="str">
        <v>PUSH Testing</v>
      </c>
    </row>
    <row r="480" spans="1:13" ht="15.5" outlineLevel="1">
      <c r="A480" s="286" t="s">
        <v>1222</v>
      </c>
      <c r="B480" s="286" t="s">
        <v>1223</v>
      </c>
      <c r="C480" s="286" t="s">
        <v>1119</v>
      </c>
      <c r="D480" s="286" t="s">
        <v>2060</v>
      </c>
      <c r="E480" s="286"/>
      <c r="J480" t="str">
        <v>Good Choice</v>
      </c>
      <c r="M480" t="str">
        <v>Packeta</v>
      </c>
    </row>
    <row r="481" spans="1:13" ht="15.5" outlineLevel="1">
      <c r="A481" s="286" t="s">
        <v>1224</v>
      </c>
      <c r="B481" s="286" t="s">
        <v>1225</v>
      </c>
      <c r="C481" s="286" t="s">
        <v>1119</v>
      </c>
      <c r="D481" s="286" t="s">
        <v>2061</v>
      </c>
      <c r="E481" s="286"/>
      <c r="J481" t="str">
        <v>Gridspertise</v>
      </c>
      <c r="M481" t="str">
        <v>Panzani</v>
      </c>
    </row>
    <row r="482" spans="1:13" ht="15.5" outlineLevel="1">
      <c r="A482" s="286" t="s">
        <v>1226</v>
      </c>
      <c r="B482" s="286" t="s">
        <v>1227</v>
      </c>
      <c r="C482" s="286" t="s">
        <v>1119</v>
      </c>
      <c r="D482" s="286" t="s">
        <v>2062</v>
      </c>
      <c r="E482" s="286"/>
      <c r="J482" t="str">
        <v>Grupo GSH</v>
      </c>
      <c r="M482" t="str">
        <v>Partner in Pet Food</v>
      </c>
    </row>
    <row r="483" spans="1:13" ht="15.5" outlineLevel="1">
      <c r="A483" s="286" t="s">
        <v>1228</v>
      </c>
      <c r="B483" s="286" t="s">
        <v>1229</v>
      </c>
      <c r="C483" s="286" t="s">
        <v>1119</v>
      </c>
      <c r="D483" s="286" t="s">
        <v>2063</v>
      </c>
      <c r="E483" s="286"/>
      <c r="J483" t="str">
        <v>Gujarat Titans</v>
      </c>
      <c r="M483" t="str">
        <v>Paysafe</v>
      </c>
    </row>
    <row r="484" spans="1:13" ht="15.5" outlineLevel="1">
      <c r="A484" s="286" t="s">
        <v>1230</v>
      </c>
      <c r="B484" s="286" t="s">
        <v>1231</v>
      </c>
      <c r="C484" s="286" t="s">
        <v>1232</v>
      </c>
      <c r="D484" s="286" t="s">
        <v>2064</v>
      </c>
      <c r="E484" s="286"/>
      <c r="J484" t="str">
        <v>Hargreaves Lansdown</v>
      </c>
      <c r="M484" t="str">
        <v>Petco</v>
      </c>
    </row>
    <row r="485" spans="1:13" ht="15.5" outlineLevel="1">
      <c r="A485" s="286" t="s">
        <v>1230</v>
      </c>
      <c r="B485" s="286" t="s">
        <v>1231</v>
      </c>
      <c r="C485" s="286" t="s">
        <v>1232</v>
      </c>
      <c r="D485" s="286" t="s">
        <v>2064</v>
      </c>
      <c r="E485" s="286"/>
      <c r="J485" t="str">
        <v>HealthCare Global Enterprises</v>
      </c>
      <c r="M485" t="str">
        <v>PharmaResearch</v>
      </c>
    </row>
    <row r="486" spans="1:13" ht="15.5" outlineLevel="1">
      <c r="A486" s="286" t="s">
        <v>1233</v>
      </c>
      <c r="B486" s="286" t="s">
        <v>1234</v>
      </c>
      <c r="C486" s="286" t="s">
        <v>1122</v>
      </c>
      <c r="D486" s="286" t="s">
        <v>2065</v>
      </c>
      <c r="E486" s="286"/>
      <c r="J486" t="str">
        <v>Hellenic Healthcare Group</v>
      </c>
      <c r="M486" t="str">
        <v>Phuong Chau</v>
      </c>
    </row>
    <row r="487" spans="1:13" ht="15.5" outlineLevel="1">
      <c r="A487" s="286" t="s">
        <v>1235</v>
      </c>
      <c r="B487" s="286" t="s">
        <v>1236</v>
      </c>
      <c r="C487" s="286" t="s">
        <v>1119</v>
      </c>
      <c r="D487" s="286" t="s">
        <v>2066</v>
      </c>
      <c r="E487" s="286"/>
      <c r="J487" t="str">
        <v>Hempel</v>
      </c>
      <c r="M487" t="str">
        <v>Plus Company</v>
      </c>
    </row>
    <row r="488" spans="1:13" ht="15.5" outlineLevel="1">
      <c r="A488" s="286" t="s">
        <v>1237</v>
      </c>
      <c r="B488" s="286" t="s">
        <v>1238</v>
      </c>
      <c r="C488" s="286" t="s">
        <v>1119</v>
      </c>
      <c r="D488" s="286" t="s">
        <v>2067</v>
      </c>
      <c r="E488" s="286"/>
      <c r="J488" t="str">
        <v>Hermes</v>
      </c>
      <c r="M488" t="str">
        <v>Premier Rugby</v>
      </c>
    </row>
    <row r="489" spans="1:13" ht="15.5" outlineLevel="1">
      <c r="A489" s="286" t="s">
        <v>1239</v>
      </c>
      <c r="B489" s="286" t="s">
        <v>1240</v>
      </c>
      <c r="C489" s="286" t="s">
        <v>1119</v>
      </c>
      <c r="D489" s="286" t="s">
        <v>2068</v>
      </c>
      <c r="E489" s="286"/>
      <c r="J489" t="str">
        <v>Icario</v>
      </c>
      <c r="M489" t="str">
        <v>QA</v>
      </c>
    </row>
    <row r="490" spans="1:13" ht="15.5" outlineLevel="1">
      <c r="A490" s="286" t="s">
        <v>1239</v>
      </c>
      <c r="B490" s="286" t="s">
        <v>1240</v>
      </c>
      <c r="C490" s="286" t="s">
        <v>1119</v>
      </c>
      <c r="D490" s="286" t="s">
        <v>2068</v>
      </c>
      <c r="E490" s="286"/>
      <c r="J490" t="str">
        <v>International Schools Partnership</v>
      </c>
      <c r="M490" t="str">
        <v>QSR</v>
      </c>
    </row>
    <row r="491" spans="1:13" ht="15.5" outlineLevel="1">
      <c r="A491" s="286" t="s">
        <v>1241</v>
      </c>
      <c r="B491" s="286" t="s">
        <v>1242</v>
      </c>
      <c r="C491" s="286" t="s">
        <v>1119</v>
      </c>
      <c r="D491" s="286" t="s">
        <v>2069</v>
      </c>
      <c r="E491" s="286"/>
      <c r="J491" t="str">
        <v>Jagex</v>
      </c>
      <c r="M491" t="str">
        <v>RAC</v>
      </c>
    </row>
    <row r="492" spans="1:13" ht="15.5" outlineLevel="1">
      <c r="A492" s="286" t="s">
        <v>1243</v>
      </c>
      <c r="B492" s="286" t="s">
        <v>1244</v>
      </c>
      <c r="C492" s="286" t="s">
        <v>1119</v>
      </c>
      <c r="D492" s="286" t="s">
        <v>2070</v>
      </c>
      <c r="E492" s="286"/>
      <c r="J492" t="str">
        <v>Jinuo Roadside Assistance</v>
      </c>
      <c r="M492" t="str">
        <v>RGI</v>
      </c>
    </row>
    <row r="493" spans="1:13" ht="15.5" outlineLevel="1">
      <c r="A493" s="286" t="s">
        <v>1245</v>
      </c>
      <c r="B493" s="286" t="s">
        <v>1246</v>
      </c>
      <c r="C493" s="286" t="s">
        <v>1127</v>
      </c>
      <c r="D493" s="286" t="s">
        <v>2071</v>
      </c>
      <c r="E493" s="286"/>
      <c r="J493" t="str">
        <v>La Piadineria</v>
      </c>
      <c r="M493" t="str">
        <v>RKE</v>
      </c>
    </row>
    <row r="494" spans="1:13" ht="15.5" outlineLevel="1">
      <c r="A494" s="286" t="s">
        <v>1247</v>
      </c>
      <c r="B494" s="286" t="s">
        <v>1248</v>
      </c>
      <c r="C494" s="286" t="s">
        <v>1249</v>
      </c>
      <c r="D494" s="286" t="s">
        <v>2072</v>
      </c>
      <c r="E494" s="286"/>
      <c r="J494" t="str">
        <v>LaLiga</v>
      </c>
      <c r="M494" t="str">
        <v>Radwell</v>
      </c>
    </row>
    <row r="495" spans="1:13" ht="15.5" outlineLevel="1">
      <c r="A495" s="286" t="s">
        <v>1250</v>
      </c>
      <c r="B495" s="286" t="s">
        <v>1251</v>
      </c>
      <c r="C495" s="286" t="s">
        <v>1127</v>
      </c>
      <c r="D495" s="286" t="s">
        <v>2073</v>
      </c>
      <c r="E495" s="286"/>
      <c r="J495" t="str">
        <v>Ligue 1</v>
      </c>
      <c r="M495" t="str">
        <v>Rayner Surgical Group Ltd</v>
      </c>
    </row>
    <row r="496" spans="1:13" ht="15.5" outlineLevel="1">
      <c r="A496" s="286" t="s">
        <v>1252</v>
      </c>
      <c r="B496" s="286" t="s">
        <v>1253</v>
      </c>
      <c r="C496" s="286" t="s">
        <v>1119</v>
      </c>
      <c r="D496" s="286" t="s">
        <v>2074</v>
      </c>
      <c r="E496" s="286"/>
      <c r="J496" t="str">
        <v>Lipton</v>
      </c>
      <c r="M496" t="str">
        <v>Razer</v>
      </c>
    </row>
    <row r="497" spans="1:13" ht="15.5" outlineLevel="1">
      <c r="A497" s="286" t="s">
        <v>1254</v>
      </c>
      <c r="B497" s="286" t="s">
        <v>1255</v>
      </c>
      <c r="C497" s="286" t="s">
        <v>1119</v>
      </c>
      <c r="D497" s="286" t="s">
        <v>2075</v>
      </c>
      <c r="E497" s="286"/>
      <c r="J497" t="str">
        <v>M Group</v>
      </c>
      <c r="M497" t="str">
        <v>Recordati</v>
      </c>
    </row>
    <row r="498" spans="1:13" ht="15.5" outlineLevel="1">
      <c r="A498" s="286" t="s">
        <v>1256</v>
      </c>
      <c r="B498" s="286" t="s">
        <v>1257</v>
      </c>
      <c r="C498" s="286" t="s">
        <v>1119</v>
      </c>
      <c r="D498" s="286" t="s">
        <v>2076</v>
      </c>
      <c r="E498" s="286"/>
      <c r="J498" t="str">
        <v>MBR</v>
      </c>
      <c r="M498" t="str">
        <v>Republic Finance</v>
      </c>
    </row>
    <row r="499" spans="1:13" ht="15.5" outlineLevel="1">
      <c r="A499" s="286" t="s">
        <v>1258</v>
      </c>
      <c r="B499" s="286" t="s">
        <v>1259</v>
      </c>
      <c r="C499" s="286" t="s">
        <v>1119</v>
      </c>
      <c r="D499" s="286" t="s">
        <v>2077</v>
      </c>
      <c r="E499" s="286"/>
      <c r="J499" t="str">
        <v>Macromill</v>
      </c>
      <c r="M499" t="str">
        <v>Resurs</v>
      </c>
    </row>
    <row r="500" spans="1:13" ht="15.5" outlineLevel="1">
      <c r="A500" s="286" t="s">
        <v>1260</v>
      </c>
      <c r="B500" s="286" t="s">
        <v>1261</v>
      </c>
      <c r="C500" s="286" t="s">
        <v>1119</v>
      </c>
      <c r="D500" s="286" t="s">
        <v>2078</v>
      </c>
      <c r="E500" s="286"/>
      <c r="J500" t="str">
        <v>Mandom Corporation</v>
      </c>
      <c r="M500" t="str">
        <v>Riraku</v>
      </c>
    </row>
    <row r="501" spans="1:13" ht="15.5" outlineLevel="1">
      <c r="A501" s="286" t="s">
        <v>1262</v>
      </c>
      <c r="B501" s="286" t="s">
        <v>1263</v>
      </c>
      <c r="C501" s="286" t="s">
        <v>1119</v>
      </c>
      <c r="D501" s="286" t="s">
        <v>2079</v>
      </c>
      <c r="E501" s="286"/>
      <c r="J501" t="str">
        <v>Maticmind</v>
      </c>
      <c r="M501" t="str">
        <v>RiverStone International</v>
      </c>
    </row>
    <row r="502" spans="1:13" ht="15.5" outlineLevel="1">
      <c r="A502" s="286" t="s">
        <v>1264</v>
      </c>
      <c r="B502" s="286" t="s">
        <v>1265</v>
      </c>
      <c r="C502" s="286" t="s">
        <v>1119</v>
      </c>
      <c r="D502" s="286" t="s">
        <v>2080</v>
      </c>
      <c r="E502" s="286"/>
      <c r="J502" t="str">
        <v>MedRisk</v>
      </c>
      <c r="M502" t="str">
        <v>Rossini (Recordati Holdco)</v>
      </c>
    </row>
    <row r="503" spans="1:13" ht="15.5" outlineLevel="1">
      <c r="A503" s="286" t="s">
        <v>1266</v>
      </c>
      <c r="B503" s="286" t="s">
        <v>1267</v>
      </c>
      <c r="C503" s="286" t="s">
        <v>1119</v>
      </c>
      <c r="D503" s="286" t="s">
        <v>2081</v>
      </c>
      <c r="E503" s="286"/>
      <c r="J503" t="str">
        <v>MediaOcean</v>
      </c>
      <c r="M503" t="str">
        <v>SD Worx</v>
      </c>
    </row>
    <row r="504" spans="1:13" ht="15.5" outlineLevel="1">
      <c r="A504" s="286" t="s">
        <v>1268</v>
      </c>
      <c r="B504" s="286" t="s">
        <v>1269</v>
      </c>
      <c r="C504" s="286" t="s">
        <v>1249</v>
      </c>
      <c r="D504" s="286" t="s">
        <v>2082</v>
      </c>
      <c r="E504" s="286"/>
      <c r="J504" t="str">
        <v>MediaOcean</v>
      </c>
      <c r="M504" t="str">
        <v>SEARI</v>
      </c>
    </row>
    <row r="505" spans="1:13" ht="15.5" outlineLevel="1">
      <c r="A505" s="286" t="s">
        <v>1270</v>
      </c>
      <c r="B505" s="286" t="s">
        <v>1271</v>
      </c>
      <c r="C505" s="286" t="s">
        <v>1249</v>
      </c>
      <c r="D505" s="286" t="s">
        <v>2083</v>
      </c>
      <c r="E505" s="286"/>
      <c r="J505" t="str">
        <v>Medivet</v>
      </c>
      <c r="M505" t="str">
        <v>STARK Group</v>
      </c>
    </row>
    <row r="506" spans="1:13" ht="15.5" outlineLevel="1">
      <c r="A506" s="286" t="s">
        <v>1272</v>
      </c>
      <c r="B506" s="286" t="s">
        <v>1273</v>
      </c>
      <c r="C506" s="286" t="s">
        <v>1119</v>
      </c>
      <c r="D506" s="286" t="s">
        <v>2084</v>
      </c>
      <c r="E506" s="286"/>
      <c r="J506" t="str">
        <v>Mehiläinen</v>
      </c>
      <c r="M506" t="str">
        <v>Samator Indo Gas</v>
      </c>
    </row>
    <row r="507" spans="1:13" ht="15.5" outlineLevel="1">
      <c r="A507" s="286" t="s">
        <v>1274</v>
      </c>
      <c r="B507" s="286" t="s">
        <v>1275</v>
      </c>
      <c r="C507" s="286" t="s">
        <v>1127</v>
      </c>
      <c r="D507" s="286" t="s">
        <v>2085</v>
      </c>
      <c r="E507" s="286"/>
      <c r="J507" t="str">
        <v>Mehiläinen</v>
      </c>
      <c r="M507" t="str">
        <v>Scan Global Logistics</v>
      </c>
    </row>
    <row r="508" spans="1:13" ht="15.5" outlineLevel="1">
      <c r="A508" s="286" t="s">
        <v>1276</v>
      </c>
      <c r="B508" s="286" t="s">
        <v>1277</v>
      </c>
      <c r="C508" s="286" t="s">
        <v>1122</v>
      </c>
      <c r="D508" s="286" t="s">
        <v>2086</v>
      </c>
      <c r="E508" s="286"/>
      <c r="J508" t="str">
        <v>Messer Industries</v>
      </c>
      <c r="M508" t="str">
        <v>Sebia</v>
      </c>
    </row>
    <row r="509" spans="1:13" ht="15.5" outlineLevel="1">
      <c r="A509" s="286" t="s">
        <v>1278</v>
      </c>
      <c r="B509" s="286" t="s">
        <v>1279</v>
      </c>
      <c r="C509" s="286" t="s">
        <v>1249</v>
      </c>
      <c r="D509" s="286" t="s">
        <v>2087</v>
      </c>
      <c r="E509" s="286"/>
      <c r="J509" t="str">
        <v>Monbake</v>
      </c>
      <c r="M509" t="str">
        <v>SheerID</v>
      </c>
    </row>
    <row r="510" spans="1:13" ht="15.5" outlineLevel="1">
      <c r="A510" s="286" t="s">
        <v>1280</v>
      </c>
      <c r="B510" s="286" t="s">
        <v>1281</v>
      </c>
      <c r="C510" s="286" t="s">
        <v>1122</v>
      </c>
      <c r="D510" s="286" t="s">
        <v>2088</v>
      </c>
      <c r="E510" s="286"/>
      <c r="J510" t="str">
        <v>Moove</v>
      </c>
      <c r="M510" t="str">
        <v>Siloam</v>
      </c>
    </row>
    <row r="511" spans="1:13" ht="15.5" outlineLevel="1">
      <c r="A511" s="286" t="s">
        <v>1282</v>
      </c>
      <c r="B511" s="286" t="s">
        <v>1283</v>
      </c>
      <c r="C511" s="286" t="s">
        <v>1119</v>
      </c>
      <c r="D511" s="286" t="s">
        <v>2089</v>
      </c>
      <c r="E511" s="286"/>
      <c r="J511" t="str">
        <v>Moto</v>
      </c>
      <c r="M511" t="str">
        <v>Siloam</v>
      </c>
    </row>
    <row r="512" spans="1:13" ht="15.5" outlineLevel="1">
      <c r="A512" s="286" t="s">
        <v>1284</v>
      </c>
      <c r="B512" s="286" t="s">
        <v>1285</v>
      </c>
      <c r="C512" s="286" t="s">
        <v>1119</v>
      </c>
      <c r="D512" s="286" t="s">
        <v>2090</v>
      </c>
      <c r="E512" s="286"/>
      <c r="J512" t="str">
        <v>Multiversity</v>
      </c>
      <c r="M512" t="str">
        <v>Six Nations</v>
      </c>
    </row>
    <row r="513" spans="1:13" ht="15.5" outlineLevel="1">
      <c r="A513" s="286" t="s">
        <v>1286</v>
      </c>
      <c r="B513" s="286" t="s">
        <v>1287</v>
      </c>
      <c r="C513" s="286" t="s">
        <v>1119</v>
      </c>
      <c r="D513" s="286" t="s">
        <v>2091</v>
      </c>
      <c r="E513" s="286"/>
      <c r="J513" t="str">
        <v>Multiversity</v>
      </c>
      <c r="M513" t="str">
        <v>Skroutz</v>
      </c>
    </row>
    <row r="514" spans="1:13" ht="15.5" outlineLevel="1">
      <c r="A514" s="286" t="s">
        <v>1286</v>
      </c>
      <c r="B514" s="286" t="s">
        <v>1287</v>
      </c>
      <c r="C514" s="286" t="s">
        <v>1119</v>
      </c>
      <c r="D514" s="286" t="s">
        <v>2091</v>
      </c>
      <c r="E514" s="286"/>
      <c r="J514" t="str">
        <v>Multiversity</v>
      </c>
      <c r="M514" t="str">
        <v>Skybox Security</v>
      </c>
    </row>
    <row r="515" spans="1:13" ht="15.5" outlineLevel="1">
      <c r="A515" s="286" t="s">
        <v>1288</v>
      </c>
      <c r="B515" s="286" t="s">
        <v>1289</v>
      </c>
      <c r="C515" s="286" t="s">
        <v>1290</v>
      </c>
      <c r="D515" s="286" t="s">
        <v>2092</v>
      </c>
      <c r="E515" s="286"/>
      <c r="J515" t="str">
        <v>NTL</v>
      </c>
      <c r="M515" t="str">
        <v>Smiths Detection</v>
      </c>
    </row>
    <row r="516" spans="1:13" ht="15.5" outlineLevel="1">
      <c r="A516" s="286" t="s">
        <v>1291</v>
      </c>
      <c r="B516" s="286" t="s">
        <v>1292</v>
      </c>
      <c r="C516" s="286" t="s">
        <v>1119</v>
      </c>
      <c r="D516" s="286" t="s">
        <v>2093</v>
      </c>
      <c r="E516" s="286"/>
      <c r="J516" t="str">
        <v>Namecheap</v>
      </c>
      <c r="M516" t="str">
        <v>Sogelink</v>
      </c>
    </row>
    <row r="517" spans="1:13" ht="15.5" outlineLevel="1">
      <c r="A517" s="286" t="s">
        <v>1291</v>
      </c>
      <c r="B517" s="286" t="s">
        <v>1292</v>
      </c>
      <c r="C517" s="286" t="s">
        <v>1119</v>
      </c>
      <c r="D517" s="286" t="s">
        <v>2093</v>
      </c>
      <c r="E517" s="286"/>
      <c r="J517" t="str">
        <v>Naturgy</v>
      </c>
      <c r="M517" t="str">
        <v>Sogo Medical Group</v>
      </c>
    </row>
    <row r="518" spans="1:13" ht="15.5" outlineLevel="1">
      <c r="A518" s="286" t="s">
        <v>1293</v>
      </c>
      <c r="B518" s="286" t="s">
        <v>1294</v>
      </c>
      <c r="C518" s="286" t="s">
        <v>1122</v>
      </c>
      <c r="D518" s="286" t="s">
        <v>2094</v>
      </c>
      <c r="E518" s="286"/>
      <c r="J518" t="str">
        <v>Neolith</v>
      </c>
      <c r="M518" t="str">
        <v>Soho Global Health</v>
      </c>
    </row>
    <row r="519" spans="1:13" ht="15.5" outlineLevel="1">
      <c r="A519" s="286" t="s">
        <v>1295</v>
      </c>
      <c r="B519" s="286" t="s">
        <v>1296</v>
      </c>
      <c r="C519" s="286" t="s">
        <v>1119</v>
      </c>
      <c r="D519" s="286" t="s">
        <v>2095</v>
      </c>
      <c r="E519" s="286"/>
      <c r="J519" t="str">
        <v>Neptune</v>
      </c>
      <c r="M519" t="str">
        <v>Sonae MC</v>
      </c>
    </row>
    <row r="520" spans="1:13" ht="15.5" outlineLevel="1">
      <c r="A520" s="286" t="s">
        <v>1297</v>
      </c>
      <c r="B520" s="286" t="s">
        <v>1298</v>
      </c>
      <c r="C520" s="286" t="s">
        <v>1119</v>
      </c>
      <c r="D520" s="286" t="s">
        <v>2096</v>
      </c>
      <c r="E520" s="286"/>
      <c r="J520" t="str">
        <v>NewDay</v>
      </c>
      <c r="M520" t="str">
        <v>Spectrum Medical</v>
      </c>
    </row>
    <row r="521" spans="1:13" ht="15.5" outlineLevel="1">
      <c r="A521" s="286" t="s">
        <v>1299</v>
      </c>
      <c r="B521" s="286" t="s">
        <v>1300</v>
      </c>
      <c r="C521" s="286" t="s">
        <v>1119</v>
      </c>
      <c r="D521" s="286" t="s">
        <v>2097</v>
      </c>
      <c r="E521" s="286"/>
      <c r="J521" t="str">
        <v>Nirvana</v>
      </c>
      <c r="M521" t="str">
        <v>Star Vision</v>
      </c>
    </row>
    <row r="522" spans="1:13" ht="15.5" outlineLevel="1">
      <c r="A522" s="286" t="s">
        <v>1301</v>
      </c>
      <c r="B522" s="286" t="s">
        <v>1302</v>
      </c>
      <c r="C522" s="286" t="s">
        <v>1119</v>
      </c>
      <c r="D522" s="286" t="s">
        <v>2098</v>
      </c>
      <c r="E522" s="286"/>
      <c r="J522" t="str">
        <v>Oanda Global Corp</v>
      </c>
      <c r="M522" t="str">
        <v>Stock Spirits</v>
      </c>
    </row>
    <row r="523" spans="1:13" ht="15.5" outlineLevel="1">
      <c r="A523" s="286" t="s">
        <v>1301</v>
      </c>
      <c r="B523" s="286" t="s">
        <v>1302</v>
      </c>
      <c r="C523" s="286" t="s">
        <v>1119</v>
      </c>
      <c r="D523" s="286" t="s">
        <v>2098</v>
      </c>
      <c r="E523" s="286"/>
      <c r="J523" t="str">
        <v>Odevo</v>
      </c>
      <c r="M523" t="str">
        <v>Sunday Natural</v>
      </c>
    </row>
    <row r="524" spans="1:13" ht="15.5" outlineLevel="1">
      <c r="A524" s="286" t="s">
        <v>1301</v>
      </c>
      <c r="B524" s="286" t="s">
        <v>1302</v>
      </c>
      <c r="C524" s="286" t="s">
        <v>1119</v>
      </c>
      <c r="D524" s="286" t="s">
        <v>2098</v>
      </c>
      <c r="E524" s="286"/>
      <c r="J524" t="str">
        <v>Omada</v>
      </c>
      <c r="M524" t="str">
        <v>SuperStruct</v>
      </c>
    </row>
    <row r="525" spans="1:13" ht="15.5" outlineLevel="1">
      <c r="A525" s="286" t="s">
        <v>1303</v>
      </c>
      <c r="B525" s="286" t="s">
        <v>1304</v>
      </c>
      <c r="C525" s="286" t="s">
        <v>1119</v>
      </c>
      <c r="D525" s="286" t="s">
        <v>2099</v>
      </c>
      <c r="E525" s="286"/>
      <c r="J525" t="str">
        <v>Ontic</v>
      </c>
      <c r="M525" t="str">
        <v>Synsam</v>
      </c>
    </row>
    <row r="526" spans="1:13" ht="15.5" outlineLevel="1">
      <c r="A526" s="286" t="s">
        <v>1305</v>
      </c>
      <c r="B526" s="286" t="s">
        <v>1306</v>
      </c>
      <c r="C526" s="286" t="s">
        <v>1119</v>
      </c>
      <c r="D526" s="286" t="s">
        <v>2100</v>
      </c>
      <c r="E526" s="286"/>
      <c r="J526" t="str">
        <v>Ontic</v>
      </c>
      <c r="M526" t="str">
        <v>Syntegon</v>
      </c>
    </row>
    <row r="527" spans="1:13" ht="15.5" outlineLevel="1">
      <c r="A527" s="286" t="s">
        <v>1307</v>
      </c>
      <c r="B527" s="286" t="s">
        <v>1308</v>
      </c>
      <c r="C527" s="286" t="s">
        <v>1119</v>
      </c>
      <c r="D527" s="286" t="s">
        <v>2101</v>
      </c>
      <c r="E527" s="286"/>
      <c r="J527" t="str">
        <v>PDC Brands</v>
      </c>
      <c r="M527" t="str">
        <v>System C</v>
      </c>
    </row>
    <row r="528" spans="1:13" ht="15.5" outlineLevel="1">
      <c r="A528" s="286" t="s">
        <v>1309</v>
      </c>
      <c r="B528" s="286" t="s">
        <v>1310</v>
      </c>
      <c r="C528" s="286" t="s">
        <v>1119</v>
      </c>
      <c r="D528" s="286" t="s">
        <v>2102</v>
      </c>
      <c r="E528" s="286"/>
      <c r="J528" t="str">
        <v>PIC</v>
      </c>
      <c r="M528" t="str">
        <v>TMF Group</v>
      </c>
    </row>
    <row r="529" spans="1:13" ht="15.5" outlineLevel="1">
      <c r="A529" s="286" t="s">
        <v>1311</v>
      </c>
      <c r="B529" s="286" t="s">
        <v>1312</v>
      </c>
      <c r="C529" s="286" t="s">
        <v>1119</v>
      </c>
      <c r="D529" s="286" t="s">
        <v>2103</v>
      </c>
      <c r="E529" s="286"/>
      <c r="J529" t="str">
        <v>PKP Energetyka</v>
      </c>
      <c r="M529" t="str">
        <v>TMF Group</v>
      </c>
    </row>
    <row r="530" spans="1:13" ht="15.5" outlineLevel="1">
      <c r="A530" s="286" t="s">
        <v>1313</v>
      </c>
      <c r="B530" s="286" t="s">
        <v>1314</v>
      </c>
      <c r="C530" s="286" t="s">
        <v>1119</v>
      </c>
      <c r="D530" s="286" t="s">
        <v>2104</v>
      </c>
      <c r="E530" s="286"/>
      <c r="J530" t="str">
        <v>PPC</v>
      </c>
      <c r="M530" t="str">
        <v>TOPdesk</v>
      </c>
    </row>
    <row r="531" spans="1:13" ht="15.5" outlineLevel="1">
      <c r="A531" s="286" t="s">
        <v>1315</v>
      </c>
      <c r="B531" s="286" t="s">
        <v>1316</v>
      </c>
      <c r="C531" s="286" t="s">
        <v>1119</v>
      </c>
      <c r="D531" s="286" t="s">
        <v>2105</v>
      </c>
      <c r="E531" s="286"/>
      <c r="J531" t="str">
        <v>PUSH Testing</v>
      </c>
      <c r="M531" t="str">
        <v>TRY Group</v>
      </c>
    </row>
    <row r="532" spans="1:13" ht="15.5" outlineLevel="1">
      <c r="A532" s="286" t="s">
        <v>1317</v>
      </c>
      <c r="B532" s="286" t="s">
        <v>1318</v>
      </c>
      <c r="C532" s="286" t="s">
        <v>1119</v>
      </c>
      <c r="D532" s="286" t="s">
        <v>2106</v>
      </c>
      <c r="E532" s="286"/>
      <c r="J532" t="str">
        <v>Packeta</v>
      </c>
      <c r="M532" t="str">
        <v>TechInsights</v>
      </c>
    </row>
    <row r="533" spans="1:13" ht="15.5" outlineLevel="1">
      <c r="A533" s="286" t="s">
        <v>1319</v>
      </c>
      <c r="B533" s="286" t="s">
        <v>1320</v>
      </c>
      <c r="C533" s="286" t="s">
        <v>1119</v>
      </c>
      <c r="D533" s="286" t="s">
        <v>2107</v>
      </c>
      <c r="E533" s="286"/>
      <c r="J533" t="str">
        <v>Panzani</v>
      </c>
      <c r="M533" t="str">
        <v>Tendam</v>
      </c>
    </row>
    <row r="534" spans="1:13" ht="15.5" outlineLevel="1">
      <c r="A534" s="286" t="s">
        <v>1321</v>
      </c>
      <c r="B534" s="286" t="s">
        <v>1322</v>
      </c>
      <c r="C534" s="286" t="s">
        <v>1119</v>
      </c>
      <c r="D534" s="286" t="s">
        <v>2108</v>
      </c>
      <c r="E534" s="286"/>
      <c r="J534" t="str">
        <v>Partner in Pet Food</v>
      </c>
      <c r="M534" t="str">
        <v>Teneo</v>
      </c>
    </row>
    <row r="535" spans="1:13" ht="15.5" outlineLevel="1">
      <c r="A535" s="286" t="s">
        <v>1323</v>
      </c>
      <c r="B535" s="286" t="s">
        <v>1324</v>
      </c>
      <c r="C535" s="286" t="s">
        <v>1119</v>
      </c>
      <c r="D535" s="286" t="s">
        <v>2109</v>
      </c>
      <c r="E535" s="286"/>
      <c r="J535" t="str">
        <v>Paysafe</v>
      </c>
      <c r="M535" t="str">
        <v>The Medical City</v>
      </c>
    </row>
    <row r="536" spans="1:13" ht="15.5" outlineLevel="1">
      <c r="A536" s="286" t="s">
        <v>1323</v>
      </c>
      <c r="B536" s="286" t="s">
        <v>1324</v>
      </c>
      <c r="C536" s="286" t="s">
        <v>1119</v>
      </c>
      <c r="D536" s="286" t="s">
        <v>2109</v>
      </c>
      <c r="E536" s="286"/>
      <c r="J536" t="str">
        <v>Petco</v>
      </c>
      <c r="M536" t="str">
        <v>The Quality Group</v>
      </c>
    </row>
    <row r="537" spans="1:13" ht="15.5" outlineLevel="1">
      <c r="A537" s="286" t="s">
        <v>1325</v>
      </c>
      <c r="B537" s="286" t="s">
        <v>1326</v>
      </c>
      <c r="C537" s="286" t="s">
        <v>1119</v>
      </c>
      <c r="D537" s="286" t="s">
        <v>2110</v>
      </c>
      <c r="E537" s="286"/>
      <c r="J537" t="str">
        <v>PharmaResearch</v>
      </c>
      <c r="M537" t="str">
        <v>Therakos</v>
      </c>
    </row>
    <row r="538" spans="1:13" ht="15.5" outlineLevel="1">
      <c r="A538" s="286" t="s">
        <v>1327</v>
      </c>
      <c r="B538" s="286" t="s">
        <v>1328</v>
      </c>
      <c r="C538" s="286" t="s">
        <v>1119</v>
      </c>
      <c r="D538" s="286" t="s">
        <v>2111</v>
      </c>
      <c r="E538" s="286"/>
      <c r="J538" t="str">
        <v>Phuong Chau</v>
      </c>
      <c r="M538" t="str">
        <v>Theramex</v>
      </c>
    </row>
    <row r="539" spans="1:13" ht="15.5" outlineLevel="1">
      <c r="A539" s="286" t="s">
        <v>1329</v>
      </c>
      <c r="B539" s="286" t="s">
        <v>1330</v>
      </c>
      <c r="C539" s="286" t="s">
        <v>1122</v>
      </c>
      <c r="D539" s="286" t="s">
        <v>1122</v>
      </c>
      <c r="E539" s="286"/>
      <c r="J539" t="str">
        <v>Plus Company</v>
      </c>
      <c r="M539" t="str">
        <v>Therme Horizon</v>
      </c>
    </row>
    <row r="540" spans="1:13" ht="15.5" outlineLevel="1">
      <c r="A540" s="286" t="s">
        <v>1331</v>
      </c>
      <c r="B540" s="286" t="s">
        <v>1332</v>
      </c>
      <c r="C540" s="286" t="s">
        <v>1119</v>
      </c>
      <c r="D540" s="286" t="s">
        <v>2112</v>
      </c>
      <c r="E540" s="286"/>
      <c r="J540" t="str">
        <v>Premier Rugby</v>
      </c>
      <c r="M540" t="str">
        <v>Tipico</v>
      </c>
    </row>
    <row r="541" spans="1:13" ht="15.5" outlineLevel="1">
      <c r="A541" s="286" t="s">
        <v>1873</v>
      </c>
      <c r="B541" s="286" t="s">
        <v>1860</v>
      </c>
      <c r="C541" s="286" t="s">
        <v>1119</v>
      </c>
      <c r="D541" s="286" t="s">
        <v>1122</v>
      </c>
      <c r="E541" s="286"/>
      <c r="J541" t="str">
        <v>QA</v>
      </c>
      <c r="M541" t="str">
        <v>Tipico</v>
      </c>
    </row>
    <row r="542" spans="1:13" ht="15.5" outlineLevel="1">
      <c r="A542" s="286" t="s">
        <v>1333</v>
      </c>
      <c r="B542" s="286" t="s">
        <v>1334</v>
      </c>
      <c r="C542" s="286" t="s">
        <v>1119</v>
      </c>
      <c r="D542" s="286" t="s">
        <v>2113</v>
      </c>
      <c r="E542" s="286"/>
      <c r="J542" t="str">
        <v>QSR</v>
      </c>
      <c r="M542" t="str">
        <v>UAX</v>
      </c>
    </row>
    <row r="543" spans="1:13" ht="15.5" outlineLevel="1">
      <c r="A543" s="286" t="s">
        <v>1335</v>
      </c>
      <c r="B543" s="286" t="s">
        <v>1336</v>
      </c>
      <c r="C543" s="286" t="s">
        <v>1119</v>
      </c>
      <c r="D543" s="286" t="s">
        <v>2114</v>
      </c>
      <c r="E543" s="286"/>
      <c r="J543" t="str">
        <v>RAC</v>
      </c>
      <c r="M543" t="str">
        <v>URUS</v>
      </c>
    </row>
    <row r="544" spans="1:13" ht="15.5" outlineLevel="1">
      <c r="A544" s="286" t="s">
        <v>1337</v>
      </c>
      <c r="B544" s="286" t="s">
        <v>1338</v>
      </c>
      <c r="C544" s="286" t="s">
        <v>1119</v>
      </c>
      <c r="D544" s="286" t="s">
        <v>2115</v>
      </c>
      <c r="E544" s="286"/>
      <c r="J544" t="str">
        <v>RGI</v>
      </c>
      <c r="M544" t="str">
        <v>Unily</v>
      </c>
    </row>
    <row r="545" spans="1:13" ht="15.5" outlineLevel="1">
      <c r="A545" s="286" t="s">
        <v>1339</v>
      </c>
      <c r="B545" s="286" t="s">
        <v>1340</v>
      </c>
      <c r="C545" s="286" t="s">
        <v>1119</v>
      </c>
      <c r="D545" s="286" t="s">
        <v>2116</v>
      </c>
      <c r="E545" s="286"/>
      <c r="J545" t="str">
        <v>RKE</v>
      </c>
      <c r="M545" t="str">
        <v>United Rugby Championship</v>
      </c>
    </row>
    <row r="546" spans="1:13" ht="15.5" outlineLevel="1">
      <c r="A546" s="286" t="s">
        <v>1341</v>
      </c>
      <c r="B546" s="286" t="s">
        <v>1342</v>
      </c>
      <c r="C546" s="286" t="s">
        <v>1343</v>
      </c>
      <c r="D546" s="286" t="s">
        <v>2117</v>
      </c>
      <c r="E546" s="286"/>
      <c r="J546" t="str">
        <v>Radwell</v>
      </c>
      <c r="M546" t="str">
        <v>United Rugby Holdings</v>
      </c>
    </row>
    <row r="547" spans="1:13" ht="15.5" outlineLevel="1">
      <c r="A547" s="286" t="s">
        <v>1344</v>
      </c>
      <c r="B547" s="286" t="s">
        <v>1345</v>
      </c>
      <c r="C547" s="286" t="s">
        <v>1119</v>
      </c>
      <c r="D547" s="286" t="s">
        <v>2118</v>
      </c>
      <c r="E547" s="286"/>
      <c r="J547" t="str">
        <v>Rayner Surgical Group Ltd</v>
      </c>
      <c r="M547" t="str">
        <v>UnitedLex Corp</v>
      </c>
    </row>
    <row r="548" spans="1:13" ht="15.5" outlineLevel="1">
      <c r="A548" s="286" t="s">
        <v>1346</v>
      </c>
      <c r="B548" s="286" t="s">
        <v>1347</v>
      </c>
      <c r="C548" s="286" t="s">
        <v>1119</v>
      </c>
      <c r="D548" s="286" t="s">
        <v>2119</v>
      </c>
      <c r="E548" s="286"/>
      <c r="J548" t="str">
        <v>Razer</v>
      </c>
      <c r="M548" t="str">
        <v>Unity</v>
      </c>
    </row>
    <row r="549" spans="1:13" ht="15.5" outlineLevel="1">
      <c r="A549" s="286" t="s">
        <v>1348</v>
      </c>
      <c r="B549" s="286" t="s">
        <v>1349</v>
      </c>
      <c r="C549" s="286" t="s">
        <v>1119</v>
      </c>
      <c r="D549" s="286" t="s">
        <v>2120</v>
      </c>
      <c r="E549" s="286"/>
      <c r="J549" t="str">
        <v>Recordati</v>
      </c>
      <c r="M549" t="str">
        <v>Unity</v>
      </c>
    </row>
    <row r="550" spans="1:13" ht="15.5" outlineLevel="1">
      <c r="A550" s="286" t="s">
        <v>1350</v>
      </c>
      <c r="B550" s="286" t="s">
        <v>1351</v>
      </c>
      <c r="C550" s="286" t="s">
        <v>1249</v>
      </c>
      <c r="D550" s="286" t="s">
        <v>2121</v>
      </c>
      <c r="E550" s="286"/>
      <c r="J550" t="str">
        <v>Republic Finance</v>
      </c>
      <c r="M550" t="str">
        <v>VelocityEHS</v>
      </c>
    </row>
    <row r="551" spans="1:13" ht="15.5" outlineLevel="1">
      <c r="A551" s="286" t="s">
        <v>1352</v>
      </c>
      <c r="B551" s="286" t="s">
        <v>1353</v>
      </c>
      <c r="C551" s="286" t="s">
        <v>1354</v>
      </c>
      <c r="D551" s="286" t="s">
        <v>2122</v>
      </c>
      <c r="E551" s="286"/>
      <c r="J551" t="str">
        <v>Resurs</v>
      </c>
      <c r="M551" t="str">
        <v>Veritext</v>
      </c>
    </row>
    <row r="552" spans="1:13" ht="15.5" outlineLevel="1">
      <c r="A552" s="286" t="s">
        <v>1355</v>
      </c>
      <c r="B552" s="286" t="s">
        <v>1356</v>
      </c>
      <c r="C552" s="286" t="s">
        <v>1119</v>
      </c>
      <c r="D552" s="286" t="s">
        <v>2123</v>
      </c>
      <c r="E552" s="286"/>
      <c r="J552" t="str">
        <v>Riraku</v>
      </c>
      <c r="M552" t="str">
        <v>Vitalia</v>
      </c>
    </row>
    <row r="553" spans="1:13" ht="15.5" outlineLevel="1">
      <c r="A553" s="286" t="s">
        <v>1357</v>
      </c>
      <c r="B553" s="286" t="s">
        <v>1358</v>
      </c>
      <c r="C553" s="286" t="s">
        <v>1119</v>
      </c>
      <c r="D553" s="286" t="s">
        <v>2124</v>
      </c>
      <c r="E553" s="286"/>
      <c r="J553" t="str">
        <v>RiverStone International</v>
      </c>
      <c r="M553" t="str">
        <v>Vitech</v>
      </c>
    </row>
    <row r="554" spans="1:13" ht="15.5" outlineLevel="1">
      <c r="A554" s="286" t="s">
        <v>1359</v>
      </c>
      <c r="B554" s="286" t="s">
        <v>1360</v>
      </c>
      <c r="C554" s="286" t="s">
        <v>1119</v>
      </c>
      <c r="D554" s="286" t="s">
        <v>2125</v>
      </c>
      <c r="E554" s="286"/>
      <c r="J554" t="str">
        <v>Rossini (Recordati Holdco)</v>
      </c>
      <c r="M554" t="str">
        <v>Vitech</v>
      </c>
    </row>
    <row r="555" spans="1:13" ht="15.5" outlineLevel="1">
      <c r="A555" s="286" t="s">
        <v>1361</v>
      </c>
      <c r="B555" s="286" t="s">
        <v>1362</v>
      </c>
      <c r="C555" s="286" t="s">
        <v>1119</v>
      </c>
      <c r="D555" s="286" t="s">
        <v>2126</v>
      </c>
      <c r="E555" s="286"/>
      <c r="J555" t="str">
        <v>SD Worx</v>
      </c>
      <c r="M555" t="str">
        <v>Vivartia</v>
      </c>
    </row>
    <row r="556" spans="1:13" ht="15.5" outlineLevel="1">
      <c r="A556" s="286" t="s">
        <v>1363</v>
      </c>
      <c r="B556" s="286" t="s">
        <v>1364</v>
      </c>
      <c r="C556" s="286" t="s">
        <v>1119</v>
      </c>
      <c r="D556" s="286" t="s">
        <v>2127</v>
      </c>
      <c r="E556" s="286"/>
      <c r="J556" t="str">
        <v>SEARI</v>
      </c>
      <c r="M556" t="str">
        <v>Vivartia (Arabatzis)</v>
      </c>
    </row>
    <row r="557" spans="1:13" ht="15.5" outlineLevel="1">
      <c r="A557" s="286" t="s">
        <v>1365</v>
      </c>
      <c r="B557" s="286" t="s">
        <v>1366</v>
      </c>
      <c r="C557" s="286" t="s">
        <v>1119</v>
      </c>
      <c r="D557" s="286" t="s">
        <v>2128</v>
      </c>
      <c r="E557" s="286"/>
      <c r="J557" t="str">
        <v>STARK Group</v>
      </c>
      <c r="M557" t="str">
        <v>Vivartia (Barbastathis)</v>
      </c>
    </row>
    <row r="558" spans="1:13" ht="15.5" outlineLevel="1">
      <c r="A558" s="286" t="s">
        <v>1367</v>
      </c>
      <c r="B558" s="286" t="s">
        <v>1368</v>
      </c>
      <c r="C558" s="286" t="s">
        <v>1119</v>
      </c>
      <c r="D558" s="286" t="s">
        <v>2129</v>
      </c>
      <c r="E558" s="286"/>
      <c r="J558" t="str">
        <v>Samator Indo Gas</v>
      </c>
      <c r="M558" t="str">
        <v>Vivartia (Delta)</v>
      </c>
    </row>
    <row r="559" spans="1:13" ht="15.5" outlineLevel="1">
      <c r="A559" s="286" t="s">
        <v>1369</v>
      </c>
      <c r="B559" s="286" t="s">
        <v>1370</v>
      </c>
      <c r="C559" s="286" t="s">
        <v>1119</v>
      </c>
      <c r="D559" s="286" t="s">
        <v>2130</v>
      </c>
      <c r="E559" s="286"/>
      <c r="J559" t="str">
        <v>Scan Global Logistics</v>
      </c>
      <c r="M559" t="str">
        <v>Vivartia (Dodoni)</v>
      </c>
    </row>
    <row r="560" spans="1:13" ht="15.5" outlineLevel="1">
      <c r="A560" s="286" t="s">
        <v>1371</v>
      </c>
      <c r="B560" s="286" t="s">
        <v>1372</v>
      </c>
      <c r="C560" s="286" t="s">
        <v>1119</v>
      </c>
      <c r="D560" s="286" t="s">
        <v>2131</v>
      </c>
      <c r="E560" s="286"/>
      <c r="J560" t="str">
        <v>Sebia</v>
      </c>
      <c r="M560" t="str">
        <v>Vivartia (Goody's Everest)</v>
      </c>
    </row>
    <row r="561" spans="1:13" ht="15.5" outlineLevel="1">
      <c r="A561" s="286" t="s">
        <v>1373</v>
      </c>
      <c r="B561" s="286" t="s">
        <v>1374</v>
      </c>
      <c r="C561" s="286" t="s">
        <v>1119</v>
      </c>
      <c r="D561" s="286" t="s">
        <v>2132</v>
      </c>
      <c r="E561" s="286"/>
      <c r="J561" t="str">
        <v>SheerID</v>
      </c>
      <c r="M561" t="str">
        <v>Volleyball World</v>
      </c>
    </row>
    <row r="562" spans="1:13" ht="15.5" outlineLevel="1">
      <c r="A562" s="286" t="s">
        <v>1375</v>
      </c>
      <c r="B562" s="286" t="s">
        <v>1376</v>
      </c>
      <c r="C562" s="286" t="s">
        <v>1119</v>
      </c>
      <c r="D562" s="286" t="s">
        <v>2133</v>
      </c>
      <c r="E562" s="286"/>
      <c r="J562" t="str">
        <v>Siloam</v>
      </c>
      <c r="M562" t="str">
        <v>WTA</v>
      </c>
    </row>
    <row r="563" spans="1:13" ht="15.5" outlineLevel="1">
      <c r="A563" s="286" t="s">
        <v>1377</v>
      </c>
      <c r="B563" s="286" t="s">
        <v>1378</v>
      </c>
      <c r="C563" s="286" t="s">
        <v>1119</v>
      </c>
      <c r="D563" s="286" t="s">
        <v>2134</v>
      </c>
      <c r="E563" s="286"/>
      <c r="J563" t="str">
        <v>Siloam</v>
      </c>
      <c r="M563" t="str">
        <v>WWEX</v>
      </c>
    </row>
    <row r="564" spans="1:13" ht="15.5" outlineLevel="1">
      <c r="A564" s="286" t="s">
        <v>1379</v>
      </c>
      <c r="B564" s="286" t="s">
        <v>1380</v>
      </c>
      <c r="C564" s="286" t="s">
        <v>1119</v>
      </c>
      <c r="D564" s="286" t="s">
        <v>1122</v>
      </c>
      <c r="E564" s="286"/>
      <c r="J564" t="str">
        <v>Six Nations</v>
      </c>
      <c r="M564" t="str">
        <v>WWEX</v>
      </c>
    </row>
    <row r="565" spans="1:13" ht="15.5" outlineLevel="1">
      <c r="A565" s="286" t="s">
        <v>1381</v>
      </c>
      <c r="B565" s="286" t="s">
        <v>1382</v>
      </c>
      <c r="C565" s="286" t="s">
        <v>1119</v>
      </c>
      <c r="D565" s="286" t="s">
        <v>2135</v>
      </c>
      <c r="E565" s="286"/>
      <c r="J565" t="str">
        <v>Skroutz</v>
      </c>
      <c r="M565" t="str">
        <v>WebPros</v>
      </c>
    </row>
    <row r="566" spans="1:13" ht="15.5" outlineLevel="1">
      <c r="A566" s="286" t="s">
        <v>1383</v>
      </c>
      <c r="B566" s="286" t="s">
        <v>1384</v>
      </c>
      <c r="C566" s="286" t="s">
        <v>1119</v>
      </c>
      <c r="D566" s="286" t="s">
        <v>2136</v>
      </c>
      <c r="E566" s="286"/>
      <c r="J566" t="str">
        <v>Skybox Security</v>
      </c>
      <c r="M566" t="str">
        <v>Wireless Logic</v>
      </c>
    </row>
    <row r="567" spans="1:13" ht="15.5" outlineLevel="1">
      <c r="A567" s="286" t="s">
        <v>1385</v>
      </c>
      <c r="B567" s="286" t="s">
        <v>1386</v>
      </c>
      <c r="C567" s="286" t="s">
        <v>1387</v>
      </c>
      <c r="D567" s="286" t="s">
        <v>2137</v>
      </c>
      <c r="E567" s="286"/>
      <c r="J567" t="str">
        <v>Smiths Detection</v>
      </c>
      <c r="M567" t="str">
        <v>Wireless Logic</v>
      </c>
    </row>
    <row r="568" spans="1:13" ht="15.5" outlineLevel="1">
      <c r="A568" s="286" t="s">
        <v>1388</v>
      </c>
      <c r="B568" s="286" t="s">
        <v>1389</v>
      </c>
      <c r="C568" s="286" t="s">
        <v>1119</v>
      </c>
      <c r="D568" s="286" t="s">
        <v>2138</v>
      </c>
      <c r="E568" s="286"/>
      <c r="J568" t="str">
        <v>Sogelink</v>
      </c>
      <c r="M568" t="str">
        <v>WithSecure</v>
      </c>
    </row>
    <row r="569" spans="1:13" ht="15.5" outlineLevel="1">
      <c r="A569" s="286" t="s">
        <v>1390</v>
      </c>
      <c r="B569" s="286" t="s">
        <v>1391</v>
      </c>
      <c r="C569" s="286" t="s">
        <v>1119</v>
      </c>
      <c r="D569" s="286" t="s">
        <v>2139</v>
      </c>
      <c r="E569" s="286"/>
      <c r="J569" t="str">
        <v>Sogo Medical Group</v>
      </c>
      <c r="M569" t="str">
        <v>WithSecure</v>
      </c>
    </row>
    <row r="570" spans="1:13" ht="15.5" outlineLevel="1">
      <c r="A570" s="286" t="s">
        <v>1392</v>
      </c>
      <c r="B570" s="286" t="s">
        <v>1393</v>
      </c>
      <c r="C570" s="286" t="s">
        <v>1119</v>
      </c>
      <c r="D570" s="286" t="s">
        <v>2140</v>
      </c>
      <c r="E570" s="286"/>
      <c r="J570" t="str">
        <v>Soho Global Health</v>
      </c>
      <c r="M570" t="str">
        <v>World of Talents</v>
      </c>
    </row>
    <row r="571" spans="1:13" ht="15.5" outlineLevel="1">
      <c r="A571" s="286" t="s">
        <v>1394</v>
      </c>
      <c r="B571" s="286" t="s">
        <v>1395</v>
      </c>
      <c r="C571" s="286" t="s">
        <v>1119</v>
      </c>
      <c r="D571" s="286" t="s">
        <v>2141</v>
      </c>
      <c r="E571" s="286"/>
      <c r="J571" t="str">
        <v>Sonae MC</v>
      </c>
      <c r="M571" t="str">
        <v>YiKang Pharmacy</v>
      </c>
    </row>
    <row r="572" spans="1:13" ht="15.5" outlineLevel="1">
      <c r="A572" s="286" t="s">
        <v>1396</v>
      </c>
      <c r="B572" s="286" t="s">
        <v>1397</v>
      </c>
      <c r="C572" s="286" t="s">
        <v>1119</v>
      </c>
      <c r="D572" s="286" t="s">
        <v>2142</v>
      </c>
      <c r="E572" s="286"/>
      <c r="J572" t="str">
        <v>Spectrum Medical</v>
      </c>
      <c r="M572" t="str">
        <v>Zabka</v>
      </c>
    </row>
    <row r="573" spans="1:13" ht="15.5" outlineLevel="1">
      <c r="A573" s="286" t="s">
        <v>1396</v>
      </c>
      <c r="B573" s="286" t="s">
        <v>1397</v>
      </c>
      <c r="C573" s="286" t="s">
        <v>1119</v>
      </c>
      <c r="D573" s="286" t="s">
        <v>2142</v>
      </c>
      <c r="E573" s="286"/>
      <c r="J573" t="str">
        <v>Star Vision</v>
      </c>
      <c r="M573" t="str">
        <v>twoday</v>
      </c>
    </row>
    <row r="574" spans="1:13" ht="15.5" outlineLevel="1">
      <c r="A574" s="286" t="s">
        <v>1398</v>
      </c>
      <c r="B574" s="286" t="s">
        <v>1399</v>
      </c>
      <c r="C574" s="286" t="s">
        <v>1249</v>
      </c>
      <c r="D574" s="286" t="s">
        <v>2143</v>
      </c>
      <c r="E574" s="286"/>
      <c r="J574" t="str">
        <v>Stock Spirits</v>
      </c>
      <c r="M574" t="str">
        <v>PUSH Testing</v>
      </c>
    </row>
    <row r="575" spans="1:13" ht="15.5" outlineLevel="1">
      <c r="A575" s="286" t="s">
        <v>1400</v>
      </c>
      <c r="B575" s="286" t="s">
        <v>1401</v>
      </c>
      <c r="C575" s="286" t="s">
        <v>1119</v>
      </c>
      <c r="D575" s="286" t="s">
        <v>2144</v>
      </c>
      <c r="E575" s="286"/>
      <c r="J575" t="str">
        <v>Sunday Natural</v>
      </c>
      <c r="M575" t="str">
        <v>Dummy</v>
      </c>
    </row>
    <row r="576" spans="1:13" ht="15.5" outlineLevel="1">
      <c r="A576" s="286" t="s">
        <v>1402</v>
      </c>
      <c r="B576" s="286" t="s">
        <v>1403</v>
      </c>
      <c r="C576" s="286" t="s">
        <v>1119</v>
      </c>
      <c r="D576" s="286" t="s">
        <v>2145</v>
      </c>
      <c r="E576" s="286"/>
      <c r="J576" t="str">
        <v>SuperStruct</v>
      </c>
      <c r="M576">
        <v>0</v>
      </c>
    </row>
    <row r="577" spans="1:13" ht="15.5" outlineLevel="1">
      <c r="A577" s="286" t="s">
        <v>1404</v>
      </c>
      <c r="B577" s="286" t="s">
        <v>1405</v>
      </c>
      <c r="C577" s="286" t="s">
        <v>1122</v>
      </c>
      <c r="D577" s="286" t="s">
        <v>2146</v>
      </c>
      <c r="E577" s="286"/>
      <c r="J577" t="str">
        <v>Synsam</v>
      </c>
      <c r="M577">
        <v>0</v>
      </c>
    </row>
    <row r="578" spans="1:13" ht="15.5" outlineLevel="1">
      <c r="A578" s="286" t="s">
        <v>1406</v>
      </c>
      <c r="B578" s="286" t="s">
        <v>1407</v>
      </c>
      <c r="C578" s="286" t="s">
        <v>1119</v>
      </c>
      <c r="D578" s="286" t="s">
        <v>2147</v>
      </c>
      <c r="E578" s="286"/>
      <c r="J578" t="str">
        <v>Syntegon</v>
      </c>
      <c r="M578">
        <v>0</v>
      </c>
    </row>
    <row r="579" spans="1:10" ht="15.5" outlineLevel="1">
      <c r="A579" s="286" t="s">
        <v>1408</v>
      </c>
      <c r="B579" s="286" t="s">
        <v>1409</v>
      </c>
      <c r="C579" s="286" t="s">
        <v>1127</v>
      </c>
      <c r="D579" s="286" t="s">
        <v>2148</v>
      </c>
      <c r="E579" s="286"/>
      <c r="J579" t="str">
        <v>System C</v>
      </c>
    </row>
    <row r="580" spans="1:10" ht="15.5" outlineLevel="1">
      <c r="A580" s="286" t="s">
        <v>1410</v>
      </c>
      <c r="B580" s="286" t="s">
        <v>1411</v>
      </c>
      <c r="C580" s="286" t="s">
        <v>1119</v>
      </c>
      <c r="D580" s="286" t="s">
        <v>2149</v>
      </c>
      <c r="E580" s="286"/>
      <c r="J580" t="str">
        <v>TMF Group</v>
      </c>
    </row>
    <row r="581" spans="1:10" ht="15.5" outlineLevel="1">
      <c r="A581" s="286" t="s">
        <v>1412</v>
      </c>
      <c r="B581" s="286" t="s">
        <v>1413</v>
      </c>
      <c r="C581" s="286" t="s">
        <v>1119</v>
      </c>
      <c r="D581" s="286" t="s">
        <v>2150</v>
      </c>
      <c r="E581" s="286"/>
      <c r="J581" t="str">
        <v>TMF Group</v>
      </c>
    </row>
    <row r="582" spans="1:10" ht="15.5" outlineLevel="1">
      <c r="A582" s="286" t="s">
        <v>1414</v>
      </c>
      <c r="B582" s="286" t="s">
        <v>1415</v>
      </c>
      <c r="C582" s="286" t="s">
        <v>1119</v>
      </c>
      <c r="D582" s="286" t="s">
        <v>2151</v>
      </c>
      <c r="E582" s="286"/>
      <c r="J582" t="str">
        <v>TOPdesk</v>
      </c>
    </row>
    <row r="583" spans="1:10" ht="15.5" outlineLevel="1">
      <c r="A583" s="286" t="s">
        <v>1416</v>
      </c>
      <c r="B583" s="286" t="s">
        <v>1417</v>
      </c>
      <c r="C583" s="286" t="s">
        <v>1122</v>
      </c>
      <c r="D583" s="286" t="s">
        <v>2152</v>
      </c>
      <c r="E583" s="286"/>
      <c r="J583" t="str">
        <v>TRY Group</v>
      </c>
    </row>
    <row r="584" spans="1:10" ht="15.5" outlineLevel="1">
      <c r="A584" s="286" t="s">
        <v>1418</v>
      </c>
      <c r="B584" s="286" t="s">
        <v>1419</v>
      </c>
      <c r="C584" s="286" t="s">
        <v>1206</v>
      </c>
      <c r="D584" s="286" t="s">
        <v>2153</v>
      </c>
      <c r="E584" s="286"/>
      <c r="J584" t="str">
        <v>TechInsights</v>
      </c>
    </row>
    <row r="585" spans="1:10" ht="15.5" outlineLevel="1">
      <c r="A585" s="286" t="s">
        <v>1420</v>
      </c>
      <c r="B585" s="286" t="s">
        <v>1421</v>
      </c>
      <c r="C585" s="286" t="s">
        <v>1119</v>
      </c>
      <c r="D585" s="286" t="s">
        <v>2154</v>
      </c>
      <c r="E585" s="286"/>
      <c r="J585" t="str">
        <v>Tendam</v>
      </c>
    </row>
    <row r="586" spans="1:10" ht="15.5" outlineLevel="1">
      <c r="A586" s="286" t="s">
        <v>1422</v>
      </c>
      <c r="B586" s="286" t="s">
        <v>1423</v>
      </c>
      <c r="C586" s="286" t="s">
        <v>1119</v>
      </c>
      <c r="D586" s="286" t="s">
        <v>2155</v>
      </c>
      <c r="E586" s="286"/>
      <c r="J586" t="str">
        <v>Teneo</v>
      </c>
    </row>
    <row r="587" spans="1:10" ht="15.5" outlineLevel="1">
      <c r="A587" s="286" t="s">
        <v>1424</v>
      </c>
      <c r="B587" s="286" t="s">
        <v>1425</v>
      </c>
      <c r="C587" s="286" t="s">
        <v>1119</v>
      </c>
      <c r="D587" s="286" t="s">
        <v>2156</v>
      </c>
      <c r="E587" s="286"/>
      <c r="J587" t="str">
        <v>The Medical City</v>
      </c>
    </row>
    <row r="588" spans="1:10" ht="15.5" outlineLevel="1">
      <c r="A588" s="286" t="s">
        <v>1426</v>
      </c>
      <c r="B588" s="286" t="s">
        <v>1427</v>
      </c>
      <c r="C588" s="286" t="s">
        <v>1119</v>
      </c>
      <c r="D588" s="286" t="s">
        <v>2157</v>
      </c>
      <c r="E588" s="286"/>
      <c r="J588" t="str">
        <v>The Quality Group</v>
      </c>
    </row>
    <row r="589" spans="1:10" ht="15.5" outlineLevel="1">
      <c r="A589" s="286" t="s">
        <v>1428</v>
      </c>
      <c r="B589" s="286" t="s">
        <v>1429</v>
      </c>
      <c r="C589" s="286" t="s">
        <v>1127</v>
      </c>
      <c r="D589" s="286" t="s">
        <v>2158</v>
      </c>
      <c r="E589" s="286"/>
      <c r="J589" t="str">
        <v>Therakos</v>
      </c>
    </row>
    <row r="590" spans="1:10" ht="15.5" outlineLevel="1">
      <c r="A590" s="286" t="s">
        <v>1430</v>
      </c>
      <c r="B590" s="286" t="s">
        <v>1431</v>
      </c>
      <c r="C590" s="286" t="s">
        <v>1119</v>
      </c>
      <c r="D590" s="286" t="s">
        <v>2159</v>
      </c>
      <c r="E590" s="286"/>
      <c r="J590" t="str">
        <v>Theramex</v>
      </c>
    </row>
    <row r="591" spans="1:10" ht="15.5" outlineLevel="1">
      <c r="A591" s="286" t="s">
        <v>1430</v>
      </c>
      <c r="B591" s="286" t="s">
        <v>1431</v>
      </c>
      <c r="C591" s="286" t="s">
        <v>1119</v>
      </c>
      <c r="D591" s="286" t="s">
        <v>2159</v>
      </c>
      <c r="E591" s="286"/>
      <c r="J591" t="str">
        <v>Therme Horizon</v>
      </c>
    </row>
    <row r="592" spans="1:10" ht="15.5" outlineLevel="1">
      <c r="A592" s="286" t="s">
        <v>1432</v>
      </c>
      <c r="B592" s="286" t="s">
        <v>1433</v>
      </c>
      <c r="C592" s="286" t="s">
        <v>1119</v>
      </c>
      <c r="D592" s="286" t="s">
        <v>2160</v>
      </c>
      <c r="E592" s="286"/>
      <c r="J592" t="str">
        <v>Tipico</v>
      </c>
    </row>
    <row r="593" spans="1:10" ht="15.5" outlineLevel="1">
      <c r="A593" s="286" t="s">
        <v>1434</v>
      </c>
      <c r="B593" s="286" t="s">
        <v>1435</v>
      </c>
      <c r="C593" s="286" t="s">
        <v>1354</v>
      </c>
      <c r="D593" s="286" t="s">
        <v>2161</v>
      </c>
      <c r="E593" s="286"/>
      <c r="J593" t="str">
        <v>Tipico</v>
      </c>
    </row>
    <row r="594" spans="1:10" ht="15.5" outlineLevel="1">
      <c r="A594" s="286" t="s">
        <v>1436</v>
      </c>
      <c r="B594" s="286" t="s">
        <v>1437</v>
      </c>
      <c r="C594" s="286" t="s">
        <v>1119</v>
      </c>
      <c r="D594" s="286" t="s">
        <v>2162</v>
      </c>
      <c r="E594" s="286"/>
      <c r="J594" t="str">
        <v>UAX</v>
      </c>
    </row>
    <row r="595" spans="1:10" ht="15.5" outlineLevel="1">
      <c r="A595" s="286" t="s">
        <v>1438</v>
      </c>
      <c r="B595" s="286" t="s">
        <v>1439</v>
      </c>
      <c r="C595" s="286" t="s">
        <v>1119</v>
      </c>
      <c r="D595" s="286" t="s">
        <v>2163</v>
      </c>
      <c r="E595" s="286"/>
      <c r="J595" t="str">
        <v>URUS</v>
      </c>
    </row>
    <row r="596" spans="1:10" ht="15.5" outlineLevel="1">
      <c r="A596" s="286" t="s">
        <v>1440</v>
      </c>
      <c r="B596" s="286" t="s">
        <v>1441</v>
      </c>
      <c r="C596" s="286" t="s">
        <v>1119</v>
      </c>
      <c r="D596" s="286" t="s">
        <v>2164</v>
      </c>
      <c r="E596" s="286"/>
      <c r="J596" t="str">
        <v>Unily</v>
      </c>
    </row>
    <row r="597" spans="1:10" ht="15.5" outlineLevel="1">
      <c r="A597" s="286" t="s">
        <v>1442</v>
      </c>
      <c r="B597" s="286" t="s">
        <v>1443</v>
      </c>
      <c r="C597" s="286" t="s">
        <v>1119</v>
      </c>
      <c r="D597" s="286" t="s">
        <v>2165</v>
      </c>
      <c r="E597" s="286"/>
      <c r="J597" t="str">
        <v>United Rugby Championship</v>
      </c>
    </row>
    <row r="598" spans="1:10" ht="15.5" outlineLevel="1">
      <c r="A598" s="286" t="s">
        <v>1444</v>
      </c>
      <c r="B598" s="286" t="s">
        <v>1445</v>
      </c>
      <c r="C598" s="286" t="s">
        <v>1119</v>
      </c>
      <c r="D598" s="286" t="s">
        <v>2166</v>
      </c>
      <c r="E598" s="286"/>
      <c r="J598" t="str">
        <v>United Rugby Holdings</v>
      </c>
    </row>
    <row r="599" spans="1:10" ht="15.5" outlineLevel="1">
      <c r="A599" s="286" t="s">
        <v>1446</v>
      </c>
      <c r="B599" s="286" t="s">
        <v>1447</v>
      </c>
      <c r="C599" s="286" t="s">
        <v>1119</v>
      </c>
      <c r="D599" s="286" t="s">
        <v>2167</v>
      </c>
      <c r="E599" s="286"/>
      <c r="J599" t="str">
        <v>UnitedLex Corp</v>
      </c>
    </row>
    <row r="600" spans="1:10" ht="15.5" outlineLevel="1">
      <c r="A600" s="286" t="s">
        <v>1448</v>
      </c>
      <c r="B600" s="286" t="s">
        <v>1449</v>
      </c>
      <c r="C600" s="286" t="s">
        <v>1119</v>
      </c>
      <c r="D600" s="286" t="s">
        <v>2168</v>
      </c>
      <c r="E600" s="286"/>
      <c r="J600" t="str">
        <v>Unity</v>
      </c>
    </row>
    <row r="601" spans="1:10" ht="15.5" outlineLevel="1">
      <c r="A601" s="286" t="s">
        <v>1450</v>
      </c>
      <c r="B601" s="286" t="s">
        <v>1451</v>
      </c>
      <c r="C601" s="286" t="s">
        <v>1119</v>
      </c>
      <c r="D601" s="286" t="s">
        <v>2169</v>
      </c>
      <c r="E601" s="286"/>
      <c r="J601" t="str">
        <v>Unity</v>
      </c>
    </row>
    <row r="602" spans="1:10" ht="15.5" outlineLevel="1">
      <c r="A602" s="286" t="s">
        <v>1452</v>
      </c>
      <c r="B602" s="286" t="s">
        <v>1453</v>
      </c>
      <c r="C602" s="286" t="s">
        <v>1119</v>
      </c>
      <c r="D602" s="286" t="s">
        <v>2170</v>
      </c>
      <c r="E602" s="286"/>
      <c r="J602" t="str">
        <v>VelocityEHS</v>
      </c>
    </row>
    <row r="603" spans="1:10" ht="15.5" outlineLevel="1">
      <c r="A603" s="286" t="s">
        <v>1452</v>
      </c>
      <c r="B603" s="286" t="s">
        <v>1453</v>
      </c>
      <c r="C603" s="286" t="s">
        <v>1119</v>
      </c>
      <c r="D603" s="286" t="s">
        <v>2170</v>
      </c>
      <c r="E603" s="286"/>
      <c r="J603" t="str">
        <v>Veritext</v>
      </c>
    </row>
    <row r="604" spans="1:10" ht="15.5" outlineLevel="1">
      <c r="A604" s="286" t="s">
        <v>1454</v>
      </c>
      <c r="B604" s="286" t="s">
        <v>1455</v>
      </c>
      <c r="C604" s="286" t="s">
        <v>1232</v>
      </c>
      <c r="D604" s="286" t="s">
        <v>2171</v>
      </c>
      <c r="E604" s="286"/>
      <c r="J604" t="str">
        <v>Vitalia</v>
      </c>
    </row>
    <row r="605" spans="1:10" ht="15.5" outlineLevel="1">
      <c r="A605" s="286" t="s">
        <v>1456</v>
      </c>
      <c r="B605" s="286" t="s">
        <v>1457</v>
      </c>
      <c r="C605" s="286" t="s">
        <v>1119</v>
      </c>
      <c r="D605" s="286" t="s">
        <v>2172</v>
      </c>
      <c r="E605" s="286"/>
      <c r="J605" t="str">
        <v>Vitech</v>
      </c>
    </row>
    <row r="606" spans="1:10" ht="15.5" outlineLevel="1">
      <c r="A606" s="286" t="s">
        <v>1458</v>
      </c>
      <c r="B606" s="286" t="s">
        <v>1459</v>
      </c>
      <c r="C606" s="286" t="s">
        <v>1119</v>
      </c>
      <c r="D606" s="286" t="s">
        <v>2173</v>
      </c>
      <c r="E606" s="286"/>
      <c r="J606" t="str">
        <v>Vitech</v>
      </c>
    </row>
    <row r="607" spans="1:10" ht="15.5" outlineLevel="1">
      <c r="A607" s="286" t="s">
        <v>1460</v>
      </c>
      <c r="B607" s="286" t="s">
        <v>1461</v>
      </c>
      <c r="C607" s="286" t="s">
        <v>1249</v>
      </c>
      <c r="D607" s="286" t="s">
        <v>2174</v>
      </c>
      <c r="E607" s="286"/>
      <c r="J607" t="str">
        <v>Vivartia</v>
      </c>
    </row>
    <row r="608" spans="1:10" ht="15.5" outlineLevel="1">
      <c r="A608" s="286" t="s">
        <v>1462</v>
      </c>
      <c r="B608" s="286" t="s">
        <v>1463</v>
      </c>
      <c r="C608" s="286" t="s">
        <v>1249</v>
      </c>
      <c r="D608" s="286" t="s">
        <v>2175</v>
      </c>
      <c r="E608" s="286"/>
      <c r="J608" t="str">
        <v>Vivartia (Arabatzis)</v>
      </c>
    </row>
    <row r="609" spans="1:10" ht="15.5" outlineLevel="1">
      <c r="A609" s="286" t="s">
        <v>1464</v>
      </c>
      <c r="B609" s="286" t="s">
        <v>1465</v>
      </c>
      <c r="C609" s="286" t="s">
        <v>1119</v>
      </c>
      <c r="D609" s="286" t="s">
        <v>2176</v>
      </c>
      <c r="E609" s="286"/>
      <c r="J609" t="str">
        <v>Vivartia (Barbastathis)</v>
      </c>
    </row>
    <row r="610" spans="1:10" ht="15.5" outlineLevel="1">
      <c r="A610" s="286" t="s">
        <v>1466</v>
      </c>
      <c r="B610" s="286" t="s">
        <v>1467</v>
      </c>
      <c r="C610" s="286" t="s">
        <v>1119</v>
      </c>
      <c r="D610" s="286" t="s">
        <v>2177</v>
      </c>
      <c r="E610" s="286"/>
      <c r="J610" t="str">
        <v>Vivartia (Delta)</v>
      </c>
    </row>
    <row r="611" spans="1:10" ht="15.5" outlineLevel="1">
      <c r="A611" s="286" t="s">
        <v>1466</v>
      </c>
      <c r="B611" s="286" t="s">
        <v>1467</v>
      </c>
      <c r="C611" s="286" t="s">
        <v>1119</v>
      </c>
      <c r="D611" s="286" t="s">
        <v>2177</v>
      </c>
      <c r="E611" s="286"/>
      <c r="J611" t="str">
        <v>Vivartia (Dodoni)</v>
      </c>
    </row>
    <row r="612" spans="1:10" ht="15.5" outlineLevel="1">
      <c r="A612" s="286" t="s">
        <v>1468</v>
      </c>
      <c r="B612" s="286" t="s">
        <v>1469</v>
      </c>
      <c r="C612" s="286" t="s">
        <v>1119</v>
      </c>
      <c r="D612" s="286" t="s">
        <v>2178</v>
      </c>
      <c r="E612" s="286"/>
      <c r="J612" t="str">
        <v>Vivartia (Goody's Everest)</v>
      </c>
    </row>
    <row r="613" spans="1:10" ht="15.5" outlineLevel="1">
      <c r="A613" s="286" t="s">
        <v>1470</v>
      </c>
      <c r="B613" s="286" t="s">
        <v>1471</v>
      </c>
      <c r="C613" s="286" t="s">
        <v>1119</v>
      </c>
      <c r="D613" s="286" t="s">
        <v>2179</v>
      </c>
      <c r="E613" s="286"/>
      <c r="J613" t="str">
        <v>Volleyball World</v>
      </c>
    </row>
    <row r="614" spans="1:10" ht="15.5" outlineLevel="1">
      <c r="A614" s="286" t="s">
        <v>1472</v>
      </c>
      <c r="B614" s="286" t="s">
        <v>1473</v>
      </c>
      <c r="C614" s="286" t="s">
        <v>1119</v>
      </c>
      <c r="D614" s="286" t="s">
        <v>2180</v>
      </c>
      <c r="E614" s="286"/>
      <c r="J614" t="str">
        <v>WTA</v>
      </c>
    </row>
    <row r="615" spans="1:10" ht="15.5" outlineLevel="1">
      <c r="A615" s="286" t="s">
        <v>1474</v>
      </c>
      <c r="B615" s="286" t="s">
        <v>1475</v>
      </c>
      <c r="C615" s="286" t="s">
        <v>1119</v>
      </c>
      <c r="D615" s="286" t="s">
        <v>2181</v>
      </c>
      <c r="E615" s="286"/>
      <c r="J615" t="str">
        <v>WWEX</v>
      </c>
    </row>
    <row r="616" spans="1:10" ht="15.5" outlineLevel="1">
      <c r="A616" s="286" t="s">
        <v>1474</v>
      </c>
      <c r="B616" s="286" t="s">
        <v>1475</v>
      </c>
      <c r="C616" s="286" t="s">
        <v>1119</v>
      </c>
      <c r="D616" s="286" t="s">
        <v>2181</v>
      </c>
      <c r="E616" s="286"/>
      <c r="J616" t="str">
        <v>WWEX</v>
      </c>
    </row>
    <row r="617" spans="1:10" ht="15.5" outlineLevel="1">
      <c r="A617" s="286" t="s">
        <v>1476</v>
      </c>
      <c r="B617" s="286" t="s">
        <v>1477</v>
      </c>
      <c r="C617" s="286" t="s">
        <v>1119</v>
      </c>
      <c r="D617" s="286" t="s">
        <v>2182</v>
      </c>
      <c r="E617" s="286"/>
      <c r="J617" t="str">
        <v>WebPros</v>
      </c>
    </row>
    <row r="618" spans="1:10" ht="15.5">
      <c r="A618" s="286" t="s">
        <v>1478</v>
      </c>
      <c r="B618" s="286" t="s">
        <v>1479</v>
      </c>
      <c r="C618" s="286" t="s">
        <v>1122</v>
      </c>
      <c r="D618" s="286" t="s">
        <v>1122</v>
      </c>
      <c r="E618" s="286"/>
      <c r="J618" t="str">
        <v>Wireless Logic</v>
      </c>
    </row>
    <row r="619" spans="1:10" ht="15.5">
      <c r="A619" s="286" t="s">
        <v>1480</v>
      </c>
      <c r="B619" s="286" t="s">
        <v>1481</v>
      </c>
      <c r="C619" s="286" t="s">
        <v>1119</v>
      </c>
      <c r="D619" s="286" t="s">
        <v>2183</v>
      </c>
      <c r="E619" s="286"/>
      <c r="J619" t="str">
        <v>Wireless Logic</v>
      </c>
    </row>
    <row r="620" spans="1:10" ht="15.5">
      <c r="A620" s="286" t="s">
        <v>1482</v>
      </c>
      <c r="B620" s="286" t="s">
        <v>1483</v>
      </c>
      <c r="C620" s="286" t="s">
        <v>1119</v>
      </c>
      <c r="D620" s="286" t="s">
        <v>2184</v>
      </c>
      <c r="E620" s="286"/>
      <c r="J620" t="str">
        <v>WithSecure</v>
      </c>
    </row>
    <row r="621" spans="1:10" ht="15.5">
      <c r="A621" s="286" t="s">
        <v>1484</v>
      </c>
      <c r="B621" s="286" t="s">
        <v>1485</v>
      </c>
      <c r="C621" s="286" t="s">
        <v>1122</v>
      </c>
      <c r="D621" s="286" t="s">
        <v>2185</v>
      </c>
      <c r="E621" s="286"/>
      <c r="J621" t="str">
        <v>WithSecure</v>
      </c>
    </row>
    <row r="622" spans="1:10" ht="15.5">
      <c r="A622" s="286" t="s">
        <v>1486</v>
      </c>
      <c r="B622" s="286" t="s">
        <v>1487</v>
      </c>
      <c r="C622" s="286" t="s">
        <v>1119</v>
      </c>
      <c r="D622" s="286" t="s">
        <v>2186</v>
      </c>
      <c r="E622" s="286"/>
      <c r="J622" t="str">
        <v>World of Talents</v>
      </c>
    </row>
    <row r="623" spans="1:10" ht="15.5">
      <c r="A623" s="286" t="s">
        <v>1488</v>
      </c>
      <c r="B623" s="286" t="s">
        <v>1489</v>
      </c>
      <c r="C623" s="286" t="s">
        <v>1119</v>
      </c>
      <c r="D623" s="286" t="s">
        <v>2187</v>
      </c>
      <c r="E623" s="286"/>
      <c r="J623" t="str">
        <v>YiKang Pharmacy</v>
      </c>
    </row>
    <row r="624" spans="1:10" ht="15.5">
      <c r="A624" s="286" t="s">
        <v>1490</v>
      </c>
      <c r="B624" s="286" t="s">
        <v>1491</v>
      </c>
      <c r="C624" s="286" t="s">
        <v>1119</v>
      </c>
      <c r="D624" s="286" t="s">
        <v>2188</v>
      </c>
      <c r="E624" s="286"/>
      <c r="J624" t="str">
        <v>Zabka</v>
      </c>
    </row>
    <row r="625" spans="1:10" ht="15.5">
      <c r="A625" s="286" t="s">
        <v>1492</v>
      </c>
      <c r="B625" s="286" t="s">
        <v>1493</v>
      </c>
      <c r="C625" s="286" t="s">
        <v>1119</v>
      </c>
      <c r="D625" s="286" t="s">
        <v>2189</v>
      </c>
      <c r="E625" s="286"/>
      <c r="J625" t="str">
        <v>twoday</v>
      </c>
    </row>
    <row r="626" spans="1:10" ht="15.5">
      <c r="A626" s="286" t="s">
        <v>1492</v>
      </c>
      <c r="B626" s="286" t="s">
        <v>1493</v>
      </c>
      <c r="C626" s="286" t="s">
        <v>1119</v>
      </c>
      <c r="D626" s="286" t="s">
        <v>2189</v>
      </c>
      <c r="E626" s="286"/>
      <c r="J626" t="str">
        <v>PUSH Testing</v>
      </c>
    </row>
    <row r="627" spans="1:10" ht="15.5">
      <c r="A627" s="286" t="s">
        <v>1494</v>
      </c>
      <c r="B627" s="286" t="s">
        <v>1495</v>
      </c>
      <c r="C627" s="286" t="s">
        <v>1119</v>
      </c>
      <c r="D627" s="286" t="s">
        <v>2190</v>
      </c>
      <c r="E627" s="286"/>
      <c r="J627" t="str">
        <v>Dummy</v>
      </c>
    </row>
    <row r="628" spans="1:10" ht="15.5">
      <c r="A628" s="286" t="s">
        <v>1496</v>
      </c>
      <c r="B628" s="286" t="s">
        <v>1497</v>
      </c>
      <c r="C628" s="286" t="s">
        <v>1122</v>
      </c>
      <c r="D628" s="286" t="s">
        <v>1122</v>
      </c>
      <c r="E628" s="286"/>
      <c r="J628">
        <v>0</v>
      </c>
    </row>
    <row r="629" spans="1:10" ht="15.5">
      <c r="A629" s="286" t="s">
        <v>1496</v>
      </c>
      <c r="B629" s="286" t="s">
        <v>1497</v>
      </c>
      <c r="C629" s="286" t="s">
        <v>1122</v>
      </c>
      <c r="D629" s="286" t="s">
        <v>1122</v>
      </c>
      <c r="E629" s="286"/>
      <c r="J629">
        <v>0</v>
      </c>
    </row>
    <row r="630" spans="1:10" ht="15.5">
      <c r="A630" s="286" t="s">
        <v>1498</v>
      </c>
      <c r="B630" s="286" t="s">
        <v>1499</v>
      </c>
      <c r="C630" s="286" t="s">
        <v>1119</v>
      </c>
      <c r="D630" s="286" t="s">
        <v>2191</v>
      </c>
      <c r="E630" s="286"/>
      <c r="J630">
        <v>0</v>
      </c>
    </row>
    <row r="631" spans="1:5" ht="15.5">
      <c r="A631" s="286" t="s">
        <v>1498</v>
      </c>
      <c r="B631" s="286" t="s">
        <v>1499</v>
      </c>
      <c r="C631" s="286" t="s">
        <v>1119</v>
      </c>
      <c r="D631" s="286" t="s">
        <v>2191</v>
      </c>
      <c r="E631" s="286"/>
    </row>
    <row r="632" spans="1:5" ht="15.5">
      <c r="A632" s="286" t="s">
        <v>1500</v>
      </c>
      <c r="B632" s="286" t="s">
        <v>1501</v>
      </c>
      <c r="C632" s="286" t="s">
        <v>1119</v>
      </c>
      <c r="D632" s="286" t="s">
        <v>2192</v>
      </c>
      <c r="E632" s="286"/>
    </row>
    <row r="633" spans="1:5" ht="15.5">
      <c r="A633" s="286" t="s">
        <v>1502</v>
      </c>
      <c r="B633" s="286" t="s">
        <v>1503</v>
      </c>
      <c r="C633" s="286" t="s">
        <v>1119</v>
      </c>
      <c r="D633" s="286" t="s">
        <v>2193</v>
      </c>
      <c r="E633" s="286"/>
    </row>
    <row r="634" spans="1:5" ht="15.5">
      <c r="A634" s="286" t="s">
        <v>1504</v>
      </c>
      <c r="B634" s="286" t="s">
        <v>1505</v>
      </c>
      <c r="C634" s="286" t="s">
        <v>1119</v>
      </c>
      <c r="D634" s="286" t="s">
        <v>2194</v>
      </c>
      <c r="E634" s="286"/>
    </row>
    <row r="635" spans="1:5" ht="15.5">
      <c r="A635" s="286" t="s">
        <v>1506</v>
      </c>
      <c r="B635" s="286" t="s">
        <v>1507</v>
      </c>
      <c r="C635" s="286" t="s">
        <v>1119</v>
      </c>
      <c r="D635" s="286" t="s">
        <v>2195</v>
      </c>
      <c r="E635" s="286"/>
    </row>
  </sheetData>
  <sheetProtection formatColumns="0" formatRows="0" autoFilter="0" pivotTables="0"/>
  <mergeCells count="2">
    <mergeCell ref="D341:E341"/>
    <mergeCell ref="G410:H415"/>
  </mergeCells>
  <conditionalFormatting sqref="B302:B315">
    <cfRule type="expression" priority="24086" dxfId="4191">
      <formula>INDEX($H$1:$H$382,ROW($X302))=2</formula>
    </cfRule>
  </conditionalFormatting>
  <dataValidations count="6">
    <dataValidation type="list" allowBlank="1" showInputMessage="1" sqref="F168">
      <formula1>array_typeIAdj</formula1>
    </dataValidation>
    <dataValidation type="list" allowBlank="1" showInputMessage="1" sqref="F171">
      <formula1>array_typeIIAdj</formula1>
    </dataValidation>
    <dataValidation errorStyle="information" type="list" allowBlank="1" showInputMessage="1" showErrorMessage="1" errorTitle="If you choose to use other..." error="Ensure you provide the amount for all valid periods (including annual periods). " sqref="B133">
      <formula1>array_RevProxy</formula1>
    </dataValidation>
    <dataValidation errorStyle="information" type="list" allowBlank="1" showInputMessage="1" showErrorMessage="1" errorTitle="If you choose to use other..." error="Ensure you provide the amount and reconciliation from your Reported EBIT(DA)" sqref="D133">
      <formula1>array_earnProxy</formula1>
    </dataValidation>
    <dataValidation type="list" allowBlank="1" showInputMessage="1" sqref="A8">
      <formula1>Company_selector</formula1>
    </dataValidation>
    <dataValidation type="list" allowBlank="1" showInputMessage="1" showErrorMessage="1" sqref="A14">
      <formula1>"37,49"</formula1>
    </dataValidation>
  </dataValidations>
  <hyperlinks>
    <hyperlink ref="E81" r:id="rId1" display="https://portal.veritextllc.com/assets/images/veritext-partner-portal-logo-min.png"/>
    <hyperlink ref="E83" r:id="rId2" display="https://www.enelnorthamerica.com/content/dam/enel-na/newsroom/media-resources/grispertise_logo.png.resize.384.280.center.center.png"/>
    <hyperlink ref="E84" r:id="rId3" display="https://upload.wikimedia.org/wikipedia/commons/5/59/Epicor_Logo_Teal_RGB_%281%29.png"/>
    <hyperlink ref="C140" r:id="rId4" display="https://img.icons8.com/ios/50/search--v1.png"/>
    <hyperlink ref="C141" r:id="rId5" display="https://img.icons8.com/fluency/48/thumb-up.png"/>
    <hyperlink ref="C142" r:id="rId6" display="https://img.icons8.com/ios-filled/50/quote-right.png"/>
    <hyperlink ref="C143" r:id="rId7" display="https://img.icons8.com/ios-glyphs/30/circled-right.png"/>
    <hyperlink ref="C144" r:id="rId8" display="https://img.icons8.com/ios-glyphs/90/circled-up-2.png"/>
    <hyperlink ref="C145" r:id="rId9" display="https://img.icons8.com/ios-glyphs/90/circled-down-2.png"/>
    <hyperlink ref="C146" r:id="rId10" display="https://img.icons8.com/ios-glyphs/90/circled-left.png"/>
    <hyperlink ref="C158" r:id="rId11" display="https://www.cvc.com/media/w5tlvw0e/blue-logo.png"/>
    <hyperlink ref="E82" r:id="rId12" display="https://chronograph-documents-cvc.s3-accelerate.amazonaws.com/production/images/examworks-1677248360143.png?X-Amz-Algorithm=AWS4-HMAC-SHA256&amp;X-Amz-Credential=AKIAYPPVAWWRC5O7O24L%2F20251103%2Feu-west-2%2Fs3%2Faws4_request&amp;X-Amz-Date=20251103T152242Z&amp;X-Amz-Expires=604800&amp;X-Amz-Signature=4fa4b1f63e1173d46f32c322146e4558a1ab0af28f3717a74404c5859cb05028&amp;X-Amz-SignedHeaders=host"/>
    <hyperlink ref="E90" r:id="rId13" display="https://mgroupltd.com/media/bkrdhmsi/mgroup_primarylogo_gradient_bluetext_rgb.png?width=100&amp;v=1db70b6fddcdaf0"/>
    <hyperlink ref="C159" r:id="rId14" display="https://img.icons8.com/ios-glyphs/30/view-file.png"/>
  </hyperlinks>
  <pageMargins left="0.7" right="0.7" top="0.75" bottom="0.75" header="0.3" footer="0.3"/>
  <pageSetup horizontalDpi="1200" verticalDpi="1200" orientation="portrait" paperSize="9" r:id="rId24"/>
  <drawing r:id="rId23"/>
  <tableParts>
    <tablePart r:id="rId15"/>
    <tablePart r:id="rId16"/>
    <tablePart r:id="rId17"/>
    <tablePart r:id="rId18"/>
    <tablePart r:id="rId19"/>
    <tablePart r:id="rId20"/>
    <tablePart r:id="rId21"/>
    <tablePart r:id="rId22"/>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D87E4E-50FD-4BD0-BEA4-0FE5C7BAD568}">
  <sheetPr codeName="Sheet10">
    <tabColor rgb="FFFF7C80"/>
  </sheetPr>
  <dimension ref="A1:AZ241"/>
  <sheetViews>
    <sheetView zoomScale="85" zoomScaleNormal="85" workbookViewId="0" topLeftCell="A1">
      <selection pane="topLeft" activeCell="AL211" sqref="AL211"/>
    </sheetView>
  </sheetViews>
  <sheetFormatPr defaultColWidth="8.76777777777778" defaultRowHeight="15.5"/>
  <cols>
    <col min="1" max="1" width="9.22222222222222" style="2289" customWidth="1"/>
    <col min="2" max="2" width="23.2222222222222" style="2292" customWidth="1"/>
    <col min="3" max="3" width="18.8888888888889" style="2293" customWidth="1"/>
    <col min="4" max="4" width="11.8888888888889" style="2293" customWidth="1"/>
    <col min="5" max="8" width="11.8888888888889" style="2292" customWidth="1"/>
    <col min="9" max="9" width="9.88888888888889" style="2292" customWidth="1"/>
    <col min="10" max="10" width="47.8888888888889" style="2292" customWidth="1"/>
    <col min="11" max="11" width="9.88888888888889" style="2292" bestFit="1" customWidth="1"/>
    <col min="12" max="12" width="8.55555555555556" style="2294" customWidth="1"/>
    <col min="13" max="13" width="43.8888888888889" style="2292" customWidth="1"/>
    <col min="14" max="15" width="20.2222222222222" style="2292" customWidth="1"/>
    <col min="16" max="57" width="9.88888888888889" style="2292" bestFit="1" customWidth="1"/>
    <col min="58" max="16384" width="8.77777777777778" style="2292"/>
  </cols>
  <sheetData>
    <row r="1" spans="1:1" ht="15.5">
      <c r="A1" s="2289" t="s">
        <v>1857</v>
      </c>
    </row>
    <row r="6" spans="1:52" ht="30.75" customHeight="1">
      <c r="A6" s="2295" t="s">
        <v>1767</v>
      </c>
      <c r="B6" s="2296"/>
      <c r="C6" s="2297"/>
      <c r="D6" s="2297"/>
      <c r="E6" s="2296"/>
      <c r="F6" s="2296"/>
      <c r="L6" s="2298" t="s">
        <v>1768</v>
      </c>
      <c r="M6" s="2296"/>
      <c r="N6" s="2296"/>
      <c r="O6" s="2296"/>
      <c r="P6" s="2296"/>
      <c r="Q6" s="2296"/>
      <c r="R6" s="2296"/>
      <c r="S6" s="2296"/>
      <c r="T6" s="2296"/>
      <c r="U6" s="2296"/>
      <c r="V6" s="2296"/>
      <c r="W6" s="2296"/>
      <c r="X6" s="2296"/>
      <c r="Y6" s="2296"/>
      <c r="Z6" s="2296"/>
      <c r="AA6" s="2296"/>
      <c r="AB6" s="2296"/>
      <c r="AC6" s="2296"/>
      <c r="AD6" s="2296"/>
      <c r="AE6" s="2296"/>
      <c r="AF6" s="2296"/>
      <c r="AG6" s="2296"/>
      <c r="AH6" s="2296"/>
      <c r="AI6" s="2296"/>
      <c r="AJ6" s="2296"/>
      <c r="AK6" s="2296"/>
      <c r="AL6" s="2296"/>
      <c r="AM6" s="2296"/>
      <c r="AN6" s="2296"/>
      <c r="AO6" s="2296"/>
      <c r="AP6" s="2296"/>
      <c r="AQ6" s="2296"/>
      <c r="AR6" s="2296"/>
      <c r="AS6" s="2296"/>
      <c r="AT6" s="2296"/>
      <c r="AU6" s="2296"/>
      <c r="AV6" s="2296"/>
      <c r="AW6" s="2296"/>
      <c r="AX6" s="2296"/>
      <c r="AY6" s="2296"/>
      <c r="AZ6" s="2296"/>
    </row>
    <row r="8" spans="1:17" ht="15.5">
      <c r="A8" s="2299" t="s">
        <v>833</v>
      </c>
      <c r="B8" s="2299" t="s">
        <v>1769</v>
      </c>
      <c r="C8" s="2299" t="s">
        <v>1770</v>
      </c>
      <c r="D8" s="2299" t="s">
        <v>94</v>
      </c>
      <c r="E8" s="2299" t="s">
        <v>1771</v>
      </c>
      <c r="F8" s="2299"/>
      <c r="L8" s="2300" t="s">
        <v>833</v>
      </c>
      <c r="M8" s="2299" t="s">
        <v>1769</v>
      </c>
      <c r="N8" s="2299" t="s">
        <v>1770</v>
      </c>
      <c r="O8" s="2299" t="s">
        <v>94</v>
      </c>
      <c r="P8" s="2299" t="s">
        <v>1772</v>
      </c>
      <c r="Q8" s="2299"/>
    </row>
    <row r="9" spans="1:52" ht="15.5">
      <c r="A9" s="2299"/>
      <c r="B9" s="2299"/>
      <c r="C9" s="2299"/>
      <c r="D9" s="2299"/>
      <c r="E9" s="2299"/>
      <c r="F9" s="2299"/>
      <c r="L9" s="2300"/>
      <c r="M9" s="2299"/>
      <c r="N9" s="2299"/>
      <c r="O9" s="2299"/>
      <c r="P9" s="2301"/>
      <c r="Q9" s="2301"/>
      <c r="R9" s="2301"/>
      <c r="S9" s="2301"/>
      <c r="T9" s="2301"/>
      <c r="U9" s="2301"/>
      <c r="V9" s="2301"/>
      <c r="W9" s="2301"/>
      <c r="X9" s="2301"/>
      <c r="Y9" s="2301"/>
      <c r="Z9" s="2301"/>
      <c r="AA9" s="2301"/>
      <c r="AB9" s="2301"/>
      <c r="AC9" s="2301"/>
      <c r="AD9" s="2301"/>
      <c r="AE9" s="2301"/>
      <c r="AF9" s="2301"/>
      <c r="AG9" s="2301"/>
      <c r="AH9" s="2301"/>
      <c r="AI9" s="2301"/>
      <c r="AJ9" s="2301"/>
      <c r="AK9" s="2301"/>
      <c r="AL9" s="2301"/>
      <c r="AM9" s="2301"/>
      <c r="AN9" s="2301"/>
      <c r="AO9" s="2301"/>
      <c r="AP9" s="2301"/>
      <c r="AQ9" s="2301"/>
      <c r="AR9" s="2301"/>
      <c r="AS9" s="2301"/>
      <c r="AT9" s="2301"/>
      <c r="AU9" s="2301"/>
      <c r="AV9" s="2301"/>
      <c r="AW9" s="2301"/>
      <c r="AX9" s="2301"/>
      <c r="AY9" s="2301"/>
      <c r="AZ9" s="2301"/>
    </row>
    <row r="10" spans="1:52" s="2635" customFormat="1" ht="15.5">
      <c r="A10" s="2634"/>
      <c r="C10" s="2636"/>
      <c r="D10" s="2636"/>
      <c r="E10" s="2637" t="e" cm="1">
        <f t="array" ca="1" aca="1" ref="E10">_xlfn.HSTACK(val_currentFYE,EOMONTH(val_currentFYE,12))</f>
        <v>#NAME?</v>
      </c>
      <c r="F10" s="2637"/>
      <c r="L10" s="2638"/>
      <c r="P10" s="2639" cm="1">
        <f t="array" ref="P10:AZ10">_xlfn.ANCHORARRAY(PL!AD11)</f>
        <v>44926</v>
      </c>
      <c r="Q10" s="2639">
        <v>44957</v>
      </c>
      <c r="R10" s="2639">
        <v>44985</v>
      </c>
      <c r="S10" s="2639">
        <v>45016</v>
      </c>
      <c r="T10" s="2639">
        <v>45046</v>
      </c>
      <c r="U10" s="2639">
        <v>45077</v>
      </c>
      <c r="V10" s="2639">
        <v>45107</v>
      </c>
      <c r="W10" s="2639">
        <v>45138</v>
      </c>
      <c r="X10" s="2639">
        <v>45169</v>
      </c>
      <c r="Y10" s="2639">
        <v>45199</v>
      </c>
      <c r="Z10" s="2639">
        <v>45230</v>
      </c>
      <c r="AA10" s="2639">
        <v>45260</v>
      </c>
      <c r="AB10" s="2639">
        <v>45291</v>
      </c>
      <c r="AC10" s="2639">
        <v>45322</v>
      </c>
      <c r="AD10" s="2639">
        <v>45351</v>
      </c>
      <c r="AE10" s="2639">
        <v>45382</v>
      </c>
      <c r="AF10" s="2639">
        <v>45412</v>
      </c>
      <c r="AG10" s="2639">
        <v>45443</v>
      </c>
      <c r="AH10" s="2639">
        <v>45473</v>
      </c>
      <c r="AI10" s="2639">
        <v>45504</v>
      </c>
      <c r="AJ10" s="2639">
        <v>45535</v>
      </c>
      <c r="AK10" s="2639">
        <v>45565</v>
      </c>
      <c r="AL10" s="2639">
        <v>45596</v>
      </c>
      <c r="AM10" s="2639">
        <v>45626</v>
      </c>
      <c r="AN10" s="2639">
        <v>45657</v>
      </c>
      <c r="AO10" s="2639">
        <v>45688</v>
      </c>
      <c r="AP10" s="2639">
        <v>45716</v>
      </c>
      <c r="AQ10" s="2639">
        <v>45747</v>
      </c>
      <c r="AR10" s="2639">
        <v>45777</v>
      </c>
      <c r="AS10" s="2639">
        <v>45808</v>
      </c>
      <c r="AT10" s="2639">
        <v>45838</v>
      </c>
      <c r="AU10" s="2639">
        <v>45869</v>
      </c>
      <c r="AV10" s="2639">
        <v>45900</v>
      </c>
      <c r="AW10" s="2639">
        <v>45930</v>
      </c>
      <c r="AX10" s="2639">
        <v>45961</v>
      </c>
      <c r="AY10" s="2639">
        <v>45991</v>
      </c>
      <c r="AZ10" s="2639">
        <v>46022</v>
      </c>
    </row>
    <row r="11" spans="1:12" ht="15.5">
      <c r="A11" s="2291" t="e" cm="1">
        <f t="array" ca="1" aca="1" ref="A11">_xlfn.LET(_xlpm.PL_RH_A,_xlfn.VSTACK(PL!$AB$20:$AB$138,PL!$Y$139:$Y$293),_xlpm.PL_RH_Attr,PL!$B$20:$B$293,_xlpm.PL_RH,_xlfn._xlws.FILTER(_xlfn.HSTACK(_xlpm.PL_RH_Attr,_xlpm.PL_RH_A),(_xlpm.PL_RH_A&lt;&gt;"")*(_xlpm.PL_RH_Attr&lt;&gt;"")*(_xlpm.PL_RH_A&lt;&gt;"Segment Structure")),_xlpm.PL_Data,_xlfn._xlws.FILTER(PL!$CM$20:$CQ$293,(_xlpm.PL_RH_A&lt;&gt;"")*(_xlpm.PL_RH_Attr&lt;&gt;"")*(_xlpm.PL_RH_A&lt;&gt;"Segments Structure")),_xlpm.PL_Res,UNPIVOT(_xlfn._xlws.FILTER(_xlfn.VSTACK(PL!CM19:CQ19,PL!CM11:CQ11),PL!CM11:CQ11&lt;&gt;""),_xlpm.PL_RH,_xlfn._xlws.FILTER(_xlpm.PL_Data,PL!$CM$11:$CQ$11&lt;&gt;"")),_xlpm.BS_Res,UNPIVOT(_xlfn.VSTACK(BS!$CG$19:$CH$19,BS!$CG$11:$CH$11),_xlfn._xlws.FILTER(_xlfn.HSTACK(BS!$B$20:$B$102,BS!$AB$20:$AB$102),BS!$B$20:$B$102&lt;&gt;""),_xlfn._xlws.FILTER(BS!$CG$20:$CH$102,BS!$B$20:$B$102&lt;&gt;"")),_xlpm.CF_Res,UNPIVOT(_xlfn.VSTACK(CF!$CM$19:$CN$19,CF!$CM$11:$CN$11),_xlfn._xlws.FILTER(_xlfn.HSTACK(CF!$B$20:$B$70,CF!$AB$20:$AB$70),CF!$B$20:$B$70&lt;&gt;""),_xlfn._xlws.FILTER(CF!$CM$20:$CN$70,CF!$B$20:$B$70&lt;&gt;"")),_xlpm.Combine_,_xlfn.VSTACK(_xlpm.PL_Res,_xlpm.BS_Res,_xlpm.CF_Res),_xlpm.RESULT,_xlfn.PIVOTBY(_xlfn.CHOOSECOLS(_xlpm.Combine_,_xlfn.SEQUENCE(3)),_xlfn.CHOOSECOLS(_xlpm.Combine_,4),_xlfn.CHOOSECOLS(_xlpm.Combine_,5),_xleta.MAX,0,0,),_xlpm.Display,_xlfn.DROP(_xlpm.RESULT,1,-1),_xlfn.HSTACK(_xlfn.SEQUENCE(ROWS(_xlpm.Display)),_xlpm.Display))</f>
        <v>#NAME?</v>
      </c>
      <c r="E11" s="2302"/>
      <c r="F11" s="2303"/>
      <c r="L11" s="2290" t="e" cm="1">
        <f t="array" ca="1" aca="1" ref="L11">_xlfn.LET(_xlpm.timeline,array_timeline,_xlpm._PL,_xlfn.VSTACK(_xlfn.HSTACK(PL!$B$20:$B$138,PL!$AB$20:$AB$138,PL!$W$20:$W$138,PL!$AD$20:$BN$138),_xlfn.HSTACK(PL!$B$139:$B$293,PL!$Y$139:$Y$293,PL!$W$139:$W$293,PL!$AD$139:$BN$293)),_xlpm.PL,_xlfn._xlws.FILTER(_xlpm._PL,((PL!$B$20:$B$293&lt;&gt;"")+(PL!$C$20:$C$293&lt;&gt;""))*(_xlfn.VSTACK(PL!$AB$20:$AB$138,PL!$Y$139:$Y$293)&lt;&gt;"")),_xlpm.BSCF,_xlfn.VSTACK(_xlfn.HSTACK(BS!$B$20:$B$123,BS!$AB$20:$AB$123,BS!$W$20:$W$123,BS!$AD$20:$BN$123),_xlfn.HSTACK(CF!$B$20:$B$121,CF!$AB$20:$AB$121,CF!$W$20:$W$121,CF!$AD$20:$BN$121)),_xlpm.Monthly,_xlfn.VSTACK(_xlpm.PL,_xlpm.BSCF),_xlpm._Attri,_xlfn.CHOOSECOLS(_xlpm.Monthly,1),_xlpm._Name,_xlfn.CHOOSECOLS(_xlpm.Monthly,3),_xlpm._Scenario,_xlfn.CHOOSECOLS(_xlpm.Monthly,2),_xlpm.filt,(_xlpm._Attri&lt;&gt;"")*((_xlpm._Name&lt;&gt;0)+(_xlpm._Name&lt;&gt;""))*(_xlpm._Scenario&lt;&gt;0),_xlpm.Stacked,_xlfn._xlws.FILTER(_xlpm.Monthly,_xlpm.filt),_xlpm.RESULT,_xlfn.HSTACK(_xlfn.SEQUENCE(ROWS(_xlpm.Stacked)),_xlpm.Stacked),_xlpm.RESULT)</f>
        <v>#NAME?</v>
      </c>
    </row>
    <row r="12" spans="4:6" ht="15.5">
      <c r="D12" s="2304"/>
      <c r="E12" s="2304"/>
      <c r="F12" s="2304"/>
    </row>
    <row r="13" spans="4:6" ht="15.5">
      <c r="D13" s="2304"/>
      <c r="E13" s="2304"/>
      <c r="F13" s="2304"/>
    </row>
    <row r="14" spans="1:12" s="2305" customFormat="1" ht="15.5">
      <c r="A14" s="2289"/>
      <c r="C14" s="2293"/>
      <c r="D14" s="2304"/>
      <c r="E14" s="2304"/>
      <c r="F14" s="2304"/>
      <c r="G14" s="2292"/>
      <c r="H14" s="2292"/>
      <c r="I14" s="2292"/>
      <c r="J14" s="2292"/>
      <c r="K14" s="2292"/>
      <c r="L14" s="2294"/>
    </row>
    <row r="15" spans="4:8" ht="15.5">
      <c r="D15" s="2304"/>
      <c r="E15" s="2304"/>
      <c r="F15" s="2304"/>
      <c r="H15" s="2304"/>
    </row>
    <row r="16" spans="4:8" ht="15.5">
      <c r="D16" s="2304"/>
      <c r="E16" s="2304"/>
      <c r="F16" s="2304"/>
      <c r="H16" s="2304"/>
    </row>
    <row r="17" spans="4:8" ht="15.5">
      <c r="D17" s="2304"/>
      <c r="E17" s="2304"/>
      <c r="F17" s="2304"/>
      <c r="H17" s="2304"/>
    </row>
    <row r="18" spans="4:8" ht="15.5">
      <c r="D18" s="2304"/>
      <c r="E18" s="2304"/>
      <c r="F18" s="2304"/>
      <c r="H18" s="2304"/>
    </row>
    <row r="19" spans="4:8" ht="15.5">
      <c r="D19" s="2304"/>
      <c r="E19" s="2304"/>
      <c r="F19" s="2304"/>
      <c r="H19" s="2304"/>
    </row>
    <row r="20" spans="4:8" ht="15.5">
      <c r="D20" s="2304"/>
      <c r="E20" s="2304"/>
      <c r="F20" s="2304"/>
      <c r="H20" s="2304"/>
    </row>
    <row r="21" spans="4:8" ht="15.75" customHeight="1">
      <c r="D21" s="2304"/>
      <c r="E21" s="2304"/>
      <c r="F21" s="2304"/>
      <c r="H21" s="2304"/>
    </row>
    <row r="22" spans="4:8" ht="15.5">
      <c r="D22" s="2304"/>
      <c r="E22" s="2304"/>
      <c r="F22" s="2304"/>
      <c r="H22" s="2304"/>
    </row>
    <row r="23" spans="4:8" ht="15.5">
      <c r="D23" s="2304"/>
      <c r="E23" s="2304"/>
      <c r="F23" s="2304"/>
      <c r="H23" s="2304"/>
    </row>
    <row r="24" spans="4:8" ht="15.5">
      <c r="D24" s="2304"/>
      <c r="E24" s="2304"/>
      <c r="F24" s="2304"/>
      <c r="H24" s="2304"/>
    </row>
    <row r="25" spans="4:8" ht="15.5">
      <c r="D25" s="2304"/>
      <c r="E25" s="2304"/>
      <c r="F25" s="2304"/>
      <c r="H25" s="2304"/>
    </row>
    <row r="26" spans="4:8" ht="15.5">
      <c r="D26" s="2304"/>
      <c r="E26" s="2304"/>
      <c r="F26" s="2304"/>
      <c r="H26" s="2304"/>
    </row>
    <row r="27" spans="4:8" ht="15.5">
      <c r="D27" s="2304"/>
      <c r="E27" s="2304"/>
      <c r="F27" s="2304"/>
      <c r="H27" s="2304"/>
    </row>
    <row r="28" spans="4:8" ht="15.5">
      <c r="D28" s="2304"/>
      <c r="E28" s="2304"/>
      <c r="F28" s="2304"/>
      <c r="H28" s="2304"/>
    </row>
    <row r="29" spans="4:8" ht="15.5">
      <c r="D29" s="2304"/>
      <c r="E29" s="2304"/>
      <c r="F29" s="2304"/>
      <c r="H29" s="2304"/>
    </row>
    <row r="30" spans="4:8" ht="15.5">
      <c r="D30" s="2304"/>
      <c r="E30" s="2304"/>
      <c r="F30" s="2304"/>
      <c r="H30" s="2304"/>
    </row>
    <row r="31" spans="4:8" ht="15.5">
      <c r="D31" s="2304"/>
      <c r="E31" s="2304"/>
      <c r="F31" s="2304"/>
      <c r="H31" s="2304"/>
    </row>
    <row r="32" spans="4:8" ht="15.5">
      <c r="D32" s="2304"/>
      <c r="E32" s="2304"/>
      <c r="F32" s="2304"/>
      <c r="H32" s="2304"/>
    </row>
    <row r="33" spans="4:8" ht="15.5">
      <c r="D33" s="2304"/>
      <c r="E33" s="2304"/>
      <c r="F33" s="2304"/>
      <c r="H33" s="2304"/>
    </row>
    <row r="34" spans="4:8" ht="15.5">
      <c r="D34" s="2304"/>
      <c r="E34" s="2304"/>
      <c r="F34" s="2304"/>
      <c r="H34" s="2304"/>
    </row>
    <row r="35" spans="4:8" ht="15.5">
      <c r="D35" s="2304"/>
      <c r="E35" s="2304"/>
      <c r="F35" s="2304"/>
      <c r="H35" s="2304"/>
    </row>
    <row r="36" spans="4:8" ht="15.5">
      <c r="D36" s="2304"/>
      <c r="E36" s="2304"/>
      <c r="F36" s="2304"/>
      <c r="H36" s="2304"/>
    </row>
    <row r="37" spans="4:8" ht="15.5">
      <c r="D37" s="2304"/>
      <c r="E37" s="2304"/>
      <c r="F37" s="2304"/>
      <c r="H37" s="2304"/>
    </row>
    <row r="38" spans="4:8" ht="15.5">
      <c r="D38" s="2304"/>
      <c r="E38" s="2304"/>
      <c r="F38" s="2304"/>
      <c r="H38" s="2304"/>
    </row>
    <row r="39" spans="4:8" ht="15.5">
      <c r="D39" s="2304"/>
      <c r="E39" s="2304"/>
      <c r="F39" s="2304"/>
      <c r="H39" s="2304"/>
    </row>
    <row r="40" spans="4:8" ht="15.5">
      <c r="D40" s="2304"/>
      <c r="E40" s="2304"/>
      <c r="F40" s="2304"/>
      <c r="H40" s="2304"/>
    </row>
    <row r="41" spans="4:8" ht="15.5">
      <c r="D41" s="2304"/>
      <c r="E41" s="2304"/>
      <c r="F41" s="2304"/>
      <c r="H41" s="2304"/>
    </row>
    <row r="42" spans="4:8" ht="15.5">
      <c r="D42" s="2304"/>
      <c r="E42" s="2304"/>
      <c r="F42" s="2304"/>
      <c r="H42" s="2304"/>
    </row>
    <row r="43" spans="4:8" ht="15.5">
      <c r="D43" s="2304"/>
      <c r="E43" s="2304"/>
      <c r="F43" s="2304"/>
      <c r="H43" s="2304"/>
    </row>
    <row r="44" spans="4:8" ht="15.5">
      <c r="D44" s="2304"/>
      <c r="E44" s="2304"/>
      <c r="F44" s="2304"/>
      <c r="H44" s="2304"/>
    </row>
    <row r="45" spans="4:8" ht="15.5">
      <c r="D45" s="2304"/>
      <c r="E45" s="2304"/>
      <c r="F45" s="2304"/>
      <c r="H45" s="2304"/>
    </row>
    <row r="46" spans="4:8" ht="15.5">
      <c r="D46" s="2304"/>
      <c r="E46" s="2304"/>
      <c r="F46" s="2304"/>
      <c r="H46" s="2304"/>
    </row>
    <row r="47" spans="4:8" ht="15.5">
      <c r="D47" s="2304"/>
      <c r="E47" s="2304"/>
      <c r="F47" s="2304"/>
      <c r="H47" s="2304"/>
    </row>
    <row r="48" spans="4:8" ht="15.5">
      <c r="D48" s="2304"/>
      <c r="E48" s="2304"/>
      <c r="F48" s="2304"/>
      <c r="H48" s="2304"/>
    </row>
    <row r="49" spans="4:8" ht="15.5">
      <c r="D49" s="2304"/>
      <c r="E49" s="2304"/>
      <c r="F49" s="2304"/>
      <c r="H49" s="2304"/>
    </row>
    <row r="50" spans="4:8" ht="15.5">
      <c r="D50" s="2304"/>
      <c r="E50" s="2304"/>
      <c r="F50" s="2304"/>
      <c r="H50" s="2304"/>
    </row>
    <row r="51" spans="4:8" ht="15.5">
      <c r="D51" s="2304"/>
      <c r="E51" s="2304"/>
      <c r="F51" s="2304"/>
      <c r="H51" s="2304"/>
    </row>
    <row r="52" spans="4:8" ht="15.5">
      <c r="D52" s="2304"/>
      <c r="E52" s="2304"/>
      <c r="F52" s="2304"/>
      <c r="H52" s="2304"/>
    </row>
    <row r="53" spans="4:8" ht="15.5">
      <c r="D53" s="2304"/>
      <c r="E53" s="2304"/>
      <c r="F53" s="2304"/>
      <c r="H53" s="2304"/>
    </row>
    <row r="54" spans="4:8" ht="15.5">
      <c r="D54" s="2304"/>
      <c r="E54" s="2304"/>
      <c r="F54" s="2304"/>
      <c r="H54" s="2304"/>
    </row>
    <row r="55" spans="4:8" ht="15.5">
      <c r="D55" s="2304"/>
      <c r="E55" s="2304"/>
      <c r="F55" s="2304"/>
      <c r="H55" s="2304"/>
    </row>
    <row r="56" spans="4:8" ht="15.5">
      <c r="D56" s="2304"/>
      <c r="E56" s="2304"/>
      <c r="F56" s="2304"/>
      <c r="H56" s="2304"/>
    </row>
    <row r="57" spans="4:8" ht="15.5">
      <c r="D57" s="2304"/>
      <c r="E57" s="2304"/>
      <c r="F57" s="2304"/>
      <c r="H57" s="2304"/>
    </row>
    <row r="58" spans="4:8" ht="15.5">
      <c r="D58" s="2304"/>
      <c r="E58" s="2304"/>
      <c r="F58" s="2304"/>
      <c r="H58" s="2304"/>
    </row>
    <row r="59" spans="4:8" ht="15.5">
      <c r="D59" s="2304"/>
      <c r="E59" s="2304"/>
      <c r="F59" s="2304"/>
      <c r="H59" s="2304"/>
    </row>
    <row r="60" spans="4:8" ht="15.5">
      <c r="D60" s="2304"/>
      <c r="E60" s="2304"/>
      <c r="F60" s="2304"/>
      <c r="H60" s="2304"/>
    </row>
    <row r="61" spans="4:8" ht="15.5">
      <c r="D61" s="2304"/>
      <c r="E61" s="2304"/>
      <c r="F61" s="2304"/>
      <c r="H61" s="2304"/>
    </row>
    <row r="62" spans="4:8" ht="15.5">
      <c r="D62" s="2304"/>
      <c r="E62" s="2304"/>
      <c r="F62" s="2304"/>
      <c r="H62" s="2304"/>
    </row>
    <row r="63" spans="4:8" ht="15.5">
      <c r="D63" s="2304"/>
      <c r="E63" s="2304"/>
      <c r="F63" s="2304"/>
      <c r="H63" s="2304"/>
    </row>
    <row r="64" spans="4:8" ht="15.5">
      <c r="D64" s="2304"/>
      <c r="E64" s="2304"/>
      <c r="F64" s="2304"/>
      <c r="H64" s="2304"/>
    </row>
    <row r="65" spans="4:8" ht="15.5">
      <c r="D65" s="2304"/>
      <c r="E65" s="2304"/>
      <c r="F65" s="2304"/>
      <c r="H65" s="2304"/>
    </row>
    <row r="66" spans="4:8" ht="15.5">
      <c r="D66" s="2304"/>
      <c r="E66" s="2304"/>
      <c r="F66" s="2304"/>
      <c r="H66" s="2304"/>
    </row>
    <row r="67" spans="4:8" ht="15.5">
      <c r="D67" s="2304"/>
      <c r="E67" s="2304"/>
      <c r="F67" s="2304"/>
      <c r="H67" s="2304"/>
    </row>
    <row r="68" spans="4:8" ht="15.5">
      <c r="D68" s="2304"/>
      <c r="E68" s="2304"/>
      <c r="F68" s="2304"/>
      <c r="H68" s="2304"/>
    </row>
    <row r="69" spans="4:8" ht="15.5">
      <c r="D69" s="2304"/>
      <c r="E69" s="2304"/>
      <c r="F69" s="2304"/>
      <c r="H69" s="2304"/>
    </row>
    <row r="70" spans="4:8" ht="15.5">
      <c r="D70" s="2304"/>
      <c r="E70" s="2304"/>
      <c r="F70" s="2304"/>
      <c r="H70" s="2304"/>
    </row>
    <row r="71" spans="4:8" ht="15.5">
      <c r="D71" s="2304"/>
      <c r="E71" s="2304"/>
      <c r="F71" s="2304"/>
      <c r="H71" s="2304"/>
    </row>
    <row r="72" spans="4:8" ht="15.5">
      <c r="D72" s="2304"/>
      <c r="E72" s="2304"/>
      <c r="F72" s="2304"/>
      <c r="H72" s="2304"/>
    </row>
    <row r="73" spans="4:8" ht="15.5">
      <c r="D73" s="2304"/>
      <c r="E73" s="2304"/>
      <c r="F73" s="2304"/>
      <c r="H73" s="2304"/>
    </row>
    <row r="74" spans="4:8" ht="15.5">
      <c r="D74" s="2304"/>
      <c r="E74" s="2304"/>
      <c r="F74" s="2304"/>
      <c r="H74" s="2304"/>
    </row>
    <row r="75" spans="4:8" ht="15.5">
      <c r="D75" s="2304"/>
      <c r="E75" s="2304"/>
      <c r="F75" s="2304"/>
      <c r="H75" s="2304"/>
    </row>
    <row r="76" spans="4:8" ht="15.5">
      <c r="D76" s="2304"/>
      <c r="E76" s="2304"/>
      <c r="F76" s="2304"/>
      <c r="H76" s="2304"/>
    </row>
    <row r="77" spans="4:8" ht="15.5">
      <c r="D77" s="2304"/>
      <c r="E77" s="2304"/>
      <c r="F77" s="2304"/>
      <c r="H77" s="2304"/>
    </row>
    <row r="78" spans="4:8" ht="15.5">
      <c r="D78" s="2304"/>
      <c r="E78" s="2304"/>
      <c r="F78" s="2304"/>
      <c r="H78" s="2304"/>
    </row>
    <row r="79" spans="4:8" ht="15.5">
      <c r="D79" s="2304"/>
      <c r="E79" s="2304"/>
      <c r="F79" s="2304"/>
      <c r="H79" s="2304"/>
    </row>
    <row r="80" spans="4:8" ht="15.5">
      <c r="D80" s="2304"/>
      <c r="E80" s="2304"/>
      <c r="F80" s="2304"/>
      <c r="H80" s="2304"/>
    </row>
    <row r="81" spans="4:8" ht="15.5">
      <c r="D81" s="2304"/>
      <c r="E81" s="2304"/>
      <c r="F81" s="2304"/>
      <c r="H81" s="2304"/>
    </row>
    <row r="82" spans="4:8" ht="15.5">
      <c r="D82" s="2304"/>
      <c r="E82" s="2304"/>
      <c r="F82" s="2304"/>
      <c r="H82" s="2304"/>
    </row>
    <row r="83" spans="4:8" ht="15.5">
      <c r="D83" s="2304"/>
      <c r="E83" s="2304"/>
      <c r="F83" s="2304"/>
      <c r="H83" s="2304"/>
    </row>
    <row r="84" spans="4:8" ht="15.5">
      <c r="D84" s="2304"/>
      <c r="E84" s="2304"/>
      <c r="F84" s="2304"/>
      <c r="H84" s="2304"/>
    </row>
    <row r="85" spans="4:8" ht="15.5">
      <c r="D85" s="2304"/>
      <c r="E85" s="2304"/>
      <c r="F85" s="2304"/>
      <c r="H85" s="2304"/>
    </row>
    <row r="86" spans="4:8" ht="15.5">
      <c r="D86" s="2304"/>
      <c r="E86" s="2304"/>
      <c r="F86" s="2304"/>
      <c r="H86" s="2304"/>
    </row>
    <row r="87" spans="4:8" ht="15.5">
      <c r="D87" s="2304"/>
      <c r="E87" s="2304"/>
      <c r="F87" s="2304"/>
      <c r="H87" s="2304"/>
    </row>
    <row r="88" spans="4:8" ht="15.5">
      <c r="D88" s="2304"/>
      <c r="E88" s="2304"/>
      <c r="F88" s="2304"/>
      <c r="H88" s="2304"/>
    </row>
    <row r="89" spans="4:8" ht="15.5">
      <c r="D89" s="2304"/>
      <c r="E89" s="2304"/>
      <c r="F89" s="2304"/>
      <c r="H89" s="2304"/>
    </row>
    <row r="90" spans="4:8" ht="15.5">
      <c r="D90" s="2304"/>
      <c r="E90" s="2304"/>
      <c r="F90" s="2304"/>
      <c r="H90" s="2304"/>
    </row>
    <row r="91" spans="4:8" ht="15.5">
      <c r="D91" s="2304"/>
      <c r="E91" s="2304"/>
      <c r="F91" s="2304"/>
      <c r="H91" s="2304"/>
    </row>
    <row r="92" spans="4:8" ht="15.5">
      <c r="D92" s="2304"/>
      <c r="E92" s="2304"/>
      <c r="F92" s="2304"/>
      <c r="H92" s="2304"/>
    </row>
    <row r="93" spans="4:8" ht="15.5">
      <c r="D93" s="2304"/>
      <c r="E93" s="2304"/>
      <c r="F93" s="2304"/>
      <c r="H93" s="2304"/>
    </row>
    <row r="94" spans="4:8" ht="15.5">
      <c r="D94" s="2304"/>
      <c r="E94" s="2304"/>
      <c r="F94" s="2304"/>
      <c r="H94" s="2304"/>
    </row>
    <row r="95" spans="4:8" ht="15.5">
      <c r="D95" s="2304"/>
      <c r="E95" s="2304"/>
      <c r="F95" s="2304"/>
      <c r="H95" s="2304"/>
    </row>
    <row r="96" spans="4:8" ht="15.5">
      <c r="D96" s="2304"/>
      <c r="E96" s="2304"/>
      <c r="F96" s="2304"/>
      <c r="H96" s="2304"/>
    </row>
    <row r="97" spans="4:8" ht="15.5">
      <c r="D97" s="2304"/>
      <c r="E97" s="2304"/>
      <c r="F97" s="2304"/>
      <c r="H97" s="2304"/>
    </row>
    <row r="98" spans="4:8" ht="15.5">
      <c r="D98" s="2304"/>
      <c r="E98" s="2304"/>
      <c r="F98" s="2304"/>
      <c r="H98" s="2304"/>
    </row>
    <row r="99" spans="4:8" ht="15.5">
      <c r="D99" s="2304"/>
      <c r="E99" s="2304"/>
      <c r="F99" s="2304"/>
      <c r="H99" s="2304"/>
    </row>
    <row r="100" spans="4:8" ht="15.5">
      <c r="D100" s="2304"/>
      <c r="E100" s="2304"/>
      <c r="F100" s="2304"/>
      <c r="H100" s="2304"/>
    </row>
    <row r="101" spans="4:8" ht="15.5">
      <c r="D101" s="2304"/>
      <c r="E101" s="2304"/>
      <c r="F101" s="2304"/>
      <c r="H101" s="2304"/>
    </row>
    <row r="102" spans="4:8" ht="15.5">
      <c r="D102" s="2304"/>
      <c r="E102" s="2304"/>
      <c r="F102" s="2304"/>
      <c r="H102" s="2304"/>
    </row>
    <row r="103" spans="4:8" ht="15.5">
      <c r="D103" s="2304"/>
      <c r="E103" s="2304"/>
      <c r="F103" s="2304"/>
      <c r="H103" s="2304"/>
    </row>
    <row r="104" spans="4:8" ht="15.5">
      <c r="D104" s="2304"/>
      <c r="E104" s="2304"/>
      <c r="F104" s="2304"/>
      <c r="H104" s="2304"/>
    </row>
    <row r="105" spans="4:8" ht="15.5">
      <c r="D105" s="2304"/>
      <c r="E105" s="2304"/>
      <c r="F105" s="2304"/>
      <c r="H105" s="2304"/>
    </row>
    <row r="106" spans="4:8" ht="15.5">
      <c r="D106" s="2304"/>
      <c r="E106" s="2304"/>
      <c r="F106" s="2304"/>
      <c r="H106" s="2304"/>
    </row>
    <row r="107" spans="4:8" ht="15.5">
      <c r="D107" s="2304"/>
      <c r="E107" s="2304"/>
      <c r="F107" s="2304"/>
      <c r="H107" s="2304"/>
    </row>
    <row r="108" spans="4:8" ht="15.5">
      <c r="D108" s="2304"/>
      <c r="E108" s="2304"/>
      <c r="F108" s="2304"/>
      <c r="H108" s="2304"/>
    </row>
    <row r="109" spans="4:8" ht="15.5">
      <c r="D109" s="2304"/>
      <c r="E109" s="2304"/>
      <c r="F109" s="2304"/>
      <c r="H109" s="2304"/>
    </row>
    <row r="110" spans="4:8" ht="15.5">
      <c r="D110" s="2304"/>
      <c r="E110" s="2304"/>
      <c r="F110" s="2304"/>
      <c r="H110" s="2304"/>
    </row>
    <row r="111" spans="4:8" ht="15.5">
      <c r="D111" s="2304"/>
      <c r="E111" s="2304"/>
      <c r="F111" s="2304"/>
      <c r="H111" s="2304"/>
    </row>
    <row r="112" spans="4:8" ht="15.5">
      <c r="D112" s="2304"/>
      <c r="E112" s="2304"/>
      <c r="F112" s="2304"/>
      <c r="H112" s="2304"/>
    </row>
    <row r="113" spans="4:8" ht="15.5">
      <c r="D113" s="2304"/>
      <c r="E113" s="2304"/>
      <c r="F113" s="2304"/>
      <c r="H113" s="2304"/>
    </row>
    <row r="114" spans="4:8" ht="15.5">
      <c r="D114" s="2304"/>
      <c r="E114" s="2304"/>
      <c r="F114" s="2304"/>
      <c r="H114" s="2304"/>
    </row>
    <row r="115" spans="4:8" ht="15.5">
      <c r="D115" s="2304"/>
      <c r="E115" s="2304"/>
      <c r="F115" s="2304"/>
      <c r="H115" s="2304"/>
    </row>
    <row r="116" spans="4:8" ht="15.5">
      <c r="D116" s="2304"/>
      <c r="E116" s="2304"/>
      <c r="F116" s="2304"/>
      <c r="H116" s="2304"/>
    </row>
    <row r="117" spans="4:8" ht="15.5">
      <c r="D117" s="2304"/>
      <c r="E117" s="2304"/>
      <c r="F117" s="2304"/>
      <c r="H117" s="2304"/>
    </row>
    <row r="118" spans="4:8" ht="15.5">
      <c r="D118" s="2304"/>
      <c r="E118" s="2304"/>
      <c r="F118" s="2304"/>
      <c r="H118" s="2304"/>
    </row>
    <row r="119" spans="4:8" ht="15.5">
      <c r="D119" s="2304"/>
      <c r="E119" s="2304"/>
      <c r="F119" s="2304"/>
      <c r="H119" s="2304"/>
    </row>
    <row r="120" spans="4:8" ht="15.5">
      <c r="D120" s="2304"/>
      <c r="E120" s="2304"/>
      <c r="F120" s="2304"/>
      <c r="H120" s="2304"/>
    </row>
    <row r="121" spans="4:8" ht="15.5">
      <c r="D121" s="2304"/>
      <c r="E121" s="2304"/>
      <c r="F121" s="2304"/>
      <c r="H121" s="2304"/>
    </row>
    <row r="122" spans="4:8" ht="15.5">
      <c r="D122" s="2304"/>
      <c r="E122" s="2304"/>
      <c r="F122" s="2304"/>
      <c r="H122" s="2304"/>
    </row>
    <row r="123" spans="4:8" ht="15.5">
      <c r="D123" s="2304"/>
      <c r="E123" s="2304"/>
      <c r="F123" s="2304"/>
      <c r="H123" s="2304"/>
    </row>
    <row r="124" spans="4:8" ht="15.5">
      <c r="D124" s="2304"/>
      <c r="E124" s="2304"/>
      <c r="F124" s="2304"/>
      <c r="H124" s="2304"/>
    </row>
    <row r="125" spans="4:8" ht="15.5">
      <c r="D125" s="2304"/>
      <c r="E125" s="2304"/>
      <c r="F125" s="2304"/>
      <c r="H125" s="2304"/>
    </row>
    <row r="126" spans="4:8" ht="15.5">
      <c r="D126" s="2304"/>
      <c r="E126" s="2304"/>
      <c r="F126" s="2304"/>
      <c r="H126" s="2304"/>
    </row>
    <row r="127" spans="4:8" ht="15.5">
      <c r="D127" s="2304"/>
      <c r="E127" s="2304"/>
      <c r="F127" s="2304"/>
      <c r="H127" s="2304"/>
    </row>
    <row r="128" spans="4:8" ht="15.5">
      <c r="D128" s="2304"/>
      <c r="E128" s="2304"/>
      <c r="F128" s="2304"/>
      <c r="H128" s="2304"/>
    </row>
    <row r="129" spans="4:8" ht="15.5">
      <c r="D129" s="2304"/>
      <c r="E129" s="2304"/>
      <c r="F129" s="2304"/>
      <c r="H129" s="2304"/>
    </row>
    <row r="130" spans="4:8" ht="15.5">
      <c r="D130" s="2304"/>
      <c r="E130" s="2304"/>
      <c r="F130" s="2304"/>
      <c r="H130" s="2304"/>
    </row>
    <row r="131" spans="4:8" ht="15.5">
      <c r="D131" s="2304"/>
      <c r="E131" s="2304"/>
      <c r="F131" s="2304"/>
      <c r="H131" s="2304"/>
    </row>
    <row r="132" spans="4:8" ht="15.5">
      <c r="D132" s="2304"/>
      <c r="E132" s="2304"/>
      <c r="F132" s="2304"/>
      <c r="H132" s="2304"/>
    </row>
    <row r="133" spans="4:8" ht="15.5">
      <c r="D133" s="2304"/>
      <c r="E133" s="2304"/>
      <c r="F133" s="2304"/>
      <c r="H133" s="2304"/>
    </row>
    <row r="134" spans="4:8" ht="15.5">
      <c r="D134" s="2304"/>
      <c r="E134" s="2304"/>
      <c r="F134" s="2304"/>
      <c r="H134" s="2304"/>
    </row>
    <row r="135" spans="4:8" ht="15.5">
      <c r="D135" s="2304"/>
      <c r="E135" s="2304"/>
      <c r="F135" s="2304"/>
      <c r="H135" s="2304"/>
    </row>
    <row r="136" spans="4:8" ht="15.5">
      <c r="D136" s="2304"/>
      <c r="E136" s="2304"/>
      <c r="F136" s="2304"/>
      <c r="H136" s="2304"/>
    </row>
    <row r="137" spans="4:8" ht="15.5">
      <c r="D137" s="2304"/>
      <c r="E137" s="2304"/>
      <c r="F137" s="2304"/>
      <c r="H137" s="2304"/>
    </row>
    <row r="138" spans="4:8" ht="15.5">
      <c r="D138" s="2304"/>
      <c r="E138" s="2304"/>
      <c r="F138" s="2304"/>
      <c r="H138" s="2304"/>
    </row>
    <row r="139" spans="4:8" ht="15.5">
      <c r="D139" s="2304"/>
      <c r="E139" s="2304"/>
      <c r="F139" s="2304"/>
      <c r="H139" s="2304"/>
    </row>
    <row r="140" spans="4:8" ht="15.5">
      <c r="D140" s="2304"/>
      <c r="E140" s="2304"/>
      <c r="F140" s="2304"/>
      <c r="H140" s="2304"/>
    </row>
    <row r="141" spans="4:8" ht="15.5">
      <c r="D141" s="2304"/>
      <c r="E141" s="2304"/>
      <c r="F141" s="2304"/>
      <c r="H141" s="2304"/>
    </row>
    <row r="142" spans="4:8" ht="15.5">
      <c r="D142" s="2304"/>
      <c r="E142" s="2304"/>
      <c r="F142" s="2304"/>
      <c r="H142" s="2304"/>
    </row>
    <row r="143" spans="4:8" ht="15.5">
      <c r="D143" s="2304"/>
      <c r="E143" s="2304"/>
      <c r="F143" s="2304"/>
      <c r="H143" s="2304"/>
    </row>
    <row r="144" spans="4:8" ht="15.5">
      <c r="D144" s="2304"/>
      <c r="E144" s="2304"/>
      <c r="F144" s="2304"/>
      <c r="H144" s="2304"/>
    </row>
    <row r="145" spans="4:8" ht="15.5">
      <c r="D145" s="2304"/>
      <c r="E145" s="2304"/>
      <c r="F145" s="2304"/>
      <c r="H145" s="2304"/>
    </row>
    <row r="146" spans="4:8" ht="15.5">
      <c r="D146" s="2304"/>
      <c r="E146" s="2304"/>
      <c r="F146" s="2304"/>
      <c r="H146" s="2304"/>
    </row>
    <row r="147" spans="4:8" ht="15.5">
      <c r="D147" s="2304"/>
      <c r="E147" s="2304"/>
      <c r="F147" s="2304"/>
      <c r="H147" s="2304"/>
    </row>
    <row r="148" spans="4:8" ht="15.5">
      <c r="D148" s="2304"/>
      <c r="E148" s="2304"/>
      <c r="F148" s="2304"/>
      <c r="H148" s="2304"/>
    </row>
    <row r="149" spans="4:8" ht="15.5">
      <c r="D149" s="2304"/>
      <c r="E149" s="2304"/>
      <c r="F149" s="2304"/>
      <c r="H149" s="2304"/>
    </row>
    <row r="150" spans="4:8" ht="15.5">
      <c r="D150" s="2304"/>
      <c r="E150" s="2304"/>
      <c r="F150" s="2304"/>
      <c r="H150" s="2304"/>
    </row>
    <row r="151" spans="4:8" ht="15.5">
      <c r="D151" s="2304"/>
      <c r="E151" s="2304"/>
      <c r="F151" s="2304"/>
      <c r="H151" s="2304"/>
    </row>
    <row r="152" spans="4:8" ht="15.5">
      <c r="D152" s="2304"/>
      <c r="E152" s="2304"/>
      <c r="F152" s="2304"/>
      <c r="H152" s="2304"/>
    </row>
    <row r="153" spans="4:8" ht="15.5">
      <c r="D153" s="2304"/>
      <c r="E153" s="2304"/>
      <c r="F153" s="2304"/>
      <c r="H153" s="2304"/>
    </row>
    <row r="154" spans="4:8" ht="15.5">
      <c r="D154" s="2304"/>
      <c r="E154" s="2304"/>
      <c r="F154" s="2304"/>
      <c r="H154" s="2304"/>
    </row>
    <row r="155" spans="4:8" ht="15.5">
      <c r="D155" s="2304"/>
      <c r="E155" s="2304"/>
      <c r="F155" s="2304"/>
      <c r="H155" s="2304"/>
    </row>
    <row r="156" spans="4:8" ht="15.5">
      <c r="D156" s="2304"/>
      <c r="E156" s="2304"/>
      <c r="F156" s="2304"/>
      <c r="H156" s="2304"/>
    </row>
    <row r="157" spans="4:8" ht="15.5">
      <c r="D157" s="2304"/>
      <c r="E157" s="2304"/>
      <c r="F157" s="2304"/>
      <c r="H157" s="2304"/>
    </row>
    <row r="158" spans="4:8" ht="15.5">
      <c r="D158" s="2304"/>
      <c r="E158" s="2304"/>
      <c r="F158" s="2304"/>
      <c r="H158" s="2304"/>
    </row>
    <row r="159" spans="4:8" ht="15.5">
      <c r="D159" s="2304"/>
      <c r="E159" s="2304"/>
      <c r="F159" s="2304"/>
      <c r="H159" s="2304"/>
    </row>
    <row r="160" spans="4:8" ht="15.5">
      <c r="D160" s="2304"/>
      <c r="E160" s="2304"/>
      <c r="F160" s="2304"/>
      <c r="H160" s="2304"/>
    </row>
    <row r="161" spans="4:8" ht="15.5">
      <c r="D161" s="2304"/>
      <c r="E161" s="2304"/>
      <c r="F161" s="2304"/>
      <c r="H161" s="2304"/>
    </row>
    <row r="162" spans="4:8" ht="15.5">
      <c r="D162" s="2304"/>
      <c r="E162" s="2304"/>
      <c r="F162" s="2304"/>
      <c r="H162" s="2304"/>
    </row>
    <row r="163" spans="4:8" ht="15.5">
      <c r="D163" s="2304"/>
      <c r="E163" s="2304"/>
      <c r="F163" s="2304"/>
      <c r="H163" s="2304"/>
    </row>
    <row r="164" spans="4:8" ht="15.5">
      <c r="D164" s="2304"/>
      <c r="E164" s="2304"/>
      <c r="F164" s="2304"/>
      <c r="H164" s="2304"/>
    </row>
    <row r="165" spans="4:8" ht="15.5">
      <c r="D165" s="2304"/>
      <c r="E165" s="2304"/>
      <c r="F165" s="2304"/>
      <c r="H165" s="2304"/>
    </row>
    <row r="166" spans="4:8" ht="15.5">
      <c r="D166" s="2304"/>
      <c r="E166" s="2304"/>
      <c r="F166" s="2304"/>
      <c r="H166" s="2304"/>
    </row>
    <row r="167" spans="4:8" ht="15.5">
      <c r="D167" s="2304"/>
      <c r="E167" s="2304"/>
      <c r="F167" s="2304"/>
      <c r="H167" s="2304"/>
    </row>
    <row r="168" spans="4:8" ht="15.5">
      <c r="D168" s="2304"/>
      <c r="E168" s="2304"/>
      <c r="F168" s="2304"/>
      <c r="H168" s="2304"/>
    </row>
    <row r="169" spans="4:8" ht="15.5">
      <c r="D169" s="2304"/>
      <c r="E169" s="2304"/>
      <c r="F169" s="2304"/>
      <c r="H169" s="2304"/>
    </row>
    <row r="170" spans="4:8" ht="15.5">
      <c r="D170" s="2304"/>
      <c r="E170" s="2304"/>
      <c r="F170" s="2304"/>
      <c r="H170" s="2304"/>
    </row>
    <row r="171" spans="4:8" ht="15.5">
      <c r="D171" s="2304"/>
      <c r="E171" s="2304"/>
      <c r="F171" s="2304"/>
      <c r="H171" s="2304"/>
    </row>
    <row r="172" spans="4:8" ht="15.5">
      <c r="D172" s="2304"/>
      <c r="E172" s="2304"/>
      <c r="F172" s="2304"/>
      <c r="H172" s="2304"/>
    </row>
    <row r="173" spans="4:8" ht="15.5">
      <c r="D173" s="2304"/>
      <c r="E173" s="2304"/>
      <c r="F173" s="2304"/>
      <c r="H173" s="2304"/>
    </row>
    <row r="174" spans="4:8" ht="15.5">
      <c r="D174" s="2304"/>
      <c r="E174" s="2304"/>
      <c r="F174" s="2304"/>
      <c r="H174" s="2304"/>
    </row>
    <row r="175" spans="4:8" ht="15.5">
      <c r="D175" s="2304"/>
      <c r="E175" s="2304"/>
      <c r="F175" s="2304"/>
      <c r="H175" s="2304"/>
    </row>
    <row r="176" spans="4:8" ht="15.5">
      <c r="D176" s="2304"/>
      <c r="E176" s="2304"/>
      <c r="F176" s="2304"/>
      <c r="H176" s="2304"/>
    </row>
    <row r="177" spans="4:8" ht="15.5">
      <c r="D177" s="2304"/>
      <c r="E177" s="2304"/>
      <c r="F177" s="2304"/>
      <c r="H177" s="2304"/>
    </row>
    <row r="178" spans="4:8" ht="15.5">
      <c r="D178" s="2304"/>
      <c r="E178" s="2304"/>
      <c r="F178" s="2304"/>
      <c r="H178" s="2304"/>
    </row>
    <row r="179" spans="4:8" ht="15.5">
      <c r="D179" s="2304"/>
      <c r="E179" s="2304"/>
      <c r="F179" s="2304"/>
      <c r="H179" s="2304"/>
    </row>
    <row r="180" spans="4:8" ht="15.5">
      <c r="D180" s="2304"/>
      <c r="E180" s="2304"/>
      <c r="F180" s="2304"/>
      <c r="H180" s="2304"/>
    </row>
    <row r="181" spans="4:8" ht="15.5">
      <c r="D181" s="2304"/>
      <c r="E181" s="2304"/>
      <c r="F181" s="2304"/>
      <c r="H181" s="2304"/>
    </row>
    <row r="182" spans="4:8" ht="15.5">
      <c r="D182" s="2304"/>
      <c r="E182" s="2304"/>
      <c r="F182" s="2304"/>
      <c r="H182" s="2304"/>
    </row>
    <row r="183" spans="4:8" ht="15.5">
      <c r="D183" s="2304"/>
      <c r="E183" s="2304"/>
      <c r="F183" s="2304"/>
      <c r="G183" s="2304"/>
      <c r="H183" s="2304"/>
    </row>
    <row r="184" spans="4:8" ht="15.5">
      <c r="D184" s="2304"/>
      <c r="E184" s="2304"/>
      <c r="F184" s="2304"/>
      <c r="G184" s="2304"/>
      <c r="H184" s="2304"/>
    </row>
    <row r="185" spans="4:8" ht="15.5">
      <c r="D185" s="2304"/>
      <c r="E185" s="2304"/>
      <c r="F185" s="2304"/>
      <c r="G185" s="2304"/>
      <c r="H185" s="2304"/>
    </row>
    <row r="186" spans="4:8" ht="15.5">
      <c r="D186" s="2304"/>
      <c r="E186" s="2304"/>
      <c r="F186" s="2304"/>
      <c r="G186" s="2304"/>
      <c r="H186" s="2304"/>
    </row>
    <row r="187" spans="4:8" ht="15.5">
      <c r="D187" s="2304"/>
      <c r="E187" s="2304"/>
      <c r="F187" s="2304"/>
      <c r="G187" s="2304"/>
      <c r="H187" s="2304"/>
    </row>
    <row r="188" spans="4:8" ht="15.5">
      <c r="D188" s="2304"/>
      <c r="E188" s="2304"/>
      <c r="F188" s="2304"/>
      <c r="G188" s="2304"/>
      <c r="H188" s="2304"/>
    </row>
    <row r="189" spans="4:8" ht="15.5">
      <c r="D189" s="2304"/>
      <c r="E189" s="2304"/>
      <c r="F189" s="2304"/>
      <c r="G189" s="2304"/>
      <c r="H189" s="2304"/>
    </row>
    <row r="190" spans="4:8" ht="15.5">
      <c r="D190" s="2304"/>
      <c r="E190" s="2304"/>
      <c r="F190" s="2304"/>
      <c r="G190" s="2304"/>
      <c r="H190" s="2304"/>
    </row>
    <row r="191" spans="4:8" ht="15.5">
      <c r="D191" s="2304"/>
      <c r="E191" s="2304"/>
      <c r="F191" s="2304"/>
      <c r="G191" s="2304"/>
      <c r="H191" s="2304"/>
    </row>
    <row r="192" spans="4:8" ht="15.5">
      <c r="D192" s="2304"/>
      <c r="E192" s="2304"/>
      <c r="F192" s="2304"/>
      <c r="G192" s="2304"/>
      <c r="H192" s="2304"/>
    </row>
    <row r="193" spans="4:8" ht="15.5">
      <c r="D193" s="2304"/>
      <c r="E193" s="2304"/>
      <c r="F193" s="2304"/>
      <c r="G193" s="2304"/>
      <c r="H193" s="2304"/>
    </row>
    <row r="194" spans="4:8" ht="15.5">
      <c r="D194" s="2304"/>
      <c r="E194" s="2304"/>
      <c r="F194" s="2304"/>
      <c r="G194" s="2304"/>
      <c r="H194" s="2304"/>
    </row>
    <row r="195" spans="4:8" ht="15.5">
      <c r="D195" s="2304"/>
      <c r="E195" s="2304"/>
      <c r="F195" s="2304"/>
      <c r="G195" s="2304"/>
      <c r="H195" s="2304"/>
    </row>
    <row r="196" spans="4:8" ht="15.5">
      <c r="D196" s="2304"/>
      <c r="E196" s="2304"/>
      <c r="F196" s="2304"/>
      <c r="G196" s="2304"/>
      <c r="H196" s="2304"/>
    </row>
    <row r="197" spans="4:8" ht="15.5">
      <c r="D197" s="2304"/>
      <c r="E197" s="2304"/>
      <c r="F197" s="2304"/>
      <c r="G197" s="2304"/>
      <c r="H197" s="2304"/>
    </row>
    <row r="198" spans="4:8" ht="15.5">
      <c r="D198" s="2304"/>
      <c r="E198" s="2304"/>
      <c r="F198" s="2304"/>
      <c r="G198" s="2304"/>
      <c r="H198" s="2304"/>
    </row>
    <row r="199" spans="4:8" ht="15.5">
      <c r="D199" s="2304"/>
      <c r="E199" s="2304"/>
      <c r="F199" s="2304"/>
      <c r="G199" s="2304"/>
      <c r="H199" s="2304"/>
    </row>
    <row r="200" spans="4:8" ht="15.5">
      <c r="D200" s="2304"/>
      <c r="E200" s="2304"/>
      <c r="F200" s="2304"/>
      <c r="G200" s="2304"/>
      <c r="H200" s="2304"/>
    </row>
    <row r="201" spans="4:8" ht="15.5">
      <c r="D201" s="2304"/>
      <c r="E201" s="2304"/>
      <c r="F201" s="2304"/>
      <c r="G201" s="2304"/>
      <c r="H201" s="2304"/>
    </row>
    <row r="202" spans="4:8" ht="15.5">
      <c r="D202" s="2304"/>
      <c r="E202" s="2304"/>
      <c r="F202" s="2304"/>
      <c r="G202" s="2304"/>
      <c r="H202" s="2304"/>
    </row>
    <row r="203" spans="4:8" ht="15.5">
      <c r="D203" s="2304"/>
      <c r="E203" s="2304"/>
      <c r="F203" s="2304"/>
      <c r="G203" s="2304"/>
      <c r="H203" s="2304"/>
    </row>
    <row r="204" spans="4:8" ht="15.5">
      <c r="D204" s="2304"/>
      <c r="E204" s="2304"/>
      <c r="F204" s="2304"/>
      <c r="G204" s="2304"/>
      <c r="H204" s="2304"/>
    </row>
    <row r="205" spans="4:8" ht="15.5">
      <c r="D205" s="2304"/>
      <c r="E205" s="2304"/>
      <c r="F205" s="2304"/>
      <c r="G205" s="2304"/>
      <c r="H205" s="2304"/>
    </row>
    <row r="206" spans="4:8" ht="15.5">
      <c r="D206" s="2304"/>
      <c r="E206" s="2304"/>
      <c r="F206" s="2304"/>
      <c r="G206" s="2304"/>
      <c r="H206" s="2304"/>
    </row>
    <row r="207" spans="4:8" ht="15.5">
      <c r="D207" s="2304"/>
      <c r="E207" s="2304"/>
      <c r="F207" s="2304"/>
      <c r="G207" s="2304"/>
      <c r="H207" s="2304"/>
    </row>
    <row r="208" spans="4:8" ht="15.5">
      <c r="D208" s="2304"/>
      <c r="E208" s="2304"/>
      <c r="F208" s="2304"/>
      <c r="G208" s="2304"/>
      <c r="H208" s="2304"/>
    </row>
    <row r="209" spans="4:8" ht="15.5">
      <c r="D209" s="2304"/>
      <c r="E209" s="2304"/>
      <c r="F209" s="2304"/>
      <c r="G209" s="2304"/>
      <c r="H209" s="2304"/>
    </row>
    <row r="210" spans="4:8" ht="15.5">
      <c r="D210" s="2304"/>
      <c r="E210" s="2304"/>
      <c r="F210" s="2304"/>
      <c r="G210" s="2304"/>
      <c r="H210" s="2304"/>
    </row>
    <row r="211" spans="4:8" ht="15.5">
      <c r="D211" s="2304"/>
      <c r="E211" s="2304"/>
      <c r="F211" s="2304"/>
      <c r="G211" s="2304"/>
      <c r="H211" s="2304"/>
    </row>
    <row r="212" spans="4:8" ht="15.5">
      <c r="D212" s="2304"/>
      <c r="E212" s="2304"/>
      <c r="F212" s="2304"/>
      <c r="G212" s="2304"/>
      <c r="H212" s="2304"/>
    </row>
    <row r="213" spans="4:8" ht="15.5">
      <c r="D213" s="2304"/>
      <c r="E213" s="2304"/>
      <c r="F213" s="2304"/>
      <c r="G213" s="2304"/>
      <c r="H213" s="2304"/>
    </row>
    <row r="214" spans="4:8" ht="15.5">
      <c r="D214" s="2304"/>
      <c r="E214" s="2304"/>
      <c r="F214" s="2304"/>
      <c r="G214" s="2304"/>
      <c r="H214" s="2304"/>
    </row>
    <row r="215" spans="4:8" ht="15.5">
      <c r="D215" s="2304"/>
      <c r="E215" s="2304"/>
      <c r="F215" s="2304"/>
      <c r="G215" s="2304"/>
      <c r="H215" s="2304"/>
    </row>
    <row r="216" spans="4:8" ht="15.5">
      <c r="D216" s="2304"/>
      <c r="E216" s="2304"/>
      <c r="F216" s="2304"/>
      <c r="G216" s="2304"/>
      <c r="H216" s="2304"/>
    </row>
    <row r="217" spans="4:8" ht="15.5">
      <c r="D217" s="2304"/>
      <c r="E217" s="2304"/>
      <c r="F217" s="2304"/>
      <c r="G217" s="2304"/>
      <c r="H217" s="2304"/>
    </row>
    <row r="218" spans="4:8" ht="15.5">
      <c r="D218" s="2304"/>
      <c r="E218" s="2304"/>
      <c r="F218" s="2304"/>
      <c r="G218" s="2304"/>
      <c r="H218" s="2304"/>
    </row>
    <row r="219" spans="4:8" ht="15.5">
      <c r="D219" s="2304"/>
      <c r="E219" s="2304"/>
      <c r="F219" s="2304"/>
      <c r="G219" s="2304"/>
      <c r="H219" s="2304"/>
    </row>
    <row r="220" spans="4:8" ht="15.5">
      <c r="D220" s="2304"/>
      <c r="E220" s="2304"/>
      <c r="F220" s="2304"/>
      <c r="G220" s="2304"/>
      <c r="H220" s="2304"/>
    </row>
    <row r="221" spans="4:8" ht="15.5">
      <c r="D221" s="2304"/>
      <c r="E221" s="2304"/>
      <c r="F221" s="2304"/>
      <c r="G221" s="2304"/>
      <c r="H221" s="2304"/>
    </row>
    <row r="222" spans="4:8" ht="15.5">
      <c r="D222" s="2304"/>
      <c r="E222" s="2304"/>
      <c r="F222" s="2304"/>
      <c r="G222" s="2304"/>
      <c r="H222" s="2304"/>
    </row>
    <row r="223" spans="4:8" ht="15.5">
      <c r="D223" s="2304"/>
      <c r="E223" s="2304"/>
      <c r="F223" s="2304"/>
      <c r="G223" s="2304"/>
      <c r="H223" s="2304"/>
    </row>
    <row r="224" spans="4:8" ht="15.5">
      <c r="D224" s="2304"/>
      <c r="E224" s="2304"/>
      <c r="F224" s="2304"/>
      <c r="G224" s="2304"/>
      <c r="H224" s="2304"/>
    </row>
    <row r="225" spans="4:8" ht="15.5">
      <c r="D225" s="2304"/>
      <c r="E225" s="2304"/>
      <c r="F225" s="2304"/>
      <c r="G225" s="2304"/>
      <c r="H225" s="2304"/>
    </row>
    <row r="226" spans="4:8" ht="15.5">
      <c r="D226" s="2304"/>
      <c r="E226" s="2304"/>
      <c r="F226" s="2304"/>
      <c r="G226" s="2304"/>
      <c r="H226" s="2304"/>
    </row>
    <row r="227" spans="4:8" ht="15.5">
      <c r="D227" s="2304"/>
      <c r="E227" s="2304"/>
      <c r="F227" s="2304"/>
      <c r="G227" s="2304"/>
      <c r="H227" s="2304"/>
    </row>
    <row r="228" spans="4:8" ht="15.5">
      <c r="D228" s="2304"/>
      <c r="E228" s="2304"/>
      <c r="F228" s="2304"/>
      <c r="G228" s="2304"/>
      <c r="H228" s="2304"/>
    </row>
    <row r="229" spans="4:8" ht="15.5">
      <c r="D229" s="2304"/>
      <c r="E229" s="2304"/>
      <c r="F229" s="2304"/>
      <c r="G229" s="2304"/>
      <c r="H229" s="2304"/>
    </row>
    <row r="230" spans="4:8" ht="15.5">
      <c r="D230" s="2304"/>
      <c r="E230" s="2304"/>
      <c r="F230" s="2304"/>
      <c r="G230" s="2304"/>
      <c r="H230" s="2304"/>
    </row>
    <row r="231" spans="4:8" ht="15.5">
      <c r="D231" s="2304"/>
      <c r="E231" s="2304"/>
      <c r="F231" s="2304"/>
      <c r="G231" s="2304"/>
      <c r="H231" s="2304"/>
    </row>
    <row r="232" spans="4:8" ht="15.5">
      <c r="D232" s="2304"/>
      <c r="E232" s="2304"/>
      <c r="F232" s="2304"/>
      <c r="G232" s="2304"/>
      <c r="H232" s="2304"/>
    </row>
    <row r="233" spans="4:8" ht="15.5">
      <c r="D233" s="2304"/>
      <c r="E233" s="2304"/>
      <c r="F233" s="2304"/>
      <c r="G233" s="2304"/>
      <c r="H233" s="2304"/>
    </row>
    <row r="234" spans="4:8" ht="15.5">
      <c r="D234" s="2304"/>
      <c r="E234" s="2304"/>
      <c r="F234" s="2304"/>
      <c r="G234" s="2304"/>
      <c r="H234" s="2304"/>
    </row>
    <row r="235" spans="4:8" ht="15.5">
      <c r="D235" s="2304"/>
      <c r="E235" s="2304"/>
      <c r="F235" s="2304"/>
      <c r="G235" s="2304"/>
      <c r="H235" s="2304"/>
    </row>
    <row r="236" spans="4:8" ht="15.5">
      <c r="D236" s="2304"/>
      <c r="E236" s="2304"/>
      <c r="F236" s="2304"/>
      <c r="G236" s="2304"/>
      <c r="H236" s="2304"/>
    </row>
    <row r="237" spans="4:8" ht="15.5">
      <c r="D237" s="2304"/>
      <c r="E237" s="2304"/>
      <c r="F237" s="2304"/>
      <c r="G237" s="2304"/>
      <c r="H237" s="2304"/>
    </row>
    <row r="238" spans="4:8" ht="15.5">
      <c r="D238" s="2304"/>
      <c r="E238" s="2304"/>
      <c r="F238" s="2304"/>
      <c r="G238" s="2304"/>
      <c r="H238" s="2304"/>
    </row>
    <row r="239" spans="4:8" ht="15.5">
      <c r="D239" s="2304"/>
      <c r="E239" s="2304"/>
      <c r="F239" s="2304"/>
      <c r="G239" s="2304"/>
      <c r="H239" s="2304"/>
    </row>
    <row r="240" spans="4:8" ht="15.5">
      <c r="D240" s="2304"/>
      <c r="E240" s="2304"/>
      <c r="F240" s="2304"/>
      <c r="G240" s="2304"/>
      <c r="H240" s="2304"/>
    </row>
    <row r="241" spans="4:8" ht="15.5">
      <c r="D241" s="2304"/>
      <c r="E241" s="2304"/>
      <c r="F241" s="2304"/>
      <c r="G241" s="2304"/>
      <c r="H241" s="2304"/>
    </row>
  </sheetData>
  <sheetProtection formatCells="0" formatColumns="0" formatRows="0" insertColumns="0" insertRows="0" insertHyperlinks="0" deleteColumns="0" deleteRows="0" sort="0" autoFilter="0" pivotTables="0"/>
  <pageMargins left="0.7" right="0.7" top="0.75" bottom="0.75" header="0.3" footer="0.3"/>
  <pageSetup orientation="portrait" paperSize="9" r:id="rId1"/>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Relationships xmlns="http://schemas.openxmlformats.org/package/2006/relationships"><Relationship Id="rId1" Type="http://schemas.openxmlformats.org/officeDocument/2006/relationships/customXmlProps" Target="itemProps4.xml" /></Relationships>
</file>

<file path=customXml/_rels/item5.xml.rels><?xml version="1.0" encoding="UTF-8" standalone="yes"?><Relationships xmlns="http://schemas.openxmlformats.org/package/2006/relationships"><Relationship Id="rId1" Type="http://schemas.openxmlformats.org/officeDocument/2006/relationships/customXmlProps" Target="itemProps5.xml" /></Relationships>
</file>

<file path=customXml/_rels/item6.xml.rels><?xml version="1.0" encoding="UTF-8" standalone="yes"?><Relationships xmlns="http://schemas.openxmlformats.org/package/2006/relationships"><Relationship Id="rId1" Type="http://schemas.openxmlformats.org/officeDocument/2006/relationships/customXmlProps" Target="itemProps6.xml" /></Relationships>
</file>

<file path=customXml/_rels/item7.xml.rels><?xml version="1.0" encoding="UTF-8" standalone="yes"?><Relationships xmlns="http://schemas.openxmlformats.org/package/2006/relationships"><Relationship Id="rId1" Type="http://schemas.openxmlformats.org/officeDocument/2006/relationships/customXmlProps" Target="itemProps7.xml" /></Relationships>
</file>

<file path=customXml/_rels/item8.xml.rels><?xml version="1.0" encoding="UTF-8" standalone="yes"?><Relationships xmlns="http://schemas.openxmlformats.org/package/2006/relationships"><Relationship Id="rId1" Type="http://schemas.openxmlformats.org/officeDocument/2006/relationships/customXmlProps" Target="itemProps8.xml" /></Relationships>
</file>

<file path=customXml/_rels/item9.xml.rels><?xml version="1.0" encoding="UTF-8" standalone="yes"?><Relationships xmlns="http://schemas.openxmlformats.org/package/2006/relationships"><Relationship Id="rId1" Type="http://schemas.openxmlformats.org/officeDocument/2006/relationships/customXmlProps" Target="itemProps9.xml" /></Relationships>
</file>

<file path=customXml/_rels/item10.xml.rels><?xml version="1.0" encoding="UTF-8" standalone="yes"?><Relationships xmlns="http://schemas.openxmlformats.org/package/2006/relationships"><Relationship Id="rId1" Type="http://schemas.openxmlformats.org/officeDocument/2006/relationships/customXmlProps" Target="itemProps10.xml" /></Relationships>
</file>

<file path=customXml/_rels/item11.xml.rels><?xml version="1.0" encoding="UTF-8" standalone="yes"?><Relationships xmlns="http://schemas.openxmlformats.org/package/2006/relationships"><Relationship Id="rId1" Type="http://schemas.openxmlformats.org/officeDocument/2006/relationships/customXmlProps" Target="itemProps11.xml" /></Relationships>
</file>

<file path=customXml/_rels/item12.xml.rels><?xml version="1.0" encoding="UTF-8" standalone="yes"?><Relationships xmlns="http://schemas.openxmlformats.org/package/2006/relationships"><Relationship Id="rId1" Type="http://schemas.openxmlformats.org/officeDocument/2006/relationships/customXmlProps" Target="itemProps12.xml" /></Relationships>
</file>

<file path=customXml/_rels/item13.xml.rels><?xml version="1.0" encoding="UTF-8" standalone="yes"?><Relationships xmlns="http://schemas.openxmlformats.org/package/2006/relationships"><Relationship Id="rId1" Type="http://schemas.openxmlformats.org/officeDocument/2006/relationships/customXmlProps" Target="itemProps13.xml" /></Relationships>
</file>

<file path=customXml/_rels/item14.xml.rels><?xml version="1.0" encoding="UTF-8" standalone="yes"?><Relationships xmlns="http://schemas.openxmlformats.org/package/2006/relationships"><Relationship Id="rId1" Type="http://schemas.openxmlformats.org/officeDocument/2006/relationships/customXmlProps" Target="itemProps14.xml" /></Relationships>
</file>

<file path=customXml/_rels/item15.xml.rels><?xml version="1.0" encoding="UTF-8" standalone="yes"?><Relationships xmlns="http://schemas.openxmlformats.org/package/2006/relationships"><Relationship Id="rId1" Type="http://schemas.openxmlformats.org/officeDocument/2006/relationships/customXmlProps" Target="itemProps15.xml" /></Relationships>
</file>

<file path=customXml/_rels/item16.xml.rels><?xml version="1.0" encoding="UTF-8" standalone="yes"?><Relationships xmlns="http://schemas.openxmlformats.org/package/2006/relationships"><Relationship Id="rId1" Type="http://schemas.openxmlformats.org/officeDocument/2006/relationships/customXmlProps" Target="itemProps16.xml" /></Relationships>
</file>

<file path=customXml/_rels/item17.xml.rels><?xml version="1.0" encoding="UTF-8" standalone="yes"?><Relationships xmlns="http://schemas.openxmlformats.org/package/2006/relationships"><Relationship Id="rId1" Type="http://schemas.openxmlformats.org/officeDocument/2006/relationships/customXmlProps" Target="itemProps17.xml" /></Relationships>
</file>

<file path=customXml/_rels/item18.xml.rels><?xml version="1.0" encoding="UTF-8" standalone="yes"?><Relationships xmlns="http://schemas.openxmlformats.org/package/2006/relationships"><Relationship Id="rId1" Type="http://schemas.openxmlformats.org/officeDocument/2006/relationships/customXmlProps" Target="itemProps18.xml" /></Relationships>
</file>

<file path=customXml/_rels/item19.xml.rels><?xml version="1.0" encoding="UTF-8" standalone="yes"?><Relationships xmlns="http://schemas.openxmlformats.org/package/2006/relationships"><Relationship Id="rId1" Type="http://schemas.openxmlformats.org/officeDocument/2006/relationships/customXmlProps" Target="itemProps19.xml" /></Relationships>
</file>

<file path=customXml/_rels/item20.xml.rels><?xml version="1.0" encoding="UTF-8" standalone="yes"?><Relationships xmlns="http://schemas.openxmlformats.org/package/2006/relationships"><Relationship Id="rId1" Type="http://schemas.openxmlformats.org/officeDocument/2006/relationships/customXmlProps" Target="itemProps20.xml" /></Relationships>
</file>

<file path=customXml/_rels/item21.xml.rels><?xml version="1.0" encoding="UTF-8" standalone="yes"?><Relationships xmlns="http://schemas.openxmlformats.org/package/2006/relationships"><Relationship Id="rId1" Type="http://schemas.openxmlformats.org/officeDocument/2006/relationships/customXmlProps" Target="itemProps21.xml" /></Relationships>
</file>

<file path=customXml/_rels/item22.xml.rels><?xml version="1.0" encoding="UTF-8" standalone="yes"?><Relationships xmlns="http://schemas.openxmlformats.org/package/2006/relationships"><Relationship Id="rId1" Type="http://schemas.openxmlformats.org/officeDocument/2006/relationships/customXmlProps" Target="itemProps22.xml" /></Relationships>
</file>

<file path=customXml/item1.xml><?xml version="1.0" encoding="utf-8"?>
<scriptIds xmlns="http://schemas.microsoft.com/office/extensibility/maker/v1.0" id="script-ids-node-id">
  <scriptId id="ms-officescript%3A%2F%2Fonedrive_business_itemlink%2F01VD6DN3MHK6PXXBBEM5BZFWPWILAGTL2Z:ms-officescript%3A%2F%2Fonedrive_business_sharinglink%2Fu!aHR0cHM6Ly9jdmNjYXBpdGFscGFydG5lcnMtbXkuc2hhcmVwb2ludC5jb20vOnU6L2cvcGVyc29uYWwvam9zZXBoX2NhaV9jdmNfY29tL0VZZFhuM3VFSkdkRGt0bjJRc0JwcjFrQjNNbl9BdzZXRURmd1ZmVVF4aEw1TkE"/>
  <scriptId xmlns="" id="ms-officescript%3A%2F%2Fonedrive_business_itemlink%2F01VD6DN3OL7P625SSKQBF2CTDFC4BWNNL4:ms-officescript%3A%2F%2Fonedrive_business_sharinglink%2Fu!aHR0cHM6Ly9jdmNjYXBpdGFscGFydG5lcnMtbXkuc2hhcmVwb2ludC5jb20vOnU6L2cvcGVyc29uYWwvam9zZXBoX2NhaV9jdmNfY29tL0VjdjdfYTdLU29CTG9VeGxGd05tdFh3QjNLSDFsUndNa1ZSTTFZcF9rSG5IRkE"/>
  <scriptId xmlns="" id="ms-officescript%3A%2F%2Fonedrive_business_itemlink%2F01VD6DN3O67TET4VKHRVCJAV6WC7IJW5XV:ms-officescript%3A%2F%2Fonedrive_business_sharinglink%2Fu!aHR0cHM6Ly9jdmNjYXBpdGFscGFydG5lcnMtbXkuc2hhcmVwb2ludC5jb20vOnU6L2cvcGVyc29uYWwvam9zZXBoX2NhaV9jdmNfY29tL0VkNzh5VDVWUjQxRWtGZldGOUNiZHZVQmR6SHpyX04zdVpKcTF1WWxkOWxFcmc"/>
  <scriptId xmlns="" id="ms-officescript%3A%2F%2Fonedrive_business_itemlink%2F01VD6DN3MBCYFRVKMATRDLLU7N6DGQYVJ7:ms-officescript%3A%2F%2Fonedrive_business_sharinglink%2Fu!aHR0cHM6Ly9jdmNjYXBpdGFscGFydG5lcnMtbXkuc2hhcmVwb2ludC5jb20vOnU6L2cvcGVyc29uYWwvam9zZXBoX2NhaV9jdmNfY29tL0VZRVdDeHFwZ0p4R3RkUHQ4TTBNVlQ4QmZxZUFoMk1pZGFJcWIzLXIxOTRXWHc"/>
  <scriptId xmlns="" id="ms-officescript%3A%2F%2Fonedrive_business_itemlink%2F01VD6DN3JZTHWFKLFGF5H32PMFVSMFJ356:ms-officescript%3A%2F%2Fonedrive_business_sharinglink%2Fu!aHR0cHM6Ly9jdmNjYXBpdGFscGFydG5lcnMtbXkuc2hhcmVwb2ludC5jb20vOnU6L2cvcGVyc29uYWwvam9zZXBoX2NhaV9jdmNfY29tL0VUbVo3RlVzcGk5UHZUMkZySmhVNzc0QkZtNWUwTk12UUxpb2NUWUdCaXM0MEE"/>
  <scriptId xmlns="" id="ms-officescript%3A%2F%2Fonedrive_business_itemlink%2F01VD6DN3JA7BH7IUHDKRBZYCQWEKYMFPJL:ms-officescript%3A%2F%2Fonedrive_business_sharinglink%2Fu!aHR0cHM6Ly9jdmNjYXBpdGFscGFydG5lcnMtbXkuc2hhcmVwb2ludC5jb20vOnU6L2cvcGVyc29uYWwvam9zZXBoX2NhaV9jdmNfY29tL0VTRDRUX1JRNDFSRG5Bb1dJckRDdlNzQnlqU1R0Q1hBM0RTU25wR0dxbG9wQXc"/>
  <scriptId xmlns="" id="ms-officescript%3A%2F%2Fonedrive_business_itemlink%2F01VD6DN3NKIW2I3DD6TJB34L4I7ETG4S3F:ms-officescript%3A%2F%2Fonedrive_business_sharinglink%2Fu!aHR0cHM6Ly9jdmNjYXBpdGFscGFydG5lcnMtbXkuc2hhcmVwb2ludC5jb20vOnU6L2cvcGVyc29uYWwvam9zZXBoX2NhaV9jdmNfY29tL0VhcEZ0STJNZnBwRHZpLUktU1p1UzJVQjlJNkZ5S0dfeVp3dFVhbGwwZkJNY2c"/>
  <scriptId xmlns="" id="ms-officescript%3A%2F%2Fonedrive_business_itemlink%2F01VD6DN3OQSEDNRGYMOBALCDLTX2MHKCQT:ms-officescript%3A%2F%2Fonedrive_business_sharinglink%2Fu!aHR0cHM6Ly9jdmNjYXBpdGFscGFydG5lcnMtbXkuc2hhcmVwb2ludC5jb20vOnU6L2cvcGVyc29uYWwvam9zZXBoX2NhaV9jdmNfY29tL0VkQ1JCdGliREhCQXNRMXp2cGgxQ2hNQndqUWl4LUJYUXR0VDVwSmlONW9CWGc"/>
  <scriptId xmlns="" id="ms-officescript%3A%2F%2Fsharepoint_itemlink%2Fb!bcZEvPl_8ECz7fKmKLeEjnryhO94niVCjBW2RQk-d_Q9DiiU5qFMQqoNZaD5tdW9%2F01VJO77242I3RISIXARBEK5JL3DFTDSRL2:ms-officescript%3A%2F%2Fsharepoint_sharinglink%2Fu!aHR0cHM6Ly9jdmNjYXBpdGFscGFydG5lcnMuc2hhcmVwb2ludC5jb20vOnU6L3MvRGF0YVBsYXRmb3JtVGVhbS9JUUNhUnVLSkl1Q0lTSzZsZXhsbU9VVjZBZmVFendaSzVKX0hZcmpVUHNqTGprTQ"/>
  <scriptId xmlns="" id="ms-officescript%3A%2F%2Fsharepoint_itemlink%2Fb!bcZEvPl_8ECz7fKmKLeEjnryhO94niVCjBW2RQk-d_Q9DiiU5qFMQqoNZaD5tdW9%2F01VJO7723QHC4VJP33IJA2LHNABXDXOF2H:ms-officescript%3A%2F%2Fsharepoint_sharinglink%2Fu!aHR0cHM6Ly9jdmNjYXBpdGFscGFydG5lcnMuc2hhcmVwb2ludC5jb20vOnU6L3MvRGF0YVBsYXRmb3JtVGVhbS9JUUJ3T0xsVXYzdENRYVdkb0EzSGR4ZEhBYnZSZlhYaXdEUU1yTnhEX2EySm0xWQ"/>
</scriptIds>
</file>

<file path=customXml/item2.xml><?xml version="1.0" encoding="utf-8"?>
<p:properties xmlns:p="http://schemas.microsoft.com/office/2006/metadata/properties" xmlns:xsi="http://www.w3.org/2001/XMLSchema-instance" xmlns:pc="http://schemas.microsoft.com/office/infopath/2007/PartnerControls">
  <documentManagement>
    <TaxCatchAll xmlns="6c67c4d6-8dae-43df-ace2-3f2dcdb3fa6d" xsi:nil="true"/>
    <Fund xmlns="759a281f-b65c-44ff-9b15-bbf2d0fe92d1" xsi:nil="true"/>
    <lcf76f155ced4ddcb4097134ff3c332f xmlns="759a281f-b65c-44ff-9b15-bbf2d0fe92d1">
      <Terms xmlns="http://schemas.microsoft.com/office/infopath/2007/PartnerControls"/>
    </lcf76f155ced4ddcb4097134ff3c332f>
    <_Flow_SignoffStatus xmlns="759a281f-b65c-44ff-9b15-bbf2d0fe92d1" xsi:nil="true"/>
  </documentManagement>
</p:properties>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9F5D2E9FC02DF0408C55FE50BF3557D5" ma:contentTypeVersion="21" ma:contentTypeDescription="Create a new document." ma:contentTypeScope="" ma:versionID="8f197a5e9b89359ba6c9c377cc9b9506">
  <xsd:schema xmlns:xsd="http://www.w3.org/2001/XMLSchema" xmlns:xs="http://www.w3.org/2001/XMLSchema" xmlns:p="http://schemas.microsoft.com/office/2006/metadata/properties" xmlns:ns2="759a281f-b65c-44ff-9b15-bbf2d0fe92d1" xmlns:ns3="1338d2e0-3613-447a-ba64-fa2acfeba344" xmlns:ns4="6c67c4d6-8dae-43df-ace2-3f2dcdb3fa6d" targetNamespace="http://schemas.microsoft.com/office/2006/metadata/properties" ma:root="true" ma:fieldsID="a4309b1097a172ee750dc3b24eaed028" ns2:_="" ns3:_="" ns4:_="">
    <xsd:import namespace="759a281f-b65c-44ff-9b15-bbf2d0fe92d1"/>
    <xsd:import namespace="1338d2e0-3613-447a-ba64-fa2acfeba344"/>
    <xsd:import namespace="6c67c4d6-8dae-43df-ace2-3f2dcdb3fa6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GenerationTime" minOccurs="0"/>
                <xsd:element ref="ns2:MediaServiceEventHashCode" minOccurs="0"/>
                <xsd:element ref="ns2:MediaServiceOCR" minOccurs="0"/>
                <xsd:element ref="ns2:lcf76f155ced4ddcb4097134ff3c332f" minOccurs="0"/>
                <xsd:element ref="ns4:TaxCatchAll" minOccurs="0"/>
                <xsd:element ref="ns2:Fund" minOccurs="0"/>
                <xsd:element ref="ns2:MediaServiceSearchProperties" minOccurs="0"/>
                <xsd:element ref="ns2:MediaLengthInSeconds" minOccurs="0"/>
                <xsd:element ref="ns2:_Flow_SignoffStatus" minOccurs="0"/>
                <xsd:element ref="ns2:MediaServiceObjectDetectorVersion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9a281f-b65c-44ff-9b15-bbf2d0fe92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73b572b-89f5-407e-bf86-2f861478ebe1" ma:termSetId="09814cd3-568e-fe90-9814-8d621ff8fb84" ma:anchorId="fba54fb3-c3e1-fe81-a776-ca4b69148c4d" ma:open="true" ma:isKeyword="false">
      <xsd:complexType>
        <xsd:sequence>
          <xsd:element ref="pc:Terms" minOccurs="0" maxOccurs="1"/>
        </xsd:sequence>
      </xsd:complexType>
    </xsd:element>
    <xsd:element name="Fund" ma:index="21" nillable="true" ma:displayName="Fund" ma:format="Dropdown" ma:internalName="Fund">
      <xsd:simpleType>
        <xsd:restriction base="dms:Text">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_Flow_SignoffStatus" ma:index="24" nillable="true" ma:displayName="Sign-off status" ma:internalName="Sign_x002d_off_x0020_status">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Location" ma:index="26" nillable="true" ma:displayName="Location" ma:description="" ma:indexed="true" ma:internalName="MediaServiceLocation" ma:readOnly="true">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338d2e0-3613-447a-ba64-fa2acfeba34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67c4d6-8dae-43df-ace2-3f2dcdb3fa6d"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edf0b5c3-33eb-455e-b05d-d202ad5068a2}" ma:internalName="TaxCatchAll" ma:showField="CatchAllData" ma:web="1338d2e0-3613-447a-ba64-fa2acfeba3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EBB18387-8470-4853-8C77-B12A51CB1745}">
  <ds:schemaRefs>
    <ds:schemaRef ds:uri="http://schemas.microsoft.com/office/extensibility/maker/v1.0"/>
    <ds:schemaRef ds:uri=""/>
  </ds:schemaRefs>
</ds:datastoreItem>
</file>

<file path=customXml/itemProps2.xml><?xml version="1.0" encoding="utf-8"?>
<ds:datastoreItem xmlns:ds="http://schemas.openxmlformats.org/officeDocument/2006/customXml" ds:itemID="{95D5983A-9C08-4763-A394-44D1358B8F16}">
  <ds:schemaRefs>
    <ds:schemaRef ds:uri="http://www.w3.org/XML/1998/namespace"/>
    <ds:schemaRef ds:uri="http://purl.org/dc/terms/"/>
    <ds:schemaRef ds:uri="6c67c4d6-8dae-43df-ace2-3f2dcdb3fa6d"/>
    <ds:schemaRef ds:uri="http://schemas.openxmlformats.org/package/2006/metadata/core-properties"/>
    <ds:schemaRef ds:uri="759a281f-b65c-44ff-9b15-bbf2d0fe92d1"/>
    <ds:schemaRef ds:uri="http://schemas.microsoft.com/office/2006/documentManagement/types"/>
    <ds:schemaRef ds:uri="http://purl.org/dc/elements/1.1/"/>
    <ds:schemaRef ds:uri="http://purl.org/dc/dcmitype/"/>
    <ds:schemaRef ds:uri="http://schemas.microsoft.com/office/2006/metadata/properties"/>
    <ds:schemaRef ds:uri="http://schemas.microsoft.com/office/infopath/2007/PartnerControls"/>
    <ds:schemaRef ds:uri="1338d2e0-3613-447a-ba64-fa2acfeba344"/>
  </ds:schemaRefs>
</ds:datastoreItem>
</file>

<file path=customXml/itemProps3.xml><?xml version="1.0" encoding="utf-8"?>
<ds:datastoreItem xmlns:ds="http://schemas.openxmlformats.org/officeDocument/2006/customXml" ds:itemID="{C8FCE21F-8A0A-404B-A29F-C51309949408}">
  <ds:schemaRefs>
    <ds:schemaRef ds:uri="http://gemini/pivotcustomization/TableWidget"/>
  </ds:schemaRefs>
</ds:datastoreItem>
</file>

<file path=customXml/itemProps4.xml><?xml version="1.0" encoding="utf-8"?>
<ds:datastoreItem xmlns:ds="http://schemas.openxmlformats.org/officeDocument/2006/customXml" ds:itemID="{BF47B86E-A83F-45AE-AF54-6B30C4232E64}">
  <ds:schemaRefs>
    <ds:schemaRef ds:uri="http://gemini/pivotcustomization/MeasureGridState"/>
  </ds:schemaRefs>
</ds:datastoreItem>
</file>

<file path=customXml/itemProps5.xml><?xml version="1.0" encoding="utf-8"?>
<ds:datastoreItem xmlns:ds="http://schemas.openxmlformats.org/officeDocument/2006/customXml" ds:itemID="{8C9AF51E-1E21-47E8-951A-4E57117D32AA}">
  <ds:schemaRefs>
    <ds:schemaRef ds:uri="http://gemini/pivotcustomization/ShowImplicitMeasures"/>
  </ds:schemaRefs>
</ds:datastoreItem>
</file>

<file path=customXml/itemProps6.xml><?xml version="1.0" encoding="utf-8"?>
<ds:datastoreItem xmlns:ds="http://schemas.openxmlformats.org/officeDocument/2006/customXml" ds:itemID="{089E1B31-FF88-453B-8427-A4AF73275AC0}">
  <ds:schemaRefs>
    <ds:schemaRef ds:uri="http://gemini/pivotcustomization/Diagrams"/>
  </ds:schemaRefs>
</ds:datastoreItem>
</file>

<file path=customXml/itemProps7.xml><?xml version="1.0" encoding="utf-8"?>
<ds:datastoreItem xmlns:ds="http://schemas.openxmlformats.org/officeDocument/2006/customXml" ds:itemID="{132F0B95-FFDB-40D9-88BF-52227A3982F4}">
  <ds:schemaRefs>
    <ds:schemaRef ds:uri="http://gemini/pivotcustomization/TableOrder"/>
  </ds:schemaRefs>
</ds:datastoreItem>
</file>

<file path=customXml/itemProps8.xml><?xml version="1.0" encoding="utf-8"?>
<ds:datastoreItem xmlns:ds="http://schemas.openxmlformats.org/officeDocument/2006/customXml" ds:itemID="{66F498D1-6418-40C0-AE08-1751A955C8A4}">
  <ds:schemaRefs>
    <ds:schemaRef ds:uri="http://gemini/pivotcustomization/LinkedTableUpdateMode"/>
  </ds:schemaRefs>
</ds:datastoreItem>
</file>

<file path=customXml/itemProps9.xml><?xml version="1.0" encoding="utf-8"?>
<ds:datastoreItem xmlns:ds="http://schemas.openxmlformats.org/officeDocument/2006/customXml" ds:itemID="{0AE6F9DF-755B-4D63-B11B-4B97C3E7220E}">
  <ds:schemaRefs>
    <ds:schemaRef ds:uri="http://gemini/pivotcustomization/ErrorCache"/>
  </ds:schemaRefs>
</ds:datastoreItem>
</file>

<file path=customXml/itemProps10.xml><?xml version="1.0" encoding="utf-8"?>
<ds:datastoreItem xmlns:ds="http://schemas.openxmlformats.org/officeDocument/2006/customXml" ds:itemID="{77E0E73B-48B4-40F3-8092-0417ADAD8458}">
  <ds:schemaRefs>
    <ds:schemaRef ds:uri="http://gemini/pivotcustomization/TableXML_tbl_debt_entity_e8f7c446-890a-4327-b732-3e1ee957a1f7"/>
  </ds:schemaRefs>
</ds:datastoreItem>
</file>

<file path=customXml/itemProps11.xml><?xml version="1.0" encoding="utf-8"?>
<ds:datastoreItem xmlns:ds="http://schemas.openxmlformats.org/officeDocument/2006/customXml" ds:itemID="{F1BE71AB-6B65-47B6-8C98-52F4BCCC1160}">
  <ds:schemaRefs>
    <ds:schemaRef ds:uri="http://schemas.microsoft.com/DataMashup"/>
  </ds:schemaRefs>
</ds:datastoreItem>
</file>

<file path=customXml/itemProps12.xml><?xml version="1.0" encoding="utf-8"?>
<ds:datastoreItem xmlns:ds="http://schemas.openxmlformats.org/officeDocument/2006/customXml" ds:itemID="{6E795E0D-5A09-46D5-AFC9-33416E92CB12}">
  <ds:schemaRefs>
    <ds:schemaRef ds:uri="http://gemini/pivotcustomization/ManualCalcMode"/>
  </ds:schemaRefs>
</ds:datastoreItem>
</file>

<file path=customXml/itemProps13.xml><?xml version="1.0" encoding="utf-8"?>
<ds:datastoreItem xmlns:ds="http://schemas.openxmlformats.org/officeDocument/2006/customXml" ds:itemID="{15E11110-9919-41B8-B219-71B335362F7D}">
  <ds:schemaRefs>
    <ds:schemaRef ds:uri="http://schemas.microsoft.com/sharepoint/v3/contenttype/forms"/>
  </ds:schemaRefs>
</ds:datastoreItem>
</file>

<file path=customXml/itemProps14.xml><?xml version="1.0" encoding="utf-8"?>
<ds:datastoreItem xmlns:ds="http://schemas.openxmlformats.org/officeDocument/2006/customXml" ds:itemID="{2A6D0EE6-4584-4A2B-82CE-98F03D8B6C9B}">
  <ds:schemaRefs>
    <ds:schemaRef ds:uri="http://gemini/pivotcustomization/PowerPivotVersion"/>
  </ds:schemaRefs>
</ds:datastoreItem>
</file>

<file path=customXml/itemProps15.xml><?xml version="1.0" encoding="utf-8"?>
<ds:datastoreItem xmlns:ds="http://schemas.openxmlformats.org/officeDocument/2006/customXml" ds:itemID="{8B821DE0-F1CC-4189-B663-5697F8D63AF3}">
  <ds:schemaRefs>
    <ds:schemaRef ds:uri="http://gemini/pivotcustomization/IsSandboxEmbedded"/>
  </ds:schemaRefs>
</ds:datastoreItem>
</file>

<file path=customXml/itemProps16.xml><?xml version="1.0" encoding="utf-8"?>
<ds:datastoreItem xmlns:ds="http://schemas.openxmlformats.org/officeDocument/2006/customXml" ds:itemID="{30741628-72B5-4005-B1C5-299301130046}">
  <ds:schemaRefs>
    <ds:schemaRef ds:uri="http://gemini/pivotcustomization/ClientWindowXML"/>
  </ds:schemaRefs>
</ds:datastoreItem>
</file>

<file path=customXml/itemProps17.xml><?xml version="1.0" encoding="utf-8"?>
<ds:datastoreItem xmlns:ds="http://schemas.openxmlformats.org/officeDocument/2006/customXml" ds:itemID="{54CE4185-271B-41F6-B75E-7950B9F682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9a281f-b65c-44ff-9b15-bbf2d0fe92d1"/>
    <ds:schemaRef ds:uri="1338d2e0-3613-447a-ba64-fa2acfeba344"/>
    <ds:schemaRef ds:uri="6c67c4d6-8dae-43df-ace2-3f2dcdb3fa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8.xml><?xml version="1.0" encoding="utf-8"?>
<ds:datastoreItem xmlns:ds="http://schemas.openxmlformats.org/officeDocument/2006/customXml" ds:itemID="{BB27384C-5742-4E56-BB3F-60D36C347324}">
  <ds:schemaRefs>
    <ds:schemaRef ds:uri="http://gemini/pivotcustomization/SandboxNonEmpty"/>
  </ds:schemaRefs>
</ds:datastoreItem>
</file>

<file path=customXml/itemProps19.xml><?xml version="1.0" encoding="utf-8"?>
<ds:datastoreItem xmlns:ds="http://schemas.openxmlformats.org/officeDocument/2006/customXml" ds:itemID="{D9776E61-CA1C-48E0-A336-C95DD3EB2F67}">
  <ds:schemaRefs>
    <ds:schemaRef ds:uri="http://gemini/pivotcustomization/RelationshipAutoDetectionEnabled"/>
  </ds:schemaRefs>
</ds:datastoreItem>
</file>

<file path=customXml/itemProps20.xml><?xml version="1.0" encoding="utf-8"?>
<ds:datastoreItem xmlns:ds="http://schemas.openxmlformats.org/officeDocument/2006/customXml" ds:itemID="{704E7BE8-9615-44C1-A197-C5597C65C884}">
  <ds:schemaRefs>
    <ds:schemaRef ds:uri="http://gemini/pivotcustomization/ShowHidden"/>
  </ds:schemaRefs>
</ds:datastoreItem>
</file>

<file path=customXml/itemProps21.xml><?xml version="1.0" encoding="utf-8"?>
<ds:datastoreItem xmlns:ds="http://schemas.openxmlformats.org/officeDocument/2006/customXml" ds:itemID="{F45709C1-3C4A-455E-8D27-DEEF9618B297}">
  <ds:schemaRefs>
    <ds:schemaRef ds:uri="http://gemini/pivotcustomization/FormulaBarState"/>
  </ds:schemaRefs>
</ds:datastoreItem>
</file>

<file path=customXml/itemProps22.xml><?xml version="1.0" encoding="utf-8"?>
<ds:datastoreItem xmlns:ds="http://schemas.openxmlformats.org/officeDocument/2006/customXml" ds:itemID="{6EE36807-F419-43D7-A6F8-DE71E4530B6B}">
  <ds:schemaRefs>
    <ds:schemaRef ds:uri="http://gemini/pivotcustomization/TableXML_tbl_debt_cf_a05ccbdf-cc4c-4358-81a6-b95701ac3e91"/>
  </ds:schemaRefs>
</ds:datastoreItem>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17</vt:i4>
      </vt:variant>
    </vt:vector>
  </HeadingPairs>
  <TitlesOfParts>
    <vt:vector size="17" baseType="lpstr">
      <vt:lpstr>EVAL LEGEND</vt:lpstr>
      <vt:lpstr>Introduction</vt:lpstr>
      <vt:lpstr>AdjustmentReview</vt:lpstr>
      <vt:lpstr>PL</vt:lpstr>
      <vt:lpstr>BS</vt:lpstr>
      <vt:lpstr>CF</vt:lpstr>
      <vt:lpstr>KPI</vt:lpstr>
      <vt:lpstr>DebtOverview</vt:lpstr>
      <vt:lpstr>DebtRatio</vt:lpstr>
      <vt:lpstr>Definition</vt:lpstr>
      <vt:lpstr>AdjustmtType</vt:lpstr>
      <vt:lpstr>Feedback</vt:lpstr>
      <vt:lpstr>_CF</vt:lpstr>
      <vt:lpstr>_PL</vt:lpstr>
      <vt:lpstr>_BS</vt:lpstr>
      <vt:lpstr>Developer</vt:lpstr>
      <vt:lpstr>data-consol</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Flash Collection 2.0 (Draft)</dc:title>
  <dc:subject>Flash Collection 2.0</dc:subject>
  <dc:creator>Marcello Falcone;Joseph Cai</dc:creator>
  <cp:keywords/>
  <dc:description/>
  <cp:lastModifiedBy>Changez Ahmed</cp:lastModifiedBy>
  <dcterms:created xsi:type="dcterms:W3CDTF">2025-05-13T15:56:30Z</dcterms:created>
  <dcterms:modified xsi:type="dcterms:W3CDTF">2026-07-15T13:55:04Z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0x0101009F5D2E9FC02DF0408C55FE50BF3557D5</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A44787D4-0540-4523-9961-78E4036D8C6D}">
    <vt:lpwstr>{89993E1B-10FA-4A62-8156-693C5E475EC6}</vt:lpwstr>
  </property>
</Properties>
</file>